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tse\OneDrive\Desktop\"/>
    </mc:Choice>
  </mc:AlternateContent>
  <xr:revisionPtr revIDLastSave="0" documentId="13_ncr:1_{0E06D488-8E1E-4A3C-A0FC-F6BAD6B4A0D8}" xr6:coauthVersionLast="47" xr6:coauthVersionMax="47" xr10:uidLastSave="{00000000-0000-0000-0000-000000000000}"/>
  <bookViews>
    <workbookView xWindow="28680" yWindow="0" windowWidth="29040" windowHeight="15840" tabRatio="815" firstSheet="10" activeTab="15" xr2:uid="{65413096-E4D3-42BF-9F24-7B4156A463DB}"/>
  </bookViews>
  <sheets>
    <sheet name="詳細價目表(含變更)" sheetId="1" r:id="rId1"/>
    <sheet name="詳細價目表(含變更) (114.01)" sheetId="3" r:id="rId2"/>
    <sheet name="詳細價目表(含變更) (114.02)" sheetId="4" r:id="rId3"/>
    <sheet name="詳細價目表(含變更) (114.03)" sheetId="6" r:id="rId4"/>
    <sheet name="詳細價目表(含變更) (114.04)" sheetId="7" r:id="rId5"/>
    <sheet name="詳細價目表(含變更) (114.05) " sheetId="10" r:id="rId6"/>
    <sheet name="詳細價目表(含變更) (114.06)" sheetId="9" r:id="rId7"/>
    <sheet name="詳細價目表(含變更) (114.07)" sheetId="11" r:id="rId8"/>
    <sheet name="詳細價目表(含變更) (114.08) " sheetId="13" r:id="rId9"/>
    <sheet name="詳細價目表(含變更) (114.09) " sheetId="14" r:id="rId10"/>
    <sheet name="單價分析表" sheetId="2" r:id="rId11"/>
    <sheet name="詳細價目表(含變更) (114.10)" sheetId="15" r:id="rId12"/>
    <sheet name="詳細價目表(含變更) (114.11)" sheetId="17" r:id="rId13"/>
    <sheet name="詳細價目表(含變更) (114.12)" sheetId="16" r:id="rId14"/>
    <sheet name="詳細價目表(含變更) (115.01)" sheetId="19" r:id="rId15"/>
    <sheet name="詳細價目表(含變更) (115.02)" sheetId="20" r:id="rId16"/>
  </sheets>
  <definedNames>
    <definedName name="_xlnm._FilterDatabase" localSheetId="0" hidden="1">'詳細價目表(含變更)'!$A$6:$J$502</definedName>
    <definedName name="_xlnm._FilterDatabase" localSheetId="1" hidden="1">'詳細價目表(含變更) (114.01)'!$A$6:$J$502</definedName>
    <definedName name="_xlnm._FilterDatabase" localSheetId="2" hidden="1">'詳細價目表(含變更) (114.02)'!$A$6:$J$502</definedName>
    <definedName name="_xlnm._FilterDatabase" localSheetId="3" hidden="1">'詳細價目表(含變更) (114.03)'!$A$6:$J$502</definedName>
    <definedName name="_xlnm._FilterDatabase" localSheetId="4" hidden="1">'詳細價目表(含變更) (114.04)'!$A$6:$K$503</definedName>
    <definedName name="_xlnm._FilterDatabase" localSheetId="5" hidden="1">'詳細價目表(含變更) (114.05) '!$A$6:$K$503</definedName>
    <definedName name="_xlnm._FilterDatabase" localSheetId="6" hidden="1">'詳細價目表(含變更) (114.06)'!$A$6:$K$503</definedName>
    <definedName name="_xlnm._FilterDatabase" localSheetId="7" hidden="1">'詳細價目表(含變更) (114.07)'!$A$6:$K$503</definedName>
    <definedName name="_xlnm._FilterDatabase" localSheetId="8" hidden="1">'詳細價目表(含變更) (114.08) '!$A$6:$K$503</definedName>
    <definedName name="_xlnm._FilterDatabase" localSheetId="9" hidden="1">'詳細價目表(含變更) (114.09) '!$A$6:$K$503</definedName>
    <definedName name="_xlnm._FilterDatabase" localSheetId="11" hidden="1">'詳細價目表(含變更) (114.10)'!$A$6:$K$503</definedName>
    <definedName name="_xlnm._FilterDatabase" localSheetId="12" hidden="1">'詳細價目表(含變更) (114.11)'!$A$6:$K$503</definedName>
    <definedName name="_xlnm._FilterDatabase" localSheetId="13" hidden="1">'詳細價目表(含變更) (114.12)'!$A$6:$WUN$564</definedName>
    <definedName name="_xlnm._FilterDatabase" localSheetId="14" hidden="1">'詳細價目表(含變更) (115.01)'!$A$6:$WUN$564</definedName>
    <definedName name="_xlnm._FilterDatabase" localSheetId="15" hidden="1">'詳細價目表(含變更) (115.02)'!$A$6:$WUN$564</definedName>
    <definedName name="_xlnm.Print_Area" localSheetId="0">'詳細價目表(含變更)'!$A$1:$Z$505</definedName>
    <definedName name="_xlnm.Print_Area" localSheetId="1">'詳細價目表(含變更) (114.01)'!$A$1:$Z$505</definedName>
    <definedName name="_xlnm.Print_Area" localSheetId="2">'詳細價目表(含變更) (114.02)'!$A$1:$Z$505</definedName>
    <definedName name="_xlnm.Print_Area" localSheetId="3">'詳細價目表(含變更) (114.03)'!$A$1:$Z$505</definedName>
    <definedName name="_xlnm.Print_Area" localSheetId="4">'詳細價目表(含變更) (114.04)'!$A$1:$AA$506</definedName>
    <definedName name="_xlnm.Print_Area" localSheetId="5">'詳細價目表(含變更) (114.05) '!$A$1:$AA$506</definedName>
    <definedName name="_xlnm.Print_Area" localSheetId="6">'詳細價目表(含變更) (114.06)'!$A$1:$AA$506</definedName>
    <definedName name="_xlnm.Print_Area" localSheetId="7">'詳細價目表(含變更) (114.07)'!$A$1:$AA$506</definedName>
    <definedName name="_xlnm.Print_Area" localSheetId="8">'詳細價目表(含變更) (114.08) '!$A$1:$AA$506</definedName>
    <definedName name="_xlnm.Print_Area" localSheetId="9">'詳細價目表(含變更) (114.09) '!$A$1:$AA$506</definedName>
    <definedName name="_xlnm.Print_Area" localSheetId="11">'詳細價目表(含變更) (114.10)'!$A$1:$AA$506</definedName>
    <definedName name="_xlnm.Print_Area" localSheetId="12">'詳細價目表(含變更) (114.11)'!$A$1:$AA$506</definedName>
    <definedName name="_xlnm.Print_Area" localSheetId="13">'詳細價目表(含變更) (114.12)'!$A$1:$AB$564</definedName>
    <definedName name="_xlnm.Print_Area" localSheetId="14">'詳細價目表(含變更) (115.01)'!$A$1:$AB$564</definedName>
    <definedName name="_xlnm.Print_Area" localSheetId="15">'詳細價目表(含變更) (115.02)'!$A$1:$AB$564</definedName>
    <definedName name="_xlnm.Print_Titles" localSheetId="10">單價分析表!$1:$6</definedName>
    <definedName name="_xlnm.Print_Titles" localSheetId="0">'詳細價目表(含變更)'!$1:$6</definedName>
    <definedName name="_xlnm.Print_Titles" localSheetId="1">'詳細價目表(含變更) (114.01)'!$1:$6</definedName>
    <definedName name="_xlnm.Print_Titles" localSheetId="2">'詳細價目表(含變更) (114.02)'!$1:$6</definedName>
    <definedName name="_xlnm.Print_Titles" localSheetId="3">'詳細價目表(含變更) (114.03)'!$1:$6</definedName>
    <definedName name="_xlnm.Print_Titles" localSheetId="4">'詳細價目表(含變更) (114.04)'!$1:$6</definedName>
    <definedName name="_xlnm.Print_Titles" localSheetId="5">'詳細價目表(含變更) (114.05) '!$1:$6</definedName>
    <definedName name="_xlnm.Print_Titles" localSheetId="6">'詳細價目表(含變更) (114.06)'!$1:$6</definedName>
    <definedName name="_xlnm.Print_Titles" localSheetId="7">'詳細價目表(含變更) (114.07)'!$1:$6</definedName>
    <definedName name="_xlnm.Print_Titles" localSheetId="8">'詳細價目表(含變更) (114.08) '!$1:$6</definedName>
    <definedName name="_xlnm.Print_Titles" localSheetId="9">'詳細價目表(含變更) (114.09) '!$1:$6</definedName>
    <definedName name="_xlnm.Print_Titles" localSheetId="11">'詳細價目表(含變更) (114.10)'!$1:$6</definedName>
    <definedName name="_xlnm.Print_Titles" localSheetId="12">'詳細價目表(含變更) (114.11)'!$1:$6</definedName>
    <definedName name="_xlnm.Print_Titles" localSheetId="13">'詳細價目表(含變更) (114.12)'!$1:$6</definedName>
    <definedName name="_xlnm.Print_Titles" localSheetId="14">'詳細價目表(含變更) (115.01)'!$1:$6</definedName>
    <definedName name="_xlnm.Print_Titles" localSheetId="15">'詳細價目表(含變更) (115.02)'!$1:$6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26" i="20" l="1"/>
  <c r="AI550" i="20"/>
  <c r="AI547" i="20"/>
  <c r="AA564" i="20" l="1"/>
  <c r="Z564" i="20" s="1"/>
  <c r="X564" i="20"/>
  <c r="AA563" i="20"/>
  <c r="Z563" i="20" s="1"/>
  <c r="X563" i="20"/>
  <c r="AA562" i="20"/>
  <c r="Z562" i="20" s="1"/>
  <c r="X562" i="20"/>
  <c r="AH561" i="20"/>
  <c r="AH560" i="20"/>
  <c r="AH559" i="20"/>
  <c r="AH558" i="20"/>
  <c r="AD557" i="20"/>
  <c r="X557" i="20"/>
  <c r="Y557" i="20" s="1"/>
  <c r="AH557" i="20" s="1"/>
  <c r="W557" i="20"/>
  <c r="AD556" i="20"/>
  <c r="Z556" i="20"/>
  <c r="X556" i="20" s="1"/>
  <c r="W556" i="20"/>
  <c r="W555" i="20"/>
  <c r="V555" i="20"/>
  <c r="AD555" i="20" s="1"/>
  <c r="T555" i="20"/>
  <c r="S555" i="20"/>
  <c r="X554" i="20"/>
  <c r="Y554" i="20" s="1"/>
  <c r="AH554" i="20" s="1"/>
  <c r="W554" i="20"/>
  <c r="V554" i="20"/>
  <c r="AD554" i="20" s="1"/>
  <c r="AD553" i="20"/>
  <c r="W553" i="20"/>
  <c r="AD552" i="20"/>
  <c r="W552" i="20"/>
  <c r="X551" i="20"/>
  <c r="Y551" i="20" s="1"/>
  <c r="AH551" i="20" s="1"/>
  <c r="W551" i="20"/>
  <c r="V551" i="20"/>
  <c r="AD551" i="20" s="1"/>
  <c r="X550" i="20"/>
  <c r="Y550" i="20" s="1"/>
  <c r="AH550" i="20" s="1"/>
  <c r="AD550" i="20"/>
  <c r="W550" i="20"/>
  <c r="V550" i="20"/>
  <c r="AE549" i="20"/>
  <c r="AD549" i="20"/>
  <c r="W549" i="20"/>
  <c r="X548" i="20"/>
  <c r="Y548" i="20" s="1"/>
  <c r="AH548" i="20" s="1"/>
  <c r="W548" i="20"/>
  <c r="V548" i="20"/>
  <c r="AD548" i="20" s="1"/>
  <c r="X547" i="20"/>
  <c r="Y547" i="20" s="1"/>
  <c r="AH547" i="20" s="1"/>
  <c r="W547" i="20"/>
  <c r="V547" i="20"/>
  <c r="AD547" i="20" s="1"/>
  <c r="AI546" i="20"/>
  <c r="X546" i="20" s="1"/>
  <c r="Y546" i="20" s="1"/>
  <c r="AH546" i="20" s="1"/>
  <c r="W546" i="20"/>
  <c r="V546" i="20"/>
  <c r="AD546" i="20" s="1"/>
  <c r="X545" i="20"/>
  <c r="Y545" i="20" s="1"/>
  <c r="AH545" i="20" s="1"/>
  <c r="W545" i="20"/>
  <c r="V545" i="20"/>
  <c r="AD545" i="20" s="1"/>
  <c r="AI544" i="20"/>
  <c r="X544" i="20"/>
  <c r="Y544" i="20" s="1"/>
  <c r="W544" i="20"/>
  <c r="V544" i="20"/>
  <c r="AD544" i="20" s="1"/>
  <c r="X543" i="20"/>
  <c r="Y543" i="20" s="1"/>
  <c r="AH543" i="20" s="1"/>
  <c r="W543" i="20"/>
  <c r="V543" i="20"/>
  <c r="AD543" i="20" s="1"/>
  <c r="X542" i="20"/>
  <c r="Y542" i="20" s="1"/>
  <c r="AH542" i="20" s="1"/>
  <c r="W542" i="20"/>
  <c r="V542" i="20"/>
  <c r="AD542" i="20" s="1"/>
  <c r="X541" i="20"/>
  <c r="Y541" i="20" s="1"/>
  <c r="W541" i="20"/>
  <c r="V541" i="20"/>
  <c r="AD541" i="20" s="1"/>
  <c r="X540" i="20"/>
  <c r="Y540" i="20" s="1"/>
  <c r="W540" i="20"/>
  <c r="V540" i="20"/>
  <c r="AD540" i="20" s="1"/>
  <c r="X539" i="20"/>
  <c r="Y539" i="20" s="1"/>
  <c r="AH539" i="20" s="1"/>
  <c r="W539" i="20"/>
  <c r="AE539" i="20" s="1"/>
  <c r="V539" i="20"/>
  <c r="AD539" i="20" s="1"/>
  <c r="X538" i="20"/>
  <c r="Y538" i="20" s="1"/>
  <c r="AH538" i="20" s="1"/>
  <c r="W538" i="20"/>
  <c r="V538" i="20"/>
  <c r="AD538" i="20" s="1"/>
  <c r="X537" i="20"/>
  <c r="Y537" i="20" s="1"/>
  <c r="W537" i="20"/>
  <c r="V537" i="20"/>
  <c r="AD537" i="20" s="1"/>
  <c r="AI536" i="20"/>
  <c r="X536" i="20" s="1"/>
  <c r="Y536" i="20" s="1"/>
  <c r="AH536" i="20" s="1"/>
  <c r="W536" i="20"/>
  <c r="V536" i="20"/>
  <c r="AD536" i="20" s="1"/>
  <c r="AI535" i="20"/>
  <c r="X535" i="20"/>
  <c r="Y535" i="20" s="1"/>
  <c r="W535" i="20"/>
  <c r="V535" i="20"/>
  <c r="AD535" i="20" s="1"/>
  <c r="X534" i="20"/>
  <c r="Y534" i="20" s="1"/>
  <c r="AH534" i="20" s="1"/>
  <c r="W534" i="20"/>
  <c r="V534" i="20"/>
  <c r="AD534" i="20" s="1"/>
  <c r="X533" i="20"/>
  <c r="Y533" i="20" s="1"/>
  <c r="AH533" i="20" s="1"/>
  <c r="W533" i="20"/>
  <c r="V533" i="20"/>
  <c r="AD533" i="20" s="1"/>
  <c r="X532" i="20"/>
  <c r="Y532" i="20" s="1"/>
  <c r="AH532" i="20" s="1"/>
  <c r="W532" i="20"/>
  <c r="V532" i="20"/>
  <c r="AD532" i="20" s="1"/>
  <c r="X531" i="20"/>
  <c r="Y531" i="20" s="1"/>
  <c r="AH531" i="20" s="1"/>
  <c r="W531" i="20"/>
  <c r="V531" i="20"/>
  <c r="AD531" i="20" s="1"/>
  <c r="X530" i="20"/>
  <c r="Y530" i="20" s="1"/>
  <c r="AH530" i="20" s="1"/>
  <c r="W530" i="20"/>
  <c r="V530" i="20"/>
  <c r="AD530" i="20" s="1"/>
  <c r="AD529" i="20"/>
  <c r="W529" i="20"/>
  <c r="X528" i="20"/>
  <c r="Y528" i="20" s="1"/>
  <c r="W528" i="20"/>
  <c r="V528" i="20"/>
  <c r="AD528" i="20" s="1"/>
  <c r="X527" i="20"/>
  <c r="Y527" i="20" s="1"/>
  <c r="AH527" i="20" s="1"/>
  <c r="W527" i="20"/>
  <c r="V527" i="20"/>
  <c r="AD527" i="20" s="1"/>
  <c r="X526" i="20"/>
  <c r="Y526" i="20" s="1"/>
  <c r="W526" i="20"/>
  <c r="V526" i="20"/>
  <c r="AD526" i="20" s="1"/>
  <c r="X525" i="20"/>
  <c r="Y525" i="20" s="1"/>
  <c r="W525" i="20"/>
  <c r="V525" i="20"/>
  <c r="AD525" i="20" s="1"/>
  <c r="AE525" i="20" s="1"/>
  <c r="AI524" i="20"/>
  <c r="X524" i="20" s="1"/>
  <c r="Y524" i="20" s="1"/>
  <c r="AH524" i="20" s="1"/>
  <c r="W524" i="20"/>
  <c r="V524" i="20"/>
  <c r="AD524" i="20" s="1"/>
  <c r="AI523" i="20"/>
  <c r="X523" i="20"/>
  <c r="Y523" i="20" s="1"/>
  <c r="W523" i="20"/>
  <c r="V523" i="20"/>
  <c r="AD523" i="20" s="1"/>
  <c r="AI522" i="20"/>
  <c r="X522" i="20"/>
  <c r="Y522" i="20" s="1"/>
  <c r="W522" i="20"/>
  <c r="V522" i="20"/>
  <c r="AD522" i="20" s="1"/>
  <c r="X521" i="20"/>
  <c r="Y521" i="20" s="1"/>
  <c r="AH521" i="20" s="1"/>
  <c r="W521" i="20"/>
  <c r="V521" i="20"/>
  <c r="AD521" i="20" s="1"/>
  <c r="X520" i="20"/>
  <c r="Y520" i="20" s="1"/>
  <c r="W520" i="20"/>
  <c r="V520" i="20"/>
  <c r="AD520" i="20" s="1"/>
  <c r="AE520" i="20" s="1"/>
  <c r="X519" i="20"/>
  <c r="Y519" i="20" s="1"/>
  <c r="AH519" i="20" s="1"/>
  <c r="W519" i="20"/>
  <c r="V519" i="20"/>
  <c r="AD519" i="20" s="1"/>
  <c r="AI518" i="20"/>
  <c r="X518" i="20"/>
  <c r="Y518" i="20" s="1"/>
  <c r="AH518" i="20" s="1"/>
  <c r="W518" i="20"/>
  <c r="V518" i="20"/>
  <c r="AD518" i="20" s="1"/>
  <c r="X517" i="20"/>
  <c r="Y517" i="20" s="1"/>
  <c r="AH517" i="20" s="1"/>
  <c r="W517" i="20"/>
  <c r="V517" i="20"/>
  <c r="AD517" i="20" s="1"/>
  <c r="AI516" i="20"/>
  <c r="AH516" i="20"/>
  <c r="X516" i="20"/>
  <c r="W516" i="20"/>
  <c r="AA516" i="20" s="1"/>
  <c r="Z516" i="20" s="1"/>
  <c r="V516" i="20"/>
  <c r="AD516" i="20" s="1"/>
  <c r="AI515" i="20"/>
  <c r="X515" i="20" s="1"/>
  <c r="Y515" i="20" s="1"/>
  <c r="W515" i="20"/>
  <c r="V515" i="20"/>
  <c r="AD515" i="20" s="1"/>
  <c r="X514" i="20"/>
  <c r="Y514" i="20" s="1"/>
  <c r="W514" i="20"/>
  <c r="V514" i="20"/>
  <c r="AD514" i="20" s="1"/>
  <c r="X513" i="20"/>
  <c r="Y513" i="20" s="1"/>
  <c r="W513" i="20"/>
  <c r="V513" i="20"/>
  <c r="AD513" i="20" s="1"/>
  <c r="X512" i="20"/>
  <c r="Y512" i="20" s="1"/>
  <c r="AH512" i="20" s="1"/>
  <c r="W512" i="20"/>
  <c r="V512" i="20"/>
  <c r="AD512" i="20" s="1"/>
  <c r="X511" i="20"/>
  <c r="Y511" i="20" s="1"/>
  <c r="AH511" i="20" s="1"/>
  <c r="W511" i="20"/>
  <c r="V511" i="20"/>
  <c r="AD511" i="20" s="1"/>
  <c r="AI510" i="20"/>
  <c r="AH510" i="20"/>
  <c r="X510" i="20"/>
  <c r="W510" i="20"/>
  <c r="AA510" i="20" s="1"/>
  <c r="Z510" i="20" s="1"/>
  <c r="V510" i="20"/>
  <c r="AD510" i="20" s="1"/>
  <c r="X509" i="20"/>
  <c r="Y509" i="20" s="1"/>
  <c r="AH509" i="20" s="1"/>
  <c r="W509" i="20"/>
  <c r="V509" i="20"/>
  <c r="AD509" i="20" s="1"/>
  <c r="AD508" i="20"/>
  <c r="W508" i="20"/>
  <c r="X507" i="20"/>
  <c r="Y507" i="20" s="1"/>
  <c r="W507" i="20"/>
  <c r="V507" i="20"/>
  <c r="AD507" i="20" s="1"/>
  <c r="X506" i="20"/>
  <c r="Y506" i="20" s="1"/>
  <c r="AH506" i="20" s="1"/>
  <c r="W506" i="20"/>
  <c r="V506" i="20"/>
  <c r="AD506" i="20" s="1"/>
  <c r="AE506" i="20" s="1"/>
  <c r="X505" i="20"/>
  <c r="Y505" i="20" s="1"/>
  <c r="AH505" i="20" s="1"/>
  <c r="W505" i="20"/>
  <c r="V505" i="20"/>
  <c r="AD505" i="20" s="1"/>
  <c r="AD504" i="20"/>
  <c r="W504" i="20"/>
  <c r="X503" i="20"/>
  <c r="Y503" i="20" s="1"/>
  <c r="AH503" i="20" s="1"/>
  <c r="W503" i="20"/>
  <c r="V503" i="20"/>
  <c r="AD503" i="20" s="1"/>
  <c r="AE503" i="20" s="1"/>
  <c r="X502" i="20"/>
  <c r="Y502" i="20" s="1"/>
  <c r="AH502" i="20" s="1"/>
  <c r="W502" i="20"/>
  <c r="V502" i="20"/>
  <c r="AD502" i="20" s="1"/>
  <c r="AD501" i="20"/>
  <c r="X501" i="20"/>
  <c r="Y501" i="20" s="1"/>
  <c r="AH501" i="20" s="1"/>
  <c r="W501" i="20"/>
  <c r="V501" i="20"/>
  <c r="AE500" i="20"/>
  <c r="X500" i="20"/>
  <c r="Y500" i="20" s="1"/>
  <c r="W500" i="20"/>
  <c r="V500" i="20"/>
  <c r="AD500" i="20" s="1"/>
  <c r="AE499" i="20"/>
  <c r="X499" i="20"/>
  <c r="Y499" i="20" s="1"/>
  <c r="W499" i="20"/>
  <c r="V499" i="20"/>
  <c r="AD499" i="20" s="1"/>
  <c r="AI498" i="20"/>
  <c r="X498" i="20"/>
  <c r="Y498" i="20" s="1"/>
  <c r="W498" i="20"/>
  <c r="V498" i="20"/>
  <c r="AD498" i="20" s="1"/>
  <c r="X497" i="20"/>
  <c r="Y497" i="20" s="1"/>
  <c r="AH497" i="20" s="1"/>
  <c r="W497" i="20"/>
  <c r="V497" i="20"/>
  <c r="AD497" i="20" s="1"/>
  <c r="AI496" i="20"/>
  <c r="X496" i="20" s="1"/>
  <c r="Y496" i="20" s="1"/>
  <c r="AH496" i="20" s="1"/>
  <c r="W496" i="20"/>
  <c r="AA496" i="20" s="1"/>
  <c r="Z496" i="20" s="1"/>
  <c r="V496" i="20"/>
  <c r="AD496" i="20" s="1"/>
  <c r="AI495" i="20"/>
  <c r="X495" i="20"/>
  <c r="Y495" i="20" s="1"/>
  <c r="W495" i="20"/>
  <c r="V495" i="20"/>
  <c r="AD495" i="20" s="1"/>
  <c r="AI494" i="20"/>
  <c r="X494" i="20" s="1"/>
  <c r="Y494" i="20" s="1"/>
  <c r="AH494" i="20" s="1"/>
  <c r="W494" i="20"/>
  <c r="V494" i="20"/>
  <c r="AD494" i="20" s="1"/>
  <c r="X493" i="20"/>
  <c r="Y493" i="20" s="1"/>
  <c r="AH493" i="20" s="1"/>
  <c r="W493" i="20"/>
  <c r="V493" i="20"/>
  <c r="AD493" i="20" s="1"/>
  <c r="AD492" i="20"/>
  <c r="X492" i="20"/>
  <c r="Y492" i="20" s="1"/>
  <c r="AH492" i="20" s="1"/>
  <c r="W492" i="20"/>
  <c r="V492" i="20"/>
  <c r="X491" i="20"/>
  <c r="Y491" i="20" s="1"/>
  <c r="AH491" i="20" s="1"/>
  <c r="W491" i="20"/>
  <c r="V491" i="20"/>
  <c r="AD491" i="20" s="1"/>
  <c r="X490" i="20"/>
  <c r="Y490" i="20" s="1"/>
  <c r="AH490" i="20" s="1"/>
  <c r="W490" i="20"/>
  <c r="AE490" i="20" s="1"/>
  <c r="V490" i="20"/>
  <c r="AD490" i="20" s="1"/>
  <c r="AI489" i="20"/>
  <c r="X489" i="20" s="1"/>
  <c r="Y489" i="20" s="1"/>
  <c r="AH489" i="20" s="1"/>
  <c r="W489" i="20"/>
  <c r="V489" i="20"/>
  <c r="AD489" i="20" s="1"/>
  <c r="AI488" i="20"/>
  <c r="X488" i="20"/>
  <c r="Y488" i="20" s="1"/>
  <c r="AH488" i="20" s="1"/>
  <c r="W488" i="20"/>
  <c r="V488" i="20"/>
  <c r="AD488" i="20" s="1"/>
  <c r="AI487" i="20"/>
  <c r="X487" i="20"/>
  <c r="Y487" i="20" s="1"/>
  <c r="AH487" i="20" s="1"/>
  <c r="W487" i="20"/>
  <c r="V487" i="20"/>
  <c r="AD487" i="20" s="1"/>
  <c r="AI486" i="20"/>
  <c r="X486" i="20" s="1"/>
  <c r="Y486" i="20" s="1"/>
  <c r="AH486" i="20" s="1"/>
  <c r="W486" i="20"/>
  <c r="V486" i="20"/>
  <c r="AD486" i="20" s="1"/>
  <c r="AI485" i="20"/>
  <c r="X485" i="20" s="1"/>
  <c r="Y485" i="20" s="1"/>
  <c r="AH485" i="20" s="1"/>
  <c r="W485" i="20"/>
  <c r="V485" i="20"/>
  <c r="AD485" i="20" s="1"/>
  <c r="X484" i="20"/>
  <c r="Y484" i="20" s="1"/>
  <c r="AH484" i="20" s="1"/>
  <c r="W484" i="20"/>
  <c r="V484" i="20"/>
  <c r="AD484" i="20" s="1"/>
  <c r="X483" i="20"/>
  <c r="Y483" i="20" s="1"/>
  <c r="AH483" i="20" s="1"/>
  <c r="W483" i="20"/>
  <c r="V483" i="20"/>
  <c r="AD483" i="20" s="1"/>
  <c r="AI482" i="20"/>
  <c r="X482" i="20" s="1"/>
  <c r="Y482" i="20" s="1"/>
  <c r="AH482" i="20" s="1"/>
  <c r="W482" i="20"/>
  <c r="V482" i="20"/>
  <c r="AD482" i="20" s="1"/>
  <c r="AI481" i="20"/>
  <c r="X481" i="20" s="1"/>
  <c r="Y481" i="20" s="1"/>
  <c r="AH481" i="20" s="1"/>
  <c r="W481" i="20"/>
  <c r="V481" i="20"/>
  <c r="AD481" i="20" s="1"/>
  <c r="X480" i="20"/>
  <c r="Y480" i="20" s="1"/>
  <c r="AH480" i="20" s="1"/>
  <c r="W480" i="20"/>
  <c r="V480" i="20"/>
  <c r="AD480" i="20" s="1"/>
  <c r="X479" i="20"/>
  <c r="Y479" i="20" s="1"/>
  <c r="W479" i="20"/>
  <c r="V479" i="20"/>
  <c r="AD479" i="20" s="1"/>
  <c r="AI478" i="20"/>
  <c r="X478" i="20" s="1"/>
  <c r="Y478" i="20" s="1"/>
  <c r="AH478" i="20" s="1"/>
  <c r="W478" i="20"/>
  <c r="V478" i="20"/>
  <c r="AD478" i="20" s="1"/>
  <c r="AI477" i="20"/>
  <c r="X477" i="20"/>
  <c r="Y477" i="20" s="1"/>
  <c r="AH477" i="20" s="1"/>
  <c r="W477" i="20"/>
  <c r="V477" i="20"/>
  <c r="AD477" i="20" s="1"/>
  <c r="X476" i="20"/>
  <c r="Y476" i="20" s="1"/>
  <c r="AH476" i="20" s="1"/>
  <c r="W476" i="20"/>
  <c r="V476" i="20"/>
  <c r="AD476" i="20" s="1"/>
  <c r="X475" i="20"/>
  <c r="Y475" i="20" s="1"/>
  <c r="AH475" i="20" s="1"/>
  <c r="W475" i="20"/>
  <c r="V475" i="20"/>
  <c r="AD475" i="20" s="1"/>
  <c r="X474" i="20"/>
  <c r="Y474" i="20" s="1"/>
  <c r="AH474" i="20" s="1"/>
  <c r="W474" i="20"/>
  <c r="V474" i="20"/>
  <c r="AD474" i="20" s="1"/>
  <c r="X473" i="20"/>
  <c r="Y473" i="20" s="1"/>
  <c r="AH473" i="20" s="1"/>
  <c r="W473" i="20"/>
  <c r="V473" i="20"/>
  <c r="AD473" i="20" s="1"/>
  <c r="X472" i="20"/>
  <c r="Y472" i="20" s="1"/>
  <c r="W472" i="20"/>
  <c r="V472" i="20"/>
  <c r="AD472" i="20" s="1"/>
  <c r="X471" i="20"/>
  <c r="Y471" i="20" s="1"/>
  <c r="AH471" i="20" s="1"/>
  <c r="W471" i="20"/>
  <c r="V471" i="20"/>
  <c r="AD471" i="20" s="1"/>
  <c r="X470" i="20"/>
  <c r="Y470" i="20" s="1"/>
  <c r="W470" i="20"/>
  <c r="V470" i="20"/>
  <c r="AD470" i="20" s="1"/>
  <c r="X469" i="20"/>
  <c r="Y469" i="20" s="1"/>
  <c r="AH469" i="20" s="1"/>
  <c r="W469" i="20"/>
  <c r="V469" i="20"/>
  <c r="AD469" i="20" s="1"/>
  <c r="AI468" i="20"/>
  <c r="X468" i="20"/>
  <c r="Y468" i="20" s="1"/>
  <c r="W468" i="20"/>
  <c r="V468" i="20"/>
  <c r="AD468" i="20" s="1"/>
  <c r="X467" i="20"/>
  <c r="Y467" i="20" s="1"/>
  <c r="AH467" i="20" s="1"/>
  <c r="W467" i="20"/>
  <c r="V467" i="20"/>
  <c r="AD467" i="20" s="1"/>
  <c r="X466" i="20"/>
  <c r="Y466" i="20" s="1"/>
  <c r="AH466" i="20" s="1"/>
  <c r="W466" i="20"/>
  <c r="V466" i="20"/>
  <c r="AD466" i="20" s="1"/>
  <c r="X465" i="20"/>
  <c r="Y465" i="20" s="1"/>
  <c r="AH465" i="20" s="1"/>
  <c r="W465" i="20"/>
  <c r="V465" i="20"/>
  <c r="AD465" i="20" s="1"/>
  <c r="AD464" i="20"/>
  <c r="W464" i="20"/>
  <c r="X463" i="20"/>
  <c r="Y463" i="20" s="1"/>
  <c r="AA463" i="20" s="1"/>
  <c r="Z463" i="20" s="1"/>
  <c r="W463" i="20"/>
  <c r="V463" i="20"/>
  <c r="AD463" i="20" s="1"/>
  <c r="X462" i="20"/>
  <c r="Y462" i="20" s="1"/>
  <c r="W462" i="20"/>
  <c r="V462" i="20"/>
  <c r="AD462" i="20" s="1"/>
  <c r="X461" i="20"/>
  <c r="Y461" i="20" s="1"/>
  <c r="W461" i="20"/>
  <c r="V461" i="20"/>
  <c r="AD461" i="20" s="1"/>
  <c r="X460" i="20"/>
  <c r="Y460" i="20" s="1"/>
  <c r="W460" i="20"/>
  <c r="V460" i="20"/>
  <c r="AD460" i="20" s="1"/>
  <c r="X459" i="20"/>
  <c r="Y459" i="20" s="1"/>
  <c r="W459" i="20"/>
  <c r="V459" i="20"/>
  <c r="AD459" i="20" s="1"/>
  <c r="X458" i="20"/>
  <c r="Y458" i="20" s="1"/>
  <c r="W458" i="20"/>
  <c r="V458" i="20"/>
  <c r="AD458" i="20" s="1"/>
  <c r="X457" i="20"/>
  <c r="Y457" i="20" s="1"/>
  <c r="W457" i="20"/>
  <c r="V457" i="20"/>
  <c r="AD457" i="20" s="1"/>
  <c r="X456" i="20"/>
  <c r="Y456" i="20" s="1"/>
  <c r="W456" i="20"/>
  <c r="V456" i="20"/>
  <c r="AD456" i="20" s="1"/>
  <c r="X455" i="20"/>
  <c r="Y455" i="20" s="1"/>
  <c r="W455" i="20"/>
  <c r="V455" i="20"/>
  <c r="AD455" i="20" s="1"/>
  <c r="X454" i="20"/>
  <c r="Y454" i="20" s="1"/>
  <c r="W454" i="20"/>
  <c r="V454" i="20"/>
  <c r="AD454" i="20" s="1"/>
  <c r="X453" i="20"/>
  <c r="Y453" i="20" s="1"/>
  <c r="W453" i="20"/>
  <c r="V453" i="20"/>
  <c r="AD453" i="20" s="1"/>
  <c r="X452" i="20"/>
  <c r="Y452" i="20" s="1"/>
  <c r="W452" i="20"/>
  <c r="V452" i="20"/>
  <c r="AD452" i="20" s="1"/>
  <c r="X451" i="20"/>
  <c r="Y451" i="20" s="1"/>
  <c r="W451" i="20"/>
  <c r="V451" i="20"/>
  <c r="AD451" i="20" s="1"/>
  <c r="X450" i="20"/>
  <c r="Y450" i="20" s="1"/>
  <c r="W450" i="20"/>
  <c r="V450" i="20"/>
  <c r="AD450" i="20" s="1"/>
  <c r="X449" i="20"/>
  <c r="Y449" i="20" s="1"/>
  <c r="W449" i="20"/>
  <c r="AE449" i="20" s="1"/>
  <c r="V449" i="20"/>
  <c r="AD449" i="20" s="1"/>
  <c r="X448" i="20"/>
  <c r="Y448" i="20" s="1"/>
  <c r="W448" i="20"/>
  <c r="V448" i="20"/>
  <c r="AD448" i="20" s="1"/>
  <c r="X447" i="20"/>
  <c r="Y447" i="20" s="1"/>
  <c r="W447" i="20"/>
  <c r="V447" i="20"/>
  <c r="AD447" i="20" s="1"/>
  <c r="AE446" i="20"/>
  <c r="X446" i="20"/>
  <c r="Y446" i="20" s="1"/>
  <c r="W446" i="20"/>
  <c r="V446" i="20"/>
  <c r="AD446" i="20" s="1"/>
  <c r="AI445" i="20"/>
  <c r="X445" i="20"/>
  <c r="Y445" i="20" s="1"/>
  <c r="AH445" i="20" s="1"/>
  <c r="W445" i="20"/>
  <c r="V445" i="20"/>
  <c r="AD445" i="20" s="1"/>
  <c r="X444" i="20"/>
  <c r="Y444" i="20" s="1"/>
  <c r="W444" i="20"/>
  <c r="V444" i="20"/>
  <c r="AD444" i="20" s="1"/>
  <c r="X443" i="20"/>
  <c r="Y443" i="20" s="1"/>
  <c r="W443" i="20"/>
  <c r="V443" i="20"/>
  <c r="AD443" i="20" s="1"/>
  <c r="X442" i="20"/>
  <c r="Y442" i="20" s="1"/>
  <c r="W442" i="20"/>
  <c r="V442" i="20"/>
  <c r="AD442" i="20" s="1"/>
  <c r="X441" i="20"/>
  <c r="Y441" i="20" s="1"/>
  <c r="AH441" i="20" s="1"/>
  <c r="W441" i="20"/>
  <c r="V441" i="20"/>
  <c r="AD441" i="20" s="1"/>
  <c r="X440" i="20"/>
  <c r="Y440" i="20" s="1"/>
  <c r="AH440" i="20" s="1"/>
  <c r="W440" i="20"/>
  <c r="V440" i="20"/>
  <c r="AD440" i="20" s="1"/>
  <c r="X439" i="20"/>
  <c r="Y439" i="20" s="1"/>
  <c r="AH439" i="20" s="1"/>
  <c r="W439" i="20"/>
  <c r="V439" i="20"/>
  <c r="AD439" i="20" s="1"/>
  <c r="X438" i="20"/>
  <c r="Y438" i="20" s="1"/>
  <c r="AH438" i="20" s="1"/>
  <c r="W438" i="20"/>
  <c r="V438" i="20"/>
  <c r="AD438" i="20" s="1"/>
  <c r="X437" i="20"/>
  <c r="Y437" i="20" s="1"/>
  <c r="W437" i="20"/>
  <c r="V437" i="20"/>
  <c r="AD437" i="20" s="1"/>
  <c r="AI436" i="20"/>
  <c r="X436" i="20"/>
  <c r="Y436" i="20" s="1"/>
  <c r="AH436" i="20" s="1"/>
  <c r="W436" i="20"/>
  <c r="V436" i="20"/>
  <c r="AD436" i="20" s="1"/>
  <c r="AE436" i="20" s="1"/>
  <c r="X435" i="20"/>
  <c r="Y435" i="20" s="1"/>
  <c r="W435" i="20"/>
  <c r="V435" i="20"/>
  <c r="AD435" i="20" s="1"/>
  <c r="AD434" i="20"/>
  <c r="W434" i="20"/>
  <c r="X433" i="20"/>
  <c r="Y433" i="20" s="1"/>
  <c r="AH433" i="20" s="1"/>
  <c r="W433" i="20"/>
  <c r="V433" i="20"/>
  <c r="AD433" i="20" s="1"/>
  <c r="T433" i="20"/>
  <c r="S433" i="20"/>
  <c r="AD432" i="20"/>
  <c r="W432" i="20"/>
  <c r="T432" i="20"/>
  <c r="S432" i="20"/>
  <c r="X431" i="20"/>
  <c r="Y431" i="20" s="1"/>
  <c r="W431" i="20"/>
  <c r="V431" i="20"/>
  <c r="AD431" i="20" s="1"/>
  <c r="T431" i="20"/>
  <c r="S431" i="20"/>
  <c r="X430" i="20"/>
  <c r="Y430" i="20" s="1"/>
  <c r="W430" i="20"/>
  <c r="V430" i="20"/>
  <c r="AD430" i="20" s="1"/>
  <c r="T430" i="20"/>
  <c r="S430" i="20"/>
  <c r="X429" i="20"/>
  <c r="Y429" i="20" s="1"/>
  <c r="W429" i="20"/>
  <c r="V429" i="20"/>
  <c r="AD429" i="20" s="1"/>
  <c r="T429" i="20"/>
  <c r="S429" i="20"/>
  <c r="X428" i="20"/>
  <c r="Y428" i="20" s="1"/>
  <c r="W428" i="20"/>
  <c r="V428" i="20"/>
  <c r="AD428" i="20" s="1"/>
  <c r="T428" i="20"/>
  <c r="S428" i="20"/>
  <c r="X427" i="20"/>
  <c r="Y427" i="20" s="1"/>
  <c r="W427" i="20"/>
  <c r="V427" i="20"/>
  <c r="AD427" i="20" s="1"/>
  <c r="T427" i="20"/>
  <c r="S427" i="20"/>
  <c r="X426" i="20"/>
  <c r="Y426" i="20" s="1"/>
  <c r="W426" i="20"/>
  <c r="V426" i="20"/>
  <c r="AD426" i="20" s="1"/>
  <c r="T426" i="20"/>
  <c r="S426" i="20"/>
  <c r="X425" i="20"/>
  <c r="Y425" i="20" s="1"/>
  <c r="W425" i="20"/>
  <c r="V425" i="20"/>
  <c r="AD425" i="20" s="1"/>
  <c r="T425" i="20"/>
  <c r="S425" i="20"/>
  <c r="X424" i="20"/>
  <c r="Y424" i="20" s="1"/>
  <c r="W424" i="20"/>
  <c r="V424" i="20"/>
  <c r="AD424" i="20" s="1"/>
  <c r="T424" i="20"/>
  <c r="S424" i="20"/>
  <c r="X423" i="20"/>
  <c r="Y423" i="20" s="1"/>
  <c r="W423" i="20"/>
  <c r="V423" i="20"/>
  <c r="AD423" i="20" s="1"/>
  <c r="T423" i="20"/>
  <c r="S423" i="20"/>
  <c r="X422" i="20"/>
  <c r="Y422" i="20" s="1"/>
  <c r="W422" i="20"/>
  <c r="V422" i="20"/>
  <c r="AD422" i="20" s="1"/>
  <c r="T422" i="20"/>
  <c r="S422" i="20"/>
  <c r="X421" i="20"/>
  <c r="Y421" i="20" s="1"/>
  <c r="W421" i="20"/>
  <c r="V421" i="20"/>
  <c r="AD421" i="20" s="1"/>
  <c r="AE421" i="20" s="1"/>
  <c r="T421" i="20"/>
  <c r="S421" i="20"/>
  <c r="X420" i="20"/>
  <c r="Y420" i="20" s="1"/>
  <c r="W420" i="20"/>
  <c r="V420" i="20"/>
  <c r="AD420" i="20" s="1"/>
  <c r="T420" i="20"/>
  <c r="S420" i="20"/>
  <c r="X419" i="20"/>
  <c r="Y419" i="20" s="1"/>
  <c r="AA419" i="20" s="1"/>
  <c r="Z419" i="20" s="1"/>
  <c r="W419" i="20"/>
  <c r="V419" i="20"/>
  <c r="AD419" i="20" s="1"/>
  <c r="T419" i="20"/>
  <c r="S419" i="20"/>
  <c r="X418" i="20"/>
  <c r="Y418" i="20" s="1"/>
  <c r="W418" i="20"/>
  <c r="V418" i="20"/>
  <c r="AD418" i="20" s="1"/>
  <c r="T418" i="20"/>
  <c r="S418" i="20"/>
  <c r="X417" i="20"/>
  <c r="Y417" i="20" s="1"/>
  <c r="W417" i="20"/>
  <c r="V417" i="20"/>
  <c r="AD417" i="20" s="1"/>
  <c r="T417" i="20"/>
  <c r="S417" i="20"/>
  <c r="X416" i="20"/>
  <c r="Y416" i="20" s="1"/>
  <c r="W416" i="20"/>
  <c r="V416" i="20"/>
  <c r="AD416" i="20" s="1"/>
  <c r="T416" i="20"/>
  <c r="S416" i="20"/>
  <c r="AD415" i="20"/>
  <c r="W415" i="20"/>
  <c r="T415" i="20"/>
  <c r="S415" i="20"/>
  <c r="X414" i="20"/>
  <c r="Y414" i="20" s="1"/>
  <c r="AH414" i="20" s="1"/>
  <c r="W414" i="20"/>
  <c r="V414" i="20"/>
  <c r="AD414" i="20" s="1"/>
  <c r="AI413" i="20"/>
  <c r="X413" i="20" s="1"/>
  <c r="Y413" i="20" s="1"/>
  <c r="AH413" i="20" s="1"/>
  <c r="W413" i="20"/>
  <c r="V413" i="20"/>
  <c r="AD413" i="20" s="1"/>
  <c r="AI412" i="20"/>
  <c r="X412" i="20"/>
  <c r="Y412" i="20" s="1"/>
  <c r="AH412" i="20" s="1"/>
  <c r="W412" i="20"/>
  <c r="V412" i="20"/>
  <c r="AD412" i="20" s="1"/>
  <c r="AB411" i="20"/>
  <c r="Z411" i="20"/>
  <c r="Y411" i="20"/>
  <c r="AH411" i="20" s="1"/>
  <c r="W411" i="20"/>
  <c r="V411" i="20"/>
  <c r="AD411" i="20" s="1"/>
  <c r="AI410" i="20"/>
  <c r="X410" i="20" s="1"/>
  <c r="Y410" i="20" s="1"/>
  <c r="AH410" i="20" s="1"/>
  <c r="W410" i="20"/>
  <c r="V410" i="20"/>
  <c r="AD410" i="20" s="1"/>
  <c r="X409" i="20"/>
  <c r="Y409" i="20" s="1"/>
  <c r="AH409" i="20" s="1"/>
  <c r="W409" i="20"/>
  <c r="V409" i="20"/>
  <c r="AD409" i="20" s="1"/>
  <c r="X408" i="20"/>
  <c r="Y408" i="20" s="1"/>
  <c r="AH408" i="20" s="1"/>
  <c r="W408" i="20"/>
  <c r="V408" i="20"/>
  <c r="AD408" i="20" s="1"/>
  <c r="AD407" i="20"/>
  <c r="W407" i="20"/>
  <c r="X406" i="20"/>
  <c r="Y406" i="20" s="1"/>
  <c r="W406" i="20"/>
  <c r="V406" i="20"/>
  <c r="AD406" i="20" s="1"/>
  <c r="T406" i="20"/>
  <c r="S406" i="20"/>
  <c r="X405" i="20"/>
  <c r="Y405" i="20" s="1"/>
  <c r="W405" i="20"/>
  <c r="V405" i="20"/>
  <c r="AD405" i="20" s="1"/>
  <c r="T405" i="20"/>
  <c r="S405" i="20"/>
  <c r="X404" i="20"/>
  <c r="Y404" i="20" s="1"/>
  <c r="W404" i="20"/>
  <c r="V404" i="20"/>
  <c r="AD404" i="20" s="1"/>
  <c r="T404" i="20"/>
  <c r="S404" i="20"/>
  <c r="X403" i="20"/>
  <c r="Y403" i="20" s="1"/>
  <c r="AH403" i="20" s="1"/>
  <c r="W403" i="20"/>
  <c r="V403" i="20"/>
  <c r="AD403" i="20" s="1"/>
  <c r="X402" i="20"/>
  <c r="Y402" i="20" s="1"/>
  <c r="AH402" i="20" s="1"/>
  <c r="W402" i="20"/>
  <c r="V402" i="20"/>
  <c r="AD402" i="20" s="1"/>
  <c r="X401" i="20"/>
  <c r="Y401" i="20" s="1"/>
  <c r="AH401" i="20" s="1"/>
  <c r="W401" i="20"/>
  <c r="V401" i="20"/>
  <c r="AD401" i="20" s="1"/>
  <c r="AI400" i="20"/>
  <c r="X400" i="20" s="1"/>
  <c r="Y400" i="20" s="1"/>
  <c r="AH400" i="20" s="1"/>
  <c r="W400" i="20"/>
  <c r="V400" i="20"/>
  <c r="AD400" i="20" s="1"/>
  <c r="AI399" i="20"/>
  <c r="X399" i="20" s="1"/>
  <c r="Y399" i="20" s="1"/>
  <c r="W399" i="20"/>
  <c r="V399" i="20"/>
  <c r="AD399" i="20" s="1"/>
  <c r="AI398" i="20"/>
  <c r="X398" i="20" s="1"/>
  <c r="Y398" i="20" s="1"/>
  <c r="AH398" i="20" s="1"/>
  <c r="W398" i="20"/>
  <c r="V398" i="20"/>
  <c r="AD398" i="20" s="1"/>
  <c r="AI397" i="20"/>
  <c r="X397" i="20"/>
  <c r="Y397" i="20" s="1"/>
  <c r="AH397" i="20" s="1"/>
  <c r="W397" i="20"/>
  <c r="V397" i="20"/>
  <c r="AD397" i="20" s="1"/>
  <c r="X396" i="20"/>
  <c r="Y396" i="20" s="1"/>
  <c r="AH396" i="20" s="1"/>
  <c r="W396" i="20"/>
  <c r="V396" i="20"/>
  <c r="AD396" i="20" s="1"/>
  <c r="AI395" i="20"/>
  <c r="AH395" i="20"/>
  <c r="X395" i="20"/>
  <c r="Y395" i="20" s="1"/>
  <c r="W395" i="20"/>
  <c r="V395" i="20"/>
  <c r="AD395" i="20" s="1"/>
  <c r="X394" i="20"/>
  <c r="Y394" i="20" s="1"/>
  <c r="AH394" i="20" s="1"/>
  <c r="W394" i="20"/>
  <c r="V394" i="20"/>
  <c r="AD394" i="20" s="1"/>
  <c r="AI393" i="20"/>
  <c r="X393" i="20"/>
  <c r="Y393" i="20" s="1"/>
  <c r="AH393" i="20" s="1"/>
  <c r="W393" i="20"/>
  <c r="V393" i="20"/>
  <c r="AD393" i="20" s="1"/>
  <c r="AI392" i="20"/>
  <c r="X392" i="20" s="1"/>
  <c r="Y392" i="20" s="1"/>
  <c r="AH392" i="20" s="1"/>
  <c r="W392" i="20"/>
  <c r="V392" i="20"/>
  <c r="AD392" i="20" s="1"/>
  <c r="X391" i="20"/>
  <c r="Y391" i="20" s="1"/>
  <c r="AH391" i="20" s="1"/>
  <c r="W391" i="20"/>
  <c r="V391" i="20"/>
  <c r="AD391" i="20" s="1"/>
  <c r="X390" i="20"/>
  <c r="Y390" i="20" s="1"/>
  <c r="AH390" i="20" s="1"/>
  <c r="W390" i="20"/>
  <c r="V390" i="20"/>
  <c r="AD390" i="20" s="1"/>
  <c r="X389" i="20"/>
  <c r="Y389" i="20" s="1"/>
  <c r="W389" i="20"/>
  <c r="V389" i="20"/>
  <c r="AD389" i="20" s="1"/>
  <c r="X388" i="20"/>
  <c r="Y388" i="20" s="1"/>
  <c r="W388" i="20"/>
  <c r="V388" i="20"/>
  <c r="AD388" i="20" s="1"/>
  <c r="AI387" i="20"/>
  <c r="X387" i="20"/>
  <c r="Y387" i="20" s="1"/>
  <c r="AH387" i="20" s="1"/>
  <c r="W387" i="20"/>
  <c r="V387" i="20"/>
  <c r="AD387" i="20" s="1"/>
  <c r="X386" i="20"/>
  <c r="Y386" i="20" s="1"/>
  <c r="W386" i="20"/>
  <c r="V386" i="20"/>
  <c r="AD386" i="20" s="1"/>
  <c r="X385" i="20"/>
  <c r="Y385" i="20" s="1"/>
  <c r="AH385" i="20" s="1"/>
  <c r="W385" i="20"/>
  <c r="V385" i="20"/>
  <c r="AD385" i="20" s="1"/>
  <c r="X384" i="20"/>
  <c r="Y384" i="20" s="1"/>
  <c r="W384" i="20"/>
  <c r="V384" i="20"/>
  <c r="AD384" i="20" s="1"/>
  <c r="X383" i="20"/>
  <c r="Y383" i="20" s="1"/>
  <c r="AH383" i="20" s="1"/>
  <c r="W383" i="20"/>
  <c r="V383" i="20"/>
  <c r="AD383" i="20" s="1"/>
  <c r="X382" i="20"/>
  <c r="Y382" i="20" s="1"/>
  <c r="AH382" i="20" s="1"/>
  <c r="W382" i="20"/>
  <c r="AE382" i="20" s="1"/>
  <c r="V382" i="20"/>
  <c r="AD382" i="20" s="1"/>
  <c r="X381" i="20"/>
  <c r="Y381" i="20" s="1"/>
  <c r="AH381" i="20" s="1"/>
  <c r="W381" i="20"/>
  <c r="V381" i="20"/>
  <c r="AD381" i="20" s="1"/>
  <c r="X380" i="20"/>
  <c r="Y380" i="20" s="1"/>
  <c r="AH380" i="20" s="1"/>
  <c r="W380" i="20"/>
  <c r="V380" i="20"/>
  <c r="AD380" i="20" s="1"/>
  <c r="X379" i="20"/>
  <c r="Y379" i="20" s="1"/>
  <c r="AH379" i="20" s="1"/>
  <c r="W379" i="20"/>
  <c r="V379" i="20"/>
  <c r="AD379" i="20" s="1"/>
  <c r="X378" i="20"/>
  <c r="Y378" i="20" s="1"/>
  <c r="W378" i="20"/>
  <c r="AE378" i="20" s="1"/>
  <c r="X377" i="20"/>
  <c r="Y377" i="20" s="1"/>
  <c r="W377" i="20"/>
  <c r="V377" i="20"/>
  <c r="AD377" i="20" s="1"/>
  <c r="X376" i="20"/>
  <c r="Y376" i="20" s="1"/>
  <c r="AH376" i="20" s="1"/>
  <c r="W376" i="20"/>
  <c r="V376" i="20"/>
  <c r="AD376" i="20" s="1"/>
  <c r="X375" i="20"/>
  <c r="Y375" i="20" s="1"/>
  <c r="AH375" i="20" s="1"/>
  <c r="W375" i="20"/>
  <c r="V375" i="20"/>
  <c r="AD375" i="20" s="1"/>
  <c r="AI374" i="20"/>
  <c r="X374" i="20" s="1"/>
  <c r="Y374" i="20" s="1"/>
  <c r="AH374" i="20" s="1"/>
  <c r="W374" i="20"/>
  <c r="V374" i="20"/>
  <c r="AD374" i="20" s="1"/>
  <c r="X373" i="20"/>
  <c r="Y373" i="20" s="1"/>
  <c r="W373" i="20"/>
  <c r="V373" i="20"/>
  <c r="AD373" i="20" s="1"/>
  <c r="X372" i="20"/>
  <c r="Y372" i="20" s="1"/>
  <c r="W372" i="20"/>
  <c r="V372" i="20"/>
  <c r="AD372" i="20" s="1"/>
  <c r="AI371" i="20"/>
  <c r="X371" i="20"/>
  <c r="Y371" i="20" s="1"/>
  <c r="AH371" i="20" s="1"/>
  <c r="W371" i="20"/>
  <c r="AE371" i="20" s="1"/>
  <c r="V371" i="20"/>
  <c r="AD371" i="20" s="1"/>
  <c r="AI370" i="20"/>
  <c r="X370" i="20"/>
  <c r="Y370" i="20" s="1"/>
  <c r="AH370" i="20" s="1"/>
  <c r="W370" i="20"/>
  <c r="V370" i="20"/>
  <c r="AD370" i="20" s="1"/>
  <c r="AI369" i="20"/>
  <c r="X369" i="20" s="1"/>
  <c r="Y369" i="20" s="1"/>
  <c r="W369" i="20"/>
  <c r="V369" i="20"/>
  <c r="AD369" i="20" s="1"/>
  <c r="AI368" i="20"/>
  <c r="X368" i="20" s="1"/>
  <c r="Y368" i="20" s="1"/>
  <c r="AH368" i="20" s="1"/>
  <c r="AD368" i="20"/>
  <c r="W368" i="20"/>
  <c r="V368" i="20"/>
  <c r="X367" i="20"/>
  <c r="Y367" i="20" s="1"/>
  <c r="AH367" i="20" s="1"/>
  <c r="W367" i="20"/>
  <c r="V367" i="20"/>
  <c r="AD367" i="20" s="1"/>
  <c r="X366" i="20"/>
  <c r="Y366" i="20" s="1"/>
  <c r="AH366" i="20" s="1"/>
  <c r="W366" i="20"/>
  <c r="X365" i="20"/>
  <c r="Y365" i="20" s="1"/>
  <c r="W365" i="20"/>
  <c r="V365" i="20"/>
  <c r="AD365" i="20" s="1"/>
  <c r="X364" i="20"/>
  <c r="Y364" i="20" s="1"/>
  <c r="AH364" i="20" s="1"/>
  <c r="W364" i="20"/>
  <c r="V364" i="20"/>
  <c r="AD364" i="20" s="1"/>
  <c r="X363" i="20"/>
  <c r="Y363" i="20" s="1"/>
  <c r="AH363" i="20" s="1"/>
  <c r="W363" i="20"/>
  <c r="V363" i="20"/>
  <c r="AD363" i="20" s="1"/>
  <c r="AD362" i="20"/>
  <c r="W362" i="20"/>
  <c r="X361" i="20"/>
  <c r="Y361" i="20" s="1"/>
  <c r="W361" i="20"/>
  <c r="V361" i="20"/>
  <c r="AD361" i="20" s="1"/>
  <c r="T361" i="20"/>
  <c r="S361" i="20"/>
  <c r="X360" i="20"/>
  <c r="Y360" i="20" s="1"/>
  <c r="W360" i="20"/>
  <c r="V360" i="20"/>
  <c r="AD360" i="20" s="1"/>
  <c r="T360" i="20"/>
  <c r="S360" i="20"/>
  <c r="X359" i="20"/>
  <c r="Y359" i="20" s="1"/>
  <c r="W359" i="20"/>
  <c r="V359" i="20"/>
  <c r="AD359" i="20" s="1"/>
  <c r="T359" i="20"/>
  <c r="S359" i="20"/>
  <c r="X358" i="20"/>
  <c r="Y358" i="20" s="1"/>
  <c r="W358" i="20"/>
  <c r="V358" i="20"/>
  <c r="AD358" i="20" s="1"/>
  <c r="T358" i="20"/>
  <c r="S358" i="20"/>
  <c r="X357" i="20"/>
  <c r="Y357" i="20" s="1"/>
  <c r="W357" i="20"/>
  <c r="V357" i="20"/>
  <c r="AD357" i="20" s="1"/>
  <c r="T357" i="20"/>
  <c r="S357" i="20"/>
  <c r="X356" i="20"/>
  <c r="Y356" i="20" s="1"/>
  <c r="W356" i="20"/>
  <c r="V356" i="20"/>
  <c r="AD356" i="20" s="1"/>
  <c r="T356" i="20"/>
  <c r="S356" i="20"/>
  <c r="X355" i="20"/>
  <c r="Y355" i="20" s="1"/>
  <c r="W355" i="20"/>
  <c r="V355" i="20"/>
  <c r="AD355" i="20" s="1"/>
  <c r="T355" i="20"/>
  <c r="S355" i="20"/>
  <c r="X354" i="20"/>
  <c r="Y354" i="20" s="1"/>
  <c r="W354" i="20"/>
  <c r="V354" i="20"/>
  <c r="AD354" i="20" s="1"/>
  <c r="T354" i="20"/>
  <c r="S354" i="20"/>
  <c r="X353" i="20"/>
  <c r="Y353" i="20" s="1"/>
  <c r="W353" i="20"/>
  <c r="V353" i="20"/>
  <c r="AD353" i="20" s="1"/>
  <c r="T353" i="20"/>
  <c r="S353" i="20"/>
  <c r="AI352" i="20"/>
  <c r="X352" i="20" s="1"/>
  <c r="Y352" i="20" s="1"/>
  <c r="AH352" i="20" s="1"/>
  <c r="W352" i="20"/>
  <c r="V352" i="20"/>
  <c r="AD352" i="20" s="1"/>
  <c r="X351" i="20"/>
  <c r="Y351" i="20" s="1"/>
  <c r="AH351" i="20" s="1"/>
  <c r="W351" i="20"/>
  <c r="V351" i="20"/>
  <c r="AD351" i="20" s="1"/>
  <c r="AI350" i="20"/>
  <c r="X350" i="20"/>
  <c r="Y350" i="20" s="1"/>
  <c r="W350" i="20"/>
  <c r="V350" i="20"/>
  <c r="AD350" i="20" s="1"/>
  <c r="X349" i="20"/>
  <c r="Y349" i="20" s="1"/>
  <c r="AH349" i="20" s="1"/>
  <c r="W349" i="20"/>
  <c r="V349" i="20"/>
  <c r="AD349" i="20" s="1"/>
  <c r="X348" i="20"/>
  <c r="Y348" i="20" s="1"/>
  <c r="W348" i="20"/>
  <c r="V348" i="20"/>
  <c r="AD348" i="20" s="1"/>
  <c r="X347" i="20"/>
  <c r="Y347" i="20" s="1"/>
  <c r="W347" i="20"/>
  <c r="V347" i="20"/>
  <c r="AD347" i="20" s="1"/>
  <c r="AE347" i="20" s="1"/>
  <c r="X346" i="20"/>
  <c r="Y346" i="20" s="1"/>
  <c r="W346" i="20"/>
  <c r="V346" i="20"/>
  <c r="AD346" i="20" s="1"/>
  <c r="X345" i="20"/>
  <c r="Y345" i="20" s="1"/>
  <c r="AH345" i="20" s="1"/>
  <c r="W345" i="20"/>
  <c r="V345" i="20"/>
  <c r="AD345" i="20" s="1"/>
  <c r="X344" i="20"/>
  <c r="Y344" i="20" s="1"/>
  <c r="W344" i="20"/>
  <c r="V344" i="20"/>
  <c r="AD344" i="20" s="1"/>
  <c r="X343" i="20"/>
  <c r="Y343" i="20" s="1"/>
  <c r="W343" i="20"/>
  <c r="V343" i="20"/>
  <c r="AD343" i="20" s="1"/>
  <c r="AE343" i="20" s="1"/>
  <c r="X342" i="20"/>
  <c r="Y342" i="20" s="1"/>
  <c r="W342" i="20"/>
  <c r="V342" i="20"/>
  <c r="AD342" i="20" s="1"/>
  <c r="X341" i="20"/>
  <c r="Y341" i="20" s="1"/>
  <c r="W341" i="20"/>
  <c r="AE341" i="20" s="1"/>
  <c r="V341" i="20"/>
  <c r="AD341" i="20" s="1"/>
  <c r="X340" i="20"/>
  <c r="Y340" i="20" s="1"/>
  <c r="W340" i="20"/>
  <c r="V340" i="20"/>
  <c r="AD340" i="20" s="1"/>
  <c r="X339" i="20"/>
  <c r="Y339" i="20" s="1"/>
  <c r="AH339" i="20" s="1"/>
  <c r="W339" i="20"/>
  <c r="V339" i="20"/>
  <c r="AD339" i="20" s="1"/>
  <c r="X338" i="20"/>
  <c r="Y338" i="20" s="1"/>
  <c r="W338" i="20"/>
  <c r="V338" i="20"/>
  <c r="AD338" i="20" s="1"/>
  <c r="X337" i="20"/>
  <c r="Y337" i="20" s="1"/>
  <c r="W337" i="20"/>
  <c r="V337" i="20"/>
  <c r="AD337" i="20" s="1"/>
  <c r="X336" i="20"/>
  <c r="Y336" i="20" s="1"/>
  <c r="W336" i="20"/>
  <c r="V336" i="20"/>
  <c r="AD336" i="20" s="1"/>
  <c r="AE336" i="20" s="1"/>
  <c r="X335" i="20"/>
  <c r="Y335" i="20" s="1"/>
  <c r="W335" i="20"/>
  <c r="V335" i="20"/>
  <c r="AD335" i="20" s="1"/>
  <c r="X334" i="20"/>
  <c r="Y334" i="20" s="1"/>
  <c r="W334" i="20"/>
  <c r="V334" i="20"/>
  <c r="AD334" i="20" s="1"/>
  <c r="X333" i="20"/>
  <c r="Y333" i="20" s="1"/>
  <c r="W333" i="20"/>
  <c r="V333" i="20"/>
  <c r="AD333" i="20" s="1"/>
  <c r="X332" i="20"/>
  <c r="Y332" i="20" s="1"/>
  <c r="AH332" i="20" s="1"/>
  <c r="W332" i="20"/>
  <c r="V332" i="20"/>
  <c r="AD332" i="20" s="1"/>
  <c r="X331" i="20"/>
  <c r="Y331" i="20" s="1"/>
  <c r="W331" i="20"/>
  <c r="V331" i="20"/>
  <c r="AD331" i="20" s="1"/>
  <c r="X330" i="20"/>
  <c r="Y330" i="20" s="1"/>
  <c r="AH330" i="20" s="1"/>
  <c r="W330" i="20"/>
  <c r="V330" i="20"/>
  <c r="AD330" i="20" s="1"/>
  <c r="X329" i="20"/>
  <c r="Y329" i="20" s="1"/>
  <c r="W329" i="20"/>
  <c r="V329" i="20"/>
  <c r="AD329" i="20" s="1"/>
  <c r="AI328" i="20"/>
  <c r="X328" i="20" s="1"/>
  <c r="Y328" i="20" s="1"/>
  <c r="AH328" i="20" s="1"/>
  <c r="W328" i="20"/>
  <c r="V328" i="20"/>
  <c r="AD328" i="20" s="1"/>
  <c r="X327" i="20"/>
  <c r="Y327" i="20" s="1"/>
  <c r="W327" i="20"/>
  <c r="V327" i="20"/>
  <c r="AD327" i="20" s="1"/>
  <c r="X326" i="20"/>
  <c r="Y326" i="20" s="1"/>
  <c r="AD326" i="20"/>
  <c r="W326" i="20"/>
  <c r="V326" i="20"/>
  <c r="X325" i="20"/>
  <c r="Y325" i="20" s="1"/>
  <c r="W325" i="20"/>
  <c r="V325" i="20"/>
  <c r="AD325" i="20" s="1"/>
  <c r="X324" i="20"/>
  <c r="Y324" i="20" s="1"/>
  <c r="AH324" i="20" s="1"/>
  <c r="W324" i="20"/>
  <c r="V324" i="20"/>
  <c r="AD324" i="20" s="1"/>
  <c r="X323" i="20"/>
  <c r="Y323" i="20" s="1"/>
  <c r="W323" i="20"/>
  <c r="V323" i="20"/>
  <c r="AD323" i="20" s="1"/>
  <c r="AI322" i="20"/>
  <c r="X322" i="20"/>
  <c r="Y322" i="20" s="1"/>
  <c r="AH322" i="20" s="1"/>
  <c r="W322" i="20"/>
  <c r="V322" i="20"/>
  <c r="AD322" i="20" s="1"/>
  <c r="X321" i="20"/>
  <c r="Y321" i="20" s="1"/>
  <c r="W321" i="20"/>
  <c r="V321" i="20"/>
  <c r="AD321" i="20" s="1"/>
  <c r="X320" i="20"/>
  <c r="Y320" i="20" s="1"/>
  <c r="AH320" i="20" s="1"/>
  <c r="W320" i="20"/>
  <c r="V320" i="20"/>
  <c r="AD320" i="20" s="1"/>
  <c r="AI319" i="20"/>
  <c r="X319" i="20"/>
  <c r="Y319" i="20" s="1"/>
  <c r="AH319" i="20" s="1"/>
  <c r="W319" i="20"/>
  <c r="V319" i="20"/>
  <c r="AD319" i="20" s="1"/>
  <c r="AI318" i="20"/>
  <c r="X318" i="20" s="1"/>
  <c r="Y318" i="20" s="1"/>
  <c r="AH318" i="20" s="1"/>
  <c r="W318" i="20"/>
  <c r="V318" i="20"/>
  <c r="AD318" i="20" s="1"/>
  <c r="X317" i="20"/>
  <c r="Y317" i="20" s="1"/>
  <c r="AH317" i="20" s="1"/>
  <c r="W317" i="20"/>
  <c r="V317" i="20"/>
  <c r="AD317" i="20" s="1"/>
  <c r="X316" i="20"/>
  <c r="Y316" i="20" s="1"/>
  <c r="AH316" i="20" s="1"/>
  <c r="W316" i="20"/>
  <c r="V316" i="20"/>
  <c r="AD316" i="20" s="1"/>
  <c r="X315" i="20"/>
  <c r="Y315" i="20" s="1"/>
  <c r="W315" i="20"/>
  <c r="V315" i="20"/>
  <c r="AD315" i="20" s="1"/>
  <c r="X314" i="20"/>
  <c r="Y314" i="20" s="1"/>
  <c r="AH314" i="20" s="1"/>
  <c r="W314" i="20"/>
  <c r="V314" i="20"/>
  <c r="AD314" i="20" s="1"/>
  <c r="X313" i="20"/>
  <c r="Y313" i="20" s="1"/>
  <c r="W313" i="20"/>
  <c r="V313" i="20"/>
  <c r="AD313" i="20" s="1"/>
  <c r="X312" i="20"/>
  <c r="Y312" i="20" s="1"/>
  <c r="W312" i="20"/>
  <c r="V312" i="20"/>
  <c r="AD312" i="20" s="1"/>
  <c r="X311" i="20"/>
  <c r="Y311" i="20" s="1"/>
  <c r="W311" i="20"/>
  <c r="V311" i="20"/>
  <c r="AD311" i="20" s="1"/>
  <c r="X310" i="20"/>
  <c r="Y310" i="20" s="1"/>
  <c r="W310" i="20"/>
  <c r="V310" i="20"/>
  <c r="AD310" i="20" s="1"/>
  <c r="X309" i="20"/>
  <c r="Y309" i="20" s="1"/>
  <c r="W309" i="20"/>
  <c r="V309" i="20"/>
  <c r="AD309" i="20" s="1"/>
  <c r="X308" i="20"/>
  <c r="Y308" i="20" s="1"/>
  <c r="AH308" i="20" s="1"/>
  <c r="W308" i="20"/>
  <c r="V308" i="20"/>
  <c r="AD308" i="20" s="1"/>
  <c r="AD307" i="20"/>
  <c r="X307" i="20"/>
  <c r="Y307" i="20" s="1"/>
  <c r="W307" i="20"/>
  <c r="V307" i="20"/>
  <c r="X306" i="20"/>
  <c r="Y306" i="20" s="1"/>
  <c r="AH306" i="20" s="1"/>
  <c r="W306" i="20"/>
  <c r="V306" i="20"/>
  <c r="AD306" i="20" s="1"/>
  <c r="X305" i="20"/>
  <c r="Y305" i="20" s="1"/>
  <c r="AH305" i="20" s="1"/>
  <c r="W305" i="20"/>
  <c r="V305" i="20"/>
  <c r="AD305" i="20" s="1"/>
  <c r="X304" i="20"/>
  <c r="Y304" i="20" s="1"/>
  <c r="W304" i="20"/>
  <c r="V304" i="20"/>
  <c r="AD304" i="20" s="1"/>
  <c r="X303" i="20"/>
  <c r="Y303" i="20" s="1"/>
  <c r="AH303" i="20" s="1"/>
  <c r="W303" i="20"/>
  <c r="V303" i="20"/>
  <c r="AD303" i="20" s="1"/>
  <c r="X302" i="20"/>
  <c r="Y302" i="20" s="1"/>
  <c r="AH302" i="20" s="1"/>
  <c r="W302" i="20"/>
  <c r="V302" i="20"/>
  <c r="AD302" i="20" s="1"/>
  <c r="X301" i="20"/>
  <c r="Y301" i="20" s="1"/>
  <c r="AH301" i="20" s="1"/>
  <c r="W301" i="20"/>
  <c r="V301" i="20"/>
  <c r="AD301" i="20" s="1"/>
  <c r="X300" i="20"/>
  <c r="Y300" i="20" s="1"/>
  <c r="AH300" i="20" s="1"/>
  <c r="W300" i="20"/>
  <c r="V300" i="20"/>
  <c r="AD300" i="20" s="1"/>
  <c r="X299" i="20"/>
  <c r="Y299" i="20" s="1"/>
  <c r="W299" i="20"/>
  <c r="AE299" i="20" s="1"/>
  <c r="V299" i="20"/>
  <c r="AD299" i="20" s="1"/>
  <c r="X298" i="20"/>
  <c r="Y298" i="20" s="1"/>
  <c r="AH298" i="20" s="1"/>
  <c r="W298" i="20"/>
  <c r="V298" i="20"/>
  <c r="AD298" i="20" s="1"/>
  <c r="X297" i="20"/>
  <c r="Y297" i="20" s="1"/>
  <c r="AH297" i="20" s="1"/>
  <c r="W297" i="20"/>
  <c r="V297" i="20"/>
  <c r="AD297" i="20" s="1"/>
  <c r="X296" i="20"/>
  <c r="Y296" i="20" s="1"/>
  <c r="W296" i="20"/>
  <c r="V296" i="20"/>
  <c r="AD296" i="20" s="1"/>
  <c r="X295" i="20"/>
  <c r="Y295" i="20" s="1"/>
  <c r="AH295" i="20" s="1"/>
  <c r="W295" i="20"/>
  <c r="V295" i="20"/>
  <c r="AD295" i="20" s="1"/>
  <c r="X294" i="20"/>
  <c r="Y294" i="20" s="1"/>
  <c r="W294" i="20"/>
  <c r="V294" i="20"/>
  <c r="AD294" i="20" s="1"/>
  <c r="X293" i="20"/>
  <c r="Y293" i="20" s="1"/>
  <c r="AH293" i="20" s="1"/>
  <c r="W293" i="20"/>
  <c r="V293" i="20"/>
  <c r="AD293" i="20" s="1"/>
  <c r="X292" i="20"/>
  <c r="Y292" i="20" s="1"/>
  <c r="W292" i="20"/>
  <c r="V292" i="20"/>
  <c r="AD292" i="20" s="1"/>
  <c r="X291" i="20"/>
  <c r="Y291" i="20" s="1"/>
  <c r="AH291" i="20" s="1"/>
  <c r="W291" i="20"/>
  <c r="V291" i="20"/>
  <c r="AD291" i="20" s="1"/>
  <c r="AD290" i="20"/>
  <c r="X290" i="20"/>
  <c r="Y290" i="20" s="1"/>
  <c r="W290" i="20"/>
  <c r="V290" i="20"/>
  <c r="X289" i="20"/>
  <c r="Y289" i="20" s="1"/>
  <c r="AH289" i="20" s="1"/>
  <c r="W289" i="20"/>
  <c r="V289" i="20"/>
  <c r="AD289" i="20" s="1"/>
  <c r="AI288" i="20"/>
  <c r="X288" i="20" s="1"/>
  <c r="Y288" i="20" s="1"/>
  <c r="AH288" i="20" s="1"/>
  <c r="W288" i="20"/>
  <c r="V288" i="20"/>
  <c r="AD288" i="20" s="1"/>
  <c r="X287" i="20"/>
  <c r="Y287" i="20" s="1"/>
  <c r="AH287" i="20" s="1"/>
  <c r="W287" i="20"/>
  <c r="V287" i="20"/>
  <c r="AD287" i="20" s="1"/>
  <c r="X286" i="20"/>
  <c r="Y286" i="20" s="1"/>
  <c r="AH286" i="20" s="1"/>
  <c r="W286" i="20"/>
  <c r="V286" i="20"/>
  <c r="AD286" i="20" s="1"/>
  <c r="X285" i="20"/>
  <c r="Y285" i="20" s="1"/>
  <c r="AH285" i="20" s="1"/>
  <c r="W285" i="20"/>
  <c r="V285" i="20"/>
  <c r="AD285" i="20" s="1"/>
  <c r="X284" i="20"/>
  <c r="Y284" i="20" s="1"/>
  <c r="AH284" i="20" s="1"/>
  <c r="W284" i="20"/>
  <c r="V284" i="20"/>
  <c r="AD284" i="20" s="1"/>
  <c r="X283" i="20"/>
  <c r="Y283" i="20" s="1"/>
  <c r="AH283" i="20" s="1"/>
  <c r="W283" i="20"/>
  <c r="V283" i="20"/>
  <c r="AD283" i="20" s="1"/>
  <c r="X282" i="20"/>
  <c r="Y282" i="20" s="1"/>
  <c r="AH282" i="20" s="1"/>
  <c r="W282" i="20"/>
  <c r="V282" i="20"/>
  <c r="AD282" i="20" s="1"/>
  <c r="X281" i="20"/>
  <c r="Y281" i="20" s="1"/>
  <c r="W281" i="20"/>
  <c r="V281" i="20"/>
  <c r="AD281" i="20" s="1"/>
  <c r="X280" i="20"/>
  <c r="Y280" i="20" s="1"/>
  <c r="AH280" i="20" s="1"/>
  <c r="W280" i="20"/>
  <c r="V280" i="20"/>
  <c r="AD280" i="20" s="1"/>
  <c r="X279" i="20"/>
  <c r="Y279" i="20" s="1"/>
  <c r="AH279" i="20" s="1"/>
  <c r="W279" i="20"/>
  <c r="V279" i="20"/>
  <c r="AD279" i="20" s="1"/>
  <c r="X278" i="20"/>
  <c r="Y278" i="20" s="1"/>
  <c r="AH278" i="20" s="1"/>
  <c r="W278" i="20"/>
  <c r="V278" i="20"/>
  <c r="AD278" i="20" s="1"/>
  <c r="AI277" i="20"/>
  <c r="X277" i="20"/>
  <c r="Y277" i="20" s="1"/>
  <c r="AH277" i="20" s="1"/>
  <c r="W277" i="20"/>
  <c r="V277" i="20"/>
  <c r="AD277" i="20" s="1"/>
  <c r="X276" i="20"/>
  <c r="Y276" i="20" s="1"/>
  <c r="AH276" i="20" s="1"/>
  <c r="W276" i="20"/>
  <c r="V276" i="20"/>
  <c r="AD276" i="20" s="1"/>
  <c r="X275" i="20"/>
  <c r="Y275" i="20" s="1"/>
  <c r="AH275" i="20" s="1"/>
  <c r="W275" i="20"/>
  <c r="V275" i="20"/>
  <c r="AD275" i="20" s="1"/>
  <c r="X274" i="20"/>
  <c r="Y274" i="20" s="1"/>
  <c r="W274" i="20"/>
  <c r="V274" i="20"/>
  <c r="AD274" i="20" s="1"/>
  <c r="AE274" i="20" s="1"/>
  <c r="X273" i="20"/>
  <c r="Y273" i="20" s="1"/>
  <c r="AH273" i="20" s="1"/>
  <c r="W273" i="20"/>
  <c r="V273" i="20"/>
  <c r="AD273" i="20" s="1"/>
  <c r="X272" i="20"/>
  <c r="Y272" i="20" s="1"/>
  <c r="AH272" i="20" s="1"/>
  <c r="W272" i="20"/>
  <c r="V272" i="20"/>
  <c r="AD272" i="20" s="1"/>
  <c r="X271" i="20"/>
  <c r="Y271" i="20" s="1"/>
  <c r="W271" i="20"/>
  <c r="V271" i="20"/>
  <c r="AD271" i="20" s="1"/>
  <c r="X270" i="20"/>
  <c r="Y270" i="20" s="1"/>
  <c r="AH270" i="20" s="1"/>
  <c r="W270" i="20"/>
  <c r="V270" i="20"/>
  <c r="AD270" i="20" s="1"/>
  <c r="X269" i="20"/>
  <c r="Y269" i="20" s="1"/>
  <c r="AH269" i="20" s="1"/>
  <c r="W269" i="20"/>
  <c r="V269" i="20"/>
  <c r="AD269" i="20" s="1"/>
  <c r="X268" i="20"/>
  <c r="Y268" i="20" s="1"/>
  <c r="AH268" i="20" s="1"/>
  <c r="W268" i="20"/>
  <c r="V268" i="20"/>
  <c r="AD268" i="20" s="1"/>
  <c r="X267" i="20"/>
  <c r="Y267" i="20" s="1"/>
  <c r="AH267" i="20" s="1"/>
  <c r="W267" i="20"/>
  <c r="V267" i="20"/>
  <c r="AD267" i="20" s="1"/>
  <c r="X266" i="20"/>
  <c r="Y266" i="20" s="1"/>
  <c r="AH266" i="20" s="1"/>
  <c r="W266" i="20"/>
  <c r="V266" i="20"/>
  <c r="AD266" i="20" s="1"/>
  <c r="X265" i="20"/>
  <c r="Y265" i="20" s="1"/>
  <c r="AH265" i="20" s="1"/>
  <c r="W265" i="20"/>
  <c r="V265" i="20"/>
  <c r="AD265" i="20" s="1"/>
  <c r="AI264" i="20"/>
  <c r="AD264" i="20"/>
  <c r="X264" i="20"/>
  <c r="Y264" i="20" s="1"/>
  <c r="AH264" i="20" s="1"/>
  <c r="W264" i="20"/>
  <c r="V264" i="20"/>
  <c r="AD263" i="20"/>
  <c r="W263" i="20"/>
  <c r="X262" i="20"/>
  <c r="Y262" i="20" s="1"/>
  <c r="W262" i="20"/>
  <c r="V262" i="20"/>
  <c r="AD262" i="20" s="1"/>
  <c r="T262" i="20"/>
  <c r="S262" i="20"/>
  <c r="X261" i="20"/>
  <c r="Y261" i="20" s="1"/>
  <c r="W261" i="20"/>
  <c r="V261" i="20"/>
  <c r="AD261" i="20" s="1"/>
  <c r="T261" i="20"/>
  <c r="S261" i="20"/>
  <c r="X260" i="20"/>
  <c r="Y260" i="20" s="1"/>
  <c r="W260" i="20"/>
  <c r="V260" i="20"/>
  <c r="AD260" i="20" s="1"/>
  <c r="T260" i="20"/>
  <c r="S260" i="20"/>
  <c r="AI259" i="20"/>
  <c r="X259" i="20"/>
  <c r="Y259" i="20" s="1"/>
  <c r="W259" i="20"/>
  <c r="V259" i="20"/>
  <c r="AD259" i="20" s="1"/>
  <c r="T259" i="20"/>
  <c r="S259" i="20"/>
  <c r="X258" i="20"/>
  <c r="Y258" i="20" s="1"/>
  <c r="AH258" i="20" s="1"/>
  <c r="W258" i="20"/>
  <c r="V258" i="20"/>
  <c r="AD258" i="20" s="1"/>
  <c r="AI257" i="20"/>
  <c r="X257" i="20" s="1"/>
  <c r="Y257" i="20" s="1"/>
  <c r="AH257" i="20" s="1"/>
  <c r="W257" i="20"/>
  <c r="V257" i="20"/>
  <c r="AD257" i="20" s="1"/>
  <c r="AI256" i="20"/>
  <c r="X256" i="20"/>
  <c r="Y256" i="20" s="1"/>
  <c r="W256" i="20"/>
  <c r="V256" i="20"/>
  <c r="AD256" i="20" s="1"/>
  <c r="AE256" i="20" s="1"/>
  <c r="AI255" i="20"/>
  <c r="X255" i="20"/>
  <c r="Y255" i="20" s="1"/>
  <c r="W255" i="20"/>
  <c r="V255" i="20"/>
  <c r="AD255" i="20" s="1"/>
  <c r="X254" i="20"/>
  <c r="Y254" i="20" s="1"/>
  <c r="AH254" i="20" s="1"/>
  <c r="W254" i="20"/>
  <c r="AI253" i="20"/>
  <c r="X253" i="20" s="1"/>
  <c r="Y253" i="20" s="1"/>
  <c r="AH253" i="20" s="1"/>
  <c r="W253" i="20"/>
  <c r="V253" i="20"/>
  <c r="AD253" i="20" s="1"/>
  <c r="AI252" i="20"/>
  <c r="X252" i="20" s="1"/>
  <c r="Y252" i="20" s="1"/>
  <c r="AH252" i="20" s="1"/>
  <c r="W252" i="20"/>
  <c r="V252" i="20"/>
  <c r="AD252" i="20" s="1"/>
  <c r="AI251" i="20"/>
  <c r="X251" i="20"/>
  <c r="Y251" i="20" s="1"/>
  <c r="W251" i="20"/>
  <c r="V251" i="20"/>
  <c r="AD251" i="20" s="1"/>
  <c r="AE251" i="20" s="1"/>
  <c r="W250" i="20"/>
  <c r="V250" i="20"/>
  <c r="AD250" i="20" s="1"/>
  <c r="AI249" i="20"/>
  <c r="X249" i="20" s="1"/>
  <c r="Y249" i="20" s="1"/>
  <c r="AH249" i="20" s="1"/>
  <c r="W249" i="20"/>
  <c r="V249" i="20"/>
  <c r="AD249" i="20" s="1"/>
  <c r="AI248" i="20"/>
  <c r="W248" i="20"/>
  <c r="V248" i="20"/>
  <c r="AD248" i="20" s="1"/>
  <c r="AI247" i="20"/>
  <c r="X247" i="20" s="1"/>
  <c r="Y247" i="20" s="1"/>
  <c r="W247" i="20"/>
  <c r="V247" i="20"/>
  <c r="AD247" i="20" s="1"/>
  <c r="AI246" i="20"/>
  <c r="X246" i="20" s="1"/>
  <c r="Y246" i="20" s="1"/>
  <c r="AH246" i="20" s="1"/>
  <c r="W246" i="20"/>
  <c r="V246" i="20"/>
  <c r="AD246" i="20" s="1"/>
  <c r="AI245" i="20"/>
  <c r="X245" i="20" s="1"/>
  <c r="Y245" i="20" s="1"/>
  <c r="AH245" i="20" s="1"/>
  <c r="W245" i="20"/>
  <c r="V245" i="20"/>
  <c r="AD245" i="20" s="1"/>
  <c r="AI244" i="20"/>
  <c r="X244" i="20" s="1"/>
  <c r="Y244" i="20" s="1"/>
  <c r="W244" i="20"/>
  <c r="V244" i="20"/>
  <c r="AD244" i="20" s="1"/>
  <c r="X243" i="20"/>
  <c r="Y243" i="20" s="1"/>
  <c r="W243" i="20"/>
  <c r="V243" i="20"/>
  <c r="AD243" i="20" s="1"/>
  <c r="AD242" i="20"/>
  <c r="W242" i="20"/>
  <c r="AI241" i="20"/>
  <c r="X241" i="20"/>
  <c r="Y241" i="20" s="1"/>
  <c r="W241" i="20"/>
  <c r="V241" i="20"/>
  <c r="AD241" i="20" s="1"/>
  <c r="T241" i="20"/>
  <c r="S241" i="20"/>
  <c r="AE240" i="20"/>
  <c r="X240" i="20"/>
  <c r="Y240" i="20" s="1"/>
  <c r="AH240" i="20" s="1"/>
  <c r="W240" i="20"/>
  <c r="V240" i="20"/>
  <c r="AD240" i="20" s="1"/>
  <c r="AE239" i="20"/>
  <c r="X239" i="20"/>
  <c r="Y239" i="20" s="1"/>
  <c r="W239" i="20"/>
  <c r="V239" i="20"/>
  <c r="AD239" i="20" s="1"/>
  <c r="AI238" i="20"/>
  <c r="X238" i="20" s="1"/>
  <c r="Y238" i="20" s="1"/>
  <c r="AA238" i="20" s="1"/>
  <c r="Z238" i="20" s="1"/>
  <c r="W238" i="20"/>
  <c r="V238" i="20"/>
  <c r="AD238" i="20" s="1"/>
  <c r="AI237" i="20"/>
  <c r="X237" i="20"/>
  <c r="Y237" i="20" s="1"/>
  <c r="AH237" i="20" s="1"/>
  <c r="W237" i="20"/>
  <c r="V237" i="20"/>
  <c r="AD237" i="20" s="1"/>
  <c r="AI236" i="20"/>
  <c r="X236" i="20"/>
  <c r="Y236" i="20" s="1"/>
  <c r="AH236" i="20" s="1"/>
  <c r="W236" i="20"/>
  <c r="V236" i="20"/>
  <c r="AD236" i="20" s="1"/>
  <c r="AI235" i="20"/>
  <c r="X235" i="20" s="1"/>
  <c r="Y235" i="20" s="1"/>
  <c r="AH235" i="20" s="1"/>
  <c r="AD235" i="20"/>
  <c r="AE235" i="20" s="1"/>
  <c r="W235" i="20"/>
  <c r="V235" i="20"/>
  <c r="AI234" i="20"/>
  <c r="X234" i="20" s="1"/>
  <c r="Y234" i="20" s="1"/>
  <c r="AH234" i="20"/>
  <c r="W234" i="20"/>
  <c r="V234" i="20"/>
  <c r="AD234" i="20" s="1"/>
  <c r="AI233" i="20"/>
  <c r="X233" i="20" s="1"/>
  <c r="Y233" i="20" s="1"/>
  <c r="W233" i="20"/>
  <c r="AE233" i="20" s="1"/>
  <c r="V233" i="20"/>
  <c r="AD233" i="20" s="1"/>
  <c r="X232" i="20"/>
  <c r="Y232" i="20" s="1"/>
  <c r="AH232" i="20" s="1"/>
  <c r="W232" i="20"/>
  <c r="V232" i="20"/>
  <c r="AD232" i="20" s="1"/>
  <c r="X231" i="20"/>
  <c r="Y231" i="20" s="1"/>
  <c r="AH231" i="20" s="1"/>
  <c r="W231" i="20"/>
  <c r="V231" i="20"/>
  <c r="AD231" i="20" s="1"/>
  <c r="AI230" i="20"/>
  <c r="X230" i="20"/>
  <c r="Y230" i="20" s="1"/>
  <c r="AH230" i="20" s="1"/>
  <c r="W230" i="20"/>
  <c r="V230" i="20"/>
  <c r="AD230" i="20" s="1"/>
  <c r="X229" i="20"/>
  <c r="Y229" i="20" s="1"/>
  <c r="AH229" i="20" s="1"/>
  <c r="W229" i="20"/>
  <c r="V229" i="20"/>
  <c r="AD229" i="20" s="1"/>
  <c r="AE229" i="20" s="1"/>
  <c r="X228" i="20"/>
  <c r="Y228" i="20" s="1"/>
  <c r="AH228" i="20" s="1"/>
  <c r="W228" i="20"/>
  <c r="V228" i="20"/>
  <c r="AD228" i="20" s="1"/>
  <c r="AM227" i="20"/>
  <c r="W227" i="20"/>
  <c r="V227" i="20"/>
  <c r="AD227" i="20" s="1"/>
  <c r="X226" i="20"/>
  <c r="Y226" i="20" s="1"/>
  <c r="W226" i="20"/>
  <c r="V226" i="20"/>
  <c r="AD226" i="20" s="1"/>
  <c r="AI225" i="20"/>
  <c r="X225" i="20" s="1"/>
  <c r="Y225" i="20" s="1"/>
  <c r="AH225" i="20" s="1"/>
  <c r="W225" i="20"/>
  <c r="V225" i="20"/>
  <c r="AD225" i="20" s="1"/>
  <c r="AI224" i="20"/>
  <c r="Y224" i="20"/>
  <c r="AH224" i="20" s="1"/>
  <c r="W224" i="20"/>
  <c r="V224" i="20"/>
  <c r="AD224" i="20" s="1"/>
  <c r="AD223" i="20"/>
  <c r="W223" i="20"/>
  <c r="X222" i="20"/>
  <c r="Y222" i="20" s="1"/>
  <c r="W222" i="20"/>
  <c r="V222" i="20"/>
  <c r="AD222" i="20" s="1"/>
  <c r="T222" i="20"/>
  <c r="S222" i="20"/>
  <c r="X221" i="20"/>
  <c r="Y221" i="20" s="1"/>
  <c r="W221" i="20"/>
  <c r="V221" i="20"/>
  <c r="AD221" i="20" s="1"/>
  <c r="T221" i="20"/>
  <c r="S221" i="20"/>
  <c r="X220" i="20"/>
  <c r="Y220" i="20" s="1"/>
  <c r="W220" i="20"/>
  <c r="V220" i="20"/>
  <c r="AD220" i="20" s="1"/>
  <c r="T220" i="20"/>
  <c r="S220" i="20"/>
  <c r="X219" i="20"/>
  <c r="Y219" i="20" s="1"/>
  <c r="W219" i="20"/>
  <c r="V219" i="20"/>
  <c r="AD219" i="20" s="1"/>
  <c r="T219" i="20"/>
  <c r="S219" i="20"/>
  <c r="X218" i="20"/>
  <c r="Y218" i="20" s="1"/>
  <c r="W218" i="20"/>
  <c r="V218" i="20"/>
  <c r="AD218" i="20" s="1"/>
  <c r="T218" i="20"/>
  <c r="S218" i="20"/>
  <c r="X217" i="20"/>
  <c r="Y217" i="20" s="1"/>
  <c r="AH217" i="20" s="1"/>
  <c r="W217" i="20"/>
  <c r="V217" i="20"/>
  <c r="AD217" i="20" s="1"/>
  <c r="X216" i="20"/>
  <c r="Y216" i="20" s="1"/>
  <c r="AH216" i="20" s="1"/>
  <c r="W216" i="20"/>
  <c r="V216" i="20"/>
  <c r="AD216" i="20" s="1"/>
  <c r="X215" i="20"/>
  <c r="Y215" i="20" s="1"/>
  <c r="AH215" i="20" s="1"/>
  <c r="W215" i="20"/>
  <c r="V215" i="20"/>
  <c r="AD215" i="20" s="1"/>
  <c r="AI214" i="20"/>
  <c r="X214" i="20" s="1"/>
  <c r="Y214" i="20" s="1"/>
  <c r="AH214" i="20" s="1"/>
  <c r="W214" i="20"/>
  <c r="V214" i="20"/>
  <c r="AD214" i="20" s="1"/>
  <c r="X213" i="20"/>
  <c r="Y213" i="20" s="1"/>
  <c r="AH213" i="20" s="1"/>
  <c r="W213" i="20"/>
  <c r="V213" i="20"/>
  <c r="AD213" i="20" s="1"/>
  <c r="AI212" i="20"/>
  <c r="X212" i="20" s="1"/>
  <c r="Y212" i="20" s="1"/>
  <c r="AH212" i="20" s="1"/>
  <c r="AA212" i="20"/>
  <c r="Z212" i="20" s="1"/>
  <c r="W212" i="20"/>
  <c r="V212" i="20"/>
  <c r="AD212" i="20" s="1"/>
  <c r="AE212" i="20" s="1"/>
  <c r="X211" i="20"/>
  <c r="Y211" i="20" s="1"/>
  <c r="W211" i="20"/>
  <c r="AE211" i="20" s="1"/>
  <c r="X210" i="20"/>
  <c r="Y210" i="20" s="1"/>
  <c r="AH210" i="20" s="1"/>
  <c r="W210" i="20"/>
  <c r="V210" i="20"/>
  <c r="AD210" i="20" s="1"/>
  <c r="X209" i="20"/>
  <c r="Y209" i="20" s="1"/>
  <c r="AH209" i="20" s="1"/>
  <c r="W209" i="20"/>
  <c r="V209" i="20"/>
  <c r="AD209" i="20" s="1"/>
  <c r="X208" i="20"/>
  <c r="Y208" i="20" s="1"/>
  <c r="AH208" i="20" s="1"/>
  <c r="W208" i="20"/>
  <c r="V208" i="20"/>
  <c r="AD208" i="20" s="1"/>
  <c r="X207" i="20"/>
  <c r="Y207" i="20" s="1"/>
  <c r="AH207" i="20" s="1"/>
  <c r="W207" i="20"/>
  <c r="V207" i="20"/>
  <c r="AD207" i="20" s="1"/>
  <c r="X206" i="20"/>
  <c r="Y206" i="20" s="1"/>
  <c r="AH206" i="20" s="1"/>
  <c r="W206" i="20"/>
  <c r="V206" i="20"/>
  <c r="AD206" i="20" s="1"/>
  <c r="X205" i="20"/>
  <c r="Y205" i="20" s="1"/>
  <c r="AH205" i="20" s="1"/>
  <c r="W205" i="20"/>
  <c r="V205" i="20"/>
  <c r="AD205" i="20" s="1"/>
  <c r="AI204" i="20"/>
  <c r="X204" i="20"/>
  <c r="Y204" i="20" s="1"/>
  <c r="W204" i="20"/>
  <c r="V204" i="20"/>
  <c r="AD204" i="20" s="1"/>
  <c r="AI203" i="20"/>
  <c r="X203" i="20"/>
  <c r="Y203" i="20" s="1"/>
  <c r="AH203" i="20" s="1"/>
  <c r="W203" i="20"/>
  <c r="V203" i="20"/>
  <c r="AD203" i="20" s="1"/>
  <c r="AI202" i="20"/>
  <c r="X202" i="20"/>
  <c r="Y202" i="20" s="1"/>
  <c r="AH202" i="20" s="1"/>
  <c r="W202" i="20"/>
  <c r="V202" i="20"/>
  <c r="AD202" i="20" s="1"/>
  <c r="AI201" i="20"/>
  <c r="X201" i="20" s="1"/>
  <c r="Y201" i="20" s="1"/>
  <c r="AH201" i="20" s="1"/>
  <c r="W201" i="20"/>
  <c r="V201" i="20"/>
  <c r="AD201" i="20" s="1"/>
  <c r="AI200" i="20"/>
  <c r="X200" i="20" s="1"/>
  <c r="Y200" i="20" s="1"/>
  <c r="W200" i="20"/>
  <c r="V200" i="20"/>
  <c r="AD200" i="20" s="1"/>
  <c r="AE200" i="20" s="1"/>
  <c r="AI199" i="20"/>
  <c r="X199" i="20"/>
  <c r="Y199" i="20" s="1"/>
  <c r="W199" i="20"/>
  <c r="V199" i="20"/>
  <c r="AD199" i="20" s="1"/>
  <c r="AI198" i="20"/>
  <c r="X198" i="20" s="1"/>
  <c r="Y198" i="20" s="1"/>
  <c r="AH198" i="20" s="1"/>
  <c r="W198" i="20"/>
  <c r="AE198" i="20" s="1"/>
  <c r="V198" i="20"/>
  <c r="AD198" i="20" s="1"/>
  <c r="X197" i="20"/>
  <c r="Y197" i="20" s="1"/>
  <c r="AH197" i="20" s="1"/>
  <c r="W197" i="20"/>
  <c r="V197" i="20"/>
  <c r="AD197" i="20" s="1"/>
  <c r="X196" i="20"/>
  <c r="Y196" i="20" s="1"/>
  <c r="AH196" i="20" s="1"/>
  <c r="W196" i="20"/>
  <c r="AE196" i="20" s="1"/>
  <c r="X195" i="20"/>
  <c r="Y195" i="20" s="1"/>
  <c r="W195" i="20"/>
  <c r="V195" i="20"/>
  <c r="AD195" i="20" s="1"/>
  <c r="X194" i="20"/>
  <c r="Y194" i="20" s="1"/>
  <c r="AH194" i="20" s="1"/>
  <c r="W194" i="20"/>
  <c r="V194" i="20"/>
  <c r="AD194" i="20" s="1"/>
  <c r="AD193" i="20"/>
  <c r="W193" i="20"/>
  <c r="X192" i="20"/>
  <c r="Y192" i="20" s="1"/>
  <c r="W192" i="20"/>
  <c r="V192" i="20"/>
  <c r="AD192" i="20" s="1"/>
  <c r="T192" i="20"/>
  <c r="S192" i="20"/>
  <c r="AD191" i="20"/>
  <c r="X191" i="20"/>
  <c r="Y191" i="20" s="1"/>
  <c r="W191" i="20"/>
  <c r="V191" i="20"/>
  <c r="T191" i="20"/>
  <c r="S191" i="20"/>
  <c r="X190" i="20"/>
  <c r="Y190" i="20" s="1"/>
  <c r="W190" i="20"/>
  <c r="V190" i="20"/>
  <c r="AD190" i="20" s="1"/>
  <c r="T190" i="20"/>
  <c r="S190" i="20"/>
  <c r="X189" i="20"/>
  <c r="Y189" i="20" s="1"/>
  <c r="W189" i="20"/>
  <c r="V189" i="20"/>
  <c r="AD189" i="20" s="1"/>
  <c r="T189" i="20"/>
  <c r="S189" i="20"/>
  <c r="X188" i="20"/>
  <c r="Y188" i="20" s="1"/>
  <c r="W188" i="20"/>
  <c r="V188" i="20"/>
  <c r="AD188" i="20" s="1"/>
  <c r="T188" i="20"/>
  <c r="S188" i="20"/>
  <c r="X187" i="20"/>
  <c r="Y187" i="20" s="1"/>
  <c r="W187" i="20"/>
  <c r="V187" i="20"/>
  <c r="AD187" i="20" s="1"/>
  <c r="AH186" i="20"/>
  <c r="X186" i="20"/>
  <c r="Y186" i="20" s="1"/>
  <c r="W186" i="20"/>
  <c r="V186" i="20"/>
  <c r="AD186" i="20" s="1"/>
  <c r="AI185" i="20"/>
  <c r="X185" i="20" s="1"/>
  <c r="Y185" i="20" s="1"/>
  <c r="AH185" i="20" s="1"/>
  <c r="W185" i="20"/>
  <c r="V185" i="20"/>
  <c r="AD185" i="20" s="1"/>
  <c r="X184" i="20"/>
  <c r="Y184" i="20" s="1"/>
  <c r="AH184" i="20" s="1"/>
  <c r="W184" i="20"/>
  <c r="V184" i="20"/>
  <c r="AD184" i="20" s="1"/>
  <c r="X183" i="20"/>
  <c r="Y183" i="20" s="1"/>
  <c r="AH183" i="20" s="1"/>
  <c r="W183" i="20"/>
  <c r="V183" i="20"/>
  <c r="AD183" i="20" s="1"/>
  <c r="X182" i="20"/>
  <c r="Y182" i="20" s="1"/>
  <c r="W182" i="20"/>
  <c r="V182" i="20"/>
  <c r="AD182" i="20" s="1"/>
  <c r="X181" i="20"/>
  <c r="Y181" i="20" s="1"/>
  <c r="W181" i="20"/>
  <c r="V181" i="20"/>
  <c r="AD181" i="20" s="1"/>
  <c r="X180" i="20"/>
  <c r="Y180" i="20" s="1"/>
  <c r="AH180" i="20" s="1"/>
  <c r="W180" i="20"/>
  <c r="V180" i="20"/>
  <c r="AD180" i="20" s="1"/>
  <c r="X179" i="20"/>
  <c r="Y179" i="20" s="1"/>
  <c r="W179" i="20"/>
  <c r="V179" i="20"/>
  <c r="AD179" i="20" s="1"/>
  <c r="AE179" i="20" s="1"/>
  <c r="X178" i="20"/>
  <c r="Y178" i="20" s="1"/>
  <c r="W178" i="20"/>
  <c r="V178" i="20"/>
  <c r="AD178" i="20" s="1"/>
  <c r="AE178" i="20" s="1"/>
  <c r="AI177" i="20"/>
  <c r="X177" i="20"/>
  <c r="Y177" i="20" s="1"/>
  <c r="AH177" i="20" s="1"/>
  <c r="W177" i="20"/>
  <c r="V177" i="20"/>
  <c r="AD177" i="20" s="1"/>
  <c r="AI176" i="20"/>
  <c r="X176" i="20" s="1"/>
  <c r="Y176" i="20" s="1"/>
  <c r="AH176" i="20" s="1"/>
  <c r="W176" i="20"/>
  <c r="AE176" i="20" s="1"/>
  <c r="V176" i="20"/>
  <c r="AD176" i="20" s="1"/>
  <c r="AI175" i="20"/>
  <c r="X175" i="20" s="1"/>
  <c r="Y175" i="20" s="1"/>
  <c r="AH175" i="20" s="1"/>
  <c r="W175" i="20"/>
  <c r="AE175" i="20" s="1"/>
  <c r="V175" i="20"/>
  <c r="AD175" i="20" s="1"/>
  <c r="AI174" i="20"/>
  <c r="X174" i="20"/>
  <c r="Y174" i="20" s="1"/>
  <c r="AH174" i="20" s="1"/>
  <c r="W174" i="20"/>
  <c r="V174" i="20"/>
  <c r="AD174" i="20" s="1"/>
  <c r="AI173" i="20"/>
  <c r="X173" i="20"/>
  <c r="Y173" i="20" s="1"/>
  <c r="AA173" i="20" s="1"/>
  <c r="Z173" i="20" s="1"/>
  <c r="W173" i="20"/>
  <c r="V173" i="20"/>
  <c r="AD173" i="20" s="1"/>
  <c r="AI172" i="20"/>
  <c r="X172" i="20" s="1"/>
  <c r="Y172" i="20" s="1"/>
  <c r="AH172" i="20" s="1"/>
  <c r="W172" i="20"/>
  <c r="V172" i="20"/>
  <c r="AD172" i="20" s="1"/>
  <c r="AI171" i="20"/>
  <c r="X171" i="20" s="1"/>
  <c r="Y171" i="20" s="1"/>
  <c r="AH171" i="20" s="1"/>
  <c r="W171" i="20"/>
  <c r="V171" i="20"/>
  <c r="AD171" i="20" s="1"/>
  <c r="AI170" i="20"/>
  <c r="X170" i="20" s="1"/>
  <c r="Y170" i="20" s="1"/>
  <c r="AH170" i="20" s="1"/>
  <c r="W170" i="20"/>
  <c r="V170" i="20"/>
  <c r="AD170" i="20" s="1"/>
  <c r="AI169" i="20"/>
  <c r="X169" i="20"/>
  <c r="Y169" i="20" s="1"/>
  <c r="AH169" i="20" s="1"/>
  <c r="W169" i="20"/>
  <c r="V169" i="20"/>
  <c r="AD169" i="20" s="1"/>
  <c r="AI168" i="20"/>
  <c r="X168" i="20" s="1"/>
  <c r="Y168" i="20" s="1"/>
  <c r="AA168" i="20" s="1"/>
  <c r="Z168" i="20" s="1"/>
  <c r="W168" i="20"/>
  <c r="V168" i="20"/>
  <c r="AD168" i="20" s="1"/>
  <c r="X167" i="20"/>
  <c r="Y167" i="20" s="1"/>
  <c r="AH167" i="20" s="1"/>
  <c r="W167" i="20"/>
  <c r="AE167" i="20" s="1"/>
  <c r="V167" i="20"/>
  <c r="AD167" i="20" s="1"/>
  <c r="AI166" i="20"/>
  <c r="X166" i="20"/>
  <c r="Y166" i="20" s="1"/>
  <c r="AH166" i="20" s="1"/>
  <c r="W166" i="20"/>
  <c r="V166" i="20"/>
  <c r="AD166" i="20" s="1"/>
  <c r="X165" i="20"/>
  <c r="Y165" i="20" s="1"/>
  <c r="AH165" i="20" s="1"/>
  <c r="W165" i="20"/>
  <c r="V165" i="20"/>
  <c r="AD165" i="20" s="1"/>
  <c r="X164" i="20"/>
  <c r="Y164" i="20" s="1"/>
  <c r="AH164" i="20" s="1"/>
  <c r="W164" i="20"/>
  <c r="V164" i="20"/>
  <c r="AD164" i="20" s="1"/>
  <c r="AI163" i="20"/>
  <c r="X163" i="20"/>
  <c r="Y163" i="20" s="1"/>
  <c r="AH163" i="20" s="1"/>
  <c r="W163" i="20"/>
  <c r="V163" i="20"/>
  <c r="AD163" i="20" s="1"/>
  <c r="X162" i="20"/>
  <c r="Y162" i="20" s="1"/>
  <c r="AH162" i="20" s="1"/>
  <c r="W162" i="20"/>
  <c r="X161" i="20"/>
  <c r="Y161" i="20" s="1"/>
  <c r="AH161" i="20" s="1"/>
  <c r="W161" i="20"/>
  <c r="V161" i="20"/>
  <c r="AD161" i="20" s="1"/>
  <c r="AI160" i="20"/>
  <c r="X160" i="20"/>
  <c r="Y160" i="20" s="1"/>
  <c r="W160" i="20"/>
  <c r="V160" i="20"/>
  <c r="AD160" i="20" s="1"/>
  <c r="AI159" i="20"/>
  <c r="X159" i="20" s="1"/>
  <c r="Y159" i="20" s="1"/>
  <c r="AH159" i="20" s="1"/>
  <c r="W159" i="20"/>
  <c r="V159" i="20"/>
  <c r="AD159" i="20" s="1"/>
  <c r="AI158" i="20"/>
  <c r="X158" i="20"/>
  <c r="Y158" i="20" s="1"/>
  <c r="W158" i="20"/>
  <c r="V158" i="20"/>
  <c r="AD158" i="20" s="1"/>
  <c r="AI157" i="20"/>
  <c r="X157" i="20"/>
  <c r="Y157" i="20" s="1"/>
  <c r="AH157" i="20" s="1"/>
  <c r="W157" i="20"/>
  <c r="V157" i="20"/>
  <c r="AD157" i="20" s="1"/>
  <c r="W156" i="20"/>
  <c r="V156" i="20"/>
  <c r="AD156" i="20" s="1"/>
  <c r="AI155" i="20"/>
  <c r="W155" i="20"/>
  <c r="V155" i="20"/>
  <c r="AD155" i="20" s="1"/>
  <c r="AE155" i="20" s="1"/>
  <c r="AI154" i="20"/>
  <c r="X154" i="20" s="1"/>
  <c r="Y154" i="20" s="1"/>
  <c r="W154" i="20"/>
  <c r="V154" i="20"/>
  <c r="AD154" i="20" s="1"/>
  <c r="AI153" i="20"/>
  <c r="X153" i="20" s="1"/>
  <c r="Y153" i="20" s="1"/>
  <c r="AH153" i="20" s="1"/>
  <c r="W153" i="20"/>
  <c r="V153" i="20"/>
  <c r="AD153" i="20" s="1"/>
  <c r="X152" i="20"/>
  <c r="Y152" i="20" s="1"/>
  <c r="AH152" i="20" s="1"/>
  <c r="W152" i="20"/>
  <c r="V152" i="20"/>
  <c r="AD152" i="20" s="1"/>
  <c r="X151" i="20"/>
  <c r="Y151" i="20" s="1"/>
  <c r="AH151" i="20" s="1"/>
  <c r="W151" i="20"/>
  <c r="V151" i="20"/>
  <c r="AD151" i="20" s="1"/>
  <c r="AI150" i="20"/>
  <c r="X150" i="20" s="1"/>
  <c r="Y150" i="20" s="1"/>
  <c r="AH150" i="20" s="1"/>
  <c r="W150" i="20"/>
  <c r="AA150" i="20" s="1"/>
  <c r="Z150" i="20" s="1"/>
  <c r="V150" i="20"/>
  <c r="AD150" i="20" s="1"/>
  <c r="X149" i="20"/>
  <c r="Y149" i="20" s="1"/>
  <c r="W149" i="20"/>
  <c r="V149" i="20"/>
  <c r="AD149" i="20" s="1"/>
  <c r="Y148" i="20"/>
  <c r="AH148" i="20" s="1"/>
  <c r="X148" i="20"/>
  <c r="W148" i="20"/>
  <c r="V148" i="20"/>
  <c r="AD148" i="20" s="1"/>
  <c r="X147" i="20"/>
  <c r="Y147" i="20" s="1"/>
  <c r="W147" i="20"/>
  <c r="V147" i="20"/>
  <c r="AD147" i="20" s="1"/>
  <c r="X146" i="20"/>
  <c r="Y146" i="20" s="1"/>
  <c r="AH146" i="20" s="1"/>
  <c r="W146" i="20"/>
  <c r="AE146" i="20" s="1"/>
  <c r="V146" i="20"/>
  <c r="AD146" i="20" s="1"/>
  <c r="X145" i="20"/>
  <c r="Y145" i="20" s="1"/>
  <c r="W145" i="20"/>
  <c r="V145" i="20"/>
  <c r="AD145" i="20" s="1"/>
  <c r="AD144" i="20"/>
  <c r="W144" i="20"/>
  <c r="X143" i="20"/>
  <c r="Y143" i="20" s="1"/>
  <c r="W143" i="20"/>
  <c r="V143" i="20"/>
  <c r="AD143" i="20" s="1"/>
  <c r="T143" i="20"/>
  <c r="S143" i="20"/>
  <c r="X142" i="20"/>
  <c r="Y142" i="20" s="1"/>
  <c r="W142" i="20"/>
  <c r="V142" i="20"/>
  <c r="AD142" i="20" s="1"/>
  <c r="T142" i="20"/>
  <c r="S142" i="20"/>
  <c r="X141" i="20"/>
  <c r="Y141" i="20" s="1"/>
  <c r="W141" i="20"/>
  <c r="V141" i="20"/>
  <c r="AD141" i="20" s="1"/>
  <c r="T141" i="20"/>
  <c r="S141" i="20"/>
  <c r="X140" i="20"/>
  <c r="Y140" i="20" s="1"/>
  <c r="W140" i="20"/>
  <c r="V140" i="20"/>
  <c r="AD140" i="20" s="1"/>
  <c r="T140" i="20"/>
  <c r="S140" i="20"/>
  <c r="X139" i="20"/>
  <c r="Y139" i="20" s="1"/>
  <c r="W139" i="20"/>
  <c r="V139" i="20"/>
  <c r="AD139" i="20" s="1"/>
  <c r="T139" i="20"/>
  <c r="S139" i="20"/>
  <c r="X138" i="20"/>
  <c r="Y138" i="20" s="1"/>
  <c r="W138" i="20"/>
  <c r="V138" i="20"/>
  <c r="AD138" i="20" s="1"/>
  <c r="T138" i="20"/>
  <c r="S138" i="20"/>
  <c r="X137" i="20"/>
  <c r="Y137" i="20" s="1"/>
  <c r="W137" i="20"/>
  <c r="V137" i="20"/>
  <c r="AD137" i="20" s="1"/>
  <c r="T137" i="20"/>
  <c r="S137" i="20"/>
  <c r="X136" i="20"/>
  <c r="Y136" i="20" s="1"/>
  <c r="W136" i="20"/>
  <c r="V136" i="20"/>
  <c r="AD136" i="20" s="1"/>
  <c r="T136" i="20"/>
  <c r="S136" i="20"/>
  <c r="X135" i="20"/>
  <c r="Y135" i="20" s="1"/>
  <c r="W135" i="20"/>
  <c r="V135" i="20"/>
  <c r="AD135" i="20" s="1"/>
  <c r="T135" i="20"/>
  <c r="S135" i="20"/>
  <c r="X134" i="20"/>
  <c r="Y134" i="20" s="1"/>
  <c r="W134" i="20"/>
  <c r="V134" i="20"/>
  <c r="AD134" i="20" s="1"/>
  <c r="AI133" i="20"/>
  <c r="X133" i="20" s="1"/>
  <c r="Y133" i="20" s="1"/>
  <c r="W133" i="20"/>
  <c r="V133" i="20"/>
  <c r="AD133" i="20" s="1"/>
  <c r="AI132" i="20"/>
  <c r="X132" i="20"/>
  <c r="Y132" i="20" s="1"/>
  <c r="AH132" i="20" s="1"/>
  <c r="W132" i="20"/>
  <c r="V132" i="20"/>
  <c r="AD132" i="20" s="1"/>
  <c r="AI131" i="20"/>
  <c r="X131" i="20"/>
  <c r="Y131" i="20" s="1"/>
  <c r="AH131" i="20" s="1"/>
  <c r="W131" i="20"/>
  <c r="V131" i="20"/>
  <c r="AD131" i="20" s="1"/>
  <c r="AI130" i="20"/>
  <c r="X130" i="20" s="1"/>
  <c r="Y130" i="20" s="1"/>
  <c r="W130" i="20"/>
  <c r="V130" i="20"/>
  <c r="AD130" i="20" s="1"/>
  <c r="AI129" i="20"/>
  <c r="X129" i="20" s="1"/>
  <c r="Y129" i="20" s="1"/>
  <c r="W129" i="20"/>
  <c r="V129" i="20"/>
  <c r="AD129" i="20" s="1"/>
  <c r="AI128" i="20"/>
  <c r="X128" i="20"/>
  <c r="Y128" i="20" s="1"/>
  <c r="AH128" i="20" s="1"/>
  <c r="W128" i="20"/>
  <c r="V128" i="20"/>
  <c r="AD128" i="20" s="1"/>
  <c r="AI127" i="20"/>
  <c r="X127" i="20" s="1"/>
  <c r="Y127" i="20" s="1"/>
  <c r="AH127" i="20" s="1"/>
  <c r="W127" i="20"/>
  <c r="V127" i="20"/>
  <c r="AD127" i="20" s="1"/>
  <c r="AI126" i="20"/>
  <c r="X126" i="20" s="1"/>
  <c r="Y126" i="20" s="1"/>
  <c r="AH126" i="20" s="1"/>
  <c r="W126" i="20"/>
  <c r="V126" i="20"/>
  <c r="AD126" i="20" s="1"/>
  <c r="AI125" i="20"/>
  <c r="X125" i="20"/>
  <c r="Y125" i="20" s="1"/>
  <c r="AH125" i="20" s="1"/>
  <c r="W125" i="20"/>
  <c r="V125" i="20"/>
  <c r="AD125" i="20" s="1"/>
  <c r="AI124" i="20"/>
  <c r="X124" i="20" s="1"/>
  <c r="Y124" i="20" s="1"/>
  <c r="W124" i="20"/>
  <c r="V124" i="20"/>
  <c r="AD124" i="20" s="1"/>
  <c r="X123" i="20"/>
  <c r="Y123" i="20" s="1"/>
  <c r="AH123" i="20" s="1"/>
  <c r="W123" i="20"/>
  <c r="V123" i="20"/>
  <c r="AD123" i="20" s="1"/>
  <c r="AI122" i="20"/>
  <c r="X122" i="20"/>
  <c r="Y122" i="20" s="1"/>
  <c r="AH122" i="20" s="1"/>
  <c r="W122" i="20"/>
  <c r="V122" i="20"/>
  <c r="AD122" i="20" s="1"/>
  <c r="AI121" i="20"/>
  <c r="X121" i="20"/>
  <c r="Y121" i="20" s="1"/>
  <c r="W121" i="20"/>
  <c r="V121" i="20"/>
  <c r="AD121" i="20" s="1"/>
  <c r="AI120" i="20"/>
  <c r="X120" i="20" s="1"/>
  <c r="Y120" i="20" s="1"/>
  <c r="AH120" i="20" s="1"/>
  <c r="W120" i="20"/>
  <c r="V120" i="20"/>
  <c r="AD120" i="20" s="1"/>
  <c r="AI119" i="20"/>
  <c r="X119" i="20" s="1"/>
  <c r="Y119" i="20" s="1"/>
  <c r="AH119" i="20" s="1"/>
  <c r="W119" i="20"/>
  <c r="V119" i="20"/>
  <c r="AD119" i="20" s="1"/>
  <c r="AI118" i="20"/>
  <c r="X118" i="20"/>
  <c r="Y118" i="20" s="1"/>
  <c r="AH118" i="20" s="1"/>
  <c r="W118" i="20"/>
  <c r="V118" i="20"/>
  <c r="AD118" i="20" s="1"/>
  <c r="X117" i="20"/>
  <c r="Y117" i="20" s="1"/>
  <c r="AH117" i="20" s="1"/>
  <c r="W117" i="20"/>
  <c r="V117" i="20"/>
  <c r="AD117" i="20" s="1"/>
  <c r="AI116" i="20"/>
  <c r="X116" i="20"/>
  <c r="Y116" i="20" s="1"/>
  <c r="W116" i="20"/>
  <c r="V116" i="20"/>
  <c r="AD116" i="20" s="1"/>
  <c r="X115" i="20"/>
  <c r="Y115" i="20" s="1"/>
  <c r="AH115" i="20" s="1"/>
  <c r="W115" i="20"/>
  <c r="V115" i="20"/>
  <c r="AD115" i="20" s="1"/>
  <c r="X114" i="20"/>
  <c r="Y114" i="20" s="1"/>
  <c r="AH114" i="20" s="1"/>
  <c r="W114" i="20"/>
  <c r="V114" i="20"/>
  <c r="AD114" i="20" s="1"/>
  <c r="AI113" i="20"/>
  <c r="X113" i="20"/>
  <c r="Y113" i="20" s="1"/>
  <c r="AH113" i="20" s="1"/>
  <c r="W113" i="20"/>
  <c r="V113" i="20"/>
  <c r="AD113" i="20" s="1"/>
  <c r="X112" i="20"/>
  <c r="Y112" i="20" s="1"/>
  <c r="W112" i="20"/>
  <c r="V112" i="20"/>
  <c r="AD112" i="20" s="1"/>
  <c r="X111" i="20"/>
  <c r="Y111" i="20" s="1"/>
  <c r="W111" i="20"/>
  <c r="V111" i="20"/>
  <c r="AD111" i="20" s="1"/>
  <c r="X110" i="20"/>
  <c r="Y110" i="20" s="1"/>
  <c r="AH110" i="20" s="1"/>
  <c r="W110" i="20"/>
  <c r="V110" i="20"/>
  <c r="AD110" i="20" s="1"/>
  <c r="X109" i="20"/>
  <c r="Y109" i="20" s="1"/>
  <c r="AH109" i="20" s="1"/>
  <c r="W109" i="20"/>
  <c r="V109" i="20"/>
  <c r="AD109" i="20" s="1"/>
  <c r="X108" i="20"/>
  <c r="Y108" i="20" s="1"/>
  <c r="AH108" i="20" s="1"/>
  <c r="W108" i="20"/>
  <c r="V108" i="20"/>
  <c r="AD108" i="20" s="1"/>
  <c r="X107" i="20"/>
  <c r="Y107" i="20" s="1"/>
  <c r="AH107" i="20" s="1"/>
  <c r="W107" i="20"/>
  <c r="V107" i="20"/>
  <c r="AD107" i="20" s="1"/>
  <c r="X106" i="20"/>
  <c r="Y106" i="20" s="1"/>
  <c r="W106" i="20"/>
  <c r="V106" i="20"/>
  <c r="AD106" i="20" s="1"/>
  <c r="X105" i="20"/>
  <c r="Y105" i="20" s="1"/>
  <c r="W105" i="20"/>
  <c r="V105" i="20"/>
  <c r="AD105" i="20" s="1"/>
  <c r="X104" i="20"/>
  <c r="Y104" i="20" s="1"/>
  <c r="AH104" i="20" s="1"/>
  <c r="W104" i="20"/>
  <c r="V104" i="20"/>
  <c r="AD104" i="20" s="1"/>
  <c r="X103" i="20"/>
  <c r="Y103" i="20" s="1"/>
  <c r="AH103" i="20" s="1"/>
  <c r="W103" i="20"/>
  <c r="V103" i="20"/>
  <c r="AD103" i="20" s="1"/>
  <c r="X102" i="20"/>
  <c r="Y102" i="20" s="1"/>
  <c r="W102" i="20"/>
  <c r="V102" i="20"/>
  <c r="AD102" i="20" s="1"/>
  <c r="X101" i="20"/>
  <c r="Y101" i="20" s="1"/>
  <c r="AH101" i="20" s="1"/>
  <c r="W101" i="20"/>
  <c r="V101" i="20"/>
  <c r="AD101" i="20" s="1"/>
  <c r="X100" i="20"/>
  <c r="Y100" i="20" s="1"/>
  <c r="AH100" i="20" s="1"/>
  <c r="W100" i="20"/>
  <c r="V100" i="20"/>
  <c r="AD100" i="20" s="1"/>
  <c r="X99" i="20"/>
  <c r="Y99" i="20" s="1"/>
  <c r="W99" i="20"/>
  <c r="V99" i="20"/>
  <c r="AD99" i="20" s="1"/>
  <c r="X98" i="20"/>
  <c r="Y98" i="20" s="1"/>
  <c r="AH98" i="20" s="1"/>
  <c r="W98" i="20"/>
  <c r="V98" i="20"/>
  <c r="AD98" i="20" s="1"/>
  <c r="X97" i="20"/>
  <c r="Y97" i="20" s="1"/>
  <c r="AH97" i="20" s="1"/>
  <c r="W97" i="20"/>
  <c r="V97" i="20"/>
  <c r="AD97" i="20" s="1"/>
  <c r="X96" i="20"/>
  <c r="Y96" i="20" s="1"/>
  <c r="AH96" i="20" s="1"/>
  <c r="W96" i="20"/>
  <c r="V96" i="20"/>
  <c r="AD96" i="20" s="1"/>
  <c r="X95" i="20"/>
  <c r="Y95" i="20" s="1"/>
  <c r="AH95" i="20" s="1"/>
  <c r="W95" i="20"/>
  <c r="V95" i="20"/>
  <c r="AD95" i="20" s="1"/>
  <c r="AI94" i="20"/>
  <c r="X94" i="20"/>
  <c r="Y94" i="20" s="1"/>
  <c r="AH94" i="20" s="1"/>
  <c r="W94" i="20"/>
  <c r="V94" i="20"/>
  <c r="AD94" i="20" s="1"/>
  <c r="AI93" i="20"/>
  <c r="X93" i="20" s="1"/>
  <c r="Y93" i="20" s="1"/>
  <c r="AH93" i="20" s="1"/>
  <c r="AD93" i="20"/>
  <c r="W93" i="20"/>
  <c r="V93" i="20"/>
  <c r="X92" i="20"/>
  <c r="Y92" i="20" s="1"/>
  <c r="AH92" i="20" s="1"/>
  <c r="W92" i="20"/>
  <c r="AE92" i="20" s="1"/>
  <c r="X91" i="20"/>
  <c r="Y91" i="20" s="1"/>
  <c r="AH91" i="20" s="1"/>
  <c r="W91" i="20"/>
  <c r="V91" i="20"/>
  <c r="AD91" i="20" s="1"/>
  <c r="X90" i="20"/>
  <c r="Y90" i="20" s="1"/>
  <c r="AH90" i="20" s="1"/>
  <c r="W90" i="20"/>
  <c r="V90" i="20"/>
  <c r="AD90" i="20" s="1"/>
  <c r="X89" i="20"/>
  <c r="Y89" i="20" s="1"/>
  <c r="W89" i="20"/>
  <c r="V89" i="20"/>
  <c r="AD89" i="20" s="1"/>
  <c r="X88" i="20"/>
  <c r="Y88" i="20" s="1"/>
  <c r="W88" i="20"/>
  <c r="V88" i="20"/>
  <c r="AD88" i="20" s="1"/>
  <c r="AE88" i="20" s="1"/>
  <c r="X87" i="20"/>
  <c r="Y87" i="20" s="1"/>
  <c r="AH87" i="20" s="1"/>
  <c r="W87" i="20"/>
  <c r="V87" i="20"/>
  <c r="AD87" i="20" s="1"/>
  <c r="X86" i="20"/>
  <c r="Y86" i="20" s="1"/>
  <c r="W86" i="20"/>
  <c r="V86" i="20"/>
  <c r="AD86" i="20" s="1"/>
  <c r="X85" i="20"/>
  <c r="Y85" i="20" s="1"/>
  <c r="AH85" i="20" s="1"/>
  <c r="W85" i="20"/>
  <c r="V85" i="20"/>
  <c r="AD85" i="20" s="1"/>
  <c r="X84" i="20"/>
  <c r="Y84" i="20" s="1"/>
  <c r="AH84" i="20" s="1"/>
  <c r="W84" i="20"/>
  <c r="AE84" i="20" s="1"/>
  <c r="AI83" i="20"/>
  <c r="X83" i="20" s="1"/>
  <c r="Y83" i="20" s="1"/>
  <c r="AH83" i="20" s="1"/>
  <c r="W83" i="20"/>
  <c r="V83" i="20"/>
  <c r="AD83" i="20" s="1"/>
  <c r="X82" i="20"/>
  <c r="Y82" i="20" s="1"/>
  <c r="AH82" i="20" s="1"/>
  <c r="W82" i="20"/>
  <c r="V82" i="20"/>
  <c r="AD82" i="20" s="1"/>
  <c r="X81" i="20"/>
  <c r="Y81" i="20" s="1"/>
  <c r="W81" i="20"/>
  <c r="V81" i="20"/>
  <c r="AD81" i="20" s="1"/>
  <c r="X80" i="20"/>
  <c r="Y80" i="20" s="1"/>
  <c r="AH80" i="20" s="1"/>
  <c r="W80" i="20"/>
  <c r="V80" i="20"/>
  <c r="AD80" i="20" s="1"/>
  <c r="X79" i="20"/>
  <c r="Y79" i="20" s="1"/>
  <c r="AH79" i="20" s="1"/>
  <c r="W79" i="20"/>
  <c r="V79" i="20"/>
  <c r="AD79" i="20" s="1"/>
  <c r="X78" i="20"/>
  <c r="Y78" i="20" s="1"/>
  <c r="W78" i="20"/>
  <c r="V78" i="20"/>
  <c r="AD78" i="20" s="1"/>
  <c r="X77" i="20"/>
  <c r="Y77" i="20" s="1"/>
  <c r="AH77" i="20" s="1"/>
  <c r="W77" i="20"/>
  <c r="V77" i="20"/>
  <c r="AD77" i="20" s="1"/>
  <c r="X76" i="20"/>
  <c r="Y76" i="20" s="1"/>
  <c r="AH76" i="20" s="1"/>
  <c r="W76" i="20"/>
  <c r="V76" i="20"/>
  <c r="AD76" i="20" s="1"/>
  <c r="X75" i="20"/>
  <c r="Y75" i="20" s="1"/>
  <c r="AH75" i="20" s="1"/>
  <c r="W75" i="20"/>
  <c r="AE75" i="20" s="1"/>
  <c r="V75" i="20"/>
  <c r="AD75" i="20" s="1"/>
  <c r="X74" i="20"/>
  <c r="Y74" i="20" s="1"/>
  <c r="AH74" i="20" s="1"/>
  <c r="W74" i="20"/>
  <c r="V74" i="20"/>
  <c r="AD74" i="20" s="1"/>
  <c r="X73" i="20"/>
  <c r="Y73" i="20" s="1"/>
  <c r="AH73" i="20" s="1"/>
  <c r="W73" i="20"/>
  <c r="V73" i="20"/>
  <c r="AD73" i="20" s="1"/>
  <c r="X72" i="20"/>
  <c r="Y72" i="20" s="1"/>
  <c r="AH72" i="20" s="1"/>
  <c r="W72" i="20"/>
  <c r="V72" i="20"/>
  <c r="AD72" i="20" s="1"/>
  <c r="AE72" i="20" s="1"/>
  <c r="AI71" i="20"/>
  <c r="X71" i="20"/>
  <c r="Y71" i="20" s="1"/>
  <c r="AH71" i="20" s="1"/>
  <c r="W71" i="20"/>
  <c r="V71" i="20"/>
  <c r="AD71" i="20" s="1"/>
  <c r="AI70" i="20"/>
  <c r="X70" i="20" s="1"/>
  <c r="Y70" i="20" s="1"/>
  <c r="W70" i="20"/>
  <c r="V70" i="20"/>
  <c r="AD70" i="20" s="1"/>
  <c r="AI69" i="20"/>
  <c r="X69" i="20"/>
  <c r="Y69" i="20" s="1"/>
  <c r="AH69" i="20" s="1"/>
  <c r="W69" i="20"/>
  <c r="V69" i="20"/>
  <c r="AD69" i="20" s="1"/>
  <c r="AI68" i="20"/>
  <c r="X68" i="20" s="1"/>
  <c r="Y68" i="20" s="1"/>
  <c r="W68" i="20"/>
  <c r="V68" i="20"/>
  <c r="AD68" i="20" s="1"/>
  <c r="AI67" i="20"/>
  <c r="X67" i="20" s="1"/>
  <c r="Y67" i="20" s="1"/>
  <c r="AH67" i="20"/>
  <c r="W67" i="20"/>
  <c r="V67" i="20"/>
  <c r="AD67" i="20" s="1"/>
  <c r="X66" i="20"/>
  <c r="Y66" i="20" s="1"/>
  <c r="W66" i="20"/>
  <c r="V66" i="20"/>
  <c r="AD66" i="20" s="1"/>
  <c r="X65" i="20"/>
  <c r="Y65" i="20" s="1"/>
  <c r="AH65" i="20" s="1"/>
  <c r="W65" i="20"/>
  <c r="V65" i="20"/>
  <c r="AD65" i="20" s="1"/>
  <c r="X64" i="20"/>
  <c r="Y64" i="20" s="1"/>
  <c r="AH64" i="20" s="1"/>
  <c r="W64" i="20"/>
  <c r="V64" i="20"/>
  <c r="AD64" i="20" s="1"/>
  <c r="X63" i="20"/>
  <c r="Y63" i="20" s="1"/>
  <c r="W63" i="20"/>
  <c r="V63" i="20"/>
  <c r="AD63" i="20" s="1"/>
  <c r="X62" i="20"/>
  <c r="Y62" i="20" s="1"/>
  <c r="W62" i="20"/>
  <c r="V62" i="20"/>
  <c r="AD62" i="20" s="1"/>
  <c r="AI61" i="20"/>
  <c r="X61" i="20"/>
  <c r="Y61" i="20" s="1"/>
  <c r="AH61" i="20" s="1"/>
  <c r="W61" i="20"/>
  <c r="V61" i="20"/>
  <c r="AD61" i="20" s="1"/>
  <c r="AI60" i="20"/>
  <c r="X60" i="20" s="1"/>
  <c r="Y60" i="20" s="1"/>
  <c r="AH60" i="20" s="1"/>
  <c r="W60" i="20"/>
  <c r="V60" i="20"/>
  <c r="AD60" i="20" s="1"/>
  <c r="X59" i="20"/>
  <c r="Y59" i="20" s="1"/>
  <c r="AH59" i="20" s="1"/>
  <c r="W59" i="20"/>
  <c r="V59" i="20"/>
  <c r="AD59" i="20" s="1"/>
  <c r="AI58" i="20"/>
  <c r="X58" i="20" s="1"/>
  <c r="Y58" i="20" s="1"/>
  <c r="AH58" i="20" s="1"/>
  <c r="W58" i="20"/>
  <c r="V58" i="20"/>
  <c r="AD58" i="20" s="1"/>
  <c r="AI57" i="20"/>
  <c r="X57" i="20"/>
  <c r="Y57" i="20" s="1"/>
  <c r="AH57" i="20" s="1"/>
  <c r="W57" i="20"/>
  <c r="V57" i="20"/>
  <c r="AD57" i="20" s="1"/>
  <c r="AI56" i="20"/>
  <c r="X56" i="20" s="1"/>
  <c r="Y56" i="20" s="1"/>
  <c r="W56" i="20"/>
  <c r="V56" i="20"/>
  <c r="AD56" i="20" s="1"/>
  <c r="AI55" i="20"/>
  <c r="X55" i="20"/>
  <c r="Y55" i="20" s="1"/>
  <c r="W55" i="20"/>
  <c r="V55" i="20"/>
  <c r="AD55" i="20" s="1"/>
  <c r="X54" i="20"/>
  <c r="Y54" i="20" s="1"/>
  <c r="W54" i="20"/>
  <c r="V54" i="20"/>
  <c r="AD54" i="20" s="1"/>
  <c r="X53" i="20"/>
  <c r="Y53" i="20" s="1"/>
  <c r="AH53" i="20" s="1"/>
  <c r="W53" i="20"/>
  <c r="V53" i="20"/>
  <c r="AD53" i="20" s="1"/>
  <c r="AE53" i="20" s="1"/>
  <c r="X52" i="20"/>
  <c r="Y52" i="20" s="1"/>
  <c r="AH52" i="20" s="1"/>
  <c r="W52" i="20"/>
  <c r="V52" i="20"/>
  <c r="AD52" i="20" s="1"/>
  <c r="AI51" i="20"/>
  <c r="X51" i="20"/>
  <c r="Y51" i="20" s="1"/>
  <c r="AH51" i="20" s="1"/>
  <c r="W51" i="20"/>
  <c r="V51" i="20"/>
  <c r="AD51" i="20" s="1"/>
  <c r="AI50" i="20"/>
  <c r="X50" i="20" s="1"/>
  <c r="Y50" i="20" s="1"/>
  <c r="W50" i="20"/>
  <c r="V50" i="20"/>
  <c r="AD50" i="20" s="1"/>
  <c r="AI49" i="20"/>
  <c r="X49" i="20" s="1"/>
  <c r="Y49" i="20" s="1"/>
  <c r="AH49" i="20" s="1"/>
  <c r="W49" i="20"/>
  <c r="V49" i="20"/>
  <c r="AD49" i="20" s="1"/>
  <c r="X48" i="20"/>
  <c r="Y48" i="20" s="1"/>
  <c r="W48" i="20"/>
  <c r="V48" i="20"/>
  <c r="AD48" i="20" s="1"/>
  <c r="AI47" i="20"/>
  <c r="X47" i="20"/>
  <c r="Y47" i="20" s="1"/>
  <c r="W47" i="20"/>
  <c r="V47" i="20"/>
  <c r="AD47" i="20" s="1"/>
  <c r="AI46" i="20"/>
  <c r="X46" i="20" s="1"/>
  <c r="Y46" i="20" s="1"/>
  <c r="AH46" i="20" s="1"/>
  <c r="W46" i="20"/>
  <c r="V46" i="20"/>
  <c r="AD46" i="20" s="1"/>
  <c r="AI45" i="20"/>
  <c r="X45" i="20"/>
  <c r="Y45" i="20" s="1"/>
  <c r="AH45" i="20" s="1"/>
  <c r="W45" i="20"/>
  <c r="V45" i="20"/>
  <c r="AD45" i="20" s="1"/>
  <c r="AI44" i="20"/>
  <c r="X44" i="20" s="1"/>
  <c r="Y44" i="20" s="1"/>
  <c r="AH44" i="20" s="1"/>
  <c r="W44" i="20"/>
  <c r="V44" i="20"/>
  <c r="AD44" i="20" s="1"/>
  <c r="AI43" i="20"/>
  <c r="X43" i="20" s="1"/>
  <c r="Y43" i="20" s="1"/>
  <c r="AH43" i="20" s="1"/>
  <c r="W43" i="20"/>
  <c r="V43" i="20"/>
  <c r="AD43" i="20" s="1"/>
  <c r="AI42" i="20"/>
  <c r="X42" i="20" s="1"/>
  <c r="Y42" i="20" s="1"/>
  <c r="W42" i="20"/>
  <c r="V42" i="20"/>
  <c r="AD42" i="20" s="1"/>
  <c r="AI41" i="20"/>
  <c r="X41" i="20"/>
  <c r="Y41" i="20" s="1"/>
  <c r="W41" i="20"/>
  <c r="V41" i="20"/>
  <c r="AD41" i="20" s="1"/>
  <c r="AD40" i="20"/>
  <c r="W40" i="20"/>
  <c r="X39" i="20"/>
  <c r="Y39" i="20" s="1"/>
  <c r="W39" i="20"/>
  <c r="V39" i="20"/>
  <c r="AD39" i="20" s="1"/>
  <c r="T39" i="20"/>
  <c r="S39" i="20"/>
  <c r="X38" i="20"/>
  <c r="Y38" i="20" s="1"/>
  <c r="W38" i="20"/>
  <c r="V38" i="20"/>
  <c r="AD38" i="20" s="1"/>
  <c r="T38" i="20"/>
  <c r="S38" i="20"/>
  <c r="X37" i="20"/>
  <c r="Y37" i="20" s="1"/>
  <c r="AH37" i="20" s="1"/>
  <c r="W37" i="20"/>
  <c r="V37" i="20"/>
  <c r="AD37" i="20" s="1"/>
  <c r="X36" i="20"/>
  <c r="Y36" i="20" s="1"/>
  <c r="AH36" i="20" s="1"/>
  <c r="W36" i="20"/>
  <c r="V36" i="20"/>
  <c r="AD36" i="20" s="1"/>
  <c r="X35" i="20"/>
  <c r="Y35" i="20" s="1"/>
  <c r="W35" i="20"/>
  <c r="V35" i="20"/>
  <c r="AD35" i="20" s="1"/>
  <c r="X34" i="20"/>
  <c r="Y34" i="20" s="1"/>
  <c r="AH34" i="20" s="1"/>
  <c r="W34" i="20"/>
  <c r="V34" i="20"/>
  <c r="AD34" i="20" s="1"/>
  <c r="X33" i="20"/>
  <c r="Y33" i="20" s="1"/>
  <c r="AH33" i="20" s="1"/>
  <c r="W33" i="20"/>
  <c r="V33" i="20"/>
  <c r="AD33" i="20" s="1"/>
  <c r="AI32" i="20"/>
  <c r="X32" i="20"/>
  <c r="Y32" i="20" s="1"/>
  <c r="AH32" i="20" s="1"/>
  <c r="W32" i="20"/>
  <c r="V32" i="20"/>
  <c r="AD32" i="20" s="1"/>
  <c r="AI31" i="20"/>
  <c r="X31" i="20"/>
  <c r="Y31" i="20" s="1"/>
  <c r="AH31" i="20" s="1"/>
  <c r="W31" i="20"/>
  <c r="V31" i="20"/>
  <c r="AD31" i="20" s="1"/>
  <c r="AE31" i="20" s="1"/>
  <c r="X30" i="20"/>
  <c r="Y30" i="20" s="1"/>
  <c r="W30" i="20"/>
  <c r="V30" i="20"/>
  <c r="AD30" i="20" s="1"/>
  <c r="X29" i="20"/>
  <c r="Y29" i="20" s="1"/>
  <c r="W29" i="20"/>
  <c r="V29" i="20"/>
  <c r="AD29" i="20" s="1"/>
  <c r="AE29" i="20" s="1"/>
  <c r="X28" i="20"/>
  <c r="Y28" i="20" s="1"/>
  <c r="AH28" i="20" s="1"/>
  <c r="W28" i="20"/>
  <c r="V28" i="20"/>
  <c r="AD28" i="20" s="1"/>
  <c r="X27" i="20"/>
  <c r="Y27" i="20" s="1"/>
  <c r="AH27" i="20" s="1"/>
  <c r="W27" i="20"/>
  <c r="V27" i="20"/>
  <c r="AD27" i="20" s="1"/>
  <c r="X26" i="20"/>
  <c r="Y26" i="20" s="1"/>
  <c r="W26" i="20"/>
  <c r="V26" i="20"/>
  <c r="AD26" i="20" s="1"/>
  <c r="AI25" i="20"/>
  <c r="X25" i="20" s="1"/>
  <c r="Y25" i="20" s="1"/>
  <c r="AH25" i="20" s="1"/>
  <c r="W25" i="20"/>
  <c r="V25" i="20"/>
  <c r="AD25" i="20" s="1"/>
  <c r="X24" i="20"/>
  <c r="Y24" i="20" s="1"/>
  <c r="AH24" i="20" s="1"/>
  <c r="W24" i="20"/>
  <c r="V24" i="20"/>
  <c r="AD24" i="20" s="1"/>
  <c r="X23" i="20"/>
  <c r="Y23" i="20" s="1"/>
  <c r="W23" i="20"/>
  <c r="V23" i="20"/>
  <c r="AD23" i="20" s="1"/>
  <c r="AI22" i="20"/>
  <c r="X22" i="20" s="1"/>
  <c r="Y22" i="20" s="1"/>
  <c r="W22" i="20"/>
  <c r="V22" i="20"/>
  <c r="AD22" i="20" s="1"/>
  <c r="AI21" i="20"/>
  <c r="X21" i="20"/>
  <c r="Y21" i="20" s="1"/>
  <c r="AH21" i="20" s="1"/>
  <c r="W21" i="20"/>
  <c r="V21" i="20"/>
  <c r="AD21" i="20" s="1"/>
  <c r="AI20" i="20"/>
  <c r="X20" i="20"/>
  <c r="Y20" i="20" s="1"/>
  <c r="AH20" i="20" s="1"/>
  <c r="W20" i="20"/>
  <c r="V20" i="20"/>
  <c r="AD20" i="20" s="1"/>
  <c r="AI19" i="20"/>
  <c r="X19" i="20"/>
  <c r="Y19" i="20" s="1"/>
  <c r="AH19" i="20" s="1"/>
  <c r="W19" i="20"/>
  <c r="V19" i="20"/>
  <c r="AD19" i="20" s="1"/>
  <c r="AI18" i="20"/>
  <c r="X18" i="20"/>
  <c r="Y18" i="20" s="1"/>
  <c r="W18" i="20"/>
  <c r="V18" i="20"/>
  <c r="AD18" i="20" s="1"/>
  <c r="X17" i="20"/>
  <c r="Y17" i="20" s="1"/>
  <c r="AH17" i="20" s="1"/>
  <c r="W17" i="20"/>
  <c r="AE17" i="20" s="1"/>
  <c r="AI16" i="20"/>
  <c r="W16" i="20"/>
  <c r="V16" i="20"/>
  <c r="AD16" i="20" s="1"/>
  <c r="AI15" i="20"/>
  <c r="X15" i="20"/>
  <c r="Y15" i="20" s="1"/>
  <c r="AH15" i="20" s="1"/>
  <c r="W15" i="20"/>
  <c r="V15" i="20"/>
  <c r="AD15" i="20" s="1"/>
  <c r="AI14" i="20"/>
  <c r="X14" i="20" s="1"/>
  <c r="Y14" i="20" s="1"/>
  <c r="AH14" i="20" s="1"/>
  <c r="W14" i="20"/>
  <c r="V14" i="20"/>
  <c r="AD14" i="20" s="1"/>
  <c r="AI13" i="20"/>
  <c r="X13" i="20" s="1"/>
  <c r="Y13" i="20" s="1"/>
  <c r="AH13" i="20" s="1"/>
  <c r="W13" i="20"/>
  <c r="V13" i="20"/>
  <c r="AD13" i="20" s="1"/>
  <c r="X12" i="20"/>
  <c r="Y12" i="20" s="1"/>
  <c r="AH12" i="20" s="1"/>
  <c r="W12" i="20"/>
  <c r="V12" i="20"/>
  <c r="AD12" i="20" s="1"/>
  <c r="AI11" i="20"/>
  <c r="X11" i="20"/>
  <c r="Y11" i="20" s="1"/>
  <c r="AH11" i="20" s="1"/>
  <c r="W11" i="20"/>
  <c r="V11" i="20"/>
  <c r="AD11" i="20" s="1"/>
  <c r="AI10" i="20"/>
  <c r="X10" i="20" s="1"/>
  <c r="Y10" i="20" s="1"/>
  <c r="AH10" i="20" s="1"/>
  <c r="W10" i="20"/>
  <c r="V10" i="20"/>
  <c r="AD10" i="20" s="1"/>
  <c r="AD9" i="20"/>
  <c r="AJ7" i="20"/>
  <c r="AI427" i="19"/>
  <c r="AI318" i="19"/>
  <c r="AI319" i="19"/>
  <c r="AI322" i="19"/>
  <c r="AI326" i="19"/>
  <c r="AI329" i="19"/>
  <c r="AI328" i="19"/>
  <c r="AI350" i="19"/>
  <c r="AI371" i="19"/>
  <c r="AI370" i="19"/>
  <c r="AI387" i="19"/>
  <c r="AI392" i="19"/>
  <c r="AI395" i="19"/>
  <c r="AI398" i="19"/>
  <c r="AI397" i="19"/>
  <c r="AI438" i="19"/>
  <c r="X438" i="19" s="1"/>
  <c r="AI440" i="19"/>
  <c r="AI507" i="19"/>
  <c r="AI506" i="19"/>
  <c r="AI505" i="19"/>
  <c r="X505" i="19"/>
  <c r="X506" i="19"/>
  <c r="AI523" i="19"/>
  <c r="AI524" i="19"/>
  <c r="AI550" i="19"/>
  <c r="AI547" i="19"/>
  <c r="X547" i="19" s="1"/>
  <c r="X550" i="19"/>
  <c r="X546" i="19"/>
  <c r="X524" i="19"/>
  <c r="X522" i="19"/>
  <c r="X440" i="19"/>
  <c r="X399" i="19"/>
  <c r="X400" i="19"/>
  <c r="AA22" i="20" l="1"/>
  <c r="Z22" i="20" s="1"/>
  <c r="AE132" i="20"/>
  <c r="AE133" i="20"/>
  <c r="AE188" i="20"/>
  <c r="AE220" i="20"/>
  <c r="AE329" i="20"/>
  <c r="AE337" i="20"/>
  <c r="AA383" i="20"/>
  <c r="Z383" i="20" s="1"/>
  <c r="AE386" i="20"/>
  <c r="AE399" i="20"/>
  <c r="AA400" i="20"/>
  <c r="Z400" i="20" s="1"/>
  <c r="AE470" i="20"/>
  <c r="AE513" i="20"/>
  <c r="AE93" i="20"/>
  <c r="AA143" i="20"/>
  <c r="Z143" i="20" s="1"/>
  <c r="AE160" i="20"/>
  <c r="AH173" i="20"/>
  <c r="AE182" i="20"/>
  <c r="AE413" i="20"/>
  <c r="AE438" i="20"/>
  <c r="AE448" i="20"/>
  <c r="AE473" i="20"/>
  <c r="AE479" i="20"/>
  <c r="AE43" i="20"/>
  <c r="AA58" i="20"/>
  <c r="Z58" i="20" s="1"/>
  <c r="AA92" i="20"/>
  <c r="Z92" i="20" s="1"/>
  <c r="AE181" i="20"/>
  <c r="AE286" i="20"/>
  <c r="AE444" i="20"/>
  <c r="AE459" i="20"/>
  <c r="AE535" i="20"/>
  <c r="AE536" i="20"/>
  <c r="AA186" i="20"/>
  <c r="Z186" i="20" s="1"/>
  <c r="AE15" i="20"/>
  <c r="AH22" i="20"/>
  <c r="AE63" i="20"/>
  <c r="AE64" i="20"/>
  <c r="AA93" i="20"/>
  <c r="Z93" i="20" s="1"/>
  <c r="AE103" i="20"/>
  <c r="AE109" i="20"/>
  <c r="AE120" i="20"/>
  <c r="AA130" i="20"/>
  <c r="Z130" i="20" s="1"/>
  <c r="AE147" i="20"/>
  <c r="AE163" i="20"/>
  <c r="AA164" i="20"/>
  <c r="Z164" i="20" s="1"/>
  <c r="AE184" i="20"/>
  <c r="AE228" i="20"/>
  <c r="AE236" i="20"/>
  <c r="AA239" i="20"/>
  <c r="Z239" i="20" s="1"/>
  <c r="AE284" i="20"/>
  <c r="AE285" i="20"/>
  <c r="AE297" i="20"/>
  <c r="AE318" i="20"/>
  <c r="AE320" i="20"/>
  <c r="AE327" i="20"/>
  <c r="AA345" i="20"/>
  <c r="Z345" i="20" s="1"/>
  <c r="AE349" i="20"/>
  <c r="AA351" i="20"/>
  <c r="Z351" i="20" s="1"/>
  <c r="AA353" i="20"/>
  <c r="Z353" i="20" s="1"/>
  <c r="AE355" i="20"/>
  <c r="AE388" i="20"/>
  <c r="AE389" i="20"/>
  <c r="AA406" i="20"/>
  <c r="Z406" i="20" s="1"/>
  <c r="AA417" i="20"/>
  <c r="Z417" i="20" s="1"/>
  <c r="AE458" i="20"/>
  <c r="AE498" i="20"/>
  <c r="AE492" i="20"/>
  <c r="AE13" i="20"/>
  <c r="AE23" i="20"/>
  <c r="AE35" i="20"/>
  <c r="AA46" i="20"/>
  <c r="Z46" i="20" s="1"/>
  <c r="AE79" i="20"/>
  <c r="AE102" i="20"/>
  <c r="AE130" i="20"/>
  <c r="AE142" i="20"/>
  <c r="AE187" i="20"/>
  <c r="AE201" i="20"/>
  <c r="AE230" i="20"/>
  <c r="AE231" i="20"/>
  <c r="AA232" i="20"/>
  <c r="Z232" i="20" s="1"/>
  <c r="AE243" i="20"/>
  <c r="AE247" i="20"/>
  <c r="AE271" i="20"/>
  <c r="AE277" i="20"/>
  <c r="AA279" i="20"/>
  <c r="Z279" i="20" s="1"/>
  <c r="AE282" i="20"/>
  <c r="AE328" i="20"/>
  <c r="AE353" i="20"/>
  <c r="AE365" i="20"/>
  <c r="AE369" i="20"/>
  <c r="AE374" i="20"/>
  <c r="AE400" i="20"/>
  <c r="AA401" i="20"/>
  <c r="Z401" i="20" s="1"/>
  <c r="AE406" i="20"/>
  <c r="AA426" i="20"/>
  <c r="Z426" i="20" s="1"/>
  <c r="AA446" i="20"/>
  <c r="Z446" i="20" s="1"/>
  <c r="AE451" i="20"/>
  <c r="AA458" i="20"/>
  <c r="Z458" i="20" s="1"/>
  <c r="AE528" i="20"/>
  <c r="AE557" i="20"/>
  <c r="AE190" i="20"/>
  <c r="AE24" i="20"/>
  <c r="AE30" i="20"/>
  <c r="AE39" i="20"/>
  <c r="AE60" i="20"/>
  <c r="AE81" i="20"/>
  <c r="AE89" i="20"/>
  <c r="AE99" i="20"/>
  <c r="AE113" i="20"/>
  <c r="AE123" i="20"/>
  <c r="AE129" i="20"/>
  <c r="AE140" i="20"/>
  <c r="AE152" i="20"/>
  <c r="AE168" i="20"/>
  <c r="AE173" i="20"/>
  <c r="AE183" i="20"/>
  <c r="AA187" i="20"/>
  <c r="Z187" i="20" s="1"/>
  <c r="AE205" i="20"/>
  <c r="AA220" i="20"/>
  <c r="Z220" i="20" s="1"/>
  <c r="AA225" i="20"/>
  <c r="Z225" i="20" s="1"/>
  <c r="AE250" i="20"/>
  <c r="AA335" i="20"/>
  <c r="Z335" i="20" s="1"/>
  <c r="AE344" i="20"/>
  <c r="AA354" i="20"/>
  <c r="Z354" i="20" s="1"/>
  <c r="AE411" i="20"/>
  <c r="AA420" i="20"/>
  <c r="Z420" i="20" s="1"/>
  <c r="AA452" i="20"/>
  <c r="Z452" i="20" s="1"/>
  <c r="AA461" i="20"/>
  <c r="Z461" i="20" s="1"/>
  <c r="AE471" i="20"/>
  <c r="AE489" i="20"/>
  <c r="AA493" i="20"/>
  <c r="Z493" i="20" s="1"/>
  <c r="AE21" i="20"/>
  <c r="AE26" i="20"/>
  <c r="AA39" i="20"/>
  <c r="Z39" i="20" s="1"/>
  <c r="AE67" i="20"/>
  <c r="AE106" i="20"/>
  <c r="AE118" i="20"/>
  <c r="AE127" i="20"/>
  <c r="AA140" i="20"/>
  <c r="Z140" i="20" s="1"/>
  <c r="AE143" i="20"/>
  <c r="AE150" i="20"/>
  <c r="AH168" i="20"/>
  <c r="AA200" i="20"/>
  <c r="Z200" i="20" s="1"/>
  <c r="AA205" i="20"/>
  <c r="Z205" i="20" s="1"/>
  <c r="AE216" i="20"/>
  <c r="AE225" i="20"/>
  <c r="AE226" i="20"/>
  <c r="AE227" i="20"/>
  <c r="AE294" i="20"/>
  <c r="AA308" i="20"/>
  <c r="Z308" i="20" s="1"/>
  <c r="AE338" i="20"/>
  <c r="AE348" i="20"/>
  <c r="AA355" i="20"/>
  <c r="Z355" i="20" s="1"/>
  <c r="AE370" i="20"/>
  <c r="AA375" i="20"/>
  <c r="Z375" i="20" s="1"/>
  <c r="AE379" i="20"/>
  <c r="AE380" i="20"/>
  <c r="AE417" i="20"/>
  <c r="AE423" i="20"/>
  <c r="AE426" i="20"/>
  <c r="AA431" i="20"/>
  <c r="Z431" i="20" s="1"/>
  <c r="AE437" i="20"/>
  <c r="AA451" i="20"/>
  <c r="Z451" i="20" s="1"/>
  <c r="AA455" i="20"/>
  <c r="Z455" i="20" s="1"/>
  <c r="AE482" i="20"/>
  <c r="AE542" i="20"/>
  <c r="AE139" i="20"/>
  <c r="AA12" i="20"/>
  <c r="Z12" i="20" s="1"/>
  <c r="AE18" i="20"/>
  <c r="AE46" i="20"/>
  <c r="AE54" i="20"/>
  <c r="AE66" i="20"/>
  <c r="AA83" i="20"/>
  <c r="Z83" i="20" s="1"/>
  <c r="AE95" i="20"/>
  <c r="AE105" i="20"/>
  <c r="AE117" i="20"/>
  <c r="AE148" i="20"/>
  <c r="AA151" i="20"/>
  <c r="Z151" i="20" s="1"/>
  <c r="AE154" i="20"/>
  <c r="AE186" i="20"/>
  <c r="AE195" i="20"/>
  <c r="AE246" i="20"/>
  <c r="AE249" i="20"/>
  <c r="AE279" i="20"/>
  <c r="AE310" i="20"/>
  <c r="AA329" i="20"/>
  <c r="Z329" i="20" s="1"/>
  <c r="AE350" i="20"/>
  <c r="AE360" i="20"/>
  <c r="AE372" i="20"/>
  <c r="AA374" i="20"/>
  <c r="Z374" i="20" s="1"/>
  <c r="AE396" i="20"/>
  <c r="AA405" i="20"/>
  <c r="Z405" i="20" s="1"/>
  <c r="AE420" i="20"/>
  <c r="AE453" i="20"/>
  <c r="AA477" i="20"/>
  <c r="Z477" i="20" s="1"/>
  <c r="AE495" i="20"/>
  <c r="AE496" i="20"/>
  <c r="AE497" i="20"/>
  <c r="AE505" i="20"/>
  <c r="AE510" i="20"/>
  <c r="AE514" i="20"/>
  <c r="AE532" i="20"/>
  <c r="AE533" i="20"/>
  <c r="AE540" i="20"/>
  <c r="AE544" i="20"/>
  <c r="AE14" i="20"/>
  <c r="AE94" i="20"/>
  <c r="AE68" i="20"/>
  <c r="AE165" i="20"/>
  <c r="AA17" i="20"/>
  <c r="Z17" i="20" s="1"/>
  <c r="AE20" i="20"/>
  <c r="AE22" i="20"/>
  <c r="AE27" i="20"/>
  <c r="AA30" i="20"/>
  <c r="Z30" i="20" s="1"/>
  <c r="AE41" i="20"/>
  <c r="AE42" i="20"/>
  <c r="AA43" i="20"/>
  <c r="Z43" i="20" s="1"/>
  <c r="AA53" i="20"/>
  <c r="Z53" i="20" s="1"/>
  <c r="AE61" i="20"/>
  <c r="AE74" i="20"/>
  <c r="AE83" i="20"/>
  <c r="AA91" i="20"/>
  <c r="Z91" i="20" s="1"/>
  <c r="AE101" i="20"/>
  <c r="AA101" i="20"/>
  <c r="Z101" i="20" s="1"/>
  <c r="AE116" i="20"/>
  <c r="AE135" i="20"/>
  <c r="AE138" i="20"/>
  <c r="AA142" i="20"/>
  <c r="Z142" i="20" s="1"/>
  <c r="AE158" i="20"/>
  <c r="AE213" i="20"/>
  <c r="AE224" i="20"/>
  <c r="AE232" i="20"/>
  <c r="AE238" i="20"/>
  <c r="AE255" i="20"/>
  <c r="AE334" i="20"/>
  <c r="AE515" i="20"/>
  <c r="AE541" i="20"/>
  <c r="AA543" i="20"/>
  <c r="Z543" i="20" s="1"/>
  <c r="AE554" i="20"/>
  <c r="AA368" i="20"/>
  <c r="Z368" i="20" s="1"/>
  <c r="AE368" i="20"/>
  <c r="AA196" i="20"/>
  <c r="Z196" i="20" s="1"/>
  <c r="AE203" i="20"/>
  <c r="AE47" i="20"/>
  <c r="AE48" i="20"/>
  <c r="AE78" i="20"/>
  <c r="AE112" i="20"/>
  <c r="AE151" i="20"/>
  <c r="AH238" i="20"/>
  <c r="AE245" i="20"/>
  <c r="AA259" i="20"/>
  <c r="Z259" i="20" s="1"/>
  <c r="AA261" i="20"/>
  <c r="Z261" i="20" s="1"/>
  <c r="AE261" i="20"/>
  <c r="AA266" i="20"/>
  <c r="Z266" i="20" s="1"/>
  <c r="AE266" i="20"/>
  <c r="AE398" i="20"/>
  <c r="AE418" i="20"/>
  <c r="AA418" i="20"/>
  <c r="Z418" i="20" s="1"/>
  <c r="AA428" i="20"/>
  <c r="Z428" i="20" s="1"/>
  <c r="AE428" i="20"/>
  <c r="AA515" i="20"/>
  <c r="Z515" i="20" s="1"/>
  <c r="AH515" i="20"/>
  <c r="AE33" i="20"/>
  <c r="AE34" i="20"/>
  <c r="AE44" i="20"/>
  <c r="AA48" i="20"/>
  <c r="Z48" i="20" s="1"/>
  <c r="AE55" i="20"/>
  <c r="AA66" i="20"/>
  <c r="Z66" i="20" s="1"/>
  <c r="AA67" i="20"/>
  <c r="Z67" i="20" s="1"/>
  <c r="AA86" i="20"/>
  <c r="Z86" i="20" s="1"/>
  <c r="AA97" i="20"/>
  <c r="Z97" i="20" s="1"/>
  <c r="AE114" i="20"/>
  <c r="AE128" i="20"/>
  <c r="AA135" i="20"/>
  <c r="Z135" i="20" s="1"/>
  <c r="AE172" i="20"/>
  <c r="AA188" i="20"/>
  <c r="Z188" i="20" s="1"/>
  <c r="AA192" i="20"/>
  <c r="Z192" i="20" s="1"/>
  <c r="AE217" i="20"/>
  <c r="AA241" i="20"/>
  <c r="Z241" i="20" s="1"/>
  <c r="AE244" i="20"/>
  <c r="AE248" i="20"/>
  <c r="AA249" i="20"/>
  <c r="Z249" i="20" s="1"/>
  <c r="AE262" i="20"/>
  <c r="AE287" i="20"/>
  <c r="AE373" i="20"/>
  <c r="AE377" i="20"/>
  <c r="AH384" i="20"/>
  <c r="AA384" i="20"/>
  <c r="Z384" i="20" s="1"/>
  <c r="AE416" i="20"/>
  <c r="AE457" i="20"/>
  <c r="AA494" i="20"/>
  <c r="Z494" i="20" s="1"/>
  <c r="AE494" i="20"/>
  <c r="AE501" i="20"/>
  <c r="AE507" i="20"/>
  <c r="AE550" i="20"/>
  <c r="AE80" i="20"/>
  <c r="AA106" i="20"/>
  <c r="Z106" i="20" s="1"/>
  <c r="AE107" i="20"/>
  <c r="AA122" i="20"/>
  <c r="Z122" i="20" s="1"/>
  <c r="AE134" i="20"/>
  <c r="AA146" i="20"/>
  <c r="Z146" i="20" s="1"/>
  <c r="AA170" i="20"/>
  <c r="Z170" i="20" s="1"/>
  <c r="AA183" i="20"/>
  <c r="Z183" i="20" s="1"/>
  <c r="AE206" i="20"/>
  <c r="AA262" i="20"/>
  <c r="Z262" i="20" s="1"/>
  <c r="AE300" i="20"/>
  <c r="AE307" i="20"/>
  <c r="AH311" i="20"/>
  <c r="AA311" i="20"/>
  <c r="Z311" i="20" s="1"/>
  <c r="AE315" i="20"/>
  <c r="AE351" i="20"/>
  <c r="AE395" i="20"/>
  <c r="AE424" i="20"/>
  <c r="AE468" i="20"/>
  <c r="AA255" i="20"/>
  <c r="Z255" i="20" s="1"/>
  <c r="AE270" i="20"/>
  <c r="AE281" i="20"/>
  <c r="AE289" i="20"/>
  <c r="AE302" i="20"/>
  <c r="AA357" i="20"/>
  <c r="Z357" i="20" s="1"/>
  <c r="AA360" i="20"/>
  <c r="Z360" i="20" s="1"/>
  <c r="AE384" i="20"/>
  <c r="AE387" i="20"/>
  <c r="AA395" i="20"/>
  <c r="Z395" i="20" s="1"/>
  <c r="AA423" i="20"/>
  <c r="Z423" i="20" s="1"/>
  <c r="AE442" i="20"/>
  <c r="AA459" i="20"/>
  <c r="Z459" i="20" s="1"/>
  <c r="AE461" i="20"/>
  <c r="AE493" i="20"/>
  <c r="AA507" i="20"/>
  <c r="Z507" i="20" s="1"/>
  <c r="AA520" i="20"/>
  <c r="Z520" i="20" s="1"/>
  <c r="AE526" i="20"/>
  <c r="AE323" i="20"/>
  <c r="AE326" i="20"/>
  <c r="AE333" i="20"/>
  <c r="AA348" i="20"/>
  <c r="Z348" i="20" s="1"/>
  <c r="AA393" i="20"/>
  <c r="Z393" i="20" s="1"/>
  <c r="AE405" i="20"/>
  <c r="AA416" i="20"/>
  <c r="Z416" i="20" s="1"/>
  <c r="AA424" i="20"/>
  <c r="Z424" i="20" s="1"/>
  <c r="AE431" i="20"/>
  <c r="AA449" i="20"/>
  <c r="Z449" i="20" s="1"/>
  <c r="AE454" i="20"/>
  <c r="AA499" i="20"/>
  <c r="Z499" i="20" s="1"/>
  <c r="AA503" i="20"/>
  <c r="Z503" i="20" s="1"/>
  <c r="AA525" i="20"/>
  <c r="Z525" i="20" s="1"/>
  <c r="AA540" i="20"/>
  <c r="Z540" i="20" s="1"/>
  <c r="AE543" i="20"/>
  <c r="AH507" i="20"/>
  <c r="AH81" i="20"/>
  <c r="AA81" i="20"/>
  <c r="Z81" i="20" s="1"/>
  <c r="AH29" i="20"/>
  <c r="AA29" i="20"/>
  <c r="Z29" i="20" s="1"/>
  <c r="AH204" i="20"/>
  <c r="AA204" i="20"/>
  <c r="Z204" i="20" s="1"/>
  <c r="AH333" i="20"/>
  <c r="AA333" i="20"/>
  <c r="Z333" i="20" s="1"/>
  <c r="AH145" i="20"/>
  <c r="AA145" i="20"/>
  <c r="Z145" i="20" s="1"/>
  <c r="AH378" i="20"/>
  <c r="AA378" i="20"/>
  <c r="Z378" i="20" s="1"/>
  <c r="AH78" i="20"/>
  <c r="AA78" i="20"/>
  <c r="Z78" i="20" s="1"/>
  <c r="AH211" i="20"/>
  <c r="AA211" i="20"/>
  <c r="Z211" i="20" s="1"/>
  <c r="AH372" i="20"/>
  <c r="AA372" i="20"/>
  <c r="Z372" i="20" s="1"/>
  <c r="AH526" i="20"/>
  <c r="AA526" i="20"/>
  <c r="Z526" i="20" s="1"/>
  <c r="AH54" i="20"/>
  <c r="AA54" i="20"/>
  <c r="Z54" i="20" s="1"/>
  <c r="AH179" i="20"/>
  <c r="AA179" i="20"/>
  <c r="Z179" i="20" s="1"/>
  <c r="AH200" i="20"/>
  <c r="AA315" i="20"/>
  <c r="Z315" i="20" s="1"/>
  <c r="AH315" i="20"/>
  <c r="AA89" i="20"/>
  <c r="Z89" i="20" s="1"/>
  <c r="AH89" i="20"/>
  <c r="AH182" i="20"/>
  <c r="AA182" i="20"/>
  <c r="Z182" i="20" s="1"/>
  <c r="AH124" i="20"/>
  <c r="AA124" i="20"/>
  <c r="Z124" i="20" s="1"/>
  <c r="AA23" i="20"/>
  <c r="Z23" i="20" s="1"/>
  <c r="AH23" i="20"/>
  <c r="AH294" i="20"/>
  <c r="AA294" i="20"/>
  <c r="Z294" i="20" s="1"/>
  <c r="AA195" i="20"/>
  <c r="Z195" i="20" s="1"/>
  <c r="AH195" i="20"/>
  <c r="AH309" i="20"/>
  <c r="AA309" i="20"/>
  <c r="Z309" i="20" s="1"/>
  <c r="AH386" i="20"/>
  <c r="AA386" i="20"/>
  <c r="Z386" i="20" s="1"/>
  <c r="AA302" i="20"/>
  <c r="Z302" i="20" s="1"/>
  <c r="AH147" i="20"/>
  <c r="AA147" i="20"/>
  <c r="Z147" i="20" s="1"/>
  <c r="AH62" i="20"/>
  <c r="AA62" i="20"/>
  <c r="Z62" i="20" s="1"/>
  <c r="AH347" i="20"/>
  <c r="AA347" i="20"/>
  <c r="Z347" i="20" s="1"/>
  <c r="AH522" i="20"/>
  <c r="AA522" i="20"/>
  <c r="Z522" i="20" s="1"/>
  <c r="AH35" i="20"/>
  <c r="AA35" i="20"/>
  <c r="Z35" i="20" s="1"/>
  <c r="AA344" i="20"/>
  <c r="Z344" i="20" s="1"/>
  <c r="AH344" i="20"/>
  <c r="AA292" i="20"/>
  <c r="Z292" i="20" s="1"/>
  <c r="AH292" i="20"/>
  <c r="AH304" i="20"/>
  <c r="AA304" i="20"/>
  <c r="Z304" i="20" s="1"/>
  <c r="AH149" i="20"/>
  <c r="AA149" i="20"/>
  <c r="Z149" i="20" s="1"/>
  <c r="AH479" i="20"/>
  <c r="AA479" i="20"/>
  <c r="Z479" i="20" s="1"/>
  <c r="AA337" i="20"/>
  <c r="Z337" i="20" s="1"/>
  <c r="AH337" i="20"/>
  <c r="AH102" i="20"/>
  <c r="AA102" i="20"/>
  <c r="Z102" i="20" s="1"/>
  <c r="AH307" i="20"/>
  <c r="AA307" i="20"/>
  <c r="Z307" i="20" s="1"/>
  <c r="AH26" i="20"/>
  <c r="AA26" i="20"/>
  <c r="Z26" i="20" s="1"/>
  <c r="AA535" i="20"/>
  <c r="Z535" i="20" s="1"/>
  <c r="AH535" i="20"/>
  <c r="AH99" i="20"/>
  <c r="AA99" i="20"/>
  <c r="Z99" i="20" s="1"/>
  <c r="AA341" i="20"/>
  <c r="Z341" i="20" s="1"/>
  <c r="AH341" i="20"/>
  <c r="AH88" i="20"/>
  <c r="AA88" i="20"/>
  <c r="Z88" i="20" s="1"/>
  <c r="AH541" i="20"/>
  <c r="AA541" i="20"/>
  <c r="Z541" i="20" s="1"/>
  <c r="AH105" i="20"/>
  <c r="AA105" i="20"/>
  <c r="Z105" i="20" s="1"/>
  <c r="AH134" i="20"/>
  <c r="AA134" i="20"/>
  <c r="Z134" i="20" s="1"/>
  <c r="AA442" i="20"/>
  <c r="Z442" i="20" s="1"/>
  <c r="AH442" i="20"/>
  <c r="AH187" i="20"/>
  <c r="AH251" i="20"/>
  <c r="AA251" i="20"/>
  <c r="Z251" i="20" s="1"/>
  <c r="AA72" i="20"/>
  <c r="Z72" i="20" s="1"/>
  <c r="AA474" i="20"/>
  <c r="Z474" i="20" s="1"/>
  <c r="AH499" i="20"/>
  <c r="AA197" i="20"/>
  <c r="Z197" i="20" s="1"/>
  <c r="AA107" i="20"/>
  <c r="Z107" i="20" s="1"/>
  <c r="AH239" i="20"/>
  <c r="AA454" i="20"/>
  <c r="Z454" i="20" s="1"/>
  <c r="AH520" i="20"/>
  <c r="AA161" i="20"/>
  <c r="Z161" i="20" s="1"/>
  <c r="AA300" i="20"/>
  <c r="Z300" i="20" s="1"/>
  <c r="AH525" i="20"/>
  <c r="AA257" i="20"/>
  <c r="Z257" i="20" s="1"/>
  <c r="AA291" i="20"/>
  <c r="Z291" i="20" s="1"/>
  <c r="AH348" i="20"/>
  <c r="AA413" i="20"/>
  <c r="Z413" i="20" s="1"/>
  <c r="AA511" i="20"/>
  <c r="Z511" i="20" s="1"/>
  <c r="AA285" i="20"/>
  <c r="Z285" i="20" s="1"/>
  <c r="AH66" i="20"/>
  <c r="AH255" i="20"/>
  <c r="AA448" i="20"/>
  <c r="Z448" i="20" s="1"/>
  <c r="AA103" i="20"/>
  <c r="Z103" i="20" s="1"/>
  <c r="AA217" i="20"/>
  <c r="Z217" i="20" s="1"/>
  <c r="AA236" i="20"/>
  <c r="Z236" i="20" s="1"/>
  <c r="AA506" i="20"/>
  <c r="Z506" i="20" s="1"/>
  <c r="AA438" i="20"/>
  <c r="Z438" i="20" s="1"/>
  <c r="AA480" i="20"/>
  <c r="Z480" i="20" s="1"/>
  <c r="AA270" i="20"/>
  <c r="Z270" i="20" s="1"/>
  <c r="AA398" i="20"/>
  <c r="Z398" i="20" s="1"/>
  <c r="AA532" i="20"/>
  <c r="Z532" i="20" s="1"/>
  <c r="AA352" i="20"/>
  <c r="Z352" i="20" s="1"/>
  <c r="AA175" i="20"/>
  <c r="Z175" i="20" s="1"/>
  <c r="AA166" i="20"/>
  <c r="Z166" i="20" s="1"/>
  <c r="AA108" i="20"/>
  <c r="Z108" i="20" s="1"/>
  <c r="AA409" i="20"/>
  <c r="Z409" i="20" s="1"/>
  <c r="AA492" i="20"/>
  <c r="Z492" i="20" s="1"/>
  <c r="AA467" i="20"/>
  <c r="Z467" i="20" s="1"/>
  <c r="AA287" i="20"/>
  <c r="Z287" i="20" s="1"/>
  <c r="AA542" i="20"/>
  <c r="Z542" i="20" s="1"/>
  <c r="AH86" i="20"/>
  <c r="AA533" i="20"/>
  <c r="Z533" i="20" s="1"/>
  <c r="AA258" i="20"/>
  <c r="Z258" i="20" s="1"/>
  <c r="AH329" i="20"/>
  <c r="AA28" i="20"/>
  <c r="Z28" i="20" s="1"/>
  <c r="AA318" i="20"/>
  <c r="Z318" i="20" s="1"/>
  <c r="AA457" i="20"/>
  <c r="Z457" i="20" s="1"/>
  <c r="AA554" i="20"/>
  <c r="AH226" i="20"/>
  <c r="AA226" i="20"/>
  <c r="Z226" i="20" s="1"/>
  <c r="AH158" i="20"/>
  <c r="AA158" i="20"/>
  <c r="Z158" i="20" s="1"/>
  <c r="AH18" i="20"/>
  <c r="AA18" i="20"/>
  <c r="Z18" i="20" s="1"/>
  <c r="AE412" i="20"/>
  <c r="AA32" i="20"/>
  <c r="Z32" i="20" s="1"/>
  <c r="AE32" i="20"/>
  <c r="AH313" i="20"/>
  <c r="AA313" i="20"/>
  <c r="Z313" i="20" s="1"/>
  <c r="AE363" i="20"/>
  <c r="AA363" i="20"/>
  <c r="AE59" i="20"/>
  <c r="AA59" i="20"/>
  <c r="Z59" i="20" s="1"/>
  <c r="AA74" i="20"/>
  <c r="Z74" i="20" s="1"/>
  <c r="AA139" i="20"/>
  <c r="Z139" i="20" s="1"/>
  <c r="AH181" i="20"/>
  <c r="AA181" i="20"/>
  <c r="Z181" i="20" s="1"/>
  <c r="AA189" i="20"/>
  <c r="Z189" i="20" s="1"/>
  <c r="AE273" i="20"/>
  <c r="AH399" i="20"/>
  <c r="AA399" i="20"/>
  <c r="Z399" i="20" s="1"/>
  <c r="AH444" i="20"/>
  <c r="AA444" i="20"/>
  <c r="Z444" i="20" s="1"/>
  <c r="AH338" i="20"/>
  <c r="AA338" i="20"/>
  <c r="Z338" i="20" s="1"/>
  <c r="AH233" i="20"/>
  <c r="AA233" i="20"/>
  <c r="Z233" i="20" s="1"/>
  <c r="AE36" i="20"/>
  <c r="AA36" i="20"/>
  <c r="Z36" i="20" s="1"/>
  <c r="AH296" i="20"/>
  <c r="AA296" i="20"/>
  <c r="Z296" i="20" s="1"/>
  <c r="AH41" i="20"/>
  <c r="AA41" i="20"/>
  <c r="AE253" i="20"/>
  <c r="AA253" i="20"/>
  <c r="Z253" i="20" s="1"/>
  <c r="AE162" i="20"/>
  <c r="AA162" i="20"/>
  <c r="Z162" i="20" s="1"/>
  <c r="AA229" i="20"/>
  <c r="Z229" i="20" s="1"/>
  <c r="AE312" i="20"/>
  <c r="AE97" i="20"/>
  <c r="AH111" i="20"/>
  <c r="AA111" i="20"/>
  <c r="Z111" i="20" s="1"/>
  <c r="AH121" i="20"/>
  <c r="AA121" i="20"/>
  <c r="Z121" i="20" s="1"/>
  <c r="AH312" i="20"/>
  <c r="AA312" i="20"/>
  <c r="Z312" i="20" s="1"/>
  <c r="AH334" i="20"/>
  <c r="AA334" i="20"/>
  <c r="Z334" i="20" s="1"/>
  <c r="AA408" i="20"/>
  <c r="AH47" i="20"/>
  <c r="AA47" i="20"/>
  <c r="Z47" i="20" s="1"/>
  <c r="AH389" i="20"/>
  <c r="AA389" i="20"/>
  <c r="Z389" i="20" s="1"/>
  <c r="AA14" i="20"/>
  <c r="Z14" i="20" s="1"/>
  <c r="AA42" i="20"/>
  <c r="Z42" i="20" s="1"/>
  <c r="AH42" i="20"/>
  <c r="AA117" i="20"/>
  <c r="Z117" i="20" s="1"/>
  <c r="AA346" i="20"/>
  <c r="Z346" i="20" s="1"/>
  <c r="AH346" i="20"/>
  <c r="AE358" i="20"/>
  <c r="AA358" i="20"/>
  <c r="Z358" i="20" s="1"/>
  <c r="AE194" i="20"/>
  <c r="AA194" i="20"/>
  <c r="AA545" i="20"/>
  <c r="Z545" i="20" s="1"/>
  <c r="AE545" i="20"/>
  <c r="AH68" i="20"/>
  <c r="AA68" i="20"/>
  <c r="Z68" i="20" s="1"/>
  <c r="AA206" i="20"/>
  <c r="Z206" i="20" s="1"/>
  <c r="AA244" i="20"/>
  <c r="Z244" i="20" s="1"/>
  <c r="AH244" i="20"/>
  <c r="AA132" i="20"/>
  <c r="Z132" i="20" s="1"/>
  <c r="AE177" i="20"/>
  <c r="AA177" i="20"/>
  <c r="Z177" i="20" s="1"/>
  <c r="AA273" i="20"/>
  <c r="Z273" i="20" s="1"/>
  <c r="AA412" i="20"/>
  <c r="Z412" i="20" s="1"/>
  <c r="AE82" i="20"/>
  <c r="AA82" i="20"/>
  <c r="Z82" i="20" s="1"/>
  <c r="AH199" i="20"/>
  <c r="AA199" i="20"/>
  <c r="Z199" i="20" s="1"/>
  <c r="AE90" i="20"/>
  <c r="AA90" i="20"/>
  <c r="Z90" i="20" s="1"/>
  <c r="AA11" i="20"/>
  <c r="Z11" i="20" s="1"/>
  <c r="AE11" i="20"/>
  <c r="AA25" i="20"/>
  <c r="Z25" i="20" s="1"/>
  <c r="AE25" i="20"/>
  <c r="AA71" i="20"/>
  <c r="Z71" i="20" s="1"/>
  <c r="AE71" i="20"/>
  <c r="AH178" i="20"/>
  <c r="AA178" i="20"/>
  <c r="Z178" i="20" s="1"/>
  <c r="AE260" i="20"/>
  <c r="AA260" i="20"/>
  <c r="Z260" i="20" s="1"/>
  <c r="AA154" i="20"/>
  <c r="Z154" i="20" s="1"/>
  <c r="AH154" i="20"/>
  <c r="AA222" i="20"/>
  <c r="Z222" i="20" s="1"/>
  <c r="AE222" i="20"/>
  <c r="AA264" i="20"/>
  <c r="AE264" i="20"/>
  <c r="AA269" i="20"/>
  <c r="Z269" i="20" s="1"/>
  <c r="AE269" i="20"/>
  <c r="AA299" i="20"/>
  <c r="Z299" i="20" s="1"/>
  <c r="AH299" i="20"/>
  <c r="AE65" i="20"/>
  <c r="AA128" i="20"/>
  <c r="Z128" i="20" s="1"/>
  <c r="AH55" i="20"/>
  <c r="AA55" i="20"/>
  <c r="Z55" i="20" s="1"/>
  <c r="AH160" i="20"/>
  <c r="AA160" i="20"/>
  <c r="Z160" i="20" s="1"/>
  <c r="AH336" i="20"/>
  <c r="AA336" i="20"/>
  <c r="Z336" i="20" s="1"/>
  <c r="AH70" i="20"/>
  <c r="AA70" i="20"/>
  <c r="Z70" i="20" s="1"/>
  <c r="AA169" i="20"/>
  <c r="Z169" i="20" s="1"/>
  <c r="AE169" i="20"/>
  <c r="AE237" i="20"/>
  <c r="AA237" i="20"/>
  <c r="Z237" i="20" s="1"/>
  <c r="AA342" i="20"/>
  <c r="Z342" i="20" s="1"/>
  <c r="AH342" i="20"/>
  <c r="AH498" i="20"/>
  <c r="AA498" i="20"/>
  <c r="Z498" i="20" s="1"/>
  <c r="AH129" i="20"/>
  <c r="AA129" i="20"/>
  <c r="Z129" i="20" s="1"/>
  <c r="AE219" i="20"/>
  <c r="AA219" i="20"/>
  <c r="Z219" i="20" s="1"/>
  <c r="AE291" i="20"/>
  <c r="AH50" i="20"/>
  <c r="AA50" i="20"/>
  <c r="Z50" i="20" s="1"/>
  <c r="AA21" i="20"/>
  <c r="Z21" i="20" s="1"/>
  <c r="AE51" i="20"/>
  <c r="AA51" i="20"/>
  <c r="Z51" i="20" s="1"/>
  <c r="AA109" i="20"/>
  <c r="Z109" i="20" s="1"/>
  <c r="AE257" i="20"/>
  <c r="AE316" i="20"/>
  <c r="AA316" i="20"/>
  <c r="Z316" i="20" s="1"/>
  <c r="AH326" i="20"/>
  <c r="AA326" i="20"/>
  <c r="Z326" i="20" s="1"/>
  <c r="AA77" i="20"/>
  <c r="Z77" i="20" s="1"/>
  <c r="AA165" i="20"/>
  <c r="Z165" i="20" s="1"/>
  <c r="AA190" i="20"/>
  <c r="Z190" i="20" s="1"/>
  <c r="AA240" i="20"/>
  <c r="Z240" i="20" s="1"/>
  <c r="AA290" i="20"/>
  <c r="Z290" i="20" s="1"/>
  <c r="AH290" i="20"/>
  <c r="AE354" i="20"/>
  <c r="AE403" i="20"/>
  <c r="AA403" i="20"/>
  <c r="Z403" i="20" s="1"/>
  <c r="AE429" i="20"/>
  <c r="AA429" i="20"/>
  <c r="Z429" i="20" s="1"/>
  <c r="AE502" i="20"/>
  <c r="AA502" i="20"/>
  <c r="Z502" i="20" s="1"/>
  <c r="AE170" i="20"/>
  <c r="AA435" i="20"/>
  <c r="AH435" i="20"/>
  <c r="AA536" i="20"/>
  <c r="Z536" i="20" s="1"/>
  <c r="AA98" i="20"/>
  <c r="Z98" i="20" s="1"/>
  <c r="AA110" i="20"/>
  <c r="Z110" i="20" s="1"/>
  <c r="AA246" i="20"/>
  <c r="Z246" i="20" s="1"/>
  <c r="AH274" i="20"/>
  <c r="AA274" i="20"/>
  <c r="Z274" i="20" s="1"/>
  <c r="AE296" i="20"/>
  <c r="AH321" i="20"/>
  <c r="AA321" i="20"/>
  <c r="Z321" i="20" s="1"/>
  <c r="AA330" i="20"/>
  <c r="Z330" i="20" s="1"/>
  <c r="AE339" i="20"/>
  <c r="AA489" i="20"/>
  <c r="Z489" i="20" s="1"/>
  <c r="AA325" i="20"/>
  <c r="Z325" i="20" s="1"/>
  <c r="AH325" i="20"/>
  <c r="AE159" i="20"/>
  <c r="AA159" i="20"/>
  <c r="Z159" i="20" s="1"/>
  <c r="AA230" i="20"/>
  <c r="Z230" i="20" s="1"/>
  <c r="AE308" i="20"/>
  <c r="AA370" i="20"/>
  <c r="Z370" i="20" s="1"/>
  <c r="AE383" i="20"/>
  <c r="AA125" i="20"/>
  <c r="Z125" i="20" s="1"/>
  <c r="AE125" i="20"/>
  <c r="AE174" i="20"/>
  <c r="AA174" i="20"/>
  <c r="Z174" i="20" s="1"/>
  <c r="AH369" i="20"/>
  <c r="AA369" i="20"/>
  <c r="Z369" i="20" s="1"/>
  <c r="AH373" i="20"/>
  <c r="AA373" i="20"/>
  <c r="Z373" i="20" s="1"/>
  <c r="AE430" i="20"/>
  <c r="AA430" i="20"/>
  <c r="Z430" i="20" s="1"/>
  <c r="AE445" i="20"/>
  <c r="AA445" i="20"/>
  <c r="Z445" i="20" s="1"/>
  <c r="AE265" i="20"/>
  <c r="AA265" i="20"/>
  <c r="Z265" i="20" s="1"/>
  <c r="AE330" i="20"/>
  <c r="AE409" i="20"/>
  <c r="AA440" i="20"/>
  <c r="Z440" i="20" s="1"/>
  <c r="AE440" i="20"/>
  <c r="AA87" i="20"/>
  <c r="Z87" i="20" s="1"/>
  <c r="AE87" i="20"/>
  <c r="AA94" i="20"/>
  <c r="Z94" i="20" s="1"/>
  <c r="AA203" i="20"/>
  <c r="Z203" i="20" s="1"/>
  <c r="AE37" i="20"/>
  <c r="AA37" i="20"/>
  <c r="Z37" i="20" s="1"/>
  <c r="AA114" i="20"/>
  <c r="Z114" i="20" s="1"/>
  <c r="AE166" i="20"/>
  <c r="AA216" i="20"/>
  <c r="Z216" i="20" s="1"/>
  <c r="AA234" i="20"/>
  <c r="Z234" i="20" s="1"/>
  <c r="AE234" i="20"/>
  <c r="AA387" i="20"/>
  <c r="Z387" i="20" s="1"/>
  <c r="AA392" i="20"/>
  <c r="Z392" i="20" s="1"/>
  <c r="AE392" i="20"/>
  <c r="AE476" i="20"/>
  <c r="AA476" i="20"/>
  <c r="Z476" i="20" s="1"/>
  <c r="AE527" i="20"/>
  <c r="AA527" i="20"/>
  <c r="Z527" i="20" s="1"/>
  <c r="AE547" i="20"/>
  <c r="AA547" i="20"/>
  <c r="Z547" i="20" s="1"/>
  <c r="AA15" i="20"/>
  <c r="Z15" i="20" s="1"/>
  <c r="AE52" i="20"/>
  <c r="AA79" i="20"/>
  <c r="Z79" i="20" s="1"/>
  <c r="AE91" i="20"/>
  <c r="AH133" i="20"/>
  <c r="AA133" i="20"/>
  <c r="Z133" i="20" s="1"/>
  <c r="AE137" i="20"/>
  <c r="AA137" i="20"/>
  <c r="Z137" i="20" s="1"/>
  <c r="AA33" i="20"/>
  <c r="Z33" i="20" s="1"/>
  <c r="AA44" i="20"/>
  <c r="Z44" i="20" s="1"/>
  <c r="AE110" i="20"/>
  <c r="AE126" i="20"/>
  <c r="AA126" i="20"/>
  <c r="Z126" i="20" s="1"/>
  <c r="AA163" i="20"/>
  <c r="Z163" i="20" s="1"/>
  <c r="AA171" i="20"/>
  <c r="Z171" i="20" s="1"/>
  <c r="AE171" i="20"/>
  <c r="AE204" i="20"/>
  <c r="AE275" i="20"/>
  <c r="AA275" i="20"/>
  <c r="Z275" i="20" s="1"/>
  <c r="AA339" i="20"/>
  <c r="Z339" i="20" s="1"/>
  <c r="AA471" i="20"/>
  <c r="Z471" i="20" s="1"/>
  <c r="AE12" i="20"/>
  <c r="AA52" i="20"/>
  <c r="Z52" i="20" s="1"/>
  <c r="AA56" i="20"/>
  <c r="Z56" i="20" s="1"/>
  <c r="AH56" i="20"/>
  <c r="AH106" i="20"/>
  <c r="AA118" i="20"/>
  <c r="Z118" i="20" s="1"/>
  <c r="AA167" i="20"/>
  <c r="Z167" i="20" s="1"/>
  <c r="AE280" i="20"/>
  <c r="AA280" i="20"/>
  <c r="Z280" i="20" s="1"/>
  <c r="AE317" i="20"/>
  <c r="AA317" i="20"/>
  <c r="Z317" i="20" s="1"/>
  <c r="AA331" i="20"/>
  <c r="Z331" i="20" s="1"/>
  <c r="AH331" i="20"/>
  <c r="AA366" i="20"/>
  <c r="Z366" i="20" s="1"/>
  <c r="AE366" i="20"/>
  <c r="AA379" i="20"/>
  <c r="Z379" i="20" s="1"/>
  <c r="AA456" i="20"/>
  <c r="Z456" i="20" s="1"/>
  <c r="AE456" i="20"/>
  <c r="AA528" i="20"/>
  <c r="Z528" i="20" s="1"/>
  <c r="AH537" i="20"/>
  <c r="AA537" i="20"/>
  <c r="Z537" i="20" s="1"/>
  <c r="AA63" i="20"/>
  <c r="Z63" i="20" s="1"/>
  <c r="AH63" i="20"/>
  <c r="AE356" i="20"/>
  <c r="AA356" i="20"/>
  <c r="Z356" i="20" s="1"/>
  <c r="AE38" i="20"/>
  <c r="AH48" i="20"/>
  <c r="AE57" i="20"/>
  <c r="AA57" i="20"/>
  <c r="Z57" i="20" s="1"/>
  <c r="AE76" i="20"/>
  <c r="AA115" i="20"/>
  <c r="Z115" i="20" s="1"/>
  <c r="AE115" i="20"/>
  <c r="AH130" i="20"/>
  <c r="AE276" i="20"/>
  <c r="AA276" i="20"/>
  <c r="Z276" i="20" s="1"/>
  <c r="AA397" i="20"/>
  <c r="Z397" i="20" s="1"/>
  <c r="AE414" i="20"/>
  <c r="AA414" i="20"/>
  <c r="Z414" i="20" s="1"/>
  <c r="AE480" i="20"/>
  <c r="AE523" i="20"/>
  <c r="AE538" i="20"/>
  <c r="AA538" i="20"/>
  <c r="Z538" i="20" s="1"/>
  <c r="AA523" i="20"/>
  <c r="Z523" i="20" s="1"/>
  <c r="AH523" i="20"/>
  <c r="AA13" i="20"/>
  <c r="Z13" i="20" s="1"/>
  <c r="X16" i="20"/>
  <c r="Y16" i="20" s="1"/>
  <c r="AI555" i="20"/>
  <c r="X555" i="20" s="1"/>
  <c r="Y555" i="20" s="1"/>
  <c r="AA555" i="20" s="1"/>
  <c r="Z555" i="20" s="1"/>
  <c r="AH30" i="20"/>
  <c r="AA34" i="20"/>
  <c r="Z34" i="20" s="1"/>
  <c r="AA84" i="20"/>
  <c r="Z84" i="20" s="1"/>
  <c r="AE119" i="20"/>
  <c r="AA119" i="20"/>
  <c r="Z119" i="20" s="1"/>
  <c r="AE131" i="20"/>
  <c r="AH243" i="20"/>
  <c r="AA243" i="20"/>
  <c r="AH281" i="20"/>
  <c r="AA281" i="20"/>
  <c r="Z281" i="20" s="1"/>
  <c r="AA297" i="20"/>
  <c r="Z297" i="20" s="1"/>
  <c r="AE305" i="20"/>
  <c r="AA305" i="20"/>
  <c r="Z305" i="20" s="1"/>
  <c r="AA371" i="20"/>
  <c r="Z371" i="20" s="1"/>
  <c r="AE375" i="20"/>
  <c r="AA380" i="20"/>
  <c r="Z380" i="20" s="1"/>
  <c r="AE393" i="20"/>
  <c r="AE397" i="20"/>
  <c r="AE401" i="20"/>
  <c r="AH437" i="20"/>
  <c r="AA437" i="20"/>
  <c r="Z437" i="20" s="1"/>
  <c r="AE467" i="20"/>
  <c r="AH514" i="20"/>
  <c r="AA514" i="20"/>
  <c r="Z514" i="20" s="1"/>
  <c r="AH472" i="20"/>
  <c r="AA472" i="20"/>
  <c r="Z472" i="20" s="1"/>
  <c r="AA301" i="20"/>
  <c r="Z301" i="20" s="1"/>
  <c r="AE301" i="20"/>
  <c r="AA141" i="20"/>
  <c r="Z141" i="20" s="1"/>
  <c r="AA27" i="20"/>
  <c r="Z27" i="20" s="1"/>
  <c r="AA38" i="20"/>
  <c r="Z38" i="20" s="1"/>
  <c r="AA45" i="20"/>
  <c r="Z45" i="20" s="1"/>
  <c r="AE69" i="20"/>
  <c r="AA69" i="20"/>
  <c r="Z69" i="20" s="1"/>
  <c r="AE96" i="20"/>
  <c r="AA100" i="20"/>
  <c r="Z100" i="20" s="1"/>
  <c r="AE100" i="20"/>
  <c r="AE156" i="20"/>
  <c r="AA201" i="20"/>
  <c r="Z201" i="20" s="1"/>
  <c r="AA213" i="20"/>
  <c r="Z213" i="20" s="1"/>
  <c r="AA289" i="20"/>
  <c r="Z289" i="20" s="1"/>
  <c r="AE491" i="20"/>
  <c r="AA20" i="20"/>
  <c r="Z20" i="20" s="1"/>
  <c r="AA31" i="20"/>
  <c r="Z31" i="20" s="1"/>
  <c r="AA65" i="20"/>
  <c r="Z65" i="20" s="1"/>
  <c r="AE77" i="20"/>
  <c r="AE85" i="20"/>
  <c r="AA85" i="20"/>
  <c r="Z85" i="20" s="1"/>
  <c r="AA104" i="20"/>
  <c r="Z104" i="20" s="1"/>
  <c r="AE104" i="20"/>
  <c r="AA131" i="20"/>
  <c r="Z131" i="20" s="1"/>
  <c r="AA138" i="20"/>
  <c r="Z138" i="20" s="1"/>
  <c r="AA209" i="20"/>
  <c r="Z209" i="20" s="1"/>
  <c r="AE259" i="20"/>
  <c r="AA286" i="20"/>
  <c r="Z286" i="20" s="1"/>
  <c r="AH323" i="20"/>
  <c r="AA323" i="20"/>
  <c r="Z323" i="20" s="1"/>
  <c r="AE346" i="20"/>
  <c r="AA361" i="20"/>
  <c r="Z361" i="20" s="1"/>
  <c r="AE361" i="20"/>
  <c r="AA425" i="20"/>
  <c r="Z425" i="20" s="1"/>
  <c r="AE425" i="20"/>
  <c r="AE477" i="20"/>
  <c r="AH495" i="20"/>
  <c r="AA495" i="20"/>
  <c r="Z495" i="20" s="1"/>
  <c r="AA340" i="20"/>
  <c r="Z340" i="20" s="1"/>
  <c r="AH340" i="20"/>
  <c r="AA61" i="20"/>
  <c r="Z61" i="20" s="1"/>
  <c r="AA73" i="20"/>
  <c r="Z73" i="20" s="1"/>
  <c r="AA76" i="20"/>
  <c r="Z76" i="20" s="1"/>
  <c r="X155" i="20"/>
  <c r="Y155" i="20" s="1"/>
  <c r="AI156" i="20"/>
  <c r="X156" i="20" s="1"/>
  <c r="Y156" i="20" s="1"/>
  <c r="AH156" i="20" s="1"/>
  <c r="AA231" i="20"/>
  <c r="Z231" i="20" s="1"/>
  <c r="AH327" i="20"/>
  <c r="AA327" i="20"/>
  <c r="Z327" i="20" s="1"/>
  <c r="AA519" i="20"/>
  <c r="Z519" i="20" s="1"/>
  <c r="AE519" i="20"/>
  <c r="AA24" i="20"/>
  <c r="Z24" i="20" s="1"/>
  <c r="AE58" i="20"/>
  <c r="AE73" i="20"/>
  <c r="AE157" i="20"/>
  <c r="AA157" i="20"/>
  <c r="Z157" i="20" s="1"/>
  <c r="AA221" i="20"/>
  <c r="Z221" i="20" s="1"/>
  <c r="AE221" i="20"/>
  <c r="AI250" i="20"/>
  <c r="X250" i="20" s="1"/>
  <c r="Y250" i="20" s="1"/>
  <c r="X248" i="20"/>
  <c r="Y248" i="20" s="1"/>
  <c r="AH256" i="20"/>
  <c r="AA256" i="20"/>
  <c r="Z256" i="20" s="1"/>
  <c r="AA310" i="20"/>
  <c r="Z310" i="20" s="1"/>
  <c r="AH310" i="20"/>
  <c r="AH350" i="20"/>
  <c r="AA350" i="20"/>
  <c r="Z350" i="20" s="1"/>
  <c r="AE376" i="20"/>
  <c r="AA376" i="20"/>
  <c r="Z376" i="20" s="1"/>
  <c r="AE394" i="20"/>
  <c r="AA394" i="20"/>
  <c r="Z394" i="20" s="1"/>
  <c r="AA487" i="20"/>
  <c r="Z487" i="20" s="1"/>
  <c r="AA500" i="20"/>
  <c r="Z500" i="20" s="1"/>
  <c r="AH500" i="20"/>
  <c r="AE189" i="20"/>
  <c r="AH271" i="20"/>
  <c r="AA271" i="20"/>
  <c r="Z271" i="20" s="1"/>
  <c r="AE10" i="20"/>
  <c r="AA10" i="20"/>
  <c r="AE50" i="20"/>
  <c r="AE272" i="20"/>
  <c r="AE306" i="20"/>
  <c r="AA306" i="20"/>
  <c r="Z306" i="20" s="1"/>
  <c r="AH443" i="20"/>
  <c r="AA443" i="20"/>
  <c r="Z443" i="20" s="1"/>
  <c r="AH468" i="20"/>
  <c r="AA468" i="20"/>
  <c r="Z468" i="20" s="1"/>
  <c r="AA293" i="20"/>
  <c r="Z293" i="20" s="1"/>
  <c r="AE293" i="20"/>
  <c r="AE62" i="20"/>
  <c r="AH116" i="20"/>
  <c r="AA116" i="20"/>
  <c r="Z116" i="20" s="1"/>
  <c r="AE180" i="20"/>
  <c r="AA180" i="20"/>
  <c r="Z180" i="20" s="1"/>
  <c r="AE214" i="20"/>
  <c r="AA214" i="20"/>
  <c r="Z214" i="20" s="1"/>
  <c r="AE28" i="20"/>
  <c r="AE70" i="20"/>
  <c r="AA96" i="20"/>
  <c r="Z96" i="20" s="1"/>
  <c r="AA112" i="20"/>
  <c r="Z112" i="20" s="1"/>
  <c r="AH112" i="20"/>
  <c r="AE141" i="20"/>
  <c r="AE153" i="20"/>
  <c r="AA153" i="20"/>
  <c r="Z153" i="20" s="1"/>
  <c r="AA202" i="20"/>
  <c r="Z202" i="20" s="1"/>
  <c r="AE202" i="20"/>
  <c r="AA210" i="20"/>
  <c r="Z210" i="20" s="1"/>
  <c r="AE210" i="20"/>
  <c r="AA252" i="20"/>
  <c r="Z252" i="20" s="1"/>
  <c r="AE252" i="20"/>
  <c r="AE422" i="20"/>
  <c r="AA422" i="20"/>
  <c r="Z422" i="20" s="1"/>
  <c r="AE478" i="20"/>
  <c r="AA478" i="20"/>
  <c r="Z478" i="20" s="1"/>
  <c r="AE487" i="20"/>
  <c r="AA491" i="20"/>
  <c r="Z491" i="20" s="1"/>
  <c r="AA481" i="20"/>
  <c r="Z481" i="20" s="1"/>
  <c r="AE481" i="20"/>
  <c r="AH513" i="20"/>
  <c r="AA513" i="20"/>
  <c r="Z513" i="20" s="1"/>
  <c r="AE45" i="20"/>
  <c r="AE108" i="20"/>
  <c r="AE149" i="20"/>
  <c r="AE218" i="20"/>
  <c r="AA218" i="20"/>
  <c r="Z218" i="20" s="1"/>
  <c r="AH247" i="20"/>
  <c r="AA247" i="20"/>
  <c r="Z247" i="20" s="1"/>
  <c r="AE364" i="20"/>
  <c r="AA364" i="20"/>
  <c r="Z364" i="20" s="1"/>
  <c r="AA377" i="20"/>
  <c r="Z377" i="20" s="1"/>
  <c r="AH377" i="20"/>
  <c r="AA390" i="20"/>
  <c r="Z390" i="20" s="1"/>
  <c r="AE530" i="20"/>
  <c r="AA530" i="20"/>
  <c r="AA123" i="20"/>
  <c r="Z123" i="20" s="1"/>
  <c r="AA228" i="20"/>
  <c r="Z228" i="20" s="1"/>
  <c r="AA319" i="20"/>
  <c r="Z319" i="20" s="1"/>
  <c r="AA436" i="20"/>
  <c r="Z436" i="20" s="1"/>
  <c r="AE483" i="20"/>
  <c r="AA483" i="20"/>
  <c r="Z483" i="20" s="1"/>
  <c r="AE488" i="20"/>
  <c r="AA488" i="20"/>
  <c r="Z488" i="20" s="1"/>
  <c r="AE441" i="20"/>
  <c r="AA441" i="20"/>
  <c r="Z441" i="20" s="1"/>
  <c r="AA80" i="20"/>
  <c r="Z80" i="20" s="1"/>
  <c r="AA531" i="20"/>
  <c r="Z531" i="20" s="1"/>
  <c r="AE531" i="20"/>
  <c r="AE359" i="20"/>
  <c r="AA359" i="20"/>
  <c r="Z359" i="20" s="1"/>
  <c r="AE49" i="20"/>
  <c r="AA49" i="20"/>
  <c r="Z49" i="20" s="1"/>
  <c r="AA60" i="20"/>
  <c r="Z60" i="20" s="1"/>
  <c r="AA120" i="20"/>
  <c r="Z120" i="20" s="1"/>
  <c r="AH335" i="20"/>
  <c r="AE390" i="20"/>
  <c r="AE465" i="20"/>
  <c r="AA465" i="20"/>
  <c r="AA19" i="20"/>
  <c r="Z19" i="20" s="1"/>
  <c r="AE19" i="20"/>
  <c r="AA113" i="20"/>
  <c r="Z113" i="20" s="1"/>
  <c r="AE161" i="20"/>
  <c r="AE192" i="20"/>
  <c r="AA215" i="20"/>
  <c r="Z215" i="20" s="1"/>
  <c r="AE215" i="20"/>
  <c r="AE319" i="20"/>
  <c r="AA328" i="20"/>
  <c r="Z328" i="20" s="1"/>
  <c r="AE332" i="20"/>
  <c r="AA332" i="20"/>
  <c r="Z332" i="20" s="1"/>
  <c r="AA365" i="20"/>
  <c r="Z365" i="20" s="1"/>
  <c r="AH365" i="20"/>
  <c r="AE460" i="20"/>
  <c r="AA460" i="20"/>
  <c r="Z460" i="20" s="1"/>
  <c r="AH470" i="20"/>
  <c r="AA470" i="20"/>
  <c r="Z470" i="20" s="1"/>
  <c r="AA497" i="20"/>
  <c r="Z497" i="20" s="1"/>
  <c r="AE111" i="20"/>
  <c r="AA136" i="20"/>
  <c r="Z136" i="20" s="1"/>
  <c r="AE136" i="20"/>
  <c r="AA152" i="20"/>
  <c r="Z152" i="20" s="1"/>
  <c r="AE267" i="20"/>
  <c r="AA267" i="20"/>
  <c r="Z267" i="20" s="1"/>
  <c r="AA320" i="20"/>
  <c r="Z320" i="20" s="1"/>
  <c r="AA343" i="20"/>
  <c r="Z343" i="20" s="1"/>
  <c r="AH343" i="20"/>
  <c r="AA391" i="20"/>
  <c r="Z391" i="20" s="1"/>
  <c r="AE391" i="20"/>
  <c r="AE402" i="20"/>
  <c r="AA402" i="20"/>
  <c r="Z402" i="20" s="1"/>
  <c r="AA410" i="20"/>
  <c r="Z410" i="20" s="1"/>
  <c r="AE410" i="20"/>
  <c r="AE548" i="20"/>
  <c r="AA548" i="20"/>
  <c r="AA539" i="20"/>
  <c r="Z539" i="20" s="1"/>
  <c r="Z554" i="20"/>
  <c r="Z553" i="20" s="1"/>
  <c r="X553" i="20" s="1"/>
  <c r="AE314" i="20"/>
  <c r="AA427" i="20"/>
  <c r="Z427" i="20" s="1"/>
  <c r="AE427" i="20"/>
  <c r="AA544" i="20"/>
  <c r="Z544" i="20" s="1"/>
  <c r="AH544" i="20"/>
  <c r="AE16" i="20"/>
  <c r="AA185" i="20"/>
  <c r="Z185" i="20" s="1"/>
  <c r="AE325" i="20"/>
  <c r="AH388" i="20"/>
  <c r="AA388" i="20"/>
  <c r="Z388" i="20" s="1"/>
  <c r="AA421" i="20"/>
  <c r="Z421" i="20" s="1"/>
  <c r="AE435" i="20"/>
  <c r="AE466" i="20"/>
  <c r="AA466" i="20"/>
  <c r="Z466" i="20" s="1"/>
  <c r="AE518" i="20"/>
  <c r="AA518" i="20"/>
  <c r="Z518" i="20" s="1"/>
  <c r="AE208" i="20"/>
  <c r="AI227" i="20"/>
  <c r="X227" i="20" s="1"/>
  <c r="Y227" i="20" s="1"/>
  <c r="AE98" i="20"/>
  <c r="AE292" i="20"/>
  <c r="AA191" i="20"/>
  <c r="Z191" i="20" s="1"/>
  <c r="AE191" i="20"/>
  <c r="AA208" i="20"/>
  <c r="Z208" i="20" s="1"/>
  <c r="AE258" i="20"/>
  <c r="AA268" i="20"/>
  <c r="Z268" i="20" s="1"/>
  <c r="AA272" i="20"/>
  <c r="Z272" i="20" s="1"/>
  <c r="AA303" i="20"/>
  <c r="Z303" i="20" s="1"/>
  <c r="AE303" i="20"/>
  <c r="AE381" i="20"/>
  <c r="AA381" i="20"/>
  <c r="Z381" i="20" s="1"/>
  <c r="AA475" i="20"/>
  <c r="Z475" i="20" s="1"/>
  <c r="AE475" i="20"/>
  <c r="AA95" i="20"/>
  <c r="Z95" i="20" s="1"/>
  <c r="AE122" i="20"/>
  <c r="AE185" i="20"/>
  <c r="AE199" i="20"/>
  <c r="AA277" i="20"/>
  <c r="Z277" i="20" s="1"/>
  <c r="AA314" i="20"/>
  <c r="Z314" i="20" s="1"/>
  <c r="AE345" i="20"/>
  <c r="AA349" i="20"/>
  <c r="Z349" i="20" s="1"/>
  <c r="AE385" i="20"/>
  <c r="AA385" i="20"/>
  <c r="Z385" i="20" s="1"/>
  <c r="AH540" i="20"/>
  <c r="AE121" i="20"/>
  <c r="AE124" i="20"/>
  <c r="AA127" i="20"/>
  <c r="Z127" i="20" s="1"/>
  <c r="AA184" i="20"/>
  <c r="Z184" i="20" s="1"/>
  <c r="AE209" i="20"/>
  <c r="AE324" i="20"/>
  <c r="AA324" i="20"/>
  <c r="Z324" i="20" s="1"/>
  <c r="AE452" i="20"/>
  <c r="AA482" i="20"/>
  <c r="Z482" i="20" s="1"/>
  <c r="AE516" i="20"/>
  <c r="AE164" i="20"/>
  <c r="AA198" i="20"/>
  <c r="Z198" i="20" s="1"/>
  <c r="AE254" i="20"/>
  <c r="AA254" i="20"/>
  <c r="Z254" i="20" s="1"/>
  <c r="AA283" i="20"/>
  <c r="Z283" i="20" s="1"/>
  <c r="AE283" i="20"/>
  <c r="AE304" i="20"/>
  <c r="AA322" i="20"/>
  <c r="Z322" i="20" s="1"/>
  <c r="AE322" i="20"/>
  <c r="AE352" i="20"/>
  <c r="AA382" i="20"/>
  <c r="Z382" i="20" s="1"/>
  <c r="AA433" i="20"/>
  <c r="AE433" i="20"/>
  <c r="AA524" i="20"/>
  <c r="Z524" i="20" s="1"/>
  <c r="AE524" i="20"/>
  <c r="AA176" i="20"/>
  <c r="Z176" i="20" s="1"/>
  <c r="AA207" i="20"/>
  <c r="Z207" i="20" s="1"/>
  <c r="AE207" i="20"/>
  <c r="AE268" i="20"/>
  <c r="AE367" i="20"/>
  <c r="AA367" i="20"/>
  <c r="Z367" i="20" s="1"/>
  <c r="AA404" i="20"/>
  <c r="Z404" i="20" s="1"/>
  <c r="AE404" i="20"/>
  <c r="AA484" i="20"/>
  <c r="Z484" i="20" s="1"/>
  <c r="AE484" i="20"/>
  <c r="AE86" i="20"/>
  <c r="AE145" i="20"/>
  <c r="AA148" i="20"/>
  <c r="Z148" i="20" s="1"/>
  <c r="AE197" i="20"/>
  <c r="AA235" i="20"/>
  <c r="Z235" i="20" s="1"/>
  <c r="AE311" i="20"/>
  <c r="AE335" i="20"/>
  <c r="AE56" i="20"/>
  <c r="AA64" i="20"/>
  <c r="Z64" i="20" s="1"/>
  <c r="AA172" i="20"/>
  <c r="Z172" i="20" s="1"/>
  <c r="AA245" i="20"/>
  <c r="Z245" i="20" s="1"/>
  <c r="AA288" i="20"/>
  <c r="Z288" i="20" s="1"/>
  <c r="AE288" i="20"/>
  <c r="AE309" i="20"/>
  <c r="AE486" i="20"/>
  <c r="AA509" i="20"/>
  <c r="AE509" i="20"/>
  <c r="AA224" i="20"/>
  <c r="AE278" i="20"/>
  <c r="AA278" i="20"/>
  <c r="Z278" i="20" s="1"/>
  <c r="AE295" i="20"/>
  <c r="AA295" i="20"/>
  <c r="Z295" i="20" s="1"/>
  <c r="AE313" i="20"/>
  <c r="AA486" i="20"/>
  <c r="Z486" i="20" s="1"/>
  <c r="AA521" i="20"/>
  <c r="Z521" i="20" s="1"/>
  <c r="AE521" i="20"/>
  <c r="AA534" i="20"/>
  <c r="Z534" i="20" s="1"/>
  <c r="AE534" i="20"/>
  <c r="AE342" i="20"/>
  <c r="AE419" i="20"/>
  <c r="AA469" i="20"/>
  <c r="Z469" i="20" s="1"/>
  <c r="AE469" i="20"/>
  <c r="AA501" i="20"/>
  <c r="Z501" i="20" s="1"/>
  <c r="AE298" i="20"/>
  <c r="AA298" i="20"/>
  <c r="Z298" i="20" s="1"/>
  <c r="AE340" i="20"/>
  <c r="AE408" i="20"/>
  <c r="AE439" i="20"/>
  <c r="AA439" i="20"/>
  <c r="Z439" i="20" s="1"/>
  <c r="AE443" i="20"/>
  <c r="AE455" i="20"/>
  <c r="AE463" i="20"/>
  <c r="AE474" i="20"/>
  <c r="AE485" i="20"/>
  <c r="AA485" i="20"/>
  <c r="Z485" i="20" s="1"/>
  <c r="AA75" i="20"/>
  <c r="Z75" i="20" s="1"/>
  <c r="AA282" i="20"/>
  <c r="Z282" i="20" s="1"/>
  <c r="AE321" i="20"/>
  <c r="AA546" i="20"/>
  <c r="Z546" i="20" s="1"/>
  <c r="AE546" i="20"/>
  <c r="AE357" i="20"/>
  <c r="AA453" i="20"/>
  <c r="Z453" i="20" s="1"/>
  <c r="AA490" i="20"/>
  <c r="Z490" i="20" s="1"/>
  <c r="AE511" i="20"/>
  <c r="AE537" i="20"/>
  <c r="AA450" i="20"/>
  <c r="Z450" i="20" s="1"/>
  <c r="AE450" i="20"/>
  <c r="AA462" i="20"/>
  <c r="Z462" i="20" s="1"/>
  <c r="AE462" i="20"/>
  <c r="AA473" i="20"/>
  <c r="Z473" i="20" s="1"/>
  <c r="AA505" i="20"/>
  <c r="AA284" i="20"/>
  <c r="Z284" i="20" s="1"/>
  <c r="AA396" i="20"/>
  <c r="Z396" i="20" s="1"/>
  <c r="AA550" i="20"/>
  <c r="AA447" i="20"/>
  <c r="Z447" i="20" s="1"/>
  <c r="AE447" i="20"/>
  <c r="AE522" i="20"/>
  <c r="AE331" i="20"/>
  <c r="AE472" i="20"/>
  <c r="AE517" i="20"/>
  <c r="AA517" i="20"/>
  <c r="Z517" i="20" s="1"/>
  <c r="AE551" i="20"/>
  <c r="AA551" i="20"/>
  <c r="AE555" i="20"/>
  <c r="AE241" i="20"/>
  <c r="AE290" i="20"/>
  <c r="AE512" i="20"/>
  <c r="AA512" i="20"/>
  <c r="Z512" i="20" s="1"/>
  <c r="AA557" i="20"/>
  <c r="AA556" i="20" s="1"/>
  <c r="Y556" i="20" s="1"/>
  <c r="AH556" i="20" s="1"/>
  <c r="AA561" i="20"/>
  <c r="AI14" i="19"/>
  <c r="X14" i="19" s="1"/>
  <c r="Y14" i="19" s="1"/>
  <c r="AH14" i="19" s="1"/>
  <c r="AA564" i="19"/>
  <c r="Z564" i="19" s="1"/>
  <c r="X564" i="19"/>
  <c r="AA563" i="19"/>
  <c r="Z563" i="19"/>
  <c r="X563" i="19"/>
  <c r="AA562" i="19"/>
  <c r="Z562" i="19"/>
  <c r="X562" i="19"/>
  <c r="AH561" i="19"/>
  <c r="AA561" i="19"/>
  <c r="AH560" i="19"/>
  <c r="AH559" i="19"/>
  <c r="AH558" i="19"/>
  <c r="AD557" i="19"/>
  <c r="AE557" i="19" s="1"/>
  <c r="Y557" i="19"/>
  <c r="AH557" i="19" s="1"/>
  <c r="X557" i="19"/>
  <c r="W557" i="19"/>
  <c r="AD556" i="19"/>
  <c r="Z556" i="19"/>
  <c r="X556" i="19" s="1"/>
  <c r="W556" i="19"/>
  <c r="AE555" i="19"/>
  <c r="AD555" i="19"/>
  <c r="W555" i="19"/>
  <c r="V555" i="19"/>
  <c r="T555" i="19"/>
  <c r="S555" i="19"/>
  <c r="X554" i="19"/>
  <c r="Y554" i="19" s="1"/>
  <c r="AH554" i="19" s="1"/>
  <c r="W554" i="19"/>
  <c r="V554" i="19"/>
  <c r="AD554" i="19" s="1"/>
  <c r="AE554" i="19" s="1"/>
  <c r="AD553" i="19"/>
  <c r="W553" i="19"/>
  <c r="AD552" i="19"/>
  <c r="W552" i="19"/>
  <c r="AI551" i="19"/>
  <c r="X551" i="19" s="1"/>
  <c r="AE551" i="19"/>
  <c r="AD551" i="19"/>
  <c r="Y551" i="19"/>
  <c r="AH551" i="19" s="1"/>
  <c r="W551" i="19"/>
  <c r="V551" i="19"/>
  <c r="AD550" i="19"/>
  <c r="Y550" i="19"/>
  <c r="AH550" i="19" s="1"/>
  <c r="W550" i="19"/>
  <c r="V550" i="19"/>
  <c r="AE549" i="19"/>
  <c r="AD549" i="19"/>
  <c r="W549" i="19"/>
  <c r="AI548" i="19"/>
  <c r="AD548" i="19"/>
  <c r="X548" i="19"/>
  <c r="Y548" i="19" s="1"/>
  <c r="AH548" i="19" s="1"/>
  <c r="W548" i="19"/>
  <c r="V548" i="19"/>
  <c r="Y547" i="19"/>
  <c r="AH547" i="19" s="1"/>
  <c r="W547" i="19"/>
  <c r="V547" i="19"/>
  <c r="AD547" i="19" s="1"/>
  <c r="AI546" i="19"/>
  <c r="Y546" i="19" s="1"/>
  <c r="AH546" i="19" s="1"/>
  <c r="W546" i="19"/>
  <c r="V546" i="19"/>
  <c r="AD546" i="19" s="1"/>
  <c r="AE545" i="19"/>
  <c r="AD545" i="19"/>
  <c r="X545" i="19"/>
  <c r="Y545" i="19" s="1"/>
  <c r="W545" i="19"/>
  <c r="V545" i="19"/>
  <c r="AI544" i="19"/>
  <c r="AE544" i="19"/>
  <c r="AD544" i="19"/>
  <c r="X544" i="19"/>
  <c r="Y544" i="19" s="1"/>
  <c r="W544" i="19"/>
  <c r="V544" i="19"/>
  <c r="X543" i="19"/>
  <c r="Y543" i="19" s="1"/>
  <c r="AH543" i="19" s="1"/>
  <c r="W543" i="19"/>
  <c r="V543" i="19"/>
  <c r="AD543" i="19" s="1"/>
  <c r="AE542" i="19"/>
  <c r="AD542" i="19"/>
  <c r="AA542" i="19"/>
  <c r="Z542" i="19" s="1"/>
  <c r="X542" i="19"/>
  <c r="Y542" i="19" s="1"/>
  <c r="AH542" i="19" s="1"/>
  <c r="W542" i="19"/>
  <c r="V542" i="19"/>
  <c r="X541" i="19"/>
  <c r="Y541" i="19" s="1"/>
  <c r="AA541" i="19" s="1"/>
  <c r="Z541" i="19" s="1"/>
  <c r="W541" i="19"/>
  <c r="V541" i="19"/>
  <c r="AD541" i="19" s="1"/>
  <c r="AE541" i="19" s="1"/>
  <c r="X540" i="19"/>
  <c r="Y540" i="19" s="1"/>
  <c r="AH540" i="19" s="1"/>
  <c r="W540" i="19"/>
  <c r="V540" i="19"/>
  <c r="AD540" i="19" s="1"/>
  <c r="X539" i="19"/>
  <c r="Y539" i="19" s="1"/>
  <c r="AH539" i="19" s="1"/>
  <c r="W539" i="19"/>
  <c r="V539" i="19"/>
  <c r="AD539" i="19" s="1"/>
  <c r="AH538" i="19"/>
  <c r="AA538" i="19"/>
  <c r="Z538" i="19" s="1"/>
  <c r="X538" i="19"/>
  <c r="Y538" i="19" s="1"/>
  <c r="W538" i="19"/>
  <c r="AE538" i="19" s="1"/>
  <c r="V538" i="19"/>
  <c r="AD538" i="19" s="1"/>
  <c r="X537" i="19"/>
  <c r="Y537" i="19" s="1"/>
  <c r="AH537" i="19" s="1"/>
  <c r="W537" i="19"/>
  <c r="V537" i="19"/>
  <c r="AD537" i="19" s="1"/>
  <c r="AI536" i="19"/>
  <c r="X536" i="19" s="1"/>
  <c r="Y536" i="19" s="1"/>
  <c r="AA536" i="19" s="1"/>
  <c r="Z536" i="19" s="1"/>
  <c r="AH536" i="19"/>
  <c r="AE536" i="19"/>
  <c r="AD536" i="19"/>
  <c r="W536" i="19"/>
  <c r="V536" i="19"/>
  <c r="AI535" i="19"/>
  <c r="X535" i="19"/>
  <c r="Y535" i="19" s="1"/>
  <c r="W535" i="19"/>
  <c r="V535" i="19"/>
  <c r="AD535" i="19" s="1"/>
  <c r="AE535" i="19" s="1"/>
  <c r="AD534" i="19"/>
  <c r="AA534" i="19"/>
  <c r="Z534" i="19" s="1"/>
  <c r="X534" i="19"/>
  <c r="Y534" i="19" s="1"/>
  <c r="AH534" i="19" s="1"/>
  <c r="W534" i="19"/>
  <c r="V534" i="19"/>
  <c r="X533" i="19"/>
  <c r="Y533" i="19" s="1"/>
  <c r="AH533" i="19" s="1"/>
  <c r="W533" i="19"/>
  <c r="V533" i="19"/>
  <c r="AD533" i="19" s="1"/>
  <c r="Y532" i="19"/>
  <c r="X532" i="19"/>
  <c r="W532" i="19"/>
  <c r="V532" i="19"/>
  <c r="AD532" i="19" s="1"/>
  <c r="AE532" i="19" s="1"/>
  <c r="AD531" i="19"/>
  <c r="AE531" i="19" s="1"/>
  <c r="X531" i="19"/>
  <c r="Y531" i="19" s="1"/>
  <c r="AH531" i="19" s="1"/>
  <c r="W531" i="19"/>
  <c r="V531" i="19"/>
  <c r="X530" i="19"/>
  <c r="Y530" i="19" s="1"/>
  <c r="AH530" i="19" s="1"/>
  <c r="W530" i="19"/>
  <c r="V530" i="19"/>
  <c r="AD530" i="19" s="1"/>
  <c r="AD529" i="19"/>
  <c r="W529" i="19"/>
  <c r="AE528" i="19"/>
  <c r="AD528" i="19"/>
  <c r="X528" i="19"/>
  <c r="Y528" i="19" s="1"/>
  <c r="AA528" i="19" s="1"/>
  <c r="Z528" i="19" s="1"/>
  <c r="W528" i="19"/>
  <c r="V528" i="19"/>
  <c r="X527" i="19"/>
  <c r="Y527" i="19" s="1"/>
  <c r="AH527" i="19" s="1"/>
  <c r="W527" i="19"/>
  <c r="V527" i="19"/>
  <c r="AD527" i="19" s="1"/>
  <c r="AE526" i="19"/>
  <c r="AD526" i="19"/>
  <c r="Y526" i="19"/>
  <c r="X526" i="19"/>
  <c r="W526" i="19"/>
  <c r="V526" i="19"/>
  <c r="AD525" i="19"/>
  <c r="AE525" i="19" s="1"/>
  <c r="X525" i="19"/>
  <c r="Y525" i="19" s="1"/>
  <c r="W525" i="19"/>
  <c r="V525" i="19"/>
  <c r="Y524" i="19"/>
  <c r="AH524" i="19" s="1"/>
  <c r="W524" i="19"/>
  <c r="V524" i="19"/>
  <c r="AD524" i="19" s="1"/>
  <c r="X523" i="19"/>
  <c r="AE523" i="19"/>
  <c r="Y523" i="19"/>
  <c r="AH523" i="19" s="1"/>
  <c r="W523" i="19"/>
  <c r="V523" i="19"/>
  <c r="AD523" i="19" s="1"/>
  <c r="AI522" i="19"/>
  <c r="AE522" i="19"/>
  <c r="Y522" i="19"/>
  <c r="AH522" i="19" s="1"/>
  <c r="W522" i="19"/>
  <c r="V522" i="19"/>
  <c r="AD522" i="19" s="1"/>
  <c r="X521" i="19"/>
  <c r="Y521" i="19" s="1"/>
  <c r="AA521" i="19" s="1"/>
  <c r="Z521" i="19" s="1"/>
  <c r="W521" i="19"/>
  <c r="V521" i="19"/>
  <c r="AD521" i="19" s="1"/>
  <c r="AD520" i="19"/>
  <c r="Y520" i="19"/>
  <c r="AH520" i="19" s="1"/>
  <c r="X520" i="19"/>
  <c r="W520" i="19"/>
  <c r="AE520" i="19" s="1"/>
  <c r="V520" i="19"/>
  <c r="X519" i="19"/>
  <c r="Y519" i="19" s="1"/>
  <c r="AH519" i="19" s="1"/>
  <c r="W519" i="19"/>
  <c r="V519" i="19"/>
  <c r="AD519" i="19" s="1"/>
  <c r="AI518" i="19"/>
  <c r="X518" i="19" s="1"/>
  <c r="Y518" i="19" s="1"/>
  <c r="AH518" i="19"/>
  <c r="W518" i="19"/>
  <c r="AA518" i="19" s="1"/>
  <c r="Z518" i="19" s="1"/>
  <c r="V518" i="19"/>
  <c r="AD518" i="19" s="1"/>
  <c r="X517" i="19"/>
  <c r="Y517" i="19" s="1"/>
  <c r="AH517" i="19" s="1"/>
  <c r="W517" i="19"/>
  <c r="V517" i="19"/>
  <c r="AD517" i="19" s="1"/>
  <c r="AI516" i="19"/>
  <c r="AH516" i="19"/>
  <c r="X516" i="19"/>
  <c r="W516" i="19"/>
  <c r="V516" i="19"/>
  <c r="AD516" i="19" s="1"/>
  <c r="AI515" i="19"/>
  <c r="X515" i="19" s="1"/>
  <c r="Y515" i="19" s="1"/>
  <c r="AA515" i="19" s="1"/>
  <c r="Z515" i="19" s="1"/>
  <c r="AH515" i="19"/>
  <c r="AD515" i="19"/>
  <c r="AE515" i="19" s="1"/>
  <c r="W515" i="19"/>
  <c r="V515" i="19"/>
  <c r="AD514" i="19"/>
  <c r="X514" i="19"/>
  <c r="Y514" i="19" s="1"/>
  <c r="AH514" i="19" s="1"/>
  <c r="W514" i="19"/>
  <c r="V514" i="19"/>
  <c r="X513" i="19"/>
  <c r="Y513" i="19" s="1"/>
  <c r="AH513" i="19" s="1"/>
  <c r="W513" i="19"/>
  <c r="V513" i="19"/>
  <c r="AD513" i="19" s="1"/>
  <c r="AH512" i="19"/>
  <c r="AE512" i="19"/>
  <c r="AD512" i="19"/>
  <c r="Y512" i="19"/>
  <c r="X512" i="19"/>
  <c r="W512" i="19"/>
  <c r="V512" i="19"/>
  <c r="AE511" i="19"/>
  <c r="AD511" i="19"/>
  <c r="X511" i="19"/>
  <c r="Y511" i="19" s="1"/>
  <c r="AH511" i="19" s="1"/>
  <c r="W511" i="19"/>
  <c r="V511" i="19"/>
  <c r="AI510" i="19"/>
  <c r="AH510" i="19"/>
  <c r="X510" i="19"/>
  <c r="W510" i="19"/>
  <c r="V510" i="19"/>
  <c r="AD510" i="19" s="1"/>
  <c r="AD509" i="19"/>
  <c r="X509" i="19"/>
  <c r="Y509" i="19" s="1"/>
  <c r="AH509" i="19" s="1"/>
  <c r="W509" i="19"/>
  <c r="V509" i="19"/>
  <c r="AD508" i="19"/>
  <c r="W508" i="19"/>
  <c r="X507" i="19"/>
  <c r="Y507" i="19" s="1"/>
  <c r="AE507" i="19"/>
  <c r="AD507" i="19"/>
  <c r="W507" i="19"/>
  <c r="V507" i="19"/>
  <c r="Y506" i="19"/>
  <c r="AH506" i="19" s="1"/>
  <c r="W506" i="19"/>
  <c r="V506" i="19"/>
  <c r="AD506" i="19" s="1"/>
  <c r="AE505" i="19"/>
  <c r="AD505" i="19"/>
  <c r="Y505" i="19"/>
  <c r="AH505" i="19" s="1"/>
  <c r="W505" i="19"/>
  <c r="V505" i="19"/>
  <c r="AD504" i="19"/>
  <c r="W504" i="19"/>
  <c r="AE503" i="19"/>
  <c r="AD503" i="19"/>
  <c r="X503" i="19"/>
  <c r="Y503" i="19" s="1"/>
  <c r="AH503" i="19" s="1"/>
  <c r="W503" i="19"/>
  <c r="V503" i="19"/>
  <c r="AD502" i="19"/>
  <c r="AE502" i="19" s="1"/>
  <c r="AA502" i="19"/>
  <c r="Z502" i="19" s="1"/>
  <c r="Y502" i="19"/>
  <c r="AH502" i="19" s="1"/>
  <c r="X502" i="19"/>
  <c r="W502" i="19"/>
  <c r="V502" i="19"/>
  <c r="X501" i="19"/>
  <c r="Y501" i="19" s="1"/>
  <c r="AH501" i="19" s="1"/>
  <c r="W501" i="19"/>
  <c r="V501" i="19"/>
  <c r="AD501" i="19" s="1"/>
  <c r="AE500" i="19"/>
  <c r="X500" i="19"/>
  <c r="Y500" i="19" s="1"/>
  <c r="W500" i="19"/>
  <c r="V500" i="19"/>
  <c r="AD500" i="19" s="1"/>
  <c r="AD499" i="19"/>
  <c r="AE499" i="19" s="1"/>
  <c r="X499" i="19"/>
  <c r="Y499" i="19" s="1"/>
  <c r="AH499" i="19" s="1"/>
  <c r="W499" i="19"/>
  <c r="V499" i="19"/>
  <c r="AI498" i="19"/>
  <c r="X498" i="19"/>
  <c r="Y498" i="19" s="1"/>
  <c r="AH498" i="19" s="1"/>
  <c r="W498" i="19"/>
  <c r="V498" i="19"/>
  <c r="AD498" i="19" s="1"/>
  <c r="X497" i="19"/>
  <c r="Y497" i="19" s="1"/>
  <c r="AH497" i="19" s="1"/>
  <c r="W497" i="19"/>
  <c r="V497" i="19"/>
  <c r="AD497" i="19" s="1"/>
  <c r="AE497" i="19" s="1"/>
  <c r="AI496" i="19"/>
  <c r="AD496" i="19"/>
  <c r="AE496" i="19" s="1"/>
  <c r="X496" i="19"/>
  <c r="Y496" i="19" s="1"/>
  <c r="AA496" i="19" s="1"/>
  <c r="Z496" i="19" s="1"/>
  <c r="W496" i="19"/>
  <c r="V496" i="19"/>
  <c r="AI495" i="19"/>
  <c r="X495" i="19"/>
  <c r="Y495" i="19" s="1"/>
  <c r="AH495" i="19" s="1"/>
  <c r="W495" i="19"/>
  <c r="V495" i="19"/>
  <c r="AD495" i="19" s="1"/>
  <c r="AI494" i="19"/>
  <c r="AD494" i="19"/>
  <c r="X494" i="19"/>
  <c r="Y494" i="19" s="1"/>
  <c r="AH494" i="19" s="1"/>
  <c r="W494" i="19"/>
  <c r="AE494" i="19" s="1"/>
  <c r="V494" i="19"/>
  <c r="X493" i="19"/>
  <c r="Y493" i="19" s="1"/>
  <c r="AH493" i="19" s="1"/>
  <c r="W493" i="19"/>
  <c r="V493" i="19"/>
  <c r="AD493" i="19" s="1"/>
  <c r="AD492" i="19"/>
  <c r="AE492" i="19" s="1"/>
  <c r="X492" i="19"/>
  <c r="Y492" i="19" s="1"/>
  <c r="W492" i="19"/>
  <c r="V492" i="19"/>
  <c r="AD491" i="19"/>
  <c r="X491" i="19"/>
  <c r="Y491" i="19" s="1"/>
  <c r="AH491" i="19" s="1"/>
  <c r="W491" i="19"/>
  <c r="V491" i="19"/>
  <c r="X490" i="19"/>
  <c r="Y490" i="19" s="1"/>
  <c r="AH490" i="19" s="1"/>
  <c r="W490" i="19"/>
  <c r="V490" i="19"/>
  <c r="AD490" i="19" s="1"/>
  <c r="AI489" i="19"/>
  <c r="X489" i="19" s="1"/>
  <c r="Y489" i="19" s="1"/>
  <c r="AH489" i="19" s="1"/>
  <c r="AD489" i="19"/>
  <c r="W489" i="19"/>
  <c r="V489" i="19"/>
  <c r="AI488" i="19"/>
  <c r="X488" i="19" s="1"/>
  <c r="AD488" i="19"/>
  <c r="Y488" i="19"/>
  <c r="AH488" i="19" s="1"/>
  <c r="W488" i="19"/>
  <c r="V488" i="19"/>
  <c r="AI487" i="19"/>
  <c r="X487" i="19"/>
  <c r="Y487" i="19" s="1"/>
  <c r="AH487" i="19" s="1"/>
  <c r="W487" i="19"/>
  <c r="V487" i="19"/>
  <c r="AD487" i="19" s="1"/>
  <c r="AI486" i="19"/>
  <c r="X486" i="19" s="1"/>
  <c r="Y486" i="19" s="1"/>
  <c r="W486" i="19"/>
  <c r="V486" i="19"/>
  <c r="AD486" i="19" s="1"/>
  <c r="AE486" i="19" s="1"/>
  <c r="AI485" i="19"/>
  <c r="X485" i="19" s="1"/>
  <c r="Y485" i="19" s="1"/>
  <c r="AH485" i="19"/>
  <c r="W485" i="19"/>
  <c r="V485" i="19"/>
  <c r="AD485" i="19" s="1"/>
  <c r="AD484" i="19"/>
  <c r="AE484" i="19" s="1"/>
  <c r="X484" i="19"/>
  <c r="Y484" i="19" s="1"/>
  <c r="W484" i="19"/>
  <c r="V484" i="19"/>
  <c r="X483" i="19"/>
  <c r="Y483" i="19" s="1"/>
  <c r="AH483" i="19" s="1"/>
  <c r="W483" i="19"/>
  <c r="V483" i="19"/>
  <c r="AD483" i="19" s="1"/>
  <c r="AI482" i="19"/>
  <c r="X482" i="19" s="1"/>
  <c r="Y482" i="19" s="1"/>
  <c r="AH482" i="19"/>
  <c r="AD482" i="19"/>
  <c r="AE482" i="19" s="1"/>
  <c r="W482" i="19"/>
  <c r="V482" i="19"/>
  <c r="AI481" i="19"/>
  <c r="X481" i="19" s="1"/>
  <c r="Y481" i="19" s="1"/>
  <c r="AA481" i="19" s="1"/>
  <c r="Z481" i="19" s="1"/>
  <c r="AD481" i="19"/>
  <c r="AE481" i="19" s="1"/>
  <c r="W481" i="19"/>
  <c r="V481" i="19"/>
  <c r="AE480" i="19"/>
  <c r="X480" i="19"/>
  <c r="Y480" i="19" s="1"/>
  <c r="AA480" i="19" s="1"/>
  <c r="Z480" i="19" s="1"/>
  <c r="W480" i="19"/>
  <c r="V480" i="19"/>
  <c r="AD480" i="19" s="1"/>
  <c r="X479" i="19"/>
  <c r="Y479" i="19" s="1"/>
  <c r="AH479" i="19" s="1"/>
  <c r="W479" i="19"/>
  <c r="V479" i="19"/>
  <c r="AD479" i="19" s="1"/>
  <c r="AI478" i="19"/>
  <c r="X478" i="19" s="1"/>
  <c r="Y478" i="19" s="1"/>
  <c r="AH478" i="19" s="1"/>
  <c r="W478" i="19"/>
  <c r="V478" i="19"/>
  <c r="AD478" i="19" s="1"/>
  <c r="AI477" i="19"/>
  <c r="X477" i="19" s="1"/>
  <c r="Y477" i="19" s="1"/>
  <c r="AH477" i="19"/>
  <c r="AD477" i="19"/>
  <c r="W477" i="19"/>
  <c r="V477" i="19"/>
  <c r="AD476" i="19"/>
  <c r="X476" i="19"/>
  <c r="Y476" i="19" s="1"/>
  <c r="AH476" i="19" s="1"/>
  <c r="W476" i="19"/>
  <c r="AE476" i="19" s="1"/>
  <c r="V476" i="19"/>
  <c r="X475" i="19"/>
  <c r="Y475" i="19" s="1"/>
  <c r="AH475" i="19" s="1"/>
  <c r="W475" i="19"/>
  <c r="V475" i="19"/>
  <c r="AD475" i="19" s="1"/>
  <c r="X474" i="19"/>
  <c r="Y474" i="19" s="1"/>
  <c r="W474" i="19"/>
  <c r="V474" i="19"/>
  <c r="AD474" i="19" s="1"/>
  <c r="AE474" i="19" s="1"/>
  <c r="X473" i="19"/>
  <c r="Y473" i="19" s="1"/>
  <c r="AH473" i="19" s="1"/>
  <c r="W473" i="19"/>
  <c r="V473" i="19"/>
  <c r="AD473" i="19" s="1"/>
  <c r="AE472" i="19"/>
  <c r="X472" i="19"/>
  <c r="Y472" i="19" s="1"/>
  <c r="AH472" i="19" s="1"/>
  <c r="W472" i="19"/>
  <c r="V472" i="19"/>
  <c r="AD472" i="19" s="1"/>
  <c r="AD471" i="19"/>
  <c r="AE471" i="19" s="1"/>
  <c r="X471" i="19"/>
  <c r="Y471" i="19" s="1"/>
  <c r="AH471" i="19" s="1"/>
  <c r="W471" i="19"/>
  <c r="V471" i="19"/>
  <c r="X470" i="19"/>
  <c r="Y470" i="19" s="1"/>
  <c r="AH470" i="19" s="1"/>
  <c r="W470" i="19"/>
  <c r="V470" i="19"/>
  <c r="AD470" i="19" s="1"/>
  <c r="AE470" i="19" s="1"/>
  <c r="X469" i="19"/>
  <c r="Y469" i="19" s="1"/>
  <c r="W469" i="19"/>
  <c r="V469" i="19"/>
  <c r="AD469" i="19" s="1"/>
  <c r="AI468" i="19"/>
  <c r="X468" i="19" s="1"/>
  <c r="Y468" i="19" s="1"/>
  <c r="AD468" i="19"/>
  <c r="AE468" i="19" s="1"/>
  <c r="W468" i="19"/>
  <c r="V468" i="19"/>
  <c r="AD467" i="19"/>
  <c r="AE467" i="19" s="1"/>
  <c r="Y467" i="19"/>
  <c r="X467" i="19"/>
  <c r="W467" i="19"/>
  <c r="V467" i="19"/>
  <c r="X466" i="19"/>
  <c r="Y466" i="19" s="1"/>
  <c r="W466" i="19"/>
  <c r="V466" i="19"/>
  <c r="AD466" i="19" s="1"/>
  <c r="AE466" i="19" s="1"/>
  <c r="AH465" i="19"/>
  <c r="X465" i="19"/>
  <c r="Y465" i="19" s="1"/>
  <c r="AA465" i="19" s="1"/>
  <c r="Z465" i="19" s="1"/>
  <c r="W465" i="19"/>
  <c r="V465" i="19"/>
  <c r="AD465" i="19" s="1"/>
  <c r="AD464" i="19"/>
  <c r="W464" i="19"/>
  <c r="X463" i="19"/>
  <c r="Y463" i="19" s="1"/>
  <c r="W463" i="19"/>
  <c r="V463" i="19"/>
  <c r="AD463" i="19" s="1"/>
  <c r="X462" i="19"/>
  <c r="Y462" i="19" s="1"/>
  <c r="W462" i="19"/>
  <c r="V462" i="19"/>
  <c r="AD462" i="19" s="1"/>
  <c r="X461" i="19"/>
  <c r="Y461" i="19" s="1"/>
  <c r="W461" i="19"/>
  <c r="V461" i="19"/>
  <c r="AD461" i="19" s="1"/>
  <c r="Y460" i="19"/>
  <c r="X460" i="19"/>
  <c r="W460" i="19"/>
  <c r="V460" i="19"/>
  <c r="AD460" i="19" s="1"/>
  <c r="AE459" i="19"/>
  <c r="X459" i="19"/>
  <c r="Y459" i="19" s="1"/>
  <c r="W459" i="19"/>
  <c r="AA459" i="19" s="1"/>
  <c r="Z459" i="19" s="1"/>
  <c r="V459" i="19"/>
  <c r="AD459" i="19" s="1"/>
  <c r="X458" i="19"/>
  <c r="Y458" i="19" s="1"/>
  <c r="AA458" i="19" s="1"/>
  <c r="Z458" i="19" s="1"/>
  <c r="W458" i="19"/>
  <c r="V458" i="19"/>
  <c r="AD458" i="19" s="1"/>
  <c r="AE458" i="19" s="1"/>
  <c r="AD457" i="19"/>
  <c r="X457" i="19"/>
  <c r="Y457" i="19" s="1"/>
  <c r="W457" i="19"/>
  <c r="V457" i="19"/>
  <c r="X456" i="19"/>
  <c r="Y456" i="19" s="1"/>
  <c r="W456" i="19"/>
  <c r="V456" i="19"/>
  <c r="AD456" i="19" s="1"/>
  <c r="AD455" i="19"/>
  <c r="AE455" i="19" s="1"/>
  <c r="X455" i="19"/>
  <c r="Y455" i="19" s="1"/>
  <c r="AA455" i="19" s="1"/>
  <c r="Z455" i="19" s="1"/>
  <c r="W455" i="19"/>
  <c r="V455" i="19"/>
  <c r="AD454" i="19"/>
  <c r="X454" i="19"/>
  <c r="Y454" i="19" s="1"/>
  <c r="W454" i="19"/>
  <c r="V454" i="19"/>
  <c r="X453" i="19"/>
  <c r="Y453" i="19" s="1"/>
  <c r="W453" i="19"/>
  <c r="V453" i="19"/>
  <c r="AD453" i="19" s="1"/>
  <c r="AE453" i="19" s="1"/>
  <c r="AE452" i="19"/>
  <c r="AD452" i="19"/>
  <c r="X452" i="19"/>
  <c r="Y452" i="19" s="1"/>
  <c r="AA452" i="19" s="1"/>
  <c r="Z452" i="19" s="1"/>
  <c r="W452" i="19"/>
  <c r="V452" i="19"/>
  <c r="X451" i="19"/>
  <c r="Y451" i="19" s="1"/>
  <c r="W451" i="19"/>
  <c r="V451" i="19"/>
  <c r="AD451" i="19" s="1"/>
  <c r="X450" i="19"/>
  <c r="Y450" i="19" s="1"/>
  <c r="W450" i="19"/>
  <c r="V450" i="19"/>
  <c r="AD450" i="19" s="1"/>
  <c r="X449" i="19"/>
  <c r="Y449" i="19" s="1"/>
  <c r="W449" i="19"/>
  <c r="AE449" i="19" s="1"/>
  <c r="V449" i="19"/>
  <c r="AD449" i="19" s="1"/>
  <c r="AD448" i="19"/>
  <c r="AE448" i="19" s="1"/>
  <c r="X448" i="19"/>
  <c r="Y448" i="19" s="1"/>
  <c r="AA448" i="19" s="1"/>
  <c r="Z448" i="19" s="1"/>
  <c r="W448" i="19"/>
  <c r="V448" i="19"/>
  <c r="X447" i="19"/>
  <c r="Y447" i="19" s="1"/>
  <c r="W447" i="19"/>
  <c r="V447" i="19"/>
  <c r="AD447" i="19" s="1"/>
  <c r="AE447" i="19" s="1"/>
  <c r="AE446" i="19"/>
  <c r="AD446" i="19"/>
  <c r="X446" i="19"/>
  <c r="Y446" i="19" s="1"/>
  <c r="W446" i="19"/>
  <c r="AA446" i="19" s="1"/>
  <c r="Z446" i="19" s="1"/>
  <c r="V446" i="19"/>
  <c r="AI445" i="19"/>
  <c r="X445" i="19" s="1"/>
  <c r="Y445" i="19" s="1"/>
  <c r="AH445" i="19" s="1"/>
  <c r="AE445" i="19"/>
  <c r="AD445" i="19"/>
  <c r="W445" i="19"/>
  <c r="V445" i="19"/>
  <c r="X444" i="19"/>
  <c r="Y444" i="19" s="1"/>
  <c r="AH444" i="19" s="1"/>
  <c r="W444" i="19"/>
  <c r="V444" i="19"/>
  <c r="AD444" i="19" s="1"/>
  <c r="AH443" i="19"/>
  <c r="AE443" i="19"/>
  <c r="X443" i="19"/>
  <c r="Y443" i="19" s="1"/>
  <c r="W443" i="19"/>
  <c r="V443" i="19"/>
  <c r="AD443" i="19" s="1"/>
  <c r="AD442" i="19"/>
  <c r="AE442" i="19" s="1"/>
  <c r="X442" i="19"/>
  <c r="Y442" i="19" s="1"/>
  <c r="W442" i="19"/>
  <c r="V442" i="19"/>
  <c r="AE441" i="19"/>
  <c r="AD441" i="19"/>
  <c r="X441" i="19"/>
  <c r="Y441" i="19" s="1"/>
  <c r="AH441" i="19" s="1"/>
  <c r="W441" i="19"/>
  <c r="AA441" i="19" s="1"/>
  <c r="Z441" i="19" s="1"/>
  <c r="V441" i="19"/>
  <c r="Y440" i="19"/>
  <c r="AH440" i="19" s="1"/>
  <c r="W440" i="19"/>
  <c r="V440" i="19"/>
  <c r="AD440" i="19" s="1"/>
  <c r="X439" i="19"/>
  <c r="Y439" i="19" s="1"/>
  <c r="AH439" i="19" s="1"/>
  <c r="W439" i="19"/>
  <c r="V439" i="19"/>
  <c r="AD439" i="19" s="1"/>
  <c r="Y438" i="19"/>
  <c r="AA438" i="19" s="1"/>
  <c r="Z438" i="19" s="1"/>
  <c r="AH438" i="19"/>
  <c r="AE438" i="19"/>
  <c r="W438" i="19"/>
  <c r="V438" i="19"/>
  <c r="AD438" i="19" s="1"/>
  <c r="X437" i="19"/>
  <c r="Y437" i="19" s="1"/>
  <c r="W437" i="19"/>
  <c r="V437" i="19"/>
  <c r="AD437" i="19" s="1"/>
  <c r="AE437" i="19" s="1"/>
  <c r="AI436" i="19"/>
  <c r="AH436" i="19"/>
  <c r="X436" i="19"/>
  <c r="Y436" i="19" s="1"/>
  <c r="W436" i="19"/>
  <c r="V436" i="19"/>
  <c r="AD436" i="19" s="1"/>
  <c r="X435" i="19"/>
  <c r="Y435" i="19" s="1"/>
  <c r="AH435" i="19" s="1"/>
  <c r="W435" i="19"/>
  <c r="V435" i="19"/>
  <c r="AD435" i="19" s="1"/>
  <c r="AD434" i="19"/>
  <c r="W434" i="19"/>
  <c r="X433" i="19"/>
  <c r="Y433" i="19" s="1"/>
  <c r="AH433" i="19" s="1"/>
  <c r="W433" i="19"/>
  <c r="AE433" i="19" s="1"/>
  <c r="V433" i="19"/>
  <c r="AD433" i="19" s="1"/>
  <c r="T433" i="19"/>
  <c r="S433" i="19"/>
  <c r="AD432" i="19"/>
  <c r="W432" i="19"/>
  <c r="T432" i="19"/>
  <c r="S432" i="19"/>
  <c r="AD431" i="19"/>
  <c r="X431" i="19"/>
  <c r="Y431" i="19" s="1"/>
  <c r="W431" i="19"/>
  <c r="V431" i="19"/>
  <c r="T431" i="19"/>
  <c r="S431" i="19"/>
  <c r="AE430" i="19"/>
  <c r="AD430" i="19"/>
  <c r="X430" i="19"/>
  <c r="Y430" i="19" s="1"/>
  <c r="AA430" i="19" s="1"/>
  <c r="Z430" i="19" s="1"/>
  <c r="W430" i="19"/>
  <c r="V430" i="19"/>
  <c r="T430" i="19"/>
  <c r="S430" i="19"/>
  <c r="X429" i="19"/>
  <c r="Y429" i="19" s="1"/>
  <c r="AA429" i="19" s="1"/>
  <c r="Z429" i="19" s="1"/>
  <c r="W429" i="19"/>
  <c r="V429" i="19"/>
  <c r="AD429" i="19" s="1"/>
  <c r="AE429" i="19" s="1"/>
  <c r="T429" i="19"/>
  <c r="S429" i="19"/>
  <c r="AE428" i="19"/>
  <c r="Y428" i="19"/>
  <c r="AA428" i="19" s="1"/>
  <c r="Z428" i="19" s="1"/>
  <c r="X428" i="19"/>
  <c r="W428" i="19"/>
  <c r="V428" i="19"/>
  <c r="AD428" i="19" s="1"/>
  <c r="T428" i="19"/>
  <c r="S428" i="19"/>
  <c r="AE427" i="19"/>
  <c r="X427" i="19"/>
  <c r="Y427" i="19" s="1"/>
  <c r="AA427" i="19" s="1"/>
  <c r="Z427" i="19" s="1"/>
  <c r="W427" i="19"/>
  <c r="V427" i="19"/>
  <c r="AD427" i="19" s="1"/>
  <c r="T427" i="19"/>
  <c r="S427" i="19"/>
  <c r="AI426" i="19"/>
  <c r="X426" i="19"/>
  <c r="Y426" i="19" s="1"/>
  <c r="W426" i="19"/>
  <c r="V426" i="19"/>
  <c r="AD426" i="19" s="1"/>
  <c r="T426" i="19"/>
  <c r="S426" i="19"/>
  <c r="X425" i="19"/>
  <c r="Y425" i="19" s="1"/>
  <c r="W425" i="19"/>
  <c r="V425" i="19"/>
  <c r="AD425" i="19" s="1"/>
  <c r="T425" i="19"/>
  <c r="S425" i="19"/>
  <c r="AE424" i="19"/>
  <c r="AD424" i="19"/>
  <c r="X424" i="19"/>
  <c r="Y424" i="19" s="1"/>
  <c r="W424" i="19"/>
  <c r="V424" i="19"/>
  <c r="T424" i="19"/>
  <c r="S424" i="19"/>
  <c r="X423" i="19"/>
  <c r="Y423" i="19" s="1"/>
  <c r="W423" i="19"/>
  <c r="V423" i="19"/>
  <c r="AD423" i="19" s="1"/>
  <c r="T423" i="19"/>
  <c r="S423" i="19"/>
  <c r="AE422" i="19"/>
  <c r="AD422" i="19"/>
  <c r="X422" i="19"/>
  <c r="Y422" i="19" s="1"/>
  <c r="W422" i="19"/>
  <c r="V422" i="19"/>
  <c r="T422" i="19"/>
  <c r="S422" i="19"/>
  <c r="AE421" i="19"/>
  <c r="X421" i="19"/>
  <c r="Y421" i="19" s="1"/>
  <c r="AA421" i="19" s="1"/>
  <c r="Z421" i="19" s="1"/>
  <c r="W421" i="19"/>
  <c r="V421" i="19"/>
  <c r="AD421" i="19" s="1"/>
  <c r="T421" i="19"/>
  <c r="S421" i="19"/>
  <c r="X420" i="19"/>
  <c r="Y420" i="19" s="1"/>
  <c r="W420" i="19"/>
  <c r="V420" i="19"/>
  <c r="AD420" i="19" s="1"/>
  <c r="T420" i="19"/>
  <c r="S420" i="19"/>
  <c r="Y419" i="19"/>
  <c r="AA419" i="19" s="1"/>
  <c r="Z419" i="19" s="1"/>
  <c r="X419" i="19"/>
  <c r="W419" i="19"/>
  <c r="V419" i="19"/>
  <c r="AD419" i="19" s="1"/>
  <c r="AE419" i="19" s="1"/>
  <c r="T419" i="19"/>
  <c r="S419" i="19"/>
  <c r="AE418" i="19"/>
  <c r="AD418" i="19"/>
  <c r="X418" i="19"/>
  <c r="Y418" i="19" s="1"/>
  <c r="W418" i="19"/>
  <c r="AA418" i="19" s="1"/>
  <c r="Z418" i="19" s="1"/>
  <c r="V418" i="19"/>
  <c r="T418" i="19"/>
  <c r="S418" i="19"/>
  <c r="AE417" i="19"/>
  <c r="Y417" i="19"/>
  <c r="AA417" i="19" s="1"/>
  <c r="Z417" i="19" s="1"/>
  <c r="X417" i="19"/>
  <c r="W417" i="19"/>
  <c r="V417" i="19"/>
  <c r="AD417" i="19" s="1"/>
  <c r="T417" i="19"/>
  <c r="S417" i="19"/>
  <c r="X416" i="19"/>
  <c r="Y416" i="19" s="1"/>
  <c r="W416" i="19"/>
  <c r="V416" i="19"/>
  <c r="AD416" i="19" s="1"/>
  <c r="T416" i="19"/>
  <c r="S416" i="19"/>
  <c r="AD415" i="19"/>
  <c r="W415" i="19"/>
  <c r="T415" i="19"/>
  <c r="S415" i="19"/>
  <c r="AD414" i="19"/>
  <c r="AE414" i="19" s="1"/>
  <c r="X414" i="19"/>
  <c r="Y414" i="19" s="1"/>
  <c r="W414" i="19"/>
  <c r="V414" i="19"/>
  <c r="AI413" i="19"/>
  <c r="X413" i="19" s="1"/>
  <c r="Y413" i="19" s="1"/>
  <c r="W413" i="19"/>
  <c r="V413" i="19"/>
  <c r="AD413" i="19" s="1"/>
  <c r="AI412" i="19"/>
  <c r="X412" i="19"/>
  <c r="Y412" i="19" s="1"/>
  <c r="AH412" i="19" s="1"/>
  <c r="W412" i="19"/>
  <c r="V412" i="19"/>
  <c r="AD412" i="19" s="1"/>
  <c r="AH411" i="19"/>
  <c r="AB411" i="19"/>
  <c r="Z411" i="19"/>
  <c r="Y411" i="19"/>
  <c r="W411" i="19"/>
  <c r="V411" i="19"/>
  <c r="AD411" i="19" s="1"/>
  <c r="AE411" i="19" s="1"/>
  <c r="AI410" i="19"/>
  <c r="X410" i="19" s="1"/>
  <c r="Y410" i="19" s="1"/>
  <c r="AH410" i="19" s="1"/>
  <c r="AD410" i="19"/>
  <c r="W410" i="19"/>
  <c r="AE410" i="19" s="1"/>
  <c r="V410" i="19"/>
  <c r="X409" i="19"/>
  <c r="Y409" i="19" s="1"/>
  <c r="AH409" i="19" s="1"/>
  <c r="W409" i="19"/>
  <c r="AE409" i="19" s="1"/>
  <c r="V409" i="19"/>
  <c r="AD409" i="19" s="1"/>
  <c r="AE408" i="19"/>
  <c r="X408" i="19"/>
  <c r="Y408" i="19" s="1"/>
  <c r="AH408" i="19" s="1"/>
  <c r="W408" i="19"/>
  <c r="V408" i="19"/>
  <c r="AD408" i="19" s="1"/>
  <c r="AD407" i="19"/>
  <c r="W407" i="19"/>
  <c r="X406" i="19"/>
  <c r="Y406" i="19" s="1"/>
  <c r="W406" i="19"/>
  <c r="V406" i="19"/>
  <c r="AD406" i="19" s="1"/>
  <c r="T406" i="19"/>
  <c r="S406" i="19"/>
  <c r="AE405" i="19"/>
  <c r="Y405" i="19"/>
  <c r="AA405" i="19" s="1"/>
  <c r="Z405" i="19" s="1"/>
  <c r="X405" i="19"/>
  <c r="W405" i="19"/>
  <c r="V405" i="19"/>
  <c r="AD405" i="19" s="1"/>
  <c r="T405" i="19"/>
  <c r="S405" i="19"/>
  <c r="X404" i="19"/>
  <c r="Y404" i="19" s="1"/>
  <c r="W404" i="19"/>
  <c r="V404" i="19"/>
  <c r="AD404" i="19" s="1"/>
  <c r="T404" i="19"/>
  <c r="S404" i="19"/>
  <c r="AD403" i="19"/>
  <c r="AE403" i="19" s="1"/>
  <c r="X403" i="19"/>
  <c r="Y403" i="19" s="1"/>
  <c r="AH403" i="19" s="1"/>
  <c r="W403" i="19"/>
  <c r="V403" i="19"/>
  <c r="X402" i="19"/>
  <c r="Y402" i="19" s="1"/>
  <c r="AH402" i="19" s="1"/>
  <c r="W402" i="19"/>
  <c r="AE402" i="19" s="1"/>
  <c r="V402" i="19"/>
  <c r="AD402" i="19" s="1"/>
  <c r="X401" i="19"/>
  <c r="Y401" i="19" s="1"/>
  <c r="AH401" i="19" s="1"/>
  <c r="W401" i="19"/>
  <c r="V401" i="19"/>
  <c r="AD401" i="19" s="1"/>
  <c r="AI400" i="19"/>
  <c r="Y400" i="19" s="1"/>
  <c r="AH400" i="19" s="1"/>
  <c r="W400" i="19"/>
  <c r="V400" i="19"/>
  <c r="AD400" i="19" s="1"/>
  <c r="AI399" i="19"/>
  <c r="Y399" i="19" s="1"/>
  <c r="AH399" i="19" s="1"/>
  <c r="AD399" i="19"/>
  <c r="W399" i="19"/>
  <c r="V399" i="19"/>
  <c r="X398" i="19"/>
  <c r="Y398" i="19" s="1"/>
  <c r="AH398" i="19" s="1"/>
  <c r="AD398" i="19"/>
  <c r="W398" i="19"/>
  <c r="V398" i="19"/>
  <c r="X397" i="19"/>
  <c r="Y397" i="19" s="1"/>
  <c r="AD397" i="19"/>
  <c r="AE397" i="19" s="1"/>
  <c r="W397" i="19"/>
  <c r="V397" i="19"/>
  <c r="X396" i="19"/>
  <c r="Y396" i="19" s="1"/>
  <c r="AA396" i="19" s="1"/>
  <c r="Z396" i="19" s="1"/>
  <c r="W396" i="19"/>
  <c r="V396" i="19"/>
  <c r="AD396" i="19" s="1"/>
  <c r="AE396" i="19" s="1"/>
  <c r="X395" i="19"/>
  <c r="Y395" i="19" s="1"/>
  <c r="AH395" i="19" s="1"/>
  <c r="W395" i="19"/>
  <c r="V395" i="19"/>
  <c r="AD395" i="19" s="1"/>
  <c r="AD394" i="19"/>
  <c r="AE394" i="19" s="1"/>
  <c r="X394" i="19"/>
  <c r="Y394" i="19" s="1"/>
  <c r="AA394" i="19" s="1"/>
  <c r="Z394" i="19" s="1"/>
  <c r="W394" i="19"/>
  <c r="V394" i="19"/>
  <c r="AI393" i="19"/>
  <c r="AD393" i="19"/>
  <c r="AE393" i="19" s="1"/>
  <c r="Y393" i="19"/>
  <c r="X393" i="19"/>
  <c r="W393" i="19"/>
  <c r="V393" i="19"/>
  <c r="AD392" i="19"/>
  <c r="X392" i="19"/>
  <c r="Y392" i="19" s="1"/>
  <c r="AH392" i="19" s="1"/>
  <c r="W392" i="19"/>
  <c r="AE392" i="19" s="1"/>
  <c r="V392" i="19"/>
  <c r="AD391" i="19"/>
  <c r="X391" i="19"/>
  <c r="Y391" i="19" s="1"/>
  <c r="W391" i="19"/>
  <c r="V391" i="19"/>
  <c r="X390" i="19"/>
  <c r="Y390" i="19" s="1"/>
  <c r="AH390" i="19" s="1"/>
  <c r="W390" i="19"/>
  <c r="V390" i="19"/>
  <c r="AD390" i="19" s="1"/>
  <c r="AE390" i="19" s="1"/>
  <c r="AE389" i="19"/>
  <c r="X389" i="19"/>
  <c r="Y389" i="19" s="1"/>
  <c r="AH389" i="19" s="1"/>
  <c r="W389" i="19"/>
  <c r="V389" i="19"/>
  <c r="AD389" i="19" s="1"/>
  <c r="AD388" i="19"/>
  <c r="X388" i="19"/>
  <c r="Y388" i="19" s="1"/>
  <c r="AH388" i="19" s="1"/>
  <c r="W388" i="19"/>
  <c r="V388" i="19"/>
  <c r="AE387" i="19"/>
  <c r="X387" i="19"/>
  <c r="Y387" i="19" s="1"/>
  <c r="W387" i="19"/>
  <c r="V387" i="19"/>
  <c r="AD387" i="19" s="1"/>
  <c r="AD386" i="19"/>
  <c r="X386" i="19"/>
  <c r="Y386" i="19" s="1"/>
  <c r="AH386" i="19" s="1"/>
  <c r="W386" i="19"/>
  <c r="V386" i="19"/>
  <c r="X385" i="19"/>
  <c r="Y385" i="19" s="1"/>
  <c r="W385" i="19"/>
  <c r="V385" i="19"/>
  <c r="AD385" i="19" s="1"/>
  <c r="AE385" i="19" s="1"/>
  <c r="X384" i="19"/>
  <c r="Y384" i="19" s="1"/>
  <c r="W384" i="19"/>
  <c r="V384" i="19"/>
  <c r="AD384" i="19" s="1"/>
  <c r="AE384" i="19" s="1"/>
  <c r="AD383" i="19"/>
  <c r="AE383" i="19" s="1"/>
  <c r="X383" i="19"/>
  <c r="Y383" i="19" s="1"/>
  <c r="W383" i="19"/>
  <c r="V383" i="19"/>
  <c r="X382" i="19"/>
  <c r="Y382" i="19" s="1"/>
  <c r="W382" i="19"/>
  <c r="V382" i="19"/>
  <c r="AD382" i="19" s="1"/>
  <c r="AE382" i="19" s="1"/>
  <c r="X381" i="19"/>
  <c r="Y381" i="19" s="1"/>
  <c r="W381" i="19"/>
  <c r="V381" i="19"/>
  <c r="AD381" i="19" s="1"/>
  <c r="X380" i="19"/>
  <c r="Y380" i="19" s="1"/>
  <c r="AA380" i="19" s="1"/>
  <c r="Z380" i="19" s="1"/>
  <c r="W380" i="19"/>
  <c r="V380" i="19"/>
  <c r="AD380" i="19" s="1"/>
  <c r="AE380" i="19" s="1"/>
  <c r="Y379" i="19"/>
  <c r="AA379" i="19" s="1"/>
  <c r="Z379" i="19" s="1"/>
  <c r="X379" i="19"/>
  <c r="W379" i="19"/>
  <c r="V379" i="19"/>
  <c r="AD379" i="19" s="1"/>
  <c r="AE379" i="19" s="1"/>
  <c r="X378" i="19"/>
  <c r="Y378" i="19" s="1"/>
  <c r="AH378" i="19" s="1"/>
  <c r="W378" i="19"/>
  <c r="AD377" i="19"/>
  <c r="AE377" i="19" s="1"/>
  <c r="X377" i="19"/>
  <c r="Y377" i="19" s="1"/>
  <c r="AH377" i="19" s="1"/>
  <c r="W377" i="19"/>
  <c r="V377" i="19"/>
  <c r="X376" i="19"/>
  <c r="Y376" i="19" s="1"/>
  <c r="AH376" i="19" s="1"/>
  <c r="W376" i="19"/>
  <c r="AE376" i="19" s="1"/>
  <c r="V376" i="19"/>
  <c r="AD376" i="19" s="1"/>
  <c r="AE375" i="19"/>
  <c r="X375" i="19"/>
  <c r="Y375" i="19" s="1"/>
  <c r="AH375" i="19" s="1"/>
  <c r="W375" i="19"/>
  <c r="V375" i="19"/>
  <c r="AD375" i="19" s="1"/>
  <c r="AI374" i="19"/>
  <c r="X374" i="19" s="1"/>
  <c r="Y374" i="19" s="1"/>
  <c r="AH374" i="19" s="1"/>
  <c r="AD374" i="19"/>
  <c r="AE374" i="19" s="1"/>
  <c r="AA374" i="19"/>
  <c r="Z374" i="19"/>
  <c r="W374" i="19"/>
  <c r="V374" i="19"/>
  <c r="Z373" i="19"/>
  <c r="X373" i="19"/>
  <c r="Y373" i="19" s="1"/>
  <c r="AA373" i="19" s="1"/>
  <c r="W373" i="19"/>
  <c r="V373" i="19"/>
  <c r="AD373" i="19" s="1"/>
  <c r="AE372" i="19"/>
  <c r="Y372" i="19"/>
  <c r="X372" i="19"/>
  <c r="W372" i="19"/>
  <c r="V372" i="19"/>
  <c r="AD372" i="19" s="1"/>
  <c r="AD371" i="19"/>
  <c r="X371" i="19"/>
  <c r="Y371" i="19" s="1"/>
  <c r="AH371" i="19" s="1"/>
  <c r="W371" i="19"/>
  <c r="V371" i="19"/>
  <c r="X370" i="19"/>
  <c r="Y370" i="19" s="1"/>
  <c r="AH370" i="19" s="1"/>
  <c r="AD370" i="19"/>
  <c r="W370" i="19"/>
  <c r="AE370" i="19" s="1"/>
  <c r="V370" i="19"/>
  <c r="AI369" i="19"/>
  <c r="X369" i="19"/>
  <c r="Y369" i="19" s="1"/>
  <c r="AH369" i="19" s="1"/>
  <c r="W369" i="19"/>
  <c r="AA369" i="19" s="1"/>
  <c r="Z369" i="19" s="1"/>
  <c r="V369" i="19"/>
  <c r="AD369" i="19" s="1"/>
  <c r="AI368" i="19"/>
  <c r="X368" i="19" s="1"/>
  <c r="Y368" i="19" s="1"/>
  <c r="AH368" i="19" s="1"/>
  <c r="W368" i="19"/>
  <c r="V368" i="19"/>
  <c r="AD368" i="19" s="1"/>
  <c r="X367" i="19"/>
  <c r="Y367" i="19" s="1"/>
  <c r="AH367" i="19" s="1"/>
  <c r="W367" i="19"/>
  <c r="V367" i="19"/>
  <c r="AD367" i="19" s="1"/>
  <c r="AE366" i="19"/>
  <c r="X366" i="19"/>
  <c r="Y366" i="19" s="1"/>
  <c r="W366" i="19"/>
  <c r="AD365" i="19"/>
  <c r="X365" i="19"/>
  <c r="Y365" i="19" s="1"/>
  <c r="AH365" i="19" s="1"/>
  <c r="W365" i="19"/>
  <c r="V365" i="19"/>
  <c r="AD364" i="19"/>
  <c r="AE364" i="19" s="1"/>
  <c r="X364" i="19"/>
  <c r="Y364" i="19" s="1"/>
  <c r="W364" i="19"/>
  <c r="V364" i="19"/>
  <c r="AD363" i="19"/>
  <c r="X363" i="19"/>
  <c r="Y363" i="19" s="1"/>
  <c r="W363" i="19"/>
  <c r="V363" i="19"/>
  <c r="AD362" i="19"/>
  <c r="W362" i="19"/>
  <c r="AD361" i="19"/>
  <c r="X361" i="19"/>
  <c r="Y361" i="19" s="1"/>
  <c r="W361" i="19"/>
  <c r="V361" i="19"/>
  <c r="T361" i="19"/>
  <c r="S361" i="19"/>
  <c r="AD360" i="19"/>
  <c r="AE360" i="19" s="1"/>
  <c r="X360" i="19"/>
  <c r="Y360" i="19" s="1"/>
  <c r="AA360" i="19" s="1"/>
  <c r="Z360" i="19" s="1"/>
  <c r="W360" i="19"/>
  <c r="V360" i="19"/>
  <c r="T360" i="19"/>
  <c r="S360" i="19"/>
  <c r="AE359" i="19"/>
  <c r="AD359" i="19"/>
  <c r="X359" i="19"/>
  <c r="Y359" i="19" s="1"/>
  <c r="W359" i="19"/>
  <c r="V359" i="19"/>
  <c r="T359" i="19"/>
  <c r="S359" i="19"/>
  <c r="X358" i="19"/>
  <c r="Y358" i="19" s="1"/>
  <c r="W358" i="19"/>
  <c r="AE358" i="19" s="1"/>
  <c r="V358" i="19"/>
  <c r="AD358" i="19" s="1"/>
  <c r="T358" i="19"/>
  <c r="S358" i="19"/>
  <c r="X357" i="19"/>
  <c r="Y357" i="19" s="1"/>
  <c r="W357" i="19"/>
  <c r="V357" i="19"/>
  <c r="AD357" i="19" s="1"/>
  <c r="T357" i="19"/>
  <c r="S357" i="19"/>
  <c r="AD356" i="19"/>
  <c r="X356" i="19"/>
  <c r="Y356" i="19" s="1"/>
  <c r="AA356" i="19" s="1"/>
  <c r="Z356" i="19" s="1"/>
  <c r="W356" i="19"/>
  <c r="V356" i="19"/>
  <c r="T356" i="19"/>
  <c r="S356" i="19"/>
  <c r="AD355" i="19"/>
  <c r="AE355" i="19" s="1"/>
  <c r="X355" i="19"/>
  <c r="Y355" i="19" s="1"/>
  <c r="AA355" i="19" s="1"/>
  <c r="Z355" i="19" s="1"/>
  <c r="W355" i="19"/>
  <c r="V355" i="19"/>
  <c r="T355" i="19"/>
  <c r="S355" i="19"/>
  <c r="Y354" i="19"/>
  <c r="AA354" i="19" s="1"/>
  <c r="Z354" i="19" s="1"/>
  <c r="X354" i="19"/>
  <c r="W354" i="19"/>
  <c r="V354" i="19"/>
  <c r="AD354" i="19" s="1"/>
  <c r="T354" i="19"/>
  <c r="S354" i="19"/>
  <c r="AD353" i="19"/>
  <c r="AE353" i="19" s="1"/>
  <c r="X353" i="19"/>
  <c r="Y353" i="19" s="1"/>
  <c r="W353" i="19"/>
  <c r="V353" i="19"/>
  <c r="T353" i="19"/>
  <c r="S353" i="19"/>
  <c r="AI352" i="19"/>
  <c r="AD352" i="19"/>
  <c r="AE352" i="19" s="1"/>
  <c r="X352" i="19"/>
  <c r="Y352" i="19" s="1"/>
  <c r="W352" i="19"/>
  <c r="V352" i="19"/>
  <c r="X351" i="19"/>
  <c r="Y351" i="19" s="1"/>
  <c r="W351" i="19"/>
  <c r="V351" i="19"/>
  <c r="AD351" i="19" s="1"/>
  <c r="AE351" i="19" s="1"/>
  <c r="AD350" i="19"/>
  <c r="AE350" i="19" s="1"/>
  <c r="X350" i="19"/>
  <c r="Y350" i="19" s="1"/>
  <c r="AH350" i="19" s="1"/>
  <c r="W350" i="19"/>
  <c r="V350" i="19"/>
  <c r="AD349" i="19"/>
  <c r="X349" i="19"/>
  <c r="Y349" i="19" s="1"/>
  <c r="AH349" i="19" s="1"/>
  <c r="W349" i="19"/>
  <c r="V349" i="19"/>
  <c r="AE348" i="19"/>
  <c r="X348" i="19"/>
  <c r="Y348" i="19" s="1"/>
  <c r="W348" i="19"/>
  <c r="V348" i="19"/>
  <c r="AD348" i="19" s="1"/>
  <c r="X347" i="19"/>
  <c r="Y347" i="19" s="1"/>
  <c r="AH347" i="19" s="1"/>
  <c r="W347" i="19"/>
  <c r="V347" i="19"/>
  <c r="AD347" i="19" s="1"/>
  <c r="X346" i="19"/>
  <c r="Y346" i="19" s="1"/>
  <c r="AH346" i="19" s="1"/>
  <c r="W346" i="19"/>
  <c r="V346" i="19"/>
  <c r="AD346" i="19" s="1"/>
  <c r="AH345" i="19"/>
  <c r="AD345" i="19"/>
  <c r="Y345" i="19"/>
  <c r="AA345" i="19" s="1"/>
  <c r="Z345" i="19" s="1"/>
  <c r="X345" i="19"/>
  <c r="W345" i="19"/>
  <c r="AE345" i="19" s="1"/>
  <c r="V345" i="19"/>
  <c r="AE344" i="19"/>
  <c r="X344" i="19"/>
  <c r="Y344" i="19" s="1"/>
  <c r="AH344" i="19" s="1"/>
  <c r="W344" i="19"/>
  <c r="V344" i="19"/>
  <c r="AD344" i="19" s="1"/>
  <c r="X343" i="19"/>
  <c r="Y343" i="19" s="1"/>
  <c r="AH343" i="19" s="1"/>
  <c r="W343" i="19"/>
  <c r="V343" i="19"/>
  <c r="AD343" i="19" s="1"/>
  <c r="AA342" i="19"/>
  <c r="Z342" i="19" s="1"/>
  <c r="X342" i="19"/>
  <c r="Y342" i="19" s="1"/>
  <c r="AH342" i="19" s="1"/>
  <c r="W342" i="19"/>
  <c r="V342" i="19"/>
  <c r="AD342" i="19" s="1"/>
  <c r="AE342" i="19" s="1"/>
  <c r="AD341" i="19"/>
  <c r="AE341" i="19" s="1"/>
  <c r="X341" i="19"/>
  <c r="Y341" i="19" s="1"/>
  <c r="W341" i="19"/>
  <c r="V341" i="19"/>
  <c r="AH340" i="19"/>
  <c r="AD340" i="19"/>
  <c r="X340" i="19"/>
  <c r="Y340" i="19" s="1"/>
  <c r="W340" i="19"/>
  <c r="V340" i="19"/>
  <c r="AE339" i="19"/>
  <c r="AA339" i="19"/>
  <c r="Z339" i="19"/>
  <c r="X339" i="19"/>
  <c r="Y339" i="19" s="1"/>
  <c r="AH339" i="19" s="1"/>
  <c r="W339" i="19"/>
  <c r="V339" i="19"/>
  <c r="AD339" i="19" s="1"/>
  <c r="AE338" i="19"/>
  <c r="X338" i="19"/>
  <c r="Y338" i="19" s="1"/>
  <c r="AH338" i="19" s="1"/>
  <c r="W338" i="19"/>
  <c r="V338" i="19"/>
  <c r="AD338" i="19" s="1"/>
  <c r="AD337" i="19"/>
  <c r="X337" i="19"/>
  <c r="Y337" i="19" s="1"/>
  <c r="AH337" i="19" s="1"/>
  <c r="W337" i="19"/>
  <c r="AA337" i="19" s="1"/>
  <c r="Z337" i="19" s="1"/>
  <c r="V337" i="19"/>
  <c r="X336" i="19"/>
  <c r="Y336" i="19" s="1"/>
  <c r="AH336" i="19" s="1"/>
  <c r="W336" i="19"/>
  <c r="AA336" i="19" s="1"/>
  <c r="Z336" i="19" s="1"/>
  <c r="V336" i="19"/>
  <c r="AD336" i="19" s="1"/>
  <c r="AD335" i="19"/>
  <c r="X335" i="19"/>
  <c r="Y335" i="19" s="1"/>
  <c r="AH335" i="19" s="1"/>
  <c r="W335" i="19"/>
  <c r="AE335" i="19" s="1"/>
  <c r="V335" i="19"/>
  <c r="AD334" i="19"/>
  <c r="X334" i="19"/>
  <c r="Y334" i="19" s="1"/>
  <c r="AH334" i="19" s="1"/>
  <c r="W334" i="19"/>
  <c r="V334" i="19"/>
  <c r="AE333" i="19"/>
  <c r="X333" i="19"/>
  <c r="Y333" i="19" s="1"/>
  <c r="AH333" i="19" s="1"/>
  <c r="W333" i="19"/>
  <c r="V333" i="19"/>
  <c r="AD333" i="19" s="1"/>
  <c r="AD332" i="19"/>
  <c r="X332" i="19"/>
  <c r="Y332" i="19" s="1"/>
  <c r="AH332" i="19" s="1"/>
  <c r="W332" i="19"/>
  <c r="V332" i="19"/>
  <c r="AE331" i="19"/>
  <c r="X331" i="19"/>
  <c r="Y331" i="19" s="1"/>
  <c r="AH331" i="19" s="1"/>
  <c r="W331" i="19"/>
  <c r="V331" i="19"/>
  <c r="AD331" i="19" s="1"/>
  <c r="X330" i="19"/>
  <c r="Y330" i="19" s="1"/>
  <c r="W330" i="19"/>
  <c r="V330" i="19"/>
  <c r="AD330" i="19" s="1"/>
  <c r="AE330" i="19" s="1"/>
  <c r="AD329" i="19"/>
  <c r="AE329" i="19" s="1"/>
  <c r="X329" i="19"/>
  <c r="Y329" i="19" s="1"/>
  <c r="W329" i="19"/>
  <c r="V329" i="19"/>
  <c r="X328" i="19"/>
  <c r="Y328" i="19" s="1"/>
  <c r="W328" i="19"/>
  <c r="V328" i="19"/>
  <c r="AD328" i="19" s="1"/>
  <c r="AE328" i="19" s="1"/>
  <c r="AH327" i="19"/>
  <c r="AE327" i="19"/>
  <c r="X327" i="19"/>
  <c r="Y327" i="19" s="1"/>
  <c r="W327" i="19"/>
  <c r="AA327" i="19" s="1"/>
  <c r="Z327" i="19" s="1"/>
  <c r="V327" i="19"/>
  <c r="AD327" i="19" s="1"/>
  <c r="X326" i="19"/>
  <c r="Y326" i="19" s="1"/>
  <c r="AH326" i="19" s="1"/>
  <c r="W326" i="19"/>
  <c r="V326" i="19"/>
  <c r="AD326" i="19" s="1"/>
  <c r="X325" i="19"/>
  <c r="Y325" i="19" s="1"/>
  <c r="AH325" i="19" s="1"/>
  <c r="W325" i="19"/>
  <c r="V325" i="19"/>
  <c r="AD325" i="19" s="1"/>
  <c r="AE325" i="19" s="1"/>
  <c r="AE324" i="19"/>
  <c r="X324" i="19"/>
  <c r="Y324" i="19" s="1"/>
  <c r="AA324" i="19" s="1"/>
  <c r="Z324" i="19" s="1"/>
  <c r="W324" i="19"/>
  <c r="V324" i="19"/>
  <c r="AD324" i="19" s="1"/>
  <c r="X323" i="19"/>
  <c r="Y323" i="19" s="1"/>
  <c r="AH323" i="19" s="1"/>
  <c r="W323" i="19"/>
  <c r="V323" i="19"/>
  <c r="AD323" i="19" s="1"/>
  <c r="AE322" i="19"/>
  <c r="X322" i="19"/>
  <c r="Y322" i="19" s="1"/>
  <c r="AH322" i="19" s="1"/>
  <c r="W322" i="19"/>
  <c r="V322" i="19"/>
  <c r="AD322" i="19" s="1"/>
  <c r="AD321" i="19"/>
  <c r="X321" i="19"/>
  <c r="Y321" i="19" s="1"/>
  <c r="W321" i="19"/>
  <c r="AE321" i="19" s="1"/>
  <c r="V321" i="19"/>
  <c r="AD320" i="19"/>
  <c r="Y320" i="19"/>
  <c r="AH320" i="19" s="1"/>
  <c r="X320" i="19"/>
  <c r="W320" i="19"/>
  <c r="V320" i="19"/>
  <c r="AD319" i="19"/>
  <c r="X319" i="19"/>
  <c r="Y319" i="19" s="1"/>
  <c r="AH319" i="19" s="1"/>
  <c r="W319" i="19"/>
  <c r="AE319" i="19" s="1"/>
  <c r="V319" i="19"/>
  <c r="X318" i="19"/>
  <c r="Y318" i="19" s="1"/>
  <c r="AH318" i="19" s="1"/>
  <c r="W318" i="19"/>
  <c r="V318" i="19"/>
  <c r="AD318" i="19" s="1"/>
  <c r="AD317" i="19"/>
  <c r="X317" i="19"/>
  <c r="Y317" i="19" s="1"/>
  <c r="AH317" i="19" s="1"/>
  <c r="W317" i="19"/>
  <c r="V317" i="19"/>
  <c r="X316" i="19"/>
  <c r="Y316" i="19" s="1"/>
  <c r="W316" i="19"/>
  <c r="V316" i="19"/>
  <c r="AD316" i="19" s="1"/>
  <c r="AE316" i="19" s="1"/>
  <c r="AH315" i="19"/>
  <c r="AE315" i="19"/>
  <c r="Y315" i="19"/>
  <c r="AA315" i="19" s="1"/>
  <c r="Z315" i="19" s="1"/>
  <c r="X315" i="19"/>
  <c r="W315" i="19"/>
  <c r="V315" i="19"/>
  <c r="AD315" i="19" s="1"/>
  <c r="X314" i="19"/>
  <c r="Y314" i="19" s="1"/>
  <c r="AH314" i="19" s="1"/>
  <c r="W314" i="19"/>
  <c r="V314" i="19"/>
  <c r="AD314" i="19" s="1"/>
  <c r="AD313" i="19"/>
  <c r="AE313" i="19" s="1"/>
  <c r="X313" i="19"/>
  <c r="Y313" i="19" s="1"/>
  <c r="W313" i="19"/>
  <c r="V313" i="19"/>
  <c r="AD312" i="19"/>
  <c r="AE312" i="19" s="1"/>
  <c r="X312" i="19"/>
  <c r="Y312" i="19" s="1"/>
  <c r="W312" i="19"/>
  <c r="V312" i="19"/>
  <c r="X311" i="19"/>
  <c r="Y311" i="19" s="1"/>
  <c r="AH311" i="19" s="1"/>
  <c r="W311" i="19"/>
  <c r="V311" i="19"/>
  <c r="AD311" i="19" s="1"/>
  <c r="X310" i="19"/>
  <c r="Y310" i="19" s="1"/>
  <c r="AH310" i="19" s="1"/>
  <c r="W310" i="19"/>
  <c r="V310" i="19"/>
  <c r="AD310" i="19" s="1"/>
  <c r="AD309" i="19"/>
  <c r="X309" i="19"/>
  <c r="Y309" i="19" s="1"/>
  <c r="AH309" i="19" s="1"/>
  <c r="W309" i="19"/>
  <c r="AE309" i="19" s="1"/>
  <c r="V309" i="19"/>
  <c r="AD308" i="19"/>
  <c r="X308" i="19"/>
  <c r="Y308" i="19" s="1"/>
  <c r="AH308" i="19" s="1"/>
  <c r="W308" i="19"/>
  <c r="AE308" i="19" s="1"/>
  <c r="V308" i="19"/>
  <c r="X307" i="19"/>
  <c r="Y307" i="19" s="1"/>
  <c r="AH307" i="19" s="1"/>
  <c r="W307" i="19"/>
  <c r="V307" i="19"/>
  <c r="AD307" i="19" s="1"/>
  <c r="AD306" i="19"/>
  <c r="X306" i="19"/>
  <c r="Y306" i="19" s="1"/>
  <c r="AH306" i="19" s="1"/>
  <c r="W306" i="19"/>
  <c r="V306" i="19"/>
  <c r="AD305" i="19"/>
  <c r="AE305" i="19" s="1"/>
  <c r="X305" i="19"/>
  <c r="Y305" i="19" s="1"/>
  <c r="AH305" i="19" s="1"/>
  <c r="W305" i="19"/>
  <c r="V305" i="19"/>
  <c r="X304" i="19"/>
  <c r="Y304" i="19" s="1"/>
  <c r="AH304" i="19" s="1"/>
  <c r="W304" i="19"/>
  <c r="V304" i="19"/>
  <c r="AD304" i="19" s="1"/>
  <c r="AD303" i="19"/>
  <c r="X303" i="19"/>
  <c r="Y303" i="19" s="1"/>
  <c r="AH303" i="19" s="1"/>
  <c r="W303" i="19"/>
  <c r="V303" i="19"/>
  <c r="X302" i="19"/>
  <c r="Y302" i="19" s="1"/>
  <c r="AH302" i="19" s="1"/>
  <c r="W302" i="19"/>
  <c r="V302" i="19"/>
  <c r="AD302" i="19" s="1"/>
  <c r="AE302" i="19" s="1"/>
  <c r="AD301" i="19"/>
  <c r="X301" i="19"/>
  <c r="Y301" i="19" s="1"/>
  <c r="AH301" i="19" s="1"/>
  <c r="W301" i="19"/>
  <c r="AE301" i="19" s="1"/>
  <c r="V301" i="19"/>
  <c r="AD300" i="19"/>
  <c r="Y300" i="19"/>
  <c r="AH300" i="19" s="1"/>
  <c r="X300" i="19"/>
  <c r="W300" i="19"/>
  <c r="V300" i="19"/>
  <c r="X299" i="19"/>
  <c r="Y299" i="19" s="1"/>
  <c r="AH299" i="19" s="1"/>
  <c r="W299" i="19"/>
  <c r="V299" i="19"/>
  <c r="AD299" i="19" s="1"/>
  <c r="AD298" i="19"/>
  <c r="X298" i="19"/>
  <c r="Y298" i="19" s="1"/>
  <c r="AA298" i="19" s="1"/>
  <c r="Z298" i="19" s="1"/>
  <c r="W298" i="19"/>
  <c r="V298" i="19"/>
  <c r="AD297" i="19"/>
  <c r="X297" i="19"/>
  <c r="Y297" i="19" s="1"/>
  <c r="AH297" i="19" s="1"/>
  <c r="W297" i="19"/>
  <c r="V297" i="19"/>
  <c r="AD296" i="19"/>
  <c r="AE296" i="19" s="1"/>
  <c r="X296" i="19"/>
  <c r="Y296" i="19" s="1"/>
  <c r="AA296" i="19" s="1"/>
  <c r="Z296" i="19" s="1"/>
  <c r="W296" i="19"/>
  <c r="V296" i="19"/>
  <c r="X295" i="19"/>
  <c r="Y295" i="19" s="1"/>
  <c r="AH295" i="19" s="1"/>
  <c r="W295" i="19"/>
  <c r="V295" i="19"/>
  <c r="AD295" i="19" s="1"/>
  <c r="AD294" i="19"/>
  <c r="X294" i="19"/>
  <c r="Y294" i="19" s="1"/>
  <c r="AH294" i="19" s="1"/>
  <c r="W294" i="19"/>
  <c r="V294" i="19"/>
  <c r="X293" i="19"/>
  <c r="Y293" i="19" s="1"/>
  <c r="W293" i="19"/>
  <c r="V293" i="19"/>
  <c r="AD293" i="19" s="1"/>
  <c r="AE293" i="19" s="1"/>
  <c r="AD292" i="19"/>
  <c r="X292" i="19"/>
  <c r="Y292" i="19" s="1"/>
  <c r="AH292" i="19" s="1"/>
  <c r="W292" i="19"/>
  <c r="V292" i="19"/>
  <c r="X291" i="19"/>
  <c r="Y291" i="19" s="1"/>
  <c r="AH291" i="19" s="1"/>
  <c r="W291" i="19"/>
  <c r="V291" i="19"/>
  <c r="AD291" i="19" s="1"/>
  <c r="AD290" i="19"/>
  <c r="AE290" i="19" s="1"/>
  <c r="X290" i="19"/>
  <c r="Y290" i="19" s="1"/>
  <c r="W290" i="19"/>
  <c r="V290" i="19"/>
  <c r="AD289" i="19"/>
  <c r="X289" i="19"/>
  <c r="Y289" i="19" s="1"/>
  <c r="W289" i="19"/>
  <c r="AE289" i="19" s="1"/>
  <c r="V289" i="19"/>
  <c r="AI288" i="19"/>
  <c r="X288" i="19" s="1"/>
  <c r="Y288" i="19" s="1"/>
  <c r="AH288" i="19"/>
  <c r="AD288" i="19"/>
  <c r="W288" i="19"/>
  <c r="V288" i="19"/>
  <c r="AE287" i="19"/>
  <c r="X287" i="19"/>
  <c r="Y287" i="19" s="1"/>
  <c r="W287" i="19"/>
  <c r="V287" i="19"/>
  <c r="AD287" i="19" s="1"/>
  <c r="X286" i="19"/>
  <c r="Y286" i="19" s="1"/>
  <c r="AH286" i="19" s="1"/>
  <c r="W286" i="19"/>
  <c r="V286" i="19"/>
  <c r="AD286" i="19" s="1"/>
  <c r="AD285" i="19"/>
  <c r="AE285" i="19" s="1"/>
  <c r="X285" i="19"/>
  <c r="Y285" i="19" s="1"/>
  <c r="AH285" i="19" s="1"/>
  <c r="W285" i="19"/>
  <c r="V285" i="19"/>
  <c r="AH284" i="19"/>
  <c r="AE284" i="19"/>
  <c r="X284" i="19"/>
  <c r="Y284" i="19" s="1"/>
  <c r="W284" i="19"/>
  <c r="AA284" i="19" s="1"/>
  <c r="Z284" i="19" s="1"/>
  <c r="V284" i="19"/>
  <c r="AD284" i="19" s="1"/>
  <c r="X283" i="19"/>
  <c r="Y283" i="19" s="1"/>
  <c r="AH283" i="19" s="1"/>
  <c r="W283" i="19"/>
  <c r="V283" i="19"/>
  <c r="AD283" i="19" s="1"/>
  <c r="AD282" i="19"/>
  <c r="AA282" i="19"/>
  <c r="Z282" i="19"/>
  <c r="X282" i="19"/>
  <c r="Y282" i="19" s="1"/>
  <c r="AH282" i="19" s="1"/>
  <c r="W282" i="19"/>
  <c r="AE282" i="19" s="1"/>
  <c r="V282" i="19"/>
  <c r="AE281" i="19"/>
  <c r="X281" i="19"/>
  <c r="Y281" i="19" s="1"/>
  <c r="AH281" i="19" s="1"/>
  <c r="W281" i="19"/>
  <c r="V281" i="19"/>
  <c r="AD281" i="19" s="1"/>
  <c r="AE280" i="19"/>
  <c r="AD280" i="19"/>
  <c r="X280" i="19"/>
  <c r="Y280" i="19" s="1"/>
  <c r="AH280" i="19" s="1"/>
  <c r="W280" i="19"/>
  <c r="V280" i="19"/>
  <c r="AD279" i="19"/>
  <c r="AE279" i="19" s="1"/>
  <c r="X279" i="19"/>
  <c r="Y279" i="19" s="1"/>
  <c r="W279" i="19"/>
  <c r="V279" i="19"/>
  <c r="X278" i="19"/>
  <c r="Y278" i="19" s="1"/>
  <c r="AH278" i="19" s="1"/>
  <c r="W278" i="19"/>
  <c r="AE278" i="19" s="1"/>
  <c r="V278" i="19"/>
  <c r="AD278" i="19" s="1"/>
  <c r="AI277" i="19"/>
  <c r="X277" i="19" s="1"/>
  <c r="Y277" i="19" s="1"/>
  <c r="AH277" i="19" s="1"/>
  <c r="AD277" i="19"/>
  <c r="W277" i="19"/>
  <c r="V277" i="19"/>
  <c r="X276" i="19"/>
  <c r="Y276" i="19" s="1"/>
  <c r="AH276" i="19" s="1"/>
  <c r="W276" i="19"/>
  <c r="AA276" i="19" s="1"/>
  <c r="Z276" i="19" s="1"/>
  <c r="V276" i="19"/>
  <c r="AD276" i="19" s="1"/>
  <c r="AE276" i="19" s="1"/>
  <c r="AE275" i="19"/>
  <c r="X275" i="19"/>
  <c r="Y275" i="19" s="1"/>
  <c r="W275" i="19"/>
  <c r="V275" i="19"/>
  <c r="AD275" i="19" s="1"/>
  <c r="X274" i="19"/>
  <c r="Y274" i="19" s="1"/>
  <c r="AH274" i="19" s="1"/>
  <c r="W274" i="19"/>
  <c r="AA274" i="19" s="1"/>
  <c r="Z274" i="19" s="1"/>
  <c r="V274" i="19"/>
  <c r="AD274" i="19" s="1"/>
  <c r="AD273" i="19"/>
  <c r="X273" i="19"/>
  <c r="Y273" i="19" s="1"/>
  <c r="AH273" i="19" s="1"/>
  <c r="W273" i="19"/>
  <c r="V273" i="19"/>
  <c r="AD272" i="19"/>
  <c r="X272" i="19"/>
  <c r="Y272" i="19" s="1"/>
  <c r="AH272" i="19" s="1"/>
  <c r="W272" i="19"/>
  <c r="V272" i="19"/>
  <c r="AH271" i="19"/>
  <c r="X271" i="19"/>
  <c r="Y271" i="19" s="1"/>
  <c r="AA271" i="19" s="1"/>
  <c r="Z271" i="19" s="1"/>
  <c r="W271" i="19"/>
  <c r="V271" i="19"/>
  <c r="AD271" i="19" s="1"/>
  <c r="AE271" i="19" s="1"/>
  <c r="AD270" i="19"/>
  <c r="X270" i="19"/>
  <c r="Y270" i="19" s="1"/>
  <c r="AH270" i="19" s="1"/>
  <c r="W270" i="19"/>
  <c r="V270" i="19"/>
  <c r="AE269" i="19"/>
  <c r="X269" i="19"/>
  <c r="Y269" i="19" s="1"/>
  <c r="AH269" i="19" s="1"/>
  <c r="W269" i="19"/>
  <c r="V269" i="19"/>
  <c r="AD269" i="19" s="1"/>
  <c r="AD268" i="19"/>
  <c r="AE268" i="19" s="1"/>
  <c r="X268" i="19"/>
  <c r="Y268" i="19" s="1"/>
  <c r="W268" i="19"/>
  <c r="V268" i="19"/>
  <c r="AD267" i="19"/>
  <c r="AE267" i="19" s="1"/>
  <c r="X267" i="19"/>
  <c r="Y267" i="19" s="1"/>
  <c r="AH267" i="19" s="1"/>
  <c r="W267" i="19"/>
  <c r="V267" i="19"/>
  <c r="AD266" i="19"/>
  <c r="X266" i="19"/>
  <c r="Y266" i="19" s="1"/>
  <c r="AH266" i="19" s="1"/>
  <c r="W266" i="19"/>
  <c r="V266" i="19"/>
  <c r="AE265" i="19"/>
  <c r="X265" i="19"/>
  <c r="Y265" i="19" s="1"/>
  <c r="AH265" i="19" s="1"/>
  <c r="W265" i="19"/>
  <c r="V265" i="19"/>
  <c r="AD265" i="19" s="1"/>
  <c r="AI264" i="19"/>
  <c r="AD264" i="19"/>
  <c r="X264" i="19"/>
  <c r="Y264" i="19" s="1"/>
  <c r="AA264" i="19" s="1"/>
  <c r="Z264" i="19" s="1"/>
  <c r="W264" i="19"/>
  <c r="V264" i="19"/>
  <c r="AD263" i="19"/>
  <c r="W263" i="19"/>
  <c r="X262" i="19"/>
  <c r="Y262" i="19" s="1"/>
  <c r="W262" i="19"/>
  <c r="AA262" i="19" s="1"/>
  <c r="Z262" i="19" s="1"/>
  <c r="V262" i="19"/>
  <c r="AD262" i="19" s="1"/>
  <c r="T262" i="19"/>
  <c r="S262" i="19"/>
  <c r="AE261" i="19"/>
  <c r="AD261" i="19"/>
  <c r="X261" i="19"/>
  <c r="Y261" i="19" s="1"/>
  <c r="AA261" i="19" s="1"/>
  <c r="Z261" i="19" s="1"/>
  <c r="W261" i="19"/>
  <c r="V261" i="19"/>
  <c r="T261" i="19"/>
  <c r="S261" i="19"/>
  <c r="AD260" i="19"/>
  <c r="AE260" i="19" s="1"/>
  <c r="Y260" i="19"/>
  <c r="AA260" i="19" s="1"/>
  <c r="Z260" i="19" s="1"/>
  <c r="X260" i="19"/>
  <c r="W260" i="19"/>
  <c r="V260" i="19"/>
  <c r="T260" i="19"/>
  <c r="S260" i="19"/>
  <c r="AI259" i="19"/>
  <c r="X259" i="19" s="1"/>
  <c r="Y259" i="19" s="1"/>
  <c r="AD259" i="19"/>
  <c r="W259" i="19"/>
  <c r="V259" i="19"/>
  <c r="T259" i="19"/>
  <c r="S259" i="19"/>
  <c r="X258" i="19"/>
  <c r="Y258" i="19" s="1"/>
  <c r="AH258" i="19" s="1"/>
  <c r="W258" i="19"/>
  <c r="V258" i="19"/>
  <c r="AD258" i="19" s="1"/>
  <c r="AI257" i="19"/>
  <c r="X257" i="19"/>
  <c r="Y257" i="19" s="1"/>
  <c r="AH257" i="19" s="1"/>
  <c r="W257" i="19"/>
  <c r="V257" i="19"/>
  <c r="AD257" i="19" s="1"/>
  <c r="AI256" i="19"/>
  <c r="X256" i="19" s="1"/>
  <c r="Y256" i="19" s="1"/>
  <c r="AH256" i="19" s="1"/>
  <c r="AA256" i="19"/>
  <c r="Z256" i="19"/>
  <c r="W256" i="19"/>
  <c r="V256" i="19"/>
  <c r="AD256" i="19" s="1"/>
  <c r="AI255" i="19"/>
  <c r="X255" i="19" s="1"/>
  <c r="Y255" i="19" s="1"/>
  <c r="AA255" i="19" s="1"/>
  <c r="Z255" i="19" s="1"/>
  <c r="AH255" i="19"/>
  <c r="AD255" i="19"/>
  <c r="AE255" i="19" s="1"/>
  <c r="W255" i="19"/>
  <c r="V255" i="19"/>
  <c r="X254" i="19"/>
  <c r="Y254" i="19" s="1"/>
  <c r="AH254" i="19" s="1"/>
  <c r="W254" i="19"/>
  <c r="AI253" i="19"/>
  <c r="AE253" i="19"/>
  <c r="X253" i="19"/>
  <c r="Y253" i="19" s="1"/>
  <c r="AH253" i="19" s="1"/>
  <c r="W253" i="19"/>
  <c r="V253" i="19"/>
  <c r="AD253" i="19" s="1"/>
  <c r="AI252" i="19"/>
  <c r="AE252" i="19"/>
  <c r="X252" i="19"/>
  <c r="Y252" i="19" s="1"/>
  <c r="AH252" i="19" s="1"/>
  <c r="W252" i="19"/>
  <c r="AA252" i="19" s="1"/>
  <c r="Z252" i="19" s="1"/>
  <c r="V252" i="19"/>
  <c r="AD252" i="19" s="1"/>
  <c r="AI251" i="19"/>
  <c r="X251" i="19"/>
  <c r="Y251" i="19" s="1"/>
  <c r="AH251" i="19" s="1"/>
  <c r="W251" i="19"/>
  <c r="V251" i="19"/>
  <c r="AD251" i="19" s="1"/>
  <c r="AD250" i="19"/>
  <c r="W250" i="19"/>
  <c r="V250" i="19"/>
  <c r="AI249" i="19"/>
  <c r="X249" i="19" s="1"/>
  <c r="Y249" i="19" s="1"/>
  <c r="AH249" i="19" s="1"/>
  <c r="AA249" i="19"/>
  <c r="Z249" i="19" s="1"/>
  <c r="W249" i="19"/>
  <c r="V249" i="19"/>
  <c r="AD249" i="19" s="1"/>
  <c r="AE249" i="19" s="1"/>
  <c r="AI248" i="19"/>
  <c r="AI250" i="19" s="1"/>
  <c r="X250" i="19" s="1"/>
  <c r="Y250" i="19" s="1"/>
  <c r="AH250" i="19" s="1"/>
  <c r="AD248" i="19"/>
  <c r="AE248" i="19" s="1"/>
  <c r="W248" i="19"/>
  <c r="V248" i="19"/>
  <c r="AI247" i="19"/>
  <c r="X247" i="19" s="1"/>
  <c r="Y247" i="19" s="1"/>
  <c r="AH247" i="19" s="1"/>
  <c r="W247" i="19"/>
  <c r="V247" i="19"/>
  <c r="AD247" i="19" s="1"/>
  <c r="AE247" i="19" s="1"/>
  <c r="AI246" i="19"/>
  <c r="X246" i="19"/>
  <c r="Y246" i="19" s="1"/>
  <c r="W246" i="19"/>
  <c r="AE246" i="19" s="1"/>
  <c r="V246" i="19"/>
  <c r="AD246" i="19" s="1"/>
  <c r="AI245" i="19"/>
  <c r="AH245" i="19"/>
  <c r="AD245" i="19"/>
  <c r="AE245" i="19" s="1"/>
  <c r="X245" i="19"/>
  <c r="Y245" i="19" s="1"/>
  <c r="AA245" i="19" s="1"/>
  <c r="Z245" i="19" s="1"/>
  <c r="W245" i="19"/>
  <c r="V245" i="19"/>
  <c r="AI244" i="19"/>
  <c r="X244" i="19" s="1"/>
  <c r="Y244" i="19" s="1"/>
  <c r="AH244" i="19" s="1"/>
  <c r="AE244" i="19"/>
  <c r="AD244" i="19"/>
  <c r="W244" i="19"/>
  <c r="V244" i="19"/>
  <c r="X243" i="19"/>
  <c r="Y243" i="19" s="1"/>
  <c r="AH243" i="19" s="1"/>
  <c r="W243" i="19"/>
  <c r="V243" i="19"/>
  <c r="AD243" i="19" s="1"/>
  <c r="AE243" i="19" s="1"/>
  <c r="AD242" i="19"/>
  <c r="W242" i="19"/>
  <c r="AI241" i="19"/>
  <c r="X241" i="19"/>
  <c r="Y241" i="19" s="1"/>
  <c r="W241" i="19"/>
  <c r="V241" i="19"/>
  <c r="AD241" i="19" s="1"/>
  <c r="T241" i="19"/>
  <c r="S241" i="19"/>
  <c r="AE240" i="19"/>
  <c r="AD240" i="19"/>
  <c r="X240" i="19"/>
  <c r="Y240" i="19" s="1"/>
  <c r="W240" i="19"/>
  <c r="V240" i="19"/>
  <c r="X239" i="19"/>
  <c r="Y239" i="19" s="1"/>
  <c r="AH239" i="19" s="1"/>
  <c r="W239" i="19"/>
  <c r="AE239" i="19" s="1"/>
  <c r="V239" i="19"/>
  <c r="AD239" i="19" s="1"/>
  <c r="AI238" i="19"/>
  <c r="X238" i="19" s="1"/>
  <c r="Y238" i="19" s="1"/>
  <c r="AH238" i="19" s="1"/>
  <c r="W238" i="19"/>
  <c r="V238" i="19"/>
  <c r="AD238" i="19" s="1"/>
  <c r="AI237" i="19"/>
  <c r="X237" i="19" s="1"/>
  <c r="Y237" i="19" s="1"/>
  <c r="AA237" i="19" s="1"/>
  <c r="Z237" i="19" s="1"/>
  <c r="AD237" i="19"/>
  <c r="W237" i="19"/>
  <c r="V237" i="19"/>
  <c r="AI236" i="19"/>
  <c r="AD236" i="19"/>
  <c r="X236" i="19"/>
  <c r="Y236" i="19" s="1"/>
  <c r="W236" i="19"/>
  <c r="AE236" i="19" s="1"/>
  <c r="V236" i="19"/>
  <c r="AI235" i="19"/>
  <c r="X235" i="19"/>
  <c r="Y235" i="19" s="1"/>
  <c r="AH235" i="19" s="1"/>
  <c r="W235" i="19"/>
  <c r="V235" i="19"/>
  <c r="AD235" i="19" s="1"/>
  <c r="AI234" i="19"/>
  <c r="X234" i="19" s="1"/>
  <c r="Y234" i="19" s="1"/>
  <c r="AH234" i="19" s="1"/>
  <c r="AE234" i="19"/>
  <c r="W234" i="19"/>
  <c r="V234" i="19"/>
  <c r="AD234" i="19" s="1"/>
  <c r="AI233" i="19"/>
  <c r="AD233" i="19"/>
  <c r="AE233" i="19" s="1"/>
  <c r="X233" i="19"/>
  <c r="Y233" i="19" s="1"/>
  <c r="AA233" i="19" s="1"/>
  <c r="Z233" i="19" s="1"/>
  <c r="W233" i="19"/>
  <c r="V233" i="19"/>
  <c r="AE232" i="19"/>
  <c r="AD232" i="19"/>
  <c r="X232" i="19"/>
  <c r="Y232" i="19" s="1"/>
  <c r="AH232" i="19" s="1"/>
  <c r="W232" i="19"/>
  <c r="AA232" i="19" s="1"/>
  <c r="Z232" i="19" s="1"/>
  <c r="V232" i="19"/>
  <c r="X231" i="19"/>
  <c r="Y231" i="19" s="1"/>
  <c r="AH231" i="19" s="1"/>
  <c r="W231" i="19"/>
  <c r="V231" i="19"/>
  <c r="AD231" i="19" s="1"/>
  <c r="AI230" i="19"/>
  <c r="X230" i="19"/>
  <c r="Y230" i="19" s="1"/>
  <c r="AH230" i="19" s="1"/>
  <c r="W230" i="19"/>
  <c r="V230" i="19"/>
  <c r="AD230" i="19" s="1"/>
  <c r="AE230" i="19" s="1"/>
  <c r="AD229" i="19"/>
  <c r="AE229" i="19" s="1"/>
  <c r="X229" i="19"/>
  <c r="Y229" i="19" s="1"/>
  <c r="W229" i="19"/>
  <c r="V229" i="19"/>
  <c r="AD228" i="19"/>
  <c r="AE228" i="19" s="1"/>
  <c r="X228" i="19"/>
  <c r="Y228" i="19" s="1"/>
  <c r="AH228" i="19" s="1"/>
  <c r="W228" i="19"/>
  <c r="V228" i="19"/>
  <c r="AM227" i="19"/>
  <c r="AD227" i="19"/>
  <c r="W227" i="19"/>
  <c r="AE227" i="19" s="1"/>
  <c r="V227" i="19"/>
  <c r="AD226" i="19"/>
  <c r="X226" i="19"/>
  <c r="Y226" i="19" s="1"/>
  <c r="AH226" i="19" s="1"/>
  <c r="W226" i="19"/>
  <c r="V226" i="19"/>
  <c r="AI225" i="19"/>
  <c r="AD225" i="19"/>
  <c r="AE225" i="19" s="1"/>
  <c r="X225" i="19"/>
  <c r="Y225" i="19" s="1"/>
  <c r="W225" i="19"/>
  <c r="V225" i="19"/>
  <c r="AI224" i="19"/>
  <c r="AI227" i="19" s="1"/>
  <c r="X227" i="19" s="1"/>
  <c r="Y227" i="19" s="1"/>
  <c r="AH227" i="19" s="1"/>
  <c r="AH224" i="19"/>
  <c r="AE224" i="19"/>
  <c r="Y224" i="19"/>
  <c r="W224" i="19"/>
  <c r="AA224" i="19" s="1"/>
  <c r="V224" i="19"/>
  <c r="AD224" i="19" s="1"/>
  <c r="AD223" i="19"/>
  <c r="W223" i="19"/>
  <c r="AE222" i="19"/>
  <c r="AD222" i="19"/>
  <c r="X222" i="19"/>
  <c r="Y222" i="19" s="1"/>
  <c r="W222" i="19"/>
  <c r="V222" i="19"/>
  <c r="T222" i="19"/>
  <c r="S222" i="19"/>
  <c r="X221" i="19"/>
  <c r="Y221" i="19" s="1"/>
  <c r="W221" i="19"/>
  <c r="AA221" i="19" s="1"/>
  <c r="Z221" i="19" s="1"/>
  <c r="V221" i="19"/>
  <c r="AD221" i="19" s="1"/>
  <c r="AE221" i="19" s="1"/>
  <c r="T221" i="19"/>
  <c r="S221" i="19"/>
  <c r="AD220" i="19"/>
  <c r="X220" i="19"/>
  <c r="Y220" i="19" s="1"/>
  <c r="W220" i="19"/>
  <c r="V220" i="19"/>
  <c r="T220" i="19"/>
  <c r="S220" i="19"/>
  <c r="AD219" i="19"/>
  <c r="AE219" i="19" s="1"/>
  <c r="X219" i="19"/>
  <c r="Y219" i="19" s="1"/>
  <c r="AA219" i="19" s="1"/>
  <c r="Z219" i="19" s="1"/>
  <c r="W219" i="19"/>
  <c r="V219" i="19"/>
  <c r="T219" i="19"/>
  <c r="S219" i="19"/>
  <c r="X218" i="19"/>
  <c r="Y218" i="19" s="1"/>
  <c r="W218" i="19"/>
  <c r="V218" i="19"/>
  <c r="AD218" i="19" s="1"/>
  <c r="T218" i="19"/>
  <c r="S218" i="19"/>
  <c r="X217" i="19"/>
  <c r="Y217" i="19" s="1"/>
  <c r="W217" i="19"/>
  <c r="V217" i="19"/>
  <c r="AD217" i="19" s="1"/>
  <c r="AE217" i="19" s="1"/>
  <c r="Y216" i="19"/>
  <c r="AH216" i="19" s="1"/>
  <c r="X216" i="19"/>
  <c r="W216" i="19"/>
  <c r="V216" i="19"/>
  <c r="AD216" i="19" s="1"/>
  <c r="AE215" i="19"/>
  <c r="X215" i="19"/>
  <c r="Y215" i="19" s="1"/>
  <c r="AH215" i="19" s="1"/>
  <c r="W215" i="19"/>
  <c r="V215" i="19"/>
  <c r="AD215" i="19" s="1"/>
  <c r="AI214" i="19"/>
  <c r="X214" i="19" s="1"/>
  <c r="Y214" i="19" s="1"/>
  <c r="AH214" i="19" s="1"/>
  <c r="AD214" i="19"/>
  <c r="W214" i="19"/>
  <c r="V214" i="19"/>
  <c r="AD213" i="19"/>
  <c r="X213" i="19"/>
  <c r="Y213" i="19" s="1"/>
  <c r="AH213" i="19" s="1"/>
  <c r="W213" i="19"/>
  <c r="AE213" i="19" s="1"/>
  <c r="V213" i="19"/>
  <c r="AI212" i="19"/>
  <c r="AD212" i="19"/>
  <c r="AE212" i="19" s="1"/>
  <c r="X212" i="19"/>
  <c r="Y212" i="19" s="1"/>
  <c r="AH212" i="19" s="1"/>
  <c r="W212" i="19"/>
  <c r="V212" i="19"/>
  <c r="X211" i="19"/>
  <c r="Y211" i="19" s="1"/>
  <c r="AH211" i="19" s="1"/>
  <c r="W211" i="19"/>
  <c r="AE210" i="19"/>
  <c r="X210" i="19"/>
  <c r="Y210" i="19" s="1"/>
  <c r="AH210" i="19" s="1"/>
  <c r="W210" i="19"/>
  <c r="V210" i="19"/>
  <c r="AD210" i="19" s="1"/>
  <c r="X209" i="19"/>
  <c r="Y209" i="19" s="1"/>
  <c r="AH209" i="19" s="1"/>
  <c r="W209" i="19"/>
  <c r="V209" i="19"/>
  <c r="AD209" i="19" s="1"/>
  <c r="X208" i="19"/>
  <c r="Y208" i="19" s="1"/>
  <c r="AH208" i="19" s="1"/>
  <c r="W208" i="19"/>
  <c r="V208" i="19"/>
  <c r="AD208" i="19" s="1"/>
  <c r="AE207" i="19"/>
  <c r="X207" i="19"/>
  <c r="Y207" i="19" s="1"/>
  <c r="W207" i="19"/>
  <c r="V207" i="19"/>
  <c r="AD207" i="19" s="1"/>
  <c r="AD206" i="19"/>
  <c r="AE206" i="19" s="1"/>
  <c r="X206" i="19"/>
  <c r="Y206" i="19" s="1"/>
  <c r="AH206" i="19" s="1"/>
  <c r="W206" i="19"/>
  <c r="V206" i="19"/>
  <c r="X205" i="19"/>
  <c r="Y205" i="19" s="1"/>
  <c r="AH205" i="19" s="1"/>
  <c r="W205" i="19"/>
  <c r="V205" i="19"/>
  <c r="AD205" i="19" s="1"/>
  <c r="AI204" i="19"/>
  <c r="X204" i="19"/>
  <c r="Y204" i="19" s="1"/>
  <c r="AH204" i="19" s="1"/>
  <c r="W204" i="19"/>
  <c r="AE204" i="19" s="1"/>
  <c r="V204" i="19"/>
  <c r="AD204" i="19" s="1"/>
  <c r="AI203" i="19"/>
  <c r="X203" i="19" s="1"/>
  <c r="Y203" i="19" s="1"/>
  <c r="AH203" i="19"/>
  <c r="W203" i="19"/>
  <c r="V203" i="19"/>
  <c r="AD203" i="19" s="1"/>
  <c r="AI202" i="19"/>
  <c r="AD202" i="19"/>
  <c r="AE202" i="19" s="1"/>
  <c r="X202" i="19"/>
  <c r="Y202" i="19" s="1"/>
  <c r="W202" i="19"/>
  <c r="V202" i="19"/>
  <c r="AI201" i="19"/>
  <c r="X201" i="19" s="1"/>
  <c r="AD201" i="19"/>
  <c r="Y201" i="19"/>
  <c r="AH201" i="19" s="1"/>
  <c r="W201" i="19"/>
  <c r="AE201" i="19" s="1"/>
  <c r="V201" i="19"/>
  <c r="AI200" i="19"/>
  <c r="AD200" i="19"/>
  <c r="X200" i="19"/>
  <c r="Y200" i="19" s="1"/>
  <c r="AH200" i="19" s="1"/>
  <c r="W200" i="19"/>
  <c r="V200" i="19"/>
  <c r="AI199" i="19"/>
  <c r="X199" i="19" s="1"/>
  <c r="AE199" i="19"/>
  <c r="Y199" i="19"/>
  <c r="AH199" i="19" s="1"/>
  <c r="W199" i="19"/>
  <c r="V199" i="19"/>
  <c r="AD199" i="19" s="1"/>
  <c r="AI198" i="19"/>
  <c r="X198" i="19"/>
  <c r="Y198" i="19" s="1"/>
  <c r="W198" i="19"/>
  <c r="V198" i="19"/>
  <c r="AD198" i="19" s="1"/>
  <c r="Y197" i="19"/>
  <c r="AH197" i="19" s="1"/>
  <c r="X197" i="19"/>
  <c r="W197" i="19"/>
  <c r="V197" i="19"/>
  <c r="AD197" i="19" s="1"/>
  <c r="AE196" i="19"/>
  <c r="X196" i="19"/>
  <c r="Y196" i="19" s="1"/>
  <c r="W196" i="19"/>
  <c r="X195" i="19"/>
  <c r="Y195" i="19" s="1"/>
  <c r="AH195" i="19" s="1"/>
  <c r="W195" i="19"/>
  <c r="V195" i="19"/>
  <c r="AD195" i="19" s="1"/>
  <c r="AD194" i="19"/>
  <c r="X194" i="19"/>
  <c r="Y194" i="19" s="1"/>
  <c r="AH194" i="19" s="1"/>
  <c r="W194" i="19"/>
  <c r="V194" i="19"/>
  <c r="AD193" i="19"/>
  <c r="W193" i="19"/>
  <c r="X192" i="19"/>
  <c r="Y192" i="19" s="1"/>
  <c r="W192" i="19"/>
  <c r="V192" i="19"/>
  <c r="AD192" i="19" s="1"/>
  <c r="T192" i="19"/>
  <c r="S192" i="19"/>
  <c r="AE191" i="19"/>
  <c r="X191" i="19"/>
  <c r="Y191" i="19" s="1"/>
  <c r="AA191" i="19" s="1"/>
  <c r="Z191" i="19" s="1"/>
  <c r="W191" i="19"/>
  <c r="V191" i="19"/>
  <c r="AD191" i="19" s="1"/>
  <c r="T191" i="19"/>
  <c r="S191" i="19"/>
  <c r="AD190" i="19"/>
  <c r="AE190" i="19" s="1"/>
  <c r="X190" i="19"/>
  <c r="Y190" i="19" s="1"/>
  <c r="W190" i="19"/>
  <c r="V190" i="19"/>
  <c r="T190" i="19"/>
  <c r="S190" i="19"/>
  <c r="AD189" i="19"/>
  <c r="X189" i="19"/>
  <c r="Y189" i="19" s="1"/>
  <c r="W189" i="19"/>
  <c r="V189" i="19"/>
  <c r="T189" i="19"/>
  <c r="S189" i="19"/>
  <c r="Y188" i="19"/>
  <c r="AA188" i="19" s="1"/>
  <c r="Z188" i="19" s="1"/>
  <c r="X188" i="19"/>
  <c r="W188" i="19"/>
  <c r="V188" i="19"/>
  <c r="AD188" i="19" s="1"/>
  <c r="AE188" i="19" s="1"/>
  <c r="T188" i="19"/>
  <c r="S188" i="19"/>
  <c r="AE187" i="19"/>
  <c r="X187" i="19"/>
  <c r="Y187" i="19" s="1"/>
  <c r="AH187" i="19" s="1"/>
  <c r="W187" i="19"/>
  <c r="V187" i="19"/>
  <c r="AD187" i="19" s="1"/>
  <c r="X186" i="19"/>
  <c r="Y186" i="19" s="1"/>
  <c r="W186" i="19"/>
  <c r="V186" i="19"/>
  <c r="AD186" i="19" s="1"/>
  <c r="AE186" i="19" s="1"/>
  <c r="AI185" i="19"/>
  <c r="X185" i="19" s="1"/>
  <c r="Y185" i="19" s="1"/>
  <c r="AH185" i="19"/>
  <c r="AD185" i="19"/>
  <c r="W185" i="19"/>
  <c r="V185" i="19"/>
  <c r="X184" i="19"/>
  <c r="Y184" i="19" s="1"/>
  <c r="AH184" i="19" s="1"/>
  <c r="W184" i="19"/>
  <c r="V184" i="19"/>
  <c r="AD184" i="19" s="1"/>
  <c r="AD183" i="19"/>
  <c r="AE183" i="19" s="1"/>
  <c r="X183" i="19"/>
  <c r="Y183" i="19" s="1"/>
  <c r="W183" i="19"/>
  <c r="V183" i="19"/>
  <c r="AD182" i="19"/>
  <c r="X182" i="19"/>
  <c r="Y182" i="19" s="1"/>
  <c r="W182" i="19"/>
  <c r="V182" i="19"/>
  <c r="X181" i="19"/>
  <c r="Y181" i="19" s="1"/>
  <c r="W181" i="19"/>
  <c r="V181" i="19"/>
  <c r="AD181" i="19" s="1"/>
  <c r="AE181" i="19" s="1"/>
  <c r="AE180" i="19"/>
  <c r="X180" i="19"/>
  <c r="Y180" i="19" s="1"/>
  <c r="AH180" i="19" s="1"/>
  <c r="W180" i="19"/>
  <c r="V180" i="19"/>
  <c r="AD180" i="19" s="1"/>
  <c r="X179" i="19"/>
  <c r="Y179" i="19" s="1"/>
  <c r="AA179" i="19" s="1"/>
  <c r="Z179" i="19" s="1"/>
  <c r="W179" i="19"/>
  <c r="V179" i="19"/>
  <c r="AD179" i="19" s="1"/>
  <c r="AE179" i="19" s="1"/>
  <c r="AD178" i="19"/>
  <c r="X178" i="19"/>
  <c r="Y178" i="19" s="1"/>
  <c r="W178" i="19"/>
  <c r="V178" i="19"/>
  <c r="AI177" i="19"/>
  <c r="X177" i="19"/>
  <c r="Y177" i="19" s="1"/>
  <c r="W177" i="19"/>
  <c r="V177" i="19"/>
  <c r="AD177" i="19" s="1"/>
  <c r="AI176" i="19"/>
  <c r="AH176" i="19"/>
  <c r="AE176" i="19"/>
  <c r="X176" i="19"/>
  <c r="Y176" i="19" s="1"/>
  <c r="W176" i="19"/>
  <c r="V176" i="19"/>
  <c r="AD176" i="19" s="1"/>
  <c r="AI175" i="19"/>
  <c r="AD175" i="19"/>
  <c r="AE175" i="19" s="1"/>
  <c r="X175" i="19"/>
  <c r="Y175" i="19" s="1"/>
  <c r="AH175" i="19" s="1"/>
  <c r="W175" i="19"/>
  <c r="V175" i="19"/>
  <c r="AI174" i="19"/>
  <c r="X174" i="19" s="1"/>
  <c r="Y174" i="19" s="1"/>
  <c r="AH174" i="19"/>
  <c r="AD174" i="19"/>
  <c r="W174" i="19"/>
  <c r="AE174" i="19" s="1"/>
  <c r="V174" i="19"/>
  <c r="AI173" i="19"/>
  <c r="AD173" i="19"/>
  <c r="X173" i="19"/>
  <c r="Y173" i="19" s="1"/>
  <c r="AH173" i="19" s="1"/>
  <c r="W173" i="19"/>
  <c r="V173" i="19"/>
  <c r="AI172" i="19"/>
  <c r="X172" i="19"/>
  <c r="Y172" i="19" s="1"/>
  <c r="AH172" i="19" s="1"/>
  <c r="W172" i="19"/>
  <c r="AE172" i="19" s="1"/>
  <c r="V172" i="19"/>
  <c r="AD172" i="19" s="1"/>
  <c r="AI171" i="19"/>
  <c r="AI168" i="19" s="1"/>
  <c r="X168" i="19" s="1"/>
  <c r="AD171" i="19"/>
  <c r="X171" i="19"/>
  <c r="Y171" i="19" s="1"/>
  <c r="AH171" i="19" s="1"/>
  <c r="W171" i="19"/>
  <c r="V171" i="19"/>
  <c r="AI170" i="19"/>
  <c r="X170" i="19" s="1"/>
  <c r="Y170" i="19" s="1"/>
  <c r="AH170" i="19"/>
  <c r="AE170" i="19"/>
  <c r="AA170" i="19"/>
  <c r="Z170" i="19" s="1"/>
  <c r="W170" i="19"/>
  <c r="V170" i="19"/>
  <c r="AD170" i="19" s="1"/>
  <c r="AI169" i="19"/>
  <c r="X169" i="19" s="1"/>
  <c r="Y169" i="19" s="1"/>
  <c r="AH169" i="19" s="1"/>
  <c r="AD169" i="19"/>
  <c r="AE169" i="19" s="1"/>
  <c r="W169" i="19"/>
  <c r="V169" i="19"/>
  <c r="Y168" i="19"/>
  <c r="AH168" i="19" s="1"/>
  <c r="W168" i="19"/>
  <c r="V168" i="19"/>
  <c r="AD168" i="19" s="1"/>
  <c r="AH167" i="19"/>
  <c r="AD167" i="19"/>
  <c r="AE167" i="19" s="1"/>
  <c r="Y167" i="19"/>
  <c r="X167" i="19"/>
  <c r="W167" i="19"/>
  <c r="V167" i="19"/>
  <c r="AI166" i="19"/>
  <c r="X166" i="19" s="1"/>
  <c r="Y166" i="19" s="1"/>
  <c r="AH166" i="19"/>
  <c r="W166" i="19"/>
  <c r="AA166" i="19" s="1"/>
  <c r="Z166" i="19" s="1"/>
  <c r="V166" i="19"/>
  <c r="AD166" i="19" s="1"/>
  <c r="AE165" i="19"/>
  <c r="X165" i="19"/>
  <c r="Y165" i="19" s="1"/>
  <c r="W165" i="19"/>
  <c r="V165" i="19"/>
  <c r="AD165" i="19" s="1"/>
  <c r="X164" i="19"/>
  <c r="Y164" i="19" s="1"/>
  <c r="AH164" i="19" s="1"/>
  <c r="W164" i="19"/>
  <c r="V164" i="19"/>
  <c r="AD164" i="19" s="1"/>
  <c r="AI163" i="19"/>
  <c r="X163" i="19" s="1"/>
  <c r="Y163" i="19"/>
  <c r="AA163" i="19" s="1"/>
  <c r="Z163" i="19" s="1"/>
  <c r="W163" i="19"/>
  <c r="V163" i="19"/>
  <c r="AD163" i="19" s="1"/>
  <c r="AE163" i="19" s="1"/>
  <c r="X162" i="19"/>
  <c r="Y162" i="19" s="1"/>
  <c r="AH162" i="19" s="1"/>
  <c r="W162" i="19"/>
  <c r="AD161" i="19"/>
  <c r="X161" i="19"/>
  <c r="Y161" i="19" s="1"/>
  <c r="AH161" i="19" s="1"/>
  <c r="W161" i="19"/>
  <c r="V161" i="19"/>
  <c r="AI160" i="19"/>
  <c r="X160" i="19"/>
  <c r="Y160" i="19" s="1"/>
  <c r="AH160" i="19" s="1"/>
  <c r="W160" i="19"/>
  <c r="AA160" i="19" s="1"/>
  <c r="Z160" i="19" s="1"/>
  <c r="V160" i="19"/>
  <c r="AD160" i="19" s="1"/>
  <c r="AI159" i="19"/>
  <c r="X159" i="19" s="1"/>
  <c r="Y159" i="19"/>
  <c r="AA159" i="19" s="1"/>
  <c r="Z159" i="19" s="1"/>
  <c r="W159" i="19"/>
  <c r="V159" i="19"/>
  <c r="AD159" i="19" s="1"/>
  <c r="AE159" i="19" s="1"/>
  <c r="AI158" i="19"/>
  <c r="X158" i="19" s="1"/>
  <c r="AE158" i="19"/>
  <c r="AD158" i="19"/>
  <c r="Y158" i="19"/>
  <c r="AH158" i="19" s="1"/>
  <c r="W158" i="19"/>
  <c r="V158" i="19"/>
  <c r="AI157" i="19"/>
  <c r="AE157" i="19"/>
  <c r="X157" i="19"/>
  <c r="Y157" i="19" s="1"/>
  <c r="AH157" i="19" s="1"/>
  <c r="W157" i="19"/>
  <c r="V157" i="19"/>
  <c r="AD157" i="19" s="1"/>
  <c r="AI156" i="19"/>
  <c r="AD156" i="19"/>
  <c r="X156" i="19"/>
  <c r="Y156" i="19" s="1"/>
  <c r="AH156" i="19" s="1"/>
  <c r="W156" i="19"/>
  <c r="V156" i="19"/>
  <c r="AI155" i="19"/>
  <c r="AE155" i="19"/>
  <c r="X155" i="19"/>
  <c r="Y155" i="19" s="1"/>
  <c r="AH155" i="19" s="1"/>
  <c r="W155" i="19"/>
  <c r="V155" i="19"/>
  <c r="AD155" i="19" s="1"/>
  <c r="AI154" i="19"/>
  <c r="X154" i="19" s="1"/>
  <c r="Y154" i="19" s="1"/>
  <c r="AA154" i="19" s="1"/>
  <c r="Z154" i="19" s="1"/>
  <c r="AH154" i="19"/>
  <c r="AD154" i="19"/>
  <c r="AE154" i="19" s="1"/>
  <c r="W154" i="19"/>
  <c r="V154" i="19"/>
  <c r="AI153" i="19"/>
  <c r="AE153" i="19"/>
  <c r="AD153" i="19"/>
  <c r="X153" i="19"/>
  <c r="Y153" i="19" s="1"/>
  <c r="AA153" i="19" s="1"/>
  <c r="Z153" i="19" s="1"/>
  <c r="W153" i="19"/>
  <c r="V153" i="19"/>
  <c r="AD152" i="19"/>
  <c r="X152" i="19"/>
  <c r="Y152" i="19" s="1"/>
  <c r="W152" i="19"/>
  <c r="V152" i="19"/>
  <c r="X151" i="19"/>
  <c r="Y151" i="19" s="1"/>
  <c r="AH151" i="19" s="1"/>
  <c r="W151" i="19"/>
  <c r="V151" i="19"/>
  <c r="AD151" i="19" s="1"/>
  <c r="AI150" i="19"/>
  <c r="AD150" i="19"/>
  <c r="AE150" i="19" s="1"/>
  <c r="X150" i="19"/>
  <c r="Y150" i="19" s="1"/>
  <c r="AH150" i="19" s="1"/>
  <c r="W150" i="19"/>
  <c r="V150" i="19"/>
  <c r="AD149" i="19"/>
  <c r="AE149" i="19" s="1"/>
  <c r="X149" i="19"/>
  <c r="Y149" i="19" s="1"/>
  <c r="W149" i="19"/>
  <c r="V149" i="19"/>
  <c r="AE148" i="19"/>
  <c r="X148" i="19"/>
  <c r="Y148" i="19" s="1"/>
  <c r="AH148" i="19" s="1"/>
  <c r="W148" i="19"/>
  <c r="V148" i="19"/>
  <c r="AD148" i="19" s="1"/>
  <c r="X147" i="19"/>
  <c r="Y147" i="19" s="1"/>
  <c r="AH147" i="19" s="1"/>
  <c r="W147" i="19"/>
  <c r="V147" i="19"/>
  <c r="AD147" i="19" s="1"/>
  <c r="X146" i="19"/>
  <c r="Y146" i="19" s="1"/>
  <c r="AH146" i="19" s="1"/>
  <c r="W146" i="19"/>
  <c r="V146" i="19"/>
  <c r="AD146" i="19" s="1"/>
  <c r="AD145" i="19"/>
  <c r="AE145" i="19" s="1"/>
  <c r="X145" i="19"/>
  <c r="Y145" i="19" s="1"/>
  <c r="AH145" i="19" s="1"/>
  <c r="W145" i="19"/>
  <c r="V145" i="19"/>
  <c r="AD144" i="19"/>
  <c r="W144" i="19"/>
  <c r="AD143" i="19"/>
  <c r="AE143" i="19" s="1"/>
  <c r="X143" i="19"/>
  <c r="Y143" i="19" s="1"/>
  <c r="AA143" i="19" s="1"/>
  <c r="Z143" i="19" s="1"/>
  <c r="W143" i="19"/>
  <c r="V143" i="19"/>
  <c r="T143" i="19"/>
  <c r="S143" i="19"/>
  <c r="AD142" i="19"/>
  <c r="AE142" i="19" s="1"/>
  <c r="X142" i="19"/>
  <c r="Y142" i="19" s="1"/>
  <c r="AA142" i="19" s="1"/>
  <c r="Z142" i="19" s="1"/>
  <c r="W142" i="19"/>
  <c r="V142" i="19"/>
  <c r="T142" i="19"/>
  <c r="S142" i="19"/>
  <c r="X141" i="19"/>
  <c r="Y141" i="19" s="1"/>
  <c r="W141" i="19"/>
  <c r="V141" i="19"/>
  <c r="AD141" i="19" s="1"/>
  <c r="T141" i="19"/>
  <c r="S141" i="19"/>
  <c r="X140" i="19"/>
  <c r="Y140" i="19" s="1"/>
  <c r="W140" i="19"/>
  <c r="V140" i="19"/>
  <c r="AD140" i="19" s="1"/>
  <c r="T140" i="19"/>
  <c r="S140" i="19"/>
  <c r="X139" i="19"/>
  <c r="Y139" i="19" s="1"/>
  <c r="W139" i="19"/>
  <c r="V139" i="19"/>
  <c r="AD139" i="19" s="1"/>
  <c r="T139" i="19"/>
  <c r="S139" i="19"/>
  <c r="X138" i="19"/>
  <c r="Y138" i="19" s="1"/>
  <c r="W138" i="19"/>
  <c r="V138" i="19"/>
  <c r="AD138" i="19" s="1"/>
  <c r="T138" i="19"/>
  <c r="S138" i="19"/>
  <c r="AE137" i="19"/>
  <c r="AD137" i="19"/>
  <c r="X137" i="19"/>
  <c r="Y137" i="19" s="1"/>
  <c r="W137" i="19"/>
  <c r="V137" i="19"/>
  <c r="T137" i="19"/>
  <c r="S137" i="19"/>
  <c r="AD136" i="19"/>
  <c r="AE136" i="19" s="1"/>
  <c r="X136" i="19"/>
  <c r="Y136" i="19" s="1"/>
  <c r="AA136" i="19" s="1"/>
  <c r="Z136" i="19" s="1"/>
  <c r="W136" i="19"/>
  <c r="V136" i="19"/>
  <c r="T136" i="19"/>
  <c r="S136" i="19"/>
  <c r="X135" i="19"/>
  <c r="Y135" i="19" s="1"/>
  <c r="AA135" i="19" s="1"/>
  <c r="Z135" i="19" s="1"/>
  <c r="W135" i="19"/>
  <c r="V135" i="19"/>
  <c r="AD135" i="19" s="1"/>
  <c r="AE135" i="19" s="1"/>
  <c r="T135" i="19"/>
  <c r="S135" i="19"/>
  <c r="X134" i="19"/>
  <c r="Y134" i="19" s="1"/>
  <c r="AH134" i="19" s="1"/>
  <c r="W134" i="19"/>
  <c r="V134" i="19"/>
  <c r="AD134" i="19" s="1"/>
  <c r="AI133" i="19"/>
  <c r="X133" i="19" s="1"/>
  <c r="Y133" i="19" s="1"/>
  <c r="AH133" i="19"/>
  <c r="W133" i="19"/>
  <c r="AA133" i="19" s="1"/>
  <c r="Z133" i="19" s="1"/>
  <c r="V133" i="19"/>
  <c r="AD133" i="19" s="1"/>
  <c r="AE133" i="19" s="1"/>
  <c r="AI132" i="19"/>
  <c r="X132" i="19" s="1"/>
  <c r="Y132" i="19" s="1"/>
  <c r="AH132" i="19" s="1"/>
  <c r="AE132" i="19"/>
  <c r="W132" i="19"/>
  <c r="V132" i="19"/>
  <c r="AD132" i="19" s="1"/>
  <c r="AI131" i="19"/>
  <c r="AD131" i="19"/>
  <c r="AE131" i="19" s="1"/>
  <c r="X131" i="19"/>
  <c r="Y131" i="19" s="1"/>
  <c r="W131" i="19"/>
  <c r="V131" i="19"/>
  <c r="AI130" i="19"/>
  <c r="X130" i="19" s="1"/>
  <c r="Y130" i="19" s="1"/>
  <c r="AH130" i="19" s="1"/>
  <c r="W130" i="19"/>
  <c r="AA130" i="19" s="1"/>
  <c r="Z130" i="19" s="1"/>
  <c r="V130" i="19"/>
  <c r="AD130" i="19" s="1"/>
  <c r="AI129" i="19"/>
  <c r="X129" i="19"/>
  <c r="Y129" i="19" s="1"/>
  <c r="AH129" i="19" s="1"/>
  <c r="W129" i="19"/>
  <c r="V129" i="19"/>
  <c r="AD129" i="19" s="1"/>
  <c r="AI128" i="19"/>
  <c r="AD128" i="19"/>
  <c r="X128" i="19"/>
  <c r="Y128" i="19" s="1"/>
  <c r="AH128" i="19" s="1"/>
  <c r="W128" i="19"/>
  <c r="V128" i="19"/>
  <c r="AI127" i="19"/>
  <c r="X127" i="19" s="1"/>
  <c r="Y127" i="19" s="1"/>
  <c r="AH127" i="19"/>
  <c r="AE127" i="19"/>
  <c r="AD127" i="19"/>
  <c r="W127" i="19"/>
  <c r="V127" i="19"/>
  <c r="AI126" i="19"/>
  <c r="X126" i="19" s="1"/>
  <c r="Y126" i="19" s="1"/>
  <c r="AH126" i="19" s="1"/>
  <c r="AD126" i="19"/>
  <c r="AE126" i="19" s="1"/>
  <c r="W126" i="19"/>
  <c r="V126" i="19"/>
  <c r="AI125" i="19"/>
  <c r="X125" i="19"/>
  <c r="Y125" i="19" s="1"/>
  <c r="AH125" i="19" s="1"/>
  <c r="W125" i="19"/>
  <c r="AE125" i="19" s="1"/>
  <c r="V125" i="19"/>
  <c r="AD125" i="19" s="1"/>
  <c r="AI124" i="19"/>
  <c r="X124" i="19"/>
  <c r="Y124" i="19" s="1"/>
  <c r="AH124" i="19" s="1"/>
  <c r="W124" i="19"/>
  <c r="V124" i="19"/>
  <c r="AD124" i="19" s="1"/>
  <c r="AE123" i="19"/>
  <c r="X123" i="19"/>
  <c r="Y123" i="19" s="1"/>
  <c r="W123" i="19"/>
  <c r="V123" i="19"/>
  <c r="AD123" i="19" s="1"/>
  <c r="AI122" i="19"/>
  <c r="AD122" i="19"/>
  <c r="AE122" i="19" s="1"/>
  <c r="X122" i="19"/>
  <c r="Y122" i="19" s="1"/>
  <c r="AH122" i="19" s="1"/>
  <c r="W122" i="19"/>
  <c r="V122" i="19"/>
  <c r="AI121" i="19"/>
  <c r="X121" i="19" s="1"/>
  <c r="Y121" i="19" s="1"/>
  <c r="AH121" i="19" s="1"/>
  <c r="W121" i="19"/>
  <c r="V121" i="19"/>
  <c r="AD121" i="19" s="1"/>
  <c r="AI120" i="19"/>
  <c r="X120" i="19" s="1"/>
  <c r="Y120" i="19" s="1"/>
  <c r="AD120" i="19"/>
  <c r="W120" i="19"/>
  <c r="V120" i="19"/>
  <c r="AI119" i="19"/>
  <c r="AD119" i="19"/>
  <c r="X119" i="19"/>
  <c r="Y119" i="19" s="1"/>
  <c r="AH119" i="19" s="1"/>
  <c r="W119" i="19"/>
  <c r="V119" i="19"/>
  <c r="AI118" i="19"/>
  <c r="X118" i="19" s="1"/>
  <c r="Y118" i="19" s="1"/>
  <c r="AH118" i="19" s="1"/>
  <c r="W118" i="19"/>
  <c r="V118" i="19"/>
  <c r="AD118" i="19" s="1"/>
  <c r="AD117" i="19"/>
  <c r="X117" i="19"/>
  <c r="Y117" i="19" s="1"/>
  <c r="AA117" i="19" s="1"/>
  <c r="Z117" i="19" s="1"/>
  <c r="W117" i="19"/>
  <c r="AE117" i="19" s="1"/>
  <c r="V117" i="19"/>
  <c r="AI116" i="19"/>
  <c r="X116" i="19"/>
  <c r="Y116" i="19" s="1"/>
  <c r="W116" i="19"/>
  <c r="V116" i="19"/>
  <c r="AD116" i="19" s="1"/>
  <c r="AE116" i="19" s="1"/>
  <c r="X115" i="19"/>
  <c r="Y115" i="19" s="1"/>
  <c r="AH115" i="19" s="1"/>
  <c r="W115" i="19"/>
  <c r="AE115" i="19" s="1"/>
  <c r="V115" i="19"/>
  <c r="AD115" i="19" s="1"/>
  <c r="X114" i="19"/>
  <c r="Y114" i="19" s="1"/>
  <c r="AH114" i="19" s="1"/>
  <c r="W114" i="19"/>
  <c r="V114" i="19"/>
  <c r="AD114" i="19" s="1"/>
  <c r="AI113" i="19"/>
  <c r="X113" i="19" s="1"/>
  <c r="AD113" i="19"/>
  <c r="Y113" i="19"/>
  <c r="AH113" i="19" s="1"/>
  <c r="W113" i="19"/>
  <c r="V113" i="19"/>
  <c r="AD112" i="19"/>
  <c r="X112" i="19"/>
  <c r="Y112" i="19" s="1"/>
  <c r="AH112" i="19" s="1"/>
  <c r="W112" i="19"/>
  <c r="AE112" i="19" s="1"/>
  <c r="V112" i="19"/>
  <c r="AD111" i="19"/>
  <c r="AE111" i="19" s="1"/>
  <c r="X111" i="19"/>
  <c r="Y111" i="19" s="1"/>
  <c r="AH111" i="19" s="1"/>
  <c r="W111" i="19"/>
  <c r="V111" i="19"/>
  <c r="X110" i="19"/>
  <c r="Y110" i="19" s="1"/>
  <c r="AH110" i="19" s="1"/>
  <c r="W110" i="19"/>
  <c r="V110" i="19"/>
  <c r="AD110" i="19" s="1"/>
  <c r="X109" i="19"/>
  <c r="Y109" i="19" s="1"/>
  <c r="W109" i="19"/>
  <c r="V109" i="19"/>
  <c r="AD109" i="19" s="1"/>
  <c r="AE109" i="19" s="1"/>
  <c r="X108" i="19"/>
  <c r="Y108" i="19" s="1"/>
  <c r="AH108" i="19" s="1"/>
  <c r="W108" i="19"/>
  <c r="V108" i="19"/>
  <c r="AD108" i="19" s="1"/>
  <c r="X107" i="19"/>
  <c r="Y107" i="19" s="1"/>
  <c r="AH107" i="19" s="1"/>
  <c r="W107" i="19"/>
  <c r="V107" i="19"/>
  <c r="AD107" i="19" s="1"/>
  <c r="X106" i="19"/>
  <c r="Y106" i="19" s="1"/>
  <c r="AH106" i="19" s="1"/>
  <c r="W106" i="19"/>
  <c r="AA106" i="19" s="1"/>
  <c r="Z106" i="19" s="1"/>
  <c r="V106" i="19"/>
  <c r="AD106" i="19" s="1"/>
  <c r="X105" i="19"/>
  <c r="Y105" i="19" s="1"/>
  <c r="W105" i="19"/>
  <c r="V105" i="19"/>
  <c r="AD105" i="19" s="1"/>
  <c r="AE105" i="19" s="1"/>
  <c r="AD104" i="19"/>
  <c r="X104" i="19"/>
  <c r="Y104" i="19" s="1"/>
  <c r="AH104" i="19" s="1"/>
  <c r="W104" i="19"/>
  <c r="AE104" i="19" s="1"/>
  <c r="V104" i="19"/>
  <c r="X103" i="19"/>
  <c r="Y103" i="19" s="1"/>
  <c r="W103" i="19"/>
  <c r="V103" i="19"/>
  <c r="AD103" i="19" s="1"/>
  <c r="X102" i="19"/>
  <c r="Y102" i="19" s="1"/>
  <c r="AH102" i="19" s="1"/>
  <c r="W102" i="19"/>
  <c r="V102" i="19"/>
  <c r="AD102" i="19" s="1"/>
  <c r="AE101" i="19"/>
  <c r="AD101" i="19"/>
  <c r="Y101" i="19"/>
  <c r="AA101" i="19" s="1"/>
  <c r="Z101" i="19" s="1"/>
  <c r="X101" i="19"/>
  <c r="W101" i="19"/>
  <c r="V101" i="19"/>
  <c r="X100" i="19"/>
  <c r="Y100" i="19" s="1"/>
  <c r="AH100" i="19" s="1"/>
  <c r="W100" i="19"/>
  <c r="V100" i="19"/>
  <c r="AD100" i="19" s="1"/>
  <c r="X99" i="19"/>
  <c r="Y99" i="19" s="1"/>
  <c r="AH99" i="19" s="1"/>
  <c r="W99" i="19"/>
  <c r="V99" i="19"/>
  <c r="AD99" i="19" s="1"/>
  <c r="AE99" i="19" s="1"/>
  <c r="AD98" i="19"/>
  <c r="AE98" i="19" s="1"/>
  <c r="X98" i="19"/>
  <c r="Y98" i="19" s="1"/>
  <c r="W98" i="19"/>
  <c r="V98" i="19"/>
  <c r="Y97" i="19"/>
  <c r="AH97" i="19" s="1"/>
  <c r="X97" i="19"/>
  <c r="W97" i="19"/>
  <c r="V97" i="19"/>
  <c r="AD97" i="19" s="1"/>
  <c r="AD96" i="19"/>
  <c r="AE96" i="19" s="1"/>
  <c r="X96" i="19"/>
  <c r="Y96" i="19" s="1"/>
  <c r="AH96" i="19" s="1"/>
  <c r="W96" i="19"/>
  <c r="V96" i="19"/>
  <c r="X95" i="19"/>
  <c r="Y95" i="19" s="1"/>
  <c r="AH95" i="19" s="1"/>
  <c r="W95" i="19"/>
  <c r="V95" i="19"/>
  <c r="AD95" i="19" s="1"/>
  <c r="AI94" i="19"/>
  <c r="X94" i="19" s="1"/>
  <c r="Y94" i="19"/>
  <c r="AH94" i="19" s="1"/>
  <c r="W94" i="19"/>
  <c r="V94" i="19"/>
  <c r="AD94" i="19" s="1"/>
  <c r="AI93" i="19"/>
  <c r="X93" i="19" s="1"/>
  <c r="Y93" i="19" s="1"/>
  <c r="AA93" i="19" s="1"/>
  <c r="Z93" i="19" s="1"/>
  <c r="AH93" i="19"/>
  <c r="AD93" i="19"/>
  <c r="AE93" i="19" s="1"/>
  <c r="W93" i="19"/>
  <c r="V93" i="19"/>
  <c r="AE92" i="19"/>
  <c r="X92" i="19"/>
  <c r="Y92" i="19" s="1"/>
  <c r="W92" i="19"/>
  <c r="X91" i="19"/>
  <c r="Y91" i="19" s="1"/>
  <c r="AH91" i="19" s="1"/>
  <c r="W91" i="19"/>
  <c r="V91" i="19"/>
  <c r="AD91" i="19" s="1"/>
  <c r="AE90" i="19"/>
  <c r="AD90" i="19"/>
  <c r="X90" i="19"/>
  <c r="Y90" i="19" s="1"/>
  <c r="AH90" i="19" s="1"/>
  <c r="W90" i="19"/>
  <c r="V90" i="19"/>
  <c r="X89" i="19"/>
  <c r="Y89" i="19" s="1"/>
  <c r="AH89" i="19" s="1"/>
  <c r="W89" i="19"/>
  <c r="V89" i="19"/>
  <c r="AD89" i="19" s="1"/>
  <c r="X88" i="19"/>
  <c r="Y88" i="19" s="1"/>
  <c r="W88" i="19"/>
  <c r="V88" i="19"/>
  <c r="AD88" i="19" s="1"/>
  <c r="X87" i="19"/>
  <c r="Y87" i="19" s="1"/>
  <c r="AH87" i="19" s="1"/>
  <c r="W87" i="19"/>
  <c r="V87" i="19"/>
  <c r="AD87" i="19" s="1"/>
  <c r="X86" i="19"/>
  <c r="Y86" i="19" s="1"/>
  <c r="AH86" i="19" s="1"/>
  <c r="W86" i="19"/>
  <c r="AA86" i="19" s="1"/>
  <c r="Z86" i="19" s="1"/>
  <c r="V86" i="19"/>
  <c r="AD86" i="19" s="1"/>
  <c r="X85" i="19"/>
  <c r="Y85" i="19" s="1"/>
  <c r="AH85" i="19" s="1"/>
  <c r="W85" i="19"/>
  <c r="AA85" i="19" s="1"/>
  <c r="Z85" i="19" s="1"/>
  <c r="V85" i="19"/>
  <c r="AD85" i="19" s="1"/>
  <c r="X84" i="19"/>
  <c r="Y84" i="19" s="1"/>
  <c r="AH84" i="19" s="1"/>
  <c r="W84" i="19"/>
  <c r="AI83" i="19"/>
  <c r="AD83" i="19"/>
  <c r="X83" i="19"/>
  <c r="Y83" i="19" s="1"/>
  <c r="W83" i="19"/>
  <c r="V83" i="19"/>
  <c r="AE82" i="19"/>
  <c r="X82" i="19"/>
  <c r="Y82" i="19" s="1"/>
  <c r="AH82" i="19" s="1"/>
  <c r="W82" i="19"/>
  <c r="V82" i="19"/>
  <c r="AD82" i="19" s="1"/>
  <c r="X81" i="19"/>
  <c r="Y81" i="19" s="1"/>
  <c r="AA81" i="19" s="1"/>
  <c r="Z81" i="19" s="1"/>
  <c r="W81" i="19"/>
  <c r="V81" i="19"/>
  <c r="AD81" i="19" s="1"/>
  <c r="AE81" i="19" s="1"/>
  <c r="AE80" i="19"/>
  <c r="AD80" i="19"/>
  <c r="X80" i="19"/>
  <c r="Y80" i="19" s="1"/>
  <c r="AH80" i="19" s="1"/>
  <c r="W80" i="19"/>
  <c r="AA80" i="19" s="1"/>
  <c r="Z80" i="19" s="1"/>
  <c r="V80" i="19"/>
  <c r="AD79" i="19"/>
  <c r="X79" i="19"/>
  <c r="Y79" i="19" s="1"/>
  <c r="AH79" i="19" s="1"/>
  <c r="W79" i="19"/>
  <c r="V79" i="19"/>
  <c r="X78" i="19"/>
  <c r="Y78" i="19" s="1"/>
  <c r="AH78" i="19" s="1"/>
  <c r="W78" i="19"/>
  <c r="V78" i="19"/>
  <c r="AD78" i="19" s="1"/>
  <c r="AE78" i="19" s="1"/>
  <c r="AD77" i="19"/>
  <c r="AE77" i="19" s="1"/>
  <c r="X77" i="19"/>
  <c r="Y77" i="19" s="1"/>
  <c r="AH77" i="19" s="1"/>
  <c r="W77" i="19"/>
  <c r="V77" i="19"/>
  <c r="X76" i="19"/>
  <c r="Y76" i="19" s="1"/>
  <c r="W76" i="19"/>
  <c r="V76" i="19"/>
  <c r="AD76" i="19" s="1"/>
  <c r="AE76" i="19" s="1"/>
  <c r="AD75" i="19"/>
  <c r="X75" i="19"/>
  <c r="Y75" i="19" s="1"/>
  <c r="W75" i="19"/>
  <c r="V75" i="19"/>
  <c r="X74" i="19"/>
  <c r="Y74" i="19" s="1"/>
  <c r="AH74" i="19" s="1"/>
  <c r="W74" i="19"/>
  <c r="V74" i="19"/>
  <c r="AD74" i="19" s="1"/>
  <c r="X73" i="19"/>
  <c r="Y73" i="19" s="1"/>
  <c r="AH73" i="19" s="1"/>
  <c r="W73" i="19"/>
  <c r="V73" i="19"/>
  <c r="AD73" i="19" s="1"/>
  <c r="AE73" i="19" s="1"/>
  <c r="AD72" i="19"/>
  <c r="AE72" i="19" s="1"/>
  <c r="Y72" i="19"/>
  <c r="AA72" i="19" s="1"/>
  <c r="Z72" i="19" s="1"/>
  <c r="X72" i="19"/>
  <c r="W72" i="19"/>
  <c r="V72" i="19"/>
  <c r="AI71" i="19"/>
  <c r="AD71" i="19"/>
  <c r="X71" i="19"/>
  <c r="Y71" i="19" s="1"/>
  <c r="AH71" i="19" s="1"/>
  <c r="W71" i="19"/>
  <c r="AE71" i="19" s="1"/>
  <c r="V71" i="19"/>
  <c r="AI70" i="19"/>
  <c r="AE70" i="19"/>
  <c r="X70" i="19"/>
  <c r="Y70" i="19" s="1"/>
  <c r="AH70" i="19" s="1"/>
  <c r="W70" i="19"/>
  <c r="V70" i="19"/>
  <c r="AD70" i="19" s="1"/>
  <c r="AI69" i="19"/>
  <c r="X69" i="19" s="1"/>
  <c r="Y69" i="19"/>
  <c r="AH69" i="19" s="1"/>
  <c r="W69" i="19"/>
  <c r="V69" i="19"/>
  <c r="AD69" i="19" s="1"/>
  <c r="AE69" i="19" s="1"/>
  <c r="AI68" i="19"/>
  <c r="X68" i="19" s="1"/>
  <c r="Y68" i="19" s="1"/>
  <c r="AH68" i="19" s="1"/>
  <c r="AD68" i="19"/>
  <c r="W68" i="19"/>
  <c r="AE68" i="19" s="1"/>
  <c r="V68" i="19"/>
  <c r="AI67" i="19"/>
  <c r="X67" i="19"/>
  <c r="Y67" i="19" s="1"/>
  <c r="W67" i="19"/>
  <c r="V67" i="19"/>
  <c r="AD67" i="19" s="1"/>
  <c r="AE67" i="19" s="1"/>
  <c r="X66" i="19"/>
  <c r="Y66" i="19" s="1"/>
  <c r="AH66" i="19" s="1"/>
  <c r="W66" i="19"/>
  <c r="V66" i="19"/>
  <c r="AD66" i="19" s="1"/>
  <c r="X65" i="19"/>
  <c r="Y65" i="19" s="1"/>
  <c r="AH65" i="19" s="1"/>
  <c r="W65" i="19"/>
  <c r="V65" i="19"/>
  <c r="AD65" i="19" s="1"/>
  <c r="X64" i="19"/>
  <c r="Y64" i="19" s="1"/>
  <c r="AH64" i="19" s="1"/>
  <c r="W64" i="19"/>
  <c r="V64" i="19"/>
  <c r="AD64" i="19" s="1"/>
  <c r="AD63" i="19"/>
  <c r="AE63" i="19" s="1"/>
  <c r="AA63" i="19"/>
  <c r="Z63" i="19" s="1"/>
  <c r="X63" i="19"/>
  <c r="Y63" i="19" s="1"/>
  <c r="AH63" i="19" s="1"/>
  <c r="W63" i="19"/>
  <c r="V63" i="19"/>
  <c r="X62" i="19"/>
  <c r="Y62" i="19" s="1"/>
  <c r="AH62" i="19" s="1"/>
  <c r="W62" i="19"/>
  <c r="V62" i="19"/>
  <c r="AD62" i="19" s="1"/>
  <c r="AE62" i="19" s="1"/>
  <c r="AI61" i="19"/>
  <c r="X61" i="19"/>
  <c r="Y61" i="19" s="1"/>
  <c r="AH61" i="19" s="1"/>
  <c r="W61" i="19"/>
  <c r="V61" i="19"/>
  <c r="AD61" i="19" s="1"/>
  <c r="AI60" i="19"/>
  <c r="X60" i="19" s="1"/>
  <c r="Y60" i="19" s="1"/>
  <c r="AH60" i="19" s="1"/>
  <c r="W60" i="19"/>
  <c r="V60" i="19"/>
  <c r="AD60" i="19" s="1"/>
  <c r="AH59" i="19"/>
  <c r="X59" i="19"/>
  <c r="Y59" i="19" s="1"/>
  <c r="AA59" i="19" s="1"/>
  <c r="Z59" i="19" s="1"/>
  <c r="W59" i="19"/>
  <c r="V59" i="19"/>
  <c r="AD59" i="19" s="1"/>
  <c r="AE59" i="19" s="1"/>
  <c r="AI58" i="19"/>
  <c r="AD58" i="19"/>
  <c r="Y58" i="19"/>
  <c r="AH58" i="19" s="1"/>
  <c r="X58" i="19"/>
  <c r="W58" i="19"/>
  <c r="V58" i="19"/>
  <c r="AI57" i="19"/>
  <c r="X57" i="19"/>
  <c r="Y57" i="19" s="1"/>
  <c r="AH57" i="19" s="1"/>
  <c r="W57" i="19"/>
  <c r="V57" i="19"/>
  <c r="AD57" i="19" s="1"/>
  <c r="AI56" i="19"/>
  <c r="X56" i="19" s="1"/>
  <c r="Y56" i="19" s="1"/>
  <c r="AH56" i="19" s="1"/>
  <c r="AA56" i="19"/>
  <c r="Z56" i="19" s="1"/>
  <c r="W56" i="19"/>
  <c r="V56" i="19"/>
  <c r="AD56" i="19" s="1"/>
  <c r="AI55" i="19"/>
  <c r="AE55" i="19"/>
  <c r="X55" i="19"/>
  <c r="Y55" i="19" s="1"/>
  <c r="AA55" i="19" s="1"/>
  <c r="Z55" i="19" s="1"/>
  <c r="W55" i="19"/>
  <c r="V55" i="19"/>
  <c r="AD55" i="19" s="1"/>
  <c r="X54" i="19"/>
  <c r="Y54" i="19" s="1"/>
  <c r="W54" i="19"/>
  <c r="V54" i="19"/>
  <c r="AD54" i="19" s="1"/>
  <c r="AE54" i="19" s="1"/>
  <c r="AD53" i="19"/>
  <c r="X53" i="19"/>
  <c r="Y53" i="19" s="1"/>
  <c r="W53" i="19"/>
  <c r="V53" i="19"/>
  <c r="X52" i="19"/>
  <c r="Y52" i="19" s="1"/>
  <c r="AH52" i="19" s="1"/>
  <c r="W52" i="19"/>
  <c r="V52" i="19"/>
  <c r="AD52" i="19" s="1"/>
  <c r="AI51" i="19"/>
  <c r="X51" i="19" s="1"/>
  <c r="Y51" i="19" s="1"/>
  <c r="AH51" i="19" s="1"/>
  <c r="AE51" i="19"/>
  <c r="AD51" i="19"/>
  <c r="W51" i="19"/>
  <c r="V51" i="19"/>
  <c r="AI50" i="19"/>
  <c r="X50" i="19" s="1"/>
  <c r="Y50" i="19" s="1"/>
  <c r="AH50" i="19" s="1"/>
  <c r="AD50" i="19"/>
  <c r="AE50" i="19" s="1"/>
  <c r="W50" i="19"/>
  <c r="V50" i="19"/>
  <c r="AI49" i="19"/>
  <c r="AE49" i="19"/>
  <c r="AD49" i="19"/>
  <c r="X49" i="19"/>
  <c r="Y49" i="19" s="1"/>
  <c r="AH49" i="19" s="1"/>
  <c r="W49" i="19"/>
  <c r="AA49" i="19" s="1"/>
  <c r="Z49" i="19" s="1"/>
  <c r="V49" i="19"/>
  <c r="AD48" i="19"/>
  <c r="X48" i="19"/>
  <c r="Y48" i="19" s="1"/>
  <c r="AA48" i="19" s="1"/>
  <c r="Z48" i="19" s="1"/>
  <c r="W48" i="19"/>
  <c r="AE48" i="19" s="1"/>
  <c r="V48" i="19"/>
  <c r="AI47" i="19"/>
  <c r="X47" i="19" s="1"/>
  <c r="Y47" i="19"/>
  <c r="AH47" i="19" s="1"/>
  <c r="W47" i="19"/>
  <c r="V47" i="19"/>
  <c r="AD47" i="19" s="1"/>
  <c r="AI46" i="19"/>
  <c r="X46" i="19" s="1"/>
  <c r="Y46" i="19" s="1"/>
  <c r="AH46" i="19"/>
  <c r="W46" i="19"/>
  <c r="V46" i="19"/>
  <c r="AD46" i="19" s="1"/>
  <c r="AE46" i="19" s="1"/>
  <c r="AI45" i="19"/>
  <c r="X45" i="19" s="1"/>
  <c r="Y45" i="19" s="1"/>
  <c r="AE45" i="19"/>
  <c r="W45" i="19"/>
  <c r="V45" i="19"/>
  <c r="AD45" i="19" s="1"/>
  <c r="AI44" i="19"/>
  <c r="X44" i="19" s="1"/>
  <c r="Y44" i="19" s="1"/>
  <c r="AH44" i="19" s="1"/>
  <c r="AD44" i="19"/>
  <c r="AE44" i="19" s="1"/>
  <c r="AA44" i="19"/>
  <c r="Z44" i="19"/>
  <c r="W44" i="19"/>
  <c r="V44" i="19"/>
  <c r="AI43" i="19"/>
  <c r="X43" i="19" s="1"/>
  <c r="Y43" i="19" s="1"/>
  <c r="AH43" i="19" s="1"/>
  <c r="AD43" i="19"/>
  <c r="AE43" i="19" s="1"/>
  <c r="AA43" i="19"/>
  <c r="Z43" i="19" s="1"/>
  <c r="W43" i="19"/>
  <c r="V43" i="19"/>
  <c r="AI42" i="19"/>
  <c r="X42" i="19"/>
  <c r="Y42" i="19" s="1"/>
  <c r="AH42" i="19" s="1"/>
  <c r="W42" i="19"/>
  <c r="AE42" i="19" s="1"/>
  <c r="V42" i="19"/>
  <c r="AD42" i="19" s="1"/>
  <c r="AI41" i="19"/>
  <c r="X41" i="19" s="1"/>
  <c r="Y41" i="19" s="1"/>
  <c r="AH41" i="19" s="1"/>
  <c r="W41" i="19"/>
  <c r="AA41" i="19" s="1"/>
  <c r="Z41" i="19" s="1"/>
  <c r="V41" i="19"/>
  <c r="AD41" i="19" s="1"/>
  <c r="AD40" i="19"/>
  <c r="W40" i="19"/>
  <c r="X39" i="19"/>
  <c r="Y39" i="19" s="1"/>
  <c r="W39" i="19"/>
  <c r="V39" i="19"/>
  <c r="AD39" i="19" s="1"/>
  <c r="T39" i="19"/>
  <c r="S39" i="19"/>
  <c r="AE38" i="19"/>
  <c r="X38" i="19"/>
  <c r="Y38" i="19" s="1"/>
  <c r="AA38" i="19" s="1"/>
  <c r="Z38" i="19" s="1"/>
  <c r="W38" i="19"/>
  <c r="V38" i="19"/>
  <c r="AD38" i="19" s="1"/>
  <c r="T38" i="19"/>
  <c r="S38" i="19"/>
  <c r="AD37" i="19"/>
  <c r="X37" i="19"/>
  <c r="Y37" i="19" s="1"/>
  <c r="AH37" i="19" s="1"/>
  <c r="W37" i="19"/>
  <c r="AE37" i="19" s="1"/>
  <c r="V37" i="19"/>
  <c r="AE36" i="19"/>
  <c r="X36" i="19"/>
  <c r="Y36" i="19" s="1"/>
  <c r="AH36" i="19" s="1"/>
  <c r="W36" i="19"/>
  <c r="V36" i="19"/>
  <c r="AD36" i="19" s="1"/>
  <c r="AD35" i="19"/>
  <c r="AE35" i="19" s="1"/>
  <c r="X35" i="19"/>
  <c r="Y35" i="19" s="1"/>
  <c r="AH35" i="19" s="1"/>
  <c r="W35" i="19"/>
  <c r="V35" i="19"/>
  <c r="X34" i="19"/>
  <c r="Y34" i="19" s="1"/>
  <c r="AH34" i="19" s="1"/>
  <c r="W34" i="19"/>
  <c r="AE34" i="19" s="1"/>
  <c r="V34" i="19"/>
  <c r="AD34" i="19" s="1"/>
  <c r="X33" i="19"/>
  <c r="Y33" i="19" s="1"/>
  <c r="AH33" i="19" s="1"/>
  <c r="W33" i="19"/>
  <c r="V33" i="19"/>
  <c r="AD33" i="19" s="1"/>
  <c r="AI32" i="19"/>
  <c r="X32" i="19" s="1"/>
  <c r="Y32" i="19" s="1"/>
  <c r="AE32" i="19"/>
  <c r="AD32" i="19"/>
  <c r="W32" i="19"/>
  <c r="V32" i="19"/>
  <c r="AI31" i="19"/>
  <c r="X31" i="19" s="1"/>
  <c r="Y31" i="19" s="1"/>
  <c r="AH31" i="19"/>
  <c r="W31" i="19"/>
  <c r="AA31" i="19" s="1"/>
  <c r="Z31" i="19" s="1"/>
  <c r="V31" i="19"/>
  <c r="AD31" i="19" s="1"/>
  <c r="AE31" i="19" s="1"/>
  <c r="X30" i="19"/>
  <c r="Y30" i="19" s="1"/>
  <c r="AH30" i="19" s="1"/>
  <c r="W30" i="19"/>
  <c r="AA30" i="19" s="1"/>
  <c r="Z30" i="19" s="1"/>
  <c r="V30" i="19"/>
  <c r="AD30" i="19" s="1"/>
  <c r="AD29" i="19"/>
  <c r="AE29" i="19" s="1"/>
  <c r="X29" i="19"/>
  <c r="Y29" i="19" s="1"/>
  <c r="AH29" i="19" s="1"/>
  <c r="W29" i="19"/>
  <c r="AA29" i="19" s="1"/>
  <c r="Z29" i="19" s="1"/>
  <c r="V29" i="19"/>
  <c r="X28" i="19"/>
  <c r="Y28" i="19" s="1"/>
  <c r="AH28" i="19" s="1"/>
  <c r="W28" i="19"/>
  <c r="V28" i="19"/>
  <c r="AD28" i="19" s="1"/>
  <c r="AE28" i="19" s="1"/>
  <c r="X27" i="19"/>
  <c r="Y27" i="19" s="1"/>
  <c r="AH27" i="19" s="1"/>
  <c r="W27" i="19"/>
  <c r="AE27" i="19" s="1"/>
  <c r="V27" i="19"/>
  <c r="AD27" i="19" s="1"/>
  <c r="X26" i="19"/>
  <c r="Y26" i="19" s="1"/>
  <c r="AH26" i="19" s="1"/>
  <c r="W26" i="19"/>
  <c r="V26" i="19"/>
  <c r="AD26" i="19" s="1"/>
  <c r="AI25" i="19"/>
  <c r="X25" i="19" s="1"/>
  <c r="Y25" i="19"/>
  <c r="AH25" i="19" s="1"/>
  <c r="W25" i="19"/>
  <c r="V25" i="19"/>
  <c r="AD25" i="19" s="1"/>
  <c r="AE25" i="19" s="1"/>
  <c r="AD24" i="19"/>
  <c r="AE24" i="19" s="1"/>
  <c r="X24" i="19"/>
  <c r="Y24" i="19" s="1"/>
  <c r="AH24" i="19" s="1"/>
  <c r="W24" i="19"/>
  <c r="V24" i="19"/>
  <c r="AD23" i="19"/>
  <c r="AE23" i="19" s="1"/>
  <c r="X23" i="19"/>
  <c r="Y23" i="19" s="1"/>
  <c r="W23" i="19"/>
  <c r="V23" i="19"/>
  <c r="AI22" i="19"/>
  <c r="AD22" i="19"/>
  <c r="AE22" i="19" s="1"/>
  <c r="X22" i="19"/>
  <c r="Y22" i="19" s="1"/>
  <c r="AH22" i="19" s="1"/>
  <c r="W22" i="19"/>
  <c r="V22" i="19"/>
  <c r="AI21" i="19"/>
  <c r="X21" i="19" s="1"/>
  <c r="Y21" i="19" s="1"/>
  <c r="AH21" i="19"/>
  <c r="W21" i="19"/>
  <c r="AA21" i="19" s="1"/>
  <c r="Z21" i="19" s="1"/>
  <c r="V21" i="19"/>
  <c r="AD21" i="19" s="1"/>
  <c r="AI20" i="19"/>
  <c r="X20" i="19" s="1"/>
  <c r="Y20" i="19" s="1"/>
  <c r="AE20" i="19"/>
  <c r="AD20" i="19"/>
  <c r="W20" i="19"/>
  <c r="V20" i="19"/>
  <c r="AI19" i="19"/>
  <c r="AD19" i="19"/>
  <c r="AE19" i="19" s="1"/>
  <c r="X19" i="19"/>
  <c r="Y19" i="19" s="1"/>
  <c r="W19" i="19"/>
  <c r="V19" i="19"/>
  <c r="AI18" i="19"/>
  <c r="X18" i="19"/>
  <c r="Y18" i="19" s="1"/>
  <c r="AH18" i="19" s="1"/>
  <c r="W18" i="19"/>
  <c r="V18" i="19"/>
  <c r="AD18" i="19" s="1"/>
  <c r="AE17" i="19"/>
  <c r="X17" i="19"/>
  <c r="Y17" i="19" s="1"/>
  <c r="AH17" i="19" s="1"/>
  <c r="W17" i="19"/>
  <c r="AI16" i="19"/>
  <c r="W16" i="19"/>
  <c r="V16" i="19"/>
  <c r="AD16" i="19" s="1"/>
  <c r="AI15" i="19"/>
  <c r="X15" i="19" s="1"/>
  <c r="Y15" i="19" s="1"/>
  <c r="AA15" i="19" s="1"/>
  <c r="Z15" i="19" s="1"/>
  <c r="AD15" i="19"/>
  <c r="AE15" i="19" s="1"/>
  <c r="W15" i="19"/>
  <c r="V15" i="19"/>
  <c r="AD14" i="19"/>
  <c r="AE14" i="19" s="1"/>
  <c r="W14" i="19"/>
  <c r="V14" i="19"/>
  <c r="AI13" i="19"/>
  <c r="X13" i="19"/>
  <c r="Y13" i="19" s="1"/>
  <c r="AH13" i="19" s="1"/>
  <c r="W13" i="19"/>
  <c r="V13" i="19"/>
  <c r="AD13" i="19" s="1"/>
  <c r="AE12" i="19"/>
  <c r="X12" i="19"/>
  <c r="Y12" i="19" s="1"/>
  <c r="AH12" i="19" s="1"/>
  <c r="W12" i="19"/>
  <c r="V12" i="19"/>
  <c r="AD12" i="19" s="1"/>
  <c r="AI11" i="19"/>
  <c r="X11" i="19" s="1"/>
  <c r="AD11" i="19"/>
  <c r="AE11" i="19" s="1"/>
  <c r="Y11" i="19"/>
  <c r="AA11" i="19" s="1"/>
  <c r="Z11" i="19" s="1"/>
  <c r="W11" i="19"/>
  <c r="V11" i="19"/>
  <c r="AI10" i="19"/>
  <c r="AD10" i="19"/>
  <c r="X10" i="19"/>
  <c r="Y10" i="19" s="1"/>
  <c r="AH10" i="19" s="1"/>
  <c r="W10" i="19"/>
  <c r="AE10" i="19" s="1"/>
  <c r="V10" i="19"/>
  <c r="AD9" i="19"/>
  <c r="AJ7" i="19"/>
  <c r="Z411" i="16"/>
  <c r="AI516" i="16"/>
  <c r="AI510" i="16"/>
  <c r="W557" i="16"/>
  <c r="W556" i="16"/>
  <c r="W555" i="16"/>
  <c r="W554" i="16"/>
  <c r="W553" i="16"/>
  <c r="W552" i="16"/>
  <c r="W551" i="16"/>
  <c r="W550" i="16"/>
  <c r="W549" i="16"/>
  <c r="W548" i="16"/>
  <c r="W547" i="16"/>
  <c r="W546" i="16"/>
  <c r="W545" i="16"/>
  <c r="W544" i="16"/>
  <c r="W543" i="16"/>
  <c r="W542" i="16"/>
  <c r="W541" i="16"/>
  <c r="W540" i="16"/>
  <c r="W539" i="16"/>
  <c r="W538" i="16"/>
  <c r="W537" i="16"/>
  <c r="W536" i="16"/>
  <c r="W535" i="16"/>
  <c r="W534" i="16"/>
  <c r="W533" i="16"/>
  <c r="W532" i="16"/>
  <c r="W531" i="16"/>
  <c r="W530" i="16"/>
  <c r="W529" i="16"/>
  <c r="W528" i="16"/>
  <c r="W527" i="16"/>
  <c r="W526" i="16"/>
  <c r="W525" i="16"/>
  <c r="W524" i="16"/>
  <c r="W523" i="16"/>
  <c r="W522" i="16"/>
  <c r="W521" i="16"/>
  <c r="W520" i="16"/>
  <c r="W519" i="16"/>
  <c r="W518" i="16"/>
  <c r="W517" i="16"/>
  <c r="W516" i="16"/>
  <c r="W515" i="16"/>
  <c r="W514" i="16"/>
  <c r="W513" i="16"/>
  <c r="W512" i="16"/>
  <c r="W511" i="16"/>
  <c r="W510" i="16"/>
  <c r="W509" i="16"/>
  <c r="W508" i="16"/>
  <c r="W507" i="16"/>
  <c r="W506" i="16"/>
  <c r="W505" i="16"/>
  <c r="W504" i="16"/>
  <c r="W503" i="16"/>
  <c r="W502" i="16"/>
  <c r="W501" i="16"/>
  <c r="W500" i="16"/>
  <c r="W499" i="16"/>
  <c r="W498" i="16"/>
  <c r="W497" i="16"/>
  <c r="W496" i="16"/>
  <c r="W495" i="16"/>
  <c r="W494" i="16"/>
  <c r="W493" i="16"/>
  <c r="W492" i="16"/>
  <c r="W491" i="16"/>
  <c r="W490" i="16"/>
  <c r="W489" i="16"/>
  <c r="W488" i="16"/>
  <c r="W487" i="16"/>
  <c r="W486" i="16"/>
  <c r="W485" i="16"/>
  <c r="W484" i="16"/>
  <c r="W483" i="16"/>
  <c r="W482" i="16"/>
  <c r="W481" i="16"/>
  <c r="W480" i="16"/>
  <c r="W479" i="16"/>
  <c r="W478" i="16"/>
  <c r="W477" i="16"/>
  <c r="W476" i="16"/>
  <c r="W475" i="16"/>
  <c r="W474" i="16"/>
  <c r="W473" i="16"/>
  <c r="W472" i="16"/>
  <c r="W471" i="16"/>
  <c r="W470" i="16"/>
  <c r="W469" i="16"/>
  <c r="W468" i="16"/>
  <c r="W467" i="16"/>
  <c r="W466" i="16"/>
  <c r="W465" i="16"/>
  <c r="W464" i="16"/>
  <c r="W463" i="16"/>
  <c r="W462" i="16"/>
  <c r="W461" i="16"/>
  <c r="W460" i="16"/>
  <c r="W459" i="16"/>
  <c r="W458" i="16"/>
  <c r="W457" i="16"/>
  <c r="W456" i="16"/>
  <c r="W455" i="16"/>
  <c r="W454" i="16"/>
  <c r="W453" i="16"/>
  <c r="W452" i="16"/>
  <c r="W451" i="16"/>
  <c r="W450" i="16"/>
  <c r="W449" i="16"/>
  <c r="W448" i="16"/>
  <c r="W447" i="16"/>
  <c r="W446" i="16"/>
  <c r="W445" i="16"/>
  <c r="W444" i="16"/>
  <c r="W443" i="16"/>
  <c r="W442" i="16"/>
  <c r="W441" i="16"/>
  <c r="W440" i="16"/>
  <c r="W439" i="16"/>
  <c r="W438" i="16"/>
  <c r="W437" i="16"/>
  <c r="W436" i="16"/>
  <c r="W435" i="16"/>
  <c r="W434" i="16"/>
  <c r="W433" i="16"/>
  <c r="W432" i="16"/>
  <c r="W431" i="16"/>
  <c r="W430" i="16"/>
  <c r="W429" i="16"/>
  <c r="W428" i="16"/>
  <c r="W427" i="16"/>
  <c r="W426" i="16"/>
  <c r="W425" i="16"/>
  <c r="W424" i="16"/>
  <c r="W423" i="16"/>
  <c r="W422" i="16"/>
  <c r="W421" i="16"/>
  <c r="W420" i="16"/>
  <c r="W419" i="16"/>
  <c r="W418" i="16"/>
  <c r="W417" i="16"/>
  <c r="W416" i="16"/>
  <c r="W415" i="16"/>
  <c r="W414" i="16"/>
  <c r="W413" i="16"/>
  <c r="W412" i="16"/>
  <c r="W411" i="16"/>
  <c r="W410" i="16"/>
  <c r="W409" i="16"/>
  <c r="W408" i="16"/>
  <c r="W407" i="16"/>
  <c r="W406" i="16"/>
  <c r="W405" i="16"/>
  <c r="W404" i="16"/>
  <c r="W403" i="16"/>
  <c r="W402" i="16"/>
  <c r="W401" i="16"/>
  <c r="W400" i="16"/>
  <c r="W399" i="16"/>
  <c r="W398" i="16"/>
  <c r="W397" i="16"/>
  <c r="W396" i="16"/>
  <c r="W395" i="16"/>
  <c r="W394" i="16"/>
  <c r="W393" i="16"/>
  <c r="W392" i="16"/>
  <c r="W391" i="16"/>
  <c r="W390" i="16"/>
  <c r="W389" i="16"/>
  <c r="W388" i="16"/>
  <c r="W387" i="16"/>
  <c r="W386" i="16"/>
  <c r="W385" i="16"/>
  <c r="W384" i="16"/>
  <c r="W383" i="16"/>
  <c r="W382" i="16"/>
  <c r="W381" i="16"/>
  <c r="W380" i="16"/>
  <c r="W379" i="16"/>
  <c r="W378" i="16"/>
  <c r="W377" i="16"/>
  <c r="W376" i="16"/>
  <c r="W375" i="16"/>
  <c r="W374" i="16"/>
  <c r="W373" i="16"/>
  <c r="W372" i="16"/>
  <c r="W371" i="16"/>
  <c r="W370" i="16"/>
  <c r="W369" i="16"/>
  <c r="W368" i="16"/>
  <c r="W367" i="16"/>
  <c r="W366" i="16"/>
  <c r="W365" i="16"/>
  <c r="W364" i="16"/>
  <c r="W363" i="16"/>
  <c r="W362" i="16"/>
  <c r="W361" i="16"/>
  <c r="W360" i="16"/>
  <c r="W359" i="16"/>
  <c r="W358" i="16"/>
  <c r="W357" i="16"/>
  <c r="W356" i="16"/>
  <c r="W355" i="16"/>
  <c r="W354" i="16"/>
  <c r="W353" i="16"/>
  <c r="W352" i="16"/>
  <c r="W351" i="16"/>
  <c r="W350" i="16"/>
  <c r="W349" i="16"/>
  <c r="W348" i="16"/>
  <c r="W347" i="16"/>
  <c r="W346" i="16"/>
  <c r="W345" i="16"/>
  <c r="W344" i="16"/>
  <c r="W343" i="16"/>
  <c r="W342" i="16"/>
  <c r="W341" i="16"/>
  <c r="W340" i="16"/>
  <c r="W339" i="16"/>
  <c r="W338" i="16"/>
  <c r="W337" i="16"/>
  <c r="W336" i="16"/>
  <c r="W335" i="16"/>
  <c r="W334" i="16"/>
  <c r="W333" i="16"/>
  <c r="W332" i="16"/>
  <c r="W331" i="16"/>
  <c r="W330" i="16"/>
  <c r="W329" i="16"/>
  <c r="W328" i="16"/>
  <c r="W327" i="16"/>
  <c r="W326" i="16"/>
  <c r="W325" i="16"/>
  <c r="W324" i="16"/>
  <c r="W323" i="16"/>
  <c r="W322" i="16"/>
  <c r="W321" i="16"/>
  <c r="W320" i="16"/>
  <c r="W319" i="16"/>
  <c r="W318" i="16"/>
  <c r="W317" i="16"/>
  <c r="W316" i="16"/>
  <c r="W315" i="16"/>
  <c r="W314" i="16"/>
  <c r="W313" i="16"/>
  <c r="W312" i="16"/>
  <c r="W311" i="16"/>
  <c r="W310" i="16"/>
  <c r="W309" i="16"/>
  <c r="W308" i="16"/>
  <c r="W307" i="16"/>
  <c r="W306" i="16"/>
  <c r="W305" i="16"/>
  <c r="W304" i="16"/>
  <c r="W303" i="16"/>
  <c r="W302" i="16"/>
  <c r="W301" i="16"/>
  <c r="W300" i="16"/>
  <c r="W299" i="16"/>
  <c r="W298" i="16"/>
  <c r="W297" i="16"/>
  <c r="W296" i="16"/>
  <c r="W295" i="16"/>
  <c r="W294" i="16"/>
  <c r="W293" i="16"/>
  <c r="W292" i="16"/>
  <c r="W291" i="16"/>
  <c r="W290" i="16"/>
  <c r="W289" i="16"/>
  <c r="W288" i="16"/>
  <c r="W287" i="16"/>
  <c r="W286" i="16"/>
  <c r="W285" i="16"/>
  <c r="W284" i="16"/>
  <c r="W283" i="16"/>
  <c r="W282" i="16"/>
  <c r="W281" i="16"/>
  <c r="W280" i="16"/>
  <c r="W279" i="16"/>
  <c r="W278" i="16"/>
  <c r="W277" i="16"/>
  <c r="W276" i="16"/>
  <c r="W275" i="16"/>
  <c r="W274" i="16"/>
  <c r="W273" i="16"/>
  <c r="W272" i="16"/>
  <c r="W271" i="16"/>
  <c r="W270" i="16"/>
  <c r="W269" i="16"/>
  <c r="W268" i="16"/>
  <c r="W267" i="16"/>
  <c r="W266" i="16"/>
  <c r="W265" i="16"/>
  <c r="W264" i="16"/>
  <c r="W263" i="16"/>
  <c r="W262" i="16"/>
  <c r="W261" i="16"/>
  <c r="W260" i="16"/>
  <c r="W259" i="16"/>
  <c r="W258" i="16"/>
  <c r="W257" i="16"/>
  <c r="W256" i="16"/>
  <c r="W255" i="16"/>
  <c r="W254" i="16"/>
  <c r="W253" i="16"/>
  <c r="W252" i="16"/>
  <c r="W251" i="16"/>
  <c r="W250" i="16"/>
  <c r="W249" i="16"/>
  <c r="W248" i="16"/>
  <c r="W247" i="16"/>
  <c r="W246" i="16"/>
  <c r="W245" i="16"/>
  <c r="W244" i="16"/>
  <c r="W243" i="16"/>
  <c r="W242" i="16"/>
  <c r="W241" i="16"/>
  <c r="W240" i="16"/>
  <c r="W239" i="16"/>
  <c r="W238" i="16"/>
  <c r="W237" i="16"/>
  <c r="W236" i="16"/>
  <c r="W235" i="16"/>
  <c r="W234" i="16"/>
  <c r="W233" i="16"/>
  <c r="W232" i="16"/>
  <c r="W231" i="16"/>
  <c r="W230" i="16"/>
  <c r="W229" i="16"/>
  <c r="W228" i="16"/>
  <c r="W227" i="16"/>
  <c r="W226" i="16"/>
  <c r="W225" i="16"/>
  <c r="W224" i="16"/>
  <c r="W223" i="16"/>
  <c r="W222" i="16"/>
  <c r="W221" i="16"/>
  <c r="W220" i="16"/>
  <c r="W219" i="16"/>
  <c r="W218" i="16"/>
  <c r="W217" i="16"/>
  <c r="W216" i="16"/>
  <c r="W215" i="16"/>
  <c r="W214" i="16"/>
  <c r="W213" i="16"/>
  <c r="W212" i="16"/>
  <c r="W211" i="16"/>
  <c r="W210" i="16"/>
  <c r="W209" i="16"/>
  <c r="W208" i="16"/>
  <c r="W207" i="16"/>
  <c r="W206" i="16"/>
  <c r="W205" i="16"/>
  <c r="W204" i="16"/>
  <c r="W203" i="16"/>
  <c r="W202" i="16"/>
  <c r="W201" i="16"/>
  <c r="W200" i="16"/>
  <c r="W199" i="16"/>
  <c r="W198" i="16"/>
  <c r="W197" i="16"/>
  <c r="W196" i="16"/>
  <c r="W195" i="16"/>
  <c r="W194" i="16"/>
  <c r="W193" i="16"/>
  <c r="W192" i="16"/>
  <c r="W191" i="16"/>
  <c r="W190" i="16"/>
  <c r="W189" i="16"/>
  <c r="W188" i="16"/>
  <c r="W187" i="16"/>
  <c r="W186" i="16"/>
  <c r="W185" i="16"/>
  <c r="W184" i="16"/>
  <c r="W183" i="16"/>
  <c r="W182" i="16"/>
  <c r="W181" i="16"/>
  <c r="W180" i="16"/>
  <c r="W179" i="16"/>
  <c r="W178" i="16"/>
  <c r="W177" i="16"/>
  <c r="W176" i="16"/>
  <c r="W175" i="16"/>
  <c r="W174" i="16"/>
  <c r="W173" i="16"/>
  <c r="W172" i="16"/>
  <c r="W171" i="16"/>
  <c r="W170" i="16"/>
  <c r="W169" i="16"/>
  <c r="W168" i="16"/>
  <c r="W167" i="16"/>
  <c r="W166" i="16"/>
  <c r="W165" i="16"/>
  <c r="W164" i="16"/>
  <c r="W163" i="16"/>
  <c r="W162" i="16"/>
  <c r="W161" i="16"/>
  <c r="W160" i="16"/>
  <c r="W159" i="16"/>
  <c r="W158" i="16"/>
  <c r="W157" i="16"/>
  <c r="W156" i="16"/>
  <c r="W155" i="16"/>
  <c r="W154" i="16"/>
  <c r="W153" i="16"/>
  <c r="W152" i="16"/>
  <c r="W151" i="16"/>
  <c r="W150" i="16"/>
  <c r="W149" i="16"/>
  <c r="W148" i="16"/>
  <c r="W147" i="16"/>
  <c r="W146" i="16"/>
  <c r="W145" i="16"/>
  <c r="W144" i="16"/>
  <c r="W143" i="16"/>
  <c r="W142" i="16"/>
  <c r="W141" i="16"/>
  <c r="W140" i="16"/>
  <c r="W139" i="16"/>
  <c r="W138" i="16"/>
  <c r="W137" i="16"/>
  <c r="W136" i="16"/>
  <c r="W135" i="16"/>
  <c r="W134" i="16"/>
  <c r="W133" i="16"/>
  <c r="W132" i="16"/>
  <c r="W131" i="16"/>
  <c r="W130" i="16"/>
  <c r="W129" i="16"/>
  <c r="W128" i="16"/>
  <c r="W127" i="16"/>
  <c r="W126" i="16"/>
  <c r="W125" i="16"/>
  <c r="W124" i="16"/>
  <c r="W123" i="16"/>
  <c r="W122" i="16"/>
  <c r="W121" i="16"/>
  <c r="W120" i="16"/>
  <c r="W119" i="16"/>
  <c r="W118" i="16"/>
  <c r="W117" i="16"/>
  <c r="W116" i="16"/>
  <c r="W115" i="16"/>
  <c r="W114" i="16"/>
  <c r="W113" i="16"/>
  <c r="W112" i="16"/>
  <c r="W111" i="16"/>
  <c r="W110" i="16"/>
  <c r="W109" i="16"/>
  <c r="W108" i="16"/>
  <c r="W107" i="16"/>
  <c r="W106" i="16"/>
  <c r="W105" i="16"/>
  <c r="W104" i="16"/>
  <c r="W103" i="16"/>
  <c r="W102" i="16"/>
  <c r="W101" i="16"/>
  <c r="W100" i="16"/>
  <c r="W99" i="16"/>
  <c r="W98" i="16"/>
  <c r="W97" i="16"/>
  <c r="W96" i="16"/>
  <c r="W95" i="16"/>
  <c r="W94" i="16"/>
  <c r="W93" i="16"/>
  <c r="W92" i="16"/>
  <c r="W91" i="16"/>
  <c r="W90" i="16"/>
  <c r="W89" i="16"/>
  <c r="W88" i="16"/>
  <c r="W87" i="16"/>
  <c r="W86" i="16"/>
  <c r="W85" i="16"/>
  <c r="W84" i="16"/>
  <c r="W83" i="16"/>
  <c r="W82" i="16"/>
  <c r="W81" i="16"/>
  <c r="W80" i="16"/>
  <c r="W79" i="16"/>
  <c r="W78" i="16"/>
  <c r="W77" i="16"/>
  <c r="W76" i="16"/>
  <c r="W75" i="16"/>
  <c r="W74" i="16"/>
  <c r="W73" i="16"/>
  <c r="W72" i="16"/>
  <c r="W71" i="16"/>
  <c r="W70" i="16"/>
  <c r="W69" i="16"/>
  <c r="W68" i="16"/>
  <c r="W67" i="16"/>
  <c r="W66" i="16"/>
  <c r="W65" i="16"/>
  <c r="W64" i="16"/>
  <c r="W63" i="16"/>
  <c r="W62" i="16"/>
  <c r="W61" i="16"/>
  <c r="W60" i="16"/>
  <c r="W59" i="16"/>
  <c r="W58" i="16"/>
  <c r="W57" i="16"/>
  <c r="W56" i="16"/>
  <c r="W55" i="16"/>
  <c r="W54" i="16"/>
  <c r="W53" i="16"/>
  <c r="W52" i="16"/>
  <c r="W51" i="16"/>
  <c r="W50" i="16"/>
  <c r="W49" i="16"/>
  <c r="W48" i="16"/>
  <c r="W47" i="16"/>
  <c r="W46" i="16"/>
  <c r="W45" i="16"/>
  <c r="W44" i="16"/>
  <c r="W43" i="16"/>
  <c r="W42" i="16"/>
  <c r="W41" i="16"/>
  <c r="W40" i="16"/>
  <c r="W39" i="16"/>
  <c r="W38" i="16"/>
  <c r="W37" i="16"/>
  <c r="W36" i="16"/>
  <c r="W35" i="16"/>
  <c r="W34" i="16"/>
  <c r="W33" i="16"/>
  <c r="W32" i="16"/>
  <c r="W31" i="16"/>
  <c r="W30" i="16"/>
  <c r="W29" i="16"/>
  <c r="W28" i="16"/>
  <c r="W27" i="16"/>
  <c r="W26" i="16"/>
  <c r="W25" i="16"/>
  <c r="W24" i="16"/>
  <c r="W23" i="16"/>
  <c r="W22" i="16"/>
  <c r="W21" i="16"/>
  <c r="W20" i="16"/>
  <c r="W19" i="16"/>
  <c r="W18" i="16"/>
  <c r="W17" i="16"/>
  <c r="W16" i="16"/>
  <c r="W15" i="16"/>
  <c r="W14" i="16"/>
  <c r="W13" i="16"/>
  <c r="W12" i="16"/>
  <c r="W11" i="16"/>
  <c r="W10" i="16"/>
  <c r="Z224" i="20" l="1"/>
  <c r="AA553" i="20"/>
  <c r="Y553" i="20" s="1"/>
  <c r="AH553" i="20" s="1"/>
  <c r="AM548" i="20"/>
  <c r="Z548" i="20"/>
  <c r="Z363" i="20"/>
  <c r="Z362" i="20" s="1"/>
  <c r="X362" i="20" s="1"/>
  <c r="AA362" i="20"/>
  <c r="Y362" i="20" s="1"/>
  <c r="AH362" i="20" s="1"/>
  <c r="AA40" i="20"/>
  <c r="Y40" i="20" s="1"/>
  <c r="AH40" i="20" s="1"/>
  <c r="Z41" i="20"/>
  <c r="Z40" i="20" s="1"/>
  <c r="X40" i="20" s="1"/>
  <c r="Z433" i="20"/>
  <c r="Z432" i="20" s="1"/>
  <c r="X432" i="20" s="1"/>
  <c r="AA432" i="20"/>
  <c r="Y432" i="20" s="1"/>
  <c r="AH432" i="20" s="1"/>
  <c r="AA529" i="20"/>
  <c r="Y529" i="20" s="1"/>
  <c r="AH529" i="20" s="1"/>
  <c r="Z530" i="20"/>
  <c r="Z529" i="20" s="1"/>
  <c r="X529" i="20" s="1"/>
  <c r="AA434" i="20"/>
  <c r="Y434" i="20" s="1"/>
  <c r="AH434" i="20" s="1"/>
  <c r="Z435" i="20"/>
  <c r="Z434" i="20" s="1"/>
  <c r="X434" i="20" s="1"/>
  <c r="Z194" i="20"/>
  <c r="Z193" i="20" s="1"/>
  <c r="X193" i="20" s="1"/>
  <c r="AA193" i="20"/>
  <c r="Y193" i="20" s="1"/>
  <c r="AH193" i="20" s="1"/>
  <c r="AH227" i="20"/>
  <c r="AA227" i="20"/>
  <c r="Z227" i="20" s="1"/>
  <c r="Z465" i="20"/>
  <c r="Z464" i="20" s="1"/>
  <c r="X464" i="20" s="1"/>
  <c r="AA464" i="20"/>
  <c r="Y464" i="20" s="1"/>
  <c r="AH464" i="20" s="1"/>
  <c r="AH250" i="20"/>
  <c r="AA250" i="20"/>
  <c r="Z250" i="20" s="1"/>
  <c r="AA415" i="20"/>
  <c r="Y415" i="20" s="1"/>
  <c r="AH415" i="20" s="1"/>
  <c r="Z415" i="20"/>
  <c r="X415" i="20" s="1"/>
  <c r="AA504" i="20"/>
  <c r="Y504" i="20" s="1"/>
  <c r="AH504" i="20" s="1"/>
  <c r="Z505" i="20"/>
  <c r="Z504" i="20" s="1"/>
  <c r="X504" i="20" s="1"/>
  <c r="AA156" i="20"/>
  <c r="Z156" i="20" s="1"/>
  <c r="Z551" i="20"/>
  <c r="AM551" i="20"/>
  <c r="Z550" i="20"/>
  <c r="AA549" i="20"/>
  <c r="Y549" i="20" s="1"/>
  <c r="AH549" i="20" s="1"/>
  <c r="AA407" i="20"/>
  <c r="Y407" i="20" s="1"/>
  <c r="AH407" i="20" s="1"/>
  <c r="Z408" i="20"/>
  <c r="Z407" i="20" s="1"/>
  <c r="X407" i="20" s="1"/>
  <c r="AA508" i="20"/>
  <c r="Y508" i="20" s="1"/>
  <c r="AH508" i="20" s="1"/>
  <c r="Z509" i="20"/>
  <c r="Z508" i="20" s="1"/>
  <c r="X508" i="20" s="1"/>
  <c r="AH155" i="20"/>
  <c r="AA155" i="20"/>
  <c r="Z10" i="20"/>
  <c r="Z264" i="20"/>
  <c r="Z263" i="20" s="1"/>
  <c r="X263" i="20" s="1"/>
  <c r="AA263" i="20"/>
  <c r="Y263" i="20" s="1"/>
  <c r="AH263" i="20" s="1"/>
  <c r="AH16" i="20"/>
  <c r="AA16" i="20"/>
  <c r="Z16" i="20" s="1"/>
  <c r="AA248" i="20"/>
  <c r="Z248" i="20" s="1"/>
  <c r="AH248" i="20"/>
  <c r="W9" i="20"/>
  <c r="W8" i="20" s="1"/>
  <c r="W7" i="20" s="1"/>
  <c r="Z243" i="20"/>
  <c r="AA326" i="19"/>
  <c r="Z326" i="19" s="1"/>
  <c r="AA390" i="19"/>
  <c r="Z390" i="19" s="1"/>
  <c r="AH348" i="19"/>
  <c r="AA348" i="19"/>
  <c r="Z348" i="19" s="1"/>
  <c r="AH382" i="19"/>
  <c r="AA382" i="19"/>
  <c r="Z382" i="19" s="1"/>
  <c r="AA525" i="19"/>
  <c r="Z525" i="19" s="1"/>
  <c r="AH525" i="19"/>
  <c r="AH103" i="19"/>
  <c r="AA103" i="19"/>
  <c r="Z103" i="19" s="1"/>
  <c r="AA240" i="19"/>
  <c r="Z240" i="19" s="1"/>
  <c r="AH240" i="19"/>
  <c r="AH363" i="19"/>
  <c r="AA363" i="19"/>
  <c r="Z363" i="19" s="1"/>
  <c r="AA383" i="19"/>
  <c r="Z383" i="19" s="1"/>
  <c r="AH383" i="19"/>
  <c r="AA105" i="19"/>
  <c r="Z105" i="19" s="1"/>
  <c r="AH105" i="19"/>
  <c r="AH207" i="19"/>
  <c r="AA207" i="19"/>
  <c r="Z207" i="19" s="1"/>
  <c r="AA196" i="19"/>
  <c r="Z196" i="19" s="1"/>
  <c r="AH196" i="19"/>
  <c r="AH236" i="19"/>
  <c r="AA236" i="19"/>
  <c r="Z236" i="19" s="1"/>
  <c r="AH414" i="19"/>
  <c r="AA414" i="19"/>
  <c r="Z414" i="19" s="1"/>
  <c r="AH92" i="19"/>
  <c r="AA92" i="19"/>
  <c r="Z92" i="19" s="1"/>
  <c r="AH535" i="19"/>
  <c r="AA535" i="19"/>
  <c r="Z535" i="19" s="1"/>
  <c r="AA76" i="19"/>
  <c r="Z76" i="19" s="1"/>
  <c r="AH76" i="19"/>
  <c r="AH289" i="19"/>
  <c r="AA289" i="19"/>
  <c r="Z289" i="19" s="1"/>
  <c r="AH469" i="19"/>
  <c r="AA469" i="19"/>
  <c r="Z469" i="19" s="1"/>
  <c r="AH98" i="19"/>
  <c r="AA98" i="19"/>
  <c r="Z98" i="19" s="1"/>
  <c r="AA229" i="19"/>
  <c r="Z229" i="19" s="1"/>
  <c r="AH229" i="19"/>
  <c r="AH178" i="19"/>
  <c r="AA178" i="19"/>
  <c r="Z178" i="19" s="1"/>
  <c r="AH500" i="19"/>
  <c r="AA500" i="19"/>
  <c r="Z500" i="19" s="1"/>
  <c r="AH88" i="19"/>
  <c r="AA88" i="19"/>
  <c r="Z88" i="19" s="1"/>
  <c r="AH198" i="19"/>
  <c r="AA198" i="19"/>
  <c r="Z198" i="19" s="1"/>
  <c r="AH321" i="19"/>
  <c r="AA321" i="19"/>
  <c r="Z321" i="19" s="1"/>
  <c r="AA287" i="19"/>
  <c r="Z287" i="19" s="1"/>
  <c r="AH287" i="19"/>
  <c r="AA202" i="19"/>
  <c r="Z202" i="19" s="1"/>
  <c r="AH202" i="19"/>
  <c r="AA442" i="19"/>
  <c r="Z442" i="19" s="1"/>
  <c r="AH442" i="19"/>
  <c r="AH437" i="19"/>
  <c r="AA437" i="19"/>
  <c r="Z437" i="19" s="1"/>
  <c r="AH165" i="19"/>
  <c r="AA165" i="19"/>
  <c r="Z165" i="19" s="1"/>
  <c r="AH181" i="19"/>
  <c r="AA181" i="19"/>
  <c r="Z181" i="19" s="1"/>
  <c r="AH75" i="19"/>
  <c r="AA75" i="19"/>
  <c r="Z75" i="19" s="1"/>
  <c r="AH328" i="19"/>
  <c r="AA328" i="19"/>
  <c r="Z328" i="19" s="1"/>
  <c r="AH109" i="19"/>
  <c r="AA109" i="19"/>
  <c r="Z109" i="19" s="1"/>
  <c r="AH182" i="19"/>
  <c r="AA182" i="19"/>
  <c r="Z182" i="19" s="1"/>
  <c r="AA279" i="19"/>
  <c r="Z279" i="19" s="1"/>
  <c r="AH279" i="19"/>
  <c r="AA169" i="19"/>
  <c r="Z169" i="19" s="1"/>
  <c r="AH380" i="19"/>
  <c r="AH396" i="19"/>
  <c r="AA371" i="19"/>
  <c r="Z371" i="19" s="1"/>
  <c r="AA122" i="19"/>
  <c r="Z122" i="19" s="1"/>
  <c r="AA148" i="19"/>
  <c r="Z148" i="19" s="1"/>
  <c r="AA113" i="19"/>
  <c r="Z113" i="19" s="1"/>
  <c r="AA376" i="19"/>
  <c r="Z376" i="19" s="1"/>
  <c r="AA505" i="19"/>
  <c r="Z505" i="19" s="1"/>
  <c r="AH48" i="19"/>
  <c r="AH159" i="19"/>
  <c r="AH264" i="19"/>
  <c r="AA333" i="19"/>
  <c r="Z333" i="19" s="1"/>
  <c r="AA408" i="19"/>
  <c r="Z408" i="19" s="1"/>
  <c r="AH296" i="19"/>
  <c r="AA265" i="19"/>
  <c r="Z265" i="19" s="1"/>
  <c r="AA403" i="19"/>
  <c r="Z403" i="19" s="1"/>
  <c r="AA302" i="19"/>
  <c r="Z302" i="19" s="1"/>
  <c r="AA512" i="19"/>
  <c r="Z512" i="19" s="1"/>
  <c r="AA431" i="19"/>
  <c r="Z431" i="19" s="1"/>
  <c r="AA331" i="19"/>
  <c r="Z331" i="19" s="1"/>
  <c r="AA392" i="19"/>
  <c r="Z392" i="19" s="1"/>
  <c r="AH101" i="19"/>
  <c r="AA250" i="19"/>
  <c r="Z250" i="19" s="1"/>
  <c r="AA82" i="19"/>
  <c r="Z82" i="19" s="1"/>
  <c r="AA235" i="19"/>
  <c r="Z235" i="19" s="1"/>
  <c r="AA73" i="19"/>
  <c r="Z73" i="19" s="1"/>
  <c r="AH163" i="19"/>
  <c r="AA14" i="19"/>
  <c r="Z14" i="19" s="1"/>
  <c r="AH373" i="19"/>
  <c r="AA445" i="19"/>
  <c r="Z445" i="19" s="1"/>
  <c r="AH379" i="19"/>
  <c r="AA58" i="19"/>
  <c r="Z58" i="19" s="1"/>
  <c r="AA91" i="19"/>
  <c r="Z91" i="19" s="1"/>
  <c r="AH541" i="19"/>
  <c r="AA157" i="19"/>
  <c r="Z157" i="19" s="1"/>
  <c r="AA457" i="19"/>
  <c r="Z457" i="19" s="1"/>
  <c r="AA67" i="19"/>
  <c r="Z67" i="19" s="1"/>
  <c r="AH67" i="19"/>
  <c r="AA246" i="19"/>
  <c r="Z246" i="19" s="1"/>
  <c r="AH246" i="19"/>
  <c r="AH53" i="19"/>
  <c r="AA53" i="19"/>
  <c r="Z53" i="19" s="1"/>
  <c r="AE66" i="19"/>
  <c r="AE108" i="19"/>
  <c r="AA108" i="19"/>
  <c r="Z108" i="19" s="1"/>
  <c r="AA173" i="19"/>
  <c r="Z173" i="19" s="1"/>
  <c r="AE173" i="19"/>
  <c r="AH275" i="19"/>
  <c r="AA275" i="19"/>
  <c r="Z275" i="19" s="1"/>
  <c r="AA307" i="19"/>
  <c r="Z307" i="19" s="1"/>
  <c r="AH381" i="19"/>
  <c r="AA381" i="19"/>
  <c r="Z381" i="19" s="1"/>
  <c r="AA313" i="19"/>
  <c r="Z313" i="19" s="1"/>
  <c r="AH313" i="19"/>
  <c r="AE514" i="19"/>
  <c r="AA514" i="19"/>
  <c r="Z514" i="19" s="1"/>
  <c r="AA290" i="19"/>
  <c r="Z290" i="19" s="1"/>
  <c r="AH290" i="19"/>
  <c r="AE162" i="19"/>
  <c r="AA162" i="19"/>
  <c r="Z162" i="19" s="1"/>
  <c r="AH544" i="19"/>
  <c r="AA544" i="19"/>
  <c r="Z544" i="19" s="1"/>
  <c r="AA123" i="19"/>
  <c r="Z123" i="19" s="1"/>
  <c r="AH123" i="19"/>
  <c r="AH177" i="19"/>
  <c r="AA177" i="19"/>
  <c r="Z177" i="19" s="1"/>
  <c r="AH225" i="19"/>
  <c r="AA225" i="19"/>
  <c r="Z225" i="19" s="1"/>
  <c r="AH19" i="19"/>
  <c r="AA19" i="19"/>
  <c r="Z19" i="19" s="1"/>
  <c r="AE129" i="19"/>
  <c r="AA129" i="19"/>
  <c r="Z129" i="19" s="1"/>
  <c r="AA139" i="19"/>
  <c r="Z139" i="19" s="1"/>
  <c r="AE139" i="19"/>
  <c r="AH149" i="19"/>
  <c r="AA149" i="19"/>
  <c r="Z149" i="19" s="1"/>
  <c r="AA230" i="19"/>
  <c r="Z230" i="19" s="1"/>
  <c r="AA366" i="19"/>
  <c r="Z366" i="19" s="1"/>
  <c r="AH366" i="19"/>
  <c r="AH387" i="19"/>
  <c r="AA387" i="19"/>
  <c r="Z387" i="19" s="1"/>
  <c r="AA217" i="19"/>
  <c r="Z217" i="19" s="1"/>
  <c r="AH217" i="19"/>
  <c r="AH413" i="19"/>
  <c r="AA413" i="19"/>
  <c r="Z413" i="19" s="1"/>
  <c r="AA291" i="19"/>
  <c r="Z291" i="19" s="1"/>
  <c r="AE291" i="19"/>
  <c r="AA308" i="19"/>
  <c r="Z308" i="19" s="1"/>
  <c r="AE57" i="19"/>
  <c r="AH120" i="19"/>
  <c r="AA120" i="19"/>
  <c r="Z120" i="19" s="1"/>
  <c r="AA226" i="19"/>
  <c r="Z226" i="19" s="1"/>
  <c r="AE361" i="19"/>
  <c r="AA361" i="19"/>
  <c r="Z361" i="19" s="1"/>
  <c r="AA212" i="19"/>
  <c r="Z212" i="19" s="1"/>
  <c r="AH467" i="19"/>
  <c r="AA467" i="19"/>
  <c r="Z467" i="19" s="1"/>
  <c r="AH15" i="19"/>
  <c r="AA90" i="19"/>
  <c r="Z90" i="19" s="1"/>
  <c r="AA426" i="19"/>
  <c r="Z426" i="19" s="1"/>
  <c r="AE426" i="19"/>
  <c r="AA200" i="19"/>
  <c r="Z200" i="19" s="1"/>
  <c r="AE200" i="19"/>
  <c r="AE304" i="19"/>
  <c r="AA304" i="19"/>
  <c r="Z304" i="19" s="1"/>
  <c r="AH532" i="19"/>
  <c r="AA532" i="19"/>
  <c r="Z532" i="19" s="1"/>
  <c r="AA111" i="19"/>
  <c r="Z111" i="19" s="1"/>
  <c r="AE185" i="19"/>
  <c r="AA185" i="19"/>
  <c r="Z185" i="19" s="1"/>
  <c r="AA23" i="19"/>
  <c r="Z23" i="19" s="1"/>
  <c r="AH23" i="19"/>
  <c r="AA119" i="19"/>
  <c r="Z119" i="19" s="1"/>
  <c r="AE119" i="19"/>
  <c r="AA60" i="19"/>
  <c r="Z60" i="19" s="1"/>
  <c r="AE60" i="19"/>
  <c r="AE138" i="19"/>
  <c r="AA26" i="19"/>
  <c r="Z26" i="19" s="1"/>
  <c r="AE26" i="19"/>
  <c r="AA83" i="19"/>
  <c r="Z83" i="19" s="1"/>
  <c r="AH83" i="19"/>
  <c r="AA115" i="19"/>
  <c r="Z115" i="19" s="1"/>
  <c r="AA266" i="19"/>
  <c r="Z266" i="19" s="1"/>
  <c r="AE266" i="19"/>
  <c r="AH32" i="19"/>
  <c r="AA32" i="19"/>
  <c r="Z32" i="19" s="1"/>
  <c r="AE74" i="19"/>
  <c r="AA74" i="19"/>
  <c r="Z74" i="19" s="1"/>
  <c r="AE100" i="19"/>
  <c r="AA100" i="19"/>
  <c r="Z100" i="19" s="1"/>
  <c r="AE146" i="19"/>
  <c r="AA146" i="19"/>
  <c r="Z146" i="19" s="1"/>
  <c r="AE283" i="19"/>
  <c r="AA283" i="19"/>
  <c r="Z283" i="19" s="1"/>
  <c r="AH341" i="19"/>
  <c r="AA341" i="19"/>
  <c r="Z341" i="19" s="1"/>
  <c r="AH152" i="19"/>
  <c r="AA152" i="19"/>
  <c r="Z152" i="19" s="1"/>
  <c r="AE451" i="19"/>
  <c r="AA451" i="19"/>
  <c r="Z451" i="19" s="1"/>
  <c r="AH486" i="19"/>
  <c r="AA486" i="19"/>
  <c r="Z486" i="19" s="1"/>
  <c r="AE300" i="19"/>
  <c r="AA300" i="19"/>
  <c r="Z300" i="19" s="1"/>
  <c r="AA317" i="19"/>
  <c r="Z317" i="19" s="1"/>
  <c r="AE317" i="19"/>
  <c r="AA370" i="19"/>
  <c r="Z370" i="19" s="1"/>
  <c r="AH364" i="19"/>
  <c r="AA364" i="19"/>
  <c r="Z364" i="19" s="1"/>
  <c r="AE87" i="19"/>
  <c r="AH312" i="19"/>
  <c r="AA312" i="19"/>
  <c r="Z312" i="19" s="1"/>
  <c r="AA329" i="19"/>
  <c r="Z329" i="19" s="1"/>
  <c r="AH329" i="19"/>
  <c r="AH20" i="19"/>
  <c r="AA20" i="19"/>
  <c r="Z20" i="19" s="1"/>
  <c r="AA131" i="19"/>
  <c r="Z131" i="19" s="1"/>
  <c r="AH131" i="19"/>
  <c r="AE84" i="19"/>
  <c r="AA84" i="19"/>
  <c r="Z84" i="19" s="1"/>
  <c r="AH116" i="19"/>
  <c r="AA116" i="19"/>
  <c r="Z116" i="19" s="1"/>
  <c r="AA33" i="19"/>
  <c r="Z33" i="19" s="1"/>
  <c r="AE33" i="19"/>
  <c r="AE395" i="19"/>
  <c r="AA395" i="19"/>
  <c r="Z395" i="19" s="1"/>
  <c r="AA351" i="19"/>
  <c r="Z351" i="19" s="1"/>
  <c r="AH351" i="19"/>
  <c r="AE527" i="19"/>
  <c r="AA527" i="19"/>
  <c r="Z527" i="19" s="1"/>
  <c r="AA259" i="19"/>
  <c r="Z259" i="19" s="1"/>
  <c r="AE259" i="19"/>
  <c r="AA18" i="19"/>
  <c r="Z18" i="19" s="1"/>
  <c r="AA54" i="19"/>
  <c r="Z54" i="19" s="1"/>
  <c r="AH54" i="19"/>
  <c r="AA96" i="19"/>
  <c r="Z96" i="19" s="1"/>
  <c r="AA215" i="19"/>
  <c r="Z215" i="19" s="1"/>
  <c r="AH352" i="19"/>
  <c r="AA352" i="19"/>
  <c r="Z352" i="19" s="1"/>
  <c r="AH391" i="19"/>
  <c r="AA391" i="19"/>
  <c r="Z391" i="19" s="1"/>
  <c r="AH492" i="19"/>
  <c r="AA492" i="19"/>
  <c r="Z492" i="19" s="1"/>
  <c r="AE13" i="19"/>
  <c r="W9" i="19" s="1"/>
  <c r="W8" i="19" s="1"/>
  <c r="W7" i="19" s="1"/>
  <c r="AA104" i="19"/>
  <c r="Z104" i="19" s="1"/>
  <c r="AA204" i="19"/>
  <c r="Z204" i="19" s="1"/>
  <c r="AE262" i="19"/>
  <c r="AA473" i="19"/>
  <c r="Z473" i="19" s="1"/>
  <c r="AE473" i="19"/>
  <c r="AE64" i="19"/>
  <c r="AA64" i="19"/>
  <c r="Z64" i="19" s="1"/>
  <c r="AE97" i="19"/>
  <c r="AA97" i="19"/>
  <c r="Z97" i="19" s="1"/>
  <c r="AA126" i="19"/>
  <c r="Z126" i="19" s="1"/>
  <c r="AE151" i="19"/>
  <c r="AA151" i="19"/>
  <c r="Z151" i="19" s="1"/>
  <c r="AA297" i="19"/>
  <c r="Z297" i="19" s="1"/>
  <c r="AA358" i="19"/>
  <c r="Z358" i="19" s="1"/>
  <c r="AE404" i="19"/>
  <c r="AE412" i="19"/>
  <c r="AA412" i="19"/>
  <c r="Z412" i="19" s="1"/>
  <c r="AA533" i="19"/>
  <c r="Z533" i="19" s="1"/>
  <c r="AE533" i="19"/>
  <c r="AA546" i="19"/>
  <c r="Z546" i="19" s="1"/>
  <c r="AE546" i="19"/>
  <c r="AA189" i="19"/>
  <c r="Z189" i="19" s="1"/>
  <c r="AE189" i="19"/>
  <c r="AE30" i="19"/>
  <c r="AE423" i="19"/>
  <c r="AA423" i="19"/>
  <c r="Z423" i="19" s="1"/>
  <c r="AE457" i="19"/>
  <c r="AA463" i="19"/>
  <c r="Z463" i="19" s="1"/>
  <c r="AE463" i="19"/>
  <c r="AH496" i="19"/>
  <c r="AE524" i="19"/>
  <c r="AA524" i="19"/>
  <c r="Z524" i="19" s="1"/>
  <c r="AA347" i="19"/>
  <c r="Z347" i="19" s="1"/>
  <c r="AE347" i="19"/>
  <c r="AA147" i="19"/>
  <c r="Z147" i="19" s="1"/>
  <c r="AE89" i="19"/>
  <c r="AA89" i="19"/>
  <c r="Z89" i="19" s="1"/>
  <c r="AE192" i="19"/>
  <c r="AA192" i="19"/>
  <c r="Z192" i="19" s="1"/>
  <c r="AA334" i="19"/>
  <c r="Z334" i="19" s="1"/>
  <c r="AE334" i="19"/>
  <c r="AE166" i="19"/>
  <c r="AE343" i="19"/>
  <c r="AA343" i="19"/>
  <c r="Z343" i="19" s="1"/>
  <c r="AA462" i="19"/>
  <c r="Z462" i="19" s="1"/>
  <c r="AE462" i="19"/>
  <c r="AA510" i="19"/>
  <c r="Z510" i="19" s="1"/>
  <c r="AE510" i="19"/>
  <c r="AE16" i="19"/>
  <c r="AA47" i="19"/>
  <c r="Z47" i="19" s="1"/>
  <c r="AE61" i="19"/>
  <c r="AA71" i="19"/>
  <c r="Z71" i="19" s="1"/>
  <c r="AA112" i="19"/>
  <c r="Z112" i="19" s="1"/>
  <c r="AE220" i="19"/>
  <c r="AA220" i="19"/>
  <c r="Z220" i="19" s="1"/>
  <c r="AA227" i="19"/>
  <c r="Z227" i="19" s="1"/>
  <c r="AA239" i="19"/>
  <c r="Z239" i="19" s="1"/>
  <c r="AA243" i="19"/>
  <c r="AA10" i="19"/>
  <c r="AA13" i="19"/>
  <c r="Z13" i="19" s="1"/>
  <c r="AA68" i="19"/>
  <c r="Z68" i="19" s="1"/>
  <c r="AH81" i="19"/>
  <c r="AE134" i="19"/>
  <c r="AE140" i="19"/>
  <c r="AE147" i="19"/>
  <c r="AA201" i="19"/>
  <c r="Z201" i="19" s="1"/>
  <c r="AE272" i="19"/>
  <c r="AA272" i="19"/>
  <c r="Z272" i="19" s="1"/>
  <c r="AA305" i="19"/>
  <c r="Z305" i="19" s="1"/>
  <c r="AA309" i="19"/>
  <c r="Z309" i="19" s="1"/>
  <c r="AA322" i="19"/>
  <c r="Z322" i="19" s="1"/>
  <c r="AE371" i="19"/>
  <c r="AA375" i="19"/>
  <c r="Z375" i="19" s="1"/>
  <c r="AA404" i="19"/>
  <c r="Z404" i="19" s="1"/>
  <c r="AE152" i="19"/>
  <c r="AA174" i="19"/>
  <c r="Z174" i="19" s="1"/>
  <c r="AA209" i="19"/>
  <c r="Z209" i="19" s="1"/>
  <c r="AA213" i="19"/>
  <c r="Z213" i="19" s="1"/>
  <c r="AA267" i="19"/>
  <c r="Z267" i="19" s="1"/>
  <c r="AH330" i="19"/>
  <c r="AA330" i="19"/>
  <c r="Z330" i="19" s="1"/>
  <c r="AE469" i="19"/>
  <c r="AA520" i="19"/>
  <c r="Z520" i="19" s="1"/>
  <c r="AA557" i="19"/>
  <c r="AA556" i="19" s="1"/>
  <c r="Y556" i="19" s="1"/>
  <c r="AH556" i="19" s="1"/>
  <c r="AE41" i="19"/>
  <c r="AE58" i="19"/>
  <c r="AA78" i="19"/>
  <c r="Z78" i="19" s="1"/>
  <c r="AE130" i="19"/>
  <c r="AA140" i="19"/>
  <c r="Z140" i="19" s="1"/>
  <c r="AH186" i="19"/>
  <c r="AA186" i="19"/>
  <c r="Z186" i="19" s="1"/>
  <c r="AE194" i="19"/>
  <c r="AA194" i="19"/>
  <c r="AE198" i="19"/>
  <c r="AE264" i="19"/>
  <c r="AE297" i="19"/>
  <c r="AA301" i="19"/>
  <c r="Z301" i="19" s="1"/>
  <c r="AA319" i="19"/>
  <c r="Z319" i="19" s="1"/>
  <c r="AA388" i="19"/>
  <c r="Z388" i="19" s="1"/>
  <c r="AE420" i="19"/>
  <c r="AA420" i="19"/>
  <c r="Z420" i="19" s="1"/>
  <c r="AA433" i="19"/>
  <c r="AA474" i="19"/>
  <c r="Z474" i="19" s="1"/>
  <c r="AH474" i="19"/>
  <c r="AE506" i="19"/>
  <c r="AE543" i="19"/>
  <c r="AA543" i="19"/>
  <c r="Z543" i="19" s="1"/>
  <c r="AA547" i="19"/>
  <c r="Z547" i="19" s="1"/>
  <c r="AA27" i="19"/>
  <c r="Z27" i="19" s="1"/>
  <c r="AA34" i="19"/>
  <c r="Z34" i="19" s="1"/>
  <c r="AA51" i="19"/>
  <c r="Z51" i="19" s="1"/>
  <c r="AA61" i="19"/>
  <c r="Z61" i="19" s="1"/>
  <c r="AE86" i="19"/>
  <c r="AE113" i="19"/>
  <c r="AA167" i="19"/>
  <c r="Z167" i="19" s="1"/>
  <c r="AE182" i="19"/>
  <c r="AA228" i="19"/>
  <c r="Z228" i="19" s="1"/>
  <c r="AA285" i="19"/>
  <c r="Z285" i="19" s="1"/>
  <c r="AE310" i="19"/>
  <c r="AA310" i="19"/>
  <c r="Z310" i="19" s="1"/>
  <c r="AE323" i="19"/>
  <c r="AA323" i="19"/>
  <c r="Z323" i="19" s="1"/>
  <c r="AA335" i="19"/>
  <c r="Z335" i="19" s="1"/>
  <c r="AA359" i="19"/>
  <c r="Z359" i="19" s="1"/>
  <c r="AE413" i="19"/>
  <c r="AE493" i="19"/>
  <c r="AA493" i="19"/>
  <c r="Z493" i="19" s="1"/>
  <c r="AA37" i="19"/>
  <c r="Z37" i="19" s="1"/>
  <c r="AE326" i="19"/>
  <c r="AE94" i="19"/>
  <c r="AA94" i="19"/>
  <c r="Z94" i="19" s="1"/>
  <c r="AA127" i="19"/>
  <c r="Z127" i="19" s="1"/>
  <c r="AA134" i="19"/>
  <c r="Z134" i="19" s="1"/>
  <c r="AE156" i="19"/>
  <c r="AA156" i="19"/>
  <c r="Z156" i="19" s="1"/>
  <c r="AA171" i="19"/>
  <c r="Z171" i="19" s="1"/>
  <c r="AE171" i="19"/>
  <c r="AA187" i="19"/>
  <c r="Z187" i="19" s="1"/>
  <c r="X248" i="19"/>
  <c r="Y248" i="19" s="1"/>
  <c r="AA277" i="19"/>
  <c r="Z277" i="19" s="1"/>
  <c r="AA293" i="19"/>
  <c r="Z293" i="19" s="1"/>
  <c r="AH293" i="19"/>
  <c r="AE368" i="19"/>
  <c r="AA368" i="19"/>
  <c r="Z368" i="19" s="1"/>
  <c r="AH384" i="19"/>
  <c r="AA384" i="19"/>
  <c r="Z384" i="19" s="1"/>
  <c r="AE439" i="19"/>
  <c r="AA439" i="19"/>
  <c r="Z439" i="19" s="1"/>
  <c r="AA489" i="19"/>
  <c r="Z489" i="19" s="1"/>
  <c r="AE489" i="19"/>
  <c r="AA506" i="19"/>
  <c r="AE124" i="19"/>
  <c r="AA124" i="19"/>
  <c r="Z124" i="19" s="1"/>
  <c r="AA190" i="19"/>
  <c r="Z190" i="19" s="1"/>
  <c r="AE214" i="19"/>
  <c r="AA214" i="19"/>
  <c r="Z214" i="19" s="1"/>
  <c r="AE273" i="19"/>
  <c r="AA273" i="19"/>
  <c r="Z273" i="19" s="1"/>
  <c r="AA349" i="19"/>
  <c r="Z349" i="19" s="1"/>
  <c r="AE349" i="19"/>
  <c r="AA372" i="19"/>
  <c r="Z372" i="19" s="1"/>
  <c r="AH372" i="19"/>
  <c r="AA393" i="19"/>
  <c r="Z393" i="19" s="1"/>
  <c r="AH393" i="19"/>
  <c r="AA424" i="19"/>
  <c r="Z424" i="19" s="1"/>
  <c r="AH484" i="19"/>
  <c r="AA484" i="19"/>
  <c r="Z484" i="19" s="1"/>
  <c r="AE498" i="19"/>
  <c r="AA498" i="19"/>
  <c r="Z498" i="19" s="1"/>
  <c r="AE548" i="19"/>
  <c r="AA548" i="19"/>
  <c r="AA206" i="19"/>
  <c r="Z206" i="19" s="1"/>
  <c r="AA69" i="19"/>
  <c r="Z69" i="19" s="1"/>
  <c r="AE121" i="19"/>
  <c r="AA121" i="19"/>
  <c r="Z121" i="19" s="1"/>
  <c r="AA128" i="19"/>
  <c r="Z128" i="19" s="1"/>
  <c r="AE128" i="19"/>
  <c r="AA138" i="19"/>
  <c r="Z138" i="19" s="1"/>
  <c r="AA168" i="19"/>
  <c r="Z168" i="19" s="1"/>
  <c r="AE168" i="19"/>
  <c r="AH183" i="19"/>
  <c r="AA183" i="19"/>
  <c r="Z183" i="19" s="1"/>
  <c r="AA195" i="19"/>
  <c r="Z195" i="19" s="1"/>
  <c r="AA253" i="19"/>
  <c r="Z253" i="19" s="1"/>
  <c r="AH298" i="19"/>
  <c r="AA409" i="19"/>
  <c r="AH480" i="19"/>
  <c r="AE485" i="19"/>
  <c r="AH55" i="19"/>
  <c r="AA46" i="19"/>
  <c r="Z46" i="19" s="1"/>
  <c r="AH72" i="19"/>
  <c r="AA278" i="19"/>
  <c r="Z278" i="19" s="1"/>
  <c r="AA350" i="19"/>
  <c r="Z350" i="19" s="1"/>
  <c r="AA444" i="19"/>
  <c r="Z444" i="19" s="1"/>
  <c r="AA449" i="19"/>
  <c r="Z449" i="19" s="1"/>
  <c r="AA460" i="19"/>
  <c r="Z460" i="19" s="1"/>
  <c r="AE460" i="19"/>
  <c r="AA554" i="19"/>
  <c r="AE540" i="19"/>
  <c r="AE299" i="19"/>
  <c r="AA299" i="19"/>
  <c r="Z299" i="19" s="1"/>
  <c r="AA141" i="19"/>
  <c r="Z141" i="19" s="1"/>
  <c r="AE141" i="19"/>
  <c r="AE164" i="19"/>
  <c r="AA57" i="19"/>
  <c r="Z57" i="19" s="1"/>
  <c r="AE208" i="19"/>
  <c r="AA208" i="19"/>
  <c r="Z208" i="19" s="1"/>
  <c r="AA79" i="19"/>
  <c r="Z79" i="19" s="1"/>
  <c r="AE79" i="19"/>
  <c r="AA45" i="19"/>
  <c r="Z45" i="19" s="1"/>
  <c r="AH45" i="19"/>
  <c r="AE311" i="19"/>
  <c r="AA311" i="19"/>
  <c r="Z311" i="19" s="1"/>
  <c r="AE320" i="19"/>
  <c r="AA320" i="19"/>
  <c r="Z320" i="19" s="1"/>
  <c r="AA435" i="19"/>
  <c r="AE435" i="19"/>
  <c r="AA281" i="19"/>
  <c r="Z281" i="19" s="1"/>
  <c r="AH521" i="19"/>
  <c r="AA35" i="19"/>
  <c r="Z35" i="19" s="1"/>
  <c r="AA114" i="19"/>
  <c r="Z114" i="19" s="1"/>
  <c r="AA377" i="19"/>
  <c r="Z377" i="19" s="1"/>
  <c r="AE21" i="19"/>
  <c r="AE52" i="19"/>
  <c r="AA52" i="19"/>
  <c r="Z52" i="19" s="1"/>
  <c r="AA62" i="19"/>
  <c r="Z62" i="19" s="1"/>
  <c r="AA28" i="19"/>
  <c r="Z28" i="19" s="1"/>
  <c r="AA66" i="19"/>
  <c r="Z66" i="19" s="1"/>
  <c r="AH117" i="19"/>
  <c r="AA164" i="19"/>
  <c r="Z164" i="19" s="1"/>
  <c r="AE258" i="19"/>
  <c r="AA258" i="19"/>
  <c r="Z258" i="19" s="1"/>
  <c r="AA286" i="19"/>
  <c r="Z286" i="19" s="1"/>
  <c r="AA295" i="19"/>
  <c r="Z295" i="19" s="1"/>
  <c r="AE295" i="19"/>
  <c r="AH11" i="19"/>
  <c r="AA145" i="19"/>
  <c r="AE386" i="19"/>
  <c r="AA386" i="19"/>
  <c r="Z386" i="19" s="1"/>
  <c r="AE107" i="19"/>
  <c r="AA107" i="19"/>
  <c r="Z107" i="19" s="1"/>
  <c r="AE114" i="19"/>
  <c r="AE274" i="19"/>
  <c r="AE307" i="19"/>
  <c r="AA450" i="19"/>
  <c r="Z450" i="19" s="1"/>
  <c r="AE450" i="19"/>
  <c r="AA22" i="19"/>
  <c r="Z22" i="19" s="1"/>
  <c r="AA25" i="19"/>
  <c r="Z25" i="19" s="1"/>
  <c r="AA36" i="19"/>
  <c r="Z36" i="19" s="1"/>
  <c r="AE39" i="19"/>
  <c r="AA39" i="19"/>
  <c r="Z39" i="19" s="1"/>
  <c r="AA70" i="19"/>
  <c r="Z70" i="19" s="1"/>
  <c r="AA125" i="19"/>
  <c r="Z125" i="19" s="1"/>
  <c r="AA132" i="19"/>
  <c r="Z132" i="19" s="1"/>
  <c r="AA176" i="19"/>
  <c r="Z176" i="19" s="1"/>
  <c r="AE184" i="19"/>
  <c r="AA184" i="19"/>
  <c r="Z184" i="19" s="1"/>
  <c r="AE203" i="19"/>
  <c r="AA203" i="19"/>
  <c r="Z203" i="19" s="1"/>
  <c r="AH237" i="19"/>
  <c r="AA254" i="19"/>
  <c r="Z254" i="19" s="1"/>
  <c r="AE254" i="19"/>
  <c r="AH324" i="19"/>
  <c r="AA338" i="19"/>
  <c r="Z338" i="19" s="1"/>
  <c r="AH394" i="19"/>
  <c r="AE431" i="19"/>
  <c r="AA471" i="19"/>
  <c r="Z471" i="19" s="1"/>
  <c r="AH481" i="19"/>
  <c r="AE491" i="19"/>
  <c r="AA491" i="19"/>
  <c r="Z491" i="19" s="1"/>
  <c r="AA522" i="19"/>
  <c r="Z522" i="19" s="1"/>
  <c r="AA526" i="19"/>
  <c r="Z526" i="19" s="1"/>
  <c r="AH526" i="19"/>
  <c r="AE487" i="19"/>
  <c r="AA487" i="19"/>
  <c r="Z487" i="19" s="1"/>
  <c r="AE85" i="19"/>
  <c r="AA268" i="19"/>
  <c r="Z268" i="19" s="1"/>
  <c r="AH268" i="19"/>
  <c r="AH397" i="19"/>
  <c r="AA397" i="19"/>
  <c r="Z397" i="19" s="1"/>
  <c r="AA402" i="19"/>
  <c r="Z402" i="19" s="1"/>
  <c r="AE18" i="19"/>
  <c r="AA24" i="19"/>
  <c r="Z24" i="19" s="1"/>
  <c r="AA494" i="19"/>
  <c r="Z494" i="19" s="1"/>
  <c r="AA95" i="19"/>
  <c r="Z95" i="19" s="1"/>
  <c r="AE106" i="19"/>
  <c r="AA110" i="19"/>
  <c r="Z110" i="19" s="1"/>
  <c r="AE110" i="19"/>
  <c r="AA210" i="19"/>
  <c r="Z210" i="19" s="1"/>
  <c r="AE218" i="19"/>
  <c r="AH385" i="19"/>
  <c r="AA385" i="19"/>
  <c r="Z385" i="19" s="1"/>
  <c r="AA398" i="19"/>
  <c r="Z398" i="19" s="1"/>
  <c r="AE398" i="19"/>
  <c r="AE517" i="19"/>
  <c r="AA517" i="19"/>
  <c r="Z517" i="19" s="1"/>
  <c r="AA87" i="19"/>
  <c r="Z87" i="19" s="1"/>
  <c r="AA102" i="19"/>
  <c r="Z102" i="19" s="1"/>
  <c r="AE102" i="19"/>
  <c r="AA175" i="19"/>
  <c r="Z175" i="19" s="1"/>
  <c r="AE332" i="19"/>
  <c r="AA332" i="19"/>
  <c r="Z332" i="19" s="1"/>
  <c r="AA42" i="19"/>
  <c r="AE160" i="19"/>
  <c r="AA199" i="19"/>
  <c r="Z199" i="19" s="1"/>
  <c r="AE241" i="19"/>
  <c r="AA241" i="19"/>
  <c r="Z241" i="19" s="1"/>
  <c r="AE95" i="19"/>
  <c r="AH153" i="19"/>
  <c r="AH179" i="19"/>
  <c r="AA218" i="19"/>
  <c r="Z218" i="19" s="1"/>
  <c r="AH233" i="19"/>
  <c r="AE337" i="19"/>
  <c r="AA425" i="19"/>
  <c r="Z425" i="19" s="1"/>
  <c r="AE425" i="19"/>
  <c r="AA476" i="19"/>
  <c r="Z476" i="19" s="1"/>
  <c r="AE518" i="19"/>
  <c r="AA540" i="19"/>
  <c r="Z540" i="19" s="1"/>
  <c r="AE103" i="19"/>
  <c r="AE118" i="19"/>
  <c r="AA118" i="19"/>
  <c r="Z118" i="19" s="1"/>
  <c r="AA172" i="19"/>
  <c r="Z172" i="19" s="1"/>
  <c r="AE378" i="19"/>
  <c r="AA378" i="19"/>
  <c r="Z378" i="19" s="1"/>
  <c r="AA12" i="19"/>
  <c r="Z12" i="19" s="1"/>
  <c r="AE53" i="19"/>
  <c r="AA77" i="19"/>
  <c r="Z77" i="19" s="1"/>
  <c r="AA234" i="19"/>
  <c r="Z234" i="19" s="1"/>
  <c r="AA270" i="19"/>
  <c r="Z270" i="19" s="1"/>
  <c r="AE270" i="19"/>
  <c r="AE391" i="19"/>
  <c r="AA509" i="19"/>
  <c r="AE509" i="19"/>
  <c r="AH545" i="19"/>
  <c r="AA545" i="19"/>
  <c r="Z545" i="19" s="1"/>
  <c r="AA550" i="19"/>
  <c r="AE550" i="19"/>
  <c r="AE197" i="19"/>
  <c r="AA197" i="19"/>
  <c r="Z197" i="19" s="1"/>
  <c r="AA211" i="19"/>
  <c r="Z211" i="19" s="1"/>
  <c r="AE211" i="19"/>
  <c r="AE235" i="19"/>
  <c r="AE298" i="19"/>
  <c r="AA316" i="19"/>
  <c r="Z316" i="19" s="1"/>
  <c r="AH316" i="19"/>
  <c r="AA353" i="19"/>
  <c r="Z353" i="19" s="1"/>
  <c r="AE356" i="19"/>
  <c r="AE363" i="19"/>
  <c r="AA485" i="19"/>
  <c r="Z485" i="19" s="1"/>
  <c r="AE231" i="19"/>
  <c r="AA231" i="19"/>
  <c r="Z231" i="19" s="1"/>
  <c r="AA238" i="19"/>
  <c r="Z238" i="19" s="1"/>
  <c r="AE238" i="19"/>
  <c r="AE286" i="19"/>
  <c r="AA422" i="19"/>
  <c r="Z422" i="19" s="1"/>
  <c r="AE436" i="19"/>
  <c r="AE440" i="19"/>
  <c r="AE477" i="19"/>
  <c r="AE91" i="19"/>
  <c r="AE75" i="19"/>
  <c r="AE88" i="19"/>
  <c r="AE120" i="19"/>
  <c r="AA150" i="19"/>
  <c r="Z150" i="19" s="1"/>
  <c r="Z224" i="19"/>
  <c r="AA294" i="19"/>
  <c r="Z294" i="19" s="1"/>
  <c r="AE294" i="19"/>
  <c r="AA367" i="19"/>
  <c r="Z367" i="19" s="1"/>
  <c r="AE367" i="19"/>
  <c r="AA436" i="19"/>
  <c r="Z436" i="19" s="1"/>
  <c r="AA440" i="19"/>
  <c r="Z440" i="19" s="1"/>
  <c r="AE444" i="19"/>
  <c r="AE454" i="19"/>
  <c r="AA454" i="19"/>
  <c r="Z454" i="19" s="1"/>
  <c r="AA468" i="19"/>
  <c r="Z468" i="19" s="1"/>
  <c r="AH468" i="19"/>
  <c r="AA477" i="19"/>
  <c r="Z477" i="19" s="1"/>
  <c r="AE490" i="19"/>
  <c r="AA490" i="19"/>
  <c r="Z490" i="19" s="1"/>
  <c r="AA519" i="19"/>
  <c r="Z519" i="19" s="1"/>
  <c r="AE519" i="19"/>
  <c r="AE209" i="19"/>
  <c r="AE318" i="19"/>
  <c r="AA269" i="19"/>
  <c r="Z269" i="19" s="1"/>
  <c r="AE277" i="19"/>
  <c r="AA325" i="19"/>
  <c r="Z325" i="19" s="1"/>
  <c r="AE388" i="19"/>
  <c r="AA495" i="19"/>
  <c r="Z495" i="19" s="1"/>
  <c r="AH507" i="19"/>
  <c r="AA507" i="19"/>
  <c r="Z507" i="19" s="1"/>
  <c r="AI555" i="19"/>
  <c r="X555" i="19" s="1"/>
  <c r="Y555" i="19" s="1"/>
  <c r="AA555" i="19" s="1"/>
  <c r="Z555" i="19" s="1"/>
  <c r="X16" i="19"/>
  <c r="Y16" i="19" s="1"/>
  <c r="AH16" i="19" s="1"/>
  <c r="AA158" i="19"/>
  <c r="Z158" i="19" s="1"/>
  <c r="AA247" i="19"/>
  <c r="Z247" i="19" s="1"/>
  <c r="AE288" i="19"/>
  <c r="AA288" i="19"/>
  <c r="Z288" i="19" s="1"/>
  <c r="AA318" i="19"/>
  <c r="Z318" i="19" s="1"/>
  <c r="AE336" i="19"/>
  <c r="AE399" i="19"/>
  <c r="AA399" i="19"/>
  <c r="Z399" i="19" s="1"/>
  <c r="AH466" i="19"/>
  <c r="AA466" i="19"/>
  <c r="Z466" i="19" s="1"/>
  <c r="AA475" i="19"/>
  <c r="Z475" i="19" s="1"/>
  <c r="AE475" i="19"/>
  <c r="AA503" i="19"/>
  <c r="Z503" i="19" s="1"/>
  <c r="AE534" i="19"/>
  <c r="AA280" i="19"/>
  <c r="Z280" i="19" s="1"/>
  <c r="AA314" i="19"/>
  <c r="Z314" i="19" s="1"/>
  <c r="AE314" i="19"/>
  <c r="AE369" i="19"/>
  <c r="AA410" i="19"/>
  <c r="Z410" i="19" s="1"/>
  <c r="AE479" i="19"/>
  <c r="AA479" i="19"/>
  <c r="Z479" i="19" s="1"/>
  <c r="AA99" i="19"/>
  <c r="Z99" i="19" s="1"/>
  <c r="AE161" i="19"/>
  <c r="AA161" i="19"/>
  <c r="Z161" i="19" s="1"/>
  <c r="AA205" i="19"/>
  <c r="Z205" i="19" s="1"/>
  <c r="AE205" i="19"/>
  <c r="AA306" i="19"/>
  <c r="Z306" i="19" s="1"/>
  <c r="AE340" i="19"/>
  <c r="AA340" i="19"/>
  <c r="Z340" i="19" s="1"/>
  <c r="AA456" i="19"/>
  <c r="Z456" i="19" s="1"/>
  <c r="AE456" i="19"/>
  <c r="AE47" i="19"/>
  <c r="AA17" i="19"/>
  <c r="Z17" i="19" s="1"/>
  <c r="AE56" i="19"/>
  <c r="AE83" i="19"/>
  <c r="AA155" i="19"/>
  <c r="Z155" i="19" s="1"/>
  <c r="AE178" i="19"/>
  <c r="AA222" i="19"/>
  <c r="Z222" i="19" s="1"/>
  <c r="AE226" i="19"/>
  <c r="AA244" i="19"/>
  <c r="Z244" i="19" s="1"/>
  <c r="AA251" i="19"/>
  <c r="Z251" i="19" s="1"/>
  <c r="AE251" i="19"/>
  <c r="AA344" i="19"/>
  <c r="Z344" i="19" s="1"/>
  <c r="AE381" i="19"/>
  <c r="AA470" i="19"/>
  <c r="Z470" i="19" s="1"/>
  <c r="Z464" i="19" s="1"/>
  <c r="X464" i="19" s="1"/>
  <c r="AE195" i="19"/>
  <c r="AE257" i="19"/>
  <c r="AA257" i="19"/>
  <c r="Z257" i="19" s="1"/>
  <c r="AE292" i="19"/>
  <c r="AA292" i="19"/>
  <c r="Z292" i="19" s="1"/>
  <c r="AE306" i="19"/>
  <c r="AA443" i="19"/>
  <c r="Z443" i="19" s="1"/>
  <c r="AE513" i="19"/>
  <c r="AA513" i="19"/>
  <c r="Z513" i="19" s="1"/>
  <c r="AA389" i="19"/>
  <c r="Z389" i="19" s="1"/>
  <c r="AA501" i="19"/>
  <c r="Z501" i="19" s="1"/>
  <c r="AE501" i="19"/>
  <c r="AE537" i="19"/>
  <c r="AA537" i="19"/>
  <c r="Z537" i="19" s="1"/>
  <c r="AA499" i="19"/>
  <c r="Z499" i="19" s="1"/>
  <c r="AE539" i="19"/>
  <c r="AA539" i="19"/>
  <c r="Z539" i="19" s="1"/>
  <c r="AA180" i="19"/>
  <c r="Z180" i="19" s="1"/>
  <c r="AE365" i="19"/>
  <c r="AA365" i="19"/>
  <c r="Z365" i="19" s="1"/>
  <c r="AE401" i="19"/>
  <c r="AA401" i="19"/>
  <c r="Z401" i="19" s="1"/>
  <c r="AA511" i="19"/>
  <c r="Z511" i="19" s="1"/>
  <c r="AE65" i="19"/>
  <c r="AA65" i="19"/>
  <c r="Z65" i="19" s="1"/>
  <c r="AE177" i="19"/>
  <c r="AA346" i="19"/>
  <c r="Z346" i="19" s="1"/>
  <c r="AE346" i="19"/>
  <c r="AA472" i="19"/>
  <c r="Z472" i="19" s="1"/>
  <c r="AA523" i="19"/>
  <c r="Z523" i="19" s="1"/>
  <c r="AE416" i="19"/>
  <c r="AA416" i="19"/>
  <c r="AA447" i="19"/>
  <c r="Z447" i="19" s="1"/>
  <c r="AE495" i="19"/>
  <c r="AE516" i="19"/>
  <c r="AA516" i="19"/>
  <c r="Z516" i="19" s="1"/>
  <c r="AA531" i="19"/>
  <c r="Z531" i="19" s="1"/>
  <c r="AE521" i="19"/>
  <c r="AE547" i="19"/>
  <c r="AE256" i="19"/>
  <c r="AE400" i="19"/>
  <c r="AA400" i="19"/>
  <c r="Z400" i="19" s="1"/>
  <c r="AA50" i="19"/>
  <c r="Z50" i="19" s="1"/>
  <c r="AE250" i="19"/>
  <c r="AE354" i="19"/>
  <c r="AA137" i="19"/>
  <c r="Z137" i="19" s="1"/>
  <c r="AE216" i="19"/>
  <c r="AA216" i="19"/>
  <c r="Z216" i="19" s="1"/>
  <c r="AE406" i="19"/>
  <c r="AA406" i="19"/>
  <c r="Z406" i="19" s="1"/>
  <c r="AE373" i="19"/>
  <c r="AA482" i="19"/>
  <c r="Z482" i="19" s="1"/>
  <c r="AE530" i="19"/>
  <c r="AA530" i="19"/>
  <c r="AA483" i="19"/>
  <c r="Z483" i="19" s="1"/>
  <c r="AE483" i="19"/>
  <c r="AE303" i="19"/>
  <c r="AA303" i="19"/>
  <c r="Z303" i="19" s="1"/>
  <c r="AA357" i="19"/>
  <c r="Z357" i="19" s="1"/>
  <c r="AE357" i="19"/>
  <c r="AA551" i="19"/>
  <c r="AE461" i="19"/>
  <c r="AA461" i="19"/>
  <c r="Z461" i="19" s="1"/>
  <c r="AA488" i="19"/>
  <c r="Z488" i="19" s="1"/>
  <c r="AE488" i="19"/>
  <c r="AA497" i="19"/>
  <c r="Z497" i="19" s="1"/>
  <c r="AA453" i="19"/>
  <c r="Z453" i="19" s="1"/>
  <c r="AA478" i="19"/>
  <c r="Z478" i="19" s="1"/>
  <c r="AE478" i="19"/>
  <c r="AE465" i="19"/>
  <c r="AE237" i="19"/>
  <c r="AI14" i="16"/>
  <c r="AI10" i="16"/>
  <c r="AI11" i="16"/>
  <c r="AI16" i="16"/>
  <c r="AI555" i="16"/>
  <c r="AI410" i="16"/>
  <c r="AI247" i="16"/>
  <c r="AI244" i="16"/>
  <c r="AI230" i="16"/>
  <c r="AI227" i="16"/>
  <c r="AI224" i="16"/>
  <c r="AI225" i="16"/>
  <c r="AI126" i="16"/>
  <c r="AI120" i="16"/>
  <c r="AI93" i="16"/>
  <c r="AI71" i="16"/>
  <c r="AI51" i="16"/>
  <c r="AI50" i="16"/>
  <c r="AI47" i="16"/>
  <c r="AI46" i="16"/>
  <c r="AI45" i="16"/>
  <c r="AI43" i="16"/>
  <c r="AI19" i="16"/>
  <c r="Z155" i="20" l="1"/>
  <c r="Z144" i="20" s="1"/>
  <c r="X144" i="20" s="1"/>
  <c r="AA144" i="20"/>
  <c r="Y144" i="20" s="1"/>
  <c r="AH144" i="20" s="1"/>
  <c r="Z549" i="20"/>
  <c r="X549" i="20" s="1"/>
  <c r="Z9" i="20"/>
  <c r="AA9" i="20"/>
  <c r="AA223" i="20"/>
  <c r="Y223" i="20" s="1"/>
  <c r="AH223" i="20" s="1"/>
  <c r="Z242" i="20"/>
  <c r="X242" i="20" s="1"/>
  <c r="Z223" i="20"/>
  <c r="X223" i="20" s="1"/>
  <c r="AA242" i="20"/>
  <c r="Y242" i="20" s="1"/>
  <c r="AH242" i="20" s="1"/>
  <c r="Z362" i="19"/>
  <c r="X362" i="19" s="1"/>
  <c r="Z263" i="19"/>
  <c r="X263" i="19" s="1"/>
  <c r="Z10" i="19"/>
  <c r="Z243" i="19"/>
  <c r="AA223" i="19"/>
  <c r="Y223" i="19" s="1"/>
  <c r="AH223" i="19" s="1"/>
  <c r="AA464" i="19"/>
  <c r="Y464" i="19" s="1"/>
  <c r="AH464" i="19" s="1"/>
  <c r="AA432" i="19"/>
  <c r="Y432" i="19" s="1"/>
  <c r="AH432" i="19" s="1"/>
  <c r="Z433" i="19"/>
  <c r="Z432" i="19" s="1"/>
  <c r="X432" i="19" s="1"/>
  <c r="Z223" i="19"/>
  <c r="X223" i="19" s="1"/>
  <c r="Z554" i="19"/>
  <c r="Z553" i="19" s="1"/>
  <c r="X553" i="19" s="1"/>
  <c r="AA553" i="19"/>
  <c r="Y553" i="19" s="1"/>
  <c r="AH553" i="19" s="1"/>
  <c r="Z506" i="19"/>
  <c r="Z504" i="19" s="1"/>
  <c r="X504" i="19" s="1"/>
  <c r="AA504" i="19"/>
  <c r="Y504" i="19" s="1"/>
  <c r="AH504" i="19" s="1"/>
  <c r="AM548" i="19"/>
  <c r="Z548" i="19"/>
  <c r="Z530" i="19"/>
  <c r="Z529" i="19" s="1"/>
  <c r="X529" i="19" s="1"/>
  <c r="AA529" i="19"/>
  <c r="Y529" i="19" s="1"/>
  <c r="AH529" i="19" s="1"/>
  <c r="Z194" i="19"/>
  <c r="Z193" i="19" s="1"/>
  <c r="X193" i="19" s="1"/>
  <c r="AA193" i="19"/>
  <c r="Y193" i="19" s="1"/>
  <c r="AH193" i="19" s="1"/>
  <c r="AA263" i="19"/>
  <c r="Y263" i="19" s="1"/>
  <c r="AH263" i="19" s="1"/>
  <c r="Z551" i="19"/>
  <c r="AM551" i="19"/>
  <c r="Z550" i="19"/>
  <c r="Z549" i="19" s="1"/>
  <c r="X549" i="19" s="1"/>
  <c r="AA549" i="19"/>
  <c r="Y549" i="19" s="1"/>
  <c r="AH549" i="19" s="1"/>
  <c r="AA16" i="19"/>
  <c r="Z16" i="19" s="1"/>
  <c r="AA508" i="19"/>
  <c r="Y508" i="19" s="1"/>
  <c r="AH508" i="19" s="1"/>
  <c r="Z509" i="19"/>
  <c r="Z508" i="19" s="1"/>
  <c r="X508" i="19" s="1"/>
  <c r="Z409" i="19"/>
  <c r="Z407" i="19" s="1"/>
  <c r="X407" i="19" s="1"/>
  <c r="AA407" i="19"/>
  <c r="Y407" i="19" s="1"/>
  <c r="AH407" i="19" s="1"/>
  <c r="AH248" i="19"/>
  <c r="AA248" i="19"/>
  <c r="Z248" i="19" s="1"/>
  <c r="AA434" i="19"/>
  <c r="Y434" i="19" s="1"/>
  <c r="AH434" i="19" s="1"/>
  <c r="Z435" i="19"/>
  <c r="Z434" i="19" s="1"/>
  <c r="X434" i="19" s="1"/>
  <c r="Z145" i="19"/>
  <c r="Z144" i="19" s="1"/>
  <c r="X144" i="19" s="1"/>
  <c r="AA144" i="19"/>
  <c r="Y144" i="19" s="1"/>
  <c r="AH144" i="19" s="1"/>
  <c r="AA362" i="19"/>
  <c r="Y362" i="19" s="1"/>
  <c r="AH362" i="19" s="1"/>
  <c r="Z42" i="19"/>
  <c r="Z40" i="19" s="1"/>
  <c r="X40" i="19" s="1"/>
  <c r="AA40" i="19"/>
  <c r="Y40" i="19" s="1"/>
  <c r="AH40" i="19" s="1"/>
  <c r="AA415" i="19"/>
  <c r="Y415" i="19" s="1"/>
  <c r="AH415" i="19" s="1"/>
  <c r="Z416" i="19"/>
  <c r="Z415" i="19" s="1"/>
  <c r="X415" i="19" s="1"/>
  <c r="AI550" i="16"/>
  <c r="AI547" i="16"/>
  <c r="AI544" i="16"/>
  <c r="AI535" i="16"/>
  <c r="AI536" i="16"/>
  <c r="AI524" i="16"/>
  <c r="AI523" i="16"/>
  <c r="AI522" i="16"/>
  <c r="AI518" i="16"/>
  <c r="AI515" i="16"/>
  <c r="AI507" i="16"/>
  <c r="AI445" i="16"/>
  <c r="AI440" i="16"/>
  <c r="AI438" i="16"/>
  <c r="AI426" i="16"/>
  <c r="X435" i="16"/>
  <c r="X295" i="16"/>
  <c r="AI264" i="16"/>
  <c r="AI259" i="16"/>
  <c r="AI253" i="16"/>
  <c r="AI252" i="16"/>
  <c r="AI251" i="16"/>
  <c r="AI249" i="16"/>
  <c r="AI241" i="16"/>
  <c r="AI44" i="16"/>
  <c r="Z8" i="20" l="1"/>
  <c r="X9" i="20"/>
  <c r="Y9" i="20"/>
  <c r="AA8" i="20"/>
  <c r="AA9" i="19"/>
  <c r="Y9" i="19" s="1"/>
  <c r="AA242" i="19"/>
  <c r="Y242" i="19" s="1"/>
  <c r="AH242" i="19" s="1"/>
  <c r="Z242" i="19"/>
  <c r="X242" i="19" s="1"/>
  <c r="Z9" i="19"/>
  <c r="AI236" i="16"/>
  <c r="AI214" i="16"/>
  <c r="AI204" i="16"/>
  <c r="AI203" i="16"/>
  <c r="AI202" i="16"/>
  <c r="AI185" i="16"/>
  <c r="AI163" i="16"/>
  <c r="AI160" i="16"/>
  <c r="AI159" i="16"/>
  <c r="AI153" i="16"/>
  <c r="AI118" i="16"/>
  <c r="AI42" i="16"/>
  <c r="AI41" i="16"/>
  <c r="AI22" i="16"/>
  <c r="AI13" i="16"/>
  <c r="Z506" i="17"/>
  <c r="Y506" i="17"/>
  <c r="W506" i="17"/>
  <c r="Z505" i="17"/>
  <c r="Y505" i="17"/>
  <c r="W505" i="17"/>
  <c r="Z504" i="17"/>
  <c r="Y504" i="17"/>
  <c r="W504" i="17"/>
  <c r="AI503" i="17"/>
  <c r="AG503" i="17"/>
  <c r="Z503" i="17"/>
  <c r="AI502" i="17"/>
  <c r="AG502" i="17"/>
  <c r="AI501" i="17"/>
  <c r="AG501" i="17"/>
  <c r="AI500" i="17"/>
  <c r="AG500" i="17"/>
  <c r="AI499" i="17"/>
  <c r="AG499" i="17"/>
  <c r="AD499" i="17"/>
  <c r="V498" i="17" s="1"/>
  <c r="AC499" i="17"/>
  <c r="W499" i="17"/>
  <c r="X499" i="17" s="1"/>
  <c r="Z499" i="17" s="1"/>
  <c r="AI498" i="17"/>
  <c r="AC498" i="17"/>
  <c r="Z498" i="17"/>
  <c r="X498" i="17" s="1"/>
  <c r="AG498" i="17" s="1"/>
  <c r="Y498" i="17"/>
  <c r="W498" i="17" s="1"/>
  <c r="AI497" i="17"/>
  <c r="AC497" i="17"/>
  <c r="AD497" i="17" s="1"/>
  <c r="V496" i="17" s="1"/>
  <c r="W497" i="17"/>
  <c r="X497" i="17" s="1"/>
  <c r="AI496" i="17"/>
  <c r="AC496" i="17"/>
  <c r="AI495" i="17"/>
  <c r="AC495" i="17"/>
  <c r="AI494" i="17"/>
  <c r="AH494" i="17"/>
  <c r="AC494" i="17"/>
  <c r="AD494" i="17" s="1"/>
  <c r="W494" i="17"/>
  <c r="X494" i="17" s="1"/>
  <c r="AI493" i="17"/>
  <c r="AH493" i="17"/>
  <c r="AG493" i="17"/>
  <c r="AD493" i="17"/>
  <c r="AC493" i="17"/>
  <c r="W493" i="17"/>
  <c r="X493" i="17" s="1"/>
  <c r="Z493" i="17" s="1"/>
  <c r="AI492" i="17"/>
  <c r="AC492" i="17"/>
  <c r="AI491" i="17"/>
  <c r="AH491" i="17"/>
  <c r="W491" i="17" s="1"/>
  <c r="X491" i="17" s="1"/>
  <c r="AC491" i="17"/>
  <c r="AD491" i="17" s="1"/>
  <c r="AI490" i="17"/>
  <c r="AH490" i="17"/>
  <c r="AC490" i="17"/>
  <c r="AD490" i="17" s="1"/>
  <c r="W490" i="17"/>
  <c r="X490" i="17" s="1"/>
  <c r="AI489" i="17"/>
  <c r="AH489" i="17"/>
  <c r="W489" i="17" s="1"/>
  <c r="X489" i="17" s="1"/>
  <c r="AD489" i="17"/>
  <c r="AC489" i="17"/>
  <c r="AI488" i="17"/>
  <c r="AG488" i="17"/>
  <c r="AD488" i="17"/>
  <c r="AC488" i="17"/>
  <c r="Z488" i="17"/>
  <c r="Y488" i="17"/>
  <c r="X488" i="17"/>
  <c r="W488" i="17"/>
  <c r="AI487" i="17"/>
  <c r="AH487" i="17"/>
  <c r="W487" i="17" s="1"/>
  <c r="X487" i="17" s="1"/>
  <c r="Z487" i="17" s="1"/>
  <c r="AD487" i="17"/>
  <c r="AC487" i="17"/>
  <c r="Y487" i="17"/>
  <c r="AI486" i="17"/>
  <c r="AD486" i="17"/>
  <c r="AC486" i="17"/>
  <c r="W486" i="17"/>
  <c r="X486" i="17" s="1"/>
  <c r="AI485" i="17"/>
  <c r="AC485" i="17"/>
  <c r="AD485" i="17" s="1"/>
  <c r="W485" i="17"/>
  <c r="X485" i="17" s="1"/>
  <c r="AI484" i="17"/>
  <c r="AG484" i="17"/>
  <c r="AD484" i="17"/>
  <c r="AC484" i="17"/>
  <c r="X484" i="17"/>
  <c r="Z484" i="17" s="1"/>
  <c r="Y484" i="17" s="1"/>
  <c r="W484" i="17"/>
  <c r="AI483" i="17"/>
  <c r="AC483" i="17"/>
  <c r="AD483" i="17" s="1"/>
  <c r="W483" i="17"/>
  <c r="X483" i="17" s="1"/>
  <c r="AI482" i="17"/>
  <c r="AG482" i="17"/>
  <c r="AD482" i="17"/>
  <c r="AC482" i="17"/>
  <c r="W482" i="17"/>
  <c r="X482" i="17" s="1"/>
  <c r="Z482" i="17" s="1"/>
  <c r="Y482" i="17" s="1"/>
  <c r="AI481" i="17"/>
  <c r="AD481" i="17"/>
  <c r="AC481" i="17"/>
  <c r="X481" i="17"/>
  <c r="W481" i="17"/>
  <c r="AI480" i="17"/>
  <c r="AG480" i="17"/>
  <c r="AD480" i="17"/>
  <c r="AC480" i="17"/>
  <c r="W480" i="17"/>
  <c r="X480" i="17" s="1"/>
  <c r="Z480" i="17" s="1"/>
  <c r="Y480" i="17" s="1"/>
  <c r="AI479" i="17"/>
  <c r="AH479" i="17"/>
  <c r="W479" i="17" s="1"/>
  <c r="X479" i="17" s="1"/>
  <c r="AG479" i="17" s="1"/>
  <c r="AD479" i="17"/>
  <c r="AC479" i="17"/>
  <c r="AI478" i="17"/>
  <c r="AH478" i="17"/>
  <c r="AD478" i="17"/>
  <c r="AC478" i="17"/>
  <c r="X478" i="17"/>
  <c r="W478" i="17"/>
  <c r="AI477" i="17"/>
  <c r="AD477" i="17"/>
  <c r="AC477" i="17"/>
  <c r="W477" i="17"/>
  <c r="X477" i="17" s="1"/>
  <c r="AG477" i="17" s="1"/>
  <c r="AI476" i="17"/>
  <c r="AG476" i="17"/>
  <c r="AD476" i="17"/>
  <c r="AC476" i="17"/>
  <c r="W476" i="17"/>
  <c r="X476" i="17" s="1"/>
  <c r="Z476" i="17" s="1"/>
  <c r="Y476" i="17" s="1"/>
  <c r="AI475" i="17"/>
  <c r="AC475" i="17"/>
  <c r="AD475" i="17" s="1"/>
  <c r="X475" i="17"/>
  <c r="W475" i="17"/>
  <c r="AI474" i="17"/>
  <c r="AC474" i="17"/>
  <c r="AD474" i="17" s="1"/>
  <c r="W474" i="17"/>
  <c r="X474" i="17" s="1"/>
  <c r="AI473" i="17"/>
  <c r="AC473" i="17"/>
  <c r="AD473" i="17" s="1"/>
  <c r="W473" i="17"/>
  <c r="X473" i="17" s="1"/>
  <c r="AI472" i="17"/>
  <c r="AC472" i="17"/>
  <c r="AI471" i="17"/>
  <c r="AD471" i="17"/>
  <c r="AC471" i="17"/>
  <c r="X471" i="17"/>
  <c r="Z471" i="17" s="1"/>
  <c r="Y471" i="17" s="1"/>
  <c r="W471" i="17"/>
  <c r="AI470" i="17"/>
  <c r="AG470" i="17" s="1"/>
  <c r="AC470" i="17"/>
  <c r="AD470" i="17" s="1"/>
  <c r="Z470" i="17"/>
  <c r="Y470" i="17" s="1"/>
  <c r="W470" i="17"/>
  <c r="X470" i="17" s="1"/>
  <c r="AI469" i="17"/>
  <c r="AD469" i="17"/>
  <c r="AC469" i="17"/>
  <c r="Z469" i="17"/>
  <c r="Y469" i="17" s="1"/>
  <c r="X469" i="17"/>
  <c r="AG469" i="17" s="1"/>
  <c r="W469" i="17"/>
  <c r="AI468" i="17"/>
  <c r="AD468" i="17"/>
  <c r="AC468" i="17"/>
  <c r="X468" i="17"/>
  <c r="Z468" i="17" s="1"/>
  <c r="Y468" i="17" s="1"/>
  <c r="W468" i="17"/>
  <c r="AI467" i="17"/>
  <c r="AH467" i="17"/>
  <c r="AC467" i="17"/>
  <c r="AD467" i="17" s="1"/>
  <c r="W467" i="17"/>
  <c r="X467" i="17" s="1"/>
  <c r="AI466" i="17"/>
  <c r="AH466" i="17"/>
  <c r="AD466" i="17"/>
  <c r="AC466" i="17"/>
  <c r="Z466" i="17"/>
  <c r="Y466" i="17"/>
  <c r="X466" i="17"/>
  <c r="AG466" i="17" s="1"/>
  <c r="W466" i="17"/>
  <c r="AI465" i="17"/>
  <c r="AG465" i="17" s="1"/>
  <c r="AH465" i="17"/>
  <c r="W465" i="17" s="1"/>
  <c r="X465" i="17" s="1"/>
  <c r="AC465" i="17"/>
  <c r="AD465" i="17" s="1"/>
  <c r="Z465" i="17"/>
  <c r="Y465" i="17" s="1"/>
  <c r="AI464" i="17"/>
  <c r="AC464" i="17"/>
  <c r="AD464" i="17" s="1"/>
  <c r="W464" i="17"/>
  <c r="X464" i="17" s="1"/>
  <c r="AG464" i="17" s="1"/>
  <c r="AI463" i="17"/>
  <c r="AD463" i="17"/>
  <c r="AC463" i="17"/>
  <c r="W463" i="17"/>
  <c r="X463" i="17" s="1"/>
  <c r="AG463" i="17" s="1"/>
  <c r="AI462" i="17"/>
  <c r="AG462" i="17" s="1"/>
  <c r="AC462" i="17"/>
  <c r="AD462" i="17" s="1"/>
  <c r="Y462" i="17"/>
  <c r="X462" i="17"/>
  <c r="Z462" i="17" s="1"/>
  <c r="W462" i="17"/>
  <c r="AI461" i="17"/>
  <c r="AG461" i="17"/>
  <c r="AC461" i="17"/>
  <c r="AD461" i="17" s="1"/>
  <c r="W461" i="17"/>
  <c r="X461" i="17" s="1"/>
  <c r="Z461" i="17" s="1"/>
  <c r="Y461" i="17" s="1"/>
  <c r="AI460" i="17"/>
  <c r="AC460" i="17"/>
  <c r="AD460" i="17" s="1"/>
  <c r="X460" i="17"/>
  <c r="W460" i="17"/>
  <c r="AI459" i="17"/>
  <c r="AG459" i="17" s="1"/>
  <c r="AD459" i="17"/>
  <c r="AC459" i="17"/>
  <c r="Z459" i="17"/>
  <c r="Y459" i="17"/>
  <c r="W459" i="17"/>
  <c r="AI458" i="17"/>
  <c r="AH458" i="17"/>
  <c r="AC458" i="17"/>
  <c r="AD458" i="17" s="1"/>
  <c r="W458" i="17"/>
  <c r="X458" i="17" s="1"/>
  <c r="AG458" i="17" s="1"/>
  <c r="AI457" i="17"/>
  <c r="AG457" i="17"/>
  <c r="AD457" i="17"/>
  <c r="AC457" i="17"/>
  <c r="W457" i="17"/>
  <c r="X457" i="17" s="1"/>
  <c r="Z457" i="17" s="1"/>
  <c r="Y457" i="17" s="1"/>
  <c r="AI456" i="17"/>
  <c r="AG456" i="17"/>
  <c r="AC456" i="17"/>
  <c r="AD456" i="17" s="1"/>
  <c r="W456" i="17"/>
  <c r="X456" i="17" s="1"/>
  <c r="Z456" i="17" s="1"/>
  <c r="Y456" i="17" s="1"/>
  <c r="AI455" i="17"/>
  <c r="AC455" i="17"/>
  <c r="AD455" i="17" s="1"/>
  <c r="W455" i="17"/>
  <c r="X455" i="17" s="1"/>
  <c r="AI454" i="17"/>
  <c r="AG454" i="17"/>
  <c r="AC454" i="17"/>
  <c r="AD454" i="17" s="1"/>
  <c r="Z454" i="17"/>
  <c r="Y454" i="17"/>
  <c r="W454" i="17"/>
  <c r="X454" i="17" s="1"/>
  <c r="AI453" i="17"/>
  <c r="AG453" i="17"/>
  <c r="AC453" i="17"/>
  <c r="AD453" i="17" s="1"/>
  <c r="Z453" i="17"/>
  <c r="W453" i="17"/>
  <c r="AI452" i="17"/>
  <c r="AG452" i="17"/>
  <c r="AD452" i="17"/>
  <c r="AC452" i="17"/>
  <c r="X452" i="17"/>
  <c r="Z452" i="17" s="1"/>
  <c r="Y452" i="17" s="1"/>
  <c r="W452" i="17"/>
  <c r="AI451" i="17"/>
  <c r="AC451" i="17"/>
  <c r="AI450" i="17"/>
  <c r="AH450" i="17"/>
  <c r="AC450" i="17"/>
  <c r="AD450" i="17" s="1"/>
  <c r="W450" i="17"/>
  <c r="X450" i="17" s="1"/>
  <c r="AI449" i="17"/>
  <c r="AH449" i="17"/>
  <c r="W449" i="17" s="1"/>
  <c r="X449" i="17" s="1"/>
  <c r="AC449" i="17"/>
  <c r="AD449" i="17" s="1"/>
  <c r="AI448" i="17"/>
  <c r="AH448" i="17"/>
  <c r="W448" i="17" s="1"/>
  <c r="X448" i="17" s="1"/>
  <c r="AG448" i="17" s="1"/>
  <c r="AC448" i="17"/>
  <c r="AD448" i="17" s="1"/>
  <c r="V447" i="17" s="1"/>
  <c r="AI447" i="17"/>
  <c r="AC447" i="17"/>
  <c r="AI446" i="17"/>
  <c r="AC446" i="17"/>
  <c r="AD446" i="17" s="1"/>
  <c r="W446" i="17"/>
  <c r="X446" i="17" s="1"/>
  <c r="AI445" i="17"/>
  <c r="AC445" i="17"/>
  <c r="AD445" i="17" s="1"/>
  <c r="W445" i="17"/>
  <c r="X445" i="17" s="1"/>
  <c r="AI444" i="17"/>
  <c r="AC444" i="17"/>
  <c r="AD444" i="17" s="1"/>
  <c r="W444" i="17"/>
  <c r="X444" i="17" s="1"/>
  <c r="AI443" i="17"/>
  <c r="AD443" i="17"/>
  <c r="AC443" i="17"/>
  <c r="Z443" i="17"/>
  <c r="Y443" i="17" s="1"/>
  <c r="X443" i="17"/>
  <c r="AG443" i="17" s="1"/>
  <c r="W443" i="17"/>
  <c r="AI442" i="17"/>
  <c r="AC442" i="17"/>
  <c r="AD442" i="17" s="1"/>
  <c r="X442" i="17"/>
  <c r="AG442" i="17" s="1"/>
  <c r="W442" i="17"/>
  <c r="AI441" i="17"/>
  <c r="AG441" i="17" s="1"/>
  <c r="AH441" i="17"/>
  <c r="W441" i="17" s="1"/>
  <c r="AC441" i="17"/>
  <c r="AD441" i="17" s="1"/>
  <c r="Z441" i="17"/>
  <c r="Y441" i="17" s="1"/>
  <c r="X441" i="17"/>
  <c r="AI440" i="17"/>
  <c r="AC440" i="17"/>
  <c r="AD440" i="17" s="1"/>
  <c r="X440" i="17"/>
  <c r="W440" i="17"/>
  <c r="AI439" i="17"/>
  <c r="AH439" i="17"/>
  <c r="AC439" i="17"/>
  <c r="AD439" i="17" s="1"/>
  <c r="W439" i="17"/>
  <c r="X439" i="17" s="1"/>
  <c r="AI438" i="17"/>
  <c r="AH438" i="17"/>
  <c r="W438" i="17" s="1"/>
  <c r="X438" i="17" s="1"/>
  <c r="AG438" i="17" s="1"/>
  <c r="AC438" i="17"/>
  <c r="AD438" i="17" s="1"/>
  <c r="Z438" i="17"/>
  <c r="Y438" i="17" s="1"/>
  <c r="AI437" i="17"/>
  <c r="AH437" i="17"/>
  <c r="W437" i="17" s="1"/>
  <c r="X437" i="17" s="1"/>
  <c r="AD437" i="17"/>
  <c r="AC437" i="17"/>
  <c r="AI436" i="17"/>
  <c r="AD436" i="17"/>
  <c r="AC436" i="17"/>
  <c r="X436" i="17"/>
  <c r="W436" i="17"/>
  <c r="AI435" i="17"/>
  <c r="AC435" i="17"/>
  <c r="AD435" i="17" s="1"/>
  <c r="W435" i="17"/>
  <c r="X435" i="17" s="1"/>
  <c r="Z435" i="17" s="1"/>
  <c r="Y435" i="17" s="1"/>
  <c r="AI434" i="17"/>
  <c r="AC434" i="17"/>
  <c r="AD434" i="17" s="1"/>
  <c r="Z434" i="17"/>
  <c r="Y434" i="17"/>
  <c r="W434" i="17"/>
  <c r="X434" i="17" s="1"/>
  <c r="AI433" i="17"/>
  <c r="AG433" i="17"/>
  <c r="AC433" i="17"/>
  <c r="AD433" i="17" s="1"/>
  <c r="Z433" i="17"/>
  <c r="Y433" i="17"/>
  <c r="W433" i="17"/>
  <c r="X433" i="17" s="1"/>
  <c r="AI432" i="17"/>
  <c r="AH432" i="17"/>
  <c r="AD432" i="17"/>
  <c r="AC432" i="17"/>
  <c r="W432" i="17"/>
  <c r="X432" i="17" s="1"/>
  <c r="AI431" i="17"/>
  <c r="AH431" i="17"/>
  <c r="AC431" i="17"/>
  <c r="AD431" i="17" s="1"/>
  <c r="W431" i="17"/>
  <c r="X431" i="17" s="1"/>
  <c r="AI430" i="17"/>
  <c r="AH430" i="17"/>
  <c r="W430" i="17" s="1"/>
  <c r="X430" i="17" s="1"/>
  <c r="AG430" i="17"/>
  <c r="AC430" i="17"/>
  <c r="AD430" i="17" s="1"/>
  <c r="Z430" i="17"/>
  <c r="Y430" i="17" s="1"/>
  <c r="AI429" i="17"/>
  <c r="AH429" i="17"/>
  <c r="AD429" i="17"/>
  <c r="AC429" i="17"/>
  <c r="X429" i="17"/>
  <c r="W429" i="17"/>
  <c r="AI428" i="17"/>
  <c r="AH428" i="17"/>
  <c r="AC428" i="17"/>
  <c r="AD428" i="17" s="1"/>
  <c r="W428" i="17"/>
  <c r="X428" i="17" s="1"/>
  <c r="AI427" i="17"/>
  <c r="AG427" i="17"/>
  <c r="AC427" i="17"/>
  <c r="AD427" i="17" s="1"/>
  <c r="Z427" i="17"/>
  <c r="Y427" i="17" s="1"/>
  <c r="X427" i="17"/>
  <c r="W427" i="17"/>
  <c r="AI426" i="17"/>
  <c r="AG426" i="17"/>
  <c r="AD426" i="17"/>
  <c r="AC426" i="17"/>
  <c r="W426" i="17"/>
  <c r="X426" i="17" s="1"/>
  <c r="Z426" i="17" s="1"/>
  <c r="Y426" i="17" s="1"/>
  <c r="AI425" i="17"/>
  <c r="AH425" i="17"/>
  <c r="AC425" i="17"/>
  <c r="AD425" i="17" s="1"/>
  <c r="W425" i="17"/>
  <c r="X425" i="17" s="1"/>
  <c r="AI424" i="17"/>
  <c r="AH424" i="17"/>
  <c r="W424" i="17" s="1"/>
  <c r="X424" i="17" s="1"/>
  <c r="AD424" i="17"/>
  <c r="AC424" i="17"/>
  <c r="AI423" i="17"/>
  <c r="AD423" i="17"/>
  <c r="AC423" i="17"/>
  <c r="X423" i="17"/>
  <c r="AG423" i="17" s="1"/>
  <c r="W423" i="17"/>
  <c r="AI422" i="17"/>
  <c r="AC422" i="17"/>
  <c r="AD422" i="17" s="1"/>
  <c r="W422" i="17"/>
  <c r="X422" i="17" s="1"/>
  <c r="AI421" i="17"/>
  <c r="AH421" i="17"/>
  <c r="AD421" i="17"/>
  <c r="AC421" i="17"/>
  <c r="W421" i="17"/>
  <c r="X421" i="17" s="1"/>
  <c r="AI420" i="17"/>
  <c r="AG420" i="17" s="1"/>
  <c r="AH420" i="17"/>
  <c r="W420" i="17" s="1"/>
  <c r="X420" i="17" s="1"/>
  <c r="Z420" i="17" s="1"/>
  <c r="Y420" i="17" s="1"/>
  <c r="AC420" i="17"/>
  <c r="AD420" i="17" s="1"/>
  <c r="AI419" i="17"/>
  <c r="AC419" i="17"/>
  <c r="AD419" i="17" s="1"/>
  <c r="W419" i="17"/>
  <c r="X419" i="17" s="1"/>
  <c r="AI418" i="17"/>
  <c r="AD418" i="17"/>
  <c r="AC418" i="17"/>
  <c r="W418" i="17"/>
  <c r="X418" i="17" s="1"/>
  <c r="Z418" i="17" s="1"/>
  <c r="Y418" i="17" s="1"/>
  <c r="AI417" i="17"/>
  <c r="AC417" i="17"/>
  <c r="AD417" i="17" s="1"/>
  <c r="Z417" i="17"/>
  <c r="Y417" i="17" s="1"/>
  <c r="X417" i="17"/>
  <c r="AG417" i="17" s="1"/>
  <c r="W417" i="17"/>
  <c r="AI416" i="17"/>
  <c r="AC416" i="17"/>
  <c r="AD416" i="17" s="1"/>
  <c r="X416" i="17"/>
  <c r="W416" i="17"/>
  <c r="AI415" i="17"/>
  <c r="AG415" i="17"/>
  <c r="AD415" i="17"/>
  <c r="AC415" i="17"/>
  <c r="W415" i="17"/>
  <c r="X415" i="17" s="1"/>
  <c r="Z415" i="17" s="1"/>
  <c r="Y415" i="17" s="1"/>
  <c r="AI414" i="17"/>
  <c r="AC414" i="17"/>
  <c r="AD414" i="17" s="1"/>
  <c r="X414" i="17"/>
  <c r="AG414" i="17" s="1"/>
  <c r="W414" i="17"/>
  <c r="AI413" i="17"/>
  <c r="AC413" i="17"/>
  <c r="AD413" i="17" s="1"/>
  <c r="AI412" i="17"/>
  <c r="AH412" i="17"/>
  <c r="AH413" i="17" s="1"/>
  <c r="W413" i="17" s="1"/>
  <c r="X413" i="17" s="1"/>
  <c r="AC412" i="17"/>
  <c r="AD412" i="17" s="1"/>
  <c r="X412" i="17"/>
  <c r="W412" i="17"/>
  <c r="AI411" i="17"/>
  <c r="AH411" i="17"/>
  <c r="W411" i="17" s="1"/>
  <c r="X411" i="17" s="1"/>
  <c r="Z411" i="17" s="1"/>
  <c r="Y411" i="17" s="1"/>
  <c r="AG411" i="17"/>
  <c r="AD411" i="17"/>
  <c r="AC411" i="17"/>
  <c r="AI410" i="17"/>
  <c r="AC410" i="17"/>
  <c r="AD410" i="17" s="1"/>
  <c r="W410" i="17"/>
  <c r="X410" i="17" s="1"/>
  <c r="AI409" i="17"/>
  <c r="AC409" i="17"/>
  <c r="AD409" i="17" s="1"/>
  <c r="V407" i="17" s="1"/>
  <c r="W409" i="17"/>
  <c r="X409" i="17" s="1"/>
  <c r="AG409" i="17" s="1"/>
  <c r="AI408" i="17"/>
  <c r="AD408" i="17"/>
  <c r="AC408" i="17"/>
  <c r="W408" i="17"/>
  <c r="X408" i="17" s="1"/>
  <c r="AI407" i="17"/>
  <c r="AC407" i="17"/>
  <c r="AI406" i="17"/>
  <c r="AD406" i="17"/>
  <c r="Z406" i="17"/>
  <c r="Y406" i="17" s="1"/>
  <c r="W406" i="17"/>
  <c r="X406" i="17" s="1"/>
  <c r="AI405" i="17"/>
  <c r="AD405" i="17"/>
  <c r="Y405" i="17"/>
  <c r="X405" i="17"/>
  <c r="Z405" i="17" s="1"/>
  <c r="W405" i="17"/>
  <c r="AI404" i="17"/>
  <c r="AD404" i="17"/>
  <c r="X404" i="17"/>
  <c r="Z404" i="17" s="1"/>
  <c r="Y404" i="17" s="1"/>
  <c r="W404" i="17"/>
  <c r="AI403" i="17"/>
  <c r="AD403" i="17"/>
  <c r="X403" i="17"/>
  <c r="Z403" i="17" s="1"/>
  <c r="Y403" i="17" s="1"/>
  <c r="W403" i="17"/>
  <c r="AI402" i="17"/>
  <c r="AD402" i="17"/>
  <c r="W402" i="17"/>
  <c r="X402" i="17" s="1"/>
  <c r="Z402" i="17" s="1"/>
  <c r="Y402" i="17" s="1"/>
  <c r="AI401" i="17"/>
  <c r="AD401" i="17"/>
  <c r="X401" i="17"/>
  <c r="Z401" i="17" s="1"/>
  <c r="Y401" i="17" s="1"/>
  <c r="W401" i="17"/>
  <c r="AI400" i="17"/>
  <c r="AD400" i="17"/>
  <c r="X400" i="17"/>
  <c r="Z400" i="17" s="1"/>
  <c r="Y400" i="17" s="1"/>
  <c r="W400" i="17"/>
  <c r="AI399" i="17"/>
  <c r="AD399" i="17"/>
  <c r="X399" i="17"/>
  <c r="Z399" i="17" s="1"/>
  <c r="Y399" i="17" s="1"/>
  <c r="W399" i="17"/>
  <c r="AI398" i="17"/>
  <c r="AD398" i="17"/>
  <c r="W398" i="17"/>
  <c r="X398" i="17" s="1"/>
  <c r="Z398" i="17" s="1"/>
  <c r="Y398" i="17" s="1"/>
  <c r="AI397" i="17"/>
  <c r="AD397" i="17"/>
  <c r="W397" i="17"/>
  <c r="X397" i="17" s="1"/>
  <c r="Z397" i="17" s="1"/>
  <c r="Y397" i="17" s="1"/>
  <c r="AI396" i="17"/>
  <c r="AD396" i="17"/>
  <c r="W396" i="17"/>
  <c r="X396" i="17" s="1"/>
  <c r="Z396" i="17" s="1"/>
  <c r="Y396" i="17" s="1"/>
  <c r="AI395" i="17"/>
  <c r="AD395" i="17"/>
  <c r="W395" i="17"/>
  <c r="X395" i="17" s="1"/>
  <c r="Z395" i="17" s="1"/>
  <c r="Y395" i="17" s="1"/>
  <c r="AI394" i="17"/>
  <c r="AD394" i="17"/>
  <c r="Z394" i="17"/>
  <c r="Y394" i="17" s="1"/>
  <c r="X394" i="17"/>
  <c r="W394" i="17"/>
  <c r="AI393" i="17"/>
  <c r="AD393" i="17"/>
  <c r="X393" i="17"/>
  <c r="Z393" i="17" s="1"/>
  <c r="Y393" i="17" s="1"/>
  <c r="W393" i="17"/>
  <c r="AI392" i="17"/>
  <c r="AD392" i="17"/>
  <c r="X392" i="17"/>
  <c r="Z392" i="17" s="1"/>
  <c r="Y392" i="17" s="1"/>
  <c r="W392" i="17"/>
  <c r="AI391" i="17"/>
  <c r="AD391" i="17"/>
  <c r="W391" i="17"/>
  <c r="X391" i="17" s="1"/>
  <c r="Z391" i="17" s="1"/>
  <c r="Y391" i="17" s="1"/>
  <c r="AI390" i="17"/>
  <c r="AD390" i="17"/>
  <c r="W390" i="17"/>
  <c r="X390" i="17" s="1"/>
  <c r="Z390" i="17" s="1"/>
  <c r="Y390" i="17" s="1"/>
  <c r="AI389" i="17"/>
  <c r="AD389" i="17"/>
  <c r="X389" i="17"/>
  <c r="Z389" i="17" s="1"/>
  <c r="Y389" i="17" s="1"/>
  <c r="W389" i="17"/>
  <c r="AI388" i="17"/>
  <c r="AD388" i="17"/>
  <c r="AC388" i="17"/>
  <c r="W388" i="17"/>
  <c r="X388" i="17" s="1"/>
  <c r="AI387" i="17"/>
  <c r="AC387" i="17"/>
  <c r="AD387" i="17" s="1"/>
  <c r="W387" i="17"/>
  <c r="X387" i="17" s="1"/>
  <c r="AI386" i="17"/>
  <c r="AH386" i="17"/>
  <c r="AD386" i="17"/>
  <c r="AC386" i="17"/>
  <c r="W386" i="17"/>
  <c r="X386" i="17" s="1"/>
  <c r="AI385" i="17"/>
  <c r="AC385" i="17"/>
  <c r="AD385" i="17" s="1"/>
  <c r="X385" i="17"/>
  <c r="AG385" i="17" s="1"/>
  <c r="W385" i="17"/>
  <c r="AI384" i="17"/>
  <c r="AD384" i="17"/>
  <c r="AC384" i="17"/>
  <c r="W384" i="17"/>
  <c r="X384" i="17" s="1"/>
  <c r="AI383" i="17"/>
  <c r="AH383" i="17"/>
  <c r="AD383" i="17"/>
  <c r="AC383" i="17"/>
  <c r="W383" i="17"/>
  <c r="X383" i="17" s="1"/>
  <c r="AG383" i="17" s="1"/>
  <c r="AI382" i="17"/>
  <c r="AD382" i="17"/>
  <c r="AC382" i="17"/>
  <c r="W382" i="17"/>
  <c r="X382" i="17" s="1"/>
  <c r="AI381" i="17"/>
  <c r="AH381" i="17"/>
  <c r="AD381" i="17"/>
  <c r="AC381" i="17"/>
  <c r="W381" i="17"/>
  <c r="X381" i="17" s="1"/>
  <c r="AI380" i="17"/>
  <c r="AG380" i="17" s="1"/>
  <c r="AC380" i="17"/>
  <c r="AD380" i="17" s="1"/>
  <c r="Z380" i="17"/>
  <c r="Y380" i="17"/>
  <c r="X380" i="17"/>
  <c r="W380" i="17"/>
  <c r="AI379" i="17"/>
  <c r="AH379" i="17"/>
  <c r="W379" i="17" s="1"/>
  <c r="X379" i="17" s="1"/>
  <c r="Z379" i="17" s="1"/>
  <c r="Y379" i="17" s="1"/>
  <c r="AG379" i="17"/>
  <c r="AC379" i="17"/>
  <c r="AD379" i="17" s="1"/>
  <c r="AI378" i="17"/>
  <c r="AH378" i="17"/>
  <c r="AC378" i="17"/>
  <c r="AD378" i="17" s="1"/>
  <c r="W378" i="17"/>
  <c r="X378" i="17" s="1"/>
  <c r="AI377" i="17"/>
  <c r="AC377" i="17"/>
  <c r="AI376" i="17"/>
  <c r="AC376" i="17"/>
  <c r="AD376" i="17" s="1"/>
  <c r="Z376" i="17"/>
  <c r="Y376" i="17"/>
  <c r="X376" i="17"/>
  <c r="W376" i="17"/>
  <c r="AI375" i="17"/>
  <c r="AH375" i="17"/>
  <c r="AD375" i="17"/>
  <c r="AC375" i="17"/>
  <c r="W375" i="17"/>
  <c r="X375" i="17" s="1"/>
  <c r="AI374" i="17"/>
  <c r="AG374" i="17" s="1"/>
  <c r="AH374" i="17"/>
  <c r="W374" i="17" s="1"/>
  <c r="X374" i="17" s="1"/>
  <c r="Z374" i="17" s="1"/>
  <c r="Y374" i="17" s="1"/>
  <c r="AC374" i="17"/>
  <c r="AD374" i="17" s="1"/>
  <c r="AI373" i="17"/>
  <c r="AG373" i="17"/>
  <c r="AC373" i="17"/>
  <c r="AD373" i="17" s="1"/>
  <c r="AA373" i="17"/>
  <c r="Y373" i="17"/>
  <c r="X373" i="17"/>
  <c r="W373" i="17"/>
  <c r="AI372" i="17"/>
  <c r="AH372" i="17"/>
  <c r="AD372" i="17"/>
  <c r="AC372" i="17"/>
  <c r="W372" i="17"/>
  <c r="X372" i="17" s="1"/>
  <c r="Z372" i="17" s="1"/>
  <c r="Y372" i="17" s="1"/>
  <c r="AI371" i="17"/>
  <c r="AG371" i="17"/>
  <c r="AD371" i="17"/>
  <c r="AC371" i="17"/>
  <c r="Z371" i="17"/>
  <c r="Y371" i="17"/>
  <c r="W371" i="17"/>
  <c r="X371" i="17" s="1"/>
  <c r="AI370" i="17"/>
  <c r="AC370" i="17"/>
  <c r="AD370" i="17" s="1"/>
  <c r="X370" i="17"/>
  <c r="W370" i="17"/>
  <c r="AI369" i="17"/>
  <c r="AC369" i="17"/>
  <c r="AI368" i="17"/>
  <c r="AC368" i="17"/>
  <c r="AD368" i="17" s="1"/>
  <c r="X368" i="17"/>
  <c r="W368" i="17"/>
  <c r="AI367" i="17"/>
  <c r="AH367" i="17"/>
  <c r="W367" i="17" s="1"/>
  <c r="AD367" i="17"/>
  <c r="AC367" i="17"/>
  <c r="X367" i="17"/>
  <c r="AG367" i="17" s="1"/>
  <c r="AI366" i="17"/>
  <c r="AC366" i="17"/>
  <c r="AD366" i="17" s="1"/>
  <c r="W366" i="17"/>
  <c r="X366" i="17" s="1"/>
  <c r="AI365" i="17"/>
  <c r="AH365" i="17"/>
  <c r="AG365" i="17"/>
  <c r="AC365" i="17"/>
  <c r="AD365" i="17" s="1"/>
  <c r="W365" i="17"/>
  <c r="X365" i="17" s="1"/>
  <c r="Z365" i="17" s="1"/>
  <c r="Y365" i="17" s="1"/>
  <c r="AI364" i="17"/>
  <c r="AH364" i="17"/>
  <c r="AC364" i="17"/>
  <c r="AD364" i="17" s="1"/>
  <c r="W364" i="17"/>
  <c r="X364" i="17" s="1"/>
  <c r="AG364" i="17" s="1"/>
  <c r="AI363" i="17"/>
  <c r="AH363" i="17"/>
  <c r="AC363" i="17"/>
  <c r="AD363" i="17" s="1"/>
  <c r="W363" i="17"/>
  <c r="X363" i="17" s="1"/>
  <c r="AI362" i="17"/>
  <c r="AH362" i="17"/>
  <c r="W362" i="17" s="1"/>
  <c r="AC362" i="17"/>
  <c r="AD362" i="17" s="1"/>
  <c r="X362" i="17"/>
  <c r="AI361" i="17"/>
  <c r="AD361" i="17"/>
  <c r="AC361" i="17"/>
  <c r="W361" i="17"/>
  <c r="X361" i="17" s="1"/>
  <c r="AI360" i="17"/>
  <c r="AH360" i="17"/>
  <c r="AC360" i="17"/>
  <c r="AD360" i="17" s="1"/>
  <c r="W360" i="17"/>
  <c r="X360" i="17" s="1"/>
  <c r="AI359" i="17"/>
  <c r="AG359" i="17"/>
  <c r="AD359" i="17"/>
  <c r="AC359" i="17"/>
  <c r="W359" i="17"/>
  <c r="X359" i="17" s="1"/>
  <c r="Z359" i="17" s="1"/>
  <c r="Y359" i="17" s="1"/>
  <c r="AI358" i="17"/>
  <c r="AH358" i="17"/>
  <c r="AC358" i="17"/>
  <c r="AD358" i="17" s="1"/>
  <c r="X358" i="17"/>
  <c r="W358" i="17"/>
  <c r="AI357" i="17"/>
  <c r="AH357" i="17"/>
  <c r="W357" i="17" s="1"/>
  <c r="AD357" i="17"/>
  <c r="AC357" i="17"/>
  <c r="X357" i="17"/>
  <c r="AI356" i="17"/>
  <c r="AC356" i="17"/>
  <c r="AD356" i="17" s="1"/>
  <c r="W356" i="17"/>
  <c r="X356" i="17" s="1"/>
  <c r="AI355" i="17"/>
  <c r="AC355" i="17"/>
  <c r="AD355" i="17" s="1"/>
  <c r="W355" i="17"/>
  <c r="X355" i="17" s="1"/>
  <c r="AI354" i="17"/>
  <c r="AC354" i="17"/>
  <c r="AD354" i="17" s="1"/>
  <c r="X354" i="17"/>
  <c r="AG354" i="17" s="1"/>
  <c r="W354" i="17"/>
  <c r="AI353" i="17"/>
  <c r="AC353" i="17"/>
  <c r="AD353" i="17" s="1"/>
  <c r="W353" i="17"/>
  <c r="X353" i="17" s="1"/>
  <c r="AI352" i="17"/>
  <c r="AH352" i="17"/>
  <c r="W352" i="17" s="1"/>
  <c r="X352" i="17" s="1"/>
  <c r="Z352" i="17" s="1"/>
  <c r="Y352" i="17" s="1"/>
  <c r="AG352" i="17"/>
  <c r="AD352" i="17"/>
  <c r="AC352" i="17"/>
  <c r="AI351" i="17"/>
  <c r="AH351" i="17"/>
  <c r="W351" i="17" s="1"/>
  <c r="X351" i="17" s="1"/>
  <c r="Z351" i="17" s="1"/>
  <c r="Y351" i="17" s="1"/>
  <c r="AC351" i="17"/>
  <c r="AD351" i="17" s="1"/>
  <c r="AI350" i="17"/>
  <c r="AC350" i="17"/>
  <c r="AD350" i="17" s="1"/>
  <c r="W350" i="17"/>
  <c r="X350" i="17" s="1"/>
  <c r="AI349" i="17"/>
  <c r="AG349" i="17" s="1"/>
  <c r="AC349" i="17"/>
  <c r="AD349" i="17" s="1"/>
  <c r="Y349" i="17"/>
  <c r="W349" i="17"/>
  <c r="X349" i="17" s="1"/>
  <c r="Z349" i="17" s="1"/>
  <c r="AI348" i="17"/>
  <c r="AD348" i="17"/>
  <c r="AC348" i="17"/>
  <c r="W348" i="17"/>
  <c r="X348" i="17" s="1"/>
  <c r="AI347" i="17"/>
  <c r="AH347" i="17"/>
  <c r="W347" i="17" s="1"/>
  <c r="X347" i="17" s="1"/>
  <c r="AD347" i="17"/>
  <c r="AC347" i="17"/>
  <c r="AI346" i="17"/>
  <c r="AH346" i="17"/>
  <c r="W346" i="17" s="1"/>
  <c r="AD346" i="17"/>
  <c r="AC346" i="17"/>
  <c r="Z346" i="17"/>
  <c r="Y346" i="17" s="1"/>
  <c r="X346" i="17"/>
  <c r="AG346" i="17" s="1"/>
  <c r="AI345" i="17"/>
  <c r="AD345" i="17"/>
  <c r="AC345" i="17"/>
  <c r="X345" i="17"/>
  <c r="W345" i="17"/>
  <c r="AI344" i="17"/>
  <c r="AC344" i="17"/>
  <c r="AD344" i="17" s="1"/>
  <c r="W344" i="17"/>
  <c r="X344" i="17" s="1"/>
  <c r="AI343" i="17"/>
  <c r="AD343" i="17"/>
  <c r="AC343" i="17"/>
  <c r="W343" i="17"/>
  <c r="X343" i="17" s="1"/>
  <c r="AI342" i="17"/>
  <c r="AG342" i="17"/>
  <c r="AD342" i="17"/>
  <c r="AC342" i="17"/>
  <c r="Z342" i="17"/>
  <c r="Y342" i="17" s="1"/>
  <c r="X342" i="17"/>
  <c r="W342" i="17"/>
  <c r="AI341" i="17"/>
  <c r="AC341" i="17"/>
  <c r="AD341" i="17" s="1"/>
  <c r="W341" i="17"/>
  <c r="X341" i="17" s="1"/>
  <c r="AI340" i="17"/>
  <c r="AD340" i="17"/>
  <c r="AC340" i="17"/>
  <c r="W340" i="17"/>
  <c r="X340" i="17" s="1"/>
  <c r="Z340" i="17" s="1"/>
  <c r="Y340" i="17" s="1"/>
  <c r="AI339" i="17"/>
  <c r="AH339" i="17"/>
  <c r="W339" i="17" s="1"/>
  <c r="X339" i="17" s="1"/>
  <c r="AG339" i="17"/>
  <c r="AC339" i="17"/>
  <c r="AD339" i="17" s="1"/>
  <c r="Z339" i="17"/>
  <c r="Y339" i="17" s="1"/>
  <c r="AI338" i="17"/>
  <c r="AD338" i="17"/>
  <c r="AC338" i="17"/>
  <c r="W338" i="17"/>
  <c r="X338" i="17" s="1"/>
  <c r="AG338" i="17" s="1"/>
  <c r="AI337" i="17"/>
  <c r="AD337" i="17"/>
  <c r="AC337" i="17"/>
  <c r="W337" i="17"/>
  <c r="X337" i="17" s="1"/>
  <c r="AI336" i="17"/>
  <c r="AC336" i="17"/>
  <c r="AD336" i="17" s="1"/>
  <c r="Z336" i="17"/>
  <c r="Y336" i="17"/>
  <c r="X336" i="17"/>
  <c r="W336" i="17"/>
  <c r="AI335" i="17"/>
  <c r="AH335" i="17"/>
  <c r="W335" i="17" s="1"/>
  <c r="X335" i="17" s="1"/>
  <c r="AC335" i="17"/>
  <c r="AD335" i="17" s="1"/>
  <c r="AI334" i="17"/>
  <c r="AH334" i="17"/>
  <c r="W334" i="17" s="1"/>
  <c r="AD334" i="17"/>
  <c r="AC334" i="17"/>
  <c r="X334" i="17"/>
  <c r="AG334" i="17" s="1"/>
  <c r="AI333" i="17"/>
  <c r="AH333" i="17"/>
  <c r="W333" i="17" s="1"/>
  <c r="X333" i="17" s="1"/>
  <c r="Z333" i="17" s="1"/>
  <c r="Y333" i="17" s="1"/>
  <c r="AG333" i="17"/>
  <c r="AD333" i="17"/>
  <c r="AC333" i="17"/>
  <c r="AI332" i="17"/>
  <c r="AG332" i="17"/>
  <c r="AD332" i="17"/>
  <c r="AC332" i="17"/>
  <c r="W332" i="17"/>
  <c r="X332" i="17" s="1"/>
  <c r="Z332" i="17" s="1"/>
  <c r="Y332" i="17" s="1"/>
  <c r="AI331" i="17"/>
  <c r="AC331" i="17"/>
  <c r="AD331" i="17" s="1"/>
  <c r="X331" i="17"/>
  <c r="AG331" i="17" s="1"/>
  <c r="W331" i="17"/>
  <c r="AI330" i="17"/>
  <c r="AC330" i="17"/>
  <c r="AD330" i="17" s="1"/>
  <c r="W330" i="17"/>
  <c r="X330" i="17" s="1"/>
  <c r="Z330" i="17" s="1"/>
  <c r="Y330" i="17" s="1"/>
  <c r="AI329" i="17"/>
  <c r="AG329" i="17"/>
  <c r="AC329" i="17"/>
  <c r="AD329" i="17" s="1"/>
  <c r="W329" i="17"/>
  <c r="X329" i="17" s="1"/>
  <c r="Z329" i="17" s="1"/>
  <c r="Y329" i="17" s="1"/>
  <c r="AI328" i="17"/>
  <c r="AC328" i="17"/>
  <c r="AD328" i="17" s="1"/>
  <c r="W328" i="17"/>
  <c r="X328" i="17" s="1"/>
  <c r="Z328" i="17" s="1"/>
  <c r="AI327" i="17"/>
  <c r="AC327" i="17"/>
  <c r="AI326" i="17"/>
  <c r="AH326" i="17"/>
  <c r="W326" i="17" s="1"/>
  <c r="AC326" i="17"/>
  <c r="AD326" i="17" s="1"/>
  <c r="X326" i="17"/>
  <c r="AG326" i="17" s="1"/>
  <c r="AI325" i="17"/>
  <c r="AG325" i="17"/>
  <c r="AC325" i="17"/>
  <c r="AD325" i="17" s="1"/>
  <c r="X325" i="17"/>
  <c r="Z325" i="17" s="1"/>
  <c r="Y325" i="17" s="1"/>
  <c r="W325" i="17"/>
  <c r="AI324" i="17"/>
  <c r="AD324" i="17"/>
  <c r="AC324" i="17"/>
  <c r="W324" i="17"/>
  <c r="X324" i="17" s="1"/>
  <c r="AI323" i="17"/>
  <c r="AC323" i="17"/>
  <c r="AD323" i="17" s="1"/>
  <c r="W323" i="17"/>
  <c r="X323" i="17" s="1"/>
  <c r="AG323" i="17" s="1"/>
  <c r="AI322" i="17"/>
  <c r="AC322" i="17"/>
  <c r="AD322" i="17" s="1"/>
  <c r="Z322" i="17"/>
  <c r="Y322" i="17" s="1"/>
  <c r="X322" i="17"/>
  <c r="AG322" i="17" s="1"/>
  <c r="W322" i="17"/>
  <c r="AI321" i="17"/>
  <c r="AD321" i="17"/>
  <c r="AC321" i="17"/>
  <c r="W321" i="17"/>
  <c r="X321" i="17" s="1"/>
  <c r="AI320" i="17"/>
  <c r="AC320" i="17"/>
  <c r="AD320" i="17" s="1"/>
  <c r="W320" i="17"/>
  <c r="X320" i="17" s="1"/>
  <c r="AG320" i="17" s="1"/>
  <c r="AI319" i="17"/>
  <c r="AC319" i="17"/>
  <c r="AD319" i="17" s="1"/>
  <c r="W319" i="17"/>
  <c r="X319" i="17" s="1"/>
  <c r="AI318" i="17"/>
  <c r="AD318" i="17"/>
  <c r="AC318" i="17"/>
  <c r="W318" i="17"/>
  <c r="X318" i="17" s="1"/>
  <c r="AG318" i="17" s="1"/>
  <c r="AI317" i="17"/>
  <c r="AG317" i="17"/>
  <c r="AC317" i="17"/>
  <c r="AD317" i="17" s="1"/>
  <c r="Z317" i="17"/>
  <c r="Y317" i="17" s="1"/>
  <c r="W317" i="17"/>
  <c r="X317" i="17" s="1"/>
  <c r="AI316" i="17"/>
  <c r="AC316" i="17"/>
  <c r="AD316" i="17" s="1"/>
  <c r="X316" i="17"/>
  <c r="Z316" i="17" s="1"/>
  <c r="Y316" i="17" s="1"/>
  <c r="W316" i="17"/>
  <c r="AI315" i="17"/>
  <c r="AG315" i="17" s="1"/>
  <c r="AD315" i="17"/>
  <c r="AC315" i="17"/>
  <c r="Z315" i="17"/>
  <c r="Y315" i="17" s="1"/>
  <c r="X315" i="17"/>
  <c r="W315" i="17"/>
  <c r="AI314" i="17"/>
  <c r="AC314" i="17"/>
  <c r="AD314" i="17" s="1"/>
  <c r="W314" i="17"/>
  <c r="X314" i="17" s="1"/>
  <c r="AI313" i="17"/>
  <c r="AC313" i="17"/>
  <c r="AD313" i="17" s="1"/>
  <c r="W313" i="17"/>
  <c r="X313" i="17" s="1"/>
  <c r="AI312" i="17"/>
  <c r="AG312" i="17"/>
  <c r="AD312" i="17"/>
  <c r="AC312" i="17"/>
  <c r="Z312" i="17"/>
  <c r="Y312" i="17" s="1"/>
  <c r="W312" i="17"/>
  <c r="X312" i="17" s="1"/>
  <c r="AI311" i="17"/>
  <c r="AD311" i="17"/>
  <c r="AC311" i="17"/>
  <c r="W311" i="17"/>
  <c r="X311" i="17" s="1"/>
  <c r="AI310" i="17"/>
  <c r="AG310" i="17"/>
  <c r="AC310" i="17"/>
  <c r="AD310" i="17" s="1"/>
  <c r="Z310" i="17"/>
  <c r="Y310" i="17" s="1"/>
  <c r="W310" i="17"/>
  <c r="X310" i="17" s="1"/>
  <c r="AI309" i="17"/>
  <c r="AD309" i="17"/>
  <c r="AC309" i="17"/>
  <c r="W309" i="17"/>
  <c r="X309" i="17" s="1"/>
  <c r="AI308" i="17"/>
  <c r="AD308" i="17"/>
  <c r="AC308" i="17"/>
  <c r="X308" i="17"/>
  <c r="W308" i="17"/>
  <c r="AI307" i="17"/>
  <c r="AG307" i="17"/>
  <c r="AC307" i="17"/>
  <c r="AD307" i="17" s="1"/>
  <c r="Z307" i="17"/>
  <c r="Y307" i="17"/>
  <c r="X307" i="17"/>
  <c r="W307" i="17"/>
  <c r="AI306" i="17"/>
  <c r="AD306" i="17"/>
  <c r="AC306" i="17"/>
  <c r="W306" i="17"/>
  <c r="X306" i="17" s="1"/>
  <c r="AI305" i="17"/>
  <c r="AG305" i="17"/>
  <c r="AC305" i="17"/>
  <c r="AD305" i="17" s="1"/>
  <c r="Z305" i="17"/>
  <c r="Y305" i="17" s="1"/>
  <c r="W305" i="17"/>
  <c r="X305" i="17" s="1"/>
  <c r="AI304" i="17"/>
  <c r="AC304" i="17"/>
  <c r="AD304" i="17" s="1"/>
  <c r="X304" i="17"/>
  <c r="W304" i="17"/>
  <c r="AI303" i="17"/>
  <c r="AD303" i="17"/>
  <c r="AC303" i="17"/>
  <c r="X303" i="17"/>
  <c r="AG303" i="17" s="1"/>
  <c r="W303" i="17"/>
  <c r="AI302" i="17"/>
  <c r="AD302" i="17"/>
  <c r="AC302" i="17"/>
  <c r="Z302" i="17"/>
  <c r="Y302" i="17"/>
  <c r="X302" i="17"/>
  <c r="AG302" i="17" s="1"/>
  <c r="W302" i="17"/>
  <c r="AI301" i="17"/>
  <c r="AC301" i="17"/>
  <c r="AD301" i="17" s="1"/>
  <c r="W301" i="17"/>
  <c r="X301" i="17" s="1"/>
  <c r="AI300" i="17"/>
  <c r="AD300" i="17"/>
  <c r="AC300" i="17"/>
  <c r="X300" i="17"/>
  <c r="W300" i="17"/>
  <c r="AI299" i="17"/>
  <c r="AD299" i="17"/>
  <c r="AC299" i="17"/>
  <c r="W299" i="17"/>
  <c r="X299" i="17" s="1"/>
  <c r="Z299" i="17" s="1"/>
  <c r="Y299" i="17" s="1"/>
  <c r="AI298" i="17"/>
  <c r="AG298" i="17"/>
  <c r="AC298" i="17"/>
  <c r="AD298" i="17" s="1"/>
  <c r="Z298" i="17"/>
  <c r="Y298" i="17"/>
  <c r="W298" i="17"/>
  <c r="X298" i="17" s="1"/>
  <c r="AI297" i="17"/>
  <c r="AD297" i="17"/>
  <c r="AC297" i="17"/>
  <c r="W297" i="17"/>
  <c r="X297" i="17" s="1"/>
  <c r="AI296" i="17"/>
  <c r="AG296" i="17"/>
  <c r="AC296" i="17"/>
  <c r="AD296" i="17" s="1"/>
  <c r="X296" i="17"/>
  <c r="Z296" i="17" s="1"/>
  <c r="Y296" i="17" s="1"/>
  <c r="W296" i="17"/>
  <c r="AI295" i="17"/>
  <c r="AC295" i="17"/>
  <c r="AD295" i="17" s="1"/>
  <c r="W295" i="17"/>
  <c r="X295" i="17" s="1"/>
  <c r="AG295" i="17" s="1"/>
  <c r="AI294" i="17"/>
  <c r="AD294" i="17"/>
  <c r="AC294" i="17"/>
  <c r="Z294" i="17"/>
  <c r="Y294" i="17" s="1"/>
  <c r="W294" i="17"/>
  <c r="X294" i="17" s="1"/>
  <c r="AI293" i="17"/>
  <c r="AC293" i="17"/>
  <c r="AD293" i="17" s="1"/>
  <c r="W293" i="17"/>
  <c r="X293" i="17" s="1"/>
  <c r="AG293" i="17" s="1"/>
  <c r="AI292" i="17"/>
  <c r="AC292" i="17"/>
  <c r="AD292" i="17" s="1"/>
  <c r="X292" i="17"/>
  <c r="Z292" i="17" s="1"/>
  <c r="Y292" i="17" s="1"/>
  <c r="W292" i="17"/>
  <c r="AI291" i="17"/>
  <c r="AD291" i="17"/>
  <c r="AC291" i="17"/>
  <c r="W291" i="17"/>
  <c r="X291" i="17" s="1"/>
  <c r="AI290" i="17"/>
  <c r="AC290" i="17"/>
  <c r="AD290" i="17" s="1"/>
  <c r="X290" i="17"/>
  <c r="W290" i="17"/>
  <c r="AI289" i="17"/>
  <c r="AC289" i="17"/>
  <c r="AD289" i="17" s="1"/>
  <c r="W289" i="17"/>
  <c r="X289" i="17" s="1"/>
  <c r="AI288" i="17"/>
  <c r="AG288" i="17"/>
  <c r="AD288" i="17"/>
  <c r="AC288" i="17"/>
  <c r="X288" i="17"/>
  <c r="Z288" i="17" s="1"/>
  <c r="Y288" i="17" s="1"/>
  <c r="W288" i="17"/>
  <c r="AI287" i="17"/>
  <c r="AD287" i="17"/>
  <c r="AC287" i="17"/>
  <c r="W287" i="17"/>
  <c r="X287" i="17" s="1"/>
  <c r="AI286" i="17"/>
  <c r="AC286" i="17"/>
  <c r="AD286" i="17" s="1"/>
  <c r="W286" i="17"/>
  <c r="X286" i="17" s="1"/>
  <c r="AI285" i="17"/>
  <c r="AG285" i="17"/>
  <c r="AD285" i="17"/>
  <c r="AC285" i="17"/>
  <c r="Z285" i="17"/>
  <c r="Y285" i="17" s="1"/>
  <c r="W285" i="17"/>
  <c r="X285" i="17" s="1"/>
  <c r="AI284" i="17"/>
  <c r="AC284" i="17"/>
  <c r="AD284" i="17" s="1"/>
  <c r="X284" i="17"/>
  <c r="AG284" i="17" s="1"/>
  <c r="W284" i="17"/>
  <c r="AI283" i="17"/>
  <c r="AC283" i="17"/>
  <c r="AD283" i="17" s="1"/>
  <c r="W283" i="17"/>
  <c r="X283" i="17" s="1"/>
  <c r="AG283" i="17" s="1"/>
  <c r="AI282" i="17"/>
  <c r="AG282" i="17" s="1"/>
  <c r="AD282" i="17"/>
  <c r="AC282" i="17"/>
  <c r="Z282" i="17"/>
  <c r="Y282" i="17"/>
  <c r="X282" i="17"/>
  <c r="W282" i="17"/>
  <c r="AI281" i="17"/>
  <c r="AC281" i="17"/>
  <c r="AD281" i="17" s="1"/>
  <c r="W281" i="17"/>
  <c r="X281" i="17" s="1"/>
  <c r="AI280" i="17"/>
  <c r="AC280" i="17"/>
  <c r="AD280" i="17" s="1"/>
  <c r="X280" i="17"/>
  <c r="Z280" i="17" s="1"/>
  <c r="Y280" i="17" s="1"/>
  <c r="W280" i="17"/>
  <c r="AI279" i="17"/>
  <c r="AG279" i="17"/>
  <c r="AD279" i="17"/>
  <c r="AC279" i="17"/>
  <c r="X279" i="17"/>
  <c r="Z279" i="17" s="1"/>
  <c r="Y279" i="17" s="1"/>
  <c r="W279" i="17"/>
  <c r="AI278" i="17"/>
  <c r="AC278" i="17"/>
  <c r="AD278" i="17" s="1"/>
  <c r="W278" i="17"/>
  <c r="X278" i="17" s="1"/>
  <c r="AI277" i="17"/>
  <c r="AG277" i="17"/>
  <c r="AC277" i="17"/>
  <c r="AD277" i="17" s="1"/>
  <c r="W277" i="17"/>
  <c r="X277" i="17" s="1"/>
  <c r="Z277" i="17" s="1"/>
  <c r="Y277" i="17" s="1"/>
  <c r="AI276" i="17"/>
  <c r="AD276" i="17"/>
  <c r="AC276" i="17"/>
  <c r="W276" i="17"/>
  <c r="X276" i="17" s="1"/>
  <c r="AI275" i="17"/>
  <c r="AD275" i="17"/>
  <c r="AC275" i="17"/>
  <c r="W275" i="17"/>
  <c r="X275" i="17" s="1"/>
  <c r="AI274" i="17"/>
  <c r="AC274" i="17"/>
  <c r="AD274" i="17" s="1"/>
  <c r="W274" i="17"/>
  <c r="X274" i="17" s="1"/>
  <c r="AI273" i="17"/>
  <c r="AD273" i="17"/>
  <c r="AC273" i="17"/>
  <c r="W273" i="17"/>
  <c r="X273" i="17" s="1"/>
  <c r="AI272" i="17"/>
  <c r="AC272" i="17"/>
  <c r="AD272" i="17" s="1"/>
  <c r="Z272" i="17"/>
  <c r="Y272" i="17"/>
  <c r="X272" i="17"/>
  <c r="AG272" i="17" s="1"/>
  <c r="W272" i="17"/>
  <c r="AI271" i="17"/>
  <c r="AG271" i="17"/>
  <c r="AC271" i="17"/>
  <c r="AD271" i="17" s="1"/>
  <c r="Y271" i="17"/>
  <c r="W271" i="17"/>
  <c r="X271" i="17" s="1"/>
  <c r="Z271" i="17" s="1"/>
  <c r="AI270" i="17"/>
  <c r="AD270" i="17"/>
  <c r="AC270" i="17"/>
  <c r="X270" i="17"/>
  <c r="Z270" i="17" s="1"/>
  <c r="Y270" i="17" s="1"/>
  <c r="W270" i="17"/>
  <c r="AI269" i="17"/>
  <c r="AH269" i="17"/>
  <c r="AC269" i="17"/>
  <c r="AD269" i="17" s="1"/>
  <c r="X269" i="17"/>
  <c r="W269" i="17"/>
  <c r="AI268" i="17"/>
  <c r="AD268" i="17"/>
  <c r="AC268" i="17"/>
  <c r="Z268" i="17"/>
  <c r="Y268" i="17"/>
  <c r="W268" i="17"/>
  <c r="X268" i="17" s="1"/>
  <c r="AI267" i="17"/>
  <c r="AH267" i="17"/>
  <c r="W267" i="17" s="1"/>
  <c r="X267" i="17" s="1"/>
  <c r="AD267" i="17"/>
  <c r="AC267" i="17"/>
  <c r="AI266" i="17"/>
  <c r="AD266" i="17"/>
  <c r="AC266" i="17"/>
  <c r="X266" i="17"/>
  <c r="AG266" i="17" s="1"/>
  <c r="W266" i="17"/>
  <c r="AI265" i="17"/>
  <c r="AC265" i="17"/>
  <c r="AD265" i="17" s="1"/>
  <c r="Z265" i="17"/>
  <c r="Y265" i="17" s="1"/>
  <c r="X265" i="17"/>
  <c r="W265" i="17"/>
  <c r="AI264" i="17"/>
  <c r="AC264" i="17"/>
  <c r="AD264" i="17" s="1"/>
  <c r="W264" i="17"/>
  <c r="X264" i="17" s="1"/>
  <c r="AI263" i="17"/>
  <c r="AG263" i="17"/>
  <c r="AC263" i="17"/>
  <c r="AD263" i="17" s="1"/>
  <c r="W263" i="17"/>
  <c r="X263" i="17" s="1"/>
  <c r="Z263" i="17" s="1"/>
  <c r="Y263" i="17" s="1"/>
  <c r="AI262" i="17"/>
  <c r="AH262" i="17"/>
  <c r="W262" i="17" s="1"/>
  <c r="X262" i="17" s="1"/>
  <c r="AG262" i="17" s="1"/>
  <c r="AC262" i="17"/>
  <c r="AD262" i="17" s="1"/>
  <c r="Z262" i="17"/>
  <c r="Y262" i="17" s="1"/>
  <c r="AI261" i="17"/>
  <c r="AC261" i="17"/>
  <c r="AD261" i="17" s="1"/>
  <c r="W261" i="17"/>
  <c r="X261" i="17" s="1"/>
  <c r="AI260" i="17"/>
  <c r="AC260" i="17"/>
  <c r="AD260" i="17" s="1"/>
  <c r="W260" i="17"/>
  <c r="X260" i="17" s="1"/>
  <c r="AG260" i="17" s="1"/>
  <c r="AI259" i="17"/>
  <c r="AC259" i="17"/>
  <c r="AD259" i="17" s="1"/>
  <c r="W259" i="17"/>
  <c r="X259" i="17" s="1"/>
  <c r="AI258" i="17"/>
  <c r="AC258" i="17"/>
  <c r="AD258" i="17" s="1"/>
  <c r="X258" i="17"/>
  <c r="AG258" i="17" s="1"/>
  <c r="W258" i="17"/>
  <c r="AI257" i="17"/>
  <c r="AC257" i="17"/>
  <c r="AD257" i="17" s="1"/>
  <c r="W257" i="17"/>
  <c r="X257" i="17" s="1"/>
  <c r="AI256" i="17"/>
  <c r="AC256" i="17"/>
  <c r="AD256" i="17" s="1"/>
  <c r="X256" i="17"/>
  <c r="AG256" i="17" s="1"/>
  <c r="W256" i="17"/>
  <c r="AI255" i="17"/>
  <c r="AC255" i="17"/>
  <c r="AD255" i="17" s="1"/>
  <c r="Z255" i="17"/>
  <c r="Y255" i="17" s="1"/>
  <c r="X255" i="17"/>
  <c r="AG255" i="17" s="1"/>
  <c r="W255" i="17"/>
  <c r="AI254" i="17"/>
  <c r="AG254" i="17"/>
  <c r="AC254" i="17"/>
  <c r="AD254" i="17" s="1"/>
  <c r="Z254" i="17"/>
  <c r="Y254" i="17" s="1"/>
  <c r="X254" i="17"/>
  <c r="W254" i="17"/>
  <c r="AI253" i="17"/>
  <c r="AC253" i="17"/>
  <c r="AD253" i="17" s="1"/>
  <c r="X253" i="17"/>
  <c r="W253" i="17"/>
  <c r="AI252" i="17"/>
  <c r="AD252" i="17"/>
  <c r="AC252" i="17"/>
  <c r="W252" i="17"/>
  <c r="X252" i="17" s="1"/>
  <c r="Z252" i="17" s="1"/>
  <c r="Y252" i="17" s="1"/>
  <c r="AI251" i="17"/>
  <c r="AH251" i="17"/>
  <c r="W251" i="17" s="1"/>
  <c r="AG251" i="17"/>
  <c r="AD251" i="17"/>
  <c r="AC251" i="17"/>
  <c r="Z251" i="17"/>
  <c r="Y251" i="17"/>
  <c r="X251" i="17"/>
  <c r="AI250" i="17"/>
  <c r="AC250" i="17"/>
  <c r="AD250" i="17" s="1"/>
  <c r="X250" i="17"/>
  <c r="AG250" i="17" s="1"/>
  <c r="W250" i="17"/>
  <c r="AI249" i="17"/>
  <c r="AC249" i="17"/>
  <c r="AD249" i="17" s="1"/>
  <c r="X249" i="17"/>
  <c r="Z249" i="17" s="1"/>
  <c r="Y249" i="17" s="1"/>
  <c r="W249" i="17"/>
  <c r="AI248" i="17"/>
  <c r="AC248" i="17"/>
  <c r="AD248" i="17" s="1"/>
  <c r="Z248" i="17"/>
  <c r="Y248" i="17" s="1"/>
  <c r="X248" i="17"/>
  <c r="AG248" i="17" s="1"/>
  <c r="W248" i="17"/>
  <c r="AI247" i="17"/>
  <c r="AG247" i="17"/>
  <c r="AD247" i="17"/>
  <c r="AC247" i="17"/>
  <c r="X247" i="17"/>
  <c r="Z247" i="17" s="1"/>
  <c r="Y247" i="17" s="1"/>
  <c r="W247" i="17"/>
  <c r="AI246" i="17"/>
  <c r="AC246" i="17"/>
  <c r="AD246" i="17" s="1"/>
  <c r="W246" i="17"/>
  <c r="X246" i="17" s="1"/>
  <c r="Z246" i="17" s="1"/>
  <c r="Y246" i="17" s="1"/>
  <c r="AI245" i="17"/>
  <c r="AD245" i="17"/>
  <c r="AC245" i="17"/>
  <c r="X245" i="17"/>
  <c r="Z245" i="17" s="1"/>
  <c r="Y245" i="17" s="1"/>
  <c r="W245" i="17"/>
  <c r="AI244" i="17"/>
  <c r="AC244" i="17"/>
  <c r="AD244" i="17" s="1"/>
  <c r="Z244" i="17"/>
  <c r="Y244" i="17" s="1"/>
  <c r="X244" i="17"/>
  <c r="AG244" i="17" s="1"/>
  <c r="W244" i="17"/>
  <c r="AI243" i="17"/>
  <c r="AC243" i="17"/>
  <c r="AD243" i="17" s="1"/>
  <c r="X243" i="17"/>
  <c r="Z243" i="17" s="1"/>
  <c r="Y243" i="17" s="1"/>
  <c r="W243" i="17"/>
  <c r="AI242" i="17"/>
  <c r="AC242" i="17"/>
  <c r="AD242" i="17" s="1"/>
  <c r="X242" i="17"/>
  <c r="W242" i="17"/>
  <c r="AI241" i="17"/>
  <c r="AG241" i="17"/>
  <c r="AC241" i="17"/>
  <c r="AD241" i="17" s="1"/>
  <c r="Z241" i="17"/>
  <c r="Y241" i="17" s="1"/>
  <c r="X241" i="17"/>
  <c r="W241" i="17"/>
  <c r="AI240" i="17"/>
  <c r="AC240" i="17"/>
  <c r="AD240" i="17" s="1"/>
  <c r="W240" i="17"/>
  <c r="X240" i="17" s="1"/>
  <c r="AI239" i="17"/>
  <c r="AC239" i="17"/>
  <c r="AD239" i="17" s="1"/>
  <c r="X239" i="17"/>
  <c r="W239" i="17"/>
  <c r="AI238" i="17"/>
  <c r="AH238" i="17"/>
  <c r="AC238" i="17"/>
  <c r="AD238" i="17" s="1"/>
  <c r="W238" i="17"/>
  <c r="X238" i="17" s="1"/>
  <c r="AG238" i="17" s="1"/>
  <c r="AI237" i="17"/>
  <c r="AC237" i="17"/>
  <c r="AI236" i="17"/>
  <c r="AH236" i="17"/>
  <c r="W236" i="17" s="1"/>
  <c r="X236" i="17" s="1"/>
  <c r="AC236" i="17"/>
  <c r="AD236" i="17" s="1"/>
  <c r="AI235" i="17"/>
  <c r="AH235" i="17"/>
  <c r="W235" i="17" s="1"/>
  <c r="X235" i="17" s="1"/>
  <c r="AC235" i="17"/>
  <c r="AD235" i="17" s="1"/>
  <c r="AI234" i="17"/>
  <c r="AH234" i="17"/>
  <c r="W234" i="17" s="1"/>
  <c r="X234" i="17" s="1"/>
  <c r="AC234" i="17"/>
  <c r="AD234" i="17" s="1"/>
  <c r="AI233" i="17"/>
  <c r="AH233" i="17"/>
  <c r="W233" i="17" s="1"/>
  <c r="X233" i="17" s="1"/>
  <c r="Z233" i="17" s="1"/>
  <c r="Y233" i="17" s="1"/>
  <c r="AG233" i="17"/>
  <c r="AC233" i="17"/>
  <c r="AD233" i="17" s="1"/>
  <c r="AI232" i="17"/>
  <c r="AC232" i="17"/>
  <c r="AD232" i="17" s="1"/>
  <c r="W232" i="17"/>
  <c r="X232" i="17" s="1"/>
  <c r="AI231" i="17"/>
  <c r="AC231" i="17"/>
  <c r="AD231" i="17" s="1"/>
  <c r="W231" i="17"/>
  <c r="X231" i="17" s="1"/>
  <c r="Z231" i="17" s="1"/>
  <c r="Y231" i="17" s="1"/>
  <c r="AI230" i="17"/>
  <c r="AH230" i="17"/>
  <c r="W230" i="17" s="1"/>
  <c r="X230" i="17" s="1"/>
  <c r="Z230" i="17" s="1"/>
  <c r="Y230" i="17" s="1"/>
  <c r="AG230" i="17"/>
  <c r="AD230" i="17"/>
  <c r="AC230" i="17"/>
  <c r="AI229" i="17"/>
  <c r="AH229" i="17"/>
  <c r="AC229" i="17"/>
  <c r="AD229" i="17" s="1"/>
  <c r="Z229" i="17"/>
  <c r="Y229" i="17" s="1"/>
  <c r="W229" i="17"/>
  <c r="X229" i="17" s="1"/>
  <c r="AI228" i="17"/>
  <c r="AC228" i="17"/>
  <c r="AD228" i="17" s="1"/>
  <c r="AI227" i="17"/>
  <c r="AH227" i="17"/>
  <c r="AC227" i="17"/>
  <c r="AD227" i="17" s="1"/>
  <c r="W227" i="17"/>
  <c r="X227" i="17" s="1"/>
  <c r="AG227" i="17" s="1"/>
  <c r="AI226" i="17"/>
  <c r="AH226" i="17"/>
  <c r="AC226" i="17"/>
  <c r="AD226" i="17" s="1"/>
  <c r="AI225" i="17"/>
  <c r="AH225" i="17"/>
  <c r="AC225" i="17"/>
  <c r="AD225" i="17" s="1"/>
  <c r="X225" i="17"/>
  <c r="AG225" i="17" s="1"/>
  <c r="W225" i="17"/>
  <c r="AI224" i="17"/>
  <c r="AH224" i="17"/>
  <c r="AD224" i="17"/>
  <c r="AC224" i="17"/>
  <c r="W224" i="17"/>
  <c r="X224" i="17" s="1"/>
  <c r="AI223" i="17"/>
  <c r="AH223" i="17"/>
  <c r="W223" i="17" s="1"/>
  <c r="X223" i="17" s="1"/>
  <c r="AG223" i="17"/>
  <c r="AC223" i="17"/>
  <c r="AD223" i="17" s="1"/>
  <c r="V220" i="17" s="1"/>
  <c r="Z223" i="17"/>
  <c r="Y223" i="17" s="1"/>
  <c r="AI222" i="17"/>
  <c r="AH222" i="17"/>
  <c r="AC222" i="17"/>
  <c r="AD222" i="17" s="1"/>
  <c r="W222" i="17"/>
  <c r="X222" i="17" s="1"/>
  <c r="AG222" i="17" s="1"/>
  <c r="AI221" i="17"/>
  <c r="AH221" i="17"/>
  <c r="AC221" i="17"/>
  <c r="AD221" i="17" s="1"/>
  <c r="W221" i="17"/>
  <c r="X221" i="17" s="1"/>
  <c r="AG221" i="17" s="1"/>
  <c r="AI220" i="17"/>
  <c r="AC220" i="17"/>
  <c r="AI219" i="17"/>
  <c r="AC219" i="17"/>
  <c r="AD219" i="17" s="1"/>
  <c r="W219" i="17"/>
  <c r="X219" i="17" s="1"/>
  <c r="AI218" i="17"/>
  <c r="AC218" i="17"/>
  <c r="AD218" i="17" s="1"/>
  <c r="W218" i="17"/>
  <c r="X218" i="17" s="1"/>
  <c r="AG218" i="17" s="1"/>
  <c r="AI217" i="17"/>
  <c r="AH217" i="17"/>
  <c r="AC217" i="17"/>
  <c r="AD217" i="17" s="1"/>
  <c r="W217" i="17"/>
  <c r="X217" i="17" s="1"/>
  <c r="Z217" i="17" s="1"/>
  <c r="Y217" i="17" s="1"/>
  <c r="AI216" i="17"/>
  <c r="AH216" i="17"/>
  <c r="AD216" i="17"/>
  <c r="AC216" i="17"/>
  <c r="W216" i="17"/>
  <c r="X216" i="17" s="1"/>
  <c r="Z216" i="17" s="1"/>
  <c r="Y216" i="17" s="1"/>
  <c r="AI215" i="17"/>
  <c r="AH215" i="17"/>
  <c r="AD215" i="17"/>
  <c r="AC215" i="17"/>
  <c r="X215" i="17"/>
  <c r="Z215" i="17" s="1"/>
  <c r="Y215" i="17" s="1"/>
  <c r="W215" i="17"/>
  <c r="AI214" i="17"/>
  <c r="AH214" i="17"/>
  <c r="AC214" i="17"/>
  <c r="AD214" i="17" s="1"/>
  <c r="W214" i="17"/>
  <c r="X214" i="17" s="1"/>
  <c r="AG214" i="17" s="1"/>
  <c r="AI213" i="17"/>
  <c r="AH213" i="17"/>
  <c r="W213" i="17" s="1"/>
  <c r="AD213" i="17"/>
  <c r="AC213" i="17"/>
  <c r="X213" i="17"/>
  <c r="AI212" i="17"/>
  <c r="AH212" i="17"/>
  <c r="W212" i="17" s="1"/>
  <c r="X212" i="17" s="1"/>
  <c r="AG212" i="17" s="1"/>
  <c r="AC212" i="17"/>
  <c r="AD212" i="17" s="1"/>
  <c r="AI211" i="17"/>
  <c r="AD211" i="17"/>
  <c r="AC211" i="17"/>
  <c r="W211" i="17"/>
  <c r="X211" i="17" s="1"/>
  <c r="AI210" i="17"/>
  <c r="AG210" i="17"/>
  <c r="AC210" i="17"/>
  <c r="AD210" i="17" s="1"/>
  <c r="Z210" i="17"/>
  <c r="Y210" i="17"/>
  <c r="X210" i="17"/>
  <c r="W210" i="17"/>
  <c r="AI209" i="17"/>
  <c r="AC209" i="17"/>
  <c r="AD209" i="17" s="1"/>
  <c r="W209" i="17"/>
  <c r="X209" i="17" s="1"/>
  <c r="AI208" i="17"/>
  <c r="AC208" i="17"/>
  <c r="AD208" i="17" s="1"/>
  <c r="X208" i="17"/>
  <c r="AG208" i="17" s="1"/>
  <c r="W208" i="17"/>
  <c r="AI207" i="17"/>
  <c r="AC207" i="17"/>
  <c r="AD207" i="17" s="1"/>
  <c r="X207" i="17"/>
  <c r="W207" i="17"/>
  <c r="AL206" i="17"/>
  <c r="AI206" i="17"/>
  <c r="AD206" i="17"/>
  <c r="AC206" i="17"/>
  <c r="W206" i="17"/>
  <c r="X206" i="17" s="1"/>
  <c r="AI205" i="17"/>
  <c r="AD205" i="17"/>
  <c r="AC205" i="17"/>
  <c r="W205" i="17"/>
  <c r="X205" i="17" s="1"/>
  <c r="AI204" i="17"/>
  <c r="AC204" i="17"/>
  <c r="AD204" i="17" s="1"/>
  <c r="Z204" i="17"/>
  <c r="Y204" i="17" s="1"/>
  <c r="W204" i="17"/>
  <c r="X204" i="17" s="1"/>
  <c r="AI203" i="17"/>
  <c r="AG203" i="17"/>
  <c r="AC203" i="17"/>
  <c r="AD203" i="17" s="1"/>
  <c r="Z203" i="17"/>
  <c r="X203" i="17"/>
  <c r="W203" i="17"/>
  <c r="AI202" i="17"/>
  <c r="AC202" i="17"/>
  <c r="AI201" i="17"/>
  <c r="AC201" i="17"/>
  <c r="W201" i="17"/>
  <c r="X201" i="17" s="1"/>
  <c r="AG201" i="17" s="1"/>
  <c r="V201" i="17"/>
  <c r="AI200" i="17"/>
  <c r="AC200" i="17"/>
  <c r="W200" i="17"/>
  <c r="X200" i="17" s="1"/>
  <c r="AG200" i="17" s="1"/>
  <c r="V200" i="17"/>
  <c r="AI199" i="17"/>
  <c r="AC199" i="17"/>
  <c r="AD199" i="17" s="1"/>
  <c r="X199" i="17"/>
  <c r="AG199" i="17" s="1"/>
  <c r="W199" i="17"/>
  <c r="V199" i="17"/>
  <c r="AI198" i="17"/>
  <c r="AC198" i="17"/>
  <c r="AD198" i="17" s="1"/>
  <c r="W198" i="17"/>
  <c r="X198" i="17" s="1"/>
  <c r="V198" i="17"/>
  <c r="AI197" i="17"/>
  <c r="AC197" i="17"/>
  <c r="W197" i="17"/>
  <c r="X197" i="17" s="1"/>
  <c r="AG197" i="17" s="1"/>
  <c r="V197" i="17"/>
  <c r="AD197" i="17" s="1"/>
  <c r="AI196" i="17"/>
  <c r="AH196" i="17"/>
  <c r="AD196" i="17"/>
  <c r="AC196" i="17"/>
  <c r="W196" i="17"/>
  <c r="X196" i="17" s="1"/>
  <c r="AG196" i="17" s="1"/>
  <c r="V196" i="17"/>
  <c r="AI195" i="17"/>
  <c r="AC195" i="17"/>
  <c r="W195" i="17"/>
  <c r="X195" i="17" s="1"/>
  <c r="AG195" i="17" s="1"/>
  <c r="V195" i="17"/>
  <c r="Z195" i="17" s="1"/>
  <c r="Y195" i="17" s="1"/>
  <c r="AI194" i="17"/>
  <c r="AH194" i="17"/>
  <c r="AC194" i="17"/>
  <c r="AD194" i="17" s="1"/>
  <c r="Z194" i="17"/>
  <c r="Y194" i="17" s="1"/>
  <c r="W194" i="17"/>
  <c r="X194" i="17" s="1"/>
  <c r="V194" i="17"/>
  <c r="AI193" i="17"/>
  <c r="AC193" i="17"/>
  <c r="X193" i="17"/>
  <c r="AG193" i="17" s="1"/>
  <c r="W193" i="17"/>
  <c r="V193" i="17"/>
  <c r="AI192" i="17"/>
  <c r="AC192" i="17"/>
  <c r="W192" i="17"/>
  <c r="X192" i="17" s="1"/>
  <c r="AG192" i="17" s="1"/>
  <c r="V192" i="17"/>
  <c r="AI191" i="17"/>
  <c r="AC191" i="17"/>
  <c r="AD191" i="17" s="1"/>
  <c r="W191" i="17"/>
  <c r="X191" i="17" s="1"/>
  <c r="V191" i="17"/>
  <c r="AI190" i="17"/>
  <c r="AC190" i="17"/>
  <c r="X190" i="17"/>
  <c r="AG190" i="17" s="1"/>
  <c r="W190" i="17"/>
  <c r="V190" i="17"/>
  <c r="AI189" i="17"/>
  <c r="AG189" i="17"/>
  <c r="AD189" i="17"/>
  <c r="AC189" i="17"/>
  <c r="W189" i="17"/>
  <c r="X189" i="17" s="1"/>
  <c r="V189" i="17"/>
  <c r="Z189" i="17" s="1"/>
  <c r="Y189" i="17" s="1"/>
  <c r="AI188" i="17"/>
  <c r="AC188" i="17"/>
  <c r="W188" i="17"/>
  <c r="X188" i="17" s="1"/>
  <c r="V188" i="17"/>
  <c r="AI187" i="17"/>
  <c r="AD187" i="17"/>
  <c r="AC187" i="17"/>
  <c r="Z187" i="17"/>
  <c r="Y187" i="17"/>
  <c r="W187" i="17"/>
  <c r="X187" i="17" s="1"/>
  <c r="V187" i="17"/>
  <c r="AI186" i="17"/>
  <c r="AC186" i="17"/>
  <c r="AD186" i="17" s="1"/>
  <c r="W186" i="17"/>
  <c r="X186" i="17" s="1"/>
  <c r="V186" i="17"/>
  <c r="AI185" i="17"/>
  <c r="AH185" i="17"/>
  <c r="AC185" i="17"/>
  <c r="W185" i="17"/>
  <c r="X185" i="17" s="1"/>
  <c r="Z185" i="17" s="1"/>
  <c r="Y185" i="17" s="1"/>
  <c r="V185" i="17"/>
  <c r="AI184" i="17"/>
  <c r="AH184" i="17"/>
  <c r="W184" i="17" s="1"/>
  <c r="AC184" i="17"/>
  <c r="X184" i="17"/>
  <c r="AG184" i="17" s="1"/>
  <c r="V184" i="17"/>
  <c r="AI183" i="17"/>
  <c r="AH183" i="17"/>
  <c r="W183" i="17" s="1"/>
  <c r="X183" i="17" s="1"/>
  <c r="AG183" i="17"/>
  <c r="AC183" i="17"/>
  <c r="V183" i="17"/>
  <c r="AD183" i="17" s="1"/>
  <c r="AI182" i="17"/>
  <c r="AH182" i="17"/>
  <c r="W182" i="17" s="1"/>
  <c r="AD182" i="17"/>
  <c r="AC182" i="17"/>
  <c r="X182" i="17"/>
  <c r="V182" i="17"/>
  <c r="AI181" i="17"/>
  <c r="AC181" i="17"/>
  <c r="X181" i="17"/>
  <c r="AG181" i="17" s="1"/>
  <c r="W181" i="17"/>
  <c r="V181" i="17"/>
  <c r="AD181" i="17" s="1"/>
  <c r="AI180" i="17"/>
  <c r="AC180" i="17"/>
  <c r="W180" i="17"/>
  <c r="X180" i="17" s="1"/>
  <c r="AG180" i="17" s="1"/>
  <c r="V180" i="17"/>
  <c r="AI179" i="17"/>
  <c r="AD179" i="17"/>
  <c r="AC179" i="17"/>
  <c r="X179" i="17"/>
  <c r="W179" i="17"/>
  <c r="V179" i="17"/>
  <c r="AI178" i="17"/>
  <c r="AC178" i="17"/>
  <c r="W178" i="17"/>
  <c r="X178" i="17" s="1"/>
  <c r="AG178" i="17" s="1"/>
  <c r="V178" i="17"/>
  <c r="AI177" i="17"/>
  <c r="AC177" i="17"/>
  <c r="AI176" i="17"/>
  <c r="AG176" i="17"/>
  <c r="AD176" i="17"/>
  <c r="AC176" i="17"/>
  <c r="X176" i="17"/>
  <c r="Z176" i="17" s="1"/>
  <c r="Y176" i="17" s="1"/>
  <c r="W176" i="17"/>
  <c r="V176" i="17"/>
  <c r="AI175" i="17"/>
  <c r="AC175" i="17"/>
  <c r="Z175" i="17"/>
  <c r="Y175" i="17"/>
  <c r="W175" i="17"/>
  <c r="X175" i="17" s="1"/>
  <c r="AG175" i="17" s="1"/>
  <c r="V175" i="17"/>
  <c r="AI174" i="17"/>
  <c r="AC174" i="17"/>
  <c r="W174" i="17"/>
  <c r="X174" i="17" s="1"/>
  <c r="AG174" i="17" s="1"/>
  <c r="V174" i="17"/>
  <c r="AI173" i="17"/>
  <c r="AC173" i="17"/>
  <c r="AD173" i="17" s="1"/>
  <c r="X173" i="17"/>
  <c r="W173" i="17"/>
  <c r="V173" i="17"/>
  <c r="AI172" i="17"/>
  <c r="AC172" i="17"/>
  <c r="AD172" i="17" s="1"/>
  <c r="Z172" i="17"/>
  <c r="Y172" i="17"/>
  <c r="W172" i="17"/>
  <c r="X172" i="17" s="1"/>
  <c r="AG172" i="17" s="1"/>
  <c r="V172" i="17"/>
  <c r="AI171" i="17"/>
  <c r="AC171" i="17"/>
  <c r="W171" i="17"/>
  <c r="X171" i="17" s="1"/>
  <c r="AG171" i="17" s="1"/>
  <c r="V171" i="17"/>
  <c r="AD171" i="17" s="1"/>
  <c r="AI170" i="17"/>
  <c r="AD170" i="17"/>
  <c r="AC170" i="17"/>
  <c r="X170" i="17"/>
  <c r="W170" i="17"/>
  <c r="V170" i="17"/>
  <c r="AI169" i="17"/>
  <c r="AC169" i="17"/>
  <c r="X169" i="17"/>
  <c r="AG169" i="17" s="1"/>
  <c r="W169" i="17"/>
  <c r="V169" i="17"/>
  <c r="Z169" i="17" s="1"/>
  <c r="Y169" i="17" s="1"/>
  <c r="AI168" i="17"/>
  <c r="AG168" i="17" s="1"/>
  <c r="AC168" i="17"/>
  <c r="W168" i="17"/>
  <c r="X168" i="17" s="1"/>
  <c r="V168" i="17"/>
  <c r="AD168" i="17" s="1"/>
  <c r="AI167" i="17"/>
  <c r="AC167" i="17"/>
  <c r="W167" i="17"/>
  <c r="X167" i="17" s="1"/>
  <c r="AG167" i="17" s="1"/>
  <c r="V167" i="17"/>
  <c r="AI166" i="17"/>
  <c r="AH166" i="17"/>
  <c r="AC166" i="17"/>
  <c r="AD166" i="17" s="1"/>
  <c r="W166" i="17"/>
  <c r="X166" i="17" s="1"/>
  <c r="AG166" i="17" s="1"/>
  <c r="V166" i="17"/>
  <c r="AI165" i="17"/>
  <c r="AH165" i="17"/>
  <c r="W165" i="17" s="1"/>
  <c r="X165" i="17" s="1"/>
  <c r="AG165" i="17"/>
  <c r="AC165" i="17"/>
  <c r="V165" i="17"/>
  <c r="AD165" i="17" s="1"/>
  <c r="AI164" i="17"/>
  <c r="AH164" i="17"/>
  <c r="AG164" i="17"/>
  <c r="AD164" i="17"/>
  <c r="AC164" i="17"/>
  <c r="Z164" i="17"/>
  <c r="Y164" i="17"/>
  <c r="W164" i="17"/>
  <c r="X164" i="17" s="1"/>
  <c r="V164" i="17"/>
  <c r="AI163" i="17"/>
  <c r="AH163" i="17"/>
  <c r="W163" i="17" s="1"/>
  <c r="X163" i="17" s="1"/>
  <c r="AC163" i="17"/>
  <c r="AD163" i="17" s="1"/>
  <c r="V163" i="17"/>
  <c r="AI162" i="17"/>
  <c r="AH162" i="17"/>
  <c r="AC162" i="17"/>
  <c r="X162" i="17"/>
  <c r="AG162" i="17" s="1"/>
  <c r="W162" i="17"/>
  <c r="V162" i="17"/>
  <c r="AI161" i="17"/>
  <c r="AH161" i="17"/>
  <c r="AC161" i="17"/>
  <c r="W161" i="17"/>
  <c r="X161" i="17" s="1"/>
  <c r="AG161" i="17" s="1"/>
  <c r="V161" i="17"/>
  <c r="AI160" i="17"/>
  <c r="AH160" i="17"/>
  <c r="AC160" i="17"/>
  <c r="W160" i="17"/>
  <c r="X160" i="17" s="1"/>
  <c r="AG160" i="17" s="1"/>
  <c r="V160" i="17"/>
  <c r="AI159" i="17"/>
  <c r="AH159" i="17"/>
  <c r="W159" i="17" s="1"/>
  <c r="AC159" i="17"/>
  <c r="X159" i="17"/>
  <c r="AG159" i="17" s="1"/>
  <c r="V159" i="17"/>
  <c r="AD159" i="17" s="1"/>
  <c r="AI158" i="17"/>
  <c r="AH158" i="17"/>
  <c r="W158" i="17" s="1"/>
  <c r="AC158" i="17"/>
  <c r="AD158" i="17" s="1"/>
  <c r="X158" i="17"/>
  <c r="V158" i="17"/>
  <c r="AI157" i="17"/>
  <c r="AH157" i="17"/>
  <c r="W157" i="17" s="1"/>
  <c r="X157" i="17" s="1"/>
  <c r="AG157" i="17" s="1"/>
  <c r="AC157" i="17"/>
  <c r="V157" i="17"/>
  <c r="AI156" i="17"/>
  <c r="AC156" i="17"/>
  <c r="AD156" i="17" s="1"/>
  <c r="W156" i="17"/>
  <c r="X156" i="17" s="1"/>
  <c r="AG156" i="17" s="1"/>
  <c r="V156" i="17"/>
  <c r="AI155" i="17"/>
  <c r="AH155" i="17"/>
  <c r="AC155" i="17"/>
  <c r="W155" i="17"/>
  <c r="X155" i="17" s="1"/>
  <c r="AG155" i="17" s="1"/>
  <c r="V155" i="17"/>
  <c r="AD155" i="17" s="1"/>
  <c r="AI154" i="17"/>
  <c r="AC154" i="17"/>
  <c r="AD154" i="17" s="1"/>
  <c r="W154" i="17"/>
  <c r="X154" i="17" s="1"/>
  <c r="V154" i="17"/>
  <c r="AI153" i="17"/>
  <c r="AC153" i="17"/>
  <c r="W153" i="17"/>
  <c r="X153" i="17" s="1"/>
  <c r="V153" i="17"/>
  <c r="AD153" i="17" s="1"/>
  <c r="AI152" i="17"/>
  <c r="AH152" i="17"/>
  <c r="AC152" i="17"/>
  <c r="W152" i="17"/>
  <c r="X152" i="17" s="1"/>
  <c r="AG152" i="17" s="1"/>
  <c r="V152" i="17"/>
  <c r="Z152" i="17" s="1"/>
  <c r="Y152" i="17" s="1"/>
  <c r="AI151" i="17"/>
  <c r="AC151" i="17"/>
  <c r="W151" i="17"/>
  <c r="X151" i="17" s="1"/>
  <c r="AG151" i="17" s="1"/>
  <c r="V151" i="17"/>
  <c r="AD151" i="17" s="1"/>
  <c r="AI150" i="17"/>
  <c r="AC150" i="17"/>
  <c r="W150" i="17"/>
  <c r="X150" i="17" s="1"/>
  <c r="AG150" i="17" s="1"/>
  <c r="V150" i="17"/>
  <c r="AD150" i="17" s="1"/>
  <c r="AI149" i="17"/>
  <c r="AD149" i="17"/>
  <c r="AC149" i="17"/>
  <c r="Z149" i="17"/>
  <c r="Y149" i="17" s="1"/>
  <c r="W149" i="17"/>
  <c r="X149" i="17" s="1"/>
  <c r="AG149" i="17" s="1"/>
  <c r="V149" i="17"/>
  <c r="AI148" i="17"/>
  <c r="AH148" i="17"/>
  <c r="AD148" i="17"/>
  <c r="AC148" i="17"/>
  <c r="W148" i="17"/>
  <c r="X148" i="17" s="1"/>
  <c r="AG148" i="17" s="1"/>
  <c r="V148" i="17"/>
  <c r="Z148" i="17" s="1"/>
  <c r="Y148" i="17" s="1"/>
  <c r="AI147" i="17"/>
  <c r="AH147" i="17"/>
  <c r="AG147" i="17"/>
  <c r="AC147" i="17"/>
  <c r="AD147" i="17" s="1"/>
  <c r="X147" i="17"/>
  <c r="Z147" i="17" s="1"/>
  <c r="Y147" i="17" s="1"/>
  <c r="W147" i="17"/>
  <c r="V147" i="17"/>
  <c r="AI146" i="17"/>
  <c r="AH146" i="17"/>
  <c r="W146" i="17" s="1"/>
  <c r="X146" i="17" s="1"/>
  <c r="AG146" i="17"/>
  <c r="AC146" i="17"/>
  <c r="V146" i="17"/>
  <c r="AI145" i="17"/>
  <c r="AC145" i="17"/>
  <c r="V145" i="17"/>
  <c r="AD145" i="17" s="1"/>
  <c r="AI144" i="17"/>
  <c r="AH144" i="17"/>
  <c r="AC144" i="17"/>
  <c r="AD144" i="17" s="1"/>
  <c r="V144" i="17"/>
  <c r="AI143" i="17"/>
  <c r="AH143" i="17"/>
  <c r="W143" i="17" s="1"/>
  <c r="AD143" i="17"/>
  <c r="AC143" i="17"/>
  <c r="X143" i="17"/>
  <c r="V143" i="17"/>
  <c r="AI142" i="17"/>
  <c r="AC142" i="17"/>
  <c r="W142" i="17"/>
  <c r="X142" i="17" s="1"/>
  <c r="AG142" i="17" s="1"/>
  <c r="V142" i="17"/>
  <c r="AD142" i="17" s="1"/>
  <c r="AI141" i="17"/>
  <c r="AC141" i="17"/>
  <c r="W141" i="17"/>
  <c r="X141" i="17" s="1"/>
  <c r="AG141" i="17" s="1"/>
  <c r="V141" i="17"/>
  <c r="AD141" i="17" s="1"/>
  <c r="AI140" i="17"/>
  <c r="AC140" i="17"/>
  <c r="W140" i="17"/>
  <c r="X140" i="17" s="1"/>
  <c r="AG140" i="17" s="1"/>
  <c r="V140" i="17"/>
  <c r="AI139" i="17"/>
  <c r="AH139" i="17"/>
  <c r="W139" i="17" s="1"/>
  <c r="X139" i="17" s="1"/>
  <c r="Z139" i="17" s="1"/>
  <c r="Y139" i="17" s="1"/>
  <c r="AG139" i="17"/>
  <c r="AC139" i="17"/>
  <c r="AD139" i="17" s="1"/>
  <c r="V139" i="17"/>
  <c r="AI138" i="17"/>
  <c r="AC138" i="17"/>
  <c r="W138" i="17"/>
  <c r="X138" i="17" s="1"/>
  <c r="AG138" i="17" s="1"/>
  <c r="V138" i="17"/>
  <c r="AD138" i="17" s="1"/>
  <c r="AI137" i="17"/>
  <c r="AC137" i="17"/>
  <c r="Z137" i="17"/>
  <c r="Y137" i="17"/>
  <c r="X137" i="17"/>
  <c r="W137" i="17"/>
  <c r="V137" i="17"/>
  <c r="AI136" i="17"/>
  <c r="AH136" i="17"/>
  <c r="AG136" i="17"/>
  <c r="AC136" i="17"/>
  <c r="AD136" i="17" s="1"/>
  <c r="W136" i="17"/>
  <c r="X136" i="17" s="1"/>
  <c r="Z136" i="17" s="1"/>
  <c r="Y136" i="17" s="1"/>
  <c r="V136" i="17"/>
  <c r="AI135" i="17"/>
  <c r="AH135" i="17"/>
  <c r="AC135" i="17"/>
  <c r="AD135" i="17" s="1"/>
  <c r="W135" i="17"/>
  <c r="X135" i="17" s="1"/>
  <c r="Z135" i="17" s="1"/>
  <c r="Y135" i="17" s="1"/>
  <c r="V135" i="17"/>
  <c r="AI134" i="17"/>
  <c r="AC134" i="17"/>
  <c r="AD134" i="17" s="1"/>
  <c r="X134" i="17"/>
  <c r="AG134" i="17" s="1"/>
  <c r="W134" i="17"/>
  <c r="V134" i="17"/>
  <c r="AI133" i="17"/>
  <c r="AC133" i="17"/>
  <c r="AI132" i="17"/>
  <c r="AG132" i="17"/>
  <c r="AC132" i="17"/>
  <c r="X132" i="17"/>
  <c r="W132" i="17"/>
  <c r="V132" i="17"/>
  <c r="AD132" i="17" s="1"/>
  <c r="AI131" i="17"/>
  <c r="AH131" i="17"/>
  <c r="W131" i="17" s="1"/>
  <c r="AC131" i="17"/>
  <c r="AD131" i="17" s="1"/>
  <c r="X131" i="17"/>
  <c r="AG131" i="17" s="1"/>
  <c r="V131" i="17"/>
  <c r="AI130" i="17"/>
  <c r="AH130" i="17"/>
  <c r="W130" i="17" s="1"/>
  <c r="AC130" i="17"/>
  <c r="AD130" i="17" s="1"/>
  <c r="X130" i="17"/>
  <c r="AG130" i="17" s="1"/>
  <c r="V130" i="17"/>
  <c r="AI129" i="17"/>
  <c r="AH129" i="17"/>
  <c r="AC129" i="17"/>
  <c r="W129" i="17"/>
  <c r="X129" i="17" s="1"/>
  <c r="AG129" i="17" s="1"/>
  <c r="V129" i="17"/>
  <c r="AI128" i="17"/>
  <c r="AH128" i="17"/>
  <c r="AD128" i="17"/>
  <c r="AC128" i="17"/>
  <c r="X128" i="17"/>
  <c r="AG128" i="17" s="1"/>
  <c r="W128" i="17"/>
  <c r="V128" i="17"/>
  <c r="AI127" i="17"/>
  <c r="AH127" i="17"/>
  <c r="W127" i="17" s="1"/>
  <c r="AC127" i="17"/>
  <c r="AD127" i="17" s="1"/>
  <c r="X127" i="17"/>
  <c r="AG127" i="17" s="1"/>
  <c r="V127" i="17"/>
  <c r="AI126" i="17"/>
  <c r="AH126" i="17"/>
  <c r="AC126" i="17"/>
  <c r="W126" i="17"/>
  <c r="X126" i="17" s="1"/>
  <c r="AG126" i="17" s="1"/>
  <c r="V126" i="17"/>
  <c r="AD126" i="17" s="1"/>
  <c r="AI125" i="17"/>
  <c r="AH125" i="17"/>
  <c r="W125" i="17" s="1"/>
  <c r="X125" i="17" s="1"/>
  <c r="AG125" i="17"/>
  <c r="AC125" i="17"/>
  <c r="V125" i="17"/>
  <c r="Z125" i="17" s="1"/>
  <c r="Y125" i="17" s="1"/>
  <c r="AI124" i="17"/>
  <c r="AH124" i="17"/>
  <c r="W124" i="17" s="1"/>
  <c r="X124" i="17" s="1"/>
  <c r="AG124" i="17"/>
  <c r="AD124" i="17"/>
  <c r="AC124" i="17"/>
  <c r="V124" i="17"/>
  <c r="Z124" i="17" s="1"/>
  <c r="Y124" i="17" s="1"/>
  <c r="AI123" i="17"/>
  <c r="AH123" i="17"/>
  <c r="AC123" i="17"/>
  <c r="W123" i="17"/>
  <c r="X123" i="17" s="1"/>
  <c r="AG123" i="17" s="1"/>
  <c r="V123" i="17"/>
  <c r="AD123" i="17" s="1"/>
  <c r="AI122" i="17"/>
  <c r="AH122" i="17"/>
  <c r="AC122" i="17"/>
  <c r="AD122" i="17" s="1"/>
  <c r="W122" i="17"/>
  <c r="X122" i="17" s="1"/>
  <c r="V122" i="17"/>
  <c r="AI121" i="17"/>
  <c r="AG121" i="17"/>
  <c r="AC121" i="17"/>
  <c r="X121" i="17"/>
  <c r="W121" i="17"/>
  <c r="V121" i="17"/>
  <c r="Z121" i="17" s="1"/>
  <c r="Y121" i="17" s="1"/>
  <c r="AI120" i="17"/>
  <c r="AH120" i="17"/>
  <c r="AC120" i="17"/>
  <c r="W120" i="17"/>
  <c r="X120" i="17" s="1"/>
  <c r="AG120" i="17" s="1"/>
  <c r="V120" i="17"/>
  <c r="AI119" i="17"/>
  <c r="AH119" i="17"/>
  <c r="AC119" i="17"/>
  <c r="W119" i="17"/>
  <c r="X119" i="17" s="1"/>
  <c r="AG119" i="17" s="1"/>
  <c r="V119" i="17"/>
  <c r="AI118" i="17"/>
  <c r="AH118" i="17"/>
  <c r="W118" i="17" s="1"/>
  <c r="AD118" i="17"/>
  <c r="AC118" i="17"/>
  <c r="X118" i="17"/>
  <c r="V118" i="17"/>
  <c r="AI117" i="17"/>
  <c r="AH117" i="17"/>
  <c r="W117" i="17" s="1"/>
  <c r="X117" i="17" s="1"/>
  <c r="AG117" i="17" s="1"/>
  <c r="AD117" i="17"/>
  <c r="AC117" i="17"/>
  <c r="V117" i="17"/>
  <c r="AI116" i="17"/>
  <c r="AH116" i="17"/>
  <c r="W116" i="17" s="1"/>
  <c r="X116" i="17" s="1"/>
  <c r="AG116" i="17"/>
  <c r="AC116" i="17"/>
  <c r="AD116" i="17" s="1"/>
  <c r="Z116" i="17"/>
  <c r="Y116" i="17" s="1"/>
  <c r="V116" i="17"/>
  <c r="AI115" i="17"/>
  <c r="AC115" i="17"/>
  <c r="W115" i="17"/>
  <c r="X115" i="17" s="1"/>
  <c r="AG115" i="17" s="1"/>
  <c r="V115" i="17"/>
  <c r="AD115" i="17" s="1"/>
  <c r="AI114" i="17"/>
  <c r="AH114" i="17"/>
  <c r="W114" i="17" s="1"/>
  <c r="X114" i="17" s="1"/>
  <c r="AG114" i="17" s="1"/>
  <c r="AC114" i="17"/>
  <c r="V114" i="17"/>
  <c r="AI113" i="17"/>
  <c r="AG113" i="17"/>
  <c r="AC113" i="17"/>
  <c r="AD113" i="17" s="1"/>
  <c r="W113" i="17"/>
  <c r="X113" i="17" s="1"/>
  <c r="Z113" i="17" s="1"/>
  <c r="Y113" i="17" s="1"/>
  <c r="V113" i="17"/>
  <c r="AI112" i="17"/>
  <c r="AC112" i="17"/>
  <c r="AD112" i="17" s="1"/>
  <c r="W112" i="17"/>
  <c r="X112" i="17" s="1"/>
  <c r="V112" i="17"/>
  <c r="AI111" i="17"/>
  <c r="AH111" i="17"/>
  <c r="W111" i="17" s="1"/>
  <c r="X111" i="17" s="1"/>
  <c r="AG111" i="17" s="1"/>
  <c r="AD111" i="17"/>
  <c r="AC111" i="17"/>
  <c r="V111" i="17"/>
  <c r="Z111" i="17" s="1"/>
  <c r="Y111" i="17" s="1"/>
  <c r="AI110" i="17"/>
  <c r="AD110" i="17"/>
  <c r="AC110" i="17"/>
  <c r="X110" i="17"/>
  <c r="AG110" i="17" s="1"/>
  <c r="W110" i="17"/>
  <c r="V110" i="17"/>
  <c r="AI109" i="17"/>
  <c r="AC109" i="17"/>
  <c r="AD109" i="17" s="1"/>
  <c r="W109" i="17"/>
  <c r="X109" i="17" s="1"/>
  <c r="V109" i="17"/>
  <c r="AI108" i="17"/>
  <c r="AG108" i="17"/>
  <c r="AD108" i="17"/>
  <c r="AC108" i="17"/>
  <c r="X108" i="17"/>
  <c r="Z108" i="17" s="1"/>
  <c r="Y108" i="17" s="1"/>
  <c r="W108" i="17"/>
  <c r="V108" i="17"/>
  <c r="AI107" i="17"/>
  <c r="AC107" i="17"/>
  <c r="W107" i="17"/>
  <c r="X107" i="17" s="1"/>
  <c r="AG107" i="17" s="1"/>
  <c r="V107" i="17"/>
  <c r="AI106" i="17"/>
  <c r="AC106" i="17"/>
  <c r="Z106" i="17"/>
  <c r="Y106" i="17" s="1"/>
  <c r="W106" i="17"/>
  <c r="X106" i="17" s="1"/>
  <c r="AG106" i="17" s="1"/>
  <c r="V106" i="17"/>
  <c r="AD106" i="17" s="1"/>
  <c r="AI105" i="17"/>
  <c r="AC105" i="17"/>
  <c r="X105" i="17"/>
  <c r="AG105" i="17" s="1"/>
  <c r="W105" i="17"/>
  <c r="V105" i="17"/>
  <c r="AI104" i="17"/>
  <c r="AC104" i="17"/>
  <c r="W104" i="17"/>
  <c r="X104" i="17" s="1"/>
  <c r="V104" i="17"/>
  <c r="Z104" i="17" s="1"/>
  <c r="Y104" i="17" s="1"/>
  <c r="AI103" i="17"/>
  <c r="AC103" i="17"/>
  <c r="W103" i="17"/>
  <c r="X103" i="17" s="1"/>
  <c r="AG103" i="17" s="1"/>
  <c r="V103" i="17"/>
  <c r="AI102" i="17"/>
  <c r="AC102" i="17"/>
  <c r="Y102" i="17"/>
  <c r="W102" i="17"/>
  <c r="X102" i="17" s="1"/>
  <c r="AG102" i="17" s="1"/>
  <c r="V102" i="17"/>
  <c r="Z102" i="17" s="1"/>
  <c r="AI101" i="17"/>
  <c r="AG101" i="17"/>
  <c r="AD101" i="17"/>
  <c r="AC101" i="17"/>
  <c r="X101" i="17"/>
  <c r="W101" i="17"/>
  <c r="V101" i="17"/>
  <c r="AI100" i="17"/>
  <c r="AC100" i="17"/>
  <c r="W100" i="17"/>
  <c r="X100" i="17" s="1"/>
  <c r="AG100" i="17" s="1"/>
  <c r="V100" i="17"/>
  <c r="AD100" i="17" s="1"/>
  <c r="AI99" i="17"/>
  <c r="AC99" i="17"/>
  <c r="AD99" i="17" s="1"/>
  <c r="X99" i="17"/>
  <c r="AG99" i="17" s="1"/>
  <c r="W99" i="17"/>
  <c r="V99" i="17"/>
  <c r="AI98" i="17"/>
  <c r="AG98" i="17"/>
  <c r="AC98" i="17"/>
  <c r="X98" i="17"/>
  <c r="W98" i="17"/>
  <c r="V98" i="17"/>
  <c r="AI97" i="17"/>
  <c r="AC97" i="17"/>
  <c r="X97" i="17"/>
  <c r="AG97" i="17" s="1"/>
  <c r="W97" i="17"/>
  <c r="V97" i="17"/>
  <c r="Z97" i="17" s="1"/>
  <c r="Y97" i="17" s="1"/>
  <c r="AI96" i="17"/>
  <c r="AC96" i="17"/>
  <c r="AD96" i="17" s="1"/>
  <c r="W96" i="17"/>
  <c r="X96" i="17" s="1"/>
  <c r="V96" i="17"/>
  <c r="AI95" i="17"/>
  <c r="AG95" i="17"/>
  <c r="AC95" i="17"/>
  <c r="Z95" i="17"/>
  <c r="Y95" i="17" s="1"/>
  <c r="W95" i="17"/>
  <c r="X95" i="17" s="1"/>
  <c r="V95" i="17"/>
  <c r="AD95" i="17" s="1"/>
  <c r="AI94" i="17"/>
  <c r="AH94" i="17"/>
  <c r="AC94" i="17"/>
  <c r="W94" i="17"/>
  <c r="X94" i="17" s="1"/>
  <c r="AG94" i="17" s="1"/>
  <c r="V94" i="17"/>
  <c r="AD94" i="17" s="1"/>
  <c r="AI93" i="17"/>
  <c r="AH93" i="17"/>
  <c r="AC93" i="17"/>
  <c r="AD93" i="17" s="1"/>
  <c r="W93" i="17"/>
  <c r="X93" i="17" s="1"/>
  <c r="AG93" i="17" s="1"/>
  <c r="V93" i="17"/>
  <c r="AI92" i="17"/>
  <c r="AH92" i="17"/>
  <c r="W92" i="17" s="1"/>
  <c r="AG92" i="17"/>
  <c r="AC92" i="17"/>
  <c r="AD92" i="17" s="1"/>
  <c r="Z92" i="17"/>
  <c r="Y92" i="17" s="1"/>
  <c r="X92" i="17"/>
  <c r="V92" i="17"/>
  <c r="AI91" i="17"/>
  <c r="AH91" i="17"/>
  <c r="AC91" i="17"/>
  <c r="W91" i="17"/>
  <c r="X91" i="17" s="1"/>
  <c r="AG91" i="17" s="1"/>
  <c r="V91" i="17"/>
  <c r="Z91" i="17" s="1"/>
  <c r="Y91" i="17" s="1"/>
  <c r="AI90" i="17"/>
  <c r="AH90" i="17"/>
  <c r="W90" i="17" s="1"/>
  <c r="X90" i="17" s="1"/>
  <c r="AG90" i="17"/>
  <c r="AC90" i="17"/>
  <c r="AD90" i="17" s="1"/>
  <c r="Z90" i="17"/>
  <c r="Y90" i="17" s="1"/>
  <c r="V90" i="17"/>
  <c r="AI89" i="17"/>
  <c r="AC89" i="17"/>
  <c r="W89" i="17"/>
  <c r="X89" i="17" s="1"/>
  <c r="AG89" i="17" s="1"/>
  <c r="V89" i="17"/>
  <c r="AD89" i="17" s="1"/>
  <c r="AI88" i="17"/>
  <c r="AC88" i="17"/>
  <c r="X88" i="17"/>
  <c r="AG88" i="17" s="1"/>
  <c r="W88" i="17"/>
  <c r="V88" i="17"/>
  <c r="Z88" i="17" s="1"/>
  <c r="Y88" i="17" s="1"/>
  <c r="AI87" i="17"/>
  <c r="AC87" i="17"/>
  <c r="AD87" i="17" s="1"/>
  <c r="W87" i="17"/>
  <c r="X87" i="17" s="1"/>
  <c r="AG87" i="17" s="1"/>
  <c r="V87" i="17"/>
  <c r="AI86" i="17"/>
  <c r="AC86" i="17"/>
  <c r="W86" i="17"/>
  <c r="X86" i="17" s="1"/>
  <c r="AG86" i="17" s="1"/>
  <c r="V86" i="17"/>
  <c r="Z86" i="17" s="1"/>
  <c r="Y86" i="17" s="1"/>
  <c r="AI85" i="17"/>
  <c r="AD85" i="17"/>
  <c r="AC85" i="17"/>
  <c r="W85" i="17"/>
  <c r="X85" i="17" s="1"/>
  <c r="V85" i="17"/>
  <c r="AI84" i="17"/>
  <c r="AC84" i="17"/>
  <c r="W84" i="17"/>
  <c r="X84" i="17" s="1"/>
  <c r="AG84" i="17" s="1"/>
  <c r="V84" i="17"/>
  <c r="Z84" i="17" s="1"/>
  <c r="Y84" i="17" s="1"/>
  <c r="AI83" i="17"/>
  <c r="AD83" i="17"/>
  <c r="AC83" i="17"/>
  <c r="W83" i="17"/>
  <c r="X83" i="17" s="1"/>
  <c r="V83" i="17"/>
  <c r="AI82" i="17"/>
  <c r="AC82" i="17"/>
  <c r="W82" i="17"/>
  <c r="X82" i="17" s="1"/>
  <c r="Z82" i="17" s="1"/>
  <c r="Y82" i="17" s="1"/>
  <c r="V82" i="17"/>
  <c r="AI81" i="17"/>
  <c r="AH81" i="17"/>
  <c r="AC81" i="17"/>
  <c r="W81" i="17"/>
  <c r="X81" i="17" s="1"/>
  <c r="AG81" i="17" s="1"/>
  <c r="V81" i="17"/>
  <c r="AI80" i="17"/>
  <c r="AD80" i="17"/>
  <c r="AC80" i="17"/>
  <c r="W80" i="17"/>
  <c r="X80" i="17" s="1"/>
  <c r="V80" i="17"/>
  <c r="AI79" i="17"/>
  <c r="AH79" i="17"/>
  <c r="W79" i="17" s="1"/>
  <c r="X79" i="17" s="1"/>
  <c r="AG79" i="17"/>
  <c r="AD79" i="17"/>
  <c r="AC79" i="17"/>
  <c r="V79" i="17"/>
  <c r="Z79" i="17" s="1"/>
  <c r="Y79" i="17" s="1"/>
  <c r="AI78" i="17"/>
  <c r="AC78" i="17"/>
  <c r="W78" i="17"/>
  <c r="X78" i="17" s="1"/>
  <c r="AG78" i="17" s="1"/>
  <c r="V78" i="17"/>
  <c r="AD78" i="17" s="1"/>
  <c r="AI77" i="17"/>
  <c r="AC77" i="17"/>
  <c r="W77" i="17"/>
  <c r="X77" i="17" s="1"/>
  <c r="AG77" i="17" s="1"/>
  <c r="V77" i="17"/>
  <c r="AI76" i="17"/>
  <c r="AD76" i="17"/>
  <c r="AC76" i="17"/>
  <c r="W76" i="17"/>
  <c r="X76" i="17" s="1"/>
  <c r="V76" i="17"/>
  <c r="AI75" i="17"/>
  <c r="AH75" i="17"/>
  <c r="W75" i="17" s="1"/>
  <c r="AC75" i="17"/>
  <c r="X75" i="17"/>
  <c r="AG75" i="17" s="1"/>
  <c r="V75" i="17"/>
  <c r="AD75" i="17" s="1"/>
  <c r="AI74" i="17"/>
  <c r="AH74" i="17"/>
  <c r="W74" i="17" s="1"/>
  <c r="AG74" i="17"/>
  <c r="AC74" i="17"/>
  <c r="X74" i="17"/>
  <c r="V74" i="17"/>
  <c r="AD74" i="17" s="1"/>
  <c r="AI73" i="17"/>
  <c r="AC73" i="17"/>
  <c r="W73" i="17"/>
  <c r="X73" i="17" s="1"/>
  <c r="AG73" i="17" s="1"/>
  <c r="V73" i="17"/>
  <c r="AD73" i="17" s="1"/>
  <c r="AI72" i="17"/>
  <c r="AH72" i="17"/>
  <c r="AC72" i="17"/>
  <c r="W72" i="17"/>
  <c r="X72" i="17" s="1"/>
  <c r="AG72" i="17" s="1"/>
  <c r="V72" i="17"/>
  <c r="Z72" i="17" s="1"/>
  <c r="Y72" i="17" s="1"/>
  <c r="AI71" i="17"/>
  <c r="AC71" i="17"/>
  <c r="X71" i="17"/>
  <c r="AG71" i="17" s="1"/>
  <c r="W71" i="17"/>
  <c r="V71" i="17"/>
  <c r="AI70" i="17"/>
  <c r="AH70" i="17"/>
  <c r="W70" i="17" s="1"/>
  <c r="X70" i="17" s="1"/>
  <c r="AC70" i="17"/>
  <c r="AD70" i="17" s="1"/>
  <c r="V70" i="17"/>
  <c r="AI69" i="17"/>
  <c r="AH69" i="17"/>
  <c r="W69" i="17" s="1"/>
  <c r="AC69" i="17"/>
  <c r="X69" i="17"/>
  <c r="AG69" i="17" s="1"/>
  <c r="V69" i="17"/>
  <c r="Z69" i="17" s="1"/>
  <c r="Y69" i="17" s="1"/>
  <c r="AI68" i="17"/>
  <c r="AH68" i="17"/>
  <c r="AC68" i="17"/>
  <c r="AD68" i="17" s="1"/>
  <c r="W68" i="17"/>
  <c r="X68" i="17" s="1"/>
  <c r="V68" i="17"/>
  <c r="AI67" i="17"/>
  <c r="AH67" i="17"/>
  <c r="AD67" i="17"/>
  <c r="AC67" i="17"/>
  <c r="W67" i="17"/>
  <c r="X67" i="17" s="1"/>
  <c r="AG67" i="17" s="1"/>
  <c r="V67" i="17"/>
  <c r="AI66" i="17"/>
  <c r="AH66" i="17"/>
  <c r="W66" i="17" s="1"/>
  <c r="AC66" i="17"/>
  <c r="AD66" i="17" s="1"/>
  <c r="X66" i="17"/>
  <c r="AG66" i="17" s="1"/>
  <c r="V66" i="17"/>
  <c r="AI65" i="17"/>
  <c r="AH65" i="17"/>
  <c r="AC65" i="17"/>
  <c r="AD65" i="17" s="1"/>
  <c r="W65" i="17"/>
  <c r="X65" i="17" s="1"/>
  <c r="V65" i="17"/>
  <c r="AI64" i="17"/>
  <c r="AH64" i="17"/>
  <c r="AC64" i="17"/>
  <c r="AD64" i="17" s="1"/>
  <c r="W64" i="17"/>
  <c r="X64" i="17" s="1"/>
  <c r="V64" i="17"/>
  <c r="AI63" i="17"/>
  <c r="AH63" i="17"/>
  <c r="AC63" i="17"/>
  <c r="W63" i="17"/>
  <c r="X63" i="17" s="1"/>
  <c r="AG63" i="17" s="1"/>
  <c r="V63" i="17"/>
  <c r="AD63" i="17" s="1"/>
  <c r="AI62" i="17"/>
  <c r="AH62" i="17"/>
  <c r="AC62" i="17"/>
  <c r="W62" i="17"/>
  <c r="X62" i="17" s="1"/>
  <c r="AG62" i="17" s="1"/>
  <c r="V62" i="17"/>
  <c r="AD62" i="17" s="1"/>
  <c r="AI61" i="17"/>
  <c r="AG61" i="17"/>
  <c r="AD61" i="17"/>
  <c r="AC61" i="17"/>
  <c r="X61" i="17"/>
  <c r="Z61" i="17" s="1"/>
  <c r="Y61" i="17" s="1"/>
  <c r="W61" i="17"/>
  <c r="V61" i="17"/>
  <c r="AI60" i="17"/>
  <c r="AH60" i="17"/>
  <c r="W60" i="17" s="1"/>
  <c r="X60" i="17" s="1"/>
  <c r="AG60" i="17"/>
  <c r="AC60" i="17"/>
  <c r="AD60" i="17" s="1"/>
  <c r="Z60" i="17"/>
  <c r="Y60" i="17"/>
  <c r="V60" i="17"/>
  <c r="AI59" i="17"/>
  <c r="AH59" i="17"/>
  <c r="AC59" i="17"/>
  <c r="W59" i="17"/>
  <c r="X59" i="17" s="1"/>
  <c r="AG59" i="17" s="1"/>
  <c r="V59" i="17"/>
  <c r="AI58" i="17"/>
  <c r="AH58" i="17"/>
  <c r="W58" i="17" s="1"/>
  <c r="X58" i="17" s="1"/>
  <c r="Z58" i="17" s="1"/>
  <c r="Y58" i="17" s="1"/>
  <c r="AG58" i="17"/>
  <c r="AD58" i="17"/>
  <c r="AC58" i="17"/>
  <c r="V58" i="17"/>
  <c r="AI57" i="17"/>
  <c r="AC57" i="17"/>
  <c r="X57" i="17"/>
  <c r="AG57" i="17" s="1"/>
  <c r="W57" i="17"/>
  <c r="V57" i="17"/>
  <c r="AI56" i="17"/>
  <c r="AH56" i="17"/>
  <c r="AC56" i="17"/>
  <c r="W56" i="17"/>
  <c r="X56" i="17" s="1"/>
  <c r="AG56" i="17" s="1"/>
  <c r="V56" i="17"/>
  <c r="AI55" i="17"/>
  <c r="AH55" i="17"/>
  <c r="W55" i="17" s="1"/>
  <c r="AC55" i="17"/>
  <c r="AD55" i="17" s="1"/>
  <c r="X55" i="17"/>
  <c r="Z55" i="17" s="1"/>
  <c r="Y55" i="17" s="1"/>
  <c r="V55" i="17"/>
  <c r="AI54" i="17"/>
  <c r="AH54" i="17"/>
  <c r="W54" i="17" s="1"/>
  <c r="AC54" i="17"/>
  <c r="X54" i="17"/>
  <c r="AG54" i="17" s="1"/>
  <c r="V54" i="17"/>
  <c r="AD54" i="17" s="1"/>
  <c r="AI53" i="17"/>
  <c r="AH53" i="17"/>
  <c r="AC53" i="17"/>
  <c r="W53" i="17"/>
  <c r="X53" i="17" s="1"/>
  <c r="AG53" i="17" s="1"/>
  <c r="V53" i="17"/>
  <c r="AD53" i="17" s="1"/>
  <c r="AI52" i="17"/>
  <c r="AG52" i="17"/>
  <c r="AD52" i="17"/>
  <c r="AC52" i="17"/>
  <c r="W52" i="17"/>
  <c r="X52" i="17" s="1"/>
  <c r="Z52" i="17" s="1"/>
  <c r="Y52" i="17" s="1"/>
  <c r="V52" i="17"/>
  <c r="AI51" i="17"/>
  <c r="AH51" i="17"/>
  <c r="AC51" i="17"/>
  <c r="W51" i="17"/>
  <c r="X51" i="17" s="1"/>
  <c r="AG51" i="17" s="1"/>
  <c r="V51" i="17"/>
  <c r="Z51" i="17" s="1"/>
  <c r="Y51" i="17" s="1"/>
  <c r="AI50" i="17"/>
  <c r="AH50" i="17"/>
  <c r="W50" i="17" s="1"/>
  <c r="AC50" i="17"/>
  <c r="Z50" i="17"/>
  <c r="Y50" i="17" s="1"/>
  <c r="X50" i="17"/>
  <c r="AG50" i="17" s="1"/>
  <c r="V50" i="17"/>
  <c r="AD50" i="17" s="1"/>
  <c r="AI49" i="17"/>
  <c r="AH49" i="17"/>
  <c r="AC49" i="17"/>
  <c r="X49" i="17"/>
  <c r="AG49" i="17" s="1"/>
  <c r="W49" i="17"/>
  <c r="V49" i="17"/>
  <c r="AI48" i="17"/>
  <c r="AC48" i="17"/>
  <c r="W48" i="17"/>
  <c r="X48" i="17" s="1"/>
  <c r="AG48" i="17" s="1"/>
  <c r="V48" i="17"/>
  <c r="AI47" i="17"/>
  <c r="AH47" i="17"/>
  <c r="W47" i="17" s="1"/>
  <c r="X47" i="17" s="1"/>
  <c r="AG47" i="17"/>
  <c r="AD47" i="17"/>
  <c r="AC47" i="17"/>
  <c r="Z47" i="17"/>
  <c r="Y47" i="17" s="1"/>
  <c r="V47" i="17"/>
  <c r="AI46" i="17"/>
  <c r="AH46" i="17"/>
  <c r="AC46" i="17"/>
  <c r="AD46" i="17" s="1"/>
  <c r="X46" i="17"/>
  <c r="AG46" i="17" s="1"/>
  <c r="W46" i="17"/>
  <c r="V46" i="17"/>
  <c r="AI45" i="17"/>
  <c r="AH45" i="17"/>
  <c r="AC45" i="17"/>
  <c r="AD45" i="17" s="1"/>
  <c r="W45" i="17"/>
  <c r="X45" i="17" s="1"/>
  <c r="V45" i="17"/>
  <c r="AI44" i="17"/>
  <c r="AH44" i="17"/>
  <c r="AC44" i="17"/>
  <c r="W44" i="17"/>
  <c r="X44" i="17" s="1"/>
  <c r="AG44" i="17" s="1"/>
  <c r="V44" i="17"/>
  <c r="AI43" i="17"/>
  <c r="AH43" i="17"/>
  <c r="W43" i="17" s="1"/>
  <c r="X43" i="17" s="1"/>
  <c r="AG43" i="17" s="1"/>
  <c r="AC43" i="17"/>
  <c r="AD43" i="17" s="1"/>
  <c r="Z43" i="17"/>
  <c r="Y43" i="17" s="1"/>
  <c r="V43" i="17"/>
  <c r="AI42" i="17"/>
  <c r="AH42" i="17"/>
  <c r="W42" i="17" s="1"/>
  <c r="AC42" i="17"/>
  <c r="X42" i="17"/>
  <c r="AG42" i="17" s="1"/>
  <c r="V42" i="17"/>
  <c r="Z42" i="17" s="1"/>
  <c r="Y42" i="17" s="1"/>
  <c r="AI41" i="17"/>
  <c r="AH41" i="17"/>
  <c r="AC41" i="17"/>
  <c r="AD41" i="17" s="1"/>
  <c r="W41" i="17"/>
  <c r="X41" i="17" s="1"/>
  <c r="AG41" i="17" s="1"/>
  <c r="V41" i="17"/>
  <c r="AI40" i="17"/>
  <c r="AH40" i="17"/>
  <c r="W40" i="17" s="1"/>
  <c r="X40" i="17" s="1"/>
  <c r="Z40" i="17" s="1"/>
  <c r="Y40" i="17" s="1"/>
  <c r="AG40" i="17"/>
  <c r="AC40" i="17"/>
  <c r="AD40" i="17" s="1"/>
  <c r="V40" i="17"/>
  <c r="AI39" i="17"/>
  <c r="AH39" i="17"/>
  <c r="AC39" i="17"/>
  <c r="W39" i="17"/>
  <c r="X39" i="17" s="1"/>
  <c r="AG39" i="17" s="1"/>
  <c r="V39" i="17"/>
  <c r="Z39" i="17" s="1"/>
  <c r="AI38" i="17"/>
  <c r="AC38" i="17"/>
  <c r="AI37" i="17"/>
  <c r="AC37" i="17"/>
  <c r="AD37" i="17" s="1"/>
  <c r="W37" i="17"/>
  <c r="X37" i="17" s="1"/>
  <c r="AG37" i="17" s="1"/>
  <c r="AI36" i="17"/>
  <c r="AC36" i="17"/>
  <c r="AD36" i="17" s="1"/>
  <c r="X36" i="17"/>
  <c r="W36" i="17"/>
  <c r="AI35" i="17"/>
  <c r="AC35" i="17"/>
  <c r="AD35" i="17" s="1"/>
  <c r="W35" i="17"/>
  <c r="X35" i="17" s="1"/>
  <c r="AG35" i="17" s="1"/>
  <c r="AI34" i="17"/>
  <c r="AH34" i="17"/>
  <c r="AD34" i="17"/>
  <c r="AC34" i="17"/>
  <c r="W34" i="17"/>
  <c r="X34" i="17" s="1"/>
  <c r="AG34" i="17" s="1"/>
  <c r="AI33" i="17"/>
  <c r="AC33" i="17"/>
  <c r="AD33" i="17" s="1"/>
  <c r="Z33" i="17"/>
  <c r="Y33" i="17" s="1"/>
  <c r="W33" i="17"/>
  <c r="X33" i="17" s="1"/>
  <c r="AI32" i="17"/>
  <c r="AH32" i="17"/>
  <c r="AC32" i="17"/>
  <c r="AD32" i="17" s="1"/>
  <c r="W32" i="17"/>
  <c r="X32" i="17" s="1"/>
  <c r="AI31" i="17"/>
  <c r="AH31" i="17"/>
  <c r="W31" i="17" s="1"/>
  <c r="AG31" i="17"/>
  <c r="AD31" i="17"/>
  <c r="AC31" i="17"/>
  <c r="Y31" i="17"/>
  <c r="X31" i="17"/>
  <c r="Z31" i="17" s="1"/>
  <c r="AI30" i="17"/>
  <c r="AD30" i="17"/>
  <c r="AC30" i="17"/>
  <c r="X30" i="17"/>
  <c r="AG30" i="17" s="1"/>
  <c r="W30" i="17"/>
  <c r="AI29" i="17"/>
  <c r="AC29" i="17"/>
  <c r="AD29" i="17" s="1"/>
  <c r="W29" i="17"/>
  <c r="X29" i="17" s="1"/>
  <c r="AI28" i="17"/>
  <c r="AD28" i="17"/>
  <c r="AC28" i="17"/>
  <c r="X28" i="17"/>
  <c r="Z28" i="17" s="1"/>
  <c r="Y28" i="17" s="1"/>
  <c r="W28" i="17"/>
  <c r="AI27" i="17"/>
  <c r="AG27" i="17"/>
  <c r="AD27" i="17"/>
  <c r="AC27" i="17"/>
  <c r="Z27" i="17"/>
  <c r="Y27" i="17"/>
  <c r="X27" i="17"/>
  <c r="W27" i="17"/>
  <c r="AI26" i="17"/>
  <c r="AG26" i="17"/>
  <c r="AC26" i="17"/>
  <c r="AD26" i="17" s="1"/>
  <c r="W26" i="17"/>
  <c r="X26" i="17" s="1"/>
  <c r="Z26" i="17" s="1"/>
  <c r="Y26" i="17" s="1"/>
  <c r="AI25" i="17"/>
  <c r="AH25" i="17"/>
  <c r="W25" i="17" s="1"/>
  <c r="X25" i="17" s="1"/>
  <c r="Z25" i="17" s="1"/>
  <c r="AG25" i="17"/>
  <c r="AC25" i="17"/>
  <c r="AD25" i="17" s="1"/>
  <c r="Y25" i="17"/>
  <c r="AI24" i="17"/>
  <c r="AC24" i="17"/>
  <c r="AD24" i="17" s="1"/>
  <c r="X24" i="17"/>
  <c r="AG24" i="17" s="1"/>
  <c r="W24" i="17"/>
  <c r="AI23" i="17"/>
  <c r="AC23" i="17"/>
  <c r="AD23" i="17" s="1"/>
  <c r="W23" i="17"/>
  <c r="X23" i="17" s="1"/>
  <c r="AI22" i="17"/>
  <c r="AH22" i="17"/>
  <c r="W22" i="17" s="1"/>
  <c r="X22" i="17" s="1"/>
  <c r="AD22" i="17"/>
  <c r="AC22" i="17"/>
  <c r="AI21" i="17"/>
  <c r="AH21" i="17"/>
  <c r="AC21" i="17"/>
  <c r="AD21" i="17" s="1"/>
  <c r="W21" i="17"/>
  <c r="X21" i="17" s="1"/>
  <c r="AI20" i="17"/>
  <c r="AH20" i="17"/>
  <c r="W20" i="17" s="1"/>
  <c r="X20" i="17" s="1"/>
  <c r="AD20" i="17"/>
  <c r="AC20" i="17"/>
  <c r="AI19" i="17"/>
  <c r="AH19" i="17"/>
  <c r="W19" i="17" s="1"/>
  <c r="X19" i="17" s="1"/>
  <c r="AC19" i="17"/>
  <c r="AD19" i="17" s="1"/>
  <c r="AI18" i="17"/>
  <c r="AH18" i="17"/>
  <c r="AC18" i="17"/>
  <c r="AD18" i="17" s="1"/>
  <c r="W18" i="17"/>
  <c r="X18" i="17" s="1"/>
  <c r="AI17" i="17"/>
  <c r="AC17" i="17"/>
  <c r="AD17" i="17" s="1"/>
  <c r="W17" i="17"/>
  <c r="X17" i="17" s="1"/>
  <c r="AI16" i="17"/>
  <c r="AH16" i="17"/>
  <c r="W16" i="17" s="1"/>
  <c r="AC16" i="17"/>
  <c r="AD16" i="17" s="1"/>
  <c r="X16" i="17"/>
  <c r="AG16" i="17" s="1"/>
  <c r="AI15" i="17"/>
  <c r="AH15" i="17"/>
  <c r="AC15" i="17"/>
  <c r="AD15" i="17" s="1"/>
  <c r="W15" i="17"/>
  <c r="X15" i="17" s="1"/>
  <c r="AI14" i="17"/>
  <c r="AH14" i="17"/>
  <c r="AC14" i="17"/>
  <c r="AD14" i="17" s="1"/>
  <c r="W14" i="17"/>
  <c r="X14" i="17" s="1"/>
  <c r="AI13" i="17"/>
  <c r="AH13" i="17"/>
  <c r="W13" i="17" s="1"/>
  <c r="X13" i="17" s="1"/>
  <c r="AG13" i="17" s="1"/>
  <c r="AD13" i="17"/>
  <c r="AC13" i="17"/>
  <c r="Z13" i="17"/>
  <c r="Y13" i="17" s="1"/>
  <c r="AI12" i="17"/>
  <c r="AC12" i="17"/>
  <c r="AD12" i="17" s="1"/>
  <c r="X12" i="17"/>
  <c r="AG12" i="17" s="1"/>
  <c r="W12" i="17"/>
  <c r="AI11" i="17"/>
  <c r="AH11" i="17"/>
  <c r="AD11" i="17"/>
  <c r="AC11" i="17"/>
  <c r="W11" i="17"/>
  <c r="X11" i="17" s="1"/>
  <c r="AI10" i="17"/>
  <c r="AH10" i="17"/>
  <c r="W10" i="17" s="1"/>
  <c r="X10" i="17" s="1"/>
  <c r="AD10" i="17"/>
  <c r="AC10" i="17"/>
  <c r="AC9" i="17"/>
  <c r="AA558" i="20" l="1"/>
  <c r="Y8" i="20"/>
  <c r="AA7" i="20"/>
  <c r="X8" i="20"/>
  <c r="Z8" i="19"/>
  <c r="X9" i="19"/>
  <c r="AA8" i="19"/>
  <c r="Z224" i="17"/>
  <c r="Y224" i="17" s="1"/>
  <c r="AG224" i="17"/>
  <c r="AG186" i="17"/>
  <c r="Z186" i="17"/>
  <c r="Y186" i="17" s="1"/>
  <c r="Z314" i="17"/>
  <c r="Y314" i="17" s="1"/>
  <c r="AG314" i="17"/>
  <c r="AG343" i="17"/>
  <c r="Z343" i="17"/>
  <c r="Y343" i="17" s="1"/>
  <c r="Z109" i="17"/>
  <c r="Y109" i="17" s="1"/>
  <c r="AG109" i="17"/>
  <c r="Z70" i="17"/>
  <c r="Y70" i="17" s="1"/>
  <c r="AG70" i="17"/>
  <c r="Z421" i="17"/>
  <c r="Y421" i="17" s="1"/>
  <c r="AG421" i="17"/>
  <c r="Z356" i="17"/>
  <c r="Y356" i="17" s="1"/>
  <c r="AG356" i="17"/>
  <c r="AG378" i="17"/>
  <c r="Z378" i="17"/>
  <c r="AG276" i="17"/>
  <c r="Z276" i="17"/>
  <c r="Y276" i="17" s="1"/>
  <c r="AG219" i="17"/>
  <c r="Z219" i="17"/>
  <c r="Y219" i="17" s="1"/>
  <c r="AG11" i="17"/>
  <c r="Z11" i="17"/>
  <c r="Y11" i="17" s="1"/>
  <c r="Z23" i="17"/>
  <c r="Y23" i="17" s="1"/>
  <c r="AG23" i="17"/>
  <c r="Z153" i="17"/>
  <c r="Y153" i="17" s="1"/>
  <c r="AG153" i="17"/>
  <c r="AG163" i="17"/>
  <c r="Z163" i="17"/>
  <c r="Y163" i="17" s="1"/>
  <c r="AG261" i="17"/>
  <c r="Z261" i="17"/>
  <c r="Y261" i="17" s="1"/>
  <c r="AG76" i="17"/>
  <c r="Z76" i="17"/>
  <c r="Y76" i="17" s="1"/>
  <c r="Z232" i="17"/>
  <c r="Y232" i="17" s="1"/>
  <c r="AG232" i="17"/>
  <c r="Z17" i="17"/>
  <c r="Y17" i="17" s="1"/>
  <c r="AG17" i="17"/>
  <c r="AG96" i="17"/>
  <c r="Z96" i="17"/>
  <c r="Y96" i="17" s="1"/>
  <c r="AG209" i="17"/>
  <c r="Z209" i="17"/>
  <c r="Y209" i="17" s="1"/>
  <c r="AG240" i="17"/>
  <c r="Z240" i="17"/>
  <c r="Y240" i="17" s="1"/>
  <c r="AG289" i="17"/>
  <c r="Z289" i="17"/>
  <c r="Y289" i="17" s="1"/>
  <c r="V133" i="17"/>
  <c r="V237" i="17"/>
  <c r="Z10" i="17"/>
  <c r="AG10" i="17"/>
  <c r="Z301" i="17"/>
  <c r="Y301" i="17" s="1"/>
  <c r="AG301" i="17"/>
  <c r="Z273" i="17"/>
  <c r="Y273" i="17" s="1"/>
  <c r="AG273" i="17"/>
  <c r="AG335" i="17"/>
  <c r="Z335" i="17"/>
  <c r="Y335" i="17" s="1"/>
  <c r="AG112" i="17"/>
  <c r="Z112" i="17"/>
  <c r="Y112" i="17" s="1"/>
  <c r="AG264" i="17"/>
  <c r="Z264" i="17"/>
  <c r="Y264" i="17" s="1"/>
  <c r="AG68" i="17"/>
  <c r="Z68" i="17"/>
  <c r="Y68" i="17" s="1"/>
  <c r="AG297" i="17"/>
  <c r="Z297" i="17"/>
  <c r="Y297" i="17" s="1"/>
  <c r="Z386" i="17"/>
  <c r="Y386" i="17" s="1"/>
  <c r="AG386" i="17"/>
  <c r="Z65" i="17"/>
  <c r="Y65" i="17" s="1"/>
  <c r="AG65" i="17"/>
  <c r="Z80" i="17"/>
  <c r="Y80" i="17" s="1"/>
  <c r="AG80" i="17"/>
  <c r="AG309" i="17"/>
  <c r="Z309" i="17"/>
  <c r="Y309" i="17" s="1"/>
  <c r="Z83" i="17"/>
  <c r="Y83" i="17" s="1"/>
  <c r="AG83" i="17"/>
  <c r="Z489" i="17"/>
  <c r="Y489" i="17" s="1"/>
  <c r="AG489" i="17"/>
  <c r="AG64" i="17"/>
  <c r="Z64" i="17"/>
  <c r="Y64" i="17" s="1"/>
  <c r="Z122" i="17"/>
  <c r="Y122" i="17" s="1"/>
  <c r="AG122" i="17"/>
  <c r="AG413" i="17"/>
  <c r="Z413" i="17"/>
  <c r="Y413" i="17" s="1"/>
  <c r="AG14" i="17"/>
  <c r="Z14" i="17"/>
  <c r="Y14" i="17" s="1"/>
  <c r="Z20" i="17"/>
  <c r="Y20" i="17" s="1"/>
  <c r="AG20" i="17"/>
  <c r="AG425" i="17"/>
  <c r="Z425" i="17"/>
  <c r="Y425" i="17" s="1"/>
  <c r="Z166" i="17"/>
  <c r="Y166" i="17" s="1"/>
  <c r="Z360" i="17"/>
  <c r="Y360" i="17" s="1"/>
  <c r="AG360" i="17"/>
  <c r="Z37" i="17"/>
  <c r="Y37" i="17" s="1"/>
  <c r="Z103" i="17"/>
  <c r="Y103" i="17" s="1"/>
  <c r="AD103" i="17"/>
  <c r="Z382" i="17"/>
  <c r="Y382" i="17" s="1"/>
  <c r="AG382" i="17"/>
  <c r="V451" i="17"/>
  <c r="Z130" i="17"/>
  <c r="Y130" i="17" s="1"/>
  <c r="Z190" i="17"/>
  <c r="Y190" i="17" s="1"/>
  <c r="AD190" i="17"/>
  <c r="AH228" i="17"/>
  <c r="W228" i="17" s="1"/>
  <c r="X228" i="17" s="1"/>
  <c r="W226" i="17"/>
  <c r="X226" i="17" s="1"/>
  <c r="AG410" i="17"/>
  <c r="Z410" i="17"/>
  <c r="Y410" i="17" s="1"/>
  <c r="Z59" i="17"/>
  <c r="Y59" i="17" s="1"/>
  <c r="AD59" i="17"/>
  <c r="AG154" i="17"/>
  <c r="Z154" i="17"/>
  <c r="Y154" i="17" s="1"/>
  <c r="Z338" i="17"/>
  <c r="Y338" i="17" s="1"/>
  <c r="Z483" i="17"/>
  <c r="Y483" i="17" s="1"/>
  <c r="AG483" i="17"/>
  <c r="AG32" i="17"/>
  <c r="Z32" i="17"/>
  <c r="Y32" i="17" s="1"/>
  <c r="AG55" i="17"/>
  <c r="Z150" i="17"/>
  <c r="Y150" i="17" s="1"/>
  <c r="AD169" i="17"/>
  <c r="Z256" i="17"/>
  <c r="Y256" i="17" s="1"/>
  <c r="AG304" i="17"/>
  <c r="Z304" i="17"/>
  <c r="Y304" i="17" s="1"/>
  <c r="Z313" i="17"/>
  <c r="Y313" i="17" s="1"/>
  <c r="AG313" i="17"/>
  <c r="Z334" i="17"/>
  <c r="Y334" i="17" s="1"/>
  <c r="Z348" i="17"/>
  <c r="Y348" i="17" s="1"/>
  <c r="AG348" i="17"/>
  <c r="Z364" i="17"/>
  <c r="Y364" i="17" s="1"/>
  <c r="Z431" i="17"/>
  <c r="Y431" i="17" s="1"/>
  <c r="AG431" i="17"/>
  <c r="Z458" i="17"/>
  <c r="Y458" i="17" s="1"/>
  <c r="Z62" i="17"/>
  <c r="Y62" i="17" s="1"/>
  <c r="Z73" i="17"/>
  <c r="Y73" i="17" s="1"/>
  <c r="Z115" i="17"/>
  <c r="Y115" i="17" s="1"/>
  <c r="Z127" i="17"/>
  <c r="Y127" i="17" s="1"/>
  <c r="Z134" i="17"/>
  <c r="Z143" i="17"/>
  <c r="Y143" i="17" s="1"/>
  <c r="AG143" i="17"/>
  <c r="Z227" i="17"/>
  <c r="Y227" i="17" s="1"/>
  <c r="AG286" i="17"/>
  <c r="Z286" i="17"/>
  <c r="Y286" i="17" s="1"/>
  <c r="Z291" i="17"/>
  <c r="Y291" i="17" s="1"/>
  <c r="AG291" i="17"/>
  <c r="Z324" i="17"/>
  <c r="Y324" i="17" s="1"/>
  <c r="AG324" i="17"/>
  <c r="Y453" i="17"/>
  <c r="Y451" i="17" s="1"/>
  <c r="W451" i="17" s="1"/>
  <c r="Z451" i="17"/>
  <c r="X451" i="17" s="1"/>
  <c r="AG451" i="17" s="1"/>
  <c r="Z473" i="17"/>
  <c r="AG473" i="17"/>
  <c r="AG494" i="17"/>
  <c r="Z494" i="17"/>
  <c r="AG19" i="17"/>
  <c r="Z19" i="17"/>
  <c r="Y19" i="17" s="1"/>
  <c r="Z41" i="17"/>
  <c r="Y41" i="17" s="1"/>
  <c r="AD77" i="17"/>
  <c r="Z77" i="17"/>
  <c r="Y77" i="17" s="1"/>
  <c r="AG300" i="17"/>
  <c r="Z300" i="17"/>
  <c r="Y300" i="17" s="1"/>
  <c r="Z383" i="17"/>
  <c r="Y383" i="17" s="1"/>
  <c r="AG388" i="17"/>
  <c r="Z388" i="17"/>
  <c r="Y388" i="17" s="1"/>
  <c r="Z448" i="17"/>
  <c r="AG15" i="17"/>
  <c r="Z15" i="17"/>
  <c r="Y15" i="17" s="1"/>
  <c r="AG45" i="17"/>
  <c r="Z45" i="17"/>
  <c r="Y45" i="17" s="1"/>
  <c r="Z56" i="17"/>
  <c r="Y56" i="17" s="1"/>
  <c r="AD56" i="17"/>
  <c r="AG85" i="17"/>
  <c r="Z89" i="17"/>
  <c r="Y89" i="17" s="1"/>
  <c r="Z179" i="17"/>
  <c r="Y179" i="17" s="1"/>
  <c r="AG179" i="17"/>
  <c r="Z183" i="17"/>
  <c r="Y183" i="17" s="1"/>
  <c r="Z205" i="17"/>
  <c r="Y205" i="17" s="1"/>
  <c r="AG205" i="17"/>
  <c r="AG252" i="17"/>
  <c r="Z370" i="17"/>
  <c r="AG370" i="17"/>
  <c r="AG422" i="17"/>
  <c r="Z422" i="17"/>
  <c r="Y422" i="17" s="1"/>
  <c r="Z479" i="17"/>
  <c r="Y479" i="17" s="1"/>
  <c r="AG33" i="17"/>
  <c r="AG170" i="17"/>
  <c r="Z170" i="17"/>
  <c r="Y170" i="17" s="1"/>
  <c r="AG257" i="17"/>
  <c r="Z257" i="17"/>
  <c r="Y257" i="17" s="1"/>
  <c r="Z287" i="17"/>
  <c r="Y287" i="17" s="1"/>
  <c r="AG287" i="17"/>
  <c r="Z355" i="17"/>
  <c r="Y355" i="17" s="1"/>
  <c r="AG355" i="17"/>
  <c r="AG432" i="17"/>
  <c r="Z432" i="17"/>
  <c r="Y432" i="17" s="1"/>
  <c r="Z24" i="17"/>
  <c r="Y24" i="17" s="1"/>
  <c r="Z191" i="17"/>
  <c r="Y191" i="17" s="1"/>
  <c r="AG191" i="17"/>
  <c r="AD200" i="17"/>
  <c r="Z200" i="17"/>
  <c r="Y200" i="17" s="1"/>
  <c r="AG267" i="17"/>
  <c r="Z267" i="17"/>
  <c r="Y267" i="17" s="1"/>
  <c r="AG319" i="17"/>
  <c r="Z319" i="17"/>
  <c r="Y319" i="17" s="1"/>
  <c r="AG330" i="17"/>
  <c r="AG344" i="17"/>
  <c r="Z344" i="17"/>
  <c r="Y344" i="17" s="1"/>
  <c r="V369" i="17"/>
  <c r="V377" i="17"/>
  <c r="Z442" i="17"/>
  <c r="Y442" i="17" s="1"/>
  <c r="V492" i="17"/>
  <c r="Z67" i="17"/>
  <c r="Y67" i="17" s="1"/>
  <c r="AG234" i="17"/>
  <c r="Z234" i="17"/>
  <c r="Y234" i="17" s="1"/>
  <c r="AG278" i="17"/>
  <c r="Z278" i="17"/>
  <c r="Y278" i="17" s="1"/>
  <c r="AG292" i="17"/>
  <c r="AG428" i="17"/>
  <c r="Z428" i="17"/>
  <c r="Y428" i="17" s="1"/>
  <c r="V202" i="17"/>
  <c r="Z99" i="17"/>
  <c r="Y99" i="17" s="1"/>
  <c r="Z160" i="17"/>
  <c r="Y160" i="17" s="1"/>
  <c r="AD180" i="17"/>
  <c r="Z180" i="17"/>
  <c r="Y180" i="17" s="1"/>
  <c r="Z16" i="17"/>
  <c r="Y16" i="17" s="1"/>
  <c r="AG485" i="17"/>
  <c r="Z485" i="17"/>
  <c r="Y485" i="17" s="1"/>
  <c r="Z140" i="17"/>
  <c r="Y140" i="17" s="1"/>
  <c r="AD140" i="17"/>
  <c r="AG211" i="17"/>
  <c r="Z211" i="17"/>
  <c r="Y211" i="17" s="1"/>
  <c r="AG249" i="17"/>
  <c r="Z34" i="17"/>
  <c r="Y34" i="17" s="1"/>
  <c r="Z46" i="17"/>
  <c r="Y46" i="17" s="1"/>
  <c r="Z117" i="17"/>
  <c r="Y117" i="17" s="1"/>
  <c r="AG215" i="17"/>
  <c r="AG259" i="17"/>
  <c r="Z259" i="17"/>
  <c r="Y259" i="17" s="1"/>
  <c r="AG497" i="17"/>
  <c r="Z497" i="17"/>
  <c r="Z30" i="17"/>
  <c r="Y30" i="17" s="1"/>
  <c r="AD86" i="17"/>
  <c r="Z235" i="17"/>
  <c r="Y235" i="17" s="1"/>
  <c r="AG235" i="17"/>
  <c r="Z326" i="17"/>
  <c r="Y326" i="17" s="1"/>
  <c r="Z486" i="17"/>
  <c r="Y486" i="17" s="1"/>
  <c r="AG486" i="17"/>
  <c r="Z368" i="17"/>
  <c r="Y368" i="17" s="1"/>
  <c r="AG368" i="17"/>
  <c r="AG384" i="17"/>
  <c r="Z384" i="17"/>
  <c r="Y384" i="17" s="1"/>
  <c r="AG455" i="17"/>
  <c r="Z455" i="17"/>
  <c r="Y455" i="17" s="1"/>
  <c r="AG21" i="17"/>
  <c r="Z21" i="17"/>
  <c r="Y21" i="17" s="1"/>
  <c r="Y39" i="17"/>
  <c r="Z71" i="17"/>
  <c r="Y71" i="17" s="1"/>
  <c r="AD71" i="17"/>
  <c r="AG82" i="17"/>
  <c r="Z157" i="17"/>
  <c r="Y157" i="17" s="1"/>
  <c r="AD160" i="17"/>
  <c r="AG188" i="17"/>
  <c r="Z193" i="17"/>
  <c r="Y193" i="17" s="1"/>
  <c r="AD121" i="17"/>
  <c r="AD125" i="17"/>
  <c r="Z293" i="17"/>
  <c r="Y293" i="17" s="1"/>
  <c r="AG311" i="17"/>
  <c r="Z311" i="17"/>
  <c r="Y311" i="17" s="1"/>
  <c r="AG321" i="17"/>
  <c r="Z321" i="17"/>
  <c r="Y321" i="17" s="1"/>
  <c r="AG341" i="17"/>
  <c r="Z341" i="17"/>
  <c r="Y341" i="17" s="1"/>
  <c r="AG351" i="17"/>
  <c r="Z357" i="17"/>
  <c r="Y357" i="17" s="1"/>
  <c r="AG357" i="17"/>
  <c r="Z385" i="17"/>
  <c r="Y385" i="17" s="1"/>
  <c r="Z424" i="17"/>
  <c r="Y424" i="17" s="1"/>
  <c r="AG424" i="17"/>
  <c r="AG439" i="17"/>
  <c r="Z439" i="17"/>
  <c r="Y439" i="17" s="1"/>
  <c r="AG280" i="17"/>
  <c r="Z74" i="17"/>
  <c r="Y74" i="17" s="1"/>
  <c r="Z182" i="17"/>
  <c r="Y182" i="17" s="1"/>
  <c r="AG182" i="17"/>
  <c r="Z198" i="17"/>
  <c r="Y198" i="17" s="1"/>
  <c r="AG198" i="17"/>
  <c r="Z437" i="17"/>
  <c r="Y437" i="17" s="1"/>
  <c r="AG437" i="17"/>
  <c r="Z206" i="17"/>
  <c r="Y206" i="17" s="1"/>
  <c r="AG206" i="17"/>
  <c r="AG350" i="17"/>
  <c r="Z350" i="17"/>
  <c r="Y350" i="17" s="1"/>
  <c r="Z53" i="17"/>
  <c r="Y53" i="17" s="1"/>
  <c r="AD201" i="17"/>
  <c r="Z201" i="17"/>
  <c r="Y201" i="17" s="1"/>
  <c r="AG490" i="17"/>
  <c r="Z490" i="17"/>
  <c r="Y490" i="17" s="1"/>
  <c r="AG207" i="17"/>
  <c r="Z207" i="17"/>
  <c r="Y207" i="17" s="1"/>
  <c r="Z269" i="17"/>
  <c r="Y269" i="17" s="1"/>
  <c r="AG269" i="17"/>
  <c r="Z444" i="17"/>
  <c r="Y444" i="17" s="1"/>
  <c r="AG444" i="17"/>
  <c r="AG481" i="17"/>
  <c r="Z481" i="17"/>
  <c r="Y481" i="17" s="1"/>
  <c r="Z212" i="17"/>
  <c r="Y212" i="17" s="1"/>
  <c r="AG245" i="17"/>
  <c r="AG381" i="17"/>
  <c r="Z381" i="17"/>
  <c r="Y381" i="17" s="1"/>
  <c r="Z408" i="17"/>
  <c r="AG408" i="17"/>
  <c r="V9" i="17"/>
  <c r="AG231" i="17"/>
  <c r="AG29" i="17"/>
  <c r="Z29" i="17"/>
  <c r="Y29" i="17" s="1"/>
  <c r="AG253" i="17"/>
  <c r="Z253" i="17"/>
  <c r="Y253" i="17" s="1"/>
  <c r="AG375" i="17"/>
  <c r="Z375" i="17"/>
  <c r="Y375" i="17" s="1"/>
  <c r="Z306" i="17"/>
  <c r="Y306" i="17" s="1"/>
  <c r="AG306" i="17"/>
  <c r="Z331" i="17"/>
  <c r="Y331" i="17" s="1"/>
  <c r="Z361" i="17"/>
  <c r="Y361" i="17" s="1"/>
  <c r="AG361" i="17"/>
  <c r="Z197" i="17"/>
  <c r="Y197" i="17" s="1"/>
  <c r="Z118" i="17"/>
  <c r="Y118" i="17" s="1"/>
  <c r="AG118" i="17"/>
  <c r="AD137" i="17"/>
  <c r="Z141" i="17"/>
  <c r="Y141" i="17" s="1"/>
  <c r="AD157" i="17"/>
  <c r="AD193" i="17"/>
  <c r="AG316" i="17"/>
  <c r="AG337" i="17"/>
  <c r="AG445" i="17"/>
  <c r="Z445" i="17"/>
  <c r="Y445" i="17" s="1"/>
  <c r="AG18" i="17"/>
  <c r="Z18" i="17"/>
  <c r="Y18" i="17" s="1"/>
  <c r="Z173" i="17"/>
  <c r="Y173" i="17" s="1"/>
  <c r="AG173" i="17"/>
  <c r="Z208" i="17"/>
  <c r="Y208" i="17" s="1"/>
  <c r="Z105" i="17"/>
  <c r="Y105" i="17" s="1"/>
  <c r="AD167" i="17"/>
  <c r="Z167" i="17"/>
  <c r="Y167" i="17" s="1"/>
  <c r="Z320" i="17"/>
  <c r="Y320" i="17" s="1"/>
  <c r="Z260" i="17"/>
  <c r="Y260" i="17" s="1"/>
  <c r="AG274" i="17"/>
  <c r="Z274" i="17"/>
  <c r="Y274" i="17" s="1"/>
  <c r="Z87" i="17"/>
  <c r="Y87" i="17" s="1"/>
  <c r="AD102" i="17"/>
  <c r="Z161" i="17"/>
  <c r="Y161" i="17" s="1"/>
  <c r="AD161" i="17"/>
  <c r="AG185" i="17"/>
  <c r="AG236" i="17"/>
  <c r="Z236" i="17"/>
  <c r="Y236" i="17" s="1"/>
  <c r="Z284" i="17"/>
  <c r="Y284" i="17" s="1"/>
  <c r="AG22" i="17"/>
  <c r="Z22" i="17"/>
  <c r="Y22" i="17" s="1"/>
  <c r="Y203" i="17"/>
  <c r="AG216" i="17"/>
  <c r="AG275" i="17"/>
  <c r="Z275" i="17"/>
  <c r="Y275" i="17" s="1"/>
  <c r="Z363" i="17"/>
  <c r="Y363" i="17" s="1"/>
  <c r="AG363" i="17"/>
  <c r="W144" i="17"/>
  <c r="X144" i="17" s="1"/>
  <c r="AH145" i="17"/>
  <c r="W145" i="17" s="1"/>
  <c r="X145" i="17" s="1"/>
  <c r="AG145" i="17" s="1"/>
  <c r="AG450" i="17"/>
  <c r="Z450" i="17"/>
  <c r="Y450" i="17" s="1"/>
  <c r="Z467" i="17"/>
  <c r="Y467" i="17" s="1"/>
  <c r="AG467" i="17"/>
  <c r="Z35" i="17"/>
  <c r="Y35" i="17" s="1"/>
  <c r="Z138" i="17"/>
  <c r="Y138" i="17" s="1"/>
  <c r="AG158" i="17"/>
  <c r="Z158" i="17"/>
  <c r="Y158" i="17" s="1"/>
  <c r="Z174" i="17"/>
  <c r="Y174" i="17" s="1"/>
  <c r="Z353" i="17"/>
  <c r="Y353" i="17" s="1"/>
  <c r="AG353" i="17"/>
  <c r="Z440" i="17"/>
  <c r="Y440" i="17" s="1"/>
  <c r="AG440" i="17"/>
  <c r="Z463" i="17"/>
  <c r="Y463" i="17" s="1"/>
  <c r="AG28" i="17"/>
  <c r="Z48" i="17"/>
  <c r="Y48" i="17" s="1"/>
  <c r="Z151" i="17"/>
  <c r="Y151" i="17" s="1"/>
  <c r="Z238" i="17"/>
  <c r="Z250" i="17"/>
  <c r="Y250" i="17" s="1"/>
  <c r="AG340" i="17"/>
  <c r="Z327" i="17"/>
  <c r="X327" i="17" s="1"/>
  <c r="AG327" i="17" s="1"/>
  <c r="AG418" i="17"/>
  <c r="Z423" i="17"/>
  <c r="Y423" i="17" s="1"/>
  <c r="AG213" i="17"/>
  <c r="Z213" i="17"/>
  <c r="Y213" i="17" s="1"/>
  <c r="Z318" i="17"/>
  <c r="Y318" i="17" s="1"/>
  <c r="Z100" i="17"/>
  <c r="Y100" i="17" s="1"/>
  <c r="AD129" i="17"/>
  <c r="Z129" i="17"/>
  <c r="Y129" i="17" s="1"/>
  <c r="AG217" i="17"/>
  <c r="AD39" i="17"/>
  <c r="Z63" i="17"/>
  <c r="Y63" i="17" s="1"/>
  <c r="Z126" i="17"/>
  <c r="Y126" i="17" s="1"/>
  <c r="Z225" i="17"/>
  <c r="Y225" i="17" s="1"/>
  <c r="AG246" i="17"/>
  <c r="Z266" i="17"/>
  <c r="Y266" i="17" s="1"/>
  <c r="AD91" i="17"/>
  <c r="AG135" i="17"/>
  <c r="Y328" i="17"/>
  <c r="Z12" i="17"/>
  <c r="Y12" i="17" s="1"/>
  <c r="Z85" i="17"/>
  <c r="Y85" i="17" s="1"/>
  <c r="Z214" i="17"/>
  <c r="Y214" i="17" s="1"/>
  <c r="Z222" i="17"/>
  <c r="Y222" i="17" s="1"/>
  <c r="Z258" i="17"/>
  <c r="Y258" i="17" s="1"/>
  <c r="Z303" i="17"/>
  <c r="Y303" i="17" s="1"/>
  <c r="AG345" i="17"/>
  <c r="Z345" i="17"/>
  <c r="Y345" i="17" s="1"/>
  <c r="Z414" i="17"/>
  <c r="Y414" i="17" s="1"/>
  <c r="Z464" i="17"/>
  <c r="Y464" i="17" s="1"/>
  <c r="AG487" i="17"/>
  <c r="AD107" i="17"/>
  <c r="Z107" i="17"/>
  <c r="Y107" i="17" s="1"/>
  <c r="Z477" i="17"/>
  <c r="Y477" i="17" s="1"/>
  <c r="AG435" i="17"/>
  <c r="AD84" i="17"/>
  <c r="AD42" i="17"/>
  <c r="Z94" i="17"/>
  <c r="Y94" i="17" s="1"/>
  <c r="Z75" i="17"/>
  <c r="Y75" i="17" s="1"/>
  <c r="Z120" i="17"/>
  <c r="Y120" i="17" s="1"/>
  <c r="Z367" i="17"/>
  <c r="Y367" i="17" s="1"/>
  <c r="Z54" i="17"/>
  <c r="Y54" i="17" s="1"/>
  <c r="AG36" i="17"/>
  <c r="AD48" i="17"/>
  <c r="AD51" i="17"/>
  <c r="AD72" i="17"/>
  <c r="AD97" i="17"/>
  <c r="AD104" i="17"/>
  <c r="Z132" i="17"/>
  <c r="Y132" i="17" s="1"/>
  <c r="AD146" i="17"/>
  <c r="Z146" i="17"/>
  <c r="Y146" i="17" s="1"/>
  <c r="Z159" i="17"/>
  <c r="Y159" i="17" s="1"/>
  <c r="Z171" i="17"/>
  <c r="Y171" i="17" s="1"/>
  <c r="AD188" i="17"/>
  <c r="Z188" i="17"/>
  <c r="Y188" i="17" s="1"/>
  <c r="Z283" i="17"/>
  <c r="Y283" i="17" s="1"/>
  <c r="Z295" i="17"/>
  <c r="Y295" i="17" s="1"/>
  <c r="AG328" i="17"/>
  <c r="Z337" i="17"/>
  <c r="Y337" i="17" s="1"/>
  <c r="AG446" i="17"/>
  <c r="Z446" i="17"/>
  <c r="Y446" i="17" s="1"/>
  <c r="Z36" i="17"/>
  <c r="Y36" i="17" s="1"/>
  <c r="AD69" i="17"/>
  <c r="AD82" i="17"/>
  <c r="AD88" i="17"/>
  <c r="Z165" i="17"/>
  <c r="Y165" i="17" s="1"/>
  <c r="Z168" i="17"/>
  <c r="Y168" i="17" s="1"/>
  <c r="AD175" i="17"/>
  <c r="Z181" i="17"/>
  <c r="Y181" i="17" s="1"/>
  <c r="AD195" i="17"/>
  <c r="Z218" i="17"/>
  <c r="Y218" i="17" s="1"/>
  <c r="AG270" i="17"/>
  <c r="AG299" i="17"/>
  <c r="Z354" i="17"/>
  <c r="Y354" i="17" s="1"/>
  <c r="AG468" i="17"/>
  <c r="Z81" i="17"/>
  <c r="Y81" i="17" s="1"/>
  <c r="Z57" i="17"/>
  <c r="Y57" i="17" s="1"/>
  <c r="AD57" i="17"/>
  <c r="Z123" i="17"/>
  <c r="Y123" i="17" s="1"/>
  <c r="AD81" i="17"/>
  <c r="Z178" i="17"/>
  <c r="Z491" i="17"/>
  <c r="AG491" i="17"/>
  <c r="Z155" i="17"/>
  <c r="Y155" i="17" s="1"/>
  <c r="AD174" i="17"/>
  <c r="AD192" i="17"/>
  <c r="AG419" i="17"/>
  <c r="Z419" i="17"/>
  <c r="Y419" i="17" s="1"/>
  <c r="Z239" i="17"/>
  <c r="Y239" i="17" s="1"/>
  <c r="AG239" i="17"/>
  <c r="AD105" i="17"/>
  <c r="AD152" i="17"/>
  <c r="AG243" i="17"/>
  <c r="Z492" i="17"/>
  <c r="X492" i="17" s="1"/>
  <c r="AG492" i="17" s="1"/>
  <c r="Y493" i="17"/>
  <c r="Z221" i="17"/>
  <c r="Z145" i="17"/>
  <c r="Y145" i="17" s="1"/>
  <c r="Z184" i="17"/>
  <c r="Y184" i="17" s="1"/>
  <c r="AD184" i="17"/>
  <c r="Z142" i="17"/>
  <c r="Y142" i="17" s="1"/>
  <c r="Z323" i="17"/>
  <c r="Y323" i="17" s="1"/>
  <c r="Z78" i="17"/>
  <c r="Y78" i="17" s="1"/>
  <c r="Z162" i="17"/>
  <c r="Y162" i="17" s="1"/>
  <c r="AD162" i="17"/>
  <c r="Z66" i="17"/>
  <c r="Y66" i="17" s="1"/>
  <c r="Z114" i="17"/>
  <c r="Y114" i="17" s="1"/>
  <c r="AG478" i="17"/>
  <c r="Z478" i="17"/>
  <c r="Y478" i="17" s="1"/>
  <c r="AD98" i="17"/>
  <c r="Z98" i="17"/>
  <c r="Y98" i="17" s="1"/>
  <c r="AD49" i="17"/>
  <c r="Z49" i="17"/>
  <c r="Y49" i="17" s="1"/>
  <c r="AD114" i="17"/>
  <c r="AD120" i="17"/>
  <c r="Z156" i="17"/>
  <c r="Y156" i="17" s="1"/>
  <c r="AD178" i="17"/>
  <c r="Z192" i="17"/>
  <c r="Y192" i="17" s="1"/>
  <c r="AG372" i="17"/>
  <c r="AG474" i="17"/>
  <c r="Z474" i="17"/>
  <c r="Y474" i="17" s="1"/>
  <c r="Z460" i="17"/>
  <c r="Y460" i="17" s="1"/>
  <c r="AG460" i="17"/>
  <c r="Z93" i="17"/>
  <c r="Y93" i="17" s="1"/>
  <c r="Z196" i="17"/>
  <c r="Y196" i="17" s="1"/>
  <c r="AG281" i="17"/>
  <c r="Z281" i="17"/>
  <c r="Y281" i="17" s="1"/>
  <c r="AG347" i="17"/>
  <c r="Z347" i="17"/>
  <c r="Y347" i="17" s="1"/>
  <c r="AG194" i="17"/>
  <c r="AG229" i="17"/>
  <c r="AG290" i="17"/>
  <c r="Z290" i="17"/>
  <c r="Y290" i="17" s="1"/>
  <c r="Z362" i="17"/>
  <c r="Y362" i="17" s="1"/>
  <c r="AG362" i="17"/>
  <c r="Z366" i="17"/>
  <c r="Y366" i="17" s="1"/>
  <c r="AG366" i="17"/>
  <c r="Z110" i="17"/>
  <c r="Y110" i="17" s="1"/>
  <c r="Z119" i="17"/>
  <c r="Y119" i="17" s="1"/>
  <c r="AD119" i="17"/>
  <c r="AG187" i="17"/>
  <c r="AG204" i="17"/>
  <c r="AG294" i="17"/>
  <c r="Z358" i="17"/>
  <c r="Y358" i="17" s="1"/>
  <c r="AG358" i="17"/>
  <c r="AG436" i="17"/>
  <c r="Z436" i="17"/>
  <c r="Y436" i="17" s="1"/>
  <c r="AG449" i="17"/>
  <c r="Z449" i="17"/>
  <c r="Y449" i="17" s="1"/>
  <c r="Z475" i="17"/>
  <c r="Y475" i="17" s="1"/>
  <c r="AG475" i="17"/>
  <c r="Z101" i="17"/>
  <c r="Y101" i="17" s="1"/>
  <c r="AG104" i="17"/>
  <c r="Z128" i="17"/>
  <c r="Y128" i="17" s="1"/>
  <c r="AG242" i="17"/>
  <c r="Z242" i="17"/>
  <c r="Y242" i="17" s="1"/>
  <c r="AG412" i="17"/>
  <c r="Z412" i="17"/>
  <c r="Y412" i="17" s="1"/>
  <c r="AG416" i="17"/>
  <c r="AD44" i="17"/>
  <c r="Z44" i="17"/>
  <c r="Y44" i="17" s="1"/>
  <c r="Z131" i="17"/>
  <c r="Y131" i="17" s="1"/>
  <c r="AG137" i="17"/>
  <c r="AG336" i="17"/>
  <c r="Z416" i="17"/>
  <c r="Y416" i="17" s="1"/>
  <c r="AG265" i="17"/>
  <c r="AG376" i="17"/>
  <c r="Z387" i="17"/>
  <c r="Y387" i="17" s="1"/>
  <c r="AG387" i="17"/>
  <c r="V472" i="17"/>
  <c r="AG429" i="17"/>
  <c r="Z429" i="17"/>
  <c r="Y429" i="17" s="1"/>
  <c r="AD185" i="17"/>
  <c r="AG308" i="17"/>
  <c r="Z308" i="17"/>
  <c r="Y308" i="17" s="1"/>
  <c r="AG434" i="17"/>
  <c r="AG268" i="17"/>
  <c r="V327" i="17"/>
  <c r="Z199" i="17"/>
  <c r="Y199" i="17" s="1"/>
  <c r="Z409" i="17"/>
  <c r="Y409" i="17" s="1"/>
  <c r="Y7" i="20" l="1"/>
  <c r="AK7" i="20"/>
  <c r="AI6" i="20" s="1"/>
  <c r="AA552" i="20"/>
  <c r="AA558" i="19"/>
  <c r="AA7" i="19"/>
  <c r="Y8" i="19"/>
  <c r="X8" i="19"/>
  <c r="Y408" i="17"/>
  <c r="Y407" i="17" s="1"/>
  <c r="W407" i="17" s="1"/>
  <c r="Z407" i="17"/>
  <c r="X407" i="17" s="1"/>
  <c r="AG407" i="17" s="1"/>
  <c r="Z237" i="17"/>
  <c r="X237" i="17" s="1"/>
  <c r="AG237" i="17" s="1"/>
  <c r="Y238" i="17"/>
  <c r="Y237" i="17" s="1"/>
  <c r="W237" i="17" s="1"/>
  <c r="V177" i="17"/>
  <c r="Y327" i="17"/>
  <c r="W327" i="17" s="1"/>
  <c r="Z447" i="17"/>
  <c r="X447" i="17" s="1"/>
  <c r="AG447" i="17" s="1"/>
  <c r="Y448" i="17"/>
  <c r="Y447" i="17" s="1"/>
  <c r="W447" i="17" s="1"/>
  <c r="Z133" i="17"/>
  <c r="X133" i="17" s="1"/>
  <c r="AG133" i="17" s="1"/>
  <c r="Y134" i="17"/>
  <c r="Y133" i="17" s="1"/>
  <c r="W133" i="17" s="1"/>
  <c r="Y221" i="17"/>
  <c r="Y220" i="17" s="1"/>
  <c r="W220" i="17" s="1"/>
  <c r="Z220" i="17"/>
  <c r="X220" i="17" s="1"/>
  <c r="AG220" i="17" s="1"/>
  <c r="Z144" i="17"/>
  <c r="Y144" i="17" s="1"/>
  <c r="AG144" i="17"/>
  <c r="Y202" i="17"/>
  <c r="W202" i="17" s="1"/>
  <c r="Y497" i="17"/>
  <c r="Y496" i="17" s="1"/>
  <c r="W496" i="17" s="1"/>
  <c r="Z496" i="17"/>
  <c r="X496" i="17" s="1"/>
  <c r="AG496" i="17" s="1"/>
  <c r="Y378" i="17"/>
  <c r="Y377" i="17" s="1"/>
  <c r="W377" i="17" s="1"/>
  <c r="Z377" i="17"/>
  <c r="X377" i="17" s="1"/>
  <c r="AG377" i="17" s="1"/>
  <c r="Z38" i="17"/>
  <c r="X38" i="17" s="1"/>
  <c r="AG38" i="17" s="1"/>
  <c r="AL491" i="17"/>
  <c r="Y491" i="17"/>
  <c r="Z369" i="17"/>
  <c r="X369" i="17" s="1"/>
  <c r="AG369" i="17" s="1"/>
  <c r="Y370" i="17"/>
  <c r="Y369" i="17" s="1"/>
  <c r="W369" i="17" s="1"/>
  <c r="AG226" i="17"/>
  <c r="Z226" i="17"/>
  <c r="Y226" i="17" s="1"/>
  <c r="Y178" i="17"/>
  <c r="Y177" i="17" s="1"/>
  <c r="W177" i="17" s="1"/>
  <c r="Z177" i="17"/>
  <c r="X177" i="17" s="1"/>
  <c r="AG177" i="17" s="1"/>
  <c r="AL494" i="17"/>
  <c r="Y494" i="17"/>
  <c r="Y492" i="17" s="1"/>
  <c r="W492" i="17" s="1"/>
  <c r="Y38" i="17"/>
  <c r="W38" i="17" s="1"/>
  <c r="V38" i="17"/>
  <c r="V8" i="17" s="1"/>
  <c r="V7" i="17" s="1"/>
  <c r="AI7" i="17" s="1"/>
  <c r="AG228" i="17"/>
  <c r="Z228" i="17"/>
  <c r="Y228" i="17" s="1"/>
  <c r="Z202" i="17"/>
  <c r="X202" i="17" s="1"/>
  <c r="AG202" i="17" s="1"/>
  <c r="Y473" i="17"/>
  <c r="Z472" i="17"/>
  <c r="X472" i="17" s="1"/>
  <c r="AG472" i="17" s="1"/>
  <c r="Y10" i="17"/>
  <c r="Y9" i="17" s="1"/>
  <c r="Z9" i="17"/>
  <c r="Y552" i="20" l="1"/>
  <c r="AH552" i="20" s="1"/>
  <c r="Z552" i="20"/>
  <c r="AK7" i="19"/>
  <c r="AI6" i="19" s="1"/>
  <c r="Y7" i="19"/>
  <c r="AA552" i="19"/>
  <c r="X9" i="17"/>
  <c r="Z8" i="17"/>
  <c r="W9" i="17"/>
  <c r="Y8" i="17"/>
  <c r="Y472" i="17"/>
  <c r="W472" i="17" s="1"/>
  <c r="X552" i="20" l="1"/>
  <c r="Z7" i="20"/>
  <c r="Z558" i="20"/>
  <c r="Y552" i="19"/>
  <c r="AH552" i="19" s="1"/>
  <c r="Z552" i="19"/>
  <c r="W8" i="17"/>
  <c r="Z7" i="17"/>
  <c r="X8" i="17"/>
  <c r="Z500" i="17"/>
  <c r="AK9" i="20" l="1"/>
  <c r="AJ6" i="20" s="1"/>
  <c r="X7" i="20"/>
  <c r="X552" i="19"/>
  <c r="Z558" i="19"/>
  <c r="Z7" i="19"/>
  <c r="Z495" i="17"/>
  <c r="AJ7" i="17"/>
  <c r="AH6" i="17" s="1"/>
  <c r="X7" i="17"/>
  <c r="X7" i="19" l="1"/>
  <c r="AK9" i="19"/>
  <c r="AJ6" i="19" s="1"/>
  <c r="Y495" i="17"/>
  <c r="X495" i="17"/>
  <c r="AG495" i="17" s="1"/>
  <c r="W495" i="17" l="1"/>
  <c r="Y7" i="17"/>
  <c r="Y500" i="17"/>
  <c r="AJ9" i="17" l="1"/>
  <c r="AI6" i="17" s="1"/>
  <c r="W7" i="17"/>
  <c r="AJ7" i="16" l="1"/>
  <c r="AE549" i="16"/>
  <c r="AD557" i="16"/>
  <c r="AD556" i="16"/>
  <c r="AD553" i="16"/>
  <c r="AD552" i="16"/>
  <c r="AD549" i="16"/>
  <c r="AD529" i="16"/>
  <c r="AD508" i="16"/>
  <c r="AD504" i="16"/>
  <c r="AD464" i="16"/>
  <c r="AD434" i="16"/>
  <c r="AD432" i="16"/>
  <c r="AD415" i="16"/>
  <c r="AD407" i="16"/>
  <c r="AD362" i="16"/>
  <c r="AD263" i="16"/>
  <c r="AD242" i="16"/>
  <c r="AD223" i="16"/>
  <c r="AD193" i="16"/>
  <c r="AD144" i="16"/>
  <c r="AD40" i="16"/>
  <c r="V555" i="16"/>
  <c r="AD555" i="16" s="1"/>
  <c r="V554" i="16"/>
  <c r="AD554" i="16" s="1"/>
  <c r="V551" i="16"/>
  <c r="AD551" i="16" s="1"/>
  <c r="V550" i="16"/>
  <c r="AD550" i="16" s="1"/>
  <c r="V548" i="16"/>
  <c r="AD548" i="16" s="1"/>
  <c r="V547" i="16"/>
  <c r="AD547" i="16" s="1"/>
  <c r="V546" i="16"/>
  <c r="AD546" i="16" s="1"/>
  <c r="V545" i="16"/>
  <c r="AD545" i="16" s="1"/>
  <c r="V544" i="16"/>
  <c r="AD544" i="16" s="1"/>
  <c r="V543" i="16"/>
  <c r="AD543" i="16" s="1"/>
  <c r="V542" i="16"/>
  <c r="AD542" i="16" s="1"/>
  <c r="V541" i="16"/>
  <c r="AD541" i="16" s="1"/>
  <c r="V540" i="16"/>
  <c r="AD540" i="16" s="1"/>
  <c r="V539" i="16"/>
  <c r="AD539" i="16" s="1"/>
  <c r="V538" i="16"/>
  <c r="AD538" i="16" s="1"/>
  <c r="V537" i="16"/>
  <c r="AD537" i="16" s="1"/>
  <c r="V536" i="16"/>
  <c r="AD536" i="16" s="1"/>
  <c r="V535" i="16"/>
  <c r="AD535" i="16" s="1"/>
  <c r="V534" i="16"/>
  <c r="AD534" i="16" s="1"/>
  <c r="V533" i="16"/>
  <c r="AD533" i="16" s="1"/>
  <c r="V532" i="16"/>
  <c r="AD532" i="16" s="1"/>
  <c r="V531" i="16"/>
  <c r="AD531" i="16" s="1"/>
  <c r="V530" i="16"/>
  <c r="AD530" i="16" s="1"/>
  <c r="V528" i="16"/>
  <c r="AD528" i="16" s="1"/>
  <c r="V527" i="16"/>
  <c r="AD527" i="16" s="1"/>
  <c r="V526" i="16"/>
  <c r="AD526" i="16" s="1"/>
  <c r="V525" i="16"/>
  <c r="AD525" i="16" s="1"/>
  <c r="V524" i="16"/>
  <c r="AD524" i="16" s="1"/>
  <c r="V523" i="16"/>
  <c r="AD523" i="16" s="1"/>
  <c r="V522" i="16"/>
  <c r="AD522" i="16" s="1"/>
  <c r="V521" i="16"/>
  <c r="AD521" i="16" s="1"/>
  <c r="V520" i="16"/>
  <c r="AD520" i="16" s="1"/>
  <c r="V519" i="16"/>
  <c r="AD519" i="16" s="1"/>
  <c r="V518" i="16"/>
  <c r="AD518" i="16" s="1"/>
  <c r="V517" i="16"/>
  <c r="AD517" i="16" s="1"/>
  <c r="V516" i="16"/>
  <c r="AD516" i="16" s="1"/>
  <c r="V515" i="16"/>
  <c r="AD515" i="16" s="1"/>
  <c r="V514" i="16"/>
  <c r="AD514" i="16" s="1"/>
  <c r="V513" i="16"/>
  <c r="AD513" i="16" s="1"/>
  <c r="V512" i="16"/>
  <c r="AD512" i="16" s="1"/>
  <c r="V511" i="16"/>
  <c r="AD511" i="16" s="1"/>
  <c r="V510" i="16"/>
  <c r="AD510" i="16" s="1"/>
  <c r="V509" i="16"/>
  <c r="AD509" i="16" s="1"/>
  <c r="V507" i="16"/>
  <c r="AD507" i="16" s="1"/>
  <c r="V506" i="16"/>
  <c r="AD506" i="16" s="1"/>
  <c r="V505" i="16"/>
  <c r="AD505" i="16" s="1"/>
  <c r="V503" i="16"/>
  <c r="AD503" i="16" s="1"/>
  <c r="V502" i="16"/>
  <c r="AD502" i="16" s="1"/>
  <c r="V501" i="16"/>
  <c r="AD501" i="16" s="1"/>
  <c r="V500" i="16"/>
  <c r="AD500" i="16" s="1"/>
  <c r="V499" i="16"/>
  <c r="AD499" i="16" s="1"/>
  <c r="V498" i="16"/>
  <c r="AD498" i="16" s="1"/>
  <c r="V497" i="16"/>
  <c r="AD497" i="16" s="1"/>
  <c r="V496" i="16"/>
  <c r="AD496" i="16" s="1"/>
  <c r="V495" i="16"/>
  <c r="AD495" i="16" s="1"/>
  <c r="V494" i="16"/>
  <c r="AD494" i="16" s="1"/>
  <c r="V493" i="16"/>
  <c r="AD493" i="16" s="1"/>
  <c r="V492" i="16"/>
  <c r="AD492" i="16" s="1"/>
  <c r="V491" i="16"/>
  <c r="AD491" i="16" s="1"/>
  <c r="V490" i="16"/>
  <c r="AD490" i="16" s="1"/>
  <c r="V489" i="16"/>
  <c r="AD489" i="16" s="1"/>
  <c r="V488" i="16"/>
  <c r="AD488" i="16" s="1"/>
  <c r="V487" i="16"/>
  <c r="AD487" i="16" s="1"/>
  <c r="V486" i="16"/>
  <c r="AD486" i="16" s="1"/>
  <c r="V485" i="16"/>
  <c r="AD485" i="16" s="1"/>
  <c r="V484" i="16"/>
  <c r="AD484" i="16" s="1"/>
  <c r="V483" i="16"/>
  <c r="AD483" i="16" s="1"/>
  <c r="V482" i="16"/>
  <c r="AD482" i="16" s="1"/>
  <c r="V481" i="16"/>
  <c r="AD481" i="16" s="1"/>
  <c r="V480" i="16"/>
  <c r="AD480" i="16" s="1"/>
  <c r="V479" i="16"/>
  <c r="AD479" i="16" s="1"/>
  <c r="V478" i="16"/>
  <c r="AD478" i="16" s="1"/>
  <c r="V477" i="16"/>
  <c r="AD477" i="16" s="1"/>
  <c r="V476" i="16"/>
  <c r="AD476" i="16" s="1"/>
  <c r="V475" i="16"/>
  <c r="AD475" i="16" s="1"/>
  <c r="V474" i="16"/>
  <c r="AD474" i="16" s="1"/>
  <c r="V473" i="16"/>
  <c r="AD473" i="16" s="1"/>
  <c r="V472" i="16"/>
  <c r="AD472" i="16" s="1"/>
  <c r="V471" i="16"/>
  <c r="AD471" i="16" s="1"/>
  <c r="V470" i="16"/>
  <c r="AD470" i="16" s="1"/>
  <c r="V469" i="16"/>
  <c r="AD469" i="16" s="1"/>
  <c r="V468" i="16"/>
  <c r="AD468" i="16" s="1"/>
  <c r="V467" i="16"/>
  <c r="AD467" i="16" s="1"/>
  <c r="V466" i="16"/>
  <c r="AD466" i="16" s="1"/>
  <c r="V465" i="16"/>
  <c r="AD465" i="16" s="1"/>
  <c r="V463" i="16"/>
  <c r="AD463" i="16" s="1"/>
  <c r="V462" i="16"/>
  <c r="AD462" i="16" s="1"/>
  <c r="V461" i="16"/>
  <c r="AD461" i="16" s="1"/>
  <c r="V460" i="16"/>
  <c r="AD460" i="16" s="1"/>
  <c r="V459" i="16"/>
  <c r="AD459" i="16" s="1"/>
  <c r="V458" i="16"/>
  <c r="AD458" i="16" s="1"/>
  <c r="V457" i="16"/>
  <c r="AD457" i="16" s="1"/>
  <c r="V456" i="16"/>
  <c r="AD456" i="16" s="1"/>
  <c r="V455" i="16"/>
  <c r="AD455" i="16" s="1"/>
  <c r="V454" i="16"/>
  <c r="AD454" i="16" s="1"/>
  <c r="V453" i="16"/>
  <c r="AD453" i="16" s="1"/>
  <c r="V452" i="16"/>
  <c r="AD452" i="16" s="1"/>
  <c r="V451" i="16"/>
  <c r="AD451" i="16" s="1"/>
  <c r="V450" i="16"/>
  <c r="AD450" i="16" s="1"/>
  <c r="V449" i="16"/>
  <c r="AD449" i="16" s="1"/>
  <c r="V448" i="16"/>
  <c r="AD448" i="16" s="1"/>
  <c r="V447" i="16"/>
  <c r="AD447" i="16" s="1"/>
  <c r="V446" i="16"/>
  <c r="AD446" i="16" s="1"/>
  <c r="V445" i="16"/>
  <c r="AD445" i="16" s="1"/>
  <c r="V444" i="16"/>
  <c r="AD444" i="16" s="1"/>
  <c r="V443" i="16"/>
  <c r="AD443" i="16" s="1"/>
  <c r="V442" i="16"/>
  <c r="AD442" i="16" s="1"/>
  <c r="V441" i="16"/>
  <c r="AD441" i="16" s="1"/>
  <c r="V440" i="16"/>
  <c r="AD440" i="16" s="1"/>
  <c r="V439" i="16"/>
  <c r="AD439" i="16" s="1"/>
  <c r="V438" i="16"/>
  <c r="AD438" i="16" s="1"/>
  <c r="V437" i="16"/>
  <c r="AD437" i="16" s="1"/>
  <c r="V436" i="16"/>
  <c r="AD436" i="16" s="1"/>
  <c r="V435" i="16"/>
  <c r="AD435" i="16" s="1"/>
  <c r="V433" i="16"/>
  <c r="AD433" i="16" s="1"/>
  <c r="V431" i="16"/>
  <c r="AD431" i="16" s="1"/>
  <c r="V430" i="16"/>
  <c r="AD430" i="16" s="1"/>
  <c r="V429" i="16"/>
  <c r="AD429" i="16" s="1"/>
  <c r="V428" i="16"/>
  <c r="AD428" i="16" s="1"/>
  <c r="V427" i="16"/>
  <c r="AD427" i="16" s="1"/>
  <c r="V426" i="16"/>
  <c r="AD426" i="16" s="1"/>
  <c r="V425" i="16"/>
  <c r="AD425" i="16" s="1"/>
  <c r="V424" i="16"/>
  <c r="AD424" i="16" s="1"/>
  <c r="V423" i="16"/>
  <c r="AD423" i="16" s="1"/>
  <c r="V422" i="16"/>
  <c r="AD422" i="16" s="1"/>
  <c r="V421" i="16"/>
  <c r="AD421" i="16" s="1"/>
  <c r="V420" i="16"/>
  <c r="AD420" i="16" s="1"/>
  <c r="V419" i="16"/>
  <c r="AD419" i="16" s="1"/>
  <c r="V418" i="16"/>
  <c r="AD418" i="16" s="1"/>
  <c r="V417" i="16"/>
  <c r="AD417" i="16" s="1"/>
  <c r="V416" i="16"/>
  <c r="AD416" i="16" s="1"/>
  <c r="V414" i="16"/>
  <c r="AD414" i="16" s="1"/>
  <c r="V413" i="16"/>
  <c r="AD413" i="16" s="1"/>
  <c r="V412" i="16"/>
  <c r="AD412" i="16" s="1"/>
  <c r="V411" i="16"/>
  <c r="AD411" i="16" s="1"/>
  <c r="V410" i="16"/>
  <c r="AD410" i="16" s="1"/>
  <c r="V409" i="16"/>
  <c r="AD409" i="16" s="1"/>
  <c r="V408" i="16"/>
  <c r="AD408" i="16" s="1"/>
  <c r="V406" i="16"/>
  <c r="AD406" i="16" s="1"/>
  <c r="V405" i="16"/>
  <c r="AD405" i="16" s="1"/>
  <c r="V404" i="16"/>
  <c r="AD404" i="16" s="1"/>
  <c r="V403" i="16"/>
  <c r="AD403" i="16" s="1"/>
  <c r="V402" i="16"/>
  <c r="AD402" i="16" s="1"/>
  <c r="V401" i="16"/>
  <c r="AD401" i="16" s="1"/>
  <c r="V400" i="16"/>
  <c r="AD400" i="16" s="1"/>
  <c r="V399" i="16"/>
  <c r="AD399" i="16" s="1"/>
  <c r="V398" i="16"/>
  <c r="AD398" i="16" s="1"/>
  <c r="V397" i="16"/>
  <c r="AD397" i="16" s="1"/>
  <c r="V396" i="16"/>
  <c r="AD396" i="16" s="1"/>
  <c r="V395" i="16"/>
  <c r="AD395" i="16" s="1"/>
  <c r="V394" i="16"/>
  <c r="AD394" i="16" s="1"/>
  <c r="V393" i="16"/>
  <c r="AD393" i="16" s="1"/>
  <c r="V392" i="16"/>
  <c r="AD392" i="16" s="1"/>
  <c r="V391" i="16"/>
  <c r="AD391" i="16" s="1"/>
  <c r="V390" i="16"/>
  <c r="AD390" i="16" s="1"/>
  <c r="V389" i="16"/>
  <c r="AD389" i="16" s="1"/>
  <c r="V388" i="16"/>
  <c r="AD388" i="16" s="1"/>
  <c r="V387" i="16"/>
  <c r="AD387" i="16" s="1"/>
  <c r="V386" i="16"/>
  <c r="AD386" i="16" s="1"/>
  <c r="V385" i="16"/>
  <c r="AD385" i="16" s="1"/>
  <c r="V384" i="16"/>
  <c r="AD384" i="16" s="1"/>
  <c r="V383" i="16"/>
  <c r="AD383" i="16" s="1"/>
  <c r="V382" i="16"/>
  <c r="AD382" i="16" s="1"/>
  <c r="V381" i="16"/>
  <c r="AD381" i="16" s="1"/>
  <c r="V380" i="16"/>
  <c r="AD380" i="16" s="1"/>
  <c r="V379" i="16"/>
  <c r="AD379" i="16" s="1"/>
  <c r="V377" i="16"/>
  <c r="AD377" i="16" s="1"/>
  <c r="V376" i="16"/>
  <c r="AD376" i="16" s="1"/>
  <c r="V375" i="16"/>
  <c r="AD375" i="16" s="1"/>
  <c r="V374" i="16"/>
  <c r="AD374" i="16" s="1"/>
  <c r="V373" i="16"/>
  <c r="AD373" i="16" s="1"/>
  <c r="V372" i="16"/>
  <c r="AD372" i="16" s="1"/>
  <c r="V371" i="16"/>
  <c r="AD371" i="16" s="1"/>
  <c r="V370" i="16"/>
  <c r="AD370" i="16" s="1"/>
  <c r="V369" i="16"/>
  <c r="AD369" i="16" s="1"/>
  <c r="V368" i="16"/>
  <c r="AD368" i="16" s="1"/>
  <c r="V367" i="16"/>
  <c r="AD367" i="16" s="1"/>
  <c r="V365" i="16"/>
  <c r="AD365" i="16" s="1"/>
  <c r="V364" i="16"/>
  <c r="AD364" i="16" s="1"/>
  <c r="V363" i="16"/>
  <c r="AD363" i="16" s="1"/>
  <c r="V361" i="16"/>
  <c r="AD361" i="16" s="1"/>
  <c r="V360" i="16"/>
  <c r="AD360" i="16" s="1"/>
  <c r="V359" i="16"/>
  <c r="AD359" i="16" s="1"/>
  <c r="V358" i="16"/>
  <c r="AD358" i="16" s="1"/>
  <c r="V357" i="16"/>
  <c r="AD357" i="16" s="1"/>
  <c r="V356" i="16"/>
  <c r="AD356" i="16" s="1"/>
  <c r="V355" i="16"/>
  <c r="AD355" i="16" s="1"/>
  <c r="V354" i="16"/>
  <c r="AD354" i="16" s="1"/>
  <c r="V353" i="16"/>
  <c r="AD353" i="16" s="1"/>
  <c r="V352" i="16"/>
  <c r="AD352" i="16" s="1"/>
  <c r="V351" i="16"/>
  <c r="AD351" i="16" s="1"/>
  <c r="V350" i="16"/>
  <c r="AD350" i="16" s="1"/>
  <c r="V349" i="16"/>
  <c r="AD349" i="16" s="1"/>
  <c r="V348" i="16"/>
  <c r="AD348" i="16" s="1"/>
  <c r="V347" i="16"/>
  <c r="AD347" i="16" s="1"/>
  <c r="V346" i="16"/>
  <c r="AD346" i="16" s="1"/>
  <c r="V345" i="16"/>
  <c r="AD345" i="16" s="1"/>
  <c r="V344" i="16"/>
  <c r="AD344" i="16" s="1"/>
  <c r="V343" i="16"/>
  <c r="AD343" i="16" s="1"/>
  <c r="V342" i="16"/>
  <c r="AD342" i="16" s="1"/>
  <c r="V341" i="16"/>
  <c r="AD341" i="16" s="1"/>
  <c r="V340" i="16"/>
  <c r="AD340" i="16" s="1"/>
  <c r="V339" i="16"/>
  <c r="AD339" i="16" s="1"/>
  <c r="V338" i="16"/>
  <c r="AD338" i="16" s="1"/>
  <c r="V337" i="16"/>
  <c r="AD337" i="16" s="1"/>
  <c r="V336" i="16"/>
  <c r="AD336" i="16" s="1"/>
  <c r="V335" i="16"/>
  <c r="AD335" i="16" s="1"/>
  <c r="V334" i="16"/>
  <c r="AD334" i="16" s="1"/>
  <c r="V333" i="16"/>
  <c r="AD333" i="16" s="1"/>
  <c r="V332" i="16"/>
  <c r="AD332" i="16" s="1"/>
  <c r="V331" i="16"/>
  <c r="AD331" i="16" s="1"/>
  <c r="V330" i="16"/>
  <c r="AD330" i="16" s="1"/>
  <c r="V329" i="16"/>
  <c r="AD329" i="16" s="1"/>
  <c r="V328" i="16"/>
  <c r="AD328" i="16" s="1"/>
  <c r="V327" i="16"/>
  <c r="AD327" i="16" s="1"/>
  <c r="V326" i="16"/>
  <c r="AD326" i="16" s="1"/>
  <c r="V325" i="16"/>
  <c r="AD325" i="16" s="1"/>
  <c r="V324" i="16"/>
  <c r="AD324" i="16" s="1"/>
  <c r="V323" i="16"/>
  <c r="AD323" i="16" s="1"/>
  <c r="V322" i="16"/>
  <c r="AD322" i="16" s="1"/>
  <c r="V321" i="16"/>
  <c r="AD321" i="16" s="1"/>
  <c r="V320" i="16"/>
  <c r="AD320" i="16" s="1"/>
  <c r="V319" i="16"/>
  <c r="AD319" i="16" s="1"/>
  <c r="V318" i="16"/>
  <c r="AD318" i="16" s="1"/>
  <c r="V317" i="16"/>
  <c r="AD317" i="16" s="1"/>
  <c r="V316" i="16"/>
  <c r="AD316" i="16" s="1"/>
  <c r="V315" i="16"/>
  <c r="AD315" i="16" s="1"/>
  <c r="V314" i="16"/>
  <c r="AD314" i="16" s="1"/>
  <c r="V313" i="16"/>
  <c r="AD313" i="16" s="1"/>
  <c r="V312" i="16"/>
  <c r="AD312" i="16" s="1"/>
  <c r="V311" i="16"/>
  <c r="AD311" i="16" s="1"/>
  <c r="V310" i="16"/>
  <c r="AD310" i="16" s="1"/>
  <c r="V309" i="16"/>
  <c r="AD309" i="16" s="1"/>
  <c r="V308" i="16"/>
  <c r="AD308" i="16" s="1"/>
  <c r="V307" i="16"/>
  <c r="AD307" i="16" s="1"/>
  <c r="V306" i="16"/>
  <c r="AD306" i="16" s="1"/>
  <c r="V305" i="16"/>
  <c r="AD305" i="16" s="1"/>
  <c r="V304" i="16"/>
  <c r="AD304" i="16" s="1"/>
  <c r="V303" i="16"/>
  <c r="AD303" i="16" s="1"/>
  <c r="V302" i="16"/>
  <c r="AD302" i="16" s="1"/>
  <c r="V301" i="16"/>
  <c r="AD301" i="16" s="1"/>
  <c r="V300" i="16"/>
  <c r="AD300" i="16" s="1"/>
  <c r="V299" i="16"/>
  <c r="AD299" i="16" s="1"/>
  <c r="V298" i="16"/>
  <c r="AD298" i="16" s="1"/>
  <c r="V297" i="16"/>
  <c r="AD297" i="16" s="1"/>
  <c r="V296" i="16"/>
  <c r="AD296" i="16" s="1"/>
  <c r="V295" i="16"/>
  <c r="AD295" i="16" s="1"/>
  <c r="V294" i="16"/>
  <c r="AD294" i="16" s="1"/>
  <c r="V293" i="16"/>
  <c r="AD293" i="16" s="1"/>
  <c r="V292" i="16"/>
  <c r="AD292" i="16" s="1"/>
  <c r="V291" i="16"/>
  <c r="AD291" i="16" s="1"/>
  <c r="V290" i="16"/>
  <c r="AD290" i="16" s="1"/>
  <c r="V289" i="16"/>
  <c r="AD289" i="16" s="1"/>
  <c r="V288" i="16"/>
  <c r="AD288" i="16" s="1"/>
  <c r="V287" i="16"/>
  <c r="AD287" i="16" s="1"/>
  <c r="V286" i="16"/>
  <c r="AD286" i="16" s="1"/>
  <c r="V285" i="16"/>
  <c r="AD285" i="16" s="1"/>
  <c r="V284" i="16"/>
  <c r="AD284" i="16" s="1"/>
  <c r="V283" i="16"/>
  <c r="AD283" i="16" s="1"/>
  <c r="V282" i="16"/>
  <c r="AD282" i="16" s="1"/>
  <c r="V281" i="16"/>
  <c r="AD281" i="16" s="1"/>
  <c r="V280" i="16"/>
  <c r="AD280" i="16" s="1"/>
  <c r="V279" i="16"/>
  <c r="AD279" i="16" s="1"/>
  <c r="V278" i="16"/>
  <c r="AD278" i="16" s="1"/>
  <c r="V277" i="16"/>
  <c r="AD277" i="16" s="1"/>
  <c r="V276" i="16"/>
  <c r="AD276" i="16" s="1"/>
  <c r="V275" i="16"/>
  <c r="AD275" i="16" s="1"/>
  <c r="V274" i="16"/>
  <c r="AD274" i="16" s="1"/>
  <c r="V273" i="16"/>
  <c r="AD273" i="16" s="1"/>
  <c r="V272" i="16"/>
  <c r="AD272" i="16" s="1"/>
  <c r="V271" i="16"/>
  <c r="AD271" i="16" s="1"/>
  <c r="V270" i="16"/>
  <c r="AD270" i="16" s="1"/>
  <c r="V269" i="16"/>
  <c r="AD269" i="16" s="1"/>
  <c r="V268" i="16"/>
  <c r="AD268" i="16" s="1"/>
  <c r="V267" i="16"/>
  <c r="AD267" i="16" s="1"/>
  <c r="V266" i="16"/>
  <c r="AD266" i="16" s="1"/>
  <c r="V265" i="16"/>
  <c r="AD265" i="16" s="1"/>
  <c r="V264" i="16"/>
  <c r="AD264" i="16" s="1"/>
  <c r="V262" i="16"/>
  <c r="AD262" i="16" s="1"/>
  <c r="V261" i="16"/>
  <c r="AD261" i="16" s="1"/>
  <c r="V260" i="16"/>
  <c r="AD260" i="16" s="1"/>
  <c r="V259" i="16"/>
  <c r="AD259" i="16" s="1"/>
  <c r="V258" i="16"/>
  <c r="AD258" i="16" s="1"/>
  <c r="V257" i="16"/>
  <c r="AD257" i="16" s="1"/>
  <c r="V256" i="16"/>
  <c r="AD256" i="16" s="1"/>
  <c r="V255" i="16"/>
  <c r="AD255" i="16" s="1"/>
  <c r="V253" i="16"/>
  <c r="AD253" i="16" s="1"/>
  <c r="V252" i="16"/>
  <c r="AD252" i="16" s="1"/>
  <c r="V251" i="16"/>
  <c r="AD251" i="16" s="1"/>
  <c r="V250" i="16"/>
  <c r="AD250" i="16" s="1"/>
  <c r="V249" i="16"/>
  <c r="AD249" i="16" s="1"/>
  <c r="V248" i="16"/>
  <c r="AD248" i="16" s="1"/>
  <c r="V247" i="16"/>
  <c r="AD247" i="16" s="1"/>
  <c r="V246" i="16"/>
  <c r="AD246" i="16" s="1"/>
  <c r="V245" i="16"/>
  <c r="AD245" i="16" s="1"/>
  <c r="V244" i="16"/>
  <c r="AD244" i="16" s="1"/>
  <c r="V243" i="16"/>
  <c r="AD243" i="16" s="1"/>
  <c r="V241" i="16"/>
  <c r="AD241" i="16" s="1"/>
  <c r="V240" i="16"/>
  <c r="AD240" i="16" s="1"/>
  <c r="V239" i="16"/>
  <c r="AD239" i="16" s="1"/>
  <c r="V238" i="16"/>
  <c r="AD238" i="16" s="1"/>
  <c r="V237" i="16"/>
  <c r="AD237" i="16" s="1"/>
  <c r="V236" i="16"/>
  <c r="AD236" i="16" s="1"/>
  <c r="V235" i="16"/>
  <c r="AD235" i="16" s="1"/>
  <c r="V234" i="16"/>
  <c r="AD234" i="16" s="1"/>
  <c r="V233" i="16"/>
  <c r="AD233" i="16" s="1"/>
  <c r="V232" i="16"/>
  <c r="AD232" i="16" s="1"/>
  <c r="V231" i="16"/>
  <c r="AD231" i="16" s="1"/>
  <c r="V230" i="16"/>
  <c r="AD230" i="16" s="1"/>
  <c r="V229" i="16"/>
  <c r="AD229" i="16" s="1"/>
  <c r="V228" i="16"/>
  <c r="AD228" i="16" s="1"/>
  <c r="V227" i="16"/>
  <c r="AD227" i="16" s="1"/>
  <c r="V226" i="16"/>
  <c r="AD226" i="16" s="1"/>
  <c r="V225" i="16"/>
  <c r="AD225" i="16" s="1"/>
  <c r="V224" i="16"/>
  <c r="AD224" i="16" s="1"/>
  <c r="V222" i="16"/>
  <c r="AD222" i="16" s="1"/>
  <c r="V221" i="16"/>
  <c r="AD221" i="16" s="1"/>
  <c r="V220" i="16"/>
  <c r="AD220" i="16" s="1"/>
  <c r="V219" i="16"/>
  <c r="AD219" i="16" s="1"/>
  <c r="V218" i="16"/>
  <c r="AD218" i="16" s="1"/>
  <c r="V217" i="16"/>
  <c r="AD217" i="16" s="1"/>
  <c r="V216" i="16"/>
  <c r="AD216" i="16" s="1"/>
  <c r="V215" i="16"/>
  <c r="AD215" i="16" s="1"/>
  <c r="V214" i="16"/>
  <c r="AD214" i="16" s="1"/>
  <c r="V213" i="16"/>
  <c r="AD213" i="16" s="1"/>
  <c r="V212" i="16"/>
  <c r="AD212" i="16" s="1"/>
  <c r="V210" i="16"/>
  <c r="AD210" i="16" s="1"/>
  <c r="V209" i="16"/>
  <c r="AD209" i="16" s="1"/>
  <c r="V208" i="16"/>
  <c r="AD208" i="16" s="1"/>
  <c r="V207" i="16"/>
  <c r="AD207" i="16" s="1"/>
  <c r="V206" i="16"/>
  <c r="AD206" i="16" s="1"/>
  <c r="V205" i="16"/>
  <c r="AD205" i="16" s="1"/>
  <c r="V204" i="16"/>
  <c r="AD204" i="16" s="1"/>
  <c r="V203" i="16"/>
  <c r="AD203" i="16" s="1"/>
  <c r="V202" i="16"/>
  <c r="AD202" i="16" s="1"/>
  <c r="V201" i="16"/>
  <c r="AD201" i="16" s="1"/>
  <c r="V200" i="16"/>
  <c r="AD200" i="16" s="1"/>
  <c r="V199" i="16"/>
  <c r="AD199" i="16" s="1"/>
  <c r="V198" i="16"/>
  <c r="AD198" i="16" s="1"/>
  <c r="V197" i="16"/>
  <c r="AD197" i="16" s="1"/>
  <c r="V195" i="16"/>
  <c r="AD195" i="16" s="1"/>
  <c r="V194" i="16"/>
  <c r="AD194" i="16" s="1"/>
  <c r="V192" i="16"/>
  <c r="AD192" i="16" s="1"/>
  <c r="V191" i="16"/>
  <c r="AD191" i="16" s="1"/>
  <c r="V190" i="16"/>
  <c r="AD190" i="16" s="1"/>
  <c r="V189" i="16"/>
  <c r="AD189" i="16" s="1"/>
  <c r="V188" i="16"/>
  <c r="AD188" i="16" s="1"/>
  <c r="V187" i="16"/>
  <c r="AD187" i="16" s="1"/>
  <c r="V186" i="16"/>
  <c r="AD186" i="16" s="1"/>
  <c r="V185" i="16"/>
  <c r="AD185" i="16" s="1"/>
  <c r="V184" i="16"/>
  <c r="AD184" i="16" s="1"/>
  <c r="V183" i="16"/>
  <c r="AD183" i="16" s="1"/>
  <c r="V182" i="16"/>
  <c r="AD182" i="16" s="1"/>
  <c r="V181" i="16"/>
  <c r="AD181" i="16" s="1"/>
  <c r="V180" i="16"/>
  <c r="AD180" i="16" s="1"/>
  <c r="V179" i="16"/>
  <c r="AD179" i="16" s="1"/>
  <c r="V178" i="16"/>
  <c r="AD178" i="16" s="1"/>
  <c r="V177" i="16"/>
  <c r="AD177" i="16" s="1"/>
  <c r="V176" i="16"/>
  <c r="AD176" i="16" s="1"/>
  <c r="V175" i="16"/>
  <c r="AD175" i="16" s="1"/>
  <c r="V174" i="16"/>
  <c r="AD174" i="16" s="1"/>
  <c r="V173" i="16"/>
  <c r="AD173" i="16" s="1"/>
  <c r="V172" i="16"/>
  <c r="AD172" i="16" s="1"/>
  <c r="V171" i="16"/>
  <c r="AD171" i="16" s="1"/>
  <c r="V170" i="16"/>
  <c r="AD170" i="16" s="1"/>
  <c r="V169" i="16"/>
  <c r="AD169" i="16" s="1"/>
  <c r="V168" i="16"/>
  <c r="AD168" i="16" s="1"/>
  <c r="V167" i="16"/>
  <c r="AD167" i="16" s="1"/>
  <c r="V166" i="16"/>
  <c r="AD166" i="16" s="1"/>
  <c r="V165" i="16"/>
  <c r="AD165" i="16" s="1"/>
  <c r="V164" i="16"/>
  <c r="AD164" i="16" s="1"/>
  <c r="V163" i="16"/>
  <c r="AD163" i="16" s="1"/>
  <c r="V161" i="16"/>
  <c r="AD161" i="16" s="1"/>
  <c r="V160" i="16"/>
  <c r="AD160" i="16" s="1"/>
  <c r="V159" i="16"/>
  <c r="AD159" i="16" s="1"/>
  <c r="V158" i="16"/>
  <c r="AD158" i="16" s="1"/>
  <c r="V157" i="16"/>
  <c r="AD157" i="16" s="1"/>
  <c r="V156" i="16"/>
  <c r="AD156" i="16" s="1"/>
  <c r="V155" i="16"/>
  <c r="AD155" i="16" s="1"/>
  <c r="V154" i="16"/>
  <c r="AD154" i="16" s="1"/>
  <c r="V153" i="16"/>
  <c r="AD153" i="16" s="1"/>
  <c r="V152" i="16"/>
  <c r="AD152" i="16" s="1"/>
  <c r="V151" i="16"/>
  <c r="AD151" i="16" s="1"/>
  <c r="V150" i="16"/>
  <c r="AD150" i="16" s="1"/>
  <c r="V149" i="16"/>
  <c r="AD149" i="16" s="1"/>
  <c r="V148" i="16"/>
  <c r="AD148" i="16" s="1"/>
  <c r="V147" i="16"/>
  <c r="AD147" i="16" s="1"/>
  <c r="V146" i="16"/>
  <c r="AD146" i="16" s="1"/>
  <c r="V145" i="16"/>
  <c r="AD145" i="16" s="1"/>
  <c r="V143" i="16"/>
  <c r="AD143" i="16" s="1"/>
  <c r="V142" i="16"/>
  <c r="AD142" i="16" s="1"/>
  <c r="V141" i="16"/>
  <c r="AD141" i="16" s="1"/>
  <c r="V140" i="16"/>
  <c r="AD140" i="16" s="1"/>
  <c r="V139" i="16"/>
  <c r="AD139" i="16" s="1"/>
  <c r="V138" i="16"/>
  <c r="AD138" i="16" s="1"/>
  <c r="V137" i="16"/>
  <c r="AD137" i="16" s="1"/>
  <c r="V136" i="16"/>
  <c r="AD136" i="16" s="1"/>
  <c r="V135" i="16"/>
  <c r="AD135" i="16" s="1"/>
  <c r="V134" i="16"/>
  <c r="AD134" i="16" s="1"/>
  <c r="V133" i="16"/>
  <c r="AD133" i="16" s="1"/>
  <c r="V132" i="16"/>
  <c r="AD132" i="16" s="1"/>
  <c r="V131" i="16"/>
  <c r="AD131" i="16" s="1"/>
  <c r="V130" i="16"/>
  <c r="AD130" i="16" s="1"/>
  <c r="V129" i="16"/>
  <c r="AD129" i="16" s="1"/>
  <c r="V128" i="16"/>
  <c r="AD128" i="16" s="1"/>
  <c r="V127" i="16"/>
  <c r="AD127" i="16" s="1"/>
  <c r="V126" i="16"/>
  <c r="AD126" i="16" s="1"/>
  <c r="V125" i="16"/>
  <c r="AD125" i="16" s="1"/>
  <c r="V124" i="16"/>
  <c r="AD124" i="16" s="1"/>
  <c r="V123" i="16"/>
  <c r="AD123" i="16" s="1"/>
  <c r="V122" i="16"/>
  <c r="AD122" i="16" s="1"/>
  <c r="V121" i="16"/>
  <c r="AD121" i="16" s="1"/>
  <c r="V120" i="16"/>
  <c r="AD120" i="16" s="1"/>
  <c r="V119" i="16"/>
  <c r="AD119" i="16" s="1"/>
  <c r="V118" i="16"/>
  <c r="AD118" i="16" s="1"/>
  <c r="V117" i="16"/>
  <c r="AD117" i="16" s="1"/>
  <c r="V116" i="16"/>
  <c r="AD116" i="16" s="1"/>
  <c r="V115" i="16"/>
  <c r="AD115" i="16" s="1"/>
  <c r="V114" i="16"/>
  <c r="AD114" i="16" s="1"/>
  <c r="V113" i="16"/>
  <c r="AD113" i="16" s="1"/>
  <c r="V112" i="16"/>
  <c r="AD112" i="16" s="1"/>
  <c r="V111" i="16"/>
  <c r="AD111" i="16" s="1"/>
  <c r="V110" i="16"/>
  <c r="AD110" i="16" s="1"/>
  <c r="V109" i="16"/>
  <c r="AD109" i="16" s="1"/>
  <c r="V108" i="16"/>
  <c r="AD108" i="16" s="1"/>
  <c r="V107" i="16"/>
  <c r="AD107" i="16" s="1"/>
  <c r="V106" i="16"/>
  <c r="AD106" i="16" s="1"/>
  <c r="V105" i="16"/>
  <c r="AD105" i="16" s="1"/>
  <c r="V104" i="16"/>
  <c r="AD104" i="16" s="1"/>
  <c r="V103" i="16"/>
  <c r="AD103" i="16" s="1"/>
  <c r="V102" i="16"/>
  <c r="AD102" i="16" s="1"/>
  <c r="V101" i="16"/>
  <c r="AD101" i="16" s="1"/>
  <c r="V100" i="16"/>
  <c r="AD100" i="16" s="1"/>
  <c r="V99" i="16"/>
  <c r="AD99" i="16" s="1"/>
  <c r="V98" i="16"/>
  <c r="AD98" i="16" s="1"/>
  <c r="V97" i="16"/>
  <c r="AD97" i="16" s="1"/>
  <c r="V96" i="16"/>
  <c r="AD96" i="16" s="1"/>
  <c r="V95" i="16"/>
  <c r="AD95" i="16" s="1"/>
  <c r="V94" i="16"/>
  <c r="AD94" i="16" s="1"/>
  <c r="V93" i="16"/>
  <c r="AD93" i="16" s="1"/>
  <c r="V91" i="16"/>
  <c r="AD91" i="16" s="1"/>
  <c r="V90" i="16"/>
  <c r="AD90" i="16" s="1"/>
  <c r="V89" i="16"/>
  <c r="AD89" i="16" s="1"/>
  <c r="V88" i="16"/>
  <c r="AD88" i="16" s="1"/>
  <c r="V87" i="16"/>
  <c r="AD87" i="16" s="1"/>
  <c r="V86" i="16"/>
  <c r="AD86" i="16" s="1"/>
  <c r="V85" i="16"/>
  <c r="AD85" i="16" s="1"/>
  <c r="V83" i="16"/>
  <c r="AD83" i="16" s="1"/>
  <c r="V82" i="16"/>
  <c r="AD82" i="16" s="1"/>
  <c r="V81" i="16"/>
  <c r="AD81" i="16" s="1"/>
  <c r="V80" i="16"/>
  <c r="AD80" i="16" s="1"/>
  <c r="V79" i="16"/>
  <c r="AD79" i="16" s="1"/>
  <c r="V78" i="16"/>
  <c r="AD78" i="16" s="1"/>
  <c r="V77" i="16"/>
  <c r="AD77" i="16" s="1"/>
  <c r="V76" i="16"/>
  <c r="AD76" i="16" s="1"/>
  <c r="V75" i="16"/>
  <c r="AD75" i="16" s="1"/>
  <c r="V74" i="16"/>
  <c r="AD74" i="16" s="1"/>
  <c r="V73" i="16"/>
  <c r="AD73" i="16" s="1"/>
  <c r="V72" i="16"/>
  <c r="AD72" i="16" s="1"/>
  <c r="V71" i="16"/>
  <c r="AD71" i="16" s="1"/>
  <c r="V70" i="16"/>
  <c r="AD70" i="16" s="1"/>
  <c r="V69" i="16"/>
  <c r="AD69" i="16" s="1"/>
  <c r="V68" i="16"/>
  <c r="AD68" i="16" s="1"/>
  <c r="V67" i="16"/>
  <c r="AD67" i="16" s="1"/>
  <c r="V66" i="16"/>
  <c r="AD66" i="16" s="1"/>
  <c r="V65" i="16"/>
  <c r="AD65" i="16" s="1"/>
  <c r="V64" i="16"/>
  <c r="AD64" i="16" s="1"/>
  <c r="V63" i="16"/>
  <c r="AD63" i="16" s="1"/>
  <c r="V62" i="16"/>
  <c r="AD62" i="16" s="1"/>
  <c r="V61" i="16"/>
  <c r="AD61" i="16" s="1"/>
  <c r="V60" i="16"/>
  <c r="AD60" i="16" s="1"/>
  <c r="V59" i="16"/>
  <c r="AD59" i="16" s="1"/>
  <c r="V58" i="16"/>
  <c r="AD58" i="16" s="1"/>
  <c r="V57" i="16"/>
  <c r="AD57" i="16" s="1"/>
  <c r="V56" i="16"/>
  <c r="AD56" i="16" s="1"/>
  <c r="V55" i="16"/>
  <c r="AD55" i="16" s="1"/>
  <c r="V54" i="16"/>
  <c r="AD54" i="16" s="1"/>
  <c r="V53" i="16"/>
  <c r="AD53" i="16" s="1"/>
  <c r="V52" i="16"/>
  <c r="AD52" i="16" s="1"/>
  <c r="V51" i="16"/>
  <c r="AD51" i="16" s="1"/>
  <c r="V50" i="16"/>
  <c r="AD50" i="16" s="1"/>
  <c r="V49" i="16"/>
  <c r="AD49" i="16" s="1"/>
  <c r="V48" i="16"/>
  <c r="AD48" i="16" s="1"/>
  <c r="V47" i="16"/>
  <c r="AD47" i="16" s="1"/>
  <c r="V46" i="16"/>
  <c r="AD46" i="16" s="1"/>
  <c r="V45" i="16"/>
  <c r="AD45" i="16" s="1"/>
  <c r="V44" i="16"/>
  <c r="AD44" i="16" s="1"/>
  <c r="V43" i="16"/>
  <c r="AD43" i="16" s="1"/>
  <c r="V42" i="16"/>
  <c r="AD42" i="16" s="1"/>
  <c r="V41" i="16"/>
  <c r="AD41" i="16" s="1"/>
  <c r="V39" i="16"/>
  <c r="AD39" i="16" s="1"/>
  <c r="V38" i="16"/>
  <c r="AD38" i="16" s="1"/>
  <c r="V37" i="16"/>
  <c r="AD37" i="16" s="1"/>
  <c r="V36" i="16"/>
  <c r="AD36" i="16" s="1"/>
  <c r="V35" i="16"/>
  <c r="AD35" i="16" s="1"/>
  <c r="V34" i="16"/>
  <c r="AD34" i="16" s="1"/>
  <c r="V33" i="16"/>
  <c r="AD33" i="16" s="1"/>
  <c r="V32" i="16"/>
  <c r="AD32" i="16" s="1"/>
  <c r="V31" i="16"/>
  <c r="AD31" i="16" s="1"/>
  <c r="V30" i="16"/>
  <c r="AD30" i="16" s="1"/>
  <c r="V29" i="16"/>
  <c r="AD29" i="16" s="1"/>
  <c r="V28" i="16"/>
  <c r="AD28" i="16" s="1"/>
  <c r="V27" i="16"/>
  <c r="AD27" i="16" s="1"/>
  <c r="V26" i="16"/>
  <c r="AD26" i="16" s="1"/>
  <c r="V25" i="16"/>
  <c r="AD25" i="16" s="1"/>
  <c r="V24" i="16"/>
  <c r="AD24" i="16" s="1"/>
  <c r="V23" i="16"/>
  <c r="AD23" i="16" s="1"/>
  <c r="V22" i="16"/>
  <c r="AD22" i="16" s="1"/>
  <c r="V21" i="16"/>
  <c r="AD21" i="16" s="1"/>
  <c r="V20" i="16"/>
  <c r="AD20" i="16" s="1"/>
  <c r="V19" i="16"/>
  <c r="AD19" i="16" s="1"/>
  <c r="V18" i="16"/>
  <c r="AD18" i="16" s="1"/>
  <c r="V16" i="16"/>
  <c r="AD16" i="16" s="1"/>
  <c r="V15" i="16"/>
  <c r="AD15" i="16" s="1"/>
  <c r="V14" i="16"/>
  <c r="AD14" i="16" s="1"/>
  <c r="V13" i="16"/>
  <c r="AD13" i="16" s="1"/>
  <c r="V12" i="16"/>
  <c r="AD12" i="16" s="1"/>
  <c r="V11" i="16"/>
  <c r="AD11" i="16" s="1"/>
  <c r="V10" i="16"/>
  <c r="AD10" i="16" s="1"/>
  <c r="X433" i="16"/>
  <c r="T433" i="16"/>
  <c r="S433" i="16"/>
  <c r="T432" i="16"/>
  <c r="S432" i="16"/>
  <c r="X555" i="16"/>
  <c r="T555" i="16"/>
  <c r="S555" i="16"/>
  <c r="X431" i="16"/>
  <c r="T431" i="16"/>
  <c r="S431" i="16"/>
  <c r="X430" i="16"/>
  <c r="T430" i="16"/>
  <c r="S430" i="16"/>
  <c r="X429" i="16"/>
  <c r="T429" i="16"/>
  <c r="S429" i="16"/>
  <c r="X428" i="16"/>
  <c r="T428" i="16"/>
  <c r="S428" i="16"/>
  <c r="X427" i="16"/>
  <c r="T427" i="16"/>
  <c r="S427" i="16"/>
  <c r="X426" i="16"/>
  <c r="T426" i="16"/>
  <c r="S426" i="16"/>
  <c r="X425" i="16"/>
  <c r="T425" i="16"/>
  <c r="S425" i="16"/>
  <c r="X424" i="16"/>
  <c r="T424" i="16"/>
  <c r="S424" i="16"/>
  <c r="X423" i="16"/>
  <c r="T423" i="16"/>
  <c r="S423" i="16"/>
  <c r="X422" i="16"/>
  <c r="T422" i="16"/>
  <c r="S422" i="16"/>
  <c r="X421" i="16"/>
  <c r="T421" i="16"/>
  <c r="S421" i="16"/>
  <c r="X420" i="16"/>
  <c r="T420" i="16"/>
  <c r="S420" i="16"/>
  <c r="X419" i="16"/>
  <c r="T419" i="16"/>
  <c r="S419" i="16"/>
  <c r="X418" i="16"/>
  <c r="T418" i="16"/>
  <c r="S418" i="16"/>
  <c r="X417" i="16"/>
  <c r="T417" i="16"/>
  <c r="S417" i="16"/>
  <c r="X416" i="16"/>
  <c r="T416" i="16"/>
  <c r="S416" i="16"/>
  <c r="T415" i="16"/>
  <c r="S415" i="16"/>
  <c r="X406" i="16"/>
  <c r="T406" i="16"/>
  <c r="S406" i="16"/>
  <c r="X405" i="16"/>
  <c r="T405" i="16"/>
  <c r="S405" i="16"/>
  <c r="X404" i="16"/>
  <c r="T404" i="16"/>
  <c r="S404" i="16"/>
  <c r="X361" i="16"/>
  <c r="T361" i="16"/>
  <c r="S361" i="16"/>
  <c r="X360" i="16"/>
  <c r="T360" i="16"/>
  <c r="S360" i="16"/>
  <c r="X359" i="16"/>
  <c r="T359" i="16"/>
  <c r="S359" i="16"/>
  <c r="X358" i="16"/>
  <c r="T358" i="16"/>
  <c r="S358" i="16"/>
  <c r="X357" i="16"/>
  <c r="T357" i="16"/>
  <c r="S357" i="16"/>
  <c r="X356" i="16"/>
  <c r="T356" i="16"/>
  <c r="S356" i="16"/>
  <c r="X355" i="16"/>
  <c r="T355" i="16"/>
  <c r="S355" i="16"/>
  <c r="X354" i="16"/>
  <c r="T354" i="16"/>
  <c r="S354" i="16"/>
  <c r="X353" i="16"/>
  <c r="T353" i="16"/>
  <c r="S353" i="16"/>
  <c r="X262" i="16"/>
  <c r="T262" i="16"/>
  <c r="S262" i="16"/>
  <c r="X261" i="16"/>
  <c r="T261" i="16"/>
  <c r="S261" i="16"/>
  <c r="X260" i="16"/>
  <c r="T260" i="16"/>
  <c r="S260" i="16"/>
  <c r="X259" i="16"/>
  <c r="T259" i="16"/>
  <c r="S259" i="16"/>
  <c r="X39" i="16"/>
  <c r="T39" i="16"/>
  <c r="S39" i="16"/>
  <c r="X38" i="16"/>
  <c r="T38" i="16"/>
  <c r="S38" i="16"/>
  <c r="X241" i="16"/>
  <c r="T241" i="16"/>
  <c r="S241" i="16"/>
  <c r="X222" i="16"/>
  <c r="T222" i="16"/>
  <c r="S222" i="16"/>
  <c r="X221" i="16"/>
  <c r="T221" i="16"/>
  <c r="S221" i="16"/>
  <c r="X220" i="16"/>
  <c r="T220" i="16"/>
  <c r="S220" i="16"/>
  <c r="X219" i="16"/>
  <c r="T219" i="16"/>
  <c r="S219" i="16"/>
  <c r="X218" i="16"/>
  <c r="T218" i="16"/>
  <c r="S218" i="16"/>
  <c r="X192" i="16"/>
  <c r="T192" i="16"/>
  <c r="S192" i="16"/>
  <c r="X191" i="16"/>
  <c r="T191" i="16"/>
  <c r="S191" i="16"/>
  <c r="X190" i="16"/>
  <c r="T190" i="16"/>
  <c r="S190" i="16"/>
  <c r="X189" i="16"/>
  <c r="T189" i="16"/>
  <c r="S189" i="16"/>
  <c r="X188" i="16"/>
  <c r="T188" i="16"/>
  <c r="S188" i="16"/>
  <c r="X143" i="16"/>
  <c r="X142" i="16"/>
  <c r="X141" i="16"/>
  <c r="X140" i="16"/>
  <c r="X139" i="16"/>
  <c r="X138" i="16"/>
  <c r="X137" i="16"/>
  <c r="X136" i="16"/>
  <c r="X135" i="16"/>
  <c r="T143" i="16"/>
  <c r="T142" i="16"/>
  <c r="T141" i="16"/>
  <c r="T140" i="16"/>
  <c r="T139" i="16"/>
  <c r="T138" i="16"/>
  <c r="T137" i="16"/>
  <c r="T136" i="16"/>
  <c r="T135" i="16"/>
  <c r="S143" i="16"/>
  <c r="S142" i="16"/>
  <c r="S141" i="16"/>
  <c r="S140" i="16"/>
  <c r="S139" i="16"/>
  <c r="S138" i="16"/>
  <c r="S137" i="16"/>
  <c r="S136" i="16"/>
  <c r="S135" i="16"/>
  <c r="AI413" i="16"/>
  <c r="AI412" i="16"/>
  <c r="AI397" i="16"/>
  <c r="AI288" i="16"/>
  <c r="AI154" i="16"/>
  <c r="AI150" i="16"/>
  <c r="AI125" i="16"/>
  <c r="AI124" i="16"/>
  <c r="AI119" i="16"/>
  <c r="AI113" i="16"/>
  <c r="AI69" i="16"/>
  <c r="AI55" i="16"/>
  <c r="Y192" i="16" l="1"/>
  <c r="Y39" i="16"/>
  <c r="Y356" i="16"/>
  <c r="Y360" i="16"/>
  <c r="Y421" i="16"/>
  <c r="Y429" i="16"/>
  <c r="Y143" i="16"/>
  <c r="Y38" i="16"/>
  <c r="Y359" i="16"/>
  <c r="Y405" i="16"/>
  <c r="Y416" i="16"/>
  <c r="Y420" i="16"/>
  <c r="Y424" i="16"/>
  <c r="Y428" i="16"/>
  <c r="Y555" i="16"/>
  <c r="Y142" i="16"/>
  <c r="Y139" i="16"/>
  <c r="Y136" i="16"/>
  <c r="Y140" i="16"/>
  <c r="Y190" i="16"/>
  <c r="Y219" i="16"/>
  <c r="Y241" i="16"/>
  <c r="Y260" i="16"/>
  <c r="Y354" i="16"/>
  <c r="Y358" i="16"/>
  <c r="Y404" i="16"/>
  <c r="Y419" i="16"/>
  <c r="Y423" i="16"/>
  <c r="AA423" i="16" s="1"/>
  <c r="Y427" i="16"/>
  <c r="Y431" i="16"/>
  <c r="Y433" i="16"/>
  <c r="AA433" i="16" s="1"/>
  <c r="Y138" i="16"/>
  <c r="Y188" i="16"/>
  <c r="Y221" i="16"/>
  <c r="Y262" i="16"/>
  <c r="Y406" i="16"/>
  <c r="Y417" i="16"/>
  <c r="Y425" i="16"/>
  <c r="Y135" i="16"/>
  <c r="Y191" i="16"/>
  <c r="Y220" i="16"/>
  <c r="Y261" i="16"/>
  <c r="Y355" i="16"/>
  <c r="Y137" i="16"/>
  <c r="Y141" i="16"/>
  <c r="Y189" i="16"/>
  <c r="Y218" i="16"/>
  <c r="Y222" i="16"/>
  <c r="Y259" i="16"/>
  <c r="Y353" i="16"/>
  <c r="Y357" i="16"/>
  <c r="Y361" i="16"/>
  <c r="Y418" i="16"/>
  <c r="Y422" i="16"/>
  <c r="Y426" i="16"/>
  <c r="Y430" i="16"/>
  <c r="AE433" i="16"/>
  <c r="AE555" i="16"/>
  <c r="AE417" i="16"/>
  <c r="AE406" i="16"/>
  <c r="AE356" i="16"/>
  <c r="AE360" i="16"/>
  <c r="AE418" i="16"/>
  <c r="AE424" i="16"/>
  <c r="AE425" i="16"/>
  <c r="AE420" i="16"/>
  <c r="AE192" i="16"/>
  <c r="AE353" i="16"/>
  <c r="AE357" i="16"/>
  <c r="AE361" i="16"/>
  <c r="AE262" i="16"/>
  <c r="AE220" i="16"/>
  <c r="AE135" i="16"/>
  <c r="AE143" i="16"/>
  <c r="AE355" i="16"/>
  <c r="AE426" i="16"/>
  <c r="AE416" i="16"/>
  <c r="AE189" i="16"/>
  <c r="AE241" i="16"/>
  <c r="AE359" i="16"/>
  <c r="AE428" i="16"/>
  <c r="AE141" i="16"/>
  <c r="AE190" i="16"/>
  <c r="AE218" i="16"/>
  <c r="AE259" i="16"/>
  <c r="AE421" i="16"/>
  <c r="AE354" i="16"/>
  <c r="AE358" i="16"/>
  <c r="AE136" i="16"/>
  <c r="AE140" i="16"/>
  <c r="AE139" i="16"/>
  <c r="AE430" i="16"/>
  <c r="AE137" i="16"/>
  <c r="AE142" i="16"/>
  <c r="AE191" i="16"/>
  <c r="AE221" i="16"/>
  <c r="AE260" i="16"/>
  <c r="AE404" i="16"/>
  <c r="AA418" i="16"/>
  <c r="AE422" i="16"/>
  <c r="AE431" i="16"/>
  <c r="AE427" i="16"/>
  <c r="AE423" i="16"/>
  <c r="AE419" i="16"/>
  <c r="AE138" i="16"/>
  <c r="AE222" i="16"/>
  <c r="AE405" i="16"/>
  <c r="AE429" i="16"/>
  <c r="AE261" i="16"/>
  <c r="AE219" i="16"/>
  <c r="AE188" i="16"/>
  <c r="AA188" i="16"/>
  <c r="AE39" i="16"/>
  <c r="AE38" i="16"/>
  <c r="AI32" i="16"/>
  <c r="X32" i="16" s="1"/>
  <c r="X12" i="16"/>
  <c r="X17" i="16"/>
  <c r="X22" i="16"/>
  <c r="X23" i="16"/>
  <c r="X24" i="16"/>
  <c r="X26" i="16"/>
  <c r="X27" i="16"/>
  <c r="X28" i="16"/>
  <c r="X29" i="16"/>
  <c r="X30" i="16"/>
  <c r="X33" i="16"/>
  <c r="X35" i="16"/>
  <c r="X36" i="16"/>
  <c r="X37" i="16"/>
  <c r="AI15" i="16"/>
  <c r="X15" i="16" s="1"/>
  <c r="Z423" i="16" l="1"/>
  <c r="Z433" i="16"/>
  <c r="Z188" i="16"/>
  <c r="Z418" i="16"/>
  <c r="AA355" i="16"/>
  <c r="AA140" i="16"/>
  <c r="AA358" i="16"/>
  <c r="AA192" i="16"/>
  <c r="AA417" i="16"/>
  <c r="AA143" i="16"/>
  <c r="AA220" i="16"/>
  <c r="AA356" i="16"/>
  <c r="AA262" i="16"/>
  <c r="AA427" i="16"/>
  <c r="AA555" i="16"/>
  <c r="AA135" i="16"/>
  <c r="AA139" i="16"/>
  <c r="AA219" i="16"/>
  <c r="AA259" i="16"/>
  <c r="AA359" i="16"/>
  <c r="AA419" i="16"/>
  <c r="AA424" i="16"/>
  <c r="AA141" i="16"/>
  <c r="AA218" i="16"/>
  <c r="AA260" i="16"/>
  <c r="AA357" i="16"/>
  <c r="AA426" i="16"/>
  <c r="AA416" i="16"/>
  <c r="AA421" i="16"/>
  <c r="AA261" i="16"/>
  <c r="AA428" i="16"/>
  <c r="AA430" i="16"/>
  <c r="AA39" i="16"/>
  <c r="AA137" i="16"/>
  <c r="AA190" i="16"/>
  <c r="AA431" i="16"/>
  <c r="AA429" i="16"/>
  <c r="AA354" i="16"/>
  <c r="AA142" i="16"/>
  <c r="AA189" i="16"/>
  <c r="AA222" i="16"/>
  <c r="AA361" i="16"/>
  <c r="AA406" i="16"/>
  <c r="AA404" i="16"/>
  <c r="AA422" i="16"/>
  <c r="AA138" i="16"/>
  <c r="AA136" i="16"/>
  <c r="AA191" i="16"/>
  <c r="AA221" i="16"/>
  <c r="AA241" i="16"/>
  <c r="AA360" i="16"/>
  <c r="AA353" i="16"/>
  <c r="AA405" i="16"/>
  <c r="AA425" i="16"/>
  <c r="AA420" i="16"/>
  <c r="AA38" i="16"/>
  <c r="AH433" i="16"/>
  <c r="AA432" i="16"/>
  <c r="Y295" i="16"/>
  <c r="X293" i="16"/>
  <c r="AI116" i="16"/>
  <c r="X116" i="16" s="1"/>
  <c r="X62" i="16"/>
  <c r="X46" i="16"/>
  <c r="X42" i="16"/>
  <c r="X11" i="16"/>
  <c r="AA564" i="16"/>
  <c r="X564" i="16"/>
  <c r="AA563" i="16"/>
  <c r="X563" i="16"/>
  <c r="AA562" i="16"/>
  <c r="X562" i="16"/>
  <c r="AH561" i="16"/>
  <c r="AH560" i="16"/>
  <c r="AH559" i="16"/>
  <c r="AH558" i="16"/>
  <c r="AE557" i="16"/>
  <c r="X557" i="16"/>
  <c r="Z556" i="16"/>
  <c r="AE554" i="16"/>
  <c r="X554" i="16"/>
  <c r="AI551" i="16"/>
  <c r="X551" i="16" s="1"/>
  <c r="AE551" i="16"/>
  <c r="X550" i="16"/>
  <c r="AE550" i="16"/>
  <c r="AI548" i="16"/>
  <c r="X548" i="16" s="1"/>
  <c r="AE548" i="16"/>
  <c r="AE547" i="16"/>
  <c r="X547" i="16"/>
  <c r="AI546" i="16"/>
  <c r="X546" i="16" s="1"/>
  <c r="AE546" i="16"/>
  <c r="AE545" i="16"/>
  <c r="X545" i="16"/>
  <c r="X544" i="16"/>
  <c r="AE544" i="16"/>
  <c r="AE543" i="16"/>
  <c r="X543" i="16"/>
  <c r="AE542" i="16"/>
  <c r="X542" i="16"/>
  <c r="AE541" i="16"/>
  <c r="X541" i="16"/>
  <c r="AE540" i="16"/>
  <c r="X540" i="16"/>
  <c r="AE539" i="16"/>
  <c r="X539" i="16"/>
  <c r="AE538" i="16"/>
  <c r="X538" i="16"/>
  <c r="AE537" i="16"/>
  <c r="X537" i="16"/>
  <c r="X536" i="16"/>
  <c r="AE536" i="16"/>
  <c r="X535" i="16"/>
  <c r="AE535" i="16"/>
  <c r="AE534" i="16"/>
  <c r="X534" i="16"/>
  <c r="AE533" i="16"/>
  <c r="X533" i="16"/>
  <c r="AE532" i="16"/>
  <c r="X532" i="16"/>
  <c r="AE531" i="16"/>
  <c r="X531" i="16"/>
  <c r="AE530" i="16"/>
  <c r="X530" i="16"/>
  <c r="AE528" i="16"/>
  <c r="X528" i="16"/>
  <c r="AE527" i="16"/>
  <c r="X527" i="16"/>
  <c r="AE526" i="16"/>
  <c r="X526" i="16"/>
  <c r="AE525" i="16"/>
  <c r="X525" i="16"/>
  <c r="X524" i="16"/>
  <c r="AE524" i="16"/>
  <c r="X523" i="16"/>
  <c r="AE523" i="16"/>
  <c r="AE522" i="16"/>
  <c r="X522" i="16"/>
  <c r="AE521" i="16"/>
  <c r="X521" i="16"/>
  <c r="AE520" i="16"/>
  <c r="X520" i="16"/>
  <c r="AE519" i="16"/>
  <c r="X519" i="16"/>
  <c r="AE518" i="16"/>
  <c r="X518" i="16"/>
  <c r="AE517" i="16"/>
  <c r="X517" i="16"/>
  <c r="AH516" i="16"/>
  <c r="AE516" i="16"/>
  <c r="AA516" i="16"/>
  <c r="X516" i="16"/>
  <c r="AE515" i="16"/>
  <c r="X515" i="16"/>
  <c r="AE514" i="16"/>
  <c r="X514" i="16"/>
  <c r="AE513" i="16"/>
  <c r="X513" i="16"/>
  <c r="AE512" i="16"/>
  <c r="X512" i="16"/>
  <c r="AE511" i="16"/>
  <c r="X511" i="16"/>
  <c r="AH510" i="16"/>
  <c r="AE510" i="16"/>
  <c r="AA510" i="16"/>
  <c r="X510" i="16"/>
  <c r="AE509" i="16"/>
  <c r="X509" i="16"/>
  <c r="AE507" i="16"/>
  <c r="X507" i="16"/>
  <c r="AE506" i="16"/>
  <c r="X506" i="16"/>
  <c r="AE505" i="16"/>
  <c r="X505" i="16"/>
  <c r="AE503" i="16"/>
  <c r="X503" i="16"/>
  <c r="AE502" i="16"/>
  <c r="X502" i="16"/>
  <c r="AE501" i="16"/>
  <c r="X501" i="16"/>
  <c r="AE500" i="16"/>
  <c r="X500" i="16"/>
  <c r="AE499" i="16"/>
  <c r="X499" i="16"/>
  <c r="AI498" i="16"/>
  <c r="X498" i="16" s="1"/>
  <c r="AE498" i="16"/>
  <c r="AE497" i="16"/>
  <c r="X497" i="16"/>
  <c r="AI496" i="16"/>
  <c r="X496" i="16" s="1"/>
  <c r="AE496" i="16"/>
  <c r="AI495" i="16"/>
  <c r="X495" i="16" s="1"/>
  <c r="AE495" i="16"/>
  <c r="AI494" i="16"/>
  <c r="X494" i="16" s="1"/>
  <c r="AE494" i="16"/>
  <c r="AE493" i="16"/>
  <c r="X493" i="16"/>
  <c r="AE492" i="16"/>
  <c r="X492" i="16"/>
  <c r="AE491" i="16"/>
  <c r="X491" i="16"/>
  <c r="AE490" i="16"/>
  <c r="X490" i="16"/>
  <c r="AI489" i="16"/>
  <c r="X489" i="16" s="1"/>
  <c r="AE489" i="16"/>
  <c r="AI488" i="16"/>
  <c r="X488" i="16" s="1"/>
  <c r="AE488" i="16"/>
  <c r="AI487" i="16"/>
  <c r="X487" i="16" s="1"/>
  <c r="AE487" i="16"/>
  <c r="AI486" i="16"/>
  <c r="X486" i="16" s="1"/>
  <c r="AE486" i="16"/>
  <c r="AI485" i="16"/>
  <c r="X485" i="16" s="1"/>
  <c r="AE485" i="16"/>
  <c r="AE484" i="16"/>
  <c r="X484" i="16"/>
  <c r="AE483" i="16"/>
  <c r="X483" i="16"/>
  <c r="AI482" i="16"/>
  <c r="X482" i="16" s="1"/>
  <c r="AE482" i="16"/>
  <c r="AI481" i="16"/>
  <c r="X481" i="16" s="1"/>
  <c r="AE481" i="16"/>
  <c r="AE480" i="16"/>
  <c r="X480" i="16"/>
  <c r="AE479" i="16"/>
  <c r="X479" i="16"/>
  <c r="AI478" i="16"/>
  <c r="X478" i="16" s="1"/>
  <c r="AE478" i="16"/>
  <c r="AI477" i="16"/>
  <c r="X477" i="16" s="1"/>
  <c r="AE477" i="16"/>
  <c r="AE476" i="16"/>
  <c r="X476" i="16"/>
  <c r="AE475" i="16"/>
  <c r="X475" i="16"/>
  <c r="AE474" i="16"/>
  <c r="X474" i="16"/>
  <c r="AE473" i="16"/>
  <c r="X473" i="16"/>
  <c r="AE472" i="16"/>
  <c r="X472" i="16"/>
  <c r="AE471" i="16"/>
  <c r="X471" i="16"/>
  <c r="AE470" i="16"/>
  <c r="X469" i="16"/>
  <c r="AE469" i="16"/>
  <c r="AI468" i="16"/>
  <c r="X468" i="16" s="1"/>
  <c r="AE468" i="16"/>
  <c r="AE467" i="16"/>
  <c r="X467" i="16"/>
  <c r="AE466" i="16"/>
  <c r="X466" i="16"/>
  <c r="AE465" i="16"/>
  <c r="X465" i="16"/>
  <c r="AE463" i="16"/>
  <c r="X463" i="16"/>
  <c r="AE462" i="16"/>
  <c r="X462" i="16"/>
  <c r="AE461" i="16"/>
  <c r="X461" i="16"/>
  <c r="AE460" i="16"/>
  <c r="X460" i="16"/>
  <c r="AE459" i="16"/>
  <c r="X459" i="16"/>
  <c r="AE458" i="16"/>
  <c r="X458" i="16"/>
  <c r="AE457" i="16"/>
  <c r="X457" i="16"/>
  <c r="AE456" i="16"/>
  <c r="X456" i="16"/>
  <c r="AE455" i="16"/>
  <c r="X455" i="16"/>
  <c r="AE454" i="16"/>
  <c r="X454" i="16"/>
  <c r="AE453" i="16"/>
  <c r="X453" i="16"/>
  <c r="AE452" i="16"/>
  <c r="X452" i="16"/>
  <c r="AE451" i="16"/>
  <c r="X451" i="16"/>
  <c r="AE450" i="16"/>
  <c r="X450" i="16"/>
  <c r="AE449" i="16"/>
  <c r="X449" i="16"/>
  <c r="AE448" i="16"/>
  <c r="X448" i="16"/>
  <c r="AE447" i="16"/>
  <c r="X447" i="16"/>
  <c r="AE446" i="16"/>
  <c r="X446" i="16"/>
  <c r="AE445" i="16"/>
  <c r="X445" i="16"/>
  <c r="AE444" i="16"/>
  <c r="X444" i="16"/>
  <c r="X443" i="16"/>
  <c r="AE443" i="16"/>
  <c r="AE442" i="16"/>
  <c r="X442" i="16"/>
  <c r="AE441" i="16"/>
  <c r="X441" i="16"/>
  <c r="AE440" i="16"/>
  <c r="X440" i="16"/>
  <c r="AE439" i="16"/>
  <c r="X439" i="16"/>
  <c r="AE438" i="16"/>
  <c r="X438" i="16"/>
  <c r="AE437" i="16"/>
  <c r="X437" i="16"/>
  <c r="AI436" i="16"/>
  <c r="X436" i="16" s="1"/>
  <c r="AE436" i="16"/>
  <c r="Y435" i="16"/>
  <c r="AE435" i="16"/>
  <c r="AE414" i="16"/>
  <c r="X414" i="16"/>
  <c r="AE413" i="16"/>
  <c r="X413" i="16"/>
  <c r="X412" i="16"/>
  <c r="AE412" i="16"/>
  <c r="AE411" i="16"/>
  <c r="AE410" i="16"/>
  <c r="X410" i="16"/>
  <c r="AE409" i="16"/>
  <c r="X409" i="16"/>
  <c r="AE408" i="16"/>
  <c r="X408" i="16"/>
  <c r="AE403" i="16"/>
  <c r="X403" i="16"/>
  <c r="AE402" i="16"/>
  <c r="X402" i="16"/>
  <c r="AE401" i="16"/>
  <c r="X401" i="16"/>
  <c r="AI400" i="16"/>
  <c r="X400" i="16" s="1"/>
  <c r="AE400" i="16"/>
  <c r="AI399" i="16"/>
  <c r="X399" i="16" s="1"/>
  <c r="AE399" i="16"/>
  <c r="AI398" i="16"/>
  <c r="X398" i="16" s="1"/>
  <c r="AE398" i="16"/>
  <c r="AE397" i="16"/>
  <c r="X397" i="16"/>
  <c r="AE396" i="16"/>
  <c r="X396" i="16"/>
  <c r="AI395" i="16"/>
  <c r="X395" i="16" s="1"/>
  <c r="AE395" i="16"/>
  <c r="AE394" i="16"/>
  <c r="X394" i="16"/>
  <c r="AI393" i="16"/>
  <c r="X393" i="16" s="1"/>
  <c r="AE393" i="16"/>
  <c r="AI392" i="16"/>
  <c r="X392" i="16" s="1"/>
  <c r="AE392" i="16"/>
  <c r="AE391" i="16"/>
  <c r="X391" i="16"/>
  <c r="AE390" i="16"/>
  <c r="X390" i="16"/>
  <c r="AE389" i="16"/>
  <c r="X389" i="16"/>
  <c r="AE388" i="16"/>
  <c r="X388" i="16"/>
  <c r="AI387" i="16"/>
  <c r="X387" i="16" s="1"/>
  <c r="AE387" i="16"/>
  <c r="X386" i="16"/>
  <c r="AE386" i="16"/>
  <c r="AE385" i="16"/>
  <c r="X385" i="16"/>
  <c r="AE384" i="16"/>
  <c r="X384" i="16"/>
  <c r="AE383" i="16"/>
  <c r="X383" i="16"/>
  <c r="X382" i="16"/>
  <c r="AE382" i="16"/>
  <c r="X381" i="16"/>
  <c r="AE381" i="16"/>
  <c r="AE380" i="16"/>
  <c r="X380" i="16"/>
  <c r="AE379" i="16"/>
  <c r="X379" i="16"/>
  <c r="AE378" i="16"/>
  <c r="X378" i="16"/>
  <c r="AE377" i="16"/>
  <c r="X377" i="16"/>
  <c r="AE376" i="16"/>
  <c r="X376" i="16"/>
  <c r="AE375" i="16"/>
  <c r="X375" i="16"/>
  <c r="AI374" i="16"/>
  <c r="X374" i="16" s="1"/>
  <c r="AE374" i="16"/>
  <c r="AE373" i="16"/>
  <c r="X373" i="16"/>
  <c r="AE372" i="16"/>
  <c r="X372" i="16"/>
  <c r="AE371" i="16"/>
  <c r="X371" i="16"/>
  <c r="AI370" i="16"/>
  <c r="X370" i="16" s="1"/>
  <c r="AE370" i="16"/>
  <c r="AI369" i="16"/>
  <c r="X369" i="16" s="1"/>
  <c r="AE369" i="16"/>
  <c r="AI368" i="16"/>
  <c r="X368" i="16" s="1"/>
  <c r="AE368" i="16"/>
  <c r="AE367" i="16"/>
  <c r="X367" i="16"/>
  <c r="AE366" i="16"/>
  <c r="X366" i="16"/>
  <c r="AE365" i="16"/>
  <c r="X365" i="16"/>
  <c r="AE364" i="16"/>
  <c r="X364" i="16"/>
  <c r="AE363" i="16"/>
  <c r="X363" i="16"/>
  <c r="AI352" i="16"/>
  <c r="X352" i="16" s="1"/>
  <c r="AE352" i="16"/>
  <c r="AE351" i="16"/>
  <c r="X351" i="16"/>
  <c r="AE350" i="16"/>
  <c r="X350" i="16"/>
  <c r="AE349" i="16"/>
  <c r="X349" i="16"/>
  <c r="AE348" i="16"/>
  <c r="X348" i="16"/>
  <c r="AE347" i="16"/>
  <c r="X347" i="16"/>
  <c r="AE346" i="16"/>
  <c r="X346" i="16"/>
  <c r="AE345" i="16"/>
  <c r="X345" i="16"/>
  <c r="AE344" i="16"/>
  <c r="X344" i="16"/>
  <c r="AE343" i="16"/>
  <c r="X343" i="16"/>
  <c r="AE342" i="16"/>
  <c r="X342" i="16"/>
  <c r="AE341" i="16"/>
  <c r="X341" i="16"/>
  <c r="AE340" i="16"/>
  <c r="X340" i="16"/>
  <c r="AE339" i="16"/>
  <c r="X339" i="16"/>
  <c r="AE338" i="16"/>
  <c r="X338" i="16"/>
  <c r="AE337" i="16"/>
  <c r="X337" i="16"/>
  <c r="AE336" i="16"/>
  <c r="X336" i="16"/>
  <c r="AE335" i="16"/>
  <c r="X335" i="16"/>
  <c r="AE334" i="16"/>
  <c r="X334" i="16"/>
  <c r="AE333" i="16"/>
  <c r="X333" i="16"/>
  <c r="AE332" i="16"/>
  <c r="X332" i="16"/>
  <c r="AE331" i="16"/>
  <c r="X331" i="16"/>
  <c r="AE330" i="16"/>
  <c r="X330" i="16"/>
  <c r="AE329" i="16"/>
  <c r="X329" i="16"/>
  <c r="AE328" i="16"/>
  <c r="X328" i="16"/>
  <c r="AE327" i="16"/>
  <c r="X327" i="16"/>
  <c r="AE326" i="16"/>
  <c r="X326" i="16"/>
  <c r="AE325" i="16"/>
  <c r="X325" i="16"/>
  <c r="AE324" i="16"/>
  <c r="X324" i="16"/>
  <c r="AE323" i="16"/>
  <c r="X323" i="16"/>
  <c r="AE322" i="16"/>
  <c r="X322" i="16"/>
  <c r="AE321" i="16"/>
  <c r="X321" i="16"/>
  <c r="AE320" i="16"/>
  <c r="X320" i="16"/>
  <c r="AE319" i="16"/>
  <c r="X319" i="16"/>
  <c r="AE318" i="16"/>
  <c r="X318" i="16"/>
  <c r="AE317" i="16"/>
  <c r="X317" i="16"/>
  <c r="AE316" i="16"/>
  <c r="X316" i="16"/>
  <c r="AE315" i="16"/>
  <c r="X315" i="16"/>
  <c r="AE314" i="16"/>
  <c r="X314" i="16"/>
  <c r="AE313" i="16"/>
  <c r="X313" i="16"/>
  <c r="AE312" i="16"/>
  <c r="X312" i="16"/>
  <c r="AE311" i="16"/>
  <c r="X311" i="16"/>
  <c r="AE310" i="16"/>
  <c r="X310" i="16"/>
  <c r="AE309" i="16"/>
  <c r="X309" i="16"/>
  <c r="AE308" i="16"/>
  <c r="X308" i="16"/>
  <c r="AE307" i="16"/>
  <c r="X307" i="16"/>
  <c r="AE306" i="16"/>
  <c r="X306" i="16"/>
  <c r="AE305" i="16"/>
  <c r="X305" i="16"/>
  <c r="AE304" i="16"/>
  <c r="X304" i="16"/>
  <c r="AE303" i="16"/>
  <c r="X303" i="16"/>
  <c r="AE302" i="16"/>
  <c r="X302" i="16"/>
  <c r="AE301" i="16"/>
  <c r="X301" i="16"/>
  <c r="AE300" i="16"/>
  <c r="X300" i="16"/>
  <c r="AE299" i="16"/>
  <c r="X299" i="16"/>
  <c r="AE298" i="16"/>
  <c r="X298" i="16"/>
  <c r="AE297" i="16"/>
  <c r="X297" i="16"/>
  <c r="AE296" i="16"/>
  <c r="X296" i="16"/>
  <c r="AE295" i="16"/>
  <c r="AE294" i="16"/>
  <c r="X294" i="16"/>
  <c r="AE293" i="16"/>
  <c r="AE292" i="16"/>
  <c r="X292" i="16"/>
  <c r="AE291" i="16"/>
  <c r="X291" i="16"/>
  <c r="AE290" i="16"/>
  <c r="X290" i="16"/>
  <c r="AE289" i="16"/>
  <c r="X289" i="16"/>
  <c r="AE288" i="16"/>
  <c r="X288" i="16"/>
  <c r="AE287" i="16"/>
  <c r="X287" i="16"/>
  <c r="AE286" i="16"/>
  <c r="X286" i="16"/>
  <c r="AE285" i="16"/>
  <c r="X285" i="16"/>
  <c r="AE284" i="16"/>
  <c r="X284" i="16"/>
  <c r="AE283" i="16"/>
  <c r="X283" i="16"/>
  <c r="AE282" i="16"/>
  <c r="X282" i="16"/>
  <c r="AE281" i="16"/>
  <c r="X281" i="16"/>
  <c r="AE280" i="16"/>
  <c r="X280" i="16"/>
  <c r="AE279" i="16"/>
  <c r="X279" i="16"/>
  <c r="AE278" i="16"/>
  <c r="X278" i="16"/>
  <c r="AI277" i="16"/>
  <c r="X277" i="16" s="1"/>
  <c r="AE277" i="16"/>
  <c r="AE276" i="16"/>
  <c r="X276" i="16"/>
  <c r="AE275" i="16"/>
  <c r="X275" i="16"/>
  <c r="AE274" i="16"/>
  <c r="X274" i="16"/>
  <c r="AE273" i="16"/>
  <c r="X273" i="16"/>
  <c r="AE272" i="16"/>
  <c r="X272" i="16"/>
  <c r="AE271" i="16"/>
  <c r="X271" i="16"/>
  <c r="AE270" i="16"/>
  <c r="X270" i="16"/>
  <c r="AE269" i="16"/>
  <c r="X269" i="16"/>
  <c r="AE268" i="16"/>
  <c r="X268" i="16"/>
  <c r="AE267" i="16"/>
  <c r="X267" i="16"/>
  <c r="AE266" i="16"/>
  <c r="X266" i="16"/>
  <c r="AE265" i="16"/>
  <c r="X265" i="16"/>
  <c r="X264" i="16"/>
  <c r="AE264" i="16"/>
  <c r="X258" i="16"/>
  <c r="AE258" i="16"/>
  <c r="AI257" i="16"/>
  <c r="X257" i="16" s="1"/>
  <c r="AE257" i="16"/>
  <c r="AI256" i="16"/>
  <c r="X256" i="16" s="1"/>
  <c r="AE256" i="16"/>
  <c r="AI255" i="16"/>
  <c r="X255" i="16" s="1"/>
  <c r="AE255" i="16"/>
  <c r="AE254" i="16"/>
  <c r="X254" i="16"/>
  <c r="AE253" i="16"/>
  <c r="X253" i="16"/>
  <c r="X252" i="16"/>
  <c r="AE252" i="16"/>
  <c r="X251" i="16"/>
  <c r="AE251" i="16"/>
  <c r="AE250" i="16"/>
  <c r="AE249" i="16"/>
  <c r="AI248" i="16"/>
  <c r="X248" i="16" s="1"/>
  <c r="AE248" i="16"/>
  <c r="X247" i="16"/>
  <c r="AE247" i="16"/>
  <c r="AI246" i="16"/>
  <c r="X246" i="16" s="1"/>
  <c r="AE246" i="16"/>
  <c r="AI245" i="16"/>
  <c r="X245" i="16" s="1"/>
  <c r="AE245" i="16"/>
  <c r="X244" i="16"/>
  <c r="AE244" i="16"/>
  <c r="X243" i="16"/>
  <c r="AE243" i="16"/>
  <c r="AE240" i="16"/>
  <c r="X240" i="16"/>
  <c r="AE239" i="16"/>
  <c r="X239" i="16"/>
  <c r="AI238" i="16"/>
  <c r="X238" i="16" s="1"/>
  <c r="AE238" i="16"/>
  <c r="AI237" i="16"/>
  <c r="X237" i="16" s="1"/>
  <c r="AE237" i="16"/>
  <c r="X236" i="16"/>
  <c r="AE236" i="16"/>
  <c r="AI235" i="16"/>
  <c r="X235" i="16" s="1"/>
  <c r="AE235" i="16"/>
  <c r="AI234" i="16"/>
  <c r="X234" i="16" s="1"/>
  <c r="AE234" i="16"/>
  <c r="AI233" i="16"/>
  <c r="X233" i="16" s="1"/>
  <c r="AE233" i="16"/>
  <c r="AE232" i="16"/>
  <c r="X232" i="16"/>
  <c r="AE231" i="16"/>
  <c r="X231" i="16"/>
  <c r="AE230" i="16"/>
  <c r="X230" i="16"/>
  <c r="AE229" i="16"/>
  <c r="X229" i="16"/>
  <c r="AE228" i="16"/>
  <c r="X228" i="16"/>
  <c r="AM227" i="16"/>
  <c r="AE227" i="16"/>
  <c r="X227" i="16"/>
  <c r="AE226" i="16"/>
  <c r="X226" i="16"/>
  <c r="AE225" i="16"/>
  <c r="X225" i="16"/>
  <c r="AE224" i="16"/>
  <c r="Y224" i="16"/>
  <c r="X217" i="16"/>
  <c r="X216" i="16"/>
  <c r="X215" i="16"/>
  <c r="X214" i="16"/>
  <c r="X213" i="16"/>
  <c r="AI212" i="16"/>
  <c r="X212" i="16" s="1"/>
  <c r="X211" i="16"/>
  <c r="X210" i="16"/>
  <c r="X209" i="16"/>
  <c r="X208" i="16"/>
  <c r="X207" i="16"/>
  <c r="X206" i="16"/>
  <c r="X205" i="16"/>
  <c r="X204" i="16"/>
  <c r="X203" i="16"/>
  <c r="X202" i="16"/>
  <c r="AI201" i="16"/>
  <c r="X201" i="16" s="1"/>
  <c r="AI200" i="16"/>
  <c r="X200" i="16" s="1"/>
  <c r="AI199" i="16"/>
  <c r="X199" i="16" s="1"/>
  <c r="AI198" i="16"/>
  <c r="X198" i="16" s="1"/>
  <c r="X197" i="16"/>
  <c r="X196" i="16"/>
  <c r="X195" i="16"/>
  <c r="X194" i="16"/>
  <c r="X187" i="16"/>
  <c r="X186" i="16"/>
  <c r="X185" i="16"/>
  <c r="X184" i="16"/>
  <c r="X183" i="16"/>
  <c r="X182" i="16"/>
  <c r="X181" i="16"/>
  <c r="X180" i="16"/>
  <c r="X179" i="16"/>
  <c r="X178" i="16"/>
  <c r="AI177" i="16"/>
  <c r="X177" i="16" s="1"/>
  <c r="AI176" i="16"/>
  <c r="X176" i="16" s="1"/>
  <c r="AI175" i="16"/>
  <c r="X175" i="16" s="1"/>
  <c r="AI174" i="16"/>
  <c r="X174" i="16" s="1"/>
  <c r="AI173" i="16"/>
  <c r="X173" i="16" s="1"/>
  <c r="AI172" i="16"/>
  <c r="X172" i="16" s="1"/>
  <c r="AI171" i="16"/>
  <c r="AI168" i="16" s="1"/>
  <c r="X168" i="16" s="1"/>
  <c r="AI170" i="16"/>
  <c r="X170" i="16" s="1"/>
  <c r="AI169" i="16"/>
  <c r="X169" i="16" s="1"/>
  <c r="X167" i="16"/>
  <c r="AI166" i="16"/>
  <c r="X166" i="16" s="1"/>
  <c r="X165" i="16"/>
  <c r="X164" i="16"/>
  <c r="X163" i="16"/>
  <c r="X162" i="16"/>
  <c r="X161" i="16"/>
  <c r="X160" i="16"/>
  <c r="X159" i="16"/>
  <c r="AI158" i="16"/>
  <c r="X158" i="16" s="1"/>
  <c r="AI157" i="16"/>
  <c r="X157" i="16" s="1"/>
  <c r="AI155" i="16"/>
  <c r="X154" i="16"/>
  <c r="X153" i="16"/>
  <c r="X152" i="16"/>
  <c r="X151" i="16"/>
  <c r="X150" i="16"/>
  <c r="X149" i="16"/>
  <c r="X148" i="16"/>
  <c r="X147" i="16"/>
  <c r="X146" i="16"/>
  <c r="X145" i="16"/>
  <c r="X134" i="16"/>
  <c r="AI133" i="16"/>
  <c r="X133" i="16" s="1"/>
  <c r="AI132" i="16"/>
  <c r="X132" i="16" s="1"/>
  <c r="AI131" i="16"/>
  <c r="X131" i="16" s="1"/>
  <c r="AI130" i="16"/>
  <c r="X130" i="16" s="1"/>
  <c r="AI129" i="16"/>
  <c r="X129" i="16" s="1"/>
  <c r="AI128" i="16"/>
  <c r="X128" i="16" s="1"/>
  <c r="AI127" i="16"/>
  <c r="X127" i="16" s="1"/>
  <c r="X126" i="16"/>
  <c r="X125" i="16"/>
  <c r="X124" i="16"/>
  <c r="X123" i="16"/>
  <c r="AI122" i="16"/>
  <c r="X122" i="16" s="1"/>
  <c r="AI121" i="16"/>
  <c r="X121" i="16" s="1"/>
  <c r="X120" i="16"/>
  <c r="X119" i="16"/>
  <c r="X118" i="16"/>
  <c r="X117" i="16"/>
  <c r="X115" i="16"/>
  <c r="X114" i="16"/>
  <c r="X113" i="16"/>
  <c r="X112" i="16"/>
  <c r="X111" i="16"/>
  <c r="X110" i="16"/>
  <c r="X109" i="16"/>
  <c r="X108" i="16"/>
  <c r="X107" i="16"/>
  <c r="X106" i="16"/>
  <c r="X105" i="16"/>
  <c r="X104" i="16"/>
  <c r="X103" i="16"/>
  <c r="X102" i="16"/>
  <c r="X101" i="16"/>
  <c r="X100" i="16"/>
  <c r="X99" i="16"/>
  <c r="X98" i="16"/>
  <c r="X97" i="16"/>
  <c r="X96" i="16"/>
  <c r="X95" i="16"/>
  <c r="AI94" i="16"/>
  <c r="X94" i="16" s="1"/>
  <c r="X93" i="16"/>
  <c r="X92" i="16"/>
  <c r="X91" i="16"/>
  <c r="X90" i="16"/>
  <c r="X89" i="16"/>
  <c r="X88" i="16"/>
  <c r="X87" i="16"/>
  <c r="X86" i="16"/>
  <c r="X85" i="16"/>
  <c r="X84" i="16"/>
  <c r="AI83" i="16"/>
  <c r="X83" i="16" s="1"/>
  <c r="X82" i="16"/>
  <c r="X81" i="16"/>
  <c r="X80" i="16"/>
  <c r="X79" i="16"/>
  <c r="X78" i="16"/>
  <c r="X77" i="16"/>
  <c r="X76" i="16"/>
  <c r="X75" i="16"/>
  <c r="X74" i="16"/>
  <c r="X73" i="16"/>
  <c r="X72" i="16"/>
  <c r="X71" i="16"/>
  <c r="AI70" i="16"/>
  <c r="X70" i="16" s="1"/>
  <c r="X69" i="16"/>
  <c r="AI68" i="16"/>
  <c r="X68" i="16" s="1"/>
  <c r="AI67" i="16"/>
  <c r="X67" i="16" s="1"/>
  <c r="X66" i="16"/>
  <c r="X65" i="16"/>
  <c r="X64" i="16"/>
  <c r="X63" i="16"/>
  <c r="AI61" i="16"/>
  <c r="X61" i="16" s="1"/>
  <c r="AI60" i="16"/>
  <c r="X60" i="16" s="1"/>
  <c r="X59" i="16"/>
  <c r="AI58" i="16"/>
  <c r="X58" i="16" s="1"/>
  <c r="AI57" i="16"/>
  <c r="X57" i="16" s="1"/>
  <c r="AI56" i="16"/>
  <c r="X56" i="16" s="1"/>
  <c r="X55" i="16"/>
  <c r="X54" i="16"/>
  <c r="X53" i="16"/>
  <c r="X52" i="16"/>
  <c r="X51" i="16"/>
  <c r="X50" i="16"/>
  <c r="AI49" i="16"/>
  <c r="X49" i="16" s="1"/>
  <c r="X47" i="16"/>
  <c r="X45" i="16"/>
  <c r="X44" i="16"/>
  <c r="X43" i="16"/>
  <c r="X41" i="16"/>
  <c r="AE37" i="16"/>
  <c r="Y37" i="16"/>
  <c r="AE36" i="16"/>
  <c r="Y36" i="16"/>
  <c r="AE35" i="16"/>
  <c r="Y35" i="16"/>
  <c r="AE34" i="16"/>
  <c r="AE33" i="16"/>
  <c r="Y33" i="16"/>
  <c r="Y32" i="16"/>
  <c r="AE32" i="16"/>
  <c r="AI31" i="16"/>
  <c r="X31" i="16" s="1"/>
  <c r="AE31" i="16"/>
  <c r="AE30" i="16"/>
  <c r="Y30" i="16"/>
  <c r="AE29" i="16"/>
  <c r="Y29" i="16"/>
  <c r="AE28" i="16"/>
  <c r="Y28" i="16"/>
  <c r="AE27" i="16"/>
  <c r="Y27" i="16"/>
  <c r="AE26" i="16"/>
  <c r="Y26" i="16"/>
  <c r="AI25" i="16"/>
  <c r="AE25" i="16"/>
  <c r="AE24" i="16"/>
  <c r="Y24" i="16"/>
  <c r="AE23" i="16"/>
  <c r="Y23" i="16"/>
  <c r="Y22" i="16"/>
  <c r="AE22" i="16"/>
  <c r="AI21" i="16"/>
  <c r="AE21" i="16"/>
  <c r="AI20" i="16"/>
  <c r="X20" i="16" s="1"/>
  <c r="AE20" i="16"/>
  <c r="AE19" i="16"/>
  <c r="AI18" i="16"/>
  <c r="AE18" i="16"/>
  <c r="AE17" i="16"/>
  <c r="Y17" i="16"/>
  <c r="X16" i="16"/>
  <c r="AE16" i="16"/>
  <c r="AE15" i="16"/>
  <c r="Y15" i="16"/>
  <c r="Y14" i="16"/>
  <c r="AE14" i="16"/>
  <c r="X13" i="16"/>
  <c r="AE13" i="16"/>
  <c r="AE12" i="16"/>
  <c r="Y12" i="16"/>
  <c r="AE11" i="16"/>
  <c r="X10" i="16"/>
  <c r="AE10" i="16"/>
  <c r="AD9" i="16"/>
  <c r="Z563" i="16" l="1"/>
  <c r="Z564" i="16"/>
  <c r="Z38" i="16"/>
  <c r="Z353" i="16"/>
  <c r="Z191" i="16"/>
  <c r="Z404" i="16"/>
  <c r="Z189" i="16"/>
  <c r="Z431" i="16"/>
  <c r="Z430" i="16"/>
  <c r="Z416" i="16"/>
  <c r="Z218" i="16"/>
  <c r="Z359" i="16"/>
  <c r="Z135" i="16"/>
  <c r="Z356" i="16"/>
  <c r="Z192" i="16"/>
  <c r="Z510" i="16"/>
  <c r="Z420" i="16"/>
  <c r="Z360" i="16"/>
  <c r="Z136" i="16"/>
  <c r="Z406" i="16"/>
  <c r="Z142" i="16"/>
  <c r="Z190" i="16"/>
  <c r="Z428" i="16"/>
  <c r="Z426" i="16"/>
  <c r="Z141" i="16"/>
  <c r="Z259" i="16"/>
  <c r="Z555" i="16"/>
  <c r="Z220" i="16"/>
  <c r="Z358" i="16"/>
  <c r="X556" i="16"/>
  <c r="Y432" i="16"/>
  <c r="Z425" i="16"/>
  <c r="Z241" i="16"/>
  <c r="Z138" i="16"/>
  <c r="Z361" i="16"/>
  <c r="Z354" i="16"/>
  <c r="Z137" i="16"/>
  <c r="Z261" i="16"/>
  <c r="Z357" i="16"/>
  <c r="Z424" i="16"/>
  <c r="Z219" i="16"/>
  <c r="Z427" i="16"/>
  <c r="Z143" i="16"/>
  <c r="Z140" i="16"/>
  <c r="Z516" i="16"/>
  <c r="Z405" i="16"/>
  <c r="Z221" i="16"/>
  <c r="Z422" i="16"/>
  <c r="Z222" i="16"/>
  <c r="Z429" i="16"/>
  <c r="Z39" i="16"/>
  <c r="Z421" i="16"/>
  <c r="Z260" i="16"/>
  <c r="Z419" i="16"/>
  <c r="Z139" i="16"/>
  <c r="Z262" i="16"/>
  <c r="Z417" i="16"/>
  <c r="Z355" i="16"/>
  <c r="Y52" i="16"/>
  <c r="Y69" i="16"/>
  <c r="Y89" i="16"/>
  <c r="AH89" i="16" s="1"/>
  <c r="Y105" i="16"/>
  <c r="Y126" i="16"/>
  <c r="Y152" i="16"/>
  <c r="AH152" i="16" s="1"/>
  <c r="Y170" i="16"/>
  <c r="Y178" i="16"/>
  <c r="Y196" i="16"/>
  <c r="Y208" i="16"/>
  <c r="Y225" i="16"/>
  <c r="AA225" i="16" s="1"/>
  <c r="Y236" i="16"/>
  <c r="Y244" i="16"/>
  <c r="Y251" i="16"/>
  <c r="Y264" i="16"/>
  <c r="Y13" i="16"/>
  <c r="AH13" i="16" s="1"/>
  <c r="Y43" i="16"/>
  <c r="Y49" i="16"/>
  <c r="Y53" i="16"/>
  <c r="AH53" i="16" s="1"/>
  <c r="Y57" i="16"/>
  <c r="AA57" i="16" s="1"/>
  <c r="Y61" i="16"/>
  <c r="Y66" i="16"/>
  <c r="Y70" i="16"/>
  <c r="AH70" i="16" s="1"/>
  <c r="Y74" i="16"/>
  <c r="Y78" i="16"/>
  <c r="Y82" i="16"/>
  <c r="AA82" i="16" s="1"/>
  <c r="Y86" i="16"/>
  <c r="AH86" i="16" s="1"/>
  <c r="Y90" i="16"/>
  <c r="Y94" i="16"/>
  <c r="Y98" i="16"/>
  <c r="Y102" i="16"/>
  <c r="AA102" i="16" s="1"/>
  <c r="Y106" i="16"/>
  <c r="Y110" i="16"/>
  <c r="Y114" i="16"/>
  <c r="Y119" i="16"/>
  <c r="AH119" i="16" s="1"/>
  <c r="Y123" i="16"/>
  <c r="Y127" i="16"/>
  <c r="Y131" i="16"/>
  <c r="Y145" i="16"/>
  <c r="AH145" i="16" s="1"/>
  <c r="Y149" i="16"/>
  <c r="Y153" i="16"/>
  <c r="Y158" i="16"/>
  <c r="Y162" i="16"/>
  <c r="AH162" i="16" s="1"/>
  <c r="Y166" i="16"/>
  <c r="Y168" i="16"/>
  <c r="Y175" i="16"/>
  <c r="Y179" i="16"/>
  <c r="AH179" i="16" s="1"/>
  <c r="Y183" i="16"/>
  <c r="Y187" i="16"/>
  <c r="Y197" i="16"/>
  <c r="Y201" i="16"/>
  <c r="AH201" i="16" s="1"/>
  <c r="Y205" i="16"/>
  <c r="Y209" i="16"/>
  <c r="Y213" i="16"/>
  <c r="AA213" i="16" s="1"/>
  <c r="Y217" i="16"/>
  <c r="Y229" i="16"/>
  <c r="Y231" i="16"/>
  <c r="Y239" i="16"/>
  <c r="Y254" i="16"/>
  <c r="AH254" i="16" s="1"/>
  <c r="Y265" i="16"/>
  <c r="Y267" i="16"/>
  <c r="Y269" i="16"/>
  <c r="Y271" i="16"/>
  <c r="AA271" i="16" s="1"/>
  <c r="Y273" i="16"/>
  <c r="Y275" i="16"/>
  <c r="Y279" i="16"/>
  <c r="Y281" i="16"/>
  <c r="AA281" i="16" s="1"/>
  <c r="Y283" i="16"/>
  <c r="Y285" i="16"/>
  <c r="Y287" i="16"/>
  <c r="Y289" i="16"/>
  <c r="AH289" i="16" s="1"/>
  <c r="Y291" i="16"/>
  <c r="AH291" i="16" s="1"/>
  <c r="Y296" i="16"/>
  <c r="Y298" i="16"/>
  <c r="AA298" i="16" s="1"/>
  <c r="Y300" i="16"/>
  <c r="AH300" i="16" s="1"/>
  <c r="Y302" i="16"/>
  <c r="Y304" i="16"/>
  <c r="Y306" i="16"/>
  <c r="Y308" i="16"/>
  <c r="AA308" i="16" s="1"/>
  <c r="Y310" i="16"/>
  <c r="Y312" i="16"/>
  <c r="Y314" i="16"/>
  <c r="Y316" i="16"/>
  <c r="AA316" i="16" s="1"/>
  <c r="Y318" i="16"/>
  <c r="Y320" i="16"/>
  <c r="Y322" i="16"/>
  <c r="Y324" i="16"/>
  <c r="AA324" i="16" s="1"/>
  <c r="Y326" i="16"/>
  <c r="Y328" i="16"/>
  <c r="Y330" i="16"/>
  <c r="Y332" i="16"/>
  <c r="AA332" i="16" s="1"/>
  <c r="Y334" i="16"/>
  <c r="Y336" i="16"/>
  <c r="Y338" i="16"/>
  <c r="AH338" i="16" s="1"/>
  <c r="Y340" i="16"/>
  <c r="AA340" i="16" s="1"/>
  <c r="Y342" i="16"/>
  <c r="Y344" i="16"/>
  <c r="Y346" i="16"/>
  <c r="AH346" i="16" s="1"/>
  <c r="Y348" i="16"/>
  <c r="AA348" i="16" s="1"/>
  <c r="Y350" i="16"/>
  <c r="Y364" i="16"/>
  <c r="Y366" i="16"/>
  <c r="AA366" i="16" s="1"/>
  <c r="Y372" i="16"/>
  <c r="AH372" i="16" s="1"/>
  <c r="Y376" i="16"/>
  <c r="Y378" i="16"/>
  <c r="Y380" i="16"/>
  <c r="Y384" i="16"/>
  <c r="Y388" i="16"/>
  <c r="Y390" i="16"/>
  <c r="Y394" i="16"/>
  <c r="Y396" i="16"/>
  <c r="AA396" i="16" s="1"/>
  <c r="Y402" i="16"/>
  <c r="Y408" i="16"/>
  <c r="Y410" i="16"/>
  <c r="Y412" i="16"/>
  <c r="AA412" i="16" s="1"/>
  <c r="Y436" i="16"/>
  <c r="Y469" i="16"/>
  <c r="Y472" i="16"/>
  <c r="Y474" i="16"/>
  <c r="AH474" i="16" s="1"/>
  <c r="Y476" i="16"/>
  <c r="Y480" i="16"/>
  <c r="Y484" i="16"/>
  <c r="Y490" i="16"/>
  <c r="AH490" i="16" s="1"/>
  <c r="Y492" i="16"/>
  <c r="Y500" i="16"/>
  <c r="Y502" i="16"/>
  <c r="Y505" i="16"/>
  <c r="AH505" i="16" s="1"/>
  <c r="Y507" i="16"/>
  <c r="Y511" i="16"/>
  <c r="Y513" i="16"/>
  <c r="AH513" i="16" s="1"/>
  <c r="Y515" i="16"/>
  <c r="AH515" i="16" s="1"/>
  <c r="Y518" i="16"/>
  <c r="Y520" i="16"/>
  <c r="Y522" i="16"/>
  <c r="AA522" i="16" s="1"/>
  <c r="Y526" i="16"/>
  <c r="AH526" i="16" s="1"/>
  <c r="Y528" i="16"/>
  <c r="Y531" i="16"/>
  <c r="Y533" i="16"/>
  <c r="Y537" i="16"/>
  <c r="AA537" i="16" s="1"/>
  <c r="Y539" i="16"/>
  <c r="Y541" i="16"/>
  <c r="Y543" i="16"/>
  <c r="Y545" i="16"/>
  <c r="AA545" i="16" s="1"/>
  <c r="Y547" i="16"/>
  <c r="Y554" i="16"/>
  <c r="Y42" i="16"/>
  <c r="AA42" i="16" s="1"/>
  <c r="Y293" i="16"/>
  <c r="AA293" i="16" s="1"/>
  <c r="Y10" i="16"/>
  <c r="AA10" i="16" s="1"/>
  <c r="Y41" i="16"/>
  <c r="Y60" i="16"/>
  <c r="Y77" i="16"/>
  <c r="AA77" i="16" s="1"/>
  <c r="Y93" i="16"/>
  <c r="Y109" i="16"/>
  <c r="Y122" i="16"/>
  <c r="Y148" i="16"/>
  <c r="AA148" i="16" s="1"/>
  <c r="Y165" i="16"/>
  <c r="Y182" i="16"/>
  <c r="Y200" i="16"/>
  <c r="Y216" i="16"/>
  <c r="AA216" i="16" s="1"/>
  <c r="Y234" i="16"/>
  <c r="Y238" i="16"/>
  <c r="Y246" i="16"/>
  <c r="Y257" i="16"/>
  <c r="AA257" i="16" s="1"/>
  <c r="Y381" i="16"/>
  <c r="Y387" i="16"/>
  <c r="Y393" i="16"/>
  <c r="Y395" i="16"/>
  <c r="AA395" i="16" s="1"/>
  <c r="Y399" i="16"/>
  <c r="AA399" i="16" s="1"/>
  <c r="Y414" i="16"/>
  <c r="Y438" i="16"/>
  <c r="Y440" i="16"/>
  <c r="AA440" i="16" s="1"/>
  <c r="Y442" i="16"/>
  <c r="Y446" i="16"/>
  <c r="Y448" i="16"/>
  <c r="Y450" i="16"/>
  <c r="Y452" i="16"/>
  <c r="Y454" i="16"/>
  <c r="Y456" i="16"/>
  <c r="Y458" i="16"/>
  <c r="AA458" i="16" s="1"/>
  <c r="Y460" i="16"/>
  <c r="Y462" i="16"/>
  <c r="Y465" i="16"/>
  <c r="Y467" i="16"/>
  <c r="AA467" i="16" s="1"/>
  <c r="Y477" i="16"/>
  <c r="Y481" i="16"/>
  <c r="Y485" i="16"/>
  <c r="Y487" i="16"/>
  <c r="Y489" i="16"/>
  <c r="Y495" i="16"/>
  <c r="Y523" i="16"/>
  <c r="Y536" i="16"/>
  <c r="AA536" i="16" s="1"/>
  <c r="Y544" i="16"/>
  <c r="Y546" i="16"/>
  <c r="Y548" i="16"/>
  <c r="Y551" i="16"/>
  <c r="AA551" i="16" s="1"/>
  <c r="Y557" i="16"/>
  <c r="Y11" i="16"/>
  <c r="Y116" i="16"/>
  <c r="Y20" i="16"/>
  <c r="AH20" i="16" s="1"/>
  <c r="Y44" i="16"/>
  <c r="Y50" i="16"/>
  <c r="Y54" i="16"/>
  <c r="Y58" i="16"/>
  <c r="AA58" i="16" s="1"/>
  <c r="Y63" i="16"/>
  <c r="AA63" i="16" s="1"/>
  <c r="Y67" i="16"/>
  <c r="Y71" i="16"/>
  <c r="AH71" i="16" s="1"/>
  <c r="Y75" i="16"/>
  <c r="AA75" i="16" s="1"/>
  <c r="Y79" i="16"/>
  <c r="Y83" i="16"/>
  <c r="Y87" i="16"/>
  <c r="Y91" i="16"/>
  <c r="AA91" i="16" s="1"/>
  <c r="Y95" i="16"/>
  <c r="Y99" i="16"/>
  <c r="Y103" i="16"/>
  <c r="Y107" i="16"/>
  <c r="Y111" i="16"/>
  <c r="Y115" i="16"/>
  <c r="Y120" i="16"/>
  <c r="Y124" i="16"/>
  <c r="AH124" i="16" s="1"/>
  <c r="Y128" i="16"/>
  <c r="Y132" i="16"/>
  <c r="Y146" i="16"/>
  <c r="Y150" i="16"/>
  <c r="AH150" i="16" s="1"/>
  <c r="Y154" i="16"/>
  <c r="Y159" i="16"/>
  <c r="Y163" i="16"/>
  <c r="Y167" i="16"/>
  <c r="AH167" i="16" s="1"/>
  <c r="Y172" i="16"/>
  <c r="Y176" i="16"/>
  <c r="Y180" i="16"/>
  <c r="Y184" i="16"/>
  <c r="AA184" i="16" s="1"/>
  <c r="Y194" i="16"/>
  <c r="Y198" i="16"/>
  <c r="Y202" i="16"/>
  <c r="Y206" i="16"/>
  <c r="AH206" i="16" s="1"/>
  <c r="Y210" i="16"/>
  <c r="Y214" i="16"/>
  <c r="Y226" i="16"/>
  <c r="Y233" i="16"/>
  <c r="Y235" i="16"/>
  <c r="Y237" i="16"/>
  <c r="Y243" i="16"/>
  <c r="Y245" i="16"/>
  <c r="Y247" i="16"/>
  <c r="Y252" i="16"/>
  <c r="Y256" i="16"/>
  <c r="Y258" i="16"/>
  <c r="Y277" i="16"/>
  <c r="Y294" i="16"/>
  <c r="Y352" i="16"/>
  <c r="Y368" i="16"/>
  <c r="Y370" i="16"/>
  <c r="Y374" i="16"/>
  <c r="Y382" i="16"/>
  <c r="Y386" i="16"/>
  <c r="Y392" i="16"/>
  <c r="Y398" i="16"/>
  <c r="Y400" i="16"/>
  <c r="Y413" i="16"/>
  <c r="AH413" i="16" s="1"/>
  <c r="Y437" i="16"/>
  <c r="AH437" i="16" s="1"/>
  <c r="Y439" i="16"/>
  <c r="Y441" i="16"/>
  <c r="Y445" i="16"/>
  <c r="AA445" i="16" s="1"/>
  <c r="Y447" i="16"/>
  <c r="Y449" i="16"/>
  <c r="Y451" i="16"/>
  <c r="Y453" i="16"/>
  <c r="Y455" i="16"/>
  <c r="Y457" i="16"/>
  <c r="Y459" i="16"/>
  <c r="Y461" i="16"/>
  <c r="Y463" i="16"/>
  <c r="Y466" i="16"/>
  <c r="Y478" i="16"/>
  <c r="AA478" i="16" s="1"/>
  <c r="Y482" i="16"/>
  <c r="AA482" i="16" s="1"/>
  <c r="Y486" i="16"/>
  <c r="Y488" i="16"/>
  <c r="Y494" i="16"/>
  <c r="Y496" i="16"/>
  <c r="AA496" i="16" s="1"/>
  <c r="Y498" i="16"/>
  <c r="Y524" i="16"/>
  <c r="Y535" i="16"/>
  <c r="Y550" i="16"/>
  <c r="AH550" i="16" s="1"/>
  <c r="Y46" i="16"/>
  <c r="AH46" i="16" s="1"/>
  <c r="Y31" i="16"/>
  <c r="Y47" i="16"/>
  <c r="Y56" i="16"/>
  <c r="AH56" i="16" s="1"/>
  <c r="Y65" i="16"/>
  <c r="Y73" i="16"/>
  <c r="Y81" i="16"/>
  <c r="Y85" i="16"/>
  <c r="AH85" i="16" s="1"/>
  <c r="Y97" i="16"/>
  <c r="Y101" i="16"/>
  <c r="Y113" i="16"/>
  <c r="Y118" i="16"/>
  <c r="AH118" i="16" s="1"/>
  <c r="Y130" i="16"/>
  <c r="Y134" i="16"/>
  <c r="Y157" i="16"/>
  <c r="Y161" i="16"/>
  <c r="AH161" i="16" s="1"/>
  <c r="Y174" i="16"/>
  <c r="Y186" i="16"/>
  <c r="Y204" i="16"/>
  <c r="Y212" i="16"/>
  <c r="AA212" i="16" s="1"/>
  <c r="Y227" i="16"/>
  <c r="AH227" i="16" s="1"/>
  <c r="Y248" i="16"/>
  <c r="Y255" i="16"/>
  <c r="Y369" i="16"/>
  <c r="AH369" i="16" s="1"/>
  <c r="Y444" i="16"/>
  <c r="Y16" i="16"/>
  <c r="Y51" i="16"/>
  <c r="Y55" i="16"/>
  <c r="AH55" i="16" s="1"/>
  <c r="Y59" i="16"/>
  <c r="Y64" i="16"/>
  <c r="Y68" i="16"/>
  <c r="Y72" i="16"/>
  <c r="AH72" i="16" s="1"/>
  <c r="Y76" i="16"/>
  <c r="Y80" i="16"/>
  <c r="Y84" i="16"/>
  <c r="AA84" i="16" s="1"/>
  <c r="Y88" i="16"/>
  <c r="AA88" i="16" s="1"/>
  <c r="Y92" i="16"/>
  <c r="Y96" i="16"/>
  <c r="Y100" i="16"/>
  <c r="AA100" i="16" s="1"/>
  <c r="Y104" i="16"/>
  <c r="AA104" i="16" s="1"/>
  <c r="Y108" i="16"/>
  <c r="Y112" i="16"/>
  <c r="Y117" i="16"/>
  <c r="Y121" i="16"/>
  <c r="AH121" i="16" s="1"/>
  <c r="Y125" i="16"/>
  <c r="Y129" i="16"/>
  <c r="Y133" i="16"/>
  <c r="Y147" i="16"/>
  <c r="AA147" i="16" s="1"/>
  <c r="Y151" i="16"/>
  <c r="Y160" i="16"/>
  <c r="Y164" i="16"/>
  <c r="Y169" i="16"/>
  <c r="AA169" i="16" s="1"/>
  <c r="Y173" i="16"/>
  <c r="AA173" i="16" s="1"/>
  <c r="Y177" i="16"/>
  <c r="Y181" i="16"/>
  <c r="Y185" i="16"/>
  <c r="AA185" i="16" s="1"/>
  <c r="Y195" i="16"/>
  <c r="AH195" i="16" s="1"/>
  <c r="Y199" i="16"/>
  <c r="Y203" i="16"/>
  <c r="Y207" i="16"/>
  <c r="AA207" i="16" s="1"/>
  <c r="Y211" i="16"/>
  <c r="Y215" i="16"/>
  <c r="Y228" i="16"/>
  <c r="Y230" i="16"/>
  <c r="Y232" i="16"/>
  <c r="Y240" i="16"/>
  <c r="Y253" i="16"/>
  <c r="Y266" i="16"/>
  <c r="AH266" i="16" s="1"/>
  <c r="Y268" i="16"/>
  <c r="Y270" i="16"/>
  <c r="Y272" i="16"/>
  <c r="Y274" i="16"/>
  <c r="AH274" i="16" s="1"/>
  <c r="Y276" i="16"/>
  <c r="Y278" i="16"/>
  <c r="Y280" i="16"/>
  <c r="Y282" i="16"/>
  <c r="AA282" i="16" s="1"/>
  <c r="Y284" i="16"/>
  <c r="Y286" i="16"/>
  <c r="Y288" i="16"/>
  <c r="Y290" i="16"/>
  <c r="Y292" i="16"/>
  <c r="Y297" i="16"/>
  <c r="Y299" i="16"/>
  <c r="Y301" i="16"/>
  <c r="AA301" i="16" s="1"/>
  <c r="Y303" i="16"/>
  <c r="Y305" i="16"/>
  <c r="Y307" i="16"/>
  <c r="AH307" i="16" s="1"/>
  <c r="Y309" i="16"/>
  <c r="AH309" i="16" s="1"/>
  <c r="Y311" i="16"/>
  <c r="Y313" i="16"/>
  <c r="Y315" i="16"/>
  <c r="Y317" i="16"/>
  <c r="Y319" i="16"/>
  <c r="Y321" i="16"/>
  <c r="Y323" i="16"/>
  <c r="Y325" i="16"/>
  <c r="AH325" i="16" s="1"/>
  <c r="Y327" i="16"/>
  <c r="Y329" i="16"/>
  <c r="Y331" i="16"/>
  <c r="AH331" i="16" s="1"/>
  <c r="Y333" i="16"/>
  <c r="AH333" i="16" s="1"/>
  <c r="Y335" i="16"/>
  <c r="Y337" i="16"/>
  <c r="Y339" i="16"/>
  <c r="Y341" i="16"/>
  <c r="AA341" i="16" s="1"/>
  <c r="Y343" i="16"/>
  <c r="Y345" i="16"/>
  <c r="Y347" i="16"/>
  <c r="Y349" i="16"/>
  <c r="AA349" i="16" s="1"/>
  <c r="Y351" i="16"/>
  <c r="Y363" i="16"/>
  <c r="Y365" i="16"/>
  <c r="Y367" i="16"/>
  <c r="AH367" i="16" s="1"/>
  <c r="Y371" i="16"/>
  <c r="AH371" i="16" s="1"/>
  <c r="Y373" i="16"/>
  <c r="Y375" i="16"/>
  <c r="Y377" i="16"/>
  <c r="Y379" i="16"/>
  <c r="Y383" i="16"/>
  <c r="Y385" i="16"/>
  <c r="Y389" i="16"/>
  <c r="AA389" i="16" s="1"/>
  <c r="Y391" i="16"/>
  <c r="Y397" i="16"/>
  <c r="Y401" i="16"/>
  <c r="Y403" i="16"/>
  <c r="AA403" i="16" s="1"/>
  <c r="Y409" i="16"/>
  <c r="Y443" i="16"/>
  <c r="Y468" i="16"/>
  <c r="Y471" i="16"/>
  <c r="AH471" i="16" s="1"/>
  <c r="Y473" i="16"/>
  <c r="Y475" i="16"/>
  <c r="Y479" i="16"/>
  <c r="AH479" i="16" s="1"/>
  <c r="Y483" i="16"/>
  <c r="AH483" i="16" s="1"/>
  <c r="Y491" i="16"/>
  <c r="Y493" i="16"/>
  <c r="Y497" i="16"/>
  <c r="Y499" i="16"/>
  <c r="AA499" i="16" s="1"/>
  <c r="Y501" i="16"/>
  <c r="Y503" i="16"/>
  <c r="Y506" i="16"/>
  <c r="Y509" i="16"/>
  <c r="Y512" i="16"/>
  <c r="Y514" i="16"/>
  <c r="Y517" i="16"/>
  <c r="Y519" i="16"/>
  <c r="AA519" i="16" s="1"/>
  <c r="Y521" i="16"/>
  <c r="Y525" i="16"/>
  <c r="Y527" i="16"/>
  <c r="Y530" i="16"/>
  <c r="AA530" i="16" s="1"/>
  <c r="Y532" i="16"/>
  <c r="Y534" i="16"/>
  <c r="Y538" i="16"/>
  <c r="Y540" i="16"/>
  <c r="Y542" i="16"/>
  <c r="Y62" i="16"/>
  <c r="AA295" i="16"/>
  <c r="AA524" i="16"/>
  <c r="AH432" i="16"/>
  <c r="AA32" i="16"/>
  <c r="AA457" i="16"/>
  <c r="AA16" i="16"/>
  <c r="AA270" i="16"/>
  <c r="AA435" i="16"/>
  <c r="AA36" i="16"/>
  <c r="AA238" i="16"/>
  <c r="AA237" i="16"/>
  <c r="AH14" i="16"/>
  <c r="AA23" i="16"/>
  <c r="AA27" i="16"/>
  <c r="AA414" i="16"/>
  <c r="AA454" i="16"/>
  <c r="AA462" i="16"/>
  <c r="AA546" i="16"/>
  <c r="AA24" i="16"/>
  <c r="AA26" i="16"/>
  <c r="AA267" i="16"/>
  <c r="AA296" i="16"/>
  <c r="AA328" i="16"/>
  <c r="AA364" i="16"/>
  <c r="AA511" i="16"/>
  <c r="AA554" i="16"/>
  <c r="Z432" i="16"/>
  <c r="AE108" i="16"/>
  <c r="AE103" i="16"/>
  <c r="AE109" i="16"/>
  <c r="AE68" i="16"/>
  <c r="AH186" i="16"/>
  <c r="AE120" i="16"/>
  <c r="X48" i="16"/>
  <c r="AE184" i="16"/>
  <c r="AE133" i="16"/>
  <c r="AH397" i="16"/>
  <c r="AE67" i="16"/>
  <c r="AE150" i="16"/>
  <c r="AE151" i="16"/>
  <c r="AE152" i="16"/>
  <c r="AE153" i="16"/>
  <c r="AE154" i="16"/>
  <c r="AE156" i="16"/>
  <c r="AE159" i="16"/>
  <c r="X171" i="16"/>
  <c r="AH305" i="16"/>
  <c r="AE63" i="16"/>
  <c r="AE75" i="16"/>
  <c r="AE77" i="16"/>
  <c r="AE78" i="16"/>
  <c r="AE79" i="16"/>
  <c r="AE123" i="16"/>
  <c r="AE131" i="16"/>
  <c r="AE215" i="16"/>
  <c r="AE178" i="16"/>
  <c r="X18" i="16"/>
  <c r="AE50" i="16"/>
  <c r="AE54" i="16"/>
  <c r="AE58" i="16"/>
  <c r="X21" i="16"/>
  <c r="X25" i="16"/>
  <c r="X34" i="16"/>
  <c r="AE43" i="16"/>
  <c r="AE45" i="16"/>
  <c r="AE46" i="16"/>
  <c r="AE74" i="16"/>
  <c r="AE129" i="16"/>
  <c r="AE164" i="16"/>
  <c r="AE165" i="16"/>
  <c r="AE168" i="16"/>
  <c r="AE171" i="16"/>
  <c r="AE186" i="16"/>
  <c r="AE199" i="16"/>
  <c r="AE204" i="16"/>
  <c r="AE207" i="16"/>
  <c r="AE210" i="16"/>
  <c r="AE212" i="16"/>
  <c r="AE217" i="16"/>
  <c r="X19" i="16"/>
  <c r="AE41" i="16"/>
  <c r="AE42" i="16"/>
  <c r="AE49" i="16"/>
  <c r="AE53" i="16"/>
  <c r="AH435" i="16"/>
  <c r="X470" i="16"/>
  <c r="AH35" i="16"/>
  <c r="AE48" i="16"/>
  <c r="AE52" i="16"/>
  <c r="AE60" i="16"/>
  <c r="AE92" i="16"/>
  <c r="AE94" i="16"/>
  <c r="AE99" i="16"/>
  <c r="AE122" i="16"/>
  <c r="AE158" i="16"/>
  <c r="AE173" i="16"/>
  <c r="AE174" i="16"/>
  <c r="AE175" i="16"/>
  <c r="AE187" i="16"/>
  <c r="AE196" i="16"/>
  <c r="AE197" i="16"/>
  <c r="AE203" i="16"/>
  <c r="AE209" i="16"/>
  <c r="AH390" i="16"/>
  <c r="AE181" i="16"/>
  <c r="AH29" i="16"/>
  <c r="AE57" i="16"/>
  <c r="AE62" i="16"/>
  <c r="AE72" i="16"/>
  <c r="AH73" i="16"/>
  <c r="AE76" i="16"/>
  <c r="AE85" i="16"/>
  <c r="AE86" i="16"/>
  <c r="AE87" i="16"/>
  <c r="AE91" i="16"/>
  <c r="AE111" i="16"/>
  <c r="AE116" i="16"/>
  <c r="AE125" i="16"/>
  <c r="AE134" i="16"/>
  <c r="AE146" i="16"/>
  <c r="AE160" i="16"/>
  <c r="AE176" i="16"/>
  <c r="AE185" i="16"/>
  <c r="AE216" i="16"/>
  <c r="AH15" i="16"/>
  <c r="AA101" i="16"/>
  <c r="AE61" i="16"/>
  <c r="AE66" i="16"/>
  <c r="AH94" i="16"/>
  <c r="AE96" i="16"/>
  <c r="AE101" i="16"/>
  <c r="AE124" i="16"/>
  <c r="AE182" i="16"/>
  <c r="AH50" i="16"/>
  <c r="AE55" i="16"/>
  <c r="AE56" i="16"/>
  <c r="AE70" i="16"/>
  <c r="AE117" i="16"/>
  <c r="AA126" i="16"/>
  <c r="AH132" i="16"/>
  <c r="AE172" i="16"/>
  <c r="AA182" i="16"/>
  <c r="AE206" i="16"/>
  <c r="AH64" i="16"/>
  <c r="AH67" i="16"/>
  <c r="AE82" i="16"/>
  <c r="AE95" i="16"/>
  <c r="AH96" i="16"/>
  <c r="AE97" i="16"/>
  <c r="AE98" i="16"/>
  <c r="AE119" i="16"/>
  <c r="AE126" i="16"/>
  <c r="AE127" i="16"/>
  <c r="AE128" i="16"/>
  <c r="AA129" i="16"/>
  <c r="AE130" i="16"/>
  <c r="AE147" i="16"/>
  <c r="AE166" i="16"/>
  <c r="AE183" i="16"/>
  <c r="AE205" i="16"/>
  <c r="AH469" i="16"/>
  <c r="AE179" i="16"/>
  <c r="AE195" i="16"/>
  <c r="Y45" i="16"/>
  <c r="AH466" i="16"/>
  <c r="AH296" i="16"/>
  <c r="AA78" i="16"/>
  <c r="AA73" i="16"/>
  <c r="AA159" i="16"/>
  <c r="AA500" i="16"/>
  <c r="AH554" i="16"/>
  <c r="AH238" i="16"/>
  <c r="AH443" i="16"/>
  <c r="AH32" i="16"/>
  <c r="AH23" i="16"/>
  <c r="AA35" i="16"/>
  <c r="AH295" i="16"/>
  <c r="AA286" i="16"/>
  <c r="AH286" i="16"/>
  <c r="AA312" i="16"/>
  <c r="AH37" i="16"/>
  <c r="AA37" i="16"/>
  <c r="AH30" i="16"/>
  <c r="AA30" i="16"/>
  <c r="AH488" i="16"/>
  <c r="AA488" i="16"/>
  <c r="AH336" i="16"/>
  <c r="AA215" i="16"/>
  <c r="AH12" i="16"/>
  <c r="AA12" i="16"/>
  <c r="AH224" i="16"/>
  <c r="AA224" i="16"/>
  <c r="AA363" i="16"/>
  <c r="AH363" i="16"/>
  <c r="AH126" i="16"/>
  <c r="AA67" i="16"/>
  <c r="AH297" i="16"/>
  <c r="AA475" i="16"/>
  <c r="AH475" i="16"/>
  <c r="AH383" i="16"/>
  <c r="AH541" i="16"/>
  <c r="AH26" i="16"/>
  <c r="AH182" i="16"/>
  <c r="AH321" i="16"/>
  <c r="AA469" i="16"/>
  <c r="AA199" i="16"/>
  <c r="AA176" i="16"/>
  <c r="AH109" i="16"/>
  <c r="AA344" i="16"/>
  <c r="AA186" i="16"/>
  <c r="AH304" i="16"/>
  <c r="AH481" i="16"/>
  <c r="AH503" i="16"/>
  <c r="AA22" i="16"/>
  <c r="AH22" i="16"/>
  <c r="AH11" i="16"/>
  <c r="AH33" i="16"/>
  <c r="AA33" i="16"/>
  <c r="AH493" i="16"/>
  <c r="AH52" i="16"/>
  <c r="AH17" i="16"/>
  <c r="AA17" i="16"/>
  <c r="AH278" i="16"/>
  <c r="AH31" i="16"/>
  <c r="AA31" i="16"/>
  <c r="AH99" i="16"/>
  <c r="AE90" i="16"/>
  <c r="AE167" i="16"/>
  <c r="AE114" i="16"/>
  <c r="AE201" i="16"/>
  <c r="AH231" i="16"/>
  <c r="AE65" i="16"/>
  <c r="AE102" i="16"/>
  <c r="AA110" i="16"/>
  <c r="AE110" i="16"/>
  <c r="AE180" i="16"/>
  <c r="AE198" i="16"/>
  <c r="AA294" i="16"/>
  <c r="AH345" i="16"/>
  <c r="AA397" i="16"/>
  <c r="AH514" i="16"/>
  <c r="AA514" i="16"/>
  <c r="AE105" i="16"/>
  <c r="AA29" i="16"/>
  <c r="AA187" i="16"/>
  <c r="AE155" i="16"/>
  <c r="AE44" i="16"/>
  <c r="AE169" i="16"/>
  <c r="AA252" i="16"/>
  <c r="AH252" i="16"/>
  <c r="AE83" i="16"/>
  <c r="AE115" i="16"/>
  <c r="AA115" i="16"/>
  <c r="AH285" i="16"/>
  <c r="AH373" i="16"/>
  <c r="AH524" i="16"/>
  <c r="AH16" i="16"/>
  <c r="AE51" i="16"/>
  <c r="AE107" i="16"/>
  <c r="AA378" i="16"/>
  <c r="AH387" i="16"/>
  <c r="AE163" i="16"/>
  <c r="AE213" i="16"/>
  <c r="AH439" i="16"/>
  <c r="AA439" i="16"/>
  <c r="AE47" i="16"/>
  <c r="AE148" i="16"/>
  <c r="AA160" i="16"/>
  <c r="AA525" i="16"/>
  <c r="AA531" i="16"/>
  <c r="AA177" i="16"/>
  <c r="AE177" i="16"/>
  <c r="AE113" i="16"/>
  <c r="AE84" i="16"/>
  <c r="AA14" i="16"/>
  <c r="AA398" i="16"/>
  <c r="AH398" i="16"/>
  <c r="AE59" i="16"/>
  <c r="AA480" i="16"/>
  <c r="AA41" i="16"/>
  <c r="AE80" i="16"/>
  <c r="AA80" i="16"/>
  <c r="AA96" i="16"/>
  <c r="AE145" i="16"/>
  <c r="AA162" i="16"/>
  <c r="AE162" i="16"/>
  <c r="AE170" i="16"/>
  <c r="AE211" i="16"/>
  <c r="AH27" i="16"/>
  <c r="AE73" i="16"/>
  <c r="AE81" i="16"/>
  <c r="AE93" i="16"/>
  <c r="AH112" i="16"/>
  <c r="AA132" i="16"/>
  <c r="AE132" i="16"/>
  <c r="X249" i="16"/>
  <c r="AI250" i="16"/>
  <c r="X250" i="16" s="1"/>
  <c r="AH320" i="16"/>
  <c r="AE157" i="16"/>
  <c r="AE100" i="16"/>
  <c r="AE112" i="16"/>
  <c r="AA112" i="16"/>
  <c r="AA15" i="16"/>
  <c r="AH127" i="16"/>
  <c r="AA127" i="16"/>
  <c r="AE208" i="16"/>
  <c r="AH337" i="16"/>
  <c r="AA495" i="16"/>
  <c r="AH495" i="16"/>
  <c r="AH62" i="16"/>
  <c r="AE104" i="16"/>
  <c r="AE121" i="16"/>
  <c r="AA134" i="16"/>
  <c r="AE200" i="16"/>
  <c r="AA313" i="16"/>
  <c r="AA374" i="16"/>
  <c r="W9" i="16"/>
  <c r="AH28" i="16"/>
  <c r="AA28" i="16"/>
  <c r="AA275" i="16"/>
  <c r="AH275" i="16"/>
  <c r="AH24" i="16"/>
  <c r="AE118" i="16"/>
  <c r="AH207" i="16"/>
  <c r="AE161" i="16"/>
  <c r="AH168" i="16"/>
  <c r="AA168" i="16"/>
  <c r="AH301" i="16"/>
  <c r="AH36" i="16"/>
  <c r="AE69" i="16"/>
  <c r="AE88" i="16"/>
  <c r="AH101" i="16"/>
  <c r="Z562" i="16"/>
  <c r="AA561" i="16"/>
  <c r="AA64" i="16"/>
  <c r="AE64" i="16"/>
  <c r="AH159" i="16"/>
  <c r="AH364" i="16"/>
  <c r="AH129" i="16"/>
  <c r="AI156" i="16"/>
  <c r="X156" i="16" s="1"/>
  <c r="X155" i="16"/>
  <c r="AE71" i="16"/>
  <c r="AH110" i="16"/>
  <c r="AA150" i="16"/>
  <c r="AA153" i="16"/>
  <c r="AH329" i="16"/>
  <c r="AE202" i="16"/>
  <c r="AE214" i="16"/>
  <c r="AE106" i="16"/>
  <c r="AE194" i="16"/>
  <c r="AA209" i="16"/>
  <c r="AE149" i="16"/>
  <c r="AH248" i="16"/>
  <c r="AH328" i="16"/>
  <c r="AE89" i="16"/>
  <c r="AH414" i="16"/>
  <c r="AH160" i="16"/>
  <c r="AH493" i="15"/>
  <c r="AH490" i="15"/>
  <c r="AH489" i="15"/>
  <c r="AH467" i="15"/>
  <c r="AH466" i="15"/>
  <c r="AH458" i="15"/>
  <c r="AH450" i="15"/>
  <c r="AH448" i="15"/>
  <c r="AH383" i="15"/>
  <c r="AH381" i="15"/>
  <c r="AH378" i="15"/>
  <c r="AH374" i="15"/>
  <c r="AH372" i="15"/>
  <c r="AH347" i="15"/>
  <c r="AH334" i="15"/>
  <c r="AH238" i="15"/>
  <c r="AH326" i="15"/>
  <c r="AH267" i="15"/>
  <c r="AH196" i="15"/>
  <c r="AH185" i="15"/>
  <c r="AH184" i="15"/>
  <c r="AH183" i="15"/>
  <c r="AH182" i="15"/>
  <c r="AH166" i="15"/>
  <c r="AH165" i="15"/>
  <c r="AH164" i="15"/>
  <c r="AH163" i="15"/>
  <c r="AH152" i="15"/>
  <c r="AH148" i="15"/>
  <c r="AH147" i="15"/>
  <c r="AH146" i="15"/>
  <c r="AH145" i="15"/>
  <c r="AH144" i="15"/>
  <c r="AH143" i="15"/>
  <c r="AH130" i="15"/>
  <c r="AH129" i="15"/>
  <c r="AH128" i="15"/>
  <c r="AH125" i="15"/>
  <c r="AH124" i="15"/>
  <c r="AH119" i="15"/>
  <c r="AH118" i="15"/>
  <c r="AH117" i="15"/>
  <c r="AH111" i="15"/>
  <c r="AH94" i="15"/>
  <c r="AH92" i="15"/>
  <c r="AH91" i="15"/>
  <c r="AH81" i="15"/>
  <c r="AH79" i="15"/>
  <c r="AH75" i="15"/>
  <c r="AH74" i="15"/>
  <c r="AH72" i="15"/>
  <c r="AH70" i="15"/>
  <c r="AH69" i="15"/>
  <c r="AH59" i="15"/>
  <c r="AH63" i="15"/>
  <c r="AH62" i="15"/>
  <c r="AH51" i="15"/>
  <c r="AH45" i="15"/>
  <c r="AH44" i="15"/>
  <c r="AH43" i="15"/>
  <c r="AH42" i="15"/>
  <c r="AH41" i="15"/>
  <c r="AH40" i="15"/>
  <c r="AH39" i="15"/>
  <c r="AH32" i="15"/>
  <c r="AH25" i="15"/>
  <c r="AH22" i="15"/>
  <c r="AH21" i="15"/>
  <c r="AH15" i="15"/>
  <c r="AH10" i="15"/>
  <c r="AH11" i="15"/>
  <c r="AA179" i="16" l="1"/>
  <c r="Z415" i="16"/>
  <c r="AH332" i="16"/>
  <c r="AH551" i="16"/>
  <c r="AH340" i="16"/>
  <c r="AA85" i="16"/>
  <c r="AA161" i="16"/>
  <c r="AH412" i="16"/>
  <c r="AA124" i="16"/>
  <c r="AH499" i="16"/>
  <c r="AA515" i="16"/>
  <c r="AA167" i="16"/>
  <c r="AA372" i="16"/>
  <c r="AA505" i="16"/>
  <c r="AA309" i="16"/>
  <c r="AA490" i="16"/>
  <c r="AH324" i="16"/>
  <c r="AA550" i="16"/>
  <c r="AH271" i="16"/>
  <c r="Z499" i="16"/>
  <c r="Z403" i="16"/>
  <c r="Z282" i="16"/>
  <c r="Z185" i="16"/>
  <c r="Z458" i="16"/>
  <c r="Z293" i="16"/>
  <c r="Z412" i="16"/>
  <c r="Z340" i="16"/>
  <c r="Z316" i="16"/>
  <c r="Z281" i="16"/>
  <c r="Z349" i="16"/>
  <c r="Z341" i="16"/>
  <c r="Z301" i="16"/>
  <c r="Z212" i="16"/>
  <c r="Z445" i="16"/>
  <c r="Z58" i="16"/>
  <c r="Z467" i="16"/>
  <c r="Z257" i="16"/>
  <c r="Z77" i="16"/>
  <c r="Z348" i="16"/>
  <c r="Z332" i="16"/>
  <c r="Z271" i="16"/>
  <c r="Z169" i="16"/>
  <c r="Z104" i="16"/>
  <c r="Z482" i="16"/>
  <c r="Z91" i="16"/>
  <c r="Z536" i="16"/>
  <c r="Z395" i="16"/>
  <c r="Z148" i="16"/>
  <c r="Z545" i="16"/>
  <c r="Z324" i="16"/>
  <c r="Z102" i="16"/>
  <c r="Z216" i="16"/>
  <c r="Z207" i="16"/>
  <c r="Z398" i="16"/>
  <c r="Z496" i="16"/>
  <c r="Z519" i="16"/>
  <c r="Z184" i="16"/>
  <c r="Z179" i="16"/>
  <c r="Z308" i="16"/>
  <c r="Z88" i="16"/>
  <c r="Z475" i="16"/>
  <c r="Z225" i="16"/>
  <c r="Z124" i="16"/>
  <c r="Z26" i="16"/>
  <c r="Z524" i="16"/>
  <c r="X432" i="16"/>
  <c r="Z24" i="16"/>
  <c r="Z27" i="16"/>
  <c r="Z237" i="16"/>
  <c r="Z295" i="16"/>
  <c r="Z100" i="16"/>
  <c r="Z84" i="16"/>
  <c r="Z478" i="16"/>
  <c r="Z42" i="16"/>
  <c r="Z522" i="16"/>
  <c r="Z366" i="16"/>
  <c r="Z298" i="16"/>
  <c r="Z213" i="16"/>
  <c r="Z82" i="16"/>
  <c r="Z490" i="16"/>
  <c r="Z537" i="16"/>
  <c r="Z127" i="16"/>
  <c r="Z132" i="16"/>
  <c r="Z162" i="16"/>
  <c r="Z396" i="16"/>
  <c r="Z397" i="16"/>
  <c r="Z30" i="16"/>
  <c r="Z73" i="16"/>
  <c r="Z75" i="16"/>
  <c r="Z101" i="16"/>
  <c r="Z328" i="16"/>
  <c r="Z462" i="16"/>
  <c r="Z389" i="16"/>
  <c r="Z36" i="16"/>
  <c r="Z457" i="16"/>
  <c r="AH77" i="16"/>
  <c r="Z64" i="16"/>
  <c r="AH467" i="16"/>
  <c r="Z28" i="16"/>
  <c r="Z374" i="16"/>
  <c r="Z134" i="16"/>
  <c r="AH212" i="16"/>
  <c r="Z480" i="16"/>
  <c r="Z14" i="16"/>
  <c r="Z177" i="16"/>
  <c r="Z439" i="16"/>
  <c r="Z252" i="16"/>
  <c r="Z514" i="16"/>
  <c r="AA201" i="16"/>
  <c r="AH281" i="16"/>
  <c r="Z344" i="16"/>
  <c r="Z199" i="16"/>
  <c r="Z12" i="16"/>
  <c r="Z37" i="16"/>
  <c r="Z312" i="16"/>
  <c r="Z35" i="16"/>
  <c r="Z500" i="16"/>
  <c r="Z78" i="16"/>
  <c r="AH102" i="16"/>
  <c r="Z209" i="16"/>
  <c r="Z168" i="16"/>
  <c r="Z313" i="16"/>
  <c r="Z15" i="16"/>
  <c r="AA55" i="16"/>
  <c r="Z96" i="16"/>
  <c r="Z531" i="16"/>
  <c r="Z160" i="16"/>
  <c r="Z378" i="16"/>
  <c r="Z187" i="16"/>
  <c r="AH545" i="16"/>
  <c r="Z294" i="16"/>
  <c r="AH293" i="16"/>
  <c r="Z22" i="16"/>
  <c r="Z186" i="16"/>
  <c r="Z469" i="16"/>
  <c r="Z67" i="16"/>
  <c r="Z363" i="16"/>
  <c r="Z488" i="16"/>
  <c r="AH348" i="16"/>
  <c r="Z159" i="16"/>
  <c r="AA206" i="16"/>
  <c r="Z129" i="16"/>
  <c r="Z126" i="16"/>
  <c r="AH169" i="16"/>
  <c r="Z554" i="16"/>
  <c r="Z364" i="16"/>
  <c r="Z296" i="16"/>
  <c r="Z546" i="16"/>
  <c r="Z454" i="16"/>
  <c r="Z23" i="16"/>
  <c r="Z270" i="16"/>
  <c r="Z32" i="16"/>
  <c r="Z150" i="16"/>
  <c r="Z275" i="16"/>
  <c r="Z80" i="16"/>
  <c r="Z115" i="16"/>
  <c r="Z147" i="16"/>
  <c r="Z153" i="16"/>
  <c r="Z440" i="16"/>
  <c r="Z495" i="16"/>
  <c r="Z112" i="16"/>
  <c r="AH341" i="16"/>
  <c r="Z525" i="16"/>
  <c r="AH58" i="16"/>
  <c r="Z29" i="16"/>
  <c r="Z110" i="16"/>
  <c r="Z31" i="16"/>
  <c r="Z17" i="16"/>
  <c r="Z33" i="16"/>
  <c r="Z176" i="16"/>
  <c r="Z224" i="16"/>
  <c r="Z215" i="16"/>
  <c r="Z286" i="16"/>
  <c r="Z182" i="16"/>
  <c r="Z511" i="16"/>
  <c r="Z267" i="16"/>
  <c r="Z414" i="16"/>
  <c r="Z238" i="16"/>
  <c r="Z16" i="16"/>
  <c r="Z173" i="16"/>
  <c r="Z63" i="16"/>
  <c r="Z399" i="16"/>
  <c r="Z57" i="16"/>
  <c r="AA69" i="16"/>
  <c r="AA540" i="16"/>
  <c r="AH534" i="16"/>
  <c r="AH519" i="16"/>
  <c r="AA509" i="16"/>
  <c r="AA503" i="16"/>
  <c r="AA493" i="16"/>
  <c r="AH403" i="16"/>
  <c r="AH389" i="16"/>
  <c r="AA377" i="16"/>
  <c r="AA345" i="16"/>
  <c r="AA337" i="16"/>
  <c r="AA290" i="16"/>
  <c r="AH290" i="16"/>
  <c r="AA274" i="16"/>
  <c r="AH215" i="16"/>
  <c r="AH199" i="16"/>
  <c r="AH80" i="16"/>
  <c r="AA248" i="16"/>
  <c r="AH496" i="16"/>
  <c r="AH445" i="16"/>
  <c r="AA413" i="16"/>
  <c r="AH374" i="16"/>
  <c r="AH258" i="16"/>
  <c r="AA214" i="16"/>
  <c r="AA481" i="16"/>
  <c r="AA131" i="16"/>
  <c r="AA373" i="16"/>
  <c r="AH349" i="16"/>
  <c r="AA321" i="16"/>
  <c r="AH282" i="16"/>
  <c r="AA278" i="16"/>
  <c r="AH270" i="16"/>
  <c r="AA266" i="16"/>
  <c r="AH147" i="16"/>
  <c r="AH88" i="16"/>
  <c r="AH482" i="16"/>
  <c r="AA461" i="16"/>
  <c r="AA449" i="16"/>
  <c r="AA386" i="16"/>
  <c r="AA368" i="16"/>
  <c r="AH237" i="16"/>
  <c r="AH233" i="16"/>
  <c r="AA198" i="16"/>
  <c r="AH176" i="16"/>
  <c r="AA107" i="16"/>
  <c r="AA99" i="16"/>
  <c r="AH83" i="16"/>
  <c r="AH75" i="16"/>
  <c r="AA50" i="16"/>
  <c r="AA20" i="16"/>
  <c r="AA11" i="16"/>
  <c r="AH546" i="16"/>
  <c r="AH487" i="16"/>
  <c r="AA450" i="16"/>
  <c r="AH395" i="16"/>
  <c r="AA387" i="16"/>
  <c r="AH257" i="16"/>
  <c r="AH148" i="16"/>
  <c r="AA541" i="16"/>
  <c r="AH531" i="16"/>
  <c r="AA520" i="16"/>
  <c r="AH520" i="16"/>
  <c r="AA408" i="16"/>
  <c r="AH408" i="16"/>
  <c r="AA390" i="16"/>
  <c r="AA336" i="16"/>
  <c r="AH312" i="16"/>
  <c r="AA304" i="16"/>
  <c r="AA300" i="16"/>
  <c r="AA231" i="16"/>
  <c r="AH217" i="16"/>
  <c r="AH209" i="16"/>
  <c r="AH153" i="16"/>
  <c r="AA86" i="16"/>
  <c r="AA70" i="16"/>
  <c r="AA61" i="16"/>
  <c r="AH43" i="16"/>
  <c r="AH264" i="16"/>
  <c r="AH244" i="16"/>
  <c r="AA196" i="16"/>
  <c r="AH170" i="16"/>
  <c r="AA170" i="16"/>
  <c r="AH530" i="16"/>
  <c r="AA89" i="16"/>
  <c r="AA329" i="16"/>
  <c r="AH317" i="16"/>
  <c r="AA474" i="16"/>
  <c r="AH537" i="16"/>
  <c r="AH131" i="16"/>
  <c r="AH230" i="16"/>
  <c r="AA305" i="16"/>
  <c r="AA118" i="16"/>
  <c r="AA56" i="16"/>
  <c r="AA471" i="16"/>
  <c r="AH313" i="16"/>
  <c r="AA121" i="16"/>
  <c r="AA62" i="16"/>
  <c r="AA325" i="16"/>
  <c r="AA208" i="16"/>
  <c r="AA245" i="16"/>
  <c r="AA254" i="16"/>
  <c r="AA145" i="16"/>
  <c r="AH41" i="16"/>
  <c r="AH480" i="16"/>
  <c r="AA244" i="16"/>
  <c r="AH525" i="16"/>
  <c r="AH368" i="16"/>
  <c r="AH378" i="16"/>
  <c r="AA119" i="16"/>
  <c r="AA43" i="16"/>
  <c r="AA285" i="16"/>
  <c r="AH198" i="16"/>
  <c r="AH396" i="16"/>
  <c r="AH540" i="16"/>
  <c r="AH509" i="16"/>
  <c r="AH294" i="16"/>
  <c r="AH184" i="16"/>
  <c r="AH240" i="16"/>
  <c r="AH316" i="16"/>
  <c r="AH386" i="16"/>
  <c r="AA289" i="16"/>
  <c r="AA52" i="16"/>
  <c r="AA233" i="16"/>
  <c r="AH61" i="16"/>
  <c r="AA369" i="16"/>
  <c r="AH308" i="16"/>
  <c r="AA94" i="16"/>
  <c r="AH384" i="16"/>
  <c r="AH538" i="16"/>
  <c r="AH511" i="16"/>
  <c r="AH104" i="16"/>
  <c r="AA383" i="16"/>
  <c r="AA297" i="16"/>
  <c r="AH91" i="16"/>
  <c r="AH214" i="16"/>
  <c r="AH196" i="16"/>
  <c r="AH225" i="16"/>
  <c r="AA53" i="16"/>
  <c r="AA367" i="16"/>
  <c r="AH267" i="16"/>
  <c r="AH536" i="16"/>
  <c r="AA83" i="16"/>
  <c r="AH440" i="16"/>
  <c r="AH134" i="16"/>
  <c r="AH216" i="16"/>
  <c r="AH185" i="16"/>
  <c r="AA109" i="16"/>
  <c r="AH78" i="16"/>
  <c r="AH344" i="16"/>
  <c r="AH177" i="16"/>
  <c r="AH245" i="16"/>
  <c r="AH115" i="16"/>
  <c r="AH500" i="16"/>
  <c r="AA72" i="16"/>
  <c r="AA217" i="16"/>
  <c r="AH107" i="16"/>
  <c r="AH187" i="16"/>
  <c r="AA526" i="16"/>
  <c r="AA384" i="16"/>
  <c r="AA320" i="16"/>
  <c r="AA487" i="16"/>
  <c r="AA446" i="16"/>
  <c r="AA264" i="16"/>
  <c r="AA534" i="16"/>
  <c r="AA317" i="16"/>
  <c r="AA240" i="16"/>
  <c r="AA258" i="16"/>
  <c r="AA466" i="16"/>
  <c r="AA489" i="16"/>
  <c r="AA553" i="16"/>
  <c r="AA521" i="16"/>
  <c r="AA506" i="16"/>
  <c r="AH491" i="16"/>
  <c r="AA491" i="16"/>
  <c r="AH473" i="16"/>
  <c r="AA473" i="16"/>
  <c r="AA401" i="16"/>
  <c r="AH401" i="16"/>
  <c r="AH379" i="16"/>
  <c r="AA379" i="16"/>
  <c r="AA371" i="16"/>
  <c r="AH351" i="16"/>
  <c r="AA351" i="16"/>
  <c r="AA335" i="16"/>
  <c r="AH335" i="16"/>
  <c r="AH323" i="16"/>
  <c r="AA323" i="16"/>
  <c r="AA307" i="16"/>
  <c r="AH292" i="16"/>
  <c r="AH276" i="16"/>
  <c r="AH253" i="16"/>
  <c r="AA203" i="16"/>
  <c r="AA164" i="16"/>
  <c r="AH164" i="16"/>
  <c r="AA125" i="16"/>
  <c r="AH125" i="16"/>
  <c r="AH100" i="16"/>
  <c r="AH76" i="16"/>
  <c r="AH51" i="16"/>
  <c r="AA51" i="16"/>
  <c r="AH204" i="16"/>
  <c r="AA204" i="16"/>
  <c r="AH65" i="16"/>
  <c r="AA65" i="16"/>
  <c r="AA46" i="16"/>
  <c r="AH494" i="16"/>
  <c r="AA463" i="16"/>
  <c r="AA455" i="16"/>
  <c r="AA441" i="16"/>
  <c r="AH392" i="16"/>
  <c r="AA392" i="16"/>
  <c r="AH352" i="16"/>
  <c r="AH247" i="16"/>
  <c r="AA247" i="16"/>
  <c r="AH226" i="16"/>
  <c r="AA226" i="16"/>
  <c r="AH194" i="16"/>
  <c r="AA194" i="16"/>
  <c r="AH154" i="16"/>
  <c r="AA154" i="16"/>
  <c r="AA111" i="16"/>
  <c r="AH111" i="16"/>
  <c r="AA71" i="16"/>
  <c r="AA557" i="16"/>
  <c r="AA523" i="16"/>
  <c r="AH523" i="16"/>
  <c r="AA452" i="16"/>
  <c r="AH438" i="16"/>
  <c r="AA438" i="16"/>
  <c r="AH393" i="16"/>
  <c r="AA393" i="16"/>
  <c r="AA234" i="16"/>
  <c r="AH234" i="16"/>
  <c r="AH122" i="16"/>
  <c r="AA122" i="16"/>
  <c r="AH42" i="16"/>
  <c r="AH539" i="16"/>
  <c r="AA518" i="16"/>
  <c r="AA502" i="16"/>
  <c r="AH502" i="16"/>
  <c r="AH436" i="16"/>
  <c r="AA436" i="16"/>
  <c r="AA394" i="16"/>
  <c r="AH394" i="16"/>
  <c r="AH380" i="16"/>
  <c r="AA350" i="16"/>
  <c r="AA342" i="16"/>
  <c r="AH342" i="16"/>
  <c r="AA330" i="16"/>
  <c r="AH330" i="16"/>
  <c r="AA314" i="16"/>
  <c r="AH314" i="16"/>
  <c r="AH302" i="16"/>
  <c r="AH287" i="16"/>
  <c r="AA287" i="16"/>
  <c r="AA273" i="16"/>
  <c r="AA302" i="16"/>
  <c r="AA494" i="16"/>
  <c r="AA292" i="16"/>
  <c r="AA532" i="16"/>
  <c r="AA517" i="16"/>
  <c r="AH517" i="16"/>
  <c r="AH501" i="16"/>
  <c r="AA501" i="16"/>
  <c r="AA479" i="16"/>
  <c r="AA409" i="16"/>
  <c r="AH391" i="16"/>
  <c r="AA391" i="16"/>
  <c r="AH375" i="16"/>
  <c r="AH365" i="16"/>
  <c r="AH343" i="16"/>
  <c r="AA343" i="16"/>
  <c r="AA331" i="16"/>
  <c r="AA319" i="16"/>
  <c r="AH319" i="16"/>
  <c r="AH311" i="16"/>
  <c r="AA299" i="16"/>
  <c r="AH288" i="16"/>
  <c r="AA288" i="16"/>
  <c r="AA280" i="16"/>
  <c r="AH280" i="16"/>
  <c r="AA268" i="16"/>
  <c r="AH268" i="16"/>
  <c r="AA228" i="16"/>
  <c r="AA181" i="16"/>
  <c r="AH181" i="16"/>
  <c r="AA151" i="16"/>
  <c r="AH151" i="16"/>
  <c r="AH117" i="16"/>
  <c r="AA117" i="16"/>
  <c r="AH92" i="16"/>
  <c r="AA92" i="16"/>
  <c r="AH68" i="16"/>
  <c r="AA444" i="16"/>
  <c r="AA227" i="16"/>
  <c r="AA157" i="16"/>
  <c r="AH97" i="16"/>
  <c r="AA97" i="16"/>
  <c r="AH47" i="16"/>
  <c r="AA47" i="16"/>
  <c r="AH535" i="16"/>
  <c r="AA535" i="16"/>
  <c r="AH486" i="16"/>
  <c r="AA486" i="16"/>
  <c r="AA459" i="16"/>
  <c r="AA447" i="16"/>
  <c r="AH400" i="16"/>
  <c r="AA400" i="16"/>
  <c r="AA370" i="16"/>
  <c r="AH370" i="16"/>
  <c r="AA256" i="16"/>
  <c r="AA235" i="16"/>
  <c r="AH235" i="16"/>
  <c r="AA202" i="16"/>
  <c r="AH202" i="16"/>
  <c r="AH172" i="16"/>
  <c r="AA172" i="16"/>
  <c r="AA146" i="16"/>
  <c r="AH146" i="16"/>
  <c r="AA120" i="16"/>
  <c r="AH120" i="16"/>
  <c r="AH103" i="16"/>
  <c r="AA103" i="16"/>
  <c r="AH87" i="16"/>
  <c r="AA87" i="16"/>
  <c r="AH63" i="16"/>
  <c r="AH44" i="16"/>
  <c r="AH548" i="16"/>
  <c r="AA485" i="16"/>
  <c r="AH485" i="16"/>
  <c r="AA465" i="16"/>
  <c r="AH465" i="16"/>
  <c r="AA456" i="16"/>
  <c r="AA442" i="16"/>
  <c r="AH442" i="16"/>
  <c r="AA381" i="16"/>
  <c r="AH200" i="16"/>
  <c r="AA200" i="16"/>
  <c r="AH93" i="16"/>
  <c r="AA93" i="16"/>
  <c r="AA60" i="16"/>
  <c r="AH60" i="16"/>
  <c r="AH547" i="16"/>
  <c r="AA547" i="16"/>
  <c r="AA533" i="16"/>
  <c r="AH533" i="16"/>
  <c r="AH522" i="16"/>
  <c r="AA513" i="16"/>
  <c r="AH492" i="16"/>
  <c r="AA476" i="16"/>
  <c r="AH476" i="16"/>
  <c r="AH410" i="16"/>
  <c r="AA410" i="16"/>
  <c r="AH388" i="16"/>
  <c r="AA376" i="16"/>
  <c r="AH376" i="16"/>
  <c r="AA346" i="16"/>
  <c r="AA338" i="16"/>
  <c r="AH334" i="16"/>
  <c r="AA334" i="16"/>
  <c r="AA322" i="16"/>
  <c r="AH322" i="16"/>
  <c r="AA306" i="16"/>
  <c r="AA291" i="16"/>
  <c r="AH283" i="16"/>
  <c r="AA283" i="16"/>
  <c r="AA269" i="16"/>
  <c r="AH269" i="16"/>
  <c r="AH489" i="16"/>
  <c r="AA253" i="16"/>
  <c r="AA548" i="16"/>
  <c r="AH256" i="16"/>
  <c r="AH273" i="16"/>
  <c r="AA539" i="16"/>
  <c r="AA380" i="16"/>
  <c r="AA326" i="16"/>
  <c r="AA460" i="16"/>
  <c r="AH542" i="16"/>
  <c r="AA542" i="16"/>
  <c r="AH527" i="16"/>
  <c r="AA527" i="16"/>
  <c r="AH512" i="16"/>
  <c r="AA512" i="16"/>
  <c r="AA497" i="16"/>
  <c r="AH497" i="16"/>
  <c r="AH468" i="16"/>
  <c r="AA468" i="16"/>
  <c r="AH385" i="16"/>
  <c r="AA347" i="16"/>
  <c r="AH347" i="16"/>
  <c r="AH339" i="16"/>
  <c r="AH327" i="16"/>
  <c r="AA327" i="16"/>
  <c r="AH315" i="16"/>
  <c r="AH303" i="16"/>
  <c r="AA303" i="16"/>
  <c r="AA272" i="16"/>
  <c r="AH272" i="16"/>
  <c r="AA232" i="16"/>
  <c r="AH232" i="16"/>
  <c r="AA211" i="16"/>
  <c r="AH211" i="16"/>
  <c r="AA195" i="16"/>
  <c r="AH173" i="16"/>
  <c r="AA133" i="16"/>
  <c r="AH133" i="16"/>
  <c r="AA108" i="16"/>
  <c r="AH108" i="16"/>
  <c r="AH84" i="16"/>
  <c r="AA59" i="16"/>
  <c r="AH59" i="16"/>
  <c r="AA255" i="16"/>
  <c r="AH174" i="16"/>
  <c r="AA174" i="16"/>
  <c r="AH130" i="16"/>
  <c r="AA130" i="16"/>
  <c r="AA81" i="16"/>
  <c r="AH81" i="16"/>
  <c r="AH498" i="16"/>
  <c r="AA498" i="16"/>
  <c r="AH478" i="16"/>
  <c r="AA437" i="16"/>
  <c r="AH382" i="16"/>
  <c r="AA382" i="16"/>
  <c r="AH277" i="16"/>
  <c r="AA243" i="16"/>
  <c r="AH243" i="16"/>
  <c r="AH210" i="16"/>
  <c r="AA210" i="16"/>
  <c r="AA180" i="16"/>
  <c r="AH180" i="16"/>
  <c r="AA163" i="16"/>
  <c r="AH163" i="16"/>
  <c r="AH128" i="16"/>
  <c r="AA128" i="16"/>
  <c r="AA95" i="16"/>
  <c r="AH95" i="16"/>
  <c r="AA79" i="16"/>
  <c r="AH79" i="16"/>
  <c r="AA54" i="16"/>
  <c r="AH54" i="16"/>
  <c r="AH116" i="16"/>
  <c r="AA116" i="16"/>
  <c r="AA544" i="16"/>
  <c r="AA477" i="16"/>
  <c r="AH477" i="16"/>
  <c r="AH399" i="16"/>
  <c r="AA246" i="16"/>
  <c r="AH246" i="16"/>
  <c r="AA165" i="16"/>
  <c r="AH165" i="16"/>
  <c r="AH10" i="16"/>
  <c r="AA543" i="16"/>
  <c r="AH543" i="16"/>
  <c r="AA528" i="16"/>
  <c r="AA507" i="16"/>
  <c r="AA484" i="16"/>
  <c r="AH484" i="16"/>
  <c r="AH472" i="16"/>
  <c r="AA472" i="16"/>
  <c r="AA402" i="16"/>
  <c r="AH366" i="16"/>
  <c r="AH318" i="16"/>
  <c r="AA318" i="16"/>
  <c r="AH310" i="16"/>
  <c r="AH298" i="16"/>
  <c r="AA279" i="16"/>
  <c r="AH279" i="16"/>
  <c r="AA265" i="16"/>
  <c r="AH265" i="16"/>
  <c r="AH105" i="16"/>
  <c r="AA105" i="16"/>
  <c r="AH228" i="16"/>
  <c r="AH557" i="16"/>
  <c r="AH299" i="16"/>
  <c r="AA44" i="16"/>
  <c r="AH506" i="16"/>
  <c r="AH409" i="16"/>
  <c r="AA68" i="16"/>
  <c r="AA315" i="16"/>
  <c r="AA388" i="16"/>
  <c r="AH532" i="16"/>
  <c r="AH507" i="16"/>
  <c r="AA276" i="16"/>
  <c r="AA339" i="16"/>
  <c r="AH441" i="16"/>
  <c r="AH284" i="16"/>
  <c r="AH255" i="16"/>
  <c r="AH444" i="16"/>
  <c r="AA76" i="16"/>
  <c r="AA310" i="16"/>
  <c r="AH203" i="16"/>
  <c r="AH350" i="16"/>
  <c r="AH402" i="16"/>
  <c r="AH518" i="16"/>
  <c r="AH326" i="16"/>
  <c r="AA365" i="16"/>
  <c r="AH521" i="16"/>
  <c r="AH381" i="16"/>
  <c r="AA492" i="16"/>
  <c r="AA277" i="16"/>
  <c r="AA113" i="16"/>
  <c r="AH544" i="16"/>
  <c r="AA352" i="16"/>
  <c r="AH157" i="16"/>
  <c r="AH306" i="16"/>
  <c r="AH113" i="16"/>
  <c r="AA448" i="16"/>
  <c r="AA385" i="16"/>
  <c r="AA451" i="16"/>
  <c r="AH251" i="16"/>
  <c r="AA239" i="16"/>
  <c r="AA229" i="16"/>
  <c r="AH213" i="16"/>
  <c r="AA205" i="16"/>
  <c r="AA166" i="16"/>
  <c r="AA158" i="16"/>
  <c r="AH149" i="16"/>
  <c r="AA123" i="16"/>
  <c r="AH123" i="16"/>
  <c r="AH106" i="16"/>
  <c r="AA106" i="16"/>
  <c r="AA98" i="16"/>
  <c r="AH98" i="16"/>
  <c r="AH90" i="16"/>
  <c r="AA90" i="16"/>
  <c r="AH82" i="16"/>
  <c r="AH74" i="16"/>
  <c r="AA66" i="16"/>
  <c r="AH57" i="16"/>
  <c r="AA13" i="16"/>
  <c r="AH178" i="16"/>
  <c r="AA152" i="16"/>
  <c r="AH208" i="16"/>
  <c r="AH197" i="16"/>
  <c r="AH183" i="16"/>
  <c r="AH114" i="16"/>
  <c r="AA183" i="16"/>
  <c r="AA178" i="16"/>
  <c r="AH166" i="16"/>
  <c r="AA149" i="16"/>
  <c r="AA236" i="16"/>
  <c r="AH239" i="16"/>
  <c r="AA114" i="16"/>
  <c r="AH66" i="16"/>
  <c r="AH236" i="16"/>
  <c r="AH205" i="16"/>
  <c r="AH49" i="16"/>
  <c r="AA49" i="16"/>
  <c r="AA175" i="16"/>
  <c r="AH229" i="16"/>
  <c r="AH158" i="16"/>
  <c r="AA197" i="16"/>
  <c r="AA74" i="16"/>
  <c r="AH175" i="16"/>
  <c r="AA251" i="16"/>
  <c r="AH69" i="16"/>
  <c r="Y34" i="16"/>
  <c r="Y18" i="16"/>
  <c r="AH377" i="16"/>
  <c r="Y48" i="16"/>
  <c r="AA483" i="16"/>
  <c r="AA538" i="16"/>
  <c r="AA443" i="16"/>
  <c r="AA375" i="16"/>
  <c r="AA333" i="16"/>
  <c r="AA311" i="16"/>
  <c r="AA284" i="16"/>
  <c r="AA230" i="16"/>
  <c r="AA453" i="16"/>
  <c r="Y155" i="16"/>
  <c r="Y156" i="16"/>
  <c r="AA156" i="16" s="1"/>
  <c r="Y470" i="16"/>
  <c r="Y25" i="16"/>
  <c r="Y250" i="16"/>
  <c r="Y21" i="16"/>
  <c r="Y171" i="16"/>
  <c r="Y249" i="16"/>
  <c r="Y19" i="16"/>
  <c r="AA45" i="16"/>
  <c r="AA48" i="16"/>
  <c r="AH45" i="16"/>
  <c r="Z435" i="16"/>
  <c r="AM551" i="16"/>
  <c r="Z551" i="16"/>
  <c r="Z530" i="16"/>
  <c r="Z10" i="16"/>
  <c r="Z41" i="16"/>
  <c r="Z506" i="15"/>
  <c r="Y506" i="15" s="1"/>
  <c r="W506" i="15"/>
  <c r="Z505" i="15"/>
  <c r="Y505" i="15" s="1"/>
  <c r="W505" i="15"/>
  <c r="Z504" i="15"/>
  <c r="W504" i="15"/>
  <c r="AI503" i="15"/>
  <c r="AG503" i="15"/>
  <c r="AI502" i="15"/>
  <c r="AG502" i="15" s="1"/>
  <c r="AI501" i="15"/>
  <c r="AG501" i="15" s="1"/>
  <c r="AI500" i="15"/>
  <c r="AG500" i="15"/>
  <c r="AI499" i="15"/>
  <c r="AC499" i="15"/>
  <c r="AD499" i="15" s="1"/>
  <c r="V498" i="15" s="1"/>
  <c r="W499" i="15"/>
  <c r="X499" i="15" s="1"/>
  <c r="AI498" i="15"/>
  <c r="AC498" i="15"/>
  <c r="Y498" i="15"/>
  <c r="W498" i="15" s="1"/>
  <c r="AI497" i="15"/>
  <c r="AC497" i="15"/>
  <c r="AD497" i="15" s="1"/>
  <c r="V496" i="15" s="1"/>
  <c r="W497" i="15"/>
  <c r="X497" i="15" s="1"/>
  <c r="AI496" i="15"/>
  <c r="AC496" i="15"/>
  <c r="AI495" i="15"/>
  <c r="AC495" i="15"/>
  <c r="AI494" i="15"/>
  <c r="AH494" i="15"/>
  <c r="AC494" i="15"/>
  <c r="AD494" i="15" s="1"/>
  <c r="W494" i="15"/>
  <c r="X494" i="15" s="1"/>
  <c r="AI493" i="15"/>
  <c r="AC493" i="15"/>
  <c r="AD493" i="15" s="1"/>
  <c r="W493" i="15"/>
  <c r="X493" i="15" s="1"/>
  <c r="AI492" i="15"/>
  <c r="AC492" i="15"/>
  <c r="AI491" i="15"/>
  <c r="AH491" i="15"/>
  <c r="W491" i="15" s="1"/>
  <c r="X491" i="15" s="1"/>
  <c r="AG491" i="15" s="1"/>
  <c r="AC491" i="15"/>
  <c r="AD491" i="15" s="1"/>
  <c r="Z491" i="15"/>
  <c r="AI490" i="15"/>
  <c r="AC490" i="15"/>
  <c r="AD490" i="15" s="1"/>
  <c r="W490" i="15"/>
  <c r="X490" i="15" s="1"/>
  <c r="AI489" i="15"/>
  <c r="W489" i="15"/>
  <c r="X489" i="15" s="1"/>
  <c r="AC489" i="15"/>
  <c r="AD489" i="15" s="1"/>
  <c r="AI488" i="15"/>
  <c r="AD488" i="15"/>
  <c r="AC488" i="15"/>
  <c r="W488" i="15"/>
  <c r="X488" i="15" s="1"/>
  <c r="AI487" i="15"/>
  <c r="AH487" i="15"/>
  <c r="AC487" i="15"/>
  <c r="AD487" i="15" s="1"/>
  <c r="W487" i="15"/>
  <c r="X487" i="15" s="1"/>
  <c r="AI486" i="15"/>
  <c r="AC486" i="15"/>
  <c r="AD486" i="15" s="1"/>
  <c r="W486" i="15"/>
  <c r="X486" i="15" s="1"/>
  <c r="AI485" i="15"/>
  <c r="AC485" i="15"/>
  <c r="AD485" i="15" s="1"/>
  <c r="W485" i="15"/>
  <c r="X485" i="15" s="1"/>
  <c r="AI484" i="15"/>
  <c r="AC484" i="15"/>
  <c r="AD484" i="15" s="1"/>
  <c r="W484" i="15"/>
  <c r="X484" i="15" s="1"/>
  <c r="AG484" i="15" s="1"/>
  <c r="AI483" i="15"/>
  <c r="AD483" i="15"/>
  <c r="AC483" i="15"/>
  <c r="W483" i="15"/>
  <c r="X483" i="15" s="1"/>
  <c r="AI482" i="15"/>
  <c r="AC482" i="15"/>
  <c r="AD482" i="15" s="1"/>
  <c r="W482" i="15"/>
  <c r="X482" i="15" s="1"/>
  <c r="Z482" i="15" s="1"/>
  <c r="Y482" i="15" s="1"/>
  <c r="AI481" i="15"/>
  <c r="AC481" i="15"/>
  <c r="AD481" i="15" s="1"/>
  <c r="W481" i="15"/>
  <c r="X481" i="15" s="1"/>
  <c r="Z481" i="15" s="1"/>
  <c r="Y481" i="15" s="1"/>
  <c r="AI480" i="15"/>
  <c r="AC480" i="15"/>
  <c r="AD480" i="15" s="1"/>
  <c r="W480" i="15"/>
  <c r="X480" i="15" s="1"/>
  <c r="AI479" i="15"/>
  <c r="AH479" i="15"/>
  <c r="W479" i="15" s="1"/>
  <c r="X479" i="15" s="1"/>
  <c r="AC479" i="15"/>
  <c r="AD479" i="15" s="1"/>
  <c r="AI478" i="15"/>
  <c r="AH478" i="15"/>
  <c r="AC478" i="15"/>
  <c r="AD478" i="15" s="1"/>
  <c r="W478" i="15"/>
  <c r="X478" i="15" s="1"/>
  <c r="AI477" i="15"/>
  <c r="AD477" i="15"/>
  <c r="AC477" i="15"/>
  <c r="W477" i="15"/>
  <c r="X477" i="15" s="1"/>
  <c r="AI476" i="15"/>
  <c r="AC476" i="15"/>
  <c r="AD476" i="15" s="1"/>
  <c r="W476" i="15"/>
  <c r="X476" i="15" s="1"/>
  <c r="AG476" i="15" s="1"/>
  <c r="AI475" i="15"/>
  <c r="AC475" i="15"/>
  <c r="AD475" i="15" s="1"/>
  <c r="W475" i="15"/>
  <c r="X475" i="15" s="1"/>
  <c r="AI474" i="15"/>
  <c r="AC474" i="15"/>
  <c r="AD474" i="15" s="1"/>
  <c r="W474" i="15"/>
  <c r="X474" i="15" s="1"/>
  <c r="Z474" i="15" s="1"/>
  <c r="Y474" i="15" s="1"/>
  <c r="AI473" i="15"/>
  <c r="AC473" i="15"/>
  <c r="AD473" i="15" s="1"/>
  <c r="W473" i="15"/>
  <c r="X473" i="15" s="1"/>
  <c r="AG473" i="15" s="1"/>
  <c r="AI472" i="15"/>
  <c r="AC472" i="15"/>
  <c r="AI471" i="15"/>
  <c r="AC471" i="15"/>
  <c r="AD471" i="15" s="1"/>
  <c r="W471" i="15"/>
  <c r="X471" i="15" s="1"/>
  <c r="Z471" i="15" s="1"/>
  <c r="Y471" i="15" s="1"/>
  <c r="AI470" i="15"/>
  <c r="AC470" i="15"/>
  <c r="AD470" i="15" s="1"/>
  <c r="W470" i="15"/>
  <c r="X470" i="15" s="1"/>
  <c r="Z470" i="15" s="1"/>
  <c r="Y470" i="15" s="1"/>
  <c r="AI469" i="15"/>
  <c r="AC469" i="15"/>
  <c r="AD469" i="15" s="1"/>
  <c r="W469" i="15"/>
  <c r="X469" i="15" s="1"/>
  <c r="Z469" i="15" s="1"/>
  <c r="Y469" i="15" s="1"/>
  <c r="AI468" i="15"/>
  <c r="AC468" i="15"/>
  <c r="AD468" i="15" s="1"/>
  <c r="W468" i="15"/>
  <c r="X468" i="15" s="1"/>
  <c r="AI467" i="15"/>
  <c r="AD467" i="15"/>
  <c r="AC467" i="15"/>
  <c r="W467" i="15"/>
  <c r="X467" i="15" s="1"/>
  <c r="AG467" i="15" s="1"/>
  <c r="AI466" i="15"/>
  <c r="W466" i="15"/>
  <c r="X466" i="15" s="1"/>
  <c r="AC466" i="15"/>
  <c r="AD466" i="15" s="1"/>
  <c r="AI465" i="15"/>
  <c r="AH465" i="15"/>
  <c r="W465" i="15" s="1"/>
  <c r="X465" i="15" s="1"/>
  <c r="AC465" i="15"/>
  <c r="AD465" i="15" s="1"/>
  <c r="AI464" i="15"/>
  <c r="AD464" i="15"/>
  <c r="AC464" i="15"/>
  <c r="W464" i="15"/>
  <c r="X464" i="15" s="1"/>
  <c r="AI463" i="15"/>
  <c r="AD463" i="15"/>
  <c r="AC463" i="15"/>
  <c r="W463" i="15"/>
  <c r="X463" i="15" s="1"/>
  <c r="AG463" i="15" s="1"/>
  <c r="AI462" i="15"/>
  <c r="AD462" i="15"/>
  <c r="AC462" i="15"/>
  <c r="W462" i="15"/>
  <c r="X462" i="15" s="1"/>
  <c r="Z462" i="15" s="1"/>
  <c r="Y462" i="15" s="1"/>
  <c r="AI461" i="15"/>
  <c r="AD461" i="15"/>
  <c r="AC461" i="15"/>
  <c r="W461" i="15"/>
  <c r="X461" i="15" s="1"/>
  <c r="AI460" i="15"/>
  <c r="AD460" i="15"/>
  <c r="AC460" i="15"/>
  <c r="W460" i="15"/>
  <c r="X460" i="15" s="1"/>
  <c r="AG460" i="15" s="1"/>
  <c r="AI459" i="15"/>
  <c r="AG459" i="15" s="1"/>
  <c r="AC459" i="15"/>
  <c r="AD459" i="15" s="1"/>
  <c r="Z459" i="15"/>
  <c r="Y459" i="15"/>
  <c r="W459" i="15"/>
  <c r="AI458" i="15"/>
  <c r="AD458" i="15"/>
  <c r="AC458" i="15"/>
  <c r="W458" i="15"/>
  <c r="X458" i="15" s="1"/>
  <c r="AI457" i="15"/>
  <c r="AC457" i="15"/>
  <c r="AD457" i="15" s="1"/>
  <c r="W457" i="15"/>
  <c r="X457" i="15" s="1"/>
  <c r="AI456" i="15"/>
  <c r="AD456" i="15"/>
  <c r="AC456" i="15"/>
  <c r="W456" i="15"/>
  <c r="X456" i="15" s="1"/>
  <c r="AI455" i="15"/>
  <c r="AD455" i="15"/>
  <c r="AC455" i="15"/>
  <c r="W455" i="15"/>
  <c r="X455" i="15" s="1"/>
  <c r="AI454" i="15"/>
  <c r="AD454" i="15"/>
  <c r="AC454" i="15"/>
  <c r="W454" i="15"/>
  <c r="X454" i="15" s="1"/>
  <c r="AI453" i="15"/>
  <c r="AG453" i="15"/>
  <c r="AD453" i="15"/>
  <c r="AC453" i="15"/>
  <c r="Z453" i="15"/>
  <c r="Y453" i="15" s="1"/>
  <c r="W453" i="15"/>
  <c r="AI452" i="15"/>
  <c r="AC452" i="15"/>
  <c r="AD452" i="15" s="1"/>
  <c r="W452" i="15"/>
  <c r="X452" i="15" s="1"/>
  <c r="AI451" i="15"/>
  <c r="AC451" i="15"/>
  <c r="AI450" i="15"/>
  <c r="W450" i="15"/>
  <c r="X450" i="15" s="1"/>
  <c r="AG450" i="15"/>
  <c r="AC450" i="15"/>
  <c r="AD450" i="15" s="1"/>
  <c r="Z450" i="15"/>
  <c r="Y450" i="15" s="1"/>
  <c r="AI449" i="15"/>
  <c r="AH449" i="15"/>
  <c r="AC449" i="15"/>
  <c r="AD449" i="15" s="1"/>
  <c r="W449" i="15"/>
  <c r="X449" i="15" s="1"/>
  <c r="AI448" i="15"/>
  <c r="AC448" i="15"/>
  <c r="AD448" i="15" s="1"/>
  <c r="V447" i="15" s="1"/>
  <c r="W448" i="15"/>
  <c r="X448" i="15" s="1"/>
  <c r="AI447" i="15"/>
  <c r="AC447" i="15"/>
  <c r="AI446" i="15"/>
  <c r="AC446" i="15"/>
  <c r="AD446" i="15" s="1"/>
  <c r="W446" i="15"/>
  <c r="X446" i="15" s="1"/>
  <c r="Z446" i="15" s="1"/>
  <c r="Y446" i="15" s="1"/>
  <c r="AI445" i="15"/>
  <c r="AD445" i="15"/>
  <c r="AC445" i="15"/>
  <c r="W445" i="15"/>
  <c r="X445" i="15" s="1"/>
  <c r="Z445" i="15" s="1"/>
  <c r="Y445" i="15" s="1"/>
  <c r="AI444" i="15"/>
  <c r="AC444" i="15"/>
  <c r="AD444" i="15" s="1"/>
  <c r="W444" i="15"/>
  <c r="X444" i="15" s="1"/>
  <c r="AI443" i="15"/>
  <c r="AC443" i="15"/>
  <c r="AD443" i="15" s="1"/>
  <c r="W443" i="15"/>
  <c r="X443" i="15" s="1"/>
  <c r="AI442" i="15"/>
  <c r="AC442" i="15"/>
  <c r="AD442" i="15" s="1"/>
  <c r="W442" i="15"/>
  <c r="X442" i="15" s="1"/>
  <c r="AI441" i="15"/>
  <c r="AH441" i="15"/>
  <c r="W441" i="15" s="1"/>
  <c r="X441" i="15" s="1"/>
  <c r="AD441" i="15"/>
  <c r="AC441" i="15"/>
  <c r="AI440" i="15"/>
  <c r="AD440" i="15"/>
  <c r="AC440" i="15"/>
  <c r="W440" i="15"/>
  <c r="X440" i="15" s="1"/>
  <c r="AI439" i="15"/>
  <c r="AH439" i="15"/>
  <c r="W439" i="15" s="1"/>
  <c r="X439" i="15" s="1"/>
  <c r="AD439" i="15"/>
  <c r="AC439" i="15"/>
  <c r="AI438" i="15"/>
  <c r="AH438" i="15"/>
  <c r="W438" i="15" s="1"/>
  <c r="X438" i="15" s="1"/>
  <c r="AG438" i="15" s="1"/>
  <c r="AC438" i="15"/>
  <c r="AD438" i="15" s="1"/>
  <c r="Z438" i="15"/>
  <c r="Y438" i="15" s="1"/>
  <c r="AI437" i="15"/>
  <c r="AH437" i="15"/>
  <c r="AD437" i="15"/>
  <c r="AC437" i="15"/>
  <c r="W437" i="15"/>
  <c r="X437" i="15" s="1"/>
  <c r="AG437" i="15" s="1"/>
  <c r="AI436" i="15"/>
  <c r="AC436" i="15"/>
  <c r="AD436" i="15" s="1"/>
  <c r="W436" i="15"/>
  <c r="X436" i="15" s="1"/>
  <c r="AG436" i="15" s="1"/>
  <c r="AI435" i="15"/>
  <c r="AC435" i="15"/>
  <c r="AD435" i="15" s="1"/>
  <c r="Z435" i="15"/>
  <c r="Y435" i="15" s="1"/>
  <c r="W435" i="15"/>
  <c r="X435" i="15" s="1"/>
  <c r="AG435" i="15" s="1"/>
  <c r="AI434" i="15"/>
  <c r="AD434" i="15"/>
  <c r="AC434" i="15"/>
  <c r="W434" i="15"/>
  <c r="X434" i="15" s="1"/>
  <c r="AG434" i="15" s="1"/>
  <c r="AI433" i="15"/>
  <c r="AC433" i="15"/>
  <c r="AD433" i="15" s="1"/>
  <c r="W433" i="15"/>
  <c r="X433" i="15" s="1"/>
  <c r="AG433" i="15" s="1"/>
  <c r="AI432" i="15"/>
  <c r="AH432" i="15"/>
  <c r="AD432" i="15"/>
  <c r="AC432" i="15"/>
  <c r="W432" i="15"/>
  <c r="X432" i="15" s="1"/>
  <c r="AI431" i="15"/>
  <c r="AH431" i="15"/>
  <c r="W431" i="15" s="1"/>
  <c r="X431" i="15" s="1"/>
  <c r="AD431" i="15"/>
  <c r="AC431" i="15"/>
  <c r="AI430" i="15"/>
  <c r="AH430" i="15"/>
  <c r="AC430" i="15"/>
  <c r="AD430" i="15" s="1"/>
  <c r="W430" i="15"/>
  <c r="X430" i="15" s="1"/>
  <c r="Z430" i="15" s="1"/>
  <c r="Y430" i="15" s="1"/>
  <c r="AI429" i="15"/>
  <c r="AH429" i="15"/>
  <c r="W429" i="15" s="1"/>
  <c r="X429" i="15" s="1"/>
  <c r="AC429" i="15"/>
  <c r="AD429" i="15" s="1"/>
  <c r="Z429" i="15"/>
  <c r="Y429" i="15" s="1"/>
  <c r="AI428" i="15"/>
  <c r="AH428" i="15"/>
  <c r="AD428" i="15"/>
  <c r="AC428" i="15"/>
  <c r="W428" i="15"/>
  <c r="X428" i="15" s="1"/>
  <c r="AI427" i="15"/>
  <c r="AD427" i="15"/>
  <c r="AC427" i="15"/>
  <c r="W427" i="15"/>
  <c r="X427" i="15" s="1"/>
  <c r="AI426" i="15"/>
  <c r="AD426" i="15"/>
  <c r="AC426" i="15"/>
  <c r="W426" i="15"/>
  <c r="X426" i="15" s="1"/>
  <c r="AI425" i="15"/>
  <c r="AH425" i="15"/>
  <c r="AC425" i="15"/>
  <c r="AD425" i="15" s="1"/>
  <c r="W425" i="15"/>
  <c r="X425" i="15" s="1"/>
  <c r="AI424" i="15"/>
  <c r="AH424" i="15"/>
  <c r="W424" i="15" s="1"/>
  <c r="X424" i="15" s="1"/>
  <c r="AC424" i="15"/>
  <c r="AD424" i="15" s="1"/>
  <c r="Z424" i="15"/>
  <c r="Y424" i="15" s="1"/>
  <c r="AI423" i="15"/>
  <c r="AC423" i="15"/>
  <c r="AD423" i="15" s="1"/>
  <c r="W423" i="15"/>
  <c r="X423" i="15" s="1"/>
  <c r="AG423" i="15" s="1"/>
  <c r="AI422" i="15"/>
  <c r="AD422" i="15"/>
  <c r="AC422" i="15"/>
  <c r="W422" i="15"/>
  <c r="X422" i="15" s="1"/>
  <c r="AI421" i="15"/>
  <c r="AH421" i="15"/>
  <c r="AC421" i="15"/>
  <c r="AD421" i="15" s="1"/>
  <c r="W421" i="15"/>
  <c r="X421" i="15" s="1"/>
  <c r="AI420" i="15"/>
  <c r="AH420" i="15"/>
  <c r="W420" i="15" s="1"/>
  <c r="X420" i="15" s="1"/>
  <c r="AC420" i="15"/>
  <c r="AD420" i="15" s="1"/>
  <c r="AI419" i="15"/>
  <c r="AC419" i="15"/>
  <c r="AD419" i="15" s="1"/>
  <c r="W419" i="15"/>
  <c r="X419" i="15" s="1"/>
  <c r="AI418" i="15"/>
  <c r="AD418" i="15"/>
  <c r="AC418" i="15"/>
  <c r="W418" i="15"/>
  <c r="X418" i="15" s="1"/>
  <c r="AI417" i="15"/>
  <c r="AC417" i="15"/>
  <c r="AD417" i="15" s="1"/>
  <c r="W417" i="15"/>
  <c r="X417" i="15" s="1"/>
  <c r="AI416" i="15"/>
  <c r="AD416" i="15"/>
  <c r="AC416" i="15"/>
  <c r="W416" i="15"/>
  <c r="X416" i="15" s="1"/>
  <c r="AI415" i="15"/>
  <c r="AD415" i="15"/>
  <c r="AC415" i="15"/>
  <c r="W415" i="15"/>
  <c r="X415" i="15" s="1"/>
  <c r="AI414" i="15"/>
  <c r="AD414" i="15"/>
  <c r="AC414" i="15"/>
  <c r="W414" i="15"/>
  <c r="X414" i="15" s="1"/>
  <c r="AG414" i="15" s="1"/>
  <c r="AI413" i="15"/>
  <c r="AH413" i="15"/>
  <c r="W413" i="15" s="1"/>
  <c r="X413" i="15" s="1"/>
  <c r="AC413" i="15"/>
  <c r="AD413" i="15" s="1"/>
  <c r="AI412" i="15"/>
  <c r="AH412" i="15"/>
  <c r="W412" i="15" s="1"/>
  <c r="X412" i="15" s="1"/>
  <c r="AG412" i="15"/>
  <c r="AC412" i="15"/>
  <c r="AD412" i="15" s="1"/>
  <c r="Z412" i="15"/>
  <c r="Y412" i="15" s="1"/>
  <c r="AI411" i="15"/>
  <c r="AH411" i="15"/>
  <c r="AC411" i="15"/>
  <c r="AD411" i="15" s="1"/>
  <c r="W411" i="15"/>
  <c r="X411" i="15" s="1"/>
  <c r="AI410" i="15"/>
  <c r="AD410" i="15"/>
  <c r="AC410" i="15"/>
  <c r="W410" i="15"/>
  <c r="X410" i="15" s="1"/>
  <c r="AI409" i="15"/>
  <c r="AC409" i="15"/>
  <c r="AD409" i="15" s="1"/>
  <c r="W409" i="15"/>
  <c r="X409" i="15" s="1"/>
  <c r="AG409" i="15" s="1"/>
  <c r="AI408" i="15"/>
  <c r="AD408" i="15"/>
  <c r="AC408" i="15"/>
  <c r="W408" i="15"/>
  <c r="X408" i="15" s="1"/>
  <c r="Z408" i="15" s="1"/>
  <c r="AI407" i="15"/>
  <c r="AC407" i="15"/>
  <c r="AI406" i="15"/>
  <c r="AD406" i="15"/>
  <c r="W406" i="15"/>
  <c r="X406" i="15" s="1"/>
  <c r="Z406" i="15" s="1"/>
  <c r="Y406" i="15" s="1"/>
  <c r="AI405" i="15"/>
  <c r="AD405" i="15"/>
  <c r="W405" i="15"/>
  <c r="X405" i="15" s="1"/>
  <c r="Z405" i="15" s="1"/>
  <c r="Y405" i="15" s="1"/>
  <c r="AI404" i="15"/>
  <c r="AD404" i="15"/>
  <c r="W404" i="15"/>
  <c r="X404" i="15" s="1"/>
  <c r="Z404" i="15" s="1"/>
  <c r="Y404" i="15" s="1"/>
  <c r="AI403" i="15"/>
  <c r="AD403" i="15"/>
  <c r="W403" i="15"/>
  <c r="X403" i="15" s="1"/>
  <c r="Z403" i="15" s="1"/>
  <c r="Y403" i="15" s="1"/>
  <c r="AI402" i="15"/>
  <c r="AD402" i="15"/>
  <c r="W402" i="15"/>
  <c r="X402" i="15" s="1"/>
  <c r="Z402" i="15" s="1"/>
  <c r="Y402" i="15" s="1"/>
  <c r="AI401" i="15"/>
  <c r="AD401" i="15"/>
  <c r="W401" i="15"/>
  <c r="X401" i="15" s="1"/>
  <c r="Z401" i="15" s="1"/>
  <c r="Y401" i="15" s="1"/>
  <c r="AI400" i="15"/>
  <c r="AD400" i="15"/>
  <c r="W400" i="15"/>
  <c r="X400" i="15" s="1"/>
  <c r="Z400" i="15" s="1"/>
  <c r="Y400" i="15" s="1"/>
  <c r="AI399" i="15"/>
  <c r="AD399" i="15"/>
  <c r="W399" i="15"/>
  <c r="X399" i="15" s="1"/>
  <c r="Z399" i="15" s="1"/>
  <c r="Y399" i="15" s="1"/>
  <c r="AI398" i="15"/>
  <c r="AD398" i="15"/>
  <c r="W398" i="15"/>
  <c r="X398" i="15" s="1"/>
  <c r="Z398" i="15" s="1"/>
  <c r="Y398" i="15" s="1"/>
  <c r="AI397" i="15"/>
  <c r="AD397" i="15"/>
  <c r="W397" i="15"/>
  <c r="X397" i="15" s="1"/>
  <c r="Z397" i="15" s="1"/>
  <c r="Y397" i="15" s="1"/>
  <c r="AI396" i="15"/>
  <c r="AD396" i="15"/>
  <c r="W396" i="15"/>
  <c r="X396" i="15" s="1"/>
  <c r="Z396" i="15" s="1"/>
  <c r="Y396" i="15" s="1"/>
  <c r="AI395" i="15"/>
  <c r="AD395" i="15"/>
  <c r="W395" i="15"/>
  <c r="X395" i="15" s="1"/>
  <c r="Z395" i="15" s="1"/>
  <c r="Y395" i="15" s="1"/>
  <c r="AI394" i="15"/>
  <c r="AD394" i="15"/>
  <c r="W394" i="15"/>
  <c r="X394" i="15" s="1"/>
  <c r="Z394" i="15" s="1"/>
  <c r="Y394" i="15" s="1"/>
  <c r="AI393" i="15"/>
  <c r="AD393" i="15"/>
  <c r="X393" i="15"/>
  <c r="Z393" i="15" s="1"/>
  <c r="Y393" i="15" s="1"/>
  <c r="W393" i="15"/>
  <c r="AI392" i="15"/>
  <c r="AD392" i="15"/>
  <c r="W392" i="15"/>
  <c r="X392" i="15" s="1"/>
  <c r="Z392" i="15" s="1"/>
  <c r="Y392" i="15" s="1"/>
  <c r="AI391" i="15"/>
  <c r="AD391" i="15"/>
  <c r="W391" i="15"/>
  <c r="X391" i="15" s="1"/>
  <c r="Z391" i="15" s="1"/>
  <c r="Y391" i="15" s="1"/>
  <c r="AI390" i="15"/>
  <c r="AD390" i="15"/>
  <c r="W390" i="15"/>
  <c r="X390" i="15" s="1"/>
  <c r="Z390" i="15" s="1"/>
  <c r="Y390" i="15" s="1"/>
  <c r="AI389" i="15"/>
  <c r="AD389" i="15"/>
  <c r="X389" i="15"/>
  <c r="Z389" i="15" s="1"/>
  <c r="Y389" i="15" s="1"/>
  <c r="W389" i="15"/>
  <c r="AI388" i="15"/>
  <c r="AC388" i="15"/>
  <c r="AD388" i="15" s="1"/>
  <c r="W388" i="15"/>
  <c r="X388" i="15" s="1"/>
  <c r="AI387" i="15"/>
  <c r="AC387" i="15"/>
  <c r="AD387" i="15" s="1"/>
  <c r="Z387" i="15"/>
  <c r="Y387" i="15" s="1"/>
  <c r="W387" i="15"/>
  <c r="X387" i="15" s="1"/>
  <c r="AG387" i="15" s="1"/>
  <c r="AI386" i="15"/>
  <c r="AH386" i="15"/>
  <c r="W386" i="15" s="1"/>
  <c r="X386" i="15" s="1"/>
  <c r="AG386" i="15" s="1"/>
  <c r="AD386" i="15"/>
  <c r="AC386" i="15"/>
  <c r="Z386" i="15"/>
  <c r="Y386" i="15" s="1"/>
  <c r="AI385" i="15"/>
  <c r="AD385" i="15"/>
  <c r="AC385" i="15"/>
  <c r="W385" i="15"/>
  <c r="X385" i="15" s="1"/>
  <c r="Z385" i="15" s="1"/>
  <c r="Y385" i="15" s="1"/>
  <c r="AI384" i="15"/>
  <c r="AD384" i="15"/>
  <c r="AC384" i="15"/>
  <c r="W384" i="15"/>
  <c r="X384" i="15" s="1"/>
  <c r="AI383" i="15"/>
  <c r="W383" i="15"/>
  <c r="X383" i="15" s="1"/>
  <c r="AD383" i="15"/>
  <c r="AC383" i="15"/>
  <c r="AI382" i="15"/>
  <c r="AG382" i="15"/>
  <c r="AC382" i="15"/>
  <c r="AD382" i="15" s="1"/>
  <c r="Z382" i="15"/>
  <c r="Y382" i="15" s="1"/>
  <c r="W382" i="15"/>
  <c r="X382" i="15" s="1"/>
  <c r="AI381" i="15"/>
  <c r="W381" i="15"/>
  <c r="X381" i="15" s="1"/>
  <c r="AD381" i="15"/>
  <c r="AC381" i="15"/>
  <c r="AI380" i="15"/>
  <c r="AD380" i="15"/>
  <c r="AC380" i="15"/>
  <c r="W380" i="15"/>
  <c r="X380" i="15" s="1"/>
  <c r="AG380" i="15" s="1"/>
  <c r="AI379" i="15"/>
  <c r="AH379" i="15"/>
  <c r="AD379" i="15"/>
  <c r="AC379" i="15"/>
  <c r="W379" i="15"/>
  <c r="X379" i="15" s="1"/>
  <c r="AI378" i="15"/>
  <c r="AC378" i="15"/>
  <c r="AD378" i="15" s="1"/>
  <c r="W378" i="15"/>
  <c r="X378" i="15" s="1"/>
  <c r="AI377" i="15"/>
  <c r="AC377" i="15"/>
  <c r="AI376" i="15"/>
  <c r="AG376" i="15" s="1"/>
  <c r="AD376" i="15"/>
  <c r="AC376" i="15"/>
  <c r="W376" i="15"/>
  <c r="X376" i="15" s="1"/>
  <c r="Z376" i="15" s="1"/>
  <c r="Y376" i="15" s="1"/>
  <c r="AI375" i="15"/>
  <c r="AC375" i="15"/>
  <c r="AD375" i="15" s="1"/>
  <c r="W375" i="15"/>
  <c r="X375" i="15" s="1"/>
  <c r="AI374" i="15"/>
  <c r="AD374" i="15"/>
  <c r="AC374" i="15"/>
  <c r="W374" i="15"/>
  <c r="X374" i="15" s="1"/>
  <c r="AI373" i="15"/>
  <c r="AC373" i="15"/>
  <c r="AD373" i="15" s="1"/>
  <c r="AA373" i="15"/>
  <c r="Y373" i="15"/>
  <c r="X373" i="15"/>
  <c r="W373" i="15"/>
  <c r="AI372" i="15"/>
  <c r="AD372" i="15"/>
  <c r="AC372" i="15"/>
  <c r="W372" i="15"/>
  <c r="X372" i="15" s="1"/>
  <c r="AG372" i="15" s="1"/>
  <c r="AI371" i="15"/>
  <c r="AG371" i="15"/>
  <c r="AD371" i="15"/>
  <c r="V369" i="15" s="1"/>
  <c r="AC371" i="15"/>
  <c r="W371" i="15"/>
  <c r="X371" i="15" s="1"/>
  <c r="Z371" i="15" s="1"/>
  <c r="Y371" i="15" s="1"/>
  <c r="AI370" i="15"/>
  <c r="AD370" i="15"/>
  <c r="AC370" i="15"/>
  <c r="W370" i="15"/>
  <c r="X370" i="15" s="1"/>
  <c r="Z370" i="15" s="1"/>
  <c r="AI369" i="15"/>
  <c r="AC369" i="15"/>
  <c r="AI368" i="15"/>
  <c r="AD368" i="15"/>
  <c r="AC368" i="15"/>
  <c r="W368" i="15"/>
  <c r="X368" i="15" s="1"/>
  <c r="AI367" i="15"/>
  <c r="AD367" i="15"/>
  <c r="AC367" i="15"/>
  <c r="W367" i="15"/>
  <c r="X367" i="15" s="1"/>
  <c r="AI366" i="15"/>
  <c r="AD366" i="15"/>
  <c r="AC366" i="15"/>
  <c r="X366" i="15"/>
  <c r="AG366" i="15" s="1"/>
  <c r="W366" i="15"/>
  <c r="AI365" i="15"/>
  <c r="AH365" i="15"/>
  <c r="AD365" i="15"/>
  <c r="AC365" i="15"/>
  <c r="W365" i="15"/>
  <c r="X365" i="15" s="1"/>
  <c r="AG365" i="15" s="1"/>
  <c r="AI364" i="15"/>
  <c r="AH364" i="15"/>
  <c r="W364" i="15" s="1"/>
  <c r="X364" i="15" s="1"/>
  <c r="AC364" i="15"/>
  <c r="AD364" i="15" s="1"/>
  <c r="Z364" i="15"/>
  <c r="Y364" i="15"/>
  <c r="AI363" i="15"/>
  <c r="AH363" i="15"/>
  <c r="W363" i="15" s="1"/>
  <c r="X363" i="15" s="1"/>
  <c r="Z363" i="15" s="1"/>
  <c r="Y363" i="15" s="1"/>
  <c r="AD363" i="15"/>
  <c r="AC363" i="15"/>
  <c r="AI362" i="15"/>
  <c r="AH362" i="15"/>
  <c r="W362" i="15" s="1"/>
  <c r="AC362" i="15"/>
  <c r="AD362" i="15" s="1"/>
  <c r="X362" i="15"/>
  <c r="AI361" i="15"/>
  <c r="AD361" i="15"/>
  <c r="AC361" i="15"/>
  <c r="W361" i="15"/>
  <c r="X361" i="15" s="1"/>
  <c r="AI360" i="15"/>
  <c r="AH360" i="15"/>
  <c r="AC360" i="15"/>
  <c r="AD360" i="15" s="1"/>
  <c r="W360" i="15"/>
  <c r="X360" i="15" s="1"/>
  <c r="AI359" i="15"/>
  <c r="AD359" i="15"/>
  <c r="AC359" i="15"/>
  <c r="W359" i="15"/>
  <c r="X359" i="15" s="1"/>
  <c r="Z359" i="15" s="1"/>
  <c r="Y359" i="15" s="1"/>
  <c r="AI358" i="15"/>
  <c r="AH358" i="15"/>
  <c r="AD358" i="15"/>
  <c r="AC358" i="15"/>
  <c r="W358" i="15"/>
  <c r="X358" i="15" s="1"/>
  <c r="AI357" i="15"/>
  <c r="AH357" i="15"/>
  <c r="W357" i="15" s="1"/>
  <c r="AD357" i="15"/>
  <c r="AC357" i="15"/>
  <c r="X357" i="15"/>
  <c r="AG357" i="15" s="1"/>
  <c r="AI356" i="15"/>
  <c r="AC356" i="15"/>
  <c r="AD356" i="15" s="1"/>
  <c r="W356" i="15"/>
  <c r="X356" i="15" s="1"/>
  <c r="AI355" i="15"/>
  <c r="AC355" i="15"/>
  <c r="AD355" i="15" s="1"/>
  <c r="W355" i="15"/>
  <c r="X355" i="15" s="1"/>
  <c r="AI354" i="15"/>
  <c r="AC354" i="15"/>
  <c r="AD354" i="15" s="1"/>
  <c r="W354" i="15"/>
  <c r="X354" i="15" s="1"/>
  <c r="AI353" i="15"/>
  <c r="AD353" i="15"/>
  <c r="AC353" i="15"/>
  <c r="W353" i="15"/>
  <c r="X353" i="15" s="1"/>
  <c r="AI352" i="15"/>
  <c r="AH352" i="15"/>
  <c r="AC352" i="15"/>
  <c r="AD352" i="15" s="1"/>
  <c r="W352" i="15"/>
  <c r="X352" i="15" s="1"/>
  <c r="AI351" i="15"/>
  <c r="AH351" i="15"/>
  <c r="AD351" i="15"/>
  <c r="AC351" i="15"/>
  <c r="W351" i="15"/>
  <c r="X351" i="15" s="1"/>
  <c r="Z351" i="15" s="1"/>
  <c r="Y351" i="15" s="1"/>
  <c r="AI350" i="15"/>
  <c r="AD350" i="15"/>
  <c r="AC350" i="15"/>
  <c r="W350" i="15"/>
  <c r="X350" i="15" s="1"/>
  <c r="Z350" i="15" s="1"/>
  <c r="Y350" i="15" s="1"/>
  <c r="AI349" i="15"/>
  <c r="AD349" i="15"/>
  <c r="AC349" i="15"/>
  <c r="W349" i="15"/>
  <c r="X349" i="15" s="1"/>
  <c r="AG349" i="15" s="1"/>
  <c r="AI348" i="15"/>
  <c r="AC348" i="15"/>
  <c r="AD348" i="15" s="1"/>
  <c r="W348" i="15"/>
  <c r="X348" i="15" s="1"/>
  <c r="AG348" i="15" s="1"/>
  <c r="AI347" i="15"/>
  <c r="AD347" i="15"/>
  <c r="AC347" i="15"/>
  <c r="W347" i="15"/>
  <c r="X347" i="15" s="1"/>
  <c r="AI346" i="15"/>
  <c r="AH346" i="15"/>
  <c r="AC346" i="15"/>
  <c r="AD346" i="15" s="1"/>
  <c r="V327" i="15" s="1"/>
  <c r="W346" i="15"/>
  <c r="X346" i="15" s="1"/>
  <c r="AG346" i="15" s="1"/>
  <c r="AI345" i="15"/>
  <c r="AD345" i="15"/>
  <c r="AC345" i="15"/>
  <c r="W345" i="15"/>
  <c r="X345" i="15" s="1"/>
  <c r="AI344" i="15"/>
  <c r="AC344" i="15"/>
  <c r="AD344" i="15" s="1"/>
  <c r="W344" i="15"/>
  <c r="X344" i="15" s="1"/>
  <c r="Z344" i="15" s="1"/>
  <c r="Y344" i="15" s="1"/>
  <c r="AI343" i="15"/>
  <c r="AD343" i="15"/>
  <c r="AC343" i="15"/>
  <c r="W343" i="15"/>
  <c r="X343" i="15" s="1"/>
  <c r="AI342" i="15"/>
  <c r="AD342" i="15"/>
  <c r="AC342" i="15"/>
  <c r="X342" i="15"/>
  <c r="AG342" i="15" s="1"/>
  <c r="W342" i="15"/>
  <c r="AI341" i="15"/>
  <c r="AC341" i="15"/>
  <c r="AD341" i="15" s="1"/>
  <c r="W341" i="15"/>
  <c r="X341" i="15" s="1"/>
  <c r="Z341" i="15" s="1"/>
  <c r="Y341" i="15" s="1"/>
  <c r="AI340" i="15"/>
  <c r="AC340" i="15"/>
  <c r="AD340" i="15" s="1"/>
  <c r="W340" i="15"/>
  <c r="X340" i="15" s="1"/>
  <c r="Z340" i="15" s="1"/>
  <c r="Y340" i="15" s="1"/>
  <c r="AI339" i="15"/>
  <c r="AH339" i="15"/>
  <c r="AD339" i="15"/>
  <c r="AC339" i="15"/>
  <c r="W339" i="15"/>
  <c r="X339" i="15" s="1"/>
  <c r="AG339" i="15" s="1"/>
  <c r="AI338" i="15"/>
  <c r="AC338" i="15"/>
  <c r="AD338" i="15" s="1"/>
  <c r="W338" i="15"/>
  <c r="X338" i="15" s="1"/>
  <c r="AG338" i="15" s="1"/>
  <c r="AI337" i="15"/>
  <c r="AC337" i="15"/>
  <c r="AD337" i="15" s="1"/>
  <c r="W337" i="15"/>
  <c r="X337" i="15" s="1"/>
  <c r="AI336" i="15"/>
  <c r="AD336" i="15"/>
  <c r="AC336" i="15"/>
  <c r="W336" i="15"/>
  <c r="X336" i="15" s="1"/>
  <c r="AI335" i="15"/>
  <c r="AH335" i="15"/>
  <c r="AD335" i="15"/>
  <c r="AC335" i="15"/>
  <c r="W335" i="15"/>
  <c r="X335" i="15" s="1"/>
  <c r="AI334" i="15"/>
  <c r="AD334" i="15"/>
  <c r="AC334" i="15"/>
  <c r="W334" i="15"/>
  <c r="X334" i="15" s="1"/>
  <c r="AI333" i="15"/>
  <c r="AH333" i="15"/>
  <c r="AD333" i="15"/>
  <c r="AC333" i="15"/>
  <c r="W333" i="15"/>
  <c r="X333" i="15" s="1"/>
  <c r="Z333" i="15" s="1"/>
  <c r="Y333" i="15" s="1"/>
  <c r="AI332" i="15"/>
  <c r="AD332" i="15"/>
  <c r="AC332" i="15"/>
  <c r="W332" i="15"/>
  <c r="X332" i="15" s="1"/>
  <c r="AG332" i="15" s="1"/>
  <c r="AI331" i="15"/>
  <c r="AC331" i="15"/>
  <c r="AD331" i="15" s="1"/>
  <c r="W331" i="15"/>
  <c r="X331" i="15" s="1"/>
  <c r="AI330" i="15"/>
  <c r="AC330" i="15"/>
  <c r="AD330" i="15" s="1"/>
  <c r="W330" i="15"/>
  <c r="X330" i="15" s="1"/>
  <c r="AG330" i="15" s="1"/>
  <c r="AI329" i="15"/>
  <c r="AD329" i="15"/>
  <c r="AC329" i="15"/>
  <c r="W329" i="15"/>
  <c r="X329" i="15" s="1"/>
  <c r="AI328" i="15"/>
  <c r="AC328" i="15"/>
  <c r="AD328" i="15" s="1"/>
  <c r="W328" i="15"/>
  <c r="X328" i="15" s="1"/>
  <c r="AI327" i="15"/>
  <c r="AC327" i="15"/>
  <c r="AI326" i="15"/>
  <c r="AD326" i="15"/>
  <c r="AC326" i="15"/>
  <c r="W326" i="15"/>
  <c r="X326" i="15" s="1"/>
  <c r="AI325" i="15"/>
  <c r="AC325" i="15"/>
  <c r="AD325" i="15" s="1"/>
  <c r="W325" i="15"/>
  <c r="X325" i="15" s="1"/>
  <c r="Z325" i="15" s="1"/>
  <c r="Y325" i="15" s="1"/>
  <c r="AI324" i="15"/>
  <c r="AC324" i="15"/>
  <c r="AD324" i="15" s="1"/>
  <c r="W324" i="15"/>
  <c r="X324" i="15" s="1"/>
  <c r="AI323" i="15"/>
  <c r="AC323" i="15"/>
  <c r="AD323" i="15" s="1"/>
  <c r="W323" i="15"/>
  <c r="X323" i="15" s="1"/>
  <c r="Z323" i="15" s="1"/>
  <c r="Y323" i="15" s="1"/>
  <c r="AI322" i="15"/>
  <c r="AC322" i="15"/>
  <c r="AD322" i="15" s="1"/>
  <c r="W322" i="15"/>
  <c r="X322" i="15" s="1"/>
  <c r="AG322" i="15" s="1"/>
  <c r="AI321" i="15"/>
  <c r="AC321" i="15"/>
  <c r="AD321" i="15" s="1"/>
  <c r="W321" i="15"/>
  <c r="X321" i="15" s="1"/>
  <c r="AI320" i="15"/>
  <c r="AC320" i="15"/>
  <c r="AD320" i="15" s="1"/>
  <c r="W320" i="15"/>
  <c r="X320" i="15" s="1"/>
  <c r="AI319" i="15"/>
  <c r="AC319" i="15"/>
  <c r="AD319" i="15" s="1"/>
  <c r="W319" i="15"/>
  <c r="X319" i="15" s="1"/>
  <c r="Z319" i="15" s="1"/>
  <c r="Y319" i="15" s="1"/>
  <c r="AI318" i="15"/>
  <c r="AC318" i="15"/>
  <c r="AD318" i="15" s="1"/>
  <c r="W318" i="15"/>
  <c r="X318" i="15" s="1"/>
  <c r="AG318" i="15" s="1"/>
  <c r="AI317" i="15"/>
  <c r="AC317" i="15"/>
  <c r="AD317" i="15" s="1"/>
  <c r="W317" i="15"/>
  <c r="X317" i="15" s="1"/>
  <c r="Z317" i="15" s="1"/>
  <c r="Y317" i="15" s="1"/>
  <c r="AI316" i="15"/>
  <c r="AC316" i="15"/>
  <c r="AD316" i="15" s="1"/>
  <c r="W316" i="15"/>
  <c r="X316" i="15" s="1"/>
  <c r="AI315" i="15"/>
  <c r="AC315" i="15"/>
  <c r="AD315" i="15" s="1"/>
  <c r="W315" i="15"/>
  <c r="X315" i="15" s="1"/>
  <c r="AI314" i="15"/>
  <c r="AD314" i="15"/>
  <c r="AC314" i="15"/>
  <c r="W314" i="15"/>
  <c r="X314" i="15" s="1"/>
  <c r="AI313" i="15"/>
  <c r="AC313" i="15"/>
  <c r="AD313" i="15" s="1"/>
  <c r="W313" i="15"/>
  <c r="X313" i="15" s="1"/>
  <c r="AI312" i="15"/>
  <c r="AC312" i="15"/>
  <c r="AD312" i="15" s="1"/>
  <c r="W312" i="15"/>
  <c r="X312" i="15" s="1"/>
  <c r="Z312" i="15" s="1"/>
  <c r="Y312" i="15" s="1"/>
  <c r="AI311" i="15"/>
  <c r="AC311" i="15"/>
  <c r="AD311" i="15" s="1"/>
  <c r="W311" i="15"/>
  <c r="X311" i="15" s="1"/>
  <c r="AI310" i="15"/>
  <c r="AC310" i="15"/>
  <c r="AD310" i="15" s="1"/>
  <c r="W310" i="15"/>
  <c r="X310" i="15" s="1"/>
  <c r="AI309" i="15"/>
  <c r="AC309" i="15"/>
  <c r="AD309" i="15" s="1"/>
  <c r="W309" i="15"/>
  <c r="X309" i="15" s="1"/>
  <c r="AI308" i="15"/>
  <c r="AC308" i="15"/>
  <c r="AD308" i="15" s="1"/>
  <c r="W308" i="15"/>
  <c r="X308" i="15" s="1"/>
  <c r="Z308" i="15" s="1"/>
  <c r="Y308" i="15" s="1"/>
  <c r="AI307" i="15"/>
  <c r="AC307" i="15"/>
  <c r="AD307" i="15" s="1"/>
  <c r="W307" i="15"/>
  <c r="X307" i="15" s="1"/>
  <c r="AI306" i="15"/>
  <c r="AC306" i="15"/>
  <c r="AD306" i="15" s="1"/>
  <c r="W306" i="15"/>
  <c r="X306" i="15" s="1"/>
  <c r="Z306" i="15" s="1"/>
  <c r="Y306" i="15" s="1"/>
  <c r="AI305" i="15"/>
  <c r="AC305" i="15"/>
  <c r="AD305" i="15" s="1"/>
  <c r="W305" i="15"/>
  <c r="X305" i="15" s="1"/>
  <c r="AI304" i="15"/>
  <c r="AC304" i="15"/>
  <c r="AD304" i="15" s="1"/>
  <c r="W304" i="15"/>
  <c r="X304" i="15" s="1"/>
  <c r="AI303" i="15"/>
  <c r="AC303" i="15"/>
  <c r="AD303" i="15" s="1"/>
  <c r="W303" i="15"/>
  <c r="X303" i="15" s="1"/>
  <c r="AI302" i="15"/>
  <c r="AC302" i="15"/>
  <c r="AD302" i="15" s="1"/>
  <c r="W302" i="15"/>
  <c r="X302" i="15" s="1"/>
  <c r="AI301" i="15"/>
  <c r="AC301" i="15"/>
  <c r="AD301" i="15" s="1"/>
  <c r="W301" i="15"/>
  <c r="X301" i="15" s="1"/>
  <c r="AI300" i="15"/>
  <c r="AC300" i="15"/>
  <c r="AD300" i="15" s="1"/>
  <c r="W300" i="15"/>
  <c r="X300" i="15" s="1"/>
  <c r="AI299" i="15"/>
  <c r="AC299" i="15"/>
  <c r="AD299" i="15" s="1"/>
  <c r="W299" i="15"/>
  <c r="X299" i="15" s="1"/>
  <c r="Z299" i="15" s="1"/>
  <c r="Y299" i="15" s="1"/>
  <c r="AI298" i="15"/>
  <c r="AC298" i="15"/>
  <c r="AD298" i="15" s="1"/>
  <c r="W298" i="15"/>
  <c r="X298" i="15" s="1"/>
  <c r="AG298" i="15" s="1"/>
  <c r="AI297" i="15"/>
  <c r="AC297" i="15"/>
  <c r="AD297" i="15" s="1"/>
  <c r="W297" i="15"/>
  <c r="X297" i="15" s="1"/>
  <c r="Z297" i="15" s="1"/>
  <c r="Y297" i="15" s="1"/>
  <c r="AI296" i="15"/>
  <c r="AC296" i="15"/>
  <c r="AD296" i="15" s="1"/>
  <c r="W296" i="15"/>
  <c r="X296" i="15" s="1"/>
  <c r="AG296" i="15" s="1"/>
  <c r="AI295" i="15"/>
  <c r="AC295" i="15"/>
  <c r="AD295" i="15" s="1"/>
  <c r="W295" i="15"/>
  <c r="X295" i="15" s="1"/>
  <c r="AI294" i="15"/>
  <c r="AD294" i="15"/>
  <c r="AC294" i="15"/>
  <c r="W294" i="15"/>
  <c r="X294" i="15" s="1"/>
  <c r="AI293" i="15"/>
  <c r="AC293" i="15"/>
  <c r="AD293" i="15" s="1"/>
  <c r="W293" i="15"/>
  <c r="X293" i="15" s="1"/>
  <c r="AI292" i="15"/>
  <c r="AC292" i="15"/>
  <c r="AD292" i="15" s="1"/>
  <c r="W292" i="15"/>
  <c r="X292" i="15" s="1"/>
  <c r="Z292" i="15" s="1"/>
  <c r="Y292" i="15" s="1"/>
  <c r="AI291" i="15"/>
  <c r="AC291" i="15"/>
  <c r="AD291" i="15" s="1"/>
  <c r="W291" i="15"/>
  <c r="X291" i="15" s="1"/>
  <c r="AI290" i="15"/>
  <c r="AC290" i="15"/>
  <c r="AD290" i="15" s="1"/>
  <c r="W290" i="15"/>
  <c r="X290" i="15" s="1"/>
  <c r="AG290" i="15" s="1"/>
  <c r="AI289" i="15"/>
  <c r="AC289" i="15"/>
  <c r="AD289" i="15" s="1"/>
  <c r="W289" i="15"/>
  <c r="X289" i="15" s="1"/>
  <c r="AI288" i="15"/>
  <c r="AD288" i="15"/>
  <c r="AC288" i="15"/>
  <c r="W288" i="15"/>
  <c r="X288" i="15" s="1"/>
  <c r="AI287" i="15"/>
  <c r="AC287" i="15"/>
  <c r="AD287" i="15" s="1"/>
  <c r="W287" i="15"/>
  <c r="X287" i="15" s="1"/>
  <c r="AI286" i="15"/>
  <c r="AC286" i="15"/>
  <c r="AD286" i="15" s="1"/>
  <c r="W286" i="15"/>
  <c r="X286" i="15" s="1"/>
  <c r="Z286" i="15" s="1"/>
  <c r="Y286" i="15" s="1"/>
  <c r="AI285" i="15"/>
  <c r="AC285" i="15"/>
  <c r="AD285" i="15" s="1"/>
  <c r="W285" i="15"/>
  <c r="X285" i="15" s="1"/>
  <c r="AG285" i="15" s="1"/>
  <c r="AI284" i="15"/>
  <c r="AC284" i="15"/>
  <c r="AD284" i="15" s="1"/>
  <c r="W284" i="15"/>
  <c r="X284" i="15" s="1"/>
  <c r="Z284" i="15" s="1"/>
  <c r="Y284" i="15" s="1"/>
  <c r="AI283" i="15"/>
  <c r="AC283" i="15"/>
  <c r="AD283" i="15" s="1"/>
  <c r="W283" i="15"/>
  <c r="X283" i="15" s="1"/>
  <c r="Z283" i="15" s="1"/>
  <c r="Y283" i="15" s="1"/>
  <c r="AI282" i="15"/>
  <c r="AG282" i="15"/>
  <c r="AC282" i="15"/>
  <c r="AD282" i="15" s="1"/>
  <c r="W282" i="15"/>
  <c r="X282" i="15" s="1"/>
  <c r="Z282" i="15" s="1"/>
  <c r="Y282" i="15" s="1"/>
  <c r="AI281" i="15"/>
  <c r="AC281" i="15"/>
  <c r="AD281" i="15" s="1"/>
  <c r="W281" i="15"/>
  <c r="X281" i="15" s="1"/>
  <c r="Z281" i="15" s="1"/>
  <c r="Y281" i="15" s="1"/>
  <c r="AI280" i="15"/>
  <c r="AC280" i="15"/>
  <c r="AD280" i="15" s="1"/>
  <c r="W280" i="15"/>
  <c r="X280" i="15" s="1"/>
  <c r="AI279" i="15"/>
  <c r="AC279" i="15"/>
  <c r="AD279" i="15" s="1"/>
  <c r="W279" i="15"/>
  <c r="X279" i="15" s="1"/>
  <c r="Z279" i="15" s="1"/>
  <c r="Y279" i="15" s="1"/>
  <c r="AI278" i="15"/>
  <c r="AC278" i="15"/>
  <c r="AD278" i="15" s="1"/>
  <c r="W278" i="15"/>
  <c r="X278" i="15" s="1"/>
  <c r="AI277" i="15"/>
  <c r="AC277" i="15"/>
  <c r="AD277" i="15" s="1"/>
  <c r="W277" i="15"/>
  <c r="X277" i="15" s="1"/>
  <c r="AG277" i="15" s="1"/>
  <c r="AI276" i="15"/>
  <c r="AC276" i="15"/>
  <c r="AD276" i="15" s="1"/>
  <c r="W276" i="15"/>
  <c r="X276" i="15" s="1"/>
  <c r="AI275" i="15"/>
  <c r="AD275" i="15"/>
  <c r="AC275" i="15"/>
  <c r="W275" i="15"/>
  <c r="X275" i="15" s="1"/>
  <c r="AI274" i="15"/>
  <c r="AD274" i="15"/>
  <c r="AC274" i="15"/>
  <c r="W274" i="15"/>
  <c r="X274" i="15" s="1"/>
  <c r="AG274" i="15" s="1"/>
  <c r="AI273" i="15"/>
  <c r="AC273" i="15"/>
  <c r="AD273" i="15" s="1"/>
  <c r="W273" i="15"/>
  <c r="X273" i="15" s="1"/>
  <c r="AG273" i="15" s="1"/>
  <c r="AI272" i="15"/>
  <c r="AC272" i="15"/>
  <c r="AD272" i="15" s="1"/>
  <c r="W272" i="15"/>
  <c r="X272" i="15" s="1"/>
  <c r="AI271" i="15"/>
  <c r="AC271" i="15"/>
  <c r="AD271" i="15" s="1"/>
  <c r="W271" i="15"/>
  <c r="X271" i="15" s="1"/>
  <c r="AI270" i="15"/>
  <c r="AC270" i="15"/>
  <c r="AD270" i="15" s="1"/>
  <c r="W270" i="15"/>
  <c r="X270" i="15" s="1"/>
  <c r="AG270" i="15" s="1"/>
  <c r="AI269" i="15"/>
  <c r="AC269" i="15"/>
  <c r="AD269" i="15" s="1"/>
  <c r="W269" i="15"/>
  <c r="X269" i="15" s="1"/>
  <c r="AI268" i="15"/>
  <c r="AC268" i="15"/>
  <c r="AD268" i="15" s="1"/>
  <c r="W268" i="15"/>
  <c r="X268" i="15" s="1"/>
  <c r="Z268" i="15" s="1"/>
  <c r="Y268" i="15" s="1"/>
  <c r="AI267" i="15"/>
  <c r="AC267" i="15"/>
  <c r="AD267" i="15" s="1"/>
  <c r="W267" i="15"/>
  <c r="X267" i="15" s="1"/>
  <c r="Z267" i="15" s="1"/>
  <c r="Y267" i="15" s="1"/>
  <c r="AI266" i="15"/>
  <c r="AC266" i="15"/>
  <c r="AD266" i="15" s="1"/>
  <c r="W266" i="15"/>
  <c r="X266" i="15" s="1"/>
  <c r="AI265" i="15"/>
  <c r="AD265" i="15"/>
  <c r="AC265" i="15"/>
  <c r="W265" i="15"/>
  <c r="X265" i="15" s="1"/>
  <c r="AI264" i="15"/>
  <c r="AC264" i="15"/>
  <c r="AD264" i="15" s="1"/>
  <c r="W264" i="15"/>
  <c r="X264" i="15" s="1"/>
  <c r="AI263" i="15"/>
  <c r="AD263" i="15"/>
  <c r="AC263" i="15"/>
  <c r="X263" i="15"/>
  <c r="W263" i="15"/>
  <c r="AI262" i="15"/>
  <c r="AD262" i="15"/>
  <c r="AC262" i="15"/>
  <c r="W262" i="15"/>
  <c r="X262" i="15" s="1"/>
  <c r="AG262" i="15" s="1"/>
  <c r="AI261" i="15"/>
  <c r="AD261" i="15"/>
  <c r="AC261" i="15"/>
  <c r="W261" i="15"/>
  <c r="X261" i="15" s="1"/>
  <c r="AI260" i="15"/>
  <c r="AD260" i="15"/>
  <c r="AC260" i="15"/>
  <c r="W260" i="15"/>
  <c r="X260" i="15" s="1"/>
  <c r="AI259" i="15"/>
  <c r="AC259" i="15"/>
  <c r="AD259" i="15" s="1"/>
  <c r="W259" i="15"/>
  <c r="X259" i="15" s="1"/>
  <c r="AI258" i="15"/>
  <c r="AC258" i="15"/>
  <c r="AD258" i="15" s="1"/>
  <c r="W258" i="15"/>
  <c r="X258" i="15" s="1"/>
  <c r="AG258" i="15" s="1"/>
  <c r="AI257" i="15"/>
  <c r="AD257" i="15"/>
  <c r="AC257" i="15"/>
  <c r="X257" i="15"/>
  <c r="W257" i="15"/>
  <c r="AI256" i="15"/>
  <c r="AC256" i="15"/>
  <c r="AD256" i="15" s="1"/>
  <c r="W256" i="15"/>
  <c r="X256" i="15" s="1"/>
  <c r="AI255" i="15"/>
  <c r="AC255" i="15"/>
  <c r="AD255" i="15" s="1"/>
  <c r="W255" i="15"/>
  <c r="X255" i="15" s="1"/>
  <c r="Z255" i="15" s="1"/>
  <c r="Y255" i="15" s="1"/>
  <c r="AI254" i="15"/>
  <c r="AD254" i="15"/>
  <c r="AC254" i="15"/>
  <c r="W254" i="15"/>
  <c r="X254" i="15" s="1"/>
  <c r="AI253" i="15"/>
  <c r="AC253" i="15"/>
  <c r="AD253" i="15" s="1"/>
  <c r="W253" i="15"/>
  <c r="X253" i="15" s="1"/>
  <c r="Z253" i="15" s="1"/>
  <c r="Y253" i="15" s="1"/>
  <c r="AI252" i="15"/>
  <c r="AC252" i="15"/>
  <c r="AD252" i="15" s="1"/>
  <c r="W252" i="15"/>
  <c r="X252" i="15" s="1"/>
  <c r="Z252" i="15" s="1"/>
  <c r="Y252" i="15" s="1"/>
  <c r="AI251" i="15"/>
  <c r="AH251" i="15"/>
  <c r="AC251" i="15"/>
  <c r="AD251" i="15" s="1"/>
  <c r="W251" i="15"/>
  <c r="X251" i="15" s="1"/>
  <c r="AG251" i="15" s="1"/>
  <c r="AI250" i="15"/>
  <c r="AC250" i="15"/>
  <c r="AD250" i="15" s="1"/>
  <c r="W250" i="15"/>
  <c r="X250" i="15" s="1"/>
  <c r="AG250" i="15" s="1"/>
  <c r="AI249" i="15"/>
  <c r="AC249" i="15"/>
  <c r="AD249" i="15" s="1"/>
  <c r="W249" i="15"/>
  <c r="X249" i="15" s="1"/>
  <c r="AI248" i="15"/>
  <c r="AC248" i="15"/>
  <c r="AD248" i="15" s="1"/>
  <c r="W248" i="15"/>
  <c r="X248" i="15" s="1"/>
  <c r="Z248" i="15" s="1"/>
  <c r="Y248" i="15" s="1"/>
  <c r="AI247" i="15"/>
  <c r="AC247" i="15"/>
  <c r="AD247" i="15" s="1"/>
  <c r="W247" i="15"/>
  <c r="X247" i="15" s="1"/>
  <c r="AI246" i="15"/>
  <c r="AD246" i="15"/>
  <c r="AC246" i="15"/>
  <c r="W246" i="15"/>
  <c r="X246" i="15" s="1"/>
  <c r="Z246" i="15" s="1"/>
  <c r="Y246" i="15" s="1"/>
  <c r="AI245" i="15"/>
  <c r="AC245" i="15"/>
  <c r="AD245" i="15" s="1"/>
  <c r="W245" i="15"/>
  <c r="X245" i="15" s="1"/>
  <c r="AI244" i="15"/>
  <c r="AD244" i="15"/>
  <c r="AC244" i="15"/>
  <c r="W244" i="15"/>
  <c r="X244" i="15" s="1"/>
  <c r="Z244" i="15" s="1"/>
  <c r="Y244" i="15" s="1"/>
  <c r="AI243" i="15"/>
  <c r="AC243" i="15"/>
  <c r="AD243" i="15" s="1"/>
  <c r="W243" i="15"/>
  <c r="X243" i="15" s="1"/>
  <c r="AI242" i="15"/>
  <c r="AC242" i="15"/>
  <c r="AD242" i="15" s="1"/>
  <c r="W242" i="15"/>
  <c r="X242" i="15" s="1"/>
  <c r="AG242" i="15" s="1"/>
  <c r="AI241" i="15"/>
  <c r="AC241" i="15"/>
  <c r="AD241" i="15" s="1"/>
  <c r="W241" i="15"/>
  <c r="X241" i="15" s="1"/>
  <c r="AG241" i="15" s="1"/>
  <c r="AI240" i="15"/>
  <c r="AC240" i="15"/>
  <c r="AD240" i="15" s="1"/>
  <c r="W240" i="15"/>
  <c r="X240" i="15" s="1"/>
  <c r="Z240" i="15" s="1"/>
  <c r="Y240" i="15" s="1"/>
  <c r="AI239" i="15"/>
  <c r="AC239" i="15"/>
  <c r="AD239" i="15" s="1"/>
  <c r="W239" i="15"/>
  <c r="X239" i="15" s="1"/>
  <c r="AG239" i="15" s="1"/>
  <c r="AI238" i="15"/>
  <c r="AC238" i="15"/>
  <c r="AD238" i="15" s="1"/>
  <c r="W238" i="15"/>
  <c r="X238" i="15" s="1"/>
  <c r="AI237" i="15"/>
  <c r="AC237" i="15"/>
  <c r="AI236" i="15"/>
  <c r="AH236" i="15"/>
  <c r="AD236" i="15"/>
  <c r="AC236" i="15"/>
  <c r="W236" i="15"/>
  <c r="X236" i="15" s="1"/>
  <c r="AI235" i="15"/>
  <c r="AH235" i="15"/>
  <c r="AC235" i="15"/>
  <c r="AD235" i="15" s="1"/>
  <c r="W235" i="15"/>
  <c r="X235" i="15" s="1"/>
  <c r="AG235" i="15" s="1"/>
  <c r="AI234" i="15"/>
  <c r="AH234" i="15"/>
  <c r="AC234" i="15"/>
  <c r="AD234" i="15" s="1"/>
  <c r="W234" i="15"/>
  <c r="X234" i="15" s="1"/>
  <c r="AI233" i="15"/>
  <c r="AH233" i="15"/>
  <c r="W233" i="15" s="1"/>
  <c r="AD233" i="15"/>
  <c r="AC233" i="15"/>
  <c r="X233" i="15"/>
  <c r="Z233" i="15" s="1"/>
  <c r="Y233" i="15" s="1"/>
  <c r="AI232" i="15"/>
  <c r="AD232" i="15"/>
  <c r="AC232" i="15"/>
  <c r="W232" i="15"/>
  <c r="X232" i="15" s="1"/>
  <c r="AI231" i="15"/>
  <c r="AC231" i="15"/>
  <c r="AD231" i="15" s="1"/>
  <c r="W231" i="15"/>
  <c r="X231" i="15" s="1"/>
  <c r="AI230" i="15"/>
  <c r="AH230" i="15"/>
  <c r="W230" i="15" s="1"/>
  <c r="X230" i="15" s="1"/>
  <c r="Z230" i="15" s="1"/>
  <c r="Y230" i="15" s="1"/>
  <c r="AD230" i="15"/>
  <c r="AC230" i="15"/>
  <c r="AI229" i="15"/>
  <c r="AH229" i="15"/>
  <c r="AC229" i="15"/>
  <c r="AD229" i="15" s="1"/>
  <c r="W229" i="15"/>
  <c r="X229" i="15" s="1"/>
  <c r="AI228" i="15"/>
  <c r="AC228" i="15"/>
  <c r="AD228" i="15" s="1"/>
  <c r="AI227" i="15"/>
  <c r="AH227" i="15"/>
  <c r="W227" i="15" s="1"/>
  <c r="X227" i="15" s="1"/>
  <c r="AC227" i="15"/>
  <c r="AD227" i="15" s="1"/>
  <c r="Z227" i="15"/>
  <c r="Y227" i="15"/>
  <c r="AI226" i="15"/>
  <c r="AH226" i="15"/>
  <c r="AD226" i="15"/>
  <c r="AC226" i="15"/>
  <c r="AI225" i="15"/>
  <c r="AH225" i="15"/>
  <c r="AC225" i="15"/>
  <c r="AD225" i="15" s="1"/>
  <c r="W225" i="15"/>
  <c r="X225" i="15" s="1"/>
  <c r="AG225" i="15" s="1"/>
  <c r="AI224" i="15"/>
  <c r="AH224" i="15"/>
  <c r="AC224" i="15"/>
  <c r="AD224" i="15" s="1"/>
  <c r="W224" i="15"/>
  <c r="X224" i="15" s="1"/>
  <c r="AI223" i="15"/>
  <c r="AH223" i="15"/>
  <c r="AD223" i="15"/>
  <c r="AC223" i="15"/>
  <c r="W223" i="15"/>
  <c r="X223" i="15" s="1"/>
  <c r="AI222" i="15"/>
  <c r="AH222" i="15"/>
  <c r="AC222" i="15"/>
  <c r="AD222" i="15" s="1"/>
  <c r="W222" i="15"/>
  <c r="X222" i="15" s="1"/>
  <c r="AI221" i="15"/>
  <c r="AH221" i="15"/>
  <c r="W221" i="15" s="1"/>
  <c r="X221" i="15" s="1"/>
  <c r="AD221" i="15"/>
  <c r="AC221" i="15"/>
  <c r="AI220" i="15"/>
  <c r="AC220" i="15"/>
  <c r="AI219" i="15"/>
  <c r="AC219" i="15"/>
  <c r="AD219" i="15" s="1"/>
  <c r="W219" i="15"/>
  <c r="X219" i="15" s="1"/>
  <c r="AI218" i="15"/>
  <c r="AC218" i="15"/>
  <c r="AD218" i="15" s="1"/>
  <c r="W218" i="15"/>
  <c r="X218" i="15" s="1"/>
  <c r="Z218" i="15" s="1"/>
  <c r="Y218" i="15" s="1"/>
  <c r="AI217" i="15"/>
  <c r="AH217" i="15"/>
  <c r="W217" i="15" s="1"/>
  <c r="X217" i="15" s="1"/>
  <c r="AC217" i="15"/>
  <c r="AD217" i="15" s="1"/>
  <c r="AI216" i="15"/>
  <c r="AH216" i="15"/>
  <c r="AC216" i="15"/>
  <c r="AD216" i="15" s="1"/>
  <c r="X216" i="15"/>
  <c r="W216" i="15"/>
  <c r="AI215" i="15"/>
  <c r="AH215" i="15"/>
  <c r="W215" i="15" s="1"/>
  <c r="X215" i="15" s="1"/>
  <c r="Z215" i="15" s="1"/>
  <c r="AD215" i="15"/>
  <c r="AC215" i="15"/>
  <c r="Y215" i="15"/>
  <c r="AI214" i="15"/>
  <c r="AH214" i="15"/>
  <c r="AC214" i="15"/>
  <c r="AD214" i="15" s="1"/>
  <c r="W214" i="15"/>
  <c r="X214" i="15" s="1"/>
  <c r="AI213" i="15"/>
  <c r="AH213" i="15"/>
  <c r="W213" i="15" s="1"/>
  <c r="X213" i="15" s="1"/>
  <c r="Z213" i="15" s="1"/>
  <c r="Y213" i="15" s="1"/>
  <c r="AG213" i="15"/>
  <c r="AC213" i="15"/>
  <c r="AD213" i="15" s="1"/>
  <c r="AI212" i="15"/>
  <c r="AH212" i="15"/>
  <c r="AC212" i="15"/>
  <c r="AD212" i="15" s="1"/>
  <c r="W212" i="15"/>
  <c r="X212" i="15" s="1"/>
  <c r="AI211" i="15"/>
  <c r="AC211" i="15"/>
  <c r="AD211" i="15" s="1"/>
  <c r="W211" i="15"/>
  <c r="X211" i="15" s="1"/>
  <c r="AI210" i="15"/>
  <c r="AC210" i="15"/>
  <c r="AD210" i="15" s="1"/>
  <c r="W210" i="15"/>
  <c r="X210" i="15" s="1"/>
  <c r="AI209" i="15"/>
  <c r="AD209" i="15"/>
  <c r="AC209" i="15"/>
  <c r="W209" i="15"/>
  <c r="X209" i="15" s="1"/>
  <c r="AI208" i="15"/>
  <c r="AD208" i="15"/>
  <c r="AC208" i="15"/>
  <c r="W208" i="15"/>
  <c r="X208" i="15" s="1"/>
  <c r="AI207" i="15"/>
  <c r="AC207" i="15"/>
  <c r="AD207" i="15" s="1"/>
  <c r="W207" i="15"/>
  <c r="X207" i="15" s="1"/>
  <c r="Z207" i="15" s="1"/>
  <c r="Y207" i="15" s="1"/>
  <c r="AL206" i="15"/>
  <c r="AI206" i="15"/>
  <c r="AD206" i="15"/>
  <c r="AC206" i="15"/>
  <c r="W206" i="15"/>
  <c r="X206" i="15" s="1"/>
  <c r="AI205" i="15"/>
  <c r="AC205" i="15"/>
  <c r="AD205" i="15" s="1"/>
  <c r="W205" i="15"/>
  <c r="X205" i="15" s="1"/>
  <c r="AI204" i="15"/>
  <c r="AD204" i="15"/>
  <c r="AC204" i="15"/>
  <c r="X204" i="15"/>
  <c r="Z204" i="15" s="1"/>
  <c r="Y204" i="15" s="1"/>
  <c r="W204" i="15"/>
  <c r="AI203" i="15"/>
  <c r="AD203" i="15"/>
  <c r="AC203" i="15"/>
  <c r="W203" i="15"/>
  <c r="X203" i="15" s="1"/>
  <c r="Z203" i="15" s="1"/>
  <c r="AI202" i="15"/>
  <c r="AC202" i="15"/>
  <c r="AI201" i="15"/>
  <c r="AC201" i="15"/>
  <c r="W201" i="15"/>
  <c r="X201" i="15" s="1"/>
  <c r="AG201" i="15" s="1"/>
  <c r="V201" i="15"/>
  <c r="AI200" i="15"/>
  <c r="AC200" i="15"/>
  <c r="W200" i="15"/>
  <c r="X200" i="15" s="1"/>
  <c r="AG200" i="15" s="1"/>
  <c r="V200" i="15"/>
  <c r="AI199" i="15"/>
  <c r="AC199" i="15"/>
  <c r="AD199" i="15" s="1"/>
  <c r="W199" i="15"/>
  <c r="X199" i="15" s="1"/>
  <c r="AG199" i="15" s="1"/>
  <c r="V199" i="15"/>
  <c r="AI198" i="15"/>
  <c r="AC198" i="15"/>
  <c r="AD198" i="15" s="1"/>
  <c r="W198" i="15"/>
  <c r="X198" i="15" s="1"/>
  <c r="V198" i="15"/>
  <c r="AI197" i="15"/>
  <c r="AC197" i="15"/>
  <c r="AD197" i="15" s="1"/>
  <c r="W197" i="15"/>
  <c r="X197" i="15" s="1"/>
  <c r="AG197" i="15" s="1"/>
  <c r="V197" i="15"/>
  <c r="AI196" i="15"/>
  <c r="AC196" i="15"/>
  <c r="W196" i="15"/>
  <c r="X196" i="15" s="1"/>
  <c r="AG196" i="15" s="1"/>
  <c r="V196" i="15"/>
  <c r="AI195" i="15"/>
  <c r="AC195" i="15"/>
  <c r="AD195" i="15" s="1"/>
  <c r="W195" i="15"/>
  <c r="X195" i="15" s="1"/>
  <c r="AG195" i="15" s="1"/>
  <c r="V195" i="15"/>
  <c r="Z195" i="15" s="1"/>
  <c r="Y195" i="15" s="1"/>
  <c r="AI194" i="15"/>
  <c r="AC194" i="15"/>
  <c r="W194" i="15"/>
  <c r="X194" i="15" s="1"/>
  <c r="V194" i="15"/>
  <c r="Z194" i="15" s="1"/>
  <c r="Y194" i="15" s="1"/>
  <c r="AI193" i="15"/>
  <c r="AC193" i="15"/>
  <c r="W193" i="15"/>
  <c r="X193" i="15" s="1"/>
  <c r="V193" i="15"/>
  <c r="AI192" i="15"/>
  <c r="AC192" i="15"/>
  <c r="W192" i="15"/>
  <c r="X192" i="15" s="1"/>
  <c r="AG192" i="15" s="1"/>
  <c r="V192" i="15"/>
  <c r="AI191" i="15"/>
  <c r="AC191" i="15"/>
  <c r="W191" i="15"/>
  <c r="X191" i="15" s="1"/>
  <c r="AG191" i="15" s="1"/>
  <c r="V191" i="15"/>
  <c r="Z191" i="15" s="1"/>
  <c r="Y191" i="15" s="1"/>
  <c r="AI190" i="15"/>
  <c r="AC190" i="15"/>
  <c r="AD190" i="15" s="1"/>
  <c r="W190" i="15"/>
  <c r="X190" i="15" s="1"/>
  <c r="Z190" i="15" s="1"/>
  <c r="Y190" i="15" s="1"/>
  <c r="V190" i="15"/>
  <c r="AI189" i="15"/>
  <c r="AC189" i="15"/>
  <c r="W189" i="15"/>
  <c r="X189" i="15" s="1"/>
  <c r="V189" i="15"/>
  <c r="AD189" i="15" s="1"/>
  <c r="AI188" i="15"/>
  <c r="AC188" i="15"/>
  <c r="X188" i="15"/>
  <c r="Z188" i="15" s="1"/>
  <c r="Y188" i="15" s="1"/>
  <c r="W188" i="15"/>
  <c r="V188" i="15"/>
  <c r="AI187" i="15"/>
  <c r="AC187" i="15"/>
  <c r="W187" i="15"/>
  <c r="X187" i="15" s="1"/>
  <c r="V187" i="15"/>
  <c r="AD187" i="15" s="1"/>
  <c r="AI186" i="15"/>
  <c r="AC186" i="15"/>
  <c r="W186" i="15"/>
  <c r="X186" i="15" s="1"/>
  <c r="AG186" i="15" s="1"/>
  <c r="V186" i="15"/>
  <c r="Z186" i="15" s="1"/>
  <c r="Y186" i="15" s="1"/>
  <c r="AI185" i="15"/>
  <c r="AC185" i="15"/>
  <c r="W185" i="15"/>
  <c r="X185" i="15" s="1"/>
  <c r="AG185" i="15" s="1"/>
  <c r="V185" i="15"/>
  <c r="AI184" i="15"/>
  <c r="AC184" i="15"/>
  <c r="W184" i="15"/>
  <c r="X184" i="15" s="1"/>
  <c r="AG184" i="15" s="1"/>
  <c r="V184" i="15"/>
  <c r="AD184" i="15" s="1"/>
  <c r="AI183" i="15"/>
  <c r="AD183" i="15"/>
  <c r="AC183" i="15"/>
  <c r="X183" i="15"/>
  <c r="AG183" i="15" s="1"/>
  <c r="W183" i="15"/>
  <c r="V183" i="15"/>
  <c r="AI182" i="15"/>
  <c r="AD182" i="15"/>
  <c r="AC182" i="15"/>
  <c r="W182" i="15"/>
  <c r="X182" i="15" s="1"/>
  <c r="Z182" i="15" s="1"/>
  <c r="Y182" i="15" s="1"/>
  <c r="V182" i="15"/>
  <c r="AI181" i="15"/>
  <c r="AD181" i="15"/>
  <c r="AC181" i="15"/>
  <c r="W181" i="15"/>
  <c r="X181" i="15" s="1"/>
  <c r="V181" i="15"/>
  <c r="AI180" i="15"/>
  <c r="AC180" i="15"/>
  <c r="W180" i="15"/>
  <c r="X180" i="15" s="1"/>
  <c r="AG180" i="15" s="1"/>
  <c r="V180" i="15"/>
  <c r="AI179" i="15"/>
  <c r="AG179" i="15"/>
  <c r="AC179" i="15"/>
  <c r="W179" i="15"/>
  <c r="X179" i="15" s="1"/>
  <c r="Z179" i="15" s="1"/>
  <c r="Y179" i="15" s="1"/>
  <c r="V179" i="15"/>
  <c r="AI178" i="15"/>
  <c r="AD178" i="15"/>
  <c r="AC178" i="15"/>
  <c r="W178" i="15"/>
  <c r="X178" i="15" s="1"/>
  <c r="AG178" i="15" s="1"/>
  <c r="V178" i="15"/>
  <c r="AI177" i="15"/>
  <c r="AC177" i="15"/>
  <c r="AI176" i="15"/>
  <c r="AC176" i="15"/>
  <c r="W176" i="15"/>
  <c r="X176" i="15" s="1"/>
  <c r="AG176" i="15" s="1"/>
  <c r="V176" i="15"/>
  <c r="AI175" i="15"/>
  <c r="AD175" i="15"/>
  <c r="AC175" i="15"/>
  <c r="W175" i="15"/>
  <c r="X175" i="15" s="1"/>
  <c r="Z175" i="15" s="1"/>
  <c r="Y175" i="15" s="1"/>
  <c r="V175" i="15"/>
  <c r="AI174" i="15"/>
  <c r="AC174" i="15"/>
  <c r="W174" i="15"/>
  <c r="X174" i="15" s="1"/>
  <c r="AG174" i="15" s="1"/>
  <c r="V174" i="15"/>
  <c r="AD174" i="15" s="1"/>
  <c r="AI173" i="15"/>
  <c r="AC173" i="15"/>
  <c r="AD173" i="15" s="1"/>
  <c r="W173" i="15"/>
  <c r="X173" i="15" s="1"/>
  <c r="AG173" i="15" s="1"/>
  <c r="V173" i="15"/>
  <c r="AI172" i="15"/>
  <c r="AC172" i="15"/>
  <c r="AD172" i="15" s="1"/>
  <c r="W172" i="15"/>
  <c r="X172" i="15" s="1"/>
  <c r="Z172" i="15" s="1"/>
  <c r="Y172" i="15" s="1"/>
  <c r="V172" i="15"/>
  <c r="AI171" i="15"/>
  <c r="AD171" i="15"/>
  <c r="AC171" i="15"/>
  <c r="W171" i="15"/>
  <c r="X171" i="15" s="1"/>
  <c r="AG171" i="15" s="1"/>
  <c r="V171" i="15"/>
  <c r="AI170" i="15"/>
  <c r="AD170" i="15"/>
  <c r="AC170" i="15"/>
  <c r="W170" i="15"/>
  <c r="X170" i="15" s="1"/>
  <c r="V170" i="15"/>
  <c r="AI169" i="15"/>
  <c r="AD169" i="15"/>
  <c r="AC169" i="15"/>
  <c r="W169" i="15"/>
  <c r="X169" i="15" s="1"/>
  <c r="AG169" i="15" s="1"/>
  <c r="V169" i="15"/>
  <c r="AI168" i="15"/>
  <c r="AD168" i="15"/>
  <c r="AC168" i="15"/>
  <c r="W168" i="15"/>
  <c r="X168" i="15" s="1"/>
  <c r="AG168" i="15" s="1"/>
  <c r="V168" i="15"/>
  <c r="Z168" i="15" s="1"/>
  <c r="Y168" i="15" s="1"/>
  <c r="AI167" i="15"/>
  <c r="AC167" i="15"/>
  <c r="AD167" i="15" s="1"/>
  <c r="W167" i="15"/>
  <c r="X167" i="15" s="1"/>
  <c r="V167" i="15"/>
  <c r="AI166" i="15"/>
  <c r="AC166" i="15"/>
  <c r="W166" i="15"/>
  <c r="X166" i="15" s="1"/>
  <c r="AG166" i="15" s="1"/>
  <c r="V166" i="15"/>
  <c r="AD166" i="15" s="1"/>
  <c r="AI165" i="15"/>
  <c r="AC165" i="15"/>
  <c r="W165" i="15"/>
  <c r="X165" i="15" s="1"/>
  <c r="AG165" i="15" s="1"/>
  <c r="V165" i="15"/>
  <c r="AI164" i="15"/>
  <c r="AC164" i="15"/>
  <c r="AD164" i="15" s="1"/>
  <c r="W164" i="15"/>
  <c r="X164" i="15" s="1"/>
  <c r="V164" i="15"/>
  <c r="AI163" i="15"/>
  <c r="AC163" i="15"/>
  <c r="W163" i="15"/>
  <c r="X163" i="15" s="1"/>
  <c r="AG163" i="15" s="1"/>
  <c r="V163" i="15"/>
  <c r="AI162" i="15"/>
  <c r="AH162" i="15"/>
  <c r="W162" i="15" s="1"/>
  <c r="X162" i="15" s="1"/>
  <c r="AG162" i="15" s="1"/>
  <c r="AC162" i="15"/>
  <c r="AD162" i="15" s="1"/>
  <c r="V162" i="15"/>
  <c r="AI161" i="15"/>
  <c r="AH161" i="15"/>
  <c r="AD161" i="15"/>
  <c r="AC161" i="15"/>
  <c r="W161" i="15"/>
  <c r="X161" i="15" s="1"/>
  <c r="V161" i="15"/>
  <c r="AI160" i="15"/>
  <c r="AH160" i="15"/>
  <c r="AC160" i="15"/>
  <c r="AD160" i="15" s="1"/>
  <c r="W160" i="15"/>
  <c r="X160" i="15" s="1"/>
  <c r="AG160" i="15" s="1"/>
  <c r="V160" i="15"/>
  <c r="AI159" i="15"/>
  <c r="AH159" i="15"/>
  <c r="W159" i="15" s="1"/>
  <c r="X159" i="15" s="1"/>
  <c r="AG159" i="15" s="1"/>
  <c r="AC159" i="15"/>
  <c r="V159" i="15"/>
  <c r="AD159" i="15" s="1"/>
  <c r="AI158" i="15"/>
  <c r="AH158" i="15"/>
  <c r="W158" i="15" s="1"/>
  <c r="X158" i="15" s="1"/>
  <c r="AG158" i="15"/>
  <c r="AC158" i="15"/>
  <c r="V158" i="15"/>
  <c r="AI157" i="15"/>
  <c r="AH157" i="15"/>
  <c r="AC157" i="15"/>
  <c r="W157" i="15"/>
  <c r="X157" i="15" s="1"/>
  <c r="AG157" i="15" s="1"/>
  <c r="V157" i="15"/>
  <c r="AI156" i="15"/>
  <c r="AC156" i="15"/>
  <c r="AD156" i="15" s="1"/>
  <c r="W156" i="15"/>
  <c r="X156" i="15" s="1"/>
  <c r="V156" i="15"/>
  <c r="AI155" i="15"/>
  <c r="AH155" i="15"/>
  <c r="AC155" i="15"/>
  <c r="W155" i="15"/>
  <c r="X155" i="15" s="1"/>
  <c r="AG155" i="15" s="1"/>
  <c r="V155" i="15"/>
  <c r="AD155" i="15" s="1"/>
  <c r="AI154" i="15"/>
  <c r="AC154" i="15"/>
  <c r="W154" i="15"/>
  <c r="X154" i="15" s="1"/>
  <c r="AG154" i="15" s="1"/>
  <c r="V154" i="15"/>
  <c r="AI153" i="15"/>
  <c r="AD153" i="15"/>
  <c r="AC153" i="15"/>
  <c r="W153" i="15"/>
  <c r="X153" i="15" s="1"/>
  <c r="AG153" i="15" s="1"/>
  <c r="V153" i="15"/>
  <c r="AI152" i="15"/>
  <c r="AC152" i="15"/>
  <c r="W152" i="15"/>
  <c r="X152" i="15" s="1"/>
  <c r="AG152" i="15" s="1"/>
  <c r="V152" i="15"/>
  <c r="AD152" i="15" s="1"/>
  <c r="AI151" i="15"/>
  <c r="AC151" i="15"/>
  <c r="W151" i="15"/>
  <c r="X151" i="15" s="1"/>
  <c r="Z151" i="15" s="1"/>
  <c r="Y151" i="15" s="1"/>
  <c r="V151" i="15"/>
  <c r="AI150" i="15"/>
  <c r="AC150" i="15"/>
  <c r="W150" i="15"/>
  <c r="X150" i="15" s="1"/>
  <c r="AG150" i="15" s="1"/>
  <c r="V150" i="15"/>
  <c r="AI149" i="15"/>
  <c r="AC149" i="15"/>
  <c r="W149" i="15"/>
  <c r="X149" i="15" s="1"/>
  <c r="AG149" i="15" s="1"/>
  <c r="V149" i="15"/>
  <c r="AI148" i="15"/>
  <c r="AC148" i="15"/>
  <c r="AD148" i="15" s="1"/>
  <c r="W148" i="15"/>
  <c r="X148" i="15" s="1"/>
  <c r="Z148" i="15" s="1"/>
  <c r="Y148" i="15" s="1"/>
  <c r="V148" i="15"/>
  <c r="AI147" i="15"/>
  <c r="AC147" i="15"/>
  <c r="AD147" i="15" s="1"/>
  <c r="W147" i="15"/>
  <c r="X147" i="15" s="1"/>
  <c r="V147" i="15"/>
  <c r="AI146" i="15"/>
  <c r="AC146" i="15"/>
  <c r="AD146" i="15" s="1"/>
  <c r="W146" i="15"/>
  <c r="X146" i="15" s="1"/>
  <c r="V146" i="15"/>
  <c r="AI145" i="15"/>
  <c r="W145" i="15"/>
  <c r="AC145" i="15"/>
  <c r="X145" i="15"/>
  <c r="AG145" i="15" s="1"/>
  <c r="V145" i="15"/>
  <c r="AI144" i="15"/>
  <c r="W144" i="15"/>
  <c r="X144" i="15" s="1"/>
  <c r="AC144" i="15"/>
  <c r="V144" i="15"/>
  <c r="AI143" i="15"/>
  <c r="AC143" i="15"/>
  <c r="W143" i="15"/>
  <c r="X143" i="15" s="1"/>
  <c r="V143" i="15"/>
  <c r="AI142" i="15"/>
  <c r="AG142" i="15"/>
  <c r="AD142" i="15"/>
  <c r="AC142" i="15"/>
  <c r="W142" i="15"/>
  <c r="X142" i="15" s="1"/>
  <c r="V142" i="15"/>
  <c r="Z142" i="15" s="1"/>
  <c r="Y142" i="15" s="1"/>
  <c r="AI141" i="15"/>
  <c r="AD141" i="15"/>
  <c r="AC141" i="15"/>
  <c r="W141" i="15"/>
  <c r="X141" i="15" s="1"/>
  <c r="V141" i="15"/>
  <c r="AI140" i="15"/>
  <c r="AC140" i="15"/>
  <c r="W140" i="15"/>
  <c r="X140" i="15" s="1"/>
  <c r="Z140" i="15" s="1"/>
  <c r="Y140" i="15" s="1"/>
  <c r="V140" i="15"/>
  <c r="AD140" i="15" s="1"/>
  <c r="AI139" i="15"/>
  <c r="AD139" i="15"/>
  <c r="AC139" i="15"/>
  <c r="W139" i="15"/>
  <c r="X139" i="15" s="1"/>
  <c r="Z139" i="15" s="1"/>
  <c r="Y139" i="15" s="1"/>
  <c r="V139" i="15"/>
  <c r="AI138" i="15"/>
  <c r="AC138" i="15"/>
  <c r="AD138" i="15" s="1"/>
  <c r="W138" i="15"/>
  <c r="X138" i="15" s="1"/>
  <c r="V138" i="15"/>
  <c r="AI137" i="15"/>
  <c r="AC137" i="15"/>
  <c r="AD137" i="15" s="1"/>
  <c r="X137" i="15"/>
  <c r="AG137" i="15" s="1"/>
  <c r="W137" i="15"/>
  <c r="V137" i="15"/>
  <c r="AI136" i="15"/>
  <c r="AH136" i="15"/>
  <c r="AC136" i="15"/>
  <c r="W136" i="15"/>
  <c r="X136" i="15" s="1"/>
  <c r="AG136" i="15" s="1"/>
  <c r="V136" i="15"/>
  <c r="AD136" i="15" s="1"/>
  <c r="AI135" i="15"/>
  <c r="AH135" i="15"/>
  <c r="AD135" i="15"/>
  <c r="AC135" i="15"/>
  <c r="W135" i="15"/>
  <c r="X135" i="15" s="1"/>
  <c r="AG135" i="15" s="1"/>
  <c r="V135" i="15"/>
  <c r="AI134" i="15"/>
  <c r="AC134" i="15"/>
  <c r="AD134" i="15" s="1"/>
  <c r="W134" i="15"/>
  <c r="X134" i="15" s="1"/>
  <c r="V134" i="15"/>
  <c r="AI133" i="15"/>
  <c r="AC133" i="15"/>
  <c r="AI132" i="15"/>
  <c r="AC132" i="15"/>
  <c r="W132" i="15"/>
  <c r="X132" i="15" s="1"/>
  <c r="V132" i="15"/>
  <c r="AI131" i="15"/>
  <c r="AH131" i="15"/>
  <c r="W131" i="15" s="1"/>
  <c r="AC131" i="15"/>
  <c r="X131" i="15"/>
  <c r="AG131" i="15" s="1"/>
  <c r="V131" i="15"/>
  <c r="AD131" i="15" s="1"/>
  <c r="AI130" i="15"/>
  <c r="AC130" i="15"/>
  <c r="W130" i="15"/>
  <c r="X130" i="15" s="1"/>
  <c r="AG130" i="15" s="1"/>
  <c r="V130" i="15"/>
  <c r="AI129" i="15"/>
  <c r="AD129" i="15"/>
  <c r="AC129" i="15"/>
  <c r="W129" i="15"/>
  <c r="X129" i="15" s="1"/>
  <c r="V129" i="15"/>
  <c r="AI128" i="15"/>
  <c r="AC128" i="15"/>
  <c r="AD128" i="15" s="1"/>
  <c r="W128" i="15"/>
  <c r="X128" i="15" s="1"/>
  <c r="Z128" i="15" s="1"/>
  <c r="Y128" i="15" s="1"/>
  <c r="V128" i="15"/>
  <c r="AI127" i="15"/>
  <c r="AH127" i="15"/>
  <c r="AC127" i="15"/>
  <c r="W127" i="15"/>
  <c r="X127" i="15" s="1"/>
  <c r="AG127" i="15" s="1"/>
  <c r="V127" i="15"/>
  <c r="AI126" i="15"/>
  <c r="AH126" i="15"/>
  <c r="AC126" i="15"/>
  <c r="W126" i="15"/>
  <c r="X126" i="15" s="1"/>
  <c r="AG126" i="15" s="1"/>
  <c r="V126" i="15"/>
  <c r="AI125" i="15"/>
  <c r="AD125" i="15"/>
  <c r="AC125" i="15"/>
  <c r="W125" i="15"/>
  <c r="X125" i="15" s="1"/>
  <c r="V125" i="15"/>
  <c r="AI124" i="15"/>
  <c r="AC124" i="15"/>
  <c r="AD124" i="15" s="1"/>
  <c r="W124" i="15"/>
  <c r="X124" i="15" s="1"/>
  <c r="V124" i="15"/>
  <c r="AI123" i="15"/>
  <c r="AC123" i="15"/>
  <c r="AD123" i="15" s="1"/>
  <c r="W123" i="15"/>
  <c r="X123" i="15" s="1"/>
  <c r="Z123" i="15" s="1"/>
  <c r="Y123" i="15" s="1"/>
  <c r="V123" i="15"/>
  <c r="AI122" i="15"/>
  <c r="AC122" i="15"/>
  <c r="W122" i="15"/>
  <c r="X122" i="15" s="1"/>
  <c r="V122" i="15"/>
  <c r="AI121" i="15"/>
  <c r="AC121" i="15"/>
  <c r="AD121" i="15" s="1"/>
  <c r="W121" i="15"/>
  <c r="X121" i="15" s="1"/>
  <c r="V121" i="15"/>
  <c r="AI120" i="15"/>
  <c r="AH120" i="15"/>
  <c r="W120" i="15" s="1"/>
  <c r="AC120" i="15"/>
  <c r="AD120" i="15" s="1"/>
  <c r="X120" i="15"/>
  <c r="Z120" i="15" s="1"/>
  <c r="Y120" i="15" s="1"/>
  <c r="V120" i="15"/>
  <c r="AI119" i="15"/>
  <c r="AC119" i="15"/>
  <c r="AD119" i="15" s="1"/>
  <c r="W119" i="15"/>
  <c r="X119" i="15" s="1"/>
  <c r="AG119" i="15" s="1"/>
  <c r="V119" i="15"/>
  <c r="AI118" i="15"/>
  <c r="W118" i="15"/>
  <c r="X118" i="15" s="1"/>
  <c r="AC118" i="15"/>
  <c r="V118" i="15"/>
  <c r="AD118" i="15" s="1"/>
  <c r="AI117" i="15"/>
  <c r="AD117" i="15"/>
  <c r="AC117" i="15"/>
  <c r="W117" i="15"/>
  <c r="X117" i="15" s="1"/>
  <c r="AG117" i="15" s="1"/>
  <c r="V117" i="15"/>
  <c r="AI116" i="15"/>
  <c r="AH116" i="15"/>
  <c r="W116" i="15" s="1"/>
  <c r="X116" i="15" s="1"/>
  <c r="AC116" i="15"/>
  <c r="AD116" i="15" s="1"/>
  <c r="Z116" i="15"/>
  <c r="Y116" i="15"/>
  <c r="V116" i="15"/>
  <c r="AI115" i="15"/>
  <c r="AC115" i="15"/>
  <c r="AD115" i="15" s="1"/>
  <c r="W115" i="15"/>
  <c r="X115" i="15" s="1"/>
  <c r="Z115" i="15" s="1"/>
  <c r="Y115" i="15" s="1"/>
  <c r="V115" i="15"/>
  <c r="AI114" i="15"/>
  <c r="AD114" i="15"/>
  <c r="AC114" i="15"/>
  <c r="W114" i="15"/>
  <c r="X114" i="15" s="1"/>
  <c r="V114" i="15"/>
  <c r="AI113" i="15"/>
  <c r="AC113" i="15"/>
  <c r="W113" i="15"/>
  <c r="X113" i="15" s="1"/>
  <c r="V113" i="15"/>
  <c r="AI112" i="15"/>
  <c r="AD112" i="15"/>
  <c r="AC112" i="15"/>
  <c r="W112" i="15"/>
  <c r="X112" i="15" s="1"/>
  <c r="V112" i="15"/>
  <c r="AI111" i="15"/>
  <c r="AC111" i="15"/>
  <c r="W111" i="15"/>
  <c r="X111" i="15" s="1"/>
  <c r="AG111" i="15" s="1"/>
  <c r="V111" i="15"/>
  <c r="AI110" i="15"/>
  <c r="AC110" i="15"/>
  <c r="W110" i="15"/>
  <c r="X110" i="15" s="1"/>
  <c r="V110" i="15"/>
  <c r="AD110" i="15" s="1"/>
  <c r="AI109" i="15"/>
  <c r="AC109" i="15"/>
  <c r="W109" i="15"/>
  <c r="X109" i="15" s="1"/>
  <c r="AG109" i="15" s="1"/>
  <c r="V109" i="15"/>
  <c r="AI108" i="15"/>
  <c r="AD108" i="15"/>
  <c r="AC108" i="15"/>
  <c r="W108" i="15"/>
  <c r="X108" i="15" s="1"/>
  <c r="AG108" i="15" s="1"/>
  <c r="V108" i="15"/>
  <c r="Z108" i="15" s="1"/>
  <c r="Y108" i="15" s="1"/>
  <c r="AI107" i="15"/>
  <c r="AD107" i="15"/>
  <c r="AC107" i="15"/>
  <c r="W107" i="15"/>
  <c r="X107" i="15" s="1"/>
  <c r="V107" i="15"/>
  <c r="AI106" i="15"/>
  <c r="AC106" i="15"/>
  <c r="W106" i="15"/>
  <c r="X106" i="15" s="1"/>
  <c r="AG106" i="15" s="1"/>
  <c r="V106" i="15"/>
  <c r="AI105" i="15"/>
  <c r="AC105" i="15"/>
  <c r="AD105" i="15" s="1"/>
  <c r="W105" i="15"/>
  <c r="X105" i="15" s="1"/>
  <c r="V105" i="15"/>
  <c r="AI104" i="15"/>
  <c r="AD104" i="15"/>
  <c r="AC104" i="15"/>
  <c r="W104" i="15"/>
  <c r="X104" i="15" s="1"/>
  <c r="V104" i="15"/>
  <c r="AI103" i="15"/>
  <c r="AC103" i="15"/>
  <c r="X103" i="15"/>
  <c r="W103" i="15"/>
  <c r="V103" i="15"/>
  <c r="AI102" i="15"/>
  <c r="AC102" i="15"/>
  <c r="AD102" i="15" s="1"/>
  <c r="W102" i="15"/>
  <c r="X102" i="15" s="1"/>
  <c r="V102" i="15"/>
  <c r="AI101" i="15"/>
  <c r="AC101" i="15"/>
  <c r="W101" i="15"/>
  <c r="X101" i="15" s="1"/>
  <c r="V101" i="15"/>
  <c r="AD101" i="15" s="1"/>
  <c r="AI100" i="15"/>
  <c r="AC100" i="15"/>
  <c r="W100" i="15"/>
  <c r="X100" i="15" s="1"/>
  <c r="AG100" i="15" s="1"/>
  <c r="V100" i="15"/>
  <c r="AD100" i="15" s="1"/>
  <c r="AI99" i="15"/>
  <c r="AC99" i="15"/>
  <c r="AD99" i="15" s="1"/>
  <c r="W99" i="15"/>
  <c r="X99" i="15" s="1"/>
  <c r="V99" i="15"/>
  <c r="AI98" i="15"/>
  <c r="AD98" i="15"/>
  <c r="AC98" i="15"/>
  <c r="W98" i="15"/>
  <c r="X98" i="15" s="1"/>
  <c r="AG98" i="15" s="1"/>
  <c r="V98" i="15"/>
  <c r="AI97" i="15"/>
  <c r="AC97" i="15"/>
  <c r="AD97" i="15" s="1"/>
  <c r="W97" i="15"/>
  <c r="X97" i="15" s="1"/>
  <c r="AG97" i="15" s="1"/>
  <c r="V97" i="15"/>
  <c r="AI96" i="15"/>
  <c r="AC96" i="15"/>
  <c r="AD96" i="15" s="1"/>
  <c r="W96" i="15"/>
  <c r="X96" i="15" s="1"/>
  <c r="Z96" i="15" s="1"/>
  <c r="Y96" i="15" s="1"/>
  <c r="V96" i="15"/>
  <c r="AI95" i="15"/>
  <c r="AC95" i="15"/>
  <c r="AD95" i="15" s="1"/>
  <c r="W95" i="15"/>
  <c r="X95" i="15" s="1"/>
  <c r="AG95" i="15" s="1"/>
  <c r="V95" i="15"/>
  <c r="AI94" i="15"/>
  <c r="W94" i="15"/>
  <c r="X94" i="15" s="1"/>
  <c r="AG94" i="15" s="1"/>
  <c r="AC94" i="15"/>
  <c r="V94" i="15"/>
  <c r="AI93" i="15"/>
  <c r="AH93" i="15"/>
  <c r="AC93" i="15"/>
  <c r="AD93" i="15" s="1"/>
  <c r="W93" i="15"/>
  <c r="X93" i="15" s="1"/>
  <c r="Z93" i="15" s="1"/>
  <c r="Y93" i="15" s="1"/>
  <c r="V93" i="15"/>
  <c r="AI92" i="15"/>
  <c r="AD92" i="15"/>
  <c r="AC92" i="15"/>
  <c r="W92" i="15"/>
  <c r="X92" i="15" s="1"/>
  <c r="AG92" i="15" s="1"/>
  <c r="V92" i="15"/>
  <c r="AI91" i="15"/>
  <c r="AC91" i="15"/>
  <c r="W91" i="15"/>
  <c r="X91" i="15" s="1"/>
  <c r="AG91" i="15" s="1"/>
  <c r="V91" i="15"/>
  <c r="AI90" i="15"/>
  <c r="AH90" i="15"/>
  <c r="W90" i="15" s="1"/>
  <c r="X90" i="15" s="1"/>
  <c r="AG90" i="15" s="1"/>
  <c r="AD90" i="15"/>
  <c r="AC90" i="15"/>
  <c r="V90" i="15"/>
  <c r="AI89" i="15"/>
  <c r="AC89" i="15"/>
  <c r="W89" i="15"/>
  <c r="X89" i="15" s="1"/>
  <c r="Z89" i="15" s="1"/>
  <c r="Y89" i="15" s="1"/>
  <c r="V89" i="15"/>
  <c r="AD89" i="15" s="1"/>
  <c r="AI88" i="15"/>
  <c r="AC88" i="15"/>
  <c r="W88" i="15"/>
  <c r="X88" i="15" s="1"/>
  <c r="AG88" i="15" s="1"/>
  <c r="V88" i="15"/>
  <c r="AI87" i="15"/>
  <c r="AD87" i="15"/>
  <c r="AC87" i="15"/>
  <c r="W87" i="15"/>
  <c r="X87" i="15" s="1"/>
  <c r="Z87" i="15" s="1"/>
  <c r="Y87" i="15" s="1"/>
  <c r="V87" i="15"/>
  <c r="AI86" i="15"/>
  <c r="AC86" i="15"/>
  <c r="W86" i="15"/>
  <c r="X86" i="15" s="1"/>
  <c r="V86" i="15"/>
  <c r="AI85" i="15"/>
  <c r="AC85" i="15"/>
  <c r="W85" i="15"/>
  <c r="X85" i="15" s="1"/>
  <c r="AG85" i="15" s="1"/>
  <c r="V85" i="15"/>
  <c r="AD85" i="15" s="1"/>
  <c r="AI84" i="15"/>
  <c r="AC84" i="15"/>
  <c r="W84" i="15"/>
  <c r="X84" i="15" s="1"/>
  <c r="AG84" i="15" s="1"/>
  <c r="V84" i="15"/>
  <c r="AD84" i="15" s="1"/>
  <c r="AI83" i="15"/>
  <c r="AC83" i="15"/>
  <c r="W83" i="15"/>
  <c r="X83" i="15" s="1"/>
  <c r="AG83" i="15" s="1"/>
  <c r="V83" i="15"/>
  <c r="AI82" i="15"/>
  <c r="AC82" i="15"/>
  <c r="W82" i="15"/>
  <c r="X82" i="15" s="1"/>
  <c r="V82" i="15"/>
  <c r="AI81" i="15"/>
  <c r="AD81" i="15"/>
  <c r="AC81" i="15"/>
  <c r="W81" i="15"/>
  <c r="X81" i="15" s="1"/>
  <c r="V81" i="15"/>
  <c r="AI80" i="15"/>
  <c r="AC80" i="15"/>
  <c r="W80" i="15"/>
  <c r="X80" i="15" s="1"/>
  <c r="AG80" i="15" s="1"/>
  <c r="V80" i="15"/>
  <c r="Z80" i="15" s="1"/>
  <c r="Y80" i="15" s="1"/>
  <c r="AI79" i="15"/>
  <c r="AC79" i="15"/>
  <c r="AD79" i="15" s="1"/>
  <c r="W79" i="15"/>
  <c r="X79" i="15" s="1"/>
  <c r="AG79" i="15" s="1"/>
  <c r="V79" i="15"/>
  <c r="AI78" i="15"/>
  <c r="AG78" i="15" s="1"/>
  <c r="AC78" i="15"/>
  <c r="AD78" i="15" s="1"/>
  <c r="W78" i="15"/>
  <c r="X78" i="15" s="1"/>
  <c r="Z78" i="15" s="1"/>
  <c r="Y78" i="15" s="1"/>
  <c r="V78" i="15"/>
  <c r="AI77" i="15"/>
  <c r="AC77" i="15"/>
  <c r="W77" i="15"/>
  <c r="X77" i="15" s="1"/>
  <c r="AG77" i="15" s="1"/>
  <c r="V77" i="15"/>
  <c r="AI76" i="15"/>
  <c r="AC76" i="15"/>
  <c r="W76" i="15"/>
  <c r="X76" i="15" s="1"/>
  <c r="V76" i="15"/>
  <c r="AI75" i="15"/>
  <c r="AC75" i="15"/>
  <c r="W75" i="15"/>
  <c r="X75" i="15" s="1"/>
  <c r="V75" i="15"/>
  <c r="AD75" i="15" s="1"/>
  <c r="AI74" i="15"/>
  <c r="AC74" i="15"/>
  <c r="AD74" i="15" s="1"/>
  <c r="W74" i="15"/>
  <c r="X74" i="15" s="1"/>
  <c r="V74" i="15"/>
  <c r="AI73" i="15"/>
  <c r="AD73" i="15"/>
  <c r="AC73" i="15"/>
  <c r="W73" i="15"/>
  <c r="X73" i="15" s="1"/>
  <c r="Z73" i="15" s="1"/>
  <c r="Y73" i="15" s="1"/>
  <c r="V73" i="15"/>
  <c r="AI72" i="15"/>
  <c r="AD72" i="15"/>
  <c r="AC72" i="15"/>
  <c r="W72" i="15"/>
  <c r="X72" i="15" s="1"/>
  <c r="Z72" i="15" s="1"/>
  <c r="Y72" i="15" s="1"/>
  <c r="V72" i="15"/>
  <c r="AI71" i="15"/>
  <c r="AC71" i="15"/>
  <c r="AD71" i="15" s="1"/>
  <c r="W71" i="15"/>
  <c r="X71" i="15" s="1"/>
  <c r="V71" i="15"/>
  <c r="AI70" i="15"/>
  <c r="AC70" i="15"/>
  <c r="AD70" i="15" s="1"/>
  <c r="W70" i="15"/>
  <c r="X70" i="15" s="1"/>
  <c r="V70" i="15"/>
  <c r="AI69" i="15"/>
  <c r="AC69" i="15"/>
  <c r="W69" i="15"/>
  <c r="X69" i="15" s="1"/>
  <c r="AG69" i="15" s="1"/>
  <c r="V69" i="15"/>
  <c r="AD69" i="15" s="1"/>
  <c r="AI68" i="15"/>
  <c r="AH68" i="15"/>
  <c r="W68" i="15" s="1"/>
  <c r="AC68" i="15"/>
  <c r="X68" i="15"/>
  <c r="AG68" i="15" s="1"/>
  <c r="V68" i="15"/>
  <c r="AD68" i="15" s="1"/>
  <c r="AI67" i="15"/>
  <c r="AD67" i="15"/>
  <c r="AC67" i="15"/>
  <c r="W67" i="15"/>
  <c r="X67" i="15" s="1"/>
  <c r="V67" i="15"/>
  <c r="AI66" i="15"/>
  <c r="AH66" i="15"/>
  <c r="AC66" i="15"/>
  <c r="W66" i="15"/>
  <c r="X66" i="15" s="1"/>
  <c r="AG66" i="15" s="1"/>
  <c r="V66" i="15"/>
  <c r="AD66" i="15" s="1"/>
  <c r="AI65" i="15"/>
  <c r="AH65" i="15"/>
  <c r="W65" i="15" s="1"/>
  <c r="X65" i="15" s="1"/>
  <c r="AC65" i="15"/>
  <c r="AD65" i="15" s="1"/>
  <c r="V65" i="15"/>
  <c r="AI64" i="15"/>
  <c r="AH64" i="15"/>
  <c r="W64" i="15" s="1"/>
  <c r="AD64" i="15"/>
  <c r="AC64" i="15"/>
  <c r="X64" i="15"/>
  <c r="AG64" i="15" s="1"/>
  <c r="V64" i="15"/>
  <c r="AI63" i="15"/>
  <c r="W63" i="15"/>
  <c r="AC63" i="15"/>
  <c r="AD63" i="15" s="1"/>
  <c r="X63" i="15"/>
  <c r="V63" i="15"/>
  <c r="AI62" i="15"/>
  <c r="W62" i="15"/>
  <c r="X62" i="15" s="1"/>
  <c r="AG62" i="15" s="1"/>
  <c r="AC62" i="15"/>
  <c r="V62" i="15"/>
  <c r="AI61" i="15"/>
  <c r="AC61" i="15"/>
  <c r="W61" i="15"/>
  <c r="X61" i="15" s="1"/>
  <c r="AG61" i="15" s="1"/>
  <c r="V61" i="15"/>
  <c r="AI60" i="15"/>
  <c r="AH60" i="15"/>
  <c r="W60" i="15" s="1"/>
  <c r="X60" i="15" s="1"/>
  <c r="AC60" i="15"/>
  <c r="Z60" i="15"/>
  <c r="Y60" i="15" s="1"/>
  <c r="V60" i="15"/>
  <c r="AD60" i="15" s="1"/>
  <c r="AI59" i="15"/>
  <c r="AC59" i="15"/>
  <c r="AD59" i="15" s="1"/>
  <c r="W59" i="15"/>
  <c r="X59" i="15" s="1"/>
  <c r="V59" i="15"/>
  <c r="AI58" i="15"/>
  <c r="AH58" i="15"/>
  <c r="W58" i="15" s="1"/>
  <c r="X58" i="15" s="1"/>
  <c r="AC58" i="15"/>
  <c r="AD58" i="15" s="1"/>
  <c r="V58" i="15"/>
  <c r="AI57" i="15"/>
  <c r="AC57" i="15"/>
  <c r="W57" i="15"/>
  <c r="X57" i="15" s="1"/>
  <c r="AG57" i="15" s="1"/>
  <c r="V57" i="15"/>
  <c r="AD57" i="15" s="1"/>
  <c r="AI56" i="15"/>
  <c r="AH56" i="15"/>
  <c r="W56" i="15" s="1"/>
  <c r="AC56" i="15"/>
  <c r="X56" i="15"/>
  <c r="AG56" i="15" s="1"/>
  <c r="V56" i="15"/>
  <c r="AI55" i="15"/>
  <c r="AH55" i="15"/>
  <c r="W55" i="15" s="1"/>
  <c r="AC55" i="15"/>
  <c r="X55" i="15"/>
  <c r="AG55" i="15" s="1"/>
  <c r="V55" i="15"/>
  <c r="AD55" i="15" s="1"/>
  <c r="AI54" i="15"/>
  <c r="AH54" i="15"/>
  <c r="W54" i="15" s="1"/>
  <c r="X54" i="15" s="1"/>
  <c r="Z54" i="15" s="1"/>
  <c r="Y54" i="15" s="1"/>
  <c r="AG54" i="15"/>
  <c r="AC54" i="15"/>
  <c r="V54" i="15"/>
  <c r="AD54" i="15" s="1"/>
  <c r="AI53" i="15"/>
  <c r="AD53" i="15"/>
  <c r="AC53" i="15"/>
  <c r="W53" i="15"/>
  <c r="X53" i="15" s="1"/>
  <c r="V53" i="15"/>
  <c r="AI52" i="15"/>
  <c r="AD52" i="15"/>
  <c r="AC52" i="15"/>
  <c r="Z52" i="15"/>
  <c r="Y52" i="15"/>
  <c r="X52" i="15"/>
  <c r="AG52" i="15" s="1"/>
  <c r="W52" i="15"/>
  <c r="V52" i="15"/>
  <c r="AI51" i="15"/>
  <c r="AC51" i="15"/>
  <c r="AD51" i="15" s="1"/>
  <c r="W51" i="15"/>
  <c r="X51" i="15" s="1"/>
  <c r="AG51" i="15" s="1"/>
  <c r="V51" i="15"/>
  <c r="AI50" i="15"/>
  <c r="AH50" i="15"/>
  <c r="AD50" i="15"/>
  <c r="AC50" i="15"/>
  <c r="W50" i="15"/>
  <c r="X50" i="15" s="1"/>
  <c r="AG50" i="15" s="1"/>
  <c r="V50" i="15"/>
  <c r="AI49" i="15"/>
  <c r="AH49" i="15"/>
  <c r="AC49" i="15"/>
  <c r="W49" i="15"/>
  <c r="X49" i="15" s="1"/>
  <c r="AG49" i="15" s="1"/>
  <c r="V49" i="15"/>
  <c r="AI48" i="15"/>
  <c r="AD48" i="15"/>
  <c r="AC48" i="15"/>
  <c r="Z48" i="15"/>
  <c r="Y48" i="15" s="1"/>
  <c r="W48" i="15"/>
  <c r="X48" i="15" s="1"/>
  <c r="V48" i="15"/>
  <c r="AI47" i="15"/>
  <c r="AH47" i="15"/>
  <c r="W47" i="15" s="1"/>
  <c r="X47" i="15" s="1"/>
  <c r="AG47" i="15" s="1"/>
  <c r="AC47" i="15"/>
  <c r="V47" i="15"/>
  <c r="AI46" i="15"/>
  <c r="AH46" i="15"/>
  <c r="AD46" i="15"/>
  <c r="AC46" i="15"/>
  <c r="W46" i="15"/>
  <c r="X46" i="15" s="1"/>
  <c r="V46" i="15"/>
  <c r="AI45" i="15"/>
  <c r="W45" i="15"/>
  <c r="X45" i="15" s="1"/>
  <c r="AG45" i="15" s="1"/>
  <c r="AD45" i="15"/>
  <c r="AC45" i="15"/>
  <c r="Z45" i="15"/>
  <c r="Y45" i="15" s="1"/>
  <c r="V45" i="15"/>
  <c r="AI44" i="15"/>
  <c r="AC44" i="15"/>
  <c r="W44" i="15"/>
  <c r="X44" i="15" s="1"/>
  <c r="AG44" i="15" s="1"/>
  <c r="V44" i="15"/>
  <c r="AI43" i="15"/>
  <c r="W43" i="15"/>
  <c r="AC43" i="15"/>
  <c r="AD43" i="15" s="1"/>
  <c r="X43" i="15"/>
  <c r="Z43" i="15" s="1"/>
  <c r="Y43" i="15" s="1"/>
  <c r="V43" i="15"/>
  <c r="AI42" i="15"/>
  <c r="AD42" i="15"/>
  <c r="AC42" i="15"/>
  <c r="W42" i="15"/>
  <c r="X42" i="15" s="1"/>
  <c r="AG42" i="15" s="1"/>
  <c r="V42" i="15"/>
  <c r="AI41" i="15"/>
  <c r="AC41" i="15"/>
  <c r="W41" i="15"/>
  <c r="X41" i="15" s="1"/>
  <c r="AG41" i="15" s="1"/>
  <c r="V41" i="15"/>
  <c r="AI40" i="15"/>
  <c r="AD40" i="15"/>
  <c r="AC40" i="15"/>
  <c r="W40" i="15"/>
  <c r="X40" i="15" s="1"/>
  <c r="V40" i="15"/>
  <c r="AI39" i="15"/>
  <c r="AC39" i="15"/>
  <c r="AD39" i="15" s="1"/>
  <c r="W39" i="15"/>
  <c r="X39" i="15" s="1"/>
  <c r="AG39" i="15" s="1"/>
  <c r="V39" i="15"/>
  <c r="AI38" i="15"/>
  <c r="AC38" i="15"/>
  <c r="AI37" i="15"/>
  <c r="AD37" i="15"/>
  <c r="AC37" i="15"/>
  <c r="W37" i="15"/>
  <c r="X37" i="15" s="1"/>
  <c r="Z37" i="15" s="1"/>
  <c r="Y37" i="15" s="1"/>
  <c r="AI36" i="15"/>
  <c r="AC36" i="15"/>
  <c r="AD36" i="15" s="1"/>
  <c r="W36" i="15"/>
  <c r="X36" i="15" s="1"/>
  <c r="Z36" i="15" s="1"/>
  <c r="Y36" i="15" s="1"/>
  <c r="AI35" i="15"/>
  <c r="AD35" i="15"/>
  <c r="AC35" i="15"/>
  <c r="W35" i="15"/>
  <c r="X35" i="15" s="1"/>
  <c r="AI34" i="15"/>
  <c r="AH34" i="15"/>
  <c r="AC34" i="15"/>
  <c r="AD34" i="15" s="1"/>
  <c r="W34" i="15"/>
  <c r="X34" i="15" s="1"/>
  <c r="AI33" i="15"/>
  <c r="AG33" i="15"/>
  <c r="AC33" i="15"/>
  <c r="AD33" i="15" s="1"/>
  <c r="W33" i="15"/>
  <c r="X33" i="15" s="1"/>
  <c r="Z33" i="15" s="1"/>
  <c r="Y33" i="15" s="1"/>
  <c r="AI32" i="15"/>
  <c r="W32" i="15"/>
  <c r="X32" i="15" s="1"/>
  <c r="Z32" i="15" s="1"/>
  <c r="Y32" i="15" s="1"/>
  <c r="AD32" i="15"/>
  <c r="AC32" i="15"/>
  <c r="AI31" i="15"/>
  <c r="AH31" i="15"/>
  <c r="AC31" i="15"/>
  <c r="AD31" i="15" s="1"/>
  <c r="W31" i="15"/>
  <c r="X31" i="15" s="1"/>
  <c r="AG31" i="15" s="1"/>
  <c r="AI30" i="15"/>
  <c r="AC30" i="15"/>
  <c r="AD30" i="15" s="1"/>
  <c r="W30" i="15"/>
  <c r="X30" i="15" s="1"/>
  <c r="AI29" i="15"/>
  <c r="AC29" i="15"/>
  <c r="AD29" i="15" s="1"/>
  <c r="W29" i="15"/>
  <c r="X29" i="15" s="1"/>
  <c r="Z29" i="15" s="1"/>
  <c r="Y29" i="15" s="1"/>
  <c r="AI28" i="15"/>
  <c r="AG28" i="15"/>
  <c r="AC28" i="15"/>
  <c r="AD28" i="15" s="1"/>
  <c r="W28" i="15"/>
  <c r="X28" i="15" s="1"/>
  <c r="Z28" i="15" s="1"/>
  <c r="Y28" i="15" s="1"/>
  <c r="AI27" i="15"/>
  <c r="AC27" i="15"/>
  <c r="AD27" i="15" s="1"/>
  <c r="W27" i="15"/>
  <c r="X27" i="15" s="1"/>
  <c r="AI26" i="15"/>
  <c r="AD26" i="15"/>
  <c r="AC26" i="15"/>
  <c r="W26" i="15"/>
  <c r="X26" i="15" s="1"/>
  <c r="AG26" i="15" s="1"/>
  <c r="AI25" i="15"/>
  <c r="AC25" i="15"/>
  <c r="AD25" i="15" s="1"/>
  <c r="W25" i="15"/>
  <c r="X25" i="15" s="1"/>
  <c r="AI24" i="15"/>
  <c r="AD24" i="15"/>
  <c r="AC24" i="15"/>
  <c r="W24" i="15"/>
  <c r="X24" i="15" s="1"/>
  <c r="AI23" i="15"/>
  <c r="AC23" i="15"/>
  <c r="AD23" i="15" s="1"/>
  <c r="W23" i="15"/>
  <c r="X23" i="15" s="1"/>
  <c r="AI22" i="15"/>
  <c r="AC22" i="15"/>
  <c r="AD22" i="15" s="1"/>
  <c r="W22" i="15"/>
  <c r="X22" i="15" s="1"/>
  <c r="AI21" i="15"/>
  <c r="AC21" i="15"/>
  <c r="AD21" i="15" s="1"/>
  <c r="W21" i="15"/>
  <c r="X21" i="15" s="1"/>
  <c r="AI20" i="15"/>
  <c r="AH20" i="15"/>
  <c r="AD20" i="15"/>
  <c r="AC20" i="15"/>
  <c r="W20" i="15"/>
  <c r="X20" i="15" s="1"/>
  <c r="AI19" i="15"/>
  <c r="AH19" i="15"/>
  <c r="AC19" i="15"/>
  <c r="AD19" i="15" s="1"/>
  <c r="W19" i="15"/>
  <c r="X19" i="15" s="1"/>
  <c r="Z19" i="15" s="1"/>
  <c r="Y19" i="15" s="1"/>
  <c r="AI18" i="15"/>
  <c r="AH18" i="15"/>
  <c r="W18" i="15" s="1"/>
  <c r="X18" i="15" s="1"/>
  <c r="AD18" i="15"/>
  <c r="AC18" i="15"/>
  <c r="Z18" i="15"/>
  <c r="Y18" i="15"/>
  <c r="AI17" i="15"/>
  <c r="AC17" i="15"/>
  <c r="AD17" i="15" s="1"/>
  <c r="W17" i="15"/>
  <c r="X17" i="15" s="1"/>
  <c r="AG17" i="15" s="1"/>
  <c r="AI16" i="15"/>
  <c r="AH16" i="15"/>
  <c r="AC16" i="15"/>
  <c r="AD16" i="15" s="1"/>
  <c r="W16" i="15"/>
  <c r="X16" i="15" s="1"/>
  <c r="AI15" i="15"/>
  <c r="W15" i="15"/>
  <c r="X15" i="15" s="1"/>
  <c r="AG15" i="15" s="1"/>
  <c r="AC15" i="15"/>
  <c r="AD15" i="15" s="1"/>
  <c r="Z15" i="15"/>
  <c r="Y15" i="15" s="1"/>
  <c r="AI14" i="15"/>
  <c r="AH14" i="15"/>
  <c r="AD14" i="15"/>
  <c r="AC14" i="15"/>
  <c r="W14" i="15"/>
  <c r="X14" i="15" s="1"/>
  <c r="AG14" i="15" s="1"/>
  <c r="AI13" i="15"/>
  <c r="AH13" i="15"/>
  <c r="AC13" i="15"/>
  <c r="AD13" i="15" s="1"/>
  <c r="W13" i="15"/>
  <c r="X13" i="15" s="1"/>
  <c r="AI12" i="15"/>
  <c r="AC12" i="15"/>
  <c r="AD12" i="15" s="1"/>
  <c r="W12" i="15"/>
  <c r="X12" i="15" s="1"/>
  <c r="AG12" i="15" s="1"/>
  <c r="AI11" i="15"/>
  <c r="AC11" i="15"/>
  <c r="AD11" i="15" s="1"/>
  <c r="W11" i="15"/>
  <c r="X11" i="15" s="1"/>
  <c r="AG11" i="15" s="1"/>
  <c r="AI10" i="15"/>
  <c r="AD10" i="15"/>
  <c r="AC10" i="15"/>
  <c r="W10" i="15"/>
  <c r="X10" i="15" s="1"/>
  <c r="AG10" i="15" s="1"/>
  <c r="AC9" i="15"/>
  <c r="Z509" i="16" l="1"/>
  <c r="Z515" i="16"/>
  <c r="Z309" i="16"/>
  <c r="AM548" i="16"/>
  <c r="Z505" i="16"/>
  <c r="Z167" i="16"/>
  <c r="Z372" i="16"/>
  <c r="Z161" i="16"/>
  <c r="Z550" i="16"/>
  <c r="Z85" i="16"/>
  <c r="AA549" i="16"/>
  <c r="Z375" i="16"/>
  <c r="Z152" i="16"/>
  <c r="Z229" i="16"/>
  <c r="Z277" i="16"/>
  <c r="Z543" i="16"/>
  <c r="Z210" i="16"/>
  <c r="Z211" i="16"/>
  <c r="Z327" i="16"/>
  <c r="Z322" i="16"/>
  <c r="Z533" i="16"/>
  <c r="Z456" i="16"/>
  <c r="Z87" i="16"/>
  <c r="Z370" i="16"/>
  <c r="Z181" i="16"/>
  <c r="Z331" i="16"/>
  <c r="Z302" i="16"/>
  <c r="Z330" i="16"/>
  <c r="Z523" i="16"/>
  <c r="Z441" i="16"/>
  <c r="Z164" i="16"/>
  <c r="Z371" i="16"/>
  <c r="Z489" i="16"/>
  <c r="Z297" i="16"/>
  <c r="Z244" i="16"/>
  <c r="Z254" i="16"/>
  <c r="Z300" i="16"/>
  <c r="Z461" i="16"/>
  <c r="Z481" i="16"/>
  <c r="Z540" i="16"/>
  <c r="Z45" i="16"/>
  <c r="Z284" i="16"/>
  <c r="Z443" i="16"/>
  <c r="Z251" i="16"/>
  <c r="Z114" i="16"/>
  <c r="Z166" i="16"/>
  <c r="Z239" i="16"/>
  <c r="Z448" i="16"/>
  <c r="Z352" i="16"/>
  <c r="Z492" i="16"/>
  <c r="Z276" i="16"/>
  <c r="Z315" i="16"/>
  <c r="Z44" i="16"/>
  <c r="Z105" i="16"/>
  <c r="Z318" i="16"/>
  <c r="Z472" i="16"/>
  <c r="Z507" i="16"/>
  <c r="Z246" i="16"/>
  <c r="Z544" i="16"/>
  <c r="Z54" i="16"/>
  <c r="Z95" i="16"/>
  <c r="Z163" i="16"/>
  <c r="Z382" i="16"/>
  <c r="Z498" i="16"/>
  <c r="Z130" i="16"/>
  <c r="Z255" i="16"/>
  <c r="Z303" i="16"/>
  <c r="Z497" i="16"/>
  <c r="Z326" i="16"/>
  <c r="Z291" i="16"/>
  <c r="Z334" i="16"/>
  <c r="Z513" i="16"/>
  <c r="Z547" i="16"/>
  <c r="Z93" i="16"/>
  <c r="Z381" i="16"/>
  <c r="Z120" i="16"/>
  <c r="Z235" i="16"/>
  <c r="Z400" i="16"/>
  <c r="Z486" i="16"/>
  <c r="Z47" i="16"/>
  <c r="Z157" i="16"/>
  <c r="Z92" i="16"/>
  <c r="Z228" i="16"/>
  <c r="Z280" i="16"/>
  <c r="Z343" i="16"/>
  <c r="Z391" i="16"/>
  <c r="Z501" i="16"/>
  <c r="Z532" i="16"/>
  <c r="Z273" i="16"/>
  <c r="Z234" i="16"/>
  <c r="AA556" i="16"/>
  <c r="Z154" i="16"/>
  <c r="Z226" i="16"/>
  <c r="Z455" i="16"/>
  <c r="Z65" i="16"/>
  <c r="Z51" i="16"/>
  <c r="Z203" i="16"/>
  <c r="Z307" i="16"/>
  <c r="Z335" i="16"/>
  <c r="Z379" i="16"/>
  <c r="Z473" i="16"/>
  <c r="Z506" i="16"/>
  <c r="Z466" i="16"/>
  <c r="Z534" i="16"/>
  <c r="Z320" i="16"/>
  <c r="Z383" i="16"/>
  <c r="Z245" i="16"/>
  <c r="Z121" i="16"/>
  <c r="Z118" i="16"/>
  <c r="Z89" i="16"/>
  <c r="Z196" i="16"/>
  <c r="Z61" i="16"/>
  <c r="Z304" i="16"/>
  <c r="Z387" i="16"/>
  <c r="Z368" i="16"/>
  <c r="Z214" i="16"/>
  <c r="Z290" i="16"/>
  <c r="Z69" i="16"/>
  <c r="Z206" i="16"/>
  <c r="Z230" i="16"/>
  <c r="Z49" i="16"/>
  <c r="Z158" i="16"/>
  <c r="Z388" i="16"/>
  <c r="Z402" i="16"/>
  <c r="Z477" i="16"/>
  <c r="Z81" i="16"/>
  <c r="Z272" i="16"/>
  <c r="Z527" i="16"/>
  <c r="Z346" i="16"/>
  <c r="Z172" i="16"/>
  <c r="Z459" i="16"/>
  <c r="Z517" i="16"/>
  <c r="Z46" i="16"/>
  <c r="Z317" i="16"/>
  <c r="Z369" i="16"/>
  <c r="Z119" i="16"/>
  <c r="Z56" i="16"/>
  <c r="Z520" i="16"/>
  <c r="Z107" i="16"/>
  <c r="Z266" i="16"/>
  <c r="Z413" i="16"/>
  <c r="Z503" i="16"/>
  <c r="Z311" i="16"/>
  <c r="Z538" i="16"/>
  <c r="Z178" i="16"/>
  <c r="Z13" i="16"/>
  <c r="Z98" i="16"/>
  <c r="Z123" i="16"/>
  <c r="Z205" i="16"/>
  <c r="Z310" i="16"/>
  <c r="Z68" i="16"/>
  <c r="Z279" i="16"/>
  <c r="Z528" i="16"/>
  <c r="Z116" i="16"/>
  <c r="Z128" i="16"/>
  <c r="Z108" i="16"/>
  <c r="Z195" i="16"/>
  <c r="Z232" i="16"/>
  <c r="Z468" i="16"/>
  <c r="Z512" i="16"/>
  <c r="Z542" i="16"/>
  <c r="Z380" i="16"/>
  <c r="Z548" i="16"/>
  <c r="Z269" i="16"/>
  <c r="Z306" i="16"/>
  <c r="Z376" i="16"/>
  <c r="Z465" i="16"/>
  <c r="Z103" i="16"/>
  <c r="Z256" i="16"/>
  <c r="Z227" i="16"/>
  <c r="Z151" i="16"/>
  <c r="Z288" i="16"/>
  <c r="Z292" i="16"/>
  <c r="Z287" i="16"/>
  <c r="Z314" i="16"/>
  <c r="Z342" i="16"/>
  <c r="Z394" i="16"/>
  <c r="Z502" i="16"/>
  <c r="Z122" i="16"/>
  <c r="Z393" i="16"/>
  <c r="Z452" i="16"/>
  <c r="Z71" i="16"/>
  <c r="Z392" i="16"/>
  <c r="Z463" i="16"/>
  <c r="Z125" i="16"/>
  <c r="Z323" i="16"/>
  <c r="Z351" i="16"/>
  <c r="Z521" i="16"/>
  <c r="Z258" i="16"/>
  <c r="Z264" i="16"/>
  <c r="Z384" i="16"/>
  <c r="Z217" i="16"/>
  <c r="Z109" i="16"/>
  <c r="Z367" i="16"/>
  <c r="Z94" i="16"/>
  <c r="Z233" i="16"/>
  <c r="Z285" i="16"/>
  <c r="Z208" i="16"/>
  <c r="Z305" i="16"/>
  <c r="Z474" i="16"/>
  <c r="Z70" i="16"/>
  <c r="Z408" i="16"/>
  <c r="Z541" i="16"/>
  <c r="Z11" i="16"/>
  <c r="Z198" i="16"/>
  <c r="Z386" i="16"/>
  <c r="Z278" i="16"/>
  <c r="Z373" i="16"/>
  <c r="Z337" i="16"/>
  <c r="Z201" i="16"/>
  <c r="Z48" i="16"/>
  <c r="Z197" i="16"/>
  <c r="Z149" i="16"/>
  <c r="Z66" i="16"/>
  <c r="Z385" i="16"/>
  <c r="Z365" i="16"/>
  <c r="Z339" i="16"/>
  <c r="Z265" i="16"/>
  <c r="Z484" i="16"/>
  <c r="Z133" i="16"/>
  <c r="Z347" i="16"/>
  <c r="Z460" i="16"/>
  <c r="Z410" i="16"/>
  <c r="Z60" i="16"/>
  <c r="Z485" i="16"/>
  <c r="Z299" i="16"/>
  <c r="Z479" i="16"/>
  <c r="Z438" i="16"/>
  <c r="Z111" i="16"/>
  <c r="Z401" i="16"/>
  <c r="Z487" i="16"/>
  <c r="Z289" i="16"/>
  <c r="Z62" i="16"/>
  <c r="Z329" i="16"/>
  <c r="Z390" i="16"/>
  <c r="Z50" i="16"/>
  <c r="Z321" i="16"/>
  <c r="Z377" i="16"/>
  <c r="X415" i="16"/>
  <c r="Z156" i="16"/>
  <c r="Z453" i="16"/>
  <c r="Z333" i="16"/>
  <c r="Z483" i="16"/>
  <c r="Z74" i="16"/>
  <c r="Z175" i="16"/>
  <c r="Z236" i="16"/>
  <c r="Z183" i="16"/>
  <c r="Z90" i="16"/>
  <c r="Z106" i="16"/>
  <c r="Z451" i="16"/>
  <c r="Z113" i="16"/>
  <c r="Z76" i="16"/>
  <c r="Z165" i="16"/>
  <c r="Z79" i="16"/>
  <c r="Z180" i="16"/>
  <c r="Z243" i="16"/>
  <c r="Z437" i="16"/>
  <c r="Z174" i="16"/>
  <c r="Z59" i="16"/>
  <c r="Z539" i="16"/>
  <c r="Z253" i="16"/>
  <c r="Z283" i="16"/>
  <c r="Z338" i="16"/>
  <c r="Z476" i="16"/>
  <c r="Z200" i="16"/>
  <c r="Z442" i="16"/>
  <c r="Z146" i="16"/>
  <c r="Z202" i="16"/>
  <c r="Z447" i="16"/>
  <c r="Z535" i="16"/>
  <c r="Z97" i="16"/>
  <c r="Z444" i="16"/>
  <c r="Z117" i="16"/>
  <c r="Z268" i="16"/>
  <c r="Z319" i="16"/>
  <c r="Z409" i="16"/>
  <c r="Z494" i="16"/>
  <c r="Z350" i="16"/>
  <c r="Z436" i="16"/>
  <c r="Z518" i="16"/>
  <c r="Z247" i="16"/>
  <c r="Z204" i="16"/>
  <c r="Z491" i="16"/>
  <c r="Y553" i="16"/>
  <c r="AH553" i="16" s="1"/>
  <c r="Z240" i="16"/>
  <c r="Z446" i="16"/>
  <c r="Z526" i="16"/>
  <c r="Z72" i="16"/>
  <c r="Z83" i="16"/>
  <c r="Z53" i="16"/>
  <c r="Z52" i="16"/>
  <c r="Z43" i="16"/>
  <c r="Z145" i="16"/>
  <c r="Z325" i="16"/>
  <c r="Z471" i="16"/>
  <c r="Z170" i="16"/>
  <c r="Z86" i="16"/>
  <c r="Z231" i="16"/>
  <c r="Z336" i="16"/>
  <c r="Z450" i="16"/>
  <c r="Z20" i="16"/>
  <c r="Z99" i="16"/>
  <c r="Z449" i="16"/>
  <c r="Z131" i="16"/>
  <c r="Z248" i="16"/>
  <c r="Z274" i="16"/>
  <c r="Z345" i="16"/>
  <c r="Z493" i="16"/>
  <c r="Z553" i="16"/>
  <c r="Z55" i="16"/>
  <c r="AA34" i="16"/>
  <c r="AH25" i="16"/>
  <c r="AH156" i="16"/>
  <c r="AA508" i="16"/>
  <c r="AA529" i="16"/>
  <c r="AA249" i="16"/>
  <c r="AH21" i="16"/>
  <c r="AA193" i="16"/>
  <c r="AH18" i="16"/>
  <c r="AA434" i="16"/>
  <c r="AA171" i="16"/>
  <c r="AA263" i="16"/>
  <c r="AH249" i="16"/>
  <c r="AA25" i="16"/>
  <c r="Z194" i="16"/>
  <c r="AH250" i="16"/>
  <c r="AA504" i="16"/>
  <c r="AH155" i="16"/>
  <c r="AA250" i="16"/>
  <c r="AA155" i="16"/>
  <c r="AA362" i="16"/>
  <c r="AA223" i="16"/>
  <c r="AH34" i="16"/>
  <c r="AA18" i="16"/>
  <c r="AA21" i="16"/>
  <c r="AH19" i="16"/>
  <c r="AA470" i="16"/>
  <c r="AA40" i="16"/>
  <c r="AH171" i="16"/>
  <c r="AH470" i="16"/>
  <c r="AA19" i="16"/>
  <c r="AH48" i="16"/>
  <c r="W8" i="16"/>
  <c r="W7" i="16" s="1"/>
  <c r="AA415" i="16"/>
  <c r="AG288" i="15"/>
  <c r="AG276" i="15"/>
  <c r="AG244" i="15"/>
  <c r="AG267" i="15"/>
  <c r="AG286" i="15"/>
  <c r="AG292" i="15"/>
  <c r="AG308" i="15"/>
  <c r="AG297" i="15"/>
  <c r="AG293" i="15"/>
  <c r="Z147" i="15"/>
  <c r="Y147" i="15" s="1"/>
  <c r="Z117" i="15"/>
  <c r="Y117" i="15" s="1"/>
  <c r="Z11" i="15"/>
  <c r="Y11" i="15" s="1"/>
  <c r="AG134" i="15"/>
  <c r="Z134" i="15"/>
  <c r="Y134" i="15" s="1"/>
  <c r="AG211" i="15"/>
  <c r="Z211" i="15"/>
  <c r="Y211" i="15" s="1"/>
  <c r="Z35" i="15"/>
  <c r="Y35" i="15" s="1"/>
  <c r="AG35" i="15"/>
  <c r="Z347" i="15"/>
  <c r="Y347" i="15" s="1"/>
  <c r="AG347" i="15"/>
  <c r="Z419" i="15"/>
  <c r="Y419" i="15" s="1"/>
  <c r="AG419" i="15"/>
  <c r="AG156" i="15"/>
  <c r="Z156" i="15"/>
  <c r="Y156" i="15" s="1"/>
  <c r="AG457" i="15"/>
  <c r="Z457" i="15"/>
  <c r="Y457" i="15" s="1"/>
  <c r="AG310" i="15"/>
  <c r="Z310" i="15"/>
  <c r="Y310" i="15" s="1"/>
  <c r="Z367" i="15"/>
  <c r="Y367" i="15" s="1"/>
  <c r="AG367" i="15"/>
  <c r="Z452" i="15"/>
  <c r="Y452" i="15" s="1"/>
  <c r="AG452" i="15"/>
  <c r="AG193" i="15"/>
  <c r="Z193" i="15"/>
  <c r="Y193" i="15" s="1"/>
  <c r="AG425" i="15"/>
  <c r="Z425" i="15"/>
  <c r="Y425" i="15" s="1"/>
  <c r="Z222" i="15"/>
  <c r="Y222" i="15" s="1"/>
  <c r="AG222" i="15"/>
  <c r="Z480" i="15"/>
  <c r="Y480" i="15" s="1"/>
  <c r="AG480" i="15"/>
  <c r="AG105" i="15"/>
  <c r="Z105" i="15"/>
  <c r="Y105" i="15" s="1"/>
  <c r="AG115" i="15"/>
  <c r="Z277" i="15"/>
  <c r="Y277" i="15" s="1"/>
  <c r="AG477" i="15"/>
  <c r="Z477" i="15"/>
  <c r="Y477" i="15" s="1"/>
  <c r="Z160" i="15"/>
  <c r="Y160" i="15" s="1"/>
  <c r="AG227" i="15"/>
  <c r="Z254" i="15"/>
  <c r="Y254" i="15" s="1"/>
  <c r="AG254" i="15"/>
  <c r="AG283" i="15"/>
  <c r="AG204" i="15"/>
  <c r="AG99" i="15"/>
  <c r="Z99" i="15"/>
  <c r="Y99" i="15" s="1"/>
  <c r="AG307" i="15"/>
  <c r="Z307" i="15"/>
  <c r="Y307" i="15" s="1"/>
  <c r="AG319" i="15"/>
  <c r="Z366" i="15"/>
  <c r="Y366" i="15" s="1"/>
  <c r="AG448" i="15"/>
  <c r="Z448" i="15"/>
  <c r="Y448" i="15" s="1"/>
  <c r="Y447" i="15" s="1"/>
  <c r="W447" i="15" s="1"/>
  <c r="AG321" i="15"/>
  <c r="Z321" i="15"/>
  <c r="Y321" i="15" s="1"/>
  <c r="AG65" i="15"/>
  <c r="AG351" i="15"/>
  <c r="Z436" i="15"/>
  <c r="Y436" i="15" s="1"/>
  <c r="AG449" i="15"/>
  <c r="Z449" i="15"/>
  <c r="Y449" i="15" s="1"/>
  <c r="AG167" i="15"/>
  <c r="Z167" i="15"/>
  <c r="Y167" i="15" s="1"/>
  <c r="Z152" i="15"/>
  <c r="Y152" i="15" s="1"/>
  <c r="AG368" i="15"/>
  <c r="Z368" i="15"/>
  <c r="Y368" i="15" s="1"/>
  <c r="AG82" i="15"/>
  <c r="Z82" i="15"/>
  <c r="Y82" i="15" s="1"/>
  <c r="Z473" i="15"/>
  <c r="AG268" i="15"/>
  <c r="AG341" i="15"/>
  <c r="AG487" i="15"/>
  <c r="Z487" i="15"/>
  <c r="Y487" i="15" s="1"/>
  <c r="Z98" i="15"/>
  <c r="Y98" i="15" s="1"/>
  <c r="AG494" i="15"/>
  <c r="Z494" i="15"/>
  <c r="AL494" i="15" s="1"/>
  <c r="AG275" i="15"/>
  <c r="Z275" i="15"/>
  <c r="Y275" i="15" s="1"/>
  <c r="Z467" i="15"/>
  <c r="Y467" i="15" s="1"/>
  <c r="Z51" i="15"/>
  <c r="Y51" i="15" s="1"/>
  <c r="AG408" i="15"/>
  <c r="Z415" i="15"/>
  <c r="Y415" i="15" s="1"/>
  <c r="AG415" i="15"/>
  <c r="AG325" i="15"/>
  <c r="Z338" i="15"/>
  <c r="Y338" i="15" s="1"/>
  <c r="AG499" i="15"/>
  <c r="Z499" i="15"/>
  <c r="Z498" i="15" s="1"/>
  <c r="X498" i="15" s="1"/>
  <c r="AG498" i="15" s="1"/>
  <c r="Z357" i="15"/>
  <c r="Y357" i="15" s="1"/>
  <c r="AG112" i="15"/>
  <c r="Z112" i="15"/>
  <c r="Y112" i="15" s="1"/>
  <c r="AG188" i="15"/>
  <c r="Z262" i="15"/>
  <c r="Y262" i="15" s="1"/>
  <c r="AG67" i="15"/>
  <c r="Z67" i="15"/>
  <c r="Y67" i="15" s="1"/>
  <c r="AG311" i="15"/>
  <c r="Z311" i="15"/>
  <c r="Y311" i="15" s="1"/>
  <c r="AG123" i="15"/>
  <c r="Z293" i="15"/>
  <c r="Y293" i="15" s="1"/>
  <c r="AG246" i="15"/>
  <c r="AG279" i="15"/>
  <c r="AG462" i="15"/>
  <c r="AG48" i="15"/>
  <c r="AG252" i="15"/>
  <c r="Z463" i="15"/>
  <c r="Y463" i="15" s="1"/>
  <c r="AG333" i="15"/>
  <c r="AG481" i="15"/>
  <c r="Z171" i="15"/>
  <c r="Y171" i="15" s="1"/>
  <c r="Z437" i="15"/>
  <c r="Y437" i="15" s="1"/>
  <c r="AG469" i="15"/>
  <c r="AG76" i="15"/>
  <c r="AG284" i="15"/>
  <c r="Z95" i="15"/>
  <c r="Y95" i="15" s="1"/>
  <c r="Z122" i="15"/>
  <c r="Y122" i="15" s="1"/>
  <c r="AG317" i="15"/>
  <c r="AG18" i="15"/>
  <c r="AG253" i="15"/>
  <c r="AG306" i="15"/>
  <c r="AG148" i="15"/>
  <c r="Z153" i="15"/>
  <c r="Y153" i="15" s="1"/>
  <c r="Z270" i="15"/>
  <c r="Y270" i="15" s="1"/>
  <c r="Z433" i="15"/>
  <c r="Y433" i="15" s="1"/>
  <c r="AG19" i="15"/>
  <c r="AG72" i="15"/>
  <c r="AG86" i="15"/>
  <c r="Z285" i="15"/>
  <c r="Y285" i="15" s="1"/>
  <c r="AG207" i="15"/>
  <c r="AG218" i="15"/>
  <c r="AG230" i="15"/>
  <c r="AG344" i="15"/>
  <c r="AG385" i="15"/>
  <c r="Z460" i="15"/>
  <c r="Y460" i="15" s="1"/>
  <c r="Z434" i="15"/>
  <c r="Y434" i="15" s="1"/>
  <c r="Z178" i="15"/>
  <c r="Y178" i="15" s="1"/>
  <c r="Z137" i="15"/>
  <c r="Y137" i="15" s="1"/>
  <c r="AG240" i="15"/>
  <c r="Z318" i="15"/>
  <c r="Y318" i="15" s="1"/>
  <c r="AG359" i="15"/>
  <c r="Z42" i="15"/>
  <c r="Y42" i="15" s="1"/>
  <c r="Z68" i="15"/>
  <c r="Y68" i="15" s="1"/>
  <c r="AG140" i="15"/>
  <c r="AG182" i="15"/>
  <c r="AG323" i="15"/>
  <c r="AG340" i="15"/>
  <c r="AG32" i="15"/>
  <c r="AG73" i="15"/>
  <c r="AG96" i="15"/>
  <c r="AG445" i="15"/>
  <c r="AG255" i="15"/>
  <c r="AG304" i="15"/>
  <c r="Z304" i="15"/>
  <c r="Y304" i="15" s="1"/>
  <c r="AG431" i="15"/>
  <c r="Z431" i="15"/>
  <c r="Y431" i="15" s="1"/>
  <c r="Z30" i="15"/>
  <c r="Y30" i="15" s="1"/>
  <c r="AG30" i="15"/>
  <c r="Z427" i="15"/>
  <c r="Y427" i="15" s="1"/>
  <c r="AG427" i="15"/>
  <c r="Z34" i="15"/>
  <c r="Y34" i="15" s="1"/>
  <c r="AG34" i="15"/>
  <c r="AG25" i="15"/>
  <c r="Z25" i="15"/>
  <c r="Y25" i="15" s="1"/>
  <c r="Z236" i="15"/>
  <c r="Y236" i="15" s="1"/>
  <c r="AG236" i="15"/>
  <c r="AG58" i="15"/>
  <c r="Z58" i="15"/>
  <c r="Y58" i="15" s="1"/>
  <c r="Z455" i="15"/>
  <c r="Y455" i="15" s="1"/>
  <c r="AG455" i="15"/>
  <c r="Z354" i="15"/>
  <c r="Y354" i="15" s="1"/>
  <c r="AG354" i="15"/>
  <c r="AG141" i="15"/>
  <c r="Z141" i="15"/>
  <c r="Y141" i="15" s="1"/>
  <c r="AG313" i="15"/>
  <c r="Z313" i="15"/>
  <c r="Y313" i="15" s="1"/>
  <c r="AG101" i="15"/>
  <c r="Z101" i="15"/>
  <c r="Y101" i="15" s="1"/>
  <c r="AG146" i="15"/>
  <c r="Z146" i="15"/>
  <c r="Y146" i="15" s="1"/>
  <c r="AG280" i="15"/>
  <c r="Z280" i="15"/>
  <c r="Y280" i="15" s="1"/>
  <c r="Z21" i="15"/>
  <c r="Y21" i="15" s="1"/>
  <c r="AG21" i="15"/>
  <c r="V237" i="15"/>
  <c r="Z247" i="15"/>
  <c r="Y247" i="15" s="1"/>
  <c r="AG247" i="15"/>
  <c r="AD80" i="15"/>
  <c r="AG170" i="15"/>
  <c r="Z170" i="15"/>
  <c r="Y170" i="15" s="1"/>
  <c r="AG203" i="15"/>
  <c r="Z231" i="15"/>
  <c r="Y231" i="15" s="1"/>
  <c r="AG231" i="15"/>
  <c r="AG422" i="15"/>
  <c r="Z422" i="15"/>
  <c r="Y422" i="15" s="1"/>
  <c r="AG59" i="15"/>
  <c r="Z59" i="15"/>
  <c r="Y59" i="15" s="1"/>
  <c r="Z180" i="15"/>
  <c r="Y180" i="15" s="1"/>
  <c r="AD180" i="15"/>
  <c r="Z242" i="15"/>
  <c r="Y242" i="15" s="1"/>
  <c r="AG259" i="15"/>
  <c r="Z259" i="15"/>
  <c r="Y259" i="15" s="1"/>
  <c r="AG411" i="15"/>
  <c r="Z411" i="15"/>
  <c r="Y411" i="15" s="1"/>
  <c r="AG40" i="15"/>
  <c r="Z40" i="15"/>
  <c r="Y40" i="15" s="1"/>
  <c r="Z55" i="15"/>
  <c r="Y55" i="15" s="1"/>
  <c r="AG81" i="15"/>
  <c r="Z81" i="15"/>
  <c r="Y81" i="15" s="1"/>
  <c r="AD127" i="15"/>
  <c r="Z127" i="15"/>
  <c r="Y127" i="15" s="1"/>
  <c r="AG443" i="15"/>
  <c r="Z443" i="15"/>
  <c r="Y443" i="15" s="1"/>
  <c r="AG20" i="15"/>
  <c r="Z20" i="15"/>
  <c r="Y20" i="15" s="1"/>
  <c r="AG118" i="15"/>
  <c r="Z118" i="15"/>
  <c r="Y118" i="15" s="1"/>
  <c r="Z161" i="15"/>
  <c r="Y161" i="15" s="1"/>
  <c r="AG161" i="15"/>
  <c r="Z326" i="15"/>
  <c r="Y326" i="15" s="1"/>
  <c r="AG326" i="15"/>
  <c r="Z332" i="15"/>
  <c r="Y332" i="15" s="1"/>
  <c r="AG337" i="15"/>
  <c r="Z337" i="15"/>
  <c r="Y337" i="15" s="1"/>
  <c r="AG114" i="15"/>
  <c r="Z114" i="15"/>
  <c r="Y114" i="15" s="1"/>
  <c r="Z144" i="15"/>
  <c r="Y144" i="15" s="1"/>
  <c r="AG144" i="15"/>
  <c r="Z381" i="15"/>
  <c r="Y381" i="15" s="1"/>
  <c r="AG381" i="15"/>
  <c r="Z149" i="15"/>
  <c r="Y149" i="15" s="1"/>
  <c r="AD149" i="15"/>
  <c r="AD157" i="15"/>
  <c r="Z157" i="15"/>
  <c r="Y157" i="15" s="1"/>
  <c r="AG175" i="15"/>
  <c r="AG210" i="15"/>
  <c r="Z210" i="15"/>
  <c r="Y210" i="15" s="1"/>
  <c r="Z444" i="15"/>
  <c r="Y444" i="15" s="1"/>
  <c r="AG444" i="15"/>
  <c r="AG16" i="15"/>
  <c r="Z16" i="15"/>
  <c r="Y16" i="15" s="1"/>
  <c r="Z102" i="15"/>
  <c r="Y102" i="15" s="1"/>
  <c r="AG102" i="15"/>
  <c r="Z181" i="15"/>
  <c r="Y181" i="15" s="1"/>
  <c r="AG181" i="15"/>
  <c r="W226" i="15"/>
  <c r="X226" i="15" s="1"/>
  <c r="AH228" i="15"/>
  <c r="W228" i="15" s="1"/>
  <c r="X228" i="15" s="1"/>
  <c r="Z63" i="15"/>
  <c r="Y63" i="15" s="1"/>
  <c r="AG63" i="15"/>
  <c r="AG350" i="15"/>
  <c r="Z91" i="15"/>
  <c r="Y91" i="15" s="1"/>
  <c r="Z224" i="15"/>
  <c r="Y224" i="15" s="1"/>
  <c r="AG224" i="15"/>
  <c r="Z84" i="15"/>
  <c r="Y84" i="15" s="1"/>
  <c r="Z432" i="15"/>
  <c r="Y432" i="15" s="1"/>
  <c r="AG432" i="15"/>
  <c r="AG320" i="15"/>
  <c r="Z320" i="15"/>
  <c r="Y320" i="15" s="1"/>
  <c r="AG331" i="15"/>
  <c r="Z331" i="15"/>
  <c r="Y331" i="15" s="1"/>
  <c r="AG289" i="15"/>
  <c r="Z289" i="15"/>
  <c r="Y289" i="15" s="1"/>
  <c r="Z266" i="15"/>
  <c r="Y266" i="15" s="1"/>
  <c r="AG266" i="15"/>
  <c r="Z271" i="15"/>
  <c r="Y271" i="15" s="1"/>
  <c r="AG271" i="15"/>
  <c r="Z49" i="15"/>
  <c r="Y49" i="15" s="1"/>
  <c r="AD49" i="15"/>
  <c r="V38" i="15" s="1"/>
  <c r="AD91" i="15"/>
  <c r="AD191" i="15"/>
  <c r="AG245" i="15"/>
  <c r="Z245" i="15"/>
  <c r="Y245" i="15" s="1"/>
  <c r="AG37" i="15"/>
  <c r="AG46" i="15"/>
  <c r="Z46" i="15"/>
  <c r="Y46" i="15" s="1"/>
  <c r="AG217" i="15"/>
  <c r="Z217" i="15"/>
  <c r="Y217" i="15" s="1"/>
  <c r="Z303" i="15"/>
  <c r="Y303" i="15" s="1"/>
  <c r="AG303" i="15"/>
  <c r="AG440" i="15"/>
  <c r="Z440" i="15"/>
  <c r="Y440" i="15" s="1"/>
  <c r="Y203" i="15"/>
  <c r="Z241" i="15"/>
  <c r="Y241" i="15" s="1"/>
  <c r="Z288" i="15"/>
  <c r="Y288" i="15" s="1"/>
  <c r="AG124" i="15"/>
  <c r="Z124" i="15"/>
  <c r="Y124" i="15" s="1"/>
  <c r="Z12" i="15"/>
  <c r="Y12" i="15" s="1"/>
  <c r="Z69" i="15"/>
  <c r="Y69" i="15" s="1"/>
  <c r="Z17" i="15"/>
  <c r="Y17" i="15" s="1"/>
  <c r="AG74" i="15"/>
  <c r="Z74" i="15"/>
  <c r="Y74" i="15" s="1"/>
  <c r="AD196" i="15"/>
  <c r="Z196" i="15"/>
  <c r="Y196" i="15" s="1"/>
  <c r="Z439" i="15"/>
  <c r="Y439" i="15" s="1"/>
  <c r="AG439" i="15"/>
  <c r="Z212" i="15"/>
  <c r="Y212" i="15" s="1"/>
  <c r="AG212" i="15"/>
  <c r="AG378" i="15"/>
  <c r="Z378" i="15"/>
  <c r="AG489" i="15"/>
  <c r="Z489" i="15"/>
  <c r="Y489" i="15" s="1"/>
  <c r="AG13" i="15"/>
  <c r="Z13" i="15"/>
  <c r="Y13" i="15" s="1"/>
  <c r="Z66" i="15"/>
  <c r="Y66" i="15" s="1"/>
  <c r="AG87" i="15"/>
  <c r="Z187" i="15"/>
  <c r="Y187" i="15" s="1"/>
  <c r="Z251" i="15"/>
  <c r="Y251" i="15" s="1"/>
  <c r="AG363" i="15"/>
  <c r="Z461" i="15"/>
  <c r="Y461" i="15" s="1"/>
  <c r="AG461" i="15"/>
  <c r="AG71" i="15"/>
  <c r="Z71" i="15"/>
  <c r="Y71" i="15" s="1"/>
  <c r="AG121" i="15"/>
  <c r="Z121" i="15"/>
  <c r="Y121" i="15" s="1"/>
  <c r="Z374" i="15"/>
  <c r="Y374" i="15" s="1"/>
  <c r="AG374" i="15"/>
  <c r="AD109" i="15"/>
  <c r="Z109" i="15"/>
  <c r="Y109" i="15" s="1"/>
  <c r="Z208" i="15"/>
  <c r="Y208" i="15" s="1"/>
  <c r="AG208" i="15"/>
  <c r="Z219" i="15"/>
  <c r="Y219" i="15" s="1"/>
  <c r="AG219" i="15"/>
  <c r="AG29" i="15"/>
  <c r="AD150" i="15"/>
  <c r="Z150" i="15"/>
  <c r="Y150" i="15" s="1"/>
  <c r="AG272" i="15"/>
  <c r="Z272" i="15"/>
  <c r="Y272" i="15" s="1"/>
  <c r="Z322" i="15"/>
  <c r="Y322" i="15" s="1"/>
  <c r="Z75" i="15"/>
  <c r="Y75" i="15" s="1"/>
  <c r="AG75" i="15"/>
  <c r="AG104" i="15"/>
  <c r="AG23" i="15"/>
  <c r="Z23" i="15"/>
  <c r="Y23" i="15" s="1"/>
  <c r="AD88" i="15"/>
  <c r="Z88" i="15"/>
  <c r="Y88" i="15" s="1"/>
  <c r="Z164" i="15"/>
  <c r="Y164" i="15" s="1"/>
  <c r="AG164" i="15"/>
  <c r="Z183" i="15"/>
  <c r="Y183" i="15" s="1"/>
  <c r="AG420" i="15"/>
  <c r="Z420" i="15"/>
  <c r="Y420" i="15" s="1"/>
  <c r="Z309" i="15"/>
  <c r="Y309" i="15" s="1"/>
  <c r="AG309" i="15"/>
  <c r="Z335" i="15"/>
  <c r="Y335" i="15" s="1"/>
  <c r="AG335" i="15"/>
  <c r="AG360" i="15"/>
  <c r="Z360" i="15"/>
  <c r="Y360" i="15" s="1"/>
  <c r="Z106" i="15"/>
  <c r="Y106" i="15" s="1"/>
  <c r="AD106" i="15"/>
  <c r="Z184" i="15"/>
  <c r="Y184" i="15" s="1"/>
  <c r="AG314" i="15"/>
  <c r="Z314" i="15"/>
  <c r="Y314" i="15" s="1"/>
  <c r="Z356" i="15"/>
  <c r="Y356" i="15" s="1"/>
  <c r="AG356" i="15"/>
  <c r="V377" i="15"/>
  <c r="Z26" i="15"/>
  <c r="Y26" i="15" s="1"/>
  <c r="Z56" i="15"/>
  <c r="Y56" i="15" s="1"/>
  <c r="AD56" i="15"/>
  <c r="AG113" i="15"/>
  <c r="Z201" i="15"/>
  <c r="Y201" i="15" s="1"/>
  <c r="Z243" i="15"/>
  <c r="Y243" i="15" s="1"/>
  <c r="AG243" i="15"/>
  <c r="Z342" i="15"/>
  <c r="Y342" i="15" s="1"/>
  <c r="Z365" i="15"/>
  <c r="Y365" i="15" s="1"/>
  <c r="AG388" i="15"/>
  <c r="Z388" i="15"/>
  <c r="Y388" i="15" s="1"/>
  <c r="Z428" i="15"/>
  <c r="Y428" i="15" s="1"/>
  <c r="AG428" i="15"/>
  <c r="Z14" i="15"/>
  <c r="Y14" i="15" s="1"/>
  <c r="AG22" i="15"/>
  <c r="Z22" i="15"/>
  <c r="Y22" i="15" s="1"/>
  <c r="Z31" i="15"/>
  <c r="Y31" i="15" s="1"/>
  <c r="Z131" i="15"/>
  <c r="Y131" i="15" s="1"/>
  <c r="AG233" i="15"/>
  <c r="Z276" i="15"/>
  <c r="Y276" i="15" s="1"/>
  <c r="Z290" i="15"/>
  <c r="Y290" i="15" s="1"/>
  <c r="AG299" i="15"/>
  <c r="Z379" i="15"/>
  <c r="Y379" i="15" s="1"/>
  <c r="AG379" i="15"/>
  <c r="AG466" i="15"/>
  <c r="Z466" i="15"/>
  <c r="Y466" i="15" s="1"/>
  <c r="AG483" i="15"/>
  <c r="Z483" i="15"/>
  <c r="Y483" i="15" s="1"/>
  <c r="Z488" i="15"/>
  <c r="Y488" i="15" s="1"/>
  <c r="AG488" i="15"/>
  <c r="Z176" i="15"/>
  <c r="Y176" i="15" s="1"/>
  <c r="AD176" i="15"/>
  <c r="V492" i="15"/>
  <c r="AG110" i="15"/>
  <c r="Z110" i="15"/>
  <c r="Y110" i="15" s="1"/>
  <c r="Z143" i="15"/>
  <c r="Y143" i="15" s="1"/>
  <c r="AD143" i="15"/>
  <c r="Z185" i="15"/>
  <c r="Y185" i="15" s="1"/>
  <c r="AD185" i="15"/>
  <c r="AG229" i="15"/>
  <c r="Z229" i="15"/>
  <c r="Y229" i="15" s="1"/>
  <c r="AG263" i="15"/>
  <c r="Z263" i="15"/>
  <c r="Y263" i="15" s="1"/>
  <c r="AG324" i="15"/>
  <c r="Z324" i="15"/>
  <c r="Y324" i="15" s="1"/>
  <c r="AG329" i="15"/>
  <c r="Z329" i="15"/>
  <c r="Y329" i="15" s="1"/>
  <c r="Z85" i="15"/>
  <c r="Y85" i="15" s="1"/>
  <c r="AG143" i="15"/>
  <c r="Z162" i="15"/>
  <c r="Y162" i="15" s="1"/>
  <c r="Z166" i="15"/>
  <c r="Y166" i="15" s="1"/>
  <c r="AG300" i="15"/>
  <c r="Z300" i="15"/>
  <c r="Y300" i="15" s="1"/>
  <c r="Z339" i="15"/>
  <c r="Y339" i="15" s="1"/>
  <c r="Z10" i="15"/>
  <c r="Z47" i="15"/>
  <c r="Y47" i="15" s="1"/>
  <c r="AD47" i="15"/>
  <c r="AD201" i="15"/>
  <c r="Z343" i="15"/>
  <c r="Y343" i="15" s="1"/>
  <c r="AG343" i="15"/>
  <c r="Z361" i="15"/>
  <c r="Y361" i="15" s="1"/>
  <c r="AG361" i="15"/>
  <c r="AG478" i="15"/>
  <c r="Z478" i="15"/>
  <c r="Y478" i="15" s="1"/>
  <c r="AG27" i="15"/>
  <c r="AG43" i="15"/>
  <c r="AG60" i="15"/>
  <c r="AD82" i="15"/>
  <c r="AG103" i="15"/>
  <c r="Z111" i="15"/>
  <c r="Y111" i="15" s="1"/>
  <c r="AD111" i="15"/>
  <c r="AG139" i="15"/>
  <c r="AG151" i="15"/>
  <c r="Z173" i="15"/>
  <c r="Y173" i="15" s="1"/>
  <c r="AG189" i="15"/>
  <c r="Z189" i="15"/>
  <c r="Y189" i="15" s="1"/>
  <c r="AG215" i="15"/>
  <c r="Z223" i="15"/>
  <c r="Y223" i="15" s="1"/>
  <c r="AG223" i="15"/>
  <c r="AD154" i="15"/>
  <c r="Z154" i="15"/>
  <c r="Y154" i="15" s="1"/>
  <c r="Z206" i="15"/>
  <c r="Y206" i="15" s="1"/>
  <c r="AG206" i="15"/>
  <c r="AG334" i="15"/>
  <c r="Z334" i="15"/>
  <c r="Y334" i="15" s="1"/>
  <c r="V9" i="15"/>
  <c r="AG107" i="15"/>
  <c r="Z107" i="15"/>
  <c r="Y107" i="15" s="1"/>
  <c r="Z249" i="15"/>
  <c r="Y249" i="15" s="1"/>
  <c r="AG249" i="15"/>
  <c r="AG301" i="15"/>
  <c r="Z301" i="15"/>
  <c r="Y301" i="15" s="1"/>
  <c r="AG352" i="15"/>
  <c r="Z352" i="15"/>
  <c r="Y352" i="15" s="1"/>
  <c r="Z125" i="15"/>
  <c r="Y125" i="15" s="1"/>
  <c r="AG125" i="15"/>
  <c r="AG132" i="15"/>
  <c r="Z136" i="15"/>
  <c r="Y136" i="15" s="1"/>
  <c r="Z155" i="15"/>
  <c r="Y155" i="15" s="1"/>
  <c r="Z159" i="15"/>
  <c r="Y159" i="15" s="1"/>
  <c r="Z239" i="15"/>
  <c r="Y239" i="15" s="1"/>
  <c r="AG264" i="15"/>
  <c r="AG316" i="15"/>
  <c r="Z414" i="15"/>
  <c r="Y414" i="15" s="1"/>
  <c r="Z484" i="15"/>
  <c r="Y484" i="15" s="1"/>
  <c r="AG36" i="15"/>
  <c r="Z44" i="15"/>
  <c r="Y44" i="15" s="1"/>
  <c r="AD44" i="15"/>
  <c r="Z57" i="15"/>
  <c r="Y57" i="15" s="1"/>
  <c r="Z86" i="15"/>
  <c r="Y86" i="15" s="1"/>
  <c r="AD86" i="15"/>
  <c r="AG128" i="15"/>
  <c r="Z225" i="15"/>
  <c r="Y225" i="15" s="1"/>
  <c r="Z264" i="15"/>
  <c r="Y264" i="15" s="1"/>
  <c r="Z316" i="15"/>
  <c r="Y316" i="15" s="1"/>
  <c r="Z330" i="15"/>
  <c r="Y330" i="15" s="1"/>
  <c r="Z348" i="15"/>
  <c r="Y348" i="15" s="1"/>
  <c r="V472" i="15"/>
  <c r="Z269" i="15"/>
  <c r="Y269" i="15" s="1"/>
  <c r="AG269" i="15"/>
  <c r="AG468" i="15"/>
  <c r="Z468" i="15"/>
  <c r="Y468" i="15" s="1"/>
  <c r="AG490" i="15"/>
  <c r="Z490" i="15"/>
  <c r="Y490" i="15" s="1"/>
  <c r="AG24" i="15"/>
  <c r="Z100" i="15"/>
  <c r="Y100" i="15" s="1"/>
  <c r="AG194" i="15"/>
  <c r="Z24" i="15"/>
  <c r="Y24" i="15" s="1"/>
  <c r="AD186" i="15"/>
  <c r="AG474" i="15"/>
  <c r="AG214" i="15"/>
  <c r="Z214" i="15"/>
  <c r="Y214" i="15" s="1"/>
  <c r="Z205" i="15"/>
  <c r="Y205" i="15" s="1"/>
  <c r="AG205" i="15"/>
  <c r="Z198" i="15"/>
  <c r="Y198" i="15" s="1"/>
  <c r="AG198" i="15"/>
  <c r="Z216" i="15"/>
  <c r="Y216" i="15" s="1"/>
  <c r="AG216" i="15"/>
  <c r="AG358" i="15"/>
  <c r="Z358" i="15"/>
  <c r="Y358" i="15" s="1"/>
  <c r="Z104" i="15"/>
  <c r="Y104" i="15" s="1"/>
  <c r="V220" i="15"/>
  <c r="Z235" i="15"/>
  <c r="Y235" i="15" s="1"/>
  <c r="Z302" i="15"/>
  <c r="Y302" i="15" s="1"/>
  <c r="AG302" i="15"/>
  <c r="Z409" i="15"/>
  <c r="Y409" i="15" s="1"/>
  <c r="AG454" i="15"/>
  <c r="Z454" i="15"/>
  <c r="AD41" i="15"/>
  <c r="Z41" i="15"/>
  <c r="Y41" i="15" s="1"/>
  <c r="Z97" i="15"/>
  <c r="Y97" i="15" s="1"/>
  <c r="AG129" i="15"/>
  <c r="Z129" i="15"/>
  <c r="Y129" i="15" s="1"/>
  <c r="Z163" i="15"/>
  <c r="Y163" i="15" s="1"/>
  <c r="Z174" i="15"/>
  <c r="Y174" i="15" s="1"/>
  <c r="AG260" i="15"/>
  <c r="Z353" i="15"/>
  <c r="Y353" i="15" s="1"/>
  <c r="AG353" i="15"/>
  <c r="AG430" i="15"/>
  <c r="AD76" i="15"/>
  <c r="Z76" i="15"/>
  <c r="Y76" i="15" s="1"/>
  <c r="AD126" i="15"/>
  <c r="Z126" i="15"/>
  <c r="Y126" i="15" s="1"/>
  <c r="Z260" i="15"/>
  <c r="Y260" i="15" s="1"/>
  <c r="AG265" i="15"/>
  <c r="Z265" i="15"/>
  <c r="Y265" i="15" s="1"/>
  <c r="AD62" i="15"/>
  <c r="Z62" i="15"/>
  <c r="Y62" i="15" s="1"/>
  <c r="Z79" i="15"/>
  <c r="Y79" i="15" s="1"/>
  <c r="Z94" i="15"/>
  <c r="Y94" i="15" s="1"/>
  <c r="AD94" i="15"/>
  <c r="AD122" i="15"/>
  <c r="AG190" i="15"/>
  <c r="AD194" i="15"/>
  <c r="Z345" i="15"/>
  <c r="Y345" i="15" s="1"/>
  <c r="AG345" i="15"/>
  <c r="Z410" i="15"/>
  <c r="Y410" i="15" s="1"/>
  <c r="AG410" i="15"/>
  <c r="AD163" i="15"/>
  <c r="AG373" i="15"/>
  <c r="Y473" i="15"/>
  <c r="AG53" i="15"/>
  <c r="Z53" i="15"/>
  <c r="Y53" i="15" s="1"/>
  <c r="AG278" i="15"/>
  <c r="Z278" i="15"/>
  <c r="Y278" i="15" s="1"/>
  <c r="AD103" i="15"/>
  <c r="Z103" i="15"/>
  <c r="Y103" i="15" s="1"/>
  <c r="Z113" i="15"/>
  <c r="Y113" i="15" s="1"/>
  <c r="AD113" i="15"/>
  <c r="Y504" i="15"/>
  <c r="Z503" i="15"/>
  <c r="Z305" i="15"/>
  <c r="Y305" i="15" s="1"/>
  <c r="AG305" i="15"/>
  <c r="Y370" i="15"/>
  <c r="AG383" i="15"/>
  <c r="Z383" i="15"/>
  <c r="Y383" i="15" s="1"/>
  <c r="AD200" i="15"/>
  <c r="Z200" i="15"/>
  <c r="Y200" i="15" s="1"/>
  <c r="Z261" i="15"/>
  <c r="Y261" i="15" s="1"/>
  <c r="AG261" i="15"/>
  <c r="Z485" i="15"/>
  <c r="Y485" i="15" s="1"/>
  <c r="AG485" i="15"/>
  <c r="Z83" i="15"/>
  <c r="Y83" i="15" s="1"/>
  <c r="AD83" i="15"/>
  <c r="AG147" i="15"/>
  <c r="AG234" i="15"/>
  <c r="AG238" i="15"/>
  <c r="Z238" i="15"/>
  <c r="Z274" i="15"/>
  <c r="Y274" i="15" s="1"/>
  <c r="Z296" i="15"/>
  <c r="Y296" i="15" s="1"/>
  <c r="Z349" i="15"/>
  <c r="Y349" i="15" s="1"/>
  <c r="Z384" i="15"/>
  <c r="Y384" i="15" s="1"/>
  <c r="AG384" i="15"/>
  <c r="Z418" i="15"/>
  <c r="Y418" i="15" s="1"/>
  <c r="AG418" i="15"/>
  <c r="Z423" i="15"/>
  <c r="Y423" i="15" s="1"/>
  <c r="Z441" i="15"/>
  <c r="Y441" i="15" s="1"/>
  <c r="AG441" i="15"/>
  <c r="Z27" i="15"/>
  <c r="Y27" i="15" s="1"/>
  <c r="Z90" i="15"/>
  <c r="Y90" i="15" s="1"/>
  <c r="AG120" i="15"/>
  <c r="AD151" i="15"/>
  <c r="Z234" i="15"/>
  <c r="Y234" i="15" s="1"/>
  <c r="Z287" i="15"/>
  <c r="Y287" i="15" s="1"/>
  <c r="AG287" i="15"/>
  <c r="Z328" i="15"/>
  <c r="AG328" i="15"/>
  <c r="AG370" i="15"/>
  <c r="Y408" i="15"/>
  <c r="AG413" i="15"/>
  <c r="Z413" i="15"/>
  <c r="Y413" i="15" s="1"/>
  <c r="AG362" i="15"/>
  <c r="Z362" i="15"/>
  <c r="Y362" i="15" s="1"/>
  <c r="Y491" i="15"/>
  <c r="AL491" i="15"/>
  <c r="Z39" i="15"/>
  <c r="AG70" i="15"/>
  <c r="AD77" i="15"/>
  <c r="Z77" i="15"/>
  <c r="Y77" i="15" s="1"/>
  <c r="AD130" i="15"/>
  <c r="Z130" i="15"/>
  <c r="Y130" i="15" s="1"/>
  <c r="Z165" i="15"/>
  <c r="Y165" i="15" s="1"/>
  <c r="AD165" i="15"/>
  <c r="Z209" i="15"/>
  <c r="Y209" i="15" s="1"/>
  <c r="AG209" i="15"/>
  <c r="Z221" i="15"/>
  <c r="AG221" i="15"/>
  <c r="Z380" i="15"/>
  <c r="Y380" i="15" s="1"/>
  <c r="V407" i="15"/>
  <c r="V451" i="15"/>
  <c r="Z476" i="15"/>
  <c r="Y476" i="15" s="1"/>
  <c r="Z486" i="15"/>
  <c r="Y486" i="15" s="1"/>
  <c r="AG486" i="15"/>
  <c r="Z70" i="15"/>
  <c r="Y70" i="15" s="1"/>
  <c r="Z197" i="15"/>
  <c r="Y197" i="15" s="1"/>
  <c r="AG257" i="15"/>
  <c r="Z257" i="15"/>
  <c r="Y257" i="15" s="1"/>
  <c r="Z346" i="15"/>
  <c r="Y346" i="15" s="1"/>
  <c r="AG497" i="15"/>
  <c r="Z497" i="15"/>
  <c r="Z61" i="15"/>
  <c r="Y61" i="15" s="1"/>
  <c r="Z64" i="15"/>
  <c r="Y64" i="15" s="1"/>
  <c r="AG122" i="15"/>
  <c r="Z135" i="15"/>
  <c r="Y135" i="15" s="1"/>
  <c r="AG138" i="15"/>
  <c r="Z138" i="15"/>
  <c r="Y138" i="15" s="1"/>
  <c r="AD145" i="15"/>
  <c r="Z145" i="15"/>
  <c r="Y145" i="15" s="1"/>
  <c r="AG232" i="15"/>
  <c r="Z232" i="15"/>
  <c r="Y232" i="15" s="1"/>
  <c r="AG248" i="15"/>
  <c r="AD132" i="15"/>
  <c r="Z132" i="15"/>
  <c r="Y132" i="15" s="1"/>
  <c r="Z158" i="15"/>
  <c r="Y158" i="15" s="1"/>
  <c r="AD158" i="15"/>
  <c r="V133" i="15" s="1"/>
  <c r="AG294" i="15"/>
  <c r="Z315" i="15"/>
  <c r="Y315" i="15" s="1"/>
  <c r="AG315" i="15"/>
  <c r="AG336" i="15"/>
  <c r="Z336" i="15"/>
  <c r="Y336" i="15" s="1"/>
  <c r="Z50" i="15"/>
  <c r="Y50" i="15" s="1"/>
  <c r="AD61" i="15"/>
  <c r="AG116" i="15"/>
  <c r="AD188" i="15"/>
  <c r="Z294" i="15"/>
  <c r="Y294" i="15" s="1"/>
  <c r="Z298" i="15"/>
  <c r="Y298" i="15" s="1"/>
  <c r="AG355" i="15"/>
  <c r="Z355" i="15"/>
  <c r="Y355" i="15" s="1"/>
  <c r="AG446" i="15"/>
  <c r="AD192" i="15"/>
  <c r="Z192" i="15"/>
  <c r="Y192" i="15" s="1"/>
  <c r="Z291" i="15"/>
  <c r="Y291" i="15" s="1"/>
  <c r="AG291" i="15"/>
  <c r="AG426" i="15"/>
  <c r="Z426" i="15"/>
  <c r="Y426" i="15" s="1"/>
  <c r="Z442" i="15"/>
  <c r="Y442" i="15" s="1"/>
  <c r="AG442" i="15"/>
  <c r="Z464" i="15"/>
  <c r="Y464" i="15" s="1"/>
  <c r="AG464" i="15"/>
  <c r="AG416" i="15"/>
  <c r="Z416" i="15"/>
  <c r="Y416" i="15" s="1"/>
  <c r="AG93" i="15"/>
  <c r="Z169" i="15"/>
  <c r="Y169" i="15" s="1"/>
  <c r="AG172" i="15"/>
  <c r="AG312" i="15"/>
  <c r="Z456" i="15"/>
  <c r="Y456" i="15" s="1"/>
  <c r="AG456" i="15"/>
  <c r="Z493" i="15"/>
  <c r="AG493" i="15"/>
  <c r="V202" i="15"/>
  <c r="Z458" i="15"/>
  <c r="Y458" i="15" s="1"/>
  <c r="AG458" i="15"/>
  <c r="AG475" i="15"/>
  <c r="Z475" i="15"/>
  <c r="Y475" i="15" s="1"/>
  <c r="AG295" i="15"/>
  <c r="AG89" i="15"/>
  <c r="Z92" i="15"/>
  <c r="Y92" i="15" s="1"/>
  <c r="AD144" i="15"/>
  <c r="AD179" i="15"/>
  <c r="Z250" i="15"/>
  <c r="Y250" i="15" s="1"/>
  <c r="Z258" i="15"/>
  <c r="Y258" i="15" s="1"/>
  <c r="Z273" i="15"/>
  <c r="Y273" i="15" s="1"/>
  <c r="Z295" i="15"/>
  <c r="Y295" i="15" s="1"/>
  <c r="AG364" i="15"/>
  <c r="Z372" i="15"/>
  <c r="Y372" i="15" s="1"/>
  <c r="AG281" i="15"/>
  <c r="AG424" i="15"/>
  <c r="AG417" i="15"/>
  <c r="AG421" i="15"/>
  <c r="Z421" i="15"/>
  <c r="Y421" i="15" s="1"/>
  <c r="Z119" i="15"/>
  <c r="Y119" i="15" s="1"/>
  <c r="Z256" i="15"/>
  <c r="Y256" i="15" s="1"/>
  <c r="AG256" i="15"/>
  <c r="Z417" i="15"/>
  <c r="Y417" i="15" s="1"/>
  <c r="AG429" i="15"/>
  <c r="AG479" i="15"/>
  <c r="Z479" i="15"/>
  <c r="Y479" i="15" s="1"/>
  <c r="AG375" i="15"/>
  <c r="AG465" i="15"/>
  <c r="Z465" i="15"/>
  <c r="Y465" i="15" s="1"/>
  <c r="Z65" i="15"/>
  <c r="Y65" i="15" s="1"/>
  <c r="Z375" i="15"/>
  <c r="Y375" i="15" s="1"/>
  <c r="AG187" i="15"/>
  <c r="AD193" i="15"/>
  <c r="Z199" i="15"/>
  <c r="Y199" i="15" s="1"/>
  <c r="AG470" i="15"/>
  <c r="AG482" i="15"/>
  <c r="Z40" i="16" l="1"/>
  <c r="Z508" i="16"/>
  <c r="Z529" i="16"/>
  <c r="Z362" i="16"/>
  <c r="Z504" i="16"/>
  <c r="Z434" i="16"/>
  <c r="Z263" i="16"/>
  <c r="Z549" i="16"/>
  <c r="Y549" i="16"/>
  <c r="AH549" i="16" s="1"/>
  <c r="Y415" i="16"/>
  <c r="Z19" i="16"/>
  <c r="Z470" i="16"/>
  <c r="Y362" i="16"/>
  <c r="AH362" i="16" s="1"/>
  <c r="Z25" i="16"/>
  <c r="Z171" i="16"/>
  <c r="Y508" i="16"/>
  <c r="AH508" i="16" s="1"/>
  <c r="Z34" i="16"/>
  <c r="Y223" i="16"/>
  <c r="Z155" i="16"/>
  <c r="Y504" i="16"/>
  <c r="AH504" i="16" s="1"/>
  <c r="Y434" i="16"/>
  <c r="AH434" i="16" s="1"/>
  <c r="Z249" i="16"/>
  <c r="X553" i="16"/>
  <c r="Z407" i="16"/>
  <c r="X549" i="16"/>
  <c r="Z21" i="16"/>
  <c r="Z250" i="16"/>
  <c r="Y263" i="16"/>
  <c r="AH263" i="16" s="1"/>
  <c r="X504" i="16"/>
  <c r="Y40" i="16"/>
  <c r="AH40" i="16" s="1"/>
  <c r="Z18" i="16"/>
  <c r="X40" i="16"/>
  <c r="Z193" i="16"/>
  <c r="Y193" i="16"/>
  <c r="AH193" i="16" s="1"/>
  <c r="Y529" i="16"/>
  <c r="Z223" i="16"/>
  <c r="Y556" i="16"/>
  <c r="AH556" i="16" s="1"/>
  <c r="AA242" i="16"/>
  <c r="Z144" i="16"/>
  <c r="AH529" i="16"/>
  <c r="AA144" i="16"/>
  <c r="AA464" i="16"/>
  <c r="AA9" i="16"/>
  <c r="AH223" i="16"/>
  <c r="AH415" i="16"/>
  <c r="Y369" i="15"/>
  <c r="W369" i="15" s="1"/>
  <c r="Y177" i="15"/>
  <c r="W177" i="15" s="1"/>
  <c r="Y494" i="15"/>
  <c r="Z202" i="15"/>
  <c r="X202" i="15" s="1"/>
  <c r="AG202" i="15" s="1"/>
  <c r="Y133" i="15"/>
  <c r="W133" i="15" s="1"/>
  <c r="Y202" i="15"/>
  <c r="W202" i="15" s="1"/>
  <c r="Z369" i="15"/>
  <c r="X369" i="15" s="1"/>
  <c r="AG369" i="15" s="1"/>
  <c r="Z447" i="15"/>
  <c r="X447" i="15" s="1"/>
  <c r="AG447" i="15" s="1"/>
  <c r="AG228" i="15"/>
  <c r="Z228" i="15"/>
  <c r="Y228" i="15" s="1"/>
  <c r="Y39" i="15"/>
  <c r="Y38" i="15" s="1"/>
  <c r="W38" i="15" s="1"/>
  <c r="Z38" i="15"/>
  <c r="X38" i="15" s="1"/>
  <c r="AG38" i="15" s="1"/>
  <c r="Z237" i="15"/>
  <c r="X237" i="15" s="1"/>
  <c r="AG237" i="15" s="1"/>
  <c r="Y238" i="15"/>
  <c r="Y237" i="15" s="1"/>
  <c r="W237" i="15" s="1"/>
  <c r="Z133" i="15"/>
  <c r="X133" i="15" s="1"/>
  <c r="AG133" i="15" s="1"/>
  <c r="Y328" i="15"/>
  <c r="Y327" i="15" s="1"/>
  <c r="W327" i="15" s="1"/>
  <c r="Z327" i="15"/>
  <c r="X327" i="15" s="1"/>
  <c r="AG327" i="15" s="1"/>
  <c r="Z451" i="15"/>
  <c r="X451" i="15" s="1"/>
  <c r="AG451" i="15" s="1"/>
  <c r="Y454" i="15"/>
  <c r="Y451" i="15" s="1"/>
  <c r="W451" i="15" s="1"/>
  <c r="Z407" i="15"/>
  <c r="X407" i="15" s="1"/>
  <c r="AG407" i="15" s="1"/>
  <c r="Y378" i="15"/>
  <c r="Y377" i="15" s="1"/>
  <c r="W377" i="15" s="1"/>
  <c r="Z377" i="15"/>
  <c r="X377" i="15" s="1"/>
  <c r="AG377" i="15" s="1"/>
  <c r="Y493" i="15"/>
  <c r="Y492" i="15" s="1"/>
  <c r="W492" i="15" s="1"/>
  <c r="Z492" i="15"/>
  <c r="X492" i="15" s="1"/>
  <c r="AG492" i="15" s="1"/>
  <c r="Y407" i="15"/>
  <c r="W407" i="15" s="1"/>
  <c r="Z177" i="15"/>
  <c r="X177" i="15" s="1"/>
  <c r="AG177" i="15" s="1"/>
  <c r="Y472" i="15"/>
  <c r="W472" i="15" s="1"/>
  <c r="Y221" i="15"/>
  <c r="Z226" i="15"/>
  <c r="Y226" i="15" s="1"/>
  <c r="AG226" i="15"/>
  <c r="Z496" i="15"/>
  <c r="X496" i="15" s="1"/>
  <c r="AG496" i="15" s="1"/>
  <c r="Y497" i="15"/>
  <c r="Y496" i="15" s="1"/>
  <c r="W496" i="15" s="1"/>
  <c r="Z472" i="15"/>
  <c r="X472" i="15" s="1"/>
  <c r="AG472" i="15" s="1"/>
  <c r="V177" i="15"/>
  <c r="V8" i="15" s="1"/>
  <c r="V7" i="15" s="1"/>
  <c r="AI7" i="15" s="1"/>
  <c r="Z9" i="15"/>
  <c r="Y10" i="15"/>
  <c r="Y9" i="15" s="1"/>
  <c r="X263" i="16" l="1"/>
  <c r="X508" i="16"/>
  <c r="Z9" i="16"/>
  <c r="X434" i="16"/>
  <c r="X529" i="16"/>
  <c r="X362" i="16"/>
  <c r="Y144" i="16"/>
  <c r="AH144" i="16" s="1"/>
  <c r="X144" i="16"/>
  <c r="Y242" i="16"/>
  <c r="AH242" i="16" s="1"/>
  <c r="X193" i="16"/>
  <c r="X407" i="16"/>
  <c r="X223" i="16"/>
  <c r="Y9" i="16"/>
  <c r="Y464" i="16"/>
  <c r="AH464" i="16" s="1"/>
  <c r="Z242" i="16"/>
  <c r="Z464" i="16"/>
  <c r="Y220" i="15"/>
  <c r="W220" i="15" s="1"/>
  <c r="Z220" i="15"/>
  <c r="X220" i="15" s="1"/>
  <c r="AG220" i="15" s="1"/>
  <c r="W9" i="15"/>
  <c r="X9" i="15"/>
  <c r="X9" i="16" l="1"/>
  <c r="X242" i="16"/>
  <c r="X464" i="16"/>
  <c r="Z8" i="16"/>
  <c r="Z8" i="15"/>
  <c r="X8" i="15" s="1"/>
  <c r="Y8" i="15"/>
  <c r="W8" i="15" s="1"/>
  <c r="X8" i="16" l="1"/>
  <c r="Z500" i="15"/>
  <c r="Z7" i="15"/>
  <c r="Z495" i="15" s="1"/>
  <c r="X7" i="15" l="1"/>
  <c r="AJ7" i="15"/>
  <c r="AH6" i="15" s="1"/>
  <c r="Y495" i="15"/>
  <c r="X495" i="15"/>
  <c r="AG495" i="15" s="1"/>
  <c r="W495" i="15" l="1"/>
  <c r="Y7" i="15"/>
  <c r="Y500" i="15"/>
  <c r="AJ9" i="15" l="1"/>
  <c r="AI6" i="15" s="1"/>
  <c r="W7" i="15"/>
  <c r="AH222" i="14" l="1"/>
  <c r="AH223" i="14"/>
  <c r="AH386" i="14"/>
  <c r="AH379" i="14"/>
  <c r="AH466" i="14"/>
  <c r="AH458" i="14"/>
  <c r="AH449" i="14"/>
  <c r="AH491" i="14"/>
  <c r="AH494" i="14"/>
  <c r="AH489" i="14"/>
  <c r="AH487" i="14"/>
  <c r="AH479" i="14"/>
  <c r="AH478" i="14"/>
  <c r="AH365" i="14"/>
  <c r="AH364" i="14"/>
  <c r="AH363" i="14"/>
  <c r="AH360" i="14"/>
  <c r="AH358" i="14"/>
  <c r="AH357" i="14"/>
  <c r="AH352" i="14"/>
  <c r="AH351" i="14"/>
  <c r="AH339" i="14"/>
  <c r="AH346" i="14"/>
  <c r="AH335" i="14"/>
  <c r="AH131" i="14"/>
  <c r="AH126" i="14"/>
  <c r="AH111" i="14"/>
  <c r="AH68" i="14"/>
  <c r="AH66" i="14"/>
  <c r="AH65" i="14"/>
  <c r="AH64" i="14"/>
  <c r="AH58" i="14"/>
  <c r="AH49" i="14"/>
  <c r="AH45" i="14"/>
  <c r="AH34" i="14"/>
  <c r="AH16" i="14" l="1"/>
  <c r="AH224" i="14" l="1"/>
  <c r="AH225" i="14"/>
  <c r="AH493" i="14"/>
  <c r="AH490" i="14"/>
  <c r="AH55" i="14" l="1"/>
  <c r="AH221" i="14"/>
  <c r="AH18" i="14"/>
  <c r="AH19" i="14"/>
  <c r="AH467" i="14" l="1"/>
  <c r="W467" i="14" s="1"/>
  <c r="X467" i="14" s="1"/>
  <c r="AH450" i="14"/>
  <c r="W450" i="14" s="1"/>
  <c r="X450" i="14" s="1"/>
  <c r="AH448" i="14"/>
  <c r="AH383" i="14"/>
  <c r="AH381" i="14"/>
  <c r="W381" i="14" s="1"/>
  <c r="X381" i="14" s="1"/>
  <c r="AH372" i="14"/>
  <c r="AH251" i="14"/>
  <c r="AH238" i="14"/>
  <c r="W238" i="14" s="1"/>
  <c r="X238" i="14" s="1"/>
  <c r="AH235" i="14"/>
  <c r="W222" i="14"/>
  <c r="X222" i="14" s="1"/>
  <c r="Z222" i="14" s="1"/>
  <c r="Y222" i="14" s="1"/>
  <c r="W221" i="14"/>
  <c r="X221" i="14" s="1"/>
  <c r="AH152" i="14"/>
  <c r="W152" i="14" s="1"/>
  <c r="X152" i="14" s="1"/>
  <c r="AG152" i="14" s="1"/>
  <c r="AH147" i="14"/>
  <c r="AH145" i="14"/>
  <c r="AH144" i="14"/>
  <c r="AH143" i="14"/>
  <c r="AH146" i="14"/>
  <c r="AH136" i="14"/>
  <c r="W136" i="14"/>
  <c r="X136" i="14" s="1"/>
  <c r="AH135" i="14"/>
  <c r="W135" i="14" s="1"/>
  <c r="X135" i="14" s="1"/>
  <c r="AG135" i="14" s="1"/>
  <c r="AH120" i="14"/>
  <c r="AH42" i="14"/>
  <c r="AH41" i="14"/>
  <c r="W41" i="14" s="1"/>
  <c r="X41" i="14" s="1"/>
  <c r="AG41" i="14" s="1"/>
  <c r="AH43" i="14"/>
  <c r="AH44" i="14"/>
  <c r="AH40" i="14"/>
  <c r="AH39" i="14"/>
  <c r="AH22" i="14"/>
  <c r="AH32" i="14"/>
  <c r="AH13" i="14"/>
  <c r="W13" i="14" s="1"/>
  <c r="X13" i="14" s="1"/>
  <c r="Z506" i="14"/>
  <c r="Y506" i="14" s="1"/>
  <c r="W506" i="14"/>
  <c r="Z505" i="14"/>
  <c r="Y505" i="14" s="1"/>
  <c r="W505" i="14"/>
  <c r="Z504" i="14"/>
  <c r="W504" i="14"/>
  <c r="AI503" i="14"/>
  <c r="AG503" i="14" s="1"/>
  <c r="AI502" i="14"/>
  <c r="AG502" i="14"/>
  <c r="AI501" i="14"/>
  <c r="AG501" i="14"/>
  <c r="AI500" i="14"/>
  <c r="AG500" i="14" s="1"/>
  <c r="AI499" i="14"/>
  <c r="AC499" i="14"/>
  <c r="AD499" i="14" s="1"/>
  <c r="V498" i="14" s="1"/>
  <c r="W499" i="14"/>
  <c r="X499" i="14" s="1"/>
  <c r="AI498" i="14"/>
  <c r="AC498" i="14"/>
  <c r="Y498" i="14"/>
  <c r="W498" i="14" s="1"/>
  <c r="AI497" i="14"/>
  <c r="AC497" i="14"/>
  <c r="AD497" i="14" s="1"/>
  <c r="AI496" i="14"/>
  <c r="AC496" i="14"/>
  <c r="V496" i="14"/>
  <c r="AI495" i="14"/>
  <c r="AC495" i="14"/>
  <c r="AI494" i="14"/>
  <c r="AC494" i="14"/>
  <c r="AD494" i="14" s="1"/>
  <c r="W494" i="14"/>
  <c r="X494" i="14" s="1"/>
  <c r="AI493" i="14"/>
  <c r="AD493" i="14"/>
  <c r="AC493" i="14"/>
  <c r="W493" i="14"/>
  <c r="X493" i="14" s="1"/>
  <c r="AI492" i="14"/>
  <c r="AC492" i="14"/>
  <c r="AI491" i="14"/>
  <c r="AD491" i="14"/>
  <c r="AC491" i="14"/>
  <c r="W491" i="14"/>
  <c r="X491" i="14" s="1"/>
  <c r="Z491" i="14" s="1"/>
  <c r="Y491" i="14" s="1"/>
  <c r="AI490" i="14"/>
  <c r="AC490" i="14"/>
  <c r="AD490" i="14" s="1"/>
  <c r="W490" i="14"/>
  <c r="X490" i="14" s="1"/>
  <c r="AI489" i="14"/>
  <c r="AD489" i="14"/>
  <c r="AC489" i="14"/>
  <c r="W489" i="14"/>
  <c r="X489" i="14" s="1"/>
  <c r="AI488" i="14"/>
  <c r="AC488" i="14"/>
  <c r="AD488" i="14" s="1"/>
  <c r="W488" i="14"/>
  <c r="X488" i="14" s="1"/>
  <c r="AI487" i="14"/>
  <c r="AC487" i="14"/>
  <c r="AD487" i="14" s="1"/>
  <c r="W487" i="14"/>
  <c r="X487" i="14" s="1"/>
  <c r="AI486" i="14"/>
  <c r="AD486" i="14"/>
  <c r="AC486" i="14"/>
  <c r="W486" i="14"/>
  <c r="X486" i="14" s="1"/>
  <c r="Z486" i="14" s="1"/>
  <c r="Y486" i="14" s="1"/>
  <c r="AI485" i="14"/>
  <c r="AC485" i="14"/>
  <c r="AD485" i="14" s="1"/>
  <c r="W485" i="14"/>
  <c r="X485" i="14" s="1"/>
  <c r="AI484" i="14"/>
  <c r="AC484" i="14"/>
  <c r="AD484" i="14" s="1"/>
  <c r="W484" i="14"/>
  <c r="X484" i="14" s="1"/>
  <c r="AG484" i="14" s="1"/>
  <c r="AI483" i="14"/>
  <c r="AD483" i="14"/>
  <c r="AC483" i="14"/>
  <c r="W483" i="14"/>
  <c r="X483" i="14" s="1"/>
  <c r="Z483" i="14" s="1"/>
  <c r="Y483" i="14" s="1"/>
  <c r="AI482" i="14"/>
  <c r="AD482" i="14"/>
  <c r="AC482" i="14"/>
  <c r="W482" i="14"/>
  <c r="X482" i="14" s="1"/>
  <c r="AI481" i="14"/>
  <c r="AC481" i="14"/>
  <c r="AD481" i="14" s="1"/>
  <c r="W481" i="14"/>
  <c r="X481" i="14" s="1"/>
  <c r="AI480" i="14"/>
  <c r="AG480" i="14" s="1"/>
  <c r="AD480" i="14"/>
  <c r="AC480" i="14"/>
  <c r="Y480" i="14"/>
  <c r="W480" i="14"/>
  <c r="X480" i="14" s="1"/>
  <c r="Z480" i="14" s="1"/>
  <c r="AI479" i="14"/>
  <c r="AC479" i="14"/>
  <c r="AD479" i="14" s="1"/>
  <c r="W479" i="14"/>
  <c r="X479" i="14" s="1"/>
  <c r="AI478" i="14"/>
  <c r="AC478" i="14"/>
  <c r="AD478" i="14" s="1"/>
  <c r="W478" i="14"/>
  <c r="X478" i="14" s="1"/>
  <c r="AI477" i="14"/>
  <c r="AD477" i="14"/>
  <c r="AC477" i="14"/>
  <c r="W477" i="14"/>
  <c r="X477" i="14" s="1"/>
  <c r="Z477" i="14" s="1"/>
  <c r="Y477" i="14" s="1"/>
  <c r="AI476" i="14"/>
  <c r="AC476" i="14"/>
  <c r="AD476" i="14" s="1"/>
  <c r="W476" i="14"/>
  <c r="X476" i="14" s="1"/>
  <c r="AI475" i="14"/>
  <c r="AC475" i="14"/>
  <c r="AD475" i="14" s="1"/>
  <c r="W475" i="14"/>
  <c r="X475" i="14" s="1"/>
  <c r="AI474" i="14"/>
  <c r="AD474" i="14"/>
  <c r="AC474" i="14"/>
  <c r="W474" i="14"/>
  <c r="X474" i="14" s="1"/>
  <c r="AI473" i="14"/>
  <c r="AD473" i="14"/>
  <c r="AC473" i="14"/>
  <c r="W473" i="14"/>
  <c r="X473" i="14" s="1"/>
  <c r="AI472" i="14"/>
  <c r="AC472" i="14"/>
  <c r="AI471" i="14"/>
  <c r="AC471" i="14"/>
  <c r="AD471" i="14" s="1"/>
  <c r="W471" i="14"/>
  <c r="X471" i="14" s="1"/>
  <c r="Z471" i="14" s="1"/>
  <c r="Y471" i="14" s="1"/>
  <c r="AI470" i="14"/>
  <c r="AG470" i="14"/>
  <c r="AC470" i="14"/>
  <c r="AD470" i="14" s="1"/>
  <c r="W470" i="14"/>
  <c r="X470" i="14" s="1"/>
  <c r="Z470" i="14" s="1"/>
  <c r="Y470" i="14" s="1"/>
  <c r="AI469" i="14"/>
  <c r="AC469" i="14"/>
  <c r="AD469" i="14" s="1"/>
  <c r="W469" i="14"/>
  <c r="X469" i="14" s="1"/>
  <c r="AI468" i="14"/>
  <c r="AC468" i="14"/>
  <c r="AD468" i="14" s="1"/>
  <c r="W468" i="14"/>
  <c r="X468" i="14" s="1"/>
  <c r="AI467" i="14"/>
  <c r="AC467" i="14"/>
  <c r="AD467" i="14" s="1"/>
  <c r="AI466" i="14"/>
  <c r="AD466" i="14"/>
  <c r="AC466" i="14"/>
  <c r="W466" i="14"/>
  <c r="X466" i="14" s="1"/>
  <c r="AI465" i="14"/>
  <c r="AH465" i="14"/>
  <c r="AC465" i="14"/>
  <c r="AD465" i="14" s="1"/>
  <c r="W465" i="14"/>
  <c r="X465" i="14" s="1"/>
  <c r="AI464" i="14"/>
  <c r="AD464" i="14"/>
  <c r="AC464" i="14"/>
  <c r="W464" i="14"/>
  <c r="X464" i="14" s="1"/>
  <c r="AI463" i="14"/>
  <c r="AC463" i="14"/>
  <c r="AD463" i="14" s="1"/>
  <c r="W463" i="14"/>
  <c r="X463" i="14" s="1"/>
  <c r="AI462" i="14"/>
  <c r="AC462" i="14"/>
  <c r="AD462" i="14" s="1"/>
  <c r="W462" i="14"/>
  <c r="X462" i="14" s="1"/>
  <c r="AI461" i="14"/>
  <c r="AD461" i="14"/>
  <c r="AC461" i="14"/>
  <c r="W461" i="14"/>
  <c r="X461" i="14" s="1"/>
  <c r="Z461" i="14" s="1"/>
  <c r="Y461" i="14" s="1"/>
  <c r="AI460" i="14"/>
  <c r="AC460" i="14"/>
  <c r="AD460" i="14" s="1"/>
  <c r="W460" i="14"/>
  <c r="X460" i="14" s="1"/>
  <c r="AG460" i="14" s="1"/>
  <c r="AI459" i="14"/>
  <c r="AG459" i="14" s="1"/>
  <c r="AC459" i="14"/>
  <c r="AD459" i="14" s="1"/>
  <c r="Z459" i="14"/>
  <c r="Y459" i="14"/>
  <c r="W459" i="14"/>
  <c r="AI458" i="14"/>
  <c r="W458" i="14"/>
  <c r="X458" i="14" s="1"/>
  <c r="AG458" i="14" s="1"/>
  <c r="AD458" i="14"/>
  <c r="AC458" i="14"/>
  <c r="Z458" i="14"/>
  <c r="Y458" i="14" s="1"/>
  <c r="AI457" i="14"/>
  <c r="AD457" i="14"/>
  <c r="AC457" i="14"/>
  <c r="W457" i="14"/>
  <c r="X457" i="14" s="1"/>
  <c r="Z457" i="14" s="1"/>
  <c r="Y457" i="14" s="1"/>
  <c r="AI456" i="14"/>
  <c r="AC456" i="14"/>
  <c r="AD456" i="14" s="1"/>
  <c r="W456" i="14"/>
  <c r="X456" i="14" s="1"/>
  <c r="AI455" i="14"/>
  <c r="AD455" i="14"/>
  <c r="AC455" i="14"/>
  <c r="W455" i="14"/>
  <c r="X455" i="14" s="1"/>
  <c r="AI454" i="14"/>
  <c r="AC454" i="14"/>
  <c r="AD454" i="14" s="1"/>
  <c r="W454" i="14"/>
  <c r="X454" i="14" s="1"/>
  <c r="AG454" i="14" s="1"/>
  <c r="AI453" i="14"/>
  <c r="AG453" i="14" s="1"/>
  <c r="AC453" i="14"/>
  <c r="AD453" i="14" s="1"/>
  <c r="Z453" i="14"/>
  <c r="Y453" i="14"/>
  <c r="W453" i="14"/>
  <c r="AI452" i="14"/>
  <c r="AC452" i="14"/>
  <c r="AD452" i="14" s="1"/>
  <c r="W452" i="14"/>
  <c r="X452" i="14" s="1"/>
  <c r="AI451" i="14"/>
  <c r="AC451" i="14"/>
  <c r="AI450" i="14"/>
  <c r="AC450" i="14"/>
  <c r="AD450" i="14" s="1"/>
  <c r="AI449" i="14"/>
  <c r="AC449" i="14"/>
  <c r="AD449" i="14" s="1"/>
  <c r="W449" i="14"/>
  <c r="X449" i="14" s="1"/>
  <c r="Z449" i="14" s="1"/>
  <c r="Y449" i="14" s="1"/>
  <c r="AI448" i="14"/>
  <c r="W448" i="14"/>
  <c r="X448" i="14" s="1"/>
  <c r="AC448" i="14"/>
  <c r="AD448" i="14" s="1"/>
  <c r="AI447" i="14"/>
  <c r="AC447" i="14"/>
  <c r="V447" i="14"/>
  <c r="AI446" i="14"/>
  <c r="AC446" i="14"/>
  <c r="AD446" i="14" s="1"/>
  <c r="W446" i="14"/>
  <c r="X446" i="14" s="1"/>
  <c r="AG446" i="14" s="1"/>
  <c r="AI445" i="14"/>
  <c r="AC445" i="14"/>
  <c r="AD445" i="14" s="1"/>
  <c r="W445" i="14"/>
  <c r="X445" i="14" s="1"/>
  <c r="AI444" i="14"/>
  <c r="AG444" i="14"/>
  <c r="AC444" i="14"/>
  <c r="AD444" i="14" s="1"/>
  <c r="Y444" i="14"/>
  <c r="W444" i="14"/>
  <c r="X444" i="14" s="1"/>
  <c r="Z444" i="14" s="1"/>
  <c r="AI443" i="14"/>
  <c r="AD443" i="14"/>
  <c r="AC443" i="14"/>
  <c r="W443" i="14"/>
  <c r="X443" i="14" s="1"/>
  <c r="AI442" i="14"/>
  <c r="AD442" i="14"/>
  <c r="AC442" i="14"/>
  <c r="X442" i="14"/>
  <c r="AG442" i="14" s="1"/>
  <c r="W442" i="14"/>
  <c r="AI441" i="14"/>
  <c r="AH441" i="14"/>
  <c r="AC441" i="14"/>
  <c r="AD441" i="14" s="1"/>
  <c r="W441" i="14"/>
  <c r="X441" i="14" s="1"/>
  <c r="AG441" i="14" s="1"/>
  <c r="AI440" i="14"/>
  <c r="AC440" i="14"/>
  <c r="AD440" i="14" s="1"/>
  <c r="W440" i="14"/>
  <c r="X440" i="14" s="1"/>
  <c r="AI439" i="14"/>
  <c r="AH439" i="14"/>
  <c r="AD439" i="14"/>
  <c r="AC439" i="14"/>
  <c r="W439" i="14"/>
  <c r="X439" i="14" s="1"/>
  <c r="AG439" i="14" s="1"/>
  <c r="AI438" i="14"/>
  <c r="AH438" i="14"/>
  <c r="W438" i="14" s="1"/>
  <c r="X438" i="14" s="1"/>
  <c r="Z438" i="14" s="1"/>
  <c r="Y438" i="14" s="1"/>
  <c r="AG438" i="14"/>
  <c r="AC438" i="14"/>
  <c r="AD438" i="14" s="1"/>
  <c r="AI437" i="14"/>
  <c r="AH437" i="14"/>
  <c r="AC437" i="14"/>
  <c r="AD437" i="14" s="1"/>
  <c r="W437" i="14"/>
  <c r="X437" i="14" s="1"/>
  <c r="AI436" i="14"/>
  <c r="AG436" i="14" s="1"/>
  <c r="AD436" i="14"/>
  <c r="AC436" i="14"/>
  <c r="W436" i="14"/>
  <c r="X436" i="14" s="1"/>
  <c r="Z436" i="14" s="1"/>
  <c r="Y436" i="14" s="1"/>
  <c r="AI435" i="14"/>
  <c r="AD435" i="14"/>
  <c r="AC435" i="14"/>
  <c r="W435" i="14"/>
  <c r="X435" i="14" s="1"/>
  <c r="AI434" i="14"/>
  <c r="AD434" i="14"/>
  <c r="AC434" i="14"/>
  <c r="W434" i="14"/>
  <c r="X434" i="14" s="1"/>
  <c r="AI433" i="14"/>
  <c r="AD433" i="14"/>
  <c r="AC433" i="14"/>
  <c r="W433" i="14"/>
  <c r="X433" i="14" s="1"/>
  <c r="AI432" i="14"/>
  <c r="AH432" i="14"/>
  <c r="AC432" i="14"/>
  <c r="AD432" i="14" s="1"/>
  <c r="W432" i="14"/>
  <c r="X432" i="14" s="1"/>
  <c r="AI431" i="14"/>
  <c r="AH431" i="14"/>
  <c r="AC431" i="14"/>
  <c r="AD431" i="14" s="1"/>
  <c r="W431" i="14"/>
  <c r="X431" i="14" s="1"/>
  <c r="AI430" i="14"/>
  <c r="AH430" i="14"/>
  <c r="AD430" i="14"/>
  <c r="AC430" i="14"/>
  <c r="W430" i="14"/>
  <c r="X430" i="14" s="1"/>
  <c r="AI429" i="14"/>
  <c r="AH429" i="14"/>
  <c r="AC429" i="14"/>
  <c r="AD429" i="14" s="1"/>
  <c r="W429" i="14"/>
  <c r="X429" i="14" s="1"/>
  <c r="AG429" i="14" s="1"/>
  <c r="AI428" i="14"/>
  <c r="AH428" i="14"/>
  <c r="W428" i="14" s="1"/>
  <c r="X428" i="14" s="1"/>
  <c r="Z428" i="14" s="1"/>
  <c r="Y428" i="14" s="1"/>
  <c r="AD428" i="14"/>
  <c r="AC428" i="14"/>
  <c r="AI427" i="14"/>
  <c r="AC427" i="14"/>
  <c r="AD427" i="14" s="1"/>
  <c r="W427" i="14"/>
  <c r="X427" i="14" s="1"/>
  <c r="AI426" i="14"/>
  <c r="AD426" i="14"/>
  <c r="AC426" i="14"/>
  <c r="W426" i="14"/>
  <c r="X426" i="14" s="1"/>
  <c r="AI425" i="14"/>
  <c r="AH425" i="14"/>
  <c r="AC425" i="14"/>
  <c r="AD425" i="14" s="1"/>
  <c r="W425" i="14"/>
  <c r="X425" i="14" s="1"/>
  <c r="Z425" i="14" s="1"/>
  <c r="Y425" i="14" s="1"/>
  <c r="AI424" i="14"/>
  <c r="AH424" i="14"/>
  <c r="W424" i="14" s="1"/>
  <c r="X424" i="14" s="1"/>
  <c r="AG424" i="14" s="1"/>
  <c r="AC424" i="14"/>
  <c r="AD424" i="14" s="1"/>
  <c r="Z424" i="14"/>
  <c r="Y424" i="14" s="1"/>
  <c r="AI423" i="14"/>
  <c r="AC423" i="14"/>
  <c r="AD423" i="14" s="1"/>
  <c r="W423" i="14"/>
  <c r="X423" i="14" s="1"/>
  <c r="Z423" i="14" s="1"/>
  <c r="Y423" i="14" s="1"/>
  <c r="AI422" i="14"/>
  <c r="AC422" i="14"/>
  <c r="AD422" i="14" s="1"/>
  <c r="W422" i="14"/>
  <c r="X422" i="14" s="1"/>
  <c r="AI421" i="14"/>
  <c r="AH421" i="14"/>
  <c r="W421" i="14" s="1"/>
  <c r="X421" i="14" s="1"/>
  <c r="Z421" i="14" s="1"/>
  <c r="Y421" i="14" s="1"/>
  <c r="AG421" i="14"/>
  <c r="AC421" i="14"/>
  <c r="AD421" i="14" s="1"/>
  <c r="AI420" i="14"/>
  <c r="AH420" i="14"/>
  <c r="AD420" i="14"/>
  <c r="AC420" i="14"/>
  <c r="W420" i="14"/>
  <c r="X420" i="14" s="1"/>
  <c r="AI419" i="14"/>
  <c r="AC419" i="14"/>
  <c r="AD419" i="14" s="1"/>
  <c r="Z419" i="14"/>
  <c r="Y419" i="14" s="1"/>
  <c r="W419" i="14"/>
  <c r="X419" i="14" s="1"/>
  <c r="AI418" i="14"/>
  <c r="AC418" i="14"/>
  <c r="AD418" i="14" s="1"/>
  <c r="W418" i="14"/>
  <c r="X418" i="14" s="1"/>
  <c r="AI417" i="14"/>
  <c r="AD417" i="14"/>
  <c r="AC417" i="14"/>
  <c r="W417" i="14"/>
  <c r="X417" i="14" s="1"/>
  <c r="Z417" i="14" s="1"/>
  <c r="Y417" i="14" s="1"/>
  <c r="AI416" i="14"/>
  <c r="AC416" i="14"/>
  <c r="AD416" i="14" s="1"/>
  <c r="W416" i="14"/>
  <c r="X416" i="14" s="1"/>
  <c r="AG416" i="14" s="1"/>
  <c r="AI415" i="14"/>
  <c r="AC415" i="14"/>
  <c r="AD415" i="14" s="1"/>
  <c r="W415" i="14"/>
  <c r="X415" i="14" s="1"/>
  <c r="AI414" i="14"/>
  <c r="AC414" i="14"/>
  <c r="AD414" i="14" s="1"/>
  <c r="W414" i="14"/>
  <c r="X414" i="14" s="1"/>
  <c r="AG414" i="14" s="1"/>
  <c r="AI413" i="14"/>
  <c r="AH413" i="14"/>
  <c r="W413" i="14" s="1"/>
  <c r="X413" i="14" s="1"/>
  <c r="AC413" i="14"/>
  <c r="AD413" i="14" s="1"/>
  <c r="AI412" i="14"/>
  <c r="AH412" i="14"/>
  <c r="AC412" i="14"/>
  <c r="AD412" i="14" s="1"/>
  <c r="W412" i="14"/>
  <c r="X412" i="14" s="1"/>
  <c r="AI411" i="14"/>
  <c r="AH411" i="14"/>
  <c r="W411" i="14" s="1"/>
  <c r="AD411" i="14"/>
  <c r="AC411" i="14"/>
  <c r="X411" i="14"/>
  <c r="AI410" i="14"/>
  <c r="AC410" i="14"/>
  <c r="AD410" i="14" s="1"/>
  <c r="W410" i="14"/>
  <c r="X410" i="14" s="1"/>
  <c r="AI409" i="14"/>
  <c r="AC409" i="14"/>
  <c r="AD409" i="14" s="1"/>
  <c r="W409" i="14"/>
  <c r="X409" i="14" s="1"/>
  <c r="AI408" i="14"/>
  <c r="AC408" i="14"/>
  <c r="AD408" i="14" s="1"/>
  <c r="W408" i="14"/>
  <c r="X408" i="14" s="1"/>
  <c r="Z408" i="14" s="1"/>
  <c r="Y408" i="14" s="1"/>
  <c r="AI407" i="14"/>
  <c r="AC407" i="14"/>
  <c r="AI406" i="14"/>
  <c r="AD406" i="14"/>
  <c r="W406" i="14"/>
  <c r="X406" i="14" s="1"/>
  <c r="Z406" i="14" s="1"/>
  <c r="Y406" i="14" s="1"/>
  <c r="AI405" i="14"/>
  <c r="AD405" i="14"/>
  <c r="X405" i="14"/>
  <c r="Z405" i="14" s="1"/>
  <c r="Y405" i="14" s="1"/>
  <c r="W405" i="14"/>
  <c r="AI404" i="14"/>
  <c r="AD404" i="14"/>
  <c r="W404" i="14"/>
  <c r="X404" i="14" s="1"/>
  <c r="Z404" i="14" s="1"/>
  <c r="Y404" i="14" s="1"/>
  <c r="AI403" i="14"/>
  <c r="AD403" i="14"/>
  <c r="W403" i="14"/>
  <c r="X403" i="14" s="1"/>
  <c r="Z403" i="14" s="1"/>
  <c r="Y403" i="14" s="1"/>
  <c r="AI402" i="14"/>
  <c r="AD402" i="14"/>
  <c r="W402" i="14"/>
  <c r="X402" i="14" s="1"/>
  <c r="Z402" i="14" s="1"/>
  <c r="Y402" i="14" s="1"/>
  <c r="AI401" i="14"/>
  <c r="AD401" i="14"/>
  <c r="W401" i="14"/>
  <c r="X401" i="14" s="1"/>
  <c r="Z401" i="14" s="1"/>
  <c r="Y401" i="14" s="1"/>
  <c r="AI400" i="14"/>
  <c r="AD400" i="14"/>
  <c r="W400" i="14"/>
  <c r="X400" i="14" s="1"/>
  <c r="Z400" i="14" s="1"/>
  <c r="Y400" i="14" s="1"/>
  <c r="AI399" i="14"/>
  <c r="AD399" i="14"/>
  <c r="W399" i="14"/>
  <c r="X399" i="14" s="1"/>
  <c r="Z399" i="14" s="1"/>
  <c r="Y399" i="14" s="1"/>
  <c r="AI398" i="14"/>
  <c r="AD398" i="14"/>
  <c r="W398" i="14"/>
  <c r="X398" i="14" s="1"/>
  <c r="Z398" i="14" s="1"/>
  <c r="Y398" i="14" s="1"/>
  <c r="AI397" i="14"/>
  <c r="AD397" i="14"/>
  <c r="W397" i="14"/>
  <c r="X397" i="14" s="1"/>
  <c r="Z397" i="14" s="1"/>
  <c r="Y397" i="14" s="1"/>
  <c r="AI396" i="14"/>
  <c r="AD396" i="14"/>
  <c r="W396" i="14"/>
  <c r="X396" i="14" s="1"/>
  <c r="Z396" i="14" s="1"/>
  <c r="Y396" i="14" s="1"/>
  <c r="AI395" i="14"/>
  <c r="AD395" i="14"/>
  <c r="W395" i="14"/>
  <c r="X395" i="14" s="1"/>
  <c r="Z395" i="14" s="1"/>
  <c r="Y395" i="14" s="1"/>
  <c r="AI394" i="14"/>
  <c r="AD394" i="14"/>
  <c r="W394" i="14"/>
  <c r="X394" i="14" s="1"/>
  <c r="Z394" i="14" s="1"/>
  <c r="Y394" i="14" s="1"/>
  <c r="AI393" i="14"/>
  <c r="AD393" i="14"/>
  <c r="W393" i="14"/>
  <c r="X393" i="14" s="1"/>
  <c r="Z393" i="14" s="1"/>
  <c r="Y393" i="14" s="1"/>
  <c r="AI392" i="14"/>
  <c r="AD392" i="14"/>
  <c r="W392" i="14"/>
  <c r="X392" i="14" s="1"/>
  <c r="Z392" i="14" s="1"/>
  <c r="Y392" i="14" s="1"/>
  <c r="AI391" i="14"/>
  <c r="AD391" i="14"/>
  <c r="X391" i="14"/>
  <c r="Z391" i="14" s="1"/>
  <c r="Y391" i="14" s="1"/>
  <c r="W391" i="14"/>
  <c r="AI390" i="14"/>
  <c r="AD390" i="14"/>
  <c r="W390" i="14"/>
  <c r="X390" i="14" s="1"/>
  <c r="Z390" i="14" s="1"/>
  <c r="Y390" i="14" s="1"/>
  <c r="AI389" i="14"/>
  <c r="AD389" i="14"/>
  <c r="W389" i="14"/>
  <c r="X389" i="14" s="1"/>
  <c r="Z389" i="14" s="1"/>
  <c r="Y389" i="14" s="1"/>
  <c r="AI388" i="14"/>
  <c r="AD388" i="14"/>
  <c r="AC388" i="14"/>
  <c r="W388" i="14"/>
  <c r="X388" i="14" s="1"/>
  <c r="AI387" i="14"/>
  <c r="AC387" i="14"/>
  <c r="AD387" i="14" s="1"/>
  <c r="W387" i="14"/>
  <c r="X387" i="14" s="1"/>
  <c r="Z387" i="14" s="1"/>
  <c r="Y387" i="14" s="1"/>
  <c r="AI386" i="14"/>
  <c r="AG386" i="14" s="1"/>
  <c r="AC386" i="14"/>
  <c r="AD386" i="14" s="1"/>
  <c r="W386" i="14"/>
  <c r="X386" i="14" s="1"/>
  <c r="Z386" i="14" s="1"/>
  <c r="Y386" i="14" s="1"/>
  <c r="AI385" i="14"/>
  <c r="AC385" i="14"/>
  <c r="AD385" i="14" s="1"/>
  <c r="W385" i="14"/>
  <c r="X385" i="14" s="1"/>
  <c r="Z385" i="14" s="1"/>
  <c r="Y385" i="14" s="1"/>
  <c r="AI384" i="14"/>
  <c r="AC384" i="14"/>
  <c r="AD384" i="14" s="1"/>
  <c r="W384" i="14"/>
  <c r="X384" i="14" s="1"/>
  <c r="Z384" i="14" s="1"/>
  <c r="Y384" i="14" s="1"/>
  <c r="AI383" i="14"/>
  <c r="W383" i="14"/>
  <c r="AD383" i="14"/>
  <c r="AC383" i="14"/>
  <c r="X383" i="14"/>
  <c r="AI382" i="14"/>
  <c r="AD382" i="14"/>
  <c r="AC382" i="14"/>
  <c r="W382" i="14"/>
  <c r="X382" i="14" s="1"/>
  <c r="AI381" i="14"/>
  <c r="AC381" i="14"/>
  <c r="AD381" i="14" s="1"/>
  <c r="AI380" i="14"/>
  <c r="AG380" i="14"/>
  <c r="AC380" i="14"/>
  <c r="AD380" i="14" s="1"/>
  <c r="Z380" i="14"/>
  <c r="Y380" i="14" s="1"/>
  <c r="W380" i="14"/>
  <c r="X380" i="14" s="1"/>
  <c r="AI379" i="14"/>
  <c r="AC379" i="14"/>
  <c r="AD379" i="14" s="1"/>
  <c r="W379" i="14"/>
  <c r="X379" i="14" s="1"/>
  <c r="AI378" i="14"/>
  <c r="AC378" i="14"/>
  <c r="AD378" i="14" s="1"/>
  <c r="W378" i="14"/>
  <c r="X378" i="14" s="1"/>
  <c r="AI377" i="14"/>
  <c r="AC377" i="14"/>
  <c r="AI376" i="14"/>
  <c r="AC376" i="14"/>
  <c r="AD376" i="14" s="1"/>
  <c r="W376" i="14"/>
  <c r="X376" i="14" s="1"/>
  <c r="AI375" i="14"/>
  <c r="AD375" i="14"/>
  <c r="AC375" i="14"/>
  <c r="W375" i="14"/>
  <c r="X375" i="14" s="1"/>
  <c r="AI374" i="14"/>
  <c r="AD374" i="14"/>
  <c r="AC374" i="14"/>
  <c r="W374" i="14"/>
  <c r="X374" i="14" s="1"/>
  <c r="AI373" i="14"/>
  <c r="AG373" i="14" s="1"/>
  <c r="AC373" i="14"/>
  <c r="AD373" i="14" s="1"/>
  <c r="AA373" i="14"/>
  <c r="Y373" i="14"/>
  <c r="X373" i="14"/>
  <c r="W373" i="14"/>
  <c r="AI372" i="14"/>
  <c r="W372" i="14"/>
  <c r="X372" i="14" s="1"/>
  <c r="AG372" i="14"/>
  <c r="AD372" i="14"/>
  <c r="AC372" i="14"/>
  <c r="Z372" i="14"/>
  <c r="Y372" i="14"/>
  <c r="AI371" i="14"/>
  <c r="AC371" i="14"/>
  <c r="AD371" i="14" s="1"/>
  <c r="W371" i="14"/>
  <c r="X371" i="14" s="1"/>
  <c r="AI370" i="14"/>
  <c r="AC370" i="14"/>
  <c r="AD370" i="14" s="1"/>
  <c r="W370" i="14"/>
  <c r="X370" i="14" s="1"/>
  <c r="AI369" i="14"/>
  <c r="AC369" i="14"/>
  <c r="AI368" i="14"/>
  <c r="AC368" i="14"/>
  <c r="AD368" i="14" s="1"/>
  <c r="X368" i="14"/>
  <c r="W368" i="14"/>
  <c r="AI367" i="14"/>
  <c r="AC367" i="14"/>
  <c r="AD367" i="14" s="1"/>
  <c r="W367" i="14"/>
  <c r="X367" i="14" s="1"/>
  <c r="AI366" i="14"/>
  <c r="AC366" i="14"/>
  <c r="AD366" i="14" s="1"/>
  <c r="W366" i="14"/>
  <c r="X366" i="14" s="1"/>
  <c r="AI365" i="14"/>
  <c r="AC365" i="14"/>
  <c r="AD365" i="14" s="1"/>
  <c r="W365" i="14"/>
  <c r="X365" i="14" s="1"/>
  <c r="AG365" i="14" s="1"/>
  <c r="AI364" i="14"/>
  <c r="AD364" i="14"/>
  <c r="AC364" i="14"/>
  <c r="W364" i="14"/>
  <c r="X364" i="14" s="1"/>
  <c r="AI363" i="14"/>
  <c r="AC363" i="14"/>
  <c r="AD363" i="14" s="1"/>
  <c r="AI362" i="14"/>
  <c r="AH362" i="14"/>
  <c r="W362" i="14" s="1"/>
  <c r="X362" i="14" s="1"/>
  <c r="Z362" i="14" s="1"/>
  <c r="Y362" i="14" s="1"/>
  <c r="AG362" i="14"/>
  <c r="AC362" i="14"/>
  <c r="AD362" i="14" s="1"/>
  <c r="AI361" i="14"/>
  <c r="AD361" i="14"/>
  <c r="AC361" i="14"/>
  <c r="W361" i="14"/>
  <c r="X361" i="14" s="1"/>
  <c r="Z361" i="14" s="1"/>
  <c r="Y361" i="14" s="1"/>
  <c r="AI360" i="14"/>
  <c r="AC360" i="14"/>
  <c r="AD360" i="14" s="1"/>
  <c r="AI359" i="14"/>
  <c r="AD359" i="14"/>
  <c r="AC359" i="14"/>
  <c r="W359" i="14"/>
  <c r="X359" i="14" s="1"/>
  <c r="AG359" i="14" s="1"/>
  <c r="AI358" i="14"/>
  <c r="AD358" i="14"/>
  <c r="AC358" i="14"/>
  <c r="W358" i="14"/>
  <c r="X358" i="14" s="1"/>
  <c r="AG358" i="14" s="1"/>
  <c r="AI357" i="14"/>
  <c r="AD357" i="14"/>
  <c r="AC357" i="14"/>
  <c r="W357" i="14"/>
  <c r="X357" i="14" s="1"/>
  <c r="AI356" i="14"/>
  <c r="AD356" i="14"/>
  <c r="AC356" i="14"/>
  <c r="W356" i="14"/>
  <c r="X356" i="14" s="1"/>
  <c r="AI355" i="14"/>
  <c r="AD355" i="14"/>
  <c r="AC355" i="14"/>
  <c r="W355" i="14"/>
  <c r="X355" i="14" s="1"/>
  <c r="AI354" i="14"/>
  <c r="AG354" i="14"/>
  <c r="AC354" i="14"/>
  <c r="AD354" i="14" s="1"/>
  <c r="Y354" i="14"/>
  <c r="W354" i="14"/>
  <c r="X354" i="14" s="1"/>
  <c r="Z354" i="14" s="1"/>
  <c r="AI353" i="14"/>
  <c r="AD353" i="14"/>
  <c r="AC353" i="14"/>
  <c r="W353" i="14"/>
  <c r="X353" i="14" s="1"/>
  <c r="Z353" i="14" s="1"/>
  <c r="Y353" i="14" s="1"/>
  <c r="AI352" i="14"/>
  <c r="AC352" i="14"/>
  <c r="AD352" i="14" s="1"/>
  <c r="W352" i="14"/>
  <c r="X352" i="14" s="1"/>
  <c r="Z352" i="14" s="1"/>
  <c r="Y352" i="14" s="1"/>
  <c r="AI351" i="14"/>
  <c r="AD351" i="14"/>
  <c r="AC351" i="14"/>
  <c r="W351" i="14"/>
  <c r="X351" i="14" s="1"/>
  <c r="AI350" i="14"/>
  <c r="AD350" i="14"/>
  <c r="AC350" i="14"/>
  <c r="W350" i="14"/>
  <c r="X350" i="14" s="1"/>
  <c r="Z350" i="14" s="1"/>
  <c r="Y350" i="14" s="1"/>
  <c r="AI349" i="14"/>
  <c r="AD349" i="14"/>
  <c r="AC349" i="14"/>
  <c r="W349" i="14"/>
  <c r="X349" i="14" s="1"/>
  <c r="AI348" i="14"/>
  <c r="AC348" i="14"/>
  <c r="AD348" i="14" s="1"/>
  <c r="W348" i="14"/>
  <c r="X348" i="14" s="1"/>
  <c r="Z348" i="14" s="1"/>
  <c r="Y348" i="14" s="1"/>
  <c r="AI347" i="14"/>
  <c r="AD347" i="14"/>
  <c r="AC347" i="14"/>
  <c r="W347" i="14"/>
  <c r="X347" i="14" s="1"/>
  <c r="Z347" i="14" s="1"/>
  <c r="Y347" i="14" s="1"/>
  <c r="AI346" i="14"/>
  <c r="AC346" i="14"/>
  <c r="AD346" i="14" s="1"/>
  <c r="W346" i="14"/>
  <c r="X346" i="14" s="1"/>
  <c r="AI345" i="14"/>
  <c r="AD345" i="14"/>
  <c r="AC345" i="14"/>
  <c r="W345" i="14"/>
  <c r="X345" i="14" s="1"/>
  <c r="AG345" i="14" s="1"/>
  <c r="AI344" i="14"/>
  <c r="AC344" i="14"/>
  <c r="AD344" i="14" s="1"/>
  <c r="W344" i="14"/>
  <c r="X344" i="14" s="1"/>
  <c r="Z344" i="14" s="1"/>
  <c r="Y344" i="14" s="1"/>
  <c r="AI343" i="14"/>
  <c r="AC343" i="14"/>
  <c r="AD343" i="14" s="1"/>
  <c r="W343" i="14"/>
  <c r="X343" i="14" s="1"/>
  <c r="AI342" i="14"/>
  <c r="AD342" i="14"/>
  <c r="AC342" i="14"/>
  <c r="W342" i="14"/>
  <c r="X342" i="14" s="1"/>
  <c r="Z342" i="14" s="1"/>
  <c r="Y342" i="14" s="1"/>
  <c r="AI341" i="14"/>
  <c r="AC341" i="14"/>
  <c r="AD341" i="14" s="1"/>
  <c r="W341" i="14"/>
  <c r="X341" i="14" s="1"/>
  <c r="AG341" i="14" s="1"/>
  <c r="AI340" i="14"/>
  <c r="AC340" i="14"/>
  <c r="AD340" i="14" s="1"/>
  <c r="W340" i="14"/>
  <c r="X340" i="14" s="1"/>
  <c r="Z340" i="14" s="1"/>
  <c r="Y340" i="14" s="1"/>
  <c r="AI339" i="14"/>
  <c r="AC339" i="14"/>
  <c r="AD339" i="14" s="1"/>
  <c r="W339" i="14"/>
  <c r="X339" i="14" s="1"/>
  <c r="Z339" i="14" s="1"/>
  <c r="Y339" i="14" s="1"/>
  <c r="AI338" i="14"/>
  <c r="AC338" i="14"/>
  <c r="AD338" i="14" s="1"/>
  <c r="W338" i="14"/>
  <c r="X338" i="14" s="1"/>
  <c r="Z338" i="14" s="1"/>
  <c r="Y338" i="14" s="1"/>
  <c r="AI337" i="14"/>
  <c r="AC337" i="14"/>
  <c r="AD337" i="14" s="1"/>
  <c r="W337" i="14"/>
  <c r="X337" i="14" s="1"/>
  <c r="AI336" i="14"/>
  <c r="AC336" i="14"/>
  <c r="AD336" i="14" s="1"/>
  <c r="X336" i="14"/>
  <c r="Z336" i="14" s="1"/>
  <c r="Y336" i="14" s="1"/>
  <c r="W336" i="14"/>
  <c r="AI335" i="14"/>
  <c r="AC335" i="14"/>
  <c r="AD335" i="14" s="1"/>
  <c r="W335" i="14"/>
  <c r="X335" i="14" s="1"/>
  <c r="AG335" i="14" s="1"/>
  <c r="AI334" i="14"/>
  <c r="AH334" i="14"/>
  <c r="W334" i="14" s="1"/>
  <c r="X334" i="14" s="1"/>
  <c r="AD334" i="14"/>
  <c r="AC334" i="14"/>
  <c r="AI333" i="14"/>
  <c r="AH333" i="14"/>
  <c r="W333" i="14" s="1"/>
  <c r="AD333" i="14"/>
  <c r="AC333" i="14"/>
  <c r="X333" i="14"/>
  <c r="AG333" i="14" s="1"/>
  <c r="AI332" i="14"/>
  <c r="AD332" i="14"/>
  <c r="AC332" i="14"/>
  <c r="Z332" i="14"/>
  <c r="Y332" i="14" s="1"/>
  <c r="W332" i="14"/>
  <c r="X332" i="14" s="1"/>
  <c r="AG332" i="14" s="1"/>
  <c r="AI331" i="14"/>
  <c r="AD331" i="14"/>
  <c r="AC331" i="14"/>
  <c r="W331" i="14"/>
  <c r="X331" i="14" s="1"/>
  <c r="AI330" i="14"/>
  <c r="AD330" i="14"/>
  <c r="AC330" i="14"/>
  <c r="W330" i="14"/>
  <c r="X330" i="14" s="1"/>
  <c r="Z330" i="14" s="1"/>
  <c r="Y330" i="14" s="1"/>
  <c r="AI329" i="14"/>
  <c r="AD329" i="14"/>
  <c r="AC329" i="14"/>
  <c r="W329" i="14"/>
  <c r="X329" i="14" s="1"/>
  <c r="AI328" i="14"/>
  <c r="AC328" i="14"/>
  <c r="AD328" i="14" s="1"/>
  <c r="W328" i="14"/>
  <c r="X328" i="14" s="1"/>
  <c r="AI327" i="14"/>
  <c r="AC327" i="14"/>
  <c r="AI326" i="14"/>
  <c r="AD326" i="14"/>
  <c r="AC326" i="14"/>
  <c r="W326" i="14"/>
  <c r="X326" i="14" s="1"/>
  <c r="AI325" i="14"/>
  <c r="AC325" i="14"/>
  <c r="AD325" i="14" s="1"/>
  <c r="W325" i="14"/>
  <c r="X325" i="14" s="1"/>
  <c r="AG325" i="14" s="1"/>
  <c r="AI324" i="14"/>
  <c r="AD324" i="14"/>
  <c r="AC324" i="14"/>
  <c r="W324" i="14"/>
  <c r="X324" i="14" s="1"/>
  <c r="AI323" i="14"/>
  <c r="AD323" i="14"/>
  <c r="AC323" i="14"/>
  <c r="W323" i="14"/>
  <c r="X323" i="14" s="1"/>
  <c r="AI322" i="14"/>
  <c r="AC322" i="14"/>
  <c r="AD322" i="14" s="1"/>
  <c r="W322" i="14"/>
  <c r="X322" i="14" s="1"/>
  <c r="AG322" i="14" s="1"/>
  <c r="AI321" i="14"/>
  <c r="AC321" i="14"/>
  <c r="AD321" i="14" s="1"/>
  <c r="W321" i="14"/>
  <c r="X321" i="14" s="1"/>
  <c r="AI320" i="14"/>
  <c r="AD320" i="14"/>
  <c r="AC320" i="14"/>
  <c r="W320" i="14"/>
  <c r="X320" i="14" s="1"/>
  <c r="AI319" i="14"/>
  <c r="AD319" i="14"/>
  <c r="AC319" i="14"/>
  <c r="W319" i="14"/>
  <c r="X319" i="14" s="1"/>
  <c r="AG319" i="14" s="1"/>
  <c r="AI318" i="14"/>
  <c r="AD318" i="14"/>
  <c r="AC318" i="14"/>
  <c r="W318" i="14"/>
  <c r="X318" i="14" s="1"/>
  <c r="AI317" i="14"/>
  <c r="AD317" i="14"/>
  <c r="AC317" i="14"/>
  <c r="W317" i="14"/>
  <c r="X317" i="14" s="1"/>
  <c r="AG317" i="14" s="1"/>
  <c r="AI316" i="14"/>
  <c r="AD316" i="14"/>
  <c r="AC316" i="14"/>
  <c r="W316" i="14"/>
  <c r="X316" i="14" s="1"/>
  <c r="AI315" i="14"/>
  <c r="AC315" i="14"/>
  <c r="AD315" i="14" s="1"/>
  <c r="W315" i="14"/>
  <c r="X315" i="14" s="1"/>
  <c r="Z315" i="14" s="1"/>
  <c r="Y315" i="14" s="1"/>
  <c r="AI314" i="14"/>
  <c r="AD314" i="14"/>
  <c r="AC314" i="14"/>
  <c r="W314" i="14"/>
  <c r="X314" i="14" s="1"/>
  <c r="AI313" i="14"/>
  <c r="AG313" i="14"/>
  <c r="AC313" i="14"/>
  <c r="AD313" i="14" s="1"/>
  <c r="W313" i="14"/>
  <c r="X313" i="14" s="1"/>
  <c r="Z313" i="14" s="1"/>
  <c r="Y313" i="14" s="1"/>
  <c r="AI312" i="14"/>
  <c r="AD312" i="14"/>
  <c r="AC312" i="14"/>
  <c r="W312" i="14"/>
  <c r="X312" i="14" s="1"/>
  <c r="AI311" i="14"/>
  <c r="AD311" i="14"/>
  <c r="AC311" i="14"/>
  <c r="W311" i="14"/>
  <c r="X311" i="14" s="1"/>
  <c r="AI310" i="14"/>
  <c r="AC310" i="14"/>
  <c r="AD310" i="14" s="1"/>
  <c r="W310" i="14"/>
  <c r="X310" i="14" s="1"/>
  <c r="AI309" i="14"/>
  <c r="AC309" i="14"/>
  <c r="AD309" i="14" s="1"/>
  <c r="W309" i="14"/>
  <c r="X309" i="14" s="1"/>
  <c r="AI308" i="14"/>
  <c r="AD308" i="14"/>
  <c r="AC308" i="14"/>
  <c r="W308" i="14"/>
  <c r="X308" i="14" s="1"/>
  <c r="AG308" i="14" s="1"/>
  <c r="AI307" i="14"/>
  <c r="AC307" i="14"/>
  <c r="AD307" i="14" s="1"/>
  <c r="W307" i="14"/>
  <c r="X307" i="14" s="1"/>
  <c r="AG307" i="14" s="1"/>
  <c r="AI306" i="14"/>
  <c r="AD306" i="14"/>
  <c r="AC306" i="14"/>
  <c r="X306" i="14"/>
  <c r="W306" i="14"/>
  <c r="AI305" i="14"/>
  <c r="AD305" i="14"/>
  <c r="AC305" i="14"/>
  <c r="W305" i="14"/>
  <c r="X305" i="14" s="1"/>
  <c r="AG305" i="14" s="1"/>
  <c r="AI304" i="14"/>
  <c r="AC304" i="14"/>
  <c r="AD304" i="14" s="1"/>
  <c r="W304" i="14"/>
  <c r="X304" i="14" s="1"/>
  <c r="AI303" i="14"/>
  <c r="AC303" i="14"/>
  <c r="AD303" i="14" s="1"/>
  <c r="W303" i="14"/>
  <c r="X303" i="14" s="1"/>
  <c r="AI302" i="14"/>
  <c r="AD302" i="14"/>
  <c r="AC302" i="14"/>
  <c r="W302" i="14"/>
  <c r="X302" i="14" s="1"/>
  <c r="AI301" i="14"/>
  <c r="AC301" i="14"/>
  <c r="AD301" i="14" s="1"/>
  <c r="W301" i="14"/>
  <c r="X301" i="14" s="1"/>
  <c r="AG301" i="14" s="1"/>
  <c r="AI300" i="14"/>
  <c r="AG300" i="14" s="1"/>
  <c r="AC300" i="14"/>
  <c r="AD300" i="14" s="1"/>
  <c r="Z300" i="14"/>
  <c r="Y300" i="14" s="1"/>
  <c r="W300" i="14"/>
  <c r="X300" i="14" s="1"/>
  <c r="AI299" i="14"/>
  <c r="AD299" i="14"/>
  <c r="AC299" i="14"/>
  <c r="W299" i="14"/>
  <c r="X299" i="14" s="1"/>
  <c r="AG299" i="14" s="1"/>
  <c r="AI298" i="14"/>
  <c r="AD298" i="14"/>
  <c r="AC298" i="14"/>
  <c r="W298" i="14"/>
  <c r="X298" i="14" s="1"/>
  <c r="AI297" i="14"/>
  <c r="AC297" i="14"/>
  <c r="AD297" i="14" s="1"/>
  <c r="W297" i="14"/>
  <c r="X297" i="14" s="1"/>
  <c r="AI296" i="14"/>
  <c r="AD296" i="14"/>
  <c r="AC296" i="14"/>
  <c r="W296" i="14"/>
  <c r="X296" i="14" s="1"/>
  <c r="AI295" i="14"/>
  <c r="AC295" i="14"/>
  <c r="AD295" i="14" s="1"/>
  <c r="W295" i="14"/>
  <c r="X295" i="14" s="1"/>
  <c r="AI294" i="14"/>
  <c r="AC294" i="14"/>
  <c r="AD294" i="14" s="1"/>
  <c r="X294" i="14"/>
  <c r="Z294" i="14" s="1"/>
  <c r="Y294" i="14" s="1"/>
  <c r="W294" i="14"/>
  <c r="AI293" i="14"/>
  <c r="AD293" i="14"/>
  <c r="AC293" i="14"/>
  <c r="W293" i="14"/>
  <c r="X293" i="14" s="1"/>
  <c r="AI292" i="14"/>
  <c r="AD292" i="14"/>
  <c r="AC292" i="14"/>
  <c r="W292" i="14"/>
  <c r="X292" i="14" s="1"/>
  <c r="AI291" i="14"/>
  <c r="AC291" i="14"/>
  <c r="AD291" i="14" s="1"/>
  <c r="X291" i="14"/>
  <c r="AG291" i="14" s="1"/>
  <c r="W291" i="14"/>
  <c r="AI290" i="14"/>
  <c r="AD290" i="14"/>
  <c r="AC290" i="14"/>
  <c r="W290" i="14"/>
  <c r="X290" i="14" s="1"/>
  <c r="AG290" i="14" s="1"/>
  <c r="AI289" i="14"/>
  <c r="AD289" i="14"/>
  <c r="AC289" i="14"/>
  <c r="W289" i="14"/>
  <c r="X289" i="14" s="1"/>
  <c r="Z289" i="14" s="1"/>
  <c r="Y289" i="14" s="1"/>
  <c r="AI288" i="14"/>
  <c r="AC288" i="14"/>
  <c r="AD288" i="14" s="1"/>
  <c r="W288" i="14"/>
  <c r="X288" i="14" s="1"/>
  <c r="AG288" i="14" s="1"/>
  <c r="AI287" i="14"/>
  <c r="AD287" i="14"/>
  <c r="AC287" i="14"/>
  <c r="W287" i="14"/>
  <c r="X287" i="14" s="1"/>
  <c r="AI286" i="14"/>
  <c r="AC286" i="14"/>
  <c r="AD286" i="14" s="1"/>
  <c r="W286" i="14"/>
  <c r="X286" i="14" s="1"/>
  <c r="Z286" i="14" s="1"/>
  <c r="Y286" i="14" s="1"/>
  <c r="AI285" i="14"/>
  <c r="AC285" i="14"/>
  <c r="AD285" i="14" s="1"/>
  <c r="W285" i="14"/>
  <c r="X285" i="14" s="1"/>
  <c r="Z285" i="14" s="1"/>
  <c r="Y285" i="14" s="1"/>
  <c r="AI284" i="14"/>
  <c r="AD284" i="14"/>
  <c r="AC284" i="14"/>
  <c r="W284" i="14"/>
  <c r="X284" i="14" s="1"/>
  <c r="AG284" i="14" s="1"/>
  <c r="AI283" i="14"/>
  <c r="AD283" i="14"/>
  <c r="AC283" i="14"/>
  <c r="W283" i="14"/>
  <c r="X283" i="14" s="1"/>
  <c r="AI282" i="14"/>
  <c r="AG282" i="14"/>
  <c r="AD282" i="14"/>
  <c r="AC282" i="14"/>
  <c r="W282" i="14"/>
  <c r="X282" i="14" s="1"/>
  <c r="Z282" i="14" s="1"/>
  <c r="Y282" i="14" s="1"/>
  <c r="AI281" i="14"/>
  <c r="AD281" i="14"/>
  <c r="AC281" i="14"/>
  <c r="W281" i="14"/>
  <c r="X281" i="14" s="1"/>
  <c r="AI280" i="14"/>
  <c r="AC280" i="14"/>
  <c r="AD280" i="14" s="1"/>
  <c r="W280" i="14"/>
  <c r="X280" i="14" s="1"/>
  <c r="AI279" i="14"/>
  <c r="AC279" i="14"/>
  <c r="AD279" i="14" s="1"/>
  <c r="W279" i="14"/>
  <c r="X279" i="14" s="1"/>
  <c r="AI278" i="14"/>
  <c r="AD278" i="14"/>
  <c r="AC278" i="14"/>
  <c r="W278" i="14"/>
  <c r="X278" i="14" s="1"/>
  <c r="AI277" i="14"/>
  <c r="AC277" i="14"/>
  <c r="AD277" i="14" s="1"/>
  <c r="W277" i="14"/>
  <c r="X277" i="14" s="1"/>
  <c r="Z277" i="14" s="1"/>
  <c r="Y277" i="14" s="1"/>
  <c r="AI276" i="14"/>
  <c r="AC276" i="14"/>
  <c r="AD276" i="14" s="1"/>
  <c r="W276" i="14"/>
  <c r="X276" i="14" s="1"/>
  <c r="AI275" i="14"/>
  <c r="AD275" i="14"/>
  <c r="AC275" i="14"/>
  <c r="W275" i="14"/>
  <c r="X275" i="14" s="1"/>
  <c r="AG275" i="14" s="1"/>
  <c r="AI274" i="14"/>
  <c r="AC274" i="14"/>
  <c r="AD274" i="14" s="1"/>
  <c r="W274" i="14"/>
  <c r="X274" i="14" s="1"/>
  <c r="AI273" i="14"/>
  <c r="AG273" i="14"/>
  <c r="AD273" i="14"/>
  <c r="AC273" i="14"/>
  <c r="W273" i="14"/>
  <c r="X273" i="14" s="1"/>
  <c r="Z273" i="14" s="1"/>
  <c r="Y273" i="14" s="1"/>
  <c r="AI272" i="14"/>
  <c r="AD272" i="14"/>
  <c r="AC272" i="14"/>
  <c r="W272" i="14"/>
  <c r="X272" i="14" s="1"/>
  <c r="AI271" i="14"/>
  <c r="AD271" i="14"/>
  <c r="AC271" i="14"/>
  <c r="W271" i="14"/>
  <c r="X271" i="14" s="1"/>
  <c r="AI270" i="14"/>
  <c r="AC270" i="14"/>
  <c r="AD270" i="14" s="1"/>
  <c r="W270" i="14"/>
  <c r="X270" i="14" s="1"/>
  <c r="Z270" i="14" s="1"/>
  <c r="Y270" i="14" s="1"/>
  <c r="AI269" i="14"/>
  <c r="AD269" i="14"/>
  <c r="AC269" i="14"/>
  <c r="W269" i="14"/>
  <c r="X269" i="14" s="1"/>
  <c r="AI268" i="14"/>
  <c r="AC268" i="14"/>
  <c r="AD268" i="14" s="1"/>
  <c r="W268" i="14"/>
  <c r="X268" i="14" s="1"/>
  <c r="AI267" i="14"/>
  <c r="AC267" i="14"/>
  <c r="AD267" i="14" s="1"/>
  <c r="W267" i="14"/>
  <c r="X267" i="14" s="1"/>
  <c r="AI266" i="14"/>
  <c r="AD266" i="14"/>
  <c r="AC266" i="14"/>
  <c r="W266" i="14"/>
  <c r="X266" i="14" s="1"/>
  <c r="AI265" i="14"/>
  <c r="AC265" i="14"/>
  <c r="AD265" i="14" s="1"/>
  <c r="W265" i="14"/>
  <c r="X265" i="14" s="1"/>
  <c r="AG265" i="14" s="1"/>
  <c r="AI264" i="14"/>
  <c r="AC264" i="14"/>
  <c r="AD264" i="14" s="1"/>
  <c r="W264" i="14"/>
  <c r="X264" i="14" s="1"/>
  <c r="AG264" i="14" s="1"/>
  <c r="AI263" i="14"/>
  <c r="AD263" i="14"/>
  <c r="AC263" i="14"/>
  <c r="W263" i="14"/>
  <c r="X263" i="14" s="1"/>
  <c r="AI262" i="14"/>
  <c r="AC262" i="14"/>
  <c r="AD262" i="14" s="1"/>
  <c r="W262" i="14"/>
  <c r="X262" i="14" s="1"/>
  <c r="Z262" i="14" s="1"/>
  <c r="Y262" i="14" s="1"/>
  <c r="AI261" i="14"/>
  <c r="AD261" i="14"/>
  <c r="AC261" i="14"/>
  <c r="W261" i="14"/>
  <c r="X261" i="14" s="1"/>
  <c r="AI260" i="14"/>
  <c r="AD260" i="14"/>
  <c r="AC260" i="14"/>
  <c r="W260" i="14"/>
  <c r="X260" i="14" s="1"/>
  <c r="AG260" i="14" s="1"/>
  <c r="AI259" i="14"/>
  <c r="AG259" i="14"/>
  <c r="AD259" i="14"/>
  <c r="AC259" i="14"/>
  <c r="W259" i="14"/>
  <c r="X259" i="14" s="1"/>
  <c r="Z259" i="14" s="1"/>
  <c r="Y259" i="14" s="1"/>
  <c r="AI258" i="14"/>
  <c r="AC258" i="14"/>
  <c r="AD258" i="14" s="1"/>
  <c r="W258" i="14"/>
  <c r="X258" i="14" s="1"/>
  <c r="AI257" i="14"/>
  <c r="AD257" i="14"/>
  <c r="AC257" i="14"/>
  <c r="W257" i="14"/>
  <c r="X257" i="14" s="1"/>
  <c r="AI256" i="14"/>
  <c r="AD256" i="14"/>
  <c r="AC256" i="14"/>
  <c r="W256" i="14"/>
  <c r="X256" i="14" s="1"/>
  <c r="Z256" i="14" s="1"/>
  <c r="Y256" i="14" s="1"/>
  <c r="AI255" i="14"/>
  <c r="AC255" i="14"/>
  <c r="AD255" i="14" s="1"/>
  <c r="W255" i="14"/>
  <c r="X255" i="14" s="1"/>
  <c r="AG255" i="14" s="1"/>
  <c r="AI254" i="14"/>
  <c r="AD254" i="14"/>
  <c r="AC254" i="14"/>
  <c r="W254" i="14"/>
  <c r="X254" i="14" s="1"/>
  <c r="AI253" i="14"/>
  <c r="AC253" i="14"/>
  <c r="AD253" i="14" s="1"/>
  <c r="Z253" i="14"/>
  <c r="Y253" i="14" s="1"/>
  <c r="W253" i="14"/>
  <c r="X253" i="14" s="1"/>
  <c r="AG253" i="14" s="1"/>
  <c r="AI252" i="14"/>
  <c r="AD252" i="14"/>
  <c r="AC252" i="14"/>
  <c r="W252" i="14"/>
  <c r="X252" i="14" s="1"/>
  <c r="AI251" i="14"/>
  <c r="AD251" i="14"/>
  <c r="AC251" i="14"/>
  <c r="W251" i="14"/>
  <c r="X251" i="14" s="1"/>
  <c r="AI250" i="14"/>
  <c r="AC250" i="14"/>
  <c r="AD250" i="14" s="1"/>
  <c r="W250" i="14"/>
  <c r="X250" i="14" s="1"/>
  <c r="AI249" i="14"/>
  <c r="AC249" i="14"/>
  <c r="AD249" i="14" s="1"/>
  <c r="W249" i="14"/>
  <c r="X249" i="14" s="1"/>
  <c r="AG249" i="14" s="1"/>
  <c r="AI248" i="14"/>
  <c r="AD248" i="14"/>
  <c r="AC248" i="14"/>
  <c r="W248" i="14"/>
  <c r="X248" i="14" s="1"/>
  <c r="AI247" i="14"/>
  <c r="AC247" i="14"/>
  <c r="AD247" i="14" s="1"/>
  <c r="W247" i="14"/>
  <c r="X247" i="14" s="1"/>
  <c r="AG247" i="14" s="1"/>
  <c r="AI246" i="14"/>
  <c r="AD246" i="14"/>
  <c r="AC246" i="14"/>
  <c r="W246" i="14"/>
  <c r="X246" i="14" s="1"/>
  <c r="AI245" i="14"/>
  <c r="AD245" i="14"/>
  <c r="AC245" i="14"/>
  <c r="W245" i="14"/>
  <c r="X245" i="14" s="1"/>
  <c r="AI244" i="14"/>
  <c r="AC244" i="14"/>
  <c r="AD244" i="14" s="1"/>
  <c r="W244" i="14"/>
  <c r="X244" i="14" s="1"/>
  <c r="AI243" i="14"/>
  <c r="AC243" i="14"/>
  <c r="AD243" i="14" s="1"/>
  <c r="W243" i="14"/>
  <c r="X243" i="14" s="1"/>
  <c r="AI242" i="14"/>
  <c r="AD242" i="14"/>
  <c r="AC242" i="14"/>
  <c r="W242" i="14"/>
  <c r="X242" i="14" s="1"/>
  <c r="AI241" i="14"/>
  <c r="AC241" i="14"/>
  <c r="AD241" i="14" s="1"/>
  <c r="W241" i="14"/>
  <c r="X241" i="14" s="1"/>
  <c r="AI240" i="14"/>
  <c r="AD240" i="14"/>
  <c r="AC240" i="14"/>
  <c r="X240" i="14"/>
  <c r="AG240" i="14" s="1"/>
  <c r="W240" i="14"/>
  <c r="AI239" i="14"/>
  <c r="AD239" i="14"/>
  <c r="AC239" i="14"/>
  <c r="X239" i="14"/>
  <c r="W239" i="14"/>
  <c r="AI238" i="14"/>
  <c r="AD238" i="14"/>
  <c r="AC238" i="14"/>
  <c r="AI237" i="14"/>
  <c r="AC237" i="14"/>
  <c r="AI236" i="14"/>
  <c r="AH236" i="14"/>
  <c r="W236" i="14" s="1"/>
  <c r="X236" i="14" s="1"/>
  <c r="AG236" i="14" s="1"/>
  <c r="AC236" i="14"/>
  <c r="AD236" i="14" s="1"/>
  <c r="AI235" i="14"/>
  <c r="AD235" i="14"/>
  <c r="AC235" i="14"/>
  <c r="W235" i="14"/>
  <c r="X235" i="14" s="1"/>
  <c r="AI234" i="14"/>
  <c r="AH234" i="14"/>
  <c r="AC234" i="14"/>
  <c r="AD234" i="14" s="1"/>
  <c r="W234" i="14"/>
  <c r="X234" i="14" s="1"/>
  <c r="AI233" i="14"/>
  <c r="AH233" i="14"/>
  <c r="AC233" i="14"/>
  <c r="AD233" i="14" s="1"/>
  <c r="W233" i="14"/>
  <c r="X233" i="14" s="1"/>
  <c r="AI232" i="14"/>
  <c r="AC232" i="14"/>
  <c r="AD232" i="14" s="1"/>
  <c r="W232" i="14"/>
  <c r="X232" i="14" s="1"/>
  <c r="AI231" i="14"/>
  <c r="AC231" i="14"/>
  <c r="AD231" i="14" s="1"/>
  <c r="W231" i="14"/>
  <c r="X231" i="14" s="1"/>
  <c r="AI230" i="14"/>
  <c r="AH230" i="14"/>
  <c r="AC230" i="14"/>
  <c r="AD230" i="14" s="1"/>
  <c r="W230" i="14"/>
  <c r="X230" i="14" s="1"/>
  <c r="AG230" i="14" s="1"/>
  <c r="AI229" i="14"/>
  <c r="AH229" i="14"/>
  <c r="AC229" i="14"/>
  <c r="AD229" i="14" s="1"/>
  <c r="W229" i="14"/>
  <c r="X229" i="14" s="1"/>
  <c r="AI228" i="14"/>
  <c r="AH228" i="14"/>
  <c r="AC228" i="14"/>
  <c r="AD228" i="14" s="1"/>
  <c r="W228" i="14"/>
  <c r="X228" i="14" s="1"/>
  <c r="AI227" i="14"/>
  <c r="AH227" i="14"/>
  <c r="AC227" i="14"/>
  <c r="AD227" i="14" s="1"/>
  <c r="W227" i="14"/>
  <c r="X227" i="14" s="1"/>
  <c r="AI226" i="14"/>
  <c r="AG226" i="14" s="1"/>
  <c r="AH226" i="14"/>
  <c r="W226" i="14" s="1"/>
  <c r="AD226" i="14"/>
  <c r="AC226" i="14"/>
  <c r="X226" i="14"/>
  <c r="Z226" i="14" s="1"/>
  <c r="Y226" i="14" s="1"/>
  <c r="AI225" i="14"/>
  <c r="AC225" i="14"/>
  <c r="AD225" i="14" s="1"/>
  <c r="W225" i="14"/>
  <c r="X225" i="14" s="1"/>
  <c r="AI224" i="14"/>
  <c r="AC224" i="14"/>
  <c r="AD224" i="14" s="1"/>
  <c r="W224" i="14"/>
  <c r="X224" i="14" s="1"/>
  <c r="Z224" i="14" s="1"/>
  <c r="Y224" i="14" s="1"/>
  <c r="AI223" i="14"/>
  <c r="AC223" i="14"/>
  <c r="AD223" i="14" s="1"/>
  <c r="W223" i="14"/>
  <c r="X223" i="14" s="1"/>
  <c r="AI222" i="14"/>
  <c r="AC222" i="14"/>
  <c r="AD222" i="14" s="1"/>
  <c r="AI221" i="14"/>
  <c r="AD221" i="14"/>
  <c r="AC221" i="14"/>
  <c r="AI220" i="14"/>
  <c r="AC220" i="14"/>
  <c r="AI219" i="14"/>
  <c r="AC219" i="14"/>
  <c r="AD219" i="14" s="1"/>
  <c r="W219" i="14"/>
  <c r="X219" i="14" s="1"/>
  <c r="Z219" i="14" s="1"/>
  <c r="Y219" i="14" s="1"/>
  <c r="AI218" i="14"/>
  <c r="AC218" i="14"/>
  <c r="AD218" i="14" s="1"/>
  <c r="W218" i="14"/>
  <c r="X218" i="14" s="1"/>
  <c r="AI217" i="14"/>
  <c r="AH217" i="14"/>
  <c r="W217" i="14" s="1"/>
  <c r="X217" i="14" s="1"/>
  <c r="AC217" i="14"/>
  <c r="AD217" i="14" s="1"/>
  <c r="AI216" i="14"/>
  <c r="AH216" i="14"/>
  <c r="AD216" i="14"/>
  <c r="AC216" i="14"/>
  <c r="W216" i="14"/>
  <c r="X216" i="14" s="1"/>
  <c r="AI215" i="14"/>
  <c r="AH215" i="14"/>
  <c r="AC215" i="14"/>
  <c r="AD215" i="14" s="1"/>
  <c r="W215" i="14"/>
  <c r="X215" i="14" s="1"/>
  <c r="AI214" i="14"/>
  <c r="AH214" i="14"/>
  <c r="W214" i="14" s="1"/>
  <c r="X214" i="14" s="1"/>
  <c r="Z214" i="14" s="1"/>
  <c r="Y214" i="14" s="1"/>
  <c r="AG214" i="14"/>
  <c r="AC214" i="14"/>
  <c r="AD214" i="14" s="1"/>
  <c r="AI213" i="14"/>
  <c r="AH213" i="14"/>
  <c r="AC213" i="14"/>
  <c r="AD213" i="14" s="1"/>
  <c r="W213" i="14"/>
  <c r="X213" i="14" s="1"/>
  <c r="AI212" i="14"/>
  <c r="AH212" i="14"/>
  <c r="AG212" i="14"/>
  <c r="AC212" i="14"/>
  <c r="AD212" i="14" s="1"/>
  <c r="W212" i="14"/>
  <c r="X212" i="14" s="1"/>
  <c r="Z212" i="14" s="1"/>
  <c r="Y212" i="14" s="1"/>
  <c r="AI211" i="14"/>
  <c r="AC211" i="14"/>
  <c r="AD211" i="14" s="1"/>
  <c r="W211" i="14"/>
  <c r="X211" i="14" s="1"/>
  <c r="Z211" i="14" s="1"/>
  <c r="Y211" i="14" s="1"/>
  <c r="AI210" i="14"/>
  <c r="AC210" i="14"/>
  <c r="AD210" i="14" s="1"/>
  <c r="W210" i="14"/>
  <c r="X210" i="14" s="1"/>
  <c r="AI209" i="14"/>
  <c r="AC209" i="14"/>
  <c r="AD209" i="14" s="1"/>
  <c r="W209" i="14"/>
  <c r="X209" i="14" s="1"/>
  <c r="Z209" i="14" s="1"/>
  <c r="Y209" i="14" s="1"/>
  <c r="AI208" i="14"/>
  <c r="AG208" i="14"/>
  <c r="AC208" i="14"/>
  <c r="AD208" i="14" s="1"/>
  <c r="W208" i="14"/>
  <c r="X208" i="14" s="1"/>
  <c r="Z208" i="14" s="1"/>
  <c r="Y208" i="14" s="1"/>
  <c r="AI207" i="14"/>
  <c r="AC207" i="14"/>
  <c r="AD207" i="14" s="1"/>
  <c r="X207" i="14"/>
  <c r="Z207" i="14" s="1"/>
  <c r="Y207" i="14" s="1"/>
  <c r="W207" i="14"/>
  <c r="AL206" i="14"/>
  <c r="AI206" i="14"/>
  <c r="AC206" i="14"/>
  <c r="AD206" i="14" s="1"/>
  <c r="W206" i="14"/>
  <c r="X206" i="14" s="1"/>
  <c r="Z206" i="14" s="1"/>
  <c r="Y206" i="14" s="1"/>
  <c r="AI205" i="14"/>
  <c r="AD205" i="14"/>
  <c r="AC205" i="14"/>
  <c r="X205" i="14"/>
  <c r="AG205" i="14" s="1"/>
  <c r="W205" i="14"/>
  <c r="AI204" i="14"/>
  <c r="AC204" i="14"/>
  <c r="AD204" i="14" s="1"/>
  <c r="W204" i="14"/>
  <c r="X204" i="14" s="1"/>
  <c r="AI203" i="14"/>
  <c r="AD203" i="14"/>
  <c r="AC203" i="14"/>
  <c r="X203" i="14"/>
  <c r="W203" i="14"/>
  <c r="AI202" i="14"/>
  <c r="AC202" i="14"/>
  <c r="AI201" i="14"/>
  <c r="AC201" i="14"/>
  <c r="AD201" i="14" s="1"/>
  <c r="W201" i="14"/>
  <c r="X201" i="14" s="1"/>
  <c r="V201" i="14"/>
  <c r="AI200" i="14"/>
  <c r="AC200" i="14"/>
  <c r="AD200" i="14" s="1"/>
  <c r="W200" i="14"/>
  <c r="X200" i="14" s="1"/>
  <c r="V200" i="14"/>
  <c r="AI199" i="14"/>
  <c r="AC199" i="14"/>
  <c r="W199" i="14"/>
  <c r="X199" i="14" s="1"/>
  <c r="AG199" i="14" s="1"/>
  <c r="V199" i="14"/>
  <c r="AI198" i="14"/>
  <c r="AC198" i="14"/>
  <c r="AD198" i="14" s="1"/>
  <c r="W198" i="14"/>
  <c r="X198" i="14" s="1"/>
  <c r="AG198" i="14" s="1"/>
  <c r="V198" i="14"/>
  <c r="AI197" i="14"/>
  <c r="AC197" i="14"/>
  <c r="X197" i="14"/>
  <c r="AG197" i="14" s="1"/>
  <c r="W197" i="14"/>
  <c r="V197" i="14"/>
  <c r="AI196" i="14"/>
  <c r="AC196" i="14"/>
  <c r="AD196" i="14" s="1"/>
  <c r="W196" i="14"/>
  <c r="X196" i="14" s="1"/>
  <c r="V196" i="14"/>
  <c r="Z196" i="14" s="1"/>
  <c r="Y196" i="14" s="1"/>
  <c r="AI195" i="14"/>
  <c r="AC195" i="14"/>
  <c r="AD195" i="14" s="1"/>
  <c r="W195" i="14"/>
  <c r="X195" i="14" s="1"/>
  <c r="Z195" i="14" s="1"/>
  <c r="Y195" i="14" s="1"/>
  <c r="V195" i="14"/>
  <c r="AI194" i="14"/>
  <c r="AC194" i="14"/>
  <c r="W194" i="14"/>
  <c r="X194" i="14" s="1"/>
  <c r="AG194" i="14" s="1"/>
  <c r="V194" i="14"/>
  <c r="AI193" i="14"/>
  <c r="AC193" i="14"/>
  <c r="AD193" i="14" s="1"/>
  <c r="W193" i="14"/>
  <c r="X193" i="14" s="1"/>
  <c r="V193" i="14"/>
  <c r="AI192" i="14"/>
  <c r="AC192" i="14"/>
  <c r="AD192" i="14" s="1"/>
  <c r="X192" i="14"/>
  <c r="W192" i="14"/>
  <c r="V192" i="14"/>
  <c r="AI191" i="14"/>
  <c r="AC191" i="14"/>
  <c r="W191" i="14"/>
  <c r="X191" i="14" s="1"/>
  <c r="AG191" i="14" s="1"/>
  <c r="V191" i="14"/>
  <c r="AI190" i="14"/>
  <c r="AC190" i="14"/>
  <c r="AD190" i="14" s="1"/>
  <c r="W190" i="14"/>
  <c r="X190" i="14" s="1"/>
  <c r="AG190" i="14" s="1"/>
  <c r="V190" i="14"/>
  <c r="AI189" i="14"/>
  <c r="AG189" i="14"/>
  <c r="AC189" i="14"/>
  <c r="W189" i="14"/>
  <c r="X189" i="14" s="1"/>
  <c r="Z189" i="14" s="1"/>
  <c r="Y189" i="14" s="1"/>
  <c r="V189" i="14"/>
  <c r="AD189" i="14" s="1"/>
  <c r="AI188" i="14"/>
  <c r="AD188" i="14"/>
  <c r="AC188" i="14"/>
  <c r="W188" i="14"/>
  <c r="X188" i="14" s="1"/>
  <c r="AG188" i="14" s="1"/>
  <c r="V188" i="14"/>
  <c r="AI187" i="14"/>
  <c r="AC187" i="14"/>
  <c r="AD187" i="14" s="1"/>
  <c r="W187" i="14"/>
  <c r="X187" i="14" s="1"/>
  <c r="Z187" i="14" s="1"/>
  <c r="Y187" i="14" s="1"/>
  <c r="V187" i="14"/>
  <c r="AI186" i="14"/>
  <c r="AC186" i="14"/>
  <c r="W186" i="14"/>
  <c r="X186" i="14" s="1"/>
  <c r="AG186" i="14" s="1"/>
  <c r="V186" i="14"/>
  <c r="AI185" i="14"/>
  <c r="AC185" i="14"/>
  <c r="W185" i="14"/>
  <c r="X185" i="14" s="1"/>
  <c r="Z185" i="14" s="1"/>
  <c r="Y185" i="14" s="1"/>
  <c r="V185" i="14"/>
  <c r="AI184" i="14"/>
  <c r="AC184" i="14"/>
  <c r="AD184" i="14" s="1"/>
  <c r="W184" i="14"/>
  <c r="X184" i="14" s="1"/>
  <c r="AG184" i="14" s="1"/>
  <c r="V184" i="14"/>
  <c r="AI183" i="14"/>
  <c r="AC183" i="14"/>
  <c r="W183" i="14"/>
  <c r="X183" i="14" s="1"/>
  <c r="V183" i="14"/>
  <c r="Z183" i="14" s="1"/>
  <c r="Y183" i="14" s="1"/>
  <c r="AI182" i="14"/>
  <c r="AC182" i="14"/>
  <c r="X182" i="14"/>
  <c r="AG182" i="14" s="1"/>
  <c r="W182" i="14"/>
  <c r="V182" i="14"/>
  <c r="AI181" i="14"/>
  <c r="AC181" i="14"/>
  <c r="AD181" i="14" s="1"/>
  <c r="W181" i="14"/>
  <c r="X181" i="14" s="1"/>
  <c r="V181" i="14"/>
  <c r="AI180" i="14"/>
  <c r="AC180" i="14"/>
  <c r="W180" i="14"/>
  <c r="X180" i="14" s="1"/>
  <c r="V180" i="14"/>
  <c r="AI179" i="14"/>
  <c r="AC179" i="14"/>
  <c r="W179" i="14"/>
  <c r="X179" i="14" s="1"/>
  <c r="AG179" i="14" s="1"/>
  <c r="V179" i="14"/>
  <c r="AI178" i="14"/>
  <c r="AC178" i="14"/>
  <c r="W178" i="14"/>
  <c r="X178" i="14" s="1"/>
  <c r="V178" i="14"/>
  <c r="AI177" i="14"/>
  <c r="AC177" i="14"/>
  <c r="AI176" i="14"/>
  <c r="AC176" i="14"/>
  <c r="X176" i="14"/>
  <c r="AG176" i="14" s="1"/>
  <c r="W176" i="14"/>
  <c r="V176" i="14"/>
  <c r="AI175" i="14"/>
  <c r="AC175" i="14"/>
  <c r="W175" i="14"/>
  <c r="X175" i="14" s="1"/>
  <c r="AG175" i="14" s="1"/>
  <c r="V175" i="14"/>
  <c r="AI174" i="14"/>
  <c r="AC174" i="14"/>
  <c r="W174" i="14"/>
  <c r="X174" i="14" s="1"/>
  <c r="V174" i="14"/>
  <c r="AD174" i="14" s="1"/>
  <c r="AI173" i="14"/>
  <c r="AC173" i="14"/>
  <c r="W173" i="14"/>
  <c r="X173" i="14" s="1"/>
  <c r="AG173" i="14" s="1"/>
  <c r="V173" i="14"/>
  <c r="AI172" i="14"/>
  <c r="AC172" i="14"/>
  <c r="X172" i="14"/>
  <c r="Z172" i="14" s="1"/>
  <c r="Y172" i="14" s="1"/>
  <c r="W172" i="14"/>
  <c r="V172" i="14"/>
  <c r="AD172" i="14" s="1"/>
  <c r="AI171" i="14"/>
  <c r="AC171" i="14"/>
  <c r="W171" i="14"/>
  <c r="X171" i="14" s="1"/>
  <c r="AG171" i="14" s="1"/>
  <c r="V171" i="14"/>
  <c r="AD171" i="14" s="1"/>
  <c r="AI170" i="14"/>
  <c r="AD170" i="14"/>
  <c r="AC170" i="14"/>
  <c r="W170" i="14"/>
  <c r="X170" i="14" s="1"/>
  <c r="V170" i="14"/>
  <c r="AI169" i="14"/>
  <c r="AC169" i="14"/>
  <c r="AD169" i="14" s="1"/>
  <c r="W169" i="14"/>
  <c r="X169" i="14" s="1"/>
  <c r="AG169" i="14" s="1"/>
  <c r="V169" i="14"/>
  <c r="Z169" i="14" s="1"/>
  <c r="Y169" i="14" s="1"/>
  <c r="AI168" i="14"/>
  <c r="AC168" i="14"/>
  <c r="W168" i="14"/>
  <c r="X168" i="14" s="1"/>
  <c r="AG168" i="14" s="1"/>
  <c r="V168" i="14"/>
  <c r="AI167" i="14"/>
  <c r="AC167" i="14"/>
  <c r="W167" i="14"/>
  <c r="X167" i="14" s="1"/>
  <c r="V167" i="14"/>
  <c r="AI166" i="14"/>
  <c r="AG166" i="14"/>
  <c r="AC166" i="14"/>
  <c r="Z166" i="14"/>
  <c r="Y166" i="14" s="1"/>
  <c r="W166" i="14"/>
  <c r="X166" i="14" s="1"/>
  <c r="V166" i="14"/>
  <c r="AI165" i="14"/>
  <c r="AC165" i="14"/>
  <c r="W165" i="14"/>
  <c r="X165" i="14" s="1"/>
  <c r="AG165" i="14" s="1"/>
  <c r="V165" i="14"/>
  <c r="AD165" i="14" s="1"/>
  <c r="AI164" i="14"/>
  <c r="AC164" i="14"/>
  <c r="W164" i="14"/>
  <c r="X164" i="14" s="1"/>
  <c r="AG164" i="14" s="1"/>
  <c r="V164" i="14"/>
  <c r="AI163" i="14"/>
  <c r="AC163" i="14"/>
  <c r="AD163" i="14" s="1"/>
  <c r="W163" i="14"/>
  <c r="X163" i="14" s="1"/>
  <c r="AG163" i="14" s="1"/>
  <c r="V163" i="14"/>
  <c r="AI162" i="14"/>
  <c r="AH162" i="14"/>
  <c r="W162" i="14" s="1"/>
  <c r="X162" i="14" s="1"/>
  <c r="AC162" i="14"/>
  <c r="V162" i="14"/>
  <c r="AI161" i="14"/>
  <c r="AH161" i="14"/>
  <c r="W161" i="14" s="1"/>
  <c r="X161" i="14" s="1"/>
  <c r="AG161" i="14" s="1"/>
  <c r="AC161" i="14"/>
  <c r="AD161" i="14" s="1"/>
  <c r="Z161" i="14"/>
  <c r="Y161" i="14" s="1"/>
  <c r="V161" i="14"/>
  <c r="AI160" i="14"/>
  <c r="AH160" i="14"/>
  <c r="AH157" i="14" s="1"/>
  <c r="AC160" i="14"/>
  <c r="W160" i="14"/>
  <c r="X160" i="14" s="1"/>
  <c r="V160" i="14"/>
  <c r="AD160" i="14" s="1"/>
  <c r="AI159" i="14"/>
  <c r="AH159" i="14"/>
  <c r="W159" i="14" s="1"/>
  <c r="X159" i="14" s="1"/>
  <c r="AG159" i="14" s="1"/>
  <c r="AC159" i="14"/>
  <c r="AD159" i="14" s="1"/>
  <c r="V159" i="14"/>
  <c r="Z159" i="14" s="1"/>
  <c r="Y159" i="14" s="1"/>
  <c r="AI158" i="14"/>
  <c r="AH158" i="14"/>
  <c r="AG158" i="14"/>
  <c r="AD158" i="14"/>
  <c r="AC158" i="14"/>
  <c r="W158" i="14"/>
  <c r="X158" i="14" s="1"/>
  <c r="Z158" i="14" s="1"/>
  <c r="Y158" i="14" s="1"/>
  <c r="V158" i="14"/>
  <c r="AI157" i="14"/>
  <c r="AC157" i="14"/>
  <c r="W157" i="14"/>
  <c r="X157" i="14" s="1"/>
  <c r="AG157" i="14" s="1"/>
  <c r="V157" i="14"/>
  <c r="AI156" i="14"/>
  <c r="AG156" i="14"/>
  <c r="AC156" i="14"/>
  <c r="Z156" i="14"/>
  <c r="Y156" i="14" s="1"/>
  <c r="W156" i="14"/>
  <c r="X156" i="14" s="1"/>
  <c r="V156" i="14"/>
  <c r="AI155" i="14"/>
  <c r="AH155" i="14"/>
  <c r="W155" i="14" s="1"/>
  <c r="X155" i="14" s="1"/>
  <c r="AG155" i="14"/>
  <c r="AC155" i="14"/>
  <c r="AD155" i="14" s="1"/>
  <c r="Z155" i="14"/>
  <c r="Y155" i="14" s="1"/>
  <c r="V155" i="14"/>
  <c r="AI154" i="14"/>
  <c r="AD154" i="14"/>
  <c r="AC154" i="14"/>
  <c r="W154" i="14"/>
  <c r="X154" i="14" s="1"/>
  <c r="V154" i="14"/>
  <c r="AI153" i="14"/>
  <c r="AD153" i="14"/>
  <c r="AC153" i="14"/>
  <c r="W153" i="14"/>
  <c r="X153" i="14" s="1"/>
  <c r="AG153" i="14" s="1"/>
  <c r="V153" i="14"/>
  <c r="AI152" i="14"/>
  <c r="AC152" i="14"/>
  <c r="V152" i="14"/>
  <c r="AI151" i="14"/>
  <c r="AD151" i="14"/>
  <c r="AC151" i="14"/>
  <c r="W151" i="14"/>
  <c r="X151" i="14" s="1"/>
  <c r="V151" i="14"/>
  <c r="AI150" i="14"/>
  <c r="AC150" i="14"/>
  <c r="AD150" i="14" s="1"/>
  <c r="W150" i="14"/>
  <c r="X150" i="14" s="1"/>
  <c r="V150" i="14"/>
  <c r="AI149" i="14"/>
  <c r="AC149" i="14"/>
  <c r="W149" i="14"/>
  <c r="X149" i="14" s="1"/>
  <c r="V149" i="14"/>
  <c r="AD149" i="14" s="1"/>
  <c r="AI148" i="14"/>
  <c r="AC148" i="14"/>
  <c r="W148" i="14"/>
  <c r="X148" i="14" s="1"/>
  <c r="Z148" i="14" s="1"/>
  <c r="Y148" i="14" s="1"/>
  <c r="V148" i="14"/>
  <c r="AI147" i="14"/>
  <c r="AC147" i="14"/>
  <c r="W147" i="14"/>
  <c r="X147" i="14" s="1"/>
  <c r="V147" i="14"/>
  <c r="AI146" i="14"/>
  <c r="AD146" i="14"/>
  <c r="AC146" i="14"/>
  <c r="W146" i="14"/>
  <c r="X146" i="14" s="1"/>
  <c r="V146" i="14"/>
  <c r="AI145" i="14"/>
  <c r="AD145" i="14"/>
  <c r="AC145" i="14"/>
  <c r="W145" i="14"/>
  <c r="X145" i="14" s="1"/>
  <c r="AG145" i="14" s="1"/>
  <c r="V145" i="14"/>
  <c r="AI144" i="14"/>
  <c r="AD144" i="14"/>
  <c r="AC144" i="14"/>
  <c r="W144" i="14"/>
  <c r="X144" i="14" s="1"/>
  <c r="AG144" i="14" s="1"/>
  <c r="V144" i="14"/>
  <c r="AI143" i="14"/>
  <c r="AC143" i="14"/>
  <c r="W143" i="14"/>
  <c r="X143" i="14" s="1"/>
  <c r="V143" i="14"/>
  <c r="AI142" i="14"/>
  <c r="AC142" i="14"/>
  <c r="AD142" i="14" s="1"/>
  <c r="W142" i="14"/>
  <c r="X142" i="14" s="1"/>
  <c r="Z142" i="14" s="1"/>
  <c r="Y142" i="14" s="1"/>
  <c r="V142" i="14"/>
  <c r="AI141" i="14"/>
  <c r="AC141" i="14"/>
  <c r="W141" i="14"/>
  <c r="X141" i="14" s="1"/>
  <c r="AG141" i="14" s="1"/>
  <c r="V141" i="14"/>
  <c r="AI140" i="14"/>
  <c r="AD140" i="14"/>
  <c r="AC140" i="14"/>
  <c r="W140" i="14"/>
  <c r="X140" i="14" s="1"/>
  <c r="AG140" i="14" s="1"/>
  <c r="V140" i="14"/>
  <c r="Z140" i="14" s="1"/>
  <c r="Y140" i="14" s="1"/>
  <c r="AI139" i="14"/>
  <c r="AC139" i="14"/>
  <c r="AD139" i="14" s="1"/>
  <c r="W139" i="14"/>
  <c r="X139" i="14" s="1"/>
  <c r="AG139" i="14" s="1"/>
  <c r="V139" i="14"/>
  <c r="AI138" i="14"/>
  <c r="AC138" i="14"/>
  <c r="W138" i="14"/>
  <c r="X138" i="14" s="1"/>
  <c r="AG138" i="14" s="1"/>
  <c r="V138" i="14"/>
  <c r="AD138" i="14" s="1"/>
  <c r="AI137" i="14"/>
  <c r="AC137" i="14"/>
  <c r="W137" i="14"/>
  <c r="X137" i="14" s="1"/>
  <c r="AG137" i="14" s="1"/>
  <c r="V137" i="14"/>
  <c r="AI136" i="14"/>
  <c r="AC136" i="14"/>
  <c r="AD136" i="14" s="1"/>
  <c r="V136" i="14"/>
  <c r="AI135" i="14"/>
  <c r="AC135" i="14"/>
  <c r="V135" i="14"/>
  <c r="AD135" i="14" s="1"/>
  <c r="AI134" i="14"/>
  <c r="AC134" i="14"/>
  <c r="X134" i="14"/>
  <c r="AG134" i="14" s="1"/>
  <c r="W134" i="14"/>
  <c r="V134" i="14"/>
  <c r="AI133" i="14"/>
  <c r="AC133" i="14"/>
  <c r="AI132" i="14"/>
  <c r="AC132" i="14"/>
  <c r="AD132" i="14" s="1"/>
  <c r="W132" i="14"/>
  <c r="X132" i="14" s="1"/>
  <c r="V132" i="14"/>
  <c r="AI131" i="14"/>
  <c r="W131" i="14"/>
  <c r="X131" i="14" s="1"/>
  <c r="AD131" i="14"/>
  <c r="AC131" i="14"/>
  <c r="V131" i="14"/>
  <c r="AI130" i="14"/>
  <c r="AC130" i="14"/>
  <c r="AD130" i="14" s="1"/>
  <c r="W130" i="14"/>
  <c r="X130" i="14" s="1"/>
  <c r="AG130" i="14" s="1"/>
  <c r="V130" i="14"/>
  <c r="AI129" i="14"/>
  <c r="AC129" i="14"/>
  <c r="W129" i="14"/>
  <c r="X129" i="14" s="1"/>
  <c r="V129" i="14"/>
  <c r="AD129" i="14" s="1"/>
  <c r="AI128" i="14"/>
  <c r="AC128" i="14"/>
  <c r="AD128" i="14" s="1"/>
  <c r="W128" i="14"/>
  <c r="X128" i="14" s="1"/>
  <c r="V128" i="14"/>
  <c r="AI127" i="14"/>
  <c r="AH127" i="14"/>
  <c r="W127" i="14" s="1"/>
  <c r="X127" i="14" s="1"/>
  <c r="AC127" i="14"/>
  <c r="V127" i="14"/>
  <c r="AD127" i="14" s="1"/>
  <c r="AI126" i="14"/>
  <c r="AC126" i="14"/>
  <c r="W126" i="14"/>
  <c r="X126" i="14" s="1"/>
  <c r="AG126" i="14" s="1"/>
  <c r="V126" i="14"/>
  <c r="AI125" i="14"/>
  <c r="AC125" i="14"/>
  <c r="W125" i="14"/>
  <c r="X125" i="14" s="1"/>
  <c r="AG125" i="14" s="1"/>
  <c r="V125" i="14"/>
  <c r="AI124" i="14"/>
  <c r="AC124" i="14"/>
  <c r="AD124" i="14" s="1"/>
  <c r="W124" i="14"/>
  <c r="X124" i="14" s="1"/>
  <c r="AG124" i="14" s="1"/>
  <c r="V124" i="14"/>
  <c r="Z124" i="14" s="1"/>
  <c r="Y124" i="14" s="1"/>
  <c r="AI123" i="14"/>
  <c r="AC123" i="14"/>
  <c r="W123" i="14"/>
  <c r="X123" i="14" s="1"/>
  <c r="AG123" i="14" s="1"/>
  <c r="V123" i="14"/>
  <c r="Z123" i="14" s="1"/>
  <c r="Y123" i="14" s="1"/>
  <c r="AI122" i="14"/>
  <c r="AC122" i="14"/>
  <c r="W122" i="14"/>
  <c r="X122" i="14" s="1"/>
  <c r="AG122" i="14" s="1"/>
  <c r="V122" i="14"/>
  <c r="AI121" i="14"/>
  <c r="AC121" i="14"/>
  <c r="W121" i="14"/>
  <c r="X121" i="14" s="1"/>
  <c r="AG121" i="14" s="1"/>
  <c r="V121" i="14"/>
  <c r="AI120" i="14"/>
  <c r="AC120" i="14"/>
  <c r="W120" i="14"/>
  <c r="X120" i="14" s="1"/>
  <c r="AG120" i="14" s="1"/>
  <c r="V120" i="14"/>
  <c r="AI119" i="14"/>
  <c r="AC119" i="14"/>
  <c r="W119" i="14"/>
  <c r="X119" i="14" s="1"/>
  <c r="AG119" i="14" s="1"/>
  <c r="V119" i="14"/>
  <c r="AI118" i="14"/>
  <c r="AH118" i="14"/>
  <c r="AC118" i="14"/>
  <c r="W118" i="14"/>
  <c r="X118" i="14" s="1"/>
  <c r="AG118" i="14" s="1"/>
  <c r="V118" i="14"/>
  <c r="AD118" i="14" s="1"/>
  <c r="AI117" i="14"/>
  <c r="AH117" i="14"/>
  <c r="AC117" i="14"/>
  <c r="W117" i="14"/>
  <c r="X117" i="14" s="1"/>
  <c r="AG117" i="14" s="1"/>
  <c r="V117" i="14"/>
  <c r="AD117" i="14" s="1"/>
  <c r="AI116" i="14"/>
  <c r="AH116" i="14"/>
  <c r="W116" i="14" s="1"/>
  <c r="X116" i="14" s="1"/>
  <c r="AG116" i="14" s="1"/>
  <c r="AD116" i="14"/>
  <c r="AC116" i="14"/>
  <c r="Z116" i="14"/>
  <c r="Y116" i="14" s="1"/>
  <c r="V116" i="14"/>
  <c r="AI115" i="14"/>
  <c r="AC115" i="14"/>
  <c r="W115" i="14"/>
  <c r="X115" i="14" s="1"/>
  <c r="AG115" i="14" s="1"/>
  <c r="V115" i="14"/>
  <c r="AI114" i="14"/>
  <c r="AC114" i="14"/>
  <c r="W114" i="14"/>
  <c r="X114" i="14" s="1"/>
  <c r="V114" i="14"/>
  <c r="AD114" i="14" s="1"/>
  <c r="AI113" i="14"/>
  <c r="AC113" i="14"/>
  <c r="AD113" i="14" s="1"/>
  <c r="W113" i="14"/>
  <c r="X113" i="14" s="1"/>
  <c r="V113" i="14"/>
  <c r="AI112" i="14"/>
  <c r="AC112" i="14"/>
  <c r="W112" i="14"/>
  <c r="X112" i="14" s="1"/>
  <c r="AG112" i="14" s="1"/>
  <c r="V112" i="14"/>
  <c r="AD112" i="14" s="1"/>
  <c r="AI111" i="14"/>
  <c r="AC111" i="14"/>
  <c r="AD111" i="14" s="1"/>
  <c r="W111" i="14"/>
  <c r="X111" i="14" s="1"/>
  <c r="V111" i="14"/>
  <c r="AI110" i="14"/>
  <c r="AC110" i="14"/>
  <c r="W110" i="14"/>
  <c r="X110" i="14" s="1"/>
  <c r="V110" i="14"/>
  <c r="AI109" i="14"/>
  <c r="AD109" i="14"/>
  <c r="AC109" i="14"/>
  <c r="W109" i="14"/>
  <c r="X109" i="14" s="1"/>
  <c r="V109" i="14"/>
  <c r="AI108" i="14"/>
  <c r="AC108" i="14"/>
  <c r="AD108" i="14" s="1"/>
  <c r="W108" i="14"/>
  <c r="X108" i="14" s="1"/>
  <c r="V108" i="14"/>
  <c r="AI107" i="14"/>
  <c r="AD107" i="14"/>
  <c r="AC107" i="14"/>
  <c r="W107" i="14"/>
  <c r="X107" i="14" s="1"/>
  <c r="AG107" i="14" s="1"/>
  <c r="V107" i="14"/>
  <c r="AI106" i="14"/>
  <c r="AC106" i="14"/>
  <c r="W106" i="14"/>
  <c r="X106" i="14" s="1"/>
  <c r="V106" i="14"/>
  <c r="AI105" i="14"/>
  <c r="AC105" i="14"/>
  <c r="W105" i="14"/>
  <c r="X105" i="14" s="1"/>
  <c r="AG105" i="14" s="1"/>
  <c r="V105" i="14"/>
  <c r="AI104" i="14"/>
  <c r="AC104" i="14"/>
  <c r="W104" i="14"/>
  <c r="X104" i="14" s="1"/>
  <c r="V104" i="14"/>
  <c r="AD104" i="14" s="1"/>
  <c r="AI103" i="14"/>
  <c r="AC103" i="14"/>
  <c r="AD103" i="14" s="1"/>
  <c r="W103" i="14"/>
  <c r="X103" i="14" s="1"/>
  <c r="V103" i="14"/>
  <c r="AI102" i="14"/>
  <c r="AC102" i="14"/>
  <c r="X102" i="14"/>
  <c r="AG102" i="14" s="1"/>
  <c r="W102" i="14"/>
  <c r="V102" i="14"/>
  <c r="AD102" i="14" s="1"/>
  <c r="AI101" i="14"/>
  <c r="AC101" i="14"/>
  <c r="W101" i="14"/>
  <c r="X101" i="14" s="1"/>
  <c r="AG101" i="14" s="1"/>
  <c r="V101" i="14"/>
  <c r="AI100" i="14"/>
  <c r="AD100" i="14"/>
  <c r="AC100" i="14"/>
  <c r="W100" i="14"/>
  <c r="X100" i="14" s="1"/>
  <c r="V100" i="14"/>
  <c r="AI99" i="14"/>
  <c r="AC99" i="14"/>
  <c r="W99" i="14"/>
  <c r="X99" i="14" s="1"/>
  <c r="AG99" i="14" s="1"/>
  <c r="V99" i="14"/>
  <c r="AI98" i="14"/>
  <c r="AC98" i="14"/>
  <c r="AD98" i="14" s="1"/>
  <c r="W98" i="14"/>
  <c r="X98" i="14" s="1"/>
  <c r="AG98" i="14" s="1"/>
  <c r="V98" i="14"/>
  <c r="AI97" i="14"/>
  <c r="AC97" i="14"/>
  <c r="W97" i="14"/>
  <c r="X97" i="14" s="1"/>
  <c r="V97" i="14"/>
  <c r="AI96" i="14"/>
  <c r="AC96" i="14"/>
  <c r="AD96" i="14" s="1"/>
  <c r="W96" i="14"/>
  <c r="X96" i="14" s="1"/>
  <c r="V96" i="14"/>
  <c r="AI95" i="14"/>
  <c r="AD95" i="14"/>
  <c r="AC95" i="14"/>
  <c r="W95" i="14"/>
  <c r="X95" i="14" s="1"/>
  <c r="AG95" i="14" s="1"/>
  <c r="V95" i="14"/>
  <c r="AI94" i="14"/>
  <c r="AH94" i="14"/>
  <c r="W94" i="14" s="1"/>
  <c r="X94" i="14" s="1"/>
  <c r="AG94" i="14" s="1"/>
  <c r="AC94" i="14"/>
  <c r="V94" i="14"/>
  <c r="AI93" i="14"/>
  <c r="AH93" i="14"/>
  <c r="W93" i="14" s="1"/>
  <c r="X93" i="14" s="1"/>
  <c r="AG93" i="14"/>
  <c r="AD93" i="14"/>
  <c r="AC93" i="14"/>
  <c r="V93" i="14"/>
  <c r="AI92" i="14"/>
  <c r="AH92" i="14"/>
  <c r="W92" i="14" s="1"/>
  <c r="X92" i="14" s="1"/>
  <c r="Z92" i="14" s="1"/>
  <c r="Y92" i="14" s="1"/>
  <c r="AD92" i="14"/>
  <c r="AC92" i="14"/>
  <c r="V92" i="14"/>
  <c r="AI91" i="14"/>
  <c r="AH91" i="14"/>
  <c r="AC91" i="14"/>
  <c r="W91" i="14"/>
  <c r="X91" i="14" s="1"/>
  <c r="AG91" i="14" s="1"/>
  <c r="V91" i="14"/>
  <c r="AD91" i="14" s="1"/>
  <c r="AI90" i="14"/>
  <c r="AH90" i="14"/>
  <c r="W90" i="14" s="1"/>
  <c r="X90" i="14" s="1"/>
  <c r="AG90" i="14" s="1"/>
  <c r="AC90" i="14"/>
  <c r="V90" i="14"/>
  <c r="AI89" i="14"/>
  <c r="AC89" i="14"/>
  <c r="W89" i="14"/>
  <c r="X89" i="14" s="1"/>
  <c r="V89" i="14"/>
  <c r="AI88" i="14"/>
  <c r="AC88" i="14"/>
  <c r="W88" i="14"/>
  <c r="X88" i="14" s="1"/>
  <c r="V88" i="14"/>
  <c r="AI87" i="14"/>
  <c r="AC87" i="14"/>
  <c r="W87" i="14"/>
  <c r="X87" i="14" s="1"/>
  <c r="V87" i="14"/>
  <c r="AD87" i="14" s="1"/>
  <c r="AI86" i="14"/>
  <c r="AC86" i="14"/>
  <c r="W86" i="14"/>
  <c r="X86" i="14" s="1"/>
  <c r="V86" i="14"/>
  <c r="AI85" i="14"/>
  <c r="AC85" i="14"/>
  <c r="W85" i="14"/>
  <c r="X85" i="14" s="1"/>
  <c r="AG85" i="14" s="1"/>
  <c r="V85" i="14"/>
  <c r="AI84" i="14"/>
  <c r="AC84" i="14"/>
  <c r="AD84" i="14" s="1"/>
  <c r="W84" i="14"/>
  <c r="X84" i="14" s="1"/>
  <c r="V84" i="14"/>
  <c r="AI83" i="14"/>
  <c r="AC83" i="14"/>
  <c r="W83" i="14"/>
  <c r="X83" i="14" s="1"/>
  <c r="AG83" i="14" s="1"/>
  <c r="V83" i="14"/>
  <c r="AI82" i="14"/>
  <c r="AC82" i="14"/>
  <c r="AD82" i="14" s="1"/>
  <c r="W82" i="14"/>
  <c r="X82" i="14" s="1"/>
  <c r="V82" i="14"/>
  <c r="AI81" i="14"/>
  <c r="AC81" i="14"/>
  <c r="W81" i="14"/>
  <c r="X81" i="14" s="1"/>
  <c r="AG81" i="14" s="1"/>
  <c r="V81" i="14"/>
  <c r="AI80" i="14"/>
  <c r="AC80" i="14"/>
  <c r="W80" i="14"/>
  <c r="X80" i="14" s="1"/>
  <c r="AG80" i="14" s="1"/>
  <c r="V80" i="14"/>
  <c r="AI79" i="14"/>
  <c r="AC79" i="14"/>
  <c r="W79" i="14"/>
  <c r="X79" i="14" s="1"/>
  <c r="AG79" i="14" s="1"/>
  <c r="V79" i="14"/>
  <c r="AI78" i="14"/>
  <c r="AC78" i="14"/>
  <c r="W78" i="14"/>
  <c r="X78" i="14" s="1"/>
  <c r="V78" i="14"/>
  <c r="AD78" i="14" s="1"/>
  <c r="AI77" i="14"/>
  <c r="AC77" i="14"/>
  <c r="AD77" i="14" s="1"/>
  <c r="W77" i="14"/>
  <c r="X77" i="14" s="1"/>
  <c r="V77" i="14"/>
  <c r="AI76" i="14"/>
  <c r="AD76" i="14"/>
  <c r="AC76" i="14"/>
  <c r="W76" i="14"/>
  <c r="X76" i="14" s="1"/>
  <c r="V76" i="14"/>
  <c r="AI75" i="14"/>
  <c r="AH75" i="14"/>
  <c r="W75" i="14" s="1"/>
  <c r="X75" i="14" s="1"/>
  <c r="AD75" i="14"/>
  <c r="AC75" i="14"/>
  <c r="V75" i="14"/>
  <c r="AI74" i="14"/>
  <c r="AC74" i="14"/>
  <c r="AD74" i="14" s="1"/>
  <c r="W74" i="14"/>
  <c r="X74" i="14" s="1"/>
  <c r="AG74" i="14" s="1"/>
  <c r="V74" i="14"/>
  <c r="AI73" i="14"/>
  <c r="AC73" i="14"/>
  <c r="W73" i="14"/>
  <c r="X73" i="14" s="1"/>
  <c r="AG73" i="14" s="1"/>
  <c r="V73" i="14"/>
  <c r="Z73" i="14" s="1"/>
  <c r="Y73" i="14" s="1"/>
  <c r="AI72" i="14"/>
  <c r="AC72" i="14"/>
  <c r="AD72" i="14" s="1"/>
  <c r="W72" i="14"/>
  <c r="X72" i="14" s="1"/>
  <c r="AG72" i="14" s="1"/>
  <c r="V72" i="14"/>
  <c r="AI71" i="14"/>
  <c r="AC71" i="14"/>
  <c r="W71" i="14"/>
  <c r="X71" i="14" s="1"/>
  <c r="AG71" i="14" s="1"/>
  <c r="V71" i="14"/>
  <c r="AD71" i="14" s="1"/>
  <c r="AI70" i="14"/>
  <c r="AC70" i="14"/>
  <c r="AD70" i="14" s="1"/>
  <c r="W70" i="14"/>
  <c r="X70" i="14" s="1"/>
  <c r="AG70" i="14" s="1"/>
  <c r="V70" i="14"/>
  <c r="AI69" i="14"/>
  <c r="AH69" i="14"/>
  <c r="AC69" i="14"/>
  <c r="W69" i="14"/>
  <c r="X69" i="14" s="1"/>
  <c r="AG69" i="14" s="1"/>
  <c r="V69" i="14"/>
  <c r="AI68" i="14"/>
  <c r="W68" i="14"/>
  <c r="X68" i="14" s="1"/>
  <c r="AG68" i="14" s="1"/>
  <c r="AC68" i="14"/>
  <c r="AD68" i="14" s="1"/>
  <c r="V68" i="14"/>
  <c r="AI67" i="14"/>
  <c r="AC67" i="14"/>
  <c r="W67" i="14"/>
  <c r="X67" i="14" s="1"/>
  <c r="AG67" i="14" s="1"/>
  <c r="V67" i="14"/>
  <c r="AI66" i="14"/>
  <c r="AC66" i="14"/>
  <c r="W66" i="14"/>
  <c r="X66" i="14" s="1"/>
  <c r="AG66" i="14" s="1"/>
  <c r="V66" i="14"/>
  <c r="AI65" i="14"/>
  <c r="AD65" i="14"/>
  <c r="AC65" i="14"/>
  <c r="W65" i="14"/>
  <c r="X65" i="14" s="1"/>
  <c r="AG65" i="14" s="1"/>
  <c r="V65" i="14"/>
  <c r="AI64" i="14"/>
  <c r="W64" i="14"/>
  <c r="X64" i="14" s="1"/>
  <c r="AG64" i="14" s="1"/>
  <c r="AC64" i="14"/>
  <c r="V64" i="14"/>
  <c r="AI63" i="14"/>
  <c r="AH63" i="14"/>
  <c r="W63" i="14" s="1"/>
  <c r="X63" i="14" s="1"/>
  <c r="Z63" i="14" s="1"/>
  <c r="Y63" i="14" s="1"/>
  <c r="AG63" i="14"/>
  <c r="AC63" i="14"/>
  <c r="AD63" i="14" s="1"/>
  <c r="V63" i="14"/>
  <c r="AI62" i="14"/>
  <c r="AH62" i="14"/>
  <c r="AC62" i="14"/>
  <c r="W62" i="14"/>
  <c r="X62" i="14" s="1"/>
  <c r="AG62" i="14" s="1"/>
  <c r="V62" i="14"/>
  <c r="AD62" i="14" s="1"/>
  <c r="AI61" i="14"/>
  <c r="AC61" i="14"/>
  <c r="W61" i="14"/>
  <c r="X61" i="14" s="1"/>
  <c r="V61" i="14"/>
  <c r="AD61" i="14" s="1"/>
  <c r="AI60" i="14"/>
  <c r="AH60" i="14"/>
  <c r="W60" i="14" s="1"/>
  <c r="X60" i="14" s="1"/>
  <c r="AG60" i="14"/>
  <c r="AD60" i="14"/>
  <c r="AC60" i="14"/>
  <c r="V60" i="14"/>
  <c r="AI59" i="14"/>
  <c r="AD59" i="14"/>
  <c r="AC59" i="14"/>
  <c r="W59" i="14"/>
  <c r="X59" i="14" s="1"/>
  <c r="V59" i="14"/>
  <c r="AI58" i="14"/>
  <c r="AC58" i="14"/>
  <c r="AD58" i="14" s="1"/>
  <c r="W58" i="14"/>
  <c r="X58" i="14" s="1"/>
  <c r="V58" i="14"/>
  <c r="AI57" i="14"/>
  <c r="AC57" i="14"/>
  <c r="W57" i="14"/>
  <c r="X57" i="14" s="1"/>
  <c r="V57" i="14"/>
  <c r="AD57" i="14" s="1"/>
  <c r="AI56" i="14"/>
  <c r="AH56" i="14"/>
  <c r="W56" i="14" s="1"/>
  <c r="X56" i="14" s="1"/>
  <c r="AC56" i="14"/>
  <c r="AD56" i="14" s="1"/>
  <c r="Z56" i="14"/>
  <c r="Y56" i="14"/>
  <c r="V56" i="14"/>
  <c r="AI55" i="14"/>
  <c r="AC55" i="14"/>
  <c r="AD55" i="14" s="1"/>
  <c r="W55" i="14"/>
  <c r="X55" i="14" s="1"/>
  <c r="AG55" i="14" s="1"/>
  <c r="V55" i="14"/>
  <c r="AI54" i="14"/>
  <c r="AH54" i="14"/>
  <c r="W54" i="14" s="1"/>
  <c r="X54" i="14" s="1"/>
  <c r="AG54" i="14" s="1"/>
  <c r="AC54" i="14"/>
  <c r="V54" i="14"/>
  <c r="AI53" i="14"/>
  <c r="AC53" i="14"/>
  <c r="AD53" i="14" s="1"/>
  <c r="W53" i="14"/>
  <c r="X53" i="14" s="1"/>
  <c r="Z53" i="14" s="1"/>
  <c r="Y53" i="14" s="1"/>
  <c r="V53" i="14"/>
  <c r="AI52" i="14"/>
  <c r="AD52" i="14"/>
  <c r="AC52" i="14"/>
  <c r="W52" i="14"/>
  <c r="X52" i="14" s="1"/>
  <c r="AG52" i="14" s="1"/>
  <c r="V52" i="14"/>
  <c r="AI51" i="14"/>
  <c r="AC51" i="14"/>
  <c r="W51" i="14"/>
  <c r="X51" i="14" s="1"/>
  <c r="AG51" i="14" s="1"/>
  <c r="V51" i="14"/>
  <c r="AI50" i="14"/>
  <c r="AH50" i="14"/>
  <c r="W50" i="14" s="1"/>
  <c r="X50" i="14" s="1"/>
  <c r="AG50" i="14"/>
  <c r="AC50" i="14"/>
  <c r="AD50" i="14" s="1"/>
  <c r="V50" i="14"/>
  <c r="AI49" i="14"/>
  <c r="AC49" i="14"/>
  <c r="W49" i="14"/>
  <c r="X49" i="14" s="1"/>
  <c r="AG49" i="14" s="1"/>
  <c r="V49" i="14"/>
  <c r="AI48" i="14"/>
  <c r="AC48" i="14"/>
  <c r="W48" i="14"/>
  <c r="X48" i="14" s="1"/>
  <c r="V48" i="14"/>
  <c r="AD48" i="14" s="1"/>
  <c r="AI47" i="14"/>
  <c r="AD47" i="14"/>
  <c r="AC47" i="14"/>
  <c r="V47" i="14"/>
  <c r="AI46" i="14"/>
  <c r="AH46" i="14"/>
  <c r="AH47" i="14" s="1"/>
  <c r="W47" i="14" s="1"/>
  <c r="X47" i="14" s="1"/>
  <c r="AG47" i="14" s="1"/>
  <c r="AC46" i="14"/>
  <c r="AD46" i="14" s="1"/>
  <c r="V46" i="14"/>
  <c r="AI45" i="14"/>
  <c r="AC45" i="14"/>
  <c r="AD45" i="14" s="1"/>
  <c r="W45" i="14"/>
  <c r="X45" i="14" s="1"/>
  <c r="AG45" i="14" s="1"/>
  <c r="V45" i="14"/>
  <c r="Z45" i="14" s="1"/>
  <c r="Y45" i="14" s="1"/>
  <c r="AI44" i="14"/>
  <c r="W44" i="14"/>
  <c r="X44" i="14" s="1"/>
  <c r="AG44" i="14" s="1"/>
  <c r="AC44" i="14"/>
  <c r="V44" i="14"/>
  <c r="AD44" i="14" s="1"/>
  <c r="AI43" i="14"/>
  <c r="W43" i="14"/>
  <c r="AC43" i="14"/>
  <c r="AD43" i="14" s="1"/>
  <c r="X43" i="14"/>
  <c r="AG43" i="14" s="1"/>
  <c r="V43" i="14"/>
  <c r="AI42" i="14"/>
  <c r="W42" i="14"/>
  <c r="X42" i="14" s="1"/>
  <c r="AG42" i="14" s="1"/>
  <c r="AC42" i="14"/>
  <c r="V42" i="14"/>
  <c r="AI41" i="14"/>
  <c r="AC41" i="14"/>
  <c r="V41" i="14"/>
  <c r="AI40" i="14"/>
  <c r="W40" i="14"/>
  <c r="X40" i="14" s="1"/>
  <c r="Z40" i="14" s="1"/>
  <c r="Y40" i="14" s="1"/>
  <c r="AG40" i="14"/>
  <c r="AC40" i="14"/>
  <c r="V40" i="14"/>
  <c r="AI39" i="14"/>
  <c r="W39" i="14"/>
  <c r="X39" i="14" s="1"/>
  <c r="AG39" i="14" s="1"/>
  <c r="AD39" i="14"/>
  <c r="AC39" i="14"/>
  <c r="V39" i="14"/>
  <c r="AI38" i="14"/>
  <c r="AC38" i="14"/>
  <c r="AI37" i="14"/>
  <c r="AD37" i="14"/>
  <c r="AC37" i="14"/>
  <c r="W37" i="14"/>
  <c r="X37" i="14" s="1"/>
  <c r="AI36" i="14"/>
  <c r="AD36" i="14"/>
  <c r="AC36" i="14"/>
  <c r="W36" i="14"/>
  <c r="X36" i="14" s="1"/>
  <c r="AI35" i="14"/>
  <c r="AC35" i="14"/>
  <c r="AD35" i="14" s="1"/>
  <c r="X35" i="14"/>
  <c r="AG35" i="14" s="1"/>
  <c r="W35" i="14"/>
  <c r="AI34" i="14"/>
  <c r="AD34" i="14"/>
  <c r="AC34" i="14"/>
  <c r="W34" i="14"/>
  <c r="X34" i="14" s="1"/>
  <c r="AI33" i="14"/>
  <c r="AD33" i="14"/>
  <c r="AC33" i="14"/>
  <c r="W33" i="14"/>
  <c r="X33" i="14" s="1"/>
  <c r="AI32" i="14"/>
  <c r="W32" i="14"/>
  <c r="X32" i="14" s="1"/>
  <c r="AC32" i="14"/>
  <c r="AD32" i="14" s="1"/>
  <c r="Z32" i="14"/>
  <c r="Y32" i="14" s="1"/>
  <c r="AI31" i="14"/>
  <c r="AH31" i="14"/>
  <c r="AC31" i="14"/>
  <c r="AD31" i="14" s="1"/>
  <c r="W31" i="14"/>
  <c r="X31" i="14" s="1"/>
  <c r="AI30" i="14"/>
  <c r="AD30" i="14"/>
  <c r="AC30" i="14"/>
  <c r="W30" i="14"/>
  <c r="X30" i="14" s="1"/>
  <c r="AI29" i="14"/>
  <c r="AC29" i="14"/>
  <c r="AD29" i="14" s="1"/>
  <c r="W29" i="14"/>
  <c r="X29" i="14" s="1"/>
  <c r="Z29" i="14" s="1"/>
  <c r="Y29" i="14" s="1"/>
  <c r="AI28" i="14"/>
  <c r="AD28" i="14"/>
  <c r="AC28" i="14"/>
  <c r="W28" i="14"/>
  <c r="X28" i="14" s="1"/>
  <c r="AI27" i="14"/>
  <c r="AC27" i="14"/>
  <c r="AD27" i="14" s="1"/>
  <c r="W27" i="14"/>
  <c r="X27" i="14" s="1"/>
  <c r="Z27" i="14" s="1"/>
  <c r="Y27" i="14" s="1"/>
  <c r="AI26" i="14"/>
  <c r="AD26" i="14"/>
  <c r="AC26" i="14"/>
  <c r="W26" i="14"/>
  <c r="X26" i="14" s="1"/>
  <c r="AI25" i="14"/>
  <c r="AC25" i="14"/>
  <c r="AD25" i="14" s="1"/>
  <c r="W25" i="14"/>
  <c r="X25" i="14" s="1"/>
  <c r="AG25" i="14" s="1"/>
  <c r="AI24" i="14"/>
  <c r="AD24" i="14"/>
  <c r="AC24" i="14"/>
  <c r="W24" i="14"/>
  <c r="X24" i="14" s="1"/>
  <c r="AI23" i="14"/>
  <c r="AD23" i="14"/>
  <c r="AC23" i="14"/>
  <c r="W23" i="14"/>
  <c r="X23" i="14" s="1"/>
  <c r="Z23" i="14" s="1"/>
  <c r="Y23" i="14" s="1"/>
  <c r="AI22" i="14"/>
  <c r="AC22" i="14"/>
  <c r="AD22" i="14" s="1"/>
  <c r="W22" i="14"/>
  <c r="X22" i="14" s="1"/>
  <c r="AI21" i="14"/>
  <c r="AG21" i="14"/>
  <c r="AD21" i="14"/>
  <c r="AC21" i="14"/>
  <c r="W21" i="14"/>
  <c r="X21" i="14" s="1"/>
  <c r="Z21" i="14" s="1"/>
  <c r="Y21" i="14" s="1"/>
  <c r="AI20" i="14"/>
  <c r="AH20" i="14"/>
  <c r="AC20" i="14"/>
  <c r="AD20" i="14" s="1"/>
  <c r="W20" i="14"/>
  <c r="X20" i="14" s="1"/>
  <c r="AI19" i="14"/>
  <c r="W19" i="14"/>
  <c r="X19" i="14" s="1"/>
  <c r="AC19" i="14"/>
  <c r="AD19" i="14" s="1"/>
  <c r="AI18" i="14"/>
  <c r="AD18" i="14"/>
  <c r="AC18" i="14"/>
  <c r="W18" i="14"/>
  <c r="X18" i="14" s="1"/>
  <c r="Z18" i="14" s="1"/>
  <c r="Y18" i="14" s="1"/>
  <c r="AI17" i="14"/>
  <c r="AD17" i="14"/>
  <c r="AC17" i="14"/>
  <c r="W17" i="14"/>
  <c r="X17" i="14" s="1"/>
  <c r="AI16" i="14"/>
  <c r="W497" i="14"/>
  <c r="X497" i="14" s="1"/>
  <c r="AC16" i="14"/>
  <c r="AD16" i="14" s="1"/>
  <c r="W16" i="14"/>
  <c r="X16" i="14" s="1"/>
  <c r="AI15" i="14"/>
  <c r="AH15" i="14"/>
  <c r="W15" i="14" s="1"/>
  <c r="X15" i="14" s="1"/>
  <c r="Z15" i="14" s="1"/>
  <c r="Y15" i="14" s="1"/>
  <c r="AG15" i="14"/>
  <c r="AC15" i="14"/>
  <c r="AD15" i="14" s="1"/>
  <c r="AI14" i="14"/>
  <c r="AH14" i="14"/>
  <c r="AC14" i="14"/>
  <c r="AD14" i="14" s="1"/>
  <c r="W14" i="14"/>
  <c r="X14" i="14" s="1"/>
  <c r="AI13" i="14"/>
  <c r="AD13" i="14"/>
  <c r="AC13" i="14"/>
  <c r="AI12" i="14"/>
  <c r="AD12" i="14"/>
  <c r="AC12" i="14"/>
  <c r="W12" i="14"/>
  <c r="X12" i="14" s="1"/>
  <c r="Z12" i="14" s="1"/>
  <c r="Y12" i="14" s="1"/>
  <c r="AI11" i="14"/>
  <c r="AH11" i="14"/>
  <c r="AC11" i="14"/>
  <c r="AD11" i="14" s="1"/>
  <c r="W11" i="14"/>
  <c r="X11" i="14" s="1"/>
  <c r="AI10" i="14"/>
  <c r="AC10" i="14"/>
  <c r="AD10" i="14" s="1"/>
  <c r="W10" i="14"/>
  <c r="X10" i="14" s="1"/>
  <c r="AG10" i="14" s="1"/>
  <c r="AC9" i="14"/>
  <c r="Z238" i="14" l="1"/>
  <c r="AG238" i="14"/>
  <c r="AG111" i="14"/>
  <c r="Z111" i="14"/>
  <c r="Y111" i="14" s="1"/>
  <c r="Z468" i="14"/>
  <c r="Y468" i="14" s="1"/>
  <c r="AG468" i="14"/>
  <c r="Z89" i="14"/>
  <c r="Y89" i="14" s="1"/>
  <c r="AG89" i="14"/>
  <c r="AG100" i="14"/>
  <c r="Z100" i="14"/>
  <c r="Y100" i="14" s="1"/>
  <c r="AG331" i="14"/>
  <c r="Z331" i="14"/>
  <c r="Y331" i="14" s="1"/>
  <c r="AG201" i="14"/>
  <c r="Z201" i="14"/>
  <c r="Y201" i="14" s="1"/>
  <c r="AG37" i="14"/>
  <c r="Z37" i="14"/>
  <c r="Y37" i="14" s="1"/>
  <c r="AG108" i="14"/>
  <c r="Z108" i="14"/>
  <c r="Y108" i="14" s="1"/>
  <c r="Z33" i="14"/>
  <c r="Y33" i="14" s="1"/>
  <c r="AG33" i="14"/>
  <c r="Z109" i="14"/>
  <c r="Y109" i="14" s="1"/>
  <c r="AG109" i="14"/>
  <c r="AG210" i="14"/>
  <c r="Z210" i="14"/>
  <c r="Y210" i="14" s="1"/>
  <c r="Z30" i="14"/>
  <c r="Y30" i="14" s="1"/>
  <c r="AG30" i="14"/>
  <c r="AG86" i="14"/>
  <c r="Z86" i="14"/>
  <c r="Y86" i="14" s="1"/>
  <c r="Z243" i="14"/>
  <c r="Y243" i="14" s="1"/>
  <c r="AG243" i="14"/>
  <c r="Z283" i="14"/>
  <c r="Y283" i="14" s="1"/>
  <c r="AG283" i="14"/>
  <c r="AG482" i="14"/>
  <c r="Z482" i="14"/>
  <c r="Y482" i="14" s="1"/>
  <c r="AG185" i="14"/>
  <c r="AG217" i="14"/>
  <c r="Z217" i="14"/>
  <c r="Y217" i="14" s="1"/>
  <c r="AG286" i="14"/>
  <c r="AG311" i="14"/>
  <c r="Z311" i="14"/>
  <c r="Y311" i="14" s="1"/>
  <c r="Z484" i="14"/>
  <c r="Y484" i="14" s="1"/>
  <c r="Z182" i="14"/>
  <c r="Y182" i="14" s="1"/>
  <c r="Z95" i="14"/>
  <c r="Y95" i="14" s="1"/>
  <c r="AG92" i="14"/>
  <c r="AG340" i="14"/>
  <c r="AG352" i="14"/>
  <c r="AG376" i="14"/>
  <c r="Z376" i="14"/>
  <c r="Y376" i="14" s="1"/>
  <c r="AG477" i="14"/>
  <c r="AG428" i="14"/>
  <c r="AG48" i="14"/>
  <c r="Z48" i="14"/>
  <c r="Y48" i="14" s="1"/>
  <c r="AG206" i="14"/>
  <c r="AG231" i="14"/>
  <c r="Z231" i="14"/>
  <c r="Y231" i="14" s="1"/>
  <c r="AG256" i="14"/>
  <c r="AG478" i="14"/>
  <c r="Z478" i="14"/>
  <c r="Y478" i="14" s="1"/>
  <c r="AG27" i="14"/>
  <c r="Z334" i="14"/>
  <c r="Y334" i="14" s="1"/>
  <c r="AG334" i="14"/>
  <c r="AG417" i="14"/>
  <c r="AG53" i="14"/>
  <c r="AG347" i="14"/>
  <c r="Z49" i="14"/>
  <c r="Y49" i="14" s="1"/>
  <c r="Z68" i="14"/>
  <c r="Y68" i="14" s="1"/>
  <c r="AG196" i="14"/>
  <c r="AG353" i="14"/>
  <c r="AG330" i="14"/>
  <c r="Z64" i="14"/>
  <c r="Y64" i="14" s="1"/>
  <c r="AG270" i="14"/>
  <c r="Z412" i="14"/>
  <c r="Y412" i="14" s="1"/>
  <c r="AG412" i="14"/>
  <c r="Z50" i="14"/>
  <c r="Y50" i="14" s="1"/>
  <c r="AG187" i="14"/>
  <c r="AG336" i="14"/>
  <c r="AG425" i="14"/>
  <c r="AG193" i="14"/>
  <c r="Z193" i="14"/>
  <c r="Y193" i="14" s="1"/>
  <c r="AG294" i="14"/>
  <c r="AG172" i="14"/>
  <c r="AG494" i="14"/>
  <c r="Z494" i="14"/>
  <c r="Z35" i="14"/>
  <c r="Y35" i="14" s="1"/>
  <c r="AG204" i="14"/>
  <c r="Z204" i="14"/>
  <c r="Y204" i="14" s="1"/>
  <c r="Z301" i="14"/>
  <c r="Y301" i="14" s="1"/>
  <c r="Z153" i="14"/>
  <c r="Y153" i="14" s="1"/>
  <c r="AG344" i="14"/>
  <c r="Z144" i="14"/>
  <c r="Y144" i="14" s="1"/>
  <c r="Z163" i="14"/>
  <c r="Y163" i="14" s="1"/>
  <c r="AG178" i="14"/>
  <c r="AG476" i="14"/>
  <c r="Z476" i="14"/>
  <c r="Y476" i="14" s="1"/>
  <c r="Z442" i="14"/>
  <c r="Y442" i="14" s="1"/>
  <c r="Z355" i="14"/>
  <c r="Y355" i="14" s="1"/>
  <c r="AG355" i="14"/>
  <c r="AG272" i="14"/>
  <c r="Z272" i="14"/>
  <c r="Y272" i="14" s="1"/>
  <c r="AG12" i="14"/>
  <c r="AG167" i="14"/>
  <c r="AG266" i="14"/>
  <c r="Z266" i="14"/>
  <c r="Y266" i="14" s="1"/>
  <c r="AG148" i="14"/>
  <c r="AG127" i="14"/>
  <c r="AG56" i="14"/>
  <c r="Z255" i="14"/>
  <c r="Y255" i="14" s="1"/>
  <c r="Z382" i="14"/>
  <c r="Y382" i="14" s="1"/>
  <c r="AG382" i="14"/>
  <c r="AG285" i="14"/>
  <c r="Z275" i="14"/>
  <c r="Y275" i="14" s="1"/>
  <c r="AG387" i="14"/>
  <c r="AG209" i="14"/>
  <c r="Z322" i="14"/>
  <c r="Y322" i="14" s="1"/>
  <c r="AG219" i="14"/>
  <c r="AG384" i="14"/>
  <c r="AG408" i="14"/>
  <c r="AG449" i="14"/>
  <c r="AG29" i="14"/>
  <c r="AG110" i="14"/>
  <c r="AG142" i="14"/>
  <c r="AG483" i="14"/>
  <c r="AG241" i="14"/>
  <c r="Z241" i="14"/>
  <c r="Y241" i="14" s="1"/>
  <c r="Z13" i="14"/>
  <c r="Y13" i="14" s="1"/>
  <c r="AG13" i="14"/>
  <c r="AG232" i="14"/>
  <c r="Z232" i="14"/>
  <c r="Y232" i="14" s="1"/>
  <c r="AG251" i="14"/>
  <c r="Z251" i="14"/>
  <c r="Y251" i="14" s="1"/>
  <c r="AG97" i="14"/>
  <c r="Z97" i="14"/>
  <c r="Y97" i="14" s="1"/>
  <c r="AG431" i="14"/>
  <c r="Z431" i="14"/>
  <c r="Y431" i="14" s="1"/>
  <c r="AG174" i="14"/>
  <c r="Z174" i="14"/>
  <c r="Y174" i="14" s="1"/>
  <c r="AD167" i="14"/>
  <c r="Z167" i="14"/>
  <c r="Y167" i="14" s="1"/>
  <c r="AG349" i="14"/>
  <c r="Z349" i="14"/>
  <c r="Y349" i="14" s="1"/>
  <c r="Z11" i="14"/>
  <c r="Y11" i="14" s="1"/>
  <c r="AG11" i="14"/>
  <c r="AG88" i="14"/>
  <c r="Z88" i="14"/>
  <c r="Y88" i="14" s="1"/>
  <c r="AG162" i="14"/>
  <c r="AG216" i="14"/>
  <c r="Z216" i="14"/>
  <c r="Y216" i="14" s="1"/>
  <c r="Z197" i="14"/>
  <c r="Y197" i="14" s="1"/>
  <c r="AD197" i="14"/>
  <c r="Z101" i="14"/>
  <c r="Y101" i="14" s="1"/>
  <c r="AG136" i="14"/>
  <c r="Z136" i="14"/>
  <c r="Y136" i="14" s="1"/>
  <c r="AG235" i="14"/>
  <c r="Z235" i="14"/>
  <c r="Y235" i="14" s="1"/>
  <c r="AG61" i="14"/>
  <c r="Z61" i="14"/>
  <c r="Y61" i="14" s="1"/>
  <c r="Z268" i="14"/>
  <c r="Y268" i="14" s="1"/>
  <c r="AG268" i="14"/>
  <c r="Z16" i="14"/>
  <c r="Y16" i="14" s="1"/>
  <c r="AG16" i="14"/>
  <c r="Z69" i="14"/>
  <c r="Y69" i="14" s="1"/>
  <c r="AD69" i="14"/>
  <c r="Z106" i="14"/>
  <c r="Y106" i="14" s="1"/>
  <c r="AG106" i="14"/>
  <c r="AG321" i="14"/>
  <c r="Z321" i="14"/>
  <c r="Y321" i="14" s="1"/>
  <c r="V220" i="14"/>
  <c r="Z228" i="14"/>
  <c r="Y228" i="14" s="1"/>
  <c r="AG228" i="14"/>
  <c r="AG304" i="14"/>
  <c r="Z304" i="14"/>
  <c r="Y304" i="14" s="1"/>
  <c r="AG435" i="14"/>
  <c r="Z435" i="14"/>
  <c r="Y435" i="14" s="1"/>
  <c r="AG222" i="14"/>
  <c r="Z130" i="14"/>
  <c r="Y130" i="14" s="1"/>
  <c r="AG150" i="14"/>
  <c r="Z150" i="14"/>
  <c r="Y150" i="14" s="1"/>
  <c r="AG278" i="14"/>
  <c r="Z278" i="14"/>
  <c r="Y278" i="14" s="1"/>
  <c r="Z246" i="14"/>
  <c r="Y246" i="14" s="1"/>
  <c r="AG246" i="14"/>
  <c r="AG257" i="14"/>
  <c r="Z257" i="14"/>
  <c r="Y257" i="14" s="1"/>
  <c r="AG267" i="14"/>
  <c r="Z267" i="14"/>
  <c r="Y267" i="14" s="1"/>
  <c r="Z299" i="14"/>
  <c r="Y299" i="14" s="1"/>
  <c r="AG17" i="14"/>
  <c r="Z17" i="14"/>
  <c r="Y17" i="14" s="1"/>
  <c r="AG469" i="14"/>
  <c r="Z469" i="14"/>
  <c r="Y469" i="14" s="1"/>
  <c r="AD80" i="14"/>
  <c r="Z80" i="14"/>
  <c r="Y80" i="14" s="1"/>
  <c r="AD66" i="14"/>
  <c r="Z66" i="14"/>
  <c r="Y66" i="14" s="1"/>
  <c r="AD94" i="14"/>
  <c r="Z94" i="14"/>
  <c r="Y94" i="14" s="1"/>
  <c r="Z179" i="14"/>
  <c r="Y179" i="14" s="1"/>
  <c r="AD179" i="14"/>
  <c r="AG323" i="14"/>
  <c r="Z323" i="14"/>
  <c r="Y323" i="14" s="1"/>
  <c r="AG75" i="14"/>
  <c r="Z75" i="14"/>
  <c r="Y75" i="14" s="1"/>
  <c r="Z126" i="14"/>
  <c r="Y126" i="14" s="1"/>
  <c r="AG131" i="14"/>
  <c r="Z131" i="14"/>
  <c r="Y131" i="14" s="1"/>
  <c r="Z137" i="14"/>
  <c r="Y137" i="14" s="1"/>
  <c r="AD137" i="14"/>
  <c r="AG22" i="14"/>
  <c r="Z22" i="14"/>
  <c r="Y22" i="14" s="1"/>
  <c r="AG34" i="14"/>
  <c r="Z34" i="14"/>
  <c r="Y34" i="14" s="1"/>
  <c r="AD122" i="14"/>
  <c r="Z122" i="14"/>
  <c r="Y122" i="14" s="1"/>
  <c r="Z218" i="14"/>
  <c r="Y218" i="14" s="1"/>
  <c r="AG218" i="14"/>
  <c r="Z236" i="14"/>
  <c r="Y236" i="14" s="1"/>
  <c r="AG346" i="14"/>
  <c r="Z346" i="14"/>
  <c r="Y346" i="14" s="1"/>
  <c r="AG487" i="14"/>
  <c r="Z487" i="14"/>
  <c r="Y487" i="14" s="1"/>
  <c r="AD152" i="14"/>
  <c r="Z152" i="14"/>
  <c r="Y152" i="14" s="1"/>
  <c r="Z225" i="14"/>
  <c r="Y225" i="14" s="1"/>
  <c r="AG225" i="14"/>
  <c r="Z295" i="14"/>
  <c r="Y295" i="14" s="1"/>
  <c r="AG295" i="14"/>
  <c r="Z426" i="14"/>
  <c r="Y426" i="14" s="1"/>
  <c r="AG426" i="14"/>
  <c r="AG281" i="14"/>
  <c r="Z281" i="14"/>
  <c r="Y281" i="14" s="1"/>
  <c r="AG409" i="14"/>
  <c r="Z409" i="14"/>
  <c r="Y409" i="14" s="1"/>
  <c r="Z460" i="14"/>
  <c r="Y460" i="14" s="1"/>
  <c r="Z213" i="14"/>
  <c r="Y213" i="14" s="1"/>
  <c r="AG213" i="14"/>
  <c r="AG465" i="14"/>
  <c r="Z465" i="14"/>
  <c r="Y465" i="14" s="1"/>
  <c r="Z62" i="14"/>
  <c r="Y62" i="14" s="1"/>
  <c r="Z341" i="14"/>
  <c r="Y341" i="14" s="1"/>
  <c r="AG269" i="14"/>
  <c r="Z269" i="14"/>
  <c r="Y269" i="14" s="1"/>
  <c r="AG147" i="14"/>
  <c r="Z147" i="14"/>
  <c r="Y147" i="14" s="1"/>
  <c r="AG58" i="14"/>
  <c r="Z58" i="14"/>
  <c r="Y58" i="14" s="1"/>
  <c r="AG170" i="14"/>
  <c r="Z170" i="14"/>
  <c r="Y170" i="14" s="1"/>
  <c r="AG103" i="14"/>
  <c r="Z103" i="14"/>
  <c r="Y103" i="14" s="1"/>
  <c r="AG19" i="14"/>
  <c r="Z19" i="14"/>
  <c r="Y19" i="14" s="1"/>
  <c r="Z72" i="14"/>
  <c r="Y72" i="14" s="1"/>
  <c r="Z205" i="14"/>
  <c r="Y205" i="14" s="1"/>
  <c r="AG31" i="14"/>
  <c r="Z31" i="14"/>
  <c r="Y31" i="14" s="1"/>
  <c r="AG215" i="14"/>
  <c r="Z215" i="14"/>
  <c r="Y215" i="14" s="1"/>
  <c r="AG450" i="14"/>
  <c r="Z450" i="14"/>
  <c r="Y450" i="14" s="1"/>
  <c r="AG473" i="14"/>
  <c r="Z473" i="14"/>
  <c r="AG160" i="14"/>
  <c r="Z160" i="14"/>
  <c r="Y160" i="14" s="1"/>
  <c r="AG274" i="14"/>
  <c r="Z274" i="14"/>
  <c r="Y274" i="14" s="1"/>
  <c r="V327" i="14"/>
  <c r="Z415" i="14"/>
  <c r="Y415" i="14" s="1"/>
  <c r="AG415" i="14"/>
  <c r="V407" i="14"/>
  <c r="AG443" i="14"/>
  <c r="Z443" i="14"/>
  <c r="Y443" i="14" s="1"/>
  <c r="Z14" i="14"/>
  <c r="Y14" i="14" s="1"/>
  <c r="AG14" i="14"/>
  <c r="Z264" i="14"/>
  <c r="Y264" i="14" s="1"/>
  <c r="AG374" i="14"/>
  <c r="Z374" i="14"/>
  <c r="Y374" i="14" s="1"/>
  <c r="Z20" i="14"/>
  <c r="Y20" i="14" s="1"/>
  <c r="AG20" i="14"/>
  <c r="AG77" i="14"/>
  <c r="Z77" i="14"/>
  <c r="Y77" i="14" s="1"/>
  <c r="Z128" i="14"/>
  <c r="Y128" i="14" s="1"/>
  <c r="AG128" i="14"/>
  <c r="AG181" i="14"/>
  <c r="Z181" i="14"/>
  <c r="Y181" i="14" s="1"/>
  <c r="AG314" i="14"/>
  <c r="Z314" i="14"/>
  <c r="Y314" i="14" s="1"/>
  <c r="Z25" i="14"/>
  <c r="Y25" i="14" s="1"/>
  <c r="Z105" i="14"/>
  <c r="Y105" i="14" s="1"/>
  <c r="AD105" i="14"/>
  <c r="Z118" i="14"/>
  <c r="Y118" i="14" s="1"/>
  <c r="AG59" i="14"/>
  <c r="Z59" i="14"/>
  <c r="Y59" i="14" s="1"/>
  <c r="AD83" i="14"/>
  <c r="Z83" i="14"/>
  <c r="Y83" i="14" s="1"/>
  <c r="AG114" i="14"/>
  <c r="Z114" i="14"/>
  <c r="Y114" i="14" s="1"/>
  <c r="V202" i="14"/>
  <c r="Z337" i="14"/>
  <c r="Y337" i="14" s="1"/>
  <c r="AG337" i="14"/>
  <c r="AG370" i="14"/>
  <c r="Z370" i="14"/>
  <c r="V9" i="14"/>
  <c r="Z271" i="14"/>
  <c r="Y271" i="14" s="1"/>
  <c r="AG271" i="14"/>
  <c r="Z298" i="14"/>
  <c r="Y298" i="14" s="1"/>
  <c r="AG298" i="14"/>
  <c r="AG309" i="14"/>
  <c r="Z309" i="14"/>
  <c r="Y309" i="14" s="1"/>
  <c r="Z358" i="14"/>
  <c r="Y358" i="14" s="1"/>
  <c r="Z490" i="14"/>
  <c r="Y490" i="14" s="1"/>
  <c r="AG490" i="14"/>
  <c r="Z42" i="14"/>
  <c r="Y42" i="14" s="1"/>
  <c r="Z112" i="14"/>
  <c r="Y112" i="14" s="1"/>
  <c r="Z119" i="14"/>
  <c r="Y119" i="14" s="1"/>
  <c r="Z127" i="14"/>
  <c r="Y127" i="14" s="1"/>
  <c r="Z171" i="14"/>
  <c r="Y171" i="14" s="1"/>
  <c r="Z190" i="14"/>
  <c r="Y190" i="14" s="1"/>
  <c r="AD194" i="14"/>
  <c r="Z194" i="14"/>
  <c r="Y194" i="14" s="1"/>
  <c r="Z198" i="14"/>
  <c r="Y198" i="14" s="1"/>
  <c r="Z247" i="14"/>
  <c r="Y247" i="14" s="1"/>
  <c r="Z260" i="14"/>
  <c r="Y260" i="14" s="1"/>
  <c r="AG287" i="14"/>
  <c r="Z287" i="14"/>
  <c r="Y287" i="14" s="1"/>
  <c r="Z291" i="14"/>
  <c r="Y291" i="14" s="1"/>
  <c r="AG310" i="14"/>
  <c r="Z310" i="14"/>
  <c r="Y310" i="14" s="1"/>
  <c r="Z411" i="14"/>
  <c r="Y411" i="14" s="1"/>
  <c r="AG411" i="14"/>
  <c r="Z368" i="14"/>
  <c r="Y368" i="14" s="1"/>
  <c r="AG368" i="14"/>
  <c r="Z305" i="14"/>
  <c r="Y305" i="14" s="1"/>
  <c r="AD88" i="14"/>
  <c r="Z134" i="14"/>
  <c r="AG233" i="14"/>
  <c r="Z233" i="14"/>
  <c r="Y233" i="14" s="1"/>
  <c r="AG279" i="14"/>
  <c r="Z279" i="14"/>
  <c r="Y279" i="14" s="1"/>
  <c r="AG324" i="14"/>
  <c r="Z324" i="14"/>
  <c r="Y324" i="14" s="1"/>
  <c r="AG427" i="14"/>
  <c r="Z427" i="14"/>
  <c r="Y427" i="14" s="1"/>
  <c r="AG437" i="14"/>
  <c r="Z437" i="14"/>
  <c r="Y437" i="14" s="1"/>
  <c r="Z493" i="14"/>
  <c r="AG493" i="14"/>
  <c r="W360" i="14"/>
  <c r="X360" i="14" s="1"/>
  <c r="W363" i="14"/>
  <c r="X363" i="14" s="1"/>
  <c r="AG26" i="14"/>
  <c r="Z26" i="14"/>
  <c r="Y26" i="14" s="1"/>
  <c r="Z145" i="14"/>
  <c r="Y145" i="14" s="1"/>
  <c r="AG18" i="14"/>
  <c r="Z102" i="14"/>
  <c r="Y102" i="14" s="1"/>
  <c r="Z138" i="14"/>
  <c r="Y138" i="14" s="1"/>
  <c r="Z168" i="14"/>
  <c r="Y168" i="14" s="1"/>
  <c r="AD168" i="14"/>
  <c r="AG342" i="14"/>
  <c r="Z446" i="14"/>
  <c r="Y446" i="14" s="1"/>
  <c r="AG457" i="14"/>
  <c r="AG488" i="14"/>
  <c r="Z488" i="14"/>
  <c r="Y488" i="14" s="1"/>
  <c r="Z499" i="14"/>
  <c r="Z498" i="14" s="1"/>
  <c r="X498" i="14" s="1"/>
  <c r="AG498" i="14" s="1"/>
  <c r="AG499" i="14"/>
  <c r="V377" i="14"/>
  <c r="AG410" i="14"/>
  <c r="Z410" i="14"/>
  <c r="Y410" i="14" s="1"/>
  <c r="Z10" i="14"/>
  <c r="AG87" i="14"/>
  <c r="Z87" i="14"/>
  <c r="Y87" i="14" s="1"/>
  <c r="Z141" i="14"/>
  <c r="Y141" i="14" s="1"/>
  <c r="Z175" i="14"/>
  <c r="Y175" i="14" s="1"/>
  <c r="AD175" i="14"/>
  <c r="AG351" i="14"/>
  <c r="Z351" i="14"/>
  <c r="Y351" i="14" s="1"/>
  <c r="Z441" i="14"/>
  <c r="Y441" i="14" s="1"/>
  <c r="Z319" i="14"/>
  <c r="Y319" i="14" s="1"/>
  <c r="AG329" i="14"/>
  <c r="Z329" i="14"/>
  <c r="Y329" i="14" s="1"/>
  <c r="Z333" i="14"/>
  <c r="Y333" i="14" s="1"/>
  <c r="Z359" i="14"/>
  <c r="Y359" i="14" s="1"/>
  <c r="AG364" i="14"/>
  <c r="Z364" i="14"/>
  <c r="Y364" i="14" s="1"/>
  <c r="Z452" i="14"/>
  <c r="AG452" i="14"/>
  <c r="AG466" i="14"/>
  <c r="Z466" i="14"/>
  <c r="Y466" i="14" s="1"/>
  <c r="Z39" i="14"/>
  <c r="Z91" i="14"/>
  <c r="Y91" i="14" s="1"/>
  <c r="V237" i="14"/>
  <c r="AG315" i="14"/>
  <c r="AG338" i="14"/>
  <c r="W46" i="14"/>
  <c r="X46" i="14" s="1"/>
  <c r="AG46" i="14" s="1"/>
  <c r="AD49" i="14"/>
  <c r="AD119" i="14"/>
  <c r="AD123" i="14"/>
  <c r="AG149" i="14"/>
  <c r="Z149" i="14"/>
  <c r="Y149" i="14" s="1"/>
  <c r="AD176" i="14"/>
  <c r="AG296" i="14"/>
  <c r="Z296" i="14"/>
  <c r="Y296" i="14" s="1"/>
  <c r="AG320" i="14"/>
  <c r="Z320" i="14"/>
  <c r="Y320" i="14" s="1"/>
  <c r="Z422" i="14"/>
  <c r="Y422" i="14" s="1"/>
  <c r="AG422" i="14"/>
  <c r="AG461" i="14"/>
  <c r="AG224" i="14"/>
  <c r="AG229" i="14"/>
  <c r="Z229" i="14"/>
  <c r="Y229" i="14" s="1"/>
  <c r="Y238" i="14"/>
  <c r="AG280" i="14"/>
  <c r="Z280" i="14"/>
  <c r="Y280" i="14" s="1"/>
  <c r="Z306" i="14"/>
  <c r="Y306" i="14" s="1"/>
  <c r="AG306" i="14"/>
  <c r="Z343" i="14"/>
  <c r="Y343" i="14" s="1"/>
  <c r="AG343" i="14"/>
  <c r="Z356" i="14"/>
  <c r="Y356" i="14" s="1"/>
  <c r="AG356" i="14"/>
  <c r="Z325" i="14"/>
  <c r="Y325" i="14" s="1"/>
  <c r="Z284" i="14"/>
  <c r="Y284" i="14" s="1"/>
  <c r="AD110" i="14"/>
  <c r="Z110" i="14"/>
  <c r="Y110" i="14" s="1"/>
  <c r="AG348" i="14"/>
  <c r="Z365" i="14"/>
  <c r="Y365" i="14" s="1"/>
  <c r="Z371" i="14"/>
  <c r="Y371" i="14" s="1"/>
  <c r="AG371" i="14"/>
  <c r="Z418" i="14"/>
  <c r="Y418" i="14" s="1"/>
  <c r="AG418" i="14"/>
  <c r="AG423" i="14"/>
  <c r="Z143" i="14"/>
  <c r="Y143" i="14" s="1"/>
  <c r="AD143" i="14"/>
  <c r="AG195" i="14"/>
  <c r="Z36" i="14"/>
  <c r="Y36" i="14" s="1"/>
  <c r="AG36" i="14"/>
  <c r="Z328" i="14"/>
  <c r="AG328" i="14"/>
  <c r="Z378" i="14"/>
  <c r="AG378" i="14"/>
  <c r="AG445" i="14"/>
  <c r="Z445" i="14"/>
  <c r="Y445" i="14" s="1"/>
  <c r="Z99" i="14"/>
  <c r="Y99" i="14" s="1"/>
  <c r="AD99" i="14"/>
  <c r="Z157" i="14"/>
  <c r="Y157" i="14" s="1"/>
  <c r="AD157" i="14"/>
  <c r="AD191" i="14"/>
  <c r="Z191" i="14"/>
  <c r="Y191" i="14" s="1"/>
  <c r="AD199" i="14"/>
  <c r="Z199" i="14"/>
  <c r="Y199" i="14" s="1"/>
  <c r="Z74" i="14"/>
  <c r="Y74" i="14" s="1"/>
  <c r="Z176" i="14"/>
  <c r="Y176" i="14" s="1"/>
  <c r="Z184" i="14"/>
  <c r="Y184" i="14" s="1"/>
  <c r="AG239" i="14"/>
  <c r="Z239" i="14"/>
  <c r="Y239" i="14" s="1"/>
  <c r="Z288" i="14"/>
  <c r="Y288" i="14" s="1"/>
  <c r="AG297" i="14"/>
  <c r="Z297" i="14"/>
  <c r="Y297" i="14" s="1"/>
  <c r="Z43" i="14"/>
  <c r="Y43" i="14" s="1"/>
  <c r="AD85" i="14"/>
  <c r="Z85" i="14"/>
  <c r="Y85" i="14" s="1"/>
  <c r="Z139" i="14"/>
  <c r="Y139" i="14" s="1"/>
  <c r="AG211" i="14"/>
  <c r="AG339" i="14"/>
  <c r="V472" i="14"/>
  <c r="AG23" i="14"/>
  <c r="AG28" i="14"/>
  <c r="Z28" i="14"/>
  <c r="Y28" i="14" s="1"/>
  <c r="Z54" i="14"/>
  <c r="Y54" i="14" s="1"/>
  <c r="AD54" i="14"/>
  <c r="AG244" i="14"/>
  <c r="Z244" i="14"/>
  <c r="Y244" i="14" s="1"/>
  <c r="AG293" i="14"/>
  <c r="Z293" i="14"/>
  <c r="Y293" i="14" s="1"/>
  <c r="AG302" i="14"/>
  <c r="Z302" i="14"/>
  <c r="Y302" i="14" s="1"/>
  <c r="AG312" i="14"/>
  <c r="Z312" i="14"/>
  <c r="Y312" i="14" s="1"/>
  <c r="AG326" i="14"/>
  <c r="Z326" i="14"/>
  <c r="Y326" i="14" s="1"/>
  <c r="AG357" i="14"/>
  <c r="Z357" i="14"/>
  <c r="Y357" i="14" s="1"/>
  <c r="Z381" i="14"/>
  <c r="Y381" i="14" s="1"/>
  <c r="AG381" i="14"/>
  <c r="Z429" i="14"/>
  <c r="Y429" i="14" s="1"/>
  <c r="AG448" i="14"/>
  <c r="Z448" i="14"/>
  <c r="Z479" i="14"/>
  <c r="Y479" i="14" s="1"/>
  <c r="AG479" i="14"/>
  <c r="AD64" i="14"/>
  <c r="Z117" i="14"/>
  <c r="Y117" i="14" s="1"/>
  <c r="AG132" i="14"/>
  <c r="Z132" i="14"/>
  <c r="Y132" i="14" s="1"/>
  <c r="AG143" i="14"/>
  <c r="AG207" i="14"/>
  <c r="Z230" i="14"/>
  <c r="Y230" i="14" s="1"/>
  <c r="Z249" i="14"/>
  <c r="Y249" i="14" s="1"/>
  <c r="AG254" i="14"/>
  <c r="Z254" i="14"/>
  <c r="Y254" i="14" s="1"/>
  <c r="Z307" i="14"/>
  <c r="Y307" i="14" s="1"/>
  <c r="Z335" i="14"/>
  <c r="Y335" i="14" s="1"/>
  <c r="AG434" i="14"/>
  <c r="Z434" i="14"/>
  <c r="Y434" i="14" s="1"/>
  <c r="Z454" i="14"/>
  <c r="Y454" i="14" s="1"/>
  <c r="Z474" i="14"/>
  <c r="Y474" i="14" s="1"/>
  <c r="AG474" i="14"/>
  <c r="AG78" i="14"/>
  <c r="Z125" i="14"/>
  <c r="Y125" i="14" s="1"/>
  <c r="AD125" i="14"/>
  <c r="AG154" i="14"/>
  <c r="Z154" i="14"/>
  <c r="Y154" i="14" s="1"/>
  <c r="Z165" i="14"/>
  <c r="Y165" i="14" s="1"/>
  <c r="Z188" i="14"/>
  <c r="Y188" i="14" s="1"/>
  <c r="Z200" i="14"/>
  <c r="Y200" i="14" s="1"/>
  <c r="AG200" i="14"/>
  <c r="Z317" i="14"/>
  <c r="Y317" i="14" s="1"/>
  <c r="Z439" i="14"/>
  <c r="Y439" i="14" s="1"/>
  <c r="AG24" i="14"/>
  <c r="Z24" i="14"/>
  <c r="Y24" i="14" s="1"/>
  <c r="AG32" i="14"/>
  <c r="AD51" i="14"/>
  <c r="Z51" i="14"/>
  <c r="Y51" i="14" s="1"/>
  <c r="Z71" i="14"/>
  <c r="Y71" i="14" s="1"/>
  <c r="Z78" i="14"/>
  <c r="Y78" i="14" s="1"/>
  <c r="AG96" i="14"/>
  <c r="Z96" i="14"/>
  <c r="Y96" i="14" s="1"/>
  <c r="AD121" i="14"/>
  <c r="Z121" i="14"/>
  <c r="Y121" i="14" s="1"/>
  <c r="AD147" i="14"/>
  <c r="AD173" i="14"/>
  <c r="Z173" i="14"/>
  <c r="Y173" i="14" s="1"/>
  <c r="Z192" i="14"/>
  <c r="Y192" i="14" s="1"/>
  <c r="AG192" i="14"/>
  <c r="AG221" i="14"/>
  <c r="Z221" i="14"/>
  <c r="AG276" i="14"/>
  <c r="Z276" i="14"/>
  <c r="Y276" i="14" s="1"/>
  <c r="AG413" i="14"/>
  <c r="Z413" i="14"/>
  <c r="Y413" i="14" s="1"/>
  <c r="Z76" i="14"/>
  <c r="Y76" i="14" s="1"/>
  <c r="AG76" i="14"/>
  <c r="AG261" i="14"/>
  <c r="Z261" i="14"/>
  <c r="Y261" i="14" s="1"/>
  <c r="AG292" i="14"/>
  <c r="Z292" i="14"/>
  <c r="Y292" i="14" s="1"/>
  <c r="Z433" i="14"/>
  <c r="Y433" i="14" s="1"/>
  <c r="AG433" i="14"/>
  <c r="AG82" i="14"/>
  <c r="Z82" i="14"/>
  <c r="Y82" i="14" s="1"/>
  <c r="AD162" i="14"/>
  <c r="Z162" i="14"/>
  <c r="Y162" i="14" s="1"/>
  <c r="AD178" i="14"/>
  <c r="V177" i="14" s="1"/>
  <c r="Z178" i="14"/>
  <c r="AG245" i="14"/>
  <c r="Z245" i="14"/>
  <c r="Y245" i="14" s="1"/>
  <c r="AG250" i="14"/>
  <c r="Z250" i="14"/>
  <c r="Y250" i="14" s="1"/>
  <c r="AG366" i="14"/>
  <c r="Z366" i="14"/>
  <c r="Y366" i="14" s="1"/>
  <c r="AG464" i="14"/>
  <c r="AG316" i="14"/>
  <c r="Z316" i="14"/>
  <c r="Y316" i="14" s="1"/>
  <c r="AG57" i="14"/>
  <c r="Z57" i="14"/>
  <c r="Y57" i="14" s="1"/>
  <c r="AD86" i="14"/>
  <c r="Z93" i="14"/>
  <c r="Y93" i="14" s="1"/>
  <c r="Z240" i="14"/>
  <c r="Y240" i="14" s="1"/>
  <c r="AG263" i="14"/>
  <c r="Z263" i="14"/>
  <c r="Y263" i="14" s="1"/>
  <c r="Z303" i="14"/>
  <c r="Y303" i="14" s="1"/>
  <c r="AG303" i="14"/>
  <c r="Z464" i="14"/>
  <c r="Y464" i="14" s="1"/>
  <c r="AG485" i="14"/>
  <c r="Z485" i="14"/>
  <c r="Y485" i="14" s="1"/>
  <c r="Z497" i="14"/>
  <c r="AG497" i="14"/>
  <c r="Z79" i="14"/>
  <c r="Y79" i="14" s="1"/>
  <c r="AD79" i="14"/>
  <c r="AD90" i="14"/>
  <c r="Z90" i="14"/>
  <c r="Y90" i="14" s="1"/>
  <c r="Z151" i="14"/>
  <c r="Y151" i="14" s="1"/>
  <c r="Z345" i="14"/>
  <c r="Y345" i="14" s="1"/>
  <c r="Z120" i="14"/>
  <c r="Y120" i="14" s="1"/>
  <c r="AD120" i="14"/>
  <c r="Z41" i="14"/>
  <c r="Y41" i="14" s="1"/>
  <c r="AD41" i="14"/>
  <c r="AD97" i="14"/>
  <c r="AG151" i="14"/>
  <c r="AG420" i="14"/>
  <c r="Z420" i="14"/>
  <c r="Y420" i="14" s="1"/>
  <c r="V451" i="14"/>
  <c r="Z489" i="14"/>
  <c r="Y489" i="14" s="1"/>
  <c r="AG489" i="14"/>
  <c r="AG248" i="14"/>
  <c r="Z248" i="14"/>
  <c r="Y248" i="14" s="1"/>
  <c r="AG318" i="14"/>
  <c r="Z318" i="14"/>
  <c r="Y318" i="14" s="1"/>
  <c r="AG223" i="14"/>
  <c r="Z223" i="14"/>
  <c r="Y223" i="14" s="1"/>
  <c r="AG227" i="14"/>
  <c r="Z227" i="14"/>
  <c r="Y227" i="14" s="1"/>
  <c r="AG252" i="14"/>
  <c r="Z252" i="14"/>
  <c r="Y252" i="14" s="1"/>
  <c r="Z60" i="14"/>
  <c r="Y60" i="14" s="1"/>
  <c r="AG146" i="14"/>
  <c r="Z146" i="14"/>
  <c r="Y146" i="14" s="1"/>
  <c r="AD156" i="14"/>
  <c r="AD185" i="14"/>
  <c r="AD40" i="14"/>
  <c r="V38" i="14" s="1"/>
  <c r="Z81" i="14"/>
  <c r="Y81" i="14" s="1"/>
  <c r="AD81" i="14"/>
  <c r="AD134" i="14"/>
  <c r="Z414" i="14"/>
  <c r="Y414" i="14" s="1"/>
  <c r="AG84" i="14"/>
  <c r="Z84" i="14"/>
  <c r="Y84" i="14" s="1"/>
  <c r="AD106" i="14"/>
  <c r="Z115" i="14"/>
  <c r="Y115" i="14" s="1"/>
  <c r="AD115" i="14"/>
  <c r="AD182" i="14"/>
  <c r="AG385" i="14"/>
  <c r="Z432" i="14"/>
  <c r="Y432" i="14" s="1"/>
  <c r="AG432" i="14"/>
  <c r="AG419" i="14"/>
  <c r="AG475" i="14"/>
  <c r="Z475" i="14"/>
  <c r="Y475" i="14" s="1"/>
  <c r="V369" i="14"/>
  <c r="AG113" i="14"/>
  <c r="Z265" i="14"/>
  <c r="Y265" i="14" s="1"/>
  <c r="AG491" i="14"/>
  <c r="AG104" i="14"/>
  <c r="AG379" i="14"/>
  <c r="Z379" i="14"/>
  <c r="Y379" i="14" s="1"/>
  <c r="Z416" i="14"/>
  <c r="Y416" i="14" s="1"/>
  <c r="AG430" i="14"/>
  <c r="AG467" i="14"/>
  <c r="Z467" i="14"/>
  <c r="Y467" i="14" s="1"/>
  <c r="Z67" i="14"/>
  <c r="Y67" i="14" s="1"/>
  <c r="AD67" i="14"/>
  <c r="Z70" i="14"/>
  <c r="Y70" i="14" s="1"/>
  <c r="AD101" i="14"/>
  <c r="Z113" i="14"/>
  <c r="Y113" i="14" s="1"/>
  <c r="AG129" i="14"/>
  <c r="AG180" i="14"/>
  <c r="Z308" i="14"/>
  <c r="Y308" i="14" s="1"/>
  <c r="Z430" i="14"/>
  <c r="Y430" i="14" s="1"/>
  <c r="AG486" i="14"/>
  <c r="AG277" i="14"/>
  <c r="AG383" i="14"/>
  <c r="Z383" i="14"/>
  <c r="Y383" i="14" s="1"/>
  <c r="AG462" i="14"/>
  <c r="Z462" i="14"/>
  <c r="Y462" i="14" s="1"/>
  <c r="AG481" i="14"/>
  <c r="Z481" i="14"/>
  <c r="Y481" i="14" s="1"/>
  <c r="Z135" i="14"/>
  <c r="Y135" i="14" s="1"/>
  <c r="AD164" i="14"/>
  <c r="Z180" i="14"/>
  <c r="Y180" i="14" s="1"/>
  <c r="AD180" i="14"/>
  <c r="AG242" i="14"/>
  <c r="Z242" i="14"/>
  <c r="Y242" i="14" s="1"/>
  <c r="Z44" i="14"/>
  <c r="Y44" i="14" s="1"/>
  <c r="AD73" i="14"/>
  <c r="AD89" i="14"/>
  <c r="Z98" i="14"/>
  <c r="Y98" i="14" s="1"/>
  <c r="Z104" i="14"/>
  <c r="Y104" i="14" s="1"/>
  <c r="Z129" i="14"/>
  <c r="Y129" i="14" s="1"/>
  <c r="AD148" i="14"/>
  <c r="AG258" i="14"/>
  <c r="Z258" i="14"/>
  <c r="Y258" i="14" s="1"/>
  <c r="Z455" i="14"/>
  <c r="Y455" i="14" s="1"/>
  <c r="AG455" i="14"/>
  <c r="AG463" i="14"/>
  <c r="Z463" i="14"/>
  <c r="Y463" i="14" s="1"/>
  <c r="AD126" i="14"/>
  <c r="Z164" i="14"/>
  <c r="Y164" i="14" s="1"/>
  <c r="AG203" i="14"/>
  <c r="Z203" i="14"/>
  <c r="AG289" i="14"/>
  <c r="Z375" i="14"/>
  <c r="Y375" i="14" s="1"/>
  <c r="AG375" i="14"/>
  <c r="Z388" i="14"/>
  <c r="Y388" i="14" s="1"/>
  <c r="AG388" i="14"/>
  <c r="AG367" i="14"/>
  <c r="Z367" i="14"/>
  <c r="Y367" i="14" s="1"/>
  <c r="Z52" i="14"/>
  <c r="Y52" i="14" s="1"/>
  <c r="Z65" i="14"/>
  <c r="Y65" i="14" s="1"/>
  <c r="Z107" i="14"/>
  <c r="Y107" i="14" s="1"/>
  <c r="AG234" i="14"/>
  <c r="Y504" i="14"/>
  <c r="Z503" i="14"/>
  <c r="AD141" i="14"/>
  <c r="AD166" i="14"/>
  <c r="AG183" i="14"/>
  <c r="Z234" i="14"/>
  <c r="Y234" i="14" s="1"/>
  <c r="Z290" i="14"/>
  <c r="Y290" i="14" s="1"/>
  <c r="AD42" i="14"/>
  <c r="Z55" i="14"/>
  <c r="Y55" i="14" s="1"/>
  <c r="Z47" i="14"/>
  <c r="Y47" i="14" s="1"/>
  <c r="AG361" i="14"/>
  <c r="Z440" i="14"/>
  <c r="Y440" i="14" s="1"/>
  <c r="AG440" i="14"/>
  <c r="AD183" i="14"/>
  <c r="AG262" i="14"/>
  <c r="AG456" i="14"/>
  <c r="Z456" i="14"/>
  <c r="Y456" i="14" s="1"/>
  <c r="AD186" i="14"/>
  <c r="Z186" i="14"/>
  <c r="Y186" i="14" s="1"/>
  <c r="V492" i="14"/>
  <c r="AG350" i="14"/>
  <c r="Y237" i="14" l="1"/>
  <c r="W237" i="14" s="1"/>
  <c r="AL494" i="14"/>
  <c r="Y494" i="14"/>
  <c r="Y407" i="14"/>
  <c r="W407" i="14" s="1"/>
  <c r="Z407" i="14"/>
  <c r="X407" i="14" s="1"/>
  <c r="AG407" i="14" s="1"/>
  <c r="Y473" i="14"/>
  <c r="Z472" i="14"/>
  <c r="X472" i="14" s="1"/>
  <c r="AG472" i="14" s="1"/>
  <c r="Z46" i="14"/>
  <c r="Y46" i="14" s="1"/>
  <c r="Y178" i="14"/>
  <c r="Y177" i="14" s="1"/>
  <c r="W177" i="14" s="1"/>
  <c r="Z177" i="14"/>
  <c r="X177" i="14" s="1"/>
  <c r="AG177" i="14" s="1"/>
  <c r="Y497" i="14"/>
  <c r="Y496" i="14" s="1"/>
  <c r="W496" i="14" s="1"/>
  <c r="Z496" i="14"/>
  <c r="X496" i="14" s="1"/>
  <c r="AG496" i="14" s="1"/>
  <c r="V8" i="14"/>
  <c r="V7" i="14" s="1"/>
  <c r="AI7" i="14" s="1"/>
  <c r="AG360" i="14"/>
  <c r="Z360" i="14"/>
  <c r="Y360" i="14" s="1"/>
  <c r="Y10" i="14"/>
  <c r="Y9" i="14" s="1"/>
  <c r="Z9" i="14"/>
  <c r="Z202" i="14"/>
  <c r="X202" i="14" s="1"/>
  <c r="AG202" i="14" s="1"/>
  <c r="Y203" i="14"/>
  <c r="Y202" i="14" s="1"/>
  <c r="W202" i="14" s="1"/>
  <c r="Y221" i="14"/>
  <c r="Y220" i="14" s="1"/>
  <c r="W220" i="14" s="1"/>
  <c r="Z220" i="14"/>
  <c r="X220" i="14" s="1"/>
  <c r="AG220" i="14" s="1"/>
  <c r="Z447" i="14"/>
  <c r="X447" i="14" s="1"/>
  <c r="AG447" i="14" s="1"/>
  <c r="Y448" i="14"/>
  <c r="Y447" i="14" s="1"/>
  <c r="W447" i="14" s="1"/>
  <c r="Y378" i="14"/>
  <c r="Y377" i="14" s="1"/>
  <c r="W377" i="14" s="1"/>
  <c r="Z377" i="14"/>
  <c r="X377" i="14" s="1"/>
  <c r="AG377" i="14" s="1"/>
  <c r="Z451" i="14"/>
  <c r="X451" i="14" s="1"/>
  <c r="AG451" i="14" s="1"/>
  <c r="Y452" i="14"/>
  <c r="Y451" i="14" s="1"/>
  <c r="W451" i="14" s="1"/>
  <c r="Y134" i="14"/>
  <c r="Y133" i="14" s="1"/>
  <c r="W133" i="14" s="1"/>
  <c r="Z133" i="14"/>
  <c r="X133" i="14" s="1"/>
  <c r="AG133" i="14" s="1"/>
  <c r="V133" i="14"/>
  <c r="Z363" i="14"/>
  <c r="Y363" i="14" s="1"/>
  <c r="AG363" i="14"/>
  <c r="Y493" i="14"/>
  <c r="Y492" i="14" s="1"/>
  <c r="W492" i="14" s="1"/>
  <c r="Z492" i="14"/>
  <c r="X492" i="14" s="1"/>
  <c r="AG492" i="14" s="1"/>
  <c r="AL491" i="14"/>
  <c r="Y328" i="14"/>
  <c r="Y39" i="14"/>
  <c r="Z369" i="14"/>
  <c r="X369" i="14" s="1"/>
  <c r="AG369" i="14" s="1"/>
  <c r="Y370" i="14"/>
  <c r="Y369" i="14" s="1"/>
  <c r="W369" i="14" s="1"/>
  <c r="Z237" i="14"/>
  <c r="X237" i="14" s="1"/>
  <c r="AG237" i="14" s="1"/>
  <c r="Z327" i="14" l="1"/>
  <c r="X327" i="14" s="1"/>
  <c r="AG327" i="14" s="1"/>
  <c r="Y38" i="14"/>
  <c r="W38" i="14" s="1"/>
  <c r="Z38" i="14"/>
  <c r="X38" i="14" s="1"/>
  <c r="AG38" i="14" s="1"/>
  <c r="Y327" i="14"/>
  <c r="W327" i="14" s="1"/>
  <c r="X9" i="14"/>
  <c r="W9" i="14"/>
  <c r="Y472" i="14"/>
  <c r="W472" i="14" s="1"/>
  <c r="Z8" i="14" l="1"/>
  <c r="Z7" i="14" s="1"/>
  <c r="Y8" i="14"/>
  <c r="W8" i="14" s="1"/>
  <c r="X8" i="14" l="1"/>
  <c r="Z500" i="14"/>
  <c r="Z495" i="14"/>
  <c r="AJ7" i="14"/>
  <c r="AH6" i="14" s="1"/>
  <c r="X7" i="14"/>
  <c r="Y495" i="14" l="1"/>
  <c r="X495" i="14"/>
  <c r="AG495" i="14" s="1"/>
  <c r="W495" i="14" l="1"/>
  <c r="Y7" i="14"/>
  <c r="Y500" i="14"/>
  <c r="W7" i="14" l="1"/>
  <c r="AJ9" i="14"/>
  <c r="AI6" i="14" s="1"/>
  <c r="AH63" i="13" l="1"/>
  <c r="AH40" i="13"/>
  <c r="AH15" i="13" l="1"/>
  <c r="W15" i="13" s="1"/>
  <c r="X15" i="13" s="1"/>
  <c r="AH19" i="13"/>
  <c r="AH362" i="13"/>
  <c r="AH360" i="13"/>
  <c r="AH357" i="13"/>
  <c r="W357" i="13" s="1"/>
  <c r="X357" i="13" s="1"/>
  <c r="Z357" i="13" s="1"/>
  <c r="Y357" i="13" s="1"/>
  <c r="AH363" i="13"/>
  <c r="AH334" i="13"/>
  <c r="AH383" i="13"/>
  <c r="AH381" i="13"/>
  <c r="AH143" i="13"/>
  <c r="AH131" i="13"/>
  <c r="AH49" i="13"/>
  <c r="W49" i="13" s="1"/>
  <c r="X49" i="13" s="1"/>
  <c r="AH94" i="13"/>
  <c r="AH91" i="13"/>
  <c r="AH90" i="13"/>
  <c r="AH75" i="13"/>
  <c r="AH69" i="13"/>
  <c r="AH68" i="13"/>
  <c r="AH66" i="13"/>
  <c r="AH65" i="13"/>
  <c r="AH64" i="13"/>
  <c r="W64" i="13" s="1"/>
  <c r="X64" i="13" s="1"/>
  <c r="AG64" i="13" s="1"/>
  <c r="AH62" i="13"/>
  <c r="AH58" i="13"/>
  <c r="W58" i="13" s="1"/>
  <c r="X58" i="13" s="1"/>
  <c r="AG58" i="13" s="1"/>
  <c r="AH44" i="13"/>
  <c r="AH42" i="13"/>
  <c r="AH39" i="13"/>
  <c r="AH13" i="13"/>
  <c r="AH152" i="13"/>
  <c r="W152" i="13" s="1"/>
  <c r="X152" i="13" s="1"/>
  <c r="AG152" i="13" s="1"/>
  <c r="AH155" i="13"/>
  <c r="AH158" i="13"/>
  <c r="AH157" i="13"/>
  <c r="AH160" i="13"/>
  <c r="AH11" i="13"/>
  <c r="AH333" i="13"/>
  <c r="AH420" i="13"/>
  <c r="AH441" i="13"/>
  <c r="AH439" i="13"/>
  <c r="AH438" i="13"/>
  <c r="AH437" i="13"/>
  <c r="AH425" i="13"/>
  <c r="AH424" i="13"/>
  <c r="AH411" i="13"/>
  <c r="AH432" i="13"/>
  <c r="AH430" i="13"/>
  <c r="AH431" i="13"/>
  <c r="AH429" i="13"/>
  <c r="AH428" i="13"/>
  <c r="W428" i="13" s="1"/>
  <c r="X428" i="13" s="1"/>
  <c r="AH489" i="13"/>
  <c r="X494" i="13"/>
  <c r="Z494" i="13" s="1"/>
  <c r="X491" i="13"/>
  <c r="AH493" i="13"/>
  <c r="AH490" i="13"/>
  <c r="AH467" i="13"/>
  <c r="AH458" i="13"/>
  <c r="AH450" i="13"/>
  <c r="AH448" i="13"/>
  <c r="AH413" i="13"/>
  <c r="AH412" i="13"/>
  <c r="AH421" i="13"/>
  <c r="W421" i="13" s="1"/>
  <c r="X421" i="13" s="1"/>
  <c r="AG421" i="13" s="1"/>
  <c r="AH32" i="13"/>
  <c r="Z506" i="13"/>
  <c r="Y506" i="13" s="1"/>
  <c r="W506" i="13"/>
  <c r="Z505" i="13"/>
  <c r="Y505" i="13" s="1"/>
  <c r="W505" i="13"/>
  <c r="Z504" i="13"/>
  <c r="Y504" i="13"/>
  <c r="W504" i="13"/>
  <c r="AI503" i="13"/>
  <c r="AG503" i="13" s="1"/>
  <c r="Z503" i="13"/>
  <c r="AI502" i="13"/>
  <c r="AG502" i="13" s="1"/>
  <c r="AI501" i="13"/>
  <c r="AG501" i="13"/>
  <c r="AI500" i="13"/>
  <c r="AG500" i="13"/>
  <c r="AI499" i="13"/>
  <c r="AC499" i="13"/>
  <c r="AD499" i="13" s="1"/>
  <c r="V498" i="13" s="1"/>
  <c r="W499" i="13"/>
  <c r="X499" i="13" s="1"/>
  <c r="Z499" i="13" s="1"/>
  <c r="Z498" i="13" s="1"/>
  <c r="X498" i="13" s="1"/>
  <c r="AI498" i="13"/>
  <c r="AC498" i="13"/>
  <c r="Y498" i="13"/>
  <c r="W498" i="13" s="1"/>
  <c r="AI497" i="13"/>
  <c r="AC497" i="13"/>
  <c r="AD497" i="13" s="1"/>
  <c r="AI496" i="13"/>
  <c r="AC496" i="13"/>
  <c r="V496" i="13"/>
  <c r="AI495" i="13"/>
  <c r="AC495" i="13"/>
  <c r="AI494" i="13"/>
  <c r="AG494" i="13" s="1"/>
  <c r="AC494" i="13"/>
  <c r="AD494" i="13" s="1"/>
  <c r="W494" i="13"/>
  <c r="AI493" i="13"/>
  <c r="W493" i="13"/>
  <c r="X493" i="13" s="1"/>
  <c r="AD493" i="13"/>
  <c r="AC493" i="13"/>
  <c r="AI492" i="13"/>
  <c r="AC492" i="13"/>
  <c r="V492" i="13"/>
  <c r="AI491" i="13"/>
  <c r="AG491" i="13"/>
  <c r="AC491" i="13"/>
  <c r="AD491" i="13" s="1"/>
  <c r="Z491" i="13"/>
  <c r="AL491" i="13" s="1"/>
  <c r="W491" i="13"/>
  <c r="AI490" i="13"/>
  <c r="W490" i="13"/>
  <c r="X490" i="13" s="1"/>
  <c r="Z490" i="13" s="1"/>
  <c r="Y490" i="13" s="1"/>
  <c r="AD490" i="13"/>
  <c r="AC490" i="13"/>
  <c r="AI489" i="13"/>
  <c r="AD489" i="13"/>
  <c r="AC489" i="13"/>
  <c r="W489" i="13"/>
  <c r="X489" i="13" s="1"/>
  <c r="AG489" i="13" s="1"/>
  <c r="AI488" i="13"/>
  <c r="AD488" i="13"/>
  <c r="AC488" i="13"/>
  <c r="W488" i="13"/>
  <c r="X488" i="13" s="1"/>
  <c r="AI487" i="13"/>
  <c r="AD487" i="13"/>
  <c r="AC487" i="13"/>
  <c r="W487" i="13"/>
  <c r="X487" i="13" s="1"/>
  <c r="AI486" i="13"/>
  <c r="AC486" i="13"/>
  <c r="AD486" i="13" s="1"/>
  <c r="W486" i="13"/>
  <c r="X486" i="13" s="1"/>
  <c r="AI485" i="13"/>
  <c r="AD485" i="13"/>
  <c r="AC485" i="13"/>
  <c r="W485" i="13"/>
  <c r="X485" i="13" s="1"/>
  <c r="AI484" i="13"/>
  <c r="AD484" i="13"/>
  <c r="AC484" i="13"/>
  <c r="W484" i="13"/>
  <c r="X484" i="13" s="1"/>
  <c r="AI483" i="13"/>
  <c r="AD483" i="13"/>
  <c r="AC483" i="13"/>
  <c r="Y483" i="13"/>
  <c r="X483" i="13"/>
  <c r="Z483" i="13" s="1"/>
  <c r="W483" i="13"/>
  <c r="AI482" i="13"/>
  <c r="AD482" i="13"/>
  <c r="AC482" i="13"/>
  <c r="W482" i="13"/>
  <c r="X482" i="13" s="1"/>
  <c r="AI481" i="13"/>
  <c r="AD481" i="13"/>
  <c r="AC481" i="13"/>
  <c r="W481" i="13"/>
  <c r="X481" i="13" s="1"/>
  <c r="AI480" i="13"/>
  <c r="AC480" i="13"/>
  <c r="AD480" i="13" s="1"/>
  <c r="W480" i="13"/>
  <c r="X480" i="13" s="1"/>
  <c r="AI479" i="13"/>
  <c r="AC479" i="13"/>
  <c r="AD479" i="13" s="1"/>
  <c r="W479" i="13"/>
  <c r="X479" i="13" s="1"/>
  <c r="AI478" i="13"/>
  <c r="AD478" i="13"/>
  <c r="AC478" i="13"/>
  <c r="W478" i="13"/>
  <c r="X478" i="13" s="1"/>
  <c r="AI477" i="13"/>
  <c r="AD477" i="13"/>
  <c r="AC477" i="13"/>
  <c r="X477" i="13"/>
  <c r="W477" i="13"/>
  <c r="AI476" i="13"/>
  <c r="AC476" i="13"/>
  <c r="AD476" i="13" s="1"/>
  <c r="W476" i="13"/>
  <c r="X476" i="13" s="1"/>
  <c r="AG476" i="13" s="1"/>
  <c r="AI475" i="13"/>
  <c r="AD475" i="13"/>
  <c r="AC475" i="13"/>
  <c r="X475" i="13"/>
  <c r="W475" i="13"/>
  <c r="AI474" i="13"/>
  <c r="AC474" i="13"/>
  <c r="AD474" i="13" s="1"/>
  <c r="W474" i="13"/>
  <c r="X474" i="13" s="1"/>
  <c r="AG474" i="13" s="1"/>
  <c r="AI473" i="13"/>
  <c r="AC473" i="13"/>
  <c r="AD473" i="13" s="1"/>
  <c r="W473" i="13"/>
  <c r="X473" i="13" s="1"/>
  <c r="AI472" i="13"/>
  <c r="AC472" i="13"/>
  <c r="AI471" i="13"/>
  <c r="AD471" i="13"/>
  <c r="AC471" i="13"/>
  <c r="W471" i="13"/>
  <c r="X471" i="13" s="1"/>
  <c r="Z471" i="13" s="1"/>
  <c r="Y471" i="13" s="1"/>
  <c r="AI470" i="13"/>
  <c r="AC470" i="13"/>
  <c r="AD470" i="13" s="1"/>
  <c r="W470" i="13"/>
  <c r="X470" i="13" s="1"/>
  <c r="AI469" i="13"/>
  <c r="AG469" i="13"/>
  <c r="AD469" i="13"/>
  <c r="AC469" i="13"/>
  <c r="W469" i="13"/>
  <c r="X469" i="13" s="1"/>
  <c r="Z469" i="13" s="1"/>
  <c r="Y469" i="13" s="1"/>
  <c r="AI468" i="13"/>
  <c r="AC468" i="13"/>
  <c r="AD468" i="13" s="1"/>
  <c r="W468" i="13"/>
  <c r="X468" i="13" s="1"/>
  <c r="AI467" i="13"/>
  <c r="AD467" i="13"/>
  <c r="AC467" i="13"/>
  <c r="W467" i="13"/>
  <c r="X467" i="13" s="1"/>
  <c r="AI466" i="13"/>
  <c r="AH466" i="13"/>
  <c r="AD466" i="13"/>
  <c r="AC466" i="13"/>
  <c r="W466" i="13"/>
  <c r="X466" i="13" s="1"/>
  <c r="Z466" i="13" s="1"/>
  <c r="Y466" i="13" s="1"/>
  <c r="AI465" i="13"/>
  <c r="AH465" i="13"/>
  <c r="W465" i="13" s="1"/>
  <c r="X465" i="13" s="1"/>
  <c r="AG465" i="13" s="1"/>
  <c r="AC465" i="13"/>
  <c r="AD465" i="13" s="1"/>
  <c r="AI464" i="13"/>
  <c r="AC464" i="13"/>
  <c r="AD464" i="13" s="1"/>
  <c r="Z464" i="13"/>
  <c r="Y464" i="13"/>
  <c r="W464" i="13"/>
  <c r="X464" i="13" s="1"/>
  <c r="AG464" i="13" s="1"/>
  <c r="AI463" i="13"/>
  <c r="AC463" i="13"/>
  <c r="AD463" i="13" s="1"/>
  <c r="W463" i="13"/>
  <c r="X463" i="13" s="1"/>
  <c r="AI462" i="13"/>
  <c r="AC462" i="13"/>
  <c r="AD462" i="13" s="1"/>
  <c r="V451" i="13" s="1"/>
  <c r="W462" i="13"/>
  <c r="X462" i="13" s="1"/>
  <c r="AG462" i="13" s="1"/>
  <c r="AI461" i="13"/>
  <c r="AD461" i="13"/>
  <c r="AC461" i="13"/>
  <c r="W461" i="13"/>
  <c r="X461" i="13" s="1"/>
  <c r="AI460" i="13"/>
  <c r="AC460" i="13"/>
  <c r="AD460" i="13" s="1"/>
  <c r="W460" i="13"/>
  <c r="X460" i="13" s="1"/>
  <c r="AI459" i="13"/>
  <c r="AG459" i="13"/>
  <c r="AC459" i="13"/>
  <c r="AD459" i="13" s="1"/>
  <c r="Z459" i="13"/>
  <c r="Y459" i="13" s="1"/>
  <c r="W459" i="13"/>
  <c r="AI458" i="13"/>
  <c r="W458" i="13"/>
  <c r="X458" i="13" s="1"/>
  <c r="Z458" i="13" s="1"/>
  <c r="Y458" i="13" s="1"/>
  <c r="AC458" i="13"/>
  <c r="AD458" i="13" s="1"/>
  <c r="AI457" i="13"/>
  <c r="AC457" i="13"/>
  <c r="AD457" i="13" s="1"/>
  <c r="W457" i="13"/>
  <c r="X457" i="13" s="1"/>
  <c r="AI456" i="13"/>
  <c r="AG456" i="13"/>
  <c r="AD456" i="13"/>
  <c r="AC456" i="13"/>
  <c r="W456" i="13"/>
  <c r="X456" i="13" s="1"/>
  <c r="Z456" i="13" s="1"/>
  <c r="Y456" i="13" s="1"/>
  <c r="AI455" i="13"/>
  <c r="AC455" i="13"/>
  <c r="AD455" i="13" s="1"/>
  <c r="W455" i="13"/>
  <c r="X455" i="13" s="1"/>
  <c r="AG455" i="13" s="1"/>
  <c r="AI454" i="13"/>
  <c r="AC454" i="13"/>
  <c r="AD454" i="13" s="1"/>
  <c r="W454" i="13"/>
  <c r="X454" i="13" s="1"/>
  <c r="AI453" i="13"/>
  <c r="AG453" i="13" s="1"/>
  <c r="AC453" i="13"/>
  <c r="AD453" i="13" s="1"/>
  <c r="Z453" i="13"/>
  <c r="Y453" i="13" s="1"/>
  <c r="W453" i="13"/>
  <c r="AI452" i="13"/>
  <c r="AC452" i="13"/>
  <c r="AD452" i="13" s="1"/>
  <c r="Z452" i="13"/>
  <c r="W452" i="13"/>
  <c r="X452" i="13" s="1"/>
  <c r="AG452" i="13" s="1"/>
  <c r="AI451" i="13"/>
  <c r="AC451" i="13"/>
  <c r="AI450" i="13"/>
  <c r="W450" i="13"/>
  <c r="X450" i="13" s="1"/>
  <c r="AC450" i="13"/>
  <c r="AD450" i="13" s="1"/>
  <c r="AI449" i="13"/>
  <c r="AH449" i="13"/>
  <c r="AD449" i="13"/>
  <c r="AC449" i="13"/>
  <c r="W449" i="13"/>
  <c r="X449" i="13" s="1"/>
  <c r="AG449" i="13" s="1"/>
  <c r="AI448" i="13"/>
  <c r="AD448" i="13"/>
  <c r="AC448" i="13"/>
  <c r="W448" i="13"/>
  <c r="X448" i="13" s="1"/>
  <c r="AI447" i="13"/>
  <c r="AC447" i="13"/>
  <c r="AI446" i="13"/>
  <c r="AC446" i="13"/>
  <c r="AD446" i="13" s="1"/>
  <c r="W446" i="13"/>
  <c r="X446" i="13" s="1"/>
  <c r="AI445" i="13"/>
  <c r="AC445" i="13"/>
  <c r="AD445" i="13" s="1"/>
  <c r="W445" i="13"/>
  <c r="X445" i="13" s="1"/>
  <c r="AI444" i="13"/>
  <c r="AD444" i="13"/>
  <c r="AC444" i="13"/>
  <c r="W444" i="13"/>
  <c r="X444" i="13" s="1"/>
  <c r="AI443" i="13"/>
  <c r="AC443" i="13"/>
  <c r="AD443" i="13" s="1"/>
  <c r="X443" i="13"/>
  <c r="W443" i="13"/>
  <c r="AI442" i="13"/>
  <c r="AC442" i="13"/>
  <c r="AD442" i="13" s="1"/>
  <c r="W442" i="13"/>
  <c r="X442" i="13" s="1"/>
  <c r="Z442" i="13" s="1"/>
  <c r="Y442" i="13" s="1"/>
  <c r="AI441" i="13"/>
  <c r="AD441" i="13"/>
  <c r="AC441" i="13"/>
  <c r="W441" i="13"/>
  <c r="X441" i="13" s="1"/>
  <c r="AI440" i="13"/>
  <c r="AD440" i="13"/>
  <c r="AC440" i="13"/>
  <c r="W440" i="13"/>
  <c r="X440" i="13" s="1"/>
  <c r="AI439" i="13"/>
  <c r="AC439" i="13"/>
  <c r="AD439" i="13" s="1"/>
  <c r="W439" i="13"/>
  <c r="X439" i="13" s="1"/>
  <c r="AG439" i="13" s="1"/>
  <c r="AI438" i="13"/>
  <c r="AD438" i="13"/>
  <c r="AC438" i="13"/>
  <c r="W438" i="13"/>
  <c r="X438" i="13" s="1"/>
  <c r="AI437" i="13"/>
  <c r="AC437" i="13"/>
  <c r="AD437" i="13" s="1"/>
  <c r="W437" i="13"/>
  <c r="X437" i="13" s="1"/>
  <c r="AI436" i="13"/>
  <c r="AD436" i="13"/>
  <c r="AC436" i="13"/>
  <c r="X436" i="13"/>
  <c r="W436" i="13"/>
  <c r="AI435" i="13"/>
  <c r="AD435" i="13"/>
  <c r="AC435" i="13"/>
  <c r="W435" i="13"/>
  <c r="X435" i="13" s="1"/>
  <c r="AI434" i="13"/>
  <c r="AD434" i="13"/>
  <c r="AC434" i="13"/>
  <c r="W434" i="13"/>
  <c r="X434" i="13" s="1"/>
  <c r="Z434" i="13" s="1"/>
  <c r="Y434" i="13" s="1"/>
  <c r="AI433" i="13"/>
  <c r="AC433" i="13"/>
  <c r="AD433" i="13" s="1"/>
  <c r="X433" i="13"/>
  <c r="W433" i="13"/>
  <c r="AI432" i="13"/>
  <c r="AD432" i="13"/>
  <c r="AC432" i="13"/>
  <c r="W432" i="13"/>
  <c r="X432" i="13" s="1"/>
  <c r="AI431" i="13"/>
  <c r="AC431" i="13"/>
  <c r="AD431" i="13" s="1"/>
  <c r="W431" i="13"/>
  <c r="X431" i="13" s="1"/>
  <c r="AI430" i="13"/>
  <c r="AC430" i="13"/>
  <c r="AD430" i="13" s="1"/>
  <c r="W430" i="13"/>
  <c r="X430" i="13" s="1"/>
  <c r="AI429" i="13"/>
  <c r="AD429" i="13"/>
  <c r="AC429" i="13"/>
  <c r="W429" i="13"/>
  <c r="X429" i="13" s="1"/>
  <c r="Z429" i="13" s="1"/>
  <c r="Y429" i="13" s="1"/>
  <c r="AI428" i="13"/>
  <c r="AC428" i="13"/>
  <c r="AD428" i="13" s="1"/>
  <c r="AI427" i="13"/>
  <c r="AC427" i="13"/>
  <c r="AD427" i="13" s="1"/>
  <c r="W427" i="13"/>
  <c r="X427" i="13" s="1"/>
  <c r="Z427" i="13" s="1"/>
  <c r="Y427" i="13" s="1"/>
  <c r="AI426" i="13"/>
  <c r="AD426" i="13"/>
  <c r="AC426" i="13"/>
  <c r="W426" i="13"/>
  <c r="X426" i="13" s="1"/>
  <c r="AI425" i="13"/>
  <c r="AC425" i="13"/>
  <c r="AD425" i="13" s="1"/>
  <c r="W425" i="13"/>
  <c r="X425" i="13" s="1"/>
  <c r="Z425" i="13" s="1"/>
  <c r="Y425" i="13" s="1"/>
  <c r="AI424" i="13"/>
  <c r="AD424" i="13"/>
  <c r="AC424" i="13"/>
  <c r="W424" i="13"/>
  <c r="X424" i="13" s="1"/>
  <c r="AI423" i="13"/>
  <c r="AG423" i="13"/>
  <c r="AD423" i="13"/>
  <c r="AC423" i="13"/>
  <c r="W423" i="13"/>
  <c r="X423" i="13" s="1"/>
  <c r="Z423" i="13" s="1"/>
  <c r="Y423" i="13" s="1"/>
  <c r="AI422" i="13"/>
  <c r="AC422" i="13"/>
  <c r="AD422" i="13" s="1"/>
  <c r="X422" i="13"/>
  <c r="W422" i="13"/>
  <c r="AI421" i="13"/>
  <c r="AD421" i="13"/>
  <c r="AC421" i="13"/>
  <c r="AI420" i="13"/>
  <c r="AD420" i="13"/>
  <c r="AC420" i="13"/>
  <c r="W420" i="13"/>
  <c r="X420" i="13" s="1"/>
  <c r="AI419" i="13"/>
  <c r="AC419" i="13"/>
  <c r="AD419" i="13" s="1"/>
  <c r="W419" i="13"/>
  <c r="X419" i="13" s="1"/>
  <c r="Z419" i="13" s="1"/>
  <c r="Y419" i="13" s="1"/>
  <c r="AI418" i="13"/>
  <c r="AC418" i="13"/>
  <c r="AD418" i="13" s="1"/>
  <c r="W418" i="13"/>
  <c r="X418" i="13" s="1"/>
  <c r="AG418" i="13" s="1"/>
  <c r="AI417" i="13"/>
  <c r="AD417" i="13"/>
  <c r="AC417" i="13"/>
  <c r="W417" i="13"/>
  <c r="X417" i="13" s="1"/>
  <c r="AI416" i="13"/>
  <c r="AC416" i="13"/>
  <c r="AD416" i="13" s="1"/>
  <c r="W416" i="13"/>
  <c r="X416" i="13" s="1"/>
  <c r="AG416" i="13" s="1"/>
  <c r="AI415" i="13"/>
  <c r="AD415" i="13"/>
  <c r="AC415" i="13"/>
  <c r="W415" i="13"/>
  <c r="X415" i="13" s="1"/>
  <c r="AI414" i="13"/>
  <c r="AD414" i="13"/>
  <c r="AC414" i="13"/>
  <c r="W414" i="13"/>
  <c r="X414" i="13" s="1"/>
  <c r="Z414" i="13" s="1"/>
  <c r="Y414" i="13" s="1"/>
  <c r="AI413" i="13"/>
  <c r="AD413" i="13"/>
  <c r="AC413" i="13"/>
  <c r="W413" i="13"/>
  <c r="X413" i="13" s="1"/>
  <c r="AG413" i="13" s="1"/>
  <c r="AI412" i="13"/>
  <c r="AC412" i="13"/>
  <c r="AD412" i="13" s="1"/>
  <c r="W412" i="13"/>
  <c r="X412" i="13" s="1"/>
  <c r="AG412" i="13" s="1"/>
  <c r="AI411" i="13"/>
  <c r="AD411" i="13"/>
  <c r="AC411" i="13"/>
  <c r="W411" i="13"/>
  <c r="X411" i="13" s="1"/>
  <c r="AI410" i="13"/>
  <c r="AD410" i="13"/>
  <c r="AC410" i="13"/>
  <c r="W410" i="13"/>
  <c r="X410" i="13" s="1"/>
  <c r="Z410" i="13" s="1"/>
  <c r="Y410" i="13" s="1"/>
  <c r="AI409" i="13"/>
  <c r="AD409" i="13"/>
  <c r="AC409" i="13"/>
  <c r="W409" i="13"/>
  <c r="X409" i="13" s="1"/>
  <c r="AI408" i="13"/>
  <c r="AG408" i="13"/>
  <c r="AD408" i="13"/>
  <c r="AC408" i="13"/>
  <c r="W408" i="13"/>
  <c r="X408" i="13" s="1"/>
  <c r="Z408" i="13" s="1"/>
  <c r="Y408" i="13" s="1"/>
  <c r="AI407" i="13"/>
  <c r="AC407" i="13"/>
  <c r="AI406" i="13"/>
  <c r="AD406" i="13"/>
  <c r="W406" i="13"/>
  <c r="X406" i="13" s="1"/>
  <c r="Z406" i="13" s="1"/>
  <c r="Y406" i="13" s="1"/>
  <c r="AI405" i="13"/>
  <c r="AD405" i="13"/>
  <c r="Z405" i="13"/>
  <c r="Y405" i="13"/>
  <c r="X405" i="13"/>
  <c r="W405" i="13"/>
  <c r="AI404" i="13"/>
  <c r="AD404" i="13"/>
  <c r="W404" i="13"/>
  <c r="X404" i="13" s="1"/>
  <c r="Z404" i="13" s="1"/>
  <c r="Y404" i="13" s="1"/>
  <c r="AI403" i="13"/>
  <c r="AD403" i="13"/>
  <c r="X403" i="13"/>
  <c r="Z403" i="13" s="1"/>
  <c r="Y403" i="13" s="1"/>
  <c r="W403" i="13"/>
  <c r="AI402" i="13"/>
  <c r="AD402" i="13"/>
  <c r="W402" i="13"/>
  <c r="X402" i="13" s="1"/>
  <c r="Z402" i="13" s="1"/>
  <c r="Y402" i="13" s="1"/>
  <c r="AI401" i="13"/>
  <c r="AD401" i="13"/>
  <c r="W401" i="13"/>
  <c r="X401" i="13" s="1"/>
  <c r="Z401" i="13" s="1"/>
  <c r="Y401" i="13" s="1"/>
  <c r="AI400" i="13"/>
  <c r="AD400" i="13"/>
  <c r="W400" i="13"/>
  <c r="X400" i="13" s="1"/>
  <c r="Z400" i="13" s="1"/>
  <c r="Y400" i="13" s="1"/>
  <c r="AI399" i="13"/>
  <c r="AD399" i="13"/>
  <c r="X399" i="13"/>
  <c r="Z399" i="13" s="1"/>
  <c r="Y399" i="13" s="1"/>
  <c r="W399" i="13"/>
  <c r="AI398" i="13"/>
  <c r="AD398" i="13"/>
  <c r="W398" i="13"/>
  <c r="X398" i="13" s="1"/>
  <c r="Z398" i="13" s="1"/>
  <c r="Y398" i="13" s="1"/>
  <c r="AI397" i="13"/>
  <c r="AD397" i="13"/>
  <c r="W397" i="13"/>
  <c r="X397" i="13" s="1"/>
  <c r="Z397" i="13" s="1"/>
  <c r="Y397" i="13" s="1"/>
  <c r="AI396" i="13"/>
  <c r="AD396" i="13"/>
  <c r="W396" i="13"/>
  <c r="X396" i="13" s="1"/>
  <c r="Z396" i="13" s="1"/>
  <c r="Y396" i="13" s="1"/>
  <c r="AI395" i="13"/>
  <c r="AD395" i="13"/>
  <c r="W395" i="13"/>
  <c r="X395" i="13" s="1"/>
  <c r="Z395" i="13" s="1"/>
  <c r="Y395" i="13" s="1"/>
  <c r="AI394" i="13"/>
  <c r="AD394" i="13"/>
  <c r="W394" i="13"/>
  <c r="X394" i="13" s="1"/>
  <c r="Z394" i="13" s="1"/>
  <c r="Y394" i="13" s="1"/>
  <c r="AI393" i="13"/>
  <c r="AD393" i="13"/>
  <c r="W393" i="13"/>
  <c r="X393" i="13" s="1"/>
  <c r="Z393" i="13" s="1"/>
  <c r="Y393" i="13" s="1"/>
  <c r="AI392" i="13"/>
  <c r="AD392" i="13"/>
  <c r="W392" i="13"/>
  <c r="X392" i="13" s="1"/>
  <c r="Z392" i="13" s="1"/>
  <c r="Y392" i="13" s="1"/>
  <c r="AI391" i="13"/>
  <c r="AD391" i="13"/>
  <c r="W391" i="13"/>
  <c r="X391" i="13" s="1"/>
  <c r="Z391" i="13" s="1"/>
  <c r="Y391" i="13" s="1"/>
  <c r="AI390" i="13"/>
  <c r="AD390" i="13"/>
  <c r="W390" i="13"/>
  <c r="X390" i="13" s="1"/>
  <c r="Z390" i="13" s="1"/>
  <c r="Y390" i="13" s="1"/>
  <c r="AI389" i="13"/>
  <c r="AD389" i="13"/>
  <c r="W389" i="13"/>
  <c r="X389" i="13" s="1"/>
  <c r="Z389" i="13" s="1"/>
  <c r="Y389" i="13" s="1"/>
  <c r="AI388" i="13"/>
  <c r="AC388" i="13"/>
  <c r="AD388" i="13" s="1"/>
  <c r="W388" i="13"/>
  <c r="X388" i="13" s="1"/>
  <c r="AI387" i="13"/>
  <c r="AD387" i="13"/>
  <c r="AC387" i="13"/>
  <c r="W387" i="13"/>
  <c r="X387" i="13" s="1"/>
  <c r="Z387" i="13" s="1"/>
  <c r="Y387" i="13" s="1"/>
  <c r="AI386" i="13"/>
  <c r="AG386" i="13"/>
  <c r="AC386" i="13"/>
  <c r="AD386" i="13" s="1"/>
  <c r="Z386" i="13"/>
  <c r="Y386" i="13"/>
  <c r="W386" i="13"/>
  <c r="AI385" i="13"/>
  <c r="AC385" i="13"/>
  <c r="AD385" i="13" s="1"/>
  <c r="W385" i="13"/>
  <c r="X385" i="13" s="1"/>
  <c r="AG385" i="13" s="1"/>
  <c r="AI384" i="13"/>
  <c r="AC384" i="13"/>
  <c r="AD384" i="13" s="1"/>
  <c r="W384" i="13"/>
  <c r="X384" i="13" s="1"/>
  <c r="AI383" i="13"/>
  <c r="W383" i="13"/>
  <c r="X383" i="13" s="1"/>
  <c r="AD383" i="13"/>
  <c r="AC383" i="13"/>
  <c r="AI382" i="13"/>
  <c r="AC382" i="13"/>
  <c r="AD382" i="13" s="1"/>
  <c r="W382" i="13"/>
  <c r="X382" i="13" s="1"/>
  <c r="Z382" i="13" s="1"/>
  <c r="Y382" i="13" s="1"/>
  <c r="AI381" i="13"/>
  <c r="AD381" i="13"/>
  <c r="AC381" i="13"/>
  <c r="W381" i="13"/>
  <c r="X381" i="13" s="1"/>
  <c r="Z381" i="13" s="1"/>
  <c r="Y381" i="13" s="1"/>
  <c r="AI380" i="13"/>
  <c r="AC380" i="13"/>
  <c r="AD380" i="13" s="1"/>
  <c r="W380" i="13"/>
  <c r="X380" i="13" s="1"/>
  <c r="Z380" i="13" s="1"/>
  <c r="Y380" i="13" s="1"/>
  <c r="AI379" i="13"/>
  <c r="AD379" i="13"/>
  <c r="AC379" i="13"/>
  <c r="W379" i="13"/>
  <c r="X379" i="13" s="1"/>
  <c r="Z379" i="13" s="1"/>
  <c r="Y379" i="13" s="1"/>
  <c r="AI378" i="13"/>
  <c r="AD378" i="13"/>
  <c r="AC378" i="13"/>
  <c r="W378" i="13"/>
  <c r="X378" i="13" s="1"/>
  <c r="Z378" i="13" s="1"/>
  <c r="AI377" i="13"/>
  <c r="AC377" i="13"/>
  <c r="AI376" i="13"/>
  <c r="AC376" i="13"/>
  <c r="AD376" i="13" s="1"/>
  <c r="W376" i="13"/>
  <c r="X376" i="13" s="1"/>
  <c r="AG376" i="13" s="1"/>
  <c r="AI375" i="13"/>
  <c r="AD375" i="13"/>
  <c r="AC375" i="13"/>
  <c r="Z375" i="13"/>
  <c r="Y375" i="13" s="1"/>
  <c r="W375" i="13"/>
  <c r="X375" i="13" s="1"/>
  <c r="AG375" i="13" s="1"/>
  <c r="AI374" i="13"/>
  <c r="AC374" i="13"/>
  <c r="AD374" i="13" s="1"/>
  <c r="W374" i="13"/>
  <c r="X374" i="13" s="1"/>
  <c r="Z374" i="13" s="1"/>
  <c r="Y374" i="13" s="1"/>
  <c r="AI373" i="13"/>
  <c r="AC373" i="13"/>
  <c r="AD373" i="13" s="1"/>
  <c r="AA373" i="13"/>
  <c r="Y373" i="13"/>
  <c r="X373" i="13"/>
  <c r="AG373" i="13" s="1"/>
  <c r="W373" i="13"/>
  <c r="AI372" i="13"/>
  <c r="AH372" i="13"/>
  <c r="W372" i="13" s="1"/>
  <c r="X372" i="13" s="1"/>
  <c r="AC372" i="13"/>
  <c r="AD372" i="13" s="1"/>
  <c r="AI371" i="13"/>
  <c r="AD371" i="13"/>
  <c r="AC371" i="13"/>
  <c r="W371" i="13"/>
  <c r="X371" i="13" s="1"/>
  <c r="AG371" i="13" s="1"/>
  <c r="AI370" i="13"/>
  <c r="AD370" i="13"/>
  <c r="AC370" i="13"/>
  <c r="W370" i="13"/>
  <c r="X370" i="13" s="1"/>
  <c r="AI369" i="13"/>
  <c r="AC369" i="13"/>
  <c r="AI368" i="13"/>
  <c r="AD368" i="13"/>
  <c r="AC368" i="13"/>
  <c r="W368" i="13"/>
  <c r="X368" i="13" s="1"/>
  <c r="Z368" i="13" s="1"/>
  <c r="Y368" i="13" s="1"/>
  <c r="AI367" i="13"/>
  <c r="AG367" i="13"/>
  <c r="AC367" i="13"/>
  <c r="AD367" i="13" s="1"/>
  <c r="Z367" i="13"/>
  <c r="Y367" i="13"/>
  <c r="W367" i="13"/>
  <c r="X367" i="13" s="1"/>
  <c r="AI366" i="13"/>
  <c r="AC366" i="13"/>
  <c r="AD366" i="13" s="1"/>
  <c r="W366" i="13"/>
  <c r="X366" i="13" s="1"/>
  <c r="AI365" i="13"/>
  <c r="AG365" i="13"/>
  <c r="AC365" i="13"/>
  <c r="AD365" i="13" s="1"/>
  <c r="W365" i="13"/>
  <c r="X365" i="13" s="1"/>
  <c r="Z365" i="13" s="1"/>
  <c r="Y365" i="13" s="1"/>
  <c r="AI364" i="13"/>
  <c r="AH364" i="13"/>
  <c r="W364" i="13" s="1"/>
  <c r="X364" i="13" s="1"/>
  <c r="AD364" i="13"/>
  <c r="AC364" i="13"/>
  <c r="AI363" i="13"/>
  <c r="AC363" i="13"/>
  <c r="AD363" i="13" s="1"/>
  <c r="W363" i="13"/>
  <c r="X363" i="13" s="1"/>
  <c r="AI362" i="13"/>
  <c r="AD362" i="13"/>
  <c r="AC362" i="13"/>
  <c r="W362" i="13"/>
  <c r="X362" i="13" s="1"/>
  <c r="AI361" i="13"/>
  <c r="AD361" i="13"/>
  <c r="AC361" i="13"/>
  <c r="W361" i="13"/>
  <c r="X361" i="13" s="1"/>
  <c r="Z361" i="13" s="1"/>
  <c r="Y361" i="13" s="1"/>
  <c r="AI360" i="13"/>
  <c r="W360" i="13"/>
  <c r="X360" i="13" s="1"/>
  <c r="AD360" i="13"/>
  <c r="AC360" i="13"/>
  <c r="AI359" i="13"/>
  <c r="AC359" i="13"/>
  <c r="AD359" i="13" s="1"/>
  <c r="W359" i="13"/>
  <c r="X359" i="13" s="1"/>
  <c r="AI358" i="13"/>
  <c r="AH358" i="13"/>
  <c r="AC358" i="13"/>
  <c r="AD358" i="13" s="1"/>
  <c r="W358" i="13"/>
  <c r="X358" i="13" s="1"/>
  <c r="AI357" i="13"/>
  <c r="AD357" i="13"/>
  <c r="AC357" i="13"/>
  <c r="AI356" i="13"/>
  <c r="AC356" i="13"/>
  <c r="AD356" i="13" s="1"/>
  <c r="X356" i="13"/>
  <c r="AG356" i="13" s="1"/>
  <c r="W356" i="13"/>
  <c r="AI355" i="13"/>
  <c r="AD355" i="13"/>
  <c r="AC355" i="13"/>
  <c r="W355" i="13"/>
  <c r="X355" i="13" s="1"/>
  <c r="AI354" i="13"/>
  <c r="AC354" i="13"/>
  <c r="AD354" i="13" s="1"/>
  <c r="X354" i="13"/>
  <c r="W354" i="13"/>
  <c r="AI353" i="13"/>
  <c r="AD353" i="13"/>
  <c r="AC353" i="13"/>
  <c r="W353" i="13"/>
  <c r="X353" i="13" s="1"/>
  <c r="AI352" i="13"/>
  <c r="AD352" i="13"/>
  <c r="AC352" i="13"/>
  <c r="W352" i="13"/>
  <c r="X352" i="13" s="1"/>
  <c r="AI351" i="13"/>
  <c r="AD351" i="13"/>
  <c r="AC351" i="13"/>
  <c r="W351" i="13"/>
  <c r="X351" i="13" s="1"/>
  <c r="AG351" i="13" s="1"/>
  <c r="AI350" i="13"/>
  <c r="AC350" i="13"/>
  <c r="AD350" i="13" s="1"/>
  <c r="W350" i="13"/>
  <c r="X350" i="13" s="1"/>
  <c r="AG350" i="13" s="1"/>
  <c r="AI349" i="13"/>
  <c r="AD349" i="13"/>
  <c r="AC349" i="13"/>
  <c r="W349" i="13"/>
  <c r="X349" i="13" s="1"/>
  <c r="AI348" i="13"/>
  <c r="AC348" i="13"/>
  <c r="AD348" i="13" s="1"/>
  <c r="W348" i="13"/>
  <c r="X348" i="13" s="1"/>
  <c r="AI347" i="13"/>
  <c r="AD347" i="13"/>
  <c r="AC347" i="13"/>
  <c r="W347" i="13"/>
  <c r="X347" i="13" s="1"/>
  <c r="AI346" i="13"/>
  <c r="AH346" i="13"/>
  <c r="W346" i="13" s="1"/>
  <c r="X346" i="13" s="1"/>
  <c r="AD346" i="13"/>
  <c r="AC346" i="13"/>
  <c r="AI345" i="13"/>
  <c r="AG345" i="13"/>
  <c r="AD345" i="13"/>
  <c r="AC345" i="13"/>
  <c r="W345" i="13"/>
  <c r="X345" i="13" s="1"/>
  <c r="Z345" i="13" s="1"/>
  <c r="Y345" i="13" s="1"/>
  <c r="AI344" i="13"/>
  <c r="AC344" i="13"/>
  <c r="AD344" i="13" s="1"/>
  <c r="W344" i="13"/>
  <c r="X344" i="13" s="1"/>
  <c r="Z344" i="13" s="1"/>
  <c r="Y344" i="13" s="1"/>
  <c r="AI343" i="13"/>
  <c r="AD343" i="13"/>
  <c r="AC343" i="13"/>
  <c r="W343" i="13"/>
  <c r="X343" i="13" s="1"/>
  <c r="AI342" i="13"/>
  <c r="AC342" i="13"/>
  <c r="AD342" i="13" s="1"/>
  <c r="W342" i="13"/>
  <c r="X342" i="13" s="1"/>
  <c r="AI341" i="13"/>
  <c r="AG341" i="13"/>
  <c r="AC341" i="13"/>
  <c r="AD341" i="13" s="1"/>
  <c r="W341" i="13"/>
  <c r="X341" i="13" s="1"/>
  <c r="Z341" i="13" s="1"/>
  <c r="Y341" i="13" s="1"/>
  <c r="AI340" i="13"/>
  <c r="AD340" i="13"/>
  <c r="AC340" i="13"/>
  <c r="W340" i="13"/>
  <c r="X340" i="13" s="1"/>
  <c r="AI339" i="13"/>
  <c r="AG339" i="13" s="1"/>
  <c r="AC339" i="13"/>
  <c r="AD339" i="13" s="1"/>
  <c r="W339" i="13"/>
  <c r="X339" i="13" s="1"/>
  <c r="Z339" i="13" s="1"/>
  <c r="Y339" i="13" s="1"/>
  <c r="AI338" i="13"/>
  <c r="AC338" i="13"/>
  <c r="AD338" i="13" s="1"/>
  <c r="W338" i="13"/>
  <c r="X338" i="13" s="1"/>
  <c r="AG338" i="13" s="1"/>
  <c r="AI337" i="13"/>
  <c r="AD337" i="13"/>
  <c r="AC337" i="13"/>
  <c r="W337" i="13"/>
  <c r="X337" i="13" s="1"/>
  <c r="Z337" i="13" s="1"/>
  <c r="Y337" i="13" s="1"/>
  <c r="AI336" i="13"/>
  <c r="AG336" i="13" s="1"/>
  <c r="AC336" i="13"/>
  <c r="AD336" i="13" s="1"/>
  <c r="Z336" i="13"/>
  <c r="Y336" i="13"/>
  <c r="X336" i="13"/>
  <c r="W336" i="13"/>
  <c r="AI335" i="13"/>
  <c r="AD335" i="13"/>
  <c r="AC335" i="13"/>
  <c r="W335" i="13"/>
  <c r="X335" i="13" s="1"/>
  <c r="Z335" i="13" s="1"/>
  <c r="Y335" i="13" s="1"/>
  <c r="AI334" i="13"/>
  <c r="AD334" i="13"/>
  <c r="AC334" i="13"/>
  <c r="W334" i="13"/>
  <c r="X334" i="13" s="1"/>
  <c r="Z334" i="13" s="1"/>
  <c r="Y334" i="13" s="1"/>
  <c r="AI333" i="13"/>
  <c r="AD333" i="13"/>
  <c r="AC333" i="13"/>
  <c r="W333" i="13"/>
  <c r="X333" i="13" s="1"/>
  <c r="AI332" i="13"/>
  <c r="AG332" i="13"/>
  <c r="AD332" i="13"/>
  <c r="AC332" i="13"/>
  <c r="W332" i="13"/>
  <c r="X332" i="13" s="1"/>
  <c r="Z332" i="13" s="1"/>
  <c r="Y332" i="13" s="1"/>
  <c r="AI331" i="13"/>
  <c r="AD331" i="13"/>
  <c r="AC331" i="13"/>
  <c r="W331" i="13"/>
  <c r="X331" i="13" s="1"/>
  <c r="AI330" i="13"/>
  <c r="AG330" i="13" s="1"/>
  <c r="AC330" i="13"/>
  <c r="AD330" i="13" s="1"/>
  <c r="X330" i="13"/>
  <c r="Z330" i="13" s="1"/>
  <c r="Y330" i="13" s="1"/>
  <c r="W330" i="13"/>
  <c r="AI329" i="13"/>
  <c r="AC329" i="13"/>
  <c r="AD329" i="13" s="1"/>
  <c r="W329" i="13"/>
  <c r="X329" i="13" s="1"/>
  <c r="AG329" i="13" s="1"/>
  <c r="AI328" i="13"/>
  <c r="AD328" i="13"/>
  <c r="AC328" i="13"/>
  <c r="W328" i="13"/>
  <c r="X328" i="13" s="1"/>
  <c r="AG328" i="13" s="1"/>
  <c r="AI327" i="13"/>
  <c r="AC327" i="13"/>
  <c r="AI326" i="13"/>
  <c r="AC326" i="13"/>
  <c r="AD326" i="13" s="1"/>
  <c r="W326" i="13"/>
  <c r="X326" i="13" s="1"/>
  <c r="AI325" i="13"/>
  <c r="AD325" i="13"/>
  <c r="AC325" i="13"/>
  <c r="W325" i="13"/>
  <c r="X325" i="13" s="1"/>
  <c r="AI324" i="13"/>
  <c r="AD324" i="13"/>
  <c r="AC324" i="13"/>
  <c r="W324" i="13"/>
  <c r="X324" i="13" s="1"/>
  <c r="AG324" i="13" s="1"/>
  <c r="AI323" i="13"/>
  <c r="AD323" i="13"/>
  <c r="AC323" i="13"/>
  <c r="W323" i="13"/>
  <c r="X323" i="13" s="1"/>
  <c r="AI322" i="13"/>
  <c r="AD322" i="13"/>
  <c r="AC322" i="13"/>
  <c r="W322" i="13"/>
  <c r="X322" i="13" s="1"/>
  <c r="AG322" i="13" s="1"/>
  <c r="AI321" i="13"/>
  <c r="AC321" i="13"/>
  <c r="AD321" i="13" s="1"/>
  <c r="W321" i="13"/>
  <c r="X321" i="13" s="1"/>
  <c r="Z321" i="13" s="1"/>
  <c r="Y321" i="13" s="1"/>
  <c r="AI320" i="13"/>
  <c r="AC320" i="13"/>
  <c r="AD320" i="13" s="1"/>
  <c r="W320" i="13"/>
  <c r="X320" i="13" s="1"/>
  <c r="AI319" i="13"/>
  <c r="AD319" i="13"/>
  <c r="AC319" i="13"/>
  <c r="W319" i="13"/>
  <c r="X319" i="13" s="1"/>
  <c r="AI318" i="13"/>
  <c r="AC318" i="13"/>
  <c r="AD318" i="13" s="1"/>
  <c r="W318" i="13"/>
  <c r="X318" i="13" s="1"/>
  <c r="AG318" i="13" s="1"/>
  <c r="AI317" i="13"/>
  <c r="AC317" i="13"/>
  <c r="AD317" i="13" s="1"/>
  <c r="W317" i="13"/>
  <c r="X317" i="13" s="1"/>
  <c r="AG317" i="13" s="1"/>
  <c r="AI316" i="13"/>
  <c r="AD316" i="13"/>
  <c r="AC316" i="13"/>
  <c r="W316" i="13"/>
  <c r="X316" i="13" s="1"/>
  <c r="AG316" i="13" s="1"/>
  <c r="AI315" i="13"/>
  <c r="AC315" i="13"/>
  <c r="AD315" i="13" s="1"/>
  <c r="W315" i="13"/>
  <c r="X315" i="13" s="1"/>
  <c r="Z315" i="13" s="1"/>
  <c r="Y315" i="13" s="1"/>
  <c r="AI314" i="13"/>
  <c r="AC314" i="13"/>
  <c r="AD314" i="13" s="1"/>
  <c r="W314" i="13"/>
  <c r="X314" i="13" s="1"/>
  <c r="Z314" i="13" s="1"/>
  <c r="Y314" i="13" s="1"/>
  <c r="AI313" i="13"/>
  <c r="AD313" i="13"/>
  <c r="AC313" i="13"/>
  <c r="W313" i="13"/>
  <c r="X313" i="13" s="1"/>
  <c r="AI312" i="13"/>
  <c r="AD312" i="13"/>
  <c r="AC312" i="13"/>
  <c r="W312" i="13"/>
  <c r="X312" i="13" s="1"/>
  <c r="AG312" i="13" s="1"/>
  <c r="AI311" i="13"/>
  <c r="AC311" i="13"/>
  <c r="AD311" i="13" s="1"/>
  <c r="W311" i="13"/>
  <c r="X311" i="13" s="1"/>
  <c r="AI310" i="13"/>
  <c r="AD310" i="13"/>
  <c r="AC310" i="13"/>
  <c r="W310" i="13"/>
  <c r="X310" i="13" s="1"/>
  <c r="Z310" i="13" s="1"/>
  <c r="Y310" i="13" s="1"/>
  <c r="AI309" i="13"/>
  <c r="AC309" i="13"/>
  <c r="AD309" i="13" s="1"/>
  <c r="Y309" i="13"/>
  <c r="W309" i="13"/>
  <c r="X309" i="13" s="1"/>
  <c r="Z309" i="13" s="1"/>
  <c r="AI308" i="13"/>
  <c r="AC308" i="13"/>
  <c r="AD308" i="13" s="1"/>
  <c r="W308" i="13"/>
  <c r="X308" i="13" s="1"/>
  <c r="AI307" i="13"/>
  <c r="AD307" i="13"/>
  <c r="AC307" i="13"/>
  <c r="W307" i="13"/>
  <c r="X307" i="13" s="1"/>
  <c r="AI306" i="13"/>
  <c r="AC306" i="13"/>
  <c r="AD306" i="13" s="1"/>
  <c r="W306" i="13"/>
  <c r="X306" i="13" s="1"/>
  <c r="AG306" i="13" s="1"/>
  <c r="AI305" i="13"/>
  <c r="AD305" i="13"/>
  <c r="AC305" i="13"/>
  <c r="W305" i="13"/>
  <c r="X305" i="13" s="1"/>
  <c r="Z305" i="13" s="1"/>
  <c r="Y305" i="13" s="1"/>
  <c r="AI304" i="13"/>
  <c r="AD304" i="13"/>
  <c r="AC304" i="13"/>
  <c r="W304" i="13"/>
  <c r="X304" i="13" s="1"/>
  <c r="AI303" i="13"/>
  <c r="AG303" i="13"/>
  <c r="AD303" i="13"/>
  <c r="AC303" i="13"/>
  <c r="W303" i="13"/>
  <c r="X303" i="13" s="1"/>
  <c r="Z303" i="13" s="1"/>
  <c r="Y303" i="13" s="1"/>
  <c r="AI302" i="13"/>
  <c r="AD302" i="13"/>
  <c r="AC302" i="13"/>
  <c r="W302" i="13"/>
  <c r="X302" i="13" s="1"/>
  <c r="AG302" i="13" s="1"/>
  <c r="AI301" i="13"/>
  <c r="AD301" i="13"/>
  <c r="AC301" i="13"/>
  <c r="W301" i="13"/>
  <c r="X301" i="13" s="1"/>
  <c r="Z301" i="13" s="1"/>
  <c r="Y301" i="13" s="1"/>
  <c r="AI300" i="13"/>
  <c r="AD300" i="13"/>
  <c r="AC300" i="13"/>
  <c r="W300" i="13"/>
  <c r="X300" i="13" s="1"/>
  <c r="AI299" i="13"/>
  <c r="AC299" i="13"/>
  <c r="AD299" i="13" s="1"/>
  <c r="W299" i="13"/>
  <c r="X299" i="13" s="1"/>
  <c r="AG299" i="13" s="1"/>
  <c r="AI298" i="13"/>
  <c r="AD298" i="13"/>
  <c r="AC298" i="13"/>
  <c r="W298" i="13"/>
  <c r="X298" i="13" s="1"/>
  <c r="AG298" i="13" s="1"/>
  <c r="AI297" i="13"/>
  <c r="AC297" i="13"/>
  <c r="AD297" i="13" s="1"/>
  <c r="W297" i="13"/>
  <c r="X297" i="13" s="1"/>
  <c r="AI296" i="13"/>
  <c r="AC296" i="13"/>
  <c r="AD296" i="13" s="1"/>
  <c r="W296" i="13"/>
  <c r="X296" i="13" s="1"/>
  <c r="AG296" i="13" s="1"/>
  <c r="AI295" i="13"/>
  <c r="AD295" i="13"/>
  <c r="AC295" i="13"/>
  <c r="W295" i="13"/>
  <c r="X295" i="13" s="1"/>
  <c r="AI294" i="13"/>
  <c r="AD294" i="13"/>
  <c r="AC294" i="13"/>
  <c r="W294" i="13"/>
  <c r="X294" i="13" s="1"/>
  <c r="AI293" i="13"/>
  <c r="AC293" i="13"/>
  <c r="AD293" i="13" s="1"/>
  <c r="W293" i="13"/>
  <c r="X293" i="13" s="1"/>
  <c r="AI292" i="13"/>
  <c r="AD292" i="13"/>
  <c r="AC292" i="13"/>
  <c r="W292" i="13"/>
  <c r="X292" i="13" s="1"/>
  <c r="AI291" i="13"/>
  <c r="AC291" i="13"/>
  <c r="AD291" i="13" s="1"/>
  <c r="W291" i="13"/>
  <c r="X291" i="13" s="1"/>
  <c r="Z291" i="13" s="1"/>
  <c r="Y291" i="13" s="1"/>
  <c r="AI290" i="13"/>
  <c r="AD290" i="13"/>
  <c r="AC290" i="13"/>
  <c r="W290" i="13"/>
  <c r="X290" i="13" s="1"/>
  <c r="AI289" i="13"/>
  <c r="AG289" i="13"/>
  <c r="AD289" i="13"/>
  <c r="AC289" i="13"/>
  <c r="Z289" i="13"/>
  <c r="Y289" i="13" s="1"/>
  <c r="W289" i="13"/>
  <c r="X289" i="13" s="1"/>
  <c r="AI288" i="13"/>
  <c r="AC288" i="13"/>
  <c r="AD288" i="13" s="1"/>
  <c r="W288" i="13"/>
  <c r="X288" i="13" s="1"/>
  <c r="Z288" i="13" s="1"/>
  <c r="Y288" i="13" s="1"/>
  <c r="AI287" i="13"/>
  <c r="AC287" i="13"/>
  <c r="AD287" i="13" s="1"/>
  <c r="W287" i="13"/>
  <c r="X287" i="13" s="1"/>
  <c r="Z287" i="13" s="1"/>
  <c r="Y287" i="13" s="1"/>
  <c r="AI286" i="13"/>
  <c r="AD286" i="13"/>
  <c r="AC286" i="13"/>
  <c r="W286" i="13"/>
  <c r="X286" i="13" s="1"/>
  <c r="AI285" i="13"/>
  <c r="AC285" i="13"/>
  <c r="AD285" i="13" s="1"/>
  <c r="W285" i="13"/>
  <c r="X285" i="13" s="1"/>
  <c r="AG285" i="13" s="1"/>
  <c r="AI284" i="13"/>
  <c r="AC284" i="13"/>
  <c r="AD284" i="13" s="1"/>
  <c r="W284" i="13"/>
  <c r="X284" i="13" s="1"/>
  <c r="AI283" i="13"/>
  <c r="AD283" i="13"/>
  <c r="AC283" i="13"/>
  <c r="W283" i="13"/>
  <c r="X283" i="13" s="1"/>
  <c r="AG283" i="13" s="1"/>
  <c r="AI282" i="13"/>
  <c r="AC282" i="13"/>
  <c r="AD282" i="13" s="1"/>
  <c r="W282" i="13"/>
  <c r="X282" i="13" s="1"/>
  <c r="AG282" i="13" s="1"/>
  <c r="AI281" i="13"/>
  <c r="AG281" i="13"/>
  <c r="AC281" i="13"/>
  <c r="AD281" i="13" s="1"/>
  <c r="W281" i="13"/>
  <c r="X281" i="13" s="1"/>
  <c r="Z281" i="13" s="1"/>
  <c r="Y281" i="13" s="1"/>
  <c r="AI280" i="13"/>
  <c r="AD280" i="13"/>
  <c r="AC280" i="13"/>
  <c r="W280" i="13"/>
  <c r="X280" i="13" s="1"/>
  <c r="AI279" i="13"/>
  <c r="AC279" i="13"/>
  <c r="AD279" i="13" s="1"/>
  <c r="W279" i="13"/>
  <c r="X279" i="13" s="1"/>
  <c r="Z279" i="13" s="1"/>
  <c r="Y279" i="13" s="1"/>
  <c r="AI278" i="13"/>
  <c r="AC278" i="13"/>
  <c r="AD278" i="13" s="1"/>
  <c r="W278" i="13"/>
  <c r="X278" i="13" s="1"/>
  <c r="AI277" i="13"/>
  <c r="AD277" i="13"/>
  <c r="AC277" i="13"/>
  <c r="W277" i="13"/>
  <c r="X277" i="13" s="1"/>
  <c r="AI276" i="13"/>
  <c r="AG276" i="13"/>
  <c r="AC276" i="13"/>
  <c r="AD276" i="13" s="1"/>
  <c r="Z276" i="13"/>
  <c r="Y276" i="13" s="1"/>
  <c r="W276" i="13"/>
  <c r="X276" i="13" s="1"/>
  <c r="AI275" i="13"/>
  <c r="AD275" i="13"/>
  <c r="AC275" i="13"/>
  <c r="W275" i="13"/>
  <c r="X275" i="13" s="1"/>
  <c r="AI274" i="13"/>
  <c r="AD274" i="13"/>
  <c r="AC274" i="13"/>
  <c r="X274" i="13"/>
  <c r="W274" i="13"/>
  <c r="AI273" i="13"/>
  <c r="AD273" i="13"/>
  <c r="AC273" i="13"/>
  <c r="W273" i="13"/>
  <c r="X273" i="13" s="1"/>
  <c r="Z273" i="13" s="1"/>
  <c r="Y273" i="13" s="1"/>
  <c r="AI272" i="13"/>
  <c r="AC272" i="13"/>
  <c r="AD272" i="13" s="1"/>
  <c r="X272" i="13"/>
  <c r="W272" i="13"/>
  <c r="AI271" i="13"/>
  <c r="AD271" i="13"/>
  <c r="AC271" i="13"/>
  <c r="W271" i="13"/>
  <c r="X271" i="13" s="1"/>
  <c r="AI270" i="13"/>
  <c r="AD270" i="13"/>
  <c r="AC270" i="13"/>
  <c r="W270" i="13"/>
  <c r="X270" i="13" s="1"/>
  <c r="AI269" i="13"/>
  <c r="AC269" i="13"/>
  <c r="AD269" i="13" s="1"/>
  <c r="W269" i="13"/>
  <c r="X269" i="13" s="1"/>
  <c r="AI268" i="13"/>
  <c r="AG268" i="13" s="1"/>
  <c r="AD268" i="13"/>
  <c r="AC268" i="13"/>
  <c r="Z268" i="13"/>
  <c r="Y268" i="13" s="1"/>
  <c r="X268" i="13"/>
  <c r="W268" i="13"/>
  <c r="AI267" i="13"/>
  <c r="AD267" i="13"/>
  <c r="AC267" i="13"/>
  <c r="W267" i="13"/>
  <c r="X267" i="13" s="1"/>
  <c r="AG267" i="13" s="1"/>
  <c r="AI266" i="13"/>
  <c r="AC266" i="13"/>
  <c r="AD266" i="13" s="1"/>
  <c r="Z266" i="13"/>
  <c r="Y266" i="13" s="1"/>
  <c r="W266" i="13"/>
  <c r="X266" i="13" s="1"/>
  <c r="AI265" i="13"/>
  <c r="AD265" i="13"/>
  <c r="AC265" i="13"/>
  <c r="W265" i="13"/>
  <c r="X265" i="13" s="1"/>
  <c r="AG265" i="13" s="1"/>
  <c r="AI264" i="13"/>
  <c r="AC264" i="13"/>
  <c r="AD264" i="13" s="1"/>
  <c r="W264" i="13"/>
  <c r="X264" i="13" s="1"/>
  <c r="Z264" i="13" s="1"/>
  <c r="Y264" i="13" s="1"/>
  <c r="AI263" i="13"/>
  <c r="AC263" i="13"/>
  <c r="AD263" i="13" s="1"/>
  <c r="X263" i="13"/>
  <c r="W263" i="13"/>
  <c r="AI262" i="13"/>
  <c r="AD262" i="13"/>
  <c r="AC262" i="13"/>
  <c r="W262" i="13"/>
  <c r="X262" i="13" s="1"/>
  <c r="AI261" i="13"/>
  <c r="AD261" i="13"/>
  <c r="AC261" i="13"/>
  <c r="W261" i="13"/>
  <c r="X261" i="13" s="1"/>
  <c r="AG261" i="13" s="1"/>
  <c r="AI260" i="13"/>
  <c r="AC260" i="13"/>
  <c r="AD260" i="13" s="1"/>
  <c r="X260" i="13"/>
  <c r="AG260" i="13" s="1"/>
  <c r="W260" i="13"/>
  <c r="AI259" i="13"/>
  <c r="AD259" i="13"/>
  <c r="AC259" i="13"/>
  <c r="W259" i="13"/>
  <c r="X259" i="13" s="1"/>
  <c r="AI258" i="13"/>
  <c r="AC258" i="13"/>
  <c r="AD258" i="13" s="1"/>
  <c r="W258" i="13"/>
  <c r="X258" i="13" s="1"/>
  <c r="Z258" i="13" s="1"/>
  <c r="Y258" i="13" s="1"/>
  <c r="AI257" i="13"/>
  <c r="AD257" i="13"/>
  <c r="AC257" i="13"/>
  <c r="W257" i="13"/>
  <c r="X257" i="13" s="1"/>
  <c r="AI256" i="13"/>
  <c r="AD256" i="13"/>
  <c r="AC256" i="13"/>
  <c r="W256" i="13"/>
  <c r="X256" i="13" s="1"/>
  <c r="Z256" i="13" s="1"/>
  <c r="Y256" i="13" s="1"/>
  <c r="AI255" i="13"/>
  <c r="AC255" i="13"/>
  <c r="AD255" i="13" s="1"/>
  <c r="W255" i="13"/>
  <c r="X255" i="13" s="1"/>
  <c r="AG255" i="13" s="1"/>
  <c r="AI254" i="13"/>
  <c r="AC254" i="13"/>
  <c r="AD254" i="13" s="1"/>
  <c r="Z254" i="13"/>
  <c r="Y254" i="13" s="1"/>
  <c r="W254" i="13"/>
  <c r="X254" i="13" s="1"/>
  <c r="AI253" i="13"/>
  <c r="AD253" i="13"/>
  <c r="AC253" i="13"/>
  <c r="W253" i="13"/>
  <c r="X253" i="13" s="1"/>
  <c r="AG253" i="13" s="1"/>
  <c r="AI252" i="13"/>
  <c r="AD252" i="13"/>
  <c r="AC252" i="13"/>
  <c r="W252" i="13"/>
  <c r="X252" i="13" s="1"/>
  <c r="Z252" i="13" s="1"/>
  <c r="Y252" i="13" s="1"/>
  <c r="AI251" i="13"/>
  <c r="AG251" i="13"/>
  <c r="AD251" i="13"/>
  <c r="AC251" i="13"/>
  <c r="W251" i="13"/>
  <c r="X251" i="13" s="1"/>
  <c r="Z251" i="13" s="1"/>
  <c r="Y251" i="13" s="1"/>
  <c r="AI250" i="13"/>
  <c r="AD250" i="13"/>
  <c r="AC250" i="13"/>
  <c r="W250" i="13"/>
  <c r="X250" i="13" s="1"/>
  <c r="AI249" i="13"/>
  <c r="AC249" i="13"/>
  <c r="AD249" i="13" s="1"/>
  <c r="W249" i="13"/>
  <c r="X249" i="13" s="1"/>
  <c r="AG249" i="13" s="1"/>
  <c r="AI248" i="13"/>
  <c r="AD248" i="13"/>
  <c r="AC248" i="13"/>
  <c r="W248" i="13"/>
  <c r="X248" i="13" s="1"/>
  <c r="Z248" i="13" s="1"/>
  <c r="Y248" i="13" s="1"/>
  <c r="AI247" i="13"/>
  <c r="AD247" i="13"/>
  <c r="AC247" i="13"/>
  <c r="W247" i="13"/>
  <c r="X247" i="13" s="1"/>
  <c r="AI246" i="13"/>
  <c r="AD246" i="13"/>
  <c r="AC246" i="13"/>
  <c r="W246" i="13"/>
  <c r="X246" i="13" s="1"/>
  <c r="AI245" i="13"/>
  <c r="AD245" i="13"/>
  <c r="AC245" i="13"/>
  <c r="W245" i="13"/>
  <c r="X245" i="13" s="1"/>
  <c r="Z245" i="13" s="1"/>
  <c r="Y245" i="13" s="1"/>
  <c r="AI244" i="13"/>
  <c r="AD244" i="13"/>
  <c r="AC244" i="13"/>
  <c r="W244" i="13"/>
  <c r="X244" i="13" s="1"/>
  <c r="Z244" i="13" s="1"/>
  <c r="Y244" i="13" s="1"/>
  <c r="AI243" i="13"/>
  <c r="AC243" i="13"/>
  <c r="AD243" i="13" s="1"/>
  <c r="W243" i="13"/>
  <c r="X243" i="13" s="1"/>
  <c r="Z243" i="13" s="1"/>
  <c r="Y243" i="13" s="1"/>
  <c r="AI242" i="13"/>
  <c r="AC242" i="13"/>
  <c r="AD242" i="13" s="1"/>
  <c r="W242" i="13"/>
  <c r="X242" i="13" s="1"/>
  <c r="AG242" i="13" s="1"/>
  <c r="AI241" i="13"/>
  <c r="AD241" i="13"/>
  <c r="AC241" i="13"/>
  <c r="X241" i="13"/>
  <c r="Z241" i="13" s="1"/>
  <c r="Y241" i="13" s="1"/>
  <c r="W241" i="13"/>
  <c r="AI240" i="13"/>
  <c r="AD240" i="13"/>
  <c r="AC240" i="13"/>
  <c r="W240" i="13"/>
  <c r="X240" i="13" s="1"/>
  <c r="Z240" i="13" s="1"/>
  <c r="Y240" i="13" s="1"/>
  <c r="AI239" i="13"/>
  <c r="AC239" i="13"/>
  <c r="AD239" i="13" s="1"/>
  <c r="X239" i="13"/>
  <c r="W239" i="13"/>
  <c r="AI238" i="13"/>
  <c r="AH238" i="13"/>
  <c r="W238" i="13" s="1"/>
  <c r="X238" i="13" s="1"/>
  <c r="AG238" i="13" s="1"/>
  <c r="AC238" i="13"/>
  <c r="AD238" i="13" s="1"/>
  <c r="AI237" i="13"/>
  <c r="AC237" i="13"/>
  <c r="AI236" i="13"/>
  <c r="AH236" i="13"/>
  <c r="W236" i="13" s="1"/>
  <c r="X236" i="13" s="1"/>
  <c r="AD236" i="13"/>
  <c r="AC236" i="13"/>
  <c r="AI235" i="13"/>
  <c r="AC235" i="13"/>
  <c r="AD235" i="13" s="1"/>
  <c r="W235" i="13"/>
  <c r="X235" i="13" s="1"/>
  <c r="AG235" i="13" s="1"/>
  <c r="AI234" i="13"/>
  <c r="AH234" i="13"/>
  <c r="W234" i="13" s="1"/>
  <c r="X234" i="13" s="1"/>
  <c r="AD234" i="13"/>
  <c r="AC234" i="13"/>
  <c r="AI233" i="13"/>
  <c r="AH233" i="13"/>
  <c r="W233" i="13" s="1"/>
  <c r="X233" i="13" s="1"/>
  <c r="Z233" i="13" s="1"/>
  <c r="Y233" i="13" s="1"/>
  <c r="AG233" i="13"/>
  <c r="AD233" i="13"/>
  <c r="AC233" i="13"/>
  <c r="AI232" i="13"/>
  <c r="AD232" i="13"/>
  <c r="AC232" i="13"/>
  <c r="W232" i="13"/>
  <c r="X232" i="13" s="1"/>
  <c r="AI231" i="13"/>
  <c r="AC231" i="13"/>
  <c r="AD231" i="13" s="1"/>
  <c r="W231" i="13"/>
  <c r="X231" i="13" s="1"/>
  <c r="AI230" i="13"/>
  <c r="AH230" i="13"/>
  <c r="AC230" i="13"/>
  <c r="AD230" i="13" s="1"/>
  <c r="W230" i="13"/>
  <c r="X230" i="13" s="1"/>
  <c r="AG230" i="13" s="1"/>
  <c r="AI229" i="13"/>
  <c r="AH229" i="13"/>
  <c r="AC229" i="13"/>
  <c r="AD229" i="13" s="1"/>
  <c r="W229" i="13"/>
  <c r="X229" i="13" s="1"/>
  <c r="AI228" i="13"/>
  <c r="AH228" i="13"/>
  <c r="W228" i="13" s="1"/>
  <c r="X228" i="13" s="1"/>
  <c r="Z228" i="13" s="1"/>
  <c r="Y228" i="13" s="1"/>
  <c r="AG228" i="13"/>
  <c r="AC228" i="13"/>
  <c r="AD228" i="13" s="1"/>
  <c r="AI227" i="13"/>
  <c r="AH227" i="13"/>
  <c r="W227" i="13" s="1"/>
  <c r="X227" i="13" s="1"/>
  <c r="AG227" i="13" s="1"/>
  <c r="AD227" i="13"/>
  <c r="AC227" i="13"/>
  <c r="AI226" i="13"/>
  <c r="AH226" i="13"/>
  <c r="W226" i="13" s="1"/>
  <c r="X226" i="13" s="1"/>
  <c r="Z226" i="13" s="1"/>
  <c r="Y226" i="13" s="1"/>
  <c r="AG226" i="13"/>
  <c r="AC226" i="13"/>
  <c r="AD226" i="13" s="1"/>
  <c r="AI225" i="13"/>
  <c r="AC225" i="13"/>
  <c r="AD225" i="13" s="1"/>
  <c r="W225" i="13"/>
  <c r="X225" i="13" s="1"/>
  <c r="AG225" i="13" s="1"/>
  <c r="AI224" i="13"/>
  <c r="AC224" i="13"/>
  <c r="AD224" i="13" s="1"/>
  <c r="W224" i="13"/>
  <c r="X224" i="13" s="1"/>
  <c r="Z224" i="13" s="1"/>
  <c r="Y224" i="13" s="1"/>
  <c r="AI223" i="13"/>
  <c r="AC223" i="13"/>
  <c r="AD223" i="13" s="1"/>
  <c r="W223" i="13"/>
  <c r="X223" i="13" s="1"/>
  <c r="AI222" i="13"/>
  <c r="AC222" i="13"/>
  <c r="AD222" i="13" s="1"/>
  <c r="W222" i="13"/>
  <c r="X222" i="13" s="1"/>
  <c r="Z222" i="13" s="1"/>
  <c r="Y222" i="13" s="1"/>
  <c r="AI221" i="13"/>
  <c r="AC221" i="13"/>
  <c r="AD221" i="13" s="1"/>
  <c r="W221" i="13"/>
  <c r="X221" i="13" s="1"/>
  <c r="AI220" i="13"/>
  <c r="AC220" i="13"/>
  <c r="AI219" i="13"/>
  <c r="AC219" i="13"/>
  <c r="AD219" i="13" s="1"/>
  <c r="W219" i="13"/>
  <c r="X219" i="13" s="1"/>
  <c r="AI218" i="13"/>
  <c r="AC218" i="13"/>
  <c r="AD218" i="13" s="1"/>
  <c r="W218" i="13"/>
  <c r="X218" i="13" s="1"/>
  <c r="AI217" i="13"/>
  <c r="AH217" i="13"/>
  <c r="AC217" i="13"/>
  <c r="AD217" i="13" s="1"/>
  <c r="W217" i="13"/>
  <c r="X217" i="13" s="1"/>
  <c r="AI216" i="13"/>
  <c r="AH216" i="13"/>
  <c r="W216" i="13" s="1"/>
  <c r="X216" i="13" s="1"/>
  <c r="Z216" i="13" s="1"/>
  <c r="Y216" i="13" s="1"/>
  <c r="AC216" i="13"/>
  <c r="AD216" i="13" s="1"/>
  <c r="AI215" i="13"/>
  <c r="AH215" i="13"/>
  <c r="AC215" i="13"/>
  <c r="AD215" i="13" s="1"/>
  <c r="W215" i="13"/>
  <c r="X215" i="13" s="1"/>
  <c r="AI214" i="13"/>
  <c r="AH214" i="13"/>
  <c r="W214" i="13" s="1"/>
  <c r="X214" i="13" s="1"/>
  <c r="AC214" i="13"/>
  <c r="AD214" i="13" s="1"/>
  <c r="AI213" i="13"/>
  <c r="AH213" i="13"/>
  <c r="W213" i="13" s="1"/>
  <c r="X213" i="13" s="1"/>
  <c r="AD213" i="13"/>
  <c r="AC213" i="13"/>
  <c r="AI212" i="13"/>
  <c r="AH212" i="13"/>
  <c r="W212" i="13" s="1"/>
  <c r="AC212" i="13"/>
  <c r="AD212" i="13" s="1"/>
  <c r="X212" i="13"/>
  <c r="AI211" i="13"/>
  <c r="AC211" i="13"/>
  <c r="AD211" i="13" s="1"/>
  <c r="W211" i="13"/>
  <c r="X211" i="13" s="1"/>
  <c r="AI210" i="13"/>
  <c r="AD210" i="13"/>
  <c r="AC210" i="13"/>
  <c r="W210" i="13"/>
  <c r="X210" i="13" s="1"/>
  <c r="AI209" i="13"/>
  <c r="AC209" i="13"/>
  <c r="AD209" i="13" s="1"/>
  <c r="W209" i="13"/>
  <c r="X209" i="13" s="1"/>
  <c r="AG209" i="13" s="1"/>
  <c r="AI208" i="13"/>
  <c r="AC208" i="13"/>
  <c r="AD208" i="13" s="1"/>
  <c r="W208" i="13"/>
  <c r="X208" i="13" s="1"/>
  <c r="AG208" i="13" s="1"/>
  <c r="AI207" i="13"/>
  <c r="AD207" i="13"/>
  <c r="AC207" i="13"/>
  <c r="W207" i="13"/>
  <c r="X207" i="13" s="1"/>
  <c r="AL206" i="13"/>
  <c r="AI206" i="13"/>
  <c r="AG206" i="13"/>
  <c r="AD206" i="13"/>
  <c r="AC206" i="13"/>
  <c r="W206" i="13"/>
  <c r="X206" i="13" s="1"/>
  <c r="Z206" i="13" s="1"/>
  <c r="Y206" i="13" s="1"/>
  <c r="AI205" i="13"/>
  <c r="AC205" i="13"/>
  <c r="AD205" i="13" s="1"/>
  <c r="W205" i="13"/>
  <c r="X205" i="13" s="1"/>
  <c r="Z205" i="13" s="1"/>
  <c r="Y205" i="13" s="1"/>
  <c r="AI204" i="13"/>
  <c r="AG204" i="13"/>
  <c r="AD204" i="13"/>
  <c r="AC204" i="13"/>
  <c r="Z204" i="13"/>
  <c r="Y204" i="13" s="1"/>
  <c r="W204" i="13"/>
  <c r="X204" i="13" s="1"/>
  <c r="AI203" i="13"/>
  <c r="AC203" i="13"/>
  <c r="AD203" i="13" s="1"/>
  <c r="W203" i="13"/>
  <c r="X203" i="13" s="1"/>
  <c r="AI202" i="13"/>
  <c r="AC202" i="13"/>
  <c r="AI201" i="13"/>
  <c r="AC201" i="13"/>
  <c r="W201" i="13"/>
  <c r="X201" i="13" s="1"/>
  <c r="AG201" i="13" s="1"/>
  <c r="V201" i="13"/>
  <c r="AI200" i="13"/>
  <c r="AD200" i="13"/>
  <c r="AC200" i="13"/>
  <c r="W200" i="13"/>
  <c r="X200" i="13" s="1"/>
  <c r="AG200" i="13" s="1"/>
  <c r="V200" i="13"/>
  <c r="AI199" i="13"/>
  <c r="AC199" i="13"/>
  <c r="AD199" i="13" s="1"/>
  <c r="W199" i="13"/>
  <c r="X199" i="13" s="1"/>
  <c r="AG199" i="13" s="1"/>
  <c r="V199" i="13"/>
  <c r="AI198" i="13"/>
  <c r="AC198" i="13"/>
  <c r="W198" i="13"/>
  <c r="X198" i="13" s="1"/>
  <c r="AG198" i="13" s="1"/>
  <c r="V198" i="13"/>
  <c r="AI197" i="13"/>
  <c r="AC197" i="13"/>
  <c r="W197" i="13"/>
  <c r="X197" i="13" s="1"/>
  <c r="AG197" i="13" s="1"/>
  <c r="V197" i="13"/>
  <c r="AI196" i="13"/>
  <c r="AC196" i="13"/>
  <c r="W196" i="13"/>
  <c r="X196" i="13" s="1"/>
  <c r="AG196" i="13" s="1"/>
  <c r="V196" i="13"/>
  <c r="AI195" i="13"/>
  <c r="AC195" i="13"/>
  <c r="AD195" i="13" s="1"/>
  <c r="W195" i="13"/>
  <c r="X195" i="13" s="1"/>
  <c r="Z195" i="13" s="1"/>
  <c r="Y195" i="13" s="1"/>
  <c r="V195" i="13"/>
  <c r="AI194" i="13"/>
  <c r="AD194" i="13"/>
  <c r="AC194" i="13"/>
  <c r="W194" i="13"/>
  <c r="X194" i="13" s="1"/>
  <c r="AG194" i="13" s="1"/>
  <c r="V194" i="13"/>
  <c r="AI193" i="13"/>
  <c r="AC193" i="13"/>
  <c r="X193" i="13"/>
  <c r="W193" i="13"/>
  <c r="V193" i="13"/>
  <c r="AI192" i="13"/>
  <c r="AC192" i="13"/>
  <c r="W192" i="13"/>
  <c r="X192" i="13" s="1"/>
  <c r="V192" i="13"/>
  <c r="AI191" i="13"/>
  <c r="AD191" i="13"/>
  <c r="AC191" i="13"/>
  <c r="W191" i="13"/>
  <c r="X191" i="13" s="1"/>
  <c r="V191" i="13"/>
  <c r="AI190" i="13"/>
  <c r="AD190" i="13"/>
  <c r="AC190" i="13"/>
  <c r="W190" i="13"/>
  <c r="X190" i="13" s="1"/>
  <c r="V190" i="13"/>
  <c r="AI189" i="13"/>
  <c r="AC189" i="13"/>
  <c r="W189" i="13"/>
  <c r="X189" i="13" s="1"/>
  <c r="V189" i="13"/>
  <c r="AI188" i="13"/>
  <c r="AC188" i="13"/>
  <c r="W188" i="13"/>
  <c r="X188" i="13" s="1"/>
  <c r="AG188" i="13" s="1"/>
  <c r="V188" i="13"/>
  <c r="AD188" i="13" s="1"/>
  <c r="AI187" i="13"/>
  <c r="AC187" i="13"/>
  <c r="AD187" i="13" s="1"/>
  <c r="W187" i="13"/>
  <c r="X187" i="13" s="1"/>
  <c r="V187" i="13"/>
  <c r="AI186" i="13"/>
  <c r="AC186" i="13"/>
  <c r="W186" i="13"/>
  <c r="X186" i="13" s="1"/>
  <c r="AG186" i="13" s="1"/>
  <c r="V186" i="13"/>
  <c r="AD186" i="13" s="1"/>
  <c r="AI185" i="13"/>
  <c r="AC185" i="13"/>
  <c r="W185" i="13"/>
  <c r="X185" i="13" s="1"/>
  <c r="AG185" i="13" s="1"/>
  <c r="V185" i="13"/>
  <c r="AI184" i="13"/>
  <c r="AD184" i="13"/>
  <c r="AC184" i="13"/>
  <c r="W184" i="13"/>
  <c r="X184" i="13" s="1"/>
  <c r="AG184" i="13" s="1"/>
  <c r="V184" i="13"/>
  <c r="AI183" i="13"/>
  <c r="AD183" i="13"/>
  <c r="AC183" i="13"/>
  <c r="W183" i="13"/>
  <c r="X183" i="13" s="1"/>
  <c r="V183" i="13"/>
  <c r="AI182" i="13"/>
  <c r="AC182" i="13"/>
  <c r="W182" i="13"/>
  <c r="X182" i="13" s="1"/>
  <c r="AG182" i="13" s="1"/>
  <c r="V182" i="13"/>
  <c r="AD182" i="13" s="1"/>
  <c r="AI181" i="13"/>
  <c r="AC181" i="13"/>
  <c r="W181" i="13"/>
  <c r="X181" i="13" s="1"/>
  <c r="AG181" i="13" s="1"/>
  <c r="V181" i="13"/>
  <c r="AI180" i="13"/>
  <c r="AD180" i="13"/>
  <c r="AC180" i="13"/>
  <c r="W180" i="13"/>
  <c r="X180" i="13" s="1"/>
  <c r="V180" i="13"/>
  <c r="Z180" i="13" s="1"/>
  <c r="Y180" i="13" s="1"/>
  <c r="AI179" i="13"/>
  <c r="AC179" i="13"/>
  <c r="AD179" i="13" s="1"/>
  <c r="W179" i="13"/>
  <c r="X179" i="13" s="1"/>
  <c r="V179" i="13"/>
  <c r="AI178" i="13"/>
  <c r="AC178" i="13"/>
  <c r="W178" i="13"/>
  <c r="X178" i="13" s="1"/>
  <c r="AG178" i="13" s="1"/>
  <c r="V178" i="13"/>
  <c r="Z178" i="13" s="1"/>
  <c r="AI177" i="13"/>
  <c r="AC177" i="13"/>
  <c r="AI176" i="13"/>
  <c r="AC176" i="13"/>
  <c r="W176" i="13"/>
  <c r="X176" i="13" s="1"/>
  <c r="AG176" i="13" s="1"/>
  <c r="V176" i="13"/>
  <c r="AI175" i="13"/>
  <c r="AD175" i="13"/>
  <c r="AC175" i="13"/>
  <c r="W175" i="13"/>
  <c r="X175" i="13" s="1"/>
  <c r="V175" i="13"/>
  <c r="AI174" i="13"/>
  <c r="AC174" i="13"/>
  <c r="AD174" i="13" s="1"/>
  <c r="W174" i="13"/>
  <c r="X174" i="13" s="1"/>
  <c r="V174" i="13"/>
  <c r="AI173" i="13"/>
  <c r="AC173" i="13"/>
  <c r="W173" i="13"/>
  <c r="X173" i="13" s="1"/>
  <c r="V173" i="13"/>
  <c r="AD173" i="13" s="1"/>
  <c r="AI172" i="13"/>
  <c r="AC172" i="13"/>
  <c r="W172" i="13"/>
  <c r="X172" i="13" s="1"/>
  <c r="V172" i="13"/>
  <c r="AD172" i="13" s="1"/>
  <c r="AI171" i="13"/>
  <c r="AC171" i="13"/>
  <c r="W171" i="13"/>
  <c r="X171" i="13" s="1"/>
  <c r="V171" i="13"/>
  <c r="AI170" i="13"/>
  <c r="AC170" i="13"/>
  <c r="W170" i="13"/>
  <c r="X170" i="13" s="1"/>
  <c r="V170" i="13"/>
  <c r="AI169" i="13"/>
  <c r="AD169" i="13"/>
  <c r="AC169" i="13"/>
  <c r="W169" i="13"/>
  <c r="X169" i="13" s="1"/>
  <c r="AG169" i="13" s="1"/>
  <c r="V169" i="13"/>
  <c r="AI168" i="13"/>
  <c r="AC168" i="13"/>
  <c r="W168" i="13"/>
  <c r="X168" i="13" s="1"/>
  <c r="AG168" i="13" s="1"/>
  <c r="V168" i="13"/>
  <c r="AD168" i="13" s="1"/>
  <c r="AI167" i="13"/>
  <c r="AC167" i="13"/>
  <c r="AD167" i="13" s="1"/>
  <c r="W167" i="13"/>
  <c r="X167" i="13" s="1"/>
  <c r="AG167" i="13" s="1"/>
  <c r="V167" i="13"/>
  <c r="AI166" i="13"/>
  <c r="AC166" i="13"/>
  <c r="AD166" i="13" s="1"/>
  <c r="W166" i="13"/>
  <c r="X166" i="13" s="1"/>
  <c r="AG166" i="13" s="1"/>
  <c r="V166" i="13"/>
  <c r="AI165" i="13"/>
  <c r="AC165" i="13"/>
  <c r="W165" i="13"/>
  <c r="X165" i="13" s="1"/>
  <c r="AG165" i="13" s="1"/>
  <c r="V165" i="13"/>
  <c r="AI164" i="13"/>
  <c r="AG164" i="13"/>
  <c r="AC164" i="13"/>
  <c r="AD164" i="13" s="1"/>
  <c r="X164" i="13"/>
  <c r="W164" i="13"/>
  <c r="V164" i="13"/>
  <c r="Z164" i="13" s="1"/>
  <c r="Y164" i="13" s="1"/>
  <c r="AI163" i="13"/>
  <c r="AD163" i="13"/>
  <c r="AC163" i="13"/>
  <c r="W163" i="13"/>
  <c r="X163" i="13" s="1"/>
  <c r="AG163" i="13" s="1"/>
  <c r="V163" i="13"/>
  <c r="AI162" i="13"/>
  <c r="AH162" i="13"/>
  <c r="W162" i="13" s="1"/>
  <c r="X162" i="13" s="1"/>
  <c r="AG162" i="13" s="1"/>
  <c r="AC162" i="13"/>
  <c r="V162" i="13"/>
  <c r="AD162" i="13" s="1"/>
  <c r="AI161" i="13"/>
  <c r="AH161" i="13"/>
  <c r="W161" i="13" s="1"/>
  <c r="X161" i="13" s="1"/>
  <c r="AG161" i="13" s="1"/>
  <c r="AC161" i="13"/>
  <c r="V161" i="13"/>
  <c r="AI160" i="13"/>
  <c r="AD160" i="13"/>
  <c r="AC160" i="13"/>
  <c r="W160" i="13"/>
  <c r="X160" i="13" s="1"/>
  <c r="AG160" i="13" s="1"/>
  <c r="V160" i="13"/>
  <c r="AI159" i="13"/>
  <c r="AH159" i="13"/>
  <c r="W159" i="13" s="1"/>
  <c r="X159" i="13" s="1"/>
  <c r="AC159" i="13"/>
  <c r="V159" i="13"/>
  <c r="AI158" i="13"/>
  <c r="W158" i="13"/>
  <c r="AC158" i="13"/>
  <c r="AD158" i="13" s="1"/>
  <c r="X158" i="13"/>
  <c r="Z158" i="13" s="1"/>
  <c r="Y158" i="13" s="1"/>
  <c r="V158" i="13"/>
  <c r="AI157" i="13"/>
  <c r="AC157" i="13"/>
  <c r="W157" i="13"/>
  <c r="X157" i="13" s="1"/>
  <c r="AG157" i="13" s="1"/>
  <c r="V157" i="13"/>
  <c r="AI156" i="13"/>
  <c r="AC156" i="13"/>
  <c r="W156" i="13"/>
  <c r="X156" i="13" s="1"/>
  <c r="Z156" i="13" s="1"/>
  <c r="Y156" i="13" s="1"/>
  <c r="V156" i="13"/>
  <c r="AI155" i="13"/>
  <c r="AC155" i="13"/>
  <c r="W155" i="13"/>
  <c r="X155" i="13" s="1"/>
  <c r="AG155" i="13" s="1"/>
  <c r="V155" i="13"/>
  <c r="AI154" i="13"/>
  <c r="AC154" i="13"/>
  <c r="AD154" i="13" s="1"/>
  <c r="W154" i="13"/>
  <c r="X154" i="13" s="1"/>
  <c r="Z154" i="13" s="1"/>
  <c r="Y154" i="13" s="1"/>
  <c r="V154" i="13"/>
  <c r="AI153" i="13"/>
  <c r="AC153" i="13"/>
  <c r="AD153" i="13" s="1"/>
  <c r="W153" i="13"/>
  <c r="X153" i="13" s="1"/>
  <c r="AG153" i="13" s="1"/>
  <c r="V153" i="13"/>
  <c r="AI152" i="13"/>
  <c r="AC152" i="13"/>
  <c r="AD152" i="13" s="1"/>
  <c r="V152" i="13"/>
  <c r="AI151" i="13"/>
  <c r="AC151" i="13"/>
  <c r="W151" i="13"/>
  <c r="X151" i="13" s="1"/>
  <c r="AG151" i="13" s="1"/>
  <c r="V151" i="13"/>
  <c r="AI150" i="13"/>
  <c r="AD150" i="13"/>
  <c r="AC150" i="13"/>
  <c r="Z150" i="13"/>
  <c r="Y150" i="13" s="1"/>
  <c r="W150" i="13"/>
  <c r="X150" i="13" s="1"/>
  <c r="V150" i="13"/>
  <c r="AI149" i="13"/>
  <c r="AC149" i="13"/>
  <c r="AD149" i="13" s="1"/>
  <c r="W149" i="13"/>
  <c r="X149" i="13" s="1"/>
  <c r="AG149" i="13" s="1"/>
  <c r="V149" i="13"/>
  <c r="AI148" i="13"/>
  <c r="AC148" i="13"/>
  <c r="X148" i="13"/>
  <c r="W148" i="13"/>
  <c r="V148" i="13"/>
  <c r="AD148" i="13" s="1"/>
  <c r="AI147" i="13"/>
  <c r="AD147" i="13"/>
  <c r="AC147" i="13"/>
  <c r="W147" i="13"/>
  <c r="X147" i="13" s="1"/>
  <c r="AG147" i="13" s="1"/>
  <c r="V147" i="13"/>
  <c r="AI146" i="13"/>
  <c r="AC146" i="13"/>
  <c r="W146" i="13"/>
  <c r="X146" i="13" s="1"/>
  <c r="AG146" i="13" s="1"/>
  <c r="V146" i="13"/>
  <c r="AI145" i="13"/>
  <c r="AD145" i="13"/>
  <c r="AC145" i="13"/>
  <c r="W145" i="13"/>
  <c r="X145" i="13" s="1"/>
  <c r="AG145" i="13" s="1"/>
  <c r="V145" i="13"/>
  <c r="AI144" i="13"/>
  <c r="AC144" i="13"/>
  <c r="W144" i="13"/>
  <c r="X144" i="13" s="1"/>
  <c r="AG144" i="13" s="1"/>
  <c r="V144" i="13"/>
  <c r="Z144" i="13" s="1"/>
  <c r="Y144" i="13" s="1"/>
  <c r="AI143" i="13"/>
  <c r="AC143" i="13"/>
  <c r="W143" i="13"/>
  <c r="X143" i="13" s="1"/>
  <c r="AG143" i="13" s="1"/>
  <c r="V143" i="13"/>
  <c r="AI142" i="13"/>
  <c r="AD142" i="13"/>
  <c r="AC142" i="13"/>
  <c r="W142" i="13"/>
  <c r="X142" i="13" s="1"/>
  <c r="Z142" i="13" s="1"/>
  <c r="Y142" i="13" s="1"/>
  <c r="V142" i="13"/>
  <c r="AI141" i="13"/>
  <c r="AC141" i="13"/>
  <c r="W141" i="13"/>
  <c r="X141" i="13" s="1"/>
  <c r="AG141" i="13" s="1"/>
  <c r="V141" i="13"/>
  <c r="AI140" i="13"/>
  <c r="AC140" i="13"/>
  <c r="W140" i="13"/>
  <c r="X140" i="13" s="1"/>
  <c r="AG140" i="13" s="1"/>
  <c r="V140" i="13"/>
  <c r="AI139" i="13"/>
  <c r="AD139" i="13"/>
  <c r="AC139" i="13"/>
  <c r="W139" i="13"/>
  <c r="X139" i="13" s="1"/>
  <c r="AG139" i="13" s="1"/>
  <c r="V139" i="13"/>
  <c r="AI138" i="13"/>
  <c r="AC138" i="13"/>
  <c r="AD138" i="13" s="1"/>
  <c r="W138" i="13"/>
  <c r="X138" i="13" s="1"/>
  <c r="AG138" i="13" s="1"/>
  <c r="V138" i="13"/>
  <c r="AI137" i="13"/>
  <c r="AC137" i="13"/>
  <c r="AD137" i="13" s="1"/>
  <c r="W137" i="13"/>
  <c r="X137" i="13" s="1"/>
  <c r="Z137" i="13" s="1"/>
  <c r="Y137" i="13" s="1"/>
  <c r="V137" i="13"/>
  <c r="AI136" i="13"/>
  <c r="AC136" i="13"/>
  <c r="W136" i="13"/>
  <c r="X136" i="13" s="1"/>
  <c r="AG136" i="13" s="1"/>
  <c r="V136" i="13"/>
  <c r="AI135" i="13"/>
  <c r="AD135" i="13"/>
  <c r="AC135" i="13"/>
  <c r="W135" i="13"/>
  <c r="X135" i="13" s="1"/>
  <c r="V135" i="13"/>
  <c r="AI134" i="13"/>
  <c r="AC134" i="13"/>
  <c r="AD134" i="13" s="1"/>
  <c r="Z134" i="13"/>
  <c r="W134" i="13"/>
  <c r="X134" i="13" s="1"/>
  <c r="AG134" i="13" s="1"/>
  <c r="V134" i="13"/>
  <c r="AI133" i="13"/>
  <c r="AC133" i="13"/>
  <c r="AI132" i="13"/>
  <c r="AC132" i="13"/>
  <c r="W132" i="13"/>
  <c r="X132" i="13" s="1"/>
  <c r="Z132" i="13" s="1"/>
  <c r="Y132" i="13" s="1"/>
  <c r="V132" i="13"/>
  <c r="AI131" i="13"/>
  <c r="AC131" i="13"/>
  <c r="W131" i="13"/>
  <c r="X131" i="13" s="1"/>
  <c r="AG131" i="13" s="1"/>
  <c r="V131" i="13"/>
  <c r="AI130" i="13"/>
  <c r="AC130" i="13"/>
  <c r="AD130" i="13" s="1"/>
  <c r="W130" i="13"/>
  <c r="X130" i="13" s="1"/>
  <c r="Z130" i="13" s="1"/>
  <c r="Y130" i="13" s="1"/>
  <c r="V130" i="13"/>
  <c r="AI129" i="13"/>
  <c r="AG129" i="13"/>
  <c r="AC129" i="13"/>
  <c r="AD129" i="13" s="1"/>
  <c r="W129" i="13"/>
  <c r="X129" i="13" s="1"/>
  <c r="Z129" i="13" s="1"/>
  <c r="Y129" i="13" s="1"/>
  <c r="V129" i="13"/>
  <c r="AI128" i="13"/>
  <c r="AC128" i="13"/>
  <c r="W128" i="13"/>
  <c r="X128" i="13" s="1"/>
  <c r="AG128" i="13" s="1"/>
  <c r="V128" i="13"/>
  <c r="AI127" i="13"/>
  <c r="AH127" i="13"/>
  <c r="AD127" i="13"/>
  <c r="AC127" i="13"/>
  <c r="W127" i="13"/>
  <c r="X127" i="13" s="1"/>
  <c r="AG127" i="13" s="1"/>
  <c r="V127" i="13"/>
  <c r="AI126" i="13"/>
  <c r="AD126" i="13"/>
  <c r="AC126" i="13"/>
  <c r="W126" i="13"/>
  <c r="X126" i="13" s="1"/>
  <c r="AG126" i="13" s="1"/>
  <c r="V126" i="13"/>
  <c r="Z126" i="13" s="1"/>
  <c r="Y126" i="13" s="1"/>
  <c r="AI125" i="13"/>
  <c r="AC125" i="13"/>
  <c r="X125" i="13"/>
  <c r="AG125" i="13" s="1"/>
  <c r="W125" i="13"/>
  <c r="V125" i="13"/>
  <c r="AI124" i="13"/>
  <c r="AC124" i="13"/>
  <c r="AD124" i="13" s="1"/>
  <c r="W124" i="13"/>
  <c r="X124" i="13" s="1"/>
  <c r="V124" i="13"/>
  <c r="AI123" i="13"/>
  <c r="AC123" i="13"/>
  <c r="W123" i="13"/>
  <c r="X123" i="13" s="1"/>
  <c r="AG123" i="13" s="1"/>
  <c r="V123" i="13"/>
  <c r="Z123" i="13" s="1"/>
  <c r="Y123" i="13" s="1"/>
  <c r="AI122" i="13"/>
  <c r="AC122" i="13"/>
  <c r="AD122" i="13" s="1"/>
  <c r="W122" i="13"/>
  <c r="X122" i="13" s="1"/>
  <c r="Z122" i="13" s="1"/>
  <c r="Y122" i="13" s="1"/>
  <c r="V122" i="13"/>
  <c r="AI121" i="13"/>
  <c r="AD121" i="13"/>
  <c r="AC121" i="13"/>
  <c r="W121" i="13"/>
  <c r="X121" i="13" s="1"/>
  <c r="AG121" i="13" s="1"/>
  <c r="V121" i="13"/>
  <c r="AI120" i="13"/>
  <c r="AC120" i="13"/>
  <c r="W120" i="13"/>
  <c r="X120" i="13" s="1"/>
  <c r="AG120" i="13" s="1"/>
  <c r="V120" i="13"/>
  <c r="AI119" i="13"/>
  <c r="AC119" i="13"/>
  <c r="X119" i="13"/>
  <c r="W119" i="13"/>
  <c r="V119" i="13"/>
  <c r="AI118" i="13"/>
  <c r="AH118" i="13"/>
  <c r="W118" i="13" s="1"/>
  <c r="X118" i="13" s="1"/>
  <c r="AG118" i="13" s="1"/>
  <c r="AC118" i="13"/>
  <c r="AD118" i="13" s="1"/>
  <c r="V118" i="13"/>
  <c r="AI117" i="13"/>
  <c r="AH117" i="13"/>
  <c r="W117" i="13" s="1"/>
  <c r="AC117" i="13"/>
  <c r="AD117" i="13" s="1"/>
  <c r="X117" i="13"/>
  <c r="AG117" i="13" s="1"/>
  <c r="V117" i="13"/>
  <c r="AI116" i="13"/>
  <c r="AH116" i="13"/>
  <c r="W116" i="13" s="1"/>
  <c r="X116" i="13" s="1"/>
  <c r="AG116" i="13"/>
  <c r="AC116" i="13"/>
  <c r="AD116" i="13" s="1"/>
  <c r="V116" i="13"/>
  <c r="AI115" i="13"/>
  <c r="AD115" i="13"/>
  <c r="AC115" i="13"/>
  <c r="W115" i="13"/>
  <c r="X115" i="13" s="1"/>
  <c r="AG115" i="13" s="1"/>
  <c r="V115" i="13"/>
  <c r="AI114" i="13"/>
  <c r="AG114" i="13"/>
  <c r="AC114" i="13"/>
  <c r="W114" i="13"/>
  <c r="X114" i="13" s="1"/>
  <c r="V114" i="13"/>
  <c r="AI113" i="13"/>
  <c r="AD113" i="13"/>
  <c r="AC113" i="13"/>
  <c r="W113" i="13"/>
  <c r="X113" i="13" s="1"/>
  <c r="AG113" i="13" s="1"/>
  <c r="V113" i="13"/>
  <c r="AI112" i="13"/>
  <c r="AC112" i="13"/>
  <c r="W112" i="13"/>
  <c r="X112" i="13" s="1"/>
  <c r="Z112" i="13" s="1"/>
  <c r="Y112" i="13" s="1"/>
  <c r="V112" i="13"/>
  <c r="AI111" i="13"/>
  <c r="AC111" i="13"/>
  <c r="W111" i="13"/>
  <c r="X111" i="13" s="1"/>
  <c r="AG111" i="13" s="1"/>
  <c r="V111" i="13"/>
  <c r="AI110" i="13"/>
  <c r="AD110" i="13"/>
  <c r="AC110" i="13"/>
  <c r="W110" i="13"/>
  <c r="X110" i="13" s="1"/>
  <c r="V110" i="13"/>
  <c r="AI109" i="13"/>
  <c r="AC109" i="13"/>
  <c r="AD109" i="13" s="1"/>
  <c r="W109" i="13"/>
  <c r="X109" i="13" s="1"/>
  <c r="V109" i="13"/>
  <c r="AI108" i="13"/>
  <c r="AC108" i="13"/>
  <c r="W108" i="13"/>
  <c r="X108" i="13" s="1"/>
  <c r="V108" i="13"/>
  <c r="AI107" i="13"/>
  <c r="AG107" i="13"/>
  <c r="AC107" i="13"/>
  <c r="W107" i="13"/>
  <c r="X107" i="13" s="1"/>
  <c r="Z107" i="13" s="1"/>
  <c r="Y107" i="13" s="1"/>
  <c r="V107" i="13"/>
  <c r="AI106" i="13"/>
  <c r="AD106" i="13"/>
  <c r="AC106" i="13"/>
  <c r="W106" i="13"/>
  <c r="X106" i="13" s="1"/>
  <c r="AG106" i="13" s="1"/>
  <c r="V106" i="13"/>
  <c r="AI105" i="13"/>
  <c r="AC105" i="13"/>
  <c r="W105" i="13"/>
  <c r="X105" i="13" s="1"/>
  <c r="AG105" i="13" s="1"/>
  <c r="V105" i="13"/>
  <c r="AD105" i="13" s="1"/>
  <c r="AI104" i="13"/>
  <c r="AC104" i="13"/>
  <c r="W104" i="13"/>
  <c r="X104" i="13" s="1"/>
  <c r="AG104" i="13" s="1"/>
  <c r="V104" i="13"/>
  <c r="AI103" i="13"/>
  <c r="AC103" i="13"/>
  <c r="AD103" i="13" s="1"/>
  <c r="W103" i="13"/>
  <c r="X103" i="13" s="1"/>
  <c r="V103" i="13"/>
  <c r="AI102" i="13"/>
  <c r="AC102" i="13"/>
  <c r="W102" i="13"/>
  <c r="X102" i="13" s="1"/>
  <c r="AG102" i="13" s="1"/>
  <c r="V102" i="13"/>
  <c r="AD102" i="13" s="1"/>
  <c r="AI101" i="13"/>
  <c r="AD101" i="13"/>
  <c r="AC101" i="13"/>
  <c r="W101" i="13"/>
  <c r="X101" i="13" s="1"/>
  <c r="V101" i="13"/>
  <c r="Z101" i="13" s="1"/>
  <c r="Y101" i="13" s="1"/>
  <c r="AI100" i="13"/>
  <c r="AG100" i="13" s="1"/>
  <c r="AC100" i="13"/>
  <c r="Z100" i="13"/>
  <c r="Y100" i="13" s="1"/>
  <c r="W100" i="13"/>
  <c r="X100" i="13" s="1"/>
  <c r="V100" i="13"/>
  <c r="AD100" i="13" s="1"/>
  <c r="AI99" i="13"/>
  <c r="AC99" i="13"/>
  <c r="W99" i="13"/>
  <c r="X99" i="13" s="1"/>
  <c r="AG99" i="13" s="1"/>
  <c r="V99" i="13"/>
  <c r="AI98" i="13"/>
  <c r="AD98" i="13"/>
  <c r="AC98" i="13"/>
  <c r="W98" i="13"/>
  <c r="X98" i="13" s="1"/>
  <c r="AG98" i="13" s="1"/>
  <c r="V98" i="13"/>
  <c r="AI97" i="13"/>
  <c r="AC97" i="13"/>
  <c r="AD97" i="13" s="1"/>
  <c r="W97" i="13"/>
  <c r="X97" i="13" s="1"/>
  <c r="AG97" i="13" s="1"/>
  <c r="V97" i="13"/>
  <c r="AI96" i="13"/>
  <c r="AC96" i="13"/>
  <c r="AD96" i="13" s="1"/>
  <c r="W96" i="13"/>
  <c r="X96" i="13" s="1"/>
  <c r="AG96" i="13" s="1"/>
  <c r="V96" i="13"/>
  <c r="AI95" i="13"/>
  <c r="AC95" i="13"/>
  <c r="W95" i="13"/>
  <c r="X95" i="13" s="1"/>
  <c r="AG95" i="13" s="1"/>
  <c r="V95" i="13"/>
  <c r="AD95" i="13" s="1"/>
  <c r="AI94" i="13"/>
  <c r="AC94" i="13"/>
  <c r="W94" i="13"/>
  <c r="X94" i="13" s="1"/>
  <c r="AG94" i="13" s="1"/>
  <c r="V94" i="13"/>
  <c r="AI93" i="13"/>
  <c r="AH93" i="13"/>
  <c r="W93" i="13" s="1"/>
  <c r="X93" i="13" s="1"/>
  <c r="Z93" i="13" s="1"/>
  <c r="Y93" i="13" s="1"/>
  <c r="AG93" i="13"/>
  <c r="AC93" i="13"/>
  <c r="AD93" i="13" s="1"/>
  <c r="V93" i="13"/>
  <c r="AI92" i="13"/>
  <c r="AH92" i="13"/>
  <c r="W92" i="13" s="1"/>
  <c r="X92" i="13" s="1"/>
  <c r="AD92" i="13"/>
  <c r="AC92" i="13"/>
  <c r="V92" i="13"/>
  <c r="AI91" i="13"/>
  <c r="AC91" i="13"/>
  <c r="W91" i="13"/>
  <c r="X91" i="13" s="1"/>
  <c r="AG91" i="13" s="1"/>
  <c r="V91" i="13"/>
  <c r="AI90" i="13"/>
  <c r="AC90" i="13"/>
  <c r="W90" i="13"/>
  <c r="X90" i="13" s="1"/>
  <c r="Z90" i="13" s="1"/>
  <c r="Y90" i="13" s="1"/>
  <c r="V90" i="13"/>
  <c r="AI89" i="13"/>
  <c r="AC89" i="13"/>
  <c r="W89" i="13"/>
  <c r="X89" i="13" s="1"/>
  <c r="AG89" i="13" s="1"/>
  <c r="V89" i="13"/>
  <c r="AD89" i="13" s="1"/>
  <c r="AI88" i="13"/>
  <c r="AD88" i="13"/>
  <c r="AC88" i="13"/>
  <c r="X88" i="13"/>
  <c r="Z88" i="13" s="1"/>
  <c r="Y88" i="13" s="1"/>
  <c r="W88" i="13"/>
  <c r="V88" i="13"/>
  <c r="AI87" i="13"/>
  <c r="AC87" i="13"/>
  <c r="AD87" i="13" s="1"/>
  <c r="W87" i="13"/>
  <c r="X87" i="13" s="1"/>
  <c r="AG87" i="13" s="1"/>
  <c r="V87" i="13"/>
  <c r="AI86" i="13"/>
  <c r="AC86" i="13"/>
  <c r="AD86" i="13" s="1"/>
  <c r="W86" i="13"/>
  <c r="X86" i="13" s="1"/>
  <c r="V86" i="13"/>
  <c r="AI85" i="13"/>
  <c r="AD85" i="13"/>
  <c r="AC85" i="13"/>
  <c r="W85" i="13"/>
  <c r="X85" i="13" s="1"/>
  <c r="AG85" i="13" s="1"/>
  <c r="V85" i="13"/>
  <c r="AI84" i="13"/>
  <c r="AC84" i="13"/>
  <c r="W84" i="13"/>
  <c r="X84" i="13" s="1"/>
  <c r="AG84" i="13" s="1"/>
  <c r="V84" i="13"/>
  <c r="AI83" i="13"/>
  <c r="AC83" i="13"/>
  <c r="W83" i="13"/>
  <c r="X83" i="13" s="1"/>
  <c r="V83" i="13"/>
  <c r="AI82" i="13"/>
  <c r="AC82" i="13"/>
  <c r="X82" i="13"/>
  <c r="AG82" i="13" s="1"/>
  <c r="W82" i="13"/>
  <c r="V82" i="13"/>
  <c r="AI81" i="13"/>
  <c r="AC81" i="13"/>
  <c r="X81" i="13"/>
  <c r="AG81" i="13" s="1"/>
  <c r="W81" i="13"/>
  <c r="V81" i="13"/>
  <c r="AI80" i="13"/>
  <c r="AC80" i="13"/>
  <c r="AD80" i="13" s="1"/>
  <c r="W80" i="13"/>
  <c r="X80" i="13" s="1"/>
  <c r="V80" i="13"/>
  <c r="AI79" i="13"/>
  <c r="AG79" i="13"/>
  <c r="AC79" i="13"/>
  <c r="AD79" i="13" s="1"/>
  <c r="W79" i="13"/>
  <c r="X79" i="13" s="1"/>
  <c r="Z79" i="13" s="1"/>
  <c r="Y79" i="13" s="1"/>
  <c r="V79" i="13"/>
  <c r="AI78" i="13"/>
  <c r="AC78" i="13"/>
  <c r="W78" i="13"/>
  <c r="X78" i="13" s="1"/>
  <c r="AG78" i="13" s="1"/>
  <c r="V78" i="13"/>
  <c r="AI77" i="13"/>
  <c r="AG77" i="13"/>
  <c r="AD77" i="13"/>
  <c r="AC77" i="13"/>
  <c r="W77" i="13"/>
  <c r="X77" i="13" s="1"/>
  <c r="V77" i="13"/>
  <c r="AI76" i="13"/>
  <c r="AC76" i="13"/>
  <c r="AD76" i="13" s="1"/>
  <c r="W76" i="13"/>
  <c r="X76" i="13" s="1"/>
  <c r="V76" i="13"/>
  <c r="AI75" i="13"/>
  <c r="AC75" i="13"/>
  <c r="W75" i="13"/>
  <c r="X75" i="13" s="1"/>
  <c r="AG75" i="13" s="1"/>
  <c r="V75" i="13"/>
  <c r="AI74" i="13"/>
  <c r="AC74" i="13"/>
  <c r="W74" i="13"/>
  <c r="X74" i="13" s="1"/>
  <c r="AG74" i="13" s="1"/>
  <c r="V74" i="13"/>
  <c r="AI73" i="13"/>
  <c r="AC73" i="13"/>
  <c r="AD73" i="13" s="1"/>
  <c r="W73" i="13"/>
  <c r="X73" i="13" s="1"/>
  <c r="AG73" i="13" s="1"/>
  <c r="V73" i="13"/>
  <c r="AI72" i="13"/>
  <c r="AC72" i="13"/>
  <c r="AD72" i="13" s="1"/>
  <c r="W72" i="13"/>
  <c r="X72" i="13" s="1"/>
  <c r="Z72" i="13" s="1"/>
  <c r="Y72" i="13" s="1"/>
  <c r="V72" i="13"/>
  <c r="AI71" i="13"/>
  <c r="AC71" i="13"/>
  <c r="W71" i="13"/>
  <c r="X71" i="13" s="1"/>
  <c r="AG71" i="13" s="1"/>
  <c r="V71" i="13"/>
  <c r="AI70" i="13"/>
  <c r="AC70" i="13"/>
  <c r="AD70" i="13" s="1"/>
  <c r="W70" i="13"/>
  <c r="X70" i="13" s="1"/>
  <c r="V70" i="13"/>
  <c r="AI69" i="13"/>
  <c r="W69" i="13"/>
  <c r="X69" i="13" s="1"/>
  <c r="AG69" i="13" s="1"/>
  <c r="AC69" i="13"/>
  <c r="V69" i="13"/>
  <c r="AI68" i="13"/>
  <c r="AC68" i="13"/>
  <c r="W68" i="13"/>
  <c r="X68" i="13" s="1"/>
  <c r="V68" i="13"/>
  <c r="AI67" i="13"/>
  <c r="AC67" i="13"/>
  <c r="W67" i="13"/>
  <c r="X67" i="13" s="1"/>
  <c r="AG67" i="13" s="1"/>
  <c r="V67" i="13"/>
  <c r="AI66" i="13"/>
  <c r="AD66" i="13"/>
  <c r="AC66" i="13"/>
  <c r="W66" i="13"/>
  <c r="X66" i="13" s="1"/>
  <c r="AG66" i="13" s="1"/>
  <c r="V66" i="13"/>
  <c r="AI65" i="13"/>
  <c r="AC65" i="13"/>
  <c r="W65" i="13"/>
  <c r="X65" i="13" s="1"/>
  <c r="V65" i="13"/>
  <c r="AI64" i="13"/>
  <c r="AC64" i="13"/>
  <c r="V64" i="13"/>
  <c r="AI63" i="13"/>
  <c r="AD63" i="13"/>
  <c r="AC63" i="13"/>
  <c r="W63" i="13"/>
  <c r="X63" i="13" s="1"/>
  <c r="V63" i="13"/>
  <c r="AI62" i="13"/>
  <c r="AC62" i="13"/>
  <c r="W62" i="13"/>
  <c r="X62" i="13" s="1"/>
  <c r="AG62" i="13" s="1"/>
  <c r="V62" i="13"/>
  <c r="AD62" i="13" s="1"/>
  <c r="AI61" i="13"/>
  <c r="AC61" i="13"/>
  <c r="W61" i="13"/>
  <c r="X61" i="13" s="1"/>
  <c r="AG61" i="13" s="1"/>
  <c r="V61" i="13"/>
  <c r="AI60" i="13"/>
  <c r="AH60" i="13"/>
  <c r="W60" i="13" s="1"/>
  <c r="X60" i="13" s="1"/>
  <c r="AG60" i="13" s="1"/>
  <c r="AC60" i="13"/>
  <c r="AD60" i="13" s="1"/>
  <c r="V60" i="13"/>
  <c r="Z60" i="13" s="1"/>
  <c r="Y60" i="13" s="1"/>
  <c r="AI59" i="13"/>
  <c r="AC59" i="13"/>
  <c r="AD59" i="13" s="1"/>
  <c r="W59" i="13"/>
  <c r="X59" i="13" s="1"/>
  <c r="AG59" i="13" s="1"/>
  <c r="V59" i="13"/>
  <c r="AI58" i="13"/>
  <c r="AC58" i="13"/>
  <c r="V58" i="13"/>
  <c r="AI57" i="13"/>
  <c r="AD57" i="13"/>
  <c r="AC57" i="13"/>
  <c r="W57" i="13"/>
  <c r="X57" i="13" s="1"/>
  <c r="V57" i="13"/>
  <c r="AI56" i="13"/>
  <c r="AH56" i="13"/>
  <c r="W56" i="13" s="1"/>
  <c r="X56" i="13" s="1"/>
  <c r="AC56" i="13"/>
  <c r="V56" i="13"/>
  <c r="AD56" i="13" s="1"/>
  <c r="AI55" i="13"/>
  <c r="AC55" i="13"/>
  <c r="W55" i="13"/>
  <c r="X55" i="13" s="1"/>
  <c r="AG55" i="13" s="1"/>
  <c r="V55" i="13"/>
  <c r="AI54" i="13"/>
  <c r="AH54" i="13"/>
  <c r="W54" i="13" s="1"/>
  <c r="X54" i="13" s="1"/>
  <c r="Z54" i="13" s="1"/>
  <c r="Y54" i="13" s="1"/>
  <c r="AD54" i="13"/>
  <c r="AC54" i="13"/>
  <c r="V54" i="13"/>
  <c r="AI53" i="13"/>
  <c r="AC53" i="13"/>
  <c r="W53" i="13"/>
  <c r="X53" i="13" s="1"/>
  <c r="AG53" i="13" s="1"/>
  <c r="V53" i="13"/>
  <c r="AI52" i="13"/>
  <c r="AC52" i="13"/>
  <c r="W52" i="13"/>
  <c r="X52" i="13" s="1"/>
  <c r="AG52" i="13" s="1"/>
  <c r="V52" i="13"/>
  <c r="AI51" i="13"/>
  <c r="AC51" i="13"/>
  <c r="AD51" i="13" s="1"/>
  <c r="W51" i="13"/>
  <c r="X51" i="13" s="1"/>
  <c r="AG51" i="13" s="1"/>
  <c r="V51" i="13"/>
  <c r="AI50" i="13"/>
  <c r="AH50" i="13"/>
  <c r="AC50" i="13"/>
  <c r="W50" i="13"/>
  <c r="X50" i="13" s="1"/>
  <c r="AG50" i="13" s="1"/>
  <c r="V50" i="13"/>
  <c r="AI49" i="13"/>
  <c r="AD49" i="13"/>
  <c r="AC49" i="13"/>
  <c r="V49" i="13"/>
  <c r="AI48" i="13"/>
  <c r="AC48" i="13"/>
  <c r="W48" i="13"/>
  <c r="X48" i="13" s="1"/>
  <c r="V48" i="13"/>
  <c r="AI47" i="13"/>
  <c r="AC47" i="13"/>
  <c r="AD47" i="13" s="1"/>
  <c r="V47" i="13"/>
  <c r="AI46" i="13"/>
  <c r="AH46" i="13"/>
  <c r="W46" i="13" s="1"/>
  <c r="X46" i="13" s="1"/>
  <c r="AG46" i="13" s="1"/>
  <c r="AD46" i="13"/>
  <c r="AC46" i="13"/>
  <c r="V46" i="13"/>
  <c r="AI45" i="13"/>
  <c r="AH45" i="13"/>
  <c r="W45" i="13" s="1"/>
  <c r="X45" i="13" s="1"/>
  <c r="AC45" i="13"/>
  <c r="V45" i="13"/>
  <c r="AI44" i="13"/>
  <c r="W44" i="13"/>
  <c r="X44" i="13" s="1"/>
  <c r="AG44" i="13" s="1"/>
  <c r="AD44" i="13"/>
  <c r="AC44" i="13"/>
  <c r="V44" i="13"/>
  <c r="AI43" i="13"/>
  <c r="AH43" i="13"/>
  <c r="W43" i="13" s="1"/>
  <c r="AD43" i="13"/>
  <c r="AC43" i="13"/>
  <c r="X43" i="13"/>
  <c r="AG43" i="13" s="1"/>
  <c r="V43" i="13"/>
  <c r="AI42" i="13"/>
  <c r="W42" i="13"/>
  <c r="X42" i="13" s="1"/>
  <c r="AC42" i="13"/>
  <c r="AD42" i="13" s="1"/>
  <c r="V42" i="13"/>
  <c r="AI41" i="13"/>
  <c r="AH41" i="13"/>
  <c r="W41" i="13" s="1"/>
  <c r="AC41" i="13"/>
  <c r="X41" i="13"/>
  <c r="V41" i="13"/>
  <c r="AI40" i="13"/>
  <c r="AC40" i="13"/>
  <c r="AD40" i="13" s="1"/>
  <c r="W40" i="13"/>
  <c r="X40" i="13" s="1"/>
  <c r="AG40" i="13" s="1"/>
  <c r="V40" i="13"/>
  <c r="AI39" i="13"/>
  <c r="W39" i="13"/>
  <c r="X39" i="13" s="1"/>
  <c r="Z39" i="13" s="1"/>
  <c r="Y39" i="13" s="1"/>
  <c r="AG39" i="13"/>
  <c r="AC39" i="13"/>
  <c r="AD39" i="13" s="1"/>
  <c r="V39" i="13"/>
  <c r="AI38" i="13"/>
  <c r="AC38" i="13"/>
  <c r="AI37" i="13"/>
  <c r="AD37" i="13"/>
  <c r="AC37" i="13"/>
  <c r="W37" i="13"/>
  <c r="X37" i="13" s="1"/>
  <c r="AG37" i="13" s="1"/>
  <c r="AI36" i="13"/>
  <c r="AG36" i="13"/>
  <c r="AC36" i="13"/>
  <c r="AD36" i="13" s="1"/>
  <c r="Z36" i="13"/>
  <c r="Y36" i="13" s="1"/>
  <c r="W36" i="13"/>
  <c r="X36" i="13" s="1"/>
  <c r="AI35" i="13"/>
  <c r="AD35" i="13"/>
  <c r="AC35" i="13"/>
  <c r="W35" i="13"/>
  <c r="X35" i="13" s="1"/>
  <c r="AI34" i="13"/>
  <c r="AD34" i="13"/>
  <c r="AC34" i="13"/>
  <c r="W34" i="13"/>
  <c r="X34" i="13" s="1"/>
  <c r="Z34" i="13" s="1"/>
  <c r="Y34" i="13" s="1"/>
  <c r="AI33" i="13"/>
  <c r="AC33" i="13"/>
  <c r="AD33" i="13" s="1"/>
  <c r="W33" i="13"/>
  <c r="X33" i="13" s="1"/>
  <c r="AG33" i="13" s="1"/>
  <c r="AI32" i="13"/>
  <c r="W32" i="13"/>
  <c r="X32" i="13" s="1"/>
  <c r="AC32" i="13"/>
  <c r="AD32" i="13" s="1"/>
  <c r="AI31" i="13"/>
  <c r="AH31" i="13"/>
  <c r="W31" i="13" s="1"/>
  <c r="AC31" i="13"/>
  <c r="AD31" i="13" s="1"/>
  <c r="X31" i="13"/>
  <c r="AI30" i="13"/>
  <c r="AD30" i="13"/>
  <c r="AC30" i="13"/>
  <c r="W30" i="13"/>
  <c r="X30" i="13" s="1"/>
  <c r="Z30" i="13" s="1"/>
  <c r="Y30" i="13" s="1"/>
  <c r="AI29" i="13"/>
  <c r="AD29" i="13"/>
  <c r="AC29" i="13"/>
  <c r="W29" i="13"/>
  <c r="X29" i="13" s="1"/>
  <c r="Z29" i="13" s="1"/>
  <c r="Y29" i="13" s="1"/>
  <c r="AI28" i="13"/>
  <c r="AC28" i="13"/>
  <c r="AD28" i="13" s="1"/>
  <c r="W28" i="13"/>
  <c r="X28" i="13" s="1"/>
  <c r="AG28" i="13" s="1"/>
  <c r="AI27" i="13"/>
  <c r="AD27" i="13"/>
  <c r="AC27" i="13"/>
  <c r="W27" i="13"/>
  <c r="X27" i="13" s="1"/>
  <c r="AI26" i="13"/>
  <c r="AC26" i="13"/>
  <c r="AD26" i="13" s="1"/>
  <c r="W26" i="13"/>
  <c r="X26" i="13" s="1"/>
  <c r="AI25" i="13"/>
  <c r="AC25" i="13"/>
  <c r="AD25" i="13" s="1"/>
  <c r="W25" i="13"/>
  <c r="X25" i="13" s="1"/>
  <c r="AG25" i="13" s="1"/>
  <c r="AI24" i="13"/>
  <c r="AD24" i="13"/>
  <c r="AC24" i="13"/>
  <c r="W24" i="13"/>
  <c r="X24" i="13" s="1"/>
  <c r="AI23" i="13"/>
  <c r="AD23" i="13"/>
  <c r="AC23" i="13"/>
  <c r="W23" i="13"/>
  <c r="X23" i="13" s="1"/>
  <c r="Z23" i="13" s="1"/>
  <c r="Y23" i="13" s="1"/>
  <c r="AI22" i="13"/>
  <c r="AC22" i="13"/>
  <c r="AD22" i="13" s="1"/>
  <c r="W22" i="13"/>
  <c r="X22" i="13" s="1"/>
  <c r="AI21" i="13"/>
  <c r="AD21" i="13"/>
  <c r="AC21" i="13"/>
  <c r="W21" i="13"/>
  <c r="X21" i="13" s="1"/>
  <c r="AI20" i="13"/>
  <c r="AH20" i="13"/>
  <c r="AD20" i="13"/>
  <c r="AC20" i="13"/>
  <c r="W20" i="13"/>
  <c r="X20" i="13" s="1"/>
  <c r="Z20" i="13" s="1"/>
  <c r="Y20" i="13" s="1"/>
  <c r="AI19" i="13"/>
  <c r="AC19" i="13"/>
  <c r="AD19" i="13" s="1"/>
  <c r="W19" i="13"/>
  <c r="X19" i="13" s="1"/>
  <c r="AG19" i="13" s="1"/>
  <c r="AI18" i="13"/>
  <c r="AC18" i="13"/>
  <c r="AD18" i="13" s="1"/>
  <c r="W18" i="13"/>
  <c r="X18" i="13" s="1"/>
  <c r="AI17" i="13"/>
  <c r="AD17" i="13"/>
  <c r="AC17" i="13"/>
  <c r="W17" i="13"/>
  <c r="X17" i="13" s="1"/>
  <c r="AI16" i="13"/>
  <c r="AH16" i="13"/>
  <c r="AH497" i="13" s="1"/>
  <c r="W497" i="13" s="1"/>
  <c r="X497" i="13" s="1"/>
  <c r="AC16" i="13"/>
  <c r="AD16" i="13" s="1"/>
  <c r="W16" i="13"/>
  <c r="X16" i="13" s="1"/>
  <c r="AI15" i="13"/>
  <c r="AD15" i="13"/>
  <c r="AC15" i="13"/>
  <c r="AI14" i="13"/>
  <c r="AH14" i="13"/>
  <c r="AC14" i="13"/>
  <c r="AD14" i="13" s="1"/>
  <c r="W14" i="13"/>
  <c r="X14" i="13" s="1"/>
  <c r="AI13" i="13"/>
  <c r="AD13" i="13"/>
  <c r="AC13" i="13"/>
  <c r="W13" i="13"/>
  <c r="X13" i="13" s="1"/>
  <c r="AI12" i="13"/>
  <c r="AC12" i="13"/>
  <c r="AD12" i="13" s="1"/>
  <c r="W12" i="13"/>
  <c r="X12" i="13" s="1"/>
  <c r="Z12" i="13" s="1"/>
  <c r="Y12" i="13" s="1"/>
  <c r="AI11" i="13"/>
  <c r="AC11" i="13"/>
  <c r="AD11" i="13" s="1"/>
  <c r="W11" i="13"/>
  <c r="X11" i="13" s="1"/>
  <c r="AI10" i="13"/>
  <c r="AD10" i="13"/>
  <c r="AC10" i="13"/>
  <c r="W10" i="13"/>
  <c r="X10" i="13" s="1"/>
  <c r="AC9" i="13"/>
  <c r="AH497" i="11"/>
  <c r="Z64" i="13" l="1"/>
  <c r="Y64" i="13" s="1"/>
  <c r="Z63" i="13"/>
  <c r="Y63" i="13" s="1"/>
  <c r="AG63" i="13"/>
  <c r="AL494" i="13"/>
  <c r="Y494" i="13"/>
  <c r="Y491" i="13"/>
  <c r="AG458" i="13"/>
  <c r="AG325" i="13"/>
  <c r="Z325" i="13"/>
  <c r="Y325" i="13" s="1"/>
  <c r="Z320" i="13"/>
  <c r="Y320" i="13" s="1"/>
  <c r="AG320" i="13"/>
  <c r="Z444" i="13"/>
  <c r="Y444" i="13" s="1"/>
  <c r="AG444" i="13"/>
  <c r="AG170" i="13"/>
  <c r="Z170" i="13"/>
  <c r="Y170" i="13" s="1"/>
  <c r="Z441" i="13"/>
  <c r="Y441" i="13" s="1"/>
  <c r="AG441" i="13"/>
  <c r="AG18" i="13"/>
  <c r="Z18" i="13"/>
  <c r="Y18" i="13" s="1"/>
  <c r="AG80" i="13"/>
  <c r="Z80" i="13"/>
  <c r="Y80" i="13" s="1"/>
  <c r="AG334" i="13"/>
  <c r="AG76" i="13"/>
  <c r="Z76" i="13"/>
  <c r="Y76" i="13" s="1"/>
  <c r="AG124" i="13"/>
  <c r="Z124" i="13"/>
  <c r="Y124" i="13" s="1"/>
  <c r="AG190" i="13"/>
  <c r="Z190" i="13"/>
  <c r="Y190" i="13" s="1"/>
  <c r="Z290" i="13"/>
  <c r="Y290" i="13" s="1"/>
  <c r="AG290" i="13"/>
  <c r="Z462" i="13"/>
  <c r="Y462" i="13" s="1"/>
  <c r="Z173" i="13"/>
  <c r="Y173" i="13" s="1"/>
  <c r="AG173" i="13"/>
  <c r="AG482" i="13"/>
  <c r="Z482" i="13"/>
  <c r="Y482" i="13" s="1"/>
  <c r="Z292" i="13"/>
  <c r="Y292" i="13" s="1"/>
  <c r="AG292" i="13"/>
  <c r="AG311" i="13"/>
  <c r="Z311" i="13"/>
  <c r="Y311" i="13" s="1"/>
  <c r="Z349" i="13"/>
  <c r="Y349" i="13" s="1"/>
  <c r="AG349" i="13"/>
  <c r="AG48" i="13"/>
  <c r="Z48" i="13"/>
  <c r="Y48" i="13" s="1"/>
  <c r="Z370" i="13"/>
  <c r="Y370" i="13" s="1"/>
  <c r="AG370" i="13"/>
  <c r="Z109" i="13"/>
  <c r="Y109" i="13" s="1"/>
  <c r="AG109" i="13"/>
  <c r="Z431" i="13"/>
  <c r="Y431" i="13" s="1"/>
  <c r="AG431" i="13"/>
  <c r="AG222" i="13"/>
  <c r="Z480" i="13"/>
  <c r="Y480" i="13" s="1"/>
  <c r="AG480" i="13"/>
  <c r="AG486" i="13"/>
  <c r="Z486" i="13"/>
  <c r="Y486" i="13" s="1"/>
  <c r="AG488" i="13"/>
  <c r="Z488" i="13"/>
  <c r="Y488" i="13" s="1"/>
  <c r="Z278" i="13"/>
  <c r="Y278" i="13" s="1"/>
  <c r="AG278" i="13"/>
  <c r="AG342" i="13"/>
  <c r="Z342" i="13"/>
  <c r="Y342" i="13" s="1"/>
  <c r="AG348" i="13"/>
  <c r="Z348" i="13"/>
  <c r="Y348" i="13" s="1"/>
  <c r="Z229" i="13"/>
  <c r="Y229" i="13" s="1"/>
  <c r="AG229" i="13"/>
  <c r="Z298" i="13"/>
  <c r="Y298" i="13" s="1"/>
  <c r="AG56" i="13"/>
  <c r="Z56" i="13"/>
  <c r="Y56" i="13" s="1"/>
  <c r="Z489" i="13"/>
  <c r="Y489" i="13" s="1"/>
  <c r="AG57" i="13"/>
  <c r="Z57" i="13"/>
  <c r="Y57" i="13" s="1"/>
  <c r="AG175" i="13"/>
  <c r="Z175" i="13"/>
  <c r="Y175" i="13" s="1"/>
  <c r="AG148" i="13"/>
  <c r="Z148" i="13"/>
  <c r="Y148" i="13" s="1"/>
  <c r="AG366" i="13"/>
  <c r="Z366" i="13"/>
  <c r="Y366" i="13" s="1"/>
  <c r="Z493" i="13"/>
  <c r="AG493" i="13"/>
  <c r="AG34" i="13"/>
  <c r="AG470" i="13"/>
  <c r="Z470" i="13"/>
  <c r="Y470" i="13" s="1"/>
  <c r="Z209" i="13"/>
  <c r="Y209" i="13" s="1"/>
  <c r="AG280" i="13"/>
  <c r="Z280" i="13"/>
  <c r="Y280" i="13" s="1"/>
  <c r="AG380" i="13"/>
  <c r="AG274" i="13"/>
  <c r="Z274" i="13"/>
  <c r="Y274" i="13" s="1"/>
  <c r="Z439" i="13"/>
  <c r="Y439" i="13" s="1"/>
  <c r="Z187" i="13"/>
  <c r="Y187" i="13" s="1"/>
  <c r="AG187" i="13"/>
  <c r="Z210" i="13"/>
  <c r="Y210" i="13" s="1"/>
  <c r="AG210" i="13"/>
  <c r="Z294" i="13"/>
  <c r="Y294" i="13" s="1"/>
  <c r="AG294" i="13"/>
  <c r="Z440" i="13"/>
  <c r="Y440" i="13" s="1"/>
  <c r="AG440" i="13"/>
  <c r="AG437" i="13"/>
  <c r="Z437" i="13"/>
  <c r="Y437" i="13" s="1"/>
  <c r="AG231" i="13"/>
  <c r="Z231" i="13"/>
  <c r="Y231" i="13" s="1"/>
  <c r="AG344" i="13"/>
  <c r="Z446" i="13"/>
  <c r="Y446" i="13" s="1"/>
  <c r="AG446" i="13"/>
  <c r="AG263" i="13"/>
  <c r="Z263" i="13"/>
  <c r="Y263" i="13" s="1"/>
  <c r="AG333" i="13"/>
  <c r="Z333" i="13"/>
  <c r="Y333" i="13" s="1"/>
  <c r="Z415" i="13"/>
  <c r="Y415" i="13" s="1"/>
  <c r="AG415" i="13"/>
  <c r="AG361" i="13"/>
  <c r="Z84" i="13"/>
  <c r="Y84" i="13" s="1"/>
  <c r="Z167" i="13"/>
  <c r="Y167" i="13" s="1"/>
  <c r="Z25" i="13"/>
  <c r="Y25" i="13" s="1"/>
  <c r="Z135" i="13"/>
  <c r="Y135" i="13" s="1"/>
  <c r="AG112" i="13"/>
  <c r="AG172" i="13"/>
  <c r="AG258" i="13"/>
  <c r="Z421" i="13"/>
  <c r="Y421" i="13" s="1"/>
  <c r="AG425" i="13"/>
  <c r="AG72" i="13"/>
  <c r="Z249" i="13"/>
  <c r="Y249" i="13" s="1"/>
  <c r="AG374" i="13"/>
  <c r="Z59" i="13"/>
  <c r="Y59" i="13" s="1"/>
  <c r="AG193" i="13"/>
  <c r="Z261" i="13"/>
  <c r="Y261" i="13" s="1"/>
  <c r="AG110" i="13"/>
  <c r="Z138" i="13"/>
  <c r="Y138" i="13" s="1"/>
  <c r="AG314" i="13"/>
  <c r="AG381" i="13"/>
  <c r="AG240" i="13"/>
  <c r="AG256" i="13"/>
  <c r="AG419" i="13"/>
  <c r="AG273" i="13"/>
  <c r="AG310" i="13"/>
  <c r="Z147" i="13"/>
  <c r="Y147" i="13" s="1"/>
  <c r="Z74" i="13"/>
  <c r="Y74" i="13" s="1"/>
  <c r="AG245" i="13"/>
  <c r="Z282" i="13"/>
  <c r="Y282" i="13" s="1"/>
  <c r="Z98" i="13"/>
  <c r="Y98" i="13" s="1"/>
  <c r="AG195" i="13"/>
  <c r="Z145" i="13"/>
  <c r="Y145" i="13" s="1"/>
  <c r="AG158" i="13"/>
  <c r="Z85" i="13"/>
  <c r="Y85" i="13" s="1"/>
  <c r="Z149" i="13"/>
  <c r="Y149" i="13" s="1"/>
  <c r="Z476" i="13"/>
  <c r="Y476" i="13" s="1"/>
  <c r="Z412" i="13"/>
  <c r="Y412" i="13" s="1"/>
  <c r="AG20" i="13"/>
  <c r="Z113" i="13"/>
  <c r="Y113" i="13" s="1"/>
  <c r="AG135" i="13"/>
  <c r="Z208" i="13"/>
  <c r="Y208" i="13" s="1"/>
  <c r="AG368" i="13"/>
  <c r="AG490" i="13"/>
  <c r="Z188" i="13"/>
  <c r="Y188" i="13" s="1"/>
  <c r="Z338" i="13"/>
  <c r="Y338" i="13" s="1"/>
  <c r="AG379" i="13"/>
  <c r="AG442" i="13"/>
  <c r="Z285" i="13"/>
  <c r="Y285" i="13" s="1"/>
  <c r="Z118" i="13"/>
  <c r="Y118" i="13" s="1"/>
  <c r="Z238" i="13"/>
  <c r="Y238" i="13" s="1"/>
  <c r="AG264" i="13"/>
  <c r="Z312" i="13"/>
  <c r="Y312" i="13" s="1"/>
  <c r="Z77" i="13"/>
  <c r="Y77" i="13" s="1"/>
  <c r="AG122" i="13"/>
  <c r="AG159" i="13"/>
  <c r="AG243" i="13"/>
  <c r="Z324" i="13"/>
  <c r="Y324" i="13" s="1"/>
  <c r="Z24" i="13"/>
  <c r="Y24" i="13" s="1"/>
  <c r="AG24" i="13"/>
  <c r="Z87" i="13"/>
  <c r="Y87" i="13" s="1"/>
  <c r="AG250" i="13"/>
  <c r="Z250" i="13"/>
  <c r="Y250" i="13" s="1"/>
  <c r="AG277" i="13"/>
  <c r="Z277" i="13"/>
  <c r="Y277" i="13" s="1"/>
  <c r="Z262" i="13"/>
  <c r="Y262" i="13" s="1"/>
  <c r="AG262" i="13"/>
  <c r="Z445" i="13"/>
  <c r="Y445" i="13" s="1"/>
  <c r="AG445" i="13"/>
  <c r="AG14" i="13"/>
  <c r="Z14" i="13"/>
  <c r="Y14" i="13" s="1"/>
  <c r="AG70" i="13"/>
  <c r="Z70" i="13"/>
  <c r="Y70" i="13" s="1"/>
  <c r="Z102" i="13"/>
  <c r="Y102" i="13" s="1"/>
  <c r="AG479" i="13"/>
  <c r="Z479" i="13"/>
  <c r="Y479" i="13" s="1"/>
  <c r="AG92" i="13"/>
  <c r="Z92" i="13"/>
  <c r="Y92" i="13" s="1"/>
  <c r="Y134" i="13"/>
  <c r="Z217" i="13"/>
  <c r="Y217" i="13" s="1"/>
  <c r="AG217" i="13"/>
  <c r="AG234" i="13"/>
  <c r="Z234" i="13"/>
  <c r="Y234" i="13" s="1"/>
  <c r="AG257" i="13"/>
  <c r="Z257" i="13"/>
  <c r="Y257" i="13" s="1"/>
  <c r="Z484" i="13"/>
  <c r="Y484" i="13" s="1"/>
  <c r="AG484" i="13"/>
  <c r="Z26" i="13"/>
  <c r="Y26" i="13" s="1"/>
  <c r="AG26" i="13"/>
  <c r="AG103" i="13"/>
  <c r="Z103" i="13"/>
  <c r="Y103" i="13" s="1"/>
  <c r="Z15" i="13"/>
  <c r="Y15" i="13" s="1"/>
  <c r="AG15" i="13"/>
  <c r="Z191" i="13"/>
  <c r="Y191" i="13" s="1"/>
  <c r="AG191" i="13"/>
  <c r="AG211" i="13"/>
  <c r="Z211" i="13"/>
  <c r="Y211" i="13" s="1"/>
  <c r="Z300" i="13"/>
  <c r="Y300" i="13" s="1"/>
  <c r="AG300" i="13"/>
  <c r="Z215" i="13"/>
  <c r="Y215" i="13" s="1"/>
  <c r="AG215" i="13"/>
  <c r="Z284" i="13"/>
  <c r="Y284" i="13" s="1"/>
  <c r="AG284" i="13"/>
  <c r="AG108" i="13"/>
  <c r="Z108" i="13"/>
  <c r="Y108" i="13" s="1"/>
  <c r="Z19" i="13"/>
  <c r="Y19" i="13" s="1"/>
  <c r="Z269" i="13"/>
  <c r="Y269" i="13" s="1"/>
  <c r="AG269" i="13"/>
  <c r="AG219" i="13"/>
  <c r="Z219" i="13"/>
  <c r="Y219" i="13" s="1"/>
  <c r="Z295" i="13"/>
  <c r="Y295" i="13" s="1"/>
  <c r="AG295" i="13"/>
  <c r="Z352" i="13"/>
  <c r="Y352" i="13" s="1"/>
  <c r="AG352" i="13"/>
  <c r="AG363" i="13"/>
  <c r="Z363" i="13"/>
  <c r="Y363" i="13" s="1"/>
  <c r="AG22" i="13"/>
  <c r="Z22" i="13"/>
  <c r="Y22" i="13" s="1"/>
  <c r="Z49" i="13"/>
  <c r="Y49" i="13" s="1"/>
  <c r="AG49" i="13"/>
  <c r="Z307" i="13"/>
  <c r="Y307" i="13" s="1"/>
  <c r="AG307" i="13"/>
  <c r="AG54" i="13"/>
  <c r="AG65" i="13"/>
  <c r="Z65" i="13"/>
  <c r="Y65" i="13" s="1"/>
  <c r="Z10" i="13"/>
  <c r="AG10" i="13"/>
  <c r="AG221" i="13"/>
  <c r="Z221" i="13"/>
  <c r="AG460" i="13"/>
  <c r="Z460" i="13"/>
  <c r="Y460" i="13" s="1"/>
  <c r="AG86" i="13"/>
  <c r="Z86" i="13"/>
  <c r="Y86" i="13" s="1"/>
  <c r="AG16" i="13"/>
  <c r="Z16" i="13"/>
  <c r="Y16" i="13" s="1"/>
  <c r="AG346" i="13"/>
  <c r="Z346" i="13"/>
  <c r="Y346" i="13" s="1"/>
  <c r="AG11" i="13"/>
  <c r="Z11" i="13"/>
  <c r="Y11" i="13" s="1"/>
  <c r="AG192" i="13"/>
  <c r="Z192" i="13"/>
  <c r="Y192" i="13" s="1"/>
  <c r="Z236" i="13"/>
  <c r="Y236" i="13" s="1"/>
  <c r="AG236" i="13"/>
  <c r="Z213" i="13"/>
  <c r="Y213" i="13" s="1"/>
  <c r="AG213" i="13"/>
  <c r="AG35" i="13"/>
  <c r="Z35" i="13"/>
  <c r="Y35" i="13" s="1"/>
  <c r="AG364" i="13"/>
  <c r="Z364" i="13"/>
  <c r="Y364" i="13" s="1"/>
  <c r="Z223" i="13"/>
  <c r="Y223" i="13" s="1"/>
  <c r="AG223" i="13"/>
  <c r="AG331" i="13"/>
  <c r="Z331" i="13"/>
  <c r="Y331" i="13" s="1"/>
  <c r="AG171" i="13"/>
  <c r="Z171" i="13"/>
  <c r="Y171" i="13" s="1"/>
  <c r="Z27" i="13"/>
  <c r="Y27" i="13" s="1"/>
  <c r="AG27" i="13"/>
  <c r="Y378" i="13"/>
  <c r="Z377" i="13"/>
  <c r="X377" i="13" s="1"/>
  <c r="AG377" i="13" s="1"/>
  <c r="Z411" i="13"/>
  <c r="Y411" i="13" s="1"/>
  <c r="AG411" i="13"/>
  <c r="V9" i="13"/>
  <c r="AG497" i="13"/>
  <c r="Z497" i="13"/>
  <c r="AG183" i="13"/>
  <c r="Z183" i="13"/>
  <c r="Y183" i="13" s="1"/>
  <c r="AG259" i="13"/>
  <c r="Z259" i="13"/>
  <c r="Y259" i="13" s="1"/>
  <c r="V237" i="13"/>
  <c r="AG275" i="13"/>
  <c r="Z275" i="13"/>
  <c r="Y275" i="13" s="1"/>
  <c r="V327" i="13"/>
  <c r="AG343" i="13"/>
  <c r="Z343" i="13"/>
  <c r="Y343" i="13" s="1"/>
  <c r="AG174" i="13"/>
  <c r="Z174" i="13"/>
  <c r="Y174" i="13" s="1"/>
  <c r="AG179" i="13"/>
  <c r="Z179" i="13"/>
  <c r="Y179" i="13" s="1"/>
  <c r="AG232" i="13"/>
  <c r="Z232" i="13"/>
  <c r="Y232" i="13" s="1"/>
  <c r="AG271" i="13"/>
  <c r="Z271" i="13"/>
  <c r="Y271" i="13" s="1"/>
  <c r="Z353" i="13"/>
  <c r="Y353" i="13" s="1"/>
  <c r="AG353" i="13"/>
  <c r="AG433" i="13"/>
  <c r="Z433" i="13"/>
  <c r="Y433" i="13" s="1"/>
  <c r="AG189" i="13"/>
  <c r="Z189" i="13"/>
  <c r="Y189" i="13" s="1"/>
  <c r="AG45" i="13"/>
  <c r="Z45" i="13"/>
  <c r="Y45" i="13" s="1"/>
  <c r="AG137" i="13"/>
  <c r="AG313" i="13"/>
  <c r="Z313" i="13"/>
  <c r="Y313" i="13" s="1"/>
  <c r="AG360" i="13"/>
  <c r="Z360" i="13"/>
  <c r="Y360" i="13" s="1"/>
  <c r="Z120" i="13"/>
  <c r="Y120" i="13" s="1"/>
  <c r="Z317" i="13"/>
  <c r="Y317" i="13" s="1"/>
  <c r="Z326" i="13"/>
  <c r="Y326" i="13" s="1"/>
  <c r="AG326" i="13"/>
  <c r="AG347" i="13"/>
  <c r="Z347" i="13"/>
  <c r="Y347" i="13" s="1"/>
  <c r="AG461" i="13"/>
  <c r="Z461" i="13"/>
  <c r="Y461" i="13" s="1"/>
  <c r="Z207" i="13"/>
  <c r="Y207" i="13" s="1"/>
  <c r="AG207" i="13"/>
  <c r="Z131" i="13"/>
  <c r="Y131" i="13" s="1"/>
  <c r="AD131" i="13"/>
  <c r="Z267" i="13"/>
  <c r="Y267" i="13" s="1"/>
  <c r="AG287" i="13"/>
  <c r="AD120" i="13"/>
  <c r="Z225" i="13"/>
  <c r="Y225" i="13" s="1"/>
  <c r="AG142" i="13"/>
  <c r="Z168" i="13"/>
  <c r="Y168" i="13" s="1"/>
  <c r="Z318" i="13"/>
  <c r="Y318" i="13" s="1"/>
  <c r="AG378" i="13"/>
  <c r="AG382" i="13"/>
  <c r="Z416" i="13"/>
  <c r="Y416" i="13" s="1"/>
  <c r="AG429" i="13"/>
  <c r="AG457" i="13"/>
  <c r="Z457" i="13"/>
  <c r="Y457" i="13" s="1"/>
  <c r="AG467" i="13"/>
  <c r="Z467" i="13"/>
  <c r="Y467" i="13" s="1"/>
  <c r="AG499" i="13"/>
  <c r="AG304" i="13"/>
  <c r="Z304" i="13"/>
  <c r="Y304" i="13" s="1"/>
  <c r="Z428" i="13"/>
  <c r="Y428" i="13" s="1"/>
  <c r="AG428" i="13"/>
  <c r="Z44" i="13"/>
  <c r="Y44" i="13" s="1"/>
  <c r="Z146" i="13"/>
  <c r="Y146" i="13" s="1"/>
  <c r="AD146" i="13"/>
  <c r="Z420" i="13"/>
  <c r="Y420" i="13" s="1"/>
  <c r="AG420" i="13"/>
  <c r="Z481" i="13"/>
  <c r="Y481" i="13" s="1"/>
  <c r="AG481" i="13"/>
  <c r="Z28" i="13"/>
  <c r="Y28" i="13" s="1"/>
  <c r="AG41" i="13"/>
  <c r="Z95" i="13"/>
  <c r="Y95" i="13" s="1"/>
  <c r="AG291" i="13"/>
  <c r="Z296" i="13"/>
  <c r="Y296" i="13" s="1"/>
  <c r="AG309" i="13"/>
  <c r="AD84" i="13"/>
  <c r="AG12" i="13"/>
  <c r="Z33" i="13"/>
  <c r="Y33" i="13" s="1"/>
  <c r="Z41" i="13"/>
  <c r="Y41" i="13" s="1"/>
  <c r="Z139" i="13"/>
  <c r="Y139" i="13" s="1"/>
  <c r="Z172" i="13"/>
  <c r="Y172" i="13" s="1"/>
  <c r="Z199" i="13"/>
  <c r="Y199" i="13" s="1"/>
  <c r="AG216" i="13"/>
  <c r="Z255" i="13"/>
  <c r="Y255" i="13" s="1"/>
  <c r="AG340" i="13"/>
  <c r="Z340" i="13"/>
  <c r="Y340" i="13" s="1"/>
  <c r="AG448" i="13"/>
  <c r="Z448" i="13"/>
  <c r="AG477" i="13"/>
  <c r="Z477" i="13"/>
  <c r="Y477" i="13" s="1"/>
  <c r="AG32" i="13"/>
  <c r="Z32" i="13"/>
  <c r="Y32" i="13" s="1"/>
  <c r="AD123" i="13"/>
  <c r="AD157" i="13"/>
  <c r="Z157" i="13"/>
  <c r="Y157" i="13" s="1"/>
  <c r="AG203" i="13"/>
  <c r="Z203" i="13"/>
  <c r="Z283" i="13"/>
  <c r="Y283" i="13" s="1"/>
  <c r="Z356" i="13"/>
  <c r="Y356" i="13" s="1"/>
  <c r="V202" i="13"/>
  <c r="Z242" i="13"/>
  <c r="Y242" i="13" s="1"/>
  <c r="AD52" i="13"/>
  <c r="Z52" i="13"/>
  <c r="Y52" i="13" s="1"/>
  <c r="Z81" i="13"/>
  <c r="Y81" i="13" s="1"/>
  <c r="AD81" i="13"/>
  <c r="Z96" i="13"/>
  <c r="Y96" i="13" s="1"/>
  <c r="Z114" i="13"/>
  <c r="Y114" i="13" s="1"/>
  <c r="Z117" i="13"/>
  <c r="Y117" i="13" s="1"/>
  <c r="Z161" i="13"/>
  <c r="Y161" i="13" s="1"/>
  <c r="Z176" i="13"/>
  <c r="Y176" i="13" s="1"/>
  <c r="AD176" i="13"/>
  <c r="AG301" i="13"/>
  <c r="AG335" i="13"/>
  <c r="Z383" i="13"/>
  <c r="Y383" i="13" s="1"/>
  <c r="AG383" i="13"/>
  <c r="AG387" i="13"/>
  <c r="AG434" i="13"/>
  <c r="AG443" i="13"/>
  <c r="Z443" i="13"/>
  <c r="Y443" i="13" s="1"/>
  <c r="AG424" i="13"/>
  <c r="Z424" i="13"/>
  <c r="Y424" i="13" s="1"/>
  <c r="Z37" i="13"/>
  <c r="Y37" i="13" s="1"/>
  <c r="AG29" i="13"/>
  <c r="AD128" i="13"/>
  <c r="Z128" i="13"/>
  <c r="Y128" i="13" s="1"/>
  <c r="Z212" i="13"/>
  <c r="Y212" i="13" s="1"/>
  <c r="AG212" i="13"/>
  <c r="V220" i="13"/>
  <c r="Z230" i="13"/>
  <c r="Y230" i="13" s="1"/>
  <c r="AG288" i="13"/>
  <c r="AG297" i="13"/>
  <c r="Z297" i="13"/>
  <c r="Y297" i="13" s="1"/>
  <c r="AG305" i="13"/>
  <c r="AG319" i="13"/>
  <c r="Z319" i="13"/>
  <c r="Y319" i="13" s="1"/>
  <c r="Z328" i="13"/>
  <c r="AG357" i="13"/>
  <c r="V407" i="13"/>
  <c r="AG430" i="13"/>
  <c r="Z430" i="13"/>
  <c r="Y430" i="13" s="1"/>
  <c r="AD58" i="13"/>
  <c r="Z58" i="13"/>
  <c r="Y58" i="13" s="1"/>
  <c r="AD136" i="13"/>
  <c r="V133" i="13" s="1"/>
  <c r="Z136" i="13"/>
  <c r="Y136" i="13" s="1"/>
  <c r="Z151" i="13"/>
  <c r="Y151" i="13" s="1"/>
  <c r="AD151" i="13"/>
  <c r="AD165" i="13"/>
  <c r="Z165" i="13"/>
  <c r="Y165" i="13" s="1"/>
  <c r="Z362" i="13"/>
  <c r="Y362" i="13" s="1"/>
  <c r="AG362" i="13"/>
  <c r="AG388" i="13"/>
  <c r="Z388" i="13"/>
  <c r="Y388" i="13" s="1"/>
  <c r="AG246" i="13"/>
  <c r="Z246" i="13"/>
  <c r="Y246" i="13" s="1"/>
  <c r="AG23" i="13"/>
  <c r="AG13" i="13"/>
  <c r="Z13" i="13"/>
  <c r="Y13" i="13" s="1"/>
  <c r="Z17" i="13"/>
  <c r="Y17" i="13" s="1"/>
  <c r="AG17" i="13"/>
  <c r="AD111" i="13"/>
  <c r="AG132" i="13"/>
  <c r="AD181" i="13"/>
  <c r="Z181" i="13"/>
  <c r="Y181" i="13" s="1"/>
  <c r="AD185" i="13"/>
  <c r="Z185" i="13"/>
  <c r="Y185" i="13" s="1"/>
  <c r="AG239" i="13"/>
  <c r="Z239" i="13"/>
  <c r="Z302" i="13"/>
  <c r="Y302" i="13" s="1"/>
  <c r="Z435" i="13"/>
  <c r="Y435" i="13" s="1"/>
  <c r="AG435" i="13"/>
  <c r="AG463" i="13"/>
  <c r="Z463" i="13"/>
  <c r="Y463" i="13" s="1"/>
  <c r="AG473" i="13"/>
  <c r="Z473" i="13"/>
  <c r="Z46" i="13"/>
  <c r="Y46" i="13" s="1"/>
  <c r="AD67" i="13"/>
  <c r="AD78" i="13"/>
  <c r="Z78" i="13"/>
  <c r="Y78" i="13" s="1"/>
  <c r="AD108" i="13"/>
  <c r="AD114" i="13"/>
  <c r="Z121" i="13"/>
  <c r="Y121" i="13" s="1"/>
  <c r="AD189" i="13"/>
  <c r="AD196" i="13"/>
  <c r="Z196" i="13"/>
  <c r="Y196" i="13" s="1"/>
  <c r="Z260" i="13"/>
  <c r="Y260" i="13" s="1"/>
  <c r="Z306" i="13"/>
  <c r="Y306" i="13" s="1"/>
  <c r="Z358" i="13"/>
  <c r="Y358" i="13" s="1"/>
  <c r="AG358" i="13"/>
  <c r="Z468" i="13"/>
  <c r="Y468" i="13" s="1"/>
  <c r="AG468" i="13"/>
  <c r="AG498" i="13"/>
  <c r="AG293" i="13"/>
  <c r="Z293" i="13"/>
  <c r="Y293" i="13" s="1"/>
  <c r="AG409" i="13"/>
  <c r="Z409" i="13"/>
  <c r="AG454" i="13"/>
  <c r="Z454" i="13"/>
  <c r="Y454" i="13" s="1"/>
  <c r="Z111" i="13"/>
  <c r="Y111" i="13" s="1"/>
  <c r="AD125" i="13"/>
  <c r="Z125" i="13"/>
  <c r="Y125" i="13" s="1"/>
  <c r="Z162" i="13"/>
  <c r="Y162" i="13" s="1"/>
  <c r="Z371" i="13"/>
  <c r="Z426" i="13"/>
  <c r="Y426" i="13" s="1"/>
  <c r="AG426" i="13"/>
  <c r="AD91" i="13"/>
  <c r="Z91" i="13"/>
  <c r="Y91" i="13" s="1"/>
  <c r="AD75" i="13"/>
  <c r="Z75" i="13"/>
  <c r="Y75" i="13" s="1"/>
  <c r="Z155" i="13"/>
  <c r="Y155" i="13" s="1"/>
  <c r="Z227" i="13"/>
  <c r="Y227" i="13" s="1"/>
  <c r="Z329" i="13"/>
  <c r="Y329" i="13" s="1"/>
  <c r="AG422" i="13"/>
  <c r="Z422" i="13"/>
  <c r="Y422" i="13" s="1"/>
  <c r="Z449" i="13"/>
  <c r="Y449" i="13" s="1"/>
  <c r="Z487" i="13"/>
  <c r="Y487" i="13" s="1"/>
  <c r="AG487" i="13"/>
  <c r="AG42" i="13"/>
  <c r="Z42" i="13"/>
  <c r="Y42" i="13" s="1"/>
  <c r="AD201" i="13"/>
  <c r="Z201" i="13"/>
  <c r="Y201" i="13" s="1"/>
  <c r="AG252" i="13"/>
  <c r="Z418" i="13"/>
  <c r="Y418" i="13" s="1"/>
  <c r="AD193" i="13"/>
  <c r="Z193" i="13"/>
  <c r="Y193" i="13" s="1"/>
  <c r="AG205" i="13"/>
  <c r="Z235" i="13"/>
  <c r="Y235" i="13" s="1"/>
  <c r="Z265" i="13"/>
  <c r="Y265" i="13" s="1"/>
  <c r="AG354" i="13"/>
  <c r="Z354" i="13"/>
  <c r="Y354" i="13" s="1"/>
  <c r="AD198" i="13"/>
  <c r="Z198" i="13"/>
  <c r="Y198" i="13" s="1"/>
  <c r="Z69" i="13"/>
  <c r="Y69" i="13" s="1"/>
  <c r="AD69" i="13"/>
  <c r="Z322" i="13"/>
  <c r="Y322" i="13" s="1"/>
  <c r="Z21" i="13"/>
  <c r="Y21" i="13" s="1"/>
  <c r="AG21" i="13"/>
  <c r="Z159" i="13"/>
  <c r="Y159" i="13" s="1"/>
  <c r="AD159" i="13"/>
  <c r="Z432" i="13"/>
  <c r="Y432" i="13" s="1"/>
  <c r="AG432" i="13"/>
  <c r="Z455" i="13"/>
  <c r="Y455" i="13" s="1"/>
  <c r="Z53" i="13"/>
  <c r="Y53" i="13" s="1"/>
  <c r="Z166" i="13"/>
  <c r="Y166" i="13" s="1"/>
  <c r="AD144" i="13"/>
  <c r="AD64" i="13"/>
  <c r="Z140" i="13"/>
  <c r="Y140" i="13" s="1"/>
  <c r="AD68" i="13"/>
  <c r="Z115" i="13"/>
  <c r="Y115" i="13" s="1"/>
  <c r="Z152" i="13"/>
  <c r="Y152" i="13" s="1"/>
  <c r="Y178" i="13"/>
  <c r="AG244" i="13"/>
  <c r="Z316" i="13"/>
  <c r="Y316" i="13" s="1"/>
  <c r="AG337" i="13"/>
  <c r="Z376" i="13"/>
  <c r="Y376" i="13" s="1"/>
  <c r="Z385" i="13"/>
  <c r="Y385" i="13" s="1"/>
  <c r="AG414" i="13"/>
  <c r="AD55" i="13"/>
  <c r="Z55" i="13"/>
  <c r="Y55" i="13" s="1"/>
  <c r="Z89" i="13"/>
  <c r="Y89" i="13" s="1"/>
  <c r="AD50" i="13"/>
  <c r="Z50" i="13"/>
  <c r="Y50" i="13" s="1"/>
  <c r="AG31" i="13"/>
  <c r="AD61" i="13"/>
  <c r="Z61" i="13"/>
  <c r="Y61" i="13" s="1"/>
  <c r="AG68" i="13"/>
  <c r="AD83" i="13"/>
  <c r="Z83" i="13"/>
  <c r="Y83" i="13" s="1"/>
  <c r="AD155" i="13"/>
  <c r="Z182" i="13"/>
  <c r="Y182" i="13" s="1"/>
  <c r="Z186" i="13"/>
  <c r="Y186" i="13" s="1"/>
  <c r="AG286" i="13"/>
  <c r="Z286" i="13"/>
  <c r="Y286" i="13" s="1"/>
  <c r="Z299" i="13"/>
  <c r="Y299" i="13" s="1"/>
  <c r="Z350" i="13"/>
  <c r="Y350" i="13" s="1"/>
  <c r="AG372" i="13"/>
  <c r="Z372" i="13"/>
  <c r="Y372" i="13" s="1"/>
  <c r="Z475" i="13"/>
  <c r="Y475" i="13" s="1"/>
  <c r="AG475" i="13"/>
  <c r="AD99" i="13"/>
  <c r="Z99" i="13"/>
  <c r="Y99" i="13" s="1"/>
  <c r="AG248" i="13"/>
  <c r="AG30" i="13"/>
  <c r="Z43" i="13"/>
  <c r="Y43" i="13" s="1"/>
  <c r="Z105" i="13"/>
  <c r="Y105" i="13" s="1"/>
  <c r="Z31" i="13"/>
  <c r="Y31" i="13" s="1"/>
  <c r="AG119" i="13"/>
  <c r="AD141" i="13"/>
  <c r="Z141" i="13"/>
  <c r="Y141" i="13" s="1"/>
  <c r="AG214" i="13"/>
  <c r="Z214" i="13"/>
  <c r="Y214" i="13" s="1"/>
  <c r="Z253" i="13"/>
  <c r="Y253" i="13" s="1"/>
  <c r="AG410" i="13"/>
  <c r="AG427" i="13"/>
  <c r="AG450" i="13"/>
  <c r="Z450" i="13"/>
  <c r="Y450" i="13" s="1"/>
  <c r="Z62" i="13"/>
  <c r="Y62" i="13" s="1"/>
  <c r="Z67" i="13"/>
  <c r="Y67" i="13" s="1"/>
  <c r="Z82" i="13"/>
  <c r="Y82" i="13" s="1"/>
  <c r="AD53" i="13"/>
  <c r="AG241" i="13"/>
  <c r="Z40" i="13"/>
  <c r="Z68" i="13"/>
  <c r="Y68" i="13" s="1"/>
  <c r="AG83" i="13"/>
  <c r="AG90" i="13"/>
  <c r="AD94" i="13"/>
  <c r="Z94" i="13"/>
  <c r="Y94" i="13" s="1"/>
  <c r="Z160" i="13"/>
  <c r="Y160" i="13" s="1"/>
  <c r="Z163" i="13"/>
  <c r="Y163" i="13" s="1"/>
  <c r="AD171" i="13"/>
  <c r="AD178" i="13"/>
  <c r="Z194" i="13"/>
  <c r="Y194" i="13" s="1"/>
  <c r="AG224" i="13"/>
  <c r="AG266" i="13"/>
  <c r="AG308" i="13"/>
  <c r="Z308" i="13"/>
  <c r="Y308" i="13" s="1"/>
  <c r="AG321" i="13"/>
  <c r="Z438" i="13"/>
  <c r="Y438" i="13" s="1"/>
  <c r="AG438" i="13"/>
  <c r="Z127" i="13"/>
  <c r="Y127" i="13" s="1"/>
  <c r="Z270" i="13"/>
  <c r="Y270" i="13" s="1"/>
  <c r="AG270" i="13"/>
  <c r="AD41" i="13"/>
  <c r="AD74" i="13"/>
  <c r="AD90" i="13"/>
  <c r="AD140" i="13"/>
  <c r="AD65" i="13"/>
  <c r="Z71" i="13"/>
  <c r="Y71" i="13" s="1"/>
  <c r="AD71" i="13"/>
  <c r="AD112" i="13"/>
  <c r="AG130" i="13"/>
  <c r="AD192" i="13"/>
  <c r="V377" i="13"/>
  <c r="AH47" i="13"/>
  <c r="W47" i="13" s="1"/>
  <c r="X47" i="13" s="1"/>
  <c r="Z116" i="13"/>
  <c r="Y116" i="13" s="1"/>
  <c r="Z119" i="13"/>
  <c r="Y119" i="13" s="1"/>
  <c r="AD119" i="13"/>
  <c r="V472" i="13"/>
  <c r="AG485" i="13"/>
  <c r="Z485" i="13"/>
  <c r="Y485" i="13" s="1"/>
  <c r="AD45" i="13"/>
  <c r="V38" i="13" s="1"/>
  <c r="AD107" i="13"/>
  <c r="Z110" i="13"/>
  <c r="Y110" i="13" s="1"/>
  <c r="AG154" i="13"/>
  <c r="AG315" i="13"/>
  <c r="Z351" i="13"/>
  <c r="Y351" i="13" s="1"/>
  <c r="Z413" i="13"/>
  <c r="Y413" i="13" s="1"/>
  <c r="Z465" i="13"/>
  <c r="Y465" i="13" s="1"/>
  <c r="AD48" i="13"/>
  <c r="AD104" i="13"/>
  <c r="AD170" i="13"/>
  <c r="AG272" i="13"/>
  <c r="AG436" i="13"/>
  <c r="Z436" i="13"/>
  <c r="Y436" i="13" s="1"/>
  <c r="AD161" i="13"/>
  <c r="AG180" i="13"/>
  <c r="Z200" i="13"/>
  <c r="Y200" i="13" s="1"/>
  <c r="AG247" i="13"/>
  <c r="AG323" i="13"/>
  <c r="AG359" i="13"/>
  <c r="Z384" i="13"/>
  <c r="Y384" i="13" s="1"/>
  <c r="AG384" i="13"/>
  <c r="Z417" i="13"/>
  <c r="Y417" i="13" s="1"/>
  <c r="AG417" i="13"/>
  <c r="V447" i="13"/>
  <c r="Y452" i="13"/>
  <c r="Z355" i="13"/>
  <c r="Y355" i="13" s="1"/>
  <c r="AG355" i="13"/>
  <c r="Z66" i="13"/>
  <c r="Y66" i="13" s="1"/>
  <c r="AD82" i="13"/>
  <c r="AG101" i="13"/>
  <c r="AG218" i="13"/>
  <c r="AG254" i="13"/>
  <c r="Z272" i="13"/>
  <c r="Y272" i="13" s="1"/>
  <c r="Z323" i="13"/>
  <c r="Y323" i="13" s="1"/>
  <c r="Z51" i="13"/>
  <c r="Y51" i="13" s="1"/>
  <c r="Z104" i="13"/>
  <c r="Y104" i="13" s="1"/>
  <c r="Z184" i="13"/>
  <c r="Y184" i="13" s="1"/>
  <c r="AD197" i="13"/>
  <c r="Z197" i="13"/>
  <c r="Y197" i="13" s="1"/>
  <c r="Z218" i="13"/>
  <c r="Y218" i="13" s="1"/>
  <c r="Z247" i="13"/>
  <c r="Y247" i="13" s="1"/>
  <c r="Z359" i="13"/>
  <c r="Y359" i="13" s="1"/>
  <c r="V369" i="13"/>
  <c r="AG466" i="13"/>
  <c r="Z474" i="13"/>
  <c r="Y474" i="13" s="1"/>
  <c r="Z478" i="13"/>
  <c r="Y478" i="13" s="1"/>
  <c r="AG478" i="13"/>
  <c r="AG150" i="13"/>
  <c r="Z153" i="13"/>
  <c r="Y153" i="13" s="1"/>
  <c r="AD156" i="13"/>
  <c r="AG279" i="13"/>
  <c r="Z73" i="13"/>
  <c r="Y73" i="13" s="1"/>
  <c r="AG88" i="13"/>
  <c r="Z97" i="13"/>
  <c r="Y97" i="13" s="1"/>
  <c r="Z106" i="13"/>
  <c r="Y106" i="13" s="1"/>
  <c r="AG156" i="13"/>
  <c r="Z169" i="13"/>
  <c r="Y169" i="13" s="1"/>
  <c r="Z143" i="13"/>
  <c r="Y143" i="13" s="1"/>
  <c r="AD143" i="13"/>
  <c r="AG483" i="13"/>
  <c r="AD132" i="13"/>
  <c r="AH16" i="11"/>
  <c r="AH15" i="11"/>
  <c r="AH64" i="11"/>
  <c r="AH162" i="11"/>
  <c r="AH152" i="11"/>
  <c r="AH216" i="11"/>
  <c r="AH217" i="11"/>
  <c r="AH215" i="11"/>
  <c r="AH214" i="11"/>
  <c r="AH213" i="11"/>
  <c r="AH212" i="11"/>
  <c r="AH41" i="11"/>
  <c r="AH47" i="11"/>
  <c r="AH46" i="11"/>
  <c r="AH43" i="11"/>
  <c r="AH45" i="11"/>
  <c r="X31" i="11"/>
  <c r="AH31" i="11"/>
  <c r="AH56" i="11"/>
  <c r="AH93" i="11"/>
  <c r="AH127" i="11"/>
  <c r="AH118" i="11"/>
  <c r="AH117" i="11"/>
  <c r="AH116" i="11"/>
  <c r="AH346" i="11"/>
  <c r="AH467" i="11"/>
  <c r="AH234" i="11"/>
  <c r="AH233" i="11"/>
  <c r="AH230" i="11"/>
  <c r="AH229" i="11"/>
  <c r="AH227" i="11"/>
  <c r="AH228" i="11" s="1"/>
  <c r="AH358" i="11"/>
  <c r="AH364" i="11"/>
  <c r="AH360" i="11"/>
  <c r="AH363" i="11"/>
  <c r="AH60" i="11"/>
  <c r="AH50" i="11"/>
  <c r="Y377" i="13" l="1"/>
  <c r="W377" i="13" s="1"/>
  <c r="Y493" i="13"/>
  <c r="Y492" i="13" s="1"/>
  <c r="W492" i="13" s="1"/>
  <c r="Z492" i="13"/>
  <c r="X492" i="13" s="1"/>
  <c r="AG492" i="13" s="1"/>
  <c r="Y133" i="13"/>
  <c r="W133" i="13" s="1"/>
  <c r="Z133" i="13"/>
  <c r="X133" i="13" s="1"/>
  <c r="AG133" i="13" s="1"/>
  <c r="Y451" i="13"/>
  <c r="W451" i="13" s="1"/>
  <c r="Z451" i="13"/>
  <c r="X451" i="13" s="1"/>
  <c r="AG451" i="13" s="1"/>
  <c r="Y10" i="13"/>
  <c r="Y9" i="13" s="1"/>
  <c r="Z9" i="13"/>
  <c r="Y203" i="13"/>
  <c r="Y202" i="13" s="1"/>
  <c r="W202" i="13" s="1"/>
  <c r="Z202" i="13"/>
  <c r="X202" i="13" s="1"/>
  <c r="AG202" i="13" s="1"/>
  <c r="Y409" i="13"/>
  <c r="Y407" i="13" s="1"/>
  <c r="W407" i="13" s="1"/>
  <c r="Z407" i="13"/>
  <c r="X407" i="13" s="1"/>
  <c r="AG407" i="13" s="1"/>
  <c r="Z496" i="13"/>
  <c r="X496" i="13" s="1"/>
  <c r="AG496" i="13" s="1"/>
  <c r="Y497" i="13"/>
  <c r="Y496" i="13" s="1"/>
  <c r="W496" i="13" s="1"/>
  <c r="Z472" i="13"/>
  <c r="X472" i="13" s="1"/>
  <c r="AG472" i="13" s="1"/>
  <c r="Y473" i="13"/>
  <c r="Y472" i="13" s="1"/>
  <c r="W472" i="13" s="1"/>
  <c r="Y328" i="13"/>
  <c r="Y327" i="13" s="1"/>
  <c r="W327" i="13" s="1"/>
  <c r="Z327" i="13"/>
  <c r="X327" i="13" s="1"/>
  <c r="AG327" i="13" s="1"/>
  <c r="Y40" i="13"/>
  <c r="Z47" i="13"/>
  <c r="Y47" i="13" s="1"/>
  <c r="AG47" i="13"/>
  <c r="Z447" i="13"/>
  <c r="X447" i="13" s="1"/>
  <c r="AG447" i="13" s="1"/>
  <c r="Y448" i="13"/>
  <c r="Y447" i="13" s="1"/>
  <c r="W447" i="13" s="1"/>
  <c r="Y177" i="13"/>
  <c r="W177" i="13" s="1"/>
  <c r="Y221" i="13"/>
  <c r="Y220" i="13" s="1"/>
  <c r="W220" i="13" s="1"/>
  <c r="Z220" i="13"/>
  <c r="X220" i="13" s="1"/>
  <c r="AG220" i="13" s="1"/>
  <c r="V177" i="13"/>
  <c r="V8" i="13" s="1"/>
  <c r="V7" i="13" s="1"/>
  <c r="AI7" i="13" s="1"/>
  <c r="Z237" i="13"/>
  <c r="X237" i="13" s="1"/>
  <c r="AG237" i="13" s="1"/>
  <c r="Y239" i="13"/>
  <c r="Y237" i="13" s="1"/>
  <c r="W237" i="13" s="1"/>
  <c r="Z177" i="13"/>
  <c r="X177" i="13" s="1"/>
  <c r="AG177" i="13" s="1"/>
  <c r="Y371" i="13"/>
  <c r="Y369" i="13" s="1"/>
  <c r="W369" i="13" s="1"/>
  <c r="Z369" i="13"/>
  <c r="X369" i="13" s="1"/>
  <c r="AG369" i="13" s="1"/>
  <c r="AH49" i="11"/>
  <c r="AI7" i="11"/>
  <c r="AH372" i="11"/>
  <c r="AH357" i="11"/>
  <c r="AH362" i="11"/>
  <c r="AH236" i="11"/>
  <c r="AH19" i="11"/>
  <c r="Z38" i="13" l="1"/>
  <c r="X38" i="13" s="1"/>
  <c r="AG38" i="13" s="1"/>
  <c r="Y38" i="13"/>
  <c r="W38" i="13" s="1"/>
  <c r="X9" i="13"/>
  <c r="W9" i="13"/>
  <c r="AH14" i="11"/>
  <c r="AH493" i="11"/>
  <c r="AH490" i="11"/>
  <c r="AH450" i="11"/>
  <c r="AH458" i="11"/>
  <c r="AH449" i="11"/>
  <c r="AH448" i="11"/>
  <c r="AH383" i="11"/>
  <c r="AH381" i="11"/>
  <c r="AH92" i="11"/>
  <c r="AH44" i="11"/>
  <c r="AH42" i="11"/>
  <c r="AH39" i="11"/>
  <c r="W39" i="11"/>
  <c r="Z8" i="13" l="1"/>
  <c r="Z7" i="13" s="1"/>
  <c r="Y8" i="13"/>
  <c r="AH32" i="11"/>
  <c r="AH20" i="11"/>
  <c r="X8" i="13" l="1"/>
  <c r="Z500" i="13"/>
  <c r="AJ7" i="13"/>
  <c r="AH6" i="13" s="1"/>
  <c r="Z495" i="13"/>
  <c r="X7" i="13"/>
  <c r="W8" i="13"/>
  <c r="AH11" i="11"/>
  <c r="W31" i="11"/>
  <c r="Z506" i="11"/>
  <c r="Y506" i="11"/>
  <c r="W506" i="11"/>
  <c r="Z505" i="11"/>
  <c r="Y505" i="11"/>
  <c r="W505" i="11"/>
  <c r="Z504" i="11"/>
  <c r="Y504" i="11"/>
  <c r="W504" i="11"/>
  <c r="AI503" i="11"/>
  <c r="AG503" i="11"/>
  <c r="Z503" i="11"/>
  <c r="AI502" i="11"/>
  <c r="AG502" i="11" s="1"/>
  <c r="AI501" i="11"/>
  <c r="AG501" i="11"/>
  <c r="AI500" i="11"/>
  <c r="AG500" i="11" s="1"/>
  <c r="AI499" i="11"/>
  <c r="AC499" i="11"/>
  <c r="AD499" i="11" s="1"/>
  <c r="V498" i="11" s="1"/>
  <c r="W499" i="11"/>
  <c r="X499" i="11" s="1"/>
  <c r="Z499" i="11" s="1"/>
  <c r="Z498" i="11" s="1"/>
  <c r="X498" i="11" s="1"/>
  <c r="AG498" i="11" s="1"/>
  <c r="AI498" i="11"/>
  <c r="AC498" i="11"/>
  <c r="Y498" i="11"/>
  <c r="W498" i="11" s="1"/>
  <c r="AI497" i="11"/>
  <c r="AC497" i="11"/>
  <c r="AD497" i="11" s="1"/>
  <c r="V496" i="11" s="1"/>
  <c r="W497" i="11"/>
  <c r="X497" i="11" s="1"/>
  <c r="AI496" i="11"/>
  <c r="AC496" i="11"/>
  <c r="AI495" i="11"/>
  <c r="AC495" i="11"/>
  <c r="AI494" i="11"/>
  <c r="AG494" i="11" s="1"/>
  <c r="AC494" i="11"/>
  <c r="AD494" i="11" s="1"/>
  <c r="Z494" i="11"/>
  <c r="AL494" i="11" s="1"/>
  <c r="Y494" i="11"/>
  <c r="W494" i="11"/>
  <c r="AI493" i="11"/>
  <c r="W493" i="11"/>
  <c r="X493" i="11" s="1"/>
  <c r="AG493" i="11" s="1"/>
  <c r="AD493" i="11"/>
  <c r="AC493" i="11"/>
  <c r="AI492" i="11"/>
  <c r="AC492" i="11"/>
  <c r="V492" i="11"/>
  <c r="AL491" i="11"/>
  <c r="AI491" i="11"/>
  <c r="AG491" i="11" s="1"/>
  <c r="AC491" i="11"/>
  <c r="AD491" i="11" s="1"/>
  <c r="Z491" i="11"/>
  <c r="Y491" i="11"/>
  <c r="W491" i="11"/>
  <c r="AI490" i="11"/>
  <c r="AC490" i="11"/>
  <c r="AD490" i="11" s="1"/>
  <c r="W490" i="11"/>
  <c r="X490" i="11" s="1"/>
  <c r="AI489" i="11"/>
  <c r="AD489" i="11"/>
  <c r="AC489" i="11"/>
  <c r="W489" i="11"/>
  <c r="X489" i="11" s="1"/>
  <c r="AG489" i="11" s="1"/>
  <c r="AI488" i="11"/>
  <c r="AD488" i="11"/>
  <c r="AC488" i="11"/>
  <c r="W488" i="11"/>
  <c r="X488" i="11" s="1"/>
  <c r="AG488" i="11" s="1"/>
  <c r="AI487" i="11"/>
  <c r="AC487" i="11"/>
  <c r="AD487" i="11" s="1"/>
  <c r="W487" i="11"/>
  <c r="X487" i="11" s="1"/>
  <c r="Z487" i="11" s="1"/>
  <c r="Y487" i="11" s="1"/>
  <c r="AI486" i="11"/>
  <c r="AD486" i="11"/>
  <c r="AC486" i="11"/>
  <c r="W486" i="11"/>
  <c r="X486" i="11" s="1"/>
  <c r="AI485" i="11"/>
  <c r="AC485" i="11"/>
  <c r="AD485" i="11" s="1"/>
  <c r="W485" i="11"/>
  <c r="X485" i="11" s="1"/>
  <c r="AG485" i="11" s="1"/>
  <c r="AI484" i="11"/>
  <c r="AC484" i="11"/>
  <c r="AD484" i="11" s="1"/>
  <c r="W484" i="11"/>
  <c r="X484" i="11" s="1"/>
  <c r="Z484" i="11" s="1"/>
  <c r="Y484" i="11" s="1"/>
  <c r="AI483" i="11"/>
  <c r="AC483" i="11"/>
  <c r="AD483" i="11" s="1"/>
  <c r="W483" i="11"/>
  <c r="X483" i="11" s="1"/>
  <c r="AI482" i="11"/>
  <c r="AC482" i="11"/>
  <c r="AD482" i="11" s="1"/>
  <c r="W482" i="11"/>
  <c r="X482" i="11" s="1"/>
  <c r="AI481" i="11"/>
  <c r="AC481" i="11"/>
  <c r="AD481" i="11" s="1"/>
  <c r="W481" i="11"/>
  <c r="X481" i="11" s="1"/>
  <c r="Z481" i="11" s="1"/>
  <c r="Y481" i="11" s="1"/>
  <c r="AI480" i="11"/>
  <c r="AD480" i="11"/>
  <c r="AC480" i="11"/>
  <c r="W480" i="11"/>
  <c r="X480" i="11" s="1"/>
  <c r="AI479" i="11"/>
  <c r="AC479" i="11"/>
  <c r="AD479" i="11" s="1"/>
  <c r="W479" i="11"/>
  <c r="X479" i="11" s="1"/>
  <c r="AG479" i="11" s="1"/>
  <c r="AI478" i="11"/>
  <c r="AC478" i="11"/>
  <c r="AD478" i="11" s="1"/>
  <c r="W478" i="11"/>
  <c r="X478" i="11" s="1"/>
  <c r="AI477" i="11"/>
  <c r="AD477" i="11"/>
  <c r="AC477" i="11"/>
  <c r="W477" i="11"/>
  <c r="X477" i="11" s="1"/>
  <c r="AI476" i="11"/>
  <c r="AC476" i="11"/>
  <c r="AD476" i="11" s="1"/>
  <c r="W476" i="11"/>
  <c r="X476" i="11" s="1"/>
  <c r="AI475" i="11"/>
  <c r="AC475" i="11"/>
  <c r="AD475" i="11" s="1"/>
  <c r="W475" i="11"/>
  <c r="X475" i="11" s="1"/>
  <c r="Z475" i="11" s="1"/>
  <c r="Y475" i="11" s="1"/>
  <c r="AI474" i="11"/>
  <c r="AC474" i="11"/>
  <c r="AD474" i="11" s="1"/>
  <c r="W474" i="11"/>
  <c r="X474" i="11" s="1"/>
  <c r="AI473" i="11"/>
  <c r="AC473" i="11"/>
  <c r="AD473" i="11" s="1"/>
  <c r="W473" i="11"/>
  <c r="X473" i="11" s="1"/>
  <c r="AI472" i="11"/>
  <c r="AC472" i="11"/>
  <c r="AI471" i="11"/>
  <c r="AC471" i="11"/>
  <c r="AD471" i="11" s="1"/>
  <c r="W471" i="11"/>
  <c r="X471" i="11" s="1"/>
  <c r="Z471" i="11" s="1"/>
  <c r="Y471" i="11" s="1"/>
  <c r="AI470" i="11"/>
  <c r="AC470" i="11"/>
  <c r="AD470" i="11" s="1"/>
  <c r="W470" i="11"/>
  <c r="X470" i="11" s="1"/>
  <c r="AI469" i="11"/>
  <c r="AC469" i="11"/>
  <c r="AD469" i="11" s="1"/>
  <c r="W469" i="11"/>
  <c r="X469" i="11" s="1"/>
  <c r="AI468" i="11"/>
  <c r="AC468" i="11"/>
  <c r="AD468" i="11" s="1"/>
  <c r="W468" i="11"/>
  <c r="X468" i="11" s="1"/>
  <c r="AG468" i="11" s="1"/>
  <c r="AI467" i="11"/>
  <c r="AC467" i="11"/>
  <c r="AD467" i="11" s="1"/>
  <c r="W467" i="11"/>
  <c r="X467" i="11" s="1"/>
  <c r="AI466" i="11"/>
  <c r="AH466" i="11"/>
  <c r="AD466" i="11"/>
  <c r="AC466" i="11"/>
  <c r="W466" i="11"/>
  <c r="X466" i="11" s="1"/>
  <c r="AI465" i="11"/>
  <c r="AH465" i="11"/>
  <c r="W465" i="11" s="1"/>
  <c r="X465" i="11" s="1"/>
  <c r="AG465" i="11" s="1"/>
  <c r="AC465" i="11"/>
  <c r="AD465" i="11" s="1"/>
  <c r="Z465" i="11"/>
  <c r="Y465" i="11" s="1"/>
  <c r="AI464" i="11"/>
  <c r="AC464" i="11"/>
  <c r="AD464" i="11" s="1"/>
  <c r="W464" i="11"/>
  <c r="X464" i="11" s="1"/>
  <c r="AI463" i="11"/>
  <c r="AD463" i="11"/>
  <c r="AC463" i="11"/>
  <c r="W463" i="11"/>
  <c r="X463" i="11" s="1"/>
  <c r="Z463" i="11" s="1"/>
  <c r="Y463" i="11" s="1"/>
  <c r="AI462" i="11"/>
  <c r="AD462" i="11"/>
  <c r="AC462" i="11"/>
  <c r="W462" i="11"/>
  <c r="X462" i="11" s="1"/>
  <c r="AI461" i="11"/>
  <c r="AC461" i="11"/>
  <c r="AD461" i="11" s="1"/>
  <c r="W461" i="11"/>
  <c r="X461" i="11" s="1"/>
  <c r="AI460" i="11"/>
  <c r="AD460" i="11"/>
  <c r="AC460" i="11"/>
  <c r="W460" i="11"/>
  <c r="X460" i="11" s="1"/>
  <c r="Z460" i="11" s="1"/>
  <c r="Y460" i="11" s="1"/>
  <c r="AI459" i="11"/>
  <c r="AG459" i="11"/>
  <c r="AD459" i="11"/>
  <c r="V451" i="11" s="1"/>
  <c r="AC459" i="11"/>
  <c r="Z459" i="11"/>
  <c r="Y459" i="11"/>
  <c r="W459" i="11"/>
  <c r="AI458" i="11"/>
  <c r="AC458" i="11"/>
  <c r="AD458" i="11" s="1"/>
  <c r="W458" i="11"/>
  <c r="X458" i="11" s="1"/>
  <c r="AI457" i="11"/>
  <c r="AD457" i="11"/>
  <c r="AC457" i="11"/>
  <c r="W457" i="11"/>
  <c r="X457" i="11" s="1"/>
  <c r="AI456" i="11"/>
  <c r="AD456" i="11"/>
  <c r="AC456" i="11"/>
  <c r="W456" i="11"/>
  <c r="X456" i="11" s="1"/>
  <c r="Z456" i="11" s="1"/>
  <c r="Y456" i="11" s="1"/>
  <c r="AI455" i="11"/>
  <c r="AD455" i="11"/>
  <c r="AC455" i="11"/>
  <c r="W455" i="11"/>
  <c r="X455" i="11" s="1"/>
  <c r="Z455" i="11" s="1"/>
  <c r="Y455" i="11" s="1"/>
  <c r="AI454" i="11"/>
  <c r="AD454" i="11"/>
  <c r="AC454" i="11"/>
  <c r="W454" i="11"/>
  <c r="X454" i="11" s="1"/>
  <c r="AI453" i="11"/>
  <c r="AG453" i="11"/>
  <c r="AC453" i="11"/>
  <c r="AD453" i="11" s="1"/>
  <c r="Z453" i="11"/>
  <c r="Y453" i="11" s="1"/>
  <c r="W453" i="11"/>
  <c r="AI452" i="11"/>
  <c r="AC452" i="11"/>
  <c r="AD452" i="11" s="1"/>
  <c r="W452" i="11"/>
  <c r="X452" i="11" s="1"/>
  <c r="AI451" i="11"/>
  <c r="AC451" i="11"/>
  <c r="AI450" i="11"/>
  <c r="AC450" i="11"/>
  <c r="AD450" i="11" s="1"/>
  <c r="W450" i="11"/>
  <c r="X450" i="11" s="1"/>
  <c r="AI449" i="11"/>
  <c r="AD449" i="11"/>
  <c r="AC449" i="11"/>
  <c r="W449" i="11"/>
  <c r="X449" i="11" s="1"/>
  <c r="AI448" i="11"/>
  <c r="W448" i="11"/>
  <c r="X448" i="11" s="1"/>
  <c r="AD448" i="11"/>
  <c r="AC448" i="11"/>
  <c r="AI447" i="11"/>
  <c r="AC447" i="11"/>
  <c r="AI446" i="11"/>
  <c r="AD446" i="11"/>
  <c r="AC446" i="11"/>
  <c r="W446" i="11"/>
  <c r="X446" i="11" s="1"/>
  <c r="Z446" i="11" s="1"/>
  <c r="Y446" i="11" s="1"/>
  <c r="AI445" i="11"/>
  <c r="AD445" i="11"/>
  <c r="AC445" i="11"/>
  <c r="W445" i="11"/>
  <c r="X445" i="11" s="1"/>
  <c r="AI444" i="11"/>
  <c r="AC444" i="11"/>
  <c r="AD444" i="11" s="1"/>
  <c r="W444" i="11"/>
  <c r="X444" i="11" s="1"/>
  <c r="AI443" i="11"/>
  <c r="AC443" i="11"/>
  <c r="AD443" i="11" s="1"/>
  <c r="W443" i="11"/>
  <c r="X443" i="11" s="1"/>
  <c r="AG443" i="11" s="1"/>
  <c r="AI442" i="11"/>
  <c r="AD442" i="11"/>
  <c r="AC442" i="11"/>
  <c r="W442" i="11"/>
  <c r="X442" i="11" s="1"/>
  <c r="AI441" i="11"/>
  <c r="AC441" i="11"/>
  <c r="AD441" i="11" s="1"/>
  <c r="W441" i="11"/>
  <c r="X441" i="11" s="1"/>
  <c r="AI440" i="11"/>
  <c r="AC440" i="11"/>
  <c r="AD440" i="11" s="1"/>
  <c r="W440" i="11"/>
  <c r="X440" i="11" s="1"/>
  <c r="AI439" i="11"/>
  <c r="AD439" i="11"/>
  <c r="AC439" i="11"/>
  <c r="W439" i="11"/>
  <c r="X439" i="11" s="1"/>
  <c r="AI438" i="11"/>
  <c r="AC438" i="11"/>
  <c r="AD438" i="11" s="1"/>
  <c r="W438" i="11"/>
  <c r="X438" i="11" s="1"/>
  <c r="Z438" i="11" s="1"/>
  <c r="Y438" i="11" s="1"/>
  <c r="AI437" i="11"/>
  <c r="AD437" i="11"/>
  <c r="AC437" i="11"/>
  <c r="W437" i="11"/>
  <c r="X437" i="11" s="1"/>
  <c r="AI436" i="11"/>
  <c r="AD436" i="11"/>
  <c r="AC436" i="11"/>
  <c r="W436" i="11"/>
  <c r="X436" i="11" s="1"/>
  <c r="Z436" i="11" s="1"/>
  <c r="Y436" i="11" s="1"/>
  <c r="AI435" i="11"/>
  <c r="AC435" i="11"/>
  <c r="AD435" i="11" s="1"/>
  <c r="W435" i="11"/>
  <c r="X435" i="11" s="1"/>
  <c r="AG435" i="11" s="1"/>
  <c r="AI434" i="11"/>
  <c r="AC434" i="11"/>
  <c r="AD434" i="11" s="1"/>
  <c r="W434" i="11"/>
  <c r="X434" i="11" s="1"/>
  <c r="AI433" i="11"/>
  <c r="AD433" i="11"/>
  <c r="AC433" i="11"/>
  <c r="W433" i="11"/>
  <c r="X433" i="11" s="1"/>
  <c r="Z433" i="11" s="1"/>
  <c r="Y433" i="11" s="1"/>
  <c r="AI432" i="11"/>
  <c r="AC432" i="11"/>
  <c r="AD432" i="11" s="1"/>
  <c r="W432" i="11"/>
  <c r="X432" i="11" s="1"/>
  <c r="Z432" i="11" s="1"/>
  <c r="Y432" i="11" s="1"/>
  <c r="AI431" i="11"/>
  <c r="AD431" i="11"/>
  <c r="AC431" i="11"/>
  <c r="W431" i="11"/>
  <c r="X431" i="11" s="1"/>
  <c r="AI430" i="11"/>
  <c r="AD430" i="11"/>
  <c r="AC430" i="11"/>
  <c r="W430" i="11"/>
  <c r="X430" i="11" s="1"/>
  <c r="AI429" i="11"/>
  <c r="AC429" i="11"/>
  <c r="AD429" i="11" s="1"/>
  <c r="W429" i="11"/>
  <c r="X429" i="11" s="1"/>
  <c r="AG429" i="11" s="1"/>
  <c r="AI428" i="11"/>
  <c r="AC428" i="11"/>
  <c r="AD428" i="11" s="1"/>
  <c r="W428" i="11"/>
  <c r="X428" i="11" s="1"/>
  <c r="Z428" i="11" s="1"/>
  <c r="Y428" i="11" s="1"/>
  <c r="AI427" i="11"/>
  <c r="AD427" i="11"/>
  <c r="AC427" i="11"/>
  <c r="W427" i="11"/>
  <c r="X427" i="11" s="1"/>
  <c r="AI426" i="11"/>
  <c r="AC426" i="11"/>
  <c r="AD426" i="11" s="1"/>
  <c r="W426" i="11"/>
  <c r="X426" i="11" s="1"/>
  <c r="Z426" i="11" s="1"/>
  <c r="Y426" i="11" s="1"/>
  <c r="AI425" i="11"/>
  <c r="AC425" i="11"/>
  <c r="AD425" i="11" s="1"/>
  <c r="W425" i="11"/>
  <c r="X425" i="11" s="1"/>
  <c r="AI424" i="11"/>
  <c r="AD424" i="11"/>
  <c r="AC424" i="11"/>
  <c r="W424" i="11"/>
  <c r="X424" i="11" s="1"/>
  <c r="AI423" i="11"/>
  <c r="AC423" i="11"/>
  <c r="AD423" i="11" s="1"/>
  <c r="W423" i="11"/>
  <c r="X423" i="11" s="1"/>
  <c r="AI422" i="11"/>
  <c r="AD422" i="11"/>
  <c r="AC422" i="11"/>
  <c r="W422" i="11"/>
  <c r="X422" i="11" s="1"/>
  <c r="AI421" i="11"/>
  <c r="AD421" i="11"/>
  <c r="AC421" i="11"/>
  <c r="W421" i="11"/>
  <c r="X421" i="11" s="1"/>
  <c r="AI420" i="11"/>
  <c r="AD420" i="11"/>
  <c r="AC420" i="11"/>
  <c r="W420" i="11"/>
  <c r="X420" i="11" s="1"/>
  <c r="Z420" i="11" s="1"/>
  <c r="Y420" i="11" s="1"/>
  <c r="AI419" i="11"/>
  <c r="AD419" i="11"/>
  <c r="AC419" i="11"/>
  <c r="W419" i="11"/>
  <c r="X419" i="11" s="1"/>
  <c r="Z419" i="11" s="1"/>
  <c r="Y419" i="11" s="1"/>
  <c r="AI418" i="11"/>
  <c r="AD418" i="11"/>
  <c r="AC418" i="11"/>
  <c r="W418" i="11"/>
  <c r="X418" i="11" s="1"/>
  <c r="AI417" i="11"/>
  <c r="AC417" i="11"/>
  <c r="AD417" i="11" s="1"/>
  <c r="W417" i="11"/>
  <c r="X417" i="11" s="1"/>
  <c r="AG417" i="11" s="1"/>
  <c r="AI416" i="11"/>
  <c r="AD416" i="11"/>
  <c r="AC416" i="11"/>
  <c r="W416" i="11"/>
  <c r="X416" i="11" s="1"/>
  <c r="Z416" i="11" s="1"/>
  <c r="Y416" i="11" s="1"/>
  <c r="AI415" i="11"/>
  <c r="AD415" i="11"/>
  <c r="AC415" i="11"/>
  <c r="W415" i="11"/>
  <c r="X415" i="11" s="1"/>
  <c r="Z415" i="11" s="1"/>
  <c r="Y415" i="11" s="1"/>
  <c r="AI414" i="11"/>
  <c r="AC414" i="11"/>
  <c r="AD414" i="11" s="1"/>
  <c r="W414" i="11"/>
  <c r="X414" i="11" s="1"/>
  <c r="Z414" i="11" s="1"/>
  <c r="Y414" i="11" s="1"/>
  <c r="AI413" i="11"/>
  <c r="AD413" i="11"/>
  <c r="AC413" i="11"/>
  <c r="W413" i="11"/>
  <c r="X413" i="11" s="1"/>
  <c r="AG413" i="11" s="1"/>
  <c r="AI412" i="11"/>
  <c r="AD412" i="11"/>
  <c r="AC412" i="11"/>
  <c r="W412" i="11"/>
  <c r="X412" i="11" s="1"/>
  <c r="AI411" i="11"/>
  <c r="AD411" i="11"/>
  <c r="AC411" i="11"/>
  <c r="W411" i="11"/>
  <c r="X411" i="11" s="1"/>
  <c r="Z411" i="11" s="1"/>
  <c r="Y411" i="11" s="1"/>
  <c r="AI410" i="11"/>
  <c r="AC410" i="11"/>
  <c r="AD410" i="11" s="1"/>
  <c r="W410" i="11"/>
  <c r="X410" i="11" s="1"/>
  <c r="AI409" i="11"/>
  <c r="AD409" i="11"/>
  <c r="AC409" i="11"/>
  <c r="W409" i="11"/>
  <c r="X409" i="11" s="1"/>
  <c r="AI408" i="11"/>
  <c r="AC408" i="11"/>
  <c r="AD408" i="11" s="1"/>
  <c r="V407" i="11" s="1"/>
  <c r="W408" i="11"/>
  <c r="X408" i="11" s="1"/>
  <c r="AG408" i="11" s="1"/>
  <c r="AI407" i="11"/>
  <c r="AC407" i="11"/>
  <c r="AI406" i="11"/>
  <c r="AD406" i="11"/>
  <c r="W406" i="11"/>
  <c r="X406" i="11" s="1"/>
  <c r="Z406" i="11" s="1"/>
  <c r="Y406" i="11" s="1"/>
  <c r="AI405" i="11"/>
  <c r="AD405" i="11"/>
  <c r="W405" i="11"/>
  <c r="X405" i="11" s="1"/>
  <c r="Z405" i="11" s="1"/>
  <c r="Y405" i="11" s="1"/>
  <c r="AI404" i="11"/>
  <c r="AD404" i="11"/>
  <c r="W404" i="11"/>
  <c r="X404" i="11" s="1"/>
  <c r="Z404" i="11" s="1"/>
  <c r="Y404" i="11" s="1"/>
  <c r="AI403" i="11"/>
  <c r="AD403" i="11"/>
  <c r="W403" i="11"/>
  <c r="X403" i="11" s="1"/>
  <c r="Z403" i="11" s="1"/>
  <c r="Y403" i="11" s="1"/>
  <c r="AI402" i="11"/>
  <c r="AD402" i="11"/>
  <c r="W402" i="11"/>
  <c r="X402" i="11" s="1"/>
  <c r="Z402" i="11" s="1"/>
  <c r="Y402" i="11" s="1"/>
  <c r="AI401" i="11"/>
  <c r="AD401" i="11"/>
  <c r="W401" i="11"/>
  <c r="X401" i="11" s="1"/>
  <c r="Z401" i="11" s="1"/>
  <c r="Y401" i="11" s="1"/>
  <c r="AI400" i="11"/>
  <c r="AD400" i="11"/>
  <c r="W400" i="11"/>
  <c r="X400" i="11" s="1"/>
  <c r="Z400" i="11" s="1"/>
  <c r="Y400" i="11" s="1"/>
  <c r="AI399" i="11"/>
  <c r="AD399" i="11"/>
  <c r="W399" i="11"/>
  <c r="X399" i="11" s="1"/>
  <c r="Z399" i="11" s="1"/>
  <c r="Y399" i="11" s="1"/>
  <c r="AI398" i="11"/>
  <c r="AD398" i="11"/>
  <c r="W398" i="11"/>
  <c r="X398" i="11" s="1"/>
  <c r="Z398" i="11" s="1"/>
  <c r="Y398" i="11" s="1"/>
  <c r="AI397" i="11"/>
  <c r="AD397" i="11"/>
  <c r="W397" i="11"/>
  <c r="X397" i="11" s="1"/>
  <c r="Z397" i="11" s="1"/>
  <c r="Y397" i="11" s="1"/>
  <c r="AI396" i="11"/>
  <c r="AD396" i="11"/>
  <c r="W396" i="11"/>
  <c r="X396" i="11" s="1"/>
  <c r="Z396" i="11" s="1"/>
  <c r="Y396" i="11" s="1"/>
  <c r="AI395" i="11"/>
  <c r="AD395" i="11"/>
  <c r="W395" i="11"/>
  <c r="X395" i="11" s="1"/>
  <c r="Z395" i="11" s="1"/>
  <c r="Y395" i="11" s="1"/>
  <c r="AI394" i="11"/>
  <c r="AD394" i="11"/>
  <c r="W394" i="11"/>
  <c r="X394" i="11" s="1"/>
  <c r="Z394" i="11" s="1"/>
  <c r="Y394" i="11" s="1"/>
  <c r="AI393" i="11"/>
  <c r="AD393" i="11"/>
  <c r="W393" i="11"/>
  <c r="X393" i="11" s="1"/>
  <c r="Z393" i="11" s="1"/>
  <c r="Y393" i="11" s="1"/>
  <c r="AI392" i="11"/>
  <c r="AD392" i="11"/>
  <c r="W392" i="11"/>
  <c r="X392" i="11" s="1"/>
  <c r="Z392" i="11" s="1"/>
  <c r="Y392" i="11" s="1"/>
  <c r="AI391" i="11"/>
  <c r="AD391" i="11"/>
  <c r="W391" i="11"/>
  <c r="X391" i="11" s="1"/>
  <c r="Z391" i="11" s="1"/>
  <c r="Y391" i="11" s="1"/>
  <c r="AI390" i="11"/>
  <c r="AD390" i="11"/>
  <c r="W390" i="11"/>
  <c r="X390" i="11" s="1"/>
  <c r="Z390" i="11" s="1"/>
  <c r="Y390" i="11" s="1"/>
  <c r="AI389" i="11"/>
  <c r="AD389" i="11"/>
  <c r="W389" i="11"/>
  <c r="X389" i="11" s="1"/>
  <c r="Z389" i="11" s="1"/>
  <c r="Y389" i="11" s="1"/>
  <c r="AI388" i="11"/>
  <c r="AD388" i="11"/>
  <c r="AC388" i="11"/>
  <c r="W388" i="11"/>
  <c r="X388" i="11" s="1"/>
  <c r="AI387" i="11"/>
  <c r="AC387" i="11"/>
  <c r="AD387" i="11" s="1"/>
  <c r="W387" i="11"/>
  <c r="X387" i="11" s="1"/>
  <c r="Z387" i="11" s="1"/>
  <c r="Y387" i="11" s="1"/>
  <c r="AI386" i="11"/>
  <c r="AG386" i="11"/>
  <c r="AC386" i="11"/>
  <c r="AD386" i="11" s="1"/>
  <c r="Z386" i="11"/>
  <c r="Y386" i="11"/>
  <c r="W386" i="11"/>
  <c r="AI385" i="11"/>
  <c r="AD385" i="11"/>
  <c r="AC385" i="11"/>
  <c r="W385" i="11"/>
  <c r="X385" i="11" s="1"/>
  <c r="Z385" i="11" s="1"/>
  <c r="Y385" i="11" s="1"/>
  <c r="AI384" i="11"/>
  <c r="AC384" i="11"/>
  <c r="AD384" i="11" s="1"/>
  <c r="W384" i="11"/>
  <c r="X384" i="11" s="1"/>
  <c r="AI383" i="11"/>
  <c r="AD383" i="11"/>
  <c r="AC383" i="11"/>
  <c r="W383" i="11"/>
  <c r="X383" i="11" s="1"/>
  <c r="AI382" i="11"/>
  <c r="AD382" i="11"/>
  <c r="AC382" i="11"/>
  <c r="W382" i="11"/>
  <c r="X382" i="11" s="1"/>
  <c r="AI381" i="11"/>
  <c r="AC381" i="11"/>
  <c r="AD381" i="11" s="1"/>
  <c r="W381" i="11"/>
  <c r="X381" i="11" s="1"/>
  <c r="Z381" i="11" s="1"/>
  <c r="Y381" i="11" s="1"/>
  <c r="AI380" i="11"/>
  <c r="AD380" i="11"/>
  <c r="AC380" i="11"/>
  <c r="W380" i="11"/>
  <c r="X380" i="11" s="1"/>
  <c r="AI379" i="11"/>
  <c r="AD379" i="11"/>
  <c r="AC379" i="11"/>
  <c r="W379" i="11"/>
  <c r="X379" i="11" s="1"/>
  <c r="Z379" i="11" s="1"/>
  <c r="AI378" i="11"/>
  <c r="AC378" i="11"/>
  <c r="AD378" i="11" s="1"/>
  <c r="W378" i="11"/>
  <c r="X378" i="11" s="1"/>
  <c r="AI377" i="11"/>
  <c r="AC377" i="11"/>
  <c r="AI376" i="11"/>
  <c r="AD376" i="11"/>
  <c r="AC376" i="11"/>
  <c r="W376" i="11"/>
  <c r="X376" i="11" s="1"/>
  <c r="AI375" i="11"/>
  <c r="AC375" i="11"/>
  <c r="AD375" i="11" s="1"/>
  <c r="W375" i="11"/>
  <c r="X375" i="11" s="1"/>
  <c r="Z375" i="11" s="1"/>
  <c r="Y375" i="11" s="1"/>
  <c r="AI374" i="11"/>
  <c r="AD374" i="11"/>
  <c r="AC374" i="11"/>
  <c r="W374" i="11"/>
  <c r="X374" i="11" s="1"/>
  <c r="AI373" i="11"/>
  <c r="AD373" i="11"/>
  <c r="AC373" i="11"/>
  <c r="AA373" i="11"/>
  <c r="Y373" i="11"/>
  <c r="X373" i="11"/>
  <c r="W373" i="11"/>
  <c r="AI372" i="11"/>
  <c r="W372" i="11"/>
  <c r="X372" i="11" s="1"/>
  <c r="AD372" i="11"/>
  <c r="AC372" i="11"/>
  <c r="AI371" i="11"/>
  <c r="AD371" i="11"/>
  <c r="AC371" i="11"/>
  <c r="W371" i="11"/>
  <c r="X371" i="11" s="1"/>
  <c r="AI370" i="11"/>
  <c r="AC370" i="11"/>
  <c r="AD370" i="11" s="1"/>
  <c r="W370" i="11"/>
  <c r="X370" i="11" s="1"/>
  <c r="AG370" i="11" s="1"/>
  <c r="AI369" i="11"/>
  <c r="AC369" i="11"/>
  <c r="AI368" i="11"/>
  <c r="AC368" i="11"/>
  <c r="AD368" i="11" s="1"/>
  <c r="W368" i="11"/>
  <c r="X368" i="11" s="1"/>
  <c r="AI367" i="11"/>
  <c r="AC367" i="11"/>
  <c r="AD367" i="11" s="1"/>
  <c r="W367" i="11"/>
  <c r="X367" i="11" s="1"/>
  <c r="AG367" i="11" s="1"/>
  <c r="AI366" i="11"/>
  <c r="AC366" i="11"/>
  <c r="AD366" i="11" s="1"/>
  <c r="W366" i="11"/>
  <c r="X366" i="11" s="1"/>
  <c r="AG366" i="11" s="1"/>
  <c r="AI365" i="11"/>
  <c r="AC365" i="11"/>
  <c r="AD365" i="11" s="1"/>
  <c r="W365" i="11"/>
  <c r="X365" i="11" s="1"/>
  <c r="AI364" i="11"/>
  <c r="AC364" i="11"/>
  <c r="AD364" i="11" s="1"/>
  <c r="W364" i="11"/>
  <c r="X364" i="11" s="1"/>
  <c r="AI363" i="11"/>
  <c r="AC363" i="11"/>
  <c r="AD363" i="11" s="1"/>
  <c r="W363" i="11"/>
  <c r="X363" i="11" s="1"/>
  <c r="Z363" i="11" s="1"/>
  <c r="Y363" i="11" s="1"/>
  <c r="AI362" i="11"/>
  <c r="AC362" i="11"/>
  <c r="AD362" i="11" s="1"/>
  <c r="W362" i="11"/>
  <c r="X362" i="11" s="1"/>
  <c r="AI361" i="11"/>
  <c r="AG361" i="11"/>
  <c r="AC361" i="11"/>
  <c r="AD361" i="11" s="1"/>
  <c r="W361" i="11"/>
  <c r="X361" i="11" s="1"/>
  <c r="Z361" i="11" s="1"/>
  <c r="Y361" i="11" s="1"/>
  <c r="AI360" i="11"/>
  <c r="AD360" i="11"/>
  <c r="AC360" i="11"/>
  <c r="W360" i="11"/>
  <c r="X360" i="11" s="1"/>
  <c r="AG360" i="11" s="1"/>
  <c r="AI359" i="11"/>
  <c r="AC359" i="11"/>
  <c r="AD359" i="11" s="1"/>
  <c r="W359" i="11"/>
  <c r="X359" i="11" s="1"/>
  <c r="Z359" i="11" s="1"/>
  <c r="Y359" i="11" s="1"/>
  <c r="AI358" i="11"/>
  <c r="AC358" i="11"/>
  <c r="AD358" i="11" s="1"/>
  <c r="W358" i="11"/>
  <c r="X358" i="11" s="1"/>
  <c r="AG358" i="11" s="1"/>
  <c r="AI357" i="11"/>
  <c r="AC357" i="11"/>
  <c r="AD357" i="11" s="1"/>
  <c r="W357" i="11"/>
  <c r="X357" i="11" s="1"/>
  <c r="AG357" i="11" s="1"/>
  <c r="AI356" i="11"/>
  <c r="AC356" i="11"/>
  <c r="AD356" i="11" s="1"/>
  <c r="W356" i="11"/>
  <c r="X356" i="11" s="1"/>
  <c r="AI355" i="11"/>
  <c r="AC355" i="11"/>
  <c r="AD355" i="11" s="1"/>
  <c r="W355" i="11"/>
  <c r="X355" i="11" s="1"/>
  <c r="Z355" i="11" s="1"/>
  <c r="Y355" i="11" s="1"/>
  <c r="AI354" i="11"/>
  <c r="AG354" i="11"/>
  <c r="AC354" i="11"/>
  <c r="AD354" i="11" s="1"/>
  <c r="W354" i="11"/>
  <c r="X354" i="11" s="1"/>
  <c r="Z354" i="11" s="1"/>
  <c r="Y354" i="11" s="1"/>
  <c r="AI353" i="11"/>
  <c r="AC353" i="11"/>
  <c r="AD353" i="11" s="1"/>
  <c r="W353" i="11"/>
  <c r="X353" i="11" s="1"/>
  <c r="AI352" i="11"/>
  <c r="AC352" i="11"/>
  <c r="AD352" i="11" s="1"/>
  <c r="W352" i="11"/>
  <c r="X352" i="11" s="1"/>
  <c r="AI351" i="11"/>
  <c r="AC351" i="11"/>
  <c r="AD351" i="11" s="1"/>
  <c r="W351" i="11"/>
  <c r="X351" i="11" s="1"/>
  <c r="Z351" i="11" s="1"/>
  <c r="Y351" i="11" s="1"/>
  <c r="AI350" i="11"/>
  <c r="AC350" i="11"/>
  <c r="AD350" i="11" s="1"/>
  <c r="W350" i="11"/>
  <c r="X350" i="11" s="1"/>
  <c r="AI349" i="11"/>
  <c r="AC349" i="11"/>
  <c r="AD349" i="11" s="1"/>
  <c r="W349" i="11"/>
  <c r="X349" i="11" s="1"/>
  <c r="AI348" i="11"/>
  <c r="AD348" i="11"/>
  <c r="AC348" i="11"/>
  <c r="W348" i="11"/>
  <c r="X348" i="11" s="1"/>
  <c r="Z348" i="11" s="1"/>
  <c r="Y348" i="11" s="1"/>
  <c r="AI347" i="11"/>
  <c r="AC347" i="11"/>
  <c r="AD347" i="11" s="1"/>
  <c r="W347" i="11"/>
  <c r="X347" i="11" s="1"/>
  <c r="AI346" i="11"/>
  <c r="W346" i="11"/>
  <c r="X346" i="11" s="1"/>
  <c r="AC346" i="11"/>
  <c r="AD346" i="11" s="1"/>
  <c r="AI345" i="11"/>
  <c r="AD345" i="11"/>
  <c r="AC345" i="11"/>
  <c r="W345" i="11"/>
  <c r="X345" i="11" s="1"/>
  <c r="Z345" i="11" s="1"/>
  <c r="Y345" i="11" s="1"/>
  <c r="AI344" i="11"/>
  <c r="AC344" i="11"/>
  <c r="AD344" i="11" s="1"/>
  <c r="W344" i="11"/>
  <c r="X344" i="11" s="1"/>
  <c r="AI343" i="11"/>
  <c r="AC343" i="11"/>
  <c r="AD343" i="11" s="1"/>
  <c r="W343" i="11"/>
  <c r="X343" i="11" s="1"/>
  <c r="AI342" i="11"/>
  <c r="AC342" i="11"/>
  <c r="AD342" i="11" s="1"/>
  <c r="W342" i="11"/>
  <c r="X342" i="11" s="1"/>
  <c r="Z342" i="11" s="1"/>
  <c r="Y342" i="11" s="1"/>
  <c r="AI341" i="11"/>
  <c r="AC341" i="11"/>
  <c r="AD341" i="11" s="1"/>
  <c r="W341" i="11"/>
  <c r="X341" i="11" s="1"/>
  <c r="Z341" i="11" s="1"/>
  <c r="Y341" i="11" s="1"/>
  <c r="AI340" i="11"/>
  <c r="AC340" i="11"/>
  <c r="AD340" i="11" s="1"/>
  <c r="W340" i="11"/>
  <c r="X340" i="11" s="1"/>
  <c r="AI339" i="11"/>
  <c r="AD339" i="11"/>
  <c r="AC339" i="11"/>
  <c r="W339" i="11"/>
  <c r="X339" i="11" s="1"/>
  <c r="AI338" i="11"/>
  <c r="AC338" i="11"/>
  <c r="AD338" i="11" s="1"/>
  <c r="W338" i="11"/>
  <c r="X338" i="11" s="1"/>
  <c r="AI337" i="11"/>
  <c r="AC337" i="11"/>
  <c r="AD337" i="11" s="1"/>
  <c r="W337" i="11"/>
  <c r="X337" i="11" s="1"/>
  <c r="Z337" i="11" s="1"/>
  <c r="Y337" i="11" s="1"/>
  <c r="AI336" i="11"/>
  <c r="AD336" i="11"/>
  <c r="AC336" i="11"/>
  <c r="W336" i="11"/>
  <c r="X336" i="11" s="1"/>
  <c r="Z336" i="11" s="1"/>
  <c r="Y336" i="11" s="1"/>
  <c r="AI335" i="11"/>
  <c r="AC335" i="11"/>
  <c r="AD335" i="11" s="1"/>
  <c r="W335" i="11"/>
  <c r="X335" i="11" s="1"/>
  <c r="AI334" i="11"/>
  <c r="AD334" i="11"/>
  <c r="AC334" i="11"/>
  <c r="W334" i="11"/>
  <c r="X334" i="11" s="1"/>
  <c r="AI333" i="11"/>
  <c r="AC333" i="11"/>
  <c r="AD333" i="11" s="1"/>
  <c r="W333" i="11"/>
  <c r="X333" i="11" s="1"/>
  <c r="Z333" i="11" s="1"/>
  <c r="Y333" i="11" s="1"/>
  <c r="AI332" i="11"/>
  <c r="AD332" i="11"/>
  <c r="AC332" i="11"/>
  <c r="W332" i="11"/>
  <c r="X332" i="11" s="1"/>
  <c r="Z332" i="11" s="1"/>
  <c r="Y332" i="11" s="1"/>
  <c r="AI331" i="11"/>
  <c r="AC331" i="11"/>
  <c r="AD331" i="11" s="1"/>
  <c r="W331" i="11"/>
  <c r="X331" i="11" s="1"/>
  <c r="AI330" i="11"/>
  <c r="AC330" i="11"/>
  <c r="AD330" i="11" s="1"/>
  <c r="W330" i="11"/>
  <c r="X330" i="11" s="1"/>
  <c r="Z330" i="11" s="1"/>
  <c r="Y330" i="11" s="1"/>
  <c r="AI329" i="11"/>
  <c r="AD329" i="11"/>
  <c r="AC329" i="11"/>
  <c r="W329" i="11"/>
  <c r="X329" i="11" s="1"/>
  <c r="AI328" i="11"/>
  <c r="AD328" i="11"/>
  <c r="AC328" i="11"/>
  <c r="W328" i="11"/>
  <c r="X328" i="11" s="1"/>
  <c r="Z328" i="11" s="1"/>
  <c r="Y328" i="11" s="1"/>
  <c r="AI327" i="11"/>
  <c r="AC327" i="11"/>
  <c r="AI326" i="11"/>
  <c r="AD326" i="11"/>
  <c r="AC326" i="11"/>
  <c r="W326" i="11"/>
  <c r="X326" i="11" s="1"/>
  <c r="AI325" i="11"/>
  <c r="AC325" i="11"/>
  <c r="AD325" i="11" s="1"/>
  <c r="W325" i="11"/>
  <c r="X325" i="11" s="1"/>
  <c r="AI324" i="11"/>
  <c r="AC324" i="11"/>
  <c r="AD324" i="11" s="1"/>
  <c r="W324" i="11"/>
  <c r="X324" i="11" s="1"/>
  <c r="AG324" i="11" s="1"/>
  <c r="AI323" i="11"/>
  <c r="AD323" i="11"/>
  <c r="AC323" i="11"/>
  <c r="W323" i="11"/>
  <c r="X323" i="11" s="1"/>
  <c r="AI322" i="11"/>
  <c r="AC322" i="11"/>
  <c r="AD322" i="11" s="1"/>
  <c r="W322" i="11"/>
  <c r="X322" i="11" s="1"/>
  <c r="AI321" i="11"/>
  <c r="AD321" i="11"/>
  <c r="AC321" i="11"/>
  <c r="W321" i="11"/>
  <c r="X321" i="11" s="1"/>
  <c r="AI320" i="11"/>
  <c r="AC320" i="11"/>
  <c r="AD320" i="11" s="1"/>
  <c r="W320" i="11"/>
  <c r="X320" i="11" s="1"/>
  <c r="AI319" i="11"/>
  <c r="AD319" i="11"/>
  <c r="AC319" i="11"/>
  <c r="W319" i="11"/>
  <c r="X319" i="11" s="1"/>
  <c r="AG319" i="11" s="1"/>
  <c r="AI318" i="11"/>
  <c r="AD318" i="11"/>
  <c r="AC318" i="11"/>
  <c r="W318" i="11"/>
  <c r="X318" i="11" s="1"/>
  <c r="AG318" i="11" s="1"/>
  <c r="AI317" i="11"/>
  <c r="AC317" i="11"/>
  <c r="AD317" i="11" s="1"/>
  <c r="W317" i="11"/>
  <c r="X317" i="11" s="1"/>
  <c r="AI316" i="11"/>
  <c r="AD316" i="11"/>
  <c r="AC316" i="11"/>
  <c r="W316" i="11"/>
  <c r="X316" i="11" s="1"/>
  <c r="Z316" i="11" s="1"/>
  <c r="Y316" i="11" s="1"/>
  <c r="AI315" i="11"/>
  <c r="AC315" i="11"/>
  <c r="AD315" i="11" s="1"/>
  <c r="W315" i="11"/>
  <c r="X315" i="11" s="1"/>
  <c r="AI314" i="11"/>
  <c r="AC314" i="11"/>
  <c r="AD314" i="11" s="1"/>
  <c r="W314" i="11"/>
  <c r="X314" i="11" s="1"/>
  <c r="AI313" i="11"/>
  <c r="AC313" i="11"/>
  <c r="AD313" i="11" s="1"/>
  <c r="W313" i="11"/>
  <c r="X313" i="11" s="1"/>
  <c r="AG313" i="11" s="1"/>
  <c r="AI312" i="11"/>
  <c r="AC312" i="11"/>
  <c r="AD312" i="11" s="1"/>
  <c r="W312" i="11"/>
  <c r="X312" i="11" s="1"/>
  <c r="AI311" i="11"/>
  <c r="AC311" i="11"/>
  <c r="AD311" i="11" s="1"/>
  <c r="W311" i="11"/>
  <c r="X311" i="11" s="1"/>
  <c r="AI310" i="11"/>
  <c r="AC310" i="11"/>
  <c r="AD310" i="11" s="1"/>
  <c r="W310" i="11"/>
  <c r="X310" i="11" s="1"/>
  <c r="Z310" i="11" s="1"/>
  <c r="Y310" i="11" s="1"/>
  <c r="AI309" i="11"/>
  <c r="AC309" i="11"/>
  <c r="AD309" i="11" s="1"/>
  <c r="W309" i="11"/>
  <c r="X309" i="11" s="1"/>
  <c r="AI308" i="11"/>
  <c r="AD308" i="11"/>
  <c r="AC308" i="11"/>
  <c r="W308" i="11"/>
  <c r="X308" i="11" s="1"/>
  <c r="AI307" i="11"/>
  <c r="AC307" i="11"/>
  <c r="AD307" i="11" s="1"/>
  <c r="W307" i="11"/>
  <c r="X307" i="11" s="1"/>
  <c r="AG307" i="11" s="1"/>
  <c r="AI306" i="11"/>
  <c r="AD306" i="11"/>
  <c r="AC306" i="11"/>
  <c r="W306" i="11"/>
  <c r="X306" i="11" s="1"/>
  <c r="Z306" i="11" s="1"/>
  <c r="Y306" i="11" s="1"/>
  <c r="AI305" i="11"/>
  <c r="AC305" i="11"/>
  <c r="AD305" i="11" s="1"/>
  <c r="W305" i="11"/>
  <c r="X305" i="11" s="1"/>
  <c r="AG305" i="11" s="1"/>
  <c r="AI304" i="11"/>
  <c r="AC304" i="11"/>
  <c r="AD304" i="11" s="1"/>
  <c r="W304" i="11"/>
  <c r="X304" i="11" s="1"/>
  <c r="AG304" i="11" s="1"/>
  <c r="AI303" i="11"/>
  <c r="AD303" i="11"/>
  <c r="AC303" i="11"/>
  <c r="W303" i="11"/>
  <c r="X303" i="11" s="1"/>
  <c r="Z303" i="11" s="1"/>
  <c r="Y303" i="11" s="1"/>
  <c r="AI302" i="11"/>
  <c r="AD302" i="11"/>
  <c r="AC302" i="11"/>
  <c r="W302" i="11"/>
  <c r="X302" i="11" s="1"/>
  <c r="AI301" i="11"/>
  <c r="AD301" i="11"/>
  <c r="AC301" i="11"/>
  <c r="W301" i="11"/>
  <c r="X301" i="11" s="1"/>
  <c r="AI300" i="11"/>
  <c r="AC300" i="11"/>
  <c r="AD300" i="11" s="1"/>
  <c r="W300" i="11"/>
  <c r="X300" i="11" s="1"/>
  <c r="AG300" i="11" s="1"/>
  <c r="AI299" i="11"/>
  <c r="AD299" i="11"/>
  <c r="AC299" i="11"/>
  <c r="W299" i="11"/>
  <c r="X299" i="11" s="1"/>
  <c r="Z299" i="11" s="1"/>
  <c r="Y299" i="11" s="1"/>
  <c r="AI298" i="11"/>
  <c r="AC298" i="11"/>
  <c r="AD298" i="11" s="1"/>
  <c r="W298" i="11"/>
  <c r="X298" i="11" s="1"/>
  <c r="AG298" i="11" s="1"/>
  <c r="AI297" i="11"/>
  <c r="AC297" i="11"/>
  <c r="AD297" i="11" s="1"/>
  <c r="W297" i="11"/>
  <c r="X297" i="11" s="1"/>
  <c r="Z297" i="11" s="1"/>
  <c r="Y297" i="11" s="1"/>
  <c r="AI296" i="11"/>
  <c r="AD296" i="11"/>
  <c r="AC296" i="11"/>
  <c r="W296" i="11"/>
  <c r="X296" i="11" s="1"/>
  <c r="AI295" i="11"/>
  <c r="AD295" i="11"/>
  <c r="AC295" i="11"/>
  <c r="W295" i="11"/>
  <c r="X295" i="11" s="1"/>
  <c r="AI294" i="11"/>
  <c r="AC294" i="11"/>
  <c r="AD294" i="11" s="1"/>
  <c r="W294" i="11"/>
  <c r="X294" i="11" s="1"/>
  <c r="AI293" i="11"/>
  <c r="AD293" i="11"/>
  <c r="AC293" i="11"/>
  <c r="W293" i="11"/>
  <c r="X293" i="11" s="1"/>
  <c r="AI292" i="11"/>
  <c r="AC292" i="11"/>
  <c r="AD292" i="11" s="1"/>
  <c r="W292" i="11"/>
  <c r="X292" i="11" s="1"/>
  <c r="AI291" i="11"/>
  <c r="AC291" i="11"/>
  <c r="AD291" i="11" s="1"/>
  <c r="W291" i="11"/>
  <c r="X291" i="11" s="1"/>
  <c r="AG291" i="11" s="1"/>
  <c r="AI290" i="11"/>
  <c r="AC290" i="11"/>
  <c r="AD290" i="11" s="1"/>
  <c r="W290" i="11"/>
  <c r="X290" i="11" s="1"/>
  <c r="AG290" i="11" s="1"/>
  <c r="AI289" i="11"/>
  <c r="AD289" i="11"/>
  <c r="AC289" i="11"/>
  <c r="W289" i="11"/>
  <c r="X289" i="11" s="1"/>
  <c r="AI288" i="11"/>
  <c r="AC288" i="11"/>
  <c r="AD288" i="11" s="1"/>
  <c r="W288" i="11"/>
  <c r="X288" i="11" s="1"/>
  <c r="AI287" i="11"/>
  <c r="AD287" i="11"/>
  <c r="AC287" i="11"/>
  <c r="W287" i="11"/>
  <c r="X287" i="11" s="1"/>
  <c r="AI286" i="11"/>
  <c r="AC286" i="11"/>
  <c r="AD286" i="11" s="1"/>
  <c r="W286" i="11"/>
  <c r="X286" i="11" s="1"/>
  <c r="AG286" i="11" s="1"/>
  <c r="AI285" i="11"/>
  <c r="AC285" i="11"/>
  <c r="AD285" i="11" s="1"/>
  <c r="W285" i="11"/>
  <c r="X285" i="11" s="1"/>
  <c r="AG285" i="11" s="1"/>
  <c r="AI284" i="11"/>
  <c r="AD284" i="11"/>
  <c r="AC284" i="11"/>
  <c r="W284" i="11"/>
  <c r="X284" i="11" s="1"/>
  <c r="Z284" i="11" s="1"/>
  <c r="Y284" i="11" s="1"/>
  <c r="AI283" i="11"/>
  <c r="AD283" i="11"/>
  <c r="AC283" i="11"/>
  <c r="W283" i="11"/>
  <c r="X283" i="11" s="1"/>
  <c r="AI282" i="11"/>
  <c r="AD282" i="11"/>
  <c r="AC282" i="11"/>
  <c r="W282" i="11"/>
  <c r="X282" i="11" s="1"/>
  <c r="AG282" i="11" s="1"/>
  <c r="AI281" i="11"/>
  <c r="AC281" i="11"/>
  <c r="AD281" i="11" s="1"/>
  <c r="W281" i="11"/>
  <c r="X281" i="11" s="1"/>
  <c r="AI280" i="11"/>
  <c r="AD280" i="11"/>
  <c r="AC280" i="11"/>
  <c r="W280" i="11"/>
  <c r="X280" i="11" s="1"/>
  <c r="AI279" i="11"/>
  <c r="AC279" i="11"/>
  <c r="AD279" i="11" s="1"/>
  <c r="W279" i="11"/>
  <c r="X279" i="11" s="1"/>
  <c r="AI278" i="11"/>
  <c r="AC278" i="11"/>
  <c r="AD278" i="11" s="1"/>
  <c r="W278" i="11"/>
  <c r="X278" i="11" s="1"/>
  <c r="AI277" i="11"/>
  <c r="AC277" i="11"/>
  <c r="AD277" i="11" s="1"/>
  <c r="W277" i="11"/>
  <c r="X277" i="11" s="1"/>
  <c r="AI276" i="11"/>
  <c r="AC276" i="11"/>
  <c r="AD276" i="11" s="1"/>
  <c r="W276" i="11"/>
  <c r="X276" i="11" s="1"/>
  <c r="AG276" i="11" s="1"/>
  <c r="AI275" i="11"/>
  <c r="AD275" i="11"/>
  <c r="AC275" i="11"/>
  <c r="W275" i="11"/>
  <c r="X275" i="11" s="1"/>
  <c r="AG275" i="11" s="1"/>
  <c r="AI274" i="11"/>
  <c r="AD274" i="11"/>
  <c r="AC274" i="11"/>
  <c r="W274" i="11"/>
  <c r="X274" i="11" s="1"/>
  <c r="AG274" i="11" s="1"/>
  <c r="AI273" i="11"/>
  <c r="AC273" i="11"/>
  <c r="AD273" i="11" s="1"/>
  <c r="W273" i="11"/>
  <c r="X273" i="11" s="1"/>
  <c r="Z273" i="11" s="1"/>
  <c r="Y273" i="11" s="1"/>
  <c r="AI272" i="11"/>
  <c r="AC272" i="11"/>
  <c r="AD272" i="11" s="1"/>
  <c r="X272" i="11"/>
  <c r="W272" i="11"/>
  <c r="AI271" i="11"/>
  <c r="AD271" i="11"/>
  <c r="AC271" i="11"/>
  <c r="W271" i="11"/>
  <c r="X271" i="11" s="1"/>
  <c r="AG271" i="11" s="1"/>
  <c r="AI270" i="11"/>
  <c r="AD270" i="11"/>
  <c r="AC270" i="11"/>
  <c r="W270" i="11"/>
  <c r="X270" i="11" s="1"/>
  <c r="Z270" i="11" s="1"/>
  <c r="Y270" i="11" s="1"/>
  <c r="AI269" i="11"/>
  <c r="AC269" i="11"/>
  <c r="AD269" i="11" s="1"/>
  <c r="W269" i="11"/>
  <c r="X269" i="11" s="1"/>
  <c r="AI268" i="11"/>
  <c r="AD268" i="11"/>
  <c r="AC268" i="11"/>
  <c r="W268" i="11"/>
  <c r="X268" i="11" s="1"/>
  <c r="AI267" i="11"/>
  <c r="AD267" i="11"/>
  <c r="AC267" i="11"/>
  <c r="W267" i="11"/>
  <c r="X267" i="11" s="1"/>
  <c r="AG267" i="11" s="1"/>
  <c r="AI266" i="11"/>
  <c r="AC266" i="11"/>
  <c r="AD266" i="11" s="1"/>
  <c r="W266" i="11"/>
  <c r="X266" i="11" s="1"/>
  <c r="AI265" i="11"/>
  <c r="AC265" i="11"/>
  <c r="AD265" i="11" s="1"/>
  <c r="W265" i="11"/>
  <c r="X265" i="11" s="1"/>
  <c r="AI264" i="11"/>
  <c r="AC264" i="11"/>
  <c r="AD264" i="11" s="1"/>
  <c r="W264" i="11"/>
  <c r="X264" i="11" s="1"/>
  <c r="AG264" i="11" s="1"/>
  <c r="AI263" i="11"/>
  <c r="AC263" i="11"/>
  <c r="AD263" i="11" s="1"/>
  <c r="W263" i="11"/>
  <c r="X263" i="11" s="1"/>
  <c r="AI262" i="11"/>
  <c r="AC262" i="11"/>
  <c r="AD262" i="11" s="1"/>
  <c r="W262" i="11"/>
  <c r="X262" i="11" s="1"/>
  <c r="AI261" i="11"/>
  <c r="AC261" i="11"/>
  <c r="AD261" i="11" s="1"/>
  <c r="W261" i="11"/>
  <c r="X261" i="11" s="1"/>
  <c r="AI260" i="11"/>
  <c r="AD260" i="11"/>
  <c r="AC260" i="11"/>
  <c r="W260" i="11"/>
  <c r="X260" i="11" s="1"/>
  <c r="Z260" i="11" s="1"/>
  <c r="Y260" i="11" s="1"/>
  <c r="AI259" i="11"/>
  <c r="AC259" i="11"/>
  <c r="AD259" i="11" s="1"/>
  <c r="W259" i="11"/>
  <c r="X259" i="11" s="1"/>
  <c r="AI258" i="11"/>
  <c r="AD258" i="11"/>
  <c r="AC258" i="11"/>
  <c r="W258" i="11"/>
  <c r="X258" i="11" s="1"/>
  <c r="Z258" i="11" s="1"/>
  <c r="Y258" i="11" s="1"/>
  <c r="AI257" i="11"/>
  <c r="AD257" i="11"/>
  <c r="AC257" i="11"/>
  <c r="W257" i="11"/>
  <c r="X257" i="11" s="1"/>
  <c r="AI256" i="11"/>
  <c r="AC256" i="11"/>
  <c r="AD256" i="11" s="1"/>
  <c r="W256" i="11"/>
  <c r="X256" i="11" s="1"/>
  <c r="AI255" i="11"/>
  <c r="AD255" i="11"/>
  <c r="AC255" i="11"/>
  <c r="W255" i="11"/>
  <c r="X255" i="11" s="1"/>
  <c r="AG255" i="11" s="1"/>
  <c r="AI254" i="11"/>
  <c r="AD254" i="11"/>
  <c r="AC254" i="11"/>
  <c r="W254" i="11"/>
  <c r="X254" i="11" s="1"/>
  <c r="AI253" i="11"/>
  <c r="AD253" i="11"/>
  <c r="AC253" i="11"/>
  <c r="W253" i="11"/>
  <c r="X253" i="11" s="1"/>
  <c r="Z253" i="11" s="1"/>
  <c r="Y253" i="11" s="1"/>
  <c r="AI252" i="11"/>
  <c r="AD252" i="11"/>
  <c r="AC252" i="11"/>
  <c r="W252" i="11"/>
  <c r="X252" i="11" s="1"/>
  <c r="AG252" i="11" s="1"/>
  <c r="AI251" i="11"/>
  <c r="AD251" i="11"/>
  <c r="AC251" i="11"/>
  <c r="W251" i="11"/>
  <c r="X251" i="11" s="1"/>
  <c r="AI250" i="11"/>
  <c r="AD250" i="11"/>
  <c r="AC250" i="11"/>
  <c r="W250" i="11"/>
  <c r="X250" i="11" s="1"/>
  <c r="AI249" i="11"/>
  <c r="AD249" i="11"/>
  <c r="AC249" i="11"/>
  <c r="W249" i="11"/>
  <c r="X249" i="11" s="1"/>
  <c r="AI248" i="11"/>
  <c r="AC248" i="11"/>
  <c r="AD248" i="11" s="1"/>
  <c r="W248" i="11"/>
  <c r="X248" i="11" s="1"/>
  <c r="Z248" i="11" s="1"/>
  <c r="Y248" i="11" s="1"/>
  <c r="AI247" i="11"/>
  <c r="AD247" i="11"/>
  <c r="AC247" i="11"/>
  <c r="W247" i="11"/>
  <c r="X247" i="11" s="1"/>
  <c r="AI246" i="11"/>
  <c r="AD246" i="11"/>
  <c r="AC246" i="11"/>
  <c r="W246" i="11"/>
  <c r="X246" i="11" s="1"/>
  <c r="AI245" i="11"/>
  <c r="AC245" i="11"/>
  <c r="AD245" i="11" s="1"/>
  <c r="W245" i="11"/>
  <c r="X245" i="11" s="1"/>
  <c r="AI244" i="11"/>
  <c r="AD244" i="11"/>
  <c r="AC244" i="11"/>
  <c r="W244" i="11"/>
  <c r="X244" i="11" s="1"/>
  <c r="AI243" i="11"/>
  <c r="AC243" i="11"/>
  <c r="AD243" i="11" s="1"/>
  <c r="W243" i="11"/>
  <c r="X243" i="11" s="1"/>
  <c r="Z243" i="11" s="1"/>
  <c r="Y243" i="11" s="1"/>
  <c r="AI242" i="11"/>
  <c r="AD242" i="11"/>
  <c r="AC242" i="11"/>
  <c r="W242" i="11"/>
  <c r="X242" i="11" s="1"/>
  <c r="AI241" i="11"/>
  <c r="AC241" i="11"/>
  <c r="AD241" i="11" s="1"/>
  <c r="W241" i="11"/>
  <c r="X241" i="11" s="1"/>
  <c r="Z241" i="11" s="1"/>
  <c r="Y241" i="11" s="1"/>
  <c r="AI240" i="11"/>
  <c r="AD240" i="11"/>
  <c r="AC240" i="11"/>
  <c r="W240" i="11"/>
  <c r="X240" i="11" s="1"/>
  <c r="AI239" i="11"/>
  <c r="AD239" i="11"/>
  <c r="AC239" i="11"/>
  <c r="W239" i="11"/>
  <c r="X239" i="11" s="1"/>
  <c r="AI238" i="11"/>
  <c r="AH238" i="11"/>
  <c r="W238" i="11" s="1"/>
  <c r="X238" i="11" s="1"/>
  <c r="AG238" i="11" s="1"/>
  <c r="AC238" i="11"/>
  <c r="AD238" i="11" s="1"/>
  <c r="V237" i="11" s="1"/>
  <c r="AI237" i="11"/>
  <c r="AC237" i="11"/>
  <c r="AI236" i="11"/>
  <c r="W236" i="11"/>
  <c r="X236" i="11" s="1"/>
  <c r="AC236" i="11"/>
  <c r="AD236" i="11" s="1"/>
  <c r="AI235" i="11"/>
  <c r="AC235" i="11"/>
  <c r="AD235" i="11" s="1"/>
  <c r="W235" i="11"/>
  <c r="X235" i="11" s="1"/>
  <c r="AI234" i="11"/>
  <c r="AC234" i="11"/>
  <c r="AD234" i="11" s="1"/>
  <c r="W234" i="11"/>
  <c r="X234" i="11" s="1"/>
  <c r="Z234" i="11" s="1"/>
  <c r="Y234" i="11" s="1"/>
  <c r="AI233" i="11"/>
  <c r="W233" i="11"/>
  <c r="X233" i="11" s="1"/>
  <c r="Z233" i="11" s="1"/>
  <c r="Y233" i="11" s="1"/>
  <c r="AD233" i="11"/>
  <c r="AC233" i="11"/>
  <c r="AI232" i="11"/>
  <c r="AC232" i="11"/>
  <c r="AD232" i="11" s="1"/>
  <c r="W232" i="11"/>
  <c r="X232" i="11" s="1"/>
  <c r="AG232" i="11" s="1"/>
  <c r="AI231" i="11"/>
  <c r="AC231" i="11"/>
  <c r="AD231" i="11" s="1"/>
  <c r="W231" i="11"/>
  <c r="X231" i="11" s="1"/>
  <c r="AI230" i="11"/>
  <c r="W230" i="11"/>
  <c r="X230" i="11" s="1"/>
  <c r="Z230" i="11" s="1"/>
  <c r="Y230" i="11" s="1"/>
  <c r="AC230" i="11"/>
  <c r="AD230" i="11" s="1"/>
  <c r="AI229" i="11"/>
  <c r="W229" i="11"/>
  <c r="X229" i="11" s="1"/>
  <c r="Z229" i="11" s="1"/>
  <c r="Y229" i="11" s="1"/>
  <c r="AC229" i="11"/>
  <c r="AD229" i="11" s="1"/>
  <c r="AI228" i="11"/>
  <c r="AC228" i="11"/>
  <c r="AD228" i="11" s="1"/>
  <c r="AI227" i="11"/>
  <c r="AC227" i="11"/>
  <c r="AD227" i="11" s="1"/>
  <c r="W227" i="11"/>
  <c r="X227" i="11" s="1"/>
  <c r="AI226" i="11"/>
  <c r="AH226" i="11"/>
  <c r="AC226" i="11"/>
  <c r="AD226" i="11" s="1"/>
  <c r="W226" i="11"/>
  <c r="X226" i="11" s="1"/>
  <c r="Z226" i="11" s="1"/>
  <c r="Y226" i="11" s="1"/>
  <c r="AI225" i="11"/>
  <c r="AD225" i="11"/>
  <c r="AC225" i="11"/>
  <c r="W225" i="11"/>
  <c r="X225" i="11" s="1"/>
  <c r="Z225" i="11" s="1"/>
  <c r="Y225" i="11" s="1"/>
  <c r="AI224" i="11"/>
  <c r="AC224" i="11"/>
  <c r="AD224" i="11" s="1"/>
  <c r="W224" i="11"/>
  <c r="X224" i="11" s="1"/>
  <c r="AI223" i="11"/>
  <c r="AC223" i="11"/>
  <c r="AD223" i="11" s="1"/>
  <c r="W223" i="11"/>
  <c r="X223" i="11" s="1"/>
  <c r="Z223" i="11" s="1"/>
  <c r="Y223" i="11" s="1"/>
  <c r="AI222" i="11"/>
  <c r="AC222" i="11"/>
  <c r="AD222" i="11" s="1"/>
  <c r="W222" i="11"/>
  <c r="X222" i="11" s="1"/>
  <c r="AI221" i="11"/>
  <c r="AC221" i="11"/>
  <c r="AD221" i="11" s="1"/>
  <c r="V220" i="11" s="1"/>
  <c r="W221" i="11"/>
  <c r="X221" i="11" s="1"/>
  <c r="Z221" i="11" s="1"/>
  <c r="AI220" i="11"/>
  <c r="AC220" i="11"/>
  <c r="AI219" i="11"/>
  <c r="AC219" i="11"/>
  <c r="AD219" i="11" s="1"/>
  <c r="W219" i="11"/>
  <c r="X219" i="11" s="1"/>
  <c r="AI218" i="11"/>
  <c r="AC218" i="11"/>
  <c r="AD218" i="11" s="1"/>
  <c r="W218" i="11"/>
  <c r="X218" i="11" s="1"/>
  <c r="AI217" i="11"/>
  <c r="AC217" i="11"/>
  <c r="AD217" i="11" s="1"/>
  <c r="W217" i="11"/>
  <c r="X217" i="11" s="1"/>
  <c r="AI216" i="11"/>
  <c r="AD216" i="11"/>
  <c r="AC216" i="11"/>
  <c r="W216" i="11"/>
  <c r="X216" i="11" s="1"/>
  <c r="AI215" i="11"/>
  <c r="AC215" i="11"/>
  <c r="AD215" i="11" s="1"/>
  <c r="W215" i="11"/>
  <c r="X215" i="11" s="1"/>
  <c r="Z215" i="11" s="1"/>
  <c r="Y215" i="11" s="1"/>
  <c r="AI214" i="11"/>
  <c r="W214" i="11"/>
  <c r="X214" i="11" s="1"/>
  <c r="AD214" i="11"/>
  <c r="AC214" i="11"/>
  <c r="AI213" i="11"/>
  <c r="AC213" i="11"/>
  <c r="AD213" i="11" s="1"/>
  <c r="W213" i="11"/>
  <c r="X213" i="11" s="1"/>
  <c r="Z213" i="11" s="1"/>
  <c r="Y213" i="11" s="1"/>
  <c r="AI212" i="11"/>
  <c r="W212" i="11"/>
  <c r="X212" i="11" s="1"/>
  <c r="Z212" i="11" s="1"/>
  <c r="Y212" i="11" s="1"/>
  <c r="AC212" i="11"/>
  <c r="AD212" i="11" s="1"/>
  <c r="AI211" i="11"/>
  <c r="AC211" i="11"/>
  <c r="AD211" i="11" s="1"/>
  <c r="W211" i="11"/>
  <c r="X211" i="11" s="1"/>
  <c r="AG211" i="11" s="1"/>
  <c r="AI210" i="11"/>
  <c r="AC210" i="11"/>
  <c r="AD210" i="11" s="1"/>
  <c r="W210" i="11"/>
  <c r="X210" i="11" s="1"/>
  <c r="AI209" i="11"/>
  <c r="AD209" i="11"/>
  <c r="AC209" i="11"/>
  <c r="W209" i="11"/>
  <c r="X209" i="11" s="1"/>
  <c r="AG209" i="11" s="1"/>
  <c r="AI208" i="11"/>
  <c r="AC208" i="11"/>
  <c r="AD208" i="11" s="1"/>
  <c r="W208" i="11"/>
  <c r="X208" i="11" s="1"/>
  <c r="Z208" i="11" s="1"/>
  <c r="Y208" i="11" s="1"/>
  <c r="AI207" i="11"/>
  <c r="AD207" i="11"/>
  <c r="AC207" i="11"/>
  <c r="W207" i="11"/>
  <c r="X207" i="11" s="1"/>
  <c r="AL206" i="11"/>
  <c r="AI206" i="11"/>
  <c r="AC206" i="11"/>
  <c r="AD206" i="11" s="1"/>
  <c r="W206" i="11"/>
  <c r="X206" i="11" s="1"/>
  <c r="AI205" i="11"/>
  <c r="AC205" i="11"/>
  <c r="AD205" i="11" s="1"/>
  <c r="V202" i="11" s="1"/>
  <c r="W205" i="11"/>
  <c r="X205" i="11" s="1"/>
  <c r="AI204" i="11"/>
  <c r="AD204" i="11"/>
  <c r="AC204" i="11"/>
  <c r="W204" i="11"/>
  <c r="X204" i="11" s="1"/>
  <c r="AG204" i="11" s="1"/>
  <c r="AI203" i="11"/>
  <c r="AC203" i="11"/>
  <c r="AD203" i="11" s="1"/>
  <c r="W203" i="11"/>
  <c r="X203" i="11" s="1"/>
  <c r="Z203" i="11" s="1"/>
  <c r="Y203" i="11" s="1"/>
  <c r="AI202" i="11"/>
  <c r="AC202" i="11"/>
  <c r="AI201" i="11"/>
  <c r="AD201" i="11"/>
  <c r="AC201" i="11"/>
  <c r="W201" i="11"/>
  <c r="X201" i="11" s="1"/>
  <c r="AG201" i="11" s="1"/>
  <c r="V201" i="11"/>
  <c r="Z201" i="11" s="1"/>
  <c r="Y201" i="11" s="1"/>
  <c r="AI200" i="11"/>
  <c r="AD200" i="11"/>
  <c r="AC200" i="11"/>
  <c r="W200" i="11"/>
  <c r="X200" i="11" s="1"/>
  <c r="V200" i="11"/>
  <c r="AI199" i="11"/>
  <c r="AC199" i="11"/>
  <c r="W199" i="11"/>
  <c r="X199" i="11" s="1"/>
  <c r="AG199" i="11" s="1"/>
  <c r="V199" i="11"/>
  <c r="AI198" i="11"/>
  <c r="AD198" i="11"/>
  <c r="AC198" i="11"/>
  <c r="W198" i="11"/>
  <c r="X198" i="11" s="1"/>
  <c r="Z198" i="11" s="1"/>
  <c r="Y198" i="11" s="1"/>
  <c r="V198" i="11"/>
  <c r="AI197" i="11"/>
  <c r="AC197" i="11"/>
  <c r="W197" i="11"/>
  <c r="X197" i="11" s="1"/>
  <c r="AG197" i="11" s="1"/>
  <c r="V197" i="11"/>
  <c r="AD197" i="11" s="1"/>
  <c r="AI196" i="11"/>
  <c r="AC196" i="11"/>
  <c r="AD196" i="11" s="1"/>
  <c r="W196" i="11"/>
  <c r="X196" i="11" s="1"/>
  <c r="Z196" i="11" s="1"/>
  <c r="Y196" i="11" s="1"/>
  <c r="V196" i="11"/>
  <c r="AI195" i="11"/>
  <c r="AC195" i="11"/>
  <c r="AD195" i="11" s="1"/>
  <c r="W195" i="11"/>
  <c r="X195" i="11" s="1"/>
  <c r="V195" i="11"/>
  <c r="AI194" i="11"/>
  <c r="AC194" i="11"/>
  <c r="W194" i="11"/>
  <c r="X194" i="11" s="1"/>
  <c r="AG194" i="11" s="1"/>
  <c r="V194" i="11"/>
  <c r="AD194" i="11" s="1"/>
  <c r="AI193" i="11"/>
  <c r="AC193" i="11"/>
  <c r="AD193" i="11" s="1"/>
  <c r="W193" i="11"/>
  <c r="X193" i="11" s="1"/>
  <c r="Z193" i="11" s="1"/>
  <c r="Y193" i="11" s="1"/>
  <c r="V193" i="11"/>
  <c r="AI192" i="11"/>
  <c r="AC192" i="11"/>
  <c r="AD192" i="11" s="1"/>
  <c r="W192" i="11"/>
  <c r="X192" i="11" s="1"/>
  <c r="V192" i="11"/>
  <c r="AI191" i="11"/>
  <c r="AD191" i="11"/>
  <c r="AC191" i="11"/>
  <c r="W191" i="11"/>
  <c r="X191" i="11" s="1"/>
  <c r="V191" i="11"/>
  <c r="AI190" i="11"/>
  <c r="AD190" i="11"/>
  <c r="AC190" i="11"/>
  <c r="W190" i="11"/>
  <c r="X190" i="11" s="1"/>
  <c r="V190" i="11"/>
  <c r="AI189" i="11"/>
  <c r="AC189" i="11"/>
  <c r="W189" i="11"/>
  <c r="X189" i="11" s="1"/>
  <c r="AG189" i="11" s="1"/>
  <c r="V189" i="11"/>
  <c r="AI188" i="11"/>
  <c r="AD188" i="11"/>
  <c r="AC188" i="11"/>
  <c r="W188" i="11"/>
  <c r="X188" i="11" s="1"/>
  <c r="Z188" i="11" s="1"/>
  <c r="Y188" i="11" s="1"/>
  <c r="V188" i="11"/>
  <c r="AI187" i="11"/>
  <c r="AC187" i="11"/>
  <c r="W187" i="11"/>
  <c r="X187" i="11" s="1"/>
  <c r="AG187" i="11" s="1"/>
  <c r="V187" i="11"/>
  <c r="AI186" i="11"/>
  <c r="AC186" i="11"/>
  <c r="W186" i="11"/>
  <c r="X186" i="11" s="1"/>
  <c r="AG186" i="11" s="1"/>
  <c r="V186" i="11"/>
  <c r="AI185" i="11"/>
  <c r="AD185" i="11"/>
  <c r="AC185" i="11"/>
  <c r="W185" i="11"/>
  <c r="X185" i="11" s="1"/>
  <c r="Z185" i="11" s="1"/>
  <c r="Y185" i="11" s="1"/>
  <c r="V185" i="11"/>
  <c r="AI184" i="11"/>
  <c r="AD184" i="11"/>
  <c r="AC184" i="11"/>
  <c r="W184" i="11"/>
  <c r="X184" i="11" s="1"/>
  <c r="V184" i="11"/>
  <c r="AI183" i="11"/>
  <c r="AC183" i="11"/>
  <c r="W183" i="11"/>
  <c r="X183" i="11" s="1"/>
  <c r="AG183" i="11" s="1"/>
  <c r="V183" i="11"/>
  <c r="AI182" i="11"/>
  <c r="AC182" i="11"/>
  <c r="W182" i="11"/>
  <c r="X182" i="11" s="1"/>
  <c r="AG182" i="11" s="1"/>
  <c r="V182" i="11"/>
  <c r="AD182" i="11" s="1"/>
  <c r="AI181" i="11"/>
  <c r="AC181" i="11"/>
  <c r="W181" i="11"/>
  <c r="X181" i="11" s="1"/>
  <c r="AG181" i="11" s="1"/>
  <c r="V181" i="11"/>
  <c r="AD181" i="11" s="1"/>
  <c r="AI180" i="11"/>
  <c r="AC180" i="11"/>
  <c r="AD180" i="11" s="1"/>
  <c r="W180" i="11"/>
  <c r="X180" i="11" s="1"/>
  <c r="AG180" i="11" s="1"/>
  <c r="V180" i="11"/>
  <c r="AI179" i="11"/>
  <c r="AC179" i="11"/>
  <c r="W179" i="11"/>
  <c r="X179" i="11" s="1"/>
  <c r="V179" i="11"/>
  <c r="AI178" i="11"/>
  <c r="AD178" i="11"/>
  <c r="AC178" i="11"/>
  <c r="W178" i="11"/>
  <c r="X178" i="11" s="1"/>
  <c r="AG178" i="11" s="1"/>
  <c r="V178" i="11"/>
  <c r="AI177" i="11"/>
  <c r="AC177" i="11"/>
  <c r="AI176" i="11"/>
  <c r="AC176" i="11"/>
  <c r="AD176" i="11" s="1"/>
  <c r="W176" i="11"/>
  <c r="X176" i="11" s="1"/>
  <c r="AG176" i="11" s="1"/>
  <c r="V176" i="11"/>
  <c r="AI175" i="11"/>
  <c r="AC175" i="11"/>
  <c r="W175" i="11"/>
  <c r="X175" i="11" s="1"/>
  <c r="AG175" i="11" s="1"/>
  <c r="V175" i="11"/>
  <c r="AI174" i="11"/>
  <c r="AD174" i="11"/>
  <c r="AC174" i="11"/>
  <c r="W174" i="11"/>
  <c r="X174" i="11" s="1"/>
  <c r="AG174" i="11" s="1"/>
  <c r="V174" i="11"/>
  <c r="AI173" i="11"/>
  <c r="AC173" i="11"/>
  <c r="AD173" i="11" s="1"/>
  <c r="W173" i="11"/>
  <c r="X173" i="11" s="1"/>
  <c r="V173" i="11"/>
  <c r="AI172" i="11"/>
  <c r="AC172" i="11"/>
  <c r="W172" i="11"/>
  <c r="X172" i="11" s="1"/>
  <c r="AG172" i="11" s="1"/>
  <c r="V172" i="11"/>
  <c r="AD172" i="11" s="1"/>
  <c r="AI171" i="11"/>
  <c r="AD171" i="11"/>
  <c r="AC171" i="11"/>
  <c r="W171" i="11"/>
  <c r="X171" i="11" s="1"/>
  <c r="Z171" i="11" s="1"/>
  <c r="Y171" i="11" s="1"/>
  <c r="V171" i="11"/>
  <c r="AI170" i="11"/>
  <c r="AC170" i="11"/>
  <c r="W170" i="11"/>
  <c r="X170" i="11" s="1"/>
  <c r="AG170" i="11" s="1"/>
  <c r="V170" i="11"/>
  <c r="AD170" i="11" s="1"/>
  <c r="AI169" i="11"/>
  <c r="AD169" i="11"/>
  <c r="AC169" i="11"/>
  <c r="W169" i="11"/>
  <c r="X169" i="11" s="1"/>
  <c r="AG169" i="11" s="1"/>
  <c r="V169" i="11"/>
  <c r="AI168" i="11"/>
  <c r="AD168" i="11"/>
  <c r="AC168" i="11"/>
  <c r="W168" i="11"/>
  <c r="X168" i="11" s="1"/>
  <c r="V168" i="11"/>
  <c r="AI167" i="11"/>
  <c r="AC167" i="11"/>
  <c r="W167" i="11"/>
  <c r="X167" i="11" s="1"/>
  <c r="AG167" i="11" s="1"/>
  <c r="V167" i="11"/>
  <c r="AI166" i="11"/>
  <c r="AC166" i="11"/>
  <c r="W166" i="11"/>
  <c r="X166" i="11" s="1"/>
  <c r="AG166" i="11" s="1"/>
  <c r="V166" i="11"/>
  <c r="Z166" i="11" s="1"/>
  <c r="Y166" i="11" s="1"/>
  <c r="AI165" i="11"/>
  <c r="AC165" i="11"/>
  <c r="W165" i="11"/>
  <c r="X165" i="11" s="1"/>
  <c r="AG165" i="11" s="1"/>
  <c r="V165" i="11"/>
  <c r="AD165" i="11" s="1"/>
  <c r="AI164" i="11"/>
  <c r="AC164" i="11"/>
  <c r="AD164" i="11" s="1"/>
  <c r="W164" i="11"/>
  <c r="X164" i="11" s="1"/>
  <c r="AG164" i="11" s="1"/>
  <c r="V164" i="11"/>
  <c r="AI163" i="11"/>
  <c r="AD163" i="11"/>
  <c r="AC163" i="11"/>
  <c r="W163" i="11"/>
  <c r="X163" i="11" s="1"/>
  <c r="AG163" i="11" s="1"/>
  <c r="V163" i="11"/>
  <c r="AI162" i="11"/>
  <c r="AC162" i="11"/>
  <c r="W162" i="11"/>
  <c r="X162" i="11" s="1"/>
  <c r="AG162" i="11" s="1"/>
  <c r="V162" i="11"/>
  <c r="AI161" i="11"/>
  <c r="AH161" i="11"/>
  <c r="W161" i="11" s="1"/>
  <c r="X161" i="11" s="1"/>
  <c r="AG161" i="11" s="1"/>
  <c r="AC161" i="11"/>
  <c r="AD161" i="11" s="1"/>
  <c r="V161" i="11"/>
  <c r="AI160" i="11"/>
  <c r="AH160" i="11"/>
  <c r="W160" i="11" s="1"/>
  <c r="X160" i="11" s="1"/>
  <c r="Z160" i="11" s="1"/>
  <c r="Y160" i="11" s="1"/>
  <c r="AD160" i="11"/>
  <c r="AC160" i="11"/>
  <c r="V160" i="11"/>
  <c r="AI159" i="11"/>
  <c r="AH159" i="11"/>
  <c r="W159" i="11" s="1"/>
  <c r="X159" i="11" s="1"/>
  <c r="Z159" i="11" s="1"/>
  <c r="AC159" i="11"/>
  <c r="AD159" i="11" s="1"/>
  <c r="Y159" i="11"/>
  <c r="V159" i="11"/>
  <c r="AI158" i="11"/>
  <c r="AH158" i="11"/>
  <c r="AC158" i="11"/>
  <c r="W158" i="11"/>
  <c r="X158" i="11" s="1"/>
  <c r="AG158" i="11" s="1"/>
  <c r="V158" i="11"/>
  <c r="AI157" i="11"/>
  <c r="AC157" i="11"/>
  <c r="AD157" i="11" s="1"/>
  <c r="W157" i="11"/>
  <c r="X157" i="11" s="1"/>
  <c r="Z157" i="11" s="1"/>
  <c r="Y157" i="11" s="1"/>
  <c r="V157" i="11"/>
  <c r="AI156" i="11"/>
  <c r="AC156" i="11"/>
  <c r="AD156" i="11" s="1"/>
  <c r="W156" i="11"/>
  <c r="X156" i="11" s="1"/>
  <c r="V156" i="11"/>
  <c r="AI155" i="11"/>
  <c r="AD155" i="11"/>
  <c r="AC155" i="11"/>
  <c r="W155" i="11"/>
  <c r="X155" i="11" s="1"/>
  <c r="Z155" i="11" s="1"/>
  <c r="Y155" i="11" s="1"/>
  <c r="V155" i="11"/>
  <c r="AI154" i="11"/>
  <c r="AC154" i="11"/>
  <c r="W154" i="11"/>
  <c r="X154" i="11" s="1"/>
  <c r="AG154" i="11" s="1"/>
  <c r="V154" i="11"/>
  <c r="AI153" i="11"/>
  <c r="AC153" i="11"/>
  <c r="W153" i="11"/>
  <c r="X153" i="11" s="1"/>
  <c r="AG153" i="11" s="1"/>
  <c r="V153" i="11"/>
  <c r="AD153" i="11" s="1"/>
  <c r="AI152" i="11"/>
  <c r="AC152" i="11"/>
  <c r="W152" i="11"/>
  <c r="X152" i="11" s="1"/>
  <c r="AG152" i="11" s="1"/>
  <c r="V152" i="11"/>
  <c r="AI151" i="11"/>
  <c r="AD151" i="11"/>
  <c r="AC151" i="11"/>
  <c r="W151" i="11"/>
  <c r="X151" i="11" s="1"/>
  <c r="Z151" i="11" s="1"/>
  <c r="Y151" i="11" s="1"/>
  <c r="V151" i="11"/>
  <c r="AI150" i="11"/>
  <c r="AC150" i="11"/>
  <c r="W150" i="11"/>
  <c r="X150" i="11" s="1"/>
  <c r="AG150" i="11" s="1"/>
  <c r="V150" i="11"/>
  <c r="AI149" i="11"/>
  <c r="AD149" i="11"/>
  <c r="AC149" i="11"/>
  <c r="W149" i="11"/>
  <c r="X149" i="11" s="1"/>
  <c r="AG149" i="11" s="1"/>
  <c r="V149" i="11"/>
  <c r="AI148" i="11"/>
  <c r="AC148" i="11"/>
  <c r="AD148" i="11" s="1"/>
  <c r="W148" i="11"/>
  <c r="X148" i="11" s="1"/>
  <c r="AG148" i="11" s="1"/>
  <c r="V148" i="11"/>
  <c r="AI147" i="11"/>
  <c r="AC147" i="11"/>
  <c r="W147" i="11"/>
  <c r="X147" i="11" s="1"/>
  <c r="AG147" i="11" s="1"/>
  <c r="V147" i="11"/>
  <c r="AD147" i="11" s="1"/>
  <c r="AI146" i="11"/>
  <c r="AC146" i="11"/>
  <c r="W146" i="11"/>
  <c r="X146" i="11" s="1"/>
  <c r="V146" i="11"/>
  <c r="AI145" i="11"/>
  <c r="AC145" i="11"/>
  <c r="W145" i="11"/>
  <c r="X145" i="11" s="1"/>
  <c r="AG145" i="11" s="1"/>
  <c r="V145" i="11"/>
  <c r="AD145" i="11" s="1"/>
  <c r="AI144" i="11"/>
  <c r="AD144" i="11"/>
  <c r="AC144" i="11"/>
  <c r="W144" i="11"/>
  <c r="X144" i="11" s="1"/>
  <c r="AG144" i="11" s="1"/>
  <c r="V144" i="11"/>
  <c r="AI143" i="11"/>
  <c r="AC143" i="11"/>
  <c r="AD143" i="11" s="1"/>
  <c r="W143" i="11"/>
  <c r="X143" i="11" s="1"/>
  <c r="AG143" i="11" s="1"/>
  <c r="V143" i="11"/>
  <c r="AI142" i="11"/>
  <c r="AC142" i="11"/>
  <c r="W142" i="11"/>
  <c r="X142" i="11" s="1"/>
  <c r="AG142" i="11" s="1"/>
  <c r="V142" i="11"/>
  <c r="AI141" i="11"/>
  <c r="AD141" i="11"/>
  <c r="AC141" i="11"/>
  <c r="W141" i="11"/>
  <c r="X141" i="11" s="1"/>
  <c r="AG141" i="11" s="1"/>
  <c r="V141" i="11"/>
  <c r="AI140" i="11"/>
  <c r="AC140" i="11"/>
  <c r="AD140" i="11" s="1"/>
  <c r="W140" i="11"/>
  <c r="X140" i="11" s="1"/>
  <c r="AG140" i="11" s="1"/>
  <c r="V140" i="11"/>
  <c r="AI139" i="11"/>
  <c r="AC139" i="11"/>
  <c r="W139" i="11"/>
  <c r="X139" i="11" s="1"/>
  <c r="V139" i="11"/>
  <c r="AD139" i="11" s="1"/>
  <c r="AI138" i="11"/>
  <c r="AC138" i="11"/>
  <c r="AD138" i="11" s="1"/>
  <c r="W138" i="11"/>
  <c r="X138" i="11" s="1"/>
  <c r="AG138" i="11" s="1"/>
  <c r="V138" i="11"/>
  <c r="AI137" i="11"/>
  <c r="AD137" i="11"/>
  <c r="AC137" i="11"/>
  <c r="W137" i="11"/>
  <c r="X137" i="11" s="1"/>
  <c r="V137" i="11"/>
  <c r="AI136" i="11"/>
  <c r="AC136" i="11"/>
  <c r="W136" i="11"/>
  <c r="X136" i="11" s="1"/>
  <c r="AG136" i="11" s="1"/>
  <c r="V136" i="11"/>
  <c r="AD136" i="11" s="1"/>
  <c r="AI135" i="11"/>
  <c r="AC135" i="11"/>
  <c r="W135" i="11"/>
  <c r="X135" i="11" s="1"/>
  <c r="V135" i="11"/>
  <c r="AI134" i="11"/>
  <c r="AC134" i="11"/>
  <c r="AD134" i="11" s="1"/>
  <c r="W134" i="11"/>
  <c r="X134" i="11" s="1"/>
  <c r="Z134" i="11" s="1"/>
  <c r="Y134" i="11" s="1"/>
  <c r="V134" i="11"/>
  <c r="AI133" i="11"/>
  <c r="AC133" i="11"/>
  <c r="AI132" i="11"/>
  <c r="AC132" i="11"/>
  <c r="AD132" i="11" s="1"/>
  <c r="W132" i="11"/>
  <c r="X132" i="11" s="1"/>
  <c r="V132" i="11"/>
  <c r="AI131" i="11"/>
  <c r="AD131" i="11"/>
  <c r="AC131" i="11"/>
  <c r="W131" i="11"/>
  <c r="X131" i="11" s="1"/>
  <c r="AG131" i="11" s="1"/>
  <c r="V131" i="11"/>
  <c r="AI130" i="11"/>
  <c r="AC130" i="11"/>
  <c r="W130" i="11"/>
  <c r="X130" i="11" s="1"/>
  <c r="AG130" i="11" s="1"/>
  <c r="V130" i="11"/>
  <c r="AD130" i="11" s="1"/>
  <c r="AI129" i="11"/>
  <c r="AC129" i="11"/>
  <c r="AD129" i="11" s="1"/>
  <c r="W129" i="11"/>
  <c r="X129" i="11" s="1"/>
  <c r="AG129" i="11" s="1"/>
  <c r="V129" i="11"/>
  <c r="AI128" i="11"/>
  <c r="AC128" i="11"/>
  <c r="W128" i="11"/>
  <c r="X128" i="11" s="1"/>
  <c r="AG128" i="11" s="1"/>
  <c r="V128" i="11"/>
  <c r="AI127" i="11"/>
  <c r="AD127" i="11"/>
  <c r="AC127" i="11"/>
  <c r="W127" i="11"/>
  <c r="X127" i="11" s="1"/>
  <c r="AG127" i="11" s="1"/>
  <c r="V127" i="11"/>
  <c r="AI126" i="11"/>
  <c r="AD126" i="11"/>
  <c r="AC126" i="11"/>
  <c r="W126" i="11"/>
  <c r="X126" i="11" s="1"/>
  <c r="V126" i="11"/>
  <c r="AI125" i="11"/>
  <c r="AC125" i="11"/>
  <c r="W125" i="11"/>
  <c r="X125" i="11" s="1"/>
  <c r="AG125" i="11" s="1"/>
  <c r="V125" i="11"/>
  <c r="AI124" i="11"/>
  <c r="AC124" i="11"/>
  <c r="W124" i="11"/>
  <c r="X124" i="11" s="1"/>
  <c r="V124" i="11"/>
  <c r="AI123" i="11"/>
  <c r="AC123" i="11"/>
  <c r="AD123" i="11" s="1"/>
  <c r="W123" i="11"/>
  <c r="X123" i="11" s="1"/>
  <c r="AG123" i="11" s="1"/>
  <c r="V123" i="11"/>
  <c r="AI122" i="11"/>
  <c r="AD122" i="11"/>
  <c r="AC122" i="11"/>
  <c r="W122" i="11"/>
  <c r="X122" i="11" s="1"/>
  <c r="V122" i="11"/>
  <c r="AI121" i="11"/>
  <c r="AC121" i="11"/>
  <c r="W121" i="11"/>
  <c r="X121" i="11" s="1"/>
  <c r="AG121" i="11" s="1"/>
  <c r="V121" i="11"/>
  <c r="AI120" i="11"/>
  <c r="AD120" i="11"/>
  <c r="AC120" i="11"/>
  <c r="W120" i="11"/>
  <c r="X120" i="11" s="1"/>
  <c r="AG120" i="11" s="1"/>
  <c r="V120" i="11"/>
  <c r="AI119" i="11"/>
  <c r="AC119" i="11"/>
  <c r="W119" i="11"/>
  <c r="X119" i="11" s="1"/>
  <c r="AG119" i="11" s="1"/>
  <c r="V119" i="11"/>
  <c r="AI118" i="11"/>
  <c r="AC118" i="11"/>
  <c r="AD118" i="11" s="1"/>
  <c r="W118" i="11"/>
  <c r="X118" i="11" s="1"/>
  <c r="AG118" i="11" s="1"/>
  <c r="V118" i="11"/>
  <c r="AI117" i="11"/>
  <c r="AC117" i="11"/>
  <c r="W117" i="11"/>
  <c r="X117" i="11" s="1"/>
  <c r="AG117" i="11" s="1"/>
  <c r="V117" i="11"/>
  <c r="AI116" i="11"/>
  <c r="AD116" i="11"/>
  <c r="AC116" i="11"/>
  <c r="W116" i="11"/>
  <c r="X116" i="11" s="1"/>
  <c r="AG116" i="11" s="1"/>
  <c r="V116" i="11"/>
  <c r="AI115" i="11"/>
  <c r="AC115" i="11"/>
  <c r="AD115" i="11" s="1"/>
  <c r="W115" i="11"/>
  <c r="X115" i="11" s="1"/>
  <c r="AG115" i="11" s="1"/>
  <c r="V115" i="11"/>
  <c r="AI114" i="11"/>
  <c r="AC114" i="11"/>
  <c r="W114" i="11"/>
  <c r="X114" i="11" s="1"/>
  <c r="AG114" i="11" s="1"/>
  <c r="V114" i="11"/>
  <c r="AI113" i="11"/>
  <c r="AC113" i="11"/>
  <c r="AD113" i="11" s="1"/>
  <c r="W113" i="11"/>
  <c r="X113" i="11" s="1"/>
  <c r="AG113" i="11" s="1"/>
  <c r="V113" i="11"/>
  <c r="AI112" i="11"/>
  <c r="AC112" i="11"/>
  <c r="AD112" i="11" s="1"/>
  <c r="W112" i="11"/>
  <c r="X112" i="11" s="1"/>
  <c r="Z112" i="11" s="1"/>
  <c r="Y112" i="11" s="1"/>
  <c r="V112" i="11"/>
  <c r="AI111" i="11"/>
  <c r="AC111" i="11"/>
  <c r="AD111" i="11" s="1"/>
  <c r="W111" i="11"/>
  <c r="X111" i="11" s="1"/>
  <c r="V111" i="11"/>
  <c r="AI110" i="11"/>
  <c r="AC110" i="11"/>
  <c r="AD110" i="11" s="1"/>
  <c r="W110" i="11"/>
  <c r="X110" i="11" s="1"/>
  <c r="V110" i="11"/>
  <c r="AI109" i="11"/>
  <c r="AD109" i="11"/>
  <c r="AC109" i="11"/>
  <c r="W109" i="11"/>
  <c r="X109" i="11" s="1"/>
  <c r="AG109" i="11" s="1"/>
  <c r="V109" i="11"/>
  <c r="AI108" i="11"/>
  <c r="AC108" i="11"/>
  <c r="W108" i="11"/>
  <c r="X108" i="11" s="1"/>
  <c r="V108" i="11"/>
  <c r="AD108" i="11" s="1"/>
  <c r="AI107" i="11"/>
  <c r="AC107" i="11"/>
  <c r="AD107" i="11" s="1"/>
  <c r="W107" i="11"/>
  <c r="X107" i="11" s="1"/>
  <c r="V107" i="11"/>
  <c r="AI106" i="11"/>
  <c r="AC106" i="11"/>
  <c r="W106" i="11"/>
  <c r="X106" i="11" s="1"/>
  <c r="AG106" i="11" s="1"/>
  <c r="V106" i="11"/>
  <c r="AD106" i="11" s="1"/>
  <c r="AI105" i="11"/>
  <c r="AC105" i="11"/>
  <c r="W105" i="11"/>
  <c r="X105" i="11" s="1"/>
  <c r="AG105" i="11" s="1"/>
  <c r="V105" i="11"/>
  <c r="AI104" i="11"/>
  <c r="AC104" i="11"/>
  <c r="AD104" i="11" s="1"/>
  <c r="W104" i="11"/>
  <c r="X104" i="11" s="1"/>
  <c r="Z104" i="11" s="1"/>
  <c r="Y104" i="11" s="1"/>
  <c r="V104" i="11"/>
  <c r="AI103" i="11"/>
  <c r="AC103" i="11"/>
  <c r="W103" i="11"/>
  <c r="X103" i="11" s="1"/>
  <c r="AG103" i="11" s="1"/>
  <c r="V103" i="11"/>
  <c r="AD103" i="11" s="1"/>
  <c r="AI102" i="11"/>
  <c r="AC102" i="11"/>
  <c r="W102" i="11"/>
  <c r="X102" i="11" s="1"/>
  <c r="AG102" i="11" s="1"/>
  <c r="V102" i="11"/>
  <c r="AI101" i="11"/>
  <c r="AD101" i="11"/>
  <c r="AC101" i="11"/>
  <c r="W101" i="11"/>
  <c r="X101" i="11" s="1"/>
  <c r="Z101" i="11" s="1"/>
  <c r="Y101" i="11" s="1"/>
  <c r="V101" i="11"/>
  <c r="AI100" i="11"/>
  <c r="AC100" i="11"/>
  <c r="AD100" i="11" s="1"/>
  <c r="W100" i="11"/>
  <c r="X100" i="11" s="1"/>
  <c r="V100" i="11"/>
  <c r="AI99" i="11"/>
  <c r="AC99" i="11"/>
  <c r="W99" i="11"/>
  <c r="X99" i="11" s="1"/>
  <c r="V99" i="11"/>
  <c r="AD99" i="11" s="1"/>
  <c r="AI98" i="11"/>
  <c r="AC98" i="11"/>
  <c r="W98" i="11"/>
  <c r="X98" i="11" s="1"/>
  <c r="V98" i="11"/>
  <c r="AD98" i="11" s="1"/>
  <c r="AI97" i="11"/>
  <c r="AC97" i="11"/>
  <c r="W97" i="11"/>
  <c r="X97" i="11" s="1"/>
  <c r="AG97" i="11" s="1"/>
  <c r="V97" i="11"/>
  <c r="AI96" i="11"/>
  <c r="AD96" i="11"/>
  <c r="AC96" i="11"/>
  <c r="W96" i="11"/>
  <c r="X96" i="11" s="1"/>
  <c r="AG96" i="11" s="1"/>
  <c r="V96" i="11"/>
  <c r="AI95" i="11"/>
  <c r="AD95" i="11"/>
  <c r="AC95" i="11"/>
  <c r="W95" i="11"/>
  <c r="X95" i="11" s="1"/>
  <c r="AG95" i="11" s="1"/>
  <c r="V95" i="11"/>
  <c r="AI94" i="11"/>
  <c r="AD94" i="11"/>
  <c r="AC94" i="11"/>
  <c r="W94" i="11"/>
  <c r="X94" i="11" s="1"/>
  <c r="AG94" i="11" s="1"/>
  <c r="V94" i="11"/>
  <c r="AI93" i="11"/>
  <c r="AC93" i="11"/>
  <c r="AD93" i="11" s="1"/>
  <c r="W93" i="11"/>
  <c r="X93" i="11" s="1"/>
  <c r="Z93" i="11" s="1"/>
  <c r="Y93" i="11" s="1"/>
  <c r="V93" i="11"/>
  <c r="AI92" i="11"/>
  <c r="AC92" i="11"/>
  <c r="W92" i="11"/>
  <c r="X92" i="11" s="1"/>
  <c r="V92" i="11"/>
  <c r="AD92" i="11" s="1"/>
  <c r="AI91" i="11"/>
  <c r="AC91" i="11"/>
  <c r="W91" i="11"/>
  <c r="X91" i="11" s="1"/>
  <c r="AG91" i="11" s="1"/>
  <c r="V91" i="11"/>
  <c r="AI90" i="11"/>
  <c r="AC90" i="11"/>
  <c r="AD90" i="11" s="1"/>
  <c r="W90" i="11"/>
  <c r="X90" i="11" s="1"/>
  <c r="V90" i="11"/>
  <c r="AI89" i="11"/>
  <c r="AC89" i="11"/>
  <c r="AD89" i="11" s="1"/>
  <c r="W89" i="11"/>
  <c r="X89" i="11" s="1"/>
  <c r="AG89" i="11" s="1"/>
  <c r="V89" i="11"/>
  <c r="AI88" i="11"/>
  <c r="AC88" i="11"/>
  <c r="W88" i="11"/>
  <c r="X88" i="11" s="1"/>
  <c r="AG88" i="11" s="1"/>
  <c r="V88" i="11"/>
  <c r="AI87" i="11"/>
  <c r="AC87" i="11"/>
  <c r="W87" i="11"/>
  <c r="X87" i="11" s="1"/>
  <c r="Z87" i="11" s="1"/>
  <c r="Y87" i="11" s="1"/>
  <c r="V87" i="11"/>
  <c r="AD87" i="11" s="1"/>
  <c r="AI86" i="11"/>
  <c r="AC86" i="11"/>
  <c r="W86" i="11"/>
  <c r="X86" i="11" s="1"/>
  <c r="AG86" i="11" s="1"/>
  <c r="V86" i="11"/>
  <c r="AD86" i="11" s="1"/>
  <c r="AI85" i="11"/>
  <c r="AD85" i="11"/>
  <c r="AC85" i="11"/>
  <c r="X85" i="11"/>
  <c r="AG85" i="11" s="1"/>
  <c r="W85" i="11"/>
  <c r="V85" i="11"/>
  <c r="AI84" i="11"/>
  <c r="AD84" i="11"/>
  <c r="AC84" i="11"/>
  <c r="W84" i="11"/>
  <c r="X84" i="11" s="1"/>
  <c r="AG84" i="11" s="1"/>
  <c r="V84" i="11"/>
  <c r="AI83" i="11"/>
  <c r="AC83" i="11"/>
  <c r="W83" i="11"/>
  <c r="X83" i="11" s="1"/>
  <c r="AG83" i="11" s="1"/>
  <c r="V83" i="11"/>
  <c r="AD83" i="11" s="1"/>
  <c r="AI82" i="11"/>
  <c r="AC82" i="11"/>
  <c r="W82" i="11"/>
  <c r="X82" i="11" s="1"/>
  <c r="AG82" i="11" s="1"/>
  <c r="V82" i="11"/>
  <c r="AD82" i="11" s="1"/>
  <c r="AI81" i="11"/>
  <c r="AC81" i="11"/>
  <c r="AD81" i="11" s="1"/>
  <c r="W81" i="11"/>
  <c r="X81" i="11" s="1"/>
  <c r="AG81" i="11" s="1"/>
  <c r="V81" i="11"/>
  <c r="AI80" i="11"/>
  <c r="AC80" i="11"/>
  <c r="AD80" i="11" s="1"/>
  <c r="W80" i="11"/>
  <c r="X80" i="11" s="1"/>
  <c r="AG80" i="11" s="1"/>
  <c r="V80" i="11"/>
  <c r="AI79" i="11"/>
  <c r="AD79" i="11"/>
  <c r="AC79" i="11"/>
  <c r="W79" i="11"/>
  <c r="X79" i="11" s="1"/>
  <c r="AG79" i="11" s="1"/>
  <c r="V79" i="11"/>
  <c r="AI78" i="11"/>
  <c r="AD78" i="11"/>
  <c r="AC78" i="11"/>
  <c r="W78" i="11"/>
  <c r="X78" i="11" s="1"/>
  <c r="V78" i="11"/>
  <c r="AI77" i="11"/>
  <c r="AC77" i="11"/>
  <c r="AD77" i="11" s="1"/>
  <c r="W77" i="11"/>
  <c r="X77" i="11" s="1"/>
  <c r="AG77" i="11" s="1"/>
  <c r="V77" i="11"/>
  <c r="AI76" i="11"/>
  <c r="AC76" i="11"/>
  <c r="W76" i="11"/>
  <c r="X76" i="11" s="1"/>
  <c r="AG76" i="11" s="1"/>
  <c r="V76" i="11"/>
  <c r="AD76" i="11" s="1"/>
  <c r="AI75" i="11"/>
  <c r="AC75" i="11"/>
  <c r="W75" i="11"/>
  <c r="X75" i="11" s="1"/>
  <c r="AG75" i="11" s="1"/>
  <c r="V75" i="11"/>
  <c r="AI74" i="11"/>
  <c r="AC74" i="11"/>
  <c r="AD74" i="11" s="1"/>
  <c r="W74" i="11"/>
  <c r="X74" i="11" s="1"/>
  <c r="V74" i="11"/>
  <c r="AI73" i="11"/>
  <c r="AC73" i="11"/>
  <c r="W73" i="11"/>
  <c r="X73" i="11" s="1"/>
  <c r="AG73" i="11" s="1"/>
  <c r="V73" i="11"/>
  <c r="AI72" i="11"/>
  <c r="AD72" i="11"/>
  <c r="AC72" i="11"/>
  <c r="W72" i="11"/>
  <c r="X72" i="11" s="1"/>
  <c r="V72" i="11"/>
  <c r="AI71" i="11"/>
  <c r="AC71" i="11"/>
  <c r="W71" i="11"/>
  <c r="X71" i="11" s="1"/>
  <c r="AG71" i="11" s="1"/>
  <c r="V71" i="11"/>
  <c r="AD71" i="11" s="1"/>
  <c r="AI70" i="11"/>
  <c r="AC70" i="11"/>
  <c r="W70" i="11"/>
  <c r="X70" i="11" s="1"/>
  <c r="AG70" i="11" s="1"/>
  <c r="V70" i="11"/>
  <c r="AI69" i="11"/>
  <c r="AH69" i="11"/>
  <c r="AC69" i="11"/>
  <c r="AD69" i="11" s="1"/>
  <c r="W69" i="11"/>
  <c r="X69" i="11" s="1"/>
  <c r="AG69" i="11" s="1"/>
  <c r="V69" i="11"/>
  <c r="AI68" i="11"/>
  <c r="AD68" i="11"/>
  <c r="AC68" i="11"/>
  <c r="W68" i="11"/>
  <c r="X68" i="11" s="1"/>
  <c r="AG68" i="11" s="1"/>
  <c r="V68" i="11"/>
  <c r="Z68" i="11" s="1"/>
  <c r="Y68" i="11" s="1"/>
  <c r="AI67" i="11"/>
  <c r="AD67" i="11"/>
  <c r="AC67" i="11"/>
  <c r="W67" i="11"/>
  <c r="X67" i="11" s="1"/>
  <c r="AG67" i="11" s="1"/>
  <c r="V67" i="11"/>
  <c r="AI66" i="11"/>
  <c r="AC66" i="11"/>
  <c r="AD66" i="11" s="1"/>
  <c r="W66" i="11"/>
  <c r="X66" i="11" s="1"/>
  <c r="AG66" i="11" s="1"/>
  <c r="V66" i="11"/>
  <c r="AI65" i="11"/>
  <c r="AH65" i="11"/>
  <c r="AC65" i="11"/>
  <c r="W65" i="11"/>
  <c r="X65" i="11" s="1"/>
  <c r="AG65" i="11" s="1"/>
  <c r="V65" i="11"/>
  <c r="AI64" i="11"/>
  <c r="W64" i="11"/>
  <c r="X64" i="11" s="1"/>
  <c r="AG64" i="11" s="1"/>
  <c r="AC64" i="11"/>
  <c r="V64" i="11"/>
  <c r="AD64" i="11" s="1"/>
  <c r="AI63" i="11"/>
  <c r="AC63" i="11"/>
  <c r="W63" i="11"/>
  <c r="X63" i="11" s="1"/>
  <c r="AG63" i="11" s="1"/>
  <c r="V63" i="11"/>
  <c r="AI62" i="11"/>
  <c r="AC62" i="11"/>
  <c r="W62" i="11"/>
  <c r="X62" i="11" s="1"/>
  <c r="AG62" i="11" s="1"/>
  <c r="V62" i="11"/>
  <c r="AI61" i="11"/>
  <c r="AD61" i="11"/>
  <c r="AC61" i="11"/>
  <c r="W61" i="11"/>
  <c r="X61" i="11" s="1"/>
  <c r="AG61" i="11" s="1"/>
  <c r="V61" i="11"/>
  <c r="AI60" i="11"/>
  <c r="AC60" i="11"/>
  <c r="W60" i="11"/>
  <c r="X60" i="11" s="1"/>
  <c r="AG60" i="11" s="1"/>
  <c r="V60" i="11"/>
  <c r="AI59" i="11"/>
  <c r="AC59" i="11"/>
  <c r="AD59" i="11" s="1"/>
  <c r="W59" i="11"/>
  <c r="X59" i="11" s="1"/>
  <c r="AG59" i="11" s="1"/>
  <c r="V59" i="11"/>
  <c r="AI58" i="11"/>
  <c r="AD58" i="11"/>
  <c r="AC58" i="11"/>
  <c r="W58" i="11"/>
  <c r="X58" i="11" s="1"/>
  <c r="V58" i="11"/>
  <c r="AI57" i="11"/>
  <c r="AC57" i="11"/>
  <c r="W57" i="11"/>
  <c r="X57" i="11" s="1"/>
  <c r="AG57" i="11" s="1"/>
  <c r="V57" i="11"/>
  <c r="AI56" i="11"/>
  <c r="AC56" i="11"/>
  <c r="W56" i="11"/>
  <c r="X56" i="11" s="1"/>
  <c r="V56" i="11"/>
  <c r="AI55" i="11"/>
  <c r="AC55" i="11"/>
  <c r="W55" i="11"/>
  <c r="X55" i="11" s="1"/>
  <c r="AG55" i="11" s="1"/>
  <c r="V55" i="11"/>
  <c r="AD55" i="11" s="1"/>
  <c r="AI54" i="11"/>
  <c r="AH54" i="11"/>
  <c r="AD54" i="11"/>
  <c r="AC54" i="11"/>
  <c r="W54" i="11"/>
  <c r="X54" i="11" s="1"/>
  <c r="Z54" i="11" s="1"/>
  <c r="Y54" i="11" s="1"/>
  <c r="V54" i="11"/>
  <c r="AI53" i="11"/>
  <c r="AC53" i="11"/>
  <c r="W53" i="11"/>
  <c r="X53" i="11" s="1"/>
  <c r="AG53" i="11" s="1"/>
  <c r="V53" i="11"/>
  <c r="AI52" i="11"/>
  <c r="AC52" i="11"/>
  <c r="W52" i="11"/>
  <c r="X52" i="11" s="1"/>
  <c r="AG52" i="11" s="1"/>
  <c r="V52" i="11"/>
  <c r="AI51" i="11"/>
  <c r="AC51" i="11"/>
  <c r="W51" i="11"/>
  <c r="X51" i="11" s="1"/>
  <c r="AG51" i="11" s="1"/>
  <c r="V51" i="11"/>
  <c r="AI50" i="11"/>
  <c r="W50" i="11"/>
  <c r="X50" i="11" s="1"/>
  <c r="AG50" i="11" s="1"/>
  <c r="AC50" i="11"/>
  <c r="AD50" i="11" s="1"/>
  <c r="V50" i="11"/>
  <c r="AI49" i="11"/>
  <c r="AC49" i="11"/>
  <c r="W49" i="11"/>
  <c r="X49" i="11" s="1"/>
  <c r="AG49" i="11" s="1"/>
  <c r="V49" i="11"/>
  <c r="AD49" i="11" s="1"/>
  <c r="AI48" i="11"/>
  <c r="AC48" i="11"/>
  <c r="W48" i="11"/>
  <c r="X48" i="11" s="1"/>
  <c r="AG48" i="11" s="1"/>
  <c r="V48" i="11"/>
  <c r="AD48" i="11" s="1"/>
  <c r="AI47" i="11"/>
  <c r="AD47" i="11"/>
  <c r="AC47" i="11"/>
  <c r="W47" i="11"/>
  <c r="X47" i="11" s="1"/>
  <c r="Z47" i="11" s="1"/>
  <c r="Y47" i="11" s="1"/>
  <c r="V47" i="11"/>
  <c r="AI46" i="11"/>
  <c r="AC46" i="11"/>
  <c r="AD46" i="11" s="1"/>
  <c r="W46" i="11"/>
  <c r="X46" i="11" s="1"/>
  <c r="V46" i="11"/>
  <c r="AI45" i="11"/>
  <c r="AC45" i="11"/>
  <c r="AD45" i="11" s="1"/>
  <c r="W45" i="11"/>
  <c r="X45" i="11" s="1"/>
  <c r="V45" i="11"/>
  <c r="AI44" i="11"/>
  <c r="AD44" i="11"/>
  <c r="AC44" i="11"/>
  <c r="W44" i="11"/>
  <c r="X44" i="11" s="1"/>
  <c r="V44" i="11"/>
  <c r="AI43" i="11"/>
  <c r="W43" i="11"/>
  <c r="X43" i="11" s="1"/>
  <c r="AG43" i="11" s="1"/>
  <c r="AC43" i="11"/>
  <c r="V43" i="11"/>
  <c r="AI42" i="11"/>
  <c r="AC42" i="11"/>
  <c r="W42" i="11"/>
  <c r="X42" i="11" s="1"/>
  <c r="V42" i="11"/>
  <c r="AI41" i="11"/>
  <c r="W41" i="11"/>
  <c r="X41" i="11" s="1"/>
  <c r="AG41" i="11" s="1"/>
  <c r="AC41" i="11"/>
  <c r="V41" i="11"/>
  <c r="AD41" i="11" s="1"/>
  <c r="AI40" i="11"/>
  <c r="AC40" i="11"/>
  <c r="W40" i="11"/>
  <c r="X40" i="11" s="1"/>
  <c r="V40" i="11"/>
  <c r="AI39" i="11"/>
  <c r="AC39" i="11"/>
  <c r="X39" i="11"/>
  <c r="AG39" i="11" s="1"/>
  <c r="V39" i="11"/>
  <c r="AI38" i="11"/>
  <c r="AC38" i="11"/>
  <c r="AI37" i="11"/>
  <c r="AC37" i="11"/>
  <c r="AD37" i="11" s="1"/>
  <c r="W37" i="11"/>
  <c r="X37" i="11" s="1"/>
  <c r="Z37" i="11" s="1"/>
  <c r="Y37" i="11" s="1"/>
  <c r="AI36" i="11"/>
  <c r="AD36" i="11"/>
  <c r="AC36" i="11"/>
  <c r="W36" i="11"/>
  <c r="X36" i="11" s="1"/>
  <c r="AI35" i="11"/>
  <c r="AC35" i="11"/>
  <c r="AD35" i="11" s="1"/>
  <c r="W35" i="11"/>
  <c r="X35" i="11" s="1"/>
  <c r="Z35" i="11" s="1"/>
  <c r="Y35" i="11" s="1"/>
  <c r="AI34" i="11"/>
  <c r="AC34" i="11"/>
  <c r="AD34" i="11" s="1"/>
  <c r="W34" i="11"/>
  <c r="X34" i="11" s="1"/>
  <c r="AI33" i="11"/>
  <c r="AC33" i="11"/>
  <c r="AD33" i="11" s="1"/>
  <c r="W33" i="11"/>
  <c r="X33" i="11" s="1"/>
  <c r="AI32" i="11"/>
  <c r="AC32" i="11"/>
  <c r="AD32" i="11" s="1"/>
  <c r="W32" i="11"/>
  <c r="X32" i="11" s="1"/>
  <c r="AI31" i="11"/>
  <c r="AG31" i="11" s="1"/>
  <c r="AD31" i="11"/>
  <c r="AC31" i="11"/>
  <c r="Z31" i="11"/>
  <c r="Y31" i="11" s="1"/>
  <c r="AI30" i="11"/>
  <c r="AC30" i="11"/>
  <c r="AD30" i="11" s="1"/>
  <c r="W30" i="11"/>
  <c r="X30" i="11" s="1"/>
  <c r="AI29" i="11"/>
  <c r="AC29" i="11"/>
  <c r="AD29" i="11" s="1"/>
  <c r="W29" i="11"/>
  <c r="X29" i="11" s="1"/>
  <c r="Z29" i="11" s="1"/>
  <c r="Y29" i="11" s="1"/>
  <c r="AI28" i="11"/>
  <c r="AC28" i="11"/>
  <c r="AD28" i="11" s="1"/>
  <c r="W28" i="11"/>
  <c r="X28" i="11" s="1"/>
  <c r="AI27" i="11"/>
  <c r="AC27" i="11"/>
  <c r="AD27" i="11" s="1"/>
  <c r="W27" i="11"/>
  <c r="X27" i="11" s="1"/>
  <c r="AI26" i="11"/>
  <c r="AC26" i="11"/>
  <c r="AD26" i="11" s="1"/>
  <c r="W26" i="11"/>
  <c r="X26" i="11" s="1"/>
  <c r="AI25" i="11"/>
  <c r="AD25" i="11"/>
  <c r="AC25" i="11"/>
  <c r="W25" i="11"/>
  <c r="X25" i="11" s="1"/>
  <c r="Z25" i="11" s="1"/>
  <c r="Y25" i="11" s="1"/>
  <c r="AI24" i="11"/>
  <c r="AC24" i="11"/>
  <c r="AD24" i="11" s="1"/>
  <c r="W24" i="11"/>
  <c r="X24" i="11" s="1"/>
  <c r="AI23" i="11"/>
  <c r="AC23" i="11"/>
  <c r="AD23" i="11" s="1"/>
  <c r="W23" i="11"/>
  <c r="X23" i="11" s="1"/>
  <c r="AI22" i="11"/>
  <c r="AD22" i="11"/>
  <c r="AC22" i="11"/>
  <c r="W22" i="11"/>
  <c r="X22" i="11" s="1"/>
  <c r="AG22" i="11" s="1"/>
  <c r="AI21" i="11"/>
  <c r="AC21" i="11"/>
  <c r="AD21" i="11" s="1"/>
  <c r="W21" i="11"/>
  <c r="X21" i="11" s="1"/>
  <c r="AI20" i="11"/>
  <c r="AC20" i="11"/>
  <c r="AD20" i="11" s="1"/>
  <c r="W20" i="11"/>
  <c r="X20" i="11" s="1"/>
  <c r="AI19" i="11"/>
  <c r="AD19" i="11"/>
  <c r="AC19" i="11"/>
  <c r="W19" i="11"/>
  <c r="X19" i="11" s="1"/>
  <c r="AI18" i="11"/>
  <c r="AC18" i="11"/>
  <c r="AD18" i="11" s="1"/>
  <c r="W18" i="11"/>
  <c r="X18" i="11" s="1"/>
  <c r="AI17" i="11"/>
  <c r="AD17" i="11"/>
  <c r="AC17" i="11"/>
  <c r="W17" i="11"/>
  <c r="X17" i="11" s="1"/>
  <c r="AG17" i="11" s="1"/>
  <c r="AI16" i="11"/>
  <c r="AC16" i="11"/>
  <c r="AD16" i="11" s="1"/>
  <c r="W16" i="11"/>
  <c r="X16" i="11" s="1"/>
  <c r="Z16" i="11" s="1"/>
  <c r="Y16" i="11" s="1"/>
  <c r="AI15" i="11"/>
  <c r="AC15" i="11"/>
  <c r="AD15" i="11" s="1"/>
  <c r="W15" i="11"/>
  <c r="X15" i="11" s="1"/>
  <c r="AI14" i="11"/>
  <c r="AC14" i="11"/>
  <c r="AD14" i="11" s="1"/>
  <c r="W14" i="11"/>
  <c r="X14" i="11" s="1"/>
  <c r="AI13" i="11"/>
  <c r="AC13" i="11"/>
  <c r="AD13" i="11" s="1"/>
  <c r="V9" i="11" s="1"/>
  <c r="W13" i="11"/>
  <c r="X13" i="11" s="1"/>
  <c r="Z13" i="11" s="1"/>
  <c r="Y13" i="11" s="1"/>
  <c r="AI12" i="11"/>
  <c r="AC12" i="11"/>
  <c r="AD12" i="11" s="1"/>
  <c r="W12" i="11"/>
  <c r="X12" i="11" s="1"/>
  <c r="AI11" i="11"/>
  <c r="AC11" i="11"/>
  <c r="AD11" i="11" s="1"/>
  <c r="W11" i="11"/>
  <c r="X11" i="11" s="1"/>
  <c r="AI10" i="11"/>
  <c r="AC10" i="11"/>
  <c r="AD10" i="11" s="1"/>
  <c r="W10" i="11"/>
  <c r="X10" i="11" s="1"/>
  <c r="AC9" i="11"/>
  <c r="M1073" i="2"/>
  <c r="N1078" i="2"/>
  <c r="N1075" i="2"/>
  <c r="N1076" i="2"/>
  <c r="N1074" i="2"/>
  <c r="M1077" i="2" s="1"/>
  <c r="N1077" i="2" s="1"/>
  <c r="AH41" i="9"/>
  <c r="W41" i="9" s="1"/>
  <c r="X41" i="9" s="1"/>
  <c r="AG41" i="9" s="1"/>
  <c r="AH230" i="9"/>
  <c r="AH234" i="9"/>
  <c r="AH233" i="9"/>
  <c r="AH458" i="9"/>
  <c r="AH467" i="9"/>
  <c r="AH466" i="9"/>
  <c r="W466" i="9" s="1"/>
  <c r="X466" i="9" s="1"/>
  <c r="AH465" i="9"/>
  <c r="AH372" i="9"/>
  <c r="AH238" i="9"/>
  <c r="AH214" i="9"/>
  <c r="AH213" i="9"/>
  <c r="W213" i="9" s="1"/>
  <c r="X213" i="9" s="1"/>
  <c r="Z213" i="9" s="1"/>
  <c r="Y213" i="9" s="1"/>
  <c r="AH212" i="9"/>
  <c r="AH54" i="9"/>
  <c r="AH43" i="9"/>
  <c r="AH44" i="9"/>
  <c r="AH64" i="9"/>
  <c r="AH60" i="9"/>
  <c r="AH69" i="9"/>
  <c r="W69" i="9" s="1"/>
  <c r="X69" i="9" s="1"/>
  <c r="AG69" i="9" s="1"/>
  <c r="AH493" i="9"/>
  <c r="AH490" i="9"/>
  <c r="AH448" i="9"/>
  <c r="AH383" i="9"/>
  <c r="AH346" i="9"/>
  <c r="AH236" i="9"/>
  <c r="AH229" i="9"/>
  <c r="AH228" i="9"/>
  <c r="AH159" i="9"/>
  <c r="AH158" i="9"/>
  <c r="AH161" i="9"/>
  <c r="AH160" i="9"/>
  <c r="AH227" i="9"/>
  <c r="AH226" i="9"/>
  <c r="W226" i="9"/>
  <c r="AH49" i="9"/>
  <c r="AH65" i="9"/>
  <c r="AH50" i="9"/>
  <c r="AH45" i="9"/>
  <c r="AH42" i="9"/>
  <c r="AH39" i="9"/>
  <c r="AH32" i="9"/>
  <c r="Z506" i="10"/>
  <c r="Y506" i="10"/>
  <c r="W506" i="10"/>
  <c r="Z505" i="10"/>
  <c r="W505" i="10"/>
  <c r="Z504" i="10"/>
  <c r="Y504" i="10"/>
  <c r="W504" i="10"/>
  <c r="AI503" i="10"/>
  <c r="AG503" i="10" s="1"/>
  <c r="AI502" i="10"/>
  <c r="AG502" i="10"/>
  <c r="AI501" i="10"/>
  <c r="AG501" i="10"/>
  <c r="AI500" i="10"/>
  <c r="AG500" i="10"/>
  <c r="AI499" i="10"/>
  <c r="AC499" i="10"/>
  <c r="AD499" i="10" s="1"/>
  <c r="X499" i="10"/>
  <c r="Z499" i="10" s="1"/>
  <c r="Z498" i="10" s="1"/>
  <c r="X498" i="10" s="1"/>
  <c r="AG498" i="10" s="1"/>
  <c r="W499" i="10"/>
  <c r="AI498" i="10"/>
  <c r="AC498" i="10"/>
  <c r="Y498" i="10"/>
  <c r="W498" i="10" s="1"/>
  <c r="V498" i="10"/>
  <c r="AI497" i="10"/>
  <c r="AC497" i="10"/>
  <c r="AD497" i="10" s="1"/>
  <c r="Z497" i="10"/>
  <c r="Y497" i="10" s="1"/>
  <c r="Y496" i="10" s="1"/>
  <c r="W496" i="10" s="1"/>
  <c r="W497" i="10"/>
  <c r="X497" i="10" s="1"/>
  <c r="AG497" i="10" s="1"/>
  <c r="AI496" i="10"/>
  <c r="AC496" i="10"/>
  <c r="Z496" i="10"/>
  <c r="X496" i="10" s="1"/>
  <c r="AG496" i="10" s="1"/>
  <c r="V496" i="10"/>
  <c r="AI495" i="10"/>
  <c r="AC495" i="10"/>
  <c r="AI494" i="10"/>
  <c r="AC494" i="10"/>
  <c r="AD494" i="10" s="1"/>
  <c r="W494" i="10"/>
  <c r="X494" i="10" s="1"/>
  <c r="Z494" i="10" s="1"/>
  <c r="Y494" i="10" s="1"/>
  <c r="AI493" i="10"/>
  <c r="AC493" i="10"/>
  <c r="AD493" i="10" s="1"/>
  <c r="Z493" i="10"/>
  <c r="W493" i="10"/>
  <c r="X493" i="10" s="1"/>
  <c r="AG493" i="10" s="1"/>
  <c r="AI492" i="10"/>
  <c r="AC492" i="10"/>
  <c r="V492" i="10"/>
  <c r="AI491" i="10"/>
  <c r="AC491" i="10"/>
  <c r="AD491" i="10" s="1"/>
  <c r="Z491" i="10"/>
  <c r="Y491" i="10" s="1"/>
  <c r="W491" i="10"/>
  <c r="X491" i="10" s="1"/>
  <c r="AG491" i="10" s="1"/>
  <c r="AI490" i="10"/>
  <c r="AC490" i="10"/>
  <c r="AD490" i="10" s="1"/>
  <c r="W490" i="10"/>
  <c r="X490" i="10" s="1"/>
  <c r="Z490" i="10" s="1"/>
  <c r="Y490" i="10" s="1"/>
  <c r="AI489" i="10"/>
  <c r="AC489" i="10"/>
  <c r="AD489" i="10" s="1"/>
  <c r="Z489" i="10"/>
  <c r="Y489" i="10" s="1"/>
  <c r="W489" i="10"/>
  <c r="X489" i="10" s="1"/>
  <c r="AG489" i="10" s="1"/>
  <c r="AI488" i="10"/>
  <c r="AC488" i="10"/>
  <c r="AD488" i="10" s="1"/>
  <c r="W488" i="10"/>
  <c r="X488" i="10" s="1"/>
  <c r="Z488" i="10" s="1"/>
  <c r="Y488" i="10" s="1"/>
  <c r="AI487" i="10"/>
  <c r="AC487" i="10"/>
  <c r="AD487" i="10" s="1"/>
  <c r="Z487" i="10"/>
  <c r="Y487" i="10" s="1"/>
  <c r="W487" i="10"/>
  <c r="X487" i="10" s="1"/>
  <c r="AG487" i="10" s="1"/>
  <c r="AI486" i="10"/>
  <c r="AC486" i="10"/>
  <c r="AD486" i="10" s="1"/>
  <c r="W486" i="10"/>
  <c r="X486" i="10" s="1"/>
  <c r="Z486" i="10" s="1"/>
  <c r="Y486" i="10" s="1"/>
  <c r="AI485" i="10"/>
  <c r="AC485" i="10"/>
  <c r="AD485" i="10" s="1"/>
  <c r="Z485" i="10"/>
  <c r="Y485" i="10" s="1"/>
  <c r="W485" i="10"/>
  <c r="X485" i="10" s="1"/>
  <c r="AG485" i="10" s="1"/>
  <c r="AI484" i="10"/>
  <c r="AC484" i="10"/>
  <c r="AD484" i="10" s="1"/>
  <c r="W484" i="10"/>
  <c r="X484" i="10" s="1"/>
  <c r="Z484" i="10" s="1"/>
  <c r="Y484" i="10" s="1"/>
  <c r="AI483" i="10"/>
  <c r="AC483" i="10"/>
  <c r="AD483" i="10" s="1"/>
  <c r="Z483" i="10"/>
  <c r="Y483" i="10" s="1"/>
  <c r="W483" i="10"/>
  <c r="X483" i="10" s="1"/>
  <c r="AG483" i="10" s="1"/>
  <c r="AI482" i="10"/>
  <c r="AC482" i="10"/>
  <c r="AD482" i="10" s="1"/>
  <c r="W482" i="10"/>
  <c r="X482" i="10" s="1"/>
  <c r="Z482" i="10" s="1"/>
  <c r="Y482" i="10" s="1"/>
  <c r="AI481" i="10"/>
  <c r="AC481" i="10"/>
  <c r="AD481" i="10" s="1"/>
  <c r="Z481" i="10"/>
  <c r="Y481" i="10" s="1"/>
  <c r="W481" i="10"/>
  <c r="X481" i="10" s="1"/>
  <c r="AG481" i="10" s="1"/>
  <c r="AI480" i="10"/>
  <c r="AC480" i="10"/>
  <c r="AD480" i="10" s="1"/>
  <c r="W480" i="10"/>
  <c r="X480" i="10" s="1"/>
  <c r="Z480" i="10" s="1"/>
  <c r="Y480" i="10" s="1"/>
  <c r="AI479" i="10"/>
  <c r="AC479" i="10"/>
  <c r="AD479" i="10" s="1"/>
  <c r="Z479" i="10"/>
  <c r="Y479" i="10" s="1"/>
  <c r="W479" i="10"/>
  <c r="X479" i="10" s="1"/>
  <c r="AG479" i="10" s="1"/>
  <c r="AI478" i="10"/>
  <c r="AC478" i="10"/>
  <c r="AD478" i="10" s="1"/>
  <c r="W478" i="10"/>
  <c r="X478" i="10" s="1"/>
  <c r="Z478" i="10" s="1"/>
  <c r="Y478" i="10" s="1"/>
  <c r="AI477" i="10"/>
  <c r="AC477" i="10"/>
  <c r="AD477" i="10" s="1"/>
  <c r="Z477" i="10"/>
  <c r="Y477" i="10" s="1"/>
  <c r="W477" i="10"/>
  <c r="X477" i="10" s="1"/>
  <c r="AG477" i="10" s="1"/>
  <c r="AI476" i="10"/>
  <c r="AC476" i="10"/>
  <c r="AD476" i="10" s="1"/>
  <c r="W476" i="10"/>
  <c r="X476" i="10" s="1"/>
  <c r="Z476" i="10" s="1"/>
  <c r="Y476" i="10" s="1"/>
  <c r="AI475" i="10"/>
  <c r="AC475" i="10"/>
  <c r="AD475" i="10" s="1"/>
  <c r="Z475" i="10"/>
  <c r="Y475" i="10" s="1"/>
  <c r="W475" i="10"/>
  <c r="X475" i="10" s="1"/>
  <c r="AG475" i="10" s="1"/>
  <c r="AI474" i="10"/>
  <c r="AC474" i="10"/>
  <c r="AD474" i="10" s="1"/>
  <c r="W474" i="10"/>
  <c r="X474" i="10" s="1"/>
  <c r="Z474" i="10" s="1"/>
  <c r="Y474" i="10" s="1"/>
  <c r="AI473" i="10"/>
  <c r="AC473" i="10"/>
  <c r="AD473" i="10" s="1"/>
  <c r="Z473" i="10"/>
  <c r="W473" i="10"/>
  <c r="X473" i="10" s="1"/>
  <c r="AG473" i="10" s="1"/>
  <c r="AI472" i="10"/>
  <c r="AC472" i="10"/>
  <c r="V472" i="10"/>
  <c r="AI471" i="10"/>
  <c r="AD471" i="10"/>
  <c r="AC471" i="10"/>
  <c r="Z471" i="10"/>
  <c r="Y471" i="10" s="1"/>
  <c r="X471" i="10"/>
  <c r="W471" i="10"/>
  <c r="AI470" i="10"/>
  <c r="AG470" i="10" s="1"/>
  <c r="AD470" i="10"/>
  <c r="AC470" i="10"/>
  <c r="Z470" i="10"/>
  <c r="Y470" i="10" s="1"/>
  <c r="X470" i="10"/>
  <c r="W470" i="10"/>
  <c r="AI469" i="10"/>
  <c r="AG469" i="10" s="1"/>
  <c r="AD469" i="10"/>
  <c r="AC469" i="10"/>
  <c r="Z469" i="10"/>
  <c r="Y469" i="10" s="1"/>
  <c r="X469" i="10"/>
  <c r="W469" i="10"/>
  <c r="AI468" i="10"/>
  <c r="AG468" i="10" s="1"/>
  <c r="AD468" i="10"/>
  <c r="AC468" i="10"/>
  <c r="Z468" i="10"/>
  <c r="Y468" i="10" s="1"/>
  <c r="X468" i="10"/>
  <c r="W468" i="10"/>
  <c r="AI467" i="10"/>
  <c r="AG467" i="10" s="1"/>
  <c r="AD467" i="10"/>
  <c r="AC467" i="10"/>
  <c r="Z467" i="10"/>
  <c r="Y467" i="10" s="1"/>
  <c r="X467" i="10"/>
  <c r="W467" i="10"/>
  <c r="AI466" i="10"/>
  <c r="AG466" i="10" s="1"/>
  <c r="AD466" i="10"/>
  <c r="AC466" i="10"/>
  <c r="Z466" i="10"/>
  <c r="Y466" i="10" s="1"/>
  <c r="X466" i="10"/>
  <c r="W466" i="10"/>
  <c r="AI465" i="10"/>
  <c r="AG465" i="10" s="1"/>
  <c r="AD465" i="10"/>
  <c r="AC465" i="10"/>
  <c r="Z465" i="10"/>
  <c r="Y465" i="10" s="1"/>
  <c r="X465" i="10"/>
  <c r="W465" i="10"/>
  <c r="AI464" i="10"/>
  <c r="AG464" i="10" s="1"/>
  <c r="AD464" i="10"/>
  <c r="AC464" i="10"/>
  <c r="Z464" i="10"/>
  <c r="Y464" i="10" s="1"/>
  <c r="X464" i="10"/>
  <c r="W464" i="10"/>
  <c r="AI463" i="10"/>
  <c r="AG463" i="10" s="1"/>
  <c r="AD463" i="10"/>
  <c r="AC463" i="10"/>
  <c r="Z463" i="10"/>
  <c r="Y463" i="10" s="1"/>
  <c r="X463" i="10"/>
  <c r="W463" i="10"/>
  <c r="AI462" i="10"/>
  <c r="AG462" i="10" s="1"/>
  <c r="AD462" i="10"/>
  <c r="AC462" i="10"/>
  <c r="Z462" i="10"/>
  <c r="Y462" i="10" s="1"/>
  <c r="X462" i="10"/>
  <c r="W462" i="10"/>
  <c r="AI461" i="10"/>
  <c r="AG461" i="10" s="1"/>
  <c r="AD461" i="10"/>
  <c r="AC461" i="10"/>
  <c r="Z461" i="10"/>
  <c r="Y461" i="10" s="1"/>
  <c r="X461" i="10"/>
  <c r="W461" i="10"/>
  <c r="AI460" i="10"/>
  <c r="AG460" i="10" s="1"/>
  <c r="AD460" i="10"/>
  <c r="AC460" i="10"/>
  <c r="Z460" i="10"/>
  <c r="Y460" i="10" s="1"/>
  <c r="X460" i="10"/>
  <c r="W460" i="10"/>
  <c r="AI459" i="10"/>
  <c r="AG459" i="10" s="1"/>
  <c r="AD459" i="10"/>
  <c r="AC459" i="10"/>
  <c r="Z459" i="10"/>
  <c r="Y459" i="10" s="1"/>
  <c r="W459" i="10"/>
  <c r="AI458" i="10"/>
  <c r="AD458" i="10"/>
  <c r="AC458" i="10"/>
  <c r="Y458" i="10"/>
  <c r="X458" i="10"/>
  <c r="Z458" i="10" s="1"/>
  <c r="W458" i="10"/>
  <c r="AI457" i="10"/>
  <c r="AD457" i="10"/>
  <c r="AC457" i="10"/>
  <c r="X457" i="10"/>
  <c r="Z457" i="10" s="1"/>
  <c r="Y457" i="10" s="1"/>
  <c r="W457" i="10"/>
  <c r="AI456" i="10"/>
  <c r="AD456" i="10"/>
  <c r="AC456" i="10"/>
  <c r="W456" i="10"/>
  <c r="X456" i="10" s="1"/>
  <c r="AI455" i="10"/>
  <c r="AC455" i="10"/>
  <c r="AD455" i="10" s="1"/>
  <c r="Y455" i="10"/>
  <c r="X455" i="10"/>
  <c r="Z455" i="10" s="1"/>
  <c r="W455" i="10"/>
  <c r="AI454" i="10"/>
  <c r="AD454" i="10"/>
  <c r="AC454" i="10"/>
  <c r="Y454" i="10"/>
  <c r="X454" i="10"/>
  <c r="Z454" i="10" s="1"/>
  <c r="W454" i="10"/>
  <c r="AI453" i="10"/>
  <c r="AG453" i="10"/>
  <c r="AD453" i="10"/>
  <c r="AC453" i="10"/>
  <c r="Z453" i="10"/>
  <c r="Y453" i="10"/>
  <c r="W453" i="10"/>
  <c r="AI452" i="10"/>
  <c r="AC452" i="10"/>
  <c r="AD452" i="10" s="1"/>
  <c r="Z452" i="10"/>
  <c r="Y452" i="10" s="1"/>
  <c r="X452" i="10"/>
  <c r="AG452" i="10" s="1"/>
  <c r="W452" i="10"/>
  <c r="AI451" i="10"/>
  <c r="AC451" i="10"/>
  <c r="AI450" i="10"/>
  <c r="AC450" i="10"/>
  <c r="AD450" i="10" s="1"/>
  <c r="Z450" i="10"/>
  <c r="Y450" i="10" s="1"/>
  <c r="X450" i="10"/>
  <c r="AG450" i="10" s="1"/>
  <c r="W450" i="10"/>
  <c r="AI449" i="10"/>
  <c r="AD449" i="10"/>
  <c r="AC449" i="10"/>
  <c r="X449" i="10"/>
  <c r="W449" i="10"/>
  <c r="AI448" i="10"/>
  <c r="AC448" i="10"/>
  <c r="AD448" i="10" s="1"/>
  <c r="V447" i="10" s="1"/>
  <c r="Z448" i="10"/>
  <c r="Y448" i="10" s="1"/>
  <c r="X448" i="10"/>
  <c r="AG448" i="10" s="1"/>
  <c r="W448" i="10"/>
  <c r="AI447" i="10"/>
  <c r="AC447" i="10"/>
  <c r="AI446" i="10"/>
  <c r="AC446" i="10"/>
  <c r="AD446" i="10" s="1"/>
  <c r="Z446" i="10"/>
  <c r="Y446" i="10" s="1"/>
  <c r="X446" i="10"/>
  <c r="AG446" i="10" s="1"/>
  <c r="W446" i="10"/>
  <c r="AI445" i="10"/>
  <c r="AD445" i="10"/>
  <c r="AC445" i="10"/>
  <c r="X445" i="10"/>
  <c r="W445" i="10"/>
  <c r="AI444" i="10"/>
  <c r="AC444" i="10"/>
  <c r="AD444" i="10" s="1"/>
  <c r="Z444" i="10"/>
  <c r="Y444" i="10" s="1"/>
  <c r="X444" i="10"/>
  <c r="AG444" i="10" s="1"/>
  <c r="W444" i="10"/>
  <c r="AI443" i="10"/>
  <c r="AD443" i="10"/>
  <c r="AC443" i="10"/>
  <c r="X443" i="10"/>
  <c r="W443" i="10"/>
  <c r="AI442" i="10"/>
  <c r="AC442" i="10"/>
  <c r="AD442" i="10" s="1"/>
  <c r="Z442" i="10"/>
  <c r="Y442" i="10" s="1"/>
  <c r="X442" i="10"/>
  <c r="AG442" i="10" s="1"/>
  <c r="W442" i="10"/>
  <c r="AI441" i="10"/>
  <c r="AD441" i="10"/>
  <c r="AC441" i="10"/>
  <c r="X441" i="10"/>
  <c r="W441" i="10"/>
  <c r="AI440" i="10"/>
  <c r="AC440" i="10"/>
  <c r="AD440" i="10" s="1"/>
  <c r="Z440" i="10"/>
  <c r="Y440" i="10" s="1"/>
  <c r="X440" i="10"/>
  <c r="AG440" i="10" s="1"/>
  <c r="W440" i="10"/>
  <c r="AI439" i="10"/>
  <c r="AG439" i="10" s="1"/>
  <c r="AD439" i="10"/>
  <c r="AC439" i="10"/>
  <c r="Z439" i="10"/>
  <c r="Y439" i="10" s="1"/>
  <c r="X439" i="10"/>
  <c r="W439" i="10"/>
  <c r="AI438" i="10"/>
  <c r="AG438" i="10" s="1"/>
  <c r="AD438" i="10"/>
  <c r="AC438" i="10"/>
  <c r="Z438" i="10"/>
  <c r="Y438" i="10" s="1"/>
  <c r="X438" i="10"/>
  <c r="W438" i="10"/>
  <c r="AI437" i="10"/>
  <c r="AG437" i="10" s="1"/>
  <c r="AD437" i="10"/>
  <c r="AC437" i="10"/>
  <c r="Z437" i="10"/>
  <c r="Y437" i="10" s="1"/>
  <c r="X437" i="10"/>
  <c r="W437" i="10"/>
  <c r="AI436" i="10"/>
  <c r="AG436" i="10" s="1"/>
  <c r="AD436" i="10"/>
  <c r="AC436" i="10"/>
  <c r="Z436" i="10"/>
  <c r="Y436" i="10" s="1"/>
  <c r="X436" i="10"/>
  <c r="W436" i="10"/>
  <c r="AI435" i="10"/>
  <c r="AG435" i="10" s="1"/>
  <c r="AD435" i="10"/>
  <c r="AC435" i="10"/>
  <c r="Z435" i="10"/>
  <c r="Y435" i="10" s="1"/>
  <c r="X435" i="10"/>
  <c r="W435" i="10"/>
  <c r="AI434" i="10"/>
  <c r="AG434" i="10" s="1"/>
  <c r="AD434" i="10"/>
  <c r="AC434" i="10"/>
  <c r="Z434" i="10"/>
  <c r="Y434" i="10" s="1"/>
  <c r="X434" i="10"/>
  <c r="W434" i="10"/>
  <c r="AI433" i="10"/>
  <c r="AG433" i="10" s="1"/>
  <c r="AD433" i="10"/>
  <c r="AC433" i="10"/>
  <c r="Z433" i="10"/>
  <c r="Y433" i="10" s="1"/>
  <c r="X433" i="10"/>
  <c r="W433" i="10"/>
  <c r="AI432" i="10"/>
  <c r="AG432" i="10" s="1"/>
  <c r="AD432" i="10"/>
  <c r="AC432" i="10"/>
  <c r="Z432" i="10"/>
  <c r="Y432" i="10" s="1"/>
  <c r="X432" i="10"/>
  <c r="W432" i="10"/>
  <c r="AI431" i="10"/>
  <c r="AG431" i="10" s="1"/>
  <c r="AD431" i="10"/>
  <c r="AC431" i="10"/>
  <c r="Z431" i="10"/>
  <c r="Y431" i="10" s="1"/>
  <c r="X431" i="10"/>
  <c r="W431" i="10"/>
  <c r="AI430" i="10"/>
  <c r="AG430" i="10" s="1"/>
  <c r="AD430" i="10"/>
  <c r="AC430" i="10"/>
  <c r="Z430" i="10"/>
  <c r="Y430" i="10" s="1"/>
  <c r="X430" i="10"/>
  <c r="W430" i="10"/>
  <c r="AI429" i="10"/>
  <c r="AG429" i="10" s="1"/>
  <c r="AD429" i="10"/>
  <c r="AC429" i="10"/>
  <c r="Z429" i="10"/>
  <c r="Y429" i="10" s="1"/>
  <c r="X429" i="10"/>
  <c r="W429" i="10"/>
  <c r="AI428" i="10"/>
  <c r="AG428" i="10" s="1"/>
  <c r="AD428" i="10"/>
  <c r="AC428" i="10"/>
  <c r="Z428" i="10"/>
  <c r="Y428" i="10" s="1"/>
  <c r="X428" i="10"/>
  <c r="W428" i="10"/>
  <c r="AI427" i="10"/>
  <c r="AG427" i="10" s="1"/>
  <c r="AD427" i="10"/>
  <c r="AC427" i="10"/>
  <c r="Z427" i="10"/>
  <c r="Y427" i="10" s="1"/>
  <c r="X427" i="10"/>
  <c r="W427" i="10"/>
  <c r="AI426" i="10"/>
  <c r="AG426" i="10" s="1"/>
  <c r="AD426" i="10"/>
  <c r="AC426" i="10"/>
  <c r="Z426" i="10"/>
  <c r="Y426" i="10" s="1"/>
  <c r="X426" i="10"/>
  <c r="W426" i="10"/>
  <c r="AI425" i="10"/>
  <c r="AG425" i="10" s="1"/>
  <c r="AD425" i="10"/>
  <c r="AC425" i="10"/>
  <c r="Z425" i="10"/>
  <c r="Y425" i="10" s="1"/>
  <c r="X425" i="10"/>
  <c r="W425" i="10"/>
  <c r="AI424" i="10"/>
  <c r="AG424" i="10" s="1"/>
  <c r="AD424" i="10"/>
  <c r="AC424" i="10"/>
  <c r="Z424" i="10"/>
  <c r="Y424" i="10" s="1"/>
  <c r="X424" i="10"/>
  <c r="W424" i="10"/>
  <c r="AI423" i="10"/>
  <c r="AG423" i="10" s="1"/>
  <c r="AD423" i="10"/>
  <c r="AC423" i="10"/>
  <c r="Z423" i="10"/>
  <c r="Y423" i="10" s="1"/>
  <c r="X423" i="10"/>
  <c r="W423" i="10"/>
  <c r="AI422" i="10"/>
  <c r="AG422" i="10" s="1"/>
  <c r="AD422" i="10"/>
  <c r="AC422" i="10"/>
  <c r="Z422" i="10"/>
  <c r="Y422" i="10" s="1"/>
  <c r="X422" i="10"/>
  <c r="W422" i="10"/>
  <c r="AI421" i="10"/>
  <c r="AG421" i="10" s="1"/>
  <c r="AD421" i="10"/>
  <c r="AC421" i="10"/>
  <c r="Z421" i="10"/>
  <c r="Y421" i="10" s="1"/>
  <c r="X421" i="10"/>
  <c r="W421" i="10"/>
  <c r="AI420" i="10"/>
  <c r="AG420" i="10" s="1"/>
  <c r="AD420" i="10"/>
  <c r="AC420" i="10"/>
  <c r="Z420" i="10"/>
  <c r="Y420" i="10" s="1"/>
  <c r="X420" i="10"/>
  <c r="W420" i="10"/>
  <c r="AI419" i="10"/>
  <c r="AG419" i="10" s="1"/>
  <c r="AD419" i="10"/>
  <c r="AC419" i="10"/>
  <c r="Z419" i="10"/>
  <c r="Y419" i="10" s="1"/>
  <c r="X419" i="10"/>
  <c r="W419" i="10"/>
  <c r="AI418" i="10"/>
  <c r="AG418" i="10" s="1"/>
  <c r="AD418" i="10"/>
  <c r="AC418" i="10"/>
  <c r="Z418" i="10"/>
  <c r="Y418" i="10" s="1"/>
  <c r="X418" i="10"/>
  <c r="W418" i="10"/>
  <c r="AI417" i="10"/>
  <c r="AG417" i="10" s="1"/>
  <c r="AD417" i="10"/>
  <c r="AC417" i="10"/>
  <c r="Z417" i="10"/>
  <c r="Y417" i="10" s="1"/>
  <c r="X417" i="10"/>
  <c r="W417" i="10"/>
  <c r="AI416" i="10"/>
  <c r="AG416" i="10" s="1"/>
  <c r="AD416" i="10"/>
  <c r="AC416" i="10"/>
  <c r="Z416" i="10"/>
  <c r="Y416" i="10" s="1"/>
  <c r="X416" i="10"/>
  <c r="W416" i="10"/>
  <c r="AI415" i="10"/>
  <c r="AG415" i="10" s="1"/>
  <c r="AD415" i="10"/>
  <c r="AC415" i="10"/>
  <c r="Z415" i="10"/>
  <c r="Y415" i="10" s="1"/>
  <c r="X415" i="10"/>
  <c r="W415" i="10"/>
  <c r="AI414" i="10"/>
  <c r="AG414" i="10" s="1"/>
  <c r="AD414" i="10"/>
  <c r="AC414" i="10"/>
  <c r="Z414" i="10"/>
  <c r="Y414" i="10" s="1"/>
  <c r="X414" i="10"/>
  <c r="W414" i="10"/>
  <c r="AI413" i="10"/>
  <c r="AG413" i="10" s="1"/>
  <c r="AD413" i="10"/>
  <c r="AC413" i="10"/>
  <c r="Z413" i="10"/>
  <c r="Y413" i="10" s="1"/>
  <c r="X413" i="10"/>
  <c r="W413" i="10"/>
  <c r="AI412" i="10"/>
  <c r="AG412" i="10" s="1"/>
  <c r="AD412" i="10"/>
  <c r="AC412" i="10"/>
  <c r="Z412" i="10"/>
  <c r="Y412" i="10" s="1"/>
  <c r="X412" i="10"/>
  <c r="W412" i="10"/>
  <c r="AI411" i="10"/>
  <c r="AG411" i="10" s="1"/>
  <c r="AD411" i="10"/>
  <c r="AC411" i="10"/>
  <c r="Z411" i="10"/>
  <c r="Y411" i="10" s="1"/>
  <c r="X411" i="10"/>
  <c r="W411" i="10"/>
  <c r="AI410" i="10"/>
  <c r="AG410" i="10" s="1"/>
  <c r="AD410" i="10"/>
  <c r="AC410" i="10"/>
  <c r="Z410" i="10"/>
  <c r="Y410" i="10" s="1"/>
  <c r="X410" i="10"/>
  <c r="W410" i="10"/>
  <c r="AI409" i="10"/>
  <c r="AG409" i="10" s="1"/>
  <c r="AD409" i="10"/>
  <c r="AC409" i="10"/>
  <c r="Z409" i="10"/>
  <c r="Y409" i="10" s="1"/>
  <c r="X409" i="10"/>
  <c r="W409" i="10"/>
  <c r="AI408" i="10"/>
  <c r="AG408" i="10" s="1"/>
  <c r="AD408" i="10"/>
  <c r="V407" i="10" s="1"/>
  <c r="AC408" i="10"/>
  <c r="Z408" i="10"/>
  <c r="X408" i="10"/>
  <c r="W408" i="10"/>
  <c r="AI407" i="10"/>
  <c r="AC407" i="10"/>
  <c r="AI406" i="10"/>
  <c r="AD406" i="10"/>
  <c r="X406" i="10"/>
  <c r="Z406" i="10" s="1"/>
  <c r="Y406" i="10" s="1"/>
  <c r="W406" i="10"/>
  <c r="AI405" i="10"/>
  <c r="AD405" i="10"/>
  <c r="Z405" i="10"/>
  <c r="Y405" i="10" s="1"/>
  <c r="X405" i="10"/>
  <c r="W405" i="10"/>
  <c r="AI404" i="10"/>
  <c r="AD404" i="10"/>
  <c r="X404" i="10"/>
  <c r="Z404" i="10" s="1"/>
  <c r="Y404" i="10" s="1"/>
  <c r="W404" i="10"/>
  <c r="AI403" i="10"/>
  <c r="AD403" i="10"/>
  <c r="Z403" i="10"/>
  <c r="Y403" i="10" s="1"/>
  <c r="X403" i="10"/>
  <c r="W403" i="10"/>
  <c r="AI402" i="10"/>
  <c r="AD402" i="10"/>
  <c r="X402" i="10"/>
  <c r="Z402" i="10" s="1"/>
  <c r="Y402" i="10" s="1"/>
  <c r="W402" i="10"/>
  <c r="AI401" i="10"/>
  <c r="AD401" i="10"/>
  <c r="Z401" i="10"/>
  <c r="Y401" i="10" s="1"/>
  <c r="X401" i="10"/>
  <c r="W401" i="10"/>
  <c r="AI400" i="10"/>
  <c r="AD400" i="10"/>
  <c r="X400" i="10"/>
  <c r="Z400" i="10" s="1"/>
  <c r="Y400" i="10" s="1"/>
  <c r="W400" i="10"/>
  <c r="AI399" i="10"/>
  <c r="AD399" i="10"/>
  <c r="Z399" i="10"/>
  <c r="Y399" i="10" s="1"/>
  <c r="X399" i="10"/>
  <c r="W399" i="10"/>
  <c r="AI398" i="10"/>
  <c r="AD398" i="10"/>
  <c r="X398" i="10"/>
  <c r="Z398" i="10" s="1"/>
  <c r="Y398" i="10" s="1"/>
  <c r="W398" i="10"/>
  <c r="AI397" i="10"/>
  <c r="AD397" i="10"/>
  <c r="Z397" i="10"/>
  <c r="Y397" i="10" s="1"/>
  <c r="X397" i="10"/>
  <c r="W397" i="10"/>
  <c r="AI396" i="10"/>
  <c r="AD396" i="10"/>
  <c r="X396" i="10"/>
  <c r="Z396" i="10" s="1"/>
  <c r="Y396" i="10" s="1"/>
  <c r="W396" i="10"/>
  <c r="AI395" i="10"/>
  <c r="AD395" i="10"/>
  <c r="Z395" i="10"/>
  <c r="Y395" i="10" s="1"/>
  <c r="X395" i="10"/>
  <c r="W395" i="10"/>
  <c r="AI394" i="10"/>
  <c r="AD394" i="10"/>
  <c r="X394" i="10"/>
  <c r="Z394" i="10" s="1"/>
  <c r="Y394" i="10" s="1"/>
  <c r="W394" i="10"/>
  <c r="AI393" i="10"/>
  <c r="AD393" i="10"/>
  <c r="Z393" i="10"/>
  <c r="Y393" i="10" s="1"/>
  <c r="X393" i="10"/>
  <c r="W393" i="10"/>
  <c r="AI392" i="10"/>
  <c r="AD392" i="10"/>
  <c r="X392" i="10"/>
  <c r="Z392" i="10" s="1"/>
  <c r="Y392" i="10" s="1"/>
  <c r="W392" i="10"/>
  <c r="AI391" i="10"/>
  <c r="AD391" i="10"/>
  <c r="Z391" i="10"/>
  <c r="Y391" i="10" s="1"/>
  <c r="X391" i="10"/>
  <c r="W391" i="10"/>
  <c r="AI390" i="10"/>
  <c r="AD390" i="10"/>
  <c r="X390" i="10"/>
  <c r="Z390" i="10" s="1"/>
  <c r="Y390" i="10" s="1"/>
  <c r="W390" i="10"/>
  <c r="AI389" i="10"/>
  <c r="AD389" i="10"/>
  <c r="Z389" i="10"/>
  <c r="Y389" i="10" s="1"/>
  <c r="X389" i="10"/>
  <c r="W389" i="10"/>
  <c r="AI388" i="10"/>
  <c r="AG388" i="10" s="1"/>
  <c r="AD388" i="10"/>
  <c r="AC388" i="10"/>
  <c r="Z388" i="10"/>
  <c r="Y388" i="10" s="1"/>
  <c r="X388" i="10"/>
  <c r="W388" i="10"/>
  <c r="AI387" i="10"/>
  <c r="AG387" i="10" s="1"/>
  <c r="AD387" i="10"/>
  <c r="AC387" i="10"/>
  <c r="Z387" i="10"/>
  <c r="Y387" i="10" s="1"/>
  <c r="X387" i="10"/>
  <c r="W387" i="10"/>
  <c r="AI386" i="10"/>
  <c r="AG386" i="10" s="1"/>
  <c r="AD386" i="10"/>
  <c r="AC386" i="10"/>
  <c r="Z386" i="10"/>
  <c r="Y386" i="10" s="1"/>
  <c r="X386" i="10"/>
  <c r="W386" i="10"/>
  <c r="AI385" i="10"/>
  <c r="AG385" i="10" s="1"/>
  <c r="AD385" i="10"/>
  <c r="AC385" i="10"/>
  <c r="Z385" i="10"/>
  <c r="Y385" i="10" s="1"/>
  <c r="X385" i="10"/>
  <c r="W385" i="10"/>
  <c r="AI384" i="10"/>
  <c r="AG384" i="10" s="1"/>
  <c r="AD384" i="10"/>
  <c r="AC384" i="10"/>
  <c r="Z384" i="10"/>
  <c r="Y384" i="10" s="1"/>
  <c r="X384" i="10"/>
  <c r="W384" i="10"/>
  <c r="AI383" i="10"/>
  <c r="AG383" i="10" s="1"/>
  <c r="AD383" i="10"/>
  <c r="AC383" i="10"/>
  <c r="Z383" i="10"/>
  <c r="Y383" i="10" s="1"/>
  <c r="X383" i="10"/>
  <c r="W383" i="10"/>
  <c r="AI382" i="10"/>
  <c r="AG382" i="10" s="1"/>
  <c r="AD382" i="10"/>
  <c r="AC382" i="10"/>
  <c r="Z382" i="10"/>
  <c r="Y382" i="10" s="1"/>
  <c r="X382" i="10"/>
  <c r="W382" i="10"/>
  <c r="AI381" i="10"/>
  <c r="AG381" i="10" s="1"/>
  <c r="AD381" i="10"/>
  <c r="AC381" i="10"/>
  <c r="Z381" i="10"/>
  <c r="Y381" i="10" s="1"/>
  <c r="X381" i="10"/>
  <c r="W381" i="10"/>
  <c r="AI380" i="10"/>
  <c r="AG380" i="10" s="1"/>
  <c r="AD380" i="10"/>
  <c r="AC380" i="10"/>
  <c r="Z380" i="10"/>
  <c r="Y380" i="10" s="1"/>
  <c r="X380" i="10"/>
  <c r="W380" i="10"/>
  <c r="AI379" i="10"/>
  <c r="AG379" i="10" s="1"/>
  <c r="AD379" i="10"/>
  <c r="AC379" i="10"/>
  <c r="Z379" i="10"/>
  <c r="Y379" i="10" s="1"/>
  <c r="X379" i="10"/>
  <c r="W379" i="10"/>
  <c r="AI378" i="10"/>
  <c r="AG378" i="10" s="1"/>
  <c r="AD378" i="10"/>
  <c r="AC378" i="10"/>
  <c r="Z378" i="10"/>
  <c r="X378" i="10"/>
  <c r="W378" i="10"/>
  <c r="AI377" i="10"/>
  <c r="AC377" i="10"/>
  <c r="V377" i="10"/>
  <c r="AI376" i="10"/>
  <c r="AC376" i="10"/>
  <c r="AD376" i="10" s="1"/>
  <c r="W376" i="10"/>
  <c r="X376" i="10" s="1"/>
  <c r="AI375" i="10"/>
  <c r="AC375" i="10"/>
  <c r="AD375" i="10" s="1"/>
  <c r="W375" i="10"/>
  <c r="X375" i="10" s="1"/>
  <c r="AI374" i="10"/>
  <c r="AC374" i="10"/>
  <c r="AD374" i="10" s="1"/>
  <c r="W374" i="10"/>
  <c r="X374" i="10" s="1"/>
  <c r="AI373" i="10"/>
  <c r="AG373" i="10" s="1"/>
  <c r="AC373" i="10"/>
  <c r="AD373" i="10" s="1"/>
  <c r="AA373" i="10"/>
  <c r="Y373" i="10"/>
  <c r="W373" i="10" s="1"/>
  <c r="X373" i="10"/>
  <c r="AI372" i="10"/>
  <c r="AC372" i="10"/>
  <c r="AD372" i="10" s="1"/>
  <c r="W372" i="10"/>
  <c r="X372" i="10" s="1"/>
  <c r="Z372" i="10" s="1"/>
  <c r="Y372" i="10" s="1"/>
  <c r="AI371" i="10"/>
  <c r="AG371" i="10"/>
  <c r="AC371" i="10"/>
  <c r="AD371" i="10" s="1"/>
  <c r="W371" i="10"/>
  <c r="X371" i="10" s="1"/>
  <c r="Z371" i="10" s="1"/>
  <c r="Y371" i="10" s="1"/>
  <c r="AI370" i="10"/>
  <c r="AG370" i="10"/>
  <c r="AC370" i="10"/>
  <c r="AD370" i="10" s="1"/>
  <c r="Z370" i="10"/>
  <c r="W370" i="10"/>
  <c r="X370" i="10" s="1"/>
  <c r="AI369" i="10"/>
  <c r="AC369" i="10"/>
  <c r="AI368" i="10"/>
  <c r="AC368" i="10"/>
  <c r="AD368" i="10" s="1"/>
  <c r="W368" i="10"/>
  <c r="X368" i="10" s="1"/>
  <c r="AI367" i="10"/>
  <c r="AC367" i="10"/>
  <c r="AD367" i="10" s="1"/>
  <c r="Z367" i="10"/>
  <c r="Y367" i="10"/>
  <c r="W367" i="10"/>
  <c r="X367" i="10" s="1"/>
  <c r="AG367" i="10" s="1"/>
  <c r="AI366" i="10"/>
  <c r="AC366" i="10"/>
  <c r="AD366" i="10" s="1"/>
  <c r="W366" i="10"/>
  <c r="X366" i="10" s="1"/>
  <c r="Z366" i="10" s="1"/>
  <c r="Y366" i="10" s="1"/>
  <c r="AI365" i="10"/>
  <c r="AD365" i="10"/>
  <c r="AC365" i="10"/>
  <c r="W365" i="10"/>
  <c r="X365" i="10" s="1"/>
  <c r="AI364" i="10"/>
  <c r="AD364" i="10"/>
  <c r="AC364" i="10"/>
  <c r="Z364" i="10"/>
  <c r="Y364" i="10" s="1"/>
  <c r="W364" i="10"/>
  <c r="X364" i="10" s="1"/>
  <c r="AG364" i="10" s="1"/>
  <c r="AI363" i="10"/>
  <c r="AD363" i="10"/>
  <c r="AC363" i="10"/>
  <c r="W363" i="10"/>
  <c r="X363" i="10" s="1"/>
  <c r="AI362" i="10"/>
  <c r="AD362" i="10"/>
  <c r="AC362" i="10"/>
  <c r="Z362" i="10"/>
  <c r="Y362" i="10" s="1"/>
  <c r="W362" i="10"/>
  <c r="X362" i="10" s="1"/>
  <c r="AG362" i="10" s="1"/>
  <c r="AI361" i="10"/>
  <c r="AD361" i="10"/>
  <c r="AC361" i="10"/>
  <c r="W361" i="10"/>
  <c r="X361" i="10" s="1"/>
  <c r="AI360" i="10"/>
  <c r="AD360" i="10"/>
  <c r="AC360" i="10"/>
  <c r="W360" i="10"/>
  <c r="X360" i="10" s="1"/>
  <c r="AI359" i="10"/>
  <c r="AD359" i="10"/>
  <c r="AC359" i="10"/>
  <c r="Z359" i="10"/>
  <c r="Y359" i="10" s="1"/>
  <c r="W359" i="10"/>
  <c r="X359" i="10" s="1"/>
  <c r="AG359" i="10" s="1"/>
  <c r="AI358" i="10"/>
  <c r="AD358" i="10"/>
  <c r="AC358" i="10"/>
  <c r="Z358" i="10"/>
  <c r="Y358" i="10" s="1"/>
  <c r="W358" i="10"/>
  <c r="X358" i="10" s="1"/>
  <c r="AG358" i="10" s="1"/>
  <c r="AI357" i="10"/>
  <c r="AD357" i="10"/>
  <c r="AC357" i="10"/>
  <c r="Z357" i="10"/>
  <c r="Y357" i="10" s="1"/>
  <c r="W357" i="10"/>
  <c r="X357" i="10" s="1"/>
  <c r="AG357" i="10" s="1"/>
  <c r="AI356" i="10"/>
  <c r="AD356" i="10"/>
  <c r="AC356" i="10"/>
  <c r="W356" i="10"/>
  <c r="X356" i="10" s="1"/>
  <c r="AI355" i="10"/>
  <c r="AD355" i="10"/>
  <c r="AC355" i="10"/>
  <c r="Z355" i="10"/>
  <c r="Y355" i="10" s="1"/>
  <c r="W355" i="10"/>
  <c r="X355" i="10" s="1"/>
  <c r="AG355" i="10" s="1"/>
  <c r="AI354" i="10"/>
  <c r="AD354" i="10"/>
  <c r="AC354" i="10"/>
  <c r="Z354" i="10"/>
  <c r="Y354" i="10" s="1"/>
  <c r="W354" i="10"/>
  <c r="X354" i="10" s="1"/>
  <c r="AG354" i="10" s="1"/>
  <c r="AI353" i="10"/>
  <c r="AD353" i="10"/>
  <c r="AC353" i="10"/>
  <c r="Z353" i="10"/>
  <c r="Y353" i="10" s="1"/>
  <c r="W353" i="10"/>
  <c r="X353" i="10" s="1"/>
  <c r="AG353" i="10" s="1"/>
  <c r="AI352" i="10"/>
  <c r="AD352" i="10"/>
  <c r="AC352" i="10"/>
  <c r="W352" i="10"/>
  <c r="X352" i="10" s="1"/>
  <c r="AI351" i="10"/>
  <c r="AD351" i="10"/>
  <c r="AC351" i="10"/>
  <c r="Z351" i="10"/>
  <c r="Y351" i="10" s="1"/>
  <c r="W351" i="10"/>
  <c r="X351" i="10" s="1"/>
  <c r="AG351" i="10" s="1"/>
  <c r="AI350" i="10"/>
  <c r="AD350" i="10"/>
  <c r="AC350" i="10"/>
  <c r="Z350" i="10"/>
  <c r="Y350" i="10" s="1"/>
  <c r="W350" i="10"/>
  <c r="X350" i="10" s="1"/>
  <c r="AG350" i="10" s="1"/>
  <c r="AI349" i="10"/>
  <c r="AD349" i="10"/>
  <c r="AC349" i="10"/>
  <c r="Z349" i="10"/>
  <c r="Y349" i="10" s="1"/>
  <c r="W349" i="10"/>
  <c r="X349" i="10" s="1"/>
  <c r="AG349" i="10" s="1"/>
  <c r="AI348" i="10"/>
  <c r="AD348" i="10"/>
  <c r="AC348" i="10"/>
  <c r="W348" i="10"/>
  <c r="X348" i="10" s="1"/>
  <c r="AI347" i="10"/>
  <c r="AD347" i="10"/>
  <c r="AC347" i="10"/>
  <c r="Z347" i="10"/>
  <c r="Y347" i="10" s="1"/>
  <c r="W347" i="10"/>
  <c r="X347" i="10" s="1"/>
  <c r="AG347" i="10" s="1"/>
  <c r="AI346" i="10"/>
  <c r="AD346" i="10"/>
  <c r="AC346" i="10"/>
  <c r="Z346" i="10"/>
  <c r="Y346" i="10" s="1"/>
  <c r="W346" i="10"/>
  <c r="X346" i="10" s="1"/>
  <c r="AG346" i="10" s="1"/>
  <c r="AI345" i="10"/>
  <c r="AD345" i="10"/>
  <c r="AC345" i="10"/>
  <c r="Z345" i="10"/>
  <c r="Y345" i="10" s="1"/>
  <c r="W345" i="10"/>
  <c r="X345" i="10" s="1"/>
  <c r="AG345" i="10" s="1"/>
  <c r="AI344" i="10"/>
  <c r="AD344" i="10"/>
  <c r="AC344" i="10"/>
  <c r="W344" i="10"/>
  <c r="X344" i="10" s="1"/>
  <c r="AI343" i="10"/>
  <c r="AD343" i="10"/>
  <c r="AC343" i="10"/>
  <c r="Z343" i="10"/>
  <c r="Y343" i="10" s="1"/>
  <c r="W343" i="10"/>
  <c r="X343" i="10" s="1"/>
  <c r="AG343" i="10" s="1"/>
  <c r="AI342" i="10"/>
  <c r="AD342" i="10"/>
  <c r="AC342" i="10"/>
  <c r="Z342" i="10"/>
  <c r="Y342" i="10" s="1"/>
  <c r="W342" i="10"/>
  <c r="X342" i="10" s="1"/>
  <c r="AG342" i="10" s="1"/>
  <c r="AI341" i="10"/>
  <c r="AD341" i="10"/>
  <c r="AC341" i="10"/>
  <c r="Z341" i="10"/>
  <c r="Y341" i="10" s="1"/>
  <c r="W341" i="10"/>
  <c r="X341" i="10" s="1"/>
  <c r="AG341" i="10" s="1"/>
  <c r="AI340" i="10"/>
  <c r="AD340" i="10"/>
  <c r="AC340" i="10"/>
  <c r="W340" i="10"/>
  <c r="X340" i="10" s="1"/>
  <c r="AI339" i="10"/>
  <c r="AD339" i="10"/>
  <c r="AC339" i="10"/>
  <c r="Z339" i="10"/>
  <c r="Y339" i="10" s="1"/>
  <c r="W339" i="10"/>
  <c r="X339" i="10" s="1"/>
  <c r="AG339" i="10" s="1"/>
  <c r="AI338" i="10"/>
  <c r="AD338" i="10"/>
  <c r="AC338" i="10"/>
  <c r="Z338" i="10"/>
  <c r="Y338" i="10" s="1"/>
  <c r="W338" i="10"/>
  <c r="X338" i="10" s="1"/>
  <c r="AG338" i="10" s="1"/>
  <c r="AI337" i="10"/>
  <c r="AD337" i="10"/>
  <c r="AC337" i="10"/>
  <c r="Z337" i="10"/>
  <c r="Y337" i="10" s="1"/>
  <c r="W337" i="10"/>
  <c r="X337" i="10" s="1"/>
  <c r="AG337" i="10" s="1"/>
  <c r="AI336" i="10"/>
  <c r="AD336" i="10"/>
  <c r="AC336" i="10"/>
  <c r="W336" i="10"/>
  <c r="X336" i="10" s="1"/>
  <c r="AI335" i="10"/>
  <c r="AC335" i="10"/>
  <c r="AD335" i="10" s="1"/>
  <c r="Y335" i="10"/>
  <c r="W335" i="10"/>
  <c r="X335" i="10" s="1"/>
  <c r="Z335" i="10" s="1"/>
  <c r="AI334" i="10"/>
  <c r="AC334" i="10"/>
  <c r="AD334" i="10" s="1"/>
  <c r="Y334" i="10"/>
  <c r="W334" i="10"/>
  <c r="X334" i="10" s="1"/>
  <c r="Z334" i="10" s="1"/>
  <c r="AI333" i="10"/>
  <c r="AG333" i="10"/>
  <c r="AC333" i="10"/>
  <c r="AD333" i="10" s="1"/>
  <c r="Y333" i="10"/>
  <c r="W333" i="10"/>
  <c r="X333" i="10" s="1"/>
  <c r="Z333" i="10" s="1"/>
  <c r="AI332" i="10"/>
  <c r="AC332" i="10"/>
  <c r="AD332" i="10" s="1"/>
  <c r="W332" i="10"/>
  <c r="X332" i="10" s="1"/>
  <c r="AI331" i="10"/>
  <c r="AC331" i="10"/>
  <c r="AD331" i="10" s="1"/>
  <c r="Y331" i="10"/>
  <c r="W331" i="10"/>
  <c r="X331" i="10" s="1"/>
  <c r="Z331" i="10" s="1"/>
  <c r="AI330" i="10"/>
  <c r="AC330" i="10"/>
  <c r="AD330" i="10" s="1"/>
  <c r="V327" i="10" s="1"/>
  <c r="Y330" i="10"/>
  <c r="W330" i="10"/>
  <c r="X330" i="10" s="1"/>
  <c r="Z330" i="10" s="1"/>
  <c r="AI329" i="10"/>
  <c r="AG329" i="10"/>
  <c r="AC329" i="10"/>
  <c r="AD329" i="10" s="1"/>
  <c r="Y329" i="10"/>
  <c r="W329" i="10"/>
  <c r="X329" i="10" s="1"/>
  <c r="Z329" i="10" s="1"/>
  <c r="AI328" i="10"/>
  <c r="AC328" i="10"/>
  <c r="AD328" i="10" s="1"/>
  <c r="W328" i="10"/>
  <c r="X328" i="10" s="1"/>
  <c r="AI327" i="10"/>
  <c r="AC327" i="10"/>
  <c r="AI326" i="10"/>
  <c r="AC326" i="10"/>
  <c r="AD326" i="10" s="1"/>
  <c r="W326" i="10"/>
  <c r="X326" i="10" s="1"/>
  <c r="Z326" i="10" s="1"/>
  <c r="Y326" i="10" s="1"/>
  <c r="AI325" i="10"/>
  <c r="AC325" i="10"/>
  <c r="AD325" i="10" s="1"/>
  <c r="Z325" i="10"/>
  <c r="Y325" i="10" s="1"/>
  <c r="W325" i="10"/>
  <c r="X325" i="10" s="1"/>
  <c r="AG325" i="10" s="1"/>
  <c r="AI324" i="10"/>
  <c r="AC324" i="10"/>
  <c r="AD324" i="10" s="1"/>
  <c r="W324" i="10"/>
  <c r="X324" i="10" s="1"/>
  <c r="Z324" i="10" s="1"/>
  <c r="Y324" i="10" s="1"/>
  <c r="AI323" i="10"/>
  <c r="AC323" i="10"/>
  <c r="AD323" i="10" s="1"/>
  <c r="Z323" i="10"/>
  <c r="Y323" i="10" s="1"/>
  <c r="W323" i="10"/>
  <c r="X323" i="10" s="1"/>
  <c r="AG323" i="10" s="1"/>
  <c r="AI322" i="10"/>
  <c r="AC322" i="10"/>
  <c r="AD322" i="10" s="1"/>
  <c r="W322" i="10"/>
  <c r="X322" i="10" s="1"/>
  <c r="Z322" i="10" s="1"/>
  <c r="Y322" i="10" s="1"/>
  <c r="AI321" i="10"/>
  <c r="AC321" i="10"/>
  <c r="AD321" i="10" s="1"/>
  <c r="Z321" i="10"/>
  <c r="Y321" i="10" s="1"/>
  <c r="W321" i="10"/>
  <c r="X321" i="10" s="1"/>
  <c r="AG321" i="10" s="1"/>
  <c r="AI320" i="10"/>
  <c r="AC320" i="10"/>
  <c r="AD320" i="10" s="1"/>
  <c r="W320" i="10"/>
  <c r="X320" i="10" s="1"/>
  <c r="Z320" i="10" s="1"/>
  <c r="Y320" i="10" s="1"/>
  <c r="AI319" i="10"/>
  <c r="AC319" i="10"/>
  <c r="AD319" i="10" s="1"/>
  <c r="Z319" i="10"/>
  <c r="Y319" i="10" s="1"/>
  <c r="W319" i="10"/>
  <c r="X319" i="10" s="1"/>
  <c r="AG319" i="10" s="1"/>
  <c r="AI318" i="10"/>
  <c r="AC318" i="10"/>
  <c r="AD318" i="10" s="1"/>
  <c r="W318" i="10"/>
  <c r="X318" i="10" s="1"/>
  <c r="Z318" i="10" s="1"/>
  <c r="Y318" i="10" s="1"/>
  <c r="AI317" i="10"/>
  <c r="AC317" i="10"/>
  <c r="AD317" i="10" s="1"/>
  <c r="Z317" i="10"/>
  <c r="Y317" i="10" s="1"/>
  <c r="W317" i="10"/>
  <c r="X317" i="10" s="1"/>
  <c r="AG317" i="10" s="1"/>
  <c r="AI316" i="10"/>
  <c r="AC316" i="10"/>
  <c r="AD316" i="10" s="1"/>
  <c r="W316" i="10"/>
  <c r="X316" i="10" s="1"/>
  <c r="Z316" i="10" s="1"/>
  <c r="Y316" i="10" s="1"/>
  <c r="AI315" i="10"/>
  <c r="AC315" i="10"/>
  <c r="AD315" i="10" s="1"/>
  <c r="Z315" i="10"/>
  <c r="Y315" i="10" s="1"/>
  <c r="W315" i="10"/>
  <c r="X315" i="10" s="1"/>
  <c r="AG315" i="10" s="1"/>
  <c r="AI314" i="10"/>
  <c r="AC314" i="10"/>
  <c r="AD314" i="10" s="1"/>
  <c r="W314" i="10"/>
  <c r="X314" i="10" s="1"/>
  <c r="Z314" i="10" s="1"/>
  <c r="Y314" i="10" s="1"/>
  <c r="AI313" i="10"/>
  <c r="AC313" i="10"/>
  <c r="AD313" i="10" s="1"/>
  <c r="Z313" i="10"/>
  <c r="Y313" i="10" s="1"/>
  <c r="W313" i="10"/>
  <c r="X313" i="10" s="1"/>
  <c r="AG313" i="10" s="1"/>
  <c r="AI312" i="10"/>
  <c r="AC312" i="10"/>
  <c r="AD312" i="10" s="1"/>
  <c r="W312" i="10"/>
  <c r="X312" i="10" s="1"/>
  <c r="Z312" i="10" s="1"/>
  <c r="Y312" i="10" s="1"/>
  <c r="AI311" i="10"/>
  <c r="AC311" i="10"/>
  <c r="AD311" i="10" s="1"/>
  <c r="Z311" i="10"/>
  <c r="Y311" i="10" s="1"/>
  <c r="W311" i="10"/>
  <c r="X311" i="10" s="1"/>
  <c r="AG311" i="10" s="1"/>
  <c r="AI310" i="10"/>
  <c r="AC310" i="10"/>
  <c r="AD310" i="10" s="1"/>
  <c r="W310" i="10"/>
  <c r="X310" i="10" s="1"/>
  <c r="Z310" i="10" s="1"/>
  <c r="Y310" i="10" s="1"/>
  <c r="AI309" i="10"/>
  <c r="AC309" i="10"/>
  <c r="AD309" i="10" s="1"/>
  <c r="Z309" i="10"/>
  <c r="Y309" i="10" s="1"/>
  <c r="W309" i="10"/>
  <c r="X309" i="10" s="1"/>
  <c r="AG309" i="10" s="1"/>
  <c r="AI308" i="10"/>
  <c r="AC308" i="10"/>
  <c r="AD308" i="10" s="1"/>
  <c r="W308" i="10"/>
  <c r="X308" i="10" s="1"/>
  <c r="Z308" i="10" s="1"/>
  <c r="Y308" i="10" s="1"/>
  <c r="AI307" i="10"/>
  <c r="AC307" i="10"/>
  <c r="AD307" i="10" s="1"/>
  <c r="Z307" i="10"/>
  <c r="Y307" i="10" s="1"/>
  <c r="W307" i="10"/>
  <c r="X307" i="10" s="1"/>
  <c r="AG307" i="10" s="1"/>
  <c r="AI306" i="10"/>
  <c r="AC306" i="10"/>
  <c r="AD306" i="10" s="1"/>
  <c r="W306" i="10"/>
  <c r="X306" i="10" s="1"/>
  <c r="Z306" i="10" s="1"/>
  <c r="Y306" i="10" s="1"/>
  <c r="AI305" i="10"/>
  <c r="AC305" i="10"/>
  <c r="AD305" i="10" s="1"/>
  <c r="Z305" i="10"/>
  <c r="Y305" i="10" s="1"/>
  <c r="W305" i="10"/>
  <c r="X305" i="10" s="1"/>
  <c r="AG305" i="10" s="1"/>
  <c r="AI304" i="10"/>
  <c r="AC304" i="10"/>
  <c r="AD304" i="10" s="1"/>
  <c r="W304" i="10"/>
  <c r="X304" i="10" s="1"/>
  <c r="Z304" i="10" s="1"/>
  <c r="Y304" i="10" s="1"/>
  <c r="AI303" i="10"/>
  <c r="AC303" i="10"/>
  <c r="AD303" i="10" s="1"/>
  <c r="Z303" i="10"/>
  <c r="Y303" i="10" s="1"/>
  <c r="W303" i="10"/>
  <c r="X303" i="10" s="1"/>
  <c r="AG303" i="10" s="1"/>
  <c r="AI302" i="10"/>
  <c r="AC302" i="10"/>
  <c r="AD302" i="10" s="1"/>
  <c r="W302" i="10"/>
  <c r="X302" i="10" s="1"/>
  <c r="Z302" i="10" s="1"/>
  <c r="Y302" i="10" s="1"/>
  <c r="AI301" i="10"/>
  <c r="AC301" i="10"/>
  <c r="AD301" i="10" s="1"/>
  <c r="Z301" i="10"/>
  <c r="Y301" i="10" s="1"/>
  <c r="W301" i="10"/>
  <c r="X301" i="10" s="1"/>
  <c r="AG301" i="10" s="1"/>
  <c r="AI300" i="10"/>
  <c r="AC300" i="10"/>
  <c r="AD300" i="10" s="1"/>
  <c r="W300" i="10"/>
  <c r="X300" i="10" s="1"/>
  <c r="Z300" i="10" s="1"/>
  <c r="Y300" i="10" s="1"/>
  <c r="AI299" i="10"/>
  <c r="AC299" i="10"/>
  <c r="AD299" i="10" s="1"/>
  <c r="Z299" i="10"/>
  <c r="Y299" i="10" s="1"/>
  <c r="W299" i="10"/>
  <c r="X299" i="10" s="1"/>
  <c r="AG299" i="10" s="1"/>
  <c r="AI298" i="10"/>
  <c r="AC298" i="10"/>
  <c r="AD298" i="10" s="1"/>
  <c r="W298" i="10"/>
  <c r="X298" i="10" s="1"/>
  <c r="Z298" i="10" s="1"/>
  <c r="Y298" i="10" s="1"/>
  <c r="AI297" i="10"/>
  <c r="AC297" i="10"/>
  <c r="AD297" i="10" s="1"/>
  <c r="Z297" i="10"/>
  <c r="Y297" i="10" s="1"/>
  <c r="W297" i="10"/>
  <c r="X297" i="10" s="1"/>
  <c r="AG297" i="10" s="1"/>
  <c r="AI296" i="10"/>
  <c r="AC296" i="10"/>
  <c r="AD296" i="10" s="1"/>
  <c r="W296" i="10"/>
  <c r="X296" i="10" s="1"/>
  <c r="Z296" i="10" s="1"/>
  <c r="Y296" i="10" s="1"/>
  <c r="AI295" i="10"/>
  <c r="AC295" i="10"/>
  <c r="AD295" i="10" s="1"/>
  <c r="Z295" i="10"/>
  <c r="Y295" i="10" s="1"/>
  <c r="W295" i="10"/>
  <c r="X295" i="10" s="1"/>
  <c r="AG295" i="10" s="1"/>
  <c r="AI294" i="10"/>
  <c r="AC294" i="10"/>
  <c r="AD294" i="10" s="1"/>
  <c r="W294" i="10"/>
  <c r="X294" i="10" s="1"/>
  <c r="Z294" i="10" s="1"/>
  <c r="Y294" i="10" s="1"/>
  <c r="AI293" i="10"/>
  <c r="AC293" i="10"/>
  <c r="AD293" i="10" s="1"/>
  <c r="Z293" i="10"/>
  <c r="Y293" i="10" s="1"/>
  <c r="W293" i="10"/>
  <c r="X293" i="10" s="1"/>
  <c r="AG293" i="10" s="1"/>
  <c r="AI292" i="10"/>
  <c r="AC292" i="10"/>
  <c r="AD292" i="10" s="1"/>
  <c r="W292" i="10"/>
  <c r="X292" i="10" s="1"/>
  <c r="Z292" i="10" s="1"/>
  <c r="Y292" i="10" s="1"/>
  <c r="AI291" i="10"/>
  <c r="AC291" i="10"/>
  <c r="AD291" i="10" s="1"/>
  <c r="Z291" i="10"/>
  <c r="Y291" i="10" s="1"/>
  <c r="W291" i="10"/>
  <c r="X291" i="10" s="1"/>
  <c r="AG291" i="10" s="1"/>
  <c r="AI290" i="10"/>
  <c r="AC290" i="10"/>
  <c r="AD290" i="10" s="1"/>
  <c r="W290" i="10"/>
  <c r="X290" i="10" s="1"/>
  <c r="Z290" i="10" s="1"/>
  <c r="Y290" i="10" s="1"/>
  <c r="AI289" i="10"/>
  <c r="AC289" i="10"/>
  <c r="AD289" i="10" s="1"/>
  <c r="Z289" i="10"/>
  <c r="Y289" i="10" s="1"/>
  <c r="W289" i="10"/>
  <c r="X289" i="10" s="1"/>
  <c r="AG289" i="10" s="1"/>
  <c r="AI288" i="10"/>
  <c r="AC288" i="10"/>
  <c r="AD288" i="10" s="1"/>
  <c r="W288" i="10"/>
  <c r="X288" i="10" s="1"/>
  <c r="Z288" i="10" s="1"/>
  <c r="Y288" i="10" s="1"/>
  <c r="AI287" i="10"/>
  <c r="AC287" i="10"/>
  <c r="AD287" i="10" s="1"/>
  <c r="Z287" i="10"/>
  <c r="Y287" i="10" s="1"/>
  <c r="W287" i="10"/>
  <c r="X287" i="10" s="1"/>
  <c r="AG287" i="10" s="1"/>
  <c r="AI286" i="10"/>
  <c r="AC286" i="10"/>
  <c r="AD286" i="10" s="1"/>
  <c r="W286" i="10"/>
  <c r="X286" i="10" s="1"/>
  <c r="Z286" i="10" s="1"/>
  <c r="Y286" i="10" s="1"/>
  <c r="AI285" i="10"/>
  <c r="AC285" i="10"/>
  <c r="AD285" i="10" s="1"/>
  <c r="Z285" i="10"/>
  <c r="Y285" i="10" s="1"/>
  <c r="W285" i="10"/>
  <c r="X285" i="10" s="1"/>
  <c r="AG285" i="10" s="1"/>
  <c r="AI284" i="10"/>
  <c r="AC284" i="10"/>
  <c r="AD284" i="10" s="1"/>
  <c r="W284" i="10"/>
  <c r="X284" i="10" s="1"/>
  <c r="Z284" i="10" s="1"/>
  <c r="Y284" i="10" s="1"/>
  <c r="AI283" i="10"/>
  <c r="AC283" i="10"/>
  <c r="AD283" i="10" s="1"/>
  <c r="Z283" i="10"/>
  <c r="Y283" i="10" s="1"/>
  <c r="W283" i="10"/>
  <c r="X283" i="10" s="1"/>
  <c r="AG283" i="10" s="1"/>
  <c r="AI282" i="10"/>
  <c r="AC282" i="10"/>
  <c r="AD282" i="10" s="1"/>
  <c r="W282" i="10"/>
  <c r="X282" i="10" s="1"/>
  <c r="Z282" i="10" s="1"/>
  <c r="Y282" i="10" s="1"/>
  <c r="AI281" i="10"/>
  <c r="AC281" i="10"/>
  <c r="AD281" i="10" s="1"/>
  <c r="Z281" i="10"/>
  <c r="Y281" i="10" s="1"/>
  <c r="W281" i="10"/>
  <c r="X281" i="10" s="1"/>
  <c r="AG281" i="10" s="1"/>
  <c r="AI280" i="10"/>
  <c r="AC280" i="10"/>
  <c r="AD280" i="10" s="1"/>
  <c r="W280" i="10"/>
  <c r="X280" i="10" s="1"/>
  <c r="Z280" i="10" s="1"/>
  <c r="Y280" i="10" s="1"/>
  <c r="AI279" i="10"/>
  <c r="AC279" i="10"/>
  <c r="AD279" i="10" s="1"/>
  <c r="Z279" i="10"/>
  <c r="Y279" i="10" s="1"/>
  <c r="W279" i="10"/>
  <c r="X279" i="10" s="1"/>
  <c r="AG279" i="10" s="1"/>
  <c r="AI278" i="10"/>
  <c r="AC278" i="10"/>
  <c r="AD278" i="10" s="1"/>
  <c r="W278" i="10"/>
  <c r="X278" i="10" s="1"/>
  <c r="Z278" i="10" s="1"/>
  <c r="Y278" i="10" s="1"/>
  <c r="AI277" i="10"/>
  <c r="AC277" i="10"/>
  <c r="AD277" i="10" s="1"/>
  <c r="Z277" i="10"/>
  <c r="Y277" i="10" s="1"/>
  <c r="W277" i="10"/>
  <c r="X277" i="10" s="1"/>
  <c r="AG277" i="10" s="1"/>
  <c r="AI276" i="10"/>
  <c r="AC276" i="10"/>
  <c r="AD276" i="10" s="1"/>
  <c r="W276" i="10"/>
  <c r="X276" i="10" s="1"/>
  <c r="Z276" i="10" s="1"/>
  <c r="Y276" i="10" s="1"/>
  <c r="AI275" i="10"/>
  <c r="AC275" i="10"/>
  <c r="AD275" i="10" s="1"/>
  <c r="Z275" i="10"/>
  <c r="Y275" i="10" s="1"/>
  <c r="W275" i="10"/>
  <c r="X275" i="10" s="1"/>
  <c r="AG275" i="10" s="1"/>
  <c r="AI274" i="10"/>
  <c r="AC274" i="10"/>
  <c r="AD274" i="10" s="1"/>
  <c r="W274" i="10"/>
  <c r="X274" i="10" s="1"/>
  <c r="Z274" i="10" s="1"/>
  <c r="Y274" i="10" s="1"/>
  <c r="AI273" i="10"/>
  <c r="AC273" i="10"/>
  <c r="AD273" i="10" s="1"/>
  <c r="Z273" i="10"/>
  <c r="Y273" i="10" s="1"/>
  <c r="W273" i="10"/>
  <c r="X273" i="10" s="1"/>
  <c r="AG273" i="10" s="1"/>
  <c r="AI272" i="10"/>
  <c r="AC272" i="10"/>
  <c r="AD272" i="10" s="1"/>
  <c r="W272" i="10"/>
  <c r="X272" i="10" s="1"/>
  <c r="Z272" i="10" s="1"/>
  <c r="Y272" i="10" s="1"/>
  <c r="AI271" i="10"/>
  <c r="AC271" i="10"/>
  <c r="AD271" i="10" s="1"/>
  <c r="Z271" i="10"/>
  <c r="Y271" i="10" s="1"/>
  <c r="W271" i="10"/>
  <c r="X271" i="10" s="1"/>
  <c r="AG271" i="10" s="1"/>
  <c r="AI270" i="10"/>
  <c r="AC270" i="10"/>
  <c r="AD270" i="10" s="1"/>
  <c r="W270" i="10"/>
  <c r="X270" i="10" s="1"/>
  <c r="Z270" i="10" s="1"/>
  <c r="Y270" i="10" s="1"/>
  <c r="AI269" i="10"/>
  <c r="AC269" i="10"/>
  <c r="AD269" i="10" s="1"/>
  <c r="Z269" i="10"/>
  <c r="Y269" i="10" s="1"/>
  <c r="W269" i="10"/>
  <c r="X269" i="10" s="1"/>
  <c r="AG269" i="10" s="1"/>
  <c r="AI268" i="10"/>
  <c r="AC268" i="10"/>
  <c r="AD268" i="10" s="1"/>
  <c r="W268" i="10"/>
  <c r="X268" i="10" s="1"/>
  <c r="Z268" i="10" s="1"/>
  <c r="Y268" i="10" s="1"/>
  <c r="AI267" i="10"/>
  <c r="AC267" i="10"/>
  <c r="AD267" i="10" s="1"/>
  <c r="Z267" i="10"/>
  <c r="Y267" i="10" s="1"/>
  <c r="W267" i="10"/>
  <c r="X267" i="10" s="1"/>
  <c r="AG267" i="10" s="1"/>
  <c r="AI266" i="10"/>
  <c r="AC266" i="10"/>
  <c r="AD266" i="10" s="1"/>
  <c r="W266" i="10"/>
  <c r="X266" i="10" s="1"/>
  <c r="Z266" i="10" s="1"/>
  <c r="Y266" i="10" s="1"/>
  <c r="AI265" i="10"/>
  <c r="AC265" i="10"/>
  <c r="AD265" i="10" s="1"/>
  <c r="Z265" i="10"/>
  <c r="Y265" i="10" s="1"/>
  <c r="W265" i="10"/>
  <c r="X265" i="10" s="1"/>
  <c r="AG265" i="10" s="1"/>
  <c r="AI264" i="10"/>
  <c r="AC264" i="10"/>
  <c r="AD264" i="10" s="1"/>
  <c r="W264" i="10"/>
  <c r="X264" i="10" s="1"/>
  <c r="Z264" i="10" s="1"/>
  <c r="Y264" i="10" s="1"/>
  <c r="AI263" i="10"/>
  <c r="AC263" i="10"/>
  <c r="AD263" i="10" s="1"/>
  <c r="Z263" i="10"/>
  <c r="Y263" i="10" s="1"/>
  <c r="W263" i="10"/>
  <c r="X263" i="10" s="1"/>
  <c r="AG263" i="10" s="1"/>
  <c r="AI262" i="10"/>
  <c r="AC262" i="10"/>
  <c r="AD262" i="10" s="1"/>
  <c r="W262" i="10"/>
  <c r="X262" i="10" s="1"/>
  <c r="Z262" i="10" s="1"/>
  <c r="Y262" i="10" s="1"/>
  <c r="AI261" i="10"/>
  <c r="AC261" i="10"/>
  <c r="AD261" i="10" s="1"/>
  <c r="Z261" i="10"/>
  <c r="Y261" i="10" s="1"/>
  <c r="W261" i="10"/>
  <c r="X261" i="10" s="1"/>
  <c r="AG261" i="10" s="1"/>
  <c r="AI260" i="10"/>
  <c r="AG260" i="10"/>
  <c r="AD260" i="10"/>
  <c r="AC260" i="10"/>
  <c r="X260" i="10"/>
  <c r="Z260" i="10" s="1"/>
  <c r="Y260" i="10" s="1"/>
  <c r="W260" i="10"/>
  <c r="AI259" i="10"/>
  <c r="AG259" i="10"/>
  <c r="AD259" i="10"/>
  <c r="AC259" i="10"/>
  <c r="Y259" i="10"/>
  <c r="X259" i="10"/>
  <c r="Z259" i="10" s="1"/>
  <c r="W259" i="10"/>
  <c r="AI258" i="10"/>
  <c r="AG258" i="10"/>
  <c r="AD258" i="10"/>
  <c r="AC258" i="10"/>
  <c r="X258" i="10"/>
  <c r="Z258" i="10" s="1"/>
  <c r="Y258" i="10" s="1"/>
  <c r="W258" i="10"/>
  <c r="AI257" i="10"/>
  <c r="AG257" i="10"/>
  <c r="AD257" i="10"/>
  <c r="AC257" i="10"/>
  <c r="X257" i="10"/>
  <c r="Z257" i="10" s="1"/>
  <c r="Y257" i="10" s="1"/>
  <c r="W257" i="10"/>
  <c r="AI256" i="10"/>
  <c r="AG256" i="10"/>
  <c r="AD256" i="10"/>
  <c r="AC256" i="10"/>
  <c r="X256" i="10"/>
  <c r="Z256" i="10" s="1"/>
  <c r="Y256" i="10" s="1"/>
  <c r="W256" i="10"/>
  <c r="AI255" i="10"/>
  <c r="AG255" i="10"/>
  <c r="AD255" i="10"/>
  <c r="AC255" i="10"/>
  <c r="Y255" i="10"/>
  <c r="X255" i="10"/>
  <c r="Z255" i="10" s="1"/>
  <c r="W255" i="10"/>
  <c r="AI254" i="10"/>
  <c r="AG254" i="10"/>
  <c r="AD254" i="10"/>
  <c r="AC254" i="10"/>
  <c r="X254" i="10"/>
  <c r="Z254" i="10" s="1"/>
  <c r="Y254" i="10" s="1"/>
  <c r="W254" i="10"/>
  <c r="AI253" i="10"/>
  <c r="AG253" i="10"/>
  <c r="AD253" i="10"/>
  <c r="AC253" i="10"/>
  <c r="X253" i="10"/>
  <c r="Z253" i="10" s="1"/>
  <c r="Y253" i="10" s="1"/>
  <c r="W253" i="10"/>
  <c r="AI252" i="10"/>
  <c r="AG252" i="10"/>
  <c r="AD252" i="10"/>
  <c r="AC252" i="10"/>
  <c r="X252" i="10"/>
  <c r="Z252" i="10" s="1"/>
  <c r="Y252" i="10" s="1"/>
  <c r="W252" i="10"/>
  <c r="AI251" i="10"/>
  <c r="AG251" i="10"/>
  <c r="AD251" i="10"/>
  <c r="AC251" i="10"/>
  <c r="Y251" i="10"/>
  <c r="X251" i="10"/>
  <c r="Z251" i="10" s="1"/>
  <c r="W251" i="10"/>
  <c r="AI250" i="10"/>
  <c r="AG250" i="10"/>
  <c r="AD250" i="10"/>
  <c r="AC250" i="10"/>
  <c r="X250" i="10"/>
  <c r="Z250" i="10" s="1"/>
  <c r="Y250" i="10" s="1"/>
  <c r="W250" i="10"/>
  <c r="AI249" i="10"/>
  <c r="AG249" i="10"/>
  <c r="AD249" i="10"/>
  <c r="AC249" i="10"/>
  <c r="X249" i="10"/>
  <c r="Z249" i="10" s="1"/>
  <c r="Y249" i="10" s="1"/>
  <c r="W249" i="10"/>
  <c r="AI248" i="10"/>
  <c r="AG248" i="10"/>
  <c r="AD248" i="10"/>
  <c r="AC248" i="10"/>
  <c r="X248" i="10"/>
  <c r="Z248" i="10" s="1"/>
  <c r="Y248" i="10" s="1"/>
  <c r="W248" i="10"/>
  <c r="AI247" i="10"/>
  <c r="AG247" i="10"/>
  <c r="AD247" i="10"/>
  <c r="AC247" i="10"/>
  <c r="Y247" i="10"/>
  <c r="X247" i="10"/>
  <c r="Z247" i="10" s="1"/>
  <c r="W247" i="10"/>
  <c r="AI246" i="10"/>
  <c r="AG246" i="10"/>
  <c r="AD246" i="10"/>
  <c r="AC246" i="10"/>
  <c r="X246" i="10"/>
  <c r="Z246" i="10" s="1"/>
  <c r="Y246" i="10" s="1"/>
  <c r="W246" i="10"/>
  <c r="AI245" i="10"/>
  <c r="AG245" i="10"/>
  <c r="AD245" i="10"/>
  <c r="AC245" i="10"/>
  <c r="X245" i="10"/>
  <c r="Z245" i="10" s="1"/>
  <c r="Y245" i="10" s="1"/>
  <c r="W245" i="10"/>
  <c r="AI244" i="10"/>
  <c r="AG244" i="10"/>
  <c r="AD244" i="10"/>
  <c r="AC244" i="10"/>
  <c r="X244" i="10"/>
  <c r="Z244" i="10" s="1"/>
  <c r="Y244" i="10" s="1"/>
  <c r="W244" i="10"/>
  <c r="AI243" i="10"/>
  <c r="AG243" i="10"/>
  <c r="AD243" i="10"/>
  <c r="AC243" i="10"/>
  <c r="Y243" i="10"/>
  <c r="X243" i="10"/>
  <c r="Z243" i="10" s="1"/>
  <c r="W243" i="10"/>
  <c r="AI242" i="10"/>
  <c r="AG242" i="10"/>
  <c r="AD242" i="10"/>
  <c r="AC242" i="10"/>
  <c r="X242" i="10"/>
  <c r="Z242" i="10" s="1"/>
  <c r="Y242" i="10" s="1"/>
  <c r="W242" i="10"/>
  <c r="AI241" i="10"/>
  <c r="AG241" i="10"/>
  <c r="AD241" i="10"/>
  <c r="AC241" i="10"/>
  <c r="X241" i="10"/>
  <c r="Z241" i="10" s="1"/>
  <c r="Y241" i="10" s="1"/>
  <c r="W241" i="10"/>
  <c r="AI240" i="10"/>
  <c r="AG240" i="10"/>
  <c r="AD240" i="10"/>
  <c r="AC240" i="10"/>
  <c r="X240" i="10"/>
  <c r="Z240" i="10" s="1"/>
  <c r="Y240" i="10" s="1"/>
  <c r="W240" i="10"/>
  <c r="AI239" i="10"/>
  <c r="AG239" i="10"/>
  <c r="AD239" i="10"/>
  <c r="AC239" i="10"/>
  <c r="Y239" i="10"/>
  <c r="X239" i="10"/>
  <c r="Z239" i="10" s="1"/>
  <c r="W239" i="10"/>
  <c r="AI238" i="10"/>
  <c r="AG238" i="10"/>
  <c r="AD238" i="10"/>
  <c r="AC238" i="10"/>
  <c r="X238" i="10"/>
  <c r="Z238" i="10" s="1"/>
  <c r="Z237" i="10" s="1"/>
  <c r="X237" i="10" s="1"/>
  <c r="AG237" i="10" s="1"/>
  <c r="W238" i="10"/>
  <c r="AI237" i="10"/>
  <c r="AC237" i="10"/>
  <c r="V237" i="10"/>
  <c r="AI236" i="10"/>
  <c r="AG236" i="10"/>
  <c r="AC236" i="10"/>
  <c r="AD236" i="10" s="1"/>
  <c r="W236" i="10"/>
  <c r="X236" i="10" s="1"/>
  <c r="Z236" i="10" s="1"/>
  <c r="Y236" i="10" s="1"/>
  <c r="AI235" i="10"/>
  <c r="AC235" i="10"/>
  <c r="AD235" i="10" s="1"/>
  <c r="W235" i="10"/>
  <c r="X235" i="10" s="1"/>
  <c r="Z235" i="10" s="1"/>
  <c r="Y235" i="10" s="1"/>
  <c r="AI234" i="10"/>
  <c r="AG234" i="10"/>
  <c r="AC234" i="10"/>
  <c r="AD234" i="10" s="1"/>
  <c r="Y234" i="10"/>
  <c r="W234" i="10"/>
  <c r="X234" i="10" s="1"/>
  <c r="Z234" i="10" s="1"/>
  <c r="AI233" i="10"/>
  <c r="AG233" i="10"/>
  <c r="AC233" i="10"/>
  <c r="AD233" i="10" s="1"/>
  <c r="W233" i="10"/>
  <c r="X233" i="10" s="1"/>
  <c r="Z233" i="10" s="1"/>
  <c r="Y233" i="10" s="1"/>
  <c r="AI232" i="10"/>
  <c r="AG232" i="10"/>
  <c r="AC232" i="10"/>
  <c r="AD232" i="10" s="1"/>
  <c r="W232" i="10"/>
  <c r="X232" i="10" s="1"/>
  <c r="Z232" i="10" s="1"/>
  <c r="Y232" i="10" s="1"/>
  <c r="AI231" i="10"/>
  <c r="AC231" i="10"/>
  <c r="AD231" i="10" s="1"/>
  <c r="W231" i="10"/>
  <c r="X231" i="10" s="1"/>
  <c r="Z231" i="10" s="1"/>
  <c r="Y231" i="10" s="1"/>
  <c r="AI230" i="10"/>
  <c r="AG230" i="10"/>
  <c r="AC230" i="10"/>
  <c r="AD230" i="10" s="1"/>
  <c r="Y230" i="10"/>
  <c r="W230" i="10"/>
  <c r="X230" i="10" s="1"/>
  <c r="Z230" i="10" s="1"/>
  <c r="AI229" i="10"/>
  <c r="AG229" i="10"/>
  <c r="AC229" i="10"/>
  <c r="AD229" i="10" s="1"/>
  <c r="W229" i="10"/>
  <c r="X229" i="10" s="1"/>
  <c r="Z229" i="10" s="1"/>
  <c r="Y229" i="10" s="1"/>
  <c r="AI228" i="10"/>
  <c r="AG228" i="10"/>
  <c r="AC228" i="10"/>
  <c r="AD228" i="10" s="1"/>
  <c r="W228" i="10"/>
  <c r="X228" i="10" s="1"/>
  <c r="Z228" i="10" s="1"/>
  <c r="Y228" i="10" s="1"/>
  <c r="AI227" i="10"/>
  <c r="AC227" i="10"/>
  <c r="AD227" i="10" s="1"/>
  <c r="W227" i="10"/>
  <c r="X227" i="10" s="1"/>
  <c r="Z227" i="10" s="1"/>
  <c r="Y227" i="10" s="1"/>
  <c r="AI226" i="10"/>
  <c r="AG226" i="10"/>
  <c r="AC226" i="10"/>
  <c r="AD226" i="10" s="1"/>
  <c r="Y226" i="10"/>
  <c r="W226" i="10"/>
  <c r="X226" i="10" s="1"/>
  <c r="Z226" i="10" s="1"/>
  <c r="AI225" i="10"/>
  <c r="AG225" i="10"/>
  <c r="AC225" i="10"/>
  <c r="AD225" i="10" s="1"/>
  <c r="W225" i="10"/>
  <c r="X225" i="10" s="1"/>
  <c r="Z225" i="10" s="1"/>
  <c r="Y225" i="10" s="1"/>
  <c r="AI224" i="10"/>
  <c r="AG224" i="10"/>
  <c r="AC224" i="10"/>
  <c r="AD224" i="10" s="1"/>
  <c r="W224" i="10"/>
  <c r="X224" i="10" s="1"/>
  <c r="Z224" i="10" s="1"/>
  <c r="Y224" i="10" s="1"/>
  <c r="AI223" i="10"/>
  <c r="AC223" i="10"/>
  <c r="AD223" i="10" s="1"/>
  <c r="W223" i="10"/>
  <c r="X223" i="10" s="1"/>
  <c r="Z223" i="10" s="1"/>
  <c r="Y223" i="10" s="1"/>
  <c r="AI222" i="10"/>
  <c r="AG222" i="10"/>
  <c r="AC222" i="10"/>
  <c r="AD222" i="10" s="1"/>
  <c r="Y222" i="10"/>
  <c r="W222" i="10"/>
  <c r="X222" i="10" s="1"/>
  <c r="Z222" i="10" s="1"/>
  <c r="AI221" i="10"/>
  <c r="AG221" i="10"/>
  <c r="AC221" i="10"/>
  <c r="AD221" i="10" s="1"/>
  <c r="V220" i="10" s="1"/>
  <c r="W221" i="10"/>
  <c r="X221" i="10" s="1"/>
  <c r="Z221" i="10" s="1"/>
  <c r="AI220" i="10"/>
  <c r="AC220" i="10"/>
  <c r="AI219" i="10"/>
  <c r="AG219" i="10"/>
  <c r="AC219" i="10"/>
  <c r="AD219" i="10" s="1"/>
  <c r="W219" i="10"/>
  <c r="X219" i="10" s="1"/>
  <c r="Z219" i="10" s="1"/>
  <c r="Y219" i="10" s="1"/>
  <c r="AI218" i="10"/>
  <c r="AC218" i="10"/>
  <c r="AD218" i="10" s="1"/>
  <c r="W218" i="10"/>
  <c r="X218" i="10" s="1"/>
  <c r="Z218" i="10" s="1"/>
  <c r="Y218" i="10" s="1"/>
  <c r="AI217" i="10"/>
  <c r="AG217" i="10"/>
  <c r="AC217" i="10"/>
  <c r="AD217" i="10" s="1"/>
  <c r="Y217" i="10"/>
  <c r="W217" i="10"/>
  <c r="X217" i="10" s="1"/>
  <c r="Z217" i="10" s="1"/>
  <c r="AI216" i="10"/>
  <c r="AG216" i="10"/>
  <c r="AC216" i="10"/>
  <c r="AD216" i="10" s="1"/>
  <c r="W216" i="10"/>
  <c r="X216" i="10" s="1"/>
  <c r="Z216" i="10" s="1"/>
  <c r="Y216" i="10" s="1"/>
  <c r="AI215" i="10"/>
  <c r="AG215" i="10"/>
  <c r="AC215" i="10"/>
  <c r="AD215" i="10" s="1"/>
  <c r="W215" i="10"/>
  <c r="X215" i="10" s="1"/>
  <c r="Z215" i="10" s="1"/>
  <c r="Y215" i="10" s="1"/>
  <c r="AI214" i="10"/>
  <c r="AC214" i="10"/>
  <c r="AD214" i="10" s="1"/>
  <c r="W214" i="10"/>
  <c r="X214" i="10" s="1"/>
  <c r="Z214" i="10" s="1"/>
  <c r="Y214" i="10" s="1"/>
  <c r="AI213" i="10"/>
  <c r="AG213" i="10"/>
  <c r="AC213" i="10"/>
  <c r="AD213" i="10" s="1"/>
  <c r="Y213" i="10"/>
  <c r="W213" i="10"/>
  <c r="X213" i="10" s="1"/>
  <c r="Z213" i="10" s="1"/>
  <c r="AI212" i="10"/>
  <c r="AG212" i="10"/>
  <c r="AC212" i="10"/>
  <c r="AD212" i="10" s="1"/>
  <c r="W212" i="10"/>
  <c r="X212" i="10" s="1"/>
  <c r="Z212" i="10" s="1"/>
  <c r="Y212" i="10" s="1"/>
  <c r="AI211" i="10"/>
  <c r="AG211" i="10"/>
  <c r="AC211" i="10"/>
  <c r="AD211" i="10" s="1"/>
  <c r="W211" i="10"/>
  <c r="X211" i="10" s="1"/>
  <c r="Z211" i="10" s="1"/>
  <c r="Y211" i="10" s="1"/>
  <c r="AI210" i="10"/>
  <c r="AC210" i="10"/>
  <c r="AD210" i="10" s="1"/>
  <c r="W210" i="10"/>
  <c r="X210" i="10" s="1"/>
  <c r="Z210" i="10" s="1"/>
  <c r="Y210" i="10" s="1"/>
  <c r="AI209" i="10"/>
  <c r="AG209" i="10"/>
  <c r="AC209" i="10"/>
  <c r="AD209" i="10" s="1"/>
  <c r="Y209" i="10"/>
  <c r="W209" i="10"/>
  <c r="X209" i="10" s="1"/>
  <c r="Z209" i="10" s="1"/>
  <c r="AI208" i="10"/>
  <c r="AG208" i="10"/>
  <c r="AC208" i="10"/>
  <c r="AD208" i="10" s="1"/>
  <c r="W208" i="10"/>
  <c r="X208" i="10" s="1"/>
  <c r="Z208" i="10" s="1"/>
  <c r="Y208" i="10" s="1"/>
  <c r="AI207" i="10"/>
  <c r="AG207" i="10"/>
  <c r="AC207" i="10"/>
  <c r="AD207" i="10" s="1"/>
  <c r="W207" i="10"/>
  <c r="X207" i="10" s="1"/>
  <c r="Z207" i="10" s="1"/>
  <c r="Y207" i="10" s="1"/>
  <c r="AL206" i="10"/>
  <c r="AI206" i="10"/>
  <c r="AD206" i="10"/>
  <c r="AC206" i="10"/>
  <c r="Z206" i="10"/>
  <c r="Y206" i="10" s="1"/>
  <c r="X206" i="10"/>
  <c r="AG206" i="10" s="1"/>
  <c r="W206" i="10"/>
  <c r="AI205" i="10"/>
  <c r="AD205" i="10"/>
  <c r="AC205" i="10"/>
  <c r="Z205" i="10"/>
  <c r="Y205" i="10" s="1"/>
  <c r="X205" i="10"/>
  <c r="AG205" i="10" s="1"/>
  <c r="W205" i="10"/>
  <c r="AI204" i="10"/>
  <c r="AD204" i="10"/>
  <c r="AC204" i="10"/>
  <c r="Z204" i="10"/>
  <c r="Y204" i="10" s="1"/>
  <c r="X204" i="10"/>
  <c r="AG204" i="10" s="1"/>
  <c r="W204" i="10"/>
  <c r="AI203" i="10"/>
  <c r="AD203" i="10"/>
  <c r="V202" i="10" s="1"/>
  <c r="AC203" i="10"/>
  <c r="Z203" i="10"/>
  <c r="X203" i="10"/>
  <c r="AG203" i="10" s="1"/>
  <c r="W203" i="10"/>
  <c r="AI202" i="10"/>
  <c r="AC202" i="10"/>
  <c r="AI201" i="10"/>
  <c r="AC201" i="10"/>
  <c r="Z201" i="10"/>
  <c r="Y201" i="10" s="1"/>
  <c r="X201" i="10"/>
  <c r="W201" i="10"/>
  <c r="V201" i="10"/>
  <c r="AD201" i="10" s="1"/>
  <c r="AI200" i="10"/>
  <c r="AC200" i="10"/>
  <c r="AD200" i="10" s="1"/>
  <c r="W200" i="10"/>
  <c r="X200" i="10" s="1"/>
  <c r="AG200" i="10" s="1"/>
  <c r="V200" i="10"/>
  <c r="AI199" i="10"/>
  <c r="AD199" i="10"/>
  <c r="AC199" i="10"/>
  <c r="X199" i="10"/>
  <c r="AG199" i="10" s="1"/>
  <c r="W199" i="10"/>
  <c r="V199" i="10"/>
  <c r="Z199" i="10" s="1"/>
  <c r="Y199" i="10" s="1"/>
  <c r="AI198" i="10"/>
  <c r="AC198" i="10"/>
  <c r="W198" i="10"/>
  <c r="X198" i="10" s="1"/>
  <c r="AG198" i="10" s="1"/>
  <c r="V198" i="10"/>
  <c r="AD198" i="10" s="1"/>
  <c r="AI197" i="10"/>
  <c r="AC197" i="10"/>
  <c r="Z197" i="10"/>
  <c r="Y197" i="10" s="1"/>
  <c r="X197" i="10"/>
  <c r="W197" i="10"/>
  <c r="V197" i="10"/>
  <c r="AD197" i="10" s="1"/>
  <c r="AI196" i="10"/>
  <c r="AC196" i="10"/>
  <c r="AD196" i="10" s="1"/>
  <c r="W196" i="10"/>
  <c r="X196" i="10" s="1"/>
  <c r="AG196" i="10" s="1"/>
  <c r="V196" i="10"/>
  <c r="Z196" i="10" s="1"/>
  <c r="Y196" i="10" s="1"/>
  <c r="AI195" i="10"/>
  <c r="AD195" i="10"/>
  <c r="AC195" i="10"/>
  <c r="X195" i="10"/>
  <c r="AG195" i="10" s="1"/>
  <c r="W195" i="10"/>
  <c r="V195" i="10"/>
  <c r="AI194" i="10"/>
  <c r="AG194" i="10"/>
  <c r="AC194" i="10"/>
  <c r="W194" i="10"/>
  <c r="X194" i="10" s="1"/>
  <c r="V194" i="10"/>
  <c r="AD194" i="10" s="1"/>
  <c r="AI193" i="10"/>
  <c r="AC193" i="10"/>
  <c r="Z193" i="10"/>
  <c r="Y193" i="10" s="1"/>
  <c r="X193" i="10"/>
  <c r="W193" i="10"/>
  <c r="V193" i="10"/>
  <c r="AD193" i="10" s="1"/>
  <c r="AI192" i="10"/>
  <c r="AC192" i="10"/>
  <c r="AD192" i="10" s="1"/>
  <c r="W192" i="10"/>
  <c r="X192" i="10" s="1"/>
  <c r="AG192" i="10" s="1"/>
  <c r="V192" i="10"/>
  <c r="AI191" i="10"/>
  <c r="AD191" i="10"/>
  <c r="AC191" i="10"/>
  <c r="X191" i="10"/>
  <c r="AG191" i="10" s="1"/>
  <c r="W191" i="10"/>
  <c r="V191" i="10"/>
  <c r="Z191" i="10" s="1"/>
  <c r="Y191" i="10" s="1"/>
  <c r="AI190" i="10"/>
  <c r="AC190" i="10"/>
  <c r="W190" i="10"/>
  <c r="X190" i="10" s="1"/>
  <c r="AG190" i="10" s="1"/>
  <c r="V190" i="10"/>
  <c r="AD190" i="10" s="1"/>
  <c r="AI189" i="10"/>
  <c r="AC189" i="10"/>
  <c r="Z189" i="10"/>
  <c r="Y189" i="10" s="1"/>
  <c r="X189" i="10"/>
  <c r="W189" i="10"/>
  <c r="V189" i="10"/>
  <c r="AD189" i="10" s="1"/>
  <c r="AI188" i="10"/>
  <c r="AC188" i="10"/>
  <c r="AD188" i="10" s="1"/>
  <c r="W188" i="10"/>
  <c r="X188" i="10" s="1"/>
  <c r="AG188" i="10" s="1"/>
  <c r="V188" i="10"/>
  <c r="Z188" i="10" s="1"/>
  <c r="Y188" i="10" s="1"/>
  <c r="AI187" i="10"/>
  <c r="AD187" i="10"/>
  <c r="AC187" i="10"/>
  <c r="X187" i="10"/>
  <c r="AG187" i="10" s="1"/>
  <c r="W187" i="10"/>
  <c r="V187" i="10"/>
  <c r="AI186" i="10"/>
  <c r="AG186" i="10"/>
  <c r="AC186" i="10"/>
  <c r="W186" i="10"/>
  <c r="X186" i="10" s="1"/>
  <c r="V186" i="10"/>
  <c r="AD186" i="10" s="1"/>
  <c r="AI185" i="10"/>
  <c r="AC185" i="10"/>
  <c r="Z185" i="10"/>
  <c r="Y185" i="10" s="1"/>
  <c r="X185" i="10"/>
  <c r="W185" i="10"/>
  <c r="V185" i="10"/>
  <c r="AD185" i="10" s="1"/>
  <c r="AI184" i="10"/>
  <c r="AC184" i="10"/>
  <c r="AD184" i="10" s="1"/>
  <c r="W184" i="10"/>
  <c r="X184" i="10" s="1"/>
  <c r="AG184" i="10" s="1"/>
  <c r="V184" i="10"/>
  <c r="AI183" i="10"/>
  <c r="AD183" i="10"/>
  <c r="AC183" i="10"/>
  <c r="X183" i="10"/>
  <c r="AG183" i="10" s="1"/>
  <c r="W183" i="10"/>
  <c r="V183" i="10"/>
  <c r="Z183" i="10" s="1"/>
  <c r="Y183" i="10" s="1"/>
  <c r="AI182" i="10"/>
  <c r="AC182" i="10"/>
  <c r="W182" i="10"/>
  <c r="X182" i="10" s="1"/>
  <c r="AG182" i="10" s="1"/>
  <c r="V182" i="10"/>
  <c r="AD182" i="10" s="1"/>
  <c r="AI181" i="10"/>
  <c r="AC181" i="10"/>
  <c r="Z181" i="10"/>
  <c r="Y181" i="10" s="1"/>
  <c r="X181" i="10"/>
  <c r="W181" i="10"/>
  <c r="V181" i="10"/>
  <c r="AD181" i="10" s="1"/>
  <c r="AI180" i="10"/>
  <c r="AC180" i="10"/>
  <c r="AD180" i="10" s="1"/>
  <c r="W180" i="10"/>
  <c r="X180" i="10" s="1"/>
  <c r="AG180" i="10" s="1"/>
  <c r="V180" i="10"/>
  <c r="Z180" i="10" s="1"/>
  <c r="Y180" i="10" s="1"/>
  <c r="AI179" i="10"/>
  <c r="AD179" i="10"/>
  <c r="AC179" i="10"/>
  <c r="X179" i="10"/>
  <c r="AG179" i="10" s="1"/>
  <c r="W179" i="10"/>
  <c r="V179" i="10"/>
  <c r="AI178" i="10"/>
  <c r="AG178" i="10"/>
  <c r="AC178" i="10"/>
  <c r="W178" i="10"/>
  <c r="X178" i="10" s="1"/>
  <c r="V178" i="10"/>
  <c r="AD178" i="10" s="1"/>
  <c r="V177" i="10" s="1"/>
  <c r="AI177" i="10"/>
  <c r="AC177" i="10"/>
  <c r="AI176" i="10"/>
  <c r="AC176" i="10"/>
  <c r="X176" i="10"/>
  <c r="W176" i="10"/>
  <c r="V176" i="10"/>
  <c r="AI175" i="10"/>
  <c r="AC175" i="10"/>
  <c r="AD175" i="10" s="1"/>
  <c r="W175" i="10"/>
  <c r="X175" i="10" s="1"/>
  <c r="AG175" i="10" s="1"/>
  <c r="V175" i="10"/>
  <c r="Z175" i="10" s="1"/>
  <c r="Y175" i="10" s="1"/>
  <c r="AI174" i="10"/>
  <c r="AD174" i="10"/>
  <c r="AC174" i="10"/>
  <c r="X174" i="10"/>
  <c r="AG174" i="10" s="1"/>
  <c r="W174" i="10"/>
  <c r="V174" i="10"/>
  <c r="AI173" i="10"/>
  <c r="AG173" i="10"/>
  <c r="AC173" i="10"/>
  <c r="W173" i="10"/>
  <c r="X173" i="10" s="1"/>
  <c r="V173" i="10"/>
  <c r="AD173" i="10" s="1"/>
  <c r="AI172" i="10"/>
  <c r="AC172" i="10"/>
  <c r="Z172" i="10"/>
  <c r="Y172" i="10" s="1"/>
  <c r="X172" i="10"/>
  <c r="AG172" i="10" s="1"/>
  <c r="W172" i="10"/>
  <c r="V172" i="10"/>
  <c r="AD172" i="10" s="1"/>
  <c r="AI171" i="10"/>
  <c r="AC171" i="10"/>
  <c r="AD171" i="10" s="1"/>
  <c r="W171" i="10"/>
  <c r="X171" i="10" s="1"/>
  <c r="AG171" i="10" s="1"/>
  <c r="V171" i="10"/>
  <c r="Z171" i="10" s="1"/>
  <c r="Y171" i="10" s="1"/>
  <c r="AI170" i="10"/>
  <c r="AD170" i="10"/>
  <c r="AC170" i="10"/>
  <c r="X170" i="10"/>
  <c r="AG170" i="10" s="1"/>
  <c r="W170" i="10"/>
  <c r="V170" i="10"/>
  <c r="Z170" i="10" s="1"/>
  <c r="Y170" i="10" s="1"/>
  <c r="AI169" i="10"/>
  <c r="AG169" i="10"/>
  <c r="AC169" i="10"/>
  <c r="W169" i="10"/>
  <c r="X169" i="10" s="1"/>
  <c r="V169" i="10"/>
  <c r="AD169" i="10" s="1"/>
  <c r="AI168" i="10"/>
  <c r="AC168" i="10"/>
  <c r="X168" i="10"/>
  <c r="W168" i="10"/>
  <c r="V168" i="10"/>
  <c r="AI167" i="10"/>
  <c r="AC167" i="10"/>
  <c r="AD167" i="10" s="1"/>
  <c r="W167" i="10"/>
  <c r="X167" i="10" s="1"/>
  <c r="AG167" i="10" s="1"/>
  <c r="V167" i="10"/>
  <c r="Z167" i="10" s="1"/>
  <c r="Y167" i="10" s="1"/>
  <c r="AI166" i="10"/>
  <c r="AD166" i="10"/>
  <c r="AC166" i="10"/>
  <c r="X166" i="10"/>
  <c r="AG166" i="10" s="1"/>
  <c r="W166" i="10"/>
  <c r="V166" i="10"/>
  <c r="AI165" i="10"/>
  <c r="AG165" i="10"/>
  <c r="AC165" i="10"/>
  <c r="W165" i="10"/>
  <c r="X165" i="10" s="1"/>
  <c r="V165" i="10"/>
  <c r="AD165" i="10" s="1"/>
  <c r="AI164" i="10"/>
  <c r="AC164" i="10"/>
  <c r="Z164" i="10"/>
  <c r="Y164" i="10" s="1"/>
  <c r="X164" i="10"/>
  <c r="AG164" i="10" s="1"/>
  <c r="W164" i="10"/>
  <c r="V164" i="10"/>
  <c r="AD164" i="10" s="1"/>
  <c r="AI163" i="10"/>
  <c r="AC163" i="10"/>
  <c r="AD163" i="10" s="1"/>
  <c r="W163" i="10"/>
  <c r="X163" i="10" s="1"/>
  <c r="AG163" i="10" s="1"/>
  <c r="V163" i="10"/>
  <c r="Z163" i="10" s="1"/>
  <c r="Y163" i="10" s="1"/>
  <c r="AI162" i="10"/>
  <c r="AC162" i="10"/>
  <c r="X162" i="10"/>
  <c r="AG162" i="10" s="1"/>
  <c r="W162" i="10"/>
  <c r="V162" i="10"/>
  <c r="Z162" i="10" s="1"/>
  <c r="Y162" i="10" s="1"/>
  <c r="AI161" i="10"/>
  <c r="AG161" i="10"/>
  <c r="AC161" i="10"/>
  <c r="W161" i="10"/>
  <c r="X161" i="10" s="1"/>
  <c r="V161" i="10"/>
  <c r="AI160" i="10"/>
  <c r="AD160" i="10"/>
  <c r="AC160" i="10"/>
  <c r="X160" i="10"/>
  <c r="AG160" i="10" s="1"/>
  <c r="W160" i="10"/>
  <c r="V160" i="10"/>
  <c r="AI159" i="10"/>
  <c r="AG159" i="10"/>
  <c r="AC159" i="10"/>
  <c r="AD159" i="10" s="1"/>
  <c r="W159" i="10"/>
  <c r="X159" i="10" s="1"/>
  <c r="V159" i="10"/>
  <c r="Z159" i="10" s="1"/>
  <c r="Y159" i="10" s="1"/>
  <c r="AI158" i="10"/>
  <c r="AC158" i="10"/>
  <c r="X158" i="10"/>
  <c r="W158" i="10"/>
  <c r="V158" i="10"/>
  <c r="AD158" i="10" s="1"/>
  <c r="AI157" i="10"/>
  <c r="AG157" i="10"/>
  <c r="AC157" i="10"/>
  <c r="W157" i="10"/>
  <c r="X157" i="10" s="1"/>
  <c r="V157" i="10"/>
  <c r="AD157" i="10" s="1"/>
  <c r="AI156" i="10"/>
  <c r="AC156" i="10"/>
  <c r="Z156" i="10"/>
  <c r="Y156" i="10" s="1"/>
  <c r="X156" i="10"/>
  <c r="AG156" i="10" s="1"/>
  <c r="W156" i="10"/>
  <c r="V156" i="10"/>
  <c r="AD156" i="10" s="1"/>
  <c r="AI155" i="10"/>
  <c r="AC155" i="10"/>
  <c r="AD155" i="10" s="1"/>
  <c r="W155" i="10"/>
  <c r="X155" i="10" s="1"/>
  <c r="AG155" i="10" s="1"/>
  <c r="V155" i="10"/>
  <c r="AI154" i="10"/>
  <c r="AC154" i="10"/>
  <c r="X154" i="10"/>
  <c r="AG154" i="10" s="1"/>
  <c r="W154" i="10"/>
  <c r="V154" i="10"/>
  <c r="AI153" i="10"/>
  <c r="AG153" i="10"/>
  <c r="AC153" i="10"/>
  <c r="W153" i="10"/>
  <c r="X153" i="10" s="1"/>
  <c r="V153" i="10"/>
  <c r="AI152" i="10"/>
  <c r="AD152" i="10"/>
  <c r="AC152" i="10"/>
  <c r="X152" i="10"/>
  <c r="AG152" i="10" s="1"/>
  <c r="W152" i="10"/>
  <c r="V152" i="10"/>
  <c r="AI151" i="10"/>
  <c r="AG151" i="10"/>
  <c r="AC151" i="10"/>
  <c r="AD151" i="10" s="1"/>
  <c r="W151" i="10"/>
  <c r="X151" i="10" s="1"/>
  <c r="V151" i="10"/>
  <c r="Z151" i="10" s="1"/>
  <c r="Y151" i="10" s="1"/>
  <c r="AI150" i="10"/>
  <c r="AC150" i="10"/>
  <c r="X150" i="10"/>
  <c r="W150" i="10"/>
  <c r="V150" i="10"/>
  <c r="AD150" i="10" s="1"/>
  <c r="AI149" i="10"/>
  <c r="AG149" i="10"/>
  <c r="AC149" i="10"/>
  <c r="W149" i="10"/>
  <c r="X149" i="10" s="1"/>
  <c r="V149" i="10"/>
  <c r="AD149" i="10" s="1"/>
  <c r="AI148" i="10"/>
  <c r="AC148" i="10"/>
  <c r="Z148" i="10"/>
  <c r="Y148" i="10" s="1"/>
  <c r="X148" i="10"/>
  <c r="AG148" i="10" s="1"/>
  <c r="W148" i="10"/>
  <c r="V148" i="10"/>
  <c r="AD148" i="10" s="1"/>
  <c r="AI147" i="10"/>
  <c r="AC147" i="10"/>
  <c r="AD147" i="10" s="1"/>
  <c r="W147" i="10"/>
  <c r="X147" i="10" s="1"/>
  <c r="AG147" i="10" s="1"/>
  <c r="V147" i="10"/>
  <c r="AI146" i="10"/>
  <c r="AD146" i="10"/>
  <c r="AC146" i="10"/>
  <c r="X146" i="10"/>
  <c r="AG146" i="10" s="1"/>
  <c r="W146" i="10"/>
  <c r="V146" i="10"/>
  <c r="Z146" i="10" s="1"/>
  <c r="Y146" i="10" s="1"/>
  <c r="AI145" i="10"/>
  <c r="AC145" i="10"/>
  <c r="W145" i="10"/>
  <c r="X145" i="10" s="1"/>
  <c r="AG145" i="10" s="1"/>
  <c r="V145" i="10"/>
  <c r="AI144" i="10"/>
  <c r="AC144" i="10"/>
  <c r="Z144" i="10"/>
  <c r="Y144" i="10" s="1"/>
  <c r="W144" i="10"/>
  <c r="X144" i="10" s="1"/>
  <c r="AG144" i="10" s="1"/>
  <c r="V144" i="10"/>
  <c r="AD144" i="10" s="1"/>
  <c r="AI143" i="10"/>
  <c r="AC143" i="10"/>
  <c r="AD143" i="10" s="1"/>
  <c r="W143" i="10"/>
  <c r="X143" i="10" s="1"/>
  <c r="AG143" i="10" s="1"/>
  <c r="V143" i="10"/>
  <c r="AI142" i="10"/>
  <c r="AC142" i="10"/>
  <c r="Z142" i="10"/>
  <c r="Y142" i="10" s="1"/>
  <c r="X142" i="10"/>
  <c r="W142" i="10"/>
  <c r="V142" i="10"/>
  <c r="AD142" i="10" s="1"/>
  <c r="AI141" i="10"/>
  <c r="AC141" i="10"/>
  <c r="Z141" i="10"/>
  <c r="Y141" i="10" s="1"/>
  <c r="W141" i="10"/>
  <c r="X141" i="10" s="1"/>
  <c r="AG141" i="10" s="1"/>
  <c r="V141" i="10"/>
  <c r="AD141" i="10" s="1"/>
  <c r="AI140" i="10"/>
  <c r="AC140" i="10"/>
  <c r="X140" i="10"/>
  <c r="W140" i="10"/>
  <c r="V140" i="10"/>
  <c r="AD140" i="10" s="1"/>
  <c r="AI139" i="10"/>
  <c r="AG139" i="10"/>
  <c r="AC139" i="10"/>
  <c r="AD139" i="10" s="1"/>
  <c r="X139" i="10"/>
  <c r="W139" i="10"/>
  <c r="V139" i="10"/>
  <c r="AI138" i="10"/>
  <c r="AG138" i="10"/>
  <c r="AC138" i="10"/>
  <c r="X138" i="10"/>
  <c r="W138" i="10"/>
  <c r="V138" i="10"/>
  <c r="AD138" i="10" s="1"/>
  <c r="AI137" i="10"/>
  <c r="AC137" i="10"/>
  <c r="Z137" i="10"/>
  <c r="Y137" i="10"/>
  <c r="W137" i="10"/>
  <c r="X137" i="10" s="1"/>
  <c r="AG137" i="10" s="1"/>
  <c r="V137" i="10"/>
  <c r="AD137" i="10" s="1"/>
  <c r="AI136" i="10"/>
  <c r="AD136" i="10"/>
  <c r="AC136" i="10"/>
  <c r="W136" i="10"/>
  <c r="X136" i="10" s="1"/>
  <c r="V136" i="10"/>
  <c r="AI135" i="10"/>
  <c r="AD135" i="10"/>
  <c r="AC135" i="10"/>
  <c r="W135" i="10"/>
  <c r="X135" i="10" s="1"/>
  <c r="AG135" i="10" s="1"/>
  <c r="V135" i="10"/>
  <c r="AI134" i="10"/>
  <c r="AD134" i="10"/>
  <c r="AC134" i="10"/>
  <c r="X134" i="10"/>
  <c r="AG134" i="10" s="1"/>
  <c r="W134" i="10"/>
  <c r="V134" i="10"/>
  <c r="AI133" i="10"/>
  <c r="AC133" i="10"/>
  <c r="AI132" i="10"/>
  <c r="AG132" i="10"/>
  <c r="AC132" i="10"/>
  <c r="W132" i="10"/>
  <c r="X132" i="10" s="1"/>
  <c r="V132" i="10"/>
  <c r="AI131" i="10"/>
  <c r="AC131" i="10"/>
  <c r="W131" i="10"/>
  <c r="X131" i="10" s="1"/>
  <c r="AG131" i="10" s="1"/>
  <c r="V131" i="10"/>
  <c r="AD131" i="10" s="1"/>
  <c r="AI130" i="10"/>
  <c r="AC130" i="10"/>
  <c r="AD130" i="10" s="1"/>
  <c r="W130" i="10"/>
  <c r="X130" i="10" s="1"/>
  <c r="AG130" i="10" s="1"/>
  <c r="V130" i="10"/>
  <c r="AI129" i="10"/>
  <c r="AC129" i="10"/>
  <c r="Z129" i="10"/>
  <c r="Y129" i="10" s="1"/>
  <c r="X129" i="10"/>
  <c r="W129" i="10"/>
  <c r="V129" i="10"/>
  <c r="AD129" i="10" s="1"/>
  <c r="AI128" i="10"/>
  <c r="AC128" i="10"/>
  <c r="W128" i="10"/>
  <c r="X128" i="10" s="1"/>
  <c r="AG128" i="10" s="1"/>
  <c r="V128" i="10"/>
  <c r="AD128" i="10" s="1"/>
  <c r="AI127" i="10"/>
  <c r="AC127" i="10"/>
  <c r="X127" i="10"/>
  <c r="AG127" i="10" s="1"/>
  <c r="W127" i="10"/>
  <c r="V127" i="10"/>
  <c r="AD127" i="10" s="1"/>
  <c r="AI126" i="10"/>
  <c r="AG126" i="10"/>
  <c r="AC126" i="10"/>
  <c r="AD126" i="10" s="1"/>
  <c r="X126" i="10"/>
  <c r="W126" i="10"/>
  <c r="V126" i="10"/>
  <c r="AI125" i="10"/>
  <c r="AG125" i="10" s="1"/>
  <c r="AC125" i="10"/>
  <c r="X125" i="10"/>
  <c r="W125" i="10"/>
  <c r="V125" i="10"/>
  <c r="AD125" i="10" s="1"/>
  <c r="AI124" i="10"/>
  <c r="AC124" i="10"/>
  <c r="Z124" i="10"/>
  <c r="Y124" i="10" s="1"/>
  <c r="W124" i="10"/>
  <c r="X124" i="10" s="1"/>
  <c r="AG124" i="10" s="1"/>
  <c r="V124" i="10"/>
  <c r="AD124" i="10" s="1"/>
  <c r="AI123" i="10"/>
  <c r="AD123" i="10"/>
  <c r="AC123" i="10"/>
  <c r="W123" i="10"/>
  <c r="X123" i="10" s="1"/>
  <c r="V123" i="10"/>
  <c r="AI122" i="10"/>
  <c r="AD122" i="10"/>
  <c r="AC122" i="10"/>
  <c r="X122" i="10"/>
  <c r="AG122" i="10" s="1"/>
  <c r="W122" i="10"/>
  <c r="V122" i="10"/>
  <c r="AI121" i="10"/>
  <c r="AD121" i="10"/>
  <c r="AC121" i="10"/>
  <c r="X121" i="10"/>
  <c r="AG121" i="10" s="1"/>
  <c r="W121" i="10"/>
  <c r="V121" i="10"/>
  <c r="Z121" i="10" s="1"/>
  <c r="Y121" i="10" s="1"/>
  <c r="AI120" i="10"/>
  <c r="AG120" i="10"/>
  <c r="AC120" i="10"/>
  <c r="Y120" i="10"/>
  <c r="W120" i="10"/>
  <c r="X120" i="10" s="1"/>
  <c r="Z120" i="10" s="1"/>
  <c r="V120" i="10"/>
  <c r="AD120" i="10" s="1"/>
  <c r="AI119" i="10"/>
  <c r="AD119" i="10"/>
  <c r="AC119" i="10"/>
  <c r="W119" i="10"/>
  <c r="X119" i="10" s="1"/>
  <c r="AG119" i="10" s="1"/>
  <c r="V119" i="10"/>
  <c r="AI118" i="10"/>
  <c r="AC118" i="10"/>
  <c r="AD118" i="10" s="1"/>
  <c r="W118" i="10"/>
  <c r="X118" i="10" s="1"/>
  <c r="AG118" i="10" s="1"/>
  <c r="V118" i="10"/>
  <c r="Z118" i="10" s="1"/>
  <c r="Y118" i="10" s="1"/>
  <c r="AI117" i="10"/>
  <c r="AD117" i="10"/>
  <c r="AC117" i="10"/>
  <c r="X117" i="10"/>
  <c r="AG117" i="10" s="1"/>
  <c r="W117" i="10"/>
  <c r="V117" i="10"/>
  <c r="AI116" i="10"/>
  <c r="AG116" i="10"/>
  <c r="AC116" i="10"/>
  <c r="W116" i="10"/>
  <c r="X116" i="10" s="1"/>
  <c r="V116" i="10"/>
  <c r="AI115" i="10"/>
  <c r="AC115" i="10"/>
  <c r="W115" i="10"/>
  <c r="X115" i="10" s="1"/>
  <c r="AG115" i="10" s="1"/>
  <c r="V115" i="10"/>
  <c r="AD115" i="10" s="1"/>
  <c r="AI114" i="10"/>
  <c r="AC114" i="10"/>
  <c r="AD114" i="10" s="1"/>
  <c r="W114" i="10"/>
  <c r="X114" i="10" s="1"/>
  <c r="AG114" i="10" s="1"/>
  <c r="V114" i="10"/>
  <c r="AI113" i="10"/>
  <c r="AC113" i="10"/>
  <c r="Z113" i="10"/>
  <c r="Y113" i="10" s="1"/>
  <c r="X113" i="10"/>
  <c r="W113" i="10"/>
  <c r="V113" i="10"/>
  <c r="AD113" i="10" s="1"/>
  <c r="AI112" i="10"/>
  <c r="AC112" i="10"/>
  <c r="W112" i="10"/>
  <c r="X112" i="10" s="1"/>
  <c r="AG112" i="10" s="1"/>
  <c r="V112" i="10"/>
  <c r="AD112" i="10" s="1"/>
  <c r="AI111" i="10"/>
  <c r="AC111" i="10"/>
  <c r="X111" i="10"/>
  <c r="AG111" i="10" s="1"/>
  <c r="W111" i="10"/>
  <c r="V111" i="10"/>
  <c r="AD111" i="10" s="1"/>
  <c r="AI110" i="10"/>
  <c r="AG110" i="10"/>
  <c r="AC110" i="10"/>
  <c r="AD110" i="10" s="1"/>
  <c r="X110" i="10"/>
  <c r="W110" i="10"/>
  <c r="V110" i="10"/>
  <c r="AI109" i="10"/>
  <c r="AG109" i="10" s="1"/>
  <c r="AC109" i="10"/>
  <c r="X109" i="10"/>
  <c r="W109" i="10"/>
  <c r="V109" i="10"/>
  <c r="AD109" i="10" s="1"/>
  <c r="AI108" i="10"/>
  <c r="AC108" i="10"/>
  <c r="Z108" i="10"/>
  <c r="Y108" i="10" s="1"/>
  <c r="W108" i="10"/>
  <c r="X108" i="10" s="1"/>
  <c r="AG108" i="10" s="1"/>
  <c r="V108" i="10"/>
  <c r="AD108" i="10" s="1"/>
  <c r="AI107" i="10"/>
  <c r="AD107" i="10"/>
  <c r="AC107" i="10"/>
  <c r="W107" i="10"/>
  <c r="X107" i="10" s="1"/>
  <c r="V107" i="10"/>
  <c r="AI106" i="10"/>
  <c r="AD106" i="10"/>
  <c r="AC106" i="10"/>
  <c r="X106" i="10"/>
  <c r="AG106" i="10" s="1"/>
  <c r="W106" i="10"/>
  <c r="V106" i="10"/>
  <c r="AI105" i="10"/>
  <c r="AD105" i="10"/>
  <c r="AC105" i="10"/>
  <c r="X105" i="10"/>
  <c r="AG105" i="10" s="1"/>
  <c r="W105" i="10"/>
  <c r="V105" i="10"/>
  <c r="Z105" i="10" s="1"/>
  <c r="Y105" i="10" s="1"/>
  <c r="AI104" i="10"/>
  <c r="AG104" i="10"/>
  <c r="AC104" i="10"/>
  <c r="Y104" i="10"/>
  <c r="W104" i="10"/>
  <c r="X104" i="10" s="1"/>
  <c r="Z104" i="10" s="1"/>
  <c r="V104" i="10"/>
  <c r="AD104" i="10" s="1"/>
  <c r="AI103" i="10"/>
  <c r="AD103" i="10"/>
  <c r="AC103" i="10"/>
  <c r="W103" i="10"/>
  <c r="X103" i="10" s="1"/>
  <c r="AG103" i="10" s="1"/>
  <c r="V103" i="10"/>
  <c r="AI102" i="10"/>
  <c r="AC102" i="10"/>
  <c r="AD102" i="10" s="1"/>
  <c r="W102" i="10"/>
  <c r="X102" i="10" s="1"/>
  <c r="AG102" i="10" s="1"/>
  <c r="V102" i="10"/>
  <c r="Z102" i="10" s="1"/>
  <c r="Y102" i="10" s="1"/>
  <c r="AI101" i="10"/>
  <c r="AD101" i="10"/>
  <c r="AC101" i="10"/>
  <c r="X101" i="10"/>
  <c r="AG101" i="10" s="1"/>
  <c r="W101" i="10"/>
  <c r="V101" i="10"/>
  <c r="AI100" i="10"/>
  <c r="AG100" i="10"/>
  <c r="AC100" i="10"/>
  <c r="W100" i="10"/>
  <c r="X100" i="10" s="1"/>
  <c r="V100" i="10"/>
  <c r="AI99" i="10"/>
  <c r="AC99" i="10"/>
  <c r="W99" i="10"/>
  <c r="X99" i="10" s="1"/>
  <c r="AG99" i="10" s="1"/>
  <c r="V99" i="10"/>
  <c r="AD99" i="10" s="1"/>
  <c r="AI98" i="10"/>
  <c r="AC98" i="10"/>
  <c r="AD98" i="10" s="1"/>
  <c r="W98" i="10"/>
  <c r="X98" i="10" s="1"/>
  <c r="AG98" i="10" s="1"/>
  <c r="V98" i="10"/>
  <c r="AI97" i="10"/>
  <c r="AC97" i="10"/>
  <c r="Z97" i="10"/>
  <c r="Y97" i="10" s="1"/>
  <c r="X97" i="10"/>
  <c r="W97" i="10"/>
  <c r="V97" i="10"/>
  <c r="AD97" i="10" s="1"/>
  <c r="AI96" i="10"/>
  <c r="AC96" i="10"/>
  <c r="W96" i="10"/>
  <c r="X96" i="10" s="1"/>
  <c r="AG96" i="10" s="1"/>
  <c r="V96" i="10"/>
  <c r="AD96" i="10" s="1"/>
  <c r="AI95" i="10"/>
  <c r="AC95" i="10"/>
  <c r="X95" i="10"/>
  <c r="AG95" i="10" s="1"/>
  <c r="W95" i="10"/>
  <c r="V95" i="10"/>
  <c r="AD95" i="10" s="1"/>
  <c r="AI94" i="10"/>
  <c r="AG94" i="10"/>
  <c r="AC94" i="10"/>
  <c r="AD94" i="10" s="1"/>
  <c r="X94" i="10"/>
  <c r="W94" i="10"/>
  <c r="V94" i="10"/>
  <c r="AI93" i="10"/>
  <c r="AG93" i="10" s="1"/>
  <c r="AC93" i="10"/>
  <c r="X93" i="10"/>
  <c r="W93" i="10"/>
  <c r="V93" i="10"/>
  <c r="AD93" i="10" s="1"/>
  <c r="AI92" i="10"/>
  <c r="AC92" i="10"/>
  <c r="Z92" i="10"/>
  <c r="Y92" i="10" s="1"/>
  <c r="W92" i="10"/>
  <c r="X92" i="10" s="1"/>
  <c r="AG92" i="10" s="1"/>
  <c r="V92" i="10"/>
  <c r="AD92" i="10" s="1"/>
  <c r="AI91" i="10"/>
  <c r="AD91" i="10"/>
  <c r="AC91" i="10"/>
  <c r="W91" i="10"/>
  <c r="X91" i="10" s="1"/>
  <c r="V91" i="10"/>
  <c r="AI90" i="10"/>
  <c r="AD90" i="10"/>
  <c r="AC90" i="10"/>
  <c r="X90" i="10"/>
  <c r="AG90" i="10" s="1"/>
  <c r="W90" i="10"/>
  <c r="V90" i="10"/>
  <c r="AI89" i="10"/>
  <c r="AD89" i="10"/>
  <c r="AC89" i="10"/>
  <c r="X89" i="10"/>
  <c r="AG89" i="10" s="1"/>
  <c r="W89" i="10"/>
  <c r="V89" i="10"/>
  <c r="Z89" i="10" s="1"/>
  <c r="Y89" i="10" s="1"/>
  <c r="AI88" i="10"/>
  <c r="AG88" i="10"/>
  <c r="AC88" i="10"/>
  <c r="Y88" i="10"/>
  <c r="W88" i="10"/>
  <c r="X88" i="10" s="1"/>
  <c r="Z88" i="10" s="1"/>
  <c r="V88" i="10"/>
  <c r="AD88" i="10" s="1"/>
  <c r="AI87" i="10"/>
  <c r="AD87" i="10"/>
  <c r="AC87" i="10"/>
  <c r="W87" i="10"/>
  <c r="X87" i="10" s="1"/>
  <c r="AG87" i="10" s="1"/>
  <c r="V87" i="10"/>
  <c r="AI86" i="10"/>
  <c r="AC86" i="10"/>
  <c r="AD86" i="10" s="1"/>
  <c r="W86" i="10"/>
  <c r="X86" i="10" s="1"/>
  <c r="AG86" i="10" s="1"/>
  <c r="V86" i="10"/>
  <c r="Z86" i="10" s="1"/>
  <c r="Y86" i="10" s="1"/>
  <c r="AI85" i="10"/>
  <c r="AD85" i="10"/>
  <c r="AC85" i="10"/>
  <c r="X85" i="10"/>
  <c r="AG85" i="10" s="1"/>
  <c r="W85" i="10"/>
  <c r="V85" i="10"/>
  <c r="AI84" i="10"/>
  <c r="AG84" i="10"/>
  <c r="AC84" i="10"/>
  <c r="W84" i="10"/>
  <c r="X84" i="10" s="1"/>
  <c r="V84" i="10"/>
  <c r="AI83" i="10"/>
  <c r="AC83" i="10"/>
  <c r="W83" i="10"/>
  <c r="X83" i="10" s="1"/>
  <c r="AG83" i="10" s="1"/>
  <c r="V83" i="10"/>
  <c r="AD83" i="10" s="1"/>
  <c r="AI82" i="10"/>
  <c r="AC82" i="10"/>
  <c r="AD82" i="10" s="1"/>
  <c r="W82" i="10"/>
  <c r="X82" i="10" s="1"/>
  <c r="AG82" i="10" s="1"/>
  <c r="V82" i="10"/>
  <c r="AI81" i="10"/>
  <c r="AC81" i="10"/>
  <c r="Z81" i="10"/>
  <c r="Y81" i="10" s="1"/>
  <c r="X81" i="10"/>
  <c r="W81" i="10"/>
  <c r="V81" i="10"/>
  <c r="AD81" i="10" s="1"/>
  <c r="AI80" i="10"/>
  <c r="AC80" i="10"/>
  <c r="W80" i="10"/>
  <c r="X80" i="10" s="1"/>
  <c r="AG80" i="10" s="1"/>
  <c r="V80" i="10"/>
  <c r="AD80" i="10" s="1"/>
  <c r="AI79" i="10"/>
  <c r="AC79" i="10"/>
  <c r="X79" i="10"/>
  <c r="AG79" i="10" s="1"/>
  <c r="W79" i="10"/>
  <c r="V79" i="10"/>
  <c r="AD79" i="10" s="1"/>
  <c r="AI78" i="10"/>
  <c r="AG78" i="10"/>
  <c r="AC78" i="10"/>
  <c r="AD78" i="10" s="1"/>
  <c r="X78" i="10"/>
  <c r="W78" i="10"/>
  <c r="V78" i="10"/>
  <c r="AI77" i="10"/>
  <c r="AG77" i="10" s="1"/>
  <c r="AC77" i="10"/>
  <c r="X77" i="10"/>
  <c r="W77" i="10"/>
  <c r="V77" i="10"/>
  <c r="AD77" i="10" s="1"/>
  <c r="AI76" i="10"/>
  <c r="AC76" i="10"/>
  <c r="Z76" i="10"/>
  <c r="Y76" i="10" s="1"/>
  <c r="W76" i="10"/>
  <c r="X76" i="10" s="1"/>
  <c r="AG76" i="10" s="1"/>
  <c r="V76" i="10"/>
  <c r="AD76" i="10" s="1"/>
  <c r="AI75" i="10"/>
  <c r="AD75" i="10"/>
  <c r="AC75" i="10"/>
  <c r="W75" i="10"/>
  <c r="X75" i="10" s="1"/>
  <c r="V75" i="10"/>
  <c r="AI74" i="10"/>
  <c r="AD74" i="10"/>
  <c r="AC74" i="10"/>
  <c r="X74" i="10"/>
  <c r="AG74" i="10" s="1"/>
  <c r="W74" i="10"/>
  <c r="V74" i="10"/>
  <c r="AI73" i="10"/>
  <c r="AD73" i="10"/>
  <c r="AC73" i="10"/>
  <c r="X73" i="10"/>
  <c r="AG73" i="10" s="1"/>
  <c r="W73" i="10"/>
  <c r="V73" i="10"/>
  <c r="Z73" i="10" s="1"/>
  <c r="Y73" i="10" s="1"/>
  <c r="AI72" i="10"/>
  <c r="AG72" i="10"/>
  <c r="AC72" i="10"/>
  <c r="Y72" i="10"/>
  <c r="W72" i="10"/>
  <c r="X72" i="10" s="1"/>
  <c r="Z72" i="10" s="1"/>
  <c r="V72" i="10"/>
  <c r="AD72" i="10" s="1"/>
  <c r="AI71" i="10"/>
  <c r="AD71" i="10"/>
  <c r="AC71" i="10"/>
  <c r="W71" i="10"/>
  <c r="X71" i="10" s="1"/>
  <c r="AG71" i="10" s="1"/>
  <c r="V71" i="10"/>
  <c r="AI70" i="10"/>
  <c r="AC70" i="10"/>
  <c r="AD70" i="10" s="1"/>
  <c r="W70" i="10"/>
  <c r="X70" i="10" s="1"/>
  <c r="AG70" i="10" s="1"/>
  <c r="V70" i="10"/>
  <c r="Z70" i="10" s="1"/>
  <c r="Y70" i="10" s="1"/>
  <c r="AI69" i="10"/>
  <c r="AD69" i="10"/>
  <c r="AC69" i="10"/>
  <c r="X69" i="10"/>
  <c r="AG69" i="10" s="1"/>
  <c r="W69" i="10"/>
  <c r="V69" i="10"/>
  <c r="AI68" i="10"/>
  <c r="AG68" i="10"/>
  <c r="AC68" i="10"/>
  <c r="W68" i="10"/>
  <c r="X68" i="10" s="1"/>
  <c r="V68" i="10"/>
  <c r="AI67" i="10"/>
  <c r="AC67" i="10"/>
  <c r="W67" i="10"/>
  <c r="X67" i="10" s="1"/>
  <c r="AG67" i="10" s="1"/>
  <c r="V67" i="10"/>
  <c r="AD67" i="10" s="1"/>
  <c r="AI66" i="10"/>
  <c r="AD66" i="10"/>
  <c r="AC66" i="10"/>
  <c r="X66" i="10"/>
  <c r="AG66" i="10" s="1"/>
  <c r="W66" i="10"/>
  <c r="V66" i="10"/>
  <c r="AI65" i="10"/>
  <c r="AD65" i="10"/>
  <c r="AC65" i="10"/>
  <c r="X65" i="10"/>
  <c r="AG65" i="10" s="1"/>
  <c r="W65" i="10"/>
  <c r="V65" i="10"/>
  <c r="AI64" i="10"/>
  <c r="AC64" i="10"/>
  <c r="W64" i="10"/>
  <c r="X64" i="10" s="1"/>
  <c r="AG64" i="10" s="1"/>
  <c r="V64" i="10"/>
  <c r="AD64" i="10" s="1"/>
  <c r="AI63" i="10"/>
  <c r="AC63" i="10"/>
  <c r="Z63" i="10"/>
  <c r="Y63" i="10" s="1"/>
  <c r="W63" i="10"/>
  <c r="X63" i="10" s="1"/>
  <c r="V63" i="10"/>
  <c r="AD63" i="10" s="1"/>
  <c r="AI62" i="10"/>
  <c r="AD62" i="10"/>
  <c r="AC62" i="10"/>
  <c r="X62" i="10"/>
  <c r="AG62" i="10" s="1"/>
  <c r="W62" i="10"/>
  <c r="V62" i="10"/>
  <c r="Z62" i="10" s="1"/>
  <c r="Y62" i="10" s="1"/>
  <c r="AI61" i="10"/>
  <c r="AD61" i="10"/>
  <c r="AC61" i="10"/>
  <c r="X61" i="10"/>
  <c r="AG61" i="10" s="1"/>
  <c r="W61" i="10"/>
  <c r="V61" i="10"/>
  <c r="Z61" i="10" s="1"/>
  <c r="Y61" i="10" s="1"/>
  <c r="AI60" i="10"/>
  <c r="AC60" i="10"/>
  <c r="Z60" i="10"/>
  <c r="Y60" i="10" s="1"/>
  <c r="W60" i="10"/>
  <c r="X60" i="10" s="1"/>
  <c r="AG60" i="10" s="1"/>
  <c r="V60" i="10"/>
  <c r="AD60" i="10" s="1"/>
  <c r="AI59" i="10"/>
  <c r="AC59" i="10"/>
  <c r="W59" i="10"/>
  <c r="X59" i="10" s="1"/>
  <c r="V59" i="10"/>
  <c r="AD59" i="10" s="1"/>
  <c r="AI58" i="10"/>
  <c r="AD58" i="10"/>
  <c r="AC58" i="10"/>
  <c r="X58" i="10"/>
  <c r="AG58" i="10" s="1"/>
  <c r="W58" i="10"/>
  <c r="V58" i="10"/>
  <c r="AI57" i="10"/>
  <c r="AD57" i="10"/>
  <c r="AC57" i="10"/>
  <c r="X57" i="10"/>
  <c r="AG57" i="10" s="1"/>
  <c r="W57" i="10"/>
  <c r="V57" i="10"/>
  <c r="AI56" i="10"/>
  <c r="AC56" i="10"/>
  <c r="W56" i="10"/>
  <c r="X56" i="10" s="1"/>
  <c r="AG56" i="10" s="1"/>
  <c r="V56" i="10"/>
  <c r="AD56" i="10" s="1"/>
  <c r="AI55" i="10"/>
  <c r="AC55" i="10"/>
  <c r="Z55" i="10"/>
  <c r="Y55" i="10" s="1"/>
  <c r="W55" i="10"/>
  <c r="X55" i="10" s="1"/>
  <c r="V55" i="10"/>
  <c r="AD55" i="10" s="1"/>
  <c r="AI54" i="10"/>
  <c r="AD54" i="10"/>
  <c r="AC54" i="10"/>
  <c r="X54" i="10"/>
  <c r="AG54" i="10" s="1"/>
  <c r="W54" i="10"/>
  <c r="V54" i="10"/>
  <c r="Z54" i="10" s="1"/>
  <c r="Y54" i="10" s="1"/>
  <c r="AI53" i="10"/>
  <c r="AD53" i="10"/>
  <c r="AC53" i="10"/>
  <c r="X53" i="10"/>
  <c r="AG53" i="10" s="1"/>
  <c r="W53" i="10"/>
  <c r="V53" i="10"/>
  <c r="Z53" i="10" s="1"/>
  <c r="Y53" i="10" s="1"/>
  <c r="AI52" i="10"/>
  <c r="AC52" i="10"/>
  <c r="Z52" i="10"/>
  <c r="Y52" i="10" s="1"/>
  <c r="W52" i="10"/>
  <c r="X52" i="10" s="1"/>
  <c r="AG52" i="10" s="1"/>
  <c r="V52" i="10"/>
  <c r="AD52" i="10" s="1"/>
  <c r="AI51" i="10"/>
  <c r="AC51" i="10"/>
  <c r="W51" i="10"/>
  <c r="X51" i="10" s="1"/>
  <c r="V51" i="10"/>
  <c r="AD51" i="10" s="1"/>
  <c r="AI50" i="10"/>
  <c r="AD50" i="10"/>
  <c r="AC50" i="10"/>
  <c r="X50" i="10"/>
  <c r="AG50" i="10" s="1"/>
  <c r="W50" i="10"/>
  <c r="V50" i="10"/>
  <c r="AI49" i="10"/>
  <c r="AD49" i="10"/>
  <c r="AC49" i="10"/>
  <c r="X49" i="10"/>
  <c r="AG49" i="10" s="1"/>
  <c r="W49" i="10"/>
  <c r="V49" i="10"/>
  <c r="AI48" i="10"/>
  <c r="AC48" i="10"/>
  <c r="W48" i="10"/>
  <c r="X48" i="10" s="1"/>
  <c r="AG48" i="10" s="1"/>
  <c r="V48" i="10"/>
  <c r="AD48" i="10" s="1"/>
  <c r="AI47" i="10"/>
  <c r="AC47" i="10"/>
  <c r="Z47" i="10"/>
  <c r="Y47" i="10" s="1"/>
  <c r="W47" i="10"/>
  <c r="X47" i="10" s="1"/>
  <c r="V47" i="10"/>
  <c r="AD47" i="10" s="1"/>
  <c r="AI46" i="10"/>
  <c r="AD46" i="10"/>
  <c r="AC46" i="10"/>
  <c r="X46" i="10"/>
  <c r="AG46" i="10" s="1"/>
  <c r="W46" i="10"/>
  <c r="V46" i="10"/>
  <c r="Z46" i="10" s="1"/>
  <c r="Y46" i="10" s="1"/>
  <c r="AI45" i="10"/>
  <c r="AD45" i="10"/>
  <c r="AC45" i="10"/>
  <c r="X45" i="10"/>
  <c r="AG45" i="10" s="1"/>
  <c r="W45" i="10"/>
  <c r="V45" i="10"/>
  <c r="Z45" i="10" s="1"/>
  <c r="Y45" i="10" s="1"/>
  <c r="AI44" i="10"/>
  <c r="AC44" i="10"/>
  <c r="Z44" i="10"/>
  <c r="Y44" i="10" s="1"/>
  <c r="W44" i="10"/>
  <c r="X44" i="10" s="1"/>
  <c r="AG44" i="10" s="1"/>
  <c r="V44" i="10"/>
  <c r="AD44" i="10" s="1"/>
  <c r="AI43" i="10"/>
  <c r="AC43" i="10"/>
  <c r="W43" i="10"/>
  <c r="X43" i="10" s="1"/>
  <c r="V43" i="10"/>
  <c r="AD43" i="10" s="1"/>
  <c r="AI42" i="10"/>
  <c r="AD42" i="10"/>
  <c r="AC42" i="10"/>
  <c r="X42" i="10"/>
  <c r="AG42" i="10" s="1"/>
  <c r="W42" i="10"/>
  <c r="V42" i="10"/>
  <c r="AI41" i="10"/>
  <c r="AG41" i="10"/>
  <c r="AD41" i="10"/>
  <c r="AC41" i="10"/>
  <c r="X41" i="10"/>
  <c r="W41" i="10"/>
  <c r="V41" i="10"/>
  <c r="Z41" i="10" s="1"/>
  <c r="Y41" i="10" s="1"/>
  <c r="AI40" i="10"/>
  <c r="AC40" i="10"/>
  <c r="W40" i="10"/>
  <c r="X40" i="10" s="1"/>
  <c r="AG40" i="10" s="1"/>
  <c r="V40" i="10"/>
  <c r="AD40" i="10" s="1"/>
  <c r="AI39" i="10"/>
  <c r="AD39" i="10"/>
  <c r="AC39" i="10"/>
  <c r="W39" i="10"/>
  <c r="X39" i="10" s="1"/>
  <c r="V39" i="10"/>
  <c r="AI38" i="10"/>
  <c r="AC38" i="10"/>
  <c r="AI37" i="10"/>
  <c r="AC37" i="10"/>
  <c r="AD37" i="10" s="1"/>
  <c r="X37" i="10"/>
  <c r="Z37" i="10" s="1"/>
  <c r="Y37" i="10" s="1"/>
  <c r="W37" i="10"/>
  <c r="AI36" i="10"/>
  <c r="AD36" i="10"/>
  <c r="AC36" i="10"/>
  <c r="W36" i="10"/>
  <c r="X36" i="10" s="1"/>
  <c r="AI35" i="10"/>
  <c r="AC35" i="10"/>
  <c r="AD35" i="10" s="1"/>
  <c r="X35" i="10"/>
  <c r="Z35" i="10" s="1"/>
  <c r="Y35" i="10" s="1"/>
  <c r="W35" i="10"/>
  <c r="AI34" i="10"/>
  <c r="AD34" i="10"/>
  <c r="AC34" i="10"/>
  <c r="W34" i="10"/>
  <c r="X34" i="10" s="1"/>
  <c r="AI33" i="10"/>
  <c r="AC33" i="10"/>
  <c r="AD33" i="10" s="1"/>
  <c r="X33" i="10"/>
  <c r="Z33" i="10" s="1"/>
  <c r="Y33" i="10" s="1"/>
  <c r="W33" i="10"/>
  <c r="AI32" i="10"/>
  <c r="AD32" i="10"/>
  <c r="AC32" i="10"/>
  <c r="W32" i="10"/>
  <c r="X32" i="10" s="1"/>
  <c r="AI31" i="10"/>
  <c r="AC31" i="10"/>
  <c r="AD31" i="10" s="1"/>
  <c r="X31" i="10"/>
  <c r="Z31" i="10" s="1"/>
  <c r="Y31" i="10" s="1"/>
  <c r="W31" i="10"/>
  <c r="AI30" i="10"/>
  <c r="AD30" i="10"/>
  <c r="AC30" i="10"/>
  <c r="W30" i="10"/>
  <c r="X30" i="10" s="1"/>
  <c r="AI29" i="10"/>
  <c r="AC29" i="10"/>
  <c r="AD29" i="10" s="1"/>
  <c r="X29" i="10"/>
  <c r="Z29" i="10" s="1"/>
  <c r="Y29" i="10" s="1"/>
  <c r="W29" i="10"/>
  <c r="AI28" i="10"/>
  <c r="AD28" i="10"/>
  <c r="AC28" i="10"/>
  <c r="W28" i="10"/>
  <c r="X28" i="10" s="1"/>
  <c r="AI27" i="10"/>
  <c r="AC27" i="10"/>
  <c r="AD27" i="10" s="1"/>
  <c r="X27" i="10"/>
  <c r="Z27" i="10" s="1"/>
  <c r="Y27" i="10" s="1"/>
  <c r="W27" i="10"/>
  <c r="AI26" i="10"/>
  <c r="AD26" i="10"/>
  <c r="AC26" i="10"/>
  <c r="W26" i="10"/>
  <c r="X26" i="10" s="1"/>
  <c r="AI25" i="10"/>
  <c r="AC25" i="10"/>
  <c r="AD25" i="10" s="1"/>
  <c r="X25" i="10"/>
  <c r="Z25" i="10" s="1"/>
  <c r="Y25" i="10" s="1"/>
  <c r="W25" i="10"/>
  <c r="AI24" i="10"/>
  <c r="AD24" i="10"/>
  <c r="AC24" i="10"/>
  <c r="W24" i="10"/>
  <c r="X24" i="10" s="1"/>
  <c r="AI23" i="10"/>
  <c r="AC23" i="10"/>
  <c r="AD23" i="10" s="1"/>
  <c r="X23" i="10"/>
  <c r="Z23" i="10" s="1"/>
  <c r="Y23" i="10" s="1"/>
  <c r="W23" i="10"/>
  <c r="AI22" i="10"/>
  <c r="AD22" i="10"/>
  <c r="AC22" i="10"/>
  <c r="W22" i="10"/>
  <c r="X22" i="10" s="1"/>
  <c r="AI21" i="10"/>
  <c r="AC21" i="10"/>
  <c r="AD21" i="10" s="1"/>
  <c r="X21" i="10"/>
  <c r="Z21" i="10" s="1"/>
  <c r="Y21" i="10" s="1"/>
  <c r="W21" i="10"/>
  <c r="AI20" i="10"/>
  <c r="AD20" i="10"/>
  <c r="AC20" i="10"/>
  <c r="W20" i="10"/>
  <c r="X20" i="10" s="1"/>
  <c r="AI19" i="10"/>
  <c r="AC19" i="10"/>
  <c r="AD19" i="10" s="1"/>
  <c r="X19" i="10"/>
  <c r="Z19" i="10" s="1"/>
  <c r="Y19" i="10" s="1"/>
  <c r="W19" i="10"/>
  <c r="AI18" i="10"/>
  <c r="AD18" i="10"/>
  <c r="AC18" i="10"/>
  <c r="W18" i="10"/>
  <c r="X18" i="10" s="1"/>
  <c r="AI17" i="10"/>
  <c r="AC17" i="10"/>
  <c r="AD17" i="10" s="1"/>
  <c r="X17" i="10"/>
  <c r="Z17" i="10" s="1"/>
  <c r="Y17" i="10" s="1"/>
  <c r="W17" i="10"/>
  <c r="AI16" i="10"/>
  <c r="AD16" i="10"/>
  <c r="AC16" i="10"/>
  <c r="W16" i="10"/>
  <c r="X16" i="10" s="1"/>
  <c r="AI15" i="10"/>
  <c r="AC15" i="10"/>
  <c r="AD15" i="10" s="1"/>
  <c r="X15" i="10"/>
  <c r="Z15" i="10" s="1"/>
  <c r="Y15" i="10" s="1"/>
  <c r="W15" i="10"/>
  <c r="AI14" i="10"/>
  <c r="AD14" i="10"/>
  <c r="AC14" i="10"/>
  <c r="W14" i="10"/>
  <c r="X14" i="10" s="1"/>
  <c r="AI13" i="10"/>
  <c r="AC13" i="10"/>
  <c r="AD13" i="10" s="1"/>
  <c r="X13" i="10"/>
  <c r="Z13" i="10" s="1"/>
  <c r="Y13" i="10" s="1"/>
  <c r="W13" i="10"/>
  <c r="AI12" i="10"/>
  <c r="AD12" i="10"/>
  <c r="AC12" i="10"/>
  <c r="W12" i="10"/>
  <c r="X12" i="10" s="1"/>
  <c r="AI11" i="10"/>
  <c r="AC11" i="10"/>
  <c r="AD11" i="10" s="1"/>
  <c r="X11" i="10"/>
  <c r="Z11" i="10" s="1"/>
  <c r="Y11" i="10" s="1"/>
  <c r="W11" i="10"/>
  <c r="AI10" i="10"/>
  <c r="AD10" i="10"/>
  <c r="V9" i="10" s="1"/>
  <c r="AC10" i="10"/>
  <c r="W10" i="10"/>
  <c r="X10" i="10" s="1"/>
  <c r="AC9" i="10"/>
  <c r="Z506" i="9"/>
  <c r="Y506" i="9" s="1"/>
  <c r="W506" i="9"/>
  <c r="Z505" i="9"/>
  <c r="W505" i="9"/>
  <c r="Z504" i="9"/>
  <c r="Y504" i="9"/>
  <c r="W504" i="9"/>
  <c r="AI503" i="9"/>
  <c r="AG503" i="9"/>
  <c r="AI502" i="9"/>
  <c r="AG502" i="9" s="1"/>
  <c r="AI501" i="9"/>
  <c r="AG501" i="9" s="1"/>
  <c r="AI500" i="9"/>
  <c r="AG500" i="9" s="1"/>
  <c r="AI499" i="9"/>
  <c r="AC499" i="9"/>
  <c r="AD499" i="9" s="1"/>
  <c r="V498" i="9" s="1"/>
  <c r="W499" i="9"/>
  <c r="X499" i="9" s="1"/>
  <c r="AI498" i="9"/>
  <c r="AC498" i="9"/>
  <c r="Y498" i="9"/>
  <c r="W498" i="9" s="1"/>
  <c r="AI497" i="9"/>
  <c r="AC497" i="9"/>
  <c r="AD497" i="9" s="1"/>
  <c r="V496" i="9" s="1"/>
  <c r="Z497" i="9"/>
  <c r="Y497" i="9" s="1"/>
  <c r="Y496" i="9" s="1"/>
  <c r="W496" i="9" s="1"/>
  <c r="W497" i="9"/>
  <c r="X497" i="9" s="1"/>
  <c r="AI496" i="9"/>
  <c r="AC496" i="9"/>
  <c r="Z496" i="9"/>
  <c r="X496" i="9" s="1"/>
  <c r="AG496" i="9" s="1"/>
  <c r="AI495" i="9"/>
  <c r="AC495" i="9"/>
  <c r="AL494" i="9"/>
  <c r="AI494" i="9"/>
  <c r="AG494" i="9" s="1"/>
  <c r="AC494" i="9"/>
  <c r="AD494" i="9" s="1"/>
  <c r="Z494" i="9"/>
  <c r="Y494" i="9" s="1"/>
  <c r="W494" i="9"/>
  <c r="AI493" i="9"/>
  <c r="AC493" i="9"/>
  <c r="AD493" i="9" s="1"/>
  <c r="Z493" i="9"/>
  <c r="Z492" i="9" s="1"/>
  <c r="X492" i="9" s="1"/>
  <c r="AG492" i="9" s="1"/>
  <c r="W493" i="9"/>
  <c r="X493" i="9" s="1"/>
  <c r="AG493" i="9" s="1"/>
  <c r="AI492" i="9"/>
  <c r="AC492" i="9"/>
  <c r="V492" i="9"/>
  <c r="AI491" i="9"/>
  <c r="AG491" i="9" s="1"/>
  <c r="AC491" i="9"/>
  <c r="AD491" i="9" s="1"/>
  <c r="Z491" i="9"/>
  <c r="W491" i="9"/>
  <c r="AI490" i="9"/>
  <c r="AC490" i="9"/>
  <c r="AD490" i="9" s="1"/>
  <c r="W490" i="9"/>
  <c r="X490" i="9" s="1"/>
  <c r="Z490" i="9" s="1"/>
  <c r="Y490" i="9" s="1"/>
  <c r="AI489" i="9"/>
  <c r="AC489" i="9"/>
  <c r="AD489" i="9" s="1"/>
  <c r="Z489" i="9"/>
  <c r="Y489" i="9" s="1"/>
  <c r="W489" i="9"/>
  <c r="X489" i="9" s="1"/>
  <c r="AG489" i="9" s="1"/>
  <c r="AI488" i="9"/>
  <c r="AG488" i="9"/>
  <c r="AC488" i="9"/>
  <c r="AD488" i="9" s="1"/>
  <c r="W488" i="9"/>
  <c r="X488" i="9" s="1"/>
  <c r="Z488" i="9" s="1"/>
  <c r="Y488" i="9" s="1"/>
  <c r="AI487" i="9"/>
  <c r="AC487" i="9"/>
  <c r="AD487" i="9" s="1"/>
  <c r="Z487" i="9"/>
  <c r="Y487" i="9" s="1"/>
  <c r="W487" i="9"/>
  <c r="X487" i="9" s="1"/>
  <c r="AI486" i="9"/>
  <c r="AC486" i="9"/>
  <c r="AD486" i="9" s="1"/>
  <c r="W486" i="9"/>
  <c r="X486" i="9" s="1"/>
  <c r="AI485" i="9"/>
  <c r="AC485" i="9"/>
  <c r="AD485" i="9" s="1"/>
  <c r="Z485" i="9"/>
  <c r="Y485" i="9"/>
  <c r="W485" i="9"/>
  <c r="X485" i="9" s="1"/>
  <c r="AG485" i="9" s="1"/>
  <c r="AI484" i="9"/>
  <c r="AC484" i="9"/>
  <c r="AD484" i="9" s="1"/>
  <c r="W484" i="9"/>
  <c r="X484" i="9" s="1"/>
  <c r="AI483" i="9"/>
  <c r="AC483" i="9"/>
  <c r="AD483" i="9" s="1"/>
  <c r="Z483" i="9"/>
  <c r="Y483" i="9" s="1"/>
  <c r="W483" i="9"/>
  <c r="X483" i="9" s="1"/>
  <c r="AG483" i="9" s="1"/>
  <c r="AI482" i="9"/>
  <c r="AG482" i="9"/>
  <c r="AC482" i="9"/>
  <c r="AD482" i="9" s="1"/>
  <c r="W482" i="9"/>
  <c r="X482" i="9" s="1"/>
  <c r="Z482" i="9" s="1"/>
  <c r="Y482" i="9" s="1"/>
  <c r="AI481" i="9"/>
  <c r="AC481" i="9"/>
  <c r="AD481" i="9" s="1"/>
  <c r="Z481" i="9"/>
  <c r="Y481" i="9" s="1"/>
  <c r="W481" i="9"/>
  <c r="X481" i="9" s="1"/>
  <c r="AG481" i="9" s="1"/>
  <c r="AI480" i="9"/>
  <c r="AG480" i="9"/>
  <c r="AC480" i="9"/>
  <c r="AD480" i="9" s="1"/>
  <c r="W480" i="9"/>
  <c r="X480" i="9" s="1"/>
  <c r="Z480" i="9" s="1"/>
  <c r="Y480" i="9" s="1"/>
  <c r="AI479" i="9"/>
  <c r="AC479" i="9"/>
  <c r="AD479" i="9" s="1"/>
  <c r="Z479" i="9"/>
  <c r="Y479" i="9" s="1"/>
  <c r="W479" i="9"/>
  <c r="X479" i="9" s="1"/>
  <c r="AI478" i="9"/>
  <c r="AC478" i="9"/>
  <c r="AD478" i="9" s="1"/>
  <c r="W478" i="9"/>
  <c r="X478" i="9" s="1"/>
  <c r="AI477" i="9"/>
  <c r="AC477" i="9"/>
  <c r="AD477" i="9" s="1"/>
  <c r="Z477" i="9"/>
  <c r="Y477" i="9"/>
  <c r="W477" i="9"/>
  <c r="X477" i="9" s="1"/>
  <c r="AG477" i="9" s="1"/>
  <c r="AI476" i="9"/>
  <c r="AC476" i="9"/>
  <c r="AD476" i="9" s="1"/>
  <c r="V472" i="9" s="1"/>
  <c r="W476" i="9"/>
  <c r="X476" i="9" s="1"/>
  <c r="AI475" i="9"/>
  <c r="AC475" i="9"/>
  <c r="AD475" i="9" s="1"/>
  <c r="Z475" i="9"/>
  <c r="Y475" i="9" s="1"/>
  <c r="W475" i="9"/>
  <c r="X475" i="9" s="1"/>
  <c r="AG475" i="9" s="1"/>
  <c r="AI474" i="9"/>
  <c r="AG474" i="9"/>
  <c r="AC474" i="9"/>
  <c r="AD474" i="9" s="1"/>
  <c r="W474" i="9"/>
  <c r="X474" i="9" s="1"/>
  <c r="Z474" i="9" s="1"/>
  <c r="Y474" i="9" s="1"/>
  <c r="AI473" i="9"/>
  <c r="AC473" i="9"/>
  <c r="AD473" i="9" s="1"/>
  <c r="Z473" i="9"/>
  <c r="W473" i="9"/>
  <c r="X473" i="9" s="1"/>
  <c r="AG473" i="9" s="1"/>
  <c r="AI472" i="9"/>
  <c r="AC472" i="9"/>
  <c r="AI471" i="9"/>
  <c r="AD471" i="9"/>
  <c r="AC471" i="9"/>
  <c r="Z471" i="9"/>
  <c r="Y471" i="9" s="1"/>
  <c r="X471" i="9"/>
  <c r="W471" i="9"/>
  <c r="AI470" i="9"/>
  <c r="AD470" i="9"/>
  <c r="AC470" i="9"/>
  <c r="Z470" i="9"/>
  <c r="Y470" i="9" s="1"/>
  <c r="X470" i="9"/>
  <c r="AG470" i="9" s="1"/>
  <c r="W470" i="9"/>
  <c r="AI469" i="9"/>
  <c r="AD469" i="9"/>
  <c r="AC469" i="9"/>
  <c r="Z469" i="9"/>
  <c r="Y469" i="9" s="1"/>
  <c r="X469" i="9"/>
  <c r="AG469" i="9" s="1"/>
  <c r="W469" i="9"/>
  <c r="AI468" i="9"/>
  <c r="AD468" i="9"/>
  <c r="AC468" i="9"/>
  <c r="Z468" i="9"/>
  <c r="Y468" i="9" s="1"/>
  <c r="X468" i="9"/>
  <c r="AG468" i="9" s="1"/>
  <c r="W468" i="9"/>
  <c r="AI467" i="9"/>
  <c r="AD467" i="9"/>
  <c r="AC467" i="9"/>
  <c r="W467" i="9"/>
  <c r="X467" i="9" s="1"/>
  <c r="AI466" i="9"/>
  <c r="AD466" i="9"/>
  <c r="AC466" i="9"/>
  <c r="AI465" i="9"/>
  <c r="AD465" i="9"/>
  <c r="AC465" i="9"/>
  <c r="X465" i="9"/>
  <c r="AG465" i="9" s="1"/>
  <c r="W465" i="9"/>
  <c r="AI464" i="9"/>
  <c r="AD464" i="9"/>
  <c r="AC464" i="9"/>
  <c r="Z464" i="9"/>
  <c r="Y464" i="9" s="1"/>
  <c r="X464" i="9"/>
  <c r="AG464" i="9" s="1"/>
  <c r="W464" i="9"/>
  <c r="AI463" i="9"/>
  <c r="AD463" i="9"/>
  <c r="AC463" i="9"/>
  <c r="Z463" i="9"/>
  <c r="Y463" i="9" s="1"/>
  <c r="X463" i="9"/>
  <c r="AG463" i="9" s="1"/>
  <c r="W463" i="9"/>
  <c r="AI462" i="9"/>
  <c r="AD462" i="9"/>
  <c r="AC462" i="9"/>
  <c r="Z462" i="9"/>
  <c r="Y462" i="9" s="1"/>
  <c r="X462" i="9"/>
  <c r="AG462" i="9" s="1"/>
  <c r="W462" i="9"/>
  <c r="AI461" i="9"/>
  <c r="AD461" i="9"/>
  <c r="AC461" i="9"/>
  <c r="Z461" i="9"/>
  <c r="Y461" i="9" s="1"/>
  <c r="X461" i="9"/>
  <c r="AG461" i="9" s="1"/>
  <c r="W461" i="9"/>
  <c r="AI460" i="9"/>
  <c r="AD460" i="9"/>
  <c r="AC460" i="9"/>
  <c r="Z460" i="9"/>
  <c r="Y460" i="9" s="1"/>
  <c r="X460" i="9"/>
  <c r="AG460" i="9" s="1"/>
  <c r="W460" i="9"/>
  <c r="AI459" i="9"/>
  <c r="AG459" i="9" s="1"/>
  <c r="AD459" i="9"/>
  <c r="AC459" i="9"/>
  <c r="Z459" i="9"/>
  <c r="Y459" i="9" s="1"/>
  <c r="W459" i="9"/>
  <c r="AI458" i="9"/>
  <c r="AC458" i="9"/>
  <c r="AD458" i="9" s="1"/>
  <c r="W458" i="9"/>
  <c r="X458" i="9" s="1"/>
  <c r="Z458" i="9" s="1"/>
  <c r="Y458" i="9" s="1"/>
  <c r="AI457" i="9"/>
  <c r="AD457" i="9"/>
  <c r="AC457" i="9"/>
  <c r="W457" i="9"/>
  <c r="X457" i="9" s="1"/>
  <c r="AI456" i="9"/>
  <c r="AC456" i="9"/>
  <c r="AD456" i="9" s="1"/>
  <c r="W456" i="9"/>
  <c r="X456" i="9" s="1"/>
  <c r="AI455" i="9"/>
  <c r="AC455" i="9"/>
  <c r="AD455" i="9" s="1"/>
  <c r="W455" i="9"/>
  <c r="X455" i="9" s="1"/>
  <c r="AI454" i="9"/>
  <c r="AC454" i="9"/>
  <c r="AD454" i="9" s="1"/>
  <c r="Y454" i="9"/>
  <c r="X454" i="9"/>
  <c r="Z454" i="9" s="1"/>
  <c r="W454" i="9"/>
  <c r="AI453" i="9"/>
  <c r="AG453" i="9"/>
  <c r="AD453" i="9"/>
  <c r="AC453" i="9"/>
  <c r="Z453" i="9"/>
  <c r="Y453" i="9"/>
  <c r="W453" i="9"/>
  <c r="AI452" i="9"/>
  <c r="AC452" i="9"/>
  <c r="AD452" i="9" s="1"/>
  <c r="Z452" i="9"/>
  <c r="W452" i="9"/>
  <c r="X452" i="9" s="1"/>
  <c r="AG452" i="9" s="1"/>
  <c r="AI451" i="9"/>
  <c r="AC451" i="9"/>
  <c r="AI450" i="9"/>
  <c r="AC450" i="9"/>
  <c r="AD450" i="9" s="1"/>
  <c r="Z450" i="9"/>
  <c r="Y450" i="9" s="1"/>
  <c r="W450" i="9"/>
  <c r="X450" i="9" s="1"/>
  <c r="AG450" i="9" s="1"/>
  <c r="AI449" i="9"/>
  <c r="AD449" i="9"/>
  <c r="AC449" i="9"/>
  <c r="X449" i="9"/>
  <c r="W449" i="9"/>
  <c r="AI448" i="9"/>
  <c r="AC448" i="9"/>
  <c r="AD448" i="9" s="1"/>
  <c r="V447" i="9" s="1"/>
  <c r="Z448" i="9"/>
  <c r="W448" i="9"/>
  <c r="X448" i="9" s="1"/>
  <c r="AG448" i="9" s="1"/>
  <c r="AI447" i="9"/>
  <c r="AC447" i="9"/>
  <c r="AI446" i="9"/>
  <c r="AC446" i="9"/>
  <c r="AD446" i="9" s="1"/>
  <c r="Z446" i="9"/>
  <c r="Y446" i="9" s="1"/>
  <c r="W446" i="9"/>
  <c r="X446" i="9" s="1"/>
  <c r="AG446" i="9" s="1"/>
  <c r="AI445" i="9"/>
  <c r="AD445" i="9"/>
  <c r="AC445" i="9"/>
  <c r="W445" i="9"/>
  <c r="X445" i="9" s="1"/>
  <c r="AI444" i="9"/>
  <c r="AC444" i="9"/>
  <c r="AD444" i="9" s="1"/>
  <c r="W444" i="9"/>
  <c r="X444" i="9" s="1"/>
  <c r="AI443" i="9"/>
  <c r="AD443" i="9"/>
  <c r="AC443" i="9"/>
  <c r="W443" i="9"/>
  <c r="X443" i="9" s="1"/>
  <c r="AI442" i="9"/>
  <c r="AC442" i="9"/>
  <c r="AD442" i="9" s="1"/>
  <c r="W442" i="9"/>
  <c r="X442" i="9" s="1"/>
  <c r="AI441" i="9"/>
  <c r="AD441" i="9"/>
  <c r="AC441" i="9"/>
  <c r="X441" i="9"/>
  <c r="W441" i="9"/>
  <c r="AI440" i="9"/>
  <c r="AC440" i="9"/>
  <c r="AD440" i="9" s="1"/>
  <c r="Z440" i="9"/>
  <c r="Y440" i="9" s="1"/>
  <c r="W440" i="9"/>
  <c r="X440" i="9" s="1"/>
  <c r="AG440" i="9" s="1"/>
  <c r="AI439" i="9"/>
  <c r="AC439" i="9"/>
  <c r="AD439" i="9" s="1"/>
  <c r="W439" i="9"/>
  <c r="X439" i="9" s="1"/>
  <c r="AI438" i="9"/>
  <c r="AC438" i="9"/>
  <c r="AD438" i="9" s="1"/>
  <c r="Z438" i="9"/>
  <c r="Y438" i="9" s="1"/>
  <c r="W438" i="9"/>
  <c r="X438" i="9" s="1"/>
  <c r="AG438" i="9" s="1"/>
  <c r="AI437" i="9"/>
  <c r="AG437" i="9"/>
  <c r="AC437" i="9"/>
  <c r="AD437" i="9" s="1"/>
  <c r="W437" i="9"/>
  <c r="X437" i="9" s="1"/>
  <c r="Z437" i="9" s="1"/>
  <c r="Y437" i="9" s="1"/>
  <c r="AI436" i="9"/>
  <c r="AC436" i="9"/>
  <c r="AD436" i="9" s="1"/>
  <c r="Z436" i="9"/>
  <c r="Y436" i="9" s="1"/>
  <c r="W436" i="9"/>
  <c r="X436" i="9" s="1"/>
  <c r="AG436" i="9" s="1"/>
  <c r="AI435" i="9"/>
  <c r="AG435" i="9"/>
  <c r="AC435" i="9"/>
  <c r="AD435" i="9" s="1"/>
  <c r="W435" i="9"/>
  <c r="X435" i="9" s="1"/>
  <c r="Z435" i="9" s="1"/>
  <c r="Y435" i="9" s="1"/>
  <c r="AI434" i="9"/>
  <c r="AC434" i="9"/>
  <c r="AD434" i="9" s="1"/>
  <c r="Z434" i="9"/>
  <c r="Y434" i="9"/>
  <c r="W434" i="9"/>
  <c r="X434" i="9" s="1"/>
  <c r="AG434" i="9" s="1"/>
  <c r="AI433" i="9"/>
  <c r="AC433" i="9"/>
  <c r="AD433" i="9" s="1"/>
  <c r="W433" i="9"/>
  <c r="X433" i="9" s="1"/>
  <c r="AI432" i="9"/>
  <c r="AC432" i="9"/>
  <c r="AD432" i="9" s="1"/>
  <c r="Z432" i="9"/>
  <c r="Y432" i="9"/>
  <c r="W432" i="9"/>
  <c r="X432" i="9" s="1"/>
  <c r="AG432" i="9" s="1"/>
  <c r="AI431" i="9"/>
  <c r="AC431" i="9"/>
  <c r="AD431" i="9" s="1"/>
  <c r="W431" i="9"/>
  <c r="X431" i="9" s="1"/>
  <c r="AI430" i="9"/>
  <c r="AC430" i="9"/>
  <c r="AD430" i="9" s="1"/>
  <c r="Z430" i="9"/>
  <c r="Y430" i="9"/>
  <c r="W430" i="9"/>
  <c r="X430" i="9" s="1"/>
  <c r="AG430" i="9" s="1"/>
  <c r="AI429" i="9"/>
  <c r="AG429" i="9"/>
  <c r="AC429" i="9"/>
  <c r="AD429" i="9" s="1"/>
  <c r="W429" i="9"/>
  <c r="X429" i="9" s="1"/>
  <c r="Z429" i="9" s="1"/>
  <c r="Y429" i="9" s="1"/>
  <c r="AI428" i="9"/>
  <c r="AC428" i="9"/>
  <c r="AD428" i="9" s="1"/>
  <c r="Z428" i="9"/>
  <c r="Y428" i="9" s="1"/>
  <c r="W428" i="9"/>
  <c r="X428" i="9" s="1"/>
  <c r="AG428" i="9" s="1"/>
  <c r="AI427" i="9"/>
  <c r="AG427" i="9"/>
  <c r="AC427" i="9"/>
  <c r="AD427" i="9" s="1"/>
  <c r="W427" i="9"/>
  <c r="X427" i="9" s="1"/>
  <c r="Z427" i="9" s="1"/>
  <c r="Y427" i="9" s="1"/>
  <c r="AI426" i="9"/>
  <c r="AC426" i="9"/>
  <c r="AD426" i="9" s="1"/>
  <c r="Z426" i="9"/>
  <c r="Y426" i="9"/>
  <c r="W426" i="9"/>
  <c r="X426" i="9" s="1"/>
  <c r="AG426" i="9" s="1"/>
  <c r="AI425" i="9"/>
  <c r="AC425" i="9"/>
  <c r="AD425" i="9" s="1"/>
  <c r="W425" i="9"/>
  <c r="X425" i="9" s="1"/>
  <c r="AI424" i="9"/>
  <c r="AC424" i="9"/>
  <c r="AD424" i="9" s="1"/>
  <c r="Z424" i="9"/>
  <c r="Y424" i="9"/>
  <c r="W424" i="9"/>
  <c r="X424" i="9" s="1"/>
  <c r="AG424" i="9" s="1"/>
  <c r="AI423" i="9"/>
  <c r="AC423" i="9"/>
  <c r="AD423" i="9" s="1"/>
  <c r="W423" i="9"/>
  <c r="X423" i="9" s="1"/>
  <c r="AI422" i="9"/>
  <c r="AC422" i="9"/>
  <c r="AD422" i="9" s="1"/>
  <c r="Z422" i="9"/>
  <c r="Y422" i="9" s="1"/>
  <c r="W422" i="9"/>
  <c r="X422" i="9" s="1"/>
  <c r="AG422" i="9" s="1"/>
  <c r="AI421" i="9"/>
  <c r="AG421" i="9"/>
  <c r="AC421" i="9"/>
  <c r="AD421" i="9" s="1"/>
  <c r="W421" i="9"/>
  <c r="X421" i="9" s="1"/>
  <c r="Z421" i="9" s="1"/>
  <c r="Y421" i="9" s="1"/>
  <c r="AI420" i="9"/>
  <c r="AC420" i="9"/>
  <c r="AD420" i="9" s="1"/>
  <c r="Z420" i="9"/>
  <c r="Y420" i="9" s="1"/>
  <c r="W420" i="9"/>
  <c r="X420" i="9" s="1"/>
  <c r="AG420" i="9" s="1"/>
  <c r="AI419" i="9"/>
  <c r="AG419" i="9"/>
  <c r="AC419" i="9"/>
  <c r="AD419" i="9" s="1"/>
  <c r="W419" i="9"/>
  <c r="X419" i="9" s="1"/>
  <c r="Z419" i="9" s="1"/>
  <c r="Y419" i="9" s="1"/>
  <c r="AI418" i="9"/>
  <c r="AC418" i="9"/>
  <c r="AD418" i="9" s="1"/>
  <c r="Z418" i="9"/>
  <c r="Y418" i="9"/>
  <c r="W418" i="9"/>
  <c r="X418" i="9" s="1"/>
  <c r="AG418" i="9" s="1"/>
  <c r="AI417" i="9"/>
  <c r="AC417" i="9"/>
  <c r="AD417" i="9" s="1"/>
  <c r="W417" i="9"/>
  <c r="X417" i="9" s="1"/>
  <c r="AI416" i="9"/>
  <c r="AC416" i="9"/>
  <c r="AD416" i="9" s="1"/>
  <c r="Z416" i="9"/>
  <c r="Y416" i="9"/>
  <c r="W416" i="9"/>
  <c r="X416" i="9" s="1"/>
  <c r="AG416" i="9" s="1"/>
  <c r="AI415" i="9"/>
  <c r="AC415" i="9"/>
  <c r="AD415" i="9" s="1"/>
  <c r="W415" i="9"/>
  <c r="X415" i="9" s="1"/>
  <c r="AI414" i="9"/>
  <c r="AC414" i="9"/>
  <c r="AD414" i="9" s="1"/>
  <c r="Z414" i="9"/>
  <c r="Y414" i="9"/>
  <c r="W414" i="9"/>
  <c r="X414" i="9" s="1"/>
  <c r="AG414" i="9" s="1"/>
  <c r="AI413" i="9"/>
  <c r="AG413" i="9"/>
  <c r="AC413" i="9"/>
  <c r="AD413" i="9" s="1"/>
  <c r="W413" i="9"/>
  <c r="X413" i="9" s="1"/>
  <c r="Z413" i="9" s="1"/>
  <c r="Y413" i="9" s="1"/>
  <c r="AI412" i="9"/>
  <c r="AC412" i="9"/>
  <c r="AD412" i="9" s="1"/>
  <c r="Z412" i="9"/>
  <c r="Y412" i="9" s="1"/>
  <c r="W412" i="9"/>
  <c r="X412" i="9" s="1"/>
  <c r="AG412" i="9" s="1"/>
  <c r="AI411" i="9"/>
  <c r="AG411" i="9"/>
  <c r="AC411" i="9"/>
  <c r="AD411" i="9" s="1"/>
  <c r="W411" i="9"/>
  <c r="X411" i="9" s="1"/>
  <c r="Z411" i="9" s="1"/>
  <c r="Y411" i="9" s="1"/>
  <c r="AI410" i="9"/>
  <c r="AC410" i="9"/>
  <c r="AD410" i="9" s="1"/>
  <c r="Z410" i="9"/>
  <c r="Y410" i="9"/>
  <c r="W410" i="9"/>
  <c r="X410" i="9" s="1"/>
  <c r="AG410" i="9" s="1"/>
  <c r="AI409" i="9"/>
  <c r="AC409" i="9"/>
  <c r="AD409" i="9" s="1"/>
  <c r="W409" i="9"/>
  <c r="X409" i="9" s="1"/>
  <c r="AI408" i="9"/>
  <c r="AC408" i="9"/>
  <c r="AD408" i="9" s="1"/>
  <c r="Z408" i="9"/>
  <c r="Y408" i="9"/>
  <c r="W408" i="9"/>
  <c r="X408" i="9" s="1"/>
  <c r="AG408" i="9" s="1"/>
  <c r="AI407" i="9"/>
  <c r="AC407" i="9"/>
  <c r="AI406" i="9"/>
  <c r="AD406" i="9"/>
  <c r="X406" i="9"/>
  <c r="Z406" i="9" s="1"/>
  <c r="Y406" i="9" s="1"/>
  <c r="W406" i="9"/>
  <c r="AI405" i="9"/>
  <c r="AD405" i="9"/>
  <c r="W405" i="9"/>
  <c r="X405" i="9" s="1"/>
  <c r="Z405" i="9" s="1"/>
  <c r="Y405" i="9" s="1"/>
  <c r="AI404" i="9"/>
  <c r="AD404" i="9"/>
  <c r="W404" i="9"/>
  <c r="X404" i="9" s="1"/>
  <c r="Z404" i="9" s="1"/>
  <c r="Y404" i="9" s="1"/>
  <c r="AI403" i="9"/>
  <c r="AD403" i="9"/>
  <c r="Y403" i="9"/>
  <c r="W403" i="9"/>
  <c r="X403" i="9" s="1"/>
  <c r="Z403" i="9" s="1"/>
  <c r="AI402" i="9"/>
  <c r="AD402" i="9"/>
  <c r="X402" i="9"/>
  <c r="Z402" i="9" s="1"/>
  <c r="Y402" i="9" s="1"/>
  <c r="W402" i="9"/>
  <c r="AI401" i="9"/>
  <c r="AD401" i="9"/>
  <c r="Z401" i="9"/>
  <c r="Y401" i="9" s="1"/>
  <c r="W401" i="9"/>
  <c r="X401" i="9" s="1"/>
  <c r="AI400" i="9"/>
  <c r="AD400" i="9"/>
  <c r="X400" i="9"/>
  <c r="Z400" i="9" s="1"/>
  <c r="Y400" i="9" s="1"/>
  <c r="W400" i="9"/>
  <c r="AI399" i="9"/>
  <c r="AD399" i="9"/>
  <c r="Z399" i="9"/>
  <c r="Y399" i="9" s="1"/>
  <c r="W399" i="9"/>
  <c r="X399" i="9" s="1"/>
  <c r="AI398" i="9"/>
  <c r="AD398" i="9"/>
  <c r="X398" i="9"/>
  <c r="Z398" i="9" s="1"/>
  <c r="Y398" i="9" s="1"/>
  <c r="W398" i="9"/>
  <c r="AI397" i="9"/>
  <c r="AD397" i="9"/>
  <c r="W397" i="9"/>
  <c r="X397" i="9" s="1"/>
  <c r="Z397" i="9" s="1"/>
  <c r="Y397" i="9" s="1"/>
  <c r="AI396" i="9"/>
  <c r="AD396" i="9"/>
  <c r="W396" i="9"/>
  <c r="X396" i="9" s="1"/>
  <c r="Z396" i="9" s="1"/>
  <c r="Y396" i="9" s="1"/>
  <c r="AI395" i="9"/>
  <c r="AD395" i="9"/>
  <c r="W395" i="9"/>
  <c r="X395" i="9" s="1"/>
  <c r="Z395" i="9" s="1"/>
  <c r="Y395" i="9" s="1"/>
  <c r="AI394" i="9"/>
  <c r="AD394" i="9"/>
  <c r="W394" i="9"/>
  <c r="X394" i="9" s="1"/>
  <c r="Z394" i="9" s="1"/>
  <c r="Y394" i="9" s="1"/>
  <c r="AI393" i="9"/>
  <c r="AD393" i="9"/>
  <c r="Z393" i="9"/>
  <c r="Y393" i="9"/>
  <c r="W393" i="9"/>
  <c r="X393" i="9" s="1"/>
  <c r="AI392" i="9"/>
  <c r="AD392" i="9"/>
  <c r="X392" i="9"/>
  <c r="Z392" i="9" s="1"/>
  <c r="Y392" i="9" s="1"/>
  <c r="W392" i="9"/>
  <c r="AI391" i="9"/>
  <c r="AD391" i="9"/>
  <c r="Z391" i="9"/>
  <c r="Y391" i="9" s="1"/>
  <c r="W391" i="9"/>
  <c r="X391" i="9" s="1"/>
  <c r="AI390" i="9"/>
  <c r="AD390" i="9"/>
  <c r="X390" i="9"/>
  <c r="Z390" i="9" s="1"/>
  <c r="Y390" i="9" s="1"/>
  <c r="W390" i="9"/>
  <c r="AI389" i="9"/>
  <c r="AD389" i="9"/>
  <c r="W389" i="9"/>
  <c r="X389" i="9" s="1"/>
  <c r="Z389" i="9" s="1"/>
  <c r="Y389" i="9" s="1"/>
  <c r="AI388" i="9"/>
  <c r="AC388" i="9"/>
  <c r="AD388" i="9" s="1"/>
  <c r="Z388" i="9"/>
  <c r="Y388" i="9"/>
  <c r="W388" i="9"/>
  <c r="X388" i="9" s="1"/>
  <c r="AG388" i="9" s="1"/>
  <c r="AI387" i="9"/>
  <c r="AG387" i="9"/>
  <c r="AC387" i="9"/>
  <c r="AD387" i="9" s="1"/>
  <c r="W387" i="9"/>
  <c r="X387" i="9" s="1"/>
  <c r="Z387" i="9" s="1"/>
  <c r="Y387" i="9" s="1"/>
  <c r="AI386" i="9"/>
  <c r="AG386" i="9" s="1"/>
  <c r="AC386" i="9"/>
  <c r="AD386" i="9" s="1"/>
  <c r="Z386" i="9"/>
  <c r="Y386" i="9" s="1"/>
  <c r="W386" i="9"/>
  <c r="AI385" i="9"/>
  <c r="AD385" i="9"/>
  <c r="AC385" i="9"/>
  <c r="X385" i="9"/>
  <c r="W385" i="9"/>
  <c r="AI384" i="9"/>
  <c r="AD384" i="9"/>
  <c r="AC384" i="9"/>
  <c r="Y384" i="9"/>
  <c r="X384" i="9"/>
  <c r="Z384" i="9" s="1"/>
  <c r="W384" i="9"/>
  <c r="AI383" i="9"/>
  <c r="AD383" i="9"/>
  <c r="AC383" i="9"/>
  <c r="W383" i="9"/>
  <c r="X383" i="9" s="1"/>
  <c r="Z383" i="9" s="1"/>
  <c r="Y383" i="9" s="1"/>
  <c r="AI382" i="9"/>
  <c r="AD382" i="9"/>
  <c r="AC382" i="9"/>
  <c r="X382" i="9"/>
  <c r="Z382" i="9" s="1"/>
  <c r="Y382" i="9" s="1"/>
  <c r="W382" i="9"/>
  <c r="AI381" i="9"/>
  <c r="AD381" i="9"/>
  <c r="AC381" i="9"/>
  <c r="X381" i="9"/>
  <c r="W381" i="9"/>
  <c r="AI380" i="9"/>
  <c r="AD380" i="9"/>
  <c r="AC380" i="9"/>
  <c r="Y380" i="9"/>
  <c r="X380" i="9"/>
  <c r="Z380" i="9" s="1"/>
  <c r="W380" i="9"/>
  <c r="AI379" i="9"/>
  <c r="AD379" i="9"/>
  <c r="AC379" i="9"/>
  <c r="Y379" i="9"/>
  <c r="X379" i="9"/>
  <c r="Z379" i="9" s="1"/>
  <c r="W379" i="9"/>
  <c r="AI378" i="9"/>
  <c r="AD378" i="9"/>
  <c r="AC378" i="9"/>
  <c r="X378" i="9"/>
  <c r="W378" i="9"/>
  <c r="AI377" i="9"/>
  <c r="AC377" i="9"/>
  <c r="AI376" i="9"/>
  <c r="AD376" i="9"/>
  <c r="AC376" i="9"/>
  <c r="Y376" i="9"/>
  <c r="X376" i="9"/>
  <c r="Z376" i="9" s="1"/>
  <c r="W376" i="9"/>
  <c r="AI375" i="9"/>
  <c r="AG375" i="9"/>
  <c r="AD375" i="9"/>
  <c r="AC375" i="9"/>
  <c r="X375" i="9"/>
  <c r="Z375" i="9" s="1"/>
  <c r="Y375" i="9" s="1"/>
  <c r="W375" i="9"/>
  <c r="AI374" i="9"/>
  <c r="AD374" i="9"/>
  <c r="AC374" i="9"/>
  <c r="Y374" i="9"/>
  <c r="X374" i="9"/>
  <c r="Z374" i="9" s="1"/>
  <c r="W374" i="9"/>
  <c r="AI373" i="9"/>
  <c r="AG373" i="9"/>
  <c r="AD373" i="9"/>
  <c r="AC373" i="9"/>
  <c r="AA373" i="9"/>
  <c r="Y373" i="9"/>
  <c r="W373" i="9" s="1"/>
  <c r="X373" i="9"/>
  <c r="AI372" i="9"/>
  <c r="AD372" i="9"/>
  <c r="AC372" i="9"/>
  <c r="W372" i="9"/>
  <c r="X372" i="9" s="1"/>
  <c r="AI371" i="9"/>
  <c r="AG371" i="9"/>
  <c r="AD371" i="9"/>
  <c r="AC371" i="9"/>
  <c r="X371" i="9"/>
  <c r="Z371" i="9" s="1"/>
  <c r="Y371" i="9" s="1"/>
  <c r="W371" i="9"/>
  <c r="AI370" i="9"/>
  <c r="AD370" i="9"/>
  <c r="V369" i="9" s="1"/>
  <c r="AC370" i="9"/>
  <c r="Y370" i="9"/>
  <c r="X370" i="9"/>
  <c r="Z370" i="9" s="1"/>
  <c r="W370" i="9"/>
  <c r="AI369" i="9"/>
  <c r="AC369" i="9"/>
  <c r="AI368" i="9"/>
  <c r="AD368" i="9"/>
  <c r="AC368" i="9"/>
  <c r="Y368" i="9"/>
  <c r="X368" i="9"/>
  <c r="Z368" i="9" s="1"/>
  <c r="W368" i="9"/>
  <c r="AI367" i="9"/>
  <c r="AD367" i="9"/>
  <c r="AC367" i="9"/>
  <c r="X367" i="9"/>
  <c r="Z367" i="9" s="1"/>
  <c r="Y367" i="9" s="1"/>
  <c r="W367" i="9"/>
  <c r="AI366" i="9"/>
  <c r="AD366" i="9"/>
  <c r="AC366" i="9"/>
  <c r="X366" i="9"/>
  <c r="W366" i="9"/>
  <c r="AI365" i="9"/>
  <c r="AG365" i="9"/>
  <c r="AD365" i="9"/>
  <c r="AC365" i="9"/>
  <c r="X365" i="9"/>
  <c r="Z365" i="9" s="1"/>
  <c r="Y365" i="9" s="1"/>
  <c r="W365" i="9"/>
  <c r="AI364" i="9"/>
  <c r="AD364" i="9"/>
  <c r="AC364" i="9"/>
  <c r="Y364" i="9"/>
  <c r="X364" i="9"/>
  <c r="Z364" i="9" s="1"/>
  <c r="W364" i="9"/>
  <c r="AI363" i="9"/>
  <c r="AD363" i="9"/>
  <c r="AC363" i="9"/>
  <c r="X363" i="9"/>
  <c r="Z363" i="9" s="1"/>
  <c r="Y363" i="9" s="1"/>
  <c r="W363" i="9"/>
  <c r="AI362" i="9"/>
  <c r="AD362" i="9"/>
  <c r="AC362" i="9"/>
  <c r="Y362" i="9"/>
  <c r="X362" i="9"/>
  <c r="Z362" i="9" s="1"/>
  <c r="W362" i="9"/>
  <c r="AI361" i="9"/>
  <c r="AG361" i="9"/>
  <c r="AD361" i="9"/>
  <c r="AC361" i="9"/>
  <c r="X361" i="9"/>
  <c r="Z361" i="9" s="1"/>
  <c r="Y361" i="9" s="1"/>
  <c r="W361" i="9"/>
  <c r="AI360" i="9"/>
  <c r="AD360" i="9"/>
  <c r="AC360" i="9"/>
  <c r="Y360" i="9"/>
  <c r="X360" i="9"/>
  <c r="Z360" i="9" s="1"/>
  <c r="W360" i="9"/>
  <c r="AI359" i="9"/>
  <c r="AD359" i="9"/>
  <c r="AC359" i="9"/>
  <c r="X359" i="9"/>
  <c r="Z359" i="9" s="1"/>
  <c r="Y359" i="9" s="1"/>
  <c r="W359" i="9"/>
  <c r="AI358" i="9"/>
  <c r="AD358" i="9"/>
  <c r="AC358" i="9"/>
  <c r="X358" i="9"/>
  <c r="W358" i="9"/>
  <c r="AI357" i="9"/>
  <c r="AG357" i="9"/>
  <c r="AD357" i="9"/>
  <c r="AC357" i="9"/>
  <c r="X357" i="9"/>
  <c r="Z357" i="9" s="1"/>
  <c r="Y357" i="9" s="1"/>
  <c r="W357" i="9"/>
  <c r="AI356" i="9"/>
  <c r="AD356" i="9"/>
  <c r="AC356" i="9"/>
  <c r="Y356" i="9"/>
  <c r="X356" i="9"/>
  <c r="Z356" i="9" s="1"/>
  <c r="W356" i="9"/>
  <c r="AI355" i="9"/>
  <c r="AD355" i="9"/>
  <c r="AC355" i="9"/>
  <c r="X355" i="9"/>
  <c r="Z355" i="9" s="1"/>
  <c r="Y355" i="9" s="1"/>
  <c r="W355" i="9"/>
  <c r="AI354" i="9"/>
  <c r="AD354" i="9"/>
  <c r="AC354" i="9"/>
  <c r="Y354" i="9"/>
  <c r="X354" i="9"/>
  <c r="Z354" i="9" s="1"/>
  <c r="W354" i="9"/>
  <c r="AI353" i="9"/>
  <c r="AG353" i="9"/>
  <c r="AD353" i="9"/>
  <c r="AC353" i="9"/>
  <c r="X353" i="9"/>
  <c r="Z353" i="9" s="1"/>
  <c r="Y353" i="9" s="1"/>
  <c r="W353" i="9"/>
  <c r="AI352" i="9"/>
  <c r="AD352" i="9"/>
  <c r="AC352" i="9"/>
  <c r="Y352" i="9"/>
  <c r="X352" i="9"/>
  <c r="Z352" i="9" s="1"/>
  <c r="W352" i="9"/>
  <c r="AI351" i="9"/>
  <c r="AD351" i="9"/>
  <c r="AC351" i="9"/>
  <c r="X351" i="9"/>
  <c r="Z351" i="9" s="1"/>
  <c r="Y351" i="9" s="1"/>
  <c r="W351" i="9"/>
  <c r="AI350" i="9"/>
  <c r="AD350" i="9"/>
  <c r="AC350" i="9"/>
  <c r="X350" i="9"/>
  <c r="W350" i="9"/>
  <c r="AI349" i="9"/>
  <c r="AG349" i="9"/>
  <c r="AD349" i="9"/>
  <c r="AC349" i="9"/>
  <c r="X349" i="9"/>
  <c r="Z349" i="9" s="1"/>
  <c r="Y349" i="9" s="1"/>
  <c r="W349" i="9"/>
  <c r="AI348" i="9"/>
  <c r="AD348" i="9"/>
  <c r="AC348" i="9"/>
  <c r="Y348" i="9"/>
  <c r="X348" i="9"/>
  <c r="Z348" i="9" s="1"/>
  <c r="W348" i="9"/>
  <c r="AI347" i="9"/>
  <c r="AD347" i="9"/>
  <c r="AC347" i="9"/>
  <c r="X347" i="9"/>
  <c r="Z347" i="9" s="1"/>
  <c r="Y347" i="9" s="1"/>
  <c r="W347" i="9"/>
  <c r="AI346" i="9"/>
  <c r="AD346" i="9"/>
  <c r="AC346" i="9"/>
  <c r="W346" i="9"/>
  <c r="X346" i="9" s="1"/>
  <c r="Z346" i="9" s="1"/>
  <c r="Y346" i="9" s="1"/>
  <c r="AI345" i="9"/>
  <c r="AG345" i="9"/>
  <c r="AD345" i="9"/>
  <c r="AC345" i="9"/>
  <c r="X345" i="9"/>
  <c r="Z345" i="9" s="1"/>
  <c r="Y345" i="9" s="1"/>
  <c r="W345" i="9"/>
  <c r="AI344" i="9"/>
  <c r="AD344" i="9"/>
  <c r="AC344" i="9"/>
  <c r="W344" i="9"/>
  <c r="X344" i="9" s="1"/>
  <c r="AI343" i="9"/>
  <c r="AC343" i="9"/>
  <c r="AD343" i="9" s="1"/>
  <c r="W343" i="9"/>
  <c r="X343" i="9" s="1"/>
  <c r="Z343" i="9" s="1"/>
  <c r="Y343" i="9" s="1"/>
  <c r="AI342" i="9"/>
  <c r="AC342" i="9"/>
  <c r="AD342" i="9" s="1"/>
  <c r="Z342" i="9"/>
  <c r="Y342" i="9" s="1"/>
  <c r="W342" i="9"/>
  <c r="X342" i="9" s="1"/>
  <c r="AI341" i="9"/>
  <c r="AC341" i="9"/>
  <c r="AD341" i="9" s="1"/>
  <c r="W341" i="9"/>
  <c r="X341" i="9" s="1"/>
  <c r="AI340" i="9"/>
  <c r="AC340" i="9"/>
  <c r="AD340" i="9" s="1"/>
  <c r="Z340" i="9"/>
  <c r="Y340" i="9"/>
  <c r="W340" i="9"/>
  <c r="X340" i="9" s="1"/>
  <c r="AG340" i="9" s="1"/>
  <c r="AI339" i="9"/>
  <c r="AG339" i="9"/>
  <c r="AC339" i="9"/>
  <c r="AD339" i="9" s="1"/>
  <c r="W339" i="9"/>
  <c r="X339" i="9" s="1"/>
  <c r="Z339" i="9" s="1"/>
  <c r="Y339" i="9" s="1"/>
  <c r="AI338" i="9"/>
  <c r="AC338" i="9"/>
  <c r="AD338" i="9" s="1"/>
  <c r="Z338" i="9"/>
  <c r="Y338" i="9" s="1"/>
  <c r="W338" i="9"/>
  <c r="X338" i="9" s="1"/>
  <c r="AG338" i="9" s="1"/>
  <c r="AI337" i="9"/>
  <c r="AG337" i="9"/>
  <c r="AC337" i="9"/>
  <c r="AD337" i="9" s="1"/>
  <c r="W337" i="9"/>
  <c r="X337" i="9" s="1"/>
  <c r="Z337" i="9" s="1"/>
  <c r="Y337" i="9" s="1"/>
  <c r="AI336" i="9"/>
  <c r="AC336" i="9"/>
  <c r="AD336" i="9" s="1"/>
  <c r="Z336" i="9"/>
  <c r="Y336" i="9"/>
  <c r="W336" i="9"/>
  <c r="X336" i="9" s="1"/>
  <c r="AG336" i="9" s="1"/>
  <c r="AI335" i="9"/>
  <c r="AC335" i="9"/>
  <c r="AD335" i="9" s="1"/>
  <c r="W335" i="9"/>
  <c r="X335" i="9" s="1"/>
  <c r="Z335" i="9" s="1"/>
  <c r="Y335" i="9" s="1"/>
  <c r="AI334" i="9"/>
  <c r="AC334" i="9"/>
  <c r="AD334" i="9" s="1"/>
  <c r="Z334" i="9"/>
  <c r="Y334" i="9" s="1"/>
  <c r="W334" i="9"/>
  <c r="X334" i="9" s="1"/>
  <c r="AI333" i="9"/>
  <c r="AC333" i="9"/>
  <c r="AD333" i="9" s="1"/>
  <c r="W333" i="9"/>
  <c r="X333" i="9" s="1"/>
  <c r="AI332" i="9"/>
  <c r="AC332" i="9"/>
  <c r="AD332" i="9" s="1"/>
  <c r="Z332" i="9"/>
  <c r="Y332" i="9"/>
  <c r="W332" i="9"/>
  <c r="X332" i="9" s="1"/>
  <c r="AG332" i="9" s="1"/>
  <c r="AI331" i="9"/>
  <c r="AG331" i="9"/>
  <c r="AC331" i="9"/>
  <c r="AD331" i="9" s="1"/>
  <c r="V327" i="9" s="1"/>
  <c r="W331" i="9"/>
  <c r="X331" i="9" s="1"/>
  <c r="Z331" i="9" s="1"/>
  <c r="Y331" i="9" s="1"/>
  <c r="AI330" i="9"/>
  <c r="AC330" i="9"/>
  <c r="AD330" i="9" s="1"/>
  <c r="Z330" i="9"/>
  <c r="Y330" i="9" s="1"/>
  <c r="W330" i="9"/>
  <c r="X330" i="9" s="1"/>
  <c r="AG330" i="9" s="1"/>
  <c r="AI329" i="9"/>
  <c r="AG329" i="9"/>
  <c r="AC329" i="9"/>
  <c r="AD329" i="9" s="1"/>
  <c r="W329" i="9"/>
  <c r="X329" i="9" s="1"/>
  <c r="Z329" i="9" s="1"/>
  <c r="Y329" i="9" s="1"/>
  <c r="AI328" i="9"/>
  <c r="AC328" i="9"/>
  <c r="AD328" i="9" s="1"/>
  <c r="Z328" i="9"/>
  <c r="Y328" i="9"/>
  <c r="W328" i="9"/>
  <c r="X328" i="9" s="1"/>
  <c r="AG328" i="9" s="1"/>
  <c r="AI327" i="9"/>
  <c r="AC327" i="9"/>
  <c r="AI326" i="9"/>
  <c r="AC326" i="9"/>
  <c r="AD326" i="9" s="1"/>
  <c r="Z326" i="9"/>
  <c r="Y326" i="9" s="1"/>
  <c r="W326" i="9"/>
  <c r="X326" i="9" s="1"/>
  <c r="AG326" i="9" s="1"/>
  <c r="AI325" i="9"/>
  <c r="AG325" i="9"/>
  <c r="AC325" i="9"/>
  <c r="AD325" i="9" s="1"/>
  <c r="Y325" i="9"/>
  <c r="W325" i="9"/>
  <c r="X325" i="9" s="1"/>
  <c r="Z325" i="9" s="1"/>
  <c r="AI324" i="9"/>
  <c r="AC324" i="9"/>
  <c r="AD324" i="9" s="1"/>
  <c r="Z324" i="9"/>
  <c r="Y324" i="9" s="1"/>
  <c r="W324" i="9"/>
  <c r="X324" i="9" s="1"/>
  <c r="AG324" i="9" s="1"/>
  <c r="AI323" i="9"/>
  <c r="AC323" i="9"/>
  <c r="AD323" i="9" s="1"/>
  <c r="W323" i="9"/>
  <c r="X323" i="9" s="1"/>
  <c r="Z323" i="9" s="1"/>
  <c r="Y323" i="9" s="1"/>
  <c r="AI322" i="9"/>
  <c r="AC322" i="9"/>
  <c r="AD322" i="9" s="1"/>
  <c r="Z322" i="9"/>
  <c r="Y322" i="9" s="1"/>
  <c r="W322" i="9"/>
  <c r="X322" i="9" s="1"/>
  <c r="AG322" i="9" s="1"/>
  <c r="AI321" i="9"/>
  <c r="AG321" i="9"/>
  <c r="AC321" i="9"/>
  <c r="AD321" i="9" s="1"/>
  <c r="Y321" i="9"/>
  <c r="W321" i="9"/>
  <c r="X321" i="9" s="1"/>
  <c r="Z321" i="9" s="1"/>
  <c r="AI320" i="9"/>
  <c r="AC320" i="9"/>
  <c r="AD320" i="9" s="1"/>
  <c r="Z320" i="9"/>
  <c r="Y320" i="9" s="1"/>
  <c r="W320" i="9"/>
  <c r="X320" i="9" s="1"/>
  <c r="AG320" i="9" s="1"/>
  <c r="AI319" i="9"/>
  <c r="AC319" i="9"/>
  <c r="AD319" i="9" s="1"/>
  <c r="W319" i="9"/>
  <c r="X319" i="9" s="1"/>
  <c r="AI318" i="9"/>
  <c r="AC318" i="9"/>
  <c r="AD318" i="9" s="1"/>
  <c r="Z318" i="9"/>
  <c r="Y318" i="9" s="1"/>
  <c r="W318" i="9"/>
  <c r="X318" i="9" s="1"/>
  <c r="AG318" i="9" s="1"/>
  <c r="AI317" i="9"/>
  <c r="AG317" i="9"/>
  <c r="AC317" i="9"/>
  <c r="AD317" i="9" s="1"/>
  <c r="Y317" i="9"/>
  <c r="W317" i="9"/>
  <c r="X317" i="9" s="1"/>
  <c r="Z317" i="9" s="1"/>
  <c r="AI316" i="9"/>
  <c r="AC316" i="9"/>
  <c r="AD316" i="9" s="1"/>
  <c r="Z316" i="9"/>
  <c r="Y316" i="9" s="1"/>
  <c r="W316" i="9"/>
  <c r="X316" i="9" s="1"/>
  <c r="AG316" i="9" s="1"/>
  <c r="AI315" i="9"/>
  <c r="AC315" i="9"/>
  <c r="AD315" i="9" s="1"/>
  <c r="W315" i="9"/>
  <c r="X315" i="9" s="1"/>
  <c r="Z315" i="9" s="1"/>
  <c r="Y315" i="9" s="1"/>
  <c r="AI314" i="9"/>
  <c r="AC314" i="9"/>
  <c r="AD314" i="9" s="1"/>
  <c r="Z314" i="9"/>
  <c r="Y314" i="9" s="1"/>
  <c r="W314" i="9"/>
  <c r="X314" i="9" s="1"/>
  <c r="AG314" i="9" s="1"/>
  <c r="AI313" i="9"/>
  <c r="AG313" i="9"/>
  <c r="AC313" i="9"/>
  <c r="AD313" i="9" s="1"/>
  <c r="Y313" i="9"/>
  <c r="W313" i="9"/>
  <c r="X313" i="9" s="1"/>
  <c r="Z313" i="9" s="1"/>
  <c r="AI312" i="9"/>
  <c r="AC312" i="9"/>
  <c r="AD312" i="9" s="1"/>
  <c r="Z312" i="9"/>
  <c r="Y312" i="9" s="1"/>
  <c r="W312" i="9"/>
  <c r="X312" i="9" s="1"/>
  <c r="AG312" i="9" s="1"/>
  <c r="AI311" i="9"/>
  <c r="AC311" i="9"/>
  <c r="AD311" i="9" s="1"/>
  <c r="W311" i="9"/>
  <c r="X311" i="9" s="1"/>
  <c r="AI310" i="9"/>
  <c r="AC310" i="9"/>
  <c r="AD310" i="9" s="1"/>
  <c r="Z310" i="9"/>
  <c r="Y310" i="9" s="1"/>
  <c r="W310" i="9"/>
  <c r="X310" i="9" s="1"/>
  <c r="AG310" i="9" s="1"/>
  <c r="AI309" i="9"/>
  <c r="AG309" i="9"/>
  <c r="AC309" i="9"/>
  <c r="AD309" i="9" s="1"/>
  <c r="Y309" i="9"/>
  <c r="W309" i="9"/>
  <c r="X309" i="9" s="1"/>
  <c r="Z309" i="9" s="1"/>
  <c r="AI308" i="9"/>
  <c r="AC308" i="9"/>
  <c r="AD308" i="9" s="1"/>
  <c r="Z308" i="9"/>
  <c r="Y308" i="9" s="1"/>
  <c r="W308" i="9"/>
  <c r="X308" i="9" s="1"/>
  <c r="AG308" i="9" s="1"/>
  <c r="AI307" i="9"/>
  <c r="AC307" i="9"/>
  <c r="AD307" i="9" s="1"/>
  <c r="W307" i="9"/>
  <c r="X307" i="9" s="1"/>
  <c r="Z307" i="9" s="1"/>
  <c r="Y307" i="9" s="1"/>
  <c r="AI306" i="9"/>
  <c r="AC306" i="9"/>
  <c r="AD306" i="9" s="1"/>
  <c r="Z306" i="9"/>
  <c r="Y306" i="9" s="1"/>
  <c r="W306" i="9"/>
  <c r="X306" i="9" s="1"/>
  <c r="AG306" i="9" s="1"/>
  <c r="AI305" i="9"/>
  <c r="AG305" i="9"/>
  <c r="AC305" i="9"/>
  <c r="AD305" i="9" s="1"/>
  <c r="Y305" i="9"/>
  <c r="W305" i="9"/>
  <c r="X305" i="9" s="1"/>
  <c r="Z305" i="9" s="1"/>
  <c r="AI304" i="9"/>
  <c r="AC304" i="9"/>
  <c r="AD304" i="9" s="1"/>
  <c r="Z304" i="9"/>
  <c r="Y304" i="9" s="1"/>
  <c r="W304" i="9"/>
  <c r="X304" i="9" s="1"/>
  <c r="AG304" i="9" s="1"/>
  <c r="AI303" i="9"/>
  <c r="AC303" i="9"/>
  <c r="AD303" i="9" s="1"/>
  <c r="W303" i="9"/>
  <c r="X303" i="9" s="1"/>
  <c r="AI302" i="9"/>
  <c r="AC302" i="9"/>
  <c r="AD302" i="9" s="1"/>
  <c r="Z302" i="9"/>
  <c r="Y302" i="9" s="1"/>
  <c r="W302" i="9"/>
  <c r="X302" i="9" s="1"/>
  <c r="AG302" i="9" s="1"/>
  <c r="AI301" i="9"/>
  <c r="AG301" i="9"/>
  <c r="AC301" i="9"/>
  <c r="AD301" i="9" s="1"/>
  <c r="Y301" i="9"/>
  <c r="W301" i="9"/>
  <c r="X301" i="9" s="1"/>
  <c r="Z301" i="9" s="1"/>
  <c r="AI300" i="9"/>
  <c r="AC300" i="9"/>
  <c r="AD300" i="9" s="1"/>
  <c r="Z300" i="9"/>
  <c r="Y300" i="9" s="1"/>
  <c r="W300" i="9"/>
  <c r="X300" i="9" s="1"/>
  <c r="AG300" i="9" s="1"/>
  <c r="AI299" i="9"/>
  <c r="AC299" i="9"/>
  <c r="AD299" i="9" s="1"/>
  <c r="W299" i="9"/>
  <c r="X299" i="9" s="1"/>
  <c r="Z299" i="9" s="1"/>
  <c r="Y299" i="9" s="1"/>
  <c r="AI298" i="9"/>
  <c r="AC298" i="9"/>
  <c r="AD298" i="9" s="1"/>
  <c r="Z298" i="9"/>
  <c r="Y298" i="9" s="1"/>
  <c r="W298" i="9"/>
  <c r="X298" i="9" s="1"/>
  <c r="AG298" i="9" s="1"/>
  <c r="AI297" i="9"/>
  <c r="AG297" i="9"/>
  <c r="AC297" i="9"/>
  <c r="AD297" i="9" s="1"/>
  <c r="Y297" i="9"/>
  <c r="W297" i="9"/>
  <c r="X297" i="9" s="1"/>
  <c r="Z297" i="9" s="1"/>
  <c r="AI296" i="9"/>
  <c r="AC296" i="9"/>
  <c r="AD296" i="9" s="1"/>
  <c r="Z296" i="9"/>
  <c r="Y296" i="9" s="1"/>
  <c r="W296" i="9"/>
  <c r="X296" i="9" s="1"/>
  <c r="AG296" i="9" s="1"/>
  <c r="AI295" i="9"/>
  <c r="AC295" i="9"/>
  <c r="AD295" i="9" s="1"/>
  <c r="W295" i="9"/>
  <c r="X295" i="9" s="1"/>
  <c r="AI294" i="9"/>
  <c r="AC294" i="9"/>
  <c r="AD294" i="9" s="1"/>
  <c r="Z294" i="9"/>
  <c r="Y294" i="9" s="1"/>
  <c r="W294" i="9"/>
  <c r="X294" i="9" s="1"/>
  <c r="AG294" i="9" s="1"/>
  <c r="AI293" i="9"/>
  <c r="AG293" i="9"/>
  <c r="AC293" i="9"/>
  <c r="AD293" i="9" s="1"/>
  <c r="Y293" i="9"/>
  <c r="W293" i="9"/>
  <c r="X293" i="9" s="1"/>
  <c r="Z293" i="9" s="1"/>
  <c r="AI292" i="9"/>
  <c r="AC292" i="9"/>
  <c r="AD292" i="9" s="1"/>
  <c r="Z292" i="9"/>
  <c r="Y292" i="9" s="1"/>
  <c r="W292" i="9"/>
  <c r="X292" i="9" s="1"/>
  <c r="AG292" i="9" s="1"/>
  <c r="AI291" i="9"/>
  <c r="AC291" i="9"/>
  <c r="AD291" i="9" s="1"/>
  <c r="W291" i="9"/>
  <c r="X291" i="9" s="1"/>
  <c r="Z291" i="9" s="1"/>
  <c r="Y291" i="9" s="1"/>
  <c r="AI290" i="9"/>
  <c r="AC290" i="9"/>
  <c r="AD290" i="9" s="1"/>
  <c r="Z290" i="9"/>
  <c r="Y290" i="9" s="1"/>
  <c r="W290" i="9"/>
  <c r="X290" i="9" s="1"/>
  <c r="AG290" i="9" s="1"/>
  <c r="AI289" i="9"/>
  <c r="AG289" i="9"/>
  <c r="AC289" i="9"/>
  <c r="AD289" i="9" s="1"/>
  <c r="Y289" i="9"/>
  <c r="X289" i="9"/>
  <c r="Z289" i="9" s="1"/>
  <c r="W289" i="9"/>
  <c r="AI288" i="9"/>
  <c r="AD288" i="9"/>
  <c r="AC288" i="9"/>
  <c r="X288" i="9"/>
  <c r="Z288" i="9" s="1"/>
  <c r="Y288" i="9" s="1"/>
  <c r="W288" i="9"/>
  <c r="AI287" i="9"/>
  <c r="AD287" i="9"/>
  <c r="AC287" i="9"/>
  <c r="Y287" i="9"/>
  <c r="X287" i="9"/>
  <c r="Z287" i="9" s="1"/>
  <c r="W287" i="9"/>
  <c r="AI286" i="9"/>
  <c r="AG286" i="9"/>
  <c r="AD286" i="9"/>
  <c r="AC286" i="9"/>
  <c r="X286" i="9"/>
  <c r="Z286" i="9" s="1"/>
  <c r="Y286" i="9" s="1"/>
  <c r="W286" i="9"/>
  <c r="AI285" i="9"/>
  <c r="AD285" i="9"/>
  <c r="AC285" i="9"/>
  <c r="Y285" i="9"/>
  <c r="X285" i="9"/>
  <c r="Z285" i="9" s="1"/>
  <c r="W285" i="9"/>
  <c r="AI284" i="9"/>
  <c r="AD284" i="9"/>
  <c r="AC284" i="9"/>
  <c r="X284" i="9"/>
  <c r="Z284" i="9" s="1"/>
  <c r="Y284" i="9" s="1"/>
  <c r="W284" i="9"/>
  <c r="AI283" i="9"/>
  <c r="AD283" i="9"/>
  <c r="AC283" i="9"/>
  <c r="Y283" i="9"/>
  <c r="X283" i="9"/>
  <c r="Z283" i="9" s="1"/>
  <c r="W283" i="9"/>
  <c r="AI282" i="9"/>
  <c r="AG282" i="9"/>
  <c r="AD282" i="9"/>
  <c r="AC282" i="9"/>
  <c r="X282" i="9"/>
  <c r="Z282" i="9" s="1"/>
  <c r="Y282" i="9" s="1"/>
  <c r="W282" i="9"/>
  <c r="AI281" i="9"/>
  <c r="AD281" i="9"/>
  <c r="AC281" i="9"/>
  <c r="Y281" i="9"/>
  <c r="X281" i="9"/>
  <c r="Z281" i="9" s="1"/>
  <c r="W281" i="9"/>
  <c r="AI280" i="9"/>
  <c r="AD280" i="9"/>
  <c r="AC280" i="9"/>
  <c r="X280" i="9"/>
  <c r="Z280" i="9" s="1"/>
  <c r="Y280" i="9" s="1"/>
  <c r="W280" i="9"/>
  <c r="AI279" i="9"/>
  <c r="AD279" i="9"/>
  <c r="AC279" i="9"/>
  <c r="Y279" i="9"/>
  <c r="X279" i="9"/>
  <c r="Z279" i="9" s="1"/>
  <c r="W279" i="9"/>
  <c r="AI278" i="9"/>
  <c r="AD278" i="9"/>
  <c r="AC278" i="9"/>
  <c r="X278" i="9"/>
  <c r="Z278" i="9" s="1"/>
  <c r="Y278" i="9" s="1"/>
  <c r="W278" i="9"/>
  <c r="AI277" i="9"/>
  <c r="AD277" i="9"/>
  <c r="AC277" i="9"/>
  <c r="Y277" i="9"/>
  <c r="X277" i="9"/>
  <c r="Z277" i="9" s="1"/>
  <c r="W277" i="9"/>
  <c r="AI276" i="9"/>
  <c r="AD276" i="9"/>
  <c r="AC276" i="9"/>
  <c r="X276" i="9"/>
  <c r="Z276" i="9" s="1"/>
  <c r="Y276" i="9" s="1"/>
  <c r="W276" i="9"/>
  <c r="AI275" i="9"/>
  <c r="AD275" i="9"/>
  <c r="AC275" i="9"/>
  <c r="Y275" i="9"/>
  <c r="X275" i="9"/>
  <c r="Z275" i="9" s="1"/>
  <c r="W275" i="9"/>
  <c r="AI274" i="9"/>
  <c r="AD274" i="9"/>
  <c r="AC274" i="9"/>
  <c r="X274" i="9"/>
  <c r="Z274" i="9" s="1"/>
  <c r="Y274" i="9" s="1"/>
  <c r="W274" i="9"/>
  <c r="AI273" i="9"/>
  <c r="AD273" i="9"/>
  <c r="AC273" i="9"/>
  <c r="Y273" i="9"/>
  <c r="X273" i="9"/>
  <c r="Z273" i="9" s="1"/>
  <c r="W273" i="9"/>
  <c r="AI272" i="9"/>
  <c r="AD272" i="9"/>
  <c r="AC272" i="9"/>
  <c r="X272" i="9"/>
  <c r="Z272" i="9" s="1"/>
  <c r="Y272" i="9" s="1"/>
  <c r="W272" i="9"/>
  <c r="AI271" i="9"/>
  <c r="AD271" i="9"/>
  <c r="AC271" i="9"/>
  <c r="Y271" i="9"/>
  <c r="X271" i="9"/>
  <c r="Z271" i="9" s="1"/>
  <c r="W271" i="9"/>
  <c r="AI270" i="9"/>
  <c r="AG270" i="9"/>
  <c r="AD270" i="9"/>
  <c r="AC270" i="9"/>
  <c r="X270" i="9"/>
  <c r="Z270" i="9" s="1"/>
  <c r="Y270" i="9" s="1"/>
  <c r="W270" i="9"/>
  <c r="AI269" i="9"/>
  <c r="AD269" i="9"/>
  <c r="AC269" i="9"/>
  <c r="Y269" i="9"/>
  <c r="X269" i="9"/>
  <c r="Z269" i="9" s="1"/>
  <c r="W269" i="9"/>
  <c r="AI268" i="9"/>
  <c r="AD268" i="9"/>
  <c r="AC268" i="9"/>
  <c r="X268" i="9"/>
  <c r="Z268" i="9" s="1"/>
  <c r="Y268" i="9" s="1"/>
  <c r="W268" i="9"/>
  <c r="AI267" i="9"/>
  <c r="AD267" i="9"/>
  <c r="AC267" i="9"/>
  <c r="Y267" i="9"/>
  <c r="X267" i="9"/>
  <c r="Z267" i="9" s="1"/>
  <c r="W267" i="9"/>
  <c r="AI266" i="9"/>
  <c r="AG266" i="9"/>
  <c r="AD266" i="9"/>
  <c r="AC266" i="9"/>
  <c r="X266" i="9"/>
  <c r="Z266" i="9" s="1"/>
  <c r="Y266" i="9" s="1"/>
  <c r="W266" i="9"/>
  <c r="AI265" i="9"/>
  <c r="AD265" i="9"/>
  <c r="AC265" i="9"/>
  <c r="Y265" i="9"/>
  <c r="X265" i="9"/>
  <c r="Z265" i="9" s="1"/>
  <c r="W265" i="9"/>
  <c r="AI264" i="9"/>
  <c r="AD264" i="9"/>
  <c r="AC264" i="9"/>
  <c r="X264" i="9"/>
  <c r="Z264" i="9" s="1"/>
  <c r="Y264" i="9" s="1"/>
  <c r="W264" i="9"/>
  <c r="AI263" i="9"/>
  <c r="AD263" i="9"/>
  <c r="AC263" i="9"/>
  <c r="Y263" i="9"/>
  <c r="X263" i="9"/>
  <c r="Z263" i="9" s="1"/>
  <c r="W263" i="9"/>
  <c r="AI262" i="9"/>
  <c r="AD262" i="9"/>
  <c r="AC262" i="9"/>
  <c r="X262" i="9"/>
  <c r="Z262" i="9" s="1"/>
  <c r="Y262" i="9" s="1"/>
  <c r="W262" i="9"/>
  <c r="AI261" i="9"/>
  <c r="AD261" i="9"/>
  <c r="AC261" i="9"/>
  <c r="Y261" i="9"/>
  <c r="X261" i="9"/>
  <c r="Z261" i="9" s="1"/>
  <c r="W261" i="9"/>
  <c r="AI260" i="9"/>
  <c r="AD260" i="9"/>
  <c r="AC260" i="9"/>
  <c r="X260" i="9"/>
  <c r="Z260" i="9" s="1"/>
  <c r="Y260" i="9" s="1"/>
  <c r="W260" i="9"/>
  <c r="AI259" i="9"/>
  <c r="AD259" i="9"/>
  <c r="AC259" i="9"/>
  <c r="Y259" i="9"/>
  <c r="X259" i="9"/>
  <c r="Z259" i="9" s="1"/>
  <c r="W259" i="9"/>
  <c r="AI258" i="9"/>
  <c r="AD258" i="9"/>
  <c r="AC258" i="9"/>
  <c r="X258" i="9"/>
  <c r="Z258" i="9" s="1"/>
  <c r="Y258" i="9" s="1"/>
  <c r="W258" i="9"/>
  <c r="AI257" i="9"/>
  <c r="AD257" i="9"/>
  <c r="AC257" i="9"/>
  <c r="Y257" i="9"/>
  <c r="X257" i="9"/>
  <c r="Z257" i="9" s="1"/>
  <c r="W257" i="9"/>
  <c r="AI256" i="9"/>
  <c r="AD256" i="9"/>
  <c r="AC256" i="9"/>
  <c r="X256" i="9"/>
  <c r="Z256" i="9" s="1"/>
  <c r="Y256" i="9" s="1"/>
  <c r="W256" i="9"/>
  <c r="AI255" i="9"/>
  <c r="AD255" i="9"/>
  <c r="AC255" i="9"/>
  <c r="Y255" i="9"/>
  <c r="X255" i="9"/>
  <c r="Z255" i="9" s="1"/>
  <c r="W255" i="9"/>
  <c r="AI254" i="9"/>
  <c r="AG254" i="9"/>
  <c r="AD254" i="9"/>
  <c r="AC254" i="9"/>
  <c r="X254" i="9"/>
  <c r="Z254" i="9" s="1"/>
  <c r="Y254" i="9" s="1"/>
  <c r="W254" i="9"/>
  <c r="AI253" i="9"/>
  <c r="AD253" i="9"/>
  <c r="AC253" i="9"/>
  <c r="Y253" i="9"/>
  <c r="X253" i="9"/>
  <c r="Z253" i="9" s="1"/>
  <c r="W253" i="9"/>
  <c r="AI252" i="9"/>
  <c r="AD252" i="9"/>
  <c r="AC252" i="9"/>
  <c r="X252" i="9"/>
  <c r="Z252" i="9" s="1"/>
  <c r="Y252" i="9" s="1"/>
  <c r="W252" i="9"/>
  <c r="AI251" i="9"/>
  <c r="AD251" i="9"/>
  <c r="AC251" i="9"/>
  <c r="Y251" i="9"/>
  <c r="X251" i="9"/>
  <c r="Z251" i="9" s="1"/>
  <c r="W251" i="9"/>
  <c r="AI250" i="9"/>
  <c r="AG250" i="9"/>
  <c r="AD250" i="9"/>
  <c r="AC250" i="9"/>
  <c r="X250" i="9"/>
  <c r="Z250" i="9" s="1"/>
  <c r="Y250" i="9" s="1"/>
  <c r="W250" i="9"/>
  <c r="AI249" i="9"/>
  <c r="AD249" i="9"/>
  <c r="AC249" i="9"/>
  <c r="Y249" i="9"/>
  <c r="X249" i="9"/>
  <c r="Z249" i="9" s="1"/>
  <c r="W249" i="9"/>
  <c r="AI248" i="9"/>
  <c r="AD248" i="9"/>
  <c r="AC248" i="9"/>
  <c r="X248" i="9"/>
  <c r="Z248" i="9" s="1"/>
  <c r="Y248" i="9" s="1"/>
  <c r="W248" i="9"/>
  <c r="AI247" i="9"/>
  <c r="AD247" i="9"/>
  <c r="AC247" i="9"/>
  <c r="Y247" i="9"/>
  <c r="X247" i="9"/>
  <c r="Z247" i="9" s="1"/>
  <c r="W247" i="9"/>
  <c r="AI246" i="9"/>
  <c r="AD246" i="9"/>
  <c r="AC246" i="9"/>
  <c r="X246" i="9"/>
  <c r="Z246" i="9" s="1"/>
  <c r="Y246" i="9" s="1"/>
  <c r="W246" i="9"/>
  <c r="AI245" i="9"/>
  <c r="AD245" i="9"/>
  <c r="AC245" i="9"/>
  <c r="Y245" i="9"/>
  <c r="X245" i="9"/>
  <c r="Z245" i="9" s="1"/>
  <c r="W245" i="9"/>
  <c r="AI244" i="9"/>
  <c r="AD244" i="9"/>
  <c r="AC244" i="9"/>
  <c r="X244" i="9"/>
  <c r="Z244" i="9" s="1"/>
  <c r="Y244" i="9" s="1"/>
  <c r="W244" i="9"/>
  <c r="AI243" i="9"/>
  <c r="AD243" i="9"/>
  <c r="AC243" i="9"/>
  <c r="Y243" i="9"/>
  <c r="X243" i="9"/>
  <c r="Z243" i="9" s="1"/>
  <c r="W243" i="9"/>
  <c r="AI242" i="9"/>
  <c r="AD242" i="9"/>
  <c r="AC242" i="9"/>
  <c r="X242" i="9"/>
  <c r="Z242" i="9" s="1"/>
  <c r="Y242" i="9" s="1"/>
  <c r="W242" i="9"/>
  <c r="AI241" i="9"/>
  <c r="AD241" i="9"/>
  <c r="AC241" i="9"/>
  <c r="Y241" i="9"/>
  <c r="X241" i="9"/>
  <c r="Z241" i="9" s="1"/>
  <c r="W241" i="9"/>
  <c r="AI240" i="9"/>
  <c r="AD240" i="9"/>
  <c r="AC240" i="9"/>
  <c r="X240" i="9"/>
  <c r="Z240" i="9" s="1"/>
  <c r="Y240" i="9" s="1"/>
  <c r="W240" i="9"/>
  <c r="AI239" i="9"/>
  <c r="AD239" i="9"/>
  <c r="AC239" i="9"/>
  <c r="Y239" i="9"/>
  <c r="X239" i="9"/>
  <c r="Z239" i="9" s="1"/>
  <c r="W239" i="9"/>
  <c r="AI238" i="9"/>
  <c r="AD238" i="9"/>
  <c r="AC238" i="9"/>
  <c r="W238" i="9"/>
  <c r="X238" i="9" s="1"/>
  <c r="Z238" i="9" s="1"/>
  <c r="AI237" i="9"/>
  <c r="AC237" i="9"/>
  <c r="AI236" i="9"/>
  <c r="AD236" i="9"/>
  <c r="AC236" i="9"/>
  <c r="W236" i="9"/>
  <c r="X236" i="9" s="1"/>
  <c r="AI235" i="9"/>
  <c r="AD235" i="9"/>
  <c r="AC235" i="9"/>
  <c r="Y235" i="9"/>
  <c r="X235" i="9"/>
  <c r="Z235" i="9" s="1"/>
  <c r="W235" i="9"/>
  <c r="AI234" i="9"/>
  <c r="AD234" i="9"/>
  <c r="AC234" i="9"/>
  <c r="W234" i="9"/>
  <c r="X234" i="9" s="1"/>
  <c r="AI233" i="9"/>
  <c r="AD233" i="9"/>
  <c r="AC233" i="9"/>
  <c r="W233" i="9"/>
  <c r="X233" i="9" s="1"/>
  <c r="Z233" i="9" s="1"/>
  <c r="Y233" i="9" s="1"/>
  <c r="AI232" i="9"/>
  <c r="AG232" i="9"/>
  <c r="AD232" i="9"/>
  <c r="AC232" i="9"/>
  <c r="X232" i="9"/>
  <c r="Z232" i="9" s="1"/>
  <c r="Y232" i="9" s="1"/>
  <c r="W232" i="9"/>
  <c r="AI231" i="9"/>
  <c r="AD231" i="9"/>
  <c r="AC231" i="9"/>
  <c r="Y231" i="9"/>
  <c r="X231" i="9"/>
  <c r="Z231" i="9" s="1"/>
  <c r="W231" i="9"/>
  <c r="AI230" i="9"/>
  <c r="AD230" i="9"/>
  <c r="AC230" i="9"/>
  <c r="W230" i="9"/>
  <c r="X230" i="9" s="1"/>
  <c r="AI229" i="9"/>
  <c r="AD229" i="9"/>
  <c r="AC229" i="9"/>
  <c r="W229" i="9"/>
  <c r="X229" i="9" s="1"/>
  <c r="Z229" i="9" s="1"/>
  <c r="Y229" i="9" s="1"/>
  <c r="AI228" i="9"/>
  <c r="AD228" i="9"/>
  <c r="AC228" i="9"/>
  <c r="W228" i="9"/>
  <c r="X228" i="9" s="1"/>
  <c r="AI227" i="9"/>
  <c r="AD227" i="9"/>
  <c r="AC227" i="9"/>
  <c r="X227" i="9"/>
  <c r="Z227" i="9" s="1"/>
  <c r="Y227" i="9" s="1"/>
  <c r="W227" i="9"/>
  <c r="AI226" i="9"/>
  <c r="AD226" i="9"/>
  <c r="AC226" i="9"/>
  <c r="X226" i="9"/>
  <c r="Z226" i="9" s="1"/>
  <c r="Y226" i="9" s="1"/>
  <c r="AI225" i="9"/>
  <c r="AD225" i="9"/>
  <c r="AC225" i="9"/>
  <c r="Y225" i="9"/>
  <c r="X225" i="9"/>
  <c r="Z225" i="9" s="1"/>
  <c r="W225" i="9"/>
  <c r="AI224" i="9"/>
  <c r="AG224" i="9"/>
  <c r="AD224" i="9"/>
  <c r="AC224" i="9"/>
  <c r="X224" i="9"/>
  <c r="Z224" i="9" s="1"/>
  <c r="Y224" i="9" s="1"/>
  <c r="W224" i="9"/>
  <c r="AI223" i="9"/>
  <c r="AD223" i="9"/>
  <c r="AC223" i="9"/>
  <c r="Y223" i="9"/>
  <c r="X223" i="9"/>
  <c r="Z223" i="9" s="1"/>
  <c r="W223" i="9"/>
  <c r="AI222" i="9"/>
  <c r="AG222" i="9"/>
  <c r="AD222" i="9"/>
  <c r="AC222" i="9"/>
  <c r="X222" i="9"/>
  <c r="Z222" i="9" s="1"/>
  <c r="Y222" i="9" s="1"/>
  <c r="W222" i="9"/>
  <c r="AI221" i="9"/>
  <c r="AD221" i="9"/>
  <c r="V220" i="9" s="1"/>
  <c r="AC221" i="9"/>
  <c r="Y221" i="9"/>
  <c r="X221" i="9"/>
  <c r="Z221" i="9" s="1"/>
  <c r="W221" i="9"/>
  <c r="AI220" i="9"/>
  <c r="AC220" i="9"/>
  <c r="AI219" i="9"/>
  <c r="AD219" i="9"/>
  <c r="AC219" i="9"/>
  <c r="X219" i="9"/>
  <c r="Z219" i="9" s="1"/>
  <c r="Y219" i="9" s="1"/>
  <c r="W219" i="9"/>
  <c r="AI218" i="9"/>
  <c r="AD218" i="9"/>
  <c r="AC218" i="9"/>
  <c r="X218" i="9"/>
  <c r="Z218" i="9" s="1"/>
  <c r="Y218" i="9" s="1"/>
  <c r="W218" i="9"/>
  <c r="AI217" i="9"/>
  <c r="AD217" i="9"/>
  <c r="AC217" i="9"/>
  <c r="Y217" i="9"/>
  <c r="X217" i="9"/>
  <c r="Z217" i="9" s="1"/>
  <c r="W217" i="9"/>
  <c r="AI216" i="9"/>
  <c r="AD216" i="9"/>
  <c r="AC216" i="9"/>
  <c r="Y216" i="9"/>
  <c r="X216" i="9"/>
  <c r="Z216" i="9" s="1"/>
  <c r="W216" i="9"/>
  <c r="AI215" i="9"/>
  <c r="AD215" i="9"/>
  <c r="AC215" i="9"/>
  <c r="Y215" i="9"/>
  <c r="X215" i="9"/>
  <c r="Z215" i="9" s="1"/>
  <c r="W215" i="9"/>
  <c r="AI214" i="9"/>
  <c r="AG214" i="9"/>
  <c r="AD214" i="9"/>
  <c r="AC214" i="9"/>
  <c r="X214" i="9"/>
  <c r="Z214" i="9" s="1"/>
  <c r="Y214" i="9" s="1"/>
  <c r="W214" i="9"/>
  <c r="AI213" i="9"/>
  <c r="AD213" i="9"/>
  <c r="AC213" i="9"/>
  <c r="AI212" i="9"/>
  <c r="AD212" i="9"/>
  <c r="AC212" i="9"/>
  <c r="W212" i="9"/>
  <c r="X212" i="9" s="1"/>
  <c r="Z212" i="9" s="1"/>
  <c r="Y212" i="9" s="1"/>
  <c r="AI211" i="9"/>
  <c r="AD211" i="9"/>
  <c r="AC211" i="9"/>
  <c r="X211" i="9"/>
  <c r="Z211" i="9" s="1"/>
  <c r="Y211" i="9" s="1"/>
  <c r="W211" i="9"/>
  <c r="AI210" i="9"/>
  <c r="AD210" i="9"/>
  <c r="AC210" i="9"/>
  <c r="X210" i="9"/>
  <c r="Z210" i="9" s="1"/>
  <c r="Y210" i="9" s="1"/>
  <c r="W210" i="9"/>
  <c r="AI209" i="9"/>
  <c r="AD209" i="9"/>
  <c r="AC209" i="9"/>
  <c r="Y209" i="9"/>
  <c r="X209" i="9"/>
  <c r="Z209" i="9" s="1"/>
  <c r="W209" i="9"/>
  <c r="AI208" i="9"/>
  <c r="AD208" i="9"/>
  <c r="AC208" i="9"/>
  <c r="Y208" i="9"/>
  <c r="X208" i="9"/>
  <c r="Z208" i="9" s="1"/>
  <c r="W208" i="9"/>
  <c r="AI207" i="9"/>
  <c r="AD207" i="9"/>
  <c r="AC207" i="9"/>
  <c r="Y207" i="9"/>
  <c r="X207" i="9"/>
  <c r="Z207" i="9" s="1"/>
  <c r="W207" i="9"/>
  <c r="AL206" i="9"/>
  <c r="AI206" i="9"/>
  <c r="AG206" i="9" s="1"/>
  <c r="AD206" i="9"/>
  <c r="AC206" i="9"/>
  <c r="Z206" i="9"/>
  <c r="Y206" i="9" s="1"/>
  <c r="X206" i="9"/>
  <c r="W206" i="9"/>
  <c r="AI205" i="9"/>
  <c r="AG205" i="9" s="1"/>
  <c r="AD205" i="9"/>
  <c r="AC205" i="9"/>
  <c r="Z205" i="9"/>
  <c r="Y205" i="9" s="1"/>
  <c r="X205" i="9"/>
  <c r="W205" i="9"/>
  <c r="AI204" i="9"/>
  <c r="AG204" i="9" s="1"/>
  <c r="AD204" i="9"/>
  <c r="AC204" i="9"/>
  <c r="Z204" i="9"/>
  <c r="Y204" i="9" s="1"/>
  <c r="X204" i="9"/>
  <c r="W204" i="9"/>
  <c r="AI203" i="9"/>
  <c r="AG203" i="9" s="1"/>
  <c r="AD203" i="9"/>
  <c r="AC203" i="9"/>
  <c r="Z203" i="9"/>
  <c r="X203" i="9"/>
  <c r="W203" i="9"/>
  <c r="AI202" i="9"/>
  <c r="AC202" i="9"/>
  <c r="AI201" i="9"/>
  <c r="AC201" i="9"/>
  <c r="Z201" i="9"/>
  <c r="Y201" i="9"/>
  <c r="W201" i="9"/>
  <c r="X201" i="9" s="1"/>
  <c r="AG201" i="9" s="1"/>
  <c r="V201" i="9"/>
  <c r="AD201" i="9" s="1"/>
  <c r="AI200" i="9"/>
  <c r="AC200" i="9"/>
  <c r="W200" i="9"/>
  <c r="X200" i="9" s="1"/>
  <c r="V200" i="9"/>
  <c r="AI199" i="9"/>
  <c r="AD199" i="9"/>
  <c r="AC199" i="9"/>
  <c r="W199" i="9"/>
  <c r="X199" i="9" s="1"/>
  <c r="AG199" i="9" s="1"/>
  <c r="V199" i="9"/>
  <c r="AI198" i="9"/>
  <c r="AG198" i="9"/>
  <c r="AD198" i="9"/>
  <c r="AC198" i="9"/>
  <c r="X198" i="9"/>
  <c r="W198" i="9"/>
  <c r="V198" i="9"/>
  <c r="Z198" i="9" s="1"/>
  <c r="Y198" i="9" s="1"/>
  <c r="AI197" i="9"/>
  <c r="AC197" i="9"/>
  <c r="Z197" i="9"/>
  <c r="Y197" i="9" s="1"/>
  <c r="W197" i="9"/>
  <c r="X197" i="9" s="1"/>
  <c r="AG197" i="9" s="1"/>
  <c r="V197" i="9"/>
  <c r="AD197" i="9" s="1"/>
  <c r="AI196" i="9"/>
  <c r="AC196" i="9"/>
  <c r="W196" i="9"/>
  <c r="X196" i="9" s="1"/>
  <c r="V196" i="9"/>
  <c r="AD196" i="9" s="1"/>
  <c r="AI195" i="9"/>
  <c r="AD195" i="9"/>
  <c r="AC195" i="9"/>
  <c r="X195" i="9"/>
  <c r="AG195" i="9" s="1"/>
  <c r="W195" i="9"/>
  <c r="V195" i="9"/>
  <c r="AI194" i="9"/>
  <c r="AD194" i="9"/>
  <c r="AC194" i="9"/>
  <c r="X194" i="9"/>
  <c r="AG194" i="9" s="1"/>
  <c r="W194" i="9"/>
  <c r="V194" i="9"/>
  <c r="AI193" i="9"/>
  <c r="AC193" i="9"/>
  <c r="W193" i="9"/>
  <c r="X193" i="9" s="1"/>
  <c r="Z193" i="9" s="1"/>
  <c r="Y193" i="9" s="1"/>
  <c r="V193" i="9"/>
  <c r="AD193" i="9" s="1"/>
  <c r="AI192" i="9"/>
  <c r="AC192" i="9"/>
  <c r="Z192" i="9"/>
  <c r="Y192" i="9" s="1"/>
  <c r="W192" i="9"/>
  <c r="X192" i="9" s="1"/>
  <c r="V192" i="9"/>
  <c r="AD192" i="9" s="1"/>
  <c r="AI191" i="9"/>
  <c r="AD191" i="9"/>
  <c r="AC191" i="9"/>
  <c r="X191" i="9"/>
  <c r="AG191" i="9" s="1"/>
  <c r="W191" i="9"/>
  <c r="V191" i="9"/>
  <c r="Z191" i="9" s="1"/>
  <c r="Y191" i="9" s="1"/>
  <c r="AI190" i="9"/>
  <c r="AD190" i="9"/>
  <c r="AC190" i="9"/>
  <c r="X190" i="9"/>
  <c r="AG190" i="9" s="1"/>
  <c r="W190" i="9"/>
  <c r="V190" i="9"/>
  <c r="AI189" i="9"/>
  <c r="AG189" i="9"/>
  <c r="AC189" i="9"/>
  <c r="W189" i="9"/>
  <c r="X189" i="9" s="1"/>
  <c r="V189" i="9"/>
  <c r="AD189" i="9" s="1"/>
  <c r="AI188" i="9"/>
  <c r="AC188" i="9"/>
  <c r="W188" i="9"/>
  <c r="X188" i="9" s="1"/>
  <c r="AG188" i="9" s="1"/>
  <c r="V188" i="9"/>
  <c r="AD188" i="9" s="1"/>
  <c r="AI187" i="9"/>
  <c r="AC187" i="9"/>
  <c r="AD187" i="9" s="1"/>
  <c r="X187" i="9"/>
  <c r="AG187" i="9" s="1"/>
  <c r="W187" i="9"/>
  <c r="V187" i="9"/>
  <c r="Z187" i="9" s="1"/>
  <c r="Y187" i="9" s="1"/>
  <c r="AI186" i="9"/>
  <c r="AD186" i="9"/>
  <c r="AC186" i="9"/>
  <c r="Y186" i="9"/>
  <c r="X186" i="9"/>
  <c r="AG186" i="9" s="1"/>
  <c r="W186" i="9"/>
  <c r="V186" i="9"/>
  <c r="Z186" i="9" s="1"/>
  <c r="AI185" i="9"/>
  <c r="AC185" i="9"/>
  <c r="Z185" i="9"/>
  <c r="Y185" i="9"/>
  <c r="W185" i="9"/>
  <c r="X185" i="9" s="1"/>
  <c r="AG185" i="9" s="1"/>
  <c r="V185" i="9"/>
  <c r="AD185" i="9" s="1"/>
  <c r="AI184" i="9"/>
  <c r="AC184" i="9"/>
  <c r="W184" i="9"/>
  <c r="X184" i="9" s="1"/>
  <c r="V184" i="9"/>
  <c r="AI183" i="9"/>
  <c r="AD183" i="9"/>
  <c r="AC183" i="9"/>
  <c r="W183" i="9"/>
  <c r="X183" i="9" s="1"/>
  <c r="AG183" i="9" s="1"/>
  <c r="V183" i="9"/>
  <c r="AI182" i="9"/>
  <c r="AG182" i="9"/>
  <c r="AD182" i="9"/>
  <c r="AC182" i="9"/>
  <c r="X182" i="9"/>
  <c r="W182" i="9"/>
  <c r="V182" i="9"/>
  <c r="Z182" i="9" s="1"/>
  <c r="Y182" i="9" s="1"/>
  <c r="AI181" i="9"/>
  <c r="AC181" i="9"/>
  <c r="Z181" i="9"/>
  <c r="Y181" i="9" s="1"/>
  <c r="W181" i="9"/>
  <c r="X181" i="9" s="1"/>
  <c r="AG181" i="9" s="1"/>
  <c r="V181" i="9"/>
  <c r="AD181" i="9" s="1"/>
  <c r="AI180" i="9"/>
  <c r="AC180" i="9"/>
  <c r="W180" i="9"/>
  <c r="X180" i="9" s="1"/>
  <c r="V180" i="9"/>
  <c r="AD180" i="9" s="1"/>
  <c r="AI179" i="9"/>
  <c r="AD179" i="9"/>
  <c r="AC179" i="9"/>
  <c r="X179" i="9"/>
  <c r="AG179" i="9" s="1"/>
  <c r="W179" i="9"/>
  <c r="V179" i="9"/>
  <c r="AI178" i="9"/>
  <c r="AD178" i="9"/>
  <c r="AC178" i="9"/>
  <c r="X178" i="9"/>
  <c r="AG178" i="9" s="1"/>
  <c r="W178" i="9"/>
  <c r="V178" i="9"/>
  <c r="AI177" i="9"/>
  <c r="AC177" i="9"/>
  <c r="AI176" i="9"/>
  <c r="AC176" i="9"/>
  <c r="W176" i="9"/>
  <c r="X176" i="9" s="1"/>
  <c r="AG176" i="9" s="1"/>
  <c r="V176" i="9"/>
  <c r="AD176" i="9" s="1"/>
  <c r="AI175" i="9"/>
  <c r="AC175" i="9"/>
  <c r="W175" i="9"/>
  <c r="X175" i="9" s="1"/>
  <c r="V175" i="9"/>
  <c r="AI174" i="9"/>
  <c r="AC174" i="9"/>
  <c r="AD174" i="9" s="1"/>
  <c r="W174" i="9"/>
  <c r="X174" i="9" s="1"/>
  <c r="AG174" i="9" s="1"/>
  <c r="V174" i="9"/>
  <c r="AI173" i="9"/>
  <c r="AD173" i="9"/>
  <c r="AC173" i="9"/>
  <c r="X173" i="9"/>
  <c r="AG173" i="9" s="1"/>
  <c r="W173" i="9"/>
  <c r="V173" i="9"/>
  <c r="AI172" i="9"/>
  <c r="AG172" i="9"/>
  <c r="AC172" i="9"/>
  <c r="W172" i="9"/>
  <c r="X172" i="9" s="1"/>
  <c r="V172" i="9"/>
  <c r="AI171" i="9"/>
  <c r="AC171" i="9"/>
  <c r="W171" i="9"/>
  <c r="X171" i="9" s="1"/>
  <c r="AG171" i="9" s="1"/>
  <c r="V171" i="9"/>
  <c r="AI170" i="9"/>
  <c r="AC170" i="9"/>
  <c r="AD170" i="9" s="1"/>
  <c r="W170" i="9"/>
  <c r="X170" i="9" s="1"/>
  <c r="AG170" i="9" s="1"/>
  <c r="V170" i="9"/>
  <c r="AI169" i="9"/>
  <c r="AD169" i="9"/>
  <c r="AC169" i="9"/>
  <c r="X169" i="9"/>
  <c r="AG169" i="9" s="1"/>
  <c r="W169" i="9"/>
  <c r="V169" i="9"/>
  <c r="Z169" i="9" s="1"/>
  <c r="Y169" i="9" s="1"/>
  <c r="AI168" i="9"/>
  <c r="AC168" i="9"/>
  <c r="Z168" i="9"/>
  <c r="Y168" i="9"/>
  <c r="W168" i="9"/>
  <c r="X168" i="9" s="1"/>
  <c r="AG168" i="9" s="1"/>
  <c r="V168" i="9"/>
  <c r="AD168" i="9" s="1"/>
  <c r="AI167" i="9"/>
  <c r="AC167" i="9"/>
  <c r="W167" i="9"/>
  <c r="X167" i="9" s="1"/>
  <c r="AG167" i="9" s="1"/>
  <c r="V167" i="9"/>
  <c r="AI166" i="9"/>
  <c r="AC166" i="9"/>
  <c r="AD166" i="9" s="1"/>
  <c r="X166" i="9"/>
  <c r="AG166" i="9" s="1"/>
  <c r="W166" i="9"/>
  <c r="V166" i="9"/>
  <c r="AI165" i="9"/>
  <c r="AD165" i="9"/>
  <c r="AC165" i="9"/>
  <c r="X165" i="9"/>
  <c r="AG165" i="9" s="1"/>
  <c r="W165" i="9"/>
  <c r="V165" i="9"/>
  <c r="AI164" i="9"/>
  <c r="AC164" i="9"/>
  <c r="W164" i="9"/>
  <c r="X164" i="9" s="1"/>
  <c r="AG164" i="9" s="1"/>
  <c r="V164" i="9"/>
  <c r="AI163" i="9"/>
  <c r="AC163" i="9"/>
  <c r="Z163" i="9"/>
  <c r="Y163" i="9" s="1"/>
  <c r="W163" i="9"/>
  <c r="X163" i="9" s="1"/>
  <c r="AG163" i="9" s="1"/>
  <c r="V163" i="9"/>
  <c r="AI162" i="9"/>
  <c r="AD162" i="9"/>
  <c r="AC162" i="9"/>
  <c r="W162" i="9"/>
  <c r="X162" i="9" s="1"/>
  <c r="AG162" i="9" s="1"/>
  <c r="V162" i="9"/>
  <c r="Z162" i="9" s="1"/>
  <c r="Y162" i="9" s="1"/>
  <c r="AI161" i="9"/>
  <c r="AD161" i="9"/>
  <c r="AC161" i="9"/>
  <c r="W161" i="9"/>
  <c r="X161" i="9" s="1"/>
  <c r="AG161" i="9" s="1"/>
  <c r="V161" i="9"/>
  <c r="AI160" i="9"/>
  <c r="AC160" i="9"/>
  <c r="W160" i="9"/>
  <c r="X160" i="9" s="1"/>
  <c r="AG160" i="9" s="1"/>
  <c r="V160" i="9"/>
  <c r="AD160" i="9" s="1"/>
  <c r="AI159" i="9"/>
  <c r="AC159" i="9"/>
  <c r="W159" i="9"/>
  <c r="X159" i="9" s="1"/>
  <c r="AG159" i="9" s="1"/>
  <c r="V159" i="9"/>
  <c r="AI158" i="9"/>
  <c r="AD158" i="9"/>
  <c r="AC158" i="9"/>
  <c r="W158" i="9"/>
  <c r="X158" i="9" s="1"/>
  <c r="AG158" i="9" s="1"/>
  <c r="V158" i="9"/>
  <c r="AI157" i="9"/>
  <c r="AD157" i="9"/>
  <c r="AC157" i="9"/>
  <c r="X157" i="9"/>
  <c r="AG157" i="9" s="1"/>
  <c r="W157" i="9"/>
  <c r="V157" i="9"/>
  <c r="Z157" i="9" s="1"/>
  <c r="Y157" i="9" s="1"/>
  <c r="AI156" i="9"/>
  <c r="AC156" i="9"/>
  <c r="Z156" i="9"/>
  <c r="Y156" i="9" s="1"/>
  <c r="W156" i="9"/>
  <c r="X156" i="9" s="1"/>
  <c r="AG156" i="9" s="1"/>
  <c r="V156" i="9"/>
  <c r="AD156" i="9" s="1"/>
  <c r="AI155" i="9"/>
  <c r="AC155" i="9"/>
  <c r="W155" i="9"/>
  <c r="X155" i="9" s="1"/>
  <c r="V155" i="9"/>
  <c r="AD155" i="9" s="1"/>
  <c r="AI154" i="9"/>
  <c r="AC154" i="9"/>
  <c r="AD154" i="9" s="1"/>
  <c r="X154" i="9"/>
  <c r="AG154" i="9" s="1"/>
  <c r="W154" i="9"/>
  <c r="V154" i="9"/>
  <c r="AI153" i="9"/>
  <c r="AD153" i="9"/>
  <c r="AC153" i="9"/>
  <c r="X153" i="9"/>
  <c r="AG153" i="9" s="1"/>
  <c r="W153" i="9"/>
  <c r="V153" i="9"/>
  <c r="AI152" i="9"/>
  <c r="AC152" i="9"/>
  <c r="W152" i="9"/>
  <c r="X152" i="9" s="1"/>
  <c r="AG152" i="9" s="1"/>
  <c r="V152" i="9"/>
  <c r="AD152" i="9" s="1"/>
  <c r="AI151" i="9"/>
  <c r="AC151" i="9"/>
  <c r="Z151" i="9"/>
  <c r="Y151" i="9" s="1"/>
  <c r="W151" i="9"/>
  <c r="X151" i="9" s="1"/>
  <c r="AG151" i="9" s="1"/>
  <c r="V151" i="9"/>
  <c r="AI150" i="9"/>
  <c r="AD150" i="9"/>
  <c r="AC150" i="9"/>
  <c r="W150" i="9"/>
  <c r="X150" i="9" s="1"/>
  <c r="AG150" i="9" s="1"/>
  <c r="V150" i="9"/>
  <c r="AI149" i="9"/>
  <c r="AC149" i="9"/>
  <c r="X149" i="9"/>
  <c r="AG149" i="9" s="1"/>
  <c r="W149" i="9"/>
  <c r="V149" i="9"/>
  <c r="Z149" i="9" s="1"/>
  <c r="Y149" i="9" s="1"/>
  <c r="AI148" i="9"/>
  <c r="AC148" i="9"/>
  <c r="W148" i="9"/>
  <c r="X148" i="9" s="1"/>
  <c r="AG148" i="9" s="1"/>
  <c r="V148" i="9"/>
  <c r="AD148" i="9" s="1"/>
  <c r="AI147" i="9"/>
  <c r="AC147" i="9"/>
  <c r="Z147" i="9"/>
  <c r="Y147" i="9" s="1"/>
  <c r="X147" i="9"/>
  <c r="AG147" i="9" s="1"/>
  <c r="W147" i="9"/>
  <c r="V147" i="9"/>
  <c r="AD147" i="9" s="1"/>
  <c r="AI146" i="9"/>
  <c r="AC146" i="9"/>
  <c r="AD146" i="9" s="1"/>
  <c r="X146" i="9"/>
  <c r="AG146" i="9" s="1"/>
  <c r="W146" i="9"/>
  <c r="V146" i="9"/>
  <c r="AI145" i="9"/>
  <c r="AG145" i="9" s="1"/>
  <c r="AC145" i="9"/>
  <c r="X145" i="9"/>
  <c r="W145" i="9"/>
  <c r="V145" i="9"/>
  <c r="AD145" i="9" s="1"/>
  <c r="AI144" i="9"/>
  <c r="AC144" i="9"/>
  <c r="Z144" i="9"/>
  <c r="Y144" i="9" s="1"/>
  <c r="W144" i="9"/>
  <c r="X144" i="9" s="1"/>
  <c r="AG144" i="9" s="1"/>
  <c r="V144" i="9"/>
  <c r="AD144" i="9" s="1"/>
  <c r="AI143" i="9"/>
  <c r="AD143" i="9"/>
  <c r="AC143" i="9"/>
  <c r="X143" i="9"/>
  <c r="AG143" i="9" s="1"/>
  <c r="W143" i="9"/>
  <c r="V143" i="9"/>
  <c r="AI142" i="9"/>
  <c r="AD142" i="9"/>
  <c r="AC142" i="9"/>
  <c r="X142" i="9"/>
  <c r="AG142" i="9" s="1"/>
  <c r="W142" i="9"/>
  <c r="V142" i="9"/>
  <c r="AI141" i="9"/>
  <c r="AG141" i="9"/>
  <c r="AD141" i="9"/>
  <c r="AC141" i="9"/>
  <c r="X141" i="9"/>
  <c r="W141" i="9"/>
  <c r="V141" i="9"/>
  <c r="Z141" i="9" s="1"/>
  <c r="Y141" i="9" s="1"/>
  <c r="AI140" i="9"/>
  <c r="AC140" i="9"/>
  <c r="W140" i="9"/>
  <c r="X140" i="9" s="1"/>
  <c r="AG140" i="9" s="1"/>
  <c r="V140" i="9"/>
  <c r="AD140" i="9" s="1"/>
  <c r="AI139" i="9"/>
  <c r="AD139" i="9"/>
  <c r="AC139" i="9"/>
  <c r="W139" i="9"/>
  <c r="X139" i="9" s="1"/>
  <c r="AG139" i="9" s="1"/>
  <c r="V139" i="9"/>
  <c r="Z139" i="9" s="1"/>
  <c r="Y139" i="9" s="1"/>
  <c r="AI138" i="9"/>
  <c r="AD138" i="9"/>
  <c r="AC138" i="9"/>
  <c r="W138" i="9"/>
  <c r="X138" i="9" s="1"/>
  <c r="AG138" i="9" s="1"/>
  <c r="V138" i="9"/>
  <c r="AI137" i="9"/>
  <c r="AD137" i="9"/>
  <c r="AC137" i="9"/>
  <c r="X137" i="9"/>
  <c r="AG137" i="9" s="1"/>
  <c r="W137" i="9"/>
  <c r="V137" i="9"/>
  <c r="Z137" i="9" s="1"/>
  <c r="Y137" i="9" s="1"/>
  <c r="AI136" i="9"/>
  <c r="AC136" i="9"/>
  <c r="W136" i="9"/>
  <c r="X136" i="9" s="1"/>
  <c r="AG136" i="9" s="1"/>
  <c r="V136" i="9"/>
  <c r="AD136" i="9" s="1"/>
  <c r="AI135" i="9"/>
  <c r="AC135" i="9"/>
  <c r="W135" i="9"/>
  <c r="X135" i="9" s="1"/>
  <c r="AG135" i="9" s="1"/>
  <c r="V135" i="9"/>
  <c r="Z135" i="9" s="1"/>
  <c r="Y135" i="9" s="1"/>
  <c r="AI134" i="9"/>
  <c r="AC134" i="9"/>
  <c r="AD134" i="9" s="1"/>
  <c r="W134" i="9"/>
  <c r="X134" i="9" s="1"/>
  <c r="AG134" i="9" s="1"/>
  <c r="V134" i="9"/>
  <c r="AI133" i="9"/>
  <c r="AC133" i="9"/>
  <c r="AI132" i="9"/>
  <c r="AG132" i="9"/>
  <c r="AD132" i="9"/>
  <c r="AC132" i="9"/>
  <c r="X132" i="9"/>
  <c r="W132" i="9"/>
  <c r="V132" i="9"/>
  <c r="Z132" i="9" s="1"/>
  <c r="Y132" i="9" s="1"/>
  <c r="AI131" i="9"/>
  <c r="AC131" i="9"/>
  <c r="W131" i="9"/>
  <c r="X131" i="9" s="1"/>
  <c r="AG131" i="9" s="1"/>
  <c r="V131" i="9"/>
  <c r="AD131" i="9" s="1"/>
  <c r="AI130" i="9"/>
  <c r="AD130" i="9"/>
  <c r="AC130" i="9"/>
  <c r="W130" i="9"/>
  <c r="X130" i="9" s="1"/>
  <c r="AG130" i="9" s="1"/>
  <c r="V130" i="9"/>
  <c r="AI129" i="9"/>
  <c r="AD129" i="9"/>
  <c r="AC129" i="9"/>
  <c r="W129" i="9"/>
  <c r="X129" i="9" s="1"/>
  <c r="AG129" i="9" s="1"/>
  <c r="V129" i="9"/>
  <c r="AI128" i="9"/>
  <c r="AD128" i="9"/>
  <c r="AC128" i="9"/>
  <c r="X128" i="9"/>
  <c r="AG128" i="9" s="1"/>
  <c r="W128" i="9"/>
  <c r="V128" i="9"/>
  <c r="Z128" i="9" s="1"/>
  <c r="Y128" i="9" s="1"/>
  <c r="AI127" i="9"/>
  <c r="AC127" i="9"/>
  <c r="W127" i="9"/>
  <c r="X127" i="9" s="1"/>
  <c r="AG127" i="9" s="1"/>
  <c r="V127" i="9"/>
  <c r="AD127" i="9" s="1"/>
  <c r="AI126" i="9"/>
  <c r="AC126" i="9"/>
  <c r="W126" i="9"/>
  <c r="X126" i="9" s="1"/>
  <c r="AG126" i="9" s="1"/>
  <c r="V126" i="9"/>
  <c r="Z126" i="9" s="1"/>
  <c r="Y126" i="9" s="1"/>
  <c r="AI125" i="9"/>
  <c r="AC125" i="9"/>
  <c r="AD125" i="9" s="1"/>
  <c r="W125" i="9"/>
  <c r="X125" i="9" s="1"/>
  <c r="AG125" i="9" s="1"/>
  <c r="V125" i="9"/>
  <c r="AI124" i="9"/>
  <c r="AC124" i="9"/>
  <c r="X124" i="9"/>
  <c r="AG124" i="9" s="1"/>
  <c r="W124" i="9"/>
  <c r="V124" i="9"/>
  <c r="Z124" i="9" s="1"/>
  <c r="Y124" i="9" s="1"/>
  <c r="AI123" i="9"/>
  <c r="AC123" i="9"/>
  <c r="W123" i="9"/>
  <c r="X123" i="9" s="1"/>
  <c r="AG123" i="9" s="1"/>
  <c r="V123" i="9"/>
  <c r="AD123" i="9" s="1"/>
  <c r="AI122" i="9"/>
  <c r="AC122" i="9"/>
  <c r="Z122" i="9"/>
  <c r="Y122" i="9" s="1"/>
  <c r="X122" i="9"/>
  <c r="AG122" i="9" s="1"/>
  <c r="W122" i="9"/>
  <c r="V122" i="9"/>
  <c r="AD122" i="9" s="1"/>
  <c r="AI121" i="9"/>
  <c r="AC121" i="9"/>
  <c r="AD121" i="9" s="1"/>
  <c r="X121" i="9"/>
  <c r="AG121" i="9" s="1"/>
  <c r="W121" i="9"/>
  <c r="V121" i="9"/>
  <c r="AI120" i="9"/>
  <c r="AG120" i="9" s="1"/>
  <c r="AC120" i="9"/>
  <c r="X120" i="9"/>
  <c r="W120" i="9"/>
  <c r="V120" i="9"/>
  <c r="AD120" i="9" s="1"/>
  <c r="AI119" i="9"/>
  <c r="AC119" i="9"/>
  <c r="W119" i="9"/>
  <c r="X119" i="9" s="1"/>
  <c r="AG119" i="9" s="1"/>
  <c r="V119" i="9"/>
  <c r="AD119" i="9" s="1"/>
  <c r="AI118" i="9"/>
  <c r="AC118" i="9"/>
  <c r="W118" i="9"/>
  <c r="X118" i="9" s="1"/>
  <c r="AG118" i="9" s="1"/>
  <c r="V118" i="9"/>
  <c r="AI117" i="9"/>
  <c r="AD117" i="9"/>
  <c r="AC117" i="9"/>
  <c r="X117" i="9"/>
  <c r="AG117" i="9" s="1"/>
  <c r="W117" i="9"/>
  <c r="V117" i="9"/>
  <c r="Z117" i="9" s="1"/>
  <c r="Y117" i="9" s="1"/>
  <c r="AI116" i="9"/>
  <c r="AG116" i="9"/>
  <c r="AD116" i="9"/>
  <c r="AC116" i="9"/>
  <c r="X116" i="9"/>
  <c r="W116" i="9"/>
  <c r="V116" i="9"/>
  <c r="Z116" i="9" s="1"/>
  <c r="Y116" i="9" s="1"/>
  <c r="AI115" i="9"/>
  <c r="AC115" i="9"/>
  <c r="W115" i="9"/>
  <c r="X115" i="9" s="1"/>
  <c r="V115" i="9"/>
  <c r="AD115" i="9" s="1"/>
  <c r="AI114" i="9"/>
  <c r="AC114" i="9"/>
  <c r="W114" i="9"/>
  <c r="X114" i="9" s="1"/>
  <c r="AG114" i="9" s="1"/>
  <c r="V114" i="9"/>
  <c r="AI113" i="9"/>
  <c r="AD113" i="9"/>
  <c r="AC113" i="9"/>
  <c r="X113" i="9"/>
  <c r="AG113" i="9" s="1"/>
  <c r="W113" i="9"/>
  <c r="V113" i="9"/>
  <c r="Z113" i="9" s="1"/>
  <c r="Y113" i="9" s="1"/>
  <c r="AI112" i="9"/>
  <c r="AG112" i="9"/>
  <c r="AD112" i="9"/>
  <c r="AC112" i="9"/>
  <c r="X112" i="9"/>
  <c r="W112" i="9"/>
  <c r="V112" i="9"/>
  <c r="Z112" i="9" s="1"/>
  <c r="Y112" i="9" s="1"/>
  <c r="AI111" i="9"/>
  <c r="AC111" i="9"/>
  <c r="W111" i="9"/>
  <c r="X111" i="9" s="1"/>
  <c r="AG111" i="9" s="1"/>
  <c r="V111" i="9"/>
  <c r="Z111" i="9" s="1"/>
  <c r="Y111" i="9" s="1"/>
  <c r="AI110" i="9"/>
  <c r="AC110" i="9"/>
  <c r="W110" i="9"/>
  <c r="X110" i="9" s="1"/>
  <c r="AG110" i="9" s="1"/>
  <c r="V110" i="9"/>
  <c r="Z110" i="9" s="1"/>
  <c r="Y110" i="9" s="1"/>
  <c r="AI109" i="9"/>
  <c r="AD109" i="9"/>
  <c r="AC109" i="9"/>
  <c r="X109" i="9"/>
  <c r="AG109" i="9" s="1"/>
  <c r="W109" i="9"/>
  <c r="V109" i="9"/>
  <c r="Z109" i="9" s="1"/>
  <c r="Y109" i="9" s="1"/>
  <c r="AI108" i="9"/>
  <c r="AG108" i="9"/>
  <c r="AD108" i="9"/>
  <c r="AC108" i="9"/>
  <c r="X108" i="9"/>
  <c r="W108" i="9"/>
  <c r="V108" i="9"/>
  <c r="Z108" i="9" s="1"/>
  <c r="Y108" i="9" s="1"/>
  <c r="AI107" i="9"/>
  <c r="AC107" i="9"/>
  <c r="W107" i="9"/>
  <c r="X107" i="9" s="1"/>
  <c r="V107" i="9"/>
  <c r="AD107" i="9" s="1"/>
  <c r="AI106" i="9"/>
  <c r="AC106" i="9"/>
  <c r="W106" i="9"/>
  <c r="X106" i="9" s="1"/>
  <c r="AG106" i="9" s="1"/>
  <c r="V106" i="9"/>
  <c r="Z106" i="9" s="1"/>
  <c r="Y106" i="9" s="1"/>
  <c r="AI105" i="9"/>
  <c r="AD105" i="9"/>
  <c r="AC105" i="9"/>
  <c r="X105" i="9"/>
  <c r="AG105" i="9" s="1"/>
  <c r="W105" i="9"/>
  <c r="V105" i="9"/>
  <c r="Z105" i="9" s="1"/>
  <c r="Y105" i="9" s="1"/>
  <c r="AI104" i="9"/>
  <c r="AG104" i="9"/>
  <c r="AD104" i="9"/>
  <c r="AC104" i="9"/>
  <c r="X104" i="9"/>
  <c r="W104" i="9"/>
  <c r="V104" i="9"/>
  <c r="Z104" i="9" s="1"/>
  <c r="Y104" i="9" s="1"/>
  <c r="AI103" i="9"/>
  <c r="AC103" i="9"/>
  <c r="W103" i="9"/>
  <c r="X103" i="9" s="1"/>
  <c r="V103" i="9"/>
  <c r="AD103" i="9" s="1"/>
  <c r="AI102" i="9"/>
  <c r="AC102" i="9"/>
  <c r="W102" i="9"/>
  <c r="X102" i="9" s="1"/>
  <c r="AG102" i="9" s="1"/>
  <c r="V102" i="9"/>
  <c r="AI101" i="9"/>
  <c r="AD101" i="9"/>
  <c r="AC101" i="9"/>
  <c r="X101" i="9"/>
  <c r="AG101" i="9" s="1"/>
  <c r="W101" i="9"/>
  <c r="V101" i="9"/>
  <c r="Z101" i="9" s="1"/>
  <c r="Y101" i="9" s="1"/>
  <c r="AI100" i="9"/>
  <c r="AG100" i="9"/>
  <c r="AD100" i="9"/>
  <c r="AC100" i="9"/>
  <c r="X100" i="9"/>
  <c r="W100" i="9"/>
  <c r="V100" i="9"/>
  <c r="Z100" i="9" s="1"/>
  <c r="Y100" i="9" s="1"/>
  <c r="AI99" i="9"/>
  <c r="AC99" i="9"/>
  <c r="W99" i="9"/>
  <c r="X99" i="9" s="1"/>
  <c r="AG99" i="9" s="1"/>
  <c r="V99" i="9"/>
  <c r="AD99" i="9" s="1"/>
  <c r="AI98" i="9"/>
  <c r="AC98" i="9"/>
  <c r="W98" i="9"/>
  <c r="X98" i="9" s="1"/>
  <c r="AG98" i="9" s="1"/>
  <c r="V98" i="9"/>
  <c r="AI97" i="9"/>
  <c r="AD97" i="9"/>
  <c r="AC97" i="9"/>
  <c r="X97" i="9"/>
  <c r="AG97" i="9" s="1"/>
  <c r="W97" i="9"/>
  <c r="V97" i="9"/>
  <c r="Z97" i="9" s="1"/>
  <c r="Y97" i="9" s="1"/>
  <c r="AI96" i="9"/>
  <c r="AG96" i="9"/>
  <c r="AD96" i="9"/>
  <c r="AC96" i="9"/>
  <c r="X96" i="9"/>
  <c r="W96" i="9"/>
  <c r="V96" i="9"/>
  <c r="Z96" i="9" s="1"/>
  <c r="Y96" i="9" s="1"/>
  <c r="AI95" i="9"/>
  <c r="AC95" i="9"/>
  <c r="W95" i="9"/>
  <c r="X95" i="9" s="1"/>
  <c r="AG95" i="9" s="1"/>
  <c r="V95" i="9"/>
  <c r="AD95" i="9" s="1"/>
  <c r="AI94" i="9"/>
  <c r="AC94" i="9"/>
  <c r="W94" i="9"/>
  <c r="X94" i="9" s="1"/>
  <c r="AG94" i="9" s="1"/>
  <c r="V94" i="9"/>
  <c r="Z94" i="9" s="1"/>
  <c r="Y94" i="9" s="1"/>
  <c r="AI93" i="9"/>
  <c r="AD93" i="9"/>
  <c r="AC93" i="9"/>
  <c r="X93" i="9"/>
  <c r="AG93" i="9" s="1"/>
  <c r="W93" i="9"/>
  <c r="V93" i="9"/>
  <c r="Z93" i="9" s="1"/>
  <c r="Y93" i="9" s="1"/>
  <c r="AI92" i="9"/>
  <c r="AG92" i="9"/>
  <c r="AD92" i="9"/>
  <c r="AC92" i="9"/>
  <c r="X92" i="9"/>
  <c r="W92" i="9"/>
  <c r="V92" i="9"/>
  <c r="Z92" i="9" s="1"/>
  <c r="Y92" i="9" s="1"/>
  <c r="AI91" i="9"/>
  <c r="AC91" i="9"/>
  <c r="W91" i="9"/>
  <c r="X91" i="9" s="1"/>
  <c r="AG91" i="9" s="1"/>
  <c r="V91" i="9"/>
  <c r="AD91" i="9" s="1"/>
  <c r="AI90" i="9"/>
  <c r="AC90" i="9"/>
  <c r="W90" i="9"/>
  <c r="X90" i="9" s="1"/>
  <c r="AG90" i="9" s="1"/>
  <c r="V90" i="9"/>
  <c r="Z90" i="9" s="1"/>
  <c r="Y90" i="9" s="1"/>
  <c r="AI89" i="9"/>
  <c r="AD89" i="9"/>
  <c r="AC89" i="9"/>
  <c r="X89" i="9"/>
  <c r="AG89" i="9" s="1"/>
  <c r="W89" i="9"/>
  <c r="V89" i="9"/>
  <c r="Z89" i="9" s="1"/>
  <c r="Y89" i="9" s="1"/>
  <c r="AI88" i="9"/>
  <c r="AG88" i="9"/>
  <c r="AD88" i="9"/>
  <c r="AC88" i="9"/>
  <c r="X88" i="9"/>
  <c r="W88" i="9"/>
  <c r="V88" i="9"/>
  <c r="Z88" i="9" s="1"/>
  <c r="Y88" i="9" s="1"/>
  <c r="AI87" i="9"/>
  <c r="AC87" i="9"/>
  <c r="W87" i="9"/>
  <c r="X87" i="9" s="1"/>
  <c r="AG87" i="9" s="1"/>
  <c r="V87" i="9"/>
  <c r="AI86" i="9"/>
  <c r="AC86" i="9"/>
  <c r="W86" i="9"/>
  <c r="X86" i="9" s="1"/>
  <c r="AG86" i="9" s="1"/>
  <c r="V86" i="9"/>
  <c r="AI85" i="9"/>
  <c r="AD85" i="9"/>
  <c r="AC85" i="9"/>
  <c r="X85" i="9"/>
  <c r="AG85" i="9" s="1"/>
  <c r="W85" i="9"/>
  <c r="V85" i="9"/>
  <c r="Z85" i="9" s="1"/>
  <c r="Y85" i="9" s="1"/>
  <c r="AI84" i="9"/>
  <c r="AG84" i="9"/>
  <c r="AD84" i="9"/>
  <c r="AC84" i="9"/>
  <c r="X84" i="9"/>
  <c r="W84" i="9"/>
  <c r="V84" i="9"/>
  <c r="Z84" i="9" s="1"/>
  <c r="Y84" i="9" s="1"/>
  <c r="AI83" i="9"/>
  <c r="AC83" i="9"/>
  <c r="W83" i="9"/>
  <c r="X83" i="9" s="1"/>
  <c r="V83" i="9"/>
  <c r="AD83" i="9" s="1"/>
  <c r="AI82" i="9"/>
  <c r="AC82" i="9"/>
  <c r="W82" i="9"/>
  <c r="X82" i="9" s="1"/>
  <c r="AG82" i="9" s="1"/>
  <c r="V82" i="9"/>
  <c r="AI81" i="9"/>
  <c r="AD81" i="9"/>
  <c r="AC81" i="9"/>
  <c r="X81" i="9"/>
  <c r="AG81" i="9" s="1"/>
  <c r="W81" i="9"/>
  <c r="V81" i="9"/>
  <c r="Z81" i="9" s="1"/>
  <c r="Y81" i="9" s="1"/>
  <c r="AI80" i="9"/>
  <c r="AG80" i="9"/>
  <c r="AD80" i="9"/>
  <c r="AC80" i="9"/>
  <c r="X80" i="9"/>
  <c r="W80" i="9"/>
  <c r="V80" i="9"/>
  <c r="Z80" i="9" s="1"/>
  <c r="Y80" i="9" s="1"/>
  <c r="AI79" i="9"/>
  <c r="AC79" i="9"/>
  <c r="W79" i="9"/>
  <c r="X79" i="9" s="1"/>
  <c r="AG79" i="9" s="1"/>
  <c r="V79" i="9"/>
  <c r="AD79" i="9" s="1"/>
  <c r="AI78" i="9"/>
  <c r="AC78" i="9"/>
  <c r="W78" i="9"/>
  <c r="X78" i="9" s="1"/>
  <c r="AG78" i="9" s="1"/>
  <c r="V78" i="9"/>
  <c r="Z78" i="9" s="1"/>
  <c r="Y78" i="9" s="1"/>
  <c r="AI77" i="9"/>
  <c r="AD77" i="9"/>
  <c r="AC77" i="9"/>
  <c r="X77" i="9"/>
  <c r="AG77" i="9" s="1"/>
  <c r="W77" i="9"/>
  <c r="V77" i="9"/>
  <c r="Z77" i="9" s="1"/>
  <c r="Y77" i="9" s="1"/>
  <c r="AI76" i="9"/>
  <c r="AG76" i="9"/>
  <c r="AD76" i="9"/>
  <c r="AC76" i="9"/>
  <c r="X76" i="9"/>
  <c r="W76" i="9"/>
  <c r="V76" i="9"/>
  <c r="Z76" i="9" s="1"/>
  <c r="Y76" i="9" s="1"/>
  <c r="AI75" i="9"/>
  <c r="AC75" i="9"/>
  <c r="W75" i="9"/>
  <c r="X75" i="9" s="1"/>
  <c r="AG75" i="9" s="1"/>
  <c r="V75" i="9"/>
  <c r="AD75" i="9" s="1"/>
  <c r="AI74" i="9"/>
  <c r="AC74" i="9"/>
  <c r="W74" i="9"/>
  <c r="X74" i="9" s="1"/>
  <c r="AG74" i="9" s="1"/>
  <c r="V74" i="9"/>
  <c r="Z74" i="9" s="1"/>
  <c r="Y74" i="9" s="1"/>
  <c r="AI73" i="9"/>
  <c r="AD73" i="9"/>
  <c r="AC73" i="9"/>
  <c r="X73" i="9"/>
  <c r="AG73" i="9" s="1"/>
  <c r="W73" i="9"/>
  <c r="V73" i="9"/>
  <c r="Z73" i="9" s="1"/>
  <c r="Y73" i="9" s="1"/>
  <c r="AI72" i="9"/>
  <c r="AG72" i="9"/>
  <c r="AD72" i="9"/>
  <c r="AC72" i="9"/>
  <c r="X72" i="9"/>
  <c r="W72" i="9"/>
  <c r="V72" i="9"/>
  <c r="Z72" i="9" s="1"/>
  <c r="Y72" i="9" s="1"/>
  <c r="AI71" i="9"/>
  <c r="AC71" i="9"/>
  <c r="W71" i="9"/>
  <c r="X71" i="9" s="1"/>
  <c r="AG71" i="9" s="1"/>
  <c r="V71" i="9"/>
  <c r="AD71" i="9" s="1"/>
  <c r="AI70" i="9"/>
  <c r="AC70" i="9"/>
  <c r="W70" i="9"/>
  <c r="X70" i="9" s="1"/>
  <c r="AG70" i="9" s="1"/>
  <c r="V70" i="9"/>
  <c r="AI69" i="9"/>
  <c r="AD69" i="9"/>
  <c r="AC69" i="9"/>
  <c r="V69" i="9"/>
  <c r="AI68" i="9"/>
  <c r="AG68" i="9"/>
  <c r="AD68" i="9"/>
  <c r="AC68" i="9"/>
  <c r="X68" i="9"/>
  <c r="W68" i="9"/>
  <c r="V68" i="9"/>
  <c r="Z68" i="9" s="1"/>
  <c r="Y68" i="9" s="1"/>
  <c r="AI67" i="9"/>
  <c r="AC67" i="9"/>
  <c r="W67" i="9"/>
  <c r="X67" i="9" s="1"/>
  <c r="AG67" i="9" s="1"/>
  <c r="V67" i="9"/>
  <c r="AD67" i="9" s="1"/>
  <c r="AI66" i="9"/>
  <c r="AC66" i="9"/>
  <c r="W66" i="9"/>
  <c r="X66" i="9" s="1"/>
  <c r="AG66" i="9" s="1"/>
  <c r="V66" i="9"/>
  <c r="AI65" i="9"/>
  <c r="AD65" i="9"/>
  <c r="AC65" i="9"/>
  <c r="W65" i="9"/>
  <c r="X65" i="9" s="1"/>
  <c r="AG65" i="9" s="1"/>
  <c r="V65" i="9"/>
  <c r="AI64" i="9"/>
  <c r="AD64" i="9"/>
  <c r="AC64" i="9"/>
  <c r="W64" i="9"/>
  <c r="X64" i="9" s="1"/>
  <c r="AG64" i="9" s="1"/>
  <c r="V64" i="9"/>
  <c r="AI63" i="9"/>
  <c r="AC63" i="9"/>
  <c r="W63" i="9"/>
  <c r="X63" i="9" s="1"/>
  <c r="AG63" i="9" s="1"/>
  <c r="V63" i="9"/>
  <c r="Z63" i="9" s="1"/>
  <c r="Y63" i="9" s="1"/>
  <c r="AI62" i="9"/>
  <c r="AC62" i="9"/>
  <c r="W62" i="9"/>
  <c r="X62" i="9" s="1"/>
  <c r="AG62" i="9" s="1"/>
  <c r="V62" i="9"/>
  <c r="Z62" i="9" s="1"/>
  <c r="Y62" i="9" s="1"/>
  <c r="AI61" i="9"/>
  <c r="AD61" i="9"/>
  <c r="AC61" i="9"/>
  <c r="X61" i="9"/>
  <c r="AG61" i="9" s="1"/>
  <c r="W61" i="9"/>
  <c r="V61" i="9"/>
  <c r="Z61" i="9" s="1"/>
  <c r="Y61" i="9" s="1"/>
  <c r="AI60" i="9"/>
  <c r="AD60" i="9"/>
  <c r="AC60" i="9"/>
  <c r="W60" i="9"/>
  <c r="X60" i="9" s="1"/>
  <c r="AG60" i="9" s="1"/>
  <c r="V60" i="9"/>
  <c r="AI59" i="9"/>
  <c r="AC59" i="9"/>
  <c r="W59" i="9"/>
  <c r="X59" i="9" s="1"/>
  <c r="AG59" i="9" s="1"/>
  <c r="V59" i="9"/>
  <c r="Z59" i="9" s="1"/>
  <c r="Y59" i="9" s="1"/>
  <c r="AI58" i="9"/>
  <c r="AC58" i="9"/>
  <c r="W58" i="9"/>
  <c r="X58" i="9" s="1"/>
  <c r="AG58" i="9" s="1"/>
  <c r="V58" i="9"/>
  <c r="Z58" i="9" s="1"/>
  <c r="Y58" i="9" s="1"/>
  <c r="AI57" i="9"/>
  <c r="AD57" i="9"/>
  <c r="AC57" i="9"/>
  <c r="X57" i="9"/>
  <c r="AG57" i="9" s="1"/>
  <c r="W57" i="9"/>
  <c r="V57" i="9"/>
  <c r="Z57" i="9" s="1"/>
  <c r="Y57" i="9" s="1"/>
  <c r="AI56" i="9"/>
  <c r="AG56" i="9"/>
  <c r="AD56" i="9"/>
  <c r="AC56" i="9"/>
  <c r="X56" i="9"/>
  <c r="W56" i="9"/>
  <c r="V56" i="9"/>
  <c r="Z56" i="9" s="1"/>
  <c r="Y56" i="9" s="1"/>
  <c r="AI55" i="9"/>
  <c r="AC55" i="9"/>
  <c r="W55" i="9"/>
  <c r="X55" i="9" s="1"/>
  <c r="AG55" i="9" s="1"/>
  <c r="V55" i="9"/>
  <c r="AD55" i="9" s="1"/>
  <c r="AI54" i="9"/>
  <c r="AC54" i="9"/>
  <c r="W54" i="9"/>
  <c r="X54" i="9" s="1"/>
  <c r="AG54" i="9" s="1"/>
  <c r="V54" i="9"/>
  <c r="AI53" i="9"/>
  <c r="AD53" i="9"/>
  <c r="AC53" i="9"/>
  <c r="X53" i="9"/>
  <c r="AG53" i="9" s="1"/>
  <c r="W53" i="9"/>
  <c r="V53" i="9"/>
  <c r="Z53" i="9" s="1"/>
  <c r="Y53" i="9" s="1"/>
  <c r="AI52" i="9"/>
  <c r="AG52" i="9"/>
  <c r="AD52" i="9"/>
  <c r="AC52" i="9"/>
  <c r="X52" i="9"/>
  <c r="W52" i="9"/>
  <c r="V52" i="9"/>
  <c r="Z52" i="9" s="1"/>
  <c r="Y52" i="9" s="1"/>
  <c r="AI51" i="9"/>
  <c r="AC51" i="9"/>
  <c r="W51" i="9"/>
  <c r="X51" i="9" s="1"/>
  <c r="AG51" i="9" s="1"/>
  <c r="V51" i="9"/>
  <c r="AI50" i="9"/>
  <c r="AC50" i="9"/>
  <c r="W50" i="9"/>
  <c r="X50" i="9" s="1"/>
  <c r="AG50" i="9" s="1"/>
  <c r="V50" i="9"/>
  <c r="AI49" i="9"/>
  <c r="AD49" i="9"/>
  <c r="AC49" i="9"/>
  <c r="W49" i="9"/>
  <c r="X49" i="9" s="1"/>
  <c r="AG49" i="9" s="1"/>
  <c r="V49" i="9"/>
  <c r="AI48" i="9"/>
  <c r="AG48" i="9"/>
  <c r="AD48" i="9"/>
  <c r="AC48" i="9"/>
  <c r="X48" i="9"/>
  <c r="W48" i="9"/>
  <c r="V48" i="9"/>
  <c r="Z48" i="9" s="1"/>
  <c r="Y48" i="9" s="1"/>
  <c r="AI47" i="9"/>
  <c r="AC47" i="9"/>
  <c r="W47" i="9"/>
  <c r="X47" i="9" s="1"/>
  <c r="AG47" i="9" s="1"/>
  <c r="V47" i="9"/>
  <c r="AD47" i="9" s="1"/>
  <c r="AI46" i="9"/>
  <c r="AC46" i="9"/>
  <c r="W46" i="9"/>
  <c r="X46" i="9" s="1"/>
  <c r="AG46" i="9" s="1"/>
  <c r="V46" i="9"/>
  <c r="Z46" i="9" s="1"/>
  <c r="Y46" i="9" s="1"/>
  <c r="AI45" i="9"/>
  <c r="AD45" i="9"/>
  <c r="AC45" i="9"/>
  <c r="W45" i="9"/>
  <c r="X45" i="9" s="1"/>
  <c r="AG45" i="9" s="1"/>
  <c r="V45" i="9"/>
  <c r="AI44" i="9"/>
  <c r="AD44" i="9"/>
  <c r="AC44" i="9"/>
  <c r="W44" i="9"/>
  <c r="X44" i="9" s="1"/>
  <c r="AG44" i="9" s="1"/>
  <c r="V44" i="9"/>
  <c r="AI43" i="9"/>
  <c r="AC43" i="9"/>
  <c r="W43" i="9"/>
  <c r="X43" i="9" s="1"/>
  <c r="V43" i="9"/>
  <c r="AD43" i="9" s="1"/>
  <c r="AI42" i="9"/>
  <c r="AC42" i="9"/>
  <c r="W42" i="9"/>
  <c r="X42" i="9" s="1"/>
  <c r="AG42" i="9" s="1"/>
  <c r="V42" i="9"/>
  <c r="Z42" i="9" s="1"/>
  <c r="Y42" i="9" s="1"/>
  <c r="AI41" i="9"/>
  <c r="AD41" i="9"/>
  <c r="AC41" i="9"/>
  <c r="V41" i="9"/>
  <c r="AI40" i="9"/>
  <c r="AG40" i="9"/>
  <c r="AD40" i="9"/>
  <c r="AC40" i="9"/>
  <c r="X40" i="9"/>
  <c r="W40" i="9"/>
  <c r="V40" i="9"/>
  <c r="Z40" i="9" s="1"/>
  <c r="Y40" i="9" s="1"/>
  <c r="AI39" i="9"/>
  <c r="AC39" i="9"/>
  <c r="W39" i="9"/>
  <c r="X39" i="9" s="1"/>
  <c r="AG39" i="9" s="1"/>
  <c r="V39" i="9"/>
  <c r="AD39" i="9" s="1"/>
  <c r="AI38" i="9"/>
  <c r="AC38" i="9"/>
  <c r="AI37" i="9"/>
  <c r="AC37" i="9"/>
  <c r="AD37" i="9" s="1"/>
  <c r="W37" i="9"/>
  <c r="X37" i="9" s="1"/>
  <c r="AI36" i="9"/>
  <c r="AC36" i="9"/>
  <c r="AD36" i="9" s="1"/>
  <c r="W36" i="9"/>
  <c r="X36" i="9" s="1"/>
  <c r="AI35" i="9"/>
  <c r="AC35" i="9"/>
  <c r="AD35" i="9" s="1"/>
  <c r="W35" i="9"/>
  <c r="X35" i="9" s="1"/>
  <c r="AI34" i="9"/>
  <c r="AC34" i="9"/>
  <c r="AD34" i="9" s="1"/>
  <c r="W34" i="9"/>
  <c r="X34" i="9" s="1"/>
  <c r="AI33" i="9"/>
  <c r="AC33" i="9"/>
  <c r="AD33" i="9" s="1"/>
  <c r="W33" i="9"/>
  <c r="X33" i="9" s="1"/>
  <c r="AI32" i="9"/>
  <c r="AC32" i="9"/>
  <c r="AD32" i="9" s="1"/>
  <c r="W32" i="9"/>
  <c r="X32" i="9" s="1"/>
  <c r="AI31" i="9"/>
  <c r="AG31" i="9" s="1"/>
  <c r="AC31" i="9"/>
  <c r="AD31" i="9" s="1"/>
  <c r="Z31" i="9"/>
  <c r="Y31" i="9" s="1"/>
  <c r="W31" i="9"/>
  <c r="AI30" i="9"/>
  <c r="AC30" i="9"/>
  <c r="AD30" i="9" s="1"/>
  <c r="W30" i="9"/>
  <c r="X30" i="9" s="1"/>
  <c r="AG30" i="9" s="1"/>
  <c r="AI29" i="9"/>
  <c r="AC29" i="9"/>
  <c r="AD29" i="9" s="1"/>
  <c r="W29" i="9"/>
  <c r="X29" i="9" s="1"/>
  <c r="AG29" i="9" s="1"/>
  <c r="AI28" i="9"/>
  <c r="AC28" i="9"/>
  <c r="AD28" i="9" s="1"/>
  <c r="W28" i="9"/>
  <c r="X28" i="9" s="1"/>
  <c r="AG28" i="9" s="1"/>
  <c r="AI27" i="9"/>
  <c r="AC27" i="9"/>
  <c r="AD27" i="9" s="1"/>
  <c r="W27" i="9"/>
  <c r="X27" i="9" s="1"/>
  <c r="AG27" i="9" s="1"/>
  <c r="AI26" i="9"/>
  <c r="AC26" i="9"/>
  <c r="AD26" i="9" s="1"/>
  <c r="W26" i="9"/>
  <c r="X26" i="9" s="1"/>
  <c r="AG26" i="9" s="1"/>
  <c r="AI25" i="9"/>
  <c r="AC25" i="9"/>
  <c r="AD25" i="9" s="1"/>
  <c r="W25" i="9"/>
  <c r="X25" i="9" s="1"/>
  <c r="AG25" i="9" s="1"/>
  <c r="AI24" i="9"/>
  <c r="AC24" i="9"/>
  <c r="AD24" i="9" s="1"/>
  <c r="W24" i="9"/>
  <c r="X24" i="9" s="1"/>
  <c r="AG24" i="9" s="1"/>
  <c r="AI23" i="9"/>
  <c r="AC23" i="9"/>
  <c r="AD23" i="9" s="1"/>
  <c r="W23" i="9"/>
  <c r="X23" i="9" s="1"/>
  <c r="AG23" i="9" s="1"/>
  <c r="AI22" i="9"/>
  <c r="AC22" i="9"/>
  <c r="AD22" i="9" s="1"/>
  <c r="W22" i="9"/>
  <c r="X22" i="9" s="1"/>
  <c r="AG22" i="9" s="1"/>
  <c r="AI21" i="9"/>
  <c r="AC21" i="9"/>
  <c r="AD21" i="9" s="1"/>
  <c r="W21" i="9"/>
  <c r="X21" i="9" s="1"/>
  <c r="AG21" i="9" s="1"/>
  <c r="AI20" i="9"/>
  <c r="AC20" i="9"/>
  <c r="AD20" i="9" s="1"/>
  <c r="W20" i="9"/>
  <c r="X20" i="9" s="1"/>
  <c r="AG20" i="9" s="1"/>
  <c r="AI19" i="9"/>
  <c r="AC19" i="9"/>
  <c r="AD19" i="9" s="1"/>
  <c r="W19" i="9"/>
  <c r="X19" i="9" s="1"/>
  <c r="AG19" i="9" s="1"/>
  <c r="AI18" i="9"/>
  <c r="AC18" i="9"/>
  <c r="AD18" i="9" s="1"/>
  <c r="W18" i="9"/>
  <c r="X18" i="9" s="1"/>
  <c r="AG18" i="9" s="1"/>
  <c r="AI17" i="9"/>
  <c r="AC17" i="9"/>
  <c r="AD17" i="9" s="1"/>
  <c r="W17" i="9"/>
  <c r="X17" i="9" s="1"/>
  <c r="AG17" i="9" s="1"/>
  <c r="AI16" i="9"/>
  <c r="AC16" i="9"/>
  <c r="AD16" i="9" s="1"/>
  <c r="W16" i="9"/>
  <c r="X16" i="9" s="1"/>
  <c r="AG16" i="9" s="1"/>
  <c r="AI15" i="9"/>
  <c r="AC15" i="9"/>
  <c r="AD15" i="9" s="1"/>
  <c r="W15" i="9"/>
  <c r="X15" i="9" s="1"/>
  <c r="AG15" i="9" s="1"/>
  <c r="AI14" i="9"/>
  <c r="AC14" i="9"/>
  <c r="AD14" i="9" s="1"/>
  <c r="W14" i="9"/>
  <c r="X14" i="9" s="1"/>
  <c r="AG14" i="9" s="1"/>
  <c r="AI13" i="9"/>
  <c r="AC13" i="9"/>
  <c r="AD13" i="9" s="1"/>
  <c r="W13" i="9"/>
  <c r="X13" i="9" s="1"/>
  <c r="AG13" i="9" s="1"/>
  <c r="AI12" i="9"/>
  <c r="AC12" i="9"/>
  <c r="AD12" i="9" s="1"/>
  <c r="W12" i="9"/>
  <c r="X12" i="9" s="1"/>
  <c r="AG12" i="9" s="1"/>
  <c r="AI11" i="9"/>
  <c r="AC11" i="9"/>
  <c r="AD11" i="9" s="1"/>
  <c r="W11" i="9"/>
  <c r="X11" i="9" s="1"/>
  <c r="AG11" i="9" s="1"/>
  <c r="AI10" i="9"/>
  <c r="AC10" i="9"/>
  <c r="AD10" i="9" s="1"/>
  <c r="W10" i="9"/>
  <c r="X10" i="9" s="1"/>
  <c r="AG10" i="9" s="1"/>
  <c r="AC9" i="9"/>
  <c r="X495" i="13" l="1"/>
  <c r="AG495" i="13" s="1"/>
  <c r="Y495" i="13"/>
  <c r="Z264" i="11"/>
  <c r="Y264" i="11" s="1"/>
  <c r="Z85" i="11"/>
  <c r="Y85" i="11" s="1"/>
  <c r="Z119" i="11"/>
  <c r="Y119" i="11" s="1"/>
  <c r="AG481" i="11"/>
  <c r="Z161" i="11"/>
  <c r="Y161" i="11" s="1"/>
  <c r="Z318" i="11"/>
  <c r="Y318" i="11" s="1"/>
  <c r="AG381" i="11"/>
  <c r="AG229" i="11"/>
  <c r="AG425" i="11"/>
  <c r="Z425" i="11"/>
  <c r="Y425" i="11" s="1"/>
  <c r="AG301" i="11"/>
  <c r="Z301" i="11"/>
  <c r="Y301" i="11" s="1"/>
  <c r="Z254" i="11"/>
  <c r="Y254" i="11" s="1"/>
  <c r="AG254" i="11"/>
  <c r="Z462" i="11"/>
  <c r="Y462" i="11" s="1"/>
  <c r="AG462" i="11"/>
  <c r="AG72" i="11"/>
  <c r="Z72" i="11"/>
  <c r="Y72" i="11" s="1"/>
  <c r="Z51" i="11"/>
  <c r="Y51" i="11" s="1"/>
  <c r="Z67" i="11"/>
  <c r="Y67" i="11" s="1"/>
  <c r="Z131" i="11"/>
  <c r="Y131" i="11" s="1"/>
  <c r="Z143" i="11"/>
  <c r="Y143" i="11" s="1"/>
  <c r="Z138" i="11"/>
  <c r="Y138" i="11" s="1"/>
  <c r="Z148" i="11"/>
  <c r="Y148" i="11" s="1"/>
  <c r="AG460" i="11"/>
  <c r="Z493" i="11"/>
  <c r="Y493" i="11" s="1"/>
  <c r="Y492" i="11" s="1"/>
  <c r="W492" i="11" s="1"/>
  <c r="Z274" i="11"/>
  <c r="Y274" i="11" s="1"/>
  <c r="Z479" i="11"/>
  <c r="Y479" i="11" s="1"/>
  <c r="AG47" i="11"/>
  <c r="AG230" i="11"/>
  <c r="AG363" i="11"/>
  <c r="AG411" i="11"/>
  <c r="Z164" i="11"/>
  <c r="Y164" i="11" s="1"/>
  <c r="Z238" i="11"/>
  <c r="Y238" i="11" s="1"/>
  <c r="AG436" i="11"/>
  <c r="Z443" i="11"/>
  <c r="Y443" i="11" s="1"/>
  <c r="AG112" i="11"/>
  <c r="Z468" i="11"/>
  <c r="Y468" i="11" s="1"/>
  <c r="AG303" i="11"/>
  <c r="AG351" i="11"/>
  <c r="Z75" i="11"/>
  <c r="Y75" i="11" s="1"/>
  <c r="AG134" i="11"/>
  <c r="Z50" i="11"/>
  <c r="Y50" i="11" s="1"/>
  <c r="AG345" i="11"/>
  <c r="AG40" i="11"/>
  <c r="AG293" i="11"/>
  <c r="Z293" i="11"/>
  <c r="Y293" i="11" s="1"/>
  <c r="Z190" i="11"/>
  <c r="Y190" i="11" s="1"/>
  <c r="AG190" i="11"/>
  <c r="AG440" i="11"/>
  <c r="Z440" i="11"/>
  <c r="Y440" i="11" s="1"/>
  <c r="Z287" i="11"/>
  <c r="Y287" i="11" s="1"/>
  <c r="AG287" i="11"/>
  <c r="Z382" i="11"/>
  <c r="Y382" i="11" s="1"/>
  <c r="AG382" i="11"/>
  <c r="AG23" i="11"/>
  <c r="Z23" i="11"/>
  <c r="Y23" i="11" s="1"/>
  <c r="AG251" i="11"/>
  <c r="Z251" i="11"/>
  <c r="Y251" i="11" s="1"/>
  <c r="AG100" i="11"/>
  <c r="Z100" i="11"/>
  <c r="Y100" i="11" s="1"/>
  <c r="Z378" i="11"/>
  <c r="Y378" i="11" s="1"/>
  <c r="AG378" i="11"/>
  <c r="AG444" i="11"/>
  <c r="Z444" i="11"/>
  <c r="Y444" i="11" s="1"/>
  <c r="Z344" i="11"/>
  <c r="Y344" i="11" s="1"/>
  <c r="AG344" i="11"/>
  <c r="Z141" i="11"/>
  <c r="Y141" i="11" s="1"/>
  <c r="AG288" i="11"/>
  <c r="Z288" i="11"/>
  <c r="Y288" i="11" s="1"/>
  <c r="Z352" i="11"/>
  <c r="Y352" i="11" s="1"/>
  <c r="AG352" i="11"/>
  <c r="AG208" i="11"/>
  <c r="AG221" i="11"/>
  <c r="Z492" i="11"/>
  <c r="X492" i="11" s="1"/>
  <c r="AG492" i="11" s="1"/>
  <c r="AG416" i="11"/>
  <c r="Z488" i="11"/>
  <c r="Y488" i="11" s="1"/>
  <c r="AG420" i="11"/>
  <c r="AG455" i="11"/>
  <c r="AG151" i="11"/>
  <c r="AG235" i="11"/>
  <c r="Z235" i="11"/>
  <c r="Y235" i="11" s="1"/>
  <c r="AG326" i="11"/>
  <c r="Z326" i="11"/>
  <c r="Y326" i="11" s="1"/>
  <c r="Z66" i="11"/>
  <c r="Y66" i="11" s="1"/>
  <c r="Z271" i="11"/>
  <c r="Y271" i="11" s="1"/>
  <c r="Z367" i="11"/>
  <c r="Y367" i="11" s="1"/>
  <c r="AG90" i="11"/>
  <c r="AG215" i="11"/>
  <c r="Z96" i="11"/>
  <c r="Y96" i="11" s="1"/>
  <c r="Z314" i="11"/>
  <c r="Y314" i="11" s="1"/>
  <c r="AG314" i="11"/>
  <c r="Z450" i="11"/>
  <c r="Y450" i="11" s="1"/>
  <c r="AG450" i="11"/>
  <c r="AG438" i="11"/>
  <c r="Z163" i="11"/>
  <c r="Y163" i="11" s="1"/>
  <c r="AG205" i="11"/>
  <c r="Z205" i="11"/>
  <c r="Y205" i="11" s="1"/>
  <c r="AG243" i="11"/>
  <c r="Z417" i="11"/>
  <c r="Y417" i="11" s="1"/>
  <c r="Z107" i="11"/>
  <c r="Y107" i="11" s="1"/>
  <c r="AG107" i="11"/>
  <c r="Z217" i="11"/>
  <c r="Y217" i="11" s="1"/>
  <c r="AG217" i="11"/>
  <c r="AG475" i="11"/>
  <c r="AG101" i="11"/>
  <c r="Z144" i="11"/>
  <c r="Y144" i="11" s="1"/>
  <c r="AG348" i="11"/>
  <c r="AG423" i="11"/>
  <c r="Z423" i="11"/>
  <c r="Y423" i="11" s="1"/>
  <c r="AG483" i="11"/>
  <c r="Z483" i="11"/>
  <c r="Y483" i="11" s="1"/>
  <c r="AG25" i="11"/>
  <c r="Z82" i="11"/>
  <c r="Y82" i="11" s="1"/>
  <c r="Z149" i="11"/>
  <c r="Y149" i="11" s="1"/>
  <c r="Z195" i="11"/>
  <c r="Y195" i="11" s="1"/>
  <c r="Z256" i="11"/>
  <c r="Y256" i="11" s="1"/>
  <c r="AG256" i="11"/>
  <c r="AG268" i="11"/>
  <c r="Z268" i="11"/>
  <c r="Y268" i="11" s="1"/>
  <c r="AG297" i="11"/>
  <c r="Z413" i="11"/>
  <c r="Y413" i="11" s="1"/>
  <c r="Z429" i="11"/>
  <c r="Y429" i="11" s="1"/>
  <c r="Z140" i="11"/>
  <c r="Y140" i="11" s="1"/>
  <c r="AG185" i="11"/>
  <c r="Z435" i="11"/>
  <c r="Y435" i="11" s="1"/>
  <c r="Z469" i="11"/>
  <c r="Y469" i="11" s="1"/>
  <c r="AG469" i="11"/>
  <c r="AG336" i="11"/>
  <c r="Z55" i="11"/>
  <c r="Y55" i="11" s="1"/>
  <c r="Z176" i="11"/>
  <c r="Y176" i="11" s="1"/>
  <c r="AG146" i="11"/>
  <c r="Z146" i="11"/>
  <c r="Y146" i="11" s="1"/>
  <c r="Z282" i="11"/>
  <c r="Y282" i="11" s="1"/>
  <c r="AG294" i="11"/>
  <c r="Z294" i="11"/>
  <c r="Y294" i="11" s="1"/>
  <c r="Z410" i="11"/>
  <c r="Y410" i="11" s="1"/>
  <c r="AG410" i="11"/>
  <c r="AG29" i="11"/>
  <c r="AG308" i="11"/>
  <c r="Z308" i="11"/>
  <c r="Y308" i="11" s="1"/>
  <c r="AG374" i="11"/>
  <c r="Z374" i="11"/>
  <c r="Y374" i="11" s="1"/>
  <c r="Z457" i="11"/>
  <c r="Y457" i="11" s="1"/>
  <c r="AG457" i="11"/>
  <c r="AG173" i="11"/>
  <c r="Z173" i="11"/>
  <c r="Y173" i="11" s="1"/>
  <c r="Z267" i="11"/>
  <c r="Y267" i="11" s="1"/>
  <c r="AG272" i="11"/>
  <c r="Z272" i="11"/>
  <c r="Y272" i="11" s="1"/>
  <c r="Z321" i="11"/>
  <c r="Y321" i="11" s="1"/>
  <c r="AG321" i="11"/>
  <c r="Z232" i="11"/>
  <c r="Y232" i="11" s="1"/>
  <c r="Z408" i="11"/>
  <c r="Y408" i="11" s="1"/>
  <c r="AG477" i="11"/>
  <c r="Z477" i="11"/>
  <c r="Y477" i="11" s="1"/>
  <c r="AG124" i="11"/>
  <c r="AG93" i="11"/>
  <c r="AG98" i="11"/>
  <c r="Z98" i="11"/>
  <c r="Y98" i="11" s="1"/>
  <c r="AG441" i="11"/>
  <c r="Z441" i="11"/>
  <c r="Y441" i="11" s="1"/>
  <c r="Z464" i="11"/>
  <c r="Y464" i="11" s="1"/>
  <c r="AG464" i="11"/>
  <c r="AG87" i="11"/>
  <c r="AG191" i="11"/>
  <c r="Z191" i="11"/>
  <c r="Y191" i="11" s="1"/>
  <c r="AG330" i="11"/>
  <c r="AG233" i="11"/>
  <c r="Z172" i="11"/>
  <c r="Y172" i="11" s="1"/>
  <c r="AG387" i="11"/>
  <c r="AG426" i="11"/>
  <c r="Z357" i="11"/>
  <c r="Y357" i="11" s="1"/>
  <c r="AG432" i="11"/>
  <c r="Z178" i="11"/>
  <c r="Y178" i="11" s="1"/>
  <c r="AG332" i="11"/>
  <c r="Z370" i="11"/>
  <c r="Y370" i="11" s="1"/>
  <c r="Z123" i="11"/>
  <c r="Y123" i="11" s="1"/>
  <c r="AG456" i="11"/>
  <c r="Z304" i="11"/>
  <c r="Y304" i="11" s="1"/>
  <c r="AG414" i="11"/>
  <c r="AG212" i="11"/>
  <c r="Z300" i="11"/>
  <c r="Y300" i="11" s="1"/>
  <c r="AG333" i="11"/>
  <c r="AG108" i="11"/>
  <c r="AG428" i="11"/>
  <c r="AG484" i="11"/>
  <c r="Z90" i="11"/>
  <c r="Y90" i="11" s="1"/>
  <c r="AG258" i="11"/>
  <c r="AG316" i="11"/>
  <c r="AG446" i="11"/>
  <c r="AG188" i="11"/>
  <c r="AG253" i="11"/>
  <c r="Z290" i="11"/>
  <c r="Y290" i="11" s="1"/>
  <c r="AG160" i="11"/>
  <c r="AG375" i="11"/>
  <c r="AG419" i="11"/>
  <c r="AG225" i="11"/>
  <c r="AG248" i="11"/>
  <c r="AG385" i="11"/>
  <c r="AG343" i="11"/>
  <c r="Z343" i="11"/>
  <c r="Y343" i="11" s="1"/>
  <c r="AG45" i="11"/>
  <c r="Z45" i="11"/>
  <c r="Y45" i="11" s="1"/>
  <c r="Z56" i="11"/>
  <c r="Y56" i="11" s="1"/>
  <c r="AG56" i="11"/>
  <c r="AG245" i="11"/>
  <c r="Z245" i="11"/>
  <c r="Y245" i="11" s="1"/>
  <c r="AG122" i="11"/>
  <c r="Z122" i="11"/>
  <c r="Y122" i="11" s="1"/>
  <c r="AG281" i="11"/>
  <c r="Z281" i="11"/>
  <c r="Y281" i="11" s="1"/>
  <c r="AG74" i="11"/>
  <c r="Z74" i="11"/>
  <c r="Y74" i="11" s="1"/>
  <c r="Z168" i="11"/>
  <c r="Y168" i="11" s="1"/>
  <c r="AG168" i="11"/>
  <c r="AG11" i="11"/>
  <c r="Z11" i="11"/>
  <c r="Y11" i="11" s="1"/>
  <c r="AG46" i="11"/>
  <c r="Z46" i="11"/>
  <c r="Y46" i="11" s="1"/>
  <c r="Z32" i="11"/>
  <c r="Y32" i="11" s="1"/>
  <c r="AG32" i="11"/>
  <c r="AG26" i="11"/>
  <c r="Z26" i="11"/>
  <c r="Y26" i="11" s="1"/>
  <c r="AG247" i="11"/>
  <c r="Z247" i="11"/>
  <c r="Y247" i="11" s="1"/>
  <c r="AG58" i="11"/>
  <c r="Z58" i="11"/>
  <c r="Y58" i="11" s="1"/>
  <c r="Z292" i="11"/>
  <c r="Y292" i="11" s="1"/>
  <c r="AG292" i="11"/>
  <c r="Z302" i="11"/>
  <c r="Y302" i="11" s="1"/>
  <c r="AG302" i="11"/>
  <c r="AG111" i="11"/>
  <c r="Z111" i="11"/>
  <c r="Y111" i="11" s="1"/>
  <c r="AG184" i="11"/>
  <c r="Z184" i="11"/>
  <c r="Y184" i="11" s="1"/>
  <c r="AG28" i="11"/>
  <c r="Z28" i="11"/>
  <c r="Y28" i="11" s="1"/>
  <c r="AG296" i="11"/>
  <c r="Z296" i="11"/>
  <c r="Y296" i="11" s="1"/>
  <c r="AG376" i="11"/>
  <c r="Z376" i="11"/>
  <c r="Y376" i="11" s="1"/>
  <c r="AG474" i="11"/>
  <c r="Z474" i="11"/>
  <c r="Y474" i="11" s="1"/>
  <c r="Z412" i="11"/>
  <c r="Y412" i="11" s="1"/>
  <c r="AG412" i="11"/>
  <c r="AG15" i="11"/>
  <c r="Z15" i="11"/>
  <c r="Y15" i="11" s="1"/>
  <c r="AG99" i="11"/>
  <c r="Z99" i="11"/>
  <c r="Y99" i="11" s="1"/>
  <c r="AG335" i="11"/>
  <c r="Z335" i="11"/>
  <c r="Y335" i="11" s="1"/>
  <c r="AG486" i="11"/>
  <c r="Z486" i="11"/>
  <c r="Y486" i="11" s="1"/>
  <c r="AG476" i="11"/>
  <c r="Z476" i="11"/>
  <c r="Y476" i="11" s="1"/>
  <c r="Z22" i="11"/>
  <c r="Y22" i="11" s="1"/>
  <c r="AG224" i="11"/>
  <c r="Z224" i="11"/>
  <c r="Y224" i="11" s="1"/>
  <c r="AD102" i="11"/>
  <c r="Z102" i="11"/>
  <c r="Y102" i="11" s="1"/>
  <c r="AD166" i="11"/>
  <c r="Z187" i="11"/>
  <c r="Y187" i="11" s="1"/>
  <c r="Z214" i="11"/>
  <c r="Y214" i="11" s="1"/>
  <c r="AG214" i="11"/>
  <c r="AG234" i="11"/>
  <c r="Z347" i="11"/>
  <c r="Y347" i="11" s="1"/>
  <c r="AG347" i="11"/>
  <c r="Z424" i="11"/>
  <c r="Y424" i="11" s="1"/>
  <c r="AG424" i="11"/>
  <c r="AG54" i="11"/>
  <c r="Z77" i="11"/>
  <c r="Y77" i="11" s="1"/>
  <c r="AD154" i="11"/>
  <c r="Z154" i="11"/>
  <c r="Y154" i="11" s="1"/>
  <c r="Z162" i="11"/>
  <c r="Y162" i="11" s="1"/>
  <c r="AG353" i="11"/>
  <c r="Z353" i="11"/>
  <c r="Y353" i="11" s="1"/>
  <c r="AG379" i="11"/>
  <c r="AG482" i="11"/>
  <c r="Z482" i="11"/>
  <c r="Y482" i="11" s="1"/>
  <c r="AG218" i="11"/>
  <c r="Z218" i="11"/>
  <c r="Y218" i="11" s="1"/>
  <c r="AG265" i="11"/>
  <c r="Z265" i="11"/>
  <c r="Y265" i="11" s="1"/>
  <c r="AG364" i="11"/>
  <c r="Z364" i="11"/>
  <c r="Y364" i="11" s="1"/>
  <c r="Z285" i="11"/>
  <c r="Y285" i="11" s="1"/>
  <c r="AG325" i="11"/>
  <c r="Z325" i="11"/>
  <c r="Y325" i="11" s="1"/>
  <c r="AG452" i="11"/>
  <c r="Z452" i="11"/>
  <c r="AG461" i="11"/>
  <c r="Z461" i="11"/>
  <c r="Y461" i="11" s="1"/>
  <c r="Z145" i="11"/>
  <c r="Y145" i="11" s="1"/>
  <c r="AG279" i="11"/>
  <c r="Z279" i="11"/>
  <c r="Y279" i="11" s="1"/>
  <c r="AD62" i="11"/>
  <c r="Z62" i="11"/>
  <c r="Y62" i="11" s="1"/>
  <c r="AG110" i="11"/>
  <c r="Z110" i="11"/>
  <c r="Y110" i="11" s="1"/>
  <c r="Z170" i="11"/>
  <c r="Y170" i="11" s="1"/>
  <c r="Z239" i="11"/>
  <c r="AG239" i="11"/>
  <c r="AG250" i="11"/>
  <c r="Z250" i="11"/>
  <c r="Y250" i="11" s="1"/>
  <c r="Y379" i="11"/>
  <c r="AG437" i="11"/>
  <c r="Z437" i="11"/>
  <c r="Y437" i="11" s="1"/>
  <c r="AG499" i="11"/>
  <c r="Z167" i="11"/>
  <c r="Y167" i="11" s="1"/>
  <c r="AD167" i="11"/>
  <c r="AG179" i="11"/>
  <c r="Z179" i="11"/>
  <c r="Z17" i="11"/>
  <c r="Y17" i="11" s="1"/>
  <c r="Z39" i="11"/>
  <c r="AD39" i="11"/>
  <c r="Z43" i="11"/>
  <c r="Y43" i="11" s="1"/>
  <c r="Z63" i="11"/>
  <c r="Y63" i="11" s="1"/>
  <c r="AD63" i="11"/>
  <c r="AG200" i="11"/>
  <c r="Z200" i="11"/>
  <c r="Y200" i="11" s="1"/>
  <c r="Z209" i="11"/>
  <c r="Y209" i="11" s="1"/>
  <c r="Z219" i="11"/>
  <c r="Y219" i="11" s="1"/>
  <c r="AG219" i="11"/>
  <c r="AG266" i="11"/>
  <c r="Z266" i="11"/>
  <c r="Y266" i="11" s="1"/>
  <c r="Z319" i="11"/>
  <c r="Y319" i="11" s="1"/>
  <c r="AG359" i="11"/>
  <c r="AG388" i="11"/>
  <c r="Z388" i="11"/>
  <c r="Y388" i="11" s="1"/>
  <c r="Z59" i="11"/>
  <c r="Y59" i="11" s="1"/>
  <c r="AG159" i="11"/>
  <c r="Z175" i="11"/>
  <c r="Y175" i="11" s="1"/>
  <c r="AD175" i="11"/>
  <c r="AG261" i="11"/>
  <c r="Z261" i="11"/>
  <c r="Y261" i="11" s="1"/>
  <c r="Z365" i="11"/>
  <c r="Y365" i="11" s="1"/>
  <c r="AG365" i="11"/>
  <c r="AG384" i="11"/>
  <c r="Z384" i="11"/>
  <c r="Y384" i="11" s="1"/>
  <c r="Z442" i="11"/>
  <c r="Y442" i="11" s="1"/>
  <c r="AG442" i="11"/>
  <c r="Z80" i="11"/>
  <c r="Y80" i="11" s="1"/>
  <c r="AG24" i="11"/>
  <c r="Z24" i="11"/>
  <c r="Y24" i="11" s="1"/>
  <c r="Z40" i="11"/>
  <c r="Y40" i="11" s="1"/>
  <c r="AD40" i="11"/>
  <c r="AD51" i="11"/>
  <c r="Y221" i="11"/>
  <c r="Z236" i="11"/>
  <c r="Y236" i="11" s="1"/>
  <c r="AG236" i="11"/>
  <c r="AG257" i="11"/>
  <c r="Z257" i="11"/>
  <c r="Y257" i="11" s="1"/>
  <c r="AG372" i="11"/>
  <c r="Z372" i="11"/>
  <c r="Y372" i="11" s="1"/>
  <c r="Z430" i="11"/>
  <c r="Y430" i="11" s="1"/>
  <c r="AG430" i="11"/>
  <c r="AG458" i="11"/>
  <c r="Z458" i="11"/>
  <c r="Y458" i="11" s="1"/>
  <c r="V472" i="11"/>
  <c r="Z106" i="11"/>
  <c r="Y106" i="11" s="1"/>
  <c r="AG137" i="11"/>
  <c r="Z137" i="11"/>
  <c r="Y137" i="11" s="1"/>
  <c r="V377" i="11"/>
  <c r="Z434" i="11"/>
  <c r="Y434" i="11" s="1"/>
  <c r="AG434" i="11"/>
  <c r="AG78" i="11"/>
  <c r="Z78" i="11"/>
  <c r="Y78" i="11" s="1"/>
  <c r="AG231" i="11"/>
  <c r="Z231" i="11"/>
  <c r="Y231" i="11" s="1"/>
  <c r="AG315" i="11"/>
  <c r="Z315" i="11"/>
  <c r="Y315" i="11" s="1"/>
  <c r="AG206" i="11"/>
  <c r="Z206" i="11"/>
  <c r="Y206" i="11" s="1"/>
  <c r="Z262" i="11"/>
  <c r="Y262" i="11" s="1"/>
  <c r="AG262" i="11"/>
  <c r="Z349" i="11"/>
  <c r="Y349" i="11" s="1"/>
  <c r="AG349" i="11"/>
  <c r="Z135" i="11"/>
  <c r="AG135" i="11"/>
  <c r="Z454" i="11"/>
  <c r="Y454" i="11" s="1"/>
  <c r="AG454" i="11"/>
  <c r="Z189" i="11"/>
  <c r="Y189" i="11" s="1"/>
  <c r="AD189" i="11"/>
  <c r="AG227" i="11"/>
  <c r="Z227" i="11"/>
  <c r="Y227" i="11" s="1"/>
  <c r="Z276" i="11"/>
  <c r="Y276" i="11" s="1"/>
  <c r="Z305" i="11"/>
  <c r="Y305" i="11" s="1"/>
  <c r="AD52" i="11"/>
  <c r="Z52" i="11"/>
  <c r="Y52" i="11" s="1"/>
  <c r="Z181" i="11"/>
  <c r="Y181" i="11" s="1"/>
  <c r="AG216" i="11"/>
  <c r="Z216" i="11"/>
  <c r="Y216" i="11" s="1"/>
  <c r="AG310" i="11"/>
  <c r="AG480" i="11"/>
  <c r="Z480" i="11"/>
  <c r="Y480" i="11" s="1"/>
  <c r="AG155" i="11"/>
  <c r="AG13" i="11"/>
  <c r="Z48" i="11"/>
  <c r="Y48" i="11" s="1"/>
  <c r="AD75" i="11"/>
  <c r="Z207" i="11"/>
  <c r="Y207" i="11" s="1"/>
  <c r="AG207" i="11"/>
  <c r="Z211" i="11"/>
  <c r="Y211" i="11" s="1"/>
  <c r="AG356" i="11"/>
  <c r="Z356" i="11"/>
  <c r="Y356" i="11" s="1"/>
  <c r="AG473" i="11"/>
  <c r="Z473" i="11"/>
  <c r="AD114" i="11"/>
  <c r="Z114" i="11"/>
  <c r="Y114" i="11" s="1"/>
  <c r="Z49" i="11"/>
  <c r="Y49" i="11" s="1"/>
  <c r="AD128" i="11"/>
  <c r="Z128" i="11"/>
  <c r="Y128" i="11" s="1"/>
  <c r="Z132" i="11"/>
  <c r="Y132" i="11" s="1"/>
  <c r="AG132" i="11"/>
  <c r="Z182" i="11"/>
  <c r="Y182" i="11" s="1"/>
  <c r="V327" i="11"/>
  <c r="AG42" i="11"/>
  <c r="Z42" i="11"/>
  <c r="Y42" i="11" s="1"/>
  <c r="AG10" i="11"/>
  <c r="Z10" i="11"/>
  <c r="Z69" i="11"/>
  <c r="Y69" i="11" s="1"/>
  <c r="AG329" i="11"/>
  <c r="Z329" i="11"/>
  <c r="Z34" i="11"/>
  <c r="Y34" i="11" s="1"/>
  <c r="AG34" i="11"/>
  <c r="AD150" i="11"/>
  <c r="Z150" i="11"/>
  <c r="Y150" i="11" s="1"/>
  <c r="Z139" i="11"/>
  <c r="Y139" i="11" s="1"/>
  <c r="AG139" i="11"/>
  <c r="Z286" i="11"/>
  <c r="Y286" i="11" s="1"/>
  <c r="AG331" i="11"/>
  <c r="Z331" i="11"/>
  <c r="Y331" i="11" s="1"/>
  <c r="AG320" i="11"/>
  <c r="Z320" i="11"/>
  <c r="Y320" i="11" s="1"/>
  <c r="Z71" i="11"/>
  <c r="Y71" i="11" s="1"/>
  <c r="AG19" i="11"/>
  <c r="Z19" i="11"/>
  <c r="Y19" i="11" s="1"/>
  <c r="AG30" i="11"/>
  <c r="Z30" i="11"/>
  <c r="Y30" i="11" s="1"/>
  <c r="Z448" i="11"/>
  <c r="AG448" i="11"/>
  <c r="AG222" i="11"/>
  <c r="Z222" i="11"/>
  <c r="Y222" i="11" s="1"/>
  <c r="AG338" i="11"/>
  <c r="Z338" i="11"/>
  <c r="Y338" i="11" s="1"/>
  <c r="AG362" i="11"/>
  <c r="Z362" i="11"/>
  <c r="Y362" i="11" s="1"/>
  <c r="Z418" i="11"/>
  <c r="Y418" i="11" s="1"/>
  <c r="AG418" i="11"/>
  <c r="Z431" i="11"/>
  <c r="Y431" i="11" s="1"/>
  <c r="AG431" i="11"/>
  <c r="AG14" i="11"/>
  <c r="Z14" i="11"/>
  <c r="Y14" i="11" s="1"/>
  <c r="AD88" i="11"/>
  <c r="Z88" i="11"/>
  <c r="Y88" i="11" s="1"/>
  <c r="Z118" i="11"/>
  <c r="Y118" i="11" s="1"/>
  <c r="Z136" i="11"/>
  <c r="Y136" i="11" s="1"/>
  <c r="AG277" i="11"/>
  <c r="Z277" i="11"/>
  <c r="Y277" i="11" s="1"/>
  <c r="AG311" i="11"/>
  <c r="Z311" i="11"/>
  <c r="Y311" i="11" s="1"/>
  <c r="AG317" i="11"/>
  <c r="Z317" i="11"/>
  <c r="Y317" i="11" s="1"/>
  <c r="AG21" i="11"/>
  <c r="Z21" i="11"/>
  <c r="Y21" i="11" s="1"/>
  <c r="AG283" i="11"/>
  <c r="Z283" i="11"/>
  <c r="Y283" i="11" s="1"/>
  <c r="AG368" i="11"/>
  <c r="Z368" i="11"/>
  <c r="Y368" i="11" s="1"/>
  <c r="AG249" i="11"/>
  <c r="Z249" i="11"/>
  <c r="Y249" i="11" s="1"/>
  <c r="AG259" i="11"/>
  <c r="Z259" i="11"/>
  <c r="Y259" i="11" s="1"/>
  <c r="Z269" i="11"/>
  <c r="Y269" i="11" s="1"/>
  <c r="AG269" i="11"/>
  <c r="Z298" i="11"/>
  <c r="Y298" i="11" s="1"/>
  <c r="AG334" i="11"/>
  <c r="Z334" i="11"/>
  <c r="Y334" i="11" s="1"/>
  <c r="Z194" i="11"/>
  <c r="Y194" i="11" s="1"/>
  <c r="AD124" i="11"/>
  <c r="Z124" i="11"/>
  <c r="Y124" i="11" s="1"/>
  <c r="AG213" i="11"/>
  <c r="AG340" i="11"/>
  <c r="Z340" i="11"/>
  <c r="Y340" i="11" s="1"/>
  <c r="Z478" i="11"/>
  <c r="Y478" i="11" s="1"/>
  <c r="AG478" i="11"/>
  <c r="AG18" i="11"/>
  <c r="Z18" i="11"/>
  <c r="Y18" i="11" s="1"/>
  <c r="AD91" i="11"/>
  <c r="Z91" i="11"/>
  <c r="Y91" i="11" s="1"/>
  <c r="AG126" i="11"/>
  <c r="Z126" i="11"/>
  <c r="Y126" i="11" s="1"/>
  <c r="Z192" i="11"/>
  <c r="Y192" i="11" s="1"/>
  <c r="AG192" i="11"/>
  <c r="AG242" i="11"/>
  <c r="Z242" i="11"/>
  <c r="Y242" i="11" s="1"/>
  <c r="AG20" i="11"/>
  <c r="Z20" i="11"/>
  <c r="Y20" i="11" s="1"/>
  <c r="AG36" i="11"/>
  <c r="Z36" i="11"/>
  <c r="Y36" i="11" s="1"/>
  <c r="AD65" i="11"/>
  <c r="Z65" i="11"/>
  <c r="Y65" i="11" s="1"/>
  <c r="Z53" i="11"/>
  <c r="Y53" i="11" s="1"/>
  <c r="AD53" i="11"/>
  <c r="Z152" i="11"/>
  <c r="Y152" i="11" s="1"/>
  <c r="AD152" i="11"/>
  <c r="AD117" i="11"/>
  <c r="Z117" i="11"/>
  <c r="Y117" i="11" s="1"/>
  <c r="Z121" i="11"/>
  <c r="Y121" i="11" s="1"/>
  <c r="Z156" i="11"/>
  <c r="Y156" i="11" s="1"/>
  <c r="AG156" i="11"/>
  <c r="Z427" i="11"/>
  <c r="Y427" i="11" s="1"/>
  <c r="AG427" i="11"/>
  <c r="Z439" i="11"/>
  <c r="Y439" i="11" s="1"/>
  <c r="AG439" i="11"/>
  <c r="AG92" i="11"/>
  <c r="AD121" i="11"/>
  <c r="AG195" i="11"/>
  <c r="AG244" i="11"/>
  <c r="Z244" i="11"/>
  <c r="Y244" i="11" s="1"/>
  <c r="AG295" i="11"/>
  <c r="Z295" i="11"/>
  <c r="Y295" i="11" s="1"/>
  <c r="Z307" i="11"/>
  <c r="Y307" i="11" s="1"/>
  <c r="AG27" i="11"/>
  <c r="Z27" i="11"/>
  <c r="Y27" i="11" s="1"/>
  <c r="AG35" i="11"/>
  <c r="Z92" i="11"/>
  <c r="Y92" i="11" s="1"/>
  <c r="Z103" i="11"/>
  <c r="Y103" i="11" s="1"/>
  <c r="AD199" i="11"/>
  <c r="Z199" i="11"/>
  <c r="Y199" i="11" s="1"/>
  <c r="Z291" i="11"/>
  <c r="Y291" i="11" s="1"/>
  <c r="Z360" i="11"/>
  <c r="Y360" i="11" s="1"/>
  <c r="AG415" i="11"/>
  <c r="V447" i="11"/>
  <c r="AD125" i="11"/>
  <c r="Z125" i="11"/>
  <c r="Y125" i="11" s="1"/>
  <c r="Z153" i="11"/>
  <c r="Y153" i="11" s="1"/>
  <c r="AG157" i="11"/>
  <c r="AG171" i="11"/>
  <c r="AG223" i="11"/>
  <c r="AG240" i="11"/>
  <c r="Z240" i="11"/>
  <c r="Y240" i="11" s="1"/>
  <c r="AG278" i="11"/>
  <c r="Z278" i="11"/>
  <c r="Y278" i="11" s="1"/>
  <c r="AG355" i="11"/>
  <c r="AD158" i="11"/>
  <c r="Z158" i="11"/>
  <c r="Y158" i="11" s="1"/>
  <c r="AG470" i="11"/>
  <c r="Z470" i="11"/>
  <c r="Y470" i="11" s="1"/>
  <c r="AD60" i="11"/>
  <c r="Z60" i="11"/>
  <c r="Y60" i="11" s="1"/>
  <c r="Z97" i="11"/>
  <c r="Y97" i="11" s="1"/>
  <c r="AD97" i="11"/>
  <c r="AD186" i="11"/>
  <c r="Z186" i="11"/>
  <c r="Y186" i="11" s="1"/>
  <c r="AG104" i="11"/>
  <c r="AD183" i="11"/>
  <c r="Z183" i="11"/>
  <c r="Y183" i="11" s="1"/>
  <c r="AG196" i="11"/>
  <c r="Z313" i="11"/>
  <c r="Y313" i="11" s="1"/>
  <c r="AG341" i="11"/>
  <c r="Z466" i="11"/>
  <c r="Y466" i="11" s="1"/>
  <c r="AG466" i="11"/>
  <c r="AD57" i="11"/>
  <c r="Z57" i="11"/>
  <c r="Y57" i="11" s="1"/>
  <c r="Z86" i="11"/>
  <c r="Y86" i="11" s="1"/>
  <c r="Z130" i="11"/>
  <c r="Y130" i="11" s="1"/>
  <c r="Z147" i="11"/>
  <c r="Y147" i="11" s="1"/>
  <c r="Z204" i="11"/>
  <c r="Y204" i="11" s="1"/>
  <c r="AG241" i="11"/>
  <c r="Z275" i="11"/>
  <c r="Y275" i="11" s="1"/>
  <c r="AG346" i="11"/>
  <c r="Z346" i="11"/>
  <c r="Y346" i="11" s="1"/>
  <c r="Z421" i="11"/>
  <c r="Y421" i="11" s="1"/>
  <c r="AG421" i="11"/>
  <c r="Z445" i="11"/>
  <c r="Y445" i="11" s="1"/>
  <c r="AG445" i="11"/>
  <c r="AG487" i="11"/>
  <c r="AG497" i="11"/>
  <c r="Z497" i="11"/>
  <c r="AG12" i="11"/>
  <c r="Z12" i="11"/>
  <c r="Y12" i="11" s="1"/>
  <c r="Z94" i="11"/>
  <c r="Y94" i="11" s="1"/>
  <c r="Z105" i="11"/>
  <c r="Y105" i="11" s="1"/>
  <c r="AD105" i="11"/>
  <c r="Z108" i="11"/>
  <c r="Y108" i="11" s="1"/>
  <c r="Z246" i="11"/>
  <c r="Y246" i="11" s="1"/>
  <c r="AG246" i="11"/>
  <c r="AG322" i="11"/>
  <c r="Z322" i="11"/>
  <c r="Y322" i="11" s="1"/>
  <c r="AG16" i="11"/>
  <c r="AD162" i="11"/>
  <c r="AG309" i="11"/>
  <c r="Z309" i="11"/>
  <c r="Y309" i="11" s="1"/>
  <c r="AG323" i="11"/>
  <c r="Z323" i="11"/>
  <c r="Y323" i="11" s="1"/>
  <c r="AG383" i="11"/>
  <c r="Z383" i="11"/>
  <c r="Y383" i="11" s="1"/>
  <c r="AG33" i="11"/>
  <c r="Z33" i="11"/>
  <c r="Y33" i="11" s="1"/>
  <c r="Z61" i="11"/>
  <c r="Y61" i="11" s="1"/>
  <c r="Z70" i="11"/>
  <c r="Y70" i="11" s="1"/>
  <c r="Z255" i="11"/>
  <c r="Y255" i="11" s="1"/>
  <c r="AG284" i="11"/>
  <c r="AG289" i="11"/>
  <c r="Z289" i="11"/>
  <c r="Y289" i="11" s="1"/>
  <c r="AG342" i="11"/>
  <c r="AG433" i="11"/>
  <c r="Z115" i="11"/>
  <c r="Y115" i="11" s="1"/>
  <c r="AG44" i="11"/>
  <c r="Z83" i="11"/>
  <c r="Y83" i="11" s="1"/>
  <c r="AD119" i="11"/>
  <c r="Z165" i="11"/>
  <c r="Y165" i="11" s="1"/>
  <c r="Z280" i="11"/>
  <c r="Y280" i="11" s="1"/>
  <c r="AG280" i="11"/>
  <c r="AG37" i="11"/>
  <c r="Z41" i="11"/>
  <c r="Y41" i="11" s="1"/>
  <c r="Z64" i="11"/>
  <c r="Y64" i="11" s="1"/>
  <c r="Z109" i="11"/>
  <c r="Y109" i="11" s="1"/>
  <c r="Z120" i="11"/>
  <c r="Y120" i="11" s="1"/>
  <c r="Z127" i="11"/>
  <c r="Y127" i="11" s="1"/>
  <c r="Z180" i="11"/>
  <c r="Y180" i="11" s="1"/>
  <c r="Z197" i="11"/>
  <c r="Y197" i="11" s="1"/>
  <c r="AG467" i="11"/>
  <c r="Z467" i="11"/>
  <c r="Y467" i="11" s="1"/>
  <c r="AD146" i="11"/>
  <c r="AD43" i="11"/>
  <c r="Z210" i="11"/>
  <c r="Y210" i="11" s="1"/>
  <c r="AG210" i="11"/>
  <c r="AG380" i="11"/>
  <c r="Z380" i="11"/>
  <c r="Y380" i="11" s="1"/>
  <c r="AG306" i="11"/>
  <c r="AG373" i="11"/>
  <c r="Z81" i="11"/>
  <c r="Y81" i="11" s="1"/>
  <c r="Z84" i="11"/>
  <c r="Y84" i="11" s="1"/>
  <c r="AD187" i="11"/>
  <c r="AG193" i="11"/>
  <c r="AG203" i="11"/>
  <c r="AG299" i="11"/>
  <c r="Z339" i="11"/>
  <c r="Y339" i="11" s="1"/>
  <c r="AG339" i="11"/>
  <c r="AG422" i="11"/>
  <c r="Z422" i="11"/>
  <c r="Y422" i="11" s="1"/>
  <c r="Z44" i="11"/>
  <c r="Y44" i="11" s="1"/>
  <c r="Z116" i="11"/>
  <c r="Y116" i="11" s="1"/>
  <c r="AD135" i="11"/>
  <c r="Z409" i="11"/>
  <c r="AG409" i="11"/>
  <c r="Z489" i="11"/>
  <c r="Y489" i="11" s="1"/>
  <c r="AD70" i="11"/>
  <c r="Z73" i="11"/>
  <c r="Y73" i="11" s="1"/>
  <c r="AD73" i="11"/>
  <c r="Z79" i="11"/>
  <c r="Y79" i="11" s="1"/>
  <c r="Z113" i="11"/>
  <c r="Y113" i="11" s="1"/>
  <c r="Z129" i="11"/>
  <c r="Y129" i="11" s="1"/>
  <c r="Z169" i="11"/>
  <c r="Y169" i="11" s="1"/>
  <c r="AG263" i="11"/>
  <c r="Z263" i="11"/>
  <c r="Y263" i="11" s="1"/>
  <c r="Z358" i="11"/>
  <c r="Y358" i="11" s="1"/>
  <c r="AG449" i="11"/>
  <c r="Z449" i="11"/>
  <c r="Y449" i="11" s="1"/>
  <c r="Z485" i="11"/>
  <c r="Y485" i="11" s="1"/>
  <c r="AG350" i="11"/>
  <c r="AG371" i="11"/>
  <c r="Z252" i="11"/>
  <c r="Y252" i="11" s="1"/>
  <c r="AG312" i="11"/>
  <c r="AD56" i="11"/>
  <c r="Z76" i="11"/>
  <c r="Y76" i="11" s="1"/>
  <c r="Z95" i="11"/>
  <c r="Y95" i="11" s="1"/>
  <c r="AD179" i="11"/>
  <c r="AG198" i="11"/>
  <c r="AG226" i="11"/>
  <c r="AG260" i="11"/>
  <c r="Z312" i="11"/>
  <c r="Y312" i="11" s="1"/>
  <c r="AG337" i="11"/>
  <c r="Z350" i="11"/>
  <c r="Y350" i="11" s="1"/>
  <c r="Z371" i="11"/>
  <c r="Z490" i="11"/>
  <c r="Y490" i="11" s="1"/>
  <c r="AG490" i="11"/>
  <c r="Z89" i="11"/>
  <c r="Y89" i="11" s="1"/>
  <c r="Z174" i="11"/>
  <c r="Y174" i="11" s="1"/>
  <c r="AD142" i="11"/>
  <c r="W228" i="11"/>
  <c r="X228" i="11" s="1"/>
  <c r="AD42" i="11"/>
  <c r="AG273" i="11"/>
  <c r="Z324" i="11"/>
  <c r="Y324" i="11" s="1"/>
  <c r="AG328" i="11"/>
  <c r="Z366" i="11"/>
  <c r="Y366" i="11" s="1"/>
  <c r="V369" i="11"/>
  <c r="AG463" i="11"/>
  <c r="Z142" i="11"/>
  <c r="Y142" i="11" s="1"/>
  <c r="AG270" i="11"/>
  <c r="AG467" i="9"/>
  <c r="Z467" i="9"/>
  <c r="Y467" i="9" s="1"/>
  <c r="AG466" i="9"/>
  <c r="Z466" i="9"/>
  <c r="Y466" i="9" s="1"/>
  <c r="Z465" i="9"/>
  <c r="Y465" i="9" s="1"/>
  <c r="Z372" i="9"/>
  <c r="Y372" i="9" s="1"/>
  <c r="AG372" i="9"/>
  <c r="Z202" i="9"/>
  <c r="X202" i="9" s="1"/>
  <c r="AG202" i="9" s="1"/>
  <c r="Z69" i="9"/>
  <c r="Y69" i="9" s="1"/>
  <c r="Y493" i="9"/>
  <c r="Y492" i="9" s="1"/>
  <c r="W492" i="9" s="1"/>
  <c r="AG490" i="9"/>
  <c r="Z236" i="9"/>
  <c r="Y236" i="9" s="1"/>
  <c r="AG236" i="9"/>
  <c r="Z234" i="9"/>
  <c r="Y234" i="9" s="1"/>
  <c r="AG234" i="9"/>
  <c r="Z230" i="9"/>
  <c r="Y230" i="9" s="1"/>
  <c r="Y220" i="9" s="1"/>
  <c r="W220" i="9" s="1"/>
  <c r="AG230" i="9"/>
  <c r="Z228" i="9"/>
  <c r="Y228" i="9" s="1"/>
  <c r="AG228" i="9"/>
  <c r="AG226" i="9"/>
  <c r="Z159" i="9"/>
  <c r="Y159" i="9" s="1"/>
  <c r="Z49" i="9"/>
  <c r="Y49" i="9" s="1"/>
  <c r="Z65" i="9"/>
  <c r="Y65" i="9" s="1"/>
  <c r="Z64" i="9"/>
  <c r="Y64" i="9" s="1"/>
  <c r="Z60" i="9"/>
  <c r="Y60" i="9" s="1"/>
  <c r="Z44" i="9"/>
  <c r="Y44" i="9" s="1"/>
  <c r="Z39" i="9"/>
  <c r="Y39" i="9" s="1"/>
  <c r="AG39" i="10"/>
  <c r="Z39" i="10"/>
  <c r="AG91" i="10"/>
  <c r="Z91" i="10"/>
  <c r="Y91" i="10" s="1"/>
  <c r="AG123" i="10"/>
  <c r="Z123" i="10"/>
  <c r="Y123" i="10" s="1"/>
  <c r="Z10" i="10"/>
  <c r="AG10" i="10"/>
  <c r="Z12" i="10"/>
  <c r="Y12" i="10" s="1"/>
  <c r="AG12" i="10"/>
  <c r="Z14" i="10"/>
  <c r="Y14" i="10" s="1"/>
  <c r="AG14" i="10"/>
  <c r="Z16" i="10"/>
  <c r="Y16" i="10" s="1"/>
  <c r="AG16" i="10"/>
  <c r="Z18" i="10"/>
  <c r="Y18" i="10" s="1"/>
  <c r="AG18" i="10"/>
  <c r="Z20" i="10"/>
  <c r="Y20" i="10" s="1"/>
  <c r="AG20" i="10"/>
  <c r="Z22" i="10"/>
  <c r="Y22" i="10" s="1"/>
  <c r="AG22" i="10"/>
  <c r="Z24" i="10"/>
  <c r="Y24" i="10" s="1"/>
  <c r="AG24" i="10"/>
  <c r="Z26" i="10"/>
  <c r="Y26" i="10" s="1"/>
  <c r="AG26" i="10"/>
  <c r="Z28" i="10"/>
  <c r="Y28" i="10" s="1"/>
  <c r="AG28" i="10"/>
  <c r="Z30" i="10"/>
  <c r="Y30" i="10" s="1"/>
  <c r="AG30" i="10"/>
  <c r="Z32" i="10"/>
  <c r="Y32" i="10" s="1"/>
  <c r="AG32" i="10"/>
  <c r="Z34" i="10"/>
  <c r="Y34" i="10" s="1"/>
  <c r="AG34" i="10"/>
  <c r="Z36" i="10"/>
  <c r="Y36" i="10" s="1"/>
  <c r="AG36" i="10"/>
  <c r="AG75" i="10"/>
  <c r="Z75" i="10"/>
  <c r="Y75" i="10" s="1"/>
  <c r="AG107" i="10"/>
  <c r="Z107" i="10"/>
  <c r="Y107" i="10" s="1"/>
  <c r="Z40" i="10"/>
  <c r="Y40" i="10" s="1"/>
  <c r="AG43" i="10"/>
  <c r="AG51" i="10"/>
  <c r="AG59" i="10"/>
  <c r="AD68" i="10"/>
  <c r="Z68" i="10"/>
  <c r="Y68" i="10" s="1"/>
  <c r="Z71" i="10"/>
  <c r="Y71" i="10" s="1"/>
  <c r="Z79" i="10"/>
  <c r="Y79" i="10" s="1"/>
  <c r="AD84" i="10"/>
  <c r="Z84" i="10"/>
  <c r="Y84" i="10" s="1"/>
  <c r="Z87" i="10"/>
  <c r="Y87" i="10" s="1"/>
  <c r="Z95" i="10"/>
  <c r="Y95" i="10" s="1"/>
  <c r="AD100" i="10"/>
  <c r="Z100" i="10"/>
  <c r="Y100" i="10" s="1"/>
  <c r="Z103" i="10"/>
  <c r="Y103" i="10" s="1"/>
  <c r="Z111" i="10"/>
  <c r="Y111" i="10" s="1"/>
  <c r="AD116" i="10"/>
  <c r="Z116" i="10"/>
  <c r="Y116" i="10" s="1"/>
  <c r="Z119" i="10"/>
  <c r="Y119" i="10" s="1"/>
  <c r="Z127" i="10"/>
  <c r="Y127" i="10" s="1"/>
  <c r="AD132" i="10"/>
  <c r="Z132" i="10"/>
  <c r="Y132" i="10" s="1"/>
  <c r="AG142" i="10"/>
  <c r="AD176" i="10"/>
  <c r="Z176" i="10"/>
  <c r="Y176" i="10" s="1"/>
  <c r="AG13" i="10"/>
  <c r="AG17" i="10"/>
  <c r="AG21" i="10"/>
  <c r="AG25" i="10"/>
  <c r="AG29" i="10"/>
  <c r="AG33" i="10"/>
  <c r="AG37" i="10"/>
  <c r="Z42" i="10"/>
  <c r="Y42" i="10" s="1"/>
  <c r="Z43" i="10"/>
  <c r="Y43" i="10" s="1"/>
  <c r="Z48" i="10"/>
  <c r="Y48" i="10" s="1"/>
  <c r="Z49" i="10"/>
  <c r="Y49" i="10" s="1"/>
  <c r="Z50" i="10"/>
  <c r="Y50" i="10" s="1"/>
  <c r="Z51" i="10"/>
  <c r="Y51" i="10" s="1"/>
  <c r="Z56" i="10"/>
  <c r="Y56" i="10" s="1"/>
  <c r="Z57" i="10"/>
  <c r="Y57" i="10" s="1"/>
  <c r="Z58" i="10"/>
  <c r="Y58" i="10" s="1"/>
  <c r="Z59" i="10"/>
  <c r="Y59" i="10" s="1"/>
  <c r="Z64" i="10"/>
  <c r="Y64" i="10" s="1"/>
  <c r="Z65" i="10"/>
  <c r="Y65" i="10" s="1"/>
  <c r="Z66" i="10"/>
  <c r="Y66" i="10" s="1"/>
  <c r="Z67" i="10"/>
  <c r="Y67" i="10" s="1"/>
  <c r="Z69" i="10"/>
  <c r="Y69" i="10" s="1"/>
  <c r="Z80" i="10"/>
  <c r="Y80" i="10" s="1"/>
  <c r="Z83" i="10"/>
  <c r="Y83" i="10" s="1"/>
  <c r="Z85" i="10"/>
  <c r="Y85" i="10" s="1"/>
  <c r="Z96" i="10"/>
  <c r="Y96" i="10" s="1"/>
  <c r="Z99" i="10"/>
  <c r="Y99" i="10" s="1"/>
  <c r="Z101" i="10"/>
  <c r="Y101" i="10" s="1"/>
  <c r="Z112" i="10"/>
  <c r="Y112" i="10" s="1"/>
  <c r="Z115" i="10"/>
  <c r="Y115" i="10" s="1"/>
  <c r="Z117" i="10"/>
  <c r="Y117" i="10" s="1"/>
  <c r="Z128" i="10"/>
  <c r="Y128" i="10" s="1"/>
  <c r="Z131" i="10"/>
  <c r="Y131" i="10" s="1"/>
  <c r="Z134" i="10"/>
  <c r="AG136" i="10"/>
  <c r="Z136" i="10"/>
  <c r="Y136" i="10" s="1"/>
  <c r="AG150" i="10"/>
  <c r="Z150" i="10"/>
  <c r="Y150" i="10" s="1"/>
  <c r="Z154" i="10"/>
  <c r="Y154" i="10" s="1"/>
  <c r="AD154" i="10"/>
  <c r="AG47" i="10"/>
  <c r="AG55" i="10"/>
  <c r="AG63" i="10"/>
  <c r="Z77" i="10"/>
  <c r="Y77" i="10" s="1"/>
  <c r="AG81" i="10"/>
  <c r="Z82" i="10"/>
  <c r="Y82" i="10" s="1"/>
  <c r="Z93" i="10"/>
  <c r="Y93" i="10" s="1"/>
  <c r="AG97" i="10"/>
  <c r="Z98" i="10"/>
  <c r="Y98" i="10" s="1"/>
  <c r="Z109" i="10"/>
  <c r="Y109" i="10" s="1"/>
  <c r="AG113" i="10"/>
  <c r="Z114" i="10"/>
  <c r="Y114" i="10" s="1"/>
  <c r="Z125" i="10"/>
  <c r="Y125" i="10" s="1"/>
  <c r="AG129" i="10"/>
  <c r="Z130" i="10"/>
  <c r="Y130" i="10" s="1"/>
  <c r="AG140" i="10"/>
  <c r="Z140" i="10"/>
  <c r="Y140" i="10" s="1"/>
  <c r="AD145" i="10"/>
  <c r="V133" i="10" s="1"/>
  <c r="Z145" i="10"/>
  <c r="Y145" i="10" s="1"/>
  <c r="AD168" i="10"/>
  <c r="Z168" i="10"/>
  <c r="Y168" i="10" s="1"/>
  <c r="AG11" i="10"/>
  <c r="AG15" i="10"/>
  <c r="AG19" i="10"/>
  <c r="AG23" i="10"/>
  <c r="AG27" i="10"/>
  <c r="AG31" i="10"/>
  <c r="AG35" i="10"/>
  <c r="AG158" i="10"/>
  <c r="Z158" i="10"/>
  <c r="Y158" i="10" s="1"/>
  <c r="AD162" i="10"/>
  <c r="AG348" i="10"/>
  <c r="Z348" i="10"/>
  <c r="Y348" i="10" s="1"/>
  <c r="AG375" i="10"/>
  <c r="Z375" i="10"/>
  <c r="Y375" i="10" s="1"/>
  <c r="Y408" i="10"/>
  <c r="Z138" i="10"/>
  <c r="Y138" i="10" s="1"/>
  <c r="Z143" i="10"/>
  <c r="Y143" i="10" s="1"/>
  <c r="AG185" i="10"/>
  <c r="AG193" i="10"/>
  <c r="AG201" i="10"/>
  <c r="Y238" i="10"/>
  <c r="Y237" i="10" s="1"/>
  <c r="W237" i="10" s="1"/>
  <c r="AG344" i="10"/>
  <c r="Z344" i="10"/>
  <c r="Y344" i="10" s="1"/>
  <c r="AG360" i="10"/>
  <c r="Z360" i="10"/>
  <c r="Y360" i="10" s="1"/>
  <c r="Z78" i="10"/>
  <c r="Y78" i="10" s="1"/>
  <c r="Z94" i="10"/>
  <c r="Y94" i="10" s="1"/>
  <c r="Z110" i="10"/>
  <c r="Y110" i="10" s="1"/>
  <c r="Z126" i="10"/>
  <c r="Y126" i="10" s="1"/>
  <c r="Z139" i="10"/>
  <c r="Y139" i="10" s="1"/>
  <c r="Z152" i="10"/>
  <c r="Y152" i="10" s="1"/>
  <c r="AD153" i="10"/>
  <c r="Z160" i="10"/>
  <c r="Y160" i="10" s="1"/>
  <c r="AD161" i="10"/>
  <c r="Z166" i="10"/>
  <c r="Y166" i="10" s="1"/>
  <c r="AG168" i="10"/>
  <c r="Z174" i="10"/>
  <c r="Y174" i="10" s="1"/>
  <c r="AG176" i="10"/>
  <c r="Y203" i="10"/>
  <c r="Y202" i="10" s="1"/>
  <c r="W202" i="10" s="1"/>
  <c r="Z202" i="10"/>
  <c r="X202" i="10" s="1"/>
  <c r="AG202" i="10" s="1"/>
  <c r="Z220" i="10"/>
  <c r="X220" i="10" s="1"/>
  <c r="AG220" i="10" s="1"/>
  <c r="AG262" i="10"/>
  <c r="AG264" i="10"/>
  <c r="AG266" i="10"/>
  <c r="AG268" i="10"/>
  <c r="AG270" i="10"/>
  <c r="AG272" i="10"/>
  <c r="AG274" i="10"/>
  <c r="AG276" i="10"/>
  <c r="AG278" i="10"/>
  <c r="AG280" i="10"/>
  <c r="AG282" i="10"/>
  <c r="AG284" i="10"/>
  <c r="AG286" i="10"/>
  <c r="AG288" i="10"/>
  <c r="AG290" i="10"/>
  <c r="AG292" i="10"/>
  <c r="AG294" i="10"/>
  <c r="AG296" i="10"/>
  <c r="AG298" i="10"/>
  <c r="AG300" i="10"/>
  <c r="AG302" i="10"/>
  <c r="AG304" i="10"/>
  <c r="AG306" i="10"/>
  <c r="AG308" i="10"/>
  <c r="AG310" i="10"/>
  <c r="AG312" i="10"/>
  <c r="AG314" i="10"/>
  <c r="AG316" i="10"/>
  <c r="AG318" i="10"/>
  <c r="AG320" i="10"/>
  <c r="AG322" i="10"/>
  <c r="AG324" i="10"/>
  <c r="AG326" i="10"/>
  <c r="AG340" i="10"/>
  <c r="Z340" i="10"/>
  <c r="Y340" i="10" s="1"/>
  <c r="AG356" i="10"/>
  <c r="Z356" i="10"/>
  <c r="Y356" i="10" s="1"/>
  <c r="Z74" i="10"/>
  <c r="Y74" i="10" s="1"/>
  <c r="Z90" i="10"/>
  <c r="Y90" i="10" s="1"/>
  <c r="Z106" i="10"/>
  <c r="Y106" i="10" s="1"/>
  <c r="Z122" i="10"/>
  <c r="Y122" i="10" s="1"/>
  <c r="Z135" i="10"/>
  <c r="Y135" i="10" s="1"/>
  <c r="Z147" i="10"/>
  <c r="Y147" i="10" s="1"/>
  <c r="Z155" i="10"/>
  <c r="Y155" i="10" s="1"/>
  <c r="Z179" i="10"/>
  <c r="Y179" i="10" s="1"/>
  <c r="AG181" i="10"/>
  <c r="Z184" i="10"/>
  <c r="Y184" i="10" s="1"/>
  <c r="Z187" i="10"/>
  <c r="Y187" i="10" s="1"/>
  <c r="AG189" i="10"/>
  <c r="Z192" i="10"/>
  <c r="Y192" i="10" s="1"/>
  <c r="Z195" i="10"/>
  <c r="Y195" i="10" s="1"/>
  <c r="AG197" i="10"/>
  <c r="Z200" i="10"/>
  <c r="Y200" i="10" s="1"/>
  <c r="AG210" i="10"/>
  <c r="AG214" i="10"/>
  <c r="AG218" i="10"/>
  <c r="Y221" i="10"/>
  <c r="Y220" i="10" s="1"/>
  <c r="W220" i="10" s="1"/>
  <c r="AG223" i="10"/>
  <c r="AG227" i="10"/>
  <c r="AG231" i="10"/>
  <c r="AG235" i="10"/>
  <c r="Z328" i="10"/>
  <c r="AG328" i="10"/>
  <c r="Z332" i="10"/>
  <c r="Y332" i="10" s="1"/>
  <c r="AG332" i="10"/>
  <c r="AG336" i="10"/>
  <c r="Z336" i="10"/>
  <c r="Y336" i="10" s="1"/>
  <c r="AG352" i="10"/>
  <c r="Z352" i="10"/>
  <c r="Y352" i="10" s="1"/>
  <c r="AG441" i="10"/>
  <c r="Z441" i="10"/>
  <c r="Y441" i="10" s="1"/>
  <c r="AG445" i="10"/>
  <c r="Z445" i="10"/>
  <c r="Y445" i="10" s="1"/>
  <c r="Y505" i="10"/>
  <c r="Z503" i="10"/>
  <c r="Z149" i="10"/>
  <c r="Y149" i="10" s="1"/>
  <c r="Z153" i="10"/>
  <c r="Y153" i="10" s="1"/>
  <c r="Z157" i="10"/>
  <c r="Y157" i="10" s="1"/>
  <c r="Z161" i="10"/>
  <c r="Y161" i="10" s="1"/>
  <c r="Z165" i="10"/>
  <c r="Y165" i="10" s="1"/>
  <c r="Z169" i="10"/>
  <c r="Y169" i="10" s="1"/>
  <c r="Z173" i="10"/>
  <c r="Y173" i="10" s="1"/>
  <c r="Z178" i="10"/>
  <c r="Z182" i="10"/>
  <c r="Y182" i="10" s="1"/>
  <c r="Z186" i="10"/>
  <c r="Y186" i="10" s="1"/>
  <c r="Z190" i="10"/>
  <c r="Y190" i="10" s="1"/>
  <c r="Z194" i="10"/>
  <c r="Y194" i="10" s="1"/>
  <c r="Z198" i="10"/>
  <c r="Y198" i="10" s="1"/>
  <c r="AG330" i="10"/>
  <c r="AG334" i="10"/>
  <c r="AG361" i="10"/>
  <c r="Z361" i="10"/>
  <c r="Y361" i="10" s="1"/>
  <c r="Y370" i="10"/>
  <c r="Y369" i="10" s="1"/>
  <c r="W369" i="10" s="1"/>
  <c r="Z369" i="10"/>
  <c r="X369" i="10" s="1"/>
  <c r="AG369" i="10" s="1"/>
  <c r="AG331" i="10"/>
  <c r="AG335" i="10"/>
  <c r="AG363" i="10"/>
  <c r="Z363" i="10"/>
  <c r="Y363" i="10" s="1"/>
  <c r="AG365" i="10"/>
  <c r="Z365" i="10"/>
  <c r="Y365" i="10" s="1"/>
  <c r="Z368" i="10"/>
  <c r="Y368" i="10" s="1"/>
  <c r="AG368" i="10"/>
  <c r="AG366" i="10"/>
  <c r="V369" i="10"/>
  <c r="AG372" i="10"/>
  <c r="AG374" i="10"/>
  <c r="Z374" i="10"/>
  <c r="Y374" i="10" s="1"/>
  <c r="Z492" i="10"/>
  <c r="X492" i="10" s="1"/>
  <c r="AG492" i="10" s="1"/>
  <c r="Y493" i="10"/>
  <c r="Y492" i="10" s="1"/>
  <c r="W492" i="10" s="1"/>
  <c r="AG376" i="10"/>
  <c r="Z376" i="10"/>
  <c r="Y376" i="10" s="1"/>
  <c r="Y378" i="10"/>
  <c r="Y377" i="10" s="1"/>
  <c r="W377" i="10" s="1"/>
  <c r="Z377" i="10"/>
  <c r="X377" i="10" s="1"/>
  <c r="AG377" i="10" s="1"/>
  <c r="Y473" i="10"/>
  <c r="Y472" i="10" s="1"/>
  <c r="W472" i="10" s="1"/>
  <c r="Z472" i="10"/>
  <c r="X472" i="10" s="1"/>
  <c r="AG472" i="10" s="1"/>
  <c r="V451" i="10"/>
  <c r="Z456" i="10"/>
  <c r="Y456" i="10" s="1"/>
  <c r="Y451" i="10" s="1"/>
  <c r="W451" i="10" s="1"/>
  <c r="AG456" i="10"/>
  <c r="AG457" i="10"/>
  <c r="AG474" i="10"/>
  <c r="AG476" i="10"/>
  <c r="AG478" i="10"/>
  <c r="AG480" i="10"/>
  <c r="AG482" i="10"/>
  <c r="AG484" i="10"/>
  <c r="AG486" i="10"/>
  <c r="AG488" i="10"/>
  <c r="AG490" i="10"/>
  <c r="AG494" i="10"/>
  <c r="AG443" i="10"/>
  <c r="Z443" i="10"/>
  <c r="Y443" i="10" s="1"/>
  <c r="Y447" i="10"/>
  <c r="W447" i="10" s="1"/>
  <c r="AG449" i="10"/>
  <c r="Z449" i="10"/>
  <c r="Y449" i="10" s="1"/>
  <c r="Z447" i="10"/>
  <c r="X447" i="10" s="1"/>
  <c r="AG447" i="10" s="1"/>
  <c r="Z451" i="10"/>
  <c r="X451" i="10" s="1"/>
  <c r="AG451" i="10" s="1"/>
  <c r="AG455" i="10"/>
  <c r="AG454" i="10"/>
  <c r="AG458" i="10"/>
  <c r="AG499" i="10"/>
  <c r="Z32" i="9"/>
  <c r="Y32" i="9" s="1"/>
  <c r="AG32" i="9"/>
  <c r="Z36" i="9"/>
  <c r="Y36" i="9" s="1"/>
  <c r="AG36" i="9"/>
  <c r="AG103" i="9"/>
  <c r="Z103" i="9"/>
  <c r="Y103" i="9" s="1"/>
  <c r="Z14" i="9"/>
  <c r="Y14" i="9" s="1"/>
  <c r="Z19" i="9"/>
  <c r="Y19" i="9" s="1"/>
  <c r="Z23" i="9"/>
  <c r="Y23" i="9" s="1"/>
  <c r="Z26" i="9"/>
  <c r="Y26" i="9" s="1"/>
  <c r="Z28" i="9"/>
  <c r="Y28" i="9" s="1"/>
  <c r="Z30" i="9"/>
  <c r="Y30" i="9" s="1"/>
  <c r="Z35" i="9"/>
  <c r="Y35" i="9" s="1"/>
  <c r="AG35" i="9"/>
  <c r="AG107" i="9"/>
  <c r="Z107" i="9"/>
  <c r="Y107" i="9" s="1"/>
  <c r="Z10" i="9"/>
  <c r="Z11" i="9"/>
  <c r="Y11" i="9" s="1"/>
  <c r="Z12" i="9"/>
  <c r="Y12" i="9" s="1"/>
  <c r="Z13" i="9"/>
  <c r="Y13" i="9" s="1"/>
  <c r="Z15" i="9"/>
  <c r="Y15" i="9" s="1"/>
  <c r="Z16" i="9"/>
  <c r="Y16" i="9" s="1"/>
  <c r="Z17" i="9"/>
  <c r="Y17" i="9" s="1"/>
  <c r="Z18" i="9"/>
  <c r="Y18" i="9" s="1"/>
  <c r="Z20" i="9"/>
  <c r="Y20" i="9" s="1"/>
  <c r="Z21" i="9"/>
  <c r="Y21" i="9" s="1"/>
  <c r="Z22" i="9"/>
  <c r="Y22" i="9" s="1"/>
  <c r="Z24" i="9"/>
  <c r="Y24" i="9" s="1"/>
  <c r="Z25" i="9"/>
  <c r="Y25" i="9" s="1"/>
  <c r="Z27" i="9"/>
  <c r="Y27" i="9" s="1"/>
  <c r="Z29" i="9"/>
  <c r="Y29" i="9" s="1"/>
  <c r="V9" i="9"/>
  <c r="Z34" i="9"/>
  <c r="Y34" i="9" s="1"/>
  <c r="AG34" i="9"/>
  <c r="AG43" i="9"/>
  <c r="Z45" i="9"/>
  <c r="Y45" i="9" s="1"/>
  <c r="Z47" i="9"/>
  <c r="Y47" i="9" s="1"/>
  <c r="Z50" i="9"/>
  <c r="Y50" i="9" s="1"/>
  <c r="Z51" i="9"/>
  <c r="Y51" i="9" s="1"/>
  <c r="Z66" i="9"/>
  <c r="Y66" i="9" s="1"/>
  <c r="Z82" i="9"/>
  <c r="Y82" i="9" s="1"/>
  <c r="Z98" i="9"/>
  <c r="Y98" i="9" s="1"/>
  <c r="Z114" i="9"/>
  <c r="Y114" i="9" s="1"/>
  <c r="Z33" i="9"/>
  <c r="Y33" i="9" s="1"/>
  <c r="AG33" i="9"/>
  <c r="Z37" i="9"/>
  <c r="Y37" i="9" s="1"/>
  <c r="AG37" i="9"/>
  <c r="Z41" i="9"/>
  <c r="Y41" i="9" s="1"/>
  <c r="Z43" i="9"/>
  <c r="Y43" i="9" s="1"/>
  <c r="Z54" i="9"/>
  <c r="Y54" i="9" s="1"/>
  <c r="Z70" i="9"/>
  <c r="Y70" i="9" s="1"/>
  <c r="AG83" i="9"/>
  <c r="Z83" i="9"/>
  <c r="Y83" i="9" s="1"/>
  <c r="Z86" i="9"/>
  <c r="Y86" i="9" s="1"/>
  <c r="Z87" i="9"/>
  <c r="Y87" i="9" s="1"/>
  <c r="Z102" i="9"/>
  <c r="Y102" i="9" s="1"/>
  <c r="AG115" i="9"/>
  <c r="Z115" i="9"/>
  <c r="Y115" i="9" s="1"/>
  <c r="Z118" i="9"/>
  <c r="Y118" i="9" s="1"/>
  <c r="Z130" i="9"/>
  <c r="Y130" i="9" s="1"/>
  <c r="Z55" i="9"/>
  <c r="Y55" i="9" s="1"/>
  <c r="Z79" i="9"/>
  <c r="Y79" i="9" s="1"/>
  <c r="Z99" i="9"/>
  <c r="Y99" i="9" s="1"/>
  <c r="Z119" i="9"/>
  <c r="Y119" i="9" s="1"/>
  <c r="Z120" i="9"/>
  <c r="Y120" i="9" s="1"/>
  <c r="Z134" i="9"/>
  <c r="Z145" i="9"/>
  <c r="Y145" i="9" s="1"/>
  <c r="Z150" i="9"/>
  <c r="Y150" i="9" s="1"/>
  <c r="Z71" i="9"/>
  <c r="Y71" i="9" s="1"/>
  <c r="Z75" i="9"/>
  <c r="Y75" i="9" s="1"/>
  <c r="Z91" i="9"/>
  <c r="Y91" i="9" s="1"/>
  <c r="Z95" i="9"/>
  <c r="Y95" i="9" s="1"/>
  <c r="Z125" i="9"/>
  <c r="Y125" i="9" s="1"/>
  <c r="Z158" i="9"/>
  <c r="Y158" i="9" s="1"/>
  <c r="AD175" i="9"/>
  <c r="Z175" i="9"/>
  <c r="Y175" i="9" s="1"/>
  <c r="AG212" i="9"/>
  <c r="Z431" i="9"/>
  <c r="Y431" i="9" s="1"/>
  <c r="AG431" i="9"/>
  <c r="Z433" i="9"/>
  <c r="Y433" i="9" s="1"/>
  <c r="AG433" i="9"/>
  <c r="AD46" i="9"/>
  <c r="AD50" i="9"/>
  <c r="AD58" i="9"/>
  <c r="AD62" i="9"/>
  <c r="AD66" i="9"/>
  <c r="AD70" i="9"/>
  <c r="AD74" i="9"/>
  <c r="AD78" i="9"/>
  <c r="AD82" i="9"/>
  <c r="AD86" i="9"/>
  <c r="AD90" i="9"/>
  <c r="AD94" i="9"/>
  <c r="AD98" i="9"/>
  <c r="AD102" i="9"/>
  <c r="AD106" i="9"/>
  <c r="AD110" i="9"/>
  <c r="AD114" i="9"/>
  <c r="AD118" i="9"/>
  <c r="Z121" i="9"/>
  <c r="Y121" i="9" s="1"/>
  <c r="AD124" i="9"/>
  <c r="AD126" i="9"/>
  <c r="Z131" i="9"/>
  <c r="Y131" i="9" s="1"/>
  <c r="AD135" i="9"/>
  <c r="V133" i="9" s="1"/>
  <c r="Z140" i="9"/>
  <c r="Y140" i="9" s="1"/>
  <c r="Z143" i="9"/>
  <c r="Y143" i="9" s="1"/>
  <c r="Z146" i="9"/>
  <c r="Y146" i="9" s="1"/>
  <c r="AD149" i="9"/>
  <c r="AG155" i="9"/>
  <c r="AD172" i="9"/>
  <c r="Z172" i="9"/>
  <c r="Y172" i="9" s="1"/>
  <c r="AG175" i="9"/>
  <c r="AD184" i="9"/>
  <c r="Z188" i="9"/>
  <c r="Y188" i="9" s="1"/>
  <c r="AG193" i="9"/>
  <c r="AD200" i="9"/>
  <c r="AG211" i="9"/>
  <c r="AG219" i="9"/>
  <c r="Z358" i="9"/>
  <c r="Y358" i="9" s="1"/>
  <c r="AG358" i="9"/>
  <c r="Z378" i="9"/>
  <c r="AG378" i="9"/>
  <c r="Z457" i="9"/>
  <c r="Y457" i="9" s="1"/>
  <c r="AG457" i="9"/>
  <c r="Z67" i="9"/>
  <c r="Y67" i="9" s="1"/>
  <c r="Z333" i="9"/>
  <c r="Y333" i="9" s="1"/>
  <c r="AG333" i="9"/>
  <c r="Z341" i="9"/>
  <c r="Y341" i="9" s="1"/>
  <c r="AG341" i="9"/>
  <c r="Z350" i="9"/>
  <c r="Y350" i="9" s="1"/>
  <c r="AG350" i="9"/>
  <c r="Z385" i="9"/>
  <c r="Y385" i="9" s="1"/>
  <c r="AG385" i="9"/>
  <c r="AD42" i="9"/>
  <c r="V38" i="9" s="1"/>
  <c r="AD54" i="9"/>
  <c r="AD51" i="9"/>
  <c r="AD59" i="9"/>
  <c r="AD63" i="9"/>
  <c r="AD87" i="9"/>
  <c r="AD111" i="9"/>
  <c r="Z127" i="9"/>
  <c r="Y127" i="9" s="1"/>
  <c r="Z136" i="9"/>
  <c r="Y136" i="9" s="1"/>
  <c r="Z142" i="9"/>
  <c r="Y142" i="9" s="1"/>
  <c r="AD151" i="9"/>
  <c r="Z152" i="9"/>
  <c r="Y152" i="9" s="1"/>
  <c r="Z153" i="9"/>
  <c r="Y153" i="9" s="1"/>
  <c r="Z154" i="9"/>
  <c r="Y154" i="9" s="1"/>
  <c r="Z155" i="9"/>
  <c r="Y155" i="9" s="1"/>
  <c r="AD159" i="9"/>
  <c r="Z160" i="9"/>
  <c r="Y160" i="9" s="1"/>
  <c r="Z161" i="9"/>
  <c r="Y161" i="9" s="1"/>
  <c r="AD167" i="9"/>
  <c r="Z167" i="9"/>
  <c r="Y167" i="9" s="1"/>
  <c r="Z171" i="9"/>
  <c r="Y171" i="9" s="1"/>
  <c r="AG180" i="9"/>
  <c r="Z189" i="9"/>
  <c r="Y189" i="9" s="1"/>
  <c r="Z190" i="9"/>
  <c r="Y190" i="9" s="1"/>
  <c r="AG196" i="9"/>
  <c r="V202" i="9"/>
  <c r="AG208" i="9"/>
  <c r="AG210" i="9"/>
  <c r="AG216" i="9"/>
  <c r="AG218" i="9"/>
  <c r="AG238" i="9"/>
  <c r="AG240" i="9"/>
  <c r="AG242" i="9"/>
  <c r="AG244" i="9"/>
  <c r="AG246" i="9"/>
  <c r="AG262" i="9"/>
  <c r="AG278" i="9"/>
  <c r="Z366" i="9"/>
  <c r="Y366" i="9" s="1"/>
  <c r="AG366" i="9"/>
  <c r="Z123" i="9"/>
  <c r="Y123" i="9" s="1"/>
  <c r="Z129" i="9"/>
  <c r="Y129" i="9" s="1"/>
  <c r="Z138" i="9"/>
  <c r="Y138" i="9" s="1"/>
  <c r="Z148" i="9"/>
  <c r="Y148" i="9" s="1"/>
  <c r="AD164" i="9"/>
  <c r="Z164" i="9"/>
  <c r="Y164" i="9" s="1"/>
  <c r="Z170" i="9"/>
  <c r="Y170" i="9" s="1"/>
  <c r="Z176" i="9"/>
  <c r="Y176" i="9" s="1"/>
  <c r="Z178" i="9"/>
  <c r="Z179" i="9"/>
  <c r="Y179" i="9" s="1"/>
  <c r="Z180" i="9"/>
  <c r="Y180" i="9" s="1"/>
  <c r="Z183" i="9"/>
  <c r="Y183" i="9" s="1"/>
  <c r="Z184" i="9"/>
  <c r="Y184" i="9" s="1"/>
  <c r="Z194" i="9"/>
  <c r="Y194" i="9" s="1"/>
  <c r="Z195" i="9"/>
  <c r="Y195" i="9" s="1"/>
  <c r="Z196" i="9"/>
  <c r="Y196" i="9" s="1"/>
  <c r="Z199" i="9"/>
  <c r="Y199" i="9" s="1"/>
  <c r="Z200" i="9"/>
  <c r="Y200" i="9" s="1"/>
  <c r="Y203" i="9"/>
  <c r="Y202" i="9" s="1"/>
  <c r="W202" i="9" s="1"/>
  <c r="AG207" i="9"/>
  <c r="AG215" i="9"/>
  <c r="Y238" i="9"/>
  <c r="Y237" i="9" s="1"/>
  <c r="W237" i="9" s="1"/>
  <c r="AG258" i="9"/>
  <c r="AG274" i="9"/>
  <c r="Z295" i="9"/>
  <c r="Y295" i="9" s="1"/>
  <c r="AG295" i="9"/>
  <c r="Z303" i="9"/>
  <c r="Y303" i="9" s="1"/>
  <c r="AG303" i="9"/>
  <c r="Z311" i="9"/>
  <c r="Y311" i="9" s="1"/>
  <c r="AG311" i="9"/>
  <c r="Z319" i="9"/>
  <c r="Y319" i="9" s="1"/>
  <c r="AG319" i="9"/>
  <c r="AG334" i="9"/>
  <c r="AG342" i="9"/>
  <c r="AG443" i="9"/>
  <c r="Z443" i="9"/>
  <c r="Y443" i="9" s="1"/>
  <c r="AD163" i="9"/>
  <c r="Z165" i="9"/>
  <c r="Y165" i="9" s="1"/>
  <c r="Z166" i="9"/>
  <c r="Y166" i="9" s="1"/>
  <c r="AD171" i="9"/>
  <c r="Z173" i="9"/>
  <c r="Y173" i="9" s="1"/>
  <c r="Z174" i="9"/>
  <c r="Y174" i="9" s="1"/>
  <c r="V177" i="9"/>
  <c r="AG184" i="9"/>
  <c r="AG192" i="9"/>
  <c r="AG200" i="9"/>
  <c r="AG209" i="9"/>
  <c r="AG213" i="9"/>
  <c r="AG217" i="9"/>
  <c r="AG223" i="9"/>
  <c r="AG227" i="9"/>
  <c r="AG231" i="9"/>
  <c r="AG235" i="9"/>
  <c r="AG241" i="9"/>
  <c r="AG245" i="9"/>
  <c r="AG249" i="9"/>
  <c r="AG253" i="9"/>
  <c r="AG257" i="9"/>
  <c r="AG261" i="9"/>
  <c r="AG265" i="9"/>
  <c r="AG269" i="9"/>
  <c r="AG273" i="9"/>
  <c r="AG277" i="9"/>
  <c r="AG281" i="9"/>
  <c r="AG285" i="9"/>
  <c r="AG291" i="9"/>
  <c r="AG299" i="9"/>
  <c r="AG307" i="9"/>
  <c r="AG315" i="9"/>
  <c r="AG323" i="9"/>
  <c r="Z409" i="9"/>
  <c r="Y409" i="9" s="1"/>
  <c r="AG409" i="9"/>
  <c r="Z439" i="9"/>
  <c r="Y439" i="9" s="1"/>
  <c r="AG439" i="9"/>
  <c r="AG441" i="9"/>
  <c r="Z441" i="9"/>
  <c r="Y441" i="9" s="1"/>
  <c r="AG442" i="9"/>
  <c r="Z442" i="9"/>
  <c r="Y442" i="9" s="1"/>
  <c r="AG248" i="9"/>
  <c r="AG252" i="9"/>
  <c r="AG256" i="9"/>
  <c r="AG260" i="9"/>
  <c r="AG264" i="9"/>
  <c r="AG268" i="9"/>
  <c r="AG272" i="9"/>
  <c r="AG276" i="9"/>
  <c r="AG280" i="9"/>
  <c r="AG284" i="9"/>
  <c r="AG288" i="9"/>
  <c r="AG351" i="9"/>
  <c r="AG359" i="9"/>
  <c r="AG367" i="9"/>
  <c r="Z381" i="9"/>
  <c r="Y381" i="9" s="1"/>
  <c r="AG381" i="9"/>
  <c r="Z415" i="9"/>
  <c r="Y415" i="9" s="1"/>
  <c r="AG415" i="9"/>
  <c r="Z417" i="9"/>
  <c r="Y417" i="9" s="1"/>
  <c r="Y407" i="9" s="1"/>
  <c r="W407" i="9" s="1"/>
  <c r="AG417" i="9"/>
  <c r="Y452" i="9"/>
  <c r="AG221" i="9"/>
  <c r="AG225" i="9"/>
  <c r="AG229" i="9"/>
  <c r="AG233" i="9"/>
  <c r="V237" i="9"/>
  <c r="AG239" i="9"/>
  <c r="AG243" i="9"/>
  <c r="AG247" i="9"/>
  <c r="AG251" i="9"/>
  <c r="AG255" i="9"/>
  <c r="AG259" i="9"/>
  <c r="AG263" i="9"/>
  <c r="AG267" i="9"/>
  <c r="AG271" i="9"/>
  <c r="AG275" i="9"/>
  <c r="AG279" i="9"/>
  <c r="AG283" i="9"/>
  <c r="AG287" i="9"/>
  <c r="AG335" i="9"/>
  <c r="AG343" i="9"/>
  <c r="Z423" i="9"/>
  <c r="Y423" i="9" s="1"/>
  <c r="AG423" i="9"/>
  <c r="Z425" i="9"/>
  <c r="Y425" i="9" s="1"/>
  <c r="AG425" i="9"/>
  <c r="AG445" i="9"/>
  <c r="Z445" i="9"/>
  <c r="Y445" i="9" s="1"/>
  <c r="V451" i="9"/>
  <c r="Y505" i="9"/>
  <c r="Z503" i="9"/>
  <c r="AG347" i="9"/>
  <c r="AG355" i="9"/>
  <c r="AG363" i="9"/>
  <c r="AG382" i="9"/>
  <c r="Z407" i="9"/>
  <c r="X407" i="9" s="1"/>
  <c r="AG407" i="9" s="1"/>
  <c r="AG444" i="9"/>
  <c r="Z444" i="9"/>
  <c r="Y444" i="9" s="1"/>
  <c r="AG479" i="9"/>
  <c r="AG487" i="9"/>
  <c r="Z344" i="9"/>
  <c r="Y344" i="9" s="1"/>
  <c r="Y327" i="9" s="1"/>
  <c r="W327" i="9" s="1"/>
  <c r="AG344" i="9"/>
  <c r="AG346" i="9"/>
  <c r="AG354" i="9"/>
  <c r="AG362" i="9"/>
  <c r="AG376" i="9"/>
  <c r="Z455" i="9"/>
  <c r="Y455" i="9" s="1"/>
  <c r="AG455" i="9"/>
  <c r="Z456" i="9"/>
  <c r="Y456" i="9" s="1"/>
  <c r="AG456" i="9"/>
  <c r="Y473" i="9"/>
  <c r="Z476" i="9"/>
  <c r="Y476" i="9" s="1"/>
  <c r="AG476" i="9"/>
  <c r="Z478" i="9"/>
  <c r="Y478" i="9" s="1"/>
  <c r="AG478" i="9"/>
  <c r="Z484" i="9"/>
  <c r="Y484" i="9" s="1"/>
  <c r="AG484" i="9"/>
  <c r="Z486" i="9"/>
  <c r="Y486" i="9" s="1"/>
  <c r="AG486" i="9"/>
  <c r="Y491" i="9"/>
  <c r="AL491" i="9"/>
  <c r="AG348" i="9"/>
  <c r="AG352" i="9"/>
  <c r="AG356" i="9"/>
  <c r="AG360" i="9"/>
  <c r="AG364" i="9"/>
  <c r="AG368" i="9"/>
  <c r="Z369" i="9"/>
  <c r="X369" i="9" s="1"/>
  <c r="AG369" i="9" s="1"/>
  <c r="AG370" i="9"/>
  <c r="AG374" i="9"/>
  <c r="AG380" i="9"/>
  <c r="AG384" i="9"/>
  <c r="V407" i="9"/>
  <c r="AG454" i="9"/>
  <c r="AG458" i="9"/>
  <c r="Y369" i="9"/>
  <c r="W369" i="9" s="1"/>
  <c r="V377" i="9"/>
  <c r="AG379" i="9"/>
  <c r="AG383" i="9"/>
  <c r="Y448" i="9"/>
  <c r="Y447" i="9" s="1"/>
  <c r="W447" i="9" s="1"/>
  <c r="Z447" i="9"/>
  <c r="X447" i="9" s="1"/>
  <c r="AG447" i="9" s="1"/>
  <c r="AG449" i="9"/>
  <c r="Z449" i="9"/>
  <c r="Y449" i="9" s="1"/>
  <c r="Z499" i="9"/>
  <c r="Z498" i="9" s="1"/>
  <c r="X498" i="9" s="1"/>
  <c r="AG498" i="9" s="1"/>
  <c r="AG499" i="9"/>
  <c r="AG497" i="9"/>
  <c r="AH183" i="7"/>
  <c r="AH80" i="7"/>
  <c r="AH185" i="7"/>
  <c r="AH184" i="7"/>
  <c r="AH187" i="7"/>
  <c r="AH188" i="7"/>
  <c r="AH194" i="7"/>
  <c r="AH200" i="7"/>
  <c r="AH198" i="7"/>
  <c r="AH381" i="7"/>
  <c r="AH383" i="7"/>
  <c r="AH487" i="7"/>
  <c r="AH466" i="7"/>
  <c r="AH455" i="7"/>
  <c r="AH454" i="7"/>
  <c r="AH493" i="7"/>
  <c r="AH490" i="7"/>
  <c r="AH465" i="7"/>
  <c r="AH458" i="7"/>
  <c r="AH467" i="7"/>
  <c r="AH450" i="7"/>
  <c r="AH448" i="7"/>
  <c r="AH236" i="7"/>
  <c r="AH231" i="7"/>
  <c r="AH230" i="7"/>
  <c r="AH229" i="7"/>
  <c r="AH227" i="7"/>
  <c r="AH226" i="7"/>
  <c r="AH225" i="7"/>
  <c r="AH224" i="7"/>
  <c r="AH221" i="7"/>
  <c r="AH222" i="7"/>
  <c r="AH209" i="7"/>
  <c r="AH208" i="7"/>
  <c r="AH207" i="7"/>
  <c r="AH182" i="7"/>
  <c r="AH176" i="7"/>
  <c r="AH154" i="7"/>
  <c r="AH152" i="7"/>
  <c r="AH145" i="7"/>
  <c r="AH144" i="7"/>
  <c r="AH143" i="7"/>
  <c r="AH124" i="7"/>
  <c r="AH117" i="7"/>
  <c r="AH118" i="7"/>
  <c r="AH111" i="7"/>
  <c r="AH81" i="7"/>
  <c r="AH60" i="7"/>
  <c r="AH64" i="7"/>
  <c r="AH63" i="7"/>
  <c r="AH62" i="7"/>
  <c r="AH46" i="7"/>
  <c r="AH49" i="7"/>
  <c r="AH44" i="7"/>
  <c r="W44" i="7" s="1"/>
  <c r="W495" i="13" l="1"/>
  <c r="Y500" i="13"/>
  <c r="Y7" i="13"/>
  <c r="Y202" i="11"/>
  <c r="W202" i="11" s="1"/>
  <c r="Y377" i="11"/>
  <c r="W377" i="11" s="1"/>
  <c r="Z202" i="11"/>
  <c r="X202" i="11" s="1"/>
  <c r="AG202" i="11" s="1"/>
  <c r="Y409" i="11"/>
  <c r="Y407" i="11" s="1"/>
  <c r="W407" i="11" s="1"/>
  <c r="Z407" i="11"/>
  <c r="X407" i="11" s="1"/>
  <c r="AG407" i="11" s="1"/>
  <c r="V177" i="11"/>
  <c r="V133" i="11"/>
  <c r="V38" i="11"/>
  <c r="Z451" i="11"/>
  <c r="X451" i="11" s="1"/>
  <c r="AG451" i="11" s="1"/>
  <c r="Y452" i="11"/>
  <c r="Y451" i="11" s="1"/>
  <c r="W451" i="11" s="1"/>
  <c r="Y179" i="11"/>
  <c r="Y177" i="11" s="1"/>
  <c r="W177" i="11" s="1"/>
  <c r="Z177" i="11"/>
  <c r="X177" i="11" s="1"/>
  <c r="AG177" i="11" s="1"/>
  <c r="Y135" i="11"/>
  <c r="Y133" i="11" s="1"/>
  <c r="W133" i="11" s="1"/>
  <c r="Z133" i="11"/>
  <c r="X133" i="11" s="1"/>
  <c r="AG133" i="11" s="1"/>
  <c r="Z472" i="11"/>
  <c r="X472" i="11" s="1"/>
  <c r="AG472" i="11" s="1"/>
  <c r="Y473" i="11"/>
  <c r="Y472" i="11" s="1"/>
  <c r="W472" i="11" s="1"/>
  <c r="AG228" i="11"/>
  <c r="Z228" i="11"/>
  <c r="Y228" i="11" s="1"/>
  <c r="Z377" i="11"/>
  <c r="X377" i="11" s="1"/>
  <c r="AG377" i="11" s="1"/>
  <c r="Z327" i="11"/>
  <c r="X327" i="11" s="1"/>
  <c r="AG327" i="11" s="1"/>
  <c r="Y329" i="11"/>
  <c r="Y327" i="11" s="1"/>
  <c r="W327" i="11" s="1"/>
  <c r="Z9" i="11"/>
  <c r="Y10" i="11"/>
  <c r="Y9" i="11" s="1"/>
  <c r="Y220" i="11"/>
  <c r="W220" i="11" s="1"/>
  <c r="Z38" i="11"/>
  <c r="X38" i="11" s="1"/>
  <c r="AG38" i="11" s="1"/>
  <c r="Y39" i="11"/>
  <c r="Y38" i="11" s="1"/>
  <c r="W38" i="11" s="1"/>
  <c r="Z237" i="11"/>
  <c r="X237" i="11" s="1"/>
  <c r="AG237" i="11" s="1"/>
  <c r="Y239" i="11"/>
  <c r="Y237" i="11" s="1"/>
  <c r="W237" i="11" s="1"/>
  <c r="Z447" i="11"/>
  <c r="X447" i="11" s="1"/>
  <c r="AG447" i="11" s="1"/>
  <c r="Y448" i="11"/>
  <c r="Y447" i="11" s="1"/>
  <c r="W447" i="11" s="1"/>
  <c r="Z496" i="11"/>
  <c r="X496" i="11" s="1"/>
  <c r="AG496" i="11" s="1"/>
  <c r="Y497" i="11"/>
  <c r="Y496" i="11" s="1"/>
  <c r="W496" i="11" s="1"/>
  <c r="Y371" i="11"/>
  <c r="Y369" i="11" s="1"/>
  <c r="W369" i="11" s="1"/>
  <c r="Z369" i="11"/>
  <c r="X369" i="11" s="1"/>
  <c r="AG369" i="11" s="1"/>
  <c r="Z220" i="9"/>
  <c r="X220" i="9" s="1"/>
  <c r="AG220" i="9" s="1"/>
  <c r="Y38" i="9"/>
  <c r="W38" i="9" s="1"/>
  <c r="V38" i="10"/>
  <c r="V8" i="10" s="1"/>
  <c r="V7" i="10" s="1"/>
  <c r="AI7" i="10" s="1"/>
  <c r="Y10" i="10"/>
  <c r="Y9" i="10" s="1"/>
  <c r="Z9" i="10"/>
  <c r="Z177" i="10"/>
  <c r="X177" i="10" s="1"/>
  <c r="AG177" i="10" s="1"/>
  <c r="Y178" i="10"/>
  <c r="Y177" i="10" s="1"/>
  <c r="W177" i="10" s="1"/>
  <c r="Y39" i="10"/>
  <c r="Y38" i="10" s="1"/>
  <c r="W38" i="10" s="1"/>
  <c r="Z38" i="10"/>
  <c r="X38" i="10" s="1"/>
  <c r="AG38" i="10" s="1"/>
  <c r="Y328" i="10"/>
  <c r="Y327" i="10" s="1"/>
  <c r="W327" i="10" s="1"/>
  <c r="Z327" i="10"/>
  <c r="X327" i="10" s="1"/>
  <c r="AG327" i="10" s="1"/>
  <c r="Z407" i="10"/>
  <c r="X407" i="10" s="1"/>
  <c r="AG407" i="10" s="1"/>
  <c r="Z133" i="10"/>
  <c r="X133" i="10" s="1"/>
  <c r="AG133" i="10" s="1"/>
  <c r="Y134" i="10"/>
  <c r="Y133" i="10" s="1"/>
  <c r="W133" i="10" s="1"/>
  <c r="Y407" i="10"/>
  <c r="W407" i="10" s="1"/>
  <c r="Y472" i="9"/>
  <c r="W472" i="9" s="1"/>
  <c r="Z327" i="9"/>
  <c r="X327" i="9" s="1"/>
  <c r="AG327" i="9" s="1"/>
  <c r="Z451" i="9"/>
  <c r="X451" i="9" s="1"/>
  <c r="AG451" i="9" s="1"/>
  <c r="Z472" i="9"/>
  <c r="X472" i="9" s="1"/>
  <c r="AG472" i="9" s="1"/>
  <c r="Y451" i="9"/>
  <c r="W451" i="9" s="1"/>
  <c r="Z237" i="9"/>
  <c r="X237" i="9" s="1"/>
  <c r="AG237" i="9" s="1"/>
  <c r="Z133" i="9"/>
  <c r="X133" i="9" s="1"/>
  <c r="AG133" i="9" s="1"/>
  <c r="Y134" i="9"/>
  <c r="Y133" i="9" s="1"/>
  <c r="W133" i="9" s="1"/>
  <c r="Z38" i="9"/>
  <c r="X38" i="9" s="1"/>
  <c r="AG38" i="9" s="1"/>
  <c r="Y10" i="9"/>
  <c r="Y9" i="9" s="1"/>
  <c r="Z9" i="9"/>
  <c r="Z177" i="9"/>
  <c r="X177" i="9" s="1"/>
  <c r="AG177" i="9" s="1"/>
  <c r="Y178" i="9"/>
  <c r="Y177" i="9" s="1"/>
  <c r="W177" i="9" s="1"/>
  <c r="Z377" i="9"/>
  <c r="X377" i="9" s="1"/>
  <c r="AG377" i="9" s="1"/>
  <c r="Y378" i="9"/>
  <c r="Y377" i="9" s="1"/>
  <c r="W377" i="9" s="1"/>
  <c r="V8" i="9"/>
  <c r="V7" i="9" s="1"/>
  <c r="AI7" i="9" s="1"/>
  <c r="AH43" i="7"/>
  <c r="AH42" i="7"/>
  <c r="AH41" i="7"/>
  <c r="W7" i="13" l="1"/>
  <c r="AJ9" i="13"/>
  <c r="AI6" i="13" s="1"/>
  <c r="Z220" i="11"/>
  <c r="X220" i="11" s="1"/>
  <c r="AG220" i="11" s="1"/>
  <c r="Y8" i="11"/>
  <c r="W9" i="11"/>
  <c r="V8" i="11"/>
  <c r="V7" i="11" s="1"/>
  <c r="X9" i="11"/>
  <c r="X9" i="10"/>
  <c r="Z8" i="10"/>
  <c r="Y8" i="10"/>
  <c r="W9" i="10"/>
  <c r="W9" i="9"/>
  <c r="Y8" i="9"/>
  <c r="Z8" i="9"/>
  <c r="X9" i="9"/>
  <c r="AH32" i="7"/>
  <c r="AH30" i="7"/>
  <c r="AH21" i="7"/>
  <c r="W21" i="7" s="1"/>
  <c r="AH20" i="7"/>
  <c r="AH13" i="7"/>
  <c r="Z8" i="11" l="1"/>
  <c r="Z7" i="11" s="1"/>
  <c r="W8" i="11"/>
  <c r="W8" i="10"/>
  <c r="Z500" i="10"/>
  <c r="X8" i="10"/>
  <c r="Z7" i="10"/>
  <c r="Z500" i="9"/>
  <c r="X8" i="9"/>
  <c r="Z7" i="9"/>
  <c r="W8" i="9"/>
  <c r="W49" i="7"/>
  <c r="X49" i="7" s="1"/>
  <c r="W32" i="7"/>
  <c r="X32" i="7" s="1"/>
  <c r="AI7" i="7"/>
  <c r="AH406" i="7"/>
  <c r="AD406" i="7"/>
  <c r="AC10" i="7"/>
  <c r="AC11" i="7"/>
  <c r="AC12" i="7"/>
  <c r="AD12" i="7" s="1"/>
  <c r="AC13" i="7"/>
  <c r="AD13" i="7" s="1"/>
  <c r="AC14" i="7"/>
  <c r="AC15" i="7"/>
  <c r="AC16" i="7"/>
  <c r="AD16" i="7" s="1"/>
  <c r="AC17" i="7"/>
  <c r="AD17" i="7" s="1"/>
  <c r="AC18" i="7"/>
  <c r="AC19" i="7"/>
  <c r="AC20" i="7"/>
  <c r="AD20" i="7" s="1"/>
  <c r="AC21" i="7"/>
  <c r="AD21" i="7" s="1"/>
  <c r="AC22" i="7"/>
  <c r="AC23" i="7"/>
  <c r="AC24" i="7"/>
  <c r="AC25" i="7"/>
  <c r="AD25" i="7" s="1"/>
  <c r="AC26" i="7"/>
  <c r="AC27" i="7"/>
  <c r="AC28" i="7"/>
  <c r="AD28" i="7" s="1"/>
  <c r="AC29" i="7"/>
  <c r="AD29" i="7" s="1"/>
  <c r="AC30" i="7"/>
  <c r="AC31" i="7"/>
  <c r="AC32" i="7"/>
  <c r="AD32" i="7" s="1"/>
  <c r="AC33" i="7"/>
  <c r="AD33" i="7" s="1"/>
  <c r="AC34" i="7"/>
  <c r="AC35" i="7"/>
  <c r="AC36" i="7"/>
  <c r="AC37" i="7"/>
  <c r="AD37" i="7" s="1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D101" i="7" s="1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D116" i="7" s="1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D152" i="7" s="1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D173" i="7" s="1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D189" i="7" s="1"/>
  <c r="AC190" i="7"/>
  <c r="AC191" i="7"/>
  <c r="AC192" i="7"/>
  <c r="AD192" i="7" s="1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D204" i="7" s="1"/>
  <c r="AC205" i="7"/>
  <c r="AD205" i="7" s="1"/>
  <c r="AC206" i="7"/>
  <c r="AC207" i="7"/>
  <c r="AC208" i="7"/>
  <c r="AD208" i="7" s="1"/>
  <c r="AC209" i="7"/>
  <c r="AD209" i="7" s="1"/>
  <c r="AC210" i="7"/>
  <c r="AC211" i="7"/>
  <c r="AC212" i="7"/>
  <c r="AC213" i="7"/>
  <c r="AD213" i="7" s="1"/>
  <c r="AC214" i="7"/>
  <c r="AC215" i="7"/>
  <c r="AC216" i="7"/>
  <c r="AC217" i="7"/>
  <c r="AD217" i="7" s="1"/>
  <c r="AC218" i="7"/>
  <c r="AC219" i="7"/>
  <c r="AC220" i="7"/>
  <c r="AC221" i="7"/>
  <c r="AD221" i="7" s="1"/>
  <c r="AC222" i="7"/>
  <c r="AC223" i="7"/>
  <c r="AC224" i="7"/>
  <c r="AD224" i="7" s="1"/>
  <c r="AC225" i="7"/>
  <c r="AD225" i="7" s="1"/>
  <c r="AC226" i="7"/>
  <c r="AC227" i="7"/>
  <c r="AC228" i="7"/>
  <c r="AC229" i="7"/>
  <c r="AD229" i="7" s="1"/>
  <c r="AC230" i="7"/>
  <c r="AC231" i="7"/>
  <c r="AC232" i="7"/>
  <c r="AD232" i="7" s="1"/>
  <c r="AC233" i="7"/>
  <c r="AD233" i="7" s="1"/>
  <c r="AC234" i="7"/>
  <c r="AC235" i="7"/>
  <c r="AC236" i="7"/>
  <c r="AD236" i="7" s="1"/>
  <c r="AC237" i="7"/>
  <c r="AC238" i="7"/>
  <c r="AC239" i="7"/>
  <c r="AC240" i="7"/>
  <c r="AD240" i="7" s="1"/>
  <c r="AC241" i="7"/>
  <c r="AD241" i="7" s="1"/>
  <c r="AC242" i="7"/>
  <c r="AC243" i="7"/>
  <c r="AC244" i="7"/>
  <c r="AD244" i="7" s="1"/>
  <c r="AC245" i="7"/>
  <c r="AD245" i="7" s="1"/>
  <c r="AC246" i="7"/>
  <c r="AC247" i="7"/>
  <c r="AC248" i="7"/>
  <c r="AD248" i="7" s="1"/>
  <c r="AC249" i="7"/>
  <c r="AD249" i="7" s="1"/>
  <c r="AC250" i="7"/>
  <c r="AC251" i="7"/>
  <c r="AC252" i="7"/>
  <c r="AD252" i="7" s="1"/>
  <c r="AC253" i="7"/>
  <c r="AD253" i="7" s="1"/>
  <c r="AC254" i="7"/>
  <c r="AC255" i="7"/>
  <c r="AC256" i="7"/>
  <c r="AD256" i="7" s="1"/>
  <c r="AC257" i="7"/>
  <c r="AD257" i="7" s="1"/>
  <c r="AC258" i="7"/>
  <c r="AC259" i="7"/>
  <c r="AC260" i="7"/>
  <c r="AD260" i="7" s="1"/>
  <c r="AC261" i="7"/>
  <c r="AD261" i="7" s="1"/>
  <c r="AC262" i="7"/>
  <c r="AC263" i="7"/>
  <c r="AC264" i="7"/>
  <c r="AD264" i="7" s="1"/>
  <c r="AC265" i="7"/>
  <c r="AD265" i="7" s="1"/>
  <c r="AC266" i="7"/>
  <c r="AC267" i="7"/>
  <c r="AC268" i="7"/>
  <c r="AD268" i="7" s="1"/>
  <c r="AC269" i="7"/>
  <c r="AD269" i="7" s="1"/>
  <c r="AC270" i="7"/>
  <c r="AC271" i="7"/>
  <c r="AC272" i="7"/>
  <c r="AD272" i="7" s="1"/>
  <c r="AC273" i="7"/>
  <c r="AD273" i="7" s="1"/>
  <c r="AC274" i="7"/>
  <c r="AC275" i="7"/>
  <c r="AC276" i="7"/>
  <c r="AD276" i="7" s="1"/>
  <c r="AC277" i="7"/>
  <c r="AD277" i="7" s="1"/>
  <c r="AC278" i="7"/>
  <c r="AC279" i="7"/>
  <c r="AC280" i="7"/>
  <c r="AD280" i="7" s="1"/>
  <c r="AC281" i="7"/>
  <c r="AD281" i="7" s="1"/>
  <c r="AC282" i="7"/>
  <c r="AC283" i="7"/>
  <c r="AC284" i="7"/>
  <c r="AD284" i="7" s="1"/>
  <c r="AC285" i="7"/>
  <c r="AD285" i="7" s="1"/>
  <c r="AC286" i="7"/>
  <c r="AC287" i="7"/>
  <c r="AC288" i="7"/>
  <c r="AC289" i="7"/>
  <c r="AD289" i="7" s="1"/>
  <c r="AC290" i="7"/>
  <c r="AC291" i="7"/>
  <c r="AC292" i="7"/>
  <c r="AD292" i="7" s="1"/>
  <c r="AC293" i="7"/>
  <c r="AD293" i="7" s="1"/>
  <c r="AC294" i="7"/>
  <c r="AC295" i="7"/>
  <c r="AC296" i="7"/>
  <c r="AD296" i="7" s="1"/>
  <c r="AC297" i="7"/>
  <c r="AD297" i="7" s="1"/>
  <c r="AC298" i="7"/>
  <c r="AC299" i="7"/>
  <c r="AC300" i="7"/>
  <c r="AD300" i="7" s="1"/>
  <c r="AC301" i="7"/>
  <c r="AD301" i="7" s="1"/>
  <c r="AC302" i="7"/>
  <c r="AC303" i="7"/>
  <c r="AC304" i="7"/>
  <c r="AD304" i="7" s="1"/>
  <c r="AC305" i="7"/>
  <c r="AD305" i="7" s="1"/>
  <c r="AC306" i="7"/>
  <c r="AC307" i="7"/>
  <c r="AC308" i="7"/>
  <c r="AD308" i="7" s="1"/>
  <c r="AC309" i="7"/>
  <c r="AD309" i="7" s="1"/>
  <c r="AC310" i="7"/>
  <c r="AC311" i="7"/>
  <c r="AC312" i="7"/>
  <c r="AD312" i="7" s="1"/>
  <c r="AC313" i="7"/>
  <c r="AD313" i="7" s="1"/>
  <c r="AC314" i="7"/>
  <c r="AC315" i="7"/>
  <c r="AC316" i="7"/>
  <c r="AD316" i="7" s="1"/>
  <c r="AC317" i="7"/>
  <c r="AD317" i="7" s="1"/>
  <c r="AC318" i="7"/>
  <c r="AC319" i="7"/>
  <c r="AC320" i="7"/>
  <c r="AD320" i="7" s="1"/>
  <c r="AC321" i="7"/>
  <c r="AD321" i="7" s="1"/>
  <c r="AC322" i="7"/>
  <c r="AC323" i="7"/>
  <c r="AC324" i="7"/>
  <c r="AD324" i="7" s="1"/>
  <c r="AC325" i="7"/>
  <c r="AD325" i="7" s="1"/>
  <c r="AC326" i="7"/>
  <c r="AC327" i="7"/>
  <c r="AC328" i="7"/>
  <c r="AD328" i="7" s="1"/>
  <c r="AC329" i="7"/>
  <c r="AD329" i="7" s="1"/>
  <c r="AC330" i="7"/>
  <c r="AC331" i="7"/>
  <c r="AC332" i="7"/>
  <c r="AD332" i="7" s="1"/>
  <c r="AC333" i="7"/>
  <c r="AD333" i="7" s="1"/>
  <c r="AC334" i="7"/>
  <c r="AC335" i="7"/>
  <c r="AC336" i="7"/>
  <c r="AD336" i="7" s="1"/>
  <c r="AC337" i="7"/>
  <c r="AD337" i="7" s="1"/>
  <c r="AC338" i="7"/>
  <c r="AC339" i="7"/>
  <c r="AC340" i="7"/>
  <c r="AD340" i="7" s="1"/>
  <c r="AC341" i="7"/>
  <c r="AD341" i="7" s="1"/>
  <c r="AC342" i="7"/>
  <c r="AC343" i="7"/>
  <c r="AC344" i="7"/>
  <c r="AD344" i="7" s="1"/>
  <c r="AC345" i="7"/>
  <c r="AD345" i="7" s="1"/>
  <c r="AC346" i="7"/>
  <c r="AC347" i="7"/>
  <c r="AC348" i="7"/>
  <c r="AD348" i="7" s="1"/>
  <c r="AC349" i="7"/>
  <c r="AD349" i="7" s="1"/>
  <c r="AC350" i="7"/>
  <c r="AC351" i="7"/>
  <c r="AC352" i="7"/>
  <c r="AD352" i="7" s="1"/>
  <c r="AC353" i="7"/>
  <c r="AD353" i="7" s="1"/>
  <c r="AC354" i="7"/>
  <c r="AC355" i="7"/>
  <c r="AC356" i="7"/>
  <c r="AD356" i="7" s="1"/>
  <c r="AC357" i="7"/>
  <c r="AD357" i="7" s="1"/>
  <c r="AC358" i="7"/>
  <c r="AC359" i="7"/>
  <c r="AC360" i="7"/>
  <c r="AD360" i="7" s="1"/>
  <c r="AC361" i="7"/>
  <c r="AD361" i="7" s="1"/>
  <c r="AC362" i="7"/>
  <c r="AC363" i="7"/>
  <c r="AC364" i="7"/>
  <c r="AD364" i="7" s="1"/>
  <c r="AC365" i="7"/>
  <c r="AD365" i="7" s="1"/>
  <c r="AC366" i="7"/>
  <c r="AC367" i="7"/>
  <c r="AC368" i="7"/>
  <c r="AC369" i="7"/>
  <c r="AC370" i="7"/>
  <c r="AC371" i="7"/>
  <c r="AC372" i="7"/>
  <c r="AD372" i="7" s="1"/>
  <c r="AC373" i="7"/>
  <c r="AD373" i="7" s="1"/>
  <c r="AC374" i="7"/>
  <c r="AC375" i="7"/>
  <c r="AC376" i="7"/>
  <c r="AD376" i="7" s="1"/>
  <c r="AC377" i="7"/>
  <c r="AC378" i="7"/>
  <c r="AC379" i="7"/>
  <c r="AC380" i="7"/>
  <c r="AD380" i="7" s="1"/>
  <c r="AC381" i="7"/>
  <c r="AD381" i="7" s="1"/>
  <c r="AC382" i="7"/>
  <c r="AC383" i="7"/>
  <c r="AC384" i="7"/>
  <c r="AD384" i="7" s="1"/>
  <c r="AC385" i="7"/>
  <c r="AD385" i="7" s="1"/>
  <c r="AC386" i="7"/>
  <c r="AC387" i="7"/>
  <c r="AC388" i="7"/>
  <c r="AD388" i="7" s="1"/>
  <c r="AC407" i="7"/>
  <c r="AC408" i="7"/>
  <c r="AC409" i="7"/>
  <c r="AC410" i="7"/>
  <c r="AD410" i="7" s="1"/>
  <c r="AC411" i="7"/>
  <c r="AD411" i="7" s="1"/>
  <c r="AC412" i="7"/>
  <c r="AC413" i="7"/>
  <c r="AC414" i="7"/>
  <c r="AD414" i="7" s="1"/>
  <c r="AC415" i="7"/>
  <c r="AD415" i="7" s="1"/>
  <c r="AC416" i="7"/>
  <c r="AC417" i="7"/>
  <c r="AC418" i="7"/>
  <c r="AD418" i="7" s="1"/>
  <c r="AC419" i="7"/>
  <c r="AD419" i="7" s="1"/>
  <c r="AC420" i="7"/>
  <c r="AC421" i="7"/>
  <c r="AC422" i="7"/>
  <c r="AD422" i="7" s="1"/>
  <c r="AC423" i="7"/>
  <c r="AD423" i="7" s="1"/>
  <c r="AC424" i="7"/>
  <c r="AC425" i="7"/>
  <c r="AC426" i="7"/>
  <c r="AD426" i="7" s="1"/>
  <c r="AC427" i="7"/>
  <c r="AD427" i="7" s="1"/>
  <c r="AC428" i="7"/>
  <c r="AC429" i="7"/>
  <c r="AC430" i="7"/>
  <c r="AD430" i="7" s="1"/>
  <c r="AC431" i="7"/>
  <c r="AD431" i="7" s="1"/>
  <c r="AC432" i="7"/>
  <c r="AC433" i="7"/>
  <c r="AC434" i="7"/>
  <c r="AD434" i="7" s="1"/>
  <c r="AC435" i="7"/>
  <c r="AD435" i="7" s="1"/>
  <c r="AC436" i="7"/>
  <c r="AC437" i="7"/>
  <c r="AC438" i="7"/>
  <c r="AD438" i="7" s="1"/>
  <c r="AC439" i="7"/>
  <c r="AD439" i="7" s="1"/>
  <c r="AC440" i="7"/>
  <c r="AC441" i="7"/>
  <c r="AC442" i="7"/>
  <c r="AC443" i="7"/>
  <c r="AD443" i="7" s="1"/>
  <c r="AC444" i="7"/>
  <c r="AC445" i="7"/>
  <c r="AC446" i="7"/>
  <c r="AD446" i="7" s="1"/>
  <c r="AC447" i="7"/>
  <c r="AC448" i="7"/>
  <c r="AC449" i="7"/>
  <c r="AC450" i="7"/>
  <c r="AC451" i="7"/>
  <c r="AC452" i="7"/>
  <c r="AC453" i="7"/>
  <c r="AC454" i="7"/>
  <c r="AD454" i="7" s="1"/>
  <c r="AC455" i="7"/>
  <c r="AD455" i="7" s="1"/>
  <c r="AC456" i="7"/>
  <c r="AC457" i="7"/>
  <c r="AC458" i="7"/>
  <c r="AD458" i="7" s="1"/>
  <c r="AC459" i="7"/>
  <c r="AD459" i="7" s="1"/>
  <c r="AC460" i="7"/>
  <c r="AC461" i="7"/>
  <c r="AC462" i="7"/>
  <c r="AD462" i="7" s="1"/>
  <c r="AC463" i="7"/>
  <c r="AD463" i="7" s="1"/>
  <c r="AC464" i="7"/>
  <c r="AC465" i="7"/>
  <c r="AC466" i="7"/>
  <c r="AD466" i="7" s="1"/>
  <c r="AC467" i="7"/>
  <c r="AD467" i="7" s="1"/>
  <c r="AC468" i="7"/>
  <c r="AC469" i="7"/>
  <c r="AC470" i="7"/>
  <c r="AD470" i="7" s="1"/>
  <c r="AC471" i="7"/>
  <c r="AD471" i="7" s="1"/>
  <c r="AC472" i="7"/>
  <c r="AC473" i="7"/>
  <c r="AC474" i="7"/>
  <c r="AD474" i="7" s="1"/>
  <c r="AC475" i="7"/>
  <c r="AD475" i="7" s="1"/>
  <c r="AC476" i="7"/>
  <c r="AC477" i="7"/>
  <c r="AC478" i="7"/>
  <c r="AC479" i="7"/>
  <c r="AC480" i="7"/>
  <c r="AC481" i="7"/>
  <c r="AC482" i="7"/>
  <c r="AD482" i="7" s="1"/>
  <c r="AC483" i="7"/>
  <c r="AD483" i="7" s="1"/>
  <c r="AC484" i="7"/>
  <c r="AC485" i="7"/>
  <c r="AC486" i="7"/>
  <c r="AD486" i="7" s="1"/>
  <c r="AC487" i="7"/>
  <c r="AD487" i="7" s="1"/>
  <c r="AC488" i="7"/>
  <c r="AC489" i="7"/>
  <c r="AC490" i="7"/>
  <c r="AD490" i="7" s="1"/>
  <c r="AC491" i="7"/>
  <c r="AD491" i="7" s="1"/>
  <c r="AC492" i="7"/>
  <c r="AC493" i="7"/>
  <c r="AC494" i="7"/>
  <c r="AC495" i="7"/>
  <c r="AC496" i="7"/>
  <c r="AC497" i="7"/>
  <c r="AC498" i="7"/>
  <c r="AC499" i="7"/>
  <c r="AD499" i="7" s="1"/>
  <c r="V498" i="7" s="1"/>
  <c r="AI406" i="7"/>
  <c r="W406" i="7"/>
  <c r="X406" i="7" s="1"/>
  <c r="Z406" i="7" s="1"/>
  <c r="Y406" i="7" s="1"/>
  <c r="Z506" i="7"/>
  <c r="Y506" i="7" s="1"/>
  <c r="W506" i="7"/>
  <c r="Z505" i="7"/>
  <c r="Y505" i="7" s="1"/>
  <c r="W505" i="7"/>
  <c r="Z504" i="7"/>
  <c r="Y504" i="7"/>
  <c r="W504" i="7"/>
  <c r="AI503" i="7"/>
  <c r="AG503" i="7" s="1"/>
  <c r="Z503" i="7"/>
  <c r="AI502" i="7"/>
  <c r="AG502" i="7" s="1"/>
  <c r="AI501" i="7"/>
  <c r="AG501" i="7"/>
  <c r="AI500" i="7"/>
  <c r="AG500" i="7" s="1"/>
  <c r="AI499" i="7"/>
  <c r="W499" i="7"/>
  <c r="X499" i="7" s="1"/>
  <c r="AI498" i="7"/>
  <c r="Y498" i="7"/>
  <c r="W498" i="7" s="1"/>
  <c r="AI497" i="7"/>
  <c r="AD497" i="7"/>
  <c r="V496" i="7" s="1"/>
  <c r="AI496" i="7"/>
  <c r="AI495" i="7"/>
  <c r="AI494" i="7"/>
  <c r="AH494" i="7"/>
  <c r="AD494" i="7"/>
  <c r="W494" i="7"/>
  <c r="X494" i="7" s="1"/>
  <c r="AI493" i="7"/>
  <c r="W493" i="7"/>
  <c r="X493" i="7" s="1"/>
  <c r="AD493" i="7"/>
  <c r="V492" i="7" s="1"/>
  <c r="AI492" i="7"/>
  <c r="AI491" i="7"/>
  <c r="AH491" i="7"/>
  <c r="W491" i="7" s="1"/>
  <c r="X491" i="7" s="1"/>
  <c r="AI490" i="7"/>
  <c r="W490" i="7"/>
  <c r="X490" i="7" s="1"/>
  <c r="Z490" i="7" s="1"/>
  <c r="Y490" i="7" s="1"/>
  <c r="AI489" i="7"/>
  <c r="AD489" i="7"/>
  <c r="W489" i="7"/>
  <c r="X489" i="7" s="1"/>
  <c r="Z489" i="7" s="1"/>
  <c r="Y489" i="7" s="1"/>
  <c r="AI488" i="7"/>
  <c r="AD488" i="7"/>
  <c r="W488" i="7"/>
  <c r="X488" i="7" s="1"/>
  <c r="AI487" i="7"/>
  <c r="W487" i="7"/>
  <c r="X487" i="7" s="1"/>
  <c r="AG487" i="7" s="1"/>
  <c r="AI486" i="7"/>
  <c r="W486" i="7"/>
  <c r="X486" i="7" s="1"/>
  <c r="AI485" i="7"/>
  <c r="AD485" i="7"/>
  <c r="W485" i="7"/>
  <c r="X485" i="7" s="1"/>
  <c r="AI484" i="7"/>
  <c r="AD484" i="7"/>
  <c r="W484" i="7"/>
  <c r="X484" i="7" s="1"/>
  <c r="AI483" i="7"/>
  <c r="W483" i="7"/>
  <c r="X483" i="7" s="1"/>
  <c r="AI482" i="7"/>
  <c r="W482" i="7"/>
  <c r="X482" i="7" s="1"/>
  <c r="AI481" i="7"/>
  <c r="AH481" i="7"/>
  <c r="W481" i="7" s="1"/>
  <c r="X481" i="7" s="1"/>
  <c r="AD481" i="7"/>
  <c r="AI480" i="7"/>
  <c r="AD480" i="7"/>
  <c r="W480" i="7"/>
  <c r="X480" i="7" s="1"/>
  <c r="AI479" i="7"/>
  <c r="AH479" i="7"/>
  <c r="W479" i="7" s="1"/>
  <c r="X479" i="7" s="1"/>
  <c r="AD479" i="7"/>
  <c r="AI478" i="7"/>
  <c r="AH478" i="7"/>
  <c r="W478" i="7" s="1"/>
  <c r="X478" i="7" s="1"/>
  <c r="Z478" i="7" s="1"/>
  <c r="Y478" i="7" s="1"/>
  <c r="AD478" i="7"/>
  <c r="AI477" i="7"/>
  <c r="AD477" i="7"/>
  <c r="W477" i="7"/>
  <c r="X477" i="7" s="1"/>
  <c r="AI476" i="7"/>
  <c r="AD476" i="7"/>
  <c r="W476" i="7"/>
  <c r="X476" i="7" s="1"/>
  <c r="AG476" i="7" s="1"/>
  <c r="AI475" i="7"/>
  <c r="Z475" i="7"/>
  <c r="Y475" i="7" s="1"/>
  <c r="W475" i="7"/>
  <c r="X475" i="7" s="1"/>
  <c r="AG475" i="7" s="1"/>
  <c r="AI474" i="7"/>
  <c r="W474" i="7"/>
  <c r="X474" i="7" s="1"/>
  <c r="AG474" i="7" s="1"/>
  <c r="AI473" i="7"/>
  <c r="AD473" i="7"/>
  <c r="W473" i="7"/>
  <c r="X473" i="7" s="1"/>
  <c r="AI472" i="7"/>
  <c r="AI471" i="7"/>
  <c r="W471" i="7"/>
  <c r="X471" i="7" s="1"/>
  <c r="Z471" i="7" s="1"/>
  <c r="Y471" i="7" s="1"/>
  <c r="AI470" i="7"/>
  <c r="W470" i="7"/>
  <c r="X470" i="7" s="1"/>
  <c r="Z470" i="7" s="1"/>
  <c r="Y470" i="7" s="1"/>
  <c r="AI469" i="7"/>
  <c r="AD469" i="7"/>
  <c r="W469" i="7"/>
  <c r="X469" i="7" s="1"/>
  <c r="Z469" i="7" s="1"/>
  <c r="Y469" i="7" s="1"/>
  <c r="AI468" i="7"/>
  <c r="AD468" i="7"/>
  <c r="W468" i="7"/>
  <c r="X468" i="7" s="1"/>
  <c r="Z468" i="7" s="1"/>
  <c r="Y468" i="7" s="1"/>
  <c r="AI467" i="7"/>
  <c r="W467" i="7"/>
  <c r="X467" i="7" s="1"/>
  <c r="Z467" i="7" s="1"/>
  <c r="Y467" i="7" s="1"/>
  <c r="AI466" i="7"/>
  <c r="W466" i="7"/>
  <c r="X466" i="7" s="1"/>
  <c r="AI465" i="7"/>
  <c r="W465" i="7"/>
  <c r="X465" i="7" s="1"/>
  <c r="Z465" i="7" s="1"/>
  <c r="Y465" i="7" s="1"/>
  <c r="AD465" i="7"/>
  <c r="AI464" i="7"/>
  <c r="AD464" i="7"/>
  <c r="W464" i="7"/>
  <c r="X464" i="7" s="1"/>
  <c r="AI463" i="7"/>
  <c r="W463" i="7"/>
  <c r="X463" i="7" s="1"/>
  <c r="AI462" i="7"/>
  <c r="W462" i="7"/>
  <c r="X462" i="7" s="1"/>
  <c r="Z462" i="7" s="1"/>
  <c r="Y462" i="7" s="1"/>
  <c r="AI461" i="7"/>
  <c r="AD461" i="7"/>
  <c r="X461" i="7"/>
  <c r="Z461" i="7" s="1"/>
  <c r="Y461" i="7" s="1"/>
  <c r="W461" i="7"/>
  <c r="AI460" i="7"/>
  <c r="AH460" i="7"/>
  <c r="W460" i="7" s="1"/>
  <c r="X460" i="7" s="1"/>
  <c r="Z460" i="7" s="1"/>
  <c r="Y460" i="7" s="1"/>
  <c r="AD460" i="7"/>
  <c r="AI459" i="7"/>
  <c r="AG459" i="7"/>
  <c r="Z459" i="7"/>
  <c r="Y459" i="7"/>
  <c r="W459" i="7"/>
  <c r="AI458" i="7"/>
  <c r="W458" i="7"/>
  <c r="X458" i="7" s="1"/>
  <c r="AI457" i="7"/>
  <c r="AD457" i="7"/>
  <c r="W457" i="7"/>
  <c r="X457" i="7" s="1"/>
  <c r="Z457" i="7" s="1"/>
  <c r="Y457" i="7" s="1"/>
  <c r="AI456" i="7"/>
  <c r="AD456" i="7"/>
  <c r="W456" i="7"/>
  <c r="X456" i="7" s="1"/>
  <c r="Z456" i="7" s="1"/>
  <c r="Y456" i="7" s="1"/>
  <c r="AI455" i="7"/>
  <c r="W455" i="7"/>
  <c r="X455" i="7" s="1"/>
  <c r="AI454" i="7"/>
  <c r="W454" i="7"/>
  <c r="X454" i="7" s="1"/>
  <c r="AI453" i="7"/>
  <c r="AG453" i="7"/>
  <c r="AD453" i="7"/>
  <c r="Z453" i="7"/>
  <c r="Y453" i="7"/>
  <c r="W453" i="7"/>
  <c r="AI452" i="7"/>
  <c r="AD452" i="7"/>
  <c r="W452" i="7"/>
  <c r="X452" i="7" s="1"/>
  <c r="AI451" i="7"/>
  <c r="AI450" i="7"/>
  <c r="W450" i="7"/>
  <c r="X450" i="7" s="1"/>
  <c r="Z450" i="7" s="1"/>
  <c r="Y450" i="7" s="1"/>
  <c r="AD450" i="7"/>
  <c r="AI449" i="7"/>
  <c r="AH449" i="7"/>
  <c r="W449" i="7" s="1"/>
  <c r="X449" i="7" s="1"/>
  <c r="AD449" i="7"/>
  <c r="AI448" i="7"/>
  <c r="W448" i="7"/>
  <c r="X448" i="7" s="1"/>
  <c r="AD448" i="7"/>
  <c r="AI447" i="7"/>
  <c r="AI446" i="7"/>
  <c r="W446" i="7"/>
  <c r="X446" i="7" s="1"/>
  <c r="AI445" i="7"/>
  <c r="AD445" i="7"/>
  <c r="W445" i="7"/>
  <c r="X445" i="7" s="1"/>
  <c r="Z445" i="7" s="1"/>
  <c r="Y445" i="7" s="1"/>
  <c r="AI444" i="7"/>
  <c r="AD444" i="7"/>
  <c r="W444" i="7"/>
  <c r="X444" i="7" s="1"/>
  <c r="AI443" i="7"/>
  <c r="W443" i="7"/>
  <c r="X443" i="7" s="1"/>
  <c r="AI442" i="7"/>
  <c r="AD442" i="7"/>
  <c r="W442" i="7"/>
  <c r="X442" i="7" s="1"/>
  <c r="AG442" i="7" s="1"/>
  <c r="AI441" i="7"/>
  <c r="AD441" i="7"/>
  <c r="W441" i="7"/>
  <c r="X441" i="7" s="1"/>
  <c r="Z441" i="7" s="1"/>
  <c r="Y441" i="7" s="1"/>
  <c r="AI440" i="7"/>
  <c r="AD440" i="7"/>
  <c r="W440" i="7"/>
  <c r="X440" i="7" s="1"/>
  <c r="Z440" i="7" s="1"/>
  <c r="Y440" i="7" s="1"/>
  <c r="AI439" i="7"/>
  <c r="W439" i="7"/>
  <c r="X439" i="7" s="1"/>
  <c r="Z439" i="7" s="1"/>
  <c r="Y439" i="7" s="1"/>
  <c r="AI438" i="7"/>
  <c r="X438" i="7"/>
  <c r="Z438" i="7" s="1"/>
  <c r="Y438" i="7" s="1"/>
  <c r="W438" i="7"/>
  <c r="AI437" i="7"/>
  <c r="AD437" i="7"/>
  <c r="W437" i="7"/>
  <c r="X437" i="7" s="1"/>
  <c r="Z437" i="7" s="1"/>
  <c r="Y437" i="7" s="1"/>
  <c r="AI436" i="7"/>
  <c r="AD436" i="7"/>
  <c r="W436" i="7"/>
  <c r="X436" i="7" s="1"/>
  <c r="Z436" i="7" s="1"/>
  <c r="Y436" i="7" s="1"/>
  <c r="AI435" i="7"/>
  <c r="W435" i="7"/>
  <c r="X435" i="7" s="1"/>
  <c r="Z435" i="7" s="1"/>
  <c r="Y435" i="7" s="1"/>
  <c r="AI434" i="7"/>
  <c r="W434" i="7"/>
  <c r="X434" i="7" s="1"/>
  <c r="Z434" i="7" s="1"/>
  <c r="Y434" i="7" s="1"/>
  <c r="AI433" i="7"/>
  <c r="AD433" i="7"/>
  <c r="W433" i="7"/>
  <c r="X433" i="7" s="1"/>
  <c r="Z433" i="7" s="1"/>
  <c r="Y433" i="7" s="1"/>
  <c r="AI432" i="7"/>
  <c r="AD432" i="7"/>
  <c r="W432" i="7"/>
  <c r="X432" i="7" s="1"/>
  <c r="Z432" i="7" s="1"/>
  <c r="Y432" i="7" s="1"/>
  <c r="AI431" i="7"/>
  <c r="W431" i="7"/>
  <c r="X431" i="7" s="1"/>
  <c r="Z431" i="7" s="1"/>
  <c r="Y431" i="7" s="1"/>
  <c r="AI430" i="7"/>
  <c r="W430" i="7"/>
  <c r="X430" i="7" s="1"/>
  <c r="Z430" i="7" s="1"/>
  <c r="Y430" i="7" s="1"/>
  <c r="AI429" i="7"/>
  <c r="AD429" i="7"/>
  <c r="W429" i="7"/>
  <c r="X429" i="7" s="1"/>
  <c r="Z429" i="7" s="1"/>
  <c r="Y429" i="7" s="1"/>
  <c r="AI428" i="7"/>
  <c r="AD428" i="7"/>
  <c r="W428" i="7"/>
  <c r="X428" i="7" s="1"/>
  <c r="Z428" i="7" s="1"/>
  <c r="Y428" i="7" s="1"/>
  <c r="AI427" i="7"/>
  <c r="W427" i="7"/>
  <c r="X427" i="7" s="1"/>
  <c r="Z427" i="7" s="1"/>
  <c r="Y427" i="7" s="1"/>
  <c r="AI426" i="7"/>
  <c r="W426" i="7"/>
  <c r="X426" i="7" s="1"/>
  <c r="Z426" i="7" s="1"/>
  <c r="Y426" i="7" s="1"/>
  <c r="AI425" i="7"/>
  <c r="AD425" i="7"/>
  <c r="W425" i="7"/>
  <c r="X425" i="7" s="1"/>
  <c r="Z425" i="7" s="1"/>
  <c r="Y425" i="7" s="1"/>
  <c r="AI424" i="7"/>
  <c r="AD424" i="7"/>
  <c r="W424" i="7"/>
  <c r="X424" i="7" s="1"/>
  <c r="Z424" i="7" s="1"/>
  <c r="Y424" i="7" s="1"/>
  <c r="AI423" i="7"/>
  <c r="W423" i="7"/>
  <c r="X423" i="7" s="1"/>
  <c r="Z423" i="7" s="1"/>
  <c r="Y423" i="7" s="1"/>
  <c r="AI422" i="7"/>
  <c r="W422" i="7"/>
  <c r="X422" i="7" s="1"/>
  <c r="Z422" i="7" s="1"/>
  <c r="Y422" i="7" s="1"/>
  <c r="AI421" i="7"/>
  <c r="AD421" i="7"/>
  <c r="W421" i="7"/>
  <c r="X421" i="7" s="1"/>
  <c r="Z421" i="7" s="1"/>
  <c r="Y421" i="7" s="1"/>
  <c r="AI420" i="7"/>
  <c r="AH420" i="7"/>
  <c r="W420" i="7" s="1"/>
  <c r="X420" i="7" s="1"/>
  <c r="Z420" i="7" s="1"/>
  <c r="Y420" i="7" s="1"/>
  <c r="AD420" i="7"/>
  <c r="AI419" i="7"/>
  <c r="W419" i="7"/>
  <c r="X419" i="7" s="1"/>
  <c r="AI418" i="7"/>
  <c r="W418" i="7"/>
  <c r="X418" i="7" s="1"/>
  <c r="AG418" i="7" s="1"/>
  <c r="AI417" i="7"/>
  <c r="AD417" i="7"/>
  <c r="W417" i="7"/>
  <c r="X417" i="7" s="1"/>
  <c r="AG417" i="7" s="1"/>
  <c r="AI416" i="7"/>
  <c r="AD416" i="7"/>
  <c r="W416" i="7"/>
  <c r="X416" i="7" s="1"/>
  <c r="Z416" i="7" s="1"/>
  <c r="Y416" i="7" s="1"/>
  <c r="AI415" i="7"/>
  <c r="W415" i="7"/>
  <c r="X415" i="7" s="1"/>
  <c r="AI414" i="7"/>
  <c r="W414" i="7"/>
  <c r="X414" i="7" s="1"/>
  <c r="Z414" i="7" s="1"/>
  <c r="Y414" i="7" s="1"/>
  <c r="AI413" i="7"/>
  <c r="AD413" i="7"/>
  <c r="Z413" i="7"/>
  <c r="Y413" i="7" s="1"/>
  <c r="W413" i="7"/>
  <c r="X413" i="7" s="1"/>
  <c r="AI412" i="7"/>
  <c r="AD412" i="7"/>
  <c r="W412" i="7"/>
  <c r="X412" i="7" s="1"/>
  <c r="Z412" i="7" s="1"/>
  <c r="Y412" i="7" s="1"/>
  <c r="AI411" i="7"/>
  <c r="W411" i="7"/>
  <c r="X411" i="7" s="1"/>
  <c r="AI410" i="7"/>
  <c r="W410" i="7"/>
  <c r="X410" i="7" s="1"/>
  <c r="Z410" i="7" s="1"/>
  <c r="Y410" i="7" s="1"/>
  <c r="AI409" i="7"/>
  <c r="AD409" i="7"/>
  <c r="W409" i="7"/>
  <c r="X409" i="7" s="1"/>
  <c r="AI408" i="7"/>
  <c r="AH408" i="7"/>
  <c r="W408" i="7" s="1"/>
  <c r="X408" i="7" s="1"/>
  <c r="AD408" i="7"/>
  <c r="AI407" i="7"/>
  <c r="AI405" i="7"/>
  <c r="AH405" i="7"/>
  <c r="W405" i="7" s="1"/>
  <c r="X405" i="7" s="1"/>
  <c r="Z405" i="7" s="1"/>
  <c r="Y405" i="7" s="1"/>
  <c r="AD405" i="7"/>
  <c r="AI404" i="7"/>
  <c r="AH404" i="7"/>
  <c r="W404" i="7" s="1"/>
  <c r="X404" i="7" s="1"/>
  <c r="Z404" i="7" s="1"/>
  <c r="Y404" i="7" s="1"/>
  <c r="AD404" i="7"/>
  <c r="AI403" i="7"/>
  <c r="AH403" i="7"/>
  <c r="W403" i="7" s="1"/>
  <c r="X403" i="7" s="1"/>
  <c r="Z403" i="7" s="1"/>
  <c r="Y403" i="7" s="1"/>
  <c r="AD403" i="7"/>
  <c r="AI402" i="7"/>
  <c r="AH402" i="7"/>
  <c r="W402" i="7" s="1"/>
  <c r="X402" i="7" s="1"/>
  <c r="Z402" i="7" s="1"/>
  <c r="Y402" i="7" s="1"/>
  <c r="AD402" i="7"/>
  <c r="AI401" i="7"/>
  <c r="AH401" i="7"/>
  <c r="W401" i="7" s="1"/>
  <c r="X401" i="7" s="1"/>
  <c r="Z401" i="7" s="1"/>
  <c r="Y401" i="7" s="1"/>
  <c r="AD401" i="7"/>
  <c r="AI400" i="7"/>
  <c r="AH400" i="7"/>
  <c r="W400" i="7" s="1"/>
  <c r="X400" i="7" s="1"/>
  <c r="Z400" i="7" s="1"/>
  <c r="Y400" i="7" s="1"/>
  <c r="AD400" i="7"/>
  <c r="AI399" i="7"/>
  <c r="AH399" i="7"/>
  <c r="W399" i="7" s="1"/>
  <c r="X399" i="7" s="1"/>
  <c r="Z399" i="7" s="1"/>
  <c r="Y399" i="7" s="1"/>
  <c r="AD399" i="7"/>
  <c r="AI398" i="7"/>
  <c r="AH398" i="7"/>
  <c r="W398" i="7" s="1"/>
  <c r="X398" i="7" s="1"/>
  <c r="Z398" i="7" s="1"/>
  <c r="Y398" i="7" s="1"/>
  <c r="AD398" i="7"/>
  <c r="AI397" i="7"/>
  <c r="AH397" i="7"/>
  <c r="W397" i="7" s="1"/>
  <c r="X397" i="7" s="1"/>
  <c r="Z397" i="7" s="1"/>
  <c r="Y397" i="7" s="1"/>
  <c r="AD397" i="7"/>
  <c r="AI396" i="7"/>
  <c r="AH396" i="7"/>
  <c r="W396" i="7" s="1"/>
  <c r="X396" i="7" s="1"/>
  <c r="Z396" i="7" s="1"/>
  <c r="Y396" i="7" s="1"/>
  <c r="AD396" i="7"/>
  <c r="AI395" i="7"/>
  <c r="AH395" i="7"/>
  <c r="W395" i="7" s="1"/>
  <c r="X395" i="7" s="1"/>
  <c r="Z395" i="7" s="1"/>
  <c r="Y395" i="7" s="1"/>
  <c r="AD395" i="7"/>
  <c r="AI394" i="7"/>
  <c r="AH394" i="7"/>
  <c r="W394" i="7" s="1"/>
  <c r="X394" i="7" s="1"/>
  <c r="Z394" i="7" s="1"/>
  <c r="Y394" i="7" s="1"/>
  <c r="AD394" i="7"/>
  <c r="AI393" i="7"/>
  <c r="AH393" i="7"/>
  <c r="W393" i="7" s="1"/>
  <c r="X393" i="7" s="1"/>
  <c r="Z393" i="7" s="1"/>
  <c r="Y393" i="7" s="1"/>
  <c r="AD393" i="7"/>
  <c r="AI392" i="7"/>
  <c r="AH392" i="7"/>
  <c r="W392" i="7" s="1"/>
  <c r="X392" i="7" s="1"/>
  <c r="Z392" i="7" s="1"/>
  <c r="Y392" i="7" s="1"/>
  <c r="AD392" i="7"/>
  <c r="AI391" i="7"/>
  <c r="AH391" i="7"/>
  <c r="AD391" i="7"/>
  <c r="W391" i="7"/>
  <c r="X391" i="7" s="1"/>
  <c r="Z391" i="7" s="1"/>
  <c r="Y391" i="7" s="1"/>
  <c r="AI390" i="7"/>
  <c r="AH390" i="7"/>
  <c r="AD390" i="7"/>
  <c r="W390" i="7"/>
  <c r="X390" i="7" s="1"/>
  <c r="Z390" i="7" s="1"/>
  <c r="Y390" i="7" s="1"/>
  <c r="AI389" i="7"/>
  <c r="AH389" i="7"/>
  <c r="AD389" i="7"/>
  <c r="W389" i="7"/>
  <c r="X389" i="7" s="1"/>
  <c r="Z389" i="7" s="1"/>
  <c r="Y389" i="7" s="1"/>
  <c r="AI388" i="7"/>
  <c r="W388" i="7"/>
  <c r="X388" i="7" s="1"/>
  <c r="AI387" i="7"/>
  <c r="AH387" i="7"/>
  <c r="W387" i="7" s="1"/>
  <c r="X387" i="7" s="1"/>
  <c r="AD387" i="7"/>
  <c r="AI386" i="7"/>
  <c r="AH386" i="7"/>
  <c r="W386" i="7" s="1"/>
  <c r="X386" i="7" s="1"/>
  <c r="AD386" i="7"/>
  <c r="AI385" i="7"/>
  <c r="W385" i="7"/>
  <c r="X385" i="7" s="1"/>
  <c r="AG385" i="7" s="1"/>
  <c r="AI384" i="7"/>
  <c r="W384" i="7"/>
  <c r="X384" i="7" s="1"/>
  <c r="Z384" i="7" s="1"/>
  <c r="Y384" i="7" s="1"/>
  <c r="AI383" i="7"/>
  <c r="W383" i="7"/>
  <c r="X383" i="7" s="1"/>
  <c r="AD383" i="7"/>
  <c r="AI382" i="7"/>
  <c r="AD382" i="7"/>
  <c r="W382" i="7"/>
  <c r="X382" i="7" s="1"/>
  <c r="AI381" i="7"/>
  <c r="W381" i="7"/>
  <c r="X381" i="7" s="1"/>
  <c r="AI380" i="7"/>
  <c r="W380" i="7"/>
  <c r="X380" i="7" s="1"/>
  <c r="AI379" i="7"/>
  <c r="AD379" i="7"/>
  <c r="W379" i="7"/>
  <c r="X379" i="7" s="1"/>
  <c r="AI378" i="7"/>
  <c r="AD378" i="7"/>
  <c r="W378" i="7"/>
  <c r="X378" i="7" s="1"/>
  <c r="AI377" i="7"/>
  <c r="AI376" i="7"/>
  <c r="AH376" i="7"/>
  <c r="W376" i="7" s="1"/>
  <c r="X376" i="7" s="1"/>
  <c r="AI375" i="7"/>
  <c r="AD375" i="7"/>
  <c r="W375" i="7"/>
  <c r="X375" i="7" s="1"/>
  <c r="Z375" i="7" s="1"/>
  <c r="Y375" i="7" s="1"/>
  <c r="AI374" i="7"/>
  <c r="AH374" i="7"/>
  <c r="W374" i="7" s="1"/>
  <c r="X374" i="7" s="1"/>
  <c r="AD374" i="7"/>
  <c r="AI373" i="7"/>
  <c r="AA373" i="7"/>
  <c r="Y373" i="7"/>
  <c r="W373" i="7" s="1"/>
  <c r="X373" i="7"/>
  <c r="AG373" i="7" s="1"/>
  <c r="AI372" i="7"/>
  <c r="W372" i="7"/>
  <c r="X372" i="7" s="1"/>
  <c r="Z372" i="7" s="1"/>
  <c r="Y372" i="7" s="1"/>
  <c r="AI371" i="7"/>
  <c r="AD371" i="7"/>
  <c r="AI370" i="7"/>
  <c r="AH370" i="7"/>
  <c r="AD370" i="7"/>
  <c r="AI369" i="7"/>
  <c r="AI368" i="7"/>
  <c r="AD368" i="7"/>
  <c r="W368" i="7"/>
  <c r="X368" i="7" s="1"/>
  <c r="AI367" i="7"/>
  <c r="AD367" i="7"/>
  <c r="W367" i="7"/>
  <c r="X367" i="7" s="1"/>
  <c r="AI366" i="7"/>
  <c r="AD366" i="7"/>
  <c r="W366" i="7"/>
  <c r="X366" i="7" s="1"/>
  <c r="AI365" i="7"/>
  <c r="W365" i="7"/>
  <c r="X365" i="7" s="1"/>
  <c r="AI364" i="7"/>
  <c r="W364" i="7"/>
  <c r="X364" i="7" s="1"/>
  <c r="AI363" i="7"/>
  <c r="AD363" i="7"/>
  <c r="W363" i="7"/>
  <c r="X363" i="7" s="1"/>
  <c r="AI362" i="7"/>
  <c r="AD362" i="7"/>
  <c r="W362" i="7"/>
  <c r="X362" i="7" s="1"/>
  <c r="AI361" i="7"/>
  <c r="W361" i="7"/>
  <c r="X361" i="7" s="1"/>
  <c r="AI360" i="7"/>
  <c r="W360" i="7"/>
  <c r="X360" i="7" s="1"/>
  <c r="AI359" i="7"/>
  <c r="AD359" i="7"/>
  <c r="W359" i="7"/>
  <c r="X359" i="7" s="1"/>
  <c r="AI358" i="7"/>
  <c r="AD358" i="7"/>
  <c r="W358" i="7"/>
  <c r="X358" i="7" s="1"/>
  <c r="AI357" i="7"/>
  <c r="W357" i="7"/>
  <c r="X357" i="7" s="1"/>
  <c r="AI356" i="7"/>
  <c r="W356" i="7"/>
  <c r="X356" i="7" s="1"/>
  <c r="AI355" i="7"/>
  <c r="AD355" i="7"/>
  <c r="W355" i="7"/>
  <c r="X355" i="7" s="1"/>
  <c r="AI354" i="7"/>
  <c r="AD354" i="7"/>
  <c r="W354" i="7"/>
  <c r="X354" i="7" s="1"/>
  <c r="AI353" i="7"/>
  <c r="W353" i="7"/>
  <c r="X353" i="7" s="1"/>
  <c r="AI352" i="7"/>
  <c r="W352" i="7"/>
  <c r="X352" i="7" s="1"/>
  <c r="AI351" i="7"/>
  <c r="AD351" i="7"/>
  <c r="W351" i="7"/>
  <c r="X351" i="7" s="1"/>
  <c r="Z351" i="7" s="1"/>
  <c r="Y351" i="7" s="1"/>
  <c r="AI350" i="7"/>
  <c r="AD350" i="7"/>
  <c r="W350" i="7"/>
  <c r="X350" i="7" s="1"/>
  <c r="AI349" i="7"/>
  <c r="W349" i="7"/>
  <c r="X349" i="7" s="1"/>
  <c r="AG349" i="7" s="1"/>
  <c r="AI348" i="7"/>
  <c r="W348" i="7"/>
  <c r="X348" i="7" s="1"/>
  <c r="AI347" i="7"/>
  <c r="AD347" i="7"/>
  <c r="W347" i="7"/>
  <c r="X347" i="7" s="1"/>
  <c r="AI346" i="7"/>
  <c r="AD346" i="7"/>
  <c r="Z346" i="7"/>
  <c r="Y346" i="7" s="1"/>
  <c r="W346" i="7"/>
  <c r="X346" i="7" s="1"/>
  <c r="AI345" i="7"/>
  <c r="W345" i="7"/>
  <c r="X345" i="7" s="1"/>
  <c r="AI344" i="7"/>
  <c r="W344" i="7"/>
  <c r="X344" i="7" s="1"/>
  <c r="AI343" i="7"/>
  <c r="AD343" i="7"/>
  <c r="W343" i="7"/>
  <c r="X343" i="7" s="1"/>
  <c r="AI342" i="7"/>
  <c r="AD342" i="7"/>
  <c r="W342" i="7"/>
  <c r="X342" i="7" s="1"/>
  <c r="AI341" i="7"/>
  <c r="W341" i="7"/>
  <c r="X341" i="7" s="1"/>
  <c r="AI340" i="7"/>
  <c r="W340" i="7"/>
  <c r="X340" i="7" s="1"/>
  <c r="AI339" i="7"/>
  <c r="AD339" i="7"/>
  <c r="W339" i="7"/>
  <c r="X339" i="7" s="1"/>
  <c r="AI338" i="7"/>
  <c r="AD338" i="7"/>
  <c r="W338" i="7"/>
  <c r="X338" i="7" s="1"/>
  <c r="AI337" i="7"/>
  <c r="W337" i="7"/>
  <c r="X337" i="7" s="1"/>
  <c r="AI336" i="7"/>
  <c r="W336" i="7"/>
  <c r="X336" i="7" s="1"/>
  <c r="AI335" i="7"/>
  <c r="AD335" i="7"/>
  <c r="W335" i="7"/>
  <c r="X335" i="7" s="1"/>
  <c r="AI334" i="7"/>
  <c r="AD334" i="7"/>
  <c r="W334" i="7"/>
  <c r="X334" i="7" s="1"/>
  <c r="AI333" i="7"/>
  <c r="W333" i="7"/>
  <c r="X333" i="7" s="1"/>
  <c r="AI332" i="7"/>
  <c r="W332" i="7"/>
  <c r="X332" i="7" s="1"/>
  <c r="AI331" i="7"/>
  <c r="AD331" i="7"/>
  <c r="W331" i="7"/>
  <c r="X331" i="7" s="1"/>
  <c r="AI330" i="7"/>
  <c r="AD330" i="7"/>
  <c r="W330" i="7"/>
  <c r="X330" i="7" s="1"/>
  <c r="AI329" i="7"/>
  <c r="W329" i="7"/>
  <c r="X329" i="7" s="1"/>
  <c r="AI328" i="7"/>
  <c r="W328" i="7"/>
  <c r="X328" i="7" s="1"/>
  <c r="AI327" i="7"/>
  <c r="AI326" i="7"/>
  <c r="AD326" i="7"/>
  <c r="W326" i="7"/>
  <c r="X326" i="7" s="1"/>
  <c r="AG326" i="7" s="1"/>
  <c r="AI325" i="7"/>
  <c r="W325" i="7"/>
  <c r="X325" i="7" s="1"/>
  <c r="AI324" i="7"/>
  <c r="W324" i="7"/>
  <c r="X324" i="7" s="1"/>
  <c r="AI323" i="7"/>
  <c r="AD323" i="7"/>
  <c r="W323" i="7"/>
  <c r="X323" i="7" s="1"/>
  <c r="AI322" i="7"/>
  <c r="AD322" i="7"/>
  <c r="W322" i="7"/>
  <c r="X322" i="7" s="1"/>
  <c r="AG322" i="7" s="1"/>
  <c r="AI321" i="7"/>
  <c r="W321" i="7"/>
  <c r="X321" i="7" s="1"/>
  <c r="AI320" i="7"/>
  <c r="W320" i="7"/>
  <c r="X320" i="7" s="1"/>
  <c r="AI319" i="7"/>
  <c r="AD319" i="7"/>
  <c r="W319" i="7"/>
  <c r="X319" i="7" s="1"/>
  <c r="AI318" i="7"/>
  <c r="AD318" i="7"/>
  <c r="W318" i="7"/>
  <c r="X318" i="7" s="1"/>
  <c r="AG318" i="7" s="1"/>
  <c r="AI317" i="7"/>
  <c r="W317" i="7"/>
  <c r="X317" i="7" s="1"/>
  <c r="AI316" i="7"/>
  <c r="W316" i="7"/>
  <c r="X316" i="7" s="1"/>
  <c r="AG316" i="7" s="1"/>
  <c r="AI315" i="7"/>
  <c r="AD315" i="7"/>
  <c r="W315" i="7"/>
  <c r="X315" i="7" s="1"/>
  <c r="AI314" i="7"/>
  <c r="AD314" i="7"/>
  <c r="W314" i="7"/>
  <c r="X314" i="7" s="1"/>
  <c r="AI313" i="7"/>
  <c r="W313" i="7"/>
  <c r="X313" i="7" s="1"/>
  <c r="AI312" i="7"/>
  <c r="X312" i="7"/>
  <c r="AG312" i="7" s="1"/>
  <c r="W312" i="7"/>
  <c r="AI311" i="7"/>
  <c r="AD311" i="7"/>
  <c r="W311" i="7"/>
  <c r="X311" i="7" s="1"/>
  <c r="AI310" i="7"/>
  <c r="AD310" i="7"/>
  <c r="W310" i="7"/>
  <c r="X310" i="7" s="1"/>
  <c r="AI309" i="7"/>
  <c r="W309" i="7"/>
  <c r="X309" i="7" s="1"/>
  <c r="AI308" i="7"/>
  <c r="W308" i="7"/>
  <c r="X308" i="7" s="1"/>
  <c r="AI307" i="7"/>
  <c r="AD307" i="7"/>
  <c r="W307" i="7"/>
  <c r="X307" i="7" s="1"/>
  <c r="AI306" i="7"/>
  <c r="AD306" i="7"/>
  <c r="W306" i="7"/>
  <c r="X306" i="7" s="1"/>
  <c r="AI305" i="7"/>
  <c r="W305" i="7"/>
  <c r="X305" i="7" s="1"/>
  <c r="AI304" i="7"/>
  <c r="W304" i="7"/>
  <c r="X304" i="7" s="1"/>
  <c r="AI303" i="7"/>
  <c r="AD303" i="7"/>
  <c r="W303" i="7"/>
  <c r="X303" i="7" s="1"/>
  <c r="AI302" i="7"/>
  <c r="AD302" i="7"/>
  <c r="W302" i="7"/>
  <c r="X302" i="7" s="1"/>
  <c r="AI301" i="7"/>
  <c r="W301" i="7"/>
  <c r="X301" i="7" s="1"/>
  <c r="AI300" i="7"/>
  <c r="W300" i="7"/>
  <c r="X300" i="7" s="1"/>
  <c r="AI299" i="7"/>
  <c r="AD299" i="7"/>
  <c r="W299" i="7"/>
  <c r="X299" i="7" s="1"/>
  <c r="AI298" i="7"/>
  <c r="AD298" i="7"/>
  <c r="W298" i="7"/>
  <c r="X298" i="7" s="1"/>
  <c r="AI297" i="7"/>
  <c r="W297" i="7"/>
  <c r="X297" i="7" s="1"/>
  <c r="AI296" i="7"/>
  <c r="W296" i="7"/>
  <c r="X296" i="7" s="1"/>
  <c r="AI295" i="7"/>
  <c r="AD295" i="7"/>
  <c r="W295" i="7"/>
  <c r="X295" i="7" s="1"/>
  <c r="AI294" i="7"/>
  <c r="AD294" i="7"/>
  <c r="W294" i="7"/>
  <c r="X294" i="7" s="1"/>
  <c r="AI293" i="7"/>
  <c r="W293" i="7"/>
  <c r="X293" i="7" s="1"/>
  <c r="AI292" i="7"/>
  <c r="W292" i="7"/>
  <c r="X292" i="7" s="1"/>
  <c r="AI291" i="7"/>
  <c r="AD291" i="7"/>
  <c r="W291" i="7"/>
  <c r="X291" i="7" s="1"/>
  <c r="AI290" i="7"/>
  <c r="AD290" i="7"/>
  <c r="W290" i="7"/>
  <c r="X290" i="7" s="1"/>
  <c r="AI289" i="7"/>
  <c r="W289" i="7"/>
  <c r="X289" i="7" s="1"/>
  <c r="AI288" i="7"/>
  <c r="AD288" i="7"/>
  <c r="W288" i="7"/>
  <c r="X288" i="7" s="1"/>
  <c r="AI287" i="7"/>
  <c r="AD287" i="7"/>
  <c r="W287" i="7"/>
  <c r="X287" i="7" s="1"/>
  <c r="AI286" i="7"/>
  <c r="AD286" i="7"/>
  <c r="W286" i="7"/>
  <c r="X286" i="7" s="1"/>
  <c r="AI285" i="7"/>
  <c r="W285" i="7"/>
  <c r="X285" i="7" s="1"/>
  <c r="AI284" i="7"/>
  <c r="W284" i="7"/>
  <c r="X284" i="7" s="1"/>
  <c r="AI283" i="7"/>
  <c r="AD283" i="7"/>
  <c r="W283" i="7"/>
  <c r="X283" i="7" s="1"/>
  <c r="AI282" i="7"/>
  <c r="AD282" i="7"/>
  <c r="W282" i="7"/>
  <c r="X282" i="7" s="1"/>
  <c r="AI281" i="7"/>
  <c r="W281" i="7"/>
  <c r="X281" i="7" s="1"/>
  <c r="AI280" i="7"/>
  <c r="W280" i="7"/>
  <c r="X280" i="7" s="1"/>
  <c r="AG280" i="7" s="1"/>
  <c r="AI279" i="7"/>
  <c r="AD279" i="7"/>
  <c r="W279" i="7"/>
  <c r="X279" i="7" s="1"/>
  <c r="AI278" i="7"/>
  <c r="AD278" i="7"/>
  <c r="W278" i="7"/>
  <c r="X278" i="7" s="1"/>
  <c r="Z278" i="7" s="1"/>
  <c r="Y278" i="7" s="1"/>
  <c r="AI277" i="7"/>
  <c r="W277" i="7"/>
  <c r="X277" i="7" s="1"/>
  <c r="Z277" i="7" s="1"/>
  <c r="Y277" i="7" s="1"/>
  <c r="AI276" i="7"/>
  <c r="W276" i="7"/>
  <c r="X276" i="7" s="1"/>
  <c r="Z276" i="7" s="1"/>
  <c r="Y276" i="7" s="1"/>
  <c r="AI275" i="7"/>
  <c r="AD275" i="7"/>
  <c r="W275" i="7"/>
  <c r="X275" i="7" s="1"/>
  <c r="Z275" i="7" s="1"/>
  <c r="Y275" i="7" s="1"/>
  <c r="AI274" i="7"/>
  <c r="AD274" i="7"/>
  <c r="W274" i="7"/>
  <c r="X274" i="7" s="1"/>
  <c r="Z274" i="7" s="1"/>
  <c r="Y274" i="7" s="1"/>
  <c r="AI273" i="7"/>
  <c r="W273" i="7"/>
  <c r="X273" i="7" s="1"/>
  <c r="Z273" i="7" s="1"/>
  <c r="Y273" i="7" s="1"/>
  <c r="AI272" i="7"/>
  <c r="W272" i="7"/>
  <c r="X272" i="7" s="1"/>
  <c r="Z272" i="7" s="1"/>
  <c r="Y272" i="7" s="1"/>
  <c r="AI271" i="7"/>
  <c r="AD271" i="7"/>
  <c r="W271" i="7"/>
  <c r="X271" i="7" s="1"/>
  <c r="Z271" i="7" s="1"/>
  <c r="Y271" i="7" s="1"/>
  <c r="AI270" i="7"/>
  <c r="AD270" i="7"/>
  <c r="W270" i="7"/>
  <c r="X270" i="7" s="1"/>
  <c r="Z270" i="7" s="1"/>
  <c r="Y270" i="7" s="1"/>
  <c r="AI269" i="7"/>
  <c r="X269" i="7"/>
  <c r="Z269" i="7" s="1"/>
  <c r="Y269" i="7" s="1"/>
  <c r="W269" i="7"/>
  <c r="AI268" i="7"/>
  <c r="W268" i="7"/>
  <c r="X268" i="7" s="1"/>
  <c r="Z268" i="7" s="1"/>
  <c r="Y268" i="7" s="1"/>
  <c r="AI267" i="7"/>
  <c r="AD267" i="7"/>
  <c r="W267" i="7"/>
  <c r="X267" i="7" s="1"/>
  <c r="Z267" i="7" s="1"/>
  <c r="Y267" i="7" s="1"/>
  <c r="AI266" i="7"/>
  <c r="AD266" i="7"/>
  <c r="W266" i="7"/>
  <c r="X266" i="7" s="1"/>
  <c r="Z266" i="7" s="1"/>
  <c r="Y266" i="7" s="1"/>
  <c r="AI265" i="7"/>
  <c r="W265" i="7"/>
  <c r="X265" i="7" s="1"/>
  <c r="Z265" i="7" s="1"/>
  <c r="Y265" i="7" s="1"/>
  <c r="AI264" i="7"/>
  <c r="W264" i="7"/>
  <c r="X264" i="7" s="1"/>
  <c r="Z264" i="7" s="1"/>
  <c r="Y264" i="7" s="1"/>
  <c r="AI263" i="7"/>
  <c r="AD263" i="7"/>
  <c r="W263" i="7"/>
  <c r="X263" i="7" s="1"/>
  <c r="Z263" i="7" s="1"/>
  <c r="Y263" i="7" s="1"/>
  <c r="AI262" i="7"/>
  <c r="AD262" i="7"/>
  <c r="W262" i="7"/>
  <c r="X262" i="7" s="1"/>
  <c r="Z262" i="7" s="1"/>
  <c r="Y262" i="7" s="1"/>
  <c r="AI261" i="7"/>
  <c r="W261" i="7"/>
  <c r="X261" i="7" s="1"/>
  <c r="Z261" i="7" s="1"/>
  <c r="Y261" i="7" s="1"/>
  <c r="AI260" i="7"/>
  <c r="W260" i="7"/>
  <c r="X260" i="7" s="1"/>
  <c r="Z260" i="7" s="1"/>
  <c r="Y260" i="7" s="1"/>
  <c r="AI259" i="7"/>
  <c r="AD259" i="7"/>
  <c r="W259" i="7"/>
  <c r="X259" i="7" s="1"/>
  <c r="Z259" i="7" s="1"/>
  <c r="Y259" i="7" s="1"/>
  <c r="AI258" i="7"/>
  <c r="AD258" i="7"/>
  <c r="W258" i="7"/>
  <c r="X258" i="7" s="1"/>
  <c r="Z258" i="7" s="1"/>
  <c r="Y258" i="7" s="1"/>
  <c r="AI257" i="7"/>
  <c r="W257" i="7"/>
  <c r="X257" i="7" s="1"/>
  <c r="Z257" i="7" s="1"/>
  <c r="Y257" i="7" s="1"/>
  <c r="AI256" i="7"/>
  <c r="W256" i="7"/>
  <c r="X256" i="7" s="1"/>
  <c r="Z256" i="7" s="1"/>
  <c r="Y256" i="7" s="1"/>
  <c r="AI255" i="7"/>
  <c r="AD255" i="7"/>
  <c r="X255" i="7"/>
  <c r="Z255" i="7" s="1"/>
  <c r="Y255" i="7" s="1"/>
  <c r="W255" i="7"/>
  <c r="AI254" i="7"/>
  <c r="AD254" i="7"/>
  <c r="W254" i="7"/>
  <c r="X254" i="7" s="1"/>
  <c r="Z254" i="7" s="1"/>
  <c r="Y254" i="7" s="1"/>
  <c r="AI253" i="7"/>
  <c r="W253" i="7"/>
  <c r="X253" i="7" s="1"/>
  <c r="Z253" i="7" s="1"/>
  <c r="Y253" i="7" s="1"/>
  <c r="AI252" i="7"/>
  <c r="W252" i="7"/>
  <c r="X252" i="7" s="1"/>
  <c r="Z252" i="7" s="1"/>
  <c r="Y252" i="7" s="1"/>
  <c r="AI251" i="7"/>
  <c r="AD251" i="7"/>
  <c r="W251" i="7"/>
  <c r="X251" i="7" s="1"/>
  <c r="Z251" i="7" s="1"/>
  <c r="Y251" i="7" s="1"/>
  <c r="AI250" i="7"/>
  <c r="AD250" i="7"/>
  <c r="W250" i="7"/>
  <c r="X250" i="7" s="1"/>
  <c r="Z250" i="7" s="1"/>
  <c r="Y250" i="7" s="1"/>
  <c r="AI249" i="7"/>
  <c r="W249" i="7"/>
  <c r="X249" i="7" s="1"/>
  <c r="Z249" i="7" s="1"/>
  <c r="Y249" i="7" s="1"/>
  <c r="AI248" i="7"/>
  <c r="W248" i="7"/>
  <c r="X248" i="7" s="1"/>
  <c r="Z248" i="7" s="1"/>
  <c r="Y248" i="7" s="1"/>
  <c r="AI247" i="7"/>
  <c r="AD247" i="7"/>
  <c r="W247" i="7"/>
  <c r="X247" i="7" s="1"/>
  <c r="Z247" i="7" s="1"/>
  <c r="Y247" i="7" s="1"/>
  <c r="AI246" i="7"/>
  <c r="AD246" i="7"/>
  <c r="W246" i="7"/>
  <c r="X246" i="7" s="1"/>
  <c r="Z246" i="7" s="1"/>
  <c r="Y246" i="7" s="1"/>
  <c r="AI245" i="7"/>
  <c r="W245" i="7"/>
  <c r="X245" i="7" s="1"/>
  <c r="Z245" i="7" s="1"/>
  <c r="Y245" i="7" s="1"/>
  <c r="AI244" i="7"/>
  <c r="W244" i="7"/>
  <c r="X244" i="7" s="1"/>
  <c r="Z244" i="7" s="1"/>
  <c r="Y244" i="7" s="1"/>
  <c r="AI243" i="7"/>
  <c r="AD243" i="7"/>
  <c r="X243" i="7"/>
  <c r="Z243" i="7" s="1"/>
  <c r="Y243" i="7" s="1"/>
  <c r="W243" i="7"/>
  <c r="AI242" i="7"/>
  <c r="AD242" i="7"/>
  <c r="W242" i="7"/>
  <c r="X242" i="7" s="1"/>
  <c r="Z242" i="7" s="1"/>
  <c r="Y242" i="7" s="1"/>
  <c r="AI241" i="7"/>
  <c r="W241" i="7"/>
  <c r="X241" i="7" s="1"/>
  <c r="Z241" i="7" s="1"/>
  <c r="Y241" i="7" s="1"/>
  <c r="AI240" i="7"/>
  <c r="W240" i="7"/>
  <c r="X240" i="7" s="1"/>
  <c r="Z240" i="7" s="1"/>
  <c r="Y240" i="7" s="1"/>
  <c r="AI239" i="7"/>
  <c r="AD239" i="7"/>
  <c r="W239" i="7"/>
  <c r="X239" i="7" s="1"/>
  <c r="Z239" i="7" s="1"/>
  <c r="Y239" i="7" s="1"/>
  <c r="AI238" i="7"/>
  <c r="AH238" i="7"/>
  <c r="W238" i="7" s="1"/>
  <c r="X238" i="7" s="1"/>
  <c r="AD238" i="7"/>
  <c r="AI237" i="7"/>
  <c r="AI236" i="7"/>
  <c r="W236" i="7"/>
  <c r="X236" i="7" s="1"/>
  <c r="AI235" i="7"/>
  <c r="AD235" i="7"/>
  <c r="W235" i="7"/>
  <c r="X235" i="7" s="1"/>
  <c r="AI234" i="7"/>
  <c r="AH234" i="7"/>
  <c r="AD234" i="7"/>
  <c r="W234" i="7"/>
  <c r="X234" i="7" s="1"/>
  <c r="Z234" i="7" s="1"/>
  <c r="Y234" i="7" s="1"/>
  <c r="AI233" i="7"/>
  <c r="AH233" i="7"/>
  <c r="W233" i="7" s="1"/>
  <c r="X233" i="7" s="1"/>
  <c r="AG233" i="7" s="1"/>
  <c r="AI232" i="7"/>
  <c r="X232" i="7"/>
  <c r="Z232" i="7" s="1"/>
  <c r="Y232" i="7" s="1"/>
  <c r="W232" i="7"/>
  <c r="AI231" i="7"/>
  <c r="W231" i="7"/>
  <c r="X231" i="7" s="1"/>
  <c r="AD231" i="7"/>
  <c r="AI230" i="7"/>
  <c r="W230" i="7"/>
  <c r="X230" i="7" s="1"/>
  <c r="AD230" i="7"/>
  <c r="AI229" i="7"/>
  <c r="W229" i="7"/>
  <c r="X229" i="7" s="1"/>
  <c r="Z229" i="7" s="1"/>
  <c r="Y229" i="7" s="1"/>
  <c r="AI228" i="7"/>
  <c r="AD228" i="7"/>
  <c r="AI227" i="7"/>
  <c r="AH228" i="7"/>
  <c r="W228" i="7" s="1"/>
  <c r="X228" i="7" s="1"/>
  <c r="AD227" i="7"/>
  <c r="W227" i="7"/>
  <c r="X227" i="7" s="1"/>
  <c r="AG227" i="7" s="1"/>
  <c r="AI226" i="7"/>
  <c r="AD226" i="7"/>
  <c r="W226" i="7"/>
  <c r="X226" i="7" s="1"/>
  <c r="AG226" i="7" s="1"/>
  <c r="AI225" i="7"/>
  <c r="W225" i="7"/>
  <c r="X225" i="7" s="1"/>
  <c r="AI224" i="7"/>
  <c r="W224" i="7"/>
  <c r="X224" i="7" s="1"/>
  <c r="Z224" i="7" s="1"/>
  <c r="Y224" i="7" s="1"/>
  <c r="AI223" i="7"/>
  <c r="AH223" i="7"/>
  <c r="W223" i="7" s="1"/>
  <c r="X223" i="7" s="1"/>
  <c r="AG223" i="7" s="1"/>
  <c r="AD223" i="7"/>
  <c r="AI222" i="7"/>
  <c r="AD222" i="7"/>
  <c r="W222" i="7"/>
  <c r="X222" i="7" s="1"/>
  <c r="AI221" i="7"/>
  <c r="W221" i="7"/>
  <c r="X221" i="7" s="1"/>
  <c r="AI220" i="7"/>
  <c r="AI219" i="7"/>
  <c r="AD219" i="7"/>
  <c r="W219" i="7"/>
  <c r="X219" i="7" s="1"/>
  <c r="AI218" i="7"/>
  <c r="AH218" i="7"/>
  <c r="AD218" i="7"/>
  <c r="W218" i="7"/>
  <c r="X218" i="7" s="1"/>
  <c r="Z218" i="7" s="1"/>
  <c r="Y218" i="7" s="1"/>
  <c r="AI217" i="7"/>
  <c r="AH217" i="7"/>
  <c r="W217" i="7" s="1"/>
  <c r="X217" i="7" s="1"/>
  <c r="AI216" i="7"/>
  <c r="AH216" i="7"/>
  <c r="W216" i="7" s="1"/>
  <c r="X216" i="7" s="1"/>
  <c r="AD216" i="7"/>
  <c r="AI215" i="7"/>
  <c r="AH215" i="7"/>
  <c r="AD215" i="7"/>
  <c r="W215" i="7"/>
  <c r="X215" i="7" s="1"/>
  <c r="AI214" i="7"/>
  <c r="AD214" i="7"/>
  <c r="W214" i="7"/>
  <c r="X214" i="7" s="1"/>
  <c r="AI213" i="7"/>
  <c r="W213" i="7"/>
  <c r="X213" i="7" s="1"/>
  <c r="AI212" i="7"/>
  <c r="AD212" i="7"/>
  <c r="W212" i="7"/>
  <c r="X212" i="7" s="1"/>
  <c r="AI211" i="7"/>
  <c r="AH211" i="7"/>
  <c r="W211" i="7" s="1"/>
  <c r="X211" i="7" s="1"/>
  <c r="Z211" i="7" s="1"/>
  <c r="Y211" i="7" s="1"/>
  <c r="AD211" i="7"/>
  <c r="AI210" i="7"/>
  <c r="AH210" i="7"/>
  <c r="W210" i="7" s="1"/>
  <c r="X210" i="7" s="1"/>
  <c r="AD210" i="7"/>
  <c r="AI209" i="7"/>
  <c r="W209" i="7"/>
  <c r="X209" i="7" s="1"/>
  <c r="AI208" i="7"/>
  <c r="W208" i="7"/>
  <c r="X208" i="7" s="1"/>
  <c r="Z208" i="7" s="1"/>
  <c r="Y208" i="7" s="1"/>
  <c r="AI207" i="7"/>
  <c r="W207" i="7"/>
  <c r="X207" i="7" s="1"/>
  <c r="AD207" i="7"/>
  <c r="AL206" i="7"/>
  <c r="AI206" i="7"/>
  <c r="AD206" i="7"/>
  <c r="AI205" i="7"/>
  <c r="AH205" i="7"/>
  <c r="W205" i="7" s="1"/>
  <c r="X205" i="7" s="1"/>
  <c r="Z205" i="7" s="1"/>
  <c r="Y205" i="7" s="1"/>
  <c r="AI204" i="7"/>
  <c r="AH204" i="7"/>
  <c r="W204" i="7" s="1"/>
  <c r="X204" i="7" s="1"/>
  <c r="AG204" i="7" s="1"/>
  <c r="AI203" i="7"/>
  <c r="AH203" i="7"/>
  <c r="AH206" i="7" s="1"/>
  <c r="W206" i="7" s="1"/>
  <c r="X206" i="7" s="1"/>
  <c r="Z206" i="7" s="1"/>
  <c r="Y206" i="7" s="1"/>
  <c r="AD203" i="7"/>
  <c r="AI202" i="7"/>
  <c r="AI201" i="7"/>
  <c r="W201" i="7"/>
  <c r="X201" i="7" s="1"/>
  <c r="V201" i="7"/>
  <c r="AI200" i="7"/>
  <c r="W200" i="7"/>
  <c r="X200" i="7" s="1"/>
  <c r="V200" i="7"/>
  <c r="AI199" i="7"/>
  <c r="W199" i="7"/>
  <c r="X199" i="7" s="1"/>
  <c r="V199" i="7"/>
  <c r="AI198" i="7"/>
  <c r="W198" i="7"/>
  <c r="X198" i="7" s="1"/>
  <c r="V198" i="7"/>
  <c r="AI197" i="7"/>
  <c r="AH197" i="7"/>
  <c r="W197" i="7" s="1"/>
  <c r="X197" i="7" s="1"/>
  <c r="V197" i="7"/>
  <c r="AI196" i="7"/>
  <c r="W196" i="7"/>
  <c r="X196" i="7" s="1"/>
  <c r="V196" i="7"/>
  <c r="AI195" i="7"/>
  <c r="W195" i="7"/>
  <c r="X195" i="7" s="1"/>
  <c r="AG195" i="7" s="1"/>
  <c r="V195" i="7"/>
  <c r="AI194" i="7"/>
  <c r="W194" i="7"/>
  <c r="X194" i="7" s="1"/>
  <c r="AG194" i="7" s="1"/>
  <c r="V194" i="7"/>
  <c r="AD194" i="7" s="1"/>
  <c r="AI193" i="7"/>
  <c r="AH193" i="7"/>
  <c r="W193" i="7" s="1"/>
  <c r="X193" i="7" s="1"/>
  <c r="V193" i="7"/>
  <c r="AI192" i="7"/>
  <c r="AH192" i="7"/>
  <c r="W192" i="7"/>
  <c r="X192" i="7" s="1"/>
  <c r="AG192" i="7" s="1"/>
  <c r="V192" i="7"/>
  <c r="AI191" i="7"/>
  <c r="W191" i="7"/>
  <c r="X191" i="7" s="1"/>
  <c r="V191" i="7"/>
  <c r="AI190" i="7"/>
  <c r="AH190" i="7"/>
  <c r="W190" i="7" s="1"/>
  <c r="X190" i="7" s="1"/>
  <c r="AG190" i="7" s="1"/>
  <c r="V190" i="7"/>
  <c r="AI189" i="7"/>
  <c r="W189" i="7"/>
  <c r="X189" i="7" s="1"/>
  <c r="V189" i="7"/>
  <c r="AI188" i="7"/>
  <c r="W188" i="7"/>
  <c r="X188" i="7" s="1"/>
  <c r="AG188" i="7" s="1"/>
  <c r="V188" i="7"/>
  <c r="AI187" i="7"/>
  <c r="AD187" i="7"/>
  <c r="W187" i="7"/>
  <c r="X187" i="7" s="1"/>
  <c r="V187" i="7"/>
  <c r="AI186" i="7"/>
  <c r="AH186" i="7"/>
  <c r="W186" i="7" s="1"/>
  <c r="X186" i="7" s="1"/>
  <c r="V186" i="7"/>
  <c r="AI185" i="7"/>
  <c r="W185" i="7"/>
  <c r="X185" i="7" s="1"/>
  <c r="V185" i="7"/>
  <c r="AI184" i="7"/>
  <c r="W184" i="7"/>
  <c r="X184" i="7" s="1"/>
  <c r="V184" i="7"/>
  <c r="AI183" i="7"/>
  <c r="W183" i="7"/>
  <c r="X183" i="7" s="1"/>
  <c r="V183" i="7"/>
  <c r="AD183" i="7" s="1"/>
  <c r="AI182" i="7"/>
  <c r="W182" i="7"/>
  <c r="X182" i="7" s="1"/>
  <c r="AG182" i="7" s="1"/>
  <c r="V182" i="7"/>
  <c r="AI181" i="7"/>
  <c r="V181" i="7"/>
  <c r="AI180" i="7"/>
  <c r="W180" i="7"/>
  <c r="X180" i="7" s="1"/>
  <c r="V180" i="7"/>
  <c r="AI179" i="7"/>
  <c r="AH179" i="7"/>
  <c r="W179" i="7" s="1"/>
  <c r="X179" i="7" s="1"/>
  <c r="AG179" i="7" s="1"/>
  <c r="AD179" i="7"/>
  <c r="V179" i="7"/>
  <c r="AI178" i="7"/>
  <c r="AH178" i="7"/>
  <c r="AH181" i="7" s="1"/>
  <c r="W181" i="7" s="1"/>
  <c r="X181" i="7" s="1"/>
  <c r="AG181" i="7" s="1"/>
  <c r="V178" i="7"/>
  <c r="AD178" i="7" s="1"/>
  <c r="AI177" i="7"/>
  <c r="AI176" i="7"/>
  <c r="W176" i="7"/>
  <c r="X176" i="7" s="1"/>
  <c r="AG176" i="7" s="1"/>
  <c r="V176" i="7"/>
  <c r="AI175" i="7"/>
  <c r="AH175" i="7"/>
  <c r="W175" i="7" s="1"/>
  <c r="X175" i="7" s="1"/>
  <c r="AG175" i="7" s="1"/>
  <c r="AD175" i="7"/>
  <c r="V175" i="7"/>
  <c r="AI174" i="7"/>
  <c r="V174" i="7"/>
  <c r="AI173" i="7"/>
  <c r="W173" i="7"/>
  <c r="X173" i="7" s="1"/>
  <c r="V173" i="7"/>
  <c r="AI172" i="7"/>
  <c r="W172" i="7"/>
  <c r="X172" i="7" s="1"/>
  <c r="V172" i="7"/>
  <c r="AI171" i="7"/>
  <c r="W171" i="7"/>
  <c r="X171" i="7" s="1"/>
  <c r="V171" i="7"/>
  <c r="AI170" i="7"/>
  <c r="AH170" i="7"/>
  <c r="W170" i="7" s="1"/>
  <c r="X170" i="7" s="1"/>
  <c r="AG170" i="7" s="1"/>
  <c r="V170" i="7"/>
  <c r="AD170" i="7" s="1"/>
  <c r="AI169" i="7"/>
  <c r="AH169" i="7"/>
  <c r="W169" i="7" s="1"/>
  <c r="X169" i="7" s="1"/>
  <c r="AG169" i="7" s="1"/>
  <c r="V169" i="7"/>
  <c r="AI168" i="7"/>
  <c r="AH168" i="7"/>
  <c r="W168" i="7" s="1"/>
  <c r="X168" i="7" s="1"/>
  <c r="AG168" i="7" s="1"/>
  <c r="V168" i="7"/>
  <c r="AI167" i="7"/>
  <c r="W167" i="7"/>
  <c r="X167" i="7" s="1"/>
  <c r="V167" i="7"/>
  <c r="AI166" i="7"/>
  <c r="W166" i="7"/>
  <c r="X166" i="7" s="1"/>
  <c r="V166" i="7"/>
  <c r="AI165" i="7"/>
  <c r="W165" i="7"/>
  <c r="X165" i="7" s="1"/>
  <c r="V165" i="7"/>
  <c r="AI164" i="7"/>
  <c r="W164" i="7"/>
  <c r="X164" i="7" s="1"/>
  <c r="V164" i="7"/>
  <c r="AI163" i="7"/>
  <c r="AH163" i="7"/>
  <c r="W163" i="7" s="1"/>
  <c r="X163" i="7" s="1"/>
  <c r="V163" i="7"/>
  <c r="AD163" i="7" s="1"/>
  <c r="AI162" i="7"/>
  <c r="W162" i="7"/>
  <c r="X162" i="7" s="1"/>
  <c r="V162" i="7"/>
  <c r="AI161" i="7"/>
  <c r="AH161" i="7"/>
  <c r="W161" i="7"/>
  <c r="X161" i="7" s="1"/>
  <c r="V161" i="7"/>
  <c r="AI160" i="7"/>
  <c r="AH160" i="7"/>
  <c r="W160" i="7" s="1"/>
  <c r="X160" i="7" s="1"/>
  <c r="AG160" i="7" s="1"/>
  <c r="V160" i="7"/>
  <c r="AI159" i="7"/>
  <c r="AD159" i="7"/>
  <c r="W159" i="7"/>
  <c r="X159" i="7" s="1"/>
  <c r="V159" i="7"/>
  <c r="AI158" i="7"/>
  <c r="W158" i="7"/>
  <c r="X158" i="7" s="1"/>
  <c r="V158" i="7"/>
  <c r="AI157" i="7"/>
  <c r="AH157" i="7"/>
  <c r="W157" i="7" s="1"/>
  <c r="X157" i="7" s="1"/>
  <c r="AG157" i="7" s="1"/>
  <c r="V157" i="7"/>
  <c r="AI156" i="7"/>
  <c r="W156" i="7"/>
  <c r="X156" i="7" s="1"/>
  <c r="V156" i="7"/>
  <c r="AI155" i="7"/>
  <c r="AD155" i="7"/>
  <c r="W155" i="7"/>
  <c r="X155" i="7" s="1"/>
  <c r="V155" i="7"/>
  <c r="AI154" i="7"/>
  <c r="W154" i="7"/>
  <c r="X154" i="7" s="1"/>
  <c r="V154" i="7"/>
  <c r="AD154" i="7" s="1"/>
  <c r="AI153" i="7"/>
  <c r="W153" i="7"/>
  <c r="X153" i="7" s="1"/>
  <c r="V153" i="7"/>
  <c r="AI152" i="7"/>
  <c r="W152" i="7"/>
  <c r="X152" i="7" s="1"/>
  <c r="AG152" i="7" s="1"/>
  <c r="V152" i="7"/>
  <c r="AI151" i="7"/>
  <c r="X151" i="7"/>
  <c r="W151" i="7"/>
  <c r="V151" i="7"/>
  <c r="AI150" i="7"/>
  <c r="W150" i="7"/>
  <c r="X150" i="7" s="1"/>
  <c r="V150" i="7"/>
  <c r="AI149" i="7"/>
  <c r="AH149" i="7"/>
  <c r="W149" i="7" s="1"/>
  <c r="X149" i="7" s="1"/>
  <c r="AG149" i="7" s="1"/>
  <c r="V149" i="7"/>
  <c r="AI148" i="7"/>
  <c r="AH148" i="7"/>
  <c r="AH174" i="7" s="1"/>
  <c r="W174" i="7" s="1"/>
  <c r="X174" i="7" s="1"/>
  <c r="V148" i="7"/>
  <c r="AI147" i="7"/>
  <c r="W147" i="7"/>
  <c r="X147" i="7" s="1"/>
  <c r="V147" i="7"/>
  <c r="AD147" i="7" s="1"/>
  <c r="AI146" i="7"/>
  <c r="W146" i="7"/>
  <c r="X146" i="7" s="1"/>
  <c r="V146" i="7"/>
  <c r="AD146" i="7" s="1"/>
  <c r="AI145" i="7"/>
  <c r="W145" i="7"/>
  <c r="X145" i="7" s="1"/>
  <c r="V145" i="7"/>
  <c r="AI144" i="7"/>
  <c r="W144" i="7"/>
  <c r="X144" i="7" s="1"/>
  <c r="AG144" i="7" s="1"/>
  <c r="V144" i="7"/>
  <c r="AI143" i="7"/>
  <c r="W143" i="7"/>
  <c r="X143" i="7" s="1"/>
  <c r="AG143" i="7" s="1"/>
  <c r="AD143" i="7"/>
  <c r="V143" i="7"/>
  <c r="AI142" i="7"/>
  <c r="W142" i="7"/>
  <c r="X142" i="7" s="1"/>
  <c r="V142" i="7"/>
  <c r="AI141" i="7"/>
  <c r="AH141" i="7"/>
  <c r="W141" i="7" s="1"/>
  <c r="X141" i="7" s="1"/>
  <c r="AG141" i="7" s="1"/>
  <c r="V141" i="7"/>
  <c r="AI140" i="7"/>
  <c r="AH140" i="7"/>
  <c r="W140" i="7" s="1"/>
  <c r="X140" i="7" s="1"/>
  <c r="AG140" i="7" s="1"/>
  <c r="V140" i="7"/>
  <c r="AI139" i="7"/>
  <c r="AH139" i="7"/>
  <c r="W139" i="7" s="1"/>
  <c r="X139" i="7" s="1"/>
  <c r="AG139" i="7" s="1"/>
  <c r="V139" i="7"/>
  <c r="AI138" i="7"/>
  <c r="AH138" i="7"/>
  <c r="W138" i="7" s="1"/>
  <c r="X138" i="7" s="1"/>
  <c r="AG138" i="7" s="1"/>
  <c r="V138" i="7"/>
  <c r="AI137" i="7"/>
  <c r="AH137" i="7"/>
  <c r="W137" i="7" s="1"/>
  <c r="X137" i="7" s="1"/>
  <c r="AG137" i="7" s="1"/>
  <c r="V137" i="7"/>
  <c r="AI136" i="7"/>
  <c r="AH136" i="7"/>
  <c r="W136" i="7" s="1"/>
  <c r="X136" i="7" s="1"/>
  <c r="AG136" i="7" s="1"/>
  <c r="V136" i="7"/>
  <c r="AI135" i="7"/>
  <c r="W135" i="7"/>
  <c r="X135" i="7" s="1"/>
  <c r="V135" i="7"/>
  <c r="AI134" i="7"/>
  <c r="AD134" i="7"/>
  <c r="W134" i="7"/>
  <c r="X134" i="7" s="1"/>
  <c r="V134" i="7"/>
  <c r="AI133" i="7"/>
  <c r="AI132" i="7"/>
  <c r="W132" i="7"/>
  <c r="X132" i="7" s="1"/>
  <c r="V132" i="7"/>
  <c r="AD132" i="7" s="1"/>
  <c r="AI131" i="7"/>
  <c r="W131" i="7"/>
  <c r="X131" i="7" s="1"/>
  <c r="AG131" i="7" s="1"/>
  <c r="V131" i="7"/>
  <c r="AD131" i="7" s="1"/>
  <c r="AI130" i="7"/>
  <c r="W130" i="7"/>
  <c r="X130" i="7" s="1"/>
  <c r="AG130" i="7" s="1"/>
  <c r="V130" i="7"/>
  <c r="AD130" i="7" s="1"/>
  <c r="AI129" i="7"/>
  <c r="W129" i="7"/>
  <c r="X129" i="7" s="1"/>
  <c r="V129" i="7"/>
  <c r="AI128" i="7"/>
  <c r="W128" i="7"/>
  <c r="X128" i="7" s="1"/>
  <c r="AG128" i="7" s="1"/>
  <c r="V128" i="7"/>
  <c r="Z128" i="7" s="1"/>
  <c r="Y128" i="7" s="1"/>
  <c r="AI127" i="7"/>
  <c r="W127" i="7"/>
  <c r="X127" i="7" s="1"/>
  <c r="V127" i="7"/>
  <c r="Z127" i="7" s="1"/>
  <c r="Y127" i="7" s="1"/>
  <c r="AI126" i="7"/>
  <c r="W126" i="7"/>
  <c r="X126" i="7" s="1"/>
  <c r="AG126" i="7" s="1"/>
  <c r="V126" i="7"/>
  <c r="AD126" i="7" s="1"/>
  <c r="AI125" i="7"/>
  <c r="W125" i="7"/>
  <c r="X125" i="7" s="1"/>
  <c r="AG125" i="7" s="1"/>
  <c r="V125" i="7"/>
  <c r="AI124" i="7"/>
  <c r="W124" i="7"/>
  <c r="X124" i="7" s="1"/>
  <c r="V124" i="7"/>
  <c r="AI123" i="7"/>
  <c r="W123" i="7"/>
  <c r="X123" i="7" s="1"/>
  <c r="Z123" i="7" s="1"/>
  <c r="Y123" i="7" s="1"/>
  <c r="V123" i="7"/>
  <c r="AI122" i="7"/>
  <c r="AD122" i="7"/>
  <c r="W122" i="7"/>
  <c r="X122" i="7" s="1"/>
  <c r="V122" i="7"/>
  <c r="AI121" i="7"/>
  <c r="W121" i="7"/>
  <c r="X121" i="7" s="1"/>
  <c r="V121" i="7"/>
  <c r="AI120" i="7"/>
  <c r="AD120" i="7"/>
  <c r="W120" i="7"/>
  <c r="X120" i="7" s="1"/>
  <c r="V120" i="7"/>
  <c r="AI119" i="7"/>
  <c r="W119" i="7"/>
  <c r="X119" i="7" s="1"/>
  <c r="V119" i="7"/>
  <c r="AI118" i="7"/>
  <c r="W118" i="7"/>
  <c r="X118" i="7" s="1"/>
  <c r="V118" i="7"/>
  <c r="AI117" i="7"/>
  <c r="W117" i="7"/>
  <c r="X117" i="7" s="1"/>
  <c r="V117" i="7"/>
  <c r="AI116" i="7"/>
  <c r="W116" i="7"/>
  <c r="X116" i="7" s="1"/>
  <c r="V116" i="7"/>
  <c r="AI115" i="7"/>
  <c r="W115" i="7"/>
  <c r="X115" i="7" s="1"/>
  <c r="V115" i="7"/>
  <c r="AI114" i="7"/>
  <c r="X114" i="7"/>
  <c r="W114" i="7"/>
  <c r="V114" i="7"/>
  <c r="AI113" i="7"/>
  <c r="AH113" i="7"/>
  <c r="W113" i="7" s="1"/>
  <c r="X113" i="7" s="1"/>
  <c r="V113" i="7"/>
  <c r="AI112" i="7"/>
  <c r="W112" i="7"/>
  <c r="X112" i="7" s="1"/>
  <c r="V112" i="7"/>
  <c r="AI111" i="7"/>
  <c r="W111" i="7"/>
  <c r="X111" i="7" s="1"/>
  <c r="V111" i="7"/>
  <c r="AD111" i="7" s="1"/>
  <c r="AI110" i="7"/>
  <c r="W110" i="7"/>
  <c r="X110" i="7" s="1"/>
  <c r="V110" i="7"/>
  <c r="AD110" i="7" s="1"/>
  <c r="AI109" i="7"/>
  <c r="W109" i="7"/>
  <c r="X109" i="7" s="1"/>
  <c r="AG109" i="7" s="1"/>
  <c r="V109" i="7"/>
  <c r="AI108" i="7"/>
  <c r="W108" i="7"/>
  <c r="X108" i="7" s="1"/>
  <c r="AG108" i="7" s="1"/>
  <c r="V108" i="7"/>
  <c r="AI107" i="7"/>
  <c r="W107" i="7"/>
  <c r="X107" i="7" s="1"/>
  <c r="V107" i="7"/>
  <c r="AI106" i="7"/>
  <c r="AD106" i="7"/>
  <c r="W106" i="7"/>
  <c r="X106" i="7" s="1"/>
  <c r="V106" i="7"/>
  <c r="AI105" i="7"/>
  <c r="W105" i="7"/>
  <c r="X105" i="7" s="1"/>
  <c r="V105" i="7"/>
  <c r="AI104" i="7"/>
  <c r="W104" i="7"/>
  <c r="X104" i="7" s="1"/>
  <c r="AG104" i="7" s="1"/>
  <c r="V104" i="7"/>
  <c r="AI103" i="7"/>
  <c r="W103" i="7"/>
  <c r="X103" i="7" s="1"/>
  <c r="AG103" i="7" s="1"/>
  <c r="V103" i="7"/>
  <c r="AI102" i="7"/>
  <c r="W102" i="7"/>
  <c r="X102" i="7" s="1"/>
  <c r="AG102" i="7" s="1"/>
  <c r="V102" i="7"/>
  <c r="AI101" i="7"/>
  <c r="W101" i="7"/>
  <c r="X101" i="7" s="1"/>
  <c r="AG101" i="7" s="1"/>
  <c r="V101" i="7"/>
  <c r="AI100" i="7"/>
  <c r="W100" i="7"/>
  <c r="X100" i="7" s="1"/>
  <c r="AG100" i="7" s="1"/>
  <c r="V100" i="7"/>
  <c r="AI99" i="7"/>
  <c r="W99" i="7"/>
  <c r="X99" i="7" s="1"/>
  <c r="AG99" i="7" s="1"/>
  <c r="V99" i="7"/>
  <c r="AI98" i="7"/>
  <c r="AD98" i="7"/>
  <c r="W98" i="7"/>
  <c r="X98" i="7" s="1"/>
  <c r="AG98" i="7" s="1"/>
  <c r="V98" i="7"/>
  <c r="AI97" i="7"/>
  <c r="X97" i="7"/>
  <c r="W97" i="7"/>
  <c r="V97" i="7"/>
  <c r="AI96" i="7"/>
  <c r="W96" i="7"/>
  <c r="X96" i="7" s="1"/>
  <c r="V96" i="7"/>
  <c r="AI95" i="7"/>
  <c r="AD95" i="7"/>
  <c r="W95" i="7"/>
  <c r="X95" i="7" s="1"/>
  <c r="V95" i="7"/>
  <c r="AI94" i="7"/>
  <c r="W94" i="7"/>
  <c r="X94" i="7" s="1"/>
  <c r="V94" i="7"/>
  <c r="AD94" i="7" s="1"/>
  <c r="AI93" i="7"/>
  <c r="W93" i="7"/>
  <c r="X93" i="7" s="1"/>
  <c r="V93" i="7"/>
  <c r="AI92" i="7"/>
  <c r="W92" i="7"/>
  <c r="X92" i="7" s="1"/>
  <c r="V92" i="7"/>
  <c r="AI91" i="7"/>
  <c r="W91" i="7"/>
  <c r="X91" i="7" s="1"/>
  <c r="V91" i="7"/>
  <c r="AI90" i="7"/>
  <c r="W90" i="7"/>
  <c r="X90" i="7" s="1"/>
  <c r="V90" i="7"/>
  <c r="AD90" i="7" s="1"/>
  <c r="AI89" i="7"/>
  <c r="W89" i="7"/>
  <c r="X89" i="7" s="1"/>
  <c r="V89" i="7"/>
  <c r="AI88" i="7"/>
  <c r="W88" i="7"/>
  <c r="X88" i="7" s="1"/>
  <c r="V88" i="7"/>
  <c r="AI87" i="7"/>
  <c r="W87" i="7"/>
  <c r="X87" i="7" s="1"/>
  <c r="V87" i="7"/>
  <c r="AI86" i="7"/>
  <c r="W86" i="7"/>
  <c r="X86" i="7" s="1"/>
  <c r="V86" i="7"/>
  <c r="AI85" i="7"/>
  <c r="W85" i="7"/>
  <c r="X85" i="7" s="1"/>
  <c r="V85" i="7"/>
  <c r="AI84" i="7"/>
  <c r="W84" i="7"/>
  <c r="X84" i="7" s="1"/>
  <c r="V84" i="7"/>
  <c r="AI83" i="7"/>
  <c r="W83" i="7"/>
  <c r="X83" i="7" s="1"/>
  <c r="V83" i="7"/>
  <c r="AI82" i="7"/>
  <c r="W82" i="7"/>
  <c r="X82" i="7" s="1"/>
  <c r="V82" i="7"/>
  <c r="AD82" i="7" s="1"/>
  <c r="AI81" i="7"/>
  <c r="W81" i="7"/>
  <c r="X81" i="7" s="1"/>
  <c r="V81" i="7"/>
  <c r="AI80" i="7"/>
  <c r="W80" i="7"/>
  <c r="X80" i="7" s="1"/>
  <c r="AG80" i="7" s="1"/>
  <c r="V80" i="7"/>
  <c r="AI79" i="7"/>
  <c r="W79" i="7"/>
  <c r="X79" i="7" s="1"/>
  <c r="AG79" i="7" s="1"/>
  <c r="V79" i="7"/>
  <c r="AI78" i="7"/>
  <c r="W78" i="7"/>
  <c r="X78" i="7" s="1"/>
  <c r="AG78" i="7" s="1"/>
  <c r="V78" i="7"/>
  <c r="AI77" i="7"/>
  <c r="W77" i="7"/>
  <c r="X77" i="7" s="1"/>
  <c r="AG77" i="7" s="1"/>
  <c r="V77" i="7"/>
  <c r="AI76" i="7"/>
  <c r="W76" i="7"/>
  <c r="X76" i="7" s="1"/>
  <c r="AG76" i="7" s="1"/>
  <c r="V76" i="7"/>
  <c r="AI75" i="7"/>
  <c r="W75" i="7"/>
  <c r="X75" i="7" s="1"/>
  <c r="AG75" i="7" s="1"/>
  <c r="V75" i="7"/>
  <c r="AI74" i="7"/>
  <c r="W74" i="7"/>
  <c r="X74" i="7" s="1"/>
  <c r="V74" i="7"/>
  <c r="AI73" i="7"/>
  <c r="W73" i="7"/>
  <c r="X73" i="7" s="1"/>
  <c r="AG73" i="7" s="1"/>
  <c r="V73" i="7"/>
  <c r="AI72" i="7"/>
  <c r="W72" i="7"/>
  <c r="X72" i="7" s="1"/>
  <c r="V72" i="7"/>
  <c r="AI71" i="7"/>
  <c r="W71" i="7"/>
  <c r="X71" i="7" s="1"/>
  <c r="V71" i="7"/>
  <c r="AI70" i="7"/>
  <c r="W70" i="7"/>
  <c r="X70" i="7" s="1"/>
  <c r="V70" i="7"/>
  <c r="AD70" i="7" s="1"/>
  <c r="AI69" i="7"/>
  <c r="W69" i="7"/>
  <c r="X69" i="7" s="1"/>
  <c r="AG69" i="7" s="1"/>
  <c r="V69" i="7"/>
  <c r="AI68" i="7"/>
  <c r="W68" i="7"/>
  <c r="X68" i="7" s="1"/>
  <c r="AG68" i="7" s="1"/>
  <c r="V68" i="7"/>
  <c r="AI67" i="7"/>
  <c r="W67" i="7"/>
  <c r="X67" i="7" s="1"/>
  <c r="AG67" i="7" s="1"/>
  <c r="V67" i="7"/>
  <c r="AI66" i="7"/>
  <c r="W66" i="7"/>
  <c r="X66" i="7" s="1"/>
  <c r="AG66" i="7" s="1"/>
  <c r="V66" i="7"/>
  <c r="AI65" i="7"/>
  <c r="X65" i="7"/>
  <c r="AG65" i="7" s="1"/>
  <c r="W65" i="7"/>
  <c r="V65" i="7"/>
  <c r="AI64" i="7"/>
  <c r="W64" i="7"/>
  <c r="X64" i="7" s="1"/>
  <c r="AG64" i="7" s="1"/>
  <c r="V64" i="7"/>
  <c r="AI63" i="7"/>
  <c r="W63" i="7"/>
  <c r="X63" i="7" s="1"/>
  <c r="V63" i="7"/>
  <c r="AI62" i="7"/>
  <c r="W62" i="7"/>
  <c r="X62" i="7" s="1"/>
  <c r="V62" i="7"/>
  <c r="AI61" i="7"/>
  <c r="X61" i="7"/>
  <c r="W61" i="7"/>
  <c r="V61" i="7"/>
  <c r="AI60" i="7"/>
  <c r="W60" i="7"/>
  <c r="X60" i="7" s="1"/>
  <c r="V60" i="7"/>
  <c r="AI59" i="7"/>
  <c r="W59" i="7"/>
  <c r="X59" i="7" s="1"/>
  <c r="V59" i="7"/>
  <c r="AI58" i="7"/>
  <c r="W58" i="7"/>
  <c r="X58" i="7" s="1"/>
  <c r="V58" i="7"/>
  <c r="AI57" i="7"/>
  <c r="W57" i="7"/>
  <c r="X57" i="7" s="1"/>
  <c r="AG57" i="7" s="1"/>
  <c r="V57" i="7"/>
  <c r="AI56" i="7"/>
  <c r="W56" i="7"/>
  <c r="X56" i="7" s="1"/>
  <c r="AG56" i="7" s="1"/>
  <c r="V56" i="7"/>
  <c r="AI55" i="7"/>
  <c r="W55" i="7"/>
  <c r="X55" i="7" s="1"/>
  <c r="V55" i="7"/>
  <c r="AI54" i="7"/>
  <c r="W54" i="7"/>
  <c r="X54" i="7" s="1"/>
  <c r="AG54" i="7" s="1"/>
  <c r="V54" i="7"/>
  <c r="AI53" i="7"/>
  <c r="W53" i="7"/>
  <c r="X53" i="7" s="1"/>
  <c r="V53" i="7"/>
  <c r="AI52" i="7"/>
  <c r="W52" i="7"/>
  <c r="X52" i="7" s="1"/>
  <c r="V52" i="7"/>
  <c r="AI51" i="7"/>
  <c r="W51" i="7"/>
  <c r="X51" i="7" s="1"/>
  <c r="V51" i="7"/>
  <c r="AI50" i="7"/>
  <c r="W50" i="7"/>
  <c r="X50" i="7" s="1"/>
  <c r="V50" i="7"/>
  <c r="AI49" i="7"/>
  <c r="V49" i="7"/>
  <c r="AI48" i="7"/>
  <c r="AH48" i="7"/>
  <c r="W48" i="7" s="1"/>
  <c r="X48" i="7" s="1"/>
  <c r="V48" i="7"/>
  <c r="AI47" i="7"/>
  <c r="V47" i="7"/>
  <c r="AD47" i="7" s="1"/>
  <c r="AI46" i="7"/>
  <c r="AH47" i="7"/>
  <c r="W47" i="7" s="1"/>
  <c r="X47" i="7" s="1"/>
  <c r="AG47" i="7" s="1"/>
  <c r="W46" i="7"/>
  <c r="X46" i="7" s="1"/>
  <c r="V46" i="7"/>
  <c r="AI45" i="7"/>
  <c r="W45" i="7"/>
  <c r="X45" i="7" s="1"/>
  <c r="AG45" i="7" s="1"/>
  <c r="V45" i="7"/>
  <c r="AI44" i="7"/>
  <c r="X44" i="7"/>
  <c r="AG44" i="7" s="1"/>
  <c r="V44" i="7"/>
  <c r="AI43" i="7"/>
  <c r="W43" i="7"/>
  <c r="X43" i="7" s="1"/>
  <c r="AG43" i="7" s="1"/>
  <c r="V43" i="7"/>
  <c r="AI42" i="7"/>
  <c r="W42" i="7"/>
  <c r="X42" i="7" s="1"/>
  <c r="AG42" i="7" s="1"/>
  <c r="V42" i="7"/>
  <c r="AI41" i="7"/>
  <c r="W41" i="7"/>
  <c r="X41" i="7" s="1"/>
  <c r="AG41" i="7" s="1"/>
  <c r="V41" i="7"/>
  <c r="AI40" i="7"/>
  <c r="W40" i="7"/>
  <c r="X40" i="7" s="1"/>
  <c r="V40" i="7"/>
  <c r="AI39" i="7"/>
  <c r="W39" i="7"/>
  <c r="X39" i="7" s="1"/>
  <c r="V39" i="7"/>
  <c r="AD39" i="7" s="1"/>
  <c r="AI38" i="7"/>
  <c r="AI37" i="7"/>
  <c r="W37" i="7"/>
  <c r="X37" i="7" s="1"/>
  <c r="AI36" i="7"/>
  <c r="AD36" i="7"/>
  <c r="W36" i="7"/>
  <c r="X36" i="7" s="1"/>
  <c r="AI35" i="7"/>
  <c r="AD35" i="7"/>
  <c r="W35" i="7"/>
  <c r="X35" i="7" s="1"/>
  <c r="AI34" i="7"/>
  <c r="AH34" i="7"/>
  <c r="W34" i="7" s="1"/>
  <c r="X34" i="7" s="1"/>
  <c r="Z34" i="7" s="1"/>
  <c r="Y34" i="7" s="1"/>
  <c r="AD34" i="7"/>
  <c r="AI33" i="7"/>
  <c r="W33" i="7"/>
  <c r="X33" i="7" s="1"/>
  <c r="Z33" i="7" s="1"/>
  <c r="Y33" i="7" s="1"/>
  <c r="AI32" i="7"/>
  <c r="AI31" i="7"/>
  <c r="AH31" i="7"/>
  <c r="W31" i="7" s="1"/>
  <c r="X31" i="7" s="1"/>
  <c r="AD31" i="7"/>
  <c r="AI30" i="7"/>
  <c r="AD30" i="7"/>
  <c r="W30" i="7"/>
  <c r="X30" i="7" s="1"/>
  <c r="AI29" i="7"/>
  <c r="W29" i="7"/>
  <c r="X29" i="7" s="1"/>
  <c r="AI28" i="7"/>
  <c r="W28" i="7"/>
  <c r="X28" i="7" s="1"/>
  <c r="AI27" i="7"/>
  <c r="AD27" i="7"/>
  <c r="W27" i="7"/>
  <c r="X27" i="7" s="1"/>
  <c r="AI26" i="7"/>
  <c r="AH26" i="7"/>
  <c r="W26" i="7" s="1"/>
  <c r="X26" i="7" s="1"/>
  <c r="AD26" i="7"/>
  <c r="AI25" i="7"/>
  <c r="W25" i="7"/>
  <c r="X25" i="7" s="1"/>
  <c r="AI24" i="7"/>
  <c r="AD24" i="7"/>
  <c r="W24" i="7"/>
  <c r="X24" i="7" s="1"/>
  <c r="AI23" i="7"/>
  <c r="AH23" i="7"/>
  <c r="W23" i="7" s="1"/>
  <c r="X23" i="7" s="1"/>
  <c r="AD23" i="7"/>
  <c r="AI22" i="7"/>
  <c r="AD22" i="7"/>
  <c r="W22" i="7"/>
  <c r="X22" i="7" s="1"/>
  <c r="AI21" i="7"/>
  <c r="X21" i="7"/>
  <c r="AI20" i="7"/>
  <c r="W20" i="7"/>
  <c r="X20" i="7" s="1"/>
  <c r="AI19" i="7"/>
  <c r="AD19" i="7"/>
  <c r="W19" i="7"/>
  <c r="X19" i="7" s="1"/>
  <c r="AI18" i="7"/>
  <c r="AD18" i="7"/>
  <c r="W18" i="7"/>
  <c r="X18" i="7" s="1"/>
  <c r="AI17" i="7"/>
  <c r="W17" i="7"/>
  <c r="X17" i="7" s="1"/>
  <c r="AI16" i="7"/>
  <c r="AH16" i="7"/>
  <c r="AH497" i="7" s="1"/>
  <c r="W497" i="7" s="1"/>
  <c r="X497" i="7" s="1"/>
  <c r="AI15" i="7"/>
  <c r="AH15" i="7"/>
  <c r="W15" i="7" s="1"/>
  <c r="X15" i="7" s="1"/>
  <c r="AD15" i="7"/>
  <c r="AI14" i="7"/>
  <c r="AD14" i="7"/>
  <c r="W14" i="7"/>
  <c r="X14" i="7" s="1"/>
  <c r="AI13" i="7"/>
  <c r="W13" i="7"/>
  <c r="X13" i="7" s="1"/>
  <c r="AI12" i="7"/>
  <c r="AH12" i="7"/>
  <c r="W12" i="7" s="1"/>
  <c r="X12" i="7" s="1"/>
  <c r="AI11" i="7"/>
  <c r="AH11" i="7"/>
  <c r="W11" i="7" s="1"/>
  <c r="X11" i="7" s="1"/>
  <c r="AD11" i="7"/>
  <c r="AI10" i="7"/>
  <c r="AD10" i="7"/>
  <c r="W10" i="7"/>
  <c r="X10" i="7" s="1"/>
  <c r="AC9" i="7"/>
  <c r="AG231" i="6"/>
  <c r="AG228" i="6"/>
  <c r="AG230" i="6"/>
  <c r="AG229" i="6"/>
  <c r="AG234" i="6"/>
  <c r="AG48" i="6"/>
  <c r="AG46" i="6"/>
  <c r="AG47" i="6"/>
  <c r="X8" i="11" l="1"/>
  <c r="Z500" i="11"/>
  <c r="X7" i="11"/>
  <c r="Z495" i="11"/>
  <c r="AJ7" i="11"/>
  <c r="AH6" i="11" s="1"/>
  <c r="Z495" i="10"/>
  <c r="AJ7" i="10"/>
  <c r="AH6" i="10" s="1"/>
  <c r="X7" i="10"/>
  <c r="Z495" i="9"/>
  <c r="AJ7" i="9"/>
  <c r="AH6" i="9" s="1"/>
  <c r="X7" i="9"/>
  <c r="AD72" i="7"/>
  <c r="AD113" i="7"/>
  <c r="AD129" i="7"/>
  <c r="AD145" i="7"/>
  <c r="V369" i="7"/>
  <c r="AD40" i="7"/>
  <c r="AD169" i="7"/>
  <c r="AD181" i="7"/>
  <c r="AD57" i="7"/>
  <c r="AD61" i="7"/>
  <c r="AD193" i="7"/>
  <c r="AD197" i="7"/>
  <c r="AD164" i="7"/>
  <c r="V447" i="7"/>
  <c r="Z145" i="7"/>
  <c r="Y145" i="7" s="1"/>
  <c r="AG222" i="7"/>
  <c r="AD42" i="7"/>
  <c r="AD45" i="7"/>
  <c r="AG48" i="7"/>
  <c r="AG49" i="7"/>
  <c r="AD50" i="7"/>
  <c r="AD53" i="7"/>
  <c r="AD54" i="7"/>
  <c r="AD66" i="7"/>
  <c r="AD74" i="7"/>
  <c r="AD75" i="7"/>
  <c r="AD78" i="7"/>
  <c r="AG87" i="7"/>
  <c r="AG88" i="7"/>
  <c r="AG89" i="7"/>
  <c r="AD107" i="7"/>
  <c r="AD121" i="7"/>
  <c r="AD125" i="7"/>
  <c r="AD151" i="7"/>
  <c r="AG153" i="7"/>
  <c r="AG155" i="7"/>
  <c r="AD156" i="7"/>
  <c r="AG167" i="7"/>
  <c r="AD171" i="7"/>
  <c r="AD172" i="7"/>
  <c r="AG198" i="7"/>
  <c r="AG200" i="7"/>
  <c r="AG201" i="7"/>
  <c r="AG228" i="7"/>
  <c r="AG284" i="7"/>
  <c r="AG286" i="7"/>
  <c r="AG290" i="7"/>
  <c r="AG294" i="7"/>
  <c r="AG296" i="7"/>
  <c r="AG341" i="7"/>
  <c r="AG342" i="7"/>
  <c r="AG343" i="7"/>
  <c r="AG345" i="7"/>
  <c r="AG346" i="7"/>
  <c r="AG347" i="7"/>
  <c r="AG411" i="7"/>
  <c r="AG483" i="7"/>
  <c r="AG488" i="7"/>
  <c r="AG14" i="7"/>
  <c r="AD58" i="7"/>
  <c r="AG61" i="7"/>
  <c r="Z63" i="7"/>
  <c r="Y63" i="7" s="1"/>
  <c r="AD83" i="7"/>
  <c r="AD86" i="7"/>
  <c r="AD87" i="7"/>
  <c r="AD103" i="7"/>
  <c r="AD104" i="7"/>
  <c r="AD105" i="7"/>
  <c r="AG113" i="7"/>
  <c r="AG114" i="7"/>
  <c r="AG115" i="7"/>
  <c r="AG116" i="7"/>
  <c r="AG117" i="7"/>
  <c r="AG118" i="7"/>
  <c r="AG119" i="7"/>
  <c r="AG120" i="7"/>
  <c r="AG134" i="7"/>
  <c r="AG135" i="7"/>
  <c r="AD138" i="7"/>
  <c r="AD139" i="7"/>
  <c r="AD140" i="7"/>
  <c r="AD141" i="7"/>
  <c r="AD161" i="7"/>
  <c r="AD167" i="7"/>
  <c r="AG180" i="7"/>
  <c r="AD182" i="7"/>
  <c r="AG197" i="7"/>
  <c r="AD200" i="7"/>
  <c r="AG383" i="7"/>
  <c r="AG482" i="7"/>
  <c r="AG486" i="7"/>
  <c r="Z46" i="7"/>
  <c r="Y46" i="7" s="1"/>
  <c r="AD49" i="7"/>
  <c r="AG386" i="7"/>
  <c r="V9" i="7"/>
  <c r="AD41" i="7"/>
  <c r="AG81" i="7"/>
  <c r="AG13" i="7"/>
  <c r="AG39" i="7"/>
  <c r="AG40" i="7"/>
  <c r="AD46" i="7"/>
  <c r="AD51" i="7"/>
  <c r="AD52" i="7"/>
  <c r="AD62" i="7"/>
  <c r="AD67" i="7"/>
  <c r="AG71" i="7"/>
  <c r="AD79" i="7"/>
  <c r="AG82" i="7"/>
  <c r="AD84" i="7"/>
  <c r="AD85" i="7"/>
  <c r="AG91" i="7"/>
  <c r="AG92" i="7"/>
  <c r="AG93" i="7"/>
  <c r="AG94" i="7"/>
  <c r="AD96" i="7"/>
  <c r="AD102" i="7"/>
  <c r="AG106" i="7"/>
  <c r="AG111" i="7"/>
  <c r="AD112" i="7"/>
  <c r="AD114" i="7"/>
  <c r="AD117" i="7"/>
  <c r="AG121" i="7"/>
  <c r="AG122" i="7"/>
  <c r="AD123" i="7"/>
  <c r="AD128" i="7"/>
  <c r="AD142" i="7"/>
  <c r="AD158" i="7"/>
  <c r="AG172" i="7"/>
  <c r="AG173" i="7"/>
  <c r="W178" i="7"/>
  <c r="X178" i="7" s="1"/>
  <c r="AG178" i="7" s="1"/>
  <c r="AG184" i="7"/>
  <c r="AG187" i="7"/>
  <c r="AD195" i="7"/>
  <c r="Z196" i="7"/>
  <c r="Y196" i="7" s="1"/>
  <c r="AD196" i="7"/>
  <c r="V202" i="7"/>
  <c r="V407" i="7"/>
  <c r="AG446" i="7"/>
  <c r="Z446" i="7"/>
  <c r="Y446" i="7" s="1"/>
  <c r="AG46" i="7"/>
  <c r="AG62" i="7"/>
  <c r="AG70" i="7"/>
  <c r="AG90" i="7"/>
  <c r="AG105" i="7"/>
  <c r="AG110" i="7"/>
  <c r="AG132" i="7"/>
  <c r="AG146" i="7"/>
  <c r="AG174" i="7"/>
  <c r="AG161" i="7"/>
  <c r="Z175" i="7"/>
  <c r="Y175" i="7" s="1"/>
  <c r="AD43" i="7"/>
  <c r="AD48" i="7"/>
  <c r="AG50" i="7"/>
  <c r="AG51" i="7"/>
  <c r="AG52" i="7"/>
  <c r="AG53" i="7"/>
  <c r="AD55" i="7"/>
  <c r="AD56" i="7"/>
  <c r="AG58" i="7"/>
  <c r="AG59" i="7"/>
  <c r="AG60" i="7"/>
  <c r="AG63" i="7"/>
  <c r="AD64" i="7"/>
  <c r="AD71" i="7"/>
  <c r="AG74" i="7"/>
  <c r="AG83" i="7"/>
  <c r="AG85" i="7"/>
  <c r="AG86" i="7"/>
  <c r="AD91" i="7"/>
  <c r="AG95" i="7"/>
  <c r="AG96" i="7"/>
  <c r="AD99" i="7"/>
  <c r="AD100" i="7"/>
  <c r="AG107" i="7"/>
  <c r="AD108" i="7"/>
  <c r="AD115" i="7"/>
  <c r="AD136" i="7"/>
  <c r="AD137" i="7"/>
  <c r="W148" i="7"/>
  <c r="X148" i="7" s="1"/>
  <c r="AG148" i="7" s="1"/>
  <c r="AD149" i="7"/>
  <c r="Z155" i="7"/>
  <c r="Y155" i="7" s="1"/>
  <c r="AG158" i="7"/>
  <c r="AG159" i="7"/>
  <c r="AG163" i="7"/>
  <c r="AG165" i="7"/>
  <c r="AD168" i="7"/>
  <c r="AG189" i="7"/>
  <c r="AG196" i="7"/>
  <c r="AG300" i="7"/>
  <c r="Z300" i="7"/>
  <c r="Y300" i="7" s="1"/>
  <c r="V327" i="7"/>
  <c r="AH371" i="7"/>
  <c r="W371" i="7" s="1"/>
  <c r="X371" i="7" s="1"/>
  <c r="AG371" i="7" s="1"/>
  <c r="W370" i="7"/>
  <c r="X370" i="7" s="1"/>
  <c r="Z370" i="7" s="1"/>
  <c r="V377" i="7"/>
  <c r="V472" i="7"/>
  <c r="V220" i="7"/>
  <c r="AG231" i="7"/>
  <c r="AG238" i="7"/>
  <c r="AG302" i="7"/>
  <c r="AG306" i="7"/>
  <c r="AG310" i="7"/>
  <c r="AG329" i="7"/>
  <c r="AG331" i="7"/>
  <c r="AG333" i="7"/>
  <c r="AG335" i="7"/>
  <c r="AG336" i="7"/>
  <c r="AG337" i="7"/>
  <c r="AG338" i="7"/>
  <c r="AG339" i="7"/>
  <c r="AG388" i="7"/>
  <c r="AG415" i="7"/>
  <c r="AG473" i="7"/>
  <c r="AG485" i="7"/>
  <c r="V237" i="7"/>
  <c r="AG382" i="7"/>
  <c r="AG409" i="7"/>
  <c r="AG413" i="7"/>
  <c r="Z415" i="7"/>
  <c r="Y415" i="7" s="1"/>
  <c r="AG484" i="7"/>
  <c r="AD118" i="7"/>
  <c r="AD119" i="7"/>
  <c r="AG123" i="7"/>
  <c r="AD124" i="7"/>
  <c r="AG127" i="7"/>
  <c r="AG147" i="7"/>
  <c r="AG150" i="7"/>
  <c r="AG156" i="7"/>
  <c r="AG162" i="7"/>
  <c r="AG164" i="7"/>
  <c r="AD166" i="7"/>
  <c r="Z179" i="7"/>
  <c r="Y179" i="7" s="1"/>
  <c r="AG183" i="7"/>
  <c r="AD184" i="7"/>
  <c r="AG185" i="7"/>
  <c r="AG186" i="7"/>
  <c r="AD188" i="7"/>
  <c r="AG193" i="7"/>
  <c r="AD198" i="7"/>
  <c r="AG212" i="7"/>
  <c r="Z212" i="7"/>
  <c r="Y212" i="7" s="1"/>
  <c r="Z223" i="7"/>
  <c r="Y223" i="7" s="1"/>
  <c r="Z280" i="7"/>
  <c r="Y280" i="7" s="1"/>
  <c r="Z312" i="7"/>
  <c r="Y312" i="7" s="1"/>
  <c r="Z386" i="7"/>
  <c r="Y386" i="7" s="1"/>
  <c r="Z411" i="7"/>
  <c r="Y411" i="7" s="1"/>
  <c r="Z473" i="7"/>
  <c r="Y473" i="7" s="1"/>
  <c r="Z13" i="7"/>
  <c r="Y13" i="7" s="1"/>
  <c r="Z14" i="7"/>
  <c r="Y14" i="7" s="1"/>
  <c r="Z140" i="7"/>
  <c r="Y140" i="7" s="1"/>
  <c r="Z141" i="7"/>
  <c r="Y141" i="7" s="1"/>
  <c r="Z150" i="7"/>
  <c r="Y150" i="7" s="1"/>
  <c r="AG166" i="7"/>
  <c r="Z409" i="7"/>
  <c r="Y409" i="7" s="1"/>
  <c r="Z417" i="7"/>
  <c r="Y417" i="7" s="1"/>
  <c r="Z42" i="7"/>
  <c r="Y42" i="7" s="1"/>
  <c r="Z139" i="7"/>
  <c r="Y139" i="7" s="1"/>
  <c r="AG328" i="7"/>
  <c r="Z328" i="7"/>
  <c r="Y328" i="7" s="1"/>
  <c r="AG350" i="7"/>
  <c r="Z350" i="7"/>
  <c r="Y350" i="7" s="1"/>
  <c r="Z61" i="7"/>
  <c r="Y61" i="7" s="1"/>
  <c r="Z65" i="7"/>
  <c r="Y65" i="7" s="1"/>
  <c r="Z67" i="7"/>
  <c r="Y67" i="7" s="1"/>
  <c r="Z68" i="7"/>
  <c r="Y68" i="7" s="1"/>
  <c r="Z69" i="7"/>
  <c r="Y69" i="7" s="1"/>
  <c r="Z71" i="7"/>
  <c r="Y71" i="7" s="1"/>
  <c r="Z73" i="7"/>
  <c r="Y73" i="7" s="1"/>
  <c r="Z75" i="7"/>
  <c r="Y75" i="7" s="1"/>
  <c r="Z76" i="7"/>
  <c r="Y76" i="7" s="1"/>
  <c r="Z77" i="7"/>
  <c r="Y77" i="7" s="1"/>
  <c r="Z79" i="7"/>
  <c r="Y79" i="7" s="1"/>
  <c r="Z80" i="7"/>
  <c r="Y80" i="7" s="1"/>
  <c r="Z81" i="7"/>
  <c r="Y81" i="7" s="1"/>
  <c r="Z83" i="7"/>
  <c r="Y83" i="7" s="1"/>
  <c r="Z87" i="7"/>
  <c r="Y87" i="7" s="1"/>
  <c r="Z88" i="7"/>
  <c r="Y88" i="7" s="1"/>
  <c r="Z89" i="7"/>
  <c r="Y89" i="7" s="1"/>
  <c r="Z91" i="7"/>
  <c r="Y91" i="7" s="1"/>
  <c r="Z92" i="7"/>
  <c r="Y92" i="7" s="1"/>
  <c r="Z93" i="7"/>
  <c r="Y93" i="7" s="1"/>
  <c r="Z95" i="7"/>
  <c r="Y95" i="7" s="1"/>
  <c r="Z97" i="7"/>
  <c r="Y97" i="7" s="1"/>
  <c r="AG97" i="7"/>
  <c r="Z122" i="7"/>
  <c r="Y122" i="7" s="1"/>
  <c r="Z138" i="7"/>
  <c r="Y138" i="7" s="1"/>
  <c r="AG142" i="7"/>
  <c r="Z156" i="7"/>
  <c r="Y156" i="7" s="1"/>
  <c r="Z167" i="7"/>
  <c r="Y167" i="7" s="1"/>
  <c r="Z170" i="7"/>
  <c r="Y170" i="7" s="1"/>
  <c r="Z290" i="7"/>
  <c r="Y290" i="7" s="1"/>
  <c r="Z302" i="7"/>
  <c r="Y302" i="7" s="1"/>
  <c r="Z322" i="7"/>
  <c r="Y322" i="7" s="1"/>
  <c r="Z385" i="7"/>
  <c r="Y385" i="7" s="1"/>
  <c r="Z388" i="7"/>
  <c r="Y388" i="7" s="1"/>
  <c r="AG410" i="7"/>
  <c r="AG412" i="7"/>
  <c r="AG414" i="7"/>
  <c r="AG416" i="7"/>
  <c r="AG490" i="7"/>
  <c r="Z44" i="7"/>
  <c r="Y44" i="7" s="1"/>
  <c r="Z57" i="7"/>
  <c r="Y57" i="7" s="1"/>
  <c r="Z116" i="7"/>
  <c r="Y116" i="7" s="1"/>
  <c r="Z136" i="7"/>
  <c r="Y136" i="7" s="1"/>
  <c r="Z137" i="7"/>
  <c r="Y137" i="7" s="1"/>
  <c r="Z143" i="7"/>
  <c r="Y143" i="7" s="1"/>
  <c r="Z176" i="7"/>
  <c r="Y176" i="7" s="1"/>
  <c r="Z306" i="7"/>
  <c r="Y306" i="7" s="1"/>
  <c r="AG372" i="7"/>
  <c r="Z53" i="7"/>
  <c r="Y53" i="7" s="1"/>
  <c r="Z105" i="7"/>
  <c r="Y105" i="7" s="1"/>
  <c r="Z158" i="7"/>
  <c r="Y158" i="7" s="1"/>
  <c r="Z162" i="7"/>
  <c r="Y162" i="7" s="1"/>
  <c r="Z168" i="7"/>
  <c r="Y168" i="7" s="1"/>
  <c r="Z172" i="7"/>
  <c r="Y172" i="7" s="1"/>
  <c r="Z199" i="7"/>
  <c r="Y199" i="7" s="1"/>
  <c r="AG468" i="7"/>
  <c r="AG308" i="7"/>
  <c r="Z308" i="7"/>
  <c r="Y308" i="7" s="1"/>
  <c r="AG129" i="7"/>
  <c r="Z129" i="7"/>
  <c r="Y129" i="7" s="1"/>
  <c r="AG214" i="7"/>
  <c r="Z214" i="7"/>
  <c r="Y214" i="7" s="1"/>
  <c r="AG282" i="7"/>
  <c r="Z282" i="7"/>
  <c r="Y282" i="7" s="1"/>
  <c r="AG304" i="7"/>
  <c r="Z304" i="7"/>
  <c r="Y304" i="7" s="1"/>
  <c r="AG324" i="7"/>
  <c r="Z324" i="7"/>
  <c r="Y324" i="7" s="1"/>
  <c r="AG334" i="7"/>
  <c r="Z334" i="7"/>
  <c r="Y334" i="7" s="1"/>
  <c r="AG340" i="7"/>
  <c r="Z340" i="7"/>
  <c r="Y340" i="7" s="1"/>
  <c r="Z233" i="7"/>
  <c r="Y233" i="7" s="1"/>
  <c r="AG245" i="7"/>
  <c r="AG255" i="7"/>
  <c r="AG261" i="7"/>
  <c r="AG277" i="7"/>
  <c r="Z316" i="7"/>
  <c r="Y316" i="7" s="1"/>
  <c r="AG348" i="7"/>
  <c r="Z348" i="7"/>
  <c r="Y348" i="7" s="1"/>
  <c r="AG477" i="7"/>
  <c r="Z477" i="7"/>
  <c r="Y477" i="7" s="1"/>
  <c r="Z41" i="7"/>
  <c r="Y41" i="7" s="1"/>
  <c r="Z45" i="7"/>
  <c r="Y45" i="7" s="1"/>
  <c r="Z60" i="7"/>
  <c r="Y60" i="7" s="1"/>
  <c r="Z66" i="7"/>
  <c r="Y66" i="7" s="1"/>
  <c r="Z70" i="7"/>
  <c r="Y70" i="7" s="1"/>
  <c r="Z74" i="7"/>
  <c r="Y74" i="7" s="1"/>
  <c r="Z78" i="7"/>
  <c r="Y78" i="7" s="1"/>
  <c r="Z82" i="7"/>
  <c r="Y82" i="7" s="1"/>
  <c r="Z86" i="7"/>
  <c r="Y86" i="7" s="1"/>
  <c r="Z90" i="7"/>
  <c r="Y90" i="7" s="1"/>
  <c r="Z94" i="7"/>
  <c r="Y94" i="7" s="1"/>
  <c r="Z126" i="7"/>
  <c r="Y126" i="7" s="1"/>
  <c r="Z187" i="7"/>
  <c r="Y187" i="7" s="1"/>
  <c r="Z189" i="7"/>
  <c r="Y189" i="7" s="1"/>
  <c r="AG205" i="7"/>
  <c r="AG208" i="7"/>
  <c r="Z286" i="7"/>
  <c r="Y286" i="7" s="1"/>
  <c r="AG288" i="7"/>
  <c r="Z288" i="7"/>
  <c r="Y288" i="7" s="1"/>
  <c r="Z296" i="7"/>
  <c r="Y296" i="7" s="1"/>
  <c r="AG298" i="7"/>
  <c r="Z298" i="7"/>
  <c r="Y298" i="7" s="1"/>
  <c r="Z318" i="7"/>
  <c r="Y318" i="7" s="1"/>
  <c r="AG320" i="7"/>
  <c r="Z320" i="7"/>
  <c r="Y320" i="7" s="1"/>
  <c r="AG330" i="7"/>
  <c r="Z330" i="7"/>
  <c r="Y330" i="7" s="1"/>
  <c r="Z336" i="7"/>
  <c r="Y336" i="7" s="1"/>
  <c r="Z342" i="7"/>
  <c r="Y342" i="7" s="1"/>
  <c r="AG15" i="7"/>
  <c r="Z15" i="7"/>
  <c r="Y15" i="7" s="1"/>
  <c r="Z209" i="7"/>
  <c r="Y209" i="7" s="1"/>
  <c r="AG209" i="7"/>
  <c r="AG232" i="7"/>
  <c r="AG292" i="7"/>
  <c r="Z292" i="7"/>
  <c r="Y292" i="7" s="1"/>
  <c r="AG314" i="7"/>
  <c r="Z314" i="7"/>
  <c r="Y314" i="7" s="1"/>
  <c r="AG419" i="7"/>
  <c r="Z419" i="7"/>
  <c r="Y419" i="7" s="1"/>
  <c r="AG444" i="7"/>
  <c r="Z444" i="7"/>
  <c r="Y444" i="7" s="1"/>
  <c r="Z99" i="7"/>
  <c r="Y99" i="7" s="1"/>
  <c r="Z114" i="7"/>
  <c r="Y114" i="7" s="1"/>
  <c r="AG241" i="7"/>
  <c r="AG271" i="7"/>
  <c r="Z284" i="7"/>
  <c r="Y284" i="7" s="1"/>
  <c r="AG470" i="7"/>
  <c r="Z108" i="7"/>
  <c r="Y108" i="7" s="1"/>
  <c r="AG112" i="7"/>
  <c r="Z112" i="7"/>
  <c r="Y112" i="7" s="1"/>
  <c r="Z131" i="7"/>
  <c r="Y131" i="7" s="1"/>
  <c r="Z146" i="7"/>
  <c r="Y146" i="7" s="1"/>
  <c r="AG154" i="7"/>
  <c r="Z184" i="7"/>
  <c r="Y184" i="7" s="1"/>
  <c r="AG199" i="7"/>
  <c r="AG239" i="7"/>
  <c r="AG243" i="7"/>
  <c r="AG247" i="7"/>
  <c r="AG253" i="7"/>
  <c r="AG263" i="7"/>
  <c r="AG269" i="7"/>
  <c r="AG332" i="7"/>
  <c r="Z332" i="7"/>
  <c r="Y332" i="7" s="1"/>
  <c r="AG344" i="7"/>
  <c r="Z344" i="7"/>
  <c r="Y344" i="7" s="1"/>
  <c r="Z353" i="7"/>
  <c r="Y353" i="7" s="1"/>
  <c r="AG353" i="7"/>
  <c r="AG449" i="7"/>
  <c r="Z449" i="7"/>
  <c r="Y449" i="7" s="1"/>
  <c r="AG465" i="7"/>
  <c r="Z149" i="7"/>
  <c r="Y149" i="7" s="1"/>
  <c r="AG151" i="7"/>
  <c r="Z161" i="7"/>
  <c r="Y161" i="7" s="1"/>
  <c r="Z164" i="7"/>
  <c r="Y164" i="7" s="1"/>
  <c r="Z185" i="7"/>
  <c r="Y185" i="7" s="1"/>
  <c r="Z186" i="7"/>
  <c r="Y186" i="7" s="1"/>
  <c r="Z190" i="7"/>
  <c r="Y190" i="7" s="1"/>
  <c r="Z191" i="7"/>
  <c r="Y191" i="7" s="1"/>
  <c r="AG191" i="7"/>
  <c r="Z200" i="7"/>
  <c r="Y200" i="7" s="1"/>
  <c r="AG251" i="7"/>
  <c r="AG259" i="7"/>
  <c r="AG267" i="7"/>
  <c r="AG275" i="7"/>
  <c r="Z443" i="7"/>
  <c r="Y443" i="7" s="1"/>
  <c r="AG443" i="7"/>
  <c r="AG460" i="7"/>
  <c r="Z98" i="7"/>
  <c r="Y98" i="7" s="1"/>
  <c r="Z101" i="7"/>
  <c r="Y101" i="7" s="1"/>
  <c r="Z109" i="7"/>
  <c r="Y109" i="7" s="1"/>
  <c r="Z120" i="7"/>
  <c r="Y120" i="7" s="1"/>
  <c r="Z132" i="7"/>
  <c r="Y132" i="7" s="1"/>
  <c r="Z134" i="7"/>
  <c r="Y134" i="7" s="1"/>
  <c r="AG145" i="7"/>
  <c r="Z147" i="7"/>
  <c r="Y147" i="7" s="1"/>
  <c r="Z152" i="7"/>
  <c r="Y152" i="7" s="1"/>
  <c r="Z159" i="7"/>
  <c r="Y159" i="7" s="1"/>
  <c r="AG171" i="7"/>
  <c r="Z180" i="7"/>
  <c r="Y180" i="7" s="1"/>
  <c r="Z201" i="7"/>
  <c r="Y201" i="7" s="1"/>
  <c r="Z228" i="7"/>
  <c r="Y228" i="7" s="1"/>
  <c r="AG240" i="7"/>
  <c r="AG242" i="7"/>
  <c r="AG249" i="7"/>
  <c r="AG257" i="7"/>
  <c r="AG265" i="7"/>
  <c r="AG273" i="7"/>
  <c r="Z294" i="7"/>
  <c r="Y294" i="7" s="1"/>
  <c r="Z310" i="7"/>
  <c r="Y310" i="7" s="1"/>
  <c r="Z326" i="7"/>
  <c r="Y326" i="7" s="1"/>
  <c r="Z338" i="7"/>
  <c r="Y338" i="7" s="1"/>
  <c r="Z442" i="7"/>
  <c r="Y442" i="7" s="1"/>
  <c r="Z488" i="7"/>
  <c r="Y488" i="7" s="1"/>
  <c r="AG244" i="7"/>
  <c r="AG246" i="7"/>
  <c r="AG248" i="7"/>
  <c r="AG250" i="7"/>
  <c r="AG252" i="7"/>
  <c r="AG254" i="7"/>
  <c r="AG256" i="7"/>
  <c r="AG258" i="7"/>
  <c r="AG260" i="7"/>
  <c r="AG262" i="7"/>
  <c r="AG264" i="7"/>
  <c r="AG266" i="7"/>
  <c r="AG268" i="7"/>
  <c r="AG270" i="7"/>
  <c r="AG272" i="7"/>
  <c r="AG274" i="7"/>
  <c r="AG276" i="7"/>
  <c r="AG469" i="7"/>
  <c r="AG10" i="7"/>
  <c r="Z10" i="7"/>
  <c r="AG20" i="7"/>
  <c r="Z20" i="7"/>
  <c r="Y20" i="7" s="1"/>
  <c r="Z24" i="7"/>
  <c r="Y24" i="7" s="1"/>
  <c r="AG24" i="7"/>
  <c r="Z29" i="7"/>
  <c r="Y29" i="7" s="1"/>
  <c r="AG29" i="7"/>
  <c r="Z35" i="7"/>
  <c r="Y35" i="7" s="1"/>
  <c r="AG35" i="7"/>
  <c r="Z48" i="7"/>
  <c r="Y48" i="7" s="1"/>
  <c r="AG72" i="7"/>
  <c r="Z72" i="7"/>
  <c r="Y72" i="7" s="1"/>
  <c r="AG84" i="7"/>
  <c r="Z84" i="7"/>
  <c r="Y84" i="7" s="1"/>
  <c r="Z124" i="7"/>
  <c r="Y124" i="7" s="1"/>
  <c r="AG124" i="7"/>
  <c r="AG19" i="7"/>
  <c r="Z19" i="7"/>
  <c r="Y19" i="7" s="1"/>
  <c r="Z23" i="7"/>
  <c r="Y23" i="7" s="1"/>
  <c r="AG23" i="7"/>
  <c r="Z25" i="7"/>
  <c r="Y25" i="7" s="1"/>
  <c r="AG25" i="7"/>
  <c r="AG30" i="7"/>
  <c r="Z30" i="7"/>
  <c r="Y30" i="7" s="1"/>
  <c r="AG32" i="7"/>
  <c r="Z32" i="7"/>
  <c r="Y32" i="7" s="1"/>
  <c r="Z36" i="7"/>
  <c r="Y36" i="7" s="1"/>
  <c r="AG36" i="7"/>
  <c r="Z11" i="7"/>
  <c r="Y11" i="7" s="1"/>
  <c r="AG11" i="7"/>
  <c r="Z17" i="7"/>
  <c r="Y17" i="7" s="1"/>
  <c r="AG17" i="7"/>
  <c r="AG21" i="7"/>
  <c r="Z21" i="7"/>
  <c r="Y21" i="7" s="1"/>
  <c r="AG28" i="7"/>
  <c r="Z28" i="7"/>
  <c r="Y28" i="7" s="1"/>
  <c r="Z50" i="7"/>
  <c r="Y50" i="7" s="1"/>
  <c r="Z54" i="7"/>
  <c r="Y54" i="7" s="1"/>
  <c r="Z58" i="7"/>
  <c r="Y58" i="7" s="1"/>
  <c r="Z59" i="7"/>
  <c r="Y59" i="7" s="1"/>
  <c r="Z62" i="7"/>
  <c r="Y62" i="7" s="1"/>
  <c r="Z107" i="7"/>
  <c r="Y107" i="7" s="1"/>
  <c r="AG31" i="7"/>
  <c r="Z31" i="7"/>
  <c r="Y31" i="7" s="1"/>
  <c r="Z12" i="7"/>
  <c r="Y12" i="7" s="1"/>
  <c r="AG12" i="7"/>
  <c r="Z18" i="7"/>
  <c r="Y18" i="7" s="1"/>
  <c r="AG18" i="7"/>
  <c r="AG22" i="7"/>
  <c r="Z22" i="7"/>
  <c r="Y22" i="7" s="1"/>
  <c r="Z26" i="7"/>
  <c r="Y26" i="7" s="1"/>
  <c r="AG26" i="7"/>
  <c r="Z27" i="7"/>
  <c r="Y27" i="7" s="1"/>
  <c r="AG27" i="7"/>
  <c r="Z37" i="7"/>
  <c r="Y37" i="7" s="1"/>
  <c r="AG37" i="7"/>
  <c r="Z55" i="7"/>
  <c r="Y55" i="7" s="1"/>
  <c r="AG55" i="7"/>
  <c r="Z64" i="7"/>
  <c r="Y64" i="7" s="1"/>
  <c r="Z39" i="7"/>
  <c r="Z43" i="7"/>
  <c r="Y43" i="7" s="1"/>
  <c r="Z51" i="7"/>
  <c r="Y51" i="7" s="1"/>
  <c r="AG33" i="7"/>
  <c r="AG34" i="7"/>
  <c r="Z49" i="7"/>
  <c r="Y49" i="7" s="1"/>
  <c r="Z56" i="7"/>
  <c r="Y56" i="7" s="1"/>
  <c r="Z85" i="7"/>
  <c r="Y85" i="7" s="1"/>
  <c r="W16" i="7"/>
  <c r="X16" i="7" s="1"/>
  <c r="AD59" i="7"/>
  <c r="AD68" i="7"/>
  <c r="AD76" i="7"/>
  <c r="AD80" i="7"/>
  <c r="AD88" i="7"/>
  <c r="AD92" i="7"/>
  <c r="AD97" i="7"/>
  <c r="Z104" i="7"/>
  <c r="Y104" i="7" s="1"/>
  <c r="Z110" i="7"/>
  <c r="Y110" i="7" s="1"/>
  <c r="Z119" i="7"/>
  <c r="Y119" i="7" s="1"/>
  <c r="AD127" i="7"/>
  <c r="Z142" i="7"/>
  <c r="Y142" i="7" s="1"/>
  <c r="Z144" i="7"/>
  <c r="Y144" i="7" s="1"/>
  <c r="Z148" i="7"/>
  <c r="Y148" i="7" s="1"/>
  <c r="Z154" i="7"/>
  <c r="Y154" i="7" s="1"/>
  <c r="Z160" i="7"/>
  <c r="Y160" i="7" s="1"/>
  <c r="Z166" i="7"/>
  <c r="Y166" i="7" s="1"/>
  <c r="Z173" i="7"/>
  <c r="Y173" i="7" s="1"/>
  <c r="Z178" i="7"/>
  <c r="AG215" i="7"/>
  <c r="Z215" i="7"/>
  <c r="Y215" i="7" s="1"/>
  <c r="AG230" i="7"/>
  <c r="Z230" i="7"/>
  <c r="Y230" i="7" s="1"/>
  <c r="Z40" i="7"/>
  <c r="Y40" i="7" s="1"/>
  <c r="Z47" i="7"/>
  <c r="Y47" i="7" s="1"/>
  <c r="Z52" i="7"/>
  <c r="Y52" i="7" s="1"/>
  <c r="AD44" i="7"/>
  <c r="AD60" i="7"/>
  <c r="AD63" i="7"/>
  <c r="AD65" i="7"/>
  <c r="AD69" i="7"/>
  <c r="AD73" i="7"/>
  <c r="AD77" i="7"/>
  <c r="AD81" i="7"/>
  <c r="AD89" i="7"/>
  <c r="AD93" i="7"/>
  <c r="Z100" i="7"/>
  <c r="Y100" i="7" s="1"/>
  <c r="Z103" i="7"/>
  <c r="Y103" i="7" s="1"/>
  <c r="Z106" i="7"/>
  <c r="Y106" i="7" s="1"/>
  <c r="AD109" i="7"/>
  <c r="Z113" i="7"/>
  <c r="Y113" i="7" s="1"/>
  <c r="Z115" i="7"/>
  <c r="Y115" i="7" s="1"/>
  <c r="Z118" i="7"/>
  <c r="Y118" i="7" s="1"/>
  <c r="Z121" i="7"/>
  <c r="Y121" i="7" s="1"/>
  <c r="Z130" i="7"/>
  <c r="Y130" i="7" s="1"/>
  <c r="Z135" i="7"/>
  <c r="Y135" i="7" s="1"/>
  <c r="AD135" i="7"/>
  <c r="Z151" i="7"/>
  <c r="Y151" i="7" s="1"/>
  <c r="Z153" i="7"/>
  <c r="Y153" i="7" s="1"/>
  <c r="Z157" i="7"/>
  <c r="Y157" i="7" s="1"/>
  <c r="Z165" i="7"/>
  <c r="Y165" i="7" s="1"/>
  <c r="Z171" i="7"/>
  <c r="Y171" i="7" s="1"/>
  <c r="AG221" i="7"/>
  <c r="Z221" i="7"/>
  <c r="AG225" i="7"/>
  <c r="Z225" i="7"/>
  <c r="Y225" i="7" s="1"/>
  <c r="Z96" i="7"/>
  <c r="Y96" i="7" s="1"/>
  <c r="Z102" i="7"/>
  <c r="Y102" i="7" s="1"/>
  <c r="Z117" i="7"/>
  <c r="Y117" i="7" s="1"/>
  <c r="Z174" i="7"/>
  <c r="Y174" i="7" s="1"/>
  <c r="AG213" i="7"/>
  <c r="Z213" i="7"/>
  <c r="Y213" i="7" s="1"/>
  <c r="AG216" i="7"/>
  <c r="Z216" i="7"/>
  <c r="Y216" i="7" s="1"/>
  <c r="Z217" i="7"/>
  <c r="Y217" i="7" s="1"/>
  <c r="AG217" i="7"/>
  <c r="AG235" i="7"/>
  <c r="Z235" i="7"/>
  <c r="Y235" i="7" s="1"/>
  <c r="Z497" i="7"/>
  <c r="AG497" i="7"/>
  <c r="Z111" i="7"/>
  <c r="Y111" i="7" s="1"/>
  <c r="Z125" i="7"/>
  <c r="Y125" i="7" s="1"/>
  <c r="Z163" i="7"/>
  <c r="Y163" i="7" s="1"/>
  <c r="Z169" i="7"/>
  <c r="Y169" i="7" s="1"/>
  <c r="AG207" i="7"/>
  <c r="Z207" i="7"/>
  <c r="Y207" i="7" s="1"/>
  <c r="Z210" i="7"/>
  <c r="Y210" i="7" s="1"/>
  <c r="AG210" i="7"/>
  <c r="AD144" i="7"/>
  <c r="AD148" i="7"/>
  <c r="AD150" i="7"/>
  <c r="AD153" i="7"/>
  <c r="AD157" i="7"/>
  <c r="AD160" i="7"/>
  <c r="AD162" i="7"/>
  <c r="AD165" i="7"/>
  <c r="AD174" i="7"/>
  <c r="AD176" i="7"/>
  <c r="AD180" i="7"/>
  <c r="AD185" i="7"/>
  <c r="AD186" i="7"/>
  <c r="AD190" i="7"/>
  <c r="Z192" i="7"/>
  <c r="Y192" i="7" s="1"/>
  <c r="Z193" i="7"/>
  <c r="Y193" i="7" s="1"/>
  <c r="AD199" i="7"/>
  <c r="AD201" i="7"/>
  <c r="W203" i="7"/>
  <c r="X203" i="7" s="1"/>
  <c r="Z226" i="7"/>
  <c r="Y226" i="7" s="1"/>
  <c r="Z227" i="7"/>
  <c r="Y227" i="7" s="1"/>
  <c r="AG229" i="7"/>
  <c r="Z181" i="7"/>
  <c r="Y181" i="7" s="1"/>
  <c r="AD191" i="7"/>
  <c r="Z194" i="7"/>
  <c r="Y194" i="7" s="1"/>
  <c r="Z195" i="7"/>
  <c r="Y195" i="7" s="1"/>
  <c r="Z204" i="7"/>
  <c r="Y204" i="7" s="1"/>
  <c r="AG279" i="7"/>
  <c r="Z279" i="7"/>
  <c r="Y279" i="7" s="1"/>
  <c r="AG283" i="7"/>
  <c r="Z283" i="7"/>
  <c r="Y283" i="7" s="1"/>
  <c r="AG287" i="7"/>
  <c r="Z287" i="7"/>
  <c r="Y287" i="7" s="1"/>
  <c r="AG291" i="7"/>
  <c r="Z291" i="7"/>
  <c r="Y291" i="7" s="1"/>
  <c r="AG295" i="7"/>
  <c r="Z295" i="7"/>
  <c r="Y295" i="7" s="1"/>
  <c r="AG299" i="7"/>
  <c r="Z299" i="7"/>
  <c r="Y299" i="7" s="1"/>
  <c r="AG303" i="7"/>
  <c r="Z303" i="7"/>
  <c r="Y303" i="7" s="1"/>
  <c r="AG307" i="7"/>
  <c r="Z307" i="7"/>
  <c r="Y307" i="7" s="1"/>
  <c r="AG311" i="7"/>
  <c r="Z311" i="7"/>
  <c r="Y311" i="7" s="1"/>
  <c r="AG315" i="7"/>
  <c r="Z315" i="7"/>
  <c r="Y315" i="7" s="1"/>
  <c r="AG319" i="7"/>
  <c r="Z319" i="7"/>
  <c r="Y319" i="7" s="1"/>
  <c r="AG323" i="7"/>
  <c r="Z323" i="7"/>
  <c r="Y323" i="7" s="1"/>
  <c r="Z182" i="7"/>
  <c r="Y182" i="7" s="1"/>
  <c r="Z183" i="7"/>
  <c r="Y183" i="7" s="1"/>
  <c r="Z188" i="7"/>
  <c r="Y188" i="7" s="1"/>
  <c r="Z197" i="7"/>
  <c r="Y197" i="7" s="1"/>
  <c r="Z198" i="7"/>
  <c r="Y198" i="7" s="1"/>
  <c r="AG211" i="7"/>
  <c r="AG218" i="7"/>
  <c r="AG219" i="7"/>
  <c r="Z219" i="7"/>
  <c r="Y219" i="7" s="1"/>
  <c r="Z222" i="7"/>
  <c r="Y222" i="7" s="1"/>
  <c r="AG224" i="7"/>
  <c r="Z231" i="7"/>
  <c r="Y231" i="7" s="1"/>
  <c r="AG234" i="7"/>
  <c r="Z238" i="7"/>
  <c r="AG206" i="7"/>
  <c r="AG236" i="7"/>
  <c r="Z236" i="7"/>
  <c r="Y236" i="7" s="1"/>
  <c r="AG281" i="7"/>
  <c r="Z281" i="7"/>
  <c r="Y281" i="7" s="1"/>
  <c r="AG285" i="7"/>
  <c r="Z285" i="7"/>
  <c r="Y285" i="7" s="1"/>
  <c r="AG289" i="7"/>
  <c r="Z289" i="7"/>
  <c r="Y289" i="7" s="1"/>
  <c r="AG293" i="7"/>
  <c r="Z293" i="7"/>
  <c r="Y293" i="7" s="1"/>
  <c r="AG297" i="7"/>
  <c r="Z297" i="7"/>
  <c r="Y297" i="7" s="1"/>
  <c r="AG301" i="7"/>
  <c r="Z301" i="7"/>
  <c r="Y301" i="7" s="1"/>
  <c r="AG305" i="7"/>
  <c r="Z305" i="7"/>
  <c r="Y305" i="7" s="1"/>
  <c r="AG309" i="7"/>
  <c r="Z309" i="7"/>
  <c r="Y309" i="7" s="1"/>
  <c r="AG313" i="7"/>
  <c r="Z313" i="7"/>
  <c r="Y313" i="7" s="1"/>
  <c r="AG317" i="7"/>
  <c r="Z317" i="7"/>
  <c r="Y317" i="7" s="1"/>
  <c r="AG321" i="7"/>
  <c r="Z321" i="7"/>
  <c r="Y321" i="7" s="1"/>
  <c r="AG325" i="7"/>
  <c r="Z325" i="7"/>
  <c r="Y325" i="7" s="1"/>
  <c r="AG278" i="7"/>
  <c r="AG351" i="7"/>
  <c r="AG354" i="7"/>
  <c r="Z354" i="7"/>
  <c r="Y354" i="7" s="1"/>
  <c r="Z374" i="7"/>
  <c r="Y374" i="7" s="1"/>
  <c r="AG374" i="7"/>
  <c r="AG355" i="7"/>
  <c r="Z355" i="7"/>
  <c r="Y355" i="7" s="1"/>
  <c r="AG356" i="7"/>
  <c r="Z356" i="7"/>
  <c r="Y356" i="7" s="1"/>
  <c r="AG357" i="7"/>
  <c r="Z357" i="7"/>
  <c r="Y357" i="7" s="1"/>
  <c r="AG358" i="7"/>
  <c r="Z358" i="7"/>
  <c r="Y358" i="7" s="1"/>
  <c r="AG359" i="7"/>
  <c r="Z359" i="7"/>
  <c r="Y359" i="7" s="1"/>
  <c r="AG360" i="7"/>
  <c r="Z360" i="7"/>
  <c r="Y360" i="7" s="1"/>
  <c r="AG361" i="7"/>
  <c r="Z361" i="7"/>
  <c r="Y361" i="7" s="1"/>
  <c r="AG362" i="7"/>
  <c r="Z362" i="7"/>
  <c r="Y362" i="7" s="1"/>
  <c r="AG363" i="7"/>
  <c r="Z363" i="7"/>
  <c r="Y363" i="7" s="1"/>
  <c r="AG364" i="7"/>
  <c r="Z364" i="7"/>
  <c r="Y364" i="7" s="1"/>
  <c r="AG365" i="7"/>
  <c r="Z365" i="7"/>
  <c r="Y365" i="7" s="1"/>
  <c r="AG366" i="7"/>
  <c r="Z366" i="7"/>
  <c r="Y366" i="7" s="1"/>
  <c r="AG367" i="7"/>
  <c r="Z367" i="7"/>
  <c r="Y367" i="7" s="1"/>
  <c r="AG368" i="7"/>
  <c r="Z368" i="7"/>
  <c r="Y368" i="7" s="1"/>
  <c r="AG379" i="7"/>
  <c r="Z379" i="7"/>
  <c r="Y379" i="7" s="1"/>
  <c r="AG380" i="7"/>
  <c r="Z380" i="7"/>
  <c r="Y380" i="7" s="1"/>
  <c r="AG381" i="7"/>
  <c r="Z381" i="7"/>
  <c r="Y381" i="7" s="1"/>
  <c r="Z352" i="7"/>
  <c r="Y352" i="7" s="1"/>
  <c r="AG352" i="7"/>
  <c r="Z329" i="7"/>
  <c r="Y329" i="7" s="1"/>
  <c r="Z331" i="7"/>
  <c r="Y331" i="7" s="1"/>
  <c r="Z333" i="7"/>
  <c r="Y333" i="7" s="1"/>
  <c r="Z335" i="7"/>
  <c r="Y335" i="7" s="1"/>
  <c r="Z337" i="7"/>
  <c r="Y337" i="7" s="1"/>
  <c r="Z339" i="7"/>
  <c r="Y339" i="7" s="1"/>
  <c r="Z341" i="7"/>
  <c r="Y341" i="7" s="1"/>
  <c r="Z343" i="7"/>
  <c r="Y343" i="7" s="1"/>
  <c r="Z345" i="7"/>
  <c r="Y345" i="7" s="1"/>
  <c r="Z347" i="7"/>
  <c r="Y347" i="7" s="1"/>
  <c r="Z349" i="7"/>
  <c r="Y349" i="7" s="1"/>
  <c r="Z371" i="7"/>
  <c r="Y371" i="7" s="1"/>
  <c r="Z376" i="7"/>
  <c r="Y376" i="7" s="1"/>
  <c r="AG376" i="7"/>
  <c r="AG387" i="7"/>
  <c r="Z387" i="7"/>
  <c r="Y387" i="7" s="1"/>
  <c r="AG375" i="7"/>
  <c r="Z382" i="7"/>
  <c r="Y382" i="7" s="1"/>
  <c r="Z383" i="7"/>
  <c r="Y383" i="7" s="1"/>
  <c r="AG384" i="7"/>
  <c r="AG378" i="7"/>
  <c r="Z378" i="7"/>
  <c r="AG408" i="7"/>
  <c r="Z408" i="7"/>
  <c r="Z418" i="7"/>
  <c r="Y418" i="7" s="1"/>
  <c r="AG422" i="7"/>
  <c r="AG426" i="7"/>
  <c r="AG430" i="7"/>
  <c r="AG434" i="7"/>
  <c r="AG438" i="7"/>
  <c r="Z455" i="7"/>
  <c r="Y455" i="7" s="1"/>
  <c r="AG455" i="7"/>
  <c r="AG456" i="7"/>
  <c r="AG461" i="7"/>
  <c r="AG467" i="7"/>
  <c r="Z479" i="7"/>
  <c r="Y479" i="7" s="1"/>
  <c r="AG479" i="7"/>
  <c r="AG420" i="7"/>
  <c r="AG421" i="7"/>
  <c r="AG425" i="7"/>
  <c r="AG429" i="7"/>
  <c r="AG433" i="7"/>
  <c r="AG437" i="7"/>
  <c r="AG441" i="7"/>
  <c r="V451" i="7"/>
  <c r="Z454" i="7"/>
  <c r="Y454" i="7" s="1"/>
  <c r="AG454" i="7"/>
  <c r="AG466" i="7"/>
  <c r="Z466" i="7"/>
  <c r="Y466" i="7" s="1"/>
  <c r="AG424" i="7"/>
  <c r="AG428" i="7"/>
  <c r="AG432" i="7"/>
  <c r="AG436" i="7"/>
  <c r="AG440" i="7"/>
  <c r="Z464" i="7"/>
  <c r="Y464" i="7" s="1"/>
  <c r="AG464" i="7"/>
  <c r="Z480" i="7"/>
  <c r="Y480" i="7" s="1"/>
  <c r="AG480" i="7"/>
  <c r="AG423" i="7"/>
  <c r="AG427" i="7"/>
  <c r="AG431" i="7"/>
  <c r="AG435" i="7"/>
  <c r="AG439" i="7"/>
  <c r="AG445" i="7"/>
  <c r="Z448" i="7"/>
  <c r="AG448" i="7"/>
  <c r="AG452" i="7"/>
  <c r="Z452" i="7"/>
  <c r="Z458" i="7"/>
  <c r="Y458" i="7" s="1"/>
  <c r="AG458" i="7"/>
  <c r="Z463" i="7"/>
  <c r="Y463" i="7" s="1"/>
  <c r="AG463" i="7"/>
  <c r="Z491" i="7"/>
  <c r="Y491" i="7" s="1"/>
  <c r="AG491" i="7"/>
  <c r="Z474" i="7"/>
  <c r="Y474" i="7" s="1"/>
  <c r="Z476" i="7"/>
  <c r="Y476" i="7" s="1"/>
  <c r="Z493" i="7"/>
  <c r="AG493" i="7"/>
  <c r="Z499" i="7"/>
  <c r="Z498" i="7" s="1"/>
  <c r="X498" i="7" s="1"/>
  <c r="AG498" i="7" s="1"/>
  <c r="AG499" i="7"/>
  <c r="AG450" i="7"/>
  <c r="AG457" i="7"/>
  <c r="AG462" i="7"/>
  <c r="AG478" i="7"/>
  <c r="Z481" i="7"/>
  <c r="Y481" i="7" s="1"/>
  <c r="AG481" i="7"/>
  <c r="AG489" i="7"/>
  <c r="Z494" i="7"/>
  <c r="Y494" i="7" s="1"/>
  <c r="AG494" i="7"/>
  <c r="Z482" i="7"/>
  <c r="Y482" i="7" s="1"/>
  <c r="Z483" i="7"/>
  <c r="Y483" i="7" s="1"/>
  <c r="Z484" i="7"/>
  <c r="Y484" i="7" s="1"/>
  <c r="Z485" i="7"/>
  <c r="Y485" i="7" s="1"/>
  <c r="Z486" i="7"/>
  <c r="Y486" i="7" s="1"/>
  <c r="Z487" i="7"/>
  <c r="Y487" i="7" s="1"/>
  <c r="AG32" i="6"/>
  <c r="AG387" i="6"/>
  <c r="AG227" i="6"/>
  <c r="AG236" i="6"/>
  <c r="AG496" i="6"/>
  <c r="AG493" i="6"/>
  <c r="AG449" i="6"/>
  <c r="AG163" i="6"/>
  <c r="AG157" i="6"/>
  <c r="AG124" i="6"/>
  <c r="AG16" i="6"/>
  <c r="AG49" i="6"/>
  <c r="AG222" i="6"/>
  <c r="AG225" i="6"/>
  <c r="AG238" i="6"/>
  <c r="AG161" i="6"/>
  <c r="AG160" i="6"/>
  <c r="AG233" i="6"/>
  <c r="AG448" i="6"/>
  <c r="AG447" i="6"/>
  <c r="AG466" i="6"/>
  <c r="AG465" i="6"/>
  <c r="AG464" i="6"/>
  <c r="AG489" i="6"/>
  <c r="AG492" i="6"/>
  <c r="AG381" i="6"/>
  <c r="Z373" i="6"/>
  <c r="AG374" i="6"/>
  <c r="AG218" i="6"/>
  <c r="AG169" i="6"/>
  <c r="AG113" i="6"/>
  <c r="AG175" i="6"/>
  <c r="AG149" i="6"/>
  <c r="AG136" i="6"/>
  <c r="AG152" i="6"/>
  <c r="AG64" i="6"/>
  <c r="AG34" i="6"/>
  <c r="X495" i="11" l="1"/>
  <c r="AG495" i="11" s="1"/>
  <c r="Y495" i="11"/>
  <c r="X495" i="10"/>
  <c r="AG495" i="10" s="1"/>
  <c r="Y495" i="10"/>
  <c r="X495" i="9"/>
  <c r="AG495" i="9" s="1"/>
  <c r="Y495" i="9"/>
  <c r="AG370" i="7"/>
  <c r="V133" i="7"/>
  <c r="V38" i="7"/>
  <c r="Z133" i="7"/>
  <c r="X133" i="7" s="1"/>
  <c r="AG133" i="7" s="1"/>
  <c r="Y472" i="7"/>
  <c r="W472" i="7" s="1"/>
  <c r="Z472" i="7"/>
  <c r="X472" i="7" s="1"/>
  <c r="AG472" i="7" s="1"/>
  <c r="Z492" i="7"/>
  <c r="X492" i="7" s="1"/>
  <c r="AG492" i="7" s="1"/>
  <c r="Y493" i="7"/>
  <c r="Y492" i="7" s="1"/>
  <c r="W492" i="7" s="1"/>
  <c r="Z447" i="7"/>
  <c r="X447" i="7" s="1"/>
  <c r="AG447" i="7" s="1"/>
  <c r="Y448" i="7"/>
  <c r="Y447" i="7" s="1"/>
  <c r="W447" i="7" s="1"/>
  <c r="Y378" i="7"/>
  <c r="Y377" i="7" s="1"/>
  <c r="W377" i="7" s="1"/>
  <c r="Z377" i="7"/>
  <c r="X377" i="7" s="1"/>
  <c r="AG377" i="7" s="1"/>
  <c r="Z327" i="7"/>
  <c r="X327" i="7" s="1"/>
  <c r="AG327" i="7" s="1"/>
  <c r="Z16" i="7"/>
  <c r="Y16" i="7" s="1"/>
  <c r="AG16" i="7"/>
  <c r="Z38" i="7"/>
  <c r="X38" i="7" s="1"/>
  <c r="AG38" i="7" s="1"/>
  <c r="Y39" i="7"/>
  <c r="Y38" i="7" s="1"/>
  <c r="W38" i="7" s="1"/>
  <c r="Y452" i="7"/>
  <c r="Y451" i="7" s="1"/>
  <c r="W451" i="7" s="1"/>
  <c r="Z451" i="7"/>
  <c r="X451" i="7" s="1"/>
  <c r="AG451" i="7" s="1"/>
  <c r="Y327" i="7"/>
  <c r="W327" i="7" s="1"/>
  <c r="AG203" i="7"/>
  <c r="Z203" i="7"/>
  <c r="V177" i="7"/>
  <c r="Y178" i="7"/>
  <c r="Y177" i="7" s="1"/>
  <c r="W177" i="7" s="1"/>
  <c r="Z177" i="7"/>
  <c r="X177" i="7" s="1"/>
  <c r="AG177" i="7" s="1"/>
  <c r="Y10" i="7"/>
  <c r="Y9" i="7" s="1"/>
  <c r="Z9" i="7"/>
  <c r="Y408" i="7"/>
  <c r="Y407" i="7" s="1"/>
  <c r="W407" i="7" s="1"/>
  <c r="Z407" i="7"/>
  <c r="X407" i="7" s="1"/>
  <c r="AG407" i="7" s="1"/>
  <c r="Y370" i="7"/>
  <c r="Y369" i="7" s="1"/>
  <c r="W369" i="7" s="1"/>
  <c r="Z369" i="7"/>
  <c r="X369" i="7" s="1"/>
  <c r="AG369" i="7" s="1"/>
  <c r="Y133" i="7"/>
  <c r="W133" i="7" s="1"/>
  <c r="Y221" i="7"/>
  <c r="Y220" i="7" s="1"/>
  <c r="W220" i="7" s="1"/>
  <c r="Z220" i="7"/>
  <c r="X220" i="7" s="1"/>
  <c r="AG220" i="7" s="1"/>
  <c r="Y238" i="7"/>
  <c r="Y237" i="7" s="1"/>
  <c r="W237" i="7" s="1"/>
  <c r="Z237" i="7"/>
  <c r="X237" i="7" s="1"/>
  <c r="AG237" i="7" s="1"/>
  <c r="Y497" i="7"/>
  <c r="Y496" i="7" s="1"/>
  <c r="W496" i="7" s="1"/>
  <c r="Z496" i="7"/>
  <c r="X496" i="7" s="1"/>
  <c r="AG496" i="7" s="1"/>
  <c r="V10" i="6"/>
  <c r="Y505" i="6"/>
  <c r="X505" i="6" s="1"/>
  <c r="V505" i="6"/>
  <c r="Y504" i="6"/>
  <c r="X504" i="6"/>
  <c r="V504" i="6"/>
  <c r="Y503" i="6"/>
  <c r="Y502" i="6" s="1"/>
  <c r="X503" i="6"/>
  <c r="V503" i="6"/>
  <c r="AH502" i="6"/>
  <c r="AF502" i="6" s="1"/>
  <c r="AH501" i="6"/>
  <c r="AF501" i="6" s="1"/>
  <c r="AH500" i="6"/>
  <c r="AF500" i="6"/>
  <c r="AH499" i="6"/>
  <c r="AF499" i="6"/>
  <c r="AH498" i="6"/>
  <c r="AF498" i="6"/>
  <c r="AB498" i="6"/>
  <c r="AC498" i="6" s="1"/>
  <c r="U497" i="6" s="1"/>
  <c r="Y498" i="6"/>
  <c r="Y497" i="6" s="1"/>
  <c r="W497" i="6" s="1"/>
  <c r="AF497" i="6" s="1"/>
  <c r="W498" i="6"/>
  <c r="V498" i="6"/>
  <c r="AH497" i="6"/>
  <c r="AB497" i="6"/>
  <c r="X497" i="6"/>
  <c r="V497" i="6" s="1"/>
  <c r="AH496" i="6"/>
  <c r="AC496" i="6"/>
  <c r="U495" i="6" s="1"/>
  <c r="AB496" i="6"/>
  <c r="V496" i="6"/>
  <c r="W496" i="6" s="1"/>
  <c r="AF496" i="6" s="1"/>
  <c r="AH495" i="6"/>
  <c r="AB495" i="6"/>
  <c r="AH494" i="6"/>
  <c r="AB494" i="6"/>
  <c r="AH493" i="6"/>
  <c r="AC493" i="6"/>
  <c r="AB493" i="6"/>
  <c r="V493" i="6"/>
  <c r="W493" i="6" s="1"/>
  <c r="AH492" i="6"/>
  <c r="V492" i="6"/>
  <c r="W492" i="6" s="1"/>
  <c r="AF492" i="6" s="1"/>
  <c r="AB492" i="6"/>
  <c r="AC492" i="6" s="1"/>
  <c r="AH491" i="6"/>
  <c r="AB491" i="6"/>
  <c r="U491" i="6"/>
  <c r="AH490" i="6"/>
  <c r="AG490" i="6"/>
  <c r="AC490" i="6"/>
  <c r="AB490" i="6"/>
  <c r="V490" i="6"/>
  <c r="W490" i="6" s="1"/>
  <c r="AH489" i="6"/>
  <c r="V489" i="6"/>
  <c r="AC489" i="6"/>
  <c r="AB489" i="6"/>
  <c r="W489" i="6"/>
  <c r="AH488" i="6"/>
  <c r="AB488" i="6"/>
  <c r="AC488" i="6" s="1"/>
  <c r="V488" i="6"/>
  <c r="W488" i="6" s="1"/>
  <c r="AF488" i="6" s="1"/>
  <c r="AH487" i="6"/>
  <c r="AC487" i="6"/>
  <c r="AB487" i="6"/>
  <c r="V487" i="6"/>
  <c r="W487" i="6" s="1"/>
  <c r="AH486" i="6"/>
  <c r="AG486" i="6"/>
  <c r="V486" i="6" s="1"/>
  <c r="W486" i="6" s="1"/>
  <c r="Y486" i="6" s="1"/>
  <c r="X486" i="6" s="1"/>
  <c r="AF486" i="6"/>
  <c r="AB486" i="6"/>
  <c r="AC486" i="6" s="1"/>
  <c r="AH485" i="6"/>
  <c r="AB485" i="6"/>
  <c r="AC485" i="6" s="1"/>
  <c r="V485" i="6"/>
  <c r="W485" i="6" s="1"/>
  <c r="AH484" i="6"/>
  <c r="AC484" i="6"/>
  <c r="AB484" i="6"/>
  <c r="V484" i="6"/>
  <c r="W484" i="6" s="1"/>
  <c r="AH483" i="6"/>
  <c r="AB483" i="6"/>
  <c r="AC483" i="6" s="1"/>
  <c r="V483" i="6"/>
  <c r="W483" i="6" s="1"/>
  <c r="AH482" i="6"/>
  <c r="AB482" i="6"/>
  <c r="AC482" i="6" s="1"/>
  <c r="V482" i="6"/>
  <c r="W482" i="6" s="1"/>
  <c r="AH481" i="6"/>
  <c r="AB481" i="6"/>
  <c r="AC481" i="6" s="1"/>
  <c r="V481" i="6"/>
  <c r="W481" i="6" s="1"/>
  <c r="AH480" i="6"/>
  <c r="AG480" i="6"/>
  <c r="V480" i="6" s="1"/>
  <c r="W480" i="6" s="1"/>
  <c r="AB480" i="6"/>
  <c r="AC480" i="6" s="1"/>
  <c r="Y480" i="6"/>
  <c r="X480" i="6" s="1"/>
  <c r="AH479" i="6"/>
  <c r="AB479" i="6"/>
  <c r="AC479" i="6" s="1"/>
  <c r="V479" i="6"/>
  <c r="W479" i="6" s="1"/>
  <c r="AH478" i="6"/>
  <c r="AG478" i="6"/>
  <c r="AB478" i="6"/>
  <c r="AC478" i="6" s="1"/>
  <c r="V478" i="6"/>
  <c r="W478" i="6" s="1"/>
  <c r="AH477" i="6"/>
  <c r="AG477" i="6"/>
  <c r="AB477" i="6"/>
  <c r="AC477" i="6" s="1"/>
  <c r="V477" i="6"/>
  <c r="W477" i="6" s="1"/>
  <c r="AH476" i="6"/>
  <c r="AB476" i="6"/>
  <c r="AC476" i="6" s="1"/>
  <c r="V476" i="6"/>
  <c r="W476" i="6" s="1"/>
  <c r="AH475" i="6"/>
  <c r="AC475" i="6"/>
  <c r="AB475" i="6"/>
  <c r="V475" i="6"/>
  <c r="W475" i="6" s="1"/>
  <c r="AH474" i="6"/>
  <c r="AC474" i="6"/>
  <c r="AB474" i="6"/>
  <c r="W474" i="6"/>
  <c r="V474" i="6"/>
  <c r="AH473" i="6"/>
  <c r="AB473" i="6"/>
  <c r="AC473" i="6" s="1"/>
  <c r="W473" i="6"/>
  <c r="AF473" i="6" s="1"/>
  <c r="V473" i="6"/>
  <c r="AH472" i="6"/>
  <c r="AC472" i="6"/>
  <c r="AB472" i="6"/>
  <c r="V472" i="6"/>
  <c r="W472" i="6" s="1"/>
  <c r="AH471" i="6"/>
  <c r="AB471" i="6"/>
  <c r="AH470" i="6"/>
  <c r="AB470" i="6"/>
  <c r="AC470" i="6" s="1"/>
  <c r="V470" i="6"/>
  <c r="W470" i="6" s="1"/>
  <c r="Y470" i="6" s="1"/>
  <c r="X470" i="6" s="1"/>
  <c r="AH469" i="6"/>
  <c r="AC469" i="6"/>
  <c r="AB469" i="6"/>
  <c r="V469" i="6"/>
  <c r="W469" i="6" s="1"/>
  <c r="AH468" i="6"/>
  <c r="AB468" i="6"/>
  <c r="AC468" i="6" s="1"/>
  <c r="V468" i="6"/>
  <c r="W468" i="6" s="1"/>
  <c r="AH467" i="6"/>
  <c r="AB467" i="6"/>
  <c r="AC467" i="6" s="1"/>
  <c r="V467" i="6"/>
  <c r="W467" i="6" s="1"/>
  <c r="AH466" i="6"/>
  <c r="V466" i="6"/>
  <c r="W466" i="6" s="1"/>
  <c r="AC466" i="6"/>
  <c r="AB466" i="6"/>
  <c r="AH465" i="6"/>
  <c r="AB465" i="6"/>
  <c r="AC465" i="6" s="1"/>
  <c r="V465" i="6"/>
  <c r="W465" i="6" s="1"/>
  <c r="AH464" i="6"/>
  <c r="AB464" i="6"/>
  <c r="AC464" i="6" s="1"/>
  <c r="V464" i="6"/>
  <c r="W464" i="6" s="1"/>
  <c r="AH463" i="6"/>
  <c r="AB463" i="6"/>
  <c r="AC463" i="6" s="1"/>
  <c r="V463" i="6"/>
  <c r="W463" i="6" s="1"/>
  <c r="Y463" i="6" s="1"/>
  <c r="X463" i="6" s="1"/>
  <c r="AH462" i="6"/>
  <c r="AC462" i="6"/>
  <c r="AB462" i="6"/>
  <c r="W462" i="6"/>
  <c r="AF462" i="6" s="1"/>
  <c r="V462" i="6"/>
  <c r="AH461" i="6"/>
  <c r="AB461" i="6"/>
  <c r="AC461" i="6" s="1"/>
  <c r="V461" i="6"/>
  <c r="W461" i="6" s="1"/>
  <c r="AH460" i="6"/>
  <c r="AB460" i="6"/>
  <c r="AC460" i="6" s="1"/>
  <c r="V460" i="6"/>
  <c r="W460" i="6" s="1"/>
  <c r="AF460" i="6" s="1"/>
  <c r="AH459" i="6"/>
  <c r="AG459" i="6"/>
  <c r="AB459" i="6"/>
  <c r="AC459" i="6" s="1"/>
  <c r="V459" i="6"/>
  <c r="W459" i="6" s="1"/>
  <c r="AH458" i="6"/>
  <c r="AF458" i="6"/>
  <c r="AC458" i="6"/>
  <c r="AB458" i="6"/>
  <c r="Y458" i="6"/>
  <c r="X458" i="6"/>
  <c r="V458" i="6"/>
  <c r="AH457" i="6"/>
  <c r="AC457" i="6"/>
  <c r="AB457" i="6"/>
  <c r="V457" i="6"/>
  <c r="W457" i="6" s="1"/>
  <c r="Y457" i="6" s="1"/>
  <c r="X457" i="6" s="1"/>
  <c r="AH456" i="6"/>
  <c r="AF456" i="6"/>
  <c r="AC456" i="6"/>
  <c r="AB456" i="6"/>
  <c r="V456" i="6"/>
  <c r="W456" i="6" s="1"/>
  <c r="Y456" i="6" s="1"/>
  <c r="X456" i="6" s="1"/>
  <c r="AH455" i="6"/>
  <c r="AC455" i="6"/>
  <c r="AB455" i="6"/>
  <c r="V455" i="6"/>
  <c r="W455" i="6" s="1"/>
  <c r="AH454" i="6"/>
  <c r="AF454" i="6"/>
  <c r="AB454" i="6"/>
  <c r="AC454" i="6" s="1"/>
  <c r="V454" i="6"/>
  <c r="W454" i="6" s="1"/>
  <c r="Y454" i="6" s="1"/>
  <c r="X454" i="6" s="1"/>
  <c r="AH453" i="6"/>
  <c r="AC453" i="6"/>
  <c r="AB453" i="6"/>
  <c r="V453" i="6"/>
  <c r="W453" i="6" s="1"/>
  <c r="AH452" i="6"/>
  <c r="AF452" i="6" s="1"/>
  <c r="AB452" i="6"/>
  <c r="AC452" i="6" s="1"/>
  <c r="Y452" i="6"/>
  <c r="X452" i="6"/>
  <c r="V452" i="6"/>
  <c r="AH451" i="6"/>
  <c r="AB451" i="6"/>
  <c r="AC451" i="6" s="1"/>
  <c r="V451" i="6"/>
  <c r="W451" i="6" s="1"/>
  <c r="AH450" i="6"/>
  <c r="AB450" i="6"/>
  <c r="AH449" i="6"/>
  <c r="V449" i="6"/>
  <c r="W449" i="6" s="1"/>
  <c r="Y449" i="6" s="1"/>
  <c r="X449" i="6" s="1"/>
  <c r="AC449" i="6"/>
  <c r="AB449" i="6"/>
  <c r="AH448" i="6"/>
  <c r="AB448" i="6"/>
  <c r="AC448" i="6" s="1"/>
  <c r="V448" i="6"/>
  <c r="W448" i="6" s="1"/>
  <c r="AH447" i="6"/>
  <c r="V447" i="6"/>
  <c r="W447" i="6" s="1"/>
  <c r="AB447" i="6"/>
  <c r="AC447" i="6" s="1"/>
  <c r="U446" i="6" s="1"/>
  <c r="AH446" i="6"/>
  <c r="AB446" i="6"/>
  <c r="AH445" i="6"/>
  <c r="AC445" i="6"/>
  <c r="AB445" i="6"/>
  <c r="V445" i="6"/>
  <c r="W445" i="6" s="1"/>
  <c r="AH444" i="6"/>
  <c r="AB444" i="6"/>
  <c r="AC444" i="6" s="1"/>
  <c r="V444" i="6"/>
  <c r="W444" i="6" s="1"/>
  <c r="Y444" i="6" s="1"/>
  <c r="X444" i="6" s="1"/>
  <c r="AH443" i="6"/>
  <c r="AB443" i="6"/>
  <c r="AC443" i="6" s="1"/>
  <c r="V443" i="6"/>
  <c r="W443" i="6" s="1"/>
  <c r="AH442" i="6"/>
  <c r="AC442" i="6"/>
  <c r="AB442" i="6"/>
  <c r="V442" i="6"/>
  <c r="W442" i="6" s="1"/>
  <c r="AH441" i="6"/>
  <c r="AC441" i="6"/>
  <c r="AB441" i="6"/>
  <c r="V441" i="6"/>
  <c r="W441" i="6" s="1"/>
  <c r="AF441" i="6" s="1"/>
  <c r="AH440" i="6"/>
  <c r="AB440" i="6"/>
  <c r="AC440" i="6" s="1"/>
  <c r="V440" i="6"/>
  <c r="W440" i="6" s="1"/>
  <c r="AH439" i="6"/>
  <c r="AC439" i="6"/>
  <c r="AB439" i="6"/>
  <c r="V439" i="6"/>
  <c r="W439" i="6" s="1"/>
  <c r="Y439" i="6" s="1"/>
  <c r="X439" i="6" s="1"/>
  <c r="AH438" i="6"/>
  <c r="AB438" i="6"/>
  <c r="AC438" i="6" s="1"/>
  <c r="W438" i="6"/>
  <c r="V438" i="6"/>
  <c r="AH437" i="6"/>
  <c r="AC437" i="6"/>
  <c r="AB437" i="6"/>
  <c r="V437" i="6"/>
  <c r="W437" i="6" s="1"/>
  <c r="Y437" i="6" s="1"/>
  <c r="X437" i="6" s="1"/>
  <c r="AH436" i="6"/>
  <c r="AC436" i="6"/>
  <c r="AB436" i="6"/>
  <c r="V436" i="6"/>
  <c r="W436" i="6" s="1"/>
  <c r="Y436" i="6" s="1"/>
  <c r="X436" i="6" s="1"/>
  <c r="AH435" i="6"/>
  <c r="AC435" i="6"/>
  <c r="AB435" i="6"/>
  <c r="V435" i="6"/>
  <c r="W435" i="6" s="1"/>
  <c r="AH434" i="6"/>
  <c r="AB434" i="6"/>
  <c r="AC434" i="6" s="1"/>
  <c r="V434" i="6"/>
  <c r="W434" i="6" s="1"/>
  <c r="AH433" i="6"/>
  <c r="AC433" i="6"/>
  <c r="AB433" i="6"/>
  <c r="V433" i="6"/>
  <c r="W433" i="6" s="1"/>
  <c r="AH432" i="6"/>
  <c r="AB432" i="6"/>
  <c r="AC432" i="6" s="1"/>
  <c r="V432" i="6"/>
  <c r="W432" i="6" s="1"/>
  <c r="Y432" i="6" s="1"/>
  <c r="X432" i="6" s="1"/>
  <c r="AH431" i="6"/>
  <c r="AB431" i="6"/>
  <c r="AC431" i="6" s="1"/>
  <c r="V431" i="6"/>
  <c r="W431" i="6" s="1"/>
  <c r="AH430" i="6"/>
  <c r="AC430" i="6"/>
  <c r="AB430" i="6"/>
  <c r="V430" i="6"/>
  <c r="W430" i="6" s="1"/>
  <c r="AH429" i="6"/>
  <c r="AB429" i="6"/>
  <c r="AC429" i="6" s="1"/>
  <c r="V429" i="6"/>
  <c r="W429" i="6" s="1"/>
  <c r="AF429" i="6" s="1"/>
  <c r="AH428" i="6"/>
  <c r="AB428" i="6"/>
  <c r="AC428" i="6" s="1"/>
  <c r="V428" i="6"/>
  <c r="W428" i="6" s="1"/>
  <c r="AH427" i="6"/>
  <c r="AC427" i="6"/>
  <c r="AB427" i="6"/>
  <c r="V427" i="6"/>
  <c r="W427" i="6" s="1"/>
  <c r="AH426" i="6"/>
  <c r="AB426" i="6"/>
  <c r="AC426" i="6" s="1"/>
  <c r="V426" i="6"/>
  <c r="W426" i="6" s="1"/>
  <c r="AF426" i="6" s="1"/>
  <c r="AH425" i="6"/>
  <c r="AC425" i="6"/>
  <c r="AB425" i="6"/>
  <c r="V425" i="6"/>
  <c r="W425" i="6" s="1"/>
  <c r="AH424" i="6"/>
  <c r="AC424" i="6"/>
  <c r="AB424" i="6"/>
  <c r="V424" i="6"/>
  <c r="W424" i="6" s="1"/>
  <c r="AH423" i="6"/>
  <c r="AB423" i="6"/>
  <c r="AC423" i="6" s="1"/>
  <c r="V423" i="6"/>
  <c r="W423" i="6" s="1"/>
  <c r="AH422" i="6"/>
  <c r="AC422" i="6"/>
  <c r="AB422" i="6"/>
  <c r="V422" i="6"/>
  <c r="W422" i="6" s="1"/>
  <c r="AH421" i="6"/>
  <c r="AC421" i="6"/>
  <c r="AB421" i="6"/>
  <c r="V421" i="6"/>
  <c r="W421" i="6" s="1"/>
  <c r="AH420" i="6"/>
  <c r="AB420" i="6"/>
  <c r="AC420" i="6" s="1"/>
  <c r="V420" i="6"/>
  <c r="W420" i="6" s="1"/>
  <c r="AH419" i="6"/>
  <c r="AG419" i="6"/>
  <c r="V419" i="6" s="1"/>
  <c r="AB419" i="6"/>
  <c r="AC419" i="6" s="1"/>
  <c r="W419" i="6"/>
  <c r="AH418" i="6"/>
  <c r="AB418" i="6"/>
  <c r="AC418" i="6" s="1"/>
  <c r="V418" i="6"/>
  <c r="W418" i="6" s="1"/>
  <c r="AH417" i="6"/>
  <c r="AB417" i="6"/>
  <c r="AC417" i="6" s="1"/>
  <c r="V417" i="6"/>
  <c r="W417" i="6" s="1"/>
  <c r="Y417" i="6" s="1"/>
  <c r="X417" i="6" s="1"/>
  <c r="AH416" i="6"/>
  <c r="AB416" i="6"/>
  <c r="AC416" i="6" s="1"/>
  <c r="V416" i="6"/>
  <c r="W416" i="6" s="1"/>
  <c r="AF416" i="6" s="1"/>
  <c r="AH415" i="6"/>
  <c r="AB415" i="6"/>
  <c r="AC415" i="6" s="1"/>
  <c r="V415" i="6"/>
  <c r="W415" i="6" s="1"/>
  <c r="AF415" i="6" s="1"/>
  <c r="AH414" i="6"/>
  <c r="AC414" i="6"/>
  <c r="AB414" i="6"/>
  <c r="V414" i="6"/>
  <c r="W414" i="6" s="1"/>
  <c r="AH413" i="6"/>
  <c r="AC413" i="6"/>
  <c r="AB413" i="6"/>
  <c r="V413" i="6"/>
  <c r="W413" i="6" s="1"/>
  <c r="AF413" i="6" s="1"/>
  <c r="AH412" i="6"/>
  <c r="AB412" i="6"/>
  <c r="AC412" i="6" s="1"/>
  <c r="V412" i="6"/>
  <c r="W412" i="6" s="1"/>
  <c r="AH411" i="6"/>
  <c r="AC411" i="6"/>
  <c r="AB411" i="6"/>
  <c r="V411" i="6"/>
  <c r="W411" i="6" s="1"/>
  <c r="Y411" i="6" s="1"/>
  <c r="X411" i="6" s="1"/>
  <c r="AH410" i="6"/>
  <c r="AB410" i="6"/>
  <c r="AC410" i="6" s="1"/>
  <c r="V410" i="6"/>
  <c r="W410" i="6" s="1"/>
  <c r="AH409" i="6"/>
  <c r="AB409" i="6"/>
  <c r="AC409" i="6" s="1"/>
  <c r="V409" i="6"/>
  <c r="W409" i="6" s="1"/>
  <c r="AH408" i="6"/>
  <c r="AB408" i="6"/>
  <c r="AC408" i="6" s="1"/>
  <c r="V408" i="6"/>
  <c r="W408" i="6" s="1"/>
  <c r="AF408" i="6" s="1"/>
  <c r="AH407" i="6"/>
  <c r="AG407" i="6"/>
  <c r="AC407" i="6"/>
  <c r="AB407" i="6"/>
  <c r="V407" i="6"/>
  <c r="W407" i="6" s="1"/>
  <c r="AH406" i="6"/>
  <c r="AB406" i="6"/>
  <c r="AH405" i="6"/>
  <c r="AG405" i="6"/>
  <c r="V405" i="6" s="1"/>
  <c r="W405" i="6" s="1"/>
  <c r="AC405" i="6"/>
  <c r="Y405" i="6"/>
  <c r="X405" i="6" s="1"/>
  <c r="AH404" i="6"/>
  <c r="AG404" i="6"/>
  <c r="V404" i="6" s="1"/>
  <c r="W404" i="6" s="1"/>
  <c r="Y404" i="6" s="1"/>
  <c r="X404" i="6" s="1"/>
  <c r="AC404" i="6"/>
  <c r="AH403" i="6"/>
  <c r="AG403" i="6"/>
  <c r="V403" i="6" s="1"/>
  <c r="W403" i="6" s="1"/>
  <c r="Y403" i="6" s="1"/>
  <c r="X403" i="6" s="1"/>
  <c r="AC403" i="6"/>
  <c r="AH402" i="6"/>
  <c r="AG402" i="6"/>
  <c r="AC402" i="6"/>
  <c r="V402" i="6"/>
  <c r="W402" i="6" s="1"/>
  <c r="Y402" i="6" s="1"/>
  <c r="X402" i="6" s="1"/>
  <c r="AH401" i="6"/>
  <c r="AG401" i="6"/>
  <c r="AC401" i="6"/>
  <c r="V401" i="6"/>
  <c r="W401" i="6" s="1"/>
  <c r="Y401" i="6" s="1"/>
  <c r="X401" i="6" s="1"/>
  <c r="AH400" i="6"/>
  <c r="AG400" i="6"/>
  <c r="V400" i="6" s="1"/>
  <c r="W400" i="6" s="1"/>
  <c r="Y400" i="6" s="1"/>
  <c r="X400" i="6" s="1"/>
  <c r="AC400" i="6"/>
  <c r="AH399" i="6"/>
  <c r="AG399" i="6"/>
  <c r="AC399" i="6"/>
  <c r="Y399" i="6"/>
  <c r="X399" i="6" s="1"/>
  <c r="V399" i="6"/>
  <c r="W399" i="6" s="1"/>
  <c r="AH398" i="6"/>
  <c r="AG398" i="6"/>
  <c r="AC398" i="6"/>
  <c r="W398" i="6"/>
  <c r="Y398" i="6" s="1"/>
  <c r="X398" i="6" s="1"/>
  <c r="V398" i="6"/>
  <c r="AH397" i="6"/>
  <c r="AG397" i="6"/>
  <c r="AC397" i="6"/>
  <c r="V397" i="6"/>
  <c r="W397" i="6" s="1"/>
  <c r="Y397" i="6" s="1"/>
  <c r="X397" i="6" s="1"/>
  <c r="AH396" i="6"/>
  <c r="AG396" i="6"/>
  <c r="V396" i="6" s="1"/>
  <c r="W396" i="6" s="1"/>
  <c r="Y396" i="6" s="1"/>
  <c r="X396" i="6" s="1"/>
  <c r="AC396" i="6"/>
  <c r="AH395" i="6"/>
  <c r="AG395" i="6"/>
  <c r="AC395" i="6"/>
  <c r="V395" i="6"/>
  <c r="W395" i="6" s="1"/>
  <c r="Y395" i="6" s="1"/>
  <c r="X395" i="6" s="1"/>
  <c r="AH394" i="6"/>
  <c r="AG394" i="6"/>
  <c r="V394" i="6" s="1"/>
  <c r="W394" i="6" s="1"/>
  <c r="AC394" i="6"/>
  <c r="Y394" i="6"/>
  <c r="X394" i="6" s="1"/>
  <c r="AH393" i="6"/>
  <c r="AG393" i="6"/>
  <c r="V393" i="6" s="1"/>
  <c r="W393" i="6" s="1"/>
  <c r="AC393" i="6"/>
  <c r="Y393" i="6"/>
  <c r="X393" i="6" s="1"/>
  <c r="AH392" i="6"/>
  <c r="AG392" i="6"/>
  <c r="V392" i="6" s="1"/>
  <c r="W392" i="6" s="1"/>
  <c r="Y392" i="6" s="1"/>
  <c r="X392" i="6" s="1"/>
  <c r="AC392" i="6"/>
  <c r="AH391" i="6"/>
  <c r="AG391" i="6"/>
  <c r="V391" i="6" s="1"/>
  <c r="W391" i="6" s="1"/>
  <c r="Y391" i="6" s="1"/>
  <c r="X391" i="6" s="1"/>
  <c r="AC391" i="6"/>
  <c r="AH390" i="6"/>
  <c r="AG390" i="6"/>
  <c r="V390" i="6" s="1"/>
  <c r="AC390" i="6"/>
  <c r="W390" i="6"/>
  <c r="Y390" i="6" s="1"/>
  <c r="X390" i="6" s="1"/>
  <c r="AH389" i="6"/>
  <c r="AG389" i="6"/>
  <c r="AC389" i="6"/>
  <c r="V389" i="6"/>
  <c r="W389" i="6" s="1"/>
  <c r="Y389" i="6" s="1"/>
  <c r="X389" i="6" s="1"/>
  <c r="AH388" i="6"/>
  <c r="AC388" i="6"/>
  <c r="AB388" i="6"/>
  <c r="V388" i="6"/>
  <c r="W388" i="6" s="1"/>
  <c r="AH387" i="6"/>
  <c r="V387" i="6"/>
  <c r="W387" i="6" s="1"/>
  <c r="Y387" i="6" s="1"/>
  <c r="X387" i="6" s="1"/>
  <c r="AF387" i="6"/>
  <c r="AC387" i="6"/>
  <c r="AB387" i="6"/>
  <c r="AH386" i="6"/>
  <c r="AG386" i="6"/>
  <c r="AC386" i="6"/>
  <c r="AB386" i="6"/>
  <c r="V386" i="6"/>
  <c r="W386" i="6" s="1"/>
  <c r="AH385" i="6"/>
  <c r="AC385" i="6"/>
  <c r="AB385" i="6"/>
  <c r="V385" i="6"/>
  <c r="W385" i="6" s="1"/>
  <c r="Y385" i="6" s="1"/>
  <c r="X385" i="6" s="1"/>
  <c r="AH384" i="6"/>
  <c r="AC384" i="6"/>
  <c r="AB384" i="6"/>
  <c r="V384" i="6"/>
  <c r="W384" i="6" s="1"/>
  <c r="AH383" i="6"/>
  <c r="AG383" i="6"/>
  <c r="AB383" i="6"/>
  <c r="AC383" i="6" s="1"/>
  <c r="V383" i="6"/>
  <c r="W383" i="6" s="1"/>
  <c r="Y383" i="6" s="1"/>
  <c r="X383" i="6" s="1"/>
  <c r="AH382" i="6"/>
  <c r="AC382" i="6"/>
  <c r="AB382" i="6"/>
  <c r="W382" i="6"/>
  <c r="Y382" i="6" s="1"/>
  <c r="X382" i="6" s="1"/>
  <c r="V382" i="6"/>
  <c r="AH381" i="6"/>
  <c r="V381" i="6"/>
  <c r="W381" i="6" s="1"/>
  <c r="Y381" i="6" s="1"/>
  <c r="X381" i="6" s="1"/>
  <c r="AB381" i="6"/>
  <c r="AC381" i="6" s="1"/>
  <c r="AH380" i="6"/>
  <c r="AB380" i="6"/>
  <c r="AC380" i="6" s="1"/>
  <c r="V380" i="6"/>
  <c r="W380" i="6" s="1"/>
  <c r="AH379" i="6"/>
  <c r="AB379" i="6"/>
  <c r="AC379" i="6" s="1"/>
  <c r="V379" i="6"/>
  <c r="W379" i="6" s="1"/>
  <c r="AH378" i="6"/>
  <c r="AC378" i="6"/>
  <c r="AB378" i="6"/>
  <c r="V378" i="6"/>
  <c r="W378" i="6" s="1"/>
  <c r="AH377" i="6"/>
  <c r="AB377" i="6"/>
  <c r="AH376" i="6"/>
  <c r="AG376" i="6"/>
  <c r="V376" i="6" s="1"/>
  <c r="AC376" i="6"/>
  <c r="AB376" i="6"/>
  <c r="W376" i="6"/>
  <c r="Y376" i="6" s="1"/>
  <c r="X376" i="6" s="1"/>
  <c r="AH375" i="6"/>
  <c r="AC375" i="6"/>
  <c r="AB375" i="6"/>
  <c r="V375" i="6"/>
  <c r="W375" i="6" s="1"/>
  <c r="Y375" i="6" s="1"/>
  <c r="X375" i="6" s="1"/>
  <c r="AH374" i="6"/>
  <c r="V374" i="6"/>
  <c r="W374" i="6" s="1"/>
  <c r="Y374" i="6" s="1"/>
  <c r="X374" i="6" s="1"/>
  <c r="AC374" i="6"/>
  <c r="AB374" i="6"/>
  <c r="AH373" i="6"/>
  <c r="AF373" i="6"/>
  <c r="AC373" i="6"/>
  <c r="AB373" i="6"/>
  <c r="X373" i="6"/>
  <c r="V373" i="6" s="1"/>
  <c r="W373" i="6"/>
  <c r="AH372" i="6"/>
  <c r="AC372" i="6"/>
  <c r="AB372" i="6"/>
  <c r="V372" i="6"/>
  <c r="W372" i="6" s="1"/>
  <c r="Y372" i="6" s="1"/>
  <c r="X372" i="6" s="1"/>
  <c r="AH371" i="6"/>
  <c r="AB371" i="6"/>
  <c r="AC371" i="6" s="1"/>
  <c r="AH370" i="6"/>
  <c r="AG370" i="6"/>
  <c r="AB370" i="6"/>
  <c r="AC370" i="6" s="1"/>
  <c r="U369" i="6" s="1"/>
  <c r="AH369" i="6"/>
  <c r="AB369" i="6"/>
  <c r="AH368" i="6"/>
  <c r="AC368" i="6"/>
  <c r="AB368" i="6"/>
  <c r="V368" i="6"/>
  <c r="W368" i="6" s="1"/>
  <c r="AH367" i="6"/>
  <c r="AB367" i="6"/>
  <c r="AC367" i="6" s="1"/>
  <c r="V367" i="6"/>
  <c r="W367" i="6" s="1"/>
  <c r="AF367" i="6" s="1"/>
  <c r="AH366" i="6"/>
  <c r="AB366" i="6"/>
  <c r="AC366" i="6" s="1"/>
  <c r="V366" i="6"/>
  <c r="W366" i="6" s="1"/>
  <c r="AH365" i="6"/>
  <c r="AC365" i="6"/>
  <c r="AB365" i="6"/>
  <c r="V365" i="6"/>
  <c r="W365" i="6" s="1"/>
  <c r="AH364" i="6"/>
  <c r="AB364" i="6"/>
  <c r="AC364" i="6" s="1"/>
  <c r="V364" i="6"/>
  <c r="W364" i="6" s="1"/>
  <c r="AH363" i="6"/>
  <c r="AB363" i="6"/>
  <c r="AC363" i="6" s="1"/>
  <c r="V363" i="6"/>
  <c r="W363" i="6" s="1"/>
  <c r="AH362" i="6"/>
  <c r="AC362" i="6"/>
  <c r="AB362" i="6"/>
  <c r="V362" i="6"/>
  <c r="W362" i="6" s="1"/>
  <c r="Y362" i="6" s="1"/>
  <c r="X362" i="6" s="1"/>
  <c r="AH361" i="6"/>
  <c r="AB361" i="6"/>
  <c r="AC361" i="6" s="1"/>
  <c r="V361" i="6"/>
  <c r="W361" i="6" s="1"/>
  <c r="AH360" i="6"/>
  <c r="AB360" i="6"/>
  <c r="AC360" i="6" s="1"/>
  <c r="V360" i="6"/>
  <c r="W360" i="6" s="1"/>
  <c r="AH359" i="6"/>
  <c r="AB359" i="6"/>
  <c r="AC359" i="6" s="1"/>
  <c r="V359" i="6"/>
  <c r="W359" i="6" s="1"/>
  <c r="AF359" i="6" s="1"/>
  <c r="AH358" i="6"/>
  <c r="AC358" i="6"/>
  <c r="AB358" i="6"/>
  <c r="V358" i="6"/>
  <c r="W358" i="6" s="1"/>
  <c r="AH357" i="6"/>
  <c r="AB357" i="6"/>
  <c r="AC357" i="6" s="1"/>
  <c r="V357" i="6"/>
  <c r="W357" i="6" s="1"/>
  <c r="AH356" i="6"/>
  <c r="AB356" i="6"/>
  <c r="AC356" i="6" s="1"/>
  <c r="V356" i="6"/>
  <c r="W356" i="6" s="1"/>
  <c r="AH355" i="6"/>
  <c r="AC355" i="6"/>
  <c r="AB355" i="6"/>
  <c r="W355" i="6"/>
  <c r="V355" i="6"/>
  <c r="AH354" i="6"/>
  <c r="AB354" i="6"/>
  <c r="AC354" i="6" s="1"/>
  <c r="V354" i="6"/>
  <c r="W354" i="6" s="1"/>
  <c r="AH353" i="6"/>
  <c r="AB353" i="6"/>
  <c r="AC353" i="6" s="1"/>
  <c r="Y353" i="6"/>
  <c r="X353" i="6" s="1"/>
  <c r="V353" i="6"/>
  <c r="W353" i="6" s="1"/>
  <c r="AH352" i="6"/>
  <c r="AC352" i="6"/>
  <c r="AB352" i="6"/>
  <c r="W352" i="6"/>
  <c r="AF352" i="6" s="1"/>
  <c r="V352" i="6"/>
  <c r="AH351" i="6"/>
  <c r="AB351" i="6"/>
  <c r="AC351" i="6" s="1"/>
  <c r="V351" i="6"/>
  <c r="W351" i="6" s="1"/>
  <c r="AH350" i="6"/>
  <c r="AC350" i="6"/>
  <c r="AB350" i="6"/>
  <c r="V350" i="6"/>
  <c r="W350" i="6" s="1"/>
  <c r="Y350" i="6" s="1"/>
  <c r="X350" i="6" s="1"/>
  <c r="AH349" i="6"/>
  <c r="AB349" i="6"/>
  <c r="AC349" i="6" s="1"/>
  <c r="V349" i="6"/>
  <c r="W349" i="6" s="1"/>
  <c r="AH348" i="6"/>
  <c r="AB348" i="6"/>
  <c r="AC348" i="6" s="1"/>
  <c r="V348" i="6"/>
  <c r="W348" i="6" s="1"/>
  <c r="Y348" i="6" s="1"/>
  <c r="X348" i="6" s="1"/>
  <c r="AH347" i="6"/>
  <c r="AB347" i="6"/>
  <c r="AC347" i="6" s="1"/>
  <c r="V347" i="6"/>
  <c r="W347" i="6" s="1"/>
  <c r="AH346" i="6"/>
  <c r="AB346" i="6"/>
  <c r="AC346" i="6" s="1"/>
  <c r="V346" i="6"/>
  <c r="W346" i="6" s="1"/>
  <c r="AH345" i="6"/>
  <c r="AB345" i="6"/>
  <c r="AC345" i="6" s="1"/>
  <c r="V345" i="6"/>
  <c r="W345" i="6" s="1"/>
  <c r="AH344" i="6"/>
  <c r="AB344" i="6"/>
  <c r="AC344" i="6" s="1"/>
  <c r="V344" i="6"/>
  <c r="W344" i="6" s="1"/>
  <c r="Y344" i="6" s="1"/>
  <c r="X344" i="6" s="1"/>
  <c r="AH343" i="6"/>
  <c r="AC343" i="6"/>
  <c r="AB343" i="6"/>
  <c r="V343" i="6"/>
  <c r="W343" i="6" s="1"/>
  <c r="AF343" i="6" s="1"/>
  <c r="AH342" i="6"/>
  <c r="AB342" i="6"/>
  <c r="AC342" i="6" s="1"/>
  <c r="V342" i="6"/>
  <c r="W342" i="6" s="1"/>
  <c r="AH341" i="6"/>
  <c r="AC341" i="6"/>
  <c r="AB341" i="6"/>
  <c r="V341" i="6"/>
  <c r="W341" i="6" s="1"/>
  <c r="AH340" i="6"/>
  <c r="AB340" i="6"/>
  <c r="AC340" i="6" s="1"/>
  <c r="V340" i="6"/>
  <c r="W340" i="6" s="1"/>
  <c r="AH339" i="6"/>
  <c r="AB339" i="6"/>
  <c r="AC339" i="6" s="1"/>
  <c r="V339" i="6"/>
  <c r="W339" i="6" s="1"/>
  <c r="AH338" i="6"/>
  <c r="AB338" i="6"/>
  <c r="AC338" i="6" s="1"/>
  <c r="V338" i="6"/>
  <c r="W338" i="6" s="1"/>
  <c r="AH337" i="6"/>
  <c r="AC337" i="6"/>
  <c r="AB337" i="6"/>
  <c r="V337" i="6"/>
  <c r="W337" i="6" s="1"/>
  <c r="AH336" i="6"/>
  <c r="AB336" i="6"/>
  <c r="AC336" i="6" s="1"/>
  <c r="V336" i="6"/>
  <c r="W336" i="6" s="1"/>
  <c r="AH335" i="6"/>
  <c r="AB335" i="6"/>
  <c r="AC335" i="6" s="1"/>
  <c r="V335" i="6"/>
  <c r="W335" i="6" s="1"/>
  <c r="AH334" i="6"/>
  <c r="AC334" i="6"/>
  <c r="AB334" i="6"/>
  <c r="V334" i="6"/>
  <c r="W334" i="6" s="1"/>
  <c r="AH333" i="6"/>
  <c r="AB333" i="6"/>
  <c r="AC333" i="6" s="1"/>
  <c r="V333" i="6"/>
  <c r="W333" i="6" s="1"/>
  <c r="AF333" i="6" s="1"/>
  <c r="AH332" i="6"/>
  <c r="AC332" i="6"/>
  <c r="AB332" i="6"/>
  <c r="V332" i="6"/>
  <c r="W332" i="6" s="1"/>
  <c r="AH331" i="6"/>
  <c r="AB331" i="6"/>
  <c r="AC331" i="6" s="1"/>
  <c r="W331" i="6"/>
  <c r="V331" i="6"/>
  <c r="AH330" i="6"/>
  <c r="AB330" i="6"/>
  <c r="AC330" i="6" s="1"/>
  <c r="V330" i="6"/>
  <c r="W330" i="6" s="1"/>
  <c r="AH329" i="6"/>
  <c r="AF329" i="6"/>
  <c r="AC329" i="6"/>
  <c r="AB329" i="6"/>
  <c r="V329" i="6"/>
  <c r="W329" i="6" s="1"/>
  <c r="Y329" i="6" s="1"/>
  <c r="X329" i="6" s="1"/>
  <c r="AH328" i="6"/>
  <c r="AB328" i="6"/>
  <c r="AC328" i="6" s="1"/>
  <c r="V328" i="6"/>
  <c r="W328" i="6" s="1"/>
  <c r="AH327" i="6"/>
  <c r="AB327" i="6"/>
  <c r="AH326" i="6"/>
  <c r="AB326" i="6"/>
  <c r="AC326" i="6" s="1"/>
  <c r="V326" i="6"/>
  <c r="W326" i="6" s="1"/>
  <c r="AF326" i="6" s="1"/>
  <c r="AH325" i="6"/>
  <c r="AC325" i="6"/>
  <c r="AB325" i="6"/>
  <c r="V325" i="6"/>
  <c r="W325" i="6" s="1"/>
  <c r="AH324" i="6"/>
  <c r="AB324" i="6"/>
  <c r="AC324" i="6" s="1"/>
  <c r="V324" i="6"/>
  <c r="W324" i="6" s="1"/>
  <c r="AH323" i="6"/>
  <c r="AC323" i="6"/>
  <c r="AB323" i="6"/>
  <c r="V323" i="6"/>
  <c r="W323" i="6" s="1"/>
  <c r="AH322" i="6"/>
  <c r="AB322" i="6"/>
  <c r="AC322" i="6" s="1"/>
  <c r="V322" i="6"/>
  <c r="W322" i="6" s="1"/>
  <c r="Y322" i="6" s="1"/>
  <c r="X322" i="6" s="1"/>
  <c r="AH321" i="6"/>
  <c r="AB321" i="6"/>
  <c r="AC321" i="6" s="1"/>
  <c r="V321" i="6"/>
  <c r="W321" i="6" s="1"/>
  <c r="Y321" i="6" s="1"/>
  <c r="X321" i="6" s="1"/>
  <c r="AH320" i="6"/>
  <c r="AC320" i="6"/>
  <c r="AB320" i="6"/>
  <c r="V320" i="6"/>
  <c r="W320" i="6" s="1"/>
  <c r="Y320" i="6" s="1"/>
  <c r="X320" i="6" s="1"/>
  <c r="AH319" i="6"/>
  <c r="AC319" i="6"/>
  <c r="AB319" i="6"/>
  <c r="V319" i="6"/>
  <c r="W319" i="6" s="1"/>
  <c r="AF319" i="6" s="1"/>
  <c r="AH318" i="6"/>
  <c r="AB318" i="6"/>
  <c r="AC318" i="6" s="1"/>
  <c r="V318" i="6"/>
  <c r="W318" i="6" s="1"/>
  <c r="Y318" i="6" s="1"/>
  <c r="X318" i="6" s="1"/>
  <c r="AH317" i="6"/>
  <c r="AC317" i="6"/>
  <c r="AB317" i="6"/>
  <c r="V317" i="6"/>
  <c r="W317" i="6" s="1"/>
  <c r="AH316" i="6"/>
  <c r="AB316" i="6"/>
  <c r="AC316" i="6" s="1"/>
  <c r="V316" i="6"/>
  <c r="W316" i="6" s="1"/>
  <c r="AF316" i="6" s="1"/>
  <c r="AH315" i="6"/>
  <c r="AB315" i="6"/>
  <c r="AC315" i="6" s="1"/>
  <c r="V315" i="6"/>
  <c r="W315" i="6" s="1"/>
  <c r="AF315" i="6" s="1"/>
  <c r="AH314" i="6"/>
  <c r="AC314" i="6"/>
  <c r="AB314" i="6"/>
  <c r="V314" i="6"/>
  <c r="W314" i="6" s="1"/>
  <c r="AH313" i="6"/>
  <c r="AC313" i="6"/>
  <c r="AB313" i="6"/>
  <c r="V313" i="6"/>
  <c r="W313" i="6" s="1"/>
  <c r="AH312" i="6"/>
  <c r="AB312" i="6"/>
  <c r="AC312" i="6" s="1"/>
  <c r="V312" i="6"/>
  <c r="W312" i="6" s="1"/>
  <c r="AH311" i="6"/>
  <c r="AB311" i="6"/>
  <c r="AC311" i="6" s="1"/>
  <c r="V311" i="6"/>
  <c r="W311" i="6" s="1"/>
  <c r="AH310" i="6"/>
  <c r="AB310" i="6"/>
  <c r="AC310" i="6" s="1"/>
  <c r="V310" i="6"/>
  <c r="W310" i="6" s="1"/>
  <c r="AH309" i="6"/>
  <c r="AB309" i="6"/>
  <c r="AC309" i="6" s="1"/>
  <c r="V309" i="6"/>
  <c r="W309" i="6" s="1"/>
  <c r="AH308" i="6"/>
  <c r="AC308" i="6"/>
  <c r="AB308" i="6"/>
  <c r="V308" i="6"/>
  <c r="W308" i="6" s="1"/>
  <c r="AF308" i="6" s="1"/>
  <c r="AH307" i="6"/>
  <c r="AB307" i="6"/>
  <c r="AC307" i="6" s="1"/>
  <c r="V307" i="6"/>
  <c r="W307" i="6" s="1"/>
  <c r="AH306" i="6"/>
  <c r="AB306" i="6"/>
  <c r="AC306" i="6" s="1"/>
  <c r="V306" i="6"/>
  <c r="W306" i="6" s="1"/>
  <c r="AH305" i="6"/>
  <c r="AB305" i="6"/>
  <c r="AC305" i="6" s="1"/>
  <c r="V305" i="6"/>
  <c r="W305" i="6" s="1"/>
  <c r="AF305" i="6" s="1"/>
  <c r="AH304" i="6"/>
  <c r="AC304" i="6"/>
  <c r="AB304" i="6"/>
  <c r="V304" i="6"/>
  <c r="W304" i="6" s="1"/>
  <c r="AH303" i="6"/>
  <c r="AB303" i="6"/>
  <c r="AC303" i="6" s="1"/>
  <c r="V303" i="6"/>
  <c r="W303" i="6" s="1"/>
  <c r="Y303" i="6" s="1"/>
  <c r="X303" i="6" s="1"/>
  <c r="AH302" i="6"/>
  <c r="AB302" i="6"/>
  <c r="AC302" i="6" s="1"/>
  <c r="V302" i="6"/>
  <c r="W302" i="6" s="1"/>
  <c r="AH301" i="6"/>
  <c r="AB301" i="6"/>
  <c r="AC301" i="6" s="1"/>
  <c r="V301" i="6"/>
  <c r="W301" i="6" s="1"/>
  <c r="AH300" i="6"/>
  <c r="AB300" i="6"/>
  <c r="AC300" i="6" s="1"/>
  <c r="V300" i="6"/>
  <c r="W300" i="6" s="1"/>
  <c r="Y300" i="6" s="1"/>
  <c r="X300" i="6" s="1"/>
  <c r="AH299" i="6"/>
  <c r="AB299" i="6"/>
  <c r="AC299" i="6" s="1"/>
  <c r="V299" i="6"/>
  <c r="W299" i="6" s="1"/>
  <c r="AH298" i="6"/>
  <c r="AC298" i="6"/>
  <c r="AB298" i="6"/>
  <c r="V298" i="6"/>
  <c r="W298" i="6" s="1"/>
  <c r="AH297" i="6"/>
  <c r="AB297" i="6"/>
  <c r="AC297" i="6" s="1"/>
  <c r="Y297" i="6"/>
  <c r="X297" i="6" s="1"/>
  <c r="V297" i="6"/>
  <c r="W297" i="6" s="1"/>
  <c r="AF297" i="6" s="1"/>
  <c r="AH296" i="6"/>
  <c r="AB296" i="6"/>
  <c r="AC296" i="6" s="1"/>
  <c r="V296" i="6"/>
  <c r="W296" i="6" s="1"/>
  <c r="Y296" i="6" s="1"/>
  <c r="X296" i="6" s="1"/>
  <c r="AH295" i="6"/>
  <c r="AB295" i="6"/>
  <c r="AC295" i="6" s="1"/>
  <c r="V295" i="6"/>
  <c r="W295" i="6" s="1"/>
  <c r="AH294" i="6"/>
  <c r="AB294" i="6"/>
  <c r="AC294" i="6" s="1"/>
  <c r="V294" i="6"/>
  <c r="W294" i="6" s="1"/>
  <c r="Y294" i="6" s="1"/>
  <c r="X294" i="6" s="1"/>
  <c r="AH293" i="6"/>
  <c r="AC293" i="6"/>
  <c r="AB293" i="6"/>
  <c r="V293" i="6"/>
  <c r="W293" i="6" s="1"/>
  <c r="AH292" i="6"/>
  <c r="AB292" i="6"/>
  <c r="AC292" i="6" s="1"/>
  <c r="V292" i="6"/>
  <c r="W292" i="6" s="1"/>
  <c r="AH291" i="6"/>
  <c r="AB291" i="6"/>
  <c r="AC291" i="6" s="1"/>
  <c r="V291" i="6"/>
  <c r="W291" i="6" s="1"/>
  <c r="AH290" i="6"/>
  <c r="AC290" i="6"/>
  <c r="AB290" i="6"/>
  <c r="V290" i="6"/>
  <c r="W290" i="6" s="1"/>
  <c r="AH289" i="6"/>
  <c r="AB289" i="6"/>
  <c r="AC289" i="6" s="1"/>
  <c r="V289" i="6"/>
  <c r="W289" i="6" s="1"/>
  <c r="AH288" i="6"/>
  <c r="AB288" i="6"/>
  <c r="AC288" i="6" s="1"/>
  <c r="V288" i="6"/>
  <c r="W288" i="6" s="1"/>
  <c r="AH287" i="6"/>
  <c r="AB287" i="6"/>
  <c r="AC287" i="6" s="1"/>
  <c r="V287" i="6"/>
  <c r="W287" i="6" s="1"/>
  <c r="AH286" i="6"/>
  <c r="AB286" i="6"/>
  <c r="AC286" i="6" s="1"/>
  <c r="W286" i="6"/>
  <c r="V286" i="6"/>
  <c r="AH285" i="6"/>
  <c r="AB285" i="6"/>
  <c r="AC285" i="6" s="1"/>
  <c r="V285" i="6"/>
  <c r="W285" i="6" s="1"/>
  <c r="Y285" i="6" s="1"/>
  <c r="X285" i="6" s="1"/>
  <c r="AH284" i="6"/>
  <c r="AB284" i="6"/>
  <c r="AC284" i="6" s="1"/>
  <c r="V284" i="6"/>
  <c r="W284" i="6" s="1"/>
  <c r="AH283" i="6"/>
  <c r="AB283" i="6"/>
  <c r="AC283" i="6" s="1"/>
  <c r="V283" i="6"/>
  <c r="W283" i="6" s="1"/>
  <c r="Y283" i="6" s="1"/>
  <c r="X283" i="6" s="1"/>
  <c r="AH282" i="6"/>
  <c r="AB282" i="6"/>
  <c r="AC282" i="6" s="1"/>
  <c r="V282" i="6"/>
  <c r="W282" i="6" s="1"/>
  <c r="Y282" i="6" s="1"/>
  <c r="X282" i="6" s="1"/>
  <c r="AH281" i="6"/>
  <c r="AB281" i="6"/>
  <c r="AC281" i="6" s="1"/>
  <c r="V281" i="6"/>
  <c r="W281" i="6" s="1"/>
  <c r="AF281" i="6" s="1"/>
  <c r="AH280" i="6"/>
  <c r="AB280" i="6"/>
  <c r="AC280" i="6" s="1"/>
  <c r="V280" i="6"/>
  <c r="W280" i="6" s="1"/>
  <c r="AH279" i="6"/>
  <c r="AB279" i="6"/>
  <c r="AC279" i="6" s="1"/>
  <c r="V279" i="6"/>
  <c r="W279" i="6" s="1"/>
  <c r="AH278" i="6"/>
  <c r="AC278" i="6"/>
  <c r="AB278" i="6"/>
  <c r="V278" i="6"/>
  <c r="W278" i="6" s="1"/>
  <c r="Y278" i="6" s="1"/>
  <c r="X278" i="6" s="1"/>
  <c r="AH277" i="6"/>
  <c r="AC277" i="6"/>
  <c r="AB277" i="6"/>
  <c r="V277" i="6"/>
  <c r="W277" i="6" s="1"/>
  <c r="AH276" i="6"/>
  <c r="AB276" i="6"/>
  <c r="AC276" i="6" s="1"/>
  <c r="V276" i="6"/>
  <c r="W276" i="6" s="1"/>
  <c r="AH275" i="6"/>
  <c r="AB275" i="6"/>
  <c r="AC275" i="6" s="1"/>
  <c r="W275" i="6"/>
  <c r="Y275" i="6" s="1"/>
  <c r="X275" i="6" s="1"/>
  <c r="V275" i="6"/>
  <c r="AH274" i="6"/>
  <c r="AB274" i="6"/>
  <c r="AC274" i="6" s="1"/>
  <c r="V274" i="6"/>
  <c r="W274" i="6" s="1"/>
  <c r="Y274" i="6" s="1"/>
  <c r="X274" i="6" s="1"/>
  <c r="AH273" i="6"/>
  <c r="AB273" i="6"/>
  <c r="AC273" i="6" s="1"/>
  <c r="V273" i="6"/>
  <c r="W273" i="6" s="1"/>
  <c r="Y273" i="6" s="1"/>
  <c r="X273" i="6" s="1"/>
  <c r="AH272" i="6"/>
  <c r="AB272" i="6"/>
  <c r="AC272" i="6" s="1"/>
  <c r="V272" i="6"/>
  <c r="W272" i="6" s="1"/>
  <c r="AF272" i="6" s="1"/>
  <c r="AH271" i="6"/>
  <c r="AB271" i="6"/>
  <c r="AC271" i="6" s="1"/>
  <c r="V271" i="6"/>
  <c r="W271" i="6" s="1"/>
  <c r="AF271" i="6" s="1"/>
  <c r="AH270" i="6"/>
  <c r="AB270" i="6"/>
  <c r="AC270" i="6" s="1"/>
  <c r="V270" i="6"/>
  <c r="W270" i="6" s="1"/>
  <c r="AH269" i="6"/>
  <c r="AB269" i="6"/>
  <c r="AC269" i="6" s="1"/>
  <c r="V269" i="6"/>
  <c r="W269" i="6" s="1"/>
  <c r="AF269" i="6" s="1"/>
  <c r="AH268" i="6"/>
  <c r="AB268" i="6"/>
  <c r="AC268" i="6" s="1"/>
  <c r="V268" i="6"/>
  <c r="W268" i="6" s="1"/>
  <c r="AH267" i="6"/>
  <c r="AF267" i="6"/>
  <c r="AB267" i="6"/>
  <c r="AC267" i="6" s="1"/>
  <c r="V267" i="6"/>
  <c r="W267" i="6" s="1"/>
  <c r="Y267" i="6" s="1"/>
  <c r="X267" i="6" s="1"/>
  <c r="AH266" i="6"/>
  <c r="AB266" i="6"/>
  <c r="AC266" i="6" s="1"/>
  <c r="V266" i="6"/>
  <c r="W266" i="6" s="1"/>
  <c r="AH265" i="6"/>
  <c r="AB265" i="6"/>
  <c r="AC265" i="6" s="1"/>
  <c r="V265" i="6"/>
  <c r="W265" i="6" s="1"/>
  <c r="Y265" i="6" s="1"/>
  <c r="X265" i="6" s="1"/>
  <c r="AH264" i="6"/>
  <c r="AB264" i="6"/>
  <c r="AC264" i="6" s="1"/>
  <c r="W264" i="6"/>
  <c r="Y264" i="6" s="1"/>
  <c r="X264" i="6" s="1"/>
  <c r="V264" i="6"/>
  <c r="AH263" i="6"/>
  <c r="AC263" i="6"/>
  <c r="AB263" i="6"/>
  <c r="V263" i="6"/>
  <c r="W263" i="6" s="1"/>
  <c r="AF263" i="6" s="1"/>
  <c r="AH262" i="6"/>
  <c r="AC262" i="6"/>
  <c r="AB262" i="6"/>
  <c r="V262" i="6"/>
  <c r="W262" i="6" s="1"/>
  <c r="AF262" i="6" s="1"/>
  <c r="AH261" i="6"/>
  <c r="AB261" i="6"/>
  <c r="AC261" i="6" s="1"/>
  <c r="V261" i="6"/>
  <c r="W261" i="6" s="1"/>
  <c r="AH260" i="6"/>
  <c r="AB260" i="6"/>
  <c r="AC260" i="6" s="1"/>
  <c r="V260" i="6"/>
  <c r="W260" i="6" s="1"/>
  <c r="Y260" i="6" s="1"/>
  <c r="X260" i="6" s="1"/>
  <c r="AH259" i="6"/>
  <c r="AB259" i="6"/>
  <c r="AC259" i="6" s="1"/>
  <c r="V259" i="6"/>
  <c r="W259" i="6" s="1"/>
  <c r="AH258" i="6"/>
  <c r="AF258" i="6"/>
  <c r="AB258" i="6"/>
  <c r="AC258" i="6" s="1"/>
  <c r="W258" i="6"/>
  <c r="Y258" i="6" s="1"/>
  <c r="X258" i="6" s="1"/>
  <c r="V258" i="6"/>
  <c r="AH257" i="6"/>
  <c r="AC257" i="6"/>
  <c r="AB257" i="6"/>
  <c r="V257" i="6"/>
  <c r="W257" i="6" s="1"/>
  <c r="AF257" i="6" s="1"/>
  <c r="AH256" i="6"/>
  <c r="AB256" i="6"/>
  <c r="AC256" i="6" s="1"/>
  <c r="V256" i="6"/>
  <c r="W256" i="6" s="1"/>
  <c r="AH255" i="6"/>
  <c r="AB255" i="6"/>
  <c r="AC255" i="6" s="1"/>
  <c r="V255" i="6"/>
  <c r="W255" i="6" s="1"/>
  <c r="AH254" i="6"/>
  <c r="AC254" i="6"/>
  <c r="AB254" i="6"/>
  <c r="V254" i="6"/>
  <c r="W254" i="6" s="1"/>
  <c r="AF254" i="6" s="1"/>
  <c r="AH253" i="6"/>
  <c r="AC253" i="6"/>
  <c r="AB253" i="6"/>
  <c r="V253" i="6"/>
  <c r="W253" i="6" s="1"/>
  <c r="AH252" i="6"/>
  <c r="AB252" i="6"/>
  <c r="AC252" i="6" s="1"/>
  <c r="V252" i="6"/>
  <c r="W252" i="6" s="1"/>
  <c r="AH251" i="6"/>
  <c r="AC251" i="6"/>
  <c r="AB251" i="6"/>
  <c r="V251" i="6"/>
  <c r="W251" i="6" s="1"/>
  <c r="AH250" i="6"/>
  <c r="AC250" i="6"/>
  <c r="AB250" i="6"/>
  <c r="V250" i="6"/>
  <c r="W250" i="6" s="1"/>
  <c r="Y250" i="6" s="1"/>
  <c r="X250" i="6" s="1"/>
  <c r="AH249" i="6"/>
  <c r="AB249" i="6"/>
  <c r="AC249" i="6" s="1"/>
  <c r="V249" i="6"/>
  <c r="W249" i="6" s="1"/>
  <c r="AH248" i="6"/>
  <c r="AB248" i="6"/>
  <c r="AC248" i="6" s="1"/>
  <c r="V248" i="6"/>
  <c r="W248" i="6" s="1"/>
  <c r="AH247" i="6"/>
  <c r="AB247" i="6"/>
  <c r="AC247" i="6" s="1"/>
  <c r="V247" i="6"/>
  <c r="W247" i="6" s="1"/>
  <c r="Y247" i="6" s="1"/>
  <c r="X247" i="6" s="1"/>
  <c r="AH246" i="6"/>
  <c r="AB246" i="6"/>
  <c r="AC246" i="6" s="1"/>
  <c r="V246" i="6"/>
  <c r="W246" i="6" s="1"/>
  <c r="AH245" i="6"/>
  <c r="AB245" i="6"/>
  <c r="AC245" i="6" s="1"/>
  <c r="V245" i="6"/>
  <c r="W245" i="6" s="1"/>
  <c r="AH244" i="6"/>
  <c r="AB244" i="6"/>
  <c r="AC244" i="6" s="1"/>
  <c r="Y244" i="6"/>
  <c r="X244" i="6" s="1"/>
  <c r="V244" i="6"/>
  <c r="W244" i="6" s="1"/>
  <c r="AH243" i="6"/>
  <c r="AB243" i="6"/>
  <c r="AC243" i="6" s="1"/>
  <c r="V243" i="6"/>
  <c r="W243" i="6" s="1"/>
  <c r="Y243" i="6" s="1"/>
  <c r="X243" i="6" s="1"/>
  <c r="AH242" i="6"/>
  <c r="AB242" i="6"/>
  <c r="AC242" i="6" s="1"/>
  <c r="V242" i="6"/>
  <c r="W242" i="6" s="1"/>
  <c r="AF242" i="6" s="1"/>
  <c r="AH241" i="6"/>
  <c r="AB241" i="6"/>
  <c r="AC241" i="6" s="1"/>
  <c r="V241" i="6"/>
  <c r="W241" i="6" s="1"/>
  <c r="AH240" i="6"/>
  <c r="AB240" i="6"/>
  <c r="AC240" i="6" s="1"/>
  <c r="V240" i="6"/>
  <c r="W240" i="6" s="1"/>
  <c r="Y240" i="6" s="1"/>
  <c r="X240" i="6" s="1"/>
  <c r="AH239" i="6"/>
  <c r="AB239" i="6"/>
  <c r="AC239" i="6" s="1"/>
  <c r="V239" i="6"/>
  <c r="W239" i="6" s="1"/>
  <c r="AF239" i="6" s="1"/>
  <c r="AH238" i="6"/>
  <c r="V238" i="6"/>
  <c r="AB238" i="6"/>
  <c r="AC238" i="6" s="1"/>
  <c r="U237" i="6" s="1"/>
  <c r="W238" i="6"/>
  <c r="Y238" i="6" s="1"/>
  <c r="X238" i="6" s="1"/>
  <c r="AH237" i="6"/>
  <c r="AB237" i="6"/>
  <c r="AH236" i="6"/>
  <c r="AB236" i="6"/>
  <c r="AC236" i="6" s="1"/>
  <c r="V236" i="6"/>
  <c r="W236" i="6" s="1"/>
  <c r="AH235" i="6"/>
  <c r="AC235" i="6"/>
  <c r="AB235" i="6"/>
  <c r="V235" i="6"/>
  <c r="W235" i="6" s="1"/>
  <c r="AH234" i="6"/>
  <c r="AB234" i="6"/>
  <c r="AC234" i="6" s="1"/>
  <c r="V234" i="6"/>
  <c r="W234" i="6" s="1"/>
  <c r="AF234" i="6" s="1"/>
  <c r="AH233" i="6"/>
  <c r="AB233" i="6"/>
  <c r="AC233" i="6" s="1"/>
  <c r="V233" i="6"/>
  <c r="W233" i="6" s="1"/>
  <c r="AH232" i="6"/>
  <c r="AC232" i="6"/>
  <c r="AB232" i="6"/>
  <c r="V232" i="6"/>
  <c r="W232" i="6" s="1"/>
  <c r="AH231" i="6"/>
  <c r="AB231" i="6"/>
  <c r="AC231" i="6" s="1"/>
  <c r="V231" i="6"/>
  <c r="W231" i="6" s="1"/>
  <c r="AH230" i="6"/>
  <c r="AB230" i="6"/>
  <c r="AC230" i="6" s="1"/>
  <c r="V230" i="6"/>
  <c r="W230" i="6" s="1"/>
  <c r="AH229" i="6"/>
  <c r="AC229" i="6"/>
  <c r="AB229" i="6"/>
  <c r="V229" i="6"/>
  <c r="W229" i="6" s="1"/>
  <c r="AH228" i="6"/>
  <c r="AC228" i="6"/>
  <c r="AB228" i="6"/>
  <c r="V228" i="6"/>
  <c r="W228" i="6" s="1"/>
  <c r="AH227" i="6"/>
  <c r="AC227" i="6"/>
  <c r="AB227" i="6"/>
  <c r="V227" i="6"/>
  <c r="W227" i="6" s="1"/>
  <c r="Y227" i="6" s="1"/>
  <c r="X227" i="6" s="1"/>
  <c r="AH226" i="6"/>
  <c r="AB226" i="6"/>
  <c r="AC226" i="6" s="1"/>
  <c r="V226" i="6"/>
  <c r="W226" i="6" s="1"/>
  <c r="Y226" i="6" s="1"/>
  <c r="X226" i="6" s="1"/>
  <c r="AH225" i="6"/>
  <c r="AB225" i="6"/>
  <c r="AC225" i="6" s="1"/>
  <c r="V225" i="6"/>
  <c r="W225" i="6" s="1"/>
  <c r="Y225" i="6" s="1"/>
  <c r="X225" i="6" s="1"/>
  <c r="AH224" i="6"/>
  <c r="AG224" i="6"/>
  <c r="AC224" i="6"/>
  <c r="AB224" i="6"/>
  <c r="V224" i="6"/>
  <c r="W224" i="6" s="1"/>
  <c r="AH223" i="6"/>
  <c r="AG223" i="6"/>
  <c r="V223" i="6" s="1"/>
  <c r="W223" i="6" s="1"/>
  <c r="Y223" i="6" s="1"/>
  <c r="X223" i="6" s="1"/>
  <c r="AF223" i="6"/>
  <c r="AC223" i="6"/>
  <c r="AB223" i="6"/>
  <c r="AH222" i="6"/>
  <c r="AB222" i="6"/>
  <c r="AC222" i="6" s="1"/>
  <c r="V222" i="6"/>
  <c r="W222" i="6" s="1"/>
  <c r="AH221" i="6"/>
  <c r="AG221" i="6"/>
  <c r="AB221" i="6"/>
  <c r="AC221" i="6" s="1"/>
  <c r="V221" i="6"/>
  <c r="W221" i="6" s="1"/>
  <c r="AH220" i="6"/>
  <c r="AB220" i="6"/>
  <c r="AH219" i="6"/>
  <c r="AB219" i="6"/>
  <c r="AC219" i="6" s="1"/>
  <c r="V219" i="6"/>
  <c r="W219" i="6" s="1"/>
  <c r="AF219" i="6" s="1"/>
  <c r="AH218" i="6"/>
  <c r="AC218" i="6"/>
  <c r="AB218" i="6"/>
  <c r="V218" i="6"/>
  <c r="W218" i="6" s="1"/>
  <c r="AH217" i="6"/>
  <c r="AG217" i="6"/>
  <c r="V217" i="6" s="1"/>
  <c r="AB217" i="6"/>
  <c r="AC217" i="6" s="1"/>
  <c r="W217" i="6"/>
  <c r="Y217" i="6" s="1"/>
  <c r="X217" i="6" s="1"/>
  <c r="AH216" i="6"/>
  <c r="AG216" i="6"/>
  <c r="AB216" i="6"/>
  <c r="AC216" i="6" s="1"/>
  <c r="V216" i="6"/>
  <c r="W216" i="6" s="1"/>
  <c r="AH215" i="6"/>
  <c r="AG215" i="6"/>
  <c r="AB215" i="6"/>
  <c r="AC215" i="6" s="1"/>
  <c r="V215" i="6"/>
  <c r="W215" i="6" s="1"/>
  <c r="AH214" i="6"/>
  <c r="AB214" i="6"/>
  <c r="AC214" i="6" s="1"/>
  <c r="V214" i="6"/>
  <c r="W214" i="6" s="1"/>
  <c r="AF214" i="6" s="1"/>
  <c r="AH213" i="6"/>
  <c r="AB213" i="6"/>
  <c r="AC213" i="6" s="1"/>
  <c r="V213" i="6"/>
  <c r="W213" i="6" s="1"/>
  <c r="AH212" i="6"/>
  <c r="AF212" i="6"/>
  <c r="AC212" i="6"/>
  <c r="AB212" i="6"/>
  <c r="V212" i="6"/>
  <c r="W212" i="6" s="1"/>
  <c r="Y212" i="6" s="1"/>
  <c r="X212" i="6" s="1"/>
  <c r="AH211" i="6"/>
  <c r="AG211" i="6"/>
  <c r="AC211" i="6"/>
  <c r="AB211" i="6"/>
  <c r="V211" i="6"/>
  <c r="W211" i="6" s="1"/>
  <c r="AH210" i="6"/>
  <c r="AG210" i="6"/>
  <c r="AB210" i="6"/>
  <c r="AC210" i="6" s="1"/>
  <c r="V210" i="6"/>
  <c r="W210" i="6" s="1"/>
  <c r="Y210" i="6" s="1"/>
  <c r="X210" i="6" s="1"/>
  <c r="AH209" i="6"/>
  <c r="AC209" i="6"/>
  <c r="AB209" i="6"/>
  <c r="V209" i="6"/>
  <c r="W209" i="6" s="1"/>
  <c r="Y209" i="6" s="1"/>
  <c r="X209" i="6" s="1"/>
  <c r="AH208" i="6"/>
  <c r="AC208" i="6"/>
  <c r="AB208" i="6"/>
  <c r="V208" i="6"/>
  <c r="W208" i="6" s="1"/>
  <c r="AH207" i="6"/>
  <c r="AG207" i="6"/>
  <c r="V207" i="6" s="1"/>
  <c r="W207" i="6" s="1"/>
  <c r="AC207" i="6"/>
  <c r="AB207" i="6"/>
  <c r="AK206" i="6"/>
  <c r="AH206" i="6"/>
  <c r="AC206" i="6"/>
  <c r="AB206" i="6"/>
  <c r="AH205" i="6"/>
  <c r="AG205" i="6"/>
  <c r="AB205" i="6"/>
  <c r="AC205" i="6" s="1"/>
  <c r="V205" i="6"/>
  <c r="W205" i="6" s="1"/>
  <c r="AH204" i="6"/>
  <c r="AG204" i="6"/>
  <c r="AB204" i="6"/>
  <c r="AC204" i="6" s="1"/>
  <c r="AH203" i="6"/>
  <c r="AG203" i="6"/>
  <c r="AB203" i="6"/>
  <c r="AC203" i="6" s="1"/>
  <c r="V203" i="6"/>
  <c r="W203" i="6" s="1"/>
  <c r="AH202" i="6"/>
  <c r="AB202" i="6"/>
  <c r="AH201" i="6"/>
  <c r="AB201" i="6"/>
  <c r="AC201" i="6" s="1"/>
  <c r="V201" i="6"/>
  <c r="W201" i="6" s="1"/>
  <c r="Y201" i="6" s="1"/>
  <c r="X201" i="6" s="1"/>
  <c r="U201" i="6"/>
  <c r="AH200" i="6"/>
  <c r="AB200" i="6"/>
  <c r="V200" i="6"/>
  <c r="W200" i="6" s="1"/>
  <c r="U200" i="6"/>
  <c r="AH199" i="6"/>
  <c r="AB199" i="6"/>
  <c r="V199" i="6"/>
  <c r="W199" i="6" s="1"/>
  <c r="AF199" i="6" s="1"/>
  <c r="U199" i="6"/>
  <c r="AC199" i="6" s="1"/>
  <c r="AH198" i="6"/>
  <c r="AB198" i="6"/>
  <c r="V198" i="6"/>
  <c r="W198" i="6" s="1"/>
  <c r="AF198" i="6" s="1"/>
  <c r="U198" i="6"/>
  <c r="AH197" i="6"/>
  <c r="AG197" i="6"/>
  <c r="AB197" i="6"/>
  <c r="V197" i="6"/>
  <c r="W197" i="6" s="1"/>
  <c r="U197" i="6"/>
  <c r="AH196" i="6"/>
  <c r="AC196" i="6"/>
  <c r="AB196" i="6"/>
  <c r="V196" i="6"/>
  <c r="W196" i="6" s="1"/>
  <c r="U196" i="6"/>
  <c r="Y196" i="6" s="1"/>
  <c r="X196" i="6" s="1"/>
  <c r="AH195" i="6"/>
  <c r="AB195" i="6"/>
  <c r="AC195" i="6" s="1"/>
  <c r="V195" i="6"/>
  <c r="W195" i="6" s="1"/>
  <c r="U195" i="6"/>
  <c r="AH194" i="6"/>
  <c r="AG194" i="6"/>
  <c r="AB194" i="6"/>
  <c r="V194" i="6"/>
  <c r="W194" i="6" s="1"/>
  <c r="AF194" i="6" s="1"/>
  <c r="U194" i="6"/>
  <c r="AH193" i="6"/>
  <c r="AG193" i="6"/>
  <c r="V193" i="6" s="1"/>
  <c r="W193" i="6" s="1"/>
  <c r="AC193" i="6"/>
  <c r="AB193" i="6"/>
  <c r="U193" i="6"/>
  <c r="AH192" i="6"/>
  <c r="AG192" i="6"/>
  <c r="AC192" i="6"/>
  <c r="AB192" i="6"/>
  <c r="V192" i="6"/>
  <c r="W192" i="6" s="1"/>
  <c r="AF192" i="6" s="1"/>
  <c r="U192" i="6"/>
  <c r="AH191" i="6"/>
  <c r="AB191" i="6"/>
  <c r="V191" i="6"/>
  <c r="W191" i="6" s="1"/>
  <c r="AF191" i="6" s="1"/>
  <c r="U191" i="6"/>
  <c r="AH190" i="6"/>
  <c r="AG190" i="6"/>
  <c r="AB190" i="6"/>
  <c r="V190" i="6"/>
  <c r="W190" i="6" s="1"/>
  <c r="AF190" i="6" s="1"/>
  <c r="U190" i="6"/>
  <c r="AH189" i="6"/>
  <c r="AB189" i="6"/>
  <c r="V189" i="6"/>
  <c r="W189" i="6" s="1"/>
  <c r="U189" i="6"/>
  <c r="AC189" i="6" s="1"/>
  <c r="AH188" i="6"/>
  <c r="AG188" i="6"/>
  <c r="AF188" i="6"/>
  <c r="AB188" i="6"/>
  <c r="V188" i="6"/>
  <c r="W188" i="6" s="1"/>
  <c r="Y188" i="6" s="1"/>
  <c r="X188" i="6" s="1"/>
  <c r="U188" i="6"/>
  <c r="AH187" i="6"/>
  <c r="AB187" i="6"/>
  <c r="V187" i="6"/>
  <c r="W187" i="6" s="1"/>
  <c r="AF187" i="6" s="1"/>
  <c r="U187" i="6"/>
  <c r="AC187" i="6" s="1"/>
  <c r="AH186" i="6"/>
  <c r="AG186" i="6"/>
  <c r="AB186" i="6"/>
  <c r="Y186" i="6"/>
  <c r="X186" i="6" s="1"/>
  <c r="V186" i="6"/>
  <c r="W186" i="6" s="1"/>
  <c r="AF186" i="6" s="1"/>
  <c r="U186" i="6"/>
  <c r="AC186" i="6" s="1"/>
  <c r="AH185" i="6"/>
  <c r="AG185" i="6"/>
  <c r="AB185" i="6"/>
  <c r="AC185" i="6" s="1"/>
  <c r="V185" i="6"/>
  <c r="W185" i="6" s="1"/>
  <c r="U185" i="6"/>
  <c r="AH184" i="6"/>
  <c r="AB184" i="6"/>
  <c r="V184" i="6"/>
  <c r="W184" i="6" s="1"/>
  <c r="U184" i="6"/>
  <c r="AH183" i="6"/>
  <c r="AG183" i="6"/>
  <c r="V183" i="6" s="1"/>
  <c r="W183" i="6" s="1"/>
  <c r="Y183" i="6" s="1"/>
  <c r="X183" i="6" s="1"/>
  <c r="AF183" i="6"/>
  <c r="AC183" i="6"/>
  <c r="AB183" i="6"/>
  <c r="U183" i="6"/>
  <c r="AH182" i="6"/>
  <c r="AG182" i="6"/>
  <c r="V182" i="6" s="1"/>
  <c r="W182" i="6" s="1"/>
  <c r="AF182" i="6"/>
  <c r="AB182" i="6"/>
  <c r="AC182" i="6" s="1"/>
  <c r="Y182" i="6"/>
  <c r="X182" i="6" s="1"/>
  <c r="U182" i="6"/>
  <c r="AH181" i="6"/>
  <c r="AG181" i="6"/>
  <c r="AB181" i="6"/>
  <c r="V181" i="6"/>
  <c r="W181" i="6" s="1"/>
  <c r="AF181" i="6" s="1"/>
  <c r="U181" i="6"/>
  <c r="AH180" i="6"/>
  <c r="AC180" i="6"/>
  <c r="AB180" i="6"/>
  <c r="V180" i="6"/>
  <c r="W180" i="6" s="1"/>
  <c r="AF180" i="6" s="1"/>
  <c r="U180" i="6"/>
  <c r="AH179" i="6"/>
  <c r="AG179" i="6"/>
  <c r="V179" i="6" s="1"/>
  <c r="AB179" i="6"/>
  <c r="W179" i="6"/>
  <c r="AF179" i="6" s="1"/>
  <c r="U179" i="6"/>
  <c r="AH178" i="6"/>
  <c r="AG178" i="6"/>
  <c r="AB178" i="6"/>
  <c r="V178" i="6"/>
  <c r="W178" i="6" s="1"/>
  <c r="AF178" i="6" s="1"/>
  <c r="U178" i="6"/>
  <c r="AH177" i="6"/>
  <c r="AB177" i="6"/>
  <c r="AH176" i="6"/>
  <c r="AB176" i="6"/>
  <c r="V176" i="6"/>
  <c r="W176" i="6" s="1"/>
  <c r="AF176" i="6" s="1"/>
  <c r="U176" i="6"/>
  <c r="AH175" i="6"/>
  <c r="AB175" i="6"/>
  <c r="V175" i="6"/>
  <c r="W175" i="6" s="1"/>
  <c r="AF175" i="6" s="1"/>
  <c r="U175" i="6"/>
  <c r="AH174" i="6"/>
  <c r="AB174" i="6"/>
  <c r="AC174" i="6" s="1"/>
  <c r="U174" i="6"/>
  <c r="AH173" i="6"/>
  <c r="AC173" i="6"/>
  <c r="AB173" i="6"/>
  <c r="V173" i="6"/>
  <c r="W173" i="6" s="1"/>
  <c r="AF173" i="6" s="1"/>
  <c r="U173" i="6"/>
  <c r="AH172" i="6"/>
  <c r="AB172" i="6"/>
  <c r="V172" i="6"/>
  <c r="W172" i="6" s="1"/>
  <c r="AF172" i="6" s="1"/>
  <c r="U172" i="6"/>
  <c r="AC172" i="6" s="1"/>
  <c r="AH171" i="6"/>
  <c r="AB171" i="6"/>
  <c r="V171" i="6"/>
  <c r="W171" i="6" s="1"/>
  <c r="AF171" i="6" s="1"/>
  <c r="U171" i="6"/>
  <c r="AH170" i="6"/>
  <c r="AG170" i="6"/>
  <c r="V170" i="6" s="1"/>
  <c r="W170" i="6" s="1"/>
  <c r="AB170" i="6"/>
  <c r="U170" i="6"/>
  <c r="AH169" i="6"/>
  <c r="AB169" i="6"/>
  <c r="AC169" i="6" s="1"/>
  <c r="V169" i="6"/>
  <c r="W169" i="6" s="1"/>
  <c r="U169" i="6"/>
  <c r="AH168" i="6"/>
  <c r="AG168" i="6"/>
  <c r="V168" i="6" s="1"/>
  <c r="AC168" i="6"/>
  <c r="AB168" i="6"/>
  <c r="W168" i="6"/>
  <c r="AF168" i="6" s="1"/>
  <c r="U168" i="6"/>
  <c r="AH167" i="6"/>
  <c r="AC167" i="6"/>
  <c r="AB167" i="6"/>
  <c r="V167" i="6"/>
  <c r="W167" i="6" s="1"/>
  <c r="AF167" i="6" s="1"/>
  <c r="U167" i="6"/>
  <c r="AH166" i="6"/>
  <c r="AB166" i="6"/>
  <c r="V166" i="6"/>
  <c r="W166" i="6" s="1"/>
  <c r="AF166" i="6" s="1"/>
  <c r="U166" i="6"/>
  <c r="AC166" i="6" s="1"/>
  <c r="AH165" i="6"/>
  <c r="AB165" i="6"/>
  <c r="V165" i="6"/>
  <c r="W165" i="6" s="1"/>
  <c r="AF165" i="6" s="1"/>
  <c r="U165" i="6"/>
  <c r="AH164" i="6"/>
  <c r="AC164" i="6"/>
  <c r="AB164" i="6"/>
  <c r="V164" i="6"/>
  <c r="W164" i="6" s="1"/>
  <c r="AF164" i="6" s="1"/>
  <c r="U164" i="6"/>
  <c r="AH163" i="6"/>
  <c r="AB163" i="6"/>
  <c r="V163" i="6"/>
  <c r="W163" i="6" s="1"/>
  <c r="AF163" i="6" s="1"/>
  <c r="U163" i="6"/>
  <c r="AH162" i="6"/>
  <c r="AB162" i="6"/>
  <c r="W162" i="6"/>
  <c r="AF162" i="6" s="1"/>
  <c r="V162" i="6"/>
  <c r="U162" i="6"/>
  <c r="AH161" i="6"/>
  <c r="AB161" i="6"/>
  <c r="V161" i="6"/>
  <c r="W161" i="6" s="1"/>
  <c r="U161" i="6"/>
  <c r="AH160" i="6"/>
  <c r="AB160" i="6"/>
  <c r="V160" i="6"/>
  <c r="W160" i="6" s="1"/>
  <c r="U160" i="6"/>
  <c r="AC160" i="6" s="1"/>
  <c r="AH159" i="6"/>
  <c r="AB159" i="6"/>
  <c r="V159" i="6"/>
  <c r="W159" i="6" s="1"/>
  <c r="U159" i="6"/>
  <c r="AH158" i="6"/>
  <c r="AB158" i="6"/>
  <c r="V158" i="6"/>
  <c r="W158" i="6" s="1"/>
  <c r="AF158" i="6" s="1"/>
  <c r="U158" i="6"/>
  <c r="AC158" i="6" s="1"/>
  <c r="AH157" i="6"/>
  <c r="AB157" i="6"/>
  <c r="V157" i="6"/>
  <c r="W157" i="6" s="1"/>
  <c r="AF157" i="6" s="1"/>
  <c r="U157" i="6"/>
  <c r="AH156" i="6"/>
  <c r="AB156" i="6"/>
  <c r="AC156" i="6" s="1"/>
  <c r="Y156" i="6"/>
  <c r="X156" i="6" s="1"/>
  <c r="V156" i="6"/>
  <c r="W156" i="6" s="1"/>
  <c r="AF156" i="6" s="1"/>
  <c r="U156" i="6"/>
  <c r="AH155" i="6"/>
  <c r="AB155" i="6"/>
  <c r="W155" i="6"/>
  <c r="AF155" i="6" s="1"/>
  <c r="V155" i="6"/>
  <c r="U155" i="6"/>
  <c r="AC155" i="6" s="1"/>
  <c r="AH154" i="6"/>
  <c r="AB154" i="6"/>
  <c r="V154" i="6"/>
  <c r="W154" i="6" s="1"/>
  <c r="U154" i="6"/>
  <c r="AH153" i="6"/>
  <c r="AC153" i="6"/>
  <c r="AB153" i="6"/>
  <c r="V153" i="6"/>
  <c r="W153" i="6" s="1"/>
  <c r="Y153" i="6" s="1"/>
  <c r="X153" i="6" s="1"/>
  <c r="U153" i="6"/>
  <c r="AH152" i="6"/>
  <c r="AB152" i="6"/>
  <c r="AC152" i="6" s="1"/>
  <c r="V152" i="6"/>
  <c r="W152" i="6" s="1"/>
  <c r="U152" i="6"/>
  <c r="AH151" i="6"/>
  <c r="AB151" i="6"/>
  <c r="AC151" i="6" s="1"/>
  <c r="V151" i="6"/>
  <c r="W151" i="6" s="1"/>
  <c r="U151" i="6"/>
  <c r="AH150" i="6"/>
  <c r="AB150" i="6"/>
  <c r="V150" i="6"/>
  <c r="W150" i="6" s="1"/>
  <c r="AF150" i="6" s="1"/>
  <c r="U150" i="6"/>
  <c r="AH149" i="6"/>
  <c r="V149" i="6"/>
  <c r="W149" i="6" s="1"/>
  <c r="AF149" i="6" s="1"/>
  <c r="AB149" i="6"/>
  <c r="AC149" i="6" s="1"/>
  <c r="U149" i="6"/>
  <c r="AH148" i="6"/>
  <c r="AG148" i="6"/>
  <c r="AG174" i="6" s="1"/>
  <c r="V174" i="6" s="1"/>
  <c r="W174" i="6" s="1"/>
  <c r="AF174" i="6" s="1"/>
  <c r="AB148" i="6"/>
  <c r="AC148" i="6" s="1"/>
  <c r="V148" i="6"/>
  <c r="W148" i="6" s="1"/>
  <c r="Y148" i="6" s="1"/>
  <c r="X148" i="6" s="1"/>
  <c r="U148" i="6"/>
  <c r="AH147" i="6"/>
  <c r="AC147" i="6"/>
  <c r="AB147" i="6"/>
  <c r="V147" i="6"/>
  <c r="W147" i="6" s="1"/>
  <c r="U147" i="6"/>
  <c r="AH146" i="6"/>
  <c r="AB146" i="6"/>
  <c r="V146" i="6"/>
  <c r="W146" i="6" s="1"/>
  <c r="AF146" i="6" s="1"/>
  <c r="U146" i="6"/>
  <c r="AC146" i="6" s="1"/>
  <c r="AH145" i="6"/>
  <c r="AB145" i="6"/>
  <c r="V145" i="6"/>
  <c r="W145" i="6" s="1"/>
  <c r="Y145" i="6" s="1"/>
  <c r="X145" i="6" s="1"/>
  <c r="U145" i="6"/>
  <c r="AC145" i="6" s="1"/>
  <c r="AH144" i="6"/>
  <c r="AB144" i="6"/>
  <c r="V144" i="6"/>
  <c r="W144" i="6" s="1"/>
  <c r="AF144" i="6" s="1"/>
  <c r="U144" i="6"/>
  <c r="AH143" i="6"/>
  <c r="AG143" i="6"/>
  <c r="AB143" i="6"/>
  <c r="V143" i="6"/>
  <c r="W143" i="6" s="1"/>
  <c r="AF143" i="6" s="1"/>
  <c r="U143" i="6"/>
  <c r="AH142" i="6"/>
  <c r="AB142" i="6"/>
  <c r="V142" i="6"/>
  <c r="W142" i="6" s="1"/>
  <c r="AF142" i="6" s="1"/>
  <c r="U142" i="6"/>
  <c r="AC142" i="6" s="1"/>
  <c r="AH141" i="6"/>
  <c r="AG141" i="6"/>
  <c r="AB141" i="6"/>
  <c r="V141" i="6"/>
  <c r="W141" i="6" s="1"/>
  <c r="AF141" i="6" s="1"/>
  <c r="U141" i="6"/>
  <c r="AC141" i="6" s="1"/>
  <c r="AH140" i="6"/>
  <c r="AG140" i="6"/>
  <c r="V140" i="6" s="1"/>
  <c r="W140" i="6" s="1"/>
  <c r="AB140" i="6"/>
  <c r="AC140" i="6" s="1"/>
  <c r="U140" i="6"/>
  <c r="AH139" i="6"/>
  <c r="AG139" i="6"/>
  <c r="AB139" i="6"/>
  <c r="AC139" i="6" s="1"/>
  <c r="V139" i="6"/>
  <c r="W139" i="6" s="1"/>
  <c r="AF139" i="6" s="1"/>
  <c r="U139" i="6"/>
  <c r="Y139" i="6" s="1"/>
  <c r="X139" i="6" s="1"/>
  <c r="AH138" i="6"/>
  <c r="AG138" i="6"/>
  <c r="V138" i="6" s="1"/>
  <c r="W138" i="6" s="1"/>
  <c r="AF138" i="6"/>
  <c r="AB138" i="6"/>
  <c r="U138" i="6"/>
  <c r="AC138" i="6" s="1"/>
  <c r="AH137" i="6"/>
  <c r="AG137" i="6"/>
  <c r="AB137" i="6"/>
  <c r="V137" i="6"/>
  <c r="W137" i="6" s="1"/>
  <c r="U137" i="6"/>
  <c r="AC137" i="6" s="1"/>
  <c r="AH136" i="6"/>
  <c r="AB136" i="6"/>
  <c r="V136" i="6"/>
  <c r="W136" i="6" s="1"/>
  <c r="U136" i="6"/>
  <c r="AC136" i="6" s="1"/>
  <c r="AH135" i="6"/>
  <c r="AC135" i="6"/>
  <c r="AB135" i="6"/>
  <c r="V135" i="6"/>
  <c r="W135" i="6" s="1"/>
  <c r="AF135" i="6" s="1"/>
  <c r="U135" i="6"/>
  <c r="Y135" i="6" s="1"/>
  <c r="X135" i="6" s="1"/>
  <c r="AH134" i="6"/>
  <c r="AB134" i="6"/>
  <c r="V134" i="6"/>
  <c r="W134" i="6" s="1"/>
  <c r="AF134" i="6" s="1"/>
  <c r="U134" i="6"/>
  <c r="AH133" i="6"/>
  <c r="AB133" i="6"/>
  <c r="AH132" i="6"/>
  <c r="AC132" i="6"/>
  <c r="AB132" i="6"/>
  <c r="V132" i="6"/>
  <c r="W132" i="6" s="1"/>
  <c r="AF132" i="6" s="1"/>
  <c r="U132" i="6"/>
  <c r="AH131" i="6"/>
  <c r="AB131" i="6"/>
  <c r="V131" i="6"/>
  <c r="W131" i="6" s="1"/>
  <c r="AF131" i="6" s="1"/>
  <c r="U131" i="6"/>
  <c r="Y131" i="6" s="1"/>
  <c r="X131" i="6" s="1"/>
  <c r="AH130" i="6"/>
  <c r="AB130" i="6"/>
  <c r="V130" i="6"/>
  <c r="W130" i="6" s="1"/>
  <c r="AF130" i="6" s="1"/>
  <c r="U130" i="6"/>
  <c r="AC130" i="6" s="1"/>
  <c r="AH129" i="6"/>
  <c r="AB129" i="6"/>
  <c r="AC129" i="6" s="1"/>
  <c r="V129" i="6"/>
  <c r="W129" i="6" s="1"/>
  <c r="AF129" i="6" s="1"/>
  <c r="U129" i="6"/>
  <c r="AH128" i="6"/>
  <c r="AB128" i="6"/>
  <c r="V128" i="6"/>
  <c r="W128" i="6" s="1"/>
  <c r="AF128" i="6" s="1"/>
  <c r="U128" i="6"/>
  <c r="AC128" i="6" s="1"/>
  <c r="AH127" i="6"/>
  <c r="AB127" i="6"/>
  <c r="V127" i="6"/>
  <c r="W127" i="6" s="1"/>
  <c r="AF127" i="6" s="1"/>
  <c r="U127" i="6"/>
  <c r="AC127" i="6" s="1"/>
  <c r="AH126" i="6"/>
  <c r="AB126" i="6"/>
  <c r="AC126" i="6" s="1"/>
  <c r="V126" i="6"/>
  <c r="W126" i="6" s="1"/>
  <c r="AF126" i="6" s="1"/>
  <c r="U126" i="6"/>
  <c r="AH125" i="6"/>
  <c r="AB125" i="6"/>
  <c r="V125" i="6"/>
  <c r="W125" i="6" s="1"/>
  <c r="AF125" i="6" s="1"/>
  <c r="U125" i="6"/>
  <c r="AC125" i="6" s="1"/>
  <c r="AH124" i="6"/>
  <c r="AB124" i="6"/>
  <c r="V124" i="6"/>
  <c r="W124" i="6" s="1"/>
  <c r="AF124" i="6" s="1"/>
  <c r="U124" i="6"/>
  <c r="AH123" i="6"/>
  <c r="AC123" i="6"/>
  <c r="AB123" i="6"/>
  <c r="V123" i="6"/>
  <c r="W123" i="6" s="1"/>
  <c r="AF123" i="6" s="1"/>
  <c r="U123" i="6"/>
  <c r="AH122" i="6"/>
  <c r="AB122" i="6"/>
  <c r="V122" i="6"/>
  <c r="W122" i="6" s="1"/>
  <c r="AF122" i="6" s="1"/>
  <c r="U122" i="6"/>
  <c r="AC122" i="6" s="1"/>
  <c r="AH121" i="6"/>
  <c r="AC121" i="6"/>
  <c r="AB121" i="6"/>
  <c r="W121" i="6"/>
  <c r="AF121" i="6" s="1"/>
  <c r="V121" i="6"/>
  <c r="U121" i="6"/>
  <c r="AH120" i="6"/>
  <c r="AB120" i="6"/>
  <c r="V120" i="6"/>
  <c r="W120" i="6" s="1"/>
  <c r="AF120" i="6" s="1"/>
  <c r="U120" i="6"/>
  <c r="AH119" i="6"/>
  <c r="AB119" i="6"/>
  <c r="V119" i="6"/>
  <c r="W119" i="6" s="1"/>
  <c r="AF119" i="6" s="1"/>
  <c r="U119" i="6"/>
  <c r="Y119" i="6" s="1"/>
  <c r="X119" i="6" s="1"/>
  <c r="AH118" i="6"/>
  <c r="AC118" i="6"/>
  <c r="AB118" i="6"/>
  <c r="V118" i="6"/>
  <c r="W118" i="6" s="1"/>
  <c r="U118" i="6"/>
  <c r="AH117" i="6"/>
  <c r="AB117" i="6"/>
  <c r="W117" i="6"/>
  <c r="AF117" i="6" s="1"/>
  <c r="V117" i="6"/>
  <c r="U117" i="6"/>
  <c r="AH116" i="6"/>
  <c r="AB116" i="6"/>
  <c r="V116" i="6"/>
  <c r="W116" i="6" s="1"/>
  <c r="AF116" i="6" s="1"/>
  <c r="U116" i="6"/>
  <c r="AH115" i="6"/>
  <c r="AC115" i="6"/>
  <c r="AB115" i="6"/>
  <c r="V115" i="6"/>
  <c r="W115" i="6" s="1"/>
  <c r="U115" i="6"/>
  <c r="AH114" i="6"/>
  <c r="AB114" i="6"/>
  <c r="V114" i="6"/>
  <c r="W114" i="6" s="1"/>
  <c r="AF114" i="6" s="1"/>
  <c r="U114" i="6"/>
  <c r="AC114" i="6" s="1"/>
  <c r="AH113" i="6"/>
  <c r="AB113" i="6"/>
  <c r="V113" i="6"/>
  <c r="W113" i="6" s="1"/>
  <c r="AF113" i="6" s="1"/>
  <c r="U113" i="6"/>
  <c r="AC113" i="6" s="1"/>
  <c r="AH112" i="6"/>
  <c r="AB112" i="6"/>
  <c r="V112" i="6"/>
  <c r="W112" i="6" s="1"/>
  <c r="AF112" i="6" s="1"/>
  <c r="U112" i="6"/>
  <c r="AH111" i="6"/>
  <c r="AB111" i="6"/>
  <c r="AC111" i="6" s="1"/>
  <c r="V111" i="6"/>
  <c r="W111" i="6" s="1"/>
  <c r="Y111" i="6" s="1"/>
  <c r="X111" i="6" s="1"/>
  <c r="U111" i="6"/>
  <c r="AH110" i="6"/>
  <c r="AB110" i="6"/>
  <c r="V110" i="6"/>
  <c r="W110" i="6" s="1"/>
  <c r="AF110" i="6" s="1"/>
  <c r="U110" i="6"/>
  <c r="AH109" i="6"/>
  <c r="AB109" i="6"/>
  <c r="V109" i="6"/>
  <c r="W109" i="6" s="1"/>
  <c r="AF109" i="6" s="1"/>
  <c r="U109" i="6"/>
  <c r="AH108" i="6"/>
  <c r="AC108" i="6"/>
  <c r="AB108" i="6"/>
  <c r="V108" i="6"/>
  <c r="W108" i="6" s="1"/>
  <c r="AF108" i="6" s="1"/>
  <c r="U108" i="6"/>
  <c r="AH107" i="6"/>
  <c r="AB107" i="6"/>
  <c r="V107" i="6"/>
  <c r="W107" i="6" s="1"/>
  <c r="AF107" i="6" s="1"/>
  <c r="U107" i="6"/>
  <c r="AC107" i="6" s="1"/>
  <c r="AH106" i="6"/>
  <c r="AB106" i="6"/>
  <c r="V106" i="6"/>
  <c r="W106" i="6" s="1"/>
  <c r="AF106" i="6" s="1"/>
  <c r="U106" i="6"/>
  <c r="AC106" i="6" s="1"/>
  <c r="AH105" i="6"/>
  <c r="AB105" i="6"/>
  <c r="V105" i="6"/>
  <c r="W105" i="6" s="1"/>
  <c r="AF105" i="6" s="1"/>
  <c r="U105" i="6"/>
  <c r="AC105" i="6" s="1"/>
  <c r="AH104" i="6"/>
  <c r="AB104" i="6"/>
  <c r="AC104" i="6" s="1"/>
  <c r="V104" i="6"/>
  <c r="W104" i="6" s="1"/>
  <c r="AF104" i="6" s="1"/>
  <c r="U104" i="6"/>
  <c r="AH103" i="6"/>
  <c r="AB103" i="6"/>
  <c r="V103" i="6"/>
  <c r="W103" i="6" s="1"/>
  <c r="AF103" i="6" s="1"/>
  <c r="U103" i="6"/>
  <c r="AH102" i="6"/>
  <c r="AC102" i="6"/>
  <c r="AB102" i="6"/>
  <c r="V102" i="6"/>
  <c r="W102" i="6" s="1"/>
  <c r="U102" i="6"/>
  <c r="AH101" i="6"/>
  <c r="AC101" i="6"/>
  <c r="AB101" i="6"/>
  <c r="V101" i="6"/>
  <c r="W101" i="6" s="1"/>
  <c r="AF101" i="6" s="1"/>
  <c r="U101" i="6"/>
  <c r="AH100" i="6"/>
  <c r="AB100" i="6"/>
  <c r="V100" i="6"/>
  <c r="W100" i="6" s="1"/>
  <c r="AF100" i="6" s="1"/>
  <c r="U100" i="6"/>
  <c r="AH99" i="6"/>
  <c r="AB99" i="6"/>
  <c r="AC99" i="6" s="1"/>
  <c r="V99" i="6"/>
  <c r="W99" i="6" s="1"/>
  <c r="Y99" i="6" s="1"/>
  <c r="X99" i="6" s="1"/>
  <c r="U99" i="6"/>
  <c r="AH98" i="6"/>
  <c r="AC98" i="6"/>
  <c r="AB98" i="6"/>
  <c r="V98" i="6"/>
  <c r="W98" i="6" s="1"/>
  <c r="AF98" i="6" s="1"/>
  <c r="U98" i="6"/>
  <c r="AH97" i="6"/>
  <c r="AB97" i="6"/>
  <c r="V97" i="6"/>
  <c r="W97" i="6" s="1"/>
  <c r="AF97" i="6" s="1"/>
  <c r="U97" i="6"/>
  <c r="AC97" i="6" s="1"/>
  <c r="AH96" i="6"/>
  <c r="AB96" i="6"/>
  <c r="AC96" i="6" s="1"/>
  <c r="V96" i="6"/>
  <c r="W96" i="6" s="1"/>
  <c r="U96" i="6"/>
  <c r="AH95" i="6"/>
  <c r="AB95" i="6"/>
  <c r="V95" i="6"/>
  <c r="W95" i="6" s="1"/>
  <c r="AF95" i="6" s="1"/>
  <c r="U95" i="6"/>
  <c r="AH94" i="6"/>
  <c r="AC94" i="6"/>
  <c r="AB94" i="6"/>
  <c r="V94" i="6"/>
  <c r="W94" i="6" s="1"/>
  <c r="U94" i="6"/>
  <c r="AH93" i="6"/>
  <c r="AB93" i="6"/>
  <c r="AC93" i="6" s="1"/>
  <c r="V93" i="6"/>
  <c r="W93" i="6" s="1"/>
  <c r="U93" i="6"/>
  <c r="AH92" i="6"/>
  <c r="AB92" i="6"/>
  <c r="V92" i="6"/>
  <c r="W92" i="6" s="1"/>
  <c r="AF92" i="6" s="1"/>
  <c r="U92" i="6"/>
  <c r="AH91" i="6"/>
  <c r="AB91" i="6"/>
  <c r="V91" i="6"/>
  <c r="W91" i="6" s="1"/>
  <c r="AF91" i="6" s="1"/>
  <c r="U91" i="6"/>
  <c r="AH90" i="6"/>
  <c r="AC90" i="6"/>
  <c r="AB90" i="6"/>
  <c r="V90" i="6"/>
  <c r="W90" i="6" s="1"/>
  <c r="Y90" i="6" s="1"/>
  <c r="X90" i="6" s="1"/>
  <c r="U90" i="6"/>
  <c r="AH89" i="6"/>
  <c r="AB89" i="6"/>
  <c r="AC89" i="6" s="1"/>
  <c r="V89" i="6"/>
  <c r="W89" i="6" s="1"/>
  <c r="AF89" i="6" s="1"/>
  <c r="U89" i="6"/>
  <c r="AH88" i="6"/>
  <c r="AB88" i="6"/>
  <c r="AC88" i="6" s="1"/>
  <c r="V88" i="6"/>
  <c r="W88" i="6" s="1"/>
  <c r="AF88" i="6" s="1"/>
  <c r="U88" i="6"/>
  <c r="AH87" i="6"/>
  <c r="AC87" i="6"/>
  <c r="AB87" i="6"/>
  <c r="V87" i="6"/>
  <c r="W87" i="6" s="1"/>
  <c r="AF87" i="6" s="1"/>
  <c r="U87" i="6"/>
  <c r="AH86" i="6"/>
  <c r="AB86" i="6"/>
  <c r="V86" i="6"/>
  <c r="W86" i="6" s="1"/>
  <c r="AF86" i="6" s="1"/>
  <c r="U86" i="6"/>
  <c r="AH85" i="6"/>
  <c r="AB85" i="6"/>
  <c r="V85" i="6"/>
  <c r="W85" i="6" s="1"/>
  <c r="AF85" i="6" s="1"/>
  <c r="U85" i="6"/>
  <c r="AH84" i="6"/>
  <c r="AB84" i="6"/>
  <c r="V84" i="6"/>
  <c r="W84" i="6" s="1"/>
  <c r="AF84" i="6" s="1"/>
  <c r="U84" i="6"/>
  <c r="AH83" i="6"/>
  <c r="AB83" i="6"/>
  <c r="AC83" i="6" s="1"/>
  <c r="V83" i="6"/>
  <c r="W83" i="6" s="1"/>
  <c r="U83" i="6"/>
  <c r="AH82" i="6"/>
  <c r="AC82" i="6"/>
  <c r="AB82" i="6"/>
  <c r="V82" i="6"/>
  <c r="W82" i="6" s="1"/>
  <c r="U82" i="6"/>
  <c r="AH81" i="6"/>
  <c r="AB81" i="6"/>
  <c r="W81" i="6"/>
  <c r="AF81" i="6" s="1"/>
  <c r="V81" i="6"/>
  <c r="U81" i="6"/>
  <c r="AH80" i="6"/>
  <c r="AB80" i="6"/>
  <c r="V80" i="6"/>
  <c r="W80" i="6" s="1"/>
  <c r="AF80" i="6" s="1"/>
  <c r="U80" i="6"/>
  <c r="AH79" i="6"/>
  <c r="AB79" i="6"/>
  <c r="AC79" i="6" s="1"/>
  <c r="V79" i="6"/>
  <c r="W79" i="6" s="1"/>
  <c r="AF79" i="6" s="1"/>
  <c r="U79" i="6"/>
  <c r="AH78" i="6"/>
  <c r="AB78" i="6"/>
  <c r="V78" i="6"/>
  <c r="W78" i="6" s="1"/>
  <c r="Y78" i="6" s="1"/>
  <c r="X78" i="6" s="1"/>
  <c r="U78" i="6"/>
  <c r="AH77" i="6"/>
  <c r="AB77" i="6"/>
  <c r="V77" i="6"/>
  <c r="W77" i="6" s="1"/>
  <c r="AF77" i="6" s="1"/>
  <c r="U77" i="6"/>
  <c r="AH76" i="6"/>
  <c r="AB76" i="6"/>
  <c r="V76" i="6"/>
  <c r="W76" i="6" s="1"/>
  <c r="AF76" i="6" s="1"/>
  <c r="U76" i="6"/>
  <c r="AH75" i="6"/>
  <c r="AC75" i="6"/>
  <c r="AB75" i="6"/>
  <c r="W75" i="6"/>
  <c r="AF75" i="6" s="1"/>
  <c r="V75" i="6"/>
  <c r="U75" i="6"/>
  <c r="AH74" i="6"/>
  <c r="AB74" i="6"/>
  <c r="W74" i="6"/>
  <c r="AF74" i="6" s="1"/>
  <c r="V74" i="6"/>
  <c r="U74" i="6"/>
  <c r="AH73" i="6"/>
  <c r="AB73" i="6"/>
  <c r="AC73" i="6" s="1"/>
  <c r="V73" i="6"/>
  <c r="W73" i="6" s="1"/>
  <c r="AF73" i="6" s="1"/>
  <c r="U73" i="6"/>
  <c r="AH72" i="6"/>
  <c r="AC72" i="6"/>
  <c r="AB72" i="6"/>
  <c r="V72" i="6"/>
  <c r="W72" i="6" s="1"/>
  <c r="AF72" i="6" s="1"/>
  <c r="U72" i="6"/>
  <c r="AH71" i="6"/>
  <c r="AC71" i="6"/>
  <c r="AB71" i="6"/>
  <c r="V71" i="6"/>
  <c r="W71" i="6" s="1"/>
  <c r="AF71" i="6" s="1"/>
  <c r="U71" i="6"/>
  <c r="AH70" i="6"/>
  <c r="AB70" i="6"/>
  <c r="V70" i="6"/>
  <c r="W70" i="6" s="1"/>
  <c r="AF70" i="6" s="1"/>
  <c r="U70" i="6"/>
  <c r="AC70" i="6" s="1"/>
  <c r="AH69" i="6"/>
  <c r="AB69" i="6"/>
  <c r="V69" i="6"/>
  <c r="W69" i="6" s="1"/>
  <c r="Y69" i="6" s="1"/>
  <c r="X69" i="6" s="1"/>
  <c r="U69" i="6"/>
  <c r="AC69" i="6" s="1"/>
  <c r="AH68" i="6"/>
  <c r="AB68" i="6"/>
  <c r="V68" i="6"/>
  <c r="W68" i="6" s="1"/>
  <c r="AF68" i="6" s="1"/>
  <c r="U68" i="6"/>
  <c r="AH67" i="6"/>
  <c r="AB67" i="6"/>
  <c r="AC67" i="6" s="1"/>
  <c r="V67" i="6"/>
  <c r="W67" i="6" s="1"/>
  <c r="AF67" i="6" s="1"/>
  <c r="U67" i="6"/>
  <c r="AH66" i="6"/>
  <c r="AB66" i="6"/>
  <c r="V66" i="6"/>
  <c r="W66" i="6" s="1"/>
  <c r="U66" i="6"/>
  <c r="AH65" i="6"/>
  <c r="AB65" i="6"/>
  <c r="AC65" i="6" s="1"/>
  <c r="W65" i="6"/>
  <c r="AF65" i="6" s="1"/>
  <c r="V65" i="6"/>
  <c r="U65" i="6"/>
  <c r="AH64" i="6"/>
  <c r="V64" i="6"/>
  <c r="W64" i="6" s="1"/>
  <c r="AF64" i="6" s="1"/>
  <c r="AB64" i="6"/>
  <c r="AC64" i="6" s="1"/>
  <c r="U64" i="6"/>
  <c r="AH63" i="6"/>
  <c r="AG63" i="6"/>
  <c r="AB63" i="6"/>
  <c r="AC63" i="6" s="1"/>
  <c r="V63" i="6"/>
  <c r="W63" i="6" s="1"/>
  <c r="AF63" i="6" s="1"/>
  <c r="U63" i="6"/>
  <c r="AH62" i="6"/>
  <c r="AG62" i="6"/>
  <c r="V62" i="6" s="1"/>
  <c r="W62" i="6" s="1"/>
  <c r="AF62" i="6" s="1"/>
  <c r="AB62" i="6"/>
  <c r="U62" i="6"/>
  <c r="AH61" i="6"/>
  <c r="AB61" i="6"/>
  <c r="V61" i="6"/>
  <c r="W61" i="6" s="1"/>
  <c r="AF61" i="6" s="1"/>
  <c r="U61" i="6"/>
  <c r="AC61" i="6" s="1"/>
  <c r="AH60" i="6"/>
  <c r="AB60" i="6"/>
  <c r="V60" i="6"/>
  <c r="W60" i="6" s="1"/>
  <c r="AF60" i="6" s="1"/>
  <c r="U60" i="6"/>
  <c r="AH59" i="6"/>
  <c r="AB59" i="6"/>
  <c r="V59" i="6"/>
  <c r="W59" i="6" s="1"/>
  <c r="U59" i="6"/>
  <c r="AC59" i="6" s="1"/>
  <c r="AH58" i="6"/>
  <c r="AB58" i="6"/>
  <c r="V58" i="6"/>
  <c r="W58" i="6" s="1"/>
  <c r="U58" i="6"/>
  <c r="AC58" i="6" s="1"/>
  <c r="AH57" i="6"/>
  <c r="AC57" i="6"/>
  <c r="AB57" i="6"/>
  <c r="V57" i="6"/>
  <c r="W57" i="6" s="1"/>
  <c r="AF57" i="6" s="1"/>
  <c r="U57" i="6"/>
  <c r="AH56" i="6"/>
  <c r="AB56" i="6"/>
  <c r="V56" i="6"/>
  <c r="W56" i="6" s="1"/>
  <c r="AF56" i="6" s="1"/>
  <c r="U56" i="6"/>
  <c r="AC56" i="6" s="1"/>
  <c r="AH55" i="6"/>
  <c r="AB55" i="6"/>
  <c r="V55" i="6"/>
  <c r="W55" i="6" s="1"/>
  <c r="AF55" i="6" s="1"/>
  <c r="U55" i="6"/>
  <c r="AH54" i="6"/>
  <c r="AC54" i="6"/>
  <c r="AB54" i="6"/>
  <c r="V54" i="6"/>
  <c r="W54" i="6" s="1"/>
  <c r="AF54" i="6" s="1"/>
  <c r="U54" i="6"/>
  <c r="AH53" i="6"/>
  <c r="AB53" i="6"/>
  <c r="V53" i="6"/>
  <c r="W53" i="6" s="1"/>
  <c r="AF53" i="6" s="1"/>
  <c r="U53" i="6"/>
  <c r="AH52" i="6"/>
  <c r="AB52" i="6"/>
  <c r="V52" i="6"/>
  <c r="W52" i="6" s="1"/>
  <c r="AF52" i="6" s="1"/>
  <c r="U52" i="6"/>
  <c r="AC52" i="6" s="1"/>
  <c r="AH51" i="6"/>
  <c r="AB51" i="6"/>
  <c r="V51" i="6"/>
  <c r="W51" i="6" s="1"/>
  <c r="AF51" i="6" s="1"/>
  <c r="U51" i="6"/>
  <c r="AH50" i="6"/>
  <c r="AC50" i="6"/>
  <c r="AB50" i="6"/>
  <c r="V50" i="6"/>
  <c r="W50" i="6" s="1"/>
  <c r="AF50" i="6" s="1"/>
  <c r="U50" i="6"/>
  <c r="AH49" i="6"/>
  <c r="V49" i="6"/>
  <c r="W49" i="6" s="1"/>
  <c r="AF49" i="6" s="1"/>
  <c r="AB49" i="6"/>
  <c r="U49" i="6"/>
  <c r="AH48" i="6"/>
  <c r="AB48" i="6"/>
  <c r="V48" i="6"/>
  <c r="W48" i="6" s="1"/>
  <c r="AF48" i="6" s="1"/>
  <c r="U48" i="6"/>
  <c r="AH47" i="6"/>
  <c r="AB47" i="6"/>
  <c r="V47" i="6"/>
  <c r="W47" i="6" s="1"/>
  <c r="AF47" i="6" s="1"/>
  <c r="U47" i="6"/>
  <c r="AC47" i="6" s="1"/>
  <c r="AH46" i="6"/>
  <c r="AB46" i="6"/>
  <c r="AC46" i="6" s="1"/>
  <c r="V46" i="6"/>
  <c r="W46" i="6" s="1"/>
  <c r="Y46" i="6" s="1"/>
  <c r="X46" i="6" s="1"/>
  <c r="U46" i="6"/>
  <c r="AH45" i="6"/>
  <c r="AC45" i="6"/>
  <c r="AB45" i="6"/>
  <c r="V45" i="6"/>
  <c r="W45" i="6" s="1"/>
  <c r="U45" i="6"/>
  <c r="AH44" i="6"/>
  <c r="AC44" i="6"/>
  <c r="AB44" i="6"/>
  <c r="V44" i="6"/>
  <c r="W44" i="6" s="1"/>
  <c r="AF44" i="6" s="1"/>
  <c r="U44" i="6"/>
  <c r="AH43" i="6"/>
  <c r="AC43" i="6"/>
  <c r="AB43" i="6"/>
  <c r="V43" i="6"/>
  <c r="W43" i="6" s="1"/>
  <c r="Y43" i="6" s="1"/>
  <c r="X43" i="6" s="1"/>
  <c r="U43" i="6"/>
  <c r="AH42" i="6"/>
  <c r="AB42" i="6"/>
  <c r="V42" i="6"/>
  <c r="W42" i="6" s="1"/>
  <c r="AF42" i="6" s="1"/>
  <c r="U42" i="6"/>
  <c r="Y42" i="6" s="1"/>
  <c r="X42" i="6" s="1"/>
  <c r="AH41" i="6"/>
  <c r="AB41" i="6"/>
  <c r="AC41" i="6" s="1"/>
  <c r="V41" i="6"/>
  <c r="W41" i="6" s="1"/>
  <c r="U41" i="6"/>
  <c r="AH40" i="6"/>
  <c r="AB40" i="6"/>
  <c r="V40" i="6"/>
  <c r="W40" i="6" s="1"/>
  <c r="AF40" i="6" s="1"/>
  <c r="U40" i="6"/>
  <c r="AH39" i="6"/>
  <c r="AC39" i="6"/>
  <c r="AB39" i="6"/>
  <c r="W39" i="6"/>
  <c r="V39" i="6"/>
  <c r="U39" i="6"/>
  <c r="AH38" i="6"/>
  <c r="AB38" i="6"/>
  <c r="AH37" i="6"/>
  <c r="AC37" i="6"/>
  <c r="AB37" i="6"/>
  <c r="V37" i="6"/>
  <c r="W37" i="6" s="1"/>
  <c r="AH36" i="6"/>
  <c r="AC36" i="6"/>
  <c r="AB36" i="6"/>
  <c r="V36" i="6"/>
  <c r="W36" i="6" s="1"/>
  <c r="AH35" i="6"/>
  <c r="AC35" i="6"/>
  <c r="AB35" i="6"/>
  <c r="V35" i="6"/>
  <c r="W35" i="6" s="1"/>
  <c r="Y35" i="6" s="1"/>
  <c r="X35" i="6" s="1"/>
  <c r="AH34" i="6"/>
  <c r="AB34" i="6"/>
  <c r="AC34" i="6" s="1"/>
  <c r="V34" i="6"/>
  <c r="W34" i="6" s="1"/>
  <c r="AH33" i="6"/>
  <c r="AB33" i="6"/>
  <c r="AC33" i="6" s="1"/>
  <c r="V33" i="6"/>
  <c r="W33" i="6" s="1"/>
  <c r="AH32" i="6"/>
  <c r="V32" i="6"/>
  <c r="W32" i="6" s="1"/>
  <c r="AB32" i="6"/>
  <c r="AC32" i="6" s="1"/>
  <c r="AH31" i="6"/>
  <c r="AG31" i="6"/>
  <c r="AB31" i="6"/>
  <c r="AC31" i="6" s="1"/>
  <c r="W31" i="6"/>
  <c r="AF31" i="6" s="1"/>
  <c r="V31" i="6"/>
  <c r="AH30" i="6"/>
  <c r="AC30" i="6"/>
  <c r="AB30" i="6"/>
  <c r="V30" i="6"/>
  <c r="W30" i="6" s="1"/>
  <c r="AH29" i="6"/>
  <c r="AC29" i="6"/>
  <c r="AB29" i="6"/>
  <c r="V29" i="6"/>
  <c r="W29" i="6" s="1"/>
  <c r="AH28" i="6"/>
  <c r="AB28" i="6"/>
  <c r="AC28" i="6" s="1"/>
  <c r="V28" i="6"/>
  <c r="W28" i="6" s="1"/>
  <c r="AF28" i="6" s="1"/>
  <c r="AH27" i="6"/>
  <c r="AC27" i="6"/>
  <c r="AB27" i="6"/>
  <c r="V27" i="6"/>
  <c r="W27" i="6" s="1"/>
  <c r="AH26" i="6"/>
  <c r="AG26" i="6"/>
  <c r="V26" i="6" s="1"/>
  <c r="W26" i="6" s="1"/>
  <c r="AB26" i="6"/>
  <c r="AC26" i="6" s="1"/>
  <c r="AH25" i="6"/>
  <c r="AB25" i="6"/>
  <c r="AC25" i="6" s="1"/>
  <c r="V25" i="6"/>
  <c r="W25" i="6" s="1"/>
  <c r="AH24" i="6"/>
  <c r="AB24" i="6"/>
  <c r="AC24" i="6" s="1"/>
  <c r="V24" i="6"/>
  <c r="W24" i="6" s="1"/>
  <c r="AH23" i="6"/>
  <c r="AG23" i="6"/>
  <c r="V23" i="6" s="1"/>
  <c r="W23" i="6" s="1"/>
  <c r="AC23" i="6"/>
  <c r="AB23" i="6"/>
  <c r="AH22" i="6"/>
  <c r="AC22" i="6"/>
  <c r="AB22" i="6"/>
  <c r="V22" i="6"/>
  <c r="W22" i="6" s="1"/>
  <c r="AH21" i="6"/>
  <c r="AB21" i="6"/>
  <c r="AC21" i="6" s="1"/>
  <c r="V21" i="6"/>
  <c r="W21" i="6" s="1"/>
  <c r="AH20" i="6"/>
  <c r="AB20" i="6"/>
  <c r="AC20" i="6" s="1"/>
  <c r="V20" i="6"/>
  <c r="W20" i="6" s="1"/>
  <c r="Y20" i="6" s="1"/>
  <c r="X20" i="6" s="1"/>
  <c r="AH19" i="6"/>
  <c r="AB19" i="6"/>
  <c r="AC19" i="6" s="1"/>
  <c r="V19" i="6"/>
  <c r="W19" i="6" s="1"/>
  <c r="AF19" i="6" s="1"/>
  <c r="AH18" i="6"/>
  <c r="AC18" i="6"/>
  <c r="AB18" i="6"/>
  <c r="V18" i="6"/>
  <c r="W18" i="6" s="1"/>
  <c r="AH17" i="6"/>
  <c r="AB17" i="6"/>
  <c r="AC17" i="6" s="1"/>
  <c r="V17" i="6"/>
  <c r="W17" i="6" s="1"/>
  <c r="AH16" i="6"/>
  <c r="AC16" i="6"/>
  <c r="AB16" i="6"/>
  <c r="V16" i="6"/>
  <c r="W16" i="6" s="1"/>
  <c r="AH15" i="6"/>
  <c r="AG15" i="6"/>
  <c r="V15" i="6" s="1"/>
  <c r="AC15" i="6"/>
  <c r="AB15" i="6"/>
  <c r="W15" i="6"/>
  <c r="AF15" i="6" s="1"/>
  <c r="AH14" i="6"/>
  <c r="AC14" i="6"/>
  <c r="AB14" i="6"/>
  <c r="V14" i="6"/>
  <c r="W14" i="6" s="1"/>
  <c r="AH13" i="6"/>
  <c r="AC13" i="6"/>
  <c r="AB13" i="6"/>
  <c r="V13" i="6"/>
  <c r="W13" i="6" s="1"/>
  <c r="AH12" i="6"/>
  <c r="AG12" i="6"/>
  <c r="V12" i="6" s="1"/>
  <c r="AC12" i="6"/>
  <c r="AB12" i="6"/>
  <c r="W12" i="6"/>
  <c r="AH11" i="6"/>
  <c r="AG11" i="6"/>
  <c r="AB11" i="6"/>
  <c r="AC11" i="6" s="1"/>
  <c r="V11" i="6"/>
  <c r="W11" i="6" s="1"/>
  <c r="AF11" i="6" s="1"/>
  <c r="AH10" i="6"/>
  <c r="AC10" i="6"/>
  <c r="AB10" i="6"/>
  <c r="W10" i="6"/>
  <c r="AB9" i="6"/>
  <c r="X9" i="4"/>
  <c r="W495" i="11" l="1"/>
  <c r="Y500" i="11"/>
  <c r="Y7" i="11"/>
  <c r="W495" i="10"/>
  <c r="Y500" i="10"/>
  <c r="Y7" i="10"/>
  <c r="W495" i="9"/>
  <c r="Y7" i="9"/>
  <c r="Y500" i="9"/>
  <c r="V8" i="7"/>
  <c r="V7" i="7" s="1"/>
  <c r="X9" i="7"/>
  <c r="W9" i="7"/>
  <c r="Y203" i="7"/>
  <c r="Y202" i="7" s="1"/>
  <c r="W202" i="7" s="1"/>
  <c r="Z202" i="7"/>
  <c r="X202" i="7" s="1"/>
  <c r="AG202" i="7" s="1"/>
  <c r="AF449" i="6"/>
  <c r="Y492" i="6"/>
  <c r="AF374" i="6"/>
  <c r="Y149" i="6"/>
  <c r="X149" i="6" s="1"/>
  <c r="Y64" i="6"/>
  <c r="X64" i="6" s="1"/>
  <c r="Y160" i="6"/>
  <c r="X160" i="6" s="1"/>
  <c r="AF160" i="6"/>
  <c r="Y241" i="6"/>
  <c r="X241" i="6" s="1"/>
  <c r="AF241" i="6"/>
  <c r="AF94" i="6"/>
  <c r="Y94" i="6"/>
  <c r="X94" i="6" s="1"/>
  <c r="Y435" i="6"/>
  <c r="X435" i="6" s="1"/>
  <c r="AF435" i="6"/>
  <c r="AF363" i="6"/>
  <c r="Y363" i="6"/>
  <c r="X363" i="6" s="1"/>
  <c r="Y313" i="6"/>
  <c r="X313" i="6" s="1"/>
  <c r="AF313" i="6"/>
  <c r="AF434" i="6"/>
  <c r="Y434" i="6"/>
  <c r="X434" i="6" s="1"/>
  <c r="Y270" i="6"/>
  <c r="X270" i="6" s="1"/>
  <c r="AF270" i="6"/>
  <c r="Y487" i="6"/>
  <c r="X487" i="6" s="1"/>
  <c r="AF487" i="6"/>
  <c r="Y442" i="6"/>
  <c r="X442" i="6" s="1"/>
  <c r="AF442" i="6"/>
  <c r="AF493" i="6"/>
  <c r="Y493" i="6"/>
  <c r="X493" i="6" s="1"/>
  <c r="AF290" i="6"/>
  <c r="Y290" i="6"/>
  <c r="X290" i="6" s="1"/>
  <c r="Y409" i="6"/>
  <c r="X409" i="6" s="1"/>
  <c r="AF409" i="6"/>
  <c r="Y430" i="6"/>
  <c r="X430" i="6" s="1"/>
  <c r="AF430" i="6"/>
  <c r="AF443" i="6"/>
  <c r="Y443" i="6"/>
  <c r="X443" i="6" s="1"/>
  <c r="Y291" i="6"/>
  <c r="X291" i="6" s="1"/>
  <c r="AF291" i="6"/>
  <c r="Y475" i="6"/>
  <c r="X475" i="6" s="1"/>
  <c r="AF475" i="6"/>
  <c r="Y298" i="6"/>
  <c r="X298" i="6" s="1"/>
  <c r="AF298" i="6"/>
  <c r="AF252" i="6"/>
  <c r="Y252" i="6"/>
  <c r="X252" i="6" s="1"/>
  <c r="AF280" i="6"/>
  <c r="Y280" i="6"/>
  <c r="X280" i="6" s="1"/>
  <c r="Y317" i="6"/>
  <c r="X317" i="6" s="1"/>
  <c r="AF317" i="6"/>
  <c r="AF345" i="6"/>
  <c r="Y345" i="6"/>
  <c r="X345" i="6" s="1"/>
  <c r="AF261" i="6"/>
  <c r="Y261" i="6"/>
  <c r="X261" i="6" s="1"/>
  <c r="AF147" i="6"/>
  <c r="Y147" i="6"/>
  <c r="X147" i="6" s="1"/>
  <c r="Y310" i="6"/>
  <c r="X310" i="6" s="1"/>
  <c r="AF310" i="6"/>
  <c r="Y338" i="6"/>
  <c r="X338" i="6" s="1"/>
  <c r="AF338" i="6"/>
  <c r="Y361" i="6"/>
  <c r="X361" i="6" s="1"/>
  <c r="AF361" i="6"/>
  <c r="AF82" i="6"/>
  <c r="Y82" i="6"/>
  <c r="X82" i="6" s="1"/>
  <c r="AF293" i="6"/>
  <c r="Y293" i="6"/>
  <c r="X293" i="6" s="1"/>
  <c r="Y16" i="6"/>
  <c r="X16" i="6" s="1"/>
  <c r="AF16" i="6"/>
  <c r="Y36" i="6"/>
  <c r="X36" i="6" s="1"/>
  <c r="AF36" i="6"/>
  <c r="Y418" i="6"/>
  <c r="X418" i="6" s="1"/>
  <c r="AF418" i="6"/>
  <c r="Y115" i="6"/>
  <c r="X115" i="6" s="1"/>
  <c r="AF115" i="6"/>
  <c r="Y216" i="6"/>
  <c r="X216" i="6" s="1"/>
  <c r="AF216" i="6"/>
  <c r="AF336" i="6"/>
  <c r="Y336" i="6"/>
  <c r="X336" i="6" s="1"/>
  <c r="AF29" i="6"/>
  <c r="Y29" i="6"/>
  <c r="X29" i="6" s="1"/>
  <c r="Y346" i="6"/>
  <c r="X346" i="6" s="1"/>
  <c r="AF346" i="6"/>
  <c r="Y425" i="6"/>
  <c r="X425" i="6" s="1"/>
  <c r="AF425" i="6"/>
  <c r="Y325" i="6"/>
  <c r="X325" i="6" s="1"/>
  <c r="AF325" i="6"/>
  <c r="AF477" i="6"/>
  <c r="Y477" i="6"/>
  <c r="X477" i="6" s="1"/>
  <c r="Y484" i="6"/>
  <c r="X484" i="6" s="1"/>
  <c r="AF484" i="6"/>
  <c r="AF282" i="6"/>
  <c r="AF90" i="6"/>
  <c r="Y91" i="6"/>
  <c r="X91" i="6" s="1"/>
  <c r="AF159" i="6"/>
  <c r="AF278" i="6"/>
  <c r="AF300" i="6"/>
  <c r="Y19" i="6"/>
  <c r="X19" i="6" s="1"/>
  <c r="AF78" i="6"/>
  <c r="AF209" i="6"/>
  <c r="AF238" i="6"/>
  <c r="AF432" i="6"/>
  <c r="Y359" i="6"/>
  <c r="X359" i="6" s="1"/>
  <c r="AF382" i="6"/>
  <c r="AF243" i="6"/>
  <c r="Y55" i="6"/>
  <c r="X55" i="6" s="1"/>
  <c r="Y70" i="6"/>
  <c r="X70" i="6" s="1"/>
  <c r="Y44" i="6"/>
  <c r="X44" i="6" s="1"/>
  <c r="AF372" i="6"/>
  <c r="Y316" i="6"/>
  <c r="X316" i="6" s="1"/>
  <c r="Y54" i="6"/>
  <c r="X54" i="6" s="1"/>
  <c r="Y101" i="6"/>
  <c r="X101" i="6" s="1"/>
  <c r="Y408" i="6"/>
  <c r="X408" i="6" s="1"/>
  <c r="AF463" i="6"/>
  <c r="AF294" i="6"/>
  <c r="AF111" i="6"/>
  <c r="Y65" i="6"/>
  <c r="X65" i="6" s="1"/>
  <c r="Y234" i="6"/>
  <c r="X234" i="6" s="1"/>
  <c r="Y319" i="6"/>
  <c r="X319" i="6" s="1"/>
  <c r="AF145" i="6"/>
  <c r="AF69" i="6"/>
  <c r="AF20" i="6"/>
  <c r="AF417" i="6"/>
  <c r="Y105" i="6"/>
  <c r="X105" i="6" s="1"/>
  <c r="Y254" i="6"/>
  <c r="X254" i="6" s="1"/>
  <c r="Y441" i="6"/>
  <c r="X441" i="6" s="1"/>
  <c r="AF375" i="6"/>
  <c r="AF437" i="6"/>
  <c r="Y117" i="6"/>
  <c r="X117" i="6" s="1"/>
  <c r="AF99" i="6"/>
  <c r="Y219" i="6"/>
  <c r="X219" i="6" s="1"/>
  <c r="Y173" i="6"/>
  <c r="X173" i="6" s="1"/>
  <c r="Y180" i="6"/>
  <c r="X180" i="6" s="1"/>
  <c r="Y31" i="6"/>
  <c r="X31" i="6" s="1"/>
  <c r="Y126" i="6"/>
  <c r="X126" i="6" s="1"/>
  <c r="AF244" i="6"/>
  <c r="Y143" i="6"/>
  <c r="X143" i="6" s="1"/>
  <c r="Y11" i="6"/>
  <c r="X11" i="6" s="1"/>
  <c r="Y76" i="6"/>
  <c r="X76" i="6" s="1"/>
  <c r="Y166" i="6"/>
  <c r="X166" i="6" s="1"/>
  <c r="Y190" i="6"/>
  <c r="X190" i="6" s="1"/>
  <c r="AF303" i="6"/>
  <c r="AF411" i="6"/>
  <c r="Y39" i="6"/>
  <c r="AF43" i="6"/>
  <c r="AF265" i="6"/>
  <c r="AF385" i="6"/>
  <c r="AF58" i="6"/>
  <c r="AF196" i="6"/>
  <c r="AF362" i="6"/>
  <c r="Y272" i="6"/>
  <c r="X272" i="6" s="1"/>
  <c r="AF250" i="6"/>
  <c r="AF227" i="6"/>
  <c r="AF275" i="6"/>
  <c r="Y100" i="6"/>
  <c r="X100" i="6" s="1"/>
  <c r="AF439" i="6"/>
  <c r="AF136" i="6"/>
  <c r="Y136" i="6"/>
  <c r="X136" i="6" s="1"/>
  <c r="AF151" i="6"/>
  <c r="Y151" i="6"/>
  <c r="X151" i="6" s="1"/>
  <c r="AF37" i="6"/>
  <c r="Y37" i="6"/>
  <c r="X37" i="6" s="1"/>
  <c r="Y330" i="6"/>
  <c r="X330" i="6" s="1"/>
  <c r="AF330" i="6"/>
  <c r="AF185" i="6"/>
  <c r="Y185" i="6"/>
  <c r="X185" i="6" s="1"/>
  <c r="AF423" i="6"/>
  <c r="Y423" i="6"/>
  <c r="X423" i="6" s="1"/>
  <c r="AF21" i="6"/>
  <c r="Y21" i="6"/>
  <c r="X21" i="6" s="1"/>
  <c r="Y354" i="6"/>
  <c r="X354" i="6" s="1"/>
  <c r="AF354" i="6"/>
  <c r="Y24" i="6"/>
  <c r="X24" i="6" s="1"/>
  <c r="AF24" i="6"/>
  <c r="AF25" i="6"/>
  <c r="Y25" i="6"/>
  <c r="X25" i="6" s="1"/>
  <c r="AF41" i="6"/>
  <c r="Y41" i="6"/>
  <c r="X41" i="6" s="1"/>
  <c r="AF66" i="6"/>
  <c r="Y66" i="6"/>
  <c r="X66" i="6" s="1"/>
  <c r="AF304" i="6"/>
  <c r="Y304" i="6"/>
  <c r="X304" i="6" s="1"/>
  <c r="AF276" i="6"/>
  <c r="Y276" i="6"/>
  <c r="X276" i="6" s="1"/>
  <c r="Y73" i="6"/>
  <c r="X73" i="6" s="1"/>
  <c r="AC171" i="6"/>
  <c r="Y171" i="6"/>
  <c r="X171" i="6" s="1"/>
  <c r="AF236" i="6"/>
  <c r="Y236" i="6"/>
  <c r="X236" i="6" s="1"/>
  <c r="AF268" i="6"/>
  <c r="Y268" i="6"/>
  <c r="X268" i="6" s="1"/>
  <c r="AF279" i="6"/>
  <c r="Y279" i="6"/>
  <c r="X279" i="6" s="1"/>
  <c r="AF331" i="6"/>
  <c r="Y331" i="6"/>
  <c r="X331" i="6" s="1"/>
  <c r="Y347" i="6"/>
  <c r="X347" i="6" s="1"/>
  <c r="AF347" i="6"/>
  <c r="AF364" i="6"/>
  <c r="Y364" i="6"/>
  <c r="X364" i="6" s="1"/>
  <c r="AF469" i="6"/>
  <c r="Y469" i="6"/>
  <c r="X469" i="6" s="1"/>
  <c r="AF34" i="6"/>
  <c r="Y34" i="6"/>
  <c r="X34" i="6" s="1"/>
  <c r="AF140" i="6"/>
  <c r="Y140" i="6"/>
  <c r="X140" i="6" s="1"/>
  <c r="AF230" i="6"/>
  <c r="Y230" i="6"/>
  <c r="X230" i="6" s="1"/>
  <c r="AF447" i="6"/>
  <c r="Y447" i="6"/>
  <c r="Y14" i="6"/>
  <c r="X14" i="6" s="1"/>
  <c r="AF14" i="6"/>
  <c r="AC162" i="6"/>
  <c r="Y162" i="6"/>
  <c r="X162" i="6" s="1"/>
  <c r="AC198" i="6"/>
  <c r="Y198" i="6"/>
  <c r="X198" i="6" s="1"/>
  <c r="Y263" i="6"/>
  <c r="X263" i="6" s="1"/>
  <c r="Y311" i="6"/>
  <c r="X311" i="6" s="1"/>
  <c r="AF311" i="6"/>
  <c r="Y10" i="6"/>
  <c r="AF10" i="6"/>
  <c r="Y47" i="6"/>
  <c r="X47" i="6" s="1"/>
  <c r="Y56" i="6"/>
  <c r="X56" i="6" s="1"/>
  <c r="AC109" i="6"/>
  <c r="Y109" i="6"/>
  <c r="X109" i="6" s="1"/>
  <c r="Y113" i="6"/>
  <c r="X113" i="6" s="1"/>
  <c r="Y158" i="6"/>
  <c r="X158" i="6" s="1"/>
  <c r="AF154" i="6"/>
  <c r="Y194" i="6"/>
  <c r="X194" i="6" s="1"/>
  <c r="AC194" i="6"/>
  <c r="AF410" i="6"/>
  <c r="Y410" i="6"/>
  <c r="X410" i="6" s="1"/>
  <c r="AF464" i="6"/>
  <c r="Y464" i="6"/>
  <c r="X464" i="6" s="1"/>
  <c r="AF30" i="6"/>
  <c r="Y30" i="6"/>
  <c r="X30" i="6" s="1"/>
  <c r="Y242" i="6"/>
  <c r="X242" i="6" s="1"/>
  <c r="AF296" i="6"/>
  <c r="Y312" i="6"/>
  <c r="X312" i="6" s="1"/>
  <c r="AF312" i="6"/>
  <c r="Y326" i="6"/>
  <c r="X326" i="6" s="1"/>
  <c r="AF476" i="6"/>
  <c r="Y476" i="6"/>
  <c r="X476" i="6" s="1"/>
  <c r="AF248" i="6"/>
  <c r="Y248" i="6"/>
  <c r="X248" i="6" s="1"/>
  <c r="Y40" i="6"/>
  <c r="X40" i="6" s="1"/>
  <c r="AC40" i="6"/>
  <c r="Y53" i="6"/>
  <c r="X53" i="6" s="1"/>
  <c r="AC53" i="6"/>
  <c r="Y83" i="6"/>
  <c r="X83" i="6" s="1"/>
  <c r="AF83" i="6"/>
  <c r="Y118" i="6"/>
  <c r="X118" i="6" s="1"/>
  <c r="AF118" i="6"/>
  <c r="AC131" i="6"/>
  <c r="Y154" i="6"/>
  <c r="X154" i="6" s="1"/>
  <c r="AF205" i="6"/>
  <c r="Y205" i="6"/>
  <c r="X205" i="6" s="1"/>
  <c r="AF221" i="6"/>
  <c r="Y221" i="6"/>
  <c r="AF259" i="6"/>
  <c r="Y259" i="6"/>
  <c r="X259" i="6" s="1"/>
  <c r="AF292" i="6"/>
  <c r="Y292" i="6"/>
  <c r="X292" i="6" s="1"/>
  <c r="AF307" i="6"/>
  <c r="AF321" i="6"/>
  <c r="Y366" i="6"/>
  <c r="X366" i="6" s="1"/>
  <c r="AF366" i="6"/>
  <c r="Y378" i="6"/>
  <c r="AF378" i="6"/>
  <c r="AF287" i="6"/>
  <c r="Y287" i="6"/>
  <c r="X287" i="6" s="1"/>
  <c r="AF383" i="6"/>
  <c r="U471" i="6"/>
  <c r="Y92" i="6"/>
  <c r="X92" i="6" s="1"/>
  <c r="AC92" i="6"/>
  <c r="AF379" i="6"/>
  <c r="Y379" i="6"/>
  <c r="X379" i="6" s="1"/>
  <c r="Y193" i="6"/>
  <c r="X193" i="6" s="1"/>
  <c r="AF193" i="6"/>
  <c r="AF288" i="6"/>
  <c r="Y288" i="6"/>
  <c r="X288" i="6" s="1"/>
  <c r="Y67" i="6"/>
  <c r="X67" i="6" s="1"/>
  <c r="AF228" i="6"/>
  <c r="Y228" i="6"/>
  <c r="X228" i="6" s="1"/>
  <c r="Y256" i="6"/>
  <c r="X256" i="6" s="1"/>
  <c r="AF256" i="6"/>
  <c r="AF335" i="6"/>
  <c r="Y335" i="6"/>
  <c r="X335" i="6" s="1"/>
  <c r="AF340" i="6"/>
  <c r="Y340" i="6"/>
  <c r="X340" i="6" s="1"/>
  <c r="Y413" i="6"/>
  <c r="X413" i="6" s="1"/>
  <c r="AF490" i="6"/>
  <c r="Y490" i="6"/>
  <c r="X490" i="6" s="1"/>
  <c r="Y181" i="6"/>
  <c r="X181" i="6" s="1"/>
  <c r="AC181" i="6"/>
  <c r="AF231" i="6"/>
  <c r="Y231" i="6"/>
  <c r="X231" i="6" s="1"/>
  <c r="AF301" i="6"/>
  <c r="Y301" i="6"/>
  <c r="X301" i="6" s="1"/>
  <c r="AF360" i="6"/>
  <c r="Y360" i="6"/>
  <c r="X360" i="6" s="1"/>
  <c r="AF365" i="6"/>
  <c r="Y365" i="6"/>
  <c r="X365" i="6" s="1"/>
  <c r="Y427" i="6"/>
  <c r="X427" i="6" s="1"/>
  <c r="AF427" i="6"/>
  <c r="AF355" i="6"/>
  <c r="Y355" i="6"/>
  <c r="X355" i="6" s="1"/>
  <c r="Y142" i="6"/>
  <c r="X142" i="6" s="1"/>
  <c r="AF233" i="6"/>
  <c r="Y233" i="6"/>
  <c r="X233" i="6" s="1"/>
  <c r="Y438" i="6"/>
  <c r="X438" i="6" s="1"/>
  <c r="AF438" i="6"/>
  <c r="AF96" i="6"/>
  <c r="Y96" i="6"/>
  <c r="X96" i="6" s="1"/>
  <c r="AF334" i="6"/>
  <c r="Y334" i="6"/>
  <c r="X334" i="6" s="1"/>
  <c r="AF27" i="6"/>
  <c r="Y27" i="6"/>
  <c r="X27" i="6" s="1"/>
  <c r="AF45" i="6"/>
  <c r="Y45" i="6"/>
  <c r="X45" i="6" s="1"/>
  <c r="Y239" i="6"/>
  <c r="X239" i="6" s="1"/>
  <c r="X237" i="6" s="1"/>
  <c r="V237" i="6" s="1"/>
  <c r="Y255" i="6"/>
  <c r="X255" i="6" s="1"/>
  <c r="AF255" i="6"/>
  <c r="Y308" i="6"/>
  <c r="X308" i="6" s="1"/>
  <c r="AF350" i="6"/>
  <c r="Y128" i="6"/>
  <c r="X128" i="6" s="1"/>
  <c r="AC179" i="6"/>
  <c r="Y179" i="6"/>
  <c r="X179" i="6" s="1"/>
  <c r="AF266" i="6"/>
  <c r="Y266" i="6"/>
  <c r="X266" i="6" s="1"/>
  <c r="Y271" i="6"/>
  <c r="X271" i="6" s="1"/>
  <c r="Y85" i="6"/>
  <c r="X85" i="6" s="1"/>
  <c r="AC85" i="6"/>
  <c r="AC119" i="6"/>
  <c r="Y351" i="6"/>
  <c r="X351" i="6" s="1"/>
  <c r="AF351" i="6"/>
  <c r="AF380" i="6"/>
  <c r="Y380" i="6"/>
  <c r="X380" i="6" s="1"/>
  <c r="AF93" i="6"/>
  <c r="Y93" i="6"/>
  <c r="X93" i="6" s="1"/>
  <c r="Y152" i="6"/>
  <c r="X152" i="6" s="1"/>
  <c r="AF152" i="6"/>
  <c r="Y165" i="6"/>
  <c r="X165" i="6" s="1"/>
  <c r="AC165" i="6"/>
  <c r="AF251" i="6"/>
  <c r="Y251" i="6"/>
  <c r="X251" i="6" s="1"/>
  <c r="AF309" i="6"/>
  <c r="Y309" i="6"/>
  <c r="X309" i="6" s="1"/>
  <c r="Y314" i="6"/>
  <c r="X314" i="6" s="1"/>
  <c r="AF314" i="6"/>
  <c r="AF440" i="6"/>
  <c r="Y440" i="6"/>
  <c r="X440" i="6" s="1"/>
  <c r="AF102" i="6"/>
  <c r="Y102" i="6"/>
  <c r="X102" i="6" s="1"/>
  <c r="AC175" i="6"/>
  <c r="Y175" i="6"/>
  <c r="X175" i="6" s="1"/>
  <c r="AF201" i="6"/>
  <c r="AF324" i="6"/>
  <c r="Y324" i="6"/>
  <c r="X324" i="6" s="1"/>
  <c r="AF33" i="6"/>
  <c r="Y89" i="6"/>
  <c r="X89" i="6" s="1"/>
  <c r="AC144" i="6"/>
  <c r="Y144" i="6"/>
  <c r="X144" i="6" s="1"/>
  <c r="AC197" i="6"/>
  <c r="Y197" i="6"/>
  <c r="X197" i="6" s="1"/>
  <c r="Y213" i="6"/>
  <c r="X213" i="6" s="1"/>
  <c r="AF213" i="6"/>
  <c r="AF235" i="6"/>
  <c r="Y235" i="6"/>
  <c r="X235" i="6" s="1"/>
  <c r="Y341" i="6"/>
  <c r="X341" i="6" s="1"/>
  <c r="AF341" i="6"/>
  <c r="AF358" i="6"/>
  <c r="Y358" i="6"/>
  <c r="X358" i="6" s="1"/>
  <c r="U406" i="6"/>
  <c r="AF468" i="6"/>
  <c r="Y468" i="6"/>
  <c r="X468" i="6" s="1"/>
  <c r="AF485" i="6"/>
  <c r="Y485" i="6"/>
  <c r="X485" i="6" s="1"/>
  <c r="AF17" i="6"/>
  <c r="Y17" i="6"/>
  <c r="X17" i="6" s="1"/>
  <c r="Y211" i="6"/>
  <c r="X211" i="6" s="1"/>
  <c r="AF211" i="6"/>
  <c r="Y112" i="6"/>
  <c r="X112" i="6" s="1"/>
  <c r="AC112" i="6"/>
  <c r="Y13" i="6"/>
  <c r="X13" i="6" s="1"/>
  <c r="AF13" i="6"/>
  <c r="Y33" i="6"/>
  <c r="X33" i="6" s="1"/>
  <c r="AC157" i="6"/>
  <c r="Y157" i="6"/>
  <c r="X157" i="6" s="1"/>
  <c r="AF229" i="6"/>
  <c r="Y229" i="6"/>
  <c r="X229" i="6" s="1"/>
  <c r="AC60" i="6"/>
  <c r="Y60" i="6"/>
  <c r="X60" i="6" s="1"/>
  <c r="AC86" i="6"/>
  <c r="Y86" i="6"/>
  <c r="X86" i="6" s="1"/>
  <c r="AC161" i="6"/>
  <c r="Y161" i="6"/>
  <c r="X161" i="6" s="1"/>
  <c r="Y170" i="6"/>
  <c r="X170" i="6" s="1"/>
  <c r="AF170" i="6"/>
  <c r="AF224" i="6"/>
  <c r="Y224" i="6"/>
  <c r="X224" i="6" s="1"/>
  <c r="AF431" i="6"/>
  <c r="Y431" i="6"/>
  <c r="X431" i="6" s="1"/>
  <c r="Y207" i="6"/>
  <c r="X207" i="6" s="1"/>
  <c r="AF207" i="6"/>
  <c r="Y28" i="6"/>
  <c r="X28" i="6" s="1"/>
  <c r="Y116" i="6"/>
  <c r="X116" i="6" s="1"/>
  <c r="AC116" i="6"/>
  <c r="AF284" i="6"/>
  <c r="Y284" i="6"/>
  <c r="X284" i="6" s="1"/>
  <c r="AF299" i="6"/>
  <c r="Y299" i="6"/>
  <c r="X299" i="6" s="1"/>
  <c r="Y414" i="6"/>
  <c r="X414" i="6" s="1"/>
  <c r="AF414" i="6"/>
  <c r="AF23" i="6"/>
  <c r="Y23" i="6"/>
  <c r="X23" i="6" s="1"/>
  <c r="AC77" i="6"/>
  <c r="Y77" i="6"/>
  <c r="X77" i="6" s="1"/>
  <c r="AC103" i="6"/>
  <c r="Y103" i="6"/>
  <c r="X103" i="6" s="1"/>
  <c r="AF161" i="6"/>
  <c r="AF295" i="6"/>
  <c r="Y295" i="6"/>
  <c r="X295" i="6" s="1"/>
  <c r="AG371" i="6"/>
  <c r="V371" i="6" s="1"/>
  <c r="W371" i="6" s="1"/>
  <c r="V370" i="6"/>
  <c r="W370" i="6" s="1"/>
  <c r="AF482" i="6"/>
  <c r="Y482" i="6"/>
  <c r="X482" i="6" s="1"/>
  <c r="U450" i="6"/>
  <c r="AF483" i="6"/>
  <c r="Y483" i="6"/>
  <c r="X483" i="6" s="1"/>
  <c r="AF12" i="6"/>
  <c r="Y32" i="6"/>
  <c r="X32" i="6" s="1"/>
  <c r="AF32" i="6"/>
  <c r="AF169" i="6"/>
  <c r="Y169" i="6"/>
  <c r="X169" i="6" s="1"/>
  <c r="Y178" i="6"/>
  <c r="AC178" i="6"/>
  <c r="AF339" i="6"/>
  <c r="Y339" i="6"/>
  <c r="X339" i="6" s="1"/>
  <c r="AF59" i="6"/>
  <c r="AC74" i="6"/>
  <c r="Y74" i="6"/>
  <c r="X74" i="6" s="1"/>
  <c r="AC154" i="6"/>
  <c r="AF189" i="6"/>
  <c r="Y189" i="6"/>
  <c r="X189" i="6" s="1"/>
  <c r="AF197" i="6"/>
  <c r="Y262" i="6"/>
  <c r="X262" i="6" s="1"/>
  <c r="AF453" i="6"/>
  <c r="Y453" i="6"/>
  <c r="X453" i="6" s="1"/>
  <c r="AC48" i="6"/>
  <c r="Y48" i="6"/>
  <c r="X48" i="6" s="1"/>
  <c r="Y59" i="6"/>
  <c r="X59" i="6" s="1"/>
  <c r="Y174" i="6"/>
  <c r="X174" i="6" s="1"/>
  <c r="AF277" i="6"/>
  <c r="Y277" i="6"/>
  <c r="X277" i="6" s="1"/>
  <c r="Y384" i="6"/>
  <c r="X384" i="6" s="1"/>
  <c r="AF384" i="6"/>
  <c r="AF419" i="6"/>
  <c r="Y419" i="6"/>
  <c r="X419" i="6" s="1"/>
  <c r="Y424" i="6"/>
  <c r="X424" i="6" s="1"/>
  <c r="AF424" i="6"/>
  <c r="U377" i="6"/>
  <c r="AF386" i="6"/>
  <c r="Y386" i="6"/>
  <c r="X386" i="6" s="1"/>
  <c r="Y421" i="6"/>
  <c r="X421" i="6" s="1"/>
  <c r="AF421" i="6"/>
  <c r="AF22" i="6"/>
  <c r="Y22" i="6"/>
  <c r="X22" i="6" s="1"/>
  <c r="Y342" i="6"/>
  <c r="X342" i="6" s="1"/>
  <c r="AF342" i="6"/>
  <c r="Y187" i="6"/>
  <c r="X187" i="6" s="1"/>
  <c r="AF283" i="6"/>
  <c r="AF302" i="6"/>
  <c r="Y302" i="6"/>
  <c r="X302" i="6" s="1"/>
  <c r="AC159" i="6"/>
  <c r="Y159" i="6"/>
  <c r="X159" i="6" s="1"/>
  <c r="AF455" i="6"/>
  <c r="Y455" i="6"/>
  <c r="X455" i="6" s="1"/>
  <c r="AF26" i="6"/>
  <c r="Y26" i="6"/>
  <c r="X26" i="6" s="1"/>
  <c r="AF137" i="6"/>
  <c r="Y137" i="6"/>
  <c r="X137" i="6" s="1"/>
  <c r="Y208" i="6"/>
  <c r="X208" i="6" s="1"/>
  <c r="AF208" i="6"/>
  <c r="AF332" i="6"/>
  <c r="Y332" i="6"/>
  <c r="X332" i="6" s="1"/>
  <c r="Y459" i="6"/>
  <c r="X459" i="6" s="1"/>
  <c r="AF459" i="6"/>
  <c r="Y79" i="6"/>
  <c r="X79" i="6" s="1"/>
  <c r="Y125" i="6"/>
  <c r="X125" i="6" s="1"/>
  <c r="Y141" i="6"/>
  <c r="X141" i="6" s="1"/>
  <c r="AF274" i="6"/>
  <c r="Y357" i="6"/>
  <c r="X357" i="6" s="1"/>
  <c r="AF357" i="6"/>
  <c r="Y426" i="6"/>
  <c r="X426" i="6" s="1"/>
  <c r="Y465" i="6"/>
  <c r="X465" i="6" s="1"/>
  <c r="AF465" i="6"/>
  <c r="U9" i="6"/>
  <c r="Y18" i="6"/>
  <c r="X18" i="6" s="1"/>
  <c r="AF18" i="6"/>
  <c r="Y50" i="6"/>
  <c r="X50" i="6" s="1"/>
  <c r="Y57" i="6"/>
  <c r="X57" i="6" s="1"/>
  <c r="Y61" i="6"/>
  <c r="X61" i="6" s="1"/>
  <c r="Y80" i="6"/>
  <c r="X80" i="6" s="1"/>
  <c r="AC80" i="6"/>
  <c r="Y106" i="6"/>
  <c r="X106" i="6" s="1"/>
  <c r="Y129" i="6"/>
  <c r="X129" i="6" s="1"/>
  <c r="AF218" i="6"/>
  <c r="Y218" i="6"/>
  <c r="X218" i="6" s="1"/>
  <c r="AF246" i="6"/>
  <c r="Y246" i="6"/>
  <c r="X246" i="6" s="1"/>
  <c r="AF289" i="6"/>
  <c r="Y289" i="6"/>
  <c r="X289" i="6" s="1"/>
  <c r="AF318" i="6"/>
  <c r="AF323" i="6"/>
  <c r="Y323" i="6"/>
  <c r="X323" i="6" s="1"/>
  <c r="AF328" i="6"/>
  <c r="Y328" i="6"/>
  <c r="Y445" i="6"/>
  <c r="X445" i="6" s="1"/>
  <c r="AF445" i="6"/>
  <c r="Y460" i="6"/>
  <c r="X460" i="6" s="1"/>
  <c r="AF481" i="6"/>
  <c r="Y481" i="6"/>
  <c r="X481" i="6" s="1"/>
  <c r="X39" i="6"/>
  <c r="AF148" i="6"/>
  <c r="Y168" i="6"/>
  <c r="X168" i="6" s="1"/>
  <c r="AC176" i="6"/>
  <c r="Y176" i="6"/>
  <c r="X176" i="6" s="1"/>
  <c r="AC184" i="6"/>
  <c r="Y184" i="6"/>
  <c r="X184" i="6" s="1"/>
  <c r="AF195" i="6"/>
  <c r="Y195" i="6"/>
  <c r="X195" i="6" s="1"/>
  <c r="AF226" i="6"/>
  <c r="Y307" i="6"/>
  <c r="X307" i="6" s="1"/>
  <c r="Y333" i="6"/>
  <c r="X333" i="6" s="1"/>
  <c r="Y367" i="6"/>
  <c r="X367" i="6" s="1"/>
  <c r="AF407" i="6"/>
  <c r="Y407" i="6"/>
  <c r="Y121" i="6"/>
  <c r="X121" i="6" s="1"/>
  <c r="AF356" i="6"/>
  <c r="Y356" i="6"/>
  <c r="X356" i="6" s="1"/>
  <c r="AF217" i="6"/>
  <c r="AF322" i="6"/>
  <c r="AC110" i="6"/>
  <c r="Y110" i="6"/>
  <c r="X110" i="6" s="1"/>
  <c r="Y191" i="6"/>
  <c r="X191" i="6" s="1"/>
  <c r="AC191" i="6"/>
  <c r="Y88" i="6"/>
  <c r="X88" i="6" s="1"/>
  <c r="Y122" i="6"/>
  <c r="X122" i="6" s="1"/>
  <c r="Y172" i="6"/>
  <c r="X172" i="6" s="1"/>
  <c r="Y232" i="6"/>
  <c r="X232" i="6" s="1"/>
  <c r="AF232" i="6"/>
  <c r="Y343" i="6"/>
  <c r="X343" i="6" s="1"/>
  <c r="AF451" i="6"/>
  <c r="Y451" i="6"/>
  <c r="Y155" i="6"/>
  <c r="X155" i="6" s="1"/>
  <c r="AF337" i="6"/>
  <c r="Y337" i="6"/>
  <c r="X337" i="6" s="1"/>
  <c r="AC91" i="6"/>
  <c r="Y138" i="6"/>
  <c r="X138" i="6" s="1"/>
  <c r="AC188" i="6"/>
  <c r="V204" i="6"/>
  <c r="W204" i="6" s="1"/>
  <c r="AG206" i="6"/>
  <c r="V206" i="6" s="1"/>
  <c r="W206" i="6" s="1"/>
  <c r="AF422" i="6"/>
  <c r="Y422" i="6"/>
  <c r="X422" i="6" s="1"/>
  <c r="AC76" i="6"/>
  <c r="AC95" i="6"/>
  <c r="Y95" i="6"/>
  <c r="X95" i="6" s="1"/>
  <c r="AF247" i="6"/>
  <c r="Y315" i="6"/>
  <c r="X315" i="6" s="1"/>
  <c r="AF368" i="6"/>
  <c r="Y368" i="6"/>
  <c r="X368" i="6" s="1"/>
  <c r="AF412" i="6"/>
  <c r="Y412" i="6"/>
  <c r="X412" i="6" s="1"/>
  <c r="Y461" i="6"/>
  <c r="X461" i="6" s="1"/>
  <c r="AF461" i="6"/>
  <c r="AF472" i="6"/>
  <c r="Y472" i="6"/>
  <c r="Y467" i="6"/>
  <c r="X467" i="6" s="1"/>
  <c r="AF467" i="6"/>
  <c r="AC66" i="6"/>
  <c r="Y98" i="6"/>
  <c r="X98" i="6" s="1"/>
  <c r="Y167" i="6"/>
  <c r="X167" i="6" s="1"/>
  <c r="AC200" i="6"/>
  <c r="Y200" i="6"/>
  <c r="X200" i="6" s="1"/>
  <c r="U220" i="6"/>
  <c r="AF260" i="6"/>
  <c r="Y305" i="6"/>
  <c r="X305" i="6" s="1"/>
  <c r="Y388" i="6"/>
  <c r="X388" i="6" s="1"/>
  <c r="AF388" i="6"/>
  <c r="Y415" i="6"/>
  <c r="X415" i="6" s="1"/>
  <c r="AF428" i="6"/>
  <c r="Y428" i="6"/>
  <c r="X428" i="6" s="1"/>
  <c r="X492" i="6"/>
  <c r="X491" i="6" s="1"/>
  <c r="V491" i="6" s="1"/>
  <c r="AF478" i="6"/>
  <c r="Y478" i="6"/>
  <c r="X478" i="6" s="1"/>
  <c r="AF444" i="6"/>
  <c r="Y58" i="6"/>
  <c r="X58" i="6" s="1"/>
  <c r="Y62" i="6"/>
  <c r="X62" i="6" s="1"/>
  <c r="AC62" i="6"/>
  <c r="Y71" i="6"/>
  <c r="X71" i="6" s="1"/>
  <c r="Y87" i="6"/>
  <c r="X87" i="6" s="1"/>
  <c r="AF203" i="6"/>
  <c r="Y203" i="6"/>
  <c r="AF210" i="6"/>
  <c r="AF240" i="6"/>
  <c r="AF264" i="6"/>
  <c r="Y281" i="6"/>
  <c r="X281" i="6" s="1"/>
  <c r="AF285" i="6"/>
  <c r="AF436" i="6"/>
  <c r="Y12" i="6"/>
  <c r="X12" i="6" s="1"/>
  <c r="AF249" i="6"/>
  <c r="Y249" i="6"/>
  <c r="X249" i="6" s="1"/>
  <c r="Y257" i="6"/>
  <c r="X257" i="6" s="1"/>
  <c r="AF344" i="6"/>
  <c r="Y448" i="6"/>
  <c r="X448" i="6" s="1"/>
  <c r="AF448" i="6"/>
  <c r="Y68" i="6"/>
  <c r="X68" i="6" s="1"/>
  <c r="AC68" i="6"/>
  <c r="AC120" i="6"/>
  <c r="Y120" i="6"/>
  <c r="X120" i="6" s="1"/>
  <c r="Y214" i="6"/>
  <c r="X214" i="6" s="1"/>
  <c r="Y15" i="6"/>
  <c r="X15" i="6" s="1"/>
  <c r="Y146" i="6"/>
  <c r="X146" i="6" s="1"/>
  <c r="Y253" i="6"/>
  <c r="X253" i="6" s="1"/>
  <c r="AF253" i="6"/>
  <c r="Y352" i="6"/>
  <c r="X352" i="6" s="1"/>
  <c r="Y496" i="6"/>
  <c r="AC49" i="6"/>
  <c r="AF457" i="6"/>
  <c r="AF35" i="6"/>
  <c r="AC42" i="6"/>
  <c r="AC100" i="6"/>
  <c r="Y107" i="6"/>
  <c r="X107" i="6" s="1"/>
  <c r="Y114" i="6"/>
  <c r="X114" i="6" s="1"/>
  <c r="Y199" i="6"/>
  <c r="X199" i="6" s="1"/>
  <c r="U202" i="6"/>
  <c r="AF222" i="6"/>
  <c r="Y222" i="6"/>
  <c r="X222" i="6" s="1"/>
  <c r="AF225" i="6"/>
  <c r="Y269" i="6"/>
  <c r="X269" i="6" s="1"/>
  <c r="AF348" i="6"/>
  <c r="AF376" i="6"/>
  <c r="Y420" i="6"/>
  <c r="X420" i="6" s="1"/>
  <c r="AF420" i="6"/>
  <c r="Y488" i="6"/>
  <c r="X488" i="6" s="1"/>
  <c r="AF474" i="6"/>
  <c r="Y474" i="6"/>
  <c r="X474" i="6" s="1"/>
  <c r="AF39" i="6"/>
  <c r="Y52" i="6"/>
  <c r="X52" i="6" s="1"/>
  <c r="AC55" i="6"/>
  <c r="Y124" i="6"/>
  <c r="X124" i="6" s="1"/>
  <c r="AC124" i="6"/>
  <c r="Y130" i="6"/>
  <c r="X130" i="6" s="1"/>
  <c r="AC143" i="6"/>
  <c r="AF215" i="6"/>
  <c r="Y215" i="6"/>
  <c r="X215" i="6" s="1"/>
  <c r="AF245" i="6"/>
  <c r="AF286" i="6"/>
  <c r="Y286" i="6"/>
  <c r="X286" i="6" s="1"/>
  <c r="U327" i="6"/>
  <c r="Y433" i="6"/>
  <c r="X433" i="6" s="1"/>
  <c r="AF433" i="6"/>
  <c r="AF479" i="6"/>
  <c r="Y479" i="6"/>
  <c r="X479" i="6" s="1"/>
  <c r="Y75" i="6"/>
  <c r="X75" i="6" s="1"/>
  <c r="AC78" i="6"/>
  <c r="Y97" i="6"/>
  <c r="X97" i="6" s="1"/>
  <c r="Y127" i="6"/>
  <c r="X127" i="6" s="1"/>
  <c r="Y150" i="6"/>
  <c r="X150" i="6" s="1"/>
  <c r="AC150" i="6"/>
  <c r="Y163" i="6"/>
  <c r="X163" i="6" s="1"/>
  <c r="AC163" i="6"/>
  <c r="AC170" i="6"/>
  <c r="AC190" i="6"/>
  <c r="AF273" i="6"/>
  <c r="AF320" i="6"/>
  <c r="AF353" i="6"/>
  <c r="Y416" i="6"/>
  <c r="X416" i="6" s="1"/>
  <c r="Y462" i="6"/>
  <c r="X462" i="6" s="1"/>
  <c r="AF466" i="6"/>
  <c r="Y466" i="6"/>
  <c r="X466" i="6" s="1"/>
  <c r="AF46" i="6"/>
  <c r="Y49" i="6"/>
  <c r="X49" i="6" s="1"/>
  <c r="Y72" i="6"/>
  <c r="X72" i="6" s="1"/>
  <c r="Y104" i="6"/>
  <c r="X104" i="6" s="1"/>
  <c r="Y108" i="6"/>
  <c r="X108" i="6" s="1"/>
  <c r="AC134" i="6"/>
  <c r="Y134" i="6"/>
  <c r="Y245" i="6"/>
  <c r="X245" i="6" s="1"/>
  <c r="Y349" i="6"/>
  <c r="X349" i="6" s="1"/>
  <c r="AF349" i="6"/>
  <c r="AF381" i="6"/>
  <c r="Y429" i="6"/>
  <c r="X429" i="6" s="1"/>
  <c r="Y489" i="6"/>
  <c r="X489" i="6" s="1"/>
  <c r="AF489" i="6"/>
  <c r="Y51" i="6"/>
  <c r="X51" i="6" s="1"/>
  <c r="AF200" i="6"/>
  <c r="AC51" i="6"/>
  <c r="Y63" i="6"/>
  <c r="X63" i="6" s="1"/>
  <c r="AF153" i="6"/>
  <c r="AF480" i="6"/>
  <c r="AC81" i="6"/>
  <c r="U38" i="6" s="1"/>
  <c r="Y84" i="6"/>
  <c r="X84" i="6" s="1"/>
  <c r="AC84" i="6"/>
  <c r="AF306" i="6"/>
  <c r="Y306" i="6"/>
  <c r="X306" i="6" s="1"/>
  <c r="Y81" i="6"/>
  <c r="X81" i="6" s="1"/>
  <c r="AC117" i="6"/>
  <c r="Y123" i="6"/>
  <c r="X123" i="6" s="1"/>
  <c r="Y132" i="6"/>
  <c r="X132" i="6" s="1"/>
  <c r="Y164" i="6"/>
  <c r="X164" i="6" s="1"/>
  <c r="Y192" i="6"/>
  <c r="X192" i="6" s="1"/>
  <c r="AF184" i="6"/>
  <c r="Y473" i="6"/>
  <c r="X473" i="6" s="1"/>
  <c r="AG49" i="4"/>
  <c r="AG64" i="4"/>
  <c r="AG63" i="4"/>
  <c r="AG62" i="4"/>
  <c r="AG381" i="4"/>
  <c r="AG464" i="4"/>
  <c r="AG493" i="4"/>
  <c r="AG492" i="4"/>
  <c r="AG490" i="4"/>
  <c r="AG489" i="4"/>
  <c r="AG486" i="4"/>
  <c r="AG480" i="4"/>
  <c r="AG478" i="4"/>
  <c r="AG477" i="4"/>
  <c r="AG466" i="4"/>
  <c r="AG465" i="4"/>
  <c r="AG459" i="4"/>
  <c r="AG449" i="4"/>
  <c r="AG447" i="4"/>
  <c r="AG387" i="4"/>
  <c r="AG383" i="4"/>
  <c r="AG374" i="4"/>
  <c r="AG238" i="4"/>
  <c r="AG223" i="4"/>
  <c r="AG215" i="4"/>
  <c r="AG192" i="4"/>
  <c r="AG193" i="4"/>
  <c r="AG181" i="4"/>
  <c r="V181" i="4" s="1"/>
  <c r="AG179" i="4"/>
  <c r="AG178" i="4"/>
  <c r="X496" i="4"/>
  <c r="Y496" i="4"/>
  <c r="AG496" i="4"/>
  <c r="AG16" i="4"/>
  <c r="AG160" i="4"/>
  <c r="AG143" i="4"/>
  <c r="AG152" i="4"/>
  <c r="AG149" i="4"/>
  <c r="AG148" i="4"/>
  <c r="W7" i="11" l="1"/>
  <c r="AJ9" i="11"/>
  <c r="AI6" i="11" s="1"/>
  <c r="AJ9" i="10"/>
  <c r="AI6" i="10" s="1"/>
  <c r="W7" i="10"/>
  <c r="W7" i="9"/>
  <c r="AJ9" i="9"/>
  <c r="AI6" i="9" s="1"/>
  <c r="Y8" i="7"/>
  <c r="Z8" i="7"/>
  <c r="Y491" i="6"/>
  <c r="W491" i="6" s="1"/>
  <c r="AF491" i="6" s="1"/>
  <c r="U177" i="6"/>
  <c r="X451" i="6"/>
  <c r="X450" i="6" s="1"/>
  <c r="V450" i="6" s="1"/>
  <c r="Y450" i="6"/>
  <c r="W450" i="6" s="1"/>
  <c r="AF450" i="6" s="1"/>
  <c r="Y177" i="6"/>
  <c r="W177" i="6" s="1"/>
  <c r="AF177" i="6" s="1"/>
  <c r="X178" i="6"/>
  <c r="X177" i="6" s="1"/>
  <c r="V177" i="6" s="1"/>
  <c r="X378" i="6"/>
  <c r="X377" i="6" s="1"/>
  <c r="V377" i="6" s="1"/>
  <c r="Y377" i="6"/>
  <c r="W377" i="6" s="1"/>
  <c r="AF377" i="6" s="1"/>
  <c r="Y471" i="6"/>
  <c r="W471" i="6" s="1"/>
  <c r="AF471" i="6" s="1"/>
  <c r="X472" i="6"/>
  <c r="X471" i="6" s="1"/>
  <c r="V471" i="6" s="1"/>
  <c r="Y237" i="6"/>
  <c r="W237" i="6" s="1"/>
  <c r="AF237" i="6" s="1"/>
  <c r="X10" i="6"/>
  <c r="X9" i="6" s="1"/>
  <c r="Y9" i="6"/>
  <c r="Y202" i="6"/>
  <c r="W202" i="6" s="1"/>
  <c r="AF202" i="6" s="1"/>
  <c r="X203" i="6"/>
  <c r="X202" i="6" s="1"/>
  <c r="V202" i="6" s="1"/>
  <c r="Y133" i="6"/>
  <c r="W133" i="6" s="1"/>
  <c r="AF133" i="6" s="1"/>
  <c r="X134" i="6"/>
  <c r="X133" i="6" s="1"/>
  <c r="V133" i="6" s="1"/>
  <c r="Y38" i="6"/>
  <c r="W38" i="6" s="1"/>
  <c r="AF38" i="6" s="1"/>
  <c r="X38" i="6"/>
  <c r="V38" i="6" s="1"/>
  <c r="X496" i="6"/>
  <c r="X495" i="6" s="1"/>
  <c r="V495" i="6" s="1"/>
  <c r="Y495" i="6"/>
  <c r="W495" i="6" s="1"/>
  <c r="AF495" i="6" s="1"/>
  <c r="U133" i="6"/>
  <c r="U8" i="6" s="1"/>
  <c r="U7" i="6" s="1"/>
  <c r="AF370" i="6"/>
  <c r="Y370" i="6"/>
  <c r="Y206" i="6"/>
  <c r="X206" i="6" s="1"/>
  <c r="AF206" i="6"/>
  <c r="X221" i="6"/>
  <c r="X220" i="6" s="1"/>
  <c r="V220" i="6" s="1"/>
  <c r="Y220" i="6"/>
  <c r="W220" i="6" s="1"/>
  <c r="AF220" i="6" s="1"/>
  <c r="AF371" i="6"/>
  <c r="Y371" i="6"/>
  <c r="X371" i="6" s="1"/>
  <c r="Y446" i="6"/>
  <c r="W446" i="6" s="1"/>
  <c r="AF446" i="6" s="1"/>
  <c r="X447" i="6"/>
  <c r="X446" i="6" s="1"/>
  <c r="V446" i="6" s="1"/>
  <c r="Y327" i="6"/>
  <c r="W327" i="6" s="1"/>
  <c r="AF327" i="6" s="1"/>
  <c r="X328" i="6"/>
  <c r="X327" i="6" s="1"/>
  <c r="V327" i="6" s="1"/>
  <c r="Y204" i="6"/>
  <c r="X204" i="6" s="1"/>
  <c r="AF204" i="6"/>
  <c r="X407" i="6"/>
  <c r="X406" i="6" s="1"/>
  <c r="V406" i="6" s="1"/>
  <c r="Y406" i="6"/>
  <c r="W406" i="6" s="1"/>
  <c r="AF406" i="6" s="1"/>
  <c r="AG140" i="4"/>
  <c r="AG137" i="4"/>
  <c r="Z500" i="7" l="1"/>
  <c r="X8" i="7"/>
  <c r="Z7" i="7"/>
  <c r="W8" i="7"/>
  <c r="V9" i="6"/>
  <c r="Y369" i="6"/>
  <c r="W369" i="6" s="1"/>
  <c r="AF369" i="6" s="1"/>
  <c r="X370" i="6"/>
  <c r="X369" i="6" s="1"/>
  <c r="V369" i="6" s="1"/>
  <c r="W9" i="6"/>
  <c r="AG32" i="4"/>
  <c r="V11" i="4"/>
  <c r="Y505" i="4"/>
  <c r="X505" i="4"/>
  <c r="V505" i="4"/>
  <c r="Y504" i="4"/>
  <c r="X504" i="4"/>
  <c r="V504" i="4"/>
  <c r="Y503" i="4"/>
  <c r="X503" i="4" s="1"/>
  <c r="V503" i="4"/>
  <c r="AH502" i="4"/>
  <c r="AF502" i="4"/>
  <c r="Y502" i="4"/>
  <c r="AH501" i="4"/>
  <c r="AF501" i="4" s="1"/>
  <c r="AH500" i="4"/>
  <c r="AF500" i="4" s="1"/>
  <c r="AH499" i="4"/>
  <c r="AF499" i="4" s="1"/>
  <c r="AH498" i="4"/>
  <c r="AF498" i="4" s="1"/>
  <c r="AB498" i="4"/>
  <c r="AC498" i="4" s="1"/>
  <c r="U497" i="4" s="1"/>
  <c r="W498" i="4"/>
  <c r="Y498" i="4" s="1"/>
  <c r="Y497" i="4" s="1"/>
  <c r="W497" i="4" s="1"/>
  <c r="AF497" i="4" s="1"/>
  <c r="V498" i="4"/>
  <c r="AH497" i="4"/>
  <c r="AB497" i="4"/>
  <c r="X497" i="4"/>
  <c r="V497" i="4" s="1"/>
  <c r="AH496" i="4"/>
  <c r="AC496" i="4"/>
  <c r="U495" i="4" s="1"/>
  <c r="AB496" i="4"/>
  <c r="V496" i="4"/>
  <c r="W496" i="4" s="1"/>
  <c r="AH495" i="4"/>
  <c r="AB495" i="4"/>
  <c r="X495" i="4"/>
  <c r="V495" i="4" s="1"/>
  <c r="AH494" i="4"/>
  <c r="AB494" i="4"/>
  <c r="AH493" i="4"/>
  <c r="AC493" i="4"/>
  <c r="AB493" i="4"/>
  <c r="V493" i="4"/>
  <c r="W493" i="4" s="1"/>
  <c r="AF493" i="4" s="1"/>
  <c r="AH492" i="4"/>
  <c r="V492" i="4"/>
  <c r="W492" i="4" s="1"/>
  <c r="AC492" i="4"/>
  <c r="AB492" i="4"/>
  <c r="AH491" i="4"/>
  <c r="AB491" i="4"/>
  <c r="U491" i="4"/>
  <c r="AH490" i="4"/>
  <c r="AB490" i="4"/>
  <c r="AC490" i="4" s="1"/>
  <c r="V490" i="4"/>
  <c r="W490" i="4" s="1"/>
  <c r="AH489" i="4"/>
  <c r="V489" i="4"/>
  <c r="W489" i="4" s="1"/>
  <c r="AB489" i="4"/>
  <c r="AC489" i="4" s="1"/>
  <c r="AH488" i="4"/>
  <c r="AB488" i="4"/>
  <c r="AC488" i="4" s="1"/>
  <c r="V488" i="4"/>
  <c r="W488" i="4" s="1"/>
  <c r="AH487" i="4"/>
  <c r="AC487" i="4"/>
  <c r="AB487" i="4"/>
  <c r="V487" i="4"/>
  <c r="W487" i="4" s="1"/>
  <c r="AF487" i="4" s="1"/>
  <c r="AH486" i="4"/>
  <c r="AB486" i="4"/>
  <c r="AC486" i="4" s="1"/>
  <c r="V486" i="4"/>
  <c r="W486" i="4" s="1"/>
  <c r="Y486" i="4" s="1"/>
  <c r="X486" i="4" s="1"/>
  <c r="AH485" i="4"/>
  <c r="AC485" i="4"/>
  <c r="AB485" i="4"/>
  <c r="V485" i="4"/>
  <c r="W485" i="4" s="1"/>
  <c r="AH484" i="4"/>
  <c r="AB484" i="4"/>
  <c r="AC484" i="4" s="1"/>
  <c r="V484" i="4"/>
  <c r="W484" i="4" s="1"/>
  <c r="AH483" i="4"/>
  <c r="AB483" i="4"/>
  <c r="AC483" i="4" s="1"/>
  <c r="V483" i="4"/>
  <c r="W483" i="4" s="1"/>
  <c r="AH482" i="4"/>
  <c r="AB482" i="4"/>
  <c r="AC482" i="4" s="1"/>
  <c r="V482" i="4"/>
  <c r="W482" i="4" s="1"/>
  <c r="AH481" i="4"/>
  <c r="AB481" i="4"/>
  <c r="AC481" i="4" s="1"/>
  <c r="V481" i="4"/>
  <c r="W481" i="4" s="1"/>
  <c r="AH480" i="4"/>
  <c r="AC480" i="4"/>
  <c r="AB480" i="4"/>
  <c r="V480" i="4"/>
  <c r="W480" i="4" s="1"/>
  <c r="AH479" i="4"/>
  <c r="AB479" i="4"/>
  <c r="AC479" i="4" s="1"/>
  <c r="V479" i="4"/>
  <c r="W479" i="4" s="1"/>
  <c r="AH478" i="4"/>
  <c r="AB478" i="4"/>
  <c r="AC478" i="4" s="1"/>
  <c r="V478" i="4"/>
  <c r="W478" i="4" s="1"/>
  <c r="AF478" i="4" s="1"/>
  <c r="AH477" i="4"/>
  <c r="AC477" i="4"/>
  <c r="AB477" i="4"/>
  <c r="V477" i="4"/>
  <c r="W477" i="4" s="1"/>
  <c r="Y477" i="4" s="1"/>
  <c r="X477" i="4" s="1"/>
  <c r="AH476" i="4"/>
  <c r="AB476" i="4"/>
  <c r="AC476" i="4" s="1"/>
  <c r="V476" i="4"/>
  <c r="W476" i="4" s="1"/>
  <c r="AH475" i="4"/>
  <c r="AB475" i="4"/>
  <c r="AC475" i="4" s="1"/>
  <c r="V475" i="4"/>
  <c r="W475" i="4" s="1"/>
  <c r="Y475" i="4" s="1"/>
  <c r="X475" i="4" s="1"/>
  <c r="AH474" i="4"/>
  <c r="AB474" i="4"/>
  <c r="AC474" i="4" s="1"/>
  <c r="V474" i="4"/>
  <c r="W474" i="4" s="1"/>
  <c r="Y474" i="4" s="1"/>
  <c r="X474" i="4" s="1"/>
  <c r="AH473" i="4"/>
  <c r="AC473" i="4"/>
  <c r="AB473" i="4"/>
  <c r="V473" i="4"/>
  <c r="W473" i="4" s="1"/>
  <c r="AH472" i="4"/>
  <c r="AB472" i="4"/>
  <c r="AC472" i="4" s="1"/>
  <c r="U471" i="4" s="1"/>
  <c r="V472" i="4"/>
  <c r="W472" i="4" s="1"/>
  <c r="Y472" i="4" s="1"/>
  <c r="AH471" i="4"/>
  <c r="AB471" i="4"/>
  <c r="AH470" i="4"/>
  <c r="AB470" i="4"/>
  <c r="AC470" i="4" s="1"/>
  <c r="V470" i="4"/>
  <c r="W470" i="4" s="1"/>
  <c r="Y470" i="4" s="1"/>
  <c r="X470" i="4" s="1"/>
  <c r="AH469" i="4"/>
  <c r="AB469" i="4"/>
  <c r="AC469" i="4" s="1"/>
  <c r="V469" i="4"/>
  <c r="W469" i="4" s="1"/>
  <c r="AH468" i="4"/>
  <c r="AC468" i="4"/>
  <c r="AB468" i="4"/>
  <c r="V468" i="4"/>
  <c r="W468" i="4" s="1"/>
  <c r="AH467" i="4"/>
  <c r="AB467" i="4"/>
  <c r="AC467" i="4" s="1"/>
  <c r="V467" i="4"/>
  <c r="W467" i="4" s="1"/>
  <c r="AH466" i="4"/>
  <c r="V466" i="4"/>
  <c r="W466" i="4" s="1"/>
  <c r="Y466" i="4" s="1"/>
  <c r="X466" i="4" s="1"/>
  <c r="AC466" i="4"/>
  <c r="AB466" i="4"/>
  <c r="AH465" i="4"/>
  <c r="AC465" i="4"/>
  <c r="AB465" i="4"/>
  <c r="V465" i="4"/>
  <c r="W465" i="4" s="1"/>
  <c r="AH464" i="4"/>
  <c r="AC464" i="4"/>
  <c r="AB464" i="4"/>
  <c r="V464" i="4"/>
  <c r="W464" i="4" s="1"/>
  <c r="AH463" i="4"/>
  <c r="AC463" i="4"/>
  <c r="AB463" i="4"/>
  <c r="V463" i="4"/>
  <c r="W463" i="4" s="1"/>
  <c r="Y463" i="4" s="1"/>
  <c r="X463" i="4" s="1"/>
  <c r="AH462" i="4"/>
  <c r="AB462" i="4"/>
  <c r="AC462" i="4" s="1"/>
  <c r="V462" i="4"/>
  <c r="W462" i="4" s="1"/>
  <c r="Y462" i="4" s="1"/>
  <c r="X462" i="4" s="1"/>
  <c r="AH461" i="4"/>
  <c r="AC461" i="4"/>
  <c r="AB461" i="4"/>
  <c r="V461" i="4"/>
  <c r="W461" i="4" s="1"/>
  <c r="AH460" i="4"/>
  <c r="AB460" i="4"/>
  <c r="AC460" i="4" s="1"/>
  <c r="V460" i="4"/>
  <c r="W460" i="4" s="1"/>
  <c r="AH459" i="4"/>
  <c r="AB459" i="4"/>
  <c r="AC459" i="4" s="1"/>
  <c r="V459" i="4"/>
  <c r="W459" i="4" s="1"/>
  <c r="AH458" i="4"/>
  <c r="AF458" i="4"/>
  <c r="AC458" i="4"/>
  <c r="AB458" i="4"/>
  <c r="Y458" i="4"/>
  <c r="X458" i="4" s="1"/>
  <c r="V458" i="4"/>
  <c r="AH457" i="4"/>
  <c r="AC457" i="4"/>
  <c r="AB457" i="4"/>
  <c r="V457" i="4"/>
  <c r="W457" i="4" s="1"/>
  <c r="Y457" i="4" s="1"/>
  <c r="X457" i="4" s="1"/>
  <c r="AH456" i="4"/>
  <c r="AB456" i="4"/>
  <c r="AC456" i="4" s="1"/>
  <c r="V456" i="4"/>
  <c r="W456" i="4" s="1"/>
  <c r="AH455" i="4"/>
  <c r="AB455" i="4"/>
  <c r="AC455" i="4" s="1"/>
  <c r="V455" i="4"/>
  <c r="W455" i="4" s="1"/>
  <c r="AH454" i="4"/>
  <c r="AB454" i="4"/>
  <c r="AC454" i="4" s="1"/>
  <c r="V454" i="4"/>
  <c r="W454" i="4" s="1"/>
  <c r="AH453" i="4"/>
  <c r="AB453" i="4"/>
  <c r="AC453" i="4" s="1"/>
  <c r="V453" i="4"/>
  <c r="W453" i="4" s="1"/>
  <c r="Y453" i="4" s="1"/>
  <c r="X453" i="4" s="1"/>
  <c r="AH452" i="4"/>
  <c r="AF452" i="4" s="1"/>
  <c r="AB452" i="4"/>
  <c r="AC452" i="4" s="1"/>
  <c r="Y452" i="4"/>
  <c r="X452" i="4"/>
  <c r="V452" i="4"/>
  <c r="AH451" i="4"/>
  <c r="AB451" i="4"/>
  <c r="AC451" i="4" s="1"/>
  <c r="V451" i="4"/>
  <c r="W451" i="4" s="1"/>
  <c r="AF451" i="4" s="1"/>
  <c r="AH450" i="4"/>
  <c r="AB450" i="4"/>
  <c r="AH449" i="4"/>
  <c r="AB449" i="4"/>
  <c r="AC449" i="4" s="1"/>
  <c r="V449" i="4"/>
  <c r="W449" i="4" s="1"/>
  <c r="AH448" i="4"/>
  <c r="AG448" i="4"/>
  <c r="AC448" i="4"/>
  <c r="AB448" i="4"/>
  <c r="V448" i="4"/>
  <c r="W448" i="4" s="1"/>
  <c r="AH447" i="4"/>
  <c r="V447" i="4"/>
  <c r="W447" i="4" s="1"/>
  <c r="AB447" i="4"/>
  <c r="AC447" i="4" s="1"/>
  <c r="AH446" i="4"/>
  <c r="AB446" i="4"/>
  <c r="U446" i="4"/>
  <c r="AH445" i="4"/>
  <c r="AC445" i="4"/>
  <c r="AB445" i="4"/>
  <c r="V445" i="4"/>
  <c r="W445" i="4" s="1"/>
  <c r="AH444" i="4"/>
  <c r="AC444" i="4"/>
  <c r="AB444" i="4"/>
  <c r="V444" i="4"/>
  <c r="W444" i="4" s="1"/>
  <c r="Y444" i="4" s="1"/>
  <c r="X444" i="4" s="1"/>
  <c r="AH443" i="4"/>
  <c r="AB443" i="4"/>
  <c r="AC443" i="4" s="1"/>
  <c r="V443" i="4"/>
  <c r="W443" i="4" s="1"/>
  <c r="Y443" i="4" s="1"/>
  <c r="X443" i="4" s="1"/>
  <c r="AH442" i="4"/>
  <c r="AB442" i="4"/>
  <c r="AC442" i="4" s="1"/>
  <c r="V442" i="4"/>
  <c r="W442" i="4" s="1"/>
  <c r="AH441" i="4"/>
  <c r="AC441" i="4"/>
  <c r="AB441" i="4"/>
  <c r="V441" i="4"/>
  <c r="W441" i="4" s="1"/>
  <c r="Y441" i="4" s="1"/>
  <c r="X441" i="4" s="1"/>
  <c r="AH440" i="4"/>
  <c r="AB440" i="4"/>
  <c r="AC440" i="4" s="1"/>
  <c r="V440" i="4"/>
  <c r="W440" i="4" s="1"/>
  <c r="AH439" i="4"/>
  <c r="AC439" i="4"/>
  <c r="AB439" i="4"/>
  <c r="V439" i="4"/>
  <c r="W439" i="4" s="1"/>
  <c r="AH438" i="4"/>
  <c r="AC438" i="4"/>
  <c r="AB438" i="4"/>
  <c r="V438" i="4"/>
  <c r="W438" i="4" s="1"/>
  <c r="Y438" i="4" s="1"/>
  <c r="X438" i="4" s="1"/>
  <c r="AH437" i="4"/>
  <c r="AB437" i="4"/>
  <c r="AC437" i="4" s="1"/>
  <c r="V437" i="4"/>
  <c r="W437" i="4" s="1"/>
  <c r="AH436" i="4"/>
  <c r="AC436" i="4"/>
  <c r="AB436" i="4"/>
  <c r="V436" i="4"/>
  <c r="W436" i="4" s="1"/>
  <c r="Y436" i="4" s="1"/>
  <c r="X436" i="4" s="1"/>
  <c r="AH435" i="4"/>
  <c r="AB435" i="4"/>
  <c r="AC435" i="4" s="1"/>
  <c r="V435" i="4"/>
  <c r="W435" i="4" s="1"/>
  <c r="Y435" i="4" s="1"/>
  <c r="X435" i="4" s="1"/>
  <c r="AH434" i="4"/>
  <c r="AB434" i="4"/>
  <c r="AC434" i="4" s="1"/>
  <c r="V434" i="4"/>
  <c r="W434" i="4" s="1"/>
  <c r="AH433" i="4"/>
  <c r="AB433" i="4"/>
  <c r="AC433" i="4" s="1"/>
  <c r="V433" i="4"/>
  <c r="W433" i="4" s="1"/>
  <c r="AF433" i="4" s="1"/>
  <c r="AH432" i="4"/>
  <c r="AB432" i="4"/>
  <c r="AC432" i="4" s="1"/>
  <c r="V432" i="4"/>
  <c r="W432" i="4" s="1"/>
  <c r="AH431" i="4"/>
  <c r="AB431" i="4"/>
  <c r="AC431" i="4" s="1"/>
  <c r="V431" i="4"/>
  <c r="W431" i="4" s="1"/>
  <c r="AH430" i="4"/>
  <c r="AB430" i="4"/>
  <c r="AC430" i="4" s="1"/>
  <c r="V430" i="4"/>
  <c r="W430" i="4" s="1"/>
  <c r="Y430" i="4" s="1"/>
  <c r="X430" i="4" s="1"/>
  <c r="AH429" i="4"/>
  <c r="AB429" i="4"/>
  <c r="AC429" i="4" s="1"/>
  <c r="V429" i="4"/>
  <c r="W429" i="4" s="1"/>
  <c r="Y429" i="4" s="1"/>
  <c r="X429" i="4" s="1"/>
  <c r="AH428" i="4"/>
  <c r="AB428" i="4"/>
  <c r="AC428" i="4" s="1"/>
  <c r="V428" i="4"/>
  <c r="W428" i="4" s="1"/>
  <c r="AF428" i="4" s="1"/>
  <c r="AH427" i="4"/>
  <c r="AB427" i="4"/>
  <c r="AC427" i="4" s="1"/>
  <c r="V427" i="4"/>
  <c r="W427" i="4" s="1"/>
  <c r="AH426" i="4"/>
  <c r="AC426" i="4"/>
  <c r="AB426" i="4"/>
  <c r="V426" i="4"/>
  <c r="W426" i="4" s="1"/>
  <c r="AH425" i="4"/>
  <c r="AB425" i="4"/>
  <c r="AC425" i="4" s="1"/>
  <c r="V425" i="4"/>
  <c r="W425" i="4" s="1"/>
  <c r="AH424" i="4"/>
  <c r="AB424" i="4"/>
  <c r="AC424" i="4" s="1"/>
  <c r="V424" i="4"/>
  <c r="W424" i="4" s="1"/>
  <c r="Y424" i="4" s="1"/>
  <c r="X424" i="4" s="1"/>
  <c r="AH423" i="4"/>
  <c r="AB423" i="4"/>
  <c r="AC423" i="4" s="1"/>
  <c r="V423" i="4"/>
  <c r="W423" i="4" s="1"/>
  <c r="Y423" i="4" s="1"/>
  <c r="X423" i="4" s="1"/>
  <c r="AH422" i="4"/>
  <c r="AB422" i="4"/>
  <c r="AC422" i="4" s="1"/>
  <c r="V422" i="4"/>
  <c r="W422" i="4" s="1"/>
  <c r="AH421" i="4"/>
  <c r="AC421" i="4"/>
  <c r="AB421" i="4"/>
  <c r="V421" i="4"/>
  <c r="W421" i="4" s="1"/>
  <c r="AH420" i="4"/>
  <c r="AB420" i="4"/>
  <c r="AC420" i="4" s="1"/>
  <c r="V420" i="4"/>
  <c r="W420" i="4" s="1"/>
  <c r="AF420" i="4" s="1"/>
  <c r="AH419" i="4"/>
  <c r="AG419" i="4"/>
  <c r="AB419" i="4"/>
  <c r="AC419" i="4" s="1"/>
  <c r="V419" i="4"/>
  <c r="W419" i="4" s="1"/>
  <c r="AH418" i="4"/>
  <c r="AB418" i="4"/>
  <c r="AC418" i="4" s="1"/>
  <c r="V418" i="4"/>
  <c r="W418" i="4" s="1"/>
  <c r="AH417" i="4"/>
  <c r="AB417" i="4"/>
  <c r="AC417" i="4" s="1"/>
  <c r="V417" i="4"/>
  <c r="W417" i="4" s="1"/>
  <c r="Y417" i="4" s="1"/>
  <c r="X417" i="4" s="1"/>
  <c r="AH416" i="4"/>
  <c r="AC416" i="4"/>
  <c r="AB416" i="4"/>
  <c r="V416" i="4"/>
  <c r="W416" i="4" s="1"/>
  <c r="AH415" i="4"/>
  <c r="AC415" i="4"/>
  <c r="AB415" i="4"/>
  <c r="V415" i="4"/>
  <c r="W415" i="4" s="1"/>
  <c r="Y415" i="4" s="1"/>
  <c r="X415" i="4" s="1"/>
  <c r="AH414" i="4"/>
  <c r="AC414" i="4"/>
  <c r="AB414" i="4"/>
  <c r="V414" i="4"/>
  <c r="W414" i="4" s="1"/>
  <c r="AH413" i="4"/>
  <c r="AB413" i="4"/>
  <c r="AC413" i="4" s="1"/>
  <c r="V413" i="4"/>
  <c r="W413" i="4" s="1"/>
  <c r="AF413" i="4" s="1"/>
  <c r="AH412" i="4"/>
  <c r="AC412" i="4"/>
  <c r="AB412" i="4"/>
  <c r="V412" i="4"/>
  <c r="W412" i="4" s="1"/>
  <c r="AH411" i="4"/>
  <c r="AC411" i="4"/>
  <c r="AB411" i="4"/>
  <c r="V411" i="4"/>
  <c r="W411" i="4" s="1"/>
  <c r="AF411" i="4" s="1"/>
  <c r="AH410" i="4"/>
  <c r="AC410" i="4"/>
  <c r="AB410" i="4"/>
  <c r="V410" i="4"/>
  <c r="W410" i="4" s="1"/>
  <c r="Y410" i="4" s="1"/>
  <c r="X410" i="4" s="1"/>
  <c r="AH409" i="4"/>
  <c r="AB409" i="4"/>
  <c r="AC409" i="4" s="1"/>
  <c r="V409" i="4"/>
  <c r="W409" i="4" s="1"/>
  <c r="AH408" i="4"/>
  <c r="AB408" i="4"/>
  <c r="AC408" i="4" s="1"/>
  <c r="V408" i="4"/>
  <c r="W408" i="4" s="1"/>
  <c r="AF408" i="4" s="1"/>
  <c r="AH407" i="4"/>
  <c r="AG407" i="4"/>
  <c r="AB407" i="4"/>
  <c r="AC407" i="4" s="1"/>
  <c r="U406" i="4" s="1"/>
  <c r="V407" i="4"/>
  <c r="W407" i="4" s="1"/>
  <c r="AH406" i="4"/>
  <c r="AB406" i="4"/>
  <c r="AH405" i="4"/>
  <c r="AG405" i="4"/>
  <c r="V405" i="4" s="1"/>
  <c r="W405" i="4" s="1"/>
  <c r="Y405" i="4" s="1"/>
  <c r="X405" i="4" s="1"/>
  <c r="AC405" i="4"/>
  <c r="AH404" i="4"/>
  <c r="AG404" i="4"/>
  <c r="AC404" i="4"/>
  <c r="V404" i="4"/>
  <c r="W404" i="4" s="1"/>
  <c r="Y404" i="4" s="1"/>
  <c r="X404" i="4" s="1"/>
  <c r="AH403" i="4"/>
  <c r="AG403" i="4"/>
  <c r="V403" i="4" s="1"/>
  <c r="W403" i="4" s="1"/>
  <c r="Y403" i="4" s="1"/>
  <c r="X403" i="4" s="1"/>
  <c r="AC403" i="4"/>
  <c r="AH402" i="4"/>
  <c r="AG402" i="4"/>
  <c r="V402" i="4" s="1"/>
  <c r="W402" i="4" s="1"/>
  <c r="Y402" i="4" s="1"/>
  <c r="X402" i="4" s="1"/>
  <c r="AC402" i="4"/>
  <c r="AH401" i="4"/>
  <c r="AG401" i="4"/>
  <c r="AC401" i="4"/>
  <c r="V401" i="4"/>
  <c r="W401" i="4" s="1"/>
  <c r="Y401" i="4" s="1"/>
  <c r="X401" i="4" s="1"/>
  <c r="AH400" i="4"/>
  <c r="AG400" i="4"/>
  <c r="V400" i="4" s="1"/>
  <c r="W400" i="4" s="1"/>
  <c r="Y400" i="4" s="1"/>
  <c r="X400" i="4" s="1"/>
  <c r="AC400" i="4"/>
  <c r="AH399" i="4"/>
  <c r="AG399" i="4"/>
  <c r="AC399" i="4"/>
  <c r="V399" i="4"/>
  <c r="W399" i="4" s="1"/>
  <c r="Y399" i="4" s="1"/>
  <c r="X399" i="4" s="1"/>
  <c r="AH398" i="4"/>
  <c r="AG398" i="4"/>
  <c r="AC398" i="4"/>
  <c r="V398" i="4"/>
  <c r="W398" i="4" s="1"/>
  <c r="Y398" i="4" s="1"/>
  <c r="X398" i="4" s="1"/>
  <c r="AH397" i="4"/>
  <c r="AG397" i="4"/>
  <c r="AC397" i="4"/>
  <c r="V397" i="4"/>
  <c r="W397" i="4" s="1"/>
  <c r="Y397" i="4" s="1"/>
  <c r="X397" i="4" s="1"/>
  <c r="AH396" i="4"/>
  <c r="AG396" i="4"/>
  <c r="V396" i="4" s="1"/>
  <c r="W396" i="4" s="1"/>
  <c r="Y396" i="4" s="1"/>
  <c r="X396" i="4" s="1"/>
  <c r="AC396" i="4"/>
  <c r="AH395" i="4"/>
  <c r="AG395" i="4"/>
  <c r="V395" i="4" s="1"/>
  <c r="W395" i="4" s="1"/>
  <c r="Y395" i="4" s="1"/>
  <c r="X395" i="4" s="1"/>
  <c r="AC395" i="4"/>
  <c r="AH394" i="4"/>
  <c r="AG394" i="4"/>
  <c r="V394" i="4" s="1"/>
  <c r="W394" i="4" s="1"/>
  <c r="Y394" i="4" s="1"/>
  <c r="X394" i="4" s="1"/>
  <c r="AC394" i="4"/>
  <c r="AH393" i="4"/>
  <c r="AG393" i="4"/>
  <c r="V393" i="4" s="1"/>
  <c r="W393" i="4" s="1"/>
  <c r="AC393" i="4"/>
  <c r="Y393" i="4"/>
  <c r="X393" i="4" s="1"/>
  <c r="AH392" i="4"/>
  <c r="AG392" i="4"/>
  <c r="AC392" i="4"/>
  <c r="V392" i="4"/>
  <c r="W392" i="4" s="1"/>
  <c r="Y392" i="4" s="1"/>
  <c r="X392" i="4" s="1"/>
  <c r="AH391" i="4"/>
  <c r="AG391" i="4"/>
  <c r="V391" i="4" s="1"/>
  <c r="W391" i="4" s="1"/>
  <c r="Y391" i="4" s="1"/>
  <c r="X391" i="4" s="1"/>
  <c r="AC391" i="4"/>
  <c r="AH390" i="4"/>
  <c r="AG390" i="4"/>
  <c r="V390" i="4" s="1"/>
  <c r="W390" i="4" s="1"/>
  <c r="Y390" i="4" s="1"/>
  <c r="X390" i="4" s="1"/>
  <c r="AC390" i="4"/>
  <c r="AH389" i="4"/>
  <c r="AG389" i="4"/>
  <c r="V389" i="4" s="1"/>
  <c r="W389" i="4" s="1"/>
  <c r="Y389" i="4" s="1"/>
  <c r="X389" i="4" s="1"/>
  <c r="AC389" i="4"/>
  <c r="AH388" i="4"/>
  <c r="AB388" i="4"/>
  <c r="AC388" i="4" s="1"/>
  <c r="V388" i="4"/>
  <c r="W388" i="4" s="1"/>
  <c r="AF388" i="4" s="1"/>
  <c r="AH387" i="4"/>
  <c r="AB387" i="4"/>
  <c r="AC387" i="4" s="1"/>
  <c r="V387" i="4"/>
  <c r="W387" i="4" s="1"/>
  <c r="AH386" i="4"/>
  <c r="AG386" i="4"/>
  <c r="V386" i="4" s="1"/>
  <c r="W386" i="4" s="1"/>
  <c r="AC386" i="4"/>
  <c r="AB386" i="4"/>
  <c r="Y386" i="4"/>
  <c r="X386" i="4" s="1"/>
  <c r="AH385" i="4"/>
  <c r="AB385" i="4"/>
  <c r="AC385" i="4" s="1"/>
  <c r="V385" i="4"/>
  <c r="W385" i="4" s="1"/>
  <c r="AH384" i="4"/>
  <c r="AB384" i="4"/>
  <c r="AC384" i="4" s="1"/>
  <c r="V384" i="4"/>
  <c r="W384" i="4" s="1"/>
  <c r="Y384" i="4" s="1"/>
  <c r="X384" i="4" s="1"/>
  <c r="AH383" i="4"/>
  <c r="V383" i="4"/>
  <c r="W383" i="4" s="1"/>
  <c r="Y383" i="4" s="1"/>
  <c r="X383" i="4" s="1"/>
  <c r="AC383" i="4"/>
  <c r="AB383" i="4"/>
  <c r="AH382" i="4"/>
  <c r="AC382" i="4"/>
  <c r="AB382" i="4"/>
  <c r="V382" i="4"/>
  <c r="W382" i="4" s="1"/>
  <c r="AH381" i="4"/>
  <c r="V381" i="4"/>
  <c r="W381" i="4" s="1"/>
  <c r="Y381" i="4" s="1"/>
  <c r="X381" i="4" s="1"/>
  <c r="AB381" i="4"/>
  <c r="AC381" i="4" s="1"/>
  <c r="AH380" i="4"/>
  <c r="AB380" i="4"/>
  <c r="AC380" i="4" s="1"/>
  <c r="V380" i="4"/>
  <c r="W380" i="4" s="1"/>
  <c r="Y380" i="4" s="1"/>
  <c r="X380" i="4" s="1"/>
  <c r="AH379" i="4"/>
  <c r="AB379" i="4"/>
  <c r="AC379" i="4" s="1"/>
  <c r="V379" i="4"/>
  <c r="W379" i="4" s="1"/>
  <c r="AH378" i="4"/>
  <c r="AC378" i="4"/>
  <c r="AB378" i="4"/>
  <c r="V378" i="4"/>
  <c r="W378" i="4" s="1"/>
  <c r="AH377" i="4"/>
  <c r="AB377" i="4"/>
  <c r="AH376" i="4"/>
  <c r="AG376" i="4"/>
  <c r="AB376" i="4"/>
  <c r="AC376" i="4" s="1"/>
  <c r="V376" i="4"/>
  <c r="W376" i="4" s="1"/>
  <c r="AH375" i="4"/>
  <c r="AC375" i="4"/>
  <c r="AB375" i="4"/>
  <c r="V375" i="4"/>
  <c r="W375" i="4" s="1"/>
  <c r="AH374" i="4"/>
  <c r="V374" i="4"/>
  <c r="W374" i="4" s="1"/>
  <c r="AC374" i="4"/>
  <c r="AB374" i="4"/>
  <c r="AH373" i="4"/>
  <c r="AC373" i="4"/>
  <c r="AB373" i="4"/>
  <c r="Z373" i="4"/>
  <c r="X373" i="4"/>
  <c r="W373" i="4"/>
  <c r="AF373" i="4" s="1"/>
  <c r="V373" i="4"/>
  <c r="AH372" i="4"/>
  <c r="AB372" i="4"/>
  <c r="AC372" i="4" s="1"/>
  <c r="V372" i="4"/>
  <c r="W372" i="4" s="1"/>
  <c r="AH371" i="4"/>
  <c r="AG371" i="4"/>
  <c r="V371" i="4" s="1"/>
  <c r="W371" i="4" s="1"/>
  <c r="Y371" i="4" s="1"/>
  <c r="X371" i="4" s="1"/>
  <c r="AB371" i="4"/>
  <c r="AC371" i="4" s="1"/>
  <c r="AH370" i="4"/>
  <c r="AG370" i="4"/>
  <c r="AB370" i="4"/>
  <c r="AC370" i="4" s="1"/>
  <c r="V370" i="4"/>
  <c r="W370" i="4" s="1"/>
  <c r="AF370" i="4" s="1"/>
  <c r="AH369" i="4"/>
  <c r="AB369" i="4"/>
  <c r="AH368" i="4"/>
  <c r="AC368" i="4"/>
  <c r="AB368" i="4"/>
  <c r="V368" i="4"/>
  <c r="W368" i="4" s="1"/>
  <c r="Y368" i="4" s="1"/>
  <c r="X368" i="4" s="1"/>
  <c r="AH367" i="4"/>
  <c r="AB367" i="4"/>
  <c r="AC367" i="4" s="1"/>
  <c r="V367" i="4"/>
  <c r="W367" i="4" s="1"/>
  <c r="AH366" i="4"/>
  <c r="AB366" i="4"/>
  <c r="AC366" i="4" s="1"/>
  <c r="V366" i="4"/>
  <c r="W366" i="4" s="1"/>
  <c r="AH365" i="4"/>
  <c r="AB365" i="4"/>
  <c r="AC365" i="4" s="1"/>
  <c r="V365" i="4"/>
  <c r="W365" i="4" s="1"/>
  <c r="AF365" i="4" s="1"/>
  <c r="AH364" i="4"/>
  <c r="AC364" i="4"/>
  <c r="AB364" i="4"/>
  <c r="V364" i="4"/>
  <c r="W364" i="4" s="1"/>
  <c r="AH363" i="4"/>
  <c r="AC363" i="4"/>
  <c r="AB363" i="4"/>
  <c r="V363" i="4"/>
  <c r="W363" i="4" s="1"/>
  <c r="AH362" i="4"/>
  <c r="AB362" i="4"/>
  <c r="AC362" i="4" s="1"/>
  <c r="V362" i="4"/>
  <c r="W362" i="4" s="1"/>
  <c r="Y362" i="4" s="1"/>
  <c r="X362" i="4" s="1"/>
  <c r="AH361" i="4"/>
  <c r="AB361" i="4"/>
  <c r="AC361" i="4" s="1"/>
  <c r="V361" i="4"/>
  <c r="W361" i="4" s="1"/>
  <c r="AF361" i="4" s="1"/>
  <c r="AH360" i="4"/>
  <c r="AC360" i="4"/>
  <c r="AB360" i="4"/>
  <c r="V360" i="4"/>
  <c r="W360" i="4" s="1"/>
  <c r="AH359" i="4"/>
  <c r="AC359" i="4"/>
  <c r="AB359" i="4"/>
  <c r="V359" i="4"/>
  <c r="W359" i="4" s="1"/>
  <c r="AF359" i="4" s="1"/>
  <c r="AH358" i="4"/>
  <c r="AB358" i="4"/>
  <c r="AC358" i="4" s="1"/>
  <c r="V358" i="4"/>
  <c r="W358" i="4" s="1"/>
  <c r="AH357" i="4"/>
  <c r="AB357" i="4"/>
  <c r="AC357" i="4" s="1"/>
  <c r="V357" i="4"/>
  <c r="W357" i="4" s="1"/>
  <c r="AF357" i="4" s="1"/>
  <c r="AH356" i="4"/>
  <c r="AB356" i="4"/>
  <c r="AC356" i="4" s="1"/>
  <c r="V356" i="4"/>
  <c r="W356" i="4" s="1"/>
  <c r="AH355" i="4"/>
  <c r="AC355" i="4"/>
  <c r="AB355" i="4"/>
  <c r="V355" i="4"/>
  <c r="W355" i="4" s="1"/>
  <c r="Y355" i="4" s="1"/>
  <c r="X355" i="4" s="1"/>
  <c r="AH354" i="4"/>
  <c r="AB354" i="4"/>
  <c r="AC354" i="4" s="1"/>
  <c r="V354" i="4"/>
  <c r="W354" i="4" s="1"/>
  <c r="AH353" i="4"/>
  <c r="AB353" i="4"/>
  <c r="AC353" i="4" s="1"/>
  <c r="V353" i="4"/>
  <c r="W353" i="4" s="1"/>
  <c r="Y353" i="4" s="1"/>
  <c r="X353" i="4" s="1"/>
  <c r="AH352" i="4"/>
  <c r="AB352" i="4"/>
  <c r="AC352" i="4" s="1"/>
  <c r="V352" i="4"/>
  <c r="W352" i="4" s="1"/>
  <c r="AH351" i="4"/>
  <c r="AC351" i="4"/>
  <c r="AB351" i="4"/>
  <c r="V351" i="4"/>
  <c r="W351" i="4" s="1"/>
  <c r="Y351" i="4" s="1"/>
  <c r="X351" i="4" s="1"/>
  <c r="AH350" i="4"/>
  <c r="AB350" i="4"/>
  <c r="AC350" i="4" s="1"/>
  <c r="V350" i="4"/>
  <c r="W350" i="4" s="1"/>
  <c r="AH349" i="4"/>
  <c r="AB349" i="4"/>
  <c r="AC349" i="4" s="1"/>
  <c r="V349" i="4"/>
  <c r="W349" i="4" s="1"/>
  <c r="AH348" i="4"/>
  <c r="AC348" i="4"/>
  <c r="AB348" i="4"/>
  <c r="V348" i="4"/>
  <c r="W348" i="4" s="1"/>
  <c r="AF348" i="4" s="1"/>
  <c r="AH347" i="4"/>
  <c r="AB347" i="4"/>
  <c r="AC347" i="4" s="1"/>
  <c r="V347" i="4"/>
  <c r="W347" i="4" s="1"/>
  <c r="Y347" i="4" s="1"/>
  <c r="X347" i="4" s="1"/>
  <c r="AH346" i="4"/>
  <c r="AC346" i="4"/>
  <c r="AB346" i="4"/>
  <c r="V346" i="4"/>
  <c r="W346" i="4" s="1"/>
  <c r="AH345" i="4"/>
  <c r="AC345" i="4"/>
  <c r="AB345" i="4"/>
  <c r="V345" i="4"/>
  <c r="W345" i="4" s="1"/>
  <c r="AF345" i="4" s="1"/>
  <c r="AH344" i="4"/>
  <c r="AB344" i="4"/>
  <c r="AC344" i="4" s="1"/>
  <c r="V344" i="4"/>
  <c r="W344" i="4" s="1"/>
  <c r="AF344" i="4" s="1"/>
  <c r="AH343" i="4"/>
  <c r="AC343" i="4"/>
  <c r="AB343" i="4"/>
  <c r="V343" i="4"/>
  <c r="W343" i="4" s="1"/>
  <c r="AH342" i="4"/>
  <c r="AC342" i="4"/>
  <c r="AB342" i="4"/>
  <c r="V342" i="4"/>
  <c r="W342" i="4" s="1"/>
  <c r="AH341" i="4"/>
  <c r="AB341" i="4"/>
  <c r="AC341" i="4" s="1"/>
  <c r="V341" i="4"/>
  <c r="W341" i="4" s="1"/>
  <c r="AH340" i="4"/>
  <c r="AC340" i="4"/>
  <c r="AB340" i="4"/>
  <c r="V340" i="4"/>
  <c r="W340" i="4" s="1"/>
  <c r="AF340" i="4" s="1"/>
  <c r="AH339" i="4"/>
  <c r="AC339" i="4"/>
  <c r="AB339" i="4"/>
  <c r="V339" i="4"/>
  <c r="W339" i="4" s="1"/>
  <c r="AH338" i="4"/>
  <c r="AC338" i="4"/>
  <c r="AB338" i="4"/>
  <c r="V338" i="4"/>
  <c r="W338" i="4" s="1"/>
  <c r="Y338" i="4" s="1"/>
  <c r="X338" i="4" s="1"/>
  <c r="AH337" i="4"/>
  <c r="AB337" i="4"/>
  <c r="AC337" i="4" s="1"/>
  <c r="V337" i="4"/>
  <c r="W337" i="4" s="1"/>
  <c r="AH336" i="4"/>
  <c r="AB336" i="4"/>
  <c r="AC336" i="4" s="1"/>
  <c r="V336" i="4"/>
  <c r="W336" i="4" s="1"/>
  <c r="AH335" i="4"/>
  <c r="AC335" i="4"/>
  <c r="AB335" i="4"/>
  <c r="V335" i="4"/>
  <c r="W335" i="4" s="1"/>
  <c r="Y335" i="4" s="1"/>
  <c r="X335" i="4" s="1"/>
  <c r="AH334" i="4"/>
  <c r="AB334" i="4"/>
  <c r="AC334" i="4" s="1"/>
  <c r="V334" i="4"/>
  <c r="W334" i="4" s="1"/>
  <c r="AH333" i="4"/>
  <c r="AB333" i="4"/>
  <c r="AC333" i="4" s="1"/>
  <c r="V333" i="4"/>
  <c r="W333" i="4" s="1"/>
  <c r="AF333" i="4" s="1"/>
  <c r="AH332" i="4"/>
  <c r="AB332" i="4"/>
  <c r="AC332" i="4" s="1"/>
  <c r="V332" i="4"/>
  <c r="W332" i="4" s="1"/>
  <c r="AF332" i="4" s="1"/>
  <c r="AH331" i="4"/>
  <c r="AB331" i="4"/>
  <c r="AC331" i="4" s="1"/>
  <c r="V331" i="4"/>
  <c r="W331" i="4" s="1"/>
  <c r="AH330" i="4"/>
  <c r="AB330" i="4"/>
  <c r="AC330" i="4" s="1"/>
  <c r="V330" i="4"/>
  <c r="W330" i="4" s="1"/>
  <c r="Y330" i="4" s="1"/>
  <c r="X330" i="4" s="1"/>
  <c r="AH329" i="4"/>
  <c r="AB329" i="4"/>
  <c r="AC329" i="4" s="1"/>
  <c r="V329" i="4"/>
  <c r="W329" i="4" s="1"/>
  <c r="AH328" i="4"/>
  <c r="AC328" i="4"/>
  <c r="AB328" i="4"/>
  <c r="V328" i="4"/>
  <c r="W328" i="4" s="1"/>
  <c r="AH327" i="4"/>
  <c r="AB327" i="4"/>
  <c r="AH326" i="4"/>
  <c r="AB326" i="4"/>
  <c r="AC326" i="4" s="1"/>
  <c r="V326" i="4"/>
  <c r="W326" i="4" s="1"/>
  <c r="AF326" i="4" s="1"/>
  <c r="AH325" i="4"/>
  <c r="AC325" i="4"/>
  <c r="AB325" i="4"/>
  <c r="V325" i="4"/>
  <c r="W325" i="4" s="1"/>
  <c r="AH324" i="4"/>
  <c r="AC324" i="4"/>
  <c r="AB324" i="4"/>
  <c r="V324" i="4"/>
  <c r="W324" i="4" s="1"/>
  <c r="AF324" i="4" s="1"/>
  <c r="AH323" i="4"/>
  <c r="AB323" i="4"/>
  <c r="AC323" i="4" s="1"/>
  <c r="V323" i="4"/>
  <c r="W323" i="4" s="1"/>
  <c r="AF323" i="4" s="1"/>
  <c r="AH322" i="4"/>
  <c r="AB322" i="4"/>
  <c r="AC322" i="4" s="1"/>
  <c r="V322" i="4"/>
  <c r="W322" i="4" s="1"/>
  <c r="AH321" i="4"/>
  <c r="AB321" i="4"/>
  <c r="AC321" i="4" s="1"/>
  <c r="V321" i="4"/>
  <c r="W321" i="4" s="1"/>
  <c r="AH320" i="4"/>
  <c r="AB320" i="4"/>
  <c r="AC320" i="4" s="1"/>
  <c r="V320" i="4"/>
  <c r="W320" i="4" s="1"/>
  <c r="AH319" i="4"/>
  <c r="AB319" i="4"/>
  <c r="AC319" i="4" s="1"/>
  <c r="V319" i="4"/>
  <c r="W319" i="4" s="1"/>
  <c r="AF319" i="4" s="1"/>
  <c r="AH318" i="4"/>
  <c r="AB318" i="4"/>
  <c r="AC318" i="4" s="1"/>
  <c r="V318" i="4"/>
  <c r="W318" i="4" s="1"/>
  <c r="AH317" i="4"/>
  <c r="AB317" i="4"/>
  <c r="AC317" i="4" s="1"/>
  <c r="V317" i="4"/>
  <c r="W317" i="4" s="1"/>
  <c r="AH316" i="4"/>
  <c r="AB316" i="4"/>
  <c r="AC316" i="4" s="1"/>
  <c r="V316" i="4"/>
  <c r="W316" i="4" s="1"/>
  <c r="AH315" i="4"/>
  <c r="AC315" i="4"/>
  <c r="AB315" i="4"/>
  <c r="V315" i="4"/>
  <c r="W315" i="4" s="1"/>
  <c r="Y315" i="4" s="1"/>
  <c r="X315" i="4" s="1"/>
  <c r="AH314" i="4"/>
  <c r="AC314" i="4"/>
  <c r="AB314" i="4"/>
  <c r="V314" i="4"/>
  <c r="W314" i="4" s="1"/>
  <c r="AH313" i="4"/>
  <c r="AC313" i="4"/>
  <c r="AB313" i="4"/>
  <c r="V313" i="4"/>
  <c r="W313" i="4" s="1"/>
  <c r="AH312" i="4"/>
  <c r="AC312" i="4"/>
  <c r="AB312" i="4"/>
  <c r="V312" i="4"/>
  <c r="W312" i="4" s="1"/>
  <c r="Y312" i="4" s="1"/>
  <c r="X312" i="4" s="1"/>
  <c r="AH311" i="4"/>
  <c r="AB311" i="4"/>
  <c r="AC311" i="4" s="1"/>
  <c r="V311" i="4"/>
  <c r="W311" i="4" s="1"/>
  <c r="Y311" i="4" s="1"/>
  <c r="X311" i="4" s="1"/>
  <c r="AH310" i="4"/>
  <c r="AB310" i="4"/>
  <c r="AC310" i="4" s="1"/>
  <c r="V310" i="4"/>
  <c r="W310" i="4" s="1"/>
  <c r="AF310" i="4" s="1"/>
  <c r="AH309" i="4"/>
  <c r="AB309" i="4"/>
  <c r="AC309" i="4" s="1"/>
  <c r="V309" i="4"/>
  <c r="W309" i="4" s="1"/>
  <c r="AH308" i="4"/>
  <c r="AB308" i="4"/>
  <c r="AC308" i="4" s="1"/>
  <c r="V308" i="4"/>
  <c r="W308" i="4" s="1"/>
  <c r="AF308" i="4" s="1"/>
  <c r="AH307" i="4"/>
  <c r="AB307" i="4"/>
  <c r="AC307" i="4" s="1"/>
  <c r="V307" i="4"/>
  <c r="W307" i="4" s="1"/>
  <c r="AH306" i="4"/>
  <c r="AB306" i="4"/>
  <c r="AC306" i="4" s="1"/>
  <c r="V306" i="4"/>
  <c r="W306" i="4" s="1"/>
  <c r="AH305" i="4"/>
  <c r="AB305" i="4"/>
  <c r="AC305" i="4" s="1"/>
  <c r="V305" i="4"/>
  <c r="W305" i="4" s="1"/>
  <c r="AH304" i="4"/>
  <c r="AB304" i="4"/>
  <c r="AC304" i="4" s="1"/>
  <c r="V304" i="4"/>
  <c r="W304" i="4" s="1"/>
  <c r="AH303" i="4"/>
  <c r="AB303" i="4"/>
  <c r="AC303" i="4" s="1"/>
  <c r="V303" i="4"/>
  <c r="W303" i="4" s="1"/>
  <c r="AF303" i="4" s="1"/>
  <c r="AH302" i="4"/>
  <c r="AC302" i="4"/>
  <c r="AB302" i="4"/>
  <c r="V302" i="4"/>
  <c r="W302" i="4" s="1"/>
  <c r="Y302" i="4" s="1"/>
  <c r="X302" i="4" s="1"/>
  <c r="AH301" i="4"/>
  <c r="AC301" i="4"/>
  <c r="AB301" i="4"/>
  <c r="V301" i="4"/>
  <c r="W301" i="4" s="1"/>
  <c r="Y301" i="4" s="1"/>
  <c r="X301" i="4" s="1"/>
  <c r="AH300" i="4"/>
  <c r="AC300" i="4"/>
  <c r="AB300" i="4"/>
  <c r="V300" i="4"/>
  <c r="W300" i="4" s="1"/>
  <c r="Y300" i="4" s="1"/>
  <c r="X300" i="4" s="1"/>
  <c r="AH299" i="4"/>
  <c r="AB299" i="4"/>
  <c r="AC299" i="4" s="1"/>
  <c r="V299" i="4"/>
  <c r="W299" i="4" s="1"/>
  <c r="AF299" i="4" s="1"/>
  <c r="AH298" i="4"/>
  <c r="AB298" i="4"/>
  <c r="AC298" i="4" s="1"/>
  <c r="V298" i="4"/>
  <c r="W298" i="4" s="1"/>
  <c r="AF298" i="4" s="1"/>
  <c r="AH297" i="4"/>
  <c r="AB297" i="4"/>
  <c r="AC297" i="4" s="1"/>
  <c r="V297" i="4"/>
  <c r="W297" i="4" s="1"/>
  <c r="AH296" i="4"/>
  <c r="AB296" i="4"/>
  <c r="AC296" i="4" s="1"/>
  <c r="V296" i="4"/>
  <c r="W296" i="4" s="1"/>
  <c r="AF296" i="4" s="1"/>
  <c r="AH295" i="4"/>
  <c r="AB295" i="4"/>
  <c r="AC295" i="4" s="1"/>
  <c r="V295" i="4"/>
  <c r="W295" i="4" s="1"/>
  <c r="AH294" i="4"/>
  <c r="AC294" i="4"/>
  <c r="AB294" i="4"/>
  <c r="V294" i="4"/>
  <c r="W294" i="4" s="1"/>
  <c r="Y294" i="4" s="1"/>
  <c r="X294" i="4" s="1"/>
  <c r="AH293" i="4"/>
  <c r="AC293" i="4"/>
  <c r="AB293" i="4"/>
  <c r="V293" i="4"/>
  <c r="W293" i="4" s="1"/>
  <c r="AH292" i="4"/>
  <c r="AC292" i="4"/>
  <c r="AB292" i="4"/>
  <c r="V292" i="4"/>
  <c r="W292" i="4" s="1"/>
  <c r="AH291" i="4"/>
  <c r="AB291" i="4"/>
  <c r="AC291" i="4" s="1"/>
  <c r="V291" i="4"/>
  <c r="W291" i="4" s="1"/>
  <c r="AH290" i="4"/>
  <c r="AC290" i="4"/>
  <c r="AB290" i="4"/>
  <c r="V290" i="4"/>
  <c r="W290" i="4" s="1"/>
  <c r="Y290" i="4" s="1"/>
  <c r="X290" i="4" s="1"/>
  <c r="AH289" i="4"/>
  <c r="AB289" i="4"/>
  <c r="AC289" i="4" s="1"/>
  <c r="V289" i="4"/>
  <c r="W289" i="4" s="1"/>
  <c r="Y289" i="4" s="1"/>
  <c r="X289" i="4" s="1"/>
  <c r="AH288" i="4"/>
  <c r="AB288" i="4"/>
  <c r="AC288" i="4" s="1"/>
  <c r="V288" i="4"/>
  <c r="W288" i="4" s="1"/>
  <c r="AH287" i="4"/>
  <c r="AB287" i="4"/>
  <c r="AC287" i="4" s="1"/>
  <c r="V287" i="4"/>
  <c r="W287" i="4" s="1"/>
  <c r="Y287" i="4" s="1"/>
  <c r="X287" i="4" s="1"/>
  <c r="AH286" i="4"/>
  <c r="AC286" i="4"/>
  <c r="AB286" i="4"/>
  <c r="V286" i="4"/>
  <c r="W286" i="4" s="1"/>
  <c r="Y286" i="4" s="1"/>
  <c r="X286" i="4" s="1"/>
  <c r="AH285" i="4"/>
  <c r="AB285" i="4"/>
  <c r="AC285" i="4" s="1"/>
  <c r="V285" i="4"/>
  <c r="W285" i="4" s="1"/>
  <c r="AH284" i="4"/>
  <c r="AB284" i="4"/>
  <c r="AC284" i="4" s="1"/>
  <c r="V284" i="4"/>
  <c r="W284" i="4" s="1"/>
  <c r="Y284" i="4" s="1"/>
  <c r="X284" i="4" s="1"/>
  <c r="AH283" i="4"/>
  <c r="AC283" i="4"/>
  <c r="AB283" i="4"/>
  <c r="V283" i="4"/>
  <c r="W283" i="4" s="1"/>
  <c r="AH282" i="4"/>
  <c r="AB282" i="4"/>
  <c r="AC282" i="4" s="1"/>
  <c r="V282" i="4"/>
  <c r="W282" i="4" s="1"/>
  <c r="AH281" i="4"/>
  <c r="AB281" i="4"/>
  <c r="AC281" i="4" s="1"/>
  <c r="V281" i="4"/>
  <c r="W281" i="4" s="1"/>
  <c r="AF281" i="4" s="1"/>
  <c r="AH280" i="4"/>
  <c r="AC280" i="4"/>
  <c r="AB280" i="4"/>
  <c r="V280" i="4"/>
  <c r="W280" i="4" s="1"/>
  <c r="AH279" i="4"/>
  <c r="AC279" i="4"/>
  <c r="AB279" i="4"/>
  <c r="V279" i="4"/>
  <c r="W279" i="4" s="1"/>
  <c r="Y279" i="4" s="1"/>
  <c r="X279" i="4" s="1"/>
  <c r="AH278" i="4"/>
  <c r="AB278" i="4"/>
  <c r="AC278" i="4" s="1"/>
  <c r="V278" i="4"/>
  <c r="W278" i="4" s="1"/>
  <c r="Y278" i="4" s="1"/>
  <c r="X278" i="4" s="1"/>
  <c r="AH277" i="4"/>
  <c r="AC277" i="4"/>
  <c r="AB277" i="4"/>
  <c r="V277" i="4"/>
  <c r="W277" i="4" s="1"/>
  <c r="AH276" i="4"/>
  <c r="AB276" i="4"/>
  <c r="AC276" i="4" s="1"/>
  <c r="V276" i="4"/>
  <c r="W276" i="4" s="1"/>
  <c r="AF276" i="4" s="1"/>
  <c r="AH275" i="4"/>
  <c r="AC275" i="4"/>
  <c r="AB275" i="4"/>
  <c r="V275" i="4"/>
  <c r="W275" i="4" s="1"/>
  <c r="AF275" i="4" s="1"/>
  <c r="AH274" i="4"/>
  <c r="AC274" i="4"/>
  <c r="AB274" i="4"/>
  <c r="V274" i="4"/>
  <c r="W274" i="4" s="1"/>
  <c r="AH273" i="4"/>
  <c r="AB273" i="4"/>
  <c r="AC273" i="4" s="1"/>
  <c r="V273" i="4"/>
  <c r="W273" i="4" s="1"/>
  <c r="AH272" i="4"/>
  <c r="AB272" i="4"/>
  <c r="AC272" i="4" s="1"/>
  <c r="V272" i="4"/>
  <c r="W272" i="4" s="1"/>
  <c r="AF272" i="4" s="1"/>
  <c r="AH271" i="4"/>
  <c r="AC271" i="4"/>
  <c r="AB271" i="4"/>
  <c r="V271" i="4"/>
  <c r="W271" i="4" s="1"/>
  <c r="AH270" i="4"/>
  <c r="AC270" i="4"/>
  <c r="AB270" i="4"/>
  <c r="V270" i="4"/>
  <c r="W270" i="4" s="1"/>
  <c r="AH269" i="4"/>
  <c r="AB269" i="4"/>
  <c r="AC269" i="4" s="1"/>
  <c r="V269" i="4"/>
  <c r="W269" i="4" s="1"/>
  <c r="AH268" i="4"/>
  <c r="AB268" i="4"/>
  <c r="AC268" i="4" s="1"/>
  <c r="V268" i="4"/>
  <c r="W268" i="4" s="1"/>
  <c r="AH267" i="4"/>
  <c r="AB267" i="4"/>
  <c r="AC267" i="4" s="1"/>
  <c r="V267" i="4"/>
  <c r="W267" i="4" s="1"/>
  <c r="AH266" i="4"/>
  <c r="AC266" i="4"/>
  <c r="AB266" i="4"/>
  <c r="V266" i="4"/>
  <c r="W266" i="4" s="1"/>
  <c r="Y266" i="4" s="1"/>
  <c r="X266" i="4" s="1"/>
  <c r="AH265" i="4"/>
  <c r="AB265" i="4"/>
  <c r="AC265" i="4" s="1"/>
  <c r="V265" i="4"/>
  <c r="W265" i="4" s="1"/>
  <c r="AH264" i="4"/>
  <c r="AB264" i="4"/>
  <c r="AC264" i="4" s="1"/>
  <c r="V264" i="4"/>
  <c r="W264" i="4" s="1"/>
  <c r="AF264" i="4" s="1"/>
  <c r="AH263" i="4"/>
  <c r="AB263" i="4"/>
  <c r="AC263" i="4" s="1"/>
  <c r="V263" i="4"/>
  <c r="W263" i="4" s="1"/>
  <c r="AF263" i="4" s="1"/>
  <c r="AH262" i="4"/>
  <c r="AB262" i="4"/>
  <c r="AC262" i="4" s="1"/>
  <c r="V262" i="4"/>
  <c r="W262" i="4" s="1"/>
  <c r="AH261" i="4"/>
  <c r="AB261" i="4"/>
  <c r="AC261" i="4" s="1"/>
  <c r="V261" i="4"/>
  <c r="W261" i="4" s="1"/>
  <c r="AH260" i="4"/>
  <c r="AB260" i="4"/>
  <c r="AC260" i="4" s="1"/>
  <c r="V260" i="4"/>
  <c r="W260" i="4" s="1"/>
  <c r="AH259" i="4"/>
  <c r="AB259" i="4"/>
  <c r="AC259" i="4" s="1"/>
  <c r="V259" i="4"/>
  <c r="W259" i="4" s="1"/>
  <c r="AH258" i="4"/>
  <c r="AB258" i="4"/>
  <c r="AC258" i="4" s="1"/>
  <c r="V258" i="4"/>
  <c r="W258" i="4" s="1"/>
  <c r="Y258" i="4" s="1"/>
  <c r="X258" i="4" s="1"/>
  <c r="AH257" i="4"/>
  <c r="AC257" i="4"/>
  <c r="AB257" i="4"/>
  <c r="V257" i="4"/>
  <c r="W257" i="4" s="1"/>
  <c r="Y257" i="4" s="1"/>
  <c r="X257" i="4" s="1"/>
  <c r="AH256" i="4"/>
  <c r="AC256" i="4"/>
  <c r="AB256" i="4"/>
  <c r="V256" i="4"/>
  <c r="W256" i="4" s="1"/>
  <c r="AH255" i="4"/>
  <c r="AB255" i="4"/>
  <c r="AC255" i="4" s="1"/>
  <c r="V255" i="4"/>
  <c r="W255" i="4" s="1"/>
  <c r="AH254" i="4"/>
  <c r="AB254" i="4"/>
  <c r="AC254" i="4" s="1"/>
  <c r="V254" i="4"/>
  <c r="W254" i="4" s="1"/>
  <c r="AH253" i="4"/>
  <c r="AB253" i="4"/>
  <c r="AC253" i="4" s="1"/>
  <c r="V253" i="4"/>
  <c r="W253" i="4" s="1"/>
  <c r="AH252" i="4"/>
  <c r="AB252" i="4"/>
  <c r="AC252" i="4" s="1"/>
  <c r="V252" i="4"/>
  <c r="W252" i="4" s="1"/>
  <c r="AH251" i="4"/>
  <c r="AB251" i="4"/>
  <c r="AC251" i="4" s="1"/>
  <c r="V251" i="4"/>
  <c r="W251" i="4" s="1"/>
  <c r="AF251" i="4" s="1"/>
  <c r="AH250" i="4"/>
  <c r="AB250" i="4"/>
  <c r="AC250" i="4" s="1"/>
  <c r="V250" i="4"/>
  <c r="W250" i="4" s="1"/>
  <c r="AH249" i="4"/>
  <c r="AB249" i="4"/>
  <c r="AC249" i="4" s="1"/>
  <c r="V249" i="4"/>
  <c r="W249" i="4" s="1"/>
  <c r="AH248" i="4"/>
  <c r="AC248" i="4"/>
  <c r="AB248" i="4"/>
  <c r="V248" i="4"/>
  <c r="W248" i="4" s="1"/>
  <c r="AF248" i="4" s="1"/>
  <c r="AH247" i="4"/>
  <c r="AC247" i="4"/>
  <c r="AB247" i="4"/>
  <c r="V247" i="4"/>
  <c r="W247" i="4" s="1"/>
  <c r="AH246" i="4"/>
  <c r="AB246" i="4"/>
  <c r="AC246" i="4" s="1"/>
  <c r="V246" i="4"/>
  <c r="W246" i="4" s="1"/>
  <c r="AH245" i="4"/>
  <c r="AB245" i="4"/>
  <c r="AC245" i="4" s="1"/>
  <c r="V245" i="4"/>
  <c r="W245" i="4" s="1"/>
  <c r="AF245" i="4" s="1"/>
  <c r="AH244" i="4"/>
  <c r="AC244" i="4"/>
  <c r="AB244" i="4"/>
  <c r="V244" i="4"/>
  <c r="W244" i="4" s="1"/>
  <c r="AH243" i="4"/>
  <c r="AC243" i="4"/>
  <c r="AB243" i="4"/>
  <c r="V243" i="4"/>
  <c r="W243" i="4" s="1"/>
  <c r="Y243" i="4" s="1"/>
  <c r="X243" i="4" s="1"/>
  <c r="AH242" i="4"/>
  <c r="AB242" i="4"/>
  <c r="AC242" i="4" s="1"/>
  <c r="V242" i="4"/>
  <c r="W242" i="4" s="1"/>
  <c r="Y242" i="4" s="1"/>
  <c r="X242" i="4" s="1"/>
  <c r="AH241" i="4"/>
  <c r="AC241" i="4"/>
  <c r="AB241" i="4"/>
  <c r="V241" i="4"/>
  <c r="W241" i="4" s="1"/>
  <c r="AH240" i="4"/>
  <c r="AC240" i="4"/>
  <c r="AB240" i="4"/>
  <c r="V240" i="4"/>
  <c r="W240" i="4" s="1"/>
  <c r="Y240" i="4" s="1"/>
  <c r="X240" i="4" s="1"/>
  <c r="AH239" i="4"/>
  <c r="AC239" i="4"/>
  <c r="AB239" i="4"/>
  <c r="V239" i="4"/>
  <c r="W239" i="4" s="1"/>
  <c r="Y239" i="4" s="1"/>
  <c r="X239" i="4" s="1"/>
  <c r="AH238" i="4"/>
  <c r="AB238" i="4"/>
  <c r="AC238" i="4" s="1"/>
  <c r="V238" i="4"/>
  <c r="W238" i="4" s="1"/>
  <c r="AH237" i="4"/>
  <c r="AB237" i="4"/>
  <c r="AH236" i="4"/>
  <c r="AB236" i="4"/>
  <c r="AC236" i="4" s="1"/>
  <c r="V236" i="4"/>
  <c r="W236" i="4" s="1"/>
  <c r="AF236" i="4" s="1"/>
  <c r="AH235" i="4"/>
  <c r="AB235" i="4"/>
  <c r="AC235" i="4" s="1"/>
  <c r="V235" i="4"/>
  <c r="W235" i="4" s="1"/>
  <c r="Y235" i="4" s="1"/>
  <c r="X235" i="4" s="1"/>
  <c r="AH234" i="4"/>
  <c r="AB234" i="4"/>
  <c r="AC234" i="4" s="1"/>
  <c r="V234" i="4"/>
  <c r="W234" i="4" s="1"/>
  <c r="AH233" i="4"/>
  <c r="AB233" i="4"/>
  <c r="AC233" i="4" s="1"/>
  <c r="V233" i="4"/>
  <c r="W233" i="4" s="1"/>
  <c r="AH232" i="4"/>
  <c r="AB232" i="4"/>
  <c r="AC232" i="4" s="1"/>
  <c r="V232" i="4"/>
  <c r="W232" i="4" s="1"/>
  <c r="AH231" i="4"/>
  <c r="AB231" i="4"/>
  <c r="AC231" i="4" s="1"/>
  <c r="V231" i="4"/>
  <c r="W231" i="4" s="1"/>
  <c r="Y231" i="4" s="1"/>
  <c r="X231" i="4" s="1"/>
  <c r="AH230" i="4"/>
  <c r="AC230" i="4"/>
  <c r="AB230" i="4"/>
  <c r="V230" i="4"/>
  <c r="W230" i="4" s="1"/>
  <c r="Y230" i="4" s="1"/>
  <c r="X230" i="4" s="1"/>
  <c r="AH229" i="4"/>
  <c r="AB229" i="4"/>
  <c r="AC229" i="4" s="1"/>
  <c r="V229" i="4"/>
  <c r="W229" i="4" s="1"/>
  <c r="AF229" i="4" s="1"/>
  <c r="AH228" i="4"/>
  <c r="AC228" i="4"/>
  <c r="AB228" i="4"/>
  <c r="V228" i="4"/>
  <c r="W228" i="4" s="1"/>
  <c r="AH227" i="4"/>
  <c r="AC227" i="4"/>
  <c r="AB227" i="4"/>
  <c r="V227" i="4"/>
  <c r="W227" i="4" s="1"/>
  <c r="AF227" i="4" s="1"/>
  <c r="AH226" i="4"/>
  <c r="AB226" i="4"/>
  <c r="AC226" i="4" s="1"/>
  <c r="V226" i="4"/>
  <c r="W226" i="4" s="1"/>
  <c r="AH225" i="4"/>
  <c r="AG225" i="4"/>
  <c r="V225" i="4" s="1"/>
  <c r="W225" i="4" s="1"/>
  <c r="AB225" i="4"/>
  <c r="AC225" i="4" s="1"/>
  <c r="AH224" i="4"/>
  <c r="AG224" i="4"/>
  <c r="V224" i="4" s="1"/>
  <c r="W224" i="4" s="1"/>
  <c r="Y224" i="4" s="1"/>
  <c r="X224" i="4" s="1"/>
  <c r="AB224" i="4"/>
  <c r="AC224" i="4" s="1"/>
  <c r="AH223" i="4"/>
  <c r="AB223" i="4"/>
  <c r="AC223" i="4" s="1"/>
  <c r="V223" i="4"/>
  <c r="W223" i="4" s="1"/>
  <c r="AH222" i="4"/>
  <c r="AG222" i="4"/>
  <c r="AB222" i="4"/>
  <c r="AC222" i="4" s="1"/>
  <c r="V222" i="4"/>
  <c r="W222" i="4" s="1"/>
  <c r="AH221" i="4"/>
  <c r="AG221" i="4"/>
  <c r="V221" i="4" s="1"/>
  <c r="W221" i="4" s="1"/>
  <c r="Y221" i="4" s="1"/>
  <c r="X221" i="4" s="1"/>
  <c r="AB221" i="4"/>
  <c r="AC221" i="4" s="1"/>
  <c r="AH220" i="4"/>
  <c r="AB220" i="4"/>
  <c r="AH219" i="4"/>
  <c r="AB219" i="4"/>
  <c r="AC219" i="4" s="1"/>
  <c r="V219" i="4"/>
  <c r="W219" i="4" s="1"/>
  <c r="AF219" i="4" s="1"/>
  <c r="AH218" i="4"/>
  <c r="AG218" i="4"/>
  <c r="AB218" i="4"/>
  <c r="AC218" i="4" s="1"/>
  <c r="V218" i="4"/>
  <c r="W218" i="4" s="1"/>
  <c r="AH217" i="4"/>
  <c r="AG217" i="4"/>
  <c r="AB217" i="4"/>
  <c r="AC217" i="4" s="1"/>
  <c r="V217" i="4"/>
  <c r="W217" i="4" s="1"/>
  <c r="AH216" i="4"/>
  <c r="AG216" i="4"/>
  <c r="V216" i="4" s="1"/>
  <c r="W216" i="4" s="1"/>
  <c r="AB216" i="4"/>
  <c r="AC216" i="4" s="1"/>
  <c r="AH215" i="4"/>
  <c r="AB215" i="4"/>
  <c r="AC215" i="4" s="1"/>
  <c r="V215" i="4"/>
  <c r="W215" i="4" s="1"/>
  <c r="Y215" i="4" s="1"/>
  <c r="X215" i="4" s="1"/>
  <c r="AH214" i="4"/>
  <c r="AB214" i="4"/>
  <c r="AC214" i="4" s="1"/>
  <c r="V214" i="4"/>
  <c r="W214" i="4" s="1"/>
  <c r="AF214" i="4" s="1"/>
  <c r="AH213" i="4"/>
  <c r="AB213" i="4"/>
  <c r="AC213" i="4" s="1"/>
  <c r="V213" i="4"/>
  <c r="W213" i="4" s="1"/>
  <c r="AF213" i="4" s="1"/>
  <c r="AH212" i="4"/>
  <c r="AB212" i="4"/>
  <c r="AC212" i="4" s="1"/>
  <c r="V212" i="4"/>
  <c r="W212" i="4" s="1"/>
  <c r="AF212" i="4" s="1"/>
  <c r="AH211" i="4"/>
  <c r="AG211" i="4"/>
  <c r="AB211" i="4"/>
  <c r="AC211" i="4" s="1"/>
  <c r="V211" i="4"/>
  <c r="W211" i="4" s="1"/>
  <c r="AH210" i="4"/>
  <c r="AG210" i="4"/>
  <c r="AB210" i="4"/>
  <c r="AC210" i="4" s="1"/>
  <c r="V210" i="4"/>
  <c r="W210" i="4" s="1"/>
  <c r="AH209" i="4"/>
  <c r="AC209" i="4"/>
  <c r="AB209" i="4"/>
  <c r="V209" i="4"/>
  <c r="W209" i="4" s="1"/>
  <c r="AH208" i="4"/>
  <c r="AB208" i="4"/>
  <c r="AC208" i="4" s="1"/>
  <c r="V208" i="4"/>
  <c r="W208" i="4" s="1"/>
  <c r="AH207" i="4"/>
  <c r="AG207" i="4"/>
  <c r="AB207" i="4"/>
  <c r="AC207" i="4" s="1"/>
  <c r="V207" i="4"/>
  <c r="W207" i="4" s="1"/>
  <c r="AK206" i="4"/>
  <c r="AH206" i="4"/>
  <c r="AG206" i="4"/>
  <c r="V206" i="4" s="1"/>
  <c r="W206" i="4" s="1"/>
  <c r="AC206" i="4"/>
  <c r="AB206" i="4"/>
  <c r="AH205" i="4"/>
  <c r="AG205" i="4"/>
  <c r="AB205" i="4"/>
  <c r="AC205" i="4" s="1"/>
  <c r="V205" i="4"/>
  <c r="W205" i="4" s="1"/>
  <c r="AH204" i="4"/>
  <c r="AG204" i="4"/>
  <c r="AC204" i="4"/>
  <c r="AB204" i="4"/>
  <c r="V204" i="4"/>
  <c r="W204" i="4" s="1"/>
  <c r="AH203" i="4"/>
  <c r="AG203" i="4"/>
  <c r="V203" i="4" s="1"/>
  <c r="W203" i="4" s="1"/>
  <c r="AC203" i="4"/>
  <c r="AB203" i="4"/>
  <c r="AH202" i="4"/>
  <c r="AB202" i="4"/>
  <c r="AH201" i="4"/>
  <c r="AB201" i="4"/>
  <c r="V201" i="4"/>
  <c r="W201" i="4" s="1"/>
  <c r="AF201" i="4" s="1"/>
  <c r="U201" i="4"/>
  <c r="AH200" i="4"/>
  <c r="AC200" i="4"/>
  <c r="AB200" i="4"/>
  <c r="V200" i="4"/>
  <c r="W200" i="4" s="1"/>
  <c r="AF200" i="4" s="1"/>
  <c r="U200" i="4"/>
  <c r="AH199" i="4"/>
  <c r="AB199" i="4"/>
  <c r="V199" i="4"/>
  <c r="W199" i="4" s="1"/>
  <c r="AF199" i="4" s="1"/>
  <c r="U199" i="4"/>
  <c r="AH198" i="4"/>
  <c r="AB198" i="4"/>
  <c r="V198" i="4"/>
  <c r="W198" i="4" s="1"/>
  <c r="AF198" i="4" s="1"/>
  <c r="U198" i="4"/>
  <c r="AH197" i="4"/>
  <c r="AG197" i="4"/>
  <c r="AB197" i="4"/>
  <c r="V197" i="4"/>
  <c r="W197" i="4" s="1"/>
  <c r="AF197" i="4" s="1"/>
  <c r="U197" i="4"/>
  <c r="AH196" i="4"/>
  <c r="AB196" i="4"/>
  <c r="V196" i="4"/>
  <c r="W196" i="4" s="1"/>
  <c r="AF196" i="4" s="1"/>
  <c r="U196" i="4"/>
  <c r="AH195" i="4"/>
  <c r="AB195" i="4"/>
  <c r="AC195" i="4" s="1"/>
  <c r="V195" i="4"/>
  <c r="W195" i="4" s="1"/>
  <c r="AF195" i="4" s="1"/>
  <c r="U195" i="4"/>
  <c r="AH194" i="4"/>
  <c r="AG194" i="4"/>
  <c r="V194" i="4" s="1"/>
  <c r="W194" i="4" s="1"/>
  <c r="AF194" i="4" s="1"/>
  <c r="AB194" i="4"/>
  <c r="U194" i="4"/>
  <c r="AC194" i="4" s="1"/>
  <c r="AH193" i="4"/>
  <c r="AB193" i="4"/>
  <c r="AC193" i="4" s="1"/>
  <c r="V193" i="4"/>
  <c r="W193" i="4" s="1"/>
  <c r="U193" i="4"/>
  <c r="AH192" i="4"/>
  <c r="AB192" i="4"/>
  <c r="V192" i="4"/>
  <c r="W192" i="4" s="1"/>
  <c r="AF192" i="4" s="1"/>
  <c r="U192" i="4"/>
  <c r="AH191" i="4"/>
  <c r="AB191" i="4"/>
  <c r="AC191" i="4" s="1"/>
  <c r="V191" i="4"/>
  <c r="W191" i="4" s="1"/>
  <c r="U191" i="4"/>
  <c r="AH190" i="4"/>
  <c r="AG190" i="4"/>
  <c r="V190" i="4" s="1"/>
  <c r="W190" i="4" s="1"/>
  <c r="AF190" i="4" s="1"/>
  <c r="AB190" i="4"/>
  <c r="AC190" i="4" s="1"/>
  <c r="U190" i="4"/>
  <c r="AH189" i="4"/>
  <c r="AB189" i="4"/>
  <c r="V189" i="4"/>
  <c r="W189" i="4" s="1"/>
  <c r="U189" i="4"/>
  <c r="AC189" i="4" s="1"/>
  <c r="AH188" i="4"/>
  <c r="AG188" i="4"/>
  <c r="V188" i="4" s="1"/>
  <c r="W188" i="4" s="1"/>
  <c r="AB188" i="4"/>
  <c r="AC188" i="4" s="1"/>
  <c r="U188" i="4"/>
  <c r="AH187" i="4"/>
  <c r="AB187" i="4"/>
  <c r="V187" i="4"/>
  <c r="W187" i="4" s="1"/>
  <c r="AF187" i="4" s="1"/>
  <c r="U187" i="4"/>
  <c r="AH186" i="4"/>
  <c r="AG186" i="4"/>
  <c r="AB186" i="4"/>
  <c r="V186" i="4"/>
  <c r="W186" i="4" s="1"/>
  <c r="AF186" i="4" s="1"/>
  <c r="U186" i="4"/>
  <c r="AH185" i="4"/>
  <c r="AG185" i="4"/>
  <c r="V185" i="4" s="1"/>
  <c r="W185" i="4" s="1"/>
  <c r="AF185" i="4" s="1"/>
  <c r="AC185" i="4"/>
  <c r="AB185" i="4"/>
  <c r="U185" i="4"/>
  <c r="AH184" i="4"/>
  <c r="AB184" i="4"/>
  <c r="V184" i="4"/>
  <c r="W184" i="4" s="1"/>
  <c r="AF184" i="4" s="1"/>
  <c r="U184" i="4"/>
  <c r="AC184" i="4" s="1"/>
  <c r="AH183" i="4"/>
  <c r="AG183" i="4"/>
  <c r="AB183" i="4"/>
  <c r="V183" i="4"/>
  <c r="W183" i="4" s="1"/>
  <c r="AF183" i="4" s="1"/>
  <c r="U183" i="4"/>
  <c r="AH182" i="4"/>
  <c r="AG182" i="4"/>
  <c r="V182" i="4" s="1"/>
  <c r="W182" i="4" s="1"/>
  <c r="AF182" i="4" s="1"/>
  <c r="AB182" i="4"/>
  <c r="U182" i="4"/>
  <c r="AH181" i="4"/>
  <c r="W181" i="4"/>
  <c r="AF181" i="4" s="1"/>
  <c r="AB181" i="4"/>
  <c r="U181" i="4"/>
  <c r="AC181" i="4" s="1"/>
  <c r="AH180" i="4"/>
  <c r="AB180" i="4"/>
  <c r="AC180" i="4" s="1"/>
  <c r="V180" i="4"/>
  <c r="W180" i="4" s="1"/>
  <c r="Y180" i="4" s="1"/>
  <c r="X180" i="4" s="1"/>
  <c r="U180" i="4"/>
  <c r="AH179" i="4"/>
  <c r="AB179" i="4"/>
  <c r="AC179" i="4" s="1"/>
  <c r="V179" i="4"/>
  <c r="W179" i="4" s="1"/>
  <c r="Y179" i="4" s="1"/>
  <c r="X179" i="4" s="1"/>
  <c r="U179" i="4"/>
  <c r="AH178" i="4"/>
  <c r="AB178" i="4"/>
  <c r="V178" i="4"/>
  <c r="W178" i="4" s="1"/>
  <c r="AF178" i="4" s="1"/>
  <c r="U178" i="4"/>
  <c r="AC178" i="4" s="1"/>
  <c r="AH177" i="4"/>
  <c r="AB177" i="4"/>
  <c r="AH176" i="4"/>
  <c r="AB176" i="4"/>
  <c r="AC176" i="4" s="1"/>
  <c r="V176" i="4"/>
  <c r="W176" i="4" s="1"/>
  <c r="AF176" i="4" s="1"/>
  <c r="U176" i="4"/>
  <c r="AH175" i="4"/>
  <c r="AG175" i="4"/>
  <c r="AB175" i="4"/>
  <c r="V175" i="4"/>
  <c r="W175" i="4" s="1"/>
  <c r="U175" i="4"/>
  <c r="AC175" i="4" s="1"/>
  <c r="AH174" i="4"/>
  <c r="AB174" i="4"/>
  <c r="U174" i="4"/>
  <c r="AH173" i="4"/>
  <c r="AC173" i="4"/>
  <c r="AB173" i="4"/>
  <c r="V173" i="4"/>
  <c r="W173" i="4" s="1"/>
  <c r="Y173" i="4" s="1"/>
  <c r="X173" i="4" s="1"/>
  <c r="U173" i="4"/>
  <c r="AH172" i="4"/>
  <c r="AB172" i="4"/>
  <c r="AC172" i="4" s="1"/>
  <c r="V172" i="4"/>
  <c r="W172" i="4" s="1"/>
  <c r="Y172" i="4" s="1"/>
  <c r="X172" i="4" s="1"/>
  <c r="U172" i="4"/>
  <c r="AH171" i="4"/>
  <c r="AB171" i="4"/>
  <c r="AC171" i="4" s="1"/>
  <c r="V171" i="4"/>
  <c r="W171" i="4" s="1"/>
  <c r="U171" i="4"/>
  <c r="AH170" i="4"/>
  <c r="AG170" i="4"/>
  <c r="AB170" i="4"/>
  <c r="V170" i="4"/>
  <c r="W170" i="4" s="1"/>
  <c r="AF170" i="4" s="1"/>
  <c r="U170" i="4"/>
  <c r="AH169" i="4"/>
  <c r="AB169" i="4"/>
  <c r="V169" i="4"/>
  <c r="W169" i="4" s="1"/>
  <c r="AF169" i="4" s="1"/>
  <c r="U169" i="4"/>
  <c r="AH168" i="4"/>
  <c r="AG168" i="4"/>
  <c r="V168" i="4" s="1"/>
  <c r="W168" i="4" s="1"/>
  <c r="AB168" i="4"/>
  <c r="AC168" i="4" s="1"/>
  <c r="U168" i="4"/>
  <c r="AH167" i="4"/>
  <c r="AC167" i="4"/>
  <c r="AB167" i="4"/>
  <c r="V167" i="4"/>
  <c r="W167" i="4" s="1"/>
  <c r="U167" i="4"/>
  <c r="AH166" i="4"/>
  <c r="AB166" i="4"/>
  <c r="AC166" i="4" s="1"/>
  <c r="V166" i="4"/>
  <c r="W166" i="4" s="1"/>
  <c r="AF166" i="4" s="1"/>
  <c r="U166" i="4"/>
  <c r="Y166" i="4" s="1"/>
  <c r="X166" i="4" s="1"/>
  <c r="AH165" i="4"/>
  <c r="AB165" i="4"/>
  <c r="AC165" i="4" s="1"/>
  <c r="V165" i="4"/>
  <c r="W165" i="4" s="1"/>
  <c r="Y165" i="4" s="1"/>
  <c r="X165" i="4" s="1"/>
  <c r="U165" i="4"/>
  <c r="AH164" i="4"/>
  <c r="AB164" i="4"/>
  <c r="V164" i="4"/>
  <c r="W164" i="4" s="1"/>
  <c r="AF164" i="4" s="1"/>
  <c r="U164" i="4"/>
  <c r="AH163" i="4"/>
  <c r="AB163" i="4"/>
  <c r="V163" i="4"/>
  <c r="W163" i="4" s="1"/>
  <c r="AF163" i="4" s="1"/>
  <c r="U163" i="4"/>
  <c r="AC163" i="4" s="1"/>
  <c r="AH162" i="4"/>
  <c r="AB162" i="4"/>
  <c r="AC162" i="4" s="1"/>
  <c r="V162" i="4"/>
  <c r="W162" i="4" s="1"/>
  <c r="U162" i="4"/>
  <c r="AH161" i="4"/>
  <c r="AB161" i="4"/>
  <c r="V161" i="4"/>
  <c r="W161" i="4" s="1"/>
  <c r="AF161" i="4" s="1"/>
  <c r="U161" i="4"/>
  <c r="AH160" i="4"/>
  <c r="AC160" i="4"/>
  <c r="AB160" i="4"/>
  <c r="V160" i="4"/>
  <c r="W160" i="4" s="1"/>
  <c r="AF160" i="4" s="1"/>
  <c r="U160" i="4"/>
  <c r="AH159" i="4"/>
  <c r="AB159" i="4"/>
  <c r="AC159" i="4" s="1"/>
  <c r="V159" i="4"/>
  <c r="W159" i="4" s="1"/>
  <c r="AF159" i="4" s="1"/>
  <c r="U159" i="4"/>
  <c r="AH158" i="4"/>
  <c r="AB158" i="4"/>
  <c r="V158" i="4"/>
  <c r="W158" i="4" s="1"/>
  <c r="AF158" i="4" s="1"/>
  <c r="U158" i="4"/>
  <c r="AC158" i="4" s="1"/>
  <c r="AH157" i="4"/>
  <c r="AB157" i="4"/>
  <c r="V157" i="4"/>
  <c r="W157" i="4" s="1"/>
  <c r="U157" i="4"/>
  <c r="AH156" i="4"/>
  <c r="AC156" i="4"/>
  <c r="AB156" i="4"/>
  <c r="V156" i="4"/>
  <c r="W156" i="4" s="1"/>
  <c r="AF156" i="4" s="1"/>
  <c r="U156" i="4"/>
  <c r="AH155" i="4"/>
  <c r="AB155" i="4"/>
  <c r="V155" i="4"/>
  <c r="W155" i="4" s="1"/>
  <c r="AF155" i="4" s="1"/>
  <c r="U155" i="4"/>
  <c r="AC155" i="4" s="1"/>
  <c r="AH154" i="4"/>
  <c r="AB154" i="4"/>
  <c r="V154" i="4"/>
  <c r="W154" i="4" s="1"/>
  <c r="AF154" i="4" s="1"/>
  <c r="U154" i="4"/>
  <c r="AH153" i="4"/>
  <c r="AB153" i="4"/>
  <c r="V153" i="4"/>
  <c r="W153" i="4" s="1"/>
  <c r="Y153" i="4" s="1"/>
  <c r="X153" i="4" s="1"/>
  <c r="U153" i="4"/>
  <c r="AC153" i="4" s="1"/>
  <c r="AH152" i="4"/>
  <c r="AC152" i="4"/>
  <c r="AB152" i="4"/>
  <c r="V152" i="4"/>
  <c r="W152" i="4" s="1"/>
  <c r="AF152" i="4" s="1"/>
  <c r="U152" i="4"/>
  <c r="AH151" i="4"/>
  <c r="AC151" i="4"/>
  <c r="AB151" i="4"/>
  <c r="V151" i="4"/>
  <c r="W151" i="4" s="1"/>
  <c r="AF151" i="4" s="1"/>
  <c r="U151" i="4"/>
  <c r="AH150" i="4"/>
  <c r="AC150" i="4"/>
  <c r="AB150" i="4"/>
  <c r="V150" i="4"/>
  <c r="W150" i="4" s="1"/>
  <c r="AF150" i="4" s="1"/>
  <c r="U150" i="4"/>
  <c r="AH149" i="4"/>
  <c r="V149" i="4"/>
  <c r="W149" i="4" s="1"/>
  <c r="AF149" i="4" s="1"/>
  <c r="AC149" i="4"/>
  <c r="AB149" i="4"/>
  <c r="U149" i="4"/>
  <c r="AH148" i="4"/>
  <c r="AG174" i="4"/>
  <c r="V174" i="4" s="1"/>
  <c r="W174" i="4" s="1"/>
  <c r="AF174" i="4" s="1"/>
  <c r="AB148" i="4"/>
  <c r="U148" i="4"/>
  <c r="AC148" i="4" s="1"/>
  <c r="AH147" i="4"/>
  <c r="AB147" i="4"/>
  <c r="V147" i="4"/>
  <c r="W147" i="4" s="1"/>
  <c r="U147" i="4"/>
  <c r="AH146" i="4"/>
  <c r="AB146" i="4"/>
  <c r="AC146" i="4" s="1"/>
  <c r="V146" i="4"/>
  <c r="W146" i="4" s="1"/>
  <c r="U146" i="4"/>
  <c r="AH145" i="4"/>
  <c r="AB145" i="4"/>
  <c r="AC145" i="4" s="1"/>
  <c r="V145" i="4"/>
  <c r="W145" i="4" s="1"/>
  <c r="U145" i="4"/>
  <c r="AH144" i="4"/>
  <c r="AC144" i="4"/>
  <c r="AB144" i="4"/>
  <c r="V144" i="4"/>
  <c r="W144" i="4" s="1"/>
  <c r="AF144" i="4" s="1"/>
  <c r="U144" i="4"/>
  <c r="AH143" i="4"/>
  <c r="AB143" i="4"/>
  <c r="AC143" i="4" s="1"/>
  <c r="V143" i="4"/>
  <c r="W143" i="4" s="1"/>
  <c r="AF143" i="4" s="1"/>
  <c r="U143" i="4"/>
  <c r="AH142" i="4"/>
  <c r="AC142" i="4"/>
  <c r="AB142" i="4"/>
  <c r="V142" i="4"/>
  <c r="W142" i="4" s="1"/>
  <c r="U142" i="4"/>
  <c r="AH141" i="4"/>
  <c r="AG141" i="4"/>
  <c r="AB141" i="4"/>
  <c r="V141" i="4"/>
  <c r="W141" i="4" s="1"/>
  <c r="AF141" i="4" s="1"/>
  <c r="U141" i="4"/>
  <c r="AH140" i="4"/>
  <c r="AB140" i="4"/>
  <c r="AC140" i="4" s="1"/>
  <c r="V140" i="4"/>
  <c r="W140" i="4" s="1"/>
  <c r="U140" i="4"/>
  <c r="AH139" i="4"/>
  <c r="AG139" i="4"/>
  <c r="AB139" i="4"/>
  <c r="V139" i="4"/>
  <c r="W139" i="4" s="1"/>
  <c r="AF139" i="4" s="1"/>
  <c r="U139" i="4"/>
  <c r="AC139" i="4" s="1"/>
  <c r="AH138" i="4"/>
  <c r="AG138" i="4"/>
  <c r="AC138" i="4"/>
  <c r="AB138" i="4"/>
  <c r="V138" i="4"/>
  <c r="W138" i="4" s="1"/>
  <c r="AF138" i="4" s="1"/>
  <c r="U138" i="4"/>
  <c r="AH137" i="4"/>
  <c r="V137" i="4"/>
  <c r="W137" i="4" s="1"/>
  <c r="Y137" i="4" s="1"/>
  <c r="X137" i="4" s="1"/>
  <c r="AB137" i="4"/>
  <c r="AC137" i="4" s="1"/>
  <c r="U137" i="4"/>
  <c r="AH136" i="4"/>
  <c r="AC136" i="4"/>
  <c r="AB136" i="4"/>
  <c r="V136" i="4"/>
  <c r="W136" i="4" s="1"/>
  <c r="U136" i="4"/>
  <c r="AH135" i="4"/>
  <c r="AB135" i="4"/>
  <c r="V135" i="4"/>
  <c r="W135" i="4" s="1"/>
  <c r="AF135" i="4" s="1"/>
  <c r="U135" i="4"/>
  <c r="AC135" i="4" s="1"/>
  <c r="AH134" i="4"/>
  <c r="AC134" i="4"/>
  <c r="AB134" i="4"/>
  <c r="V134" i="4"/>
  <c r="W134" i="4" s="1"/>
  <c r="U134" i="4"/>
  <c r="Y134" i="4" s="1"/>
  <c r="AH133" i="4"/>
  <c r="AB133" i="4"/>
  <c r="AH132" i="4"/>
  <c r="AB132" i="4"/>
  <c r="V132" i="4"/>
  <c r="W132" i="4" s="1"/>
  <c r="AF132" i="4" s="1"/>
  <c r="U132" i="4"/>
  <c r="AH131" i="4"/>
  <c r="AC131" i="4"/>
  <c r="AB131" i="4"/>
  <c r="V131" i="4"/>
  <c r="W131" i="4" s="1"/>
  <c r="Y131" i="4" s="1"/>
  <c r="X131" i="4" s="1"/>
  <c r="U131" i="4"/>
  <c r="AH130" i="4"/>
  <c r="AC130" i="4"/>
  <c r="AB130" i="4"/>
  <c r="V130" i="4"/>
  <c r="W130" i="4" s="1"/>
  <c r="AF130" i="4" s="1"/>
  <c r="U130" i="4"/>
  <c r="AH129" i="4"/>
  <c r="AB129" i="4"/>
  <c r="V129" i="4"/>
  <c r="W129" i="4" s="1"/>
  <c r="AF129" i="4" s="1"/>
  <c r="U129" i="4"/>
  <c r="AC129" i="4" s="1"/>
  <c r="AH128" i="4"/>
  <c r="AB128" i="4"/>
  <c r="AC128" i="4" s="1"/>
  <c r="V128" i="4"/>
  <c r="W128" i="4" s="1"/>
  <c r="AF128" i="4" s="1"/>
  <c r="U128" i="4"/>
  <c r="AH127" i="4"/>
  <c r="AC127" i="4"/>
  <c r="AB127" i="4"/>
  <c r="V127" i="4"/>
  <c r="W127" i="4" s="1"/>
  <c r="AF127" i="4" s="1"/>
  <c r="U127" i="4"/>
  <c r="AH126" i="4"/>
  <c r="AB126" i="4"/>
  <c r="V126" i="4"/>
  <c r="W126" i="4" s="1"/>
  <c r="AF126" i="4" s="1"/>
  <c r="U126" i="4"/>
  <c r="AC126" i="4" s="1"/>
  <c r="AH125" i="4"/>
  <c r="AC125" i="4"/>
  <c r="AB125" i="4"/>
  <c r="V125" i="4"/>
  <c r="W125" i="4" s="1"/>
  <c r="AF125" i="4" s="1"/>
  <c r="U125" i="4"/>
  <c r="AH124" i="4"/>
  <c r="AB124" i="4"/>
  <c r="V124" i="4"/>
  <c r="W124" i="4" s="1"/>
  <c r="U124" i="4"/>
  <c r="AC124" i="4" s="1"/>
  <c r="AH123" i="4"/>
  <c r="AB123" i="4"/>
  <c r="V123" i="4"/>
  <c r="W123" i="4" s="1"/>
  <c r="U123" i="4"/>
  <c r="AC123" i="4" s="1"/>
  <c r="AH122" i="4"/>
  <c r="AB122" i="4"/>
  <c r="V122" i="4"/>
  <c r="W122" i="4" s="1"/>
  <c r="AF122" i="4" s="1"/>
  <c r="U122" i="4"/>
  <c r="AH121" i="4"/>
  <c r="AB121" i="4"/>
  <c r="V121" i="4"/>
  <c r="W121" i="4" s="1"/>
  <c r="AF121" i="4" s="1"/>
  <c r="U121" i="4"/>
  <c r="AC121" i="4" s="1"/>
  <c r="AH120" i="4"/>
  <c r="AB120" i="4"/>
  <c r="AC120" i="4" s="1"/>
  <c r="V120" i="4"/>
  <c r="W120" i="4" s="1"/>
  <c r="Y120" i="4" s="1"/>
  <c r="X120" i="4" s="1"/>
  <c r="U120" i="4"/>
  <c r="AH119" i="4"/>
  <c r="AB119" i="4"/>
  <c r="V119" i="4"/>
  <c r="W119" i="4" s="1"/>
  <c r="AF119" i="4" s="1"/>
  <c r="U119" i="4"/>
  <c r="AC119" i="4" s="1"/>
  <c r="AH118" i="4"/>
  <c r="AC118" i="4"/>
  <c r="AB118" i="4"/>
  <c r="V118" i="4"/>
  <c r="W118" i="4" s="1"/>
  <c r="U118" i="4"/>
  <c r="AH117" i="4"/>
  <c r="AC117" i="4"/>
  <c r="AB117" i="4"/>
  <c r="V117" i="4"/>
  <c r="W117" i="4" s="1"/>
  <c r="U117" i="4"/>
  <c r="AH116" i="4"/>
  <c r="AC116" i="4"/>
  <c r="AB116" i="4"/>
  <c r="V116" i="4"/>
  <c r="W116" i="4" s="1"/>
  <c r="U116" i="4"/>
  <c r="AH115" i="4"/>
  <c r="AB115" i="4"/>
  <c r="V115" i="4"/>
  <c r="W115" i="4" s="1"/>
  <c r="U115" i="4"/>
  <c r="AC115" i="4" s="1"/>
  <c r="AH114" i="4"/>
  <c r="AB114" i="4"/>
  <c r="V114" i="4"/>
  <c r="W114" i="4" s="1"/>
  <c r="AF114" i="4" s="1"/>
  <c r="U114" i="4"/>
  <c r="AH113" i="4"/>
  <c r="AB113" i="4"/>
  <c r="AC113" i="4" s="1"/>
  <c r="V113" i="4"/>
  <c r="W113" i="4" s="1"/>
  <c r="U113" i="4"/>
  <c r="AH112" i="4"/>
  <c r="AB112" i="4"/>
  <c r="V112" i="4"/>
  <c r="W112" i="4" s="1"/>
  <c r="Y112" i="4" s="1"/>
  <c r="X112" i="4" s="1"/>
  <c r="U112" i="4"/>
  <c r="AC112" i="4" s="1"/>
  <c r="AH111" i="4"/>
  <c r="AB111" i="4"/>
  <c r="V111" i="4"/>
  <c r="W111" i="4" s="1"/>
  <c r="AF111" i="4" s="1"/>
  <c r="U111" i="4"/>
  <c r="AH110" i="4"/>
  <c r="AB110" i="4"/>
  <c r="AC110" i="4" s="1"/>
  <c r="V110" i="4"/>
  <c r="W110" i="4" s="1"/>
  <c r="U110" i="4"/>
  <c r="AH109" i="4"/>
  <c r="AB109" i="4"/>
  <c r="V109" i="4"/>
  <c r="W109" i="4" s="1"/>
  <c r="AF109" i="4" s="1"/>
  <c r="U109" i="4"/>
  <c r="AH108" i="4"/>
  <c r="AB108" i="4"/>
  <c r="V108" i="4"/>
  <c r="W108" i="4" s="1"/>
  <c r="AF108" i="4" s="1"/>
  <c r="U108" i="4"/>
  <c r="AH107" i="4"/>
  <c r="AC107" i="4"/>
  <c r="AB107" i="4"/>
  <c r="V107" i="4"/>
  <c r="W107" i="4" s="1"/>
  <c r="AF107" i="4" s="1"/>
  <c r="U107" i="4"/>
  <c r="AH106" i="4"/>
  <c r="AC106" i="4"/>
  <c r="AB106" i="4"/>
  <c r="V106" i="4"/>
  <c r="W106" i="4" s="1"/>
  <c r="AF106" i="4" s="1"/>
  <c r="U106" i="4"/>
  <c r="AH105" i="4"/>
  <c r="AB105" i="4"/>
  <c r="V105" i="4"/>
  <c r="W105" i="4" s="1"/>
  <c r="AF105" i="4" s="1"/>
  <c r="U105" i="4"/>
  <c r="AC105" i="4" s="1"/>
  <c r="AH104" i="4"/>
  <c r="AB104" i="4"/>
  <c r="AC104" i="4" s="1"/>
  <c r="V104" i="4"/>
  <c r="W104" i="4" s="1"/>
  <c r="Y104" i="4" s="1"/>
  <c r="X104" i="4" s="1"/>
  <c r="U104" i="4"/>
  <c r="AH103" i="4"/>
  <c r="AC103" i="4"/>
  <c r="AB103" i="4"/>
  <c r="V103" i="4"/>
  <c r="W103" i="4" s="1"/>
  <c r="AF103" i="4" s="1"/>
  <c r="U103" i="4"/>
  <c r="AH102" i="4"/>
  <c r="AB102" i="4"/>
  <c r="V102" i="4"/>
  <c r="W102" i="4" s="1"/>
  <c r="AF102" i="4" s="1"/>
  <c r="U102" i="4"/>
  <c r="AC102" i="4" s="1"/>
  <c r="AH101" i="4"/>
  <c r="AB101" i="4"/>
  <c r="AC101" i="4" s="1"/>
  <c r="V101" i="4"/>
  <c r="W101" i="4" s="1"/>
  <c r="U101" i="4"/>
  <c r="AH100" i="4"/>
  <c r="AC100" i="4"/>
  <c r="AB100" i="4"/>
  <c r="V100" i="4"/>
  <c r="W100" i="4" s="1"/>
  <c r="AF100" i="4" s="1"/>
  <c r="U100" i="4"/>
  <c r="AH99" i="4"/>
  <c r="AB99" i="4"/>
  <c r="V99" i="4"/>
  <c r="W99" i="4" s="1"/>
  <c r="AF99" i="4" s="1"/>
  <c r="U99" i="4"/>
  <c r="AC99" i="4" s="1"/>
  <c r="AH98" i="4"/>
  <c r="AB98" i="4"/>
  <c r="V98" i="4"/>
  <c r="W98" i="4" s="1"/>
  <c r="U98" i="4"/>
  <c r="AC98" i="4" s="1"/>
  <c r="AH97" i="4"/>
  <c r="AB97" i="4"/>
  <c r="AC97" i="4" s="1"/>
  <c r="V97" i="4"/>
  <c r="W97" i="4" s="1"/>
  <c r="U97" i="4"/>
  <c r="AH96" i="4"/>
  <c r="AB96" i="4"/>
  <c r="V96" i="4"/>
  <c r="W96" i="4" s="1"/>
  <c r="AF96" i="4" s="1"/>
  <c r="U96" i="4"/>
  <c r="AH95" i="4"/>
  <c r="AC95" i="4"/>
  <c r="AB95" i="4"/>
  <c r="V95" i="4"/>
  <c r="W95" i="4" s="1"/>
  <c r="AF95" i="4" s="1"/>
  <c r="U95" i="4"/>
  <c r="Y95" i="4" s="1"/>
  <c r="X95" i="4" s="1"/>
  <c r="AH94" i="4"/>
  <c r="AB94" i="4"/>
  <c r="V94" i="4"/>
  <c r="W94" i="4" s="1"/>
  <c r="AF94" i="4" s="1"/>
  <c r="U94" i="4"/>
  <c r="AC94" i="4" s="1"/>
  <c r="AH93" i="4"/>
  <c r="AB93" i="4"/>
  <c r="V93" i="4"/>
  <c r="W93" i="4" s="1"/>
  <c r="AF93" i="4" s="1"/>
  <c r="U93" i="4"/>
  <c r="AH92" i="4"/>
  <c r="AB92" i="4"/>
  <c r="V92" i="4"/>
  <c r="W92" i="4" s="1"/>
  <c r="AF92" i="4" s="1"/>
  <c r="U92" i="4"/>
  <c r="AH91" i="4"/>
  <c r="AB91" i="4"/>
  <c r="AC91" i="4" s="1"/>
  <c r="V91" i="4"/>
  <c r="W91" i="4" s="1"/>
  <c r="U91" i="4"/>
  <c r="AH90" i="4"/>
  <c r="AC90" i="4"/>
  <c r="AB90" i="4"/>
  <c r="V90" i="4"/>
  <c r="W90" i="4" s="1"/>
  <c r="Y90" i="4" s="1"/>
  <c r="X90" i="4" s="1"/>
  <c r="U90" i="4"/>
  <c r="AH89" i="4"/>
  <c r="AB89" i="4"/>
  <c r="V89" i="4"/>
  <c r="W89" i="4" s="1"/>
  <c r="AF89" i="4" s="1"/>
  <c r="U89" i="4"/>
  <c r="AH88" i="4"/>
  <c r="AC88" i="4"/>
  <c r="AB88" i="4"/>
  <c r="V88" i="4"/>
  <c r="W88" i="4" s="1"/>
  <c r="U88" i="4"/>
  <c r="AH87" i="4"/>
  <c r="AC87" i="4"/>
  <c r="AB87" i="4"/>
  <c r="V87" i="4"/>
  <c r="W87" i="4" s="1"/>
  <c r="Y87" i="4" s="1"/>
  <c r="X87" i="4" s="1"/>
  <c r="U87" i="4"/>
  <c r="AH86" i="4"/>
  <c r="AB86" i="4"/>
  <c r="V86" i="4"/>
  <c r="W86" i="4" s="1"/>
  <c r="AF86" i="4" s="1"/>
  <c r="U86" i="4"/>
  <c r="AH85" i="4"/>
  <c r="AB85" i="4"/>
  <c r="AC85" i="4" s="1"/>
  <c r="V85" i="4"/>
  <c r="W85" i="4" s="1"/>
  <c r="AF85" i="4" s="1"/>
  <c r="U85" i="4"/>
  <c r="AH84" i="4"/>
  <c r="AC84" i="4"/>
  <c r="AB84" i="4"/>
  <c r="V84" i="4"/>
  <c r="W84" i="4" s="1"/>
  <c r="AF84" i="4" s="1"/>
  <c r="U84" i="4"/>
  <c r="Y84" i="4" s="1"/>
  <c r="X84" i="4" s="1"/>
  <c r="AH83" i="4"/>
  <c r="AB83" i="4"/>
  <c r="V83" i="4"/>
  <c r="W83" i="4" s="1"/>
  <c r="AF83" i="4" s="1"/>
  <c r="U83" i="4"/>
  <c r="AH82" i="4"/>
  <c r="AB82" i="4"/>
  <c r="V82" i="4"/>
  <c r="W82" i="4" s="1"/>
  <c r="AF82" i="4" s="1"/>
  <c r="U82" i="4"/>
  <c r="AH81" i="4"/>
  <c r="AB81" i="4"/>
  <c r="V81" i="4"/>
  <c r="W81" i="4" s="1"/>
  <c r="Y81" i="4" s="1"/>
  <c r="X81" i="4" s="1"/>
  <c r="U81" i="4"/>
  <c r="AC81" i="4" s="1"/>
  <c r="AH80" i="4"/>
  <c r="AB80" i="4"/>
  <c r="V80" i="4"/>
  <c r="W80" i="4" s="1"/>
  <c r="AF80" i="4" s="1"/>
  <c r="U80" i="4"/>
  <c r="AC80" i="4" s="1"/>
  <c r="AH79" i="4"/>
  <c r="AB79" i="4"/>
  <c r="AC79" i="4" s="1"/>
  <c r="V79" i="4"/>
  <c r="W79" i="4" s="1"/>
  <c r="U79" i="4"/>
  <c r="AH78" i="4"/>
  <c r="AB78" i="4"/>
  <c r="V78" i="4"/>
  <c r="W78" i="4" s="1"/>
  <c r="AF78" i="4" s="1"/>
  <c r="U78" i="4"/>
  <c r="AH77" i="4"/>
  <c r="AB77" i="4"/>
  <c r="V77" i="4"/>
  <c r="W77" i="4" s="1"/>
  <c r="AF77" i="4" s="1"/>
  <c r="U77" i="4"/>
  <c r="AH76" i="4"/>
  <c r="AB76" i="4"/>
  <c r="V76" i="4"/>
  <c r="W76" i="4" s="1"/>
  <c r="AF76" i="4" s="1"/>
  <c r="U76" i="4"/>
  <c r="AC76" i="4" s="1"/>
  <c r="AH75" i="4"/>
  <c r="AB75" i="4"/>
  <c r="V75" i="4"/>
  <c r="W75" i="4" s="1"/>
  <c r="AF75" i="4" s="1"/>
  <c r="U75" i="4"/>
  <c r="AC75" i="4" s="1"/>
  <c r="AH74" i="4"/>
  <c r="AB74" i="4"/>
  <c r="V74" i="4"/>
  <c r="W74" i="4" s="1"/>
  <c r="AF74" i="4" s="1"/>
  <c r="U74" i="4"/>
  <c r="AC74" i="4" s="1"/>
  <c r="AH73" i="4"/>
  <c r="AC73" i="4"/>
  <c r="AB73" i="4"/>
  <c r="V73" i="4"/>
  <c r="W73" i="4" s="1"/>
  <c r="U73" i="4"/>
  <c r="AH72" i="4"/>
  <c r="AB72" i="4"/>
  <c r="V72" i="4"/>
  <c r="W72" i="4" s="1"/>
  <c r="U72" i="4"/>
  <c r="AH71" i="4"/>
  <c r="AB71" i="4"/>
  <c r="V71" i="4"/>
  <c r="W71" i="4" s="1"/>
  <c r="AF71" i="4" s="1"/>
  <c r="U71" i="4"/>
  <c r="AH70" i="4"/>
  <c r="AB70" i="4"/>
  <c r="AC70" i="4" s="1"/>
  <c r="V70" i="4"/>
  <c r="W70" i="4" s="1"/>
  <c r="AF70" i="4" s="1"/>
  <c r="U70" i="4"/>
  <c r="AH69" i="4"/>
  <c r="AC69" i="4"/>
  <c r="AB69" i="4"/>
  <c r="V69" i="4"/>
  <c r="W69" i="4" s="1"/>
  <c r="U69" i="4"/>
  <c r="AH68" i="4"/>
  <c r="AB68" i="4"/>
  <c r="V68" i="4"/>
  <c r="W68" i="4" s="1"/>
  <c r="AF68" i="4" s="1"/>
  <c r="U68" i="4"/>
  <c r="AH67" i="4"/>
  <c r="AB67" i="4"/>
  <c r="V67" i="4"/>
  <c r="W67" i="4" s="1"/>
  <c r="AF67" i="4" s="1"/>
  <c r="U67" i="4"/>
  <c r="AH66" i="4"/>
  <c r="AB66" i="4"/>
  <c r="AC66" i="4" s="1"/>
  <c r="V66" i="4"/>
  <c r="W66" i="4" s="1"/>
  <c r="U66" i="4"/>
  <c r="AH65" i="4"/>
  <c r="AC65" i="4"/>
  <c r="AB65" i="4"/>
  <c r="V65" i="4"/>
  <c r="W65" i="4" s="1"/>
  <c r="U65" i="4"/>
  <c r="AH64" i="4"/>
  <c r="AB64" i="4"/>
  <c r="V64" i="4"/>
  <c r="W64" i="4" s="1"/>
  <c r="AF64" i="4" s="1"/>
  <c r="U64" i="4"/>
  <c r="AC64" i="4" s="1"/>
  <c r="AH63" i="4"/>
  <c r="AB63" i="4"/>
  <c r="AC63" i="4" s="1"/>
  <c r="V63" i="4"/>
  <c r="W63" i="4" s="1"/>
  <c r="AF63" i="4" s="1"/>
  <c r="U63" i="4"/>
  <c r="AH62" i="4"/>
  <c r="AB62" i="4"/>
  <c r="AC62" i="4" s="1"/>
  <c r="V62" i="4"/>
  <c r="W62" i="4" s="1"/>
  <c r="AF62" i="4" s="1"/>
  <c r="U62" i="4"/>
  <c r="AH61" i="4"/>
  <c r="AB61" i="4"/>
  <c r="V61" i="4"/>
  <c r="W61" i="4" s="1"/>
  <c r="AF61" i="4" s="1"/>
  <c r="U61" i="4"/>
  <c r="AH60" i="4"/>
  <c r="AC60" i="4"/>
  <c r="AB60" i="4"/>
  <c r="V60" i="4"/>
  <c r="W60" i="4" s="1"/>
  <c r="Y60" i="4" s="1"/>
  <c r="X60" i="4" s="1"/>
  <c r="U60" i="4"/>
  <c r="AH59" i="4"/>
  <c r="AB59" i="4"/>
  <c r="V59" i="4"/>
  <c r="W59" i="4" s="1"/>
  <c r="AF59" i="4" s="1"/>
  <c r="U59" i="4"/>
  <c r="AH58" i="4"/>
  <c r="AB58" i="4"/>
  <c r="V58" i="4"/>
  <c r="W58" i="4" s="1"/>
  <c r="AF58" i="4" s="1"/>
  <c r="U58" i="4"/>
  <c r="AC58" i="4" s="1"/>
  <c r="AH57" i="4"/>
  <c r="AB57" i="4"/>
  <c r="V57" i="4"/>
  <c r="W57" i="4" s="1"/>
  <c r="U57" i="4"/>
  <c r="AH56" i="4"/>
  <c r="AB56" i="4"/>
  <c r="V56" i="4"/>
  <c r="W56" i="4" s="1"/>
  <c r="AF56" i="4" s="1"/>
  <c r="U56" i="4"/>
  <c r="AH55" i="4"/>
  <c r="AB55" i="4"/>
  <c r="AC55" i="4" s="1"/>
  <c r="V55" i="4"/>
  <c r="W55" i="4" s="1"/>
  <c r="U55" i="4"/>
  <c r="AH54" i="4"/>
  <c r="AB54" i="4"/>
  <c r="AC54" i="4" s="1"/>
  <c r="V54" i="4"/>
  <c r="W54" i="4" s="1"/>
  <c r="AF54" i="4" s="1"/>
  <c r="U54" i="4"/>
  <c r="AH53" i="4"/>
  <c r="AB53" i="4"/>
  <c r="V53" i="4"/>
  <c r="W53" i="4" s="1"/>
  <c r="AF53" i="4" s="1"/>
  <c r="U53" i="4"/>
  <c r="AH52" i="4"/>
  <c r="AB52" i="4"/>
  <c r="AC52" i="4" s="1"/>
  <c r="V52" i="4"/>
  <c r="W52" i="4" s="1"/>
  <c r="U52" i="4"/>
  <c r="AH51" i="4"/>
  <c r="AC51" i="4"/>
  <c r="AB51" i="4"/>
  <c r="V51" i="4"/>
  <c r="W51" i="4" s="1"/>
  <c r="AF51" i="4" s="1"/>
  <c r="U51" i="4"/>
  <c r="AH50" i="4"/>
  <c r="AB50" i="4"/>
  <c r="V50" i="4"/>
  <c r="W50" i="4" s="1"/>
  <c r="U50" i="4"/>
  <c r="AH49" i="4"/>
  <c r="AB49" i="4"/>
  <c r="V49" i="4"/>
  <c r="W49" i="4" s="1"/>
  <c r="U49" i="4"/>
  <c r="AH48" i="4"/>
  <c r="AB48" i="4"/>
  <c r="V48" i="4"/>
  <c r="W48" i="4" s="1"/>
  <c r="AF48" i="4" s="1"/>
  <c r="U48" i="4"/>
  <c r="AH47" i="4"/>
  <c r="AC47" i="4"/>
  <c r="AB47" i="4"/>
  <c r="V47" i="4"/>
  <c r="W47" i="4" s="1"/>
  <c r="U47" i="4"/>
  <c r="AH46" i="4"/>
  <c r="AB46" i="4"/>
  <c r="AC46" i="4" s="1"/>
  <c r="V46" i="4"/>
  <c r="W46" i="4" s="1"/>
  <c r="U46" i="4"/>
  <c r="AH45" i="4"/>
  <c r="AB45" i="4"/>
  <c r="V45" i="4"/>
  <c r="W45" i="4" s="1"/>
  <c r="AF45" i="4" s="1"/>
  <c r="U45" i="4"/>
  <c r="AC45" i="4" s="1"/>
  <c r="AH44" i="4"/>
  <c r="AB44" i="4"/>
  <c r="V44" i="4"/>
  <c r="W44" i="4" s="1"/>
  <c r="U44" i="4"/>
  <c r="AC44" i="4" s="1"/>
  <c r="AH43" i="4"/>
  <c r="AC43" i="4"/>
  <c r="AB43" i="4"/>
  <c r="V43" i="4"/>
  <c r="W43" i="4" s="1"/>
  <c r="AF43" i="4" s="1"/>
  <c r="U43" i="4"/>
  <c r="AH42" i="4"/>
  <c r="AC42" i="4"/>
  <c r="AB42" i="4"/>
  <c r="V42" i="4"/>
  <c r="W42" i="4" s="1"/>
  <c r="AF42" i="4" s="1"/>
  <c r="U42" i="4"/>
  <c r="AH41" i="4"/>
  <c r="AB41" i="4"/>
  <c r="V41" i="4"/>
  <c r="W41" i="4" s="1"/>
  <c r="AF41" i="4" s="1"/>
  <c r="U41" i="4"/>
  <c r="AC41" i="4" s="1"/>
  <c r="AH40" i="4"/>
  <c r="AB40" i="4"/>
  <c r="AC40" i="4" s="1"/>
  <c r="V40" i="4"/>
  <c r="W40" i="4" s="1"/>
  <c r="AF40" i="4" s="1"/>
  <c r="U40" i="4"/>
  <c r="Y40" i="4" s="1"/>
  <c r="X40" i="4" s="1"/>
  <c r="AH39" i="4"/>
  <c r="AB39" i="4"/>
  <c r="AC39" i="4" s="1"/>
  <c r="V39" i="4"/>
  <c r="W39" i="4" s="1"/>
  <c r="U39" i="4"/>
  <c r="AH38" i="4"/>
  <c r="AB38" i="4"/>
  <c r="AH37" i="4"/>
  <c r="AB37" i="4"/>
  <c r="AC37" i="4" s="1"/>
  <c r="V37" i="4"/>
  <c r="W37" i="4" s="1"/>
  <c r="Y37" i="4" s="1"/>
  <c r="X37" i="4" s="1"/>
  <c r="AH36" i="4"/>
  <c r="AB36" i="4"/>
  <c r="AC36" i="4" s="1"/>
  <c r="V36" i="4"/>
  <c r="W36" i="4" s="1"/>
  <c r="AH35" i="4"/>
  <c r="AB35" i="4"/>
  <c r="AC35" i="4" s="1"/>
  <c r="V35" i="4"/>
  <c r="W35" i="4" s="1"/>
  <c r="Y35" i="4" s="1"/>
  <c r="X35" i="4" s="1"/>
  <c r="AH34" i="4"/>
  <c r="AG34" i="4"/>
  <c r="AC34" i="4"/>
  <c r="AB34" i="4"/>
  <c r="V34" i="4"/>
  <c r="W34" i="4" s="1"/>
  <c r="AH33" i="4"/>
  <c r="AC33" i="4"/>
  <c r="AB33" i="4"/>
  <c r="V33" i="4"/>
  <c r="W33" i="4" s="1"/>
  <c r="AF33" i="4" s="1"/>
  <c r="AH32" i="4"/>
  <c r="V32" i="4"/>
  <c r="W32" i="4" s="1"/>
  <c r="Y32" i="4" s="1"/>
  <c r="X32" i="4" s="1"/>
  <c r="AB32" i="4"/>
  <c r="AC32" i="4" s="1"/>
  <c r="AH31" i="4"/>
  <c r="AG31" i="4"/>
  <c r="AB31" i="4"/>
  <c r="AC31" i="4" s="1"/>
  <c r="V31" i="4"/>
  <c r="W31" i="4" s="1"/>
  <c r="AH30" i="4"/>
  <c r="AB30" i="4"/>
  <c r="AC30" i="4" s="1"/>
  <c r="V30" i="4"/>
  <c r="W30" i="4" s="1"/>
  <c r="AH29" i="4"/>
  <c r="AB29" i="4"/>
  <c r="AC29" i="4" s="1"/>
  <c r="V29" i="4"/>
  <c r="W29" i="4" s="1"/>
  <c r="AH28" i="4"/>
  <c r="AB28" i="4"/>
  <c r="AC28" i="4" s="1"/>
  <c r="V28" i="4"/>
  <c r="W28" i="4" s="1"/>
  <c r="AH27" i="4"/>
  <c r="AB27" i="4"/>
  <c r="AC27" i="4" s="1"/>
  <c r="V27" i="4"/>
  <c r="W27" i="4" s="1"/>
  <c r="AH26" i="4"/>
  <c r="AG26" i="4"/>
  <c r="AB26" i="4"/>
  <c r="AC26" i="4" s="1"/>
  <c r="V26" i="4"/>
  <c r="W26" i="4" s="1"/>
  <c r="AH25" i="4"/>
  <c r="AC25" i="4"/>
  <c r="AB25" i="4"/>
  <c r="V25" i="4"/>
  <c r="W25" i="4" s="1"/>
  <c r="AH24" i="4"/>
  <c r="AC24" i="4"/>
  <c r="AB24" i="4"/>
  <c r="V24" i="4"/>
  <c r="W24" i="4" s="1"/>
  <c r="AH23" i="4"/>
  <c r="AG23" i="4"/>
  <c r="V23" i="4" s="1"/>
  <c r="W23" i="4" s="1"/>
  <c r="AB23" i="4"/>
  <c r="AC23" i="4" s="1"/>
  <c r="AH22" i="4"/>
  <c r="AC22" i="4"/>
  <c r="AB22" i="4"/>
  <c r="V22" i="4"/>
  <c r="W22" i="4" s="1"/>
  <c r="AH21" i="4"/>
  <c r="AB21" i="4"/>
  <c r="AC21" i="4" s="1"/>
  <c r="V21" i="4"/>
  <c r="W21" i="4" s="1"/>
  <c r="AH20" i="4"/>
  <c r="AC20" i="4"/>
  <c r="AB20" i="4"/>
  <c r="V20" i="4"/>
  <c r="W20" i="4" s="1"/>
  <c r="AH19" i="4"/>
  <c r="AB19" i="4"/>
  <c r="AC19" i="4" s="1"/>
  <c r="V19" i="4"/>
  <c r="W19" i="4" s="1"/>
  <c r="Y19" i="4" s="1"/>
  <c r="X19" i="4" s="1"/>
  <c r="AH18" i="4"/>
  <c r="AB18" i="4"/>
  <c r="AC18" i="4" s="1"/>
  <c r="V18" i="4"/>
  <c r="W18" i="4" s="1"/>
  <c r="AH17" i="4"/>
  <c r="AB17" i="4"/>
  <c r="AC17" i="4" s="1"/>
  <c r="V17" i="4"/>
  <c r="W17" i="4" s="1"/>
  <c r="Y17" i="4" s="1"/>
  <c r="X17" i="4" s="1"/>
  <c r="AH16" i="4"/>
  <c r="AB16" i="4"/>
  <c r="AC16" i="4" s="1"/>
  <c r="V16" i="4"/>
  <c r="W16" i="4" s="1"/>
  <c r="AF16" i="4" s="1"/>
  <c r="AH15" i="4"/>
  <c r="AG15" i="4"/>
  <c r="V15" i="4" s="1"/>
  <c r="W15" i="4" s="1"/>
  <c r="AC15" i="4"/>
  <c r="AB15" i="4"/>
  <c r="AH14" i="4"/>
  <c r="AB14" i="4"/>
  <c r="AC14" i="4" s="1"/>
  <c r="V14" i="4"/>
  <c r="W14" i="4" s="1"/>
  <c r="AH13" i="4"/>
  <c r="AB13" i="4"/>
  <c r="AC13" i="4" s="1"/>
  <c r="V13" i="4"/>
  <c r="W13" i="4" s="1"/>
  <c r="AH12" i="4"/>
  <c r="AG12" i="4"/>
  <c r="AC12" i="4"/>
  <c r="AB12" i="4"/>
  <c r="V12" i="4"/>
  <c r="W12" i="4" s="1"/>
  <c r="Y12" i="4" s="1"/>
  <c r="X12" i="4" s="1"/>
  <c r="AH11" i="4"/>
  <c r="AG11" i="4"/>
  <c r="AC11" i="4"/>
  <c r="AB11" i="4"/>
  <c r="W11" i="4"/>
  <c r="AH10" i="4"/>
  <c r="AB10" i="4"/>
  <c r="AC10" i="4" s="1"/>
  <c r="V10" i="4"/>
  <c r="W10" i="4" s="1"/>
  <c r="Y10" i="4" s="1"/>
  <c r="AB9" i="4"/>
  <c r="AG148" i="3"/>
  <c r="AG492" i="3"/>
  <c r="AG489" i="3"/>
  <c r="AG466" i="3"/>
  <c r="AG465" i="3"/>
  <c r="AG448" i="3"/>
  <c r="AG447" i="3"/>
  <c r="AG407" i="3"/>
  <c r="AG383" i="3"/>
  <c r="AG381" i="3"/>
  <c r="AG370" i="3"/>
  <c r="AG205" i="3"/>
  <c r="Z495" i="7" l="1"/>
  <c r="X7" i="7"/>
  <c r="AJ7" i="7"/>
  <c r="AH6" i="7" s="1"/>
  <c r="Y8" i="6"/>
  <c r="X8" i="6"/>
  <c r="Y42" i="4"/>
  <c r="X42" i="4" s="1"/>
  <c r="Y132" i="4"/>
  <c r="X132" i="4" s="1"/>
  <c r="Y176" i="4"/>
  <c r="X176" i="4" s="1"/>
  <c r="AF258" i="4"/>
  <c r="Y149" i="4"/>
  <c r="X149" i="4" s="1"/>
  <c r="Y85" i="4"/>
  <c r="X85" i="4" s="1"/>
  <c r="Y51" i="4"/>
  <c r="X51" i="4" s="1"/>
  <c r="AF371" i="4"/>
  <c r="Y251" i="4"/>
  <c r="X251" i="4" s="1"/>
  <c r="Y227" i="4"/>
  <c r="X227" i="4" s="1"/>
  <c r="AF101" i="4"/>
  <c r="AF173" i="4"/>
  <c r="AF335" i="4"/>
  <c r="AF266" i="4"/>
  <c r="AF302" i="4"/>
  <c r="AF407" i="4"/>
  <c r="Y407" i="4"/>
  <c r="X407" i="4" s="1"/>
  <c r="Y483" i="4"/>
  <c r="X483" i="4" s="1"/>
  <c r="AF483" i="4"/>
  <c r="Y297" i="4"/>
  <c r="X297" i="4" s="1"/>
  <c r="AF297" i="4"/>
  <c r="AF208" i="4"/>
  <c r="Y208" i="4"/>
  <c r="X208" i="4" s="1"/>
  <c r="AF338" i="4"/>
  <c r="AF430" i="4"/>
  <c r="Y139" i="4"/>
  <c r="X139" i="4" s="1"/>
  <c r="AF284" i="4"/>
  <c r="AF257" i="4"/>
  <c r="AF312" i="4"/>
  <c r="AF230" i="4"/>
  <c r="Y70" i="4"/>
  <c r="X70" i="4" s="1"/>
  <c r="Y326" i="4"/>
  <c r="X326" i="4" s="1"/>
  <c r="AF172" i="4"/>
  <c r="AF239" i="4"/>
  <c r="AF368" i="4"/>
  <c r="Y388" i="4"/>
  <c r="X388" i="4" s="1"/>
  <c r="AF240" i="4"/>
  <c r="AF441" i="4"/>
  <c r="AF179" i="4"/>
  <c r="AF383" i="4"/>
  <c r="AF98" i="4"/>
  <c r="Y98" i="4"/>
  <c r="X98" i="4" s="1"/>
  <c r="AF273" i="4"/>
  <c r="Y273" i="4"/>
  <c r="X273" i="4" s="1"/>
  <c r="AF191" i="4"/>
  <c r="Y191" i="4"/>
  <c r="X191" i="4" s="1"/>
  <c r="Y197" i="4"/>
  <c r="X197" i="4" s="1"/>
  <c r="AF477" i="4"/>
  <c r="AF140" i="4"/>
  <c r="Y140" i="4"/>
  <c r="X140" i="4" s="1"/>
  <c r="AF165" i="4"/>
  <c r="Y248" i="4"/>
  <c r="X248" i="4" s="1"/>
  <c r="AF347" i="4"/>
  <c r="AF424" i="4"/>
  <c r="AF171" i="4"/>
  <c r="Y171" i="4"/>
  <c r="X171" i="4" s="1"/>
  <c r="AF287" i="4"/>
  <c r="AF255" i="4"/>
  <c r="Y255" i="4"/>
  <c r="X255" i="4" s="1"/>
  <c r="AF12" i="4"/>
  <c r="AF136" i="4"/>
  <c r="Y136" i="4"/>
  <c r="X136" i="4" s="1"/>
  <c r="AF242" i="4"/>
  <c r="AF262" i="4"/>
  <c r="Y262" i="4"/>
  <c r="X262" i="4" s="1"/>
  <c r="AF366" i="4"/>
  <c r="Y366" i="4"/>
  <c r="X366" i="4" s="1"/>
  <c r="AF274" i="4"/>
  <c r="Y274" i="4"/>
  <c r="X274" i="4" s="1"/>
  <c r="AF87" i="4"/>
  <c r="AF13" i="4"/>
  <c r="Y13" i="4"/>
  <c r="X13" i="4" s="1"/>
  <c r="Y167" i="4"/>
  <c r="X167" i="4" s="1"/>
  <c r="AF167" i="4"/>
  <c r="AF210" i="4"/>
  <c r="Y210" i="4"/>
  <c r="X210" i="4" s="1"/>
  <c r="Y216" i="4"/>
  <c r="X216" i="4" s="1"/>
  <c r="AF216" i="4"/>
  <c r="Y276" i="4"/>
  <c r="X276" i="4" s="1"/>
  <c r="AF349" i="4"/>
  <c r="Y349" i="4"/>
  <c r="X349" i="4" s="1"/>
  <c r="Y110" i="4"/>
  <c r="X110" i="4" s="1"/>
  <c r="AF110" i="4"/>
  <c r="AF120" i="4"/>
  <c r="Y434" i="4"/>
  <c r="X434" i="4" s="1"/>
  <c r="AF434" i="4"/>
  <c r="AF224" i="4"/>
  <c r="AF466" i="4"/>
  <c r="AF353" i="4"/>
  <c r="Y22" i="4"/>
  <c r="X22" i="4" s="1"/>
  <c r="AF22" i="4"/>
  <c r="Y360" i="4"/>
  <c r="X360" i="4" s="1"/>
  <c r="AF360" i="4"/>
  <c r="AF223" i="4"/>
  <c r="Y223" i="4"/>
  <c r="X223" i="4" s="1"/>
  <c r="Y480" i="4"/>
  <c r="X480" i="4" s="1"/>
  <c r="AF480" i="4"/>
  <c r="AF157" i="4"/>
  <c r="Y157" i="4"/>
  <c r="X157" i="4" s="1"/>
  <c r="Y69" i="4"/>
  <c r="X69" i="4" s="1"/>
  <c r="AF69" i="4"/>
  <c r="AF117" i="4"/>
  <c r="Y117" i="4"/>
  <c r="X117" i="4" s="1"/>
  <c r="AF36" i="4"/>
  <c r="Y36" i="4"/>
  <c r="X36" i="4" s="1"/>
  <c r="AF293" i="4"/>
  <c r="Y293" i="4"/>
  <c r="X293" i="4" s="1"/>
  <c r="AF291" i="4"/>
  <c r="Y291" i="4"/>
  <c r="X291" i="4" s="1"/>
  <c r="AF35" i="4"/>
  <c r="Y107" i="4"/>
  <c r="X107" i="4" s="1"/>
  <c r="Y272" i="4"/>
  <c r="X272" i="4" s="1"/>
  <c r="Y468" i="4"/>
  <c r="X468" i="4" s="1"/>
  <c r="AF468" i="4"/>
  <c r="Y426" i="4"/>
  <c r="X426" i="4" s="1"/>
  <c r="AF426" i="4"/>
  <c r="Y146" i="4"/>
  <c r="X146" i="4" s="1"/>
  <c r="AF146" i="4"/>
  <c r="Y47" i="4"/>
  <c r="X47" i="4" s="1"/>
  <c r="AF47" i="4"/>
  <c r="Y219" i="4"/>
  <c r="X219" i="4" s="1"/>
  <c r="Y365" i="4"/>
  <c r="X365" i="4" s="1"/>
  <c r="Y185" i="4"/>
  <c r="X185" i="4" s="1"/>
  <c r="Y194" i="4"/>
  <c r="X194" i="4" s="1"/>
  <c r="AF436" i="4"/>
  <c r="Y73" i="4"/>
  <c r="X73" i="4" s="1"/>
  <c r="Y324" i="4"/>
  <c r="X324" i="4" s="1"/>
  <c r="Y408" i="4"/>
  <c r="X408" i="4" s="1"/>
  <c r="AF180" i="4"/>
  <c r="Y214" i="4"/>
  <c r="X214" i="4" s="1"/>
  <c r="Y299" i="4"/>
  <c r="X299" i="4" s="1"/>
  <c r="AF311" i="4"/>
  <c r="AF443" i="4"/>
  <c r="Y190" i="4"/>
  <c r="X190" i="4" s="1"/>
  <c r="Y127" i="4"/>
  <c r="X127" i="4" s="1"/>
  <c r="AF278" i="4"/>
  <c r="AF462" i="4"/>
  <c r="AF438" i="4"/>
  <c r="AF486" i="4"/>
  <c r="Y245" i="4"/>
  <c r="X245" i="4" s="1"/>
  <c r="Y263" i="4"/>
  <c r="X263" i="4" s="1"/>
  <c r="AF279" i="4"/>
  <c r="AF290" i="4"/>
  <c r="AF362" i="4"/>
  <c r="AF463" i="4"/>
  <c r="AF475" i="4"/>
  <c r="AF474" i="4"/>
  <c r="Y16" i="4"/>
  <c r="X16" i="4" s="1"/>
  <c r="AF44" i="4"/>
  <c r="AF60" i="4"/>
  <c r="Y91" i="4"/>
  <c r="X91" i="4" s="1"/>
  <c r="Y155" i="4"/>
  <c r="X155" i="4" s="1"/>
  <c r="Y264" i="4"/>
  <c r="X264" i="4" s="1"/>
  <c r="Y275" i="4"/>
  <c r="X275" i="4" s="1"/>
  <c r="Y340" i="4"/>
  <c r="X340" i="4" s="1"/>
  <c r="Y101" i="4"/>
  <c r="X101" i="4" s="1"/>
  <c r="AF351" i="4"/>
  <c r="AF386" i="4"/>
  <c r="AF73" i="4"/>
  <c r="AF131" i="4"/>
  <c r="Y344" i="4"/>
  <c r="X344" i="4" s="1"/>
  <c r="AF380" i="4"/>
  <c r="AF81" i="4"/>
  <c r="AF124" i="4"/>
  <c r="AF134" i="4"/>
  <c r="Y160" i="4"/>
  <c r="X160" i="4" s="1"/>
  <c r="Y229" i="4"/>
  <c r="X229" i="4" s="1"/>
  <c r="Y281" i="4"/>
  <c r="X281" i="4" s="1"/>
  <c r="Y370" i="4"/>
  <c r="X370" i="4" s="1"/>
  <c r="AF417" i="4"/>
  <c r="Y345" i="4"/>
  <c r="X345" i="4" s="1"/>
  <c r="Y82" i="4"/>
  <c r="X82" i="4" s="1"/>
  <c r="AF91" i="4"/>
  <c r="Y212" i="4"/>
  <c r="X212" i="4" s="1"/>
  <c r="AF423" i="4"/>
  <c r="AF453" i="4"/>
  <c r="Y484" i="4"/>
  <c r="X484" i="4" s="1"/>
  <c r="AF484" i="4"/>
  <c r="AF72" i="4"/>
  <c r="Y72" i="4"/>
  <c r="X72" i="4" s="1"/>
  <c r="AF267" i="4"/>
  <c r="Y267" i="4"/>
  <c r="X267" i="4" s="1"/>
  <c r="AF467" i="4"/>
  <c r="Y467" i="4"/>
  <c r="X467" i="4" s="1"/>
  <c r="AF52" i="4"/>
  <c r="Y52" i="4"/>
  <c r="X52" i="4" s="1"/>
  <c r="AF175" i="4"/>
  <c r="Y175" i="4"/>
  <c r="X175" i="4" s="1"/>
  <c r="AF249" i="4"/>
  <c r="Y249" i="4"/>
  <c r="X249" i="4" s="1"/>
  <c r="AF244" i="4"/>
  <c r="Y244" i="4"/>
  <c r="X244" i="4" s="1"/>
  <c r="AF14" i="4"/>
  <c r="Y14" i="4"/>
  <c r="X14" i="4" s="1"/>
  <c r="AF79" i="4"/>
  <c r="Y79" i="4"/>
  <c r="X79" i="4" s="1"/>
  <c r="AF23" i="4"/>
  <c r="Y23" i="4"/>
  <c r="X23" i="4" s="1"/>
  <c r="AF24" i="4"/>
  <c r="Y24" i="4"/>
  <c r="X24" i="4" s="1"/>
  <c r="AF97" i="4"/>
  <c r="Y97" i="4"/>
  <c r="X97" i="4" s="1"/>
  <c r="Y30" i="4"/>
  <c r="X30" i="4" s="1"/>
  <c r="AF30" i="4"/>
  <c r="AF209" i="4"/>
  <c r="Y209" i="4"/>
  <c r="X209" i="4" s="1"/>
  <c r="AF354" i="4"/>
  <c r="Y354" i="4"/>
  <c r="X354" i="4" s="1"/>
  <c r="AF162" i="4"/>
  <c r="Y162" i="4"/>
  <c r="X162" i="4" s="1"/>
  <c r="U327" i="4"/>
  <c r="AF280" i="4"/>
  <c r="Y280" i="4"/>
  <c r="X280" i="4" s="1"/>
  <c r="AF448" i="4"/>
  <c r="Y448" i="4"/>
  <c r="X448" i="4" s="1"/>
  <c r="AF425" i="4"/>
  <c r="Y425" i="4"/>
  <c r="X425" i="4" s="1"/>
  <c r="AF225" i="4"/>
  <c r="Y225" i="4"/>
  <c r="X225" i="4" s="1"/>
  <c r="AF232" i="4"/>
  <c r="Y232" i="4"/>
  <c r="X232" i="4" s="1"/>
  <c r="AF20" i="4"/>
  <c r="Y20" i="4"/>
  <c r="X20" i="4" s="1"/>
  <c r="AF113" i="4"/>
  <c r="Y113" i="4"/>
  <c r="X113" i="4" s="1"/>
  <c r="AF21" i="4"/>
  <c r="Y21" i="4"/>
  <c r="X21" i="4" s="1"/>
  <c r="Y39" i="4"/>
  <c r="AF39" i="4"/>
  <c r="AF123" i="4"/>
  <c r="Y123" i="4"/>
  <c r="X123" i="4" s="1"/>
  <c r="AF34" i="4"/>
  <c r="Y34" i="4"/>
  <c r="X34" i="4" s="1"/>
  <c r="AF49" i="4"/>
  <c r="Y49" i="4"/>
  <c r="X49" i="4" s="1"/>
  <c r="Y31" i="4"/>
  <c r="X31" i="4" s="1"/>
  <c r="AF31" i="4"/>
  <c r="AF277" i="4"/>
  <c r="Y277" i="4"/>
  <c r="X277" i="4" s="1"/>
  <c r="AF26" i="4"/>
  <c r="Y26" i="4"/>
  <c r="X26" i="4" s="1"/>
  <c r="U9" i="4"/>
  <c r="Y27" i="4"/>
  <c r="X27" i="4" s="1"/>
  <c r="AF27" i="4"/>
  <c r="AF55" i="4"/>
  <c r="Y55" i="4"/>
  <c r="X55" i="4" s="1"/>
  <c r="AF168" i="4"/>
  <c r="Y168" i="4"/>
  <c r="X168" i="4" s="1"/>
  <c r="AF217" i="4"/>
  <c r="Y217" i="4"/>
  <c r="X217" i="4" s="1"/>
  <c r="AF188" i="4"/>
  <c r="Y188" i="4"/>
  <c r="X188" i="4" s="1"/>
  <c r="Y46" i="4"/>
  <c r="X46" i="4" s="1"/>
  <c r="AF46" i="4"/>
  <c r="AF288" i="4"/>
  <c r="Y288" i="4"/>
  <c r="X288" i="4" s="1"/>
  <c r="Y205" i="4"/>
  <c r="X205" i="4" s="1"/>
  <c r="AF205" i="4"/>
  <c r="AF295" i="4"/>
  <c r="Y295" i="4"/>
  <c r="X295" i="4" s="1"/>
  <c r="AF228" i="4"/>
  <c r="Y228" i="4"/>
  <c r="X228" i="4" s="1"/>
  <c r="AF241" i="4"/>
  <c r="Y241" i="4"/>
  <c r="X241" i="4" s="1"/>
  <c r="Y374" i="4"/>
  <c r="X374" i="4" s="1"/>
  <c r="AF374" i="4"/>
  <c r="AF116" i="4"/>
  <c r="Y116" i="4"/>
  <c r="X116" i="4" s="1"/>
  <c r="Y57" i="4"/>
  <c r="X57" i="4" s="1"/>
  <c r="AF57" i="4"/>
  <c r="AF189" i="4"/>
  <c r="Y189" i="4"/>
  <c r="X189" i="4" s="1"/>
  <c r="Y88" i="4"/>
  <c r="X88" i="4" s="1"/>
  <c r="AF88" i="4"/>
  <c r="U220" i="4"/>
  <c r="AF11" i="4"/>
  <c r="Y11" i="4"/>
  <c r="X11" i="4" s="1"/>
  <c r="Y61" i="4"/>
  <c r="X61" i="4" s="1"/>
  <c r="Y66" i="4"/>
  <c r="X66" i="4" s="1"/>
  <c r="AF66" i="4"/>
  <c r="Y29" i="4"/>
  <c r="X29" i="4" s="1"/>
  <c r="AF29" i="4"/>
  <c r="Y181" i="4"/>
  <c r="X181" i="4" s="1"/>
  <c r="AF50" i="4"/>
  <c r="Y64" i="4"/>
  <c r="X64" i="4" s="1"/>
  <c r="Y129" i="4"/>
  <c r="X129" i="4" s="1"/>
  <c r="Y420" i="4"/>
  <c r="X420" i="4" s="1"/>
  <c r="AF465" i="4"/>
  <c r="Y465" i="4"/>
  <c r="X465" i="4" s="1"/>
  <c r="AF10" i="4"/>
  <c r="AF17" i="4"/>
  <c r="AF32" i="4"/>
  <c r="Y43" i="4"/>
  <c r="X43" i="4" s="1"/>
  <c r="Y178" i="4"/>
  <c r="Y54" i="4"/>
  <c r="X54" i="4" s="1"/>
  <c r="AC82" i="4"/>
  <c r="AF104" i="4"/>
  <c r="AC132" i="4"/>
  <c r="AF147" i="4"/>
  <c r="Y174" i="4"/>
  <c r="X174" i="4" s="1"/>
  <c r="AF193" i="4"/>
  <c r="Y193" i="4"/>
  <c r="X193" i="4" s="1"/>
  <c r="Y201" i="4"/>
  <c r="X201" i="4" s="1"/>
  <c r="Y213" i="4"/>
  <c r="X213" i="4" s="1"/>
  <c r="AF218" i="4"/>
  <c r="Y218" i="4"/>
  <c r="X218" i="4" s="1"/>
  <c r="AF304" i="4"/>
  <c r="Y304" i="4"/>
  <c r="X304" i="4" s="1"/>
  <c r="Y310" i="4"/>
  <c r="X310" i="4" s="1"/>
  <c r="AF316" i="4"/>
  <c r="Y316" i="4"/>
  <c r="X316" i="4" s="1"/>
  <c r="AF442" i="4"/>
  <c r="Y442" i="4"/>
  <c r="X442" i="4" s="1"/>
  <c r="AF459" i="4"/>
  <c r="Y459" i="4"/>
  <c r="X459" i="4" s="1"/>
  <c r="AF381" i="4"/>
  <c r="Y332" i="4"/>
  <c r="X332" i="4" s="1"/>
  <c r="AF247" i="4"/>
  <c r="Y247" i="4"/>
  <c r="X247" i="4" s="1"/>
  <c r="AF252" i="4"/>
  <c r="Y252" i="4"/>
  <c r="X252" i="4" s="1"/>
  <c r="AF339" i="4"/>
  <c r="Y339" i="4"/>
  <c r="X339" i="4" s="1"/>
  <c r="AF387" i="4"/>
  <c r="Y387" i="4"/>
  <c r="X387" i="4" s="1"/>
  <c r="AF415" i="4"/>
  <c r="AF437" i="4"/>
  <c r="Y437" i="4"/>
  <c r="X437" i="4" s="1"/>
  <c r="AF481" i="4"/>
  <c r="Y481" i="4"/>
  <c r="X481" i="4" s="1"/>
  <c r="AF492" i="4"/>
  <c r="Y492" i="4"/>
  <c r="X492" i="4" s="1"/>
  <c r="AC93" i="4"/>
  <c r="Y93" i="4"/>
  <c r="X93" i="4" s="1"/>
  <c r="AF231" i="4"/>
  <c r="AF18" i="4"/>
  <c r="Y18" i="4"/>
  <c r="X18" i="4" s="1"/>
  <c r="Y119" i="4"/>
  <c r="X119" i="4" s="1"/>
  <c r="Y144" i="4"/>
  <c r="X144" i="4" s="1"/>
  <c r="AF317" i="4"/>
  <c r="Y317" i="4"/>
  <c r="X317" i="4" s="1"/>
  <c r="Y421" i="4"/>
  <c r="X421" i="4" s="1"/>
  <c r="AF421" i="4"/>
  <c r="AF454" i="4"/>
  <c r="Y454" i="4"/>
  <c r="X454" i="4" s="1"/>
  <c r="AF460" i="4"/>
  <c r="Y460" i="4"/>
  <c r="X460" i="4" s="1"/>
  <c r="Y186" i="4"/>
  <c r="X186" i="4" s="1"/>
  <c r="AC186" i="4"/>
  <c r="AC61" i="4"/>
  <c r="AC83" i="4"/>
  <c r="Y83" i="4"/>
  <c r="X83" i="4" s="1"/>
  <c r="Y151" i="4"/>
  <c r="X151" i="4" s="1"/>
  <c r="AF300" i="4"/>
  <c r="Y323" i="4"/>
  <c r="X323" i="4" s="1"/>
  <c r="AF382" i="4"/>
  <c r="Y382" i="4"/>
  <c r="X382" i="4" s="1"/>
  <c r="AF416" i="4"/>
  <c r="Y416" i="4"/>
  <c r="X416" i="4" s="1"/>
  <c r="Y222" i="4"/>
  <c r="X222" i="4" s="1"/>
  <c r="AF222" i="4"/>
  <c r="AC89" i="4"/>
  <c r="Y89" i="4"/>
  <c r="X89" i="4" s="1"/>
  <c r="Y122" i="4"/>
  <c r="X122" i="4" s="1"/>
  <c r="AC122" i="4"/>
  <c r="AC154" i="4"/>
  <c r="Y154" i="4"/>
  <c r="X154" i="4" s="1"/>
  <c r="Y126" i="4"/>
  <c r="X126" i="4" s="1"/>
  <c r="Y33" i="4"/>
  <c r="X33" i="4" s="1"/>
  <c r="AF65" i="4"/>
  <c r="Y65" i="4"/>
  <c r="X65" i="4" s="1"/>
  <c r="X134" i="4"/>
  <c r="AF238" i="4"/>
  <c r="Y238" i="4"/>
  <c r="AF19" i="4"/>
  <c r="Y58" i="4"/>
  <c r="X58" i="4" s="1"/>
  <c r="Y76" i="4"/>
  <c r="X76" i="4" s="1"/>
  <c r="AF90" i="4"/>
  <c r="Y94" i="4"/>
  <c r="X94" i="4" s="1"/>
  <c r="Y109" i="4"/>
  <c r="X109" i="4" s="1"/>
  <c r="AF137" i="4"/>
  <c r="V148" i="4"/>
  <c r="W148" i="4" s="1"/>
  <c r="AF148" i="4" s="1"/>
  <c r="AC201" i="4"/>
  <c r="AF233" i="4"/>
  <c r="Y233" i="4"/>
  <c r="X233" i="4" s="1"/>
  <c r="AF269" i="4"/>
  <c r="Y269" i="4"/>
  <c r="X269" i="4" s="1"/>
  <c r="Y296" i="4"/>
  <c r="X296" i="4" s="1"/>
  <c r="AF328" i="4"/>
  <c r="Y328" i="4"/>
  <c r="AF350" i="4"/>
  <c r="Y350" i="4"/>
  <c r="X350" i="4" s="1"/>
  <c r="Y411" i="4"/>
  <c r="X411" i="4" s="1"/>
  <c r="AF449" i="4"/>
  <c r="Y449" i="4"/>
  <c r="X449" i="4" s="1"/>
  <c r="AF482" i="4"/>
  <c r="Y482" i="4"/>
  <c r="X482" i="4" s="1"/>
  <c r="Y464" i="4"/>
  <c r="X464" i="4" s="1"/>
  <c r="AF464" i="4"/>
  <c r="Y68" i="4"/>
  <c r="X68" i="4" s="1"/>
  <c r="AC68" i="4"/>
  <c r="AC183" i="4"/>
  <c r="U177" i="4" s="1"/>
  <c r="Y183" i="4"/>
  <c r="X183" i="4" s="1"/>
  <c r="Y198" i="4"/>
  <c r="X198" i="4" s="1"/>
  <c r="AF318" i="4"/>
  <c r="Y318" i="4"/>
  <c r="X318" i="4" s="1"/>
  <c r="AF455" i="4"/>
  <c r="Y455" i="4"/>
  <c r="X455" i="4" s="1"/>
  <c r="Y75" i="4"/>
  <c r="X75" i="4" s="1"/>
  <c r="AC141" i="4"/>
  <c r="Y141" i="4"/>
  <c r="X141" i="4" s="1"/>
  <c r="AF292" i="4"/>
  <c r="Y292" i="4"/>
  <c r="X292" i="4" s="1"/>
  <c r="Y306" i="4"/>
  <c r="X306" i="4" s="1"/>
  <c r="AF306" i="4"/>
  <c r="AF356" i="4"/>
  <c r="Y356" i="4"/>
  <c r="X356" i="4" s="1"/>
  <c r="AF422" i="4"/>
  <c r="Y422" i="4"/>
  <c r="X422" i="4" s="1"/>
  <c r="AF427" i="4"/>
  <c r="Y427" i="4"/>
  <c r="X427" i="4" s="1"/>
  <c r="AF337" i="4"/>
  <c r="Y337" i="4"/>
  <c r="X337" i="4" s="1"/>
  <c r="Y71" i="4"/>
  <c r="X71" i="4" s="1"/>
  <c r="AC71" i="4"/>
  <c r="Y236" i="4"/>
  <c r="X236" i="4" s="1"/>
  <c r="Y303" i="4"/>
  <c r="X303" i="4" s="1"/>
  <c r="AC50" i="4"/>
  <c r="Y50" i="4"/>
  <c r="X50" i="4" s="1"/>
  <c r="AC86" i="4"/>
  <c r="Y86" i="4"/>
  <c r="X86" i="4" s="1"/>
  <c r="Y80" i="4"/>
  <c r="X80" i="4" s="1"/>
  <c r="Y138" i="4"/>
  <c r="X138" i="4" s="1"/>
  <c r="Y159" i="4"/>
  <c r="X159" i="4" s="1"/>
  <c r="AC169" i="4"/>
  <c r="Y169" i="4"/>
  <c r="X169" i="4" s="1"/>
  <c r="X472" i="4"/>
  <c r="AC108" i="4"/>
  <c r="Y108" i="4"/>
  <c r="X108" i="4" s="1"/>
  <c r="AF15" i="4"/>
  <c r="Y15" i="4"/>
  <c r="X15" i="4" s="1"/>
  <c r="AC48" i="4"/>
  <c r="U38" i="4" s="1"/>
  <c r="Y48" i="4"/>
  <c r="X48" i="4" s="1"/>
  <c r="AF206" i="4"/>
  <c r="Y206" i="4"/>
  <c r="X206" i="4" s="1"/>
  <c r="AF234" i="4"/>
  <c r="Y234" i="4"/>
  <c r="X234" i="4" s="1"/>
  <c r="AF259" i="4"/>
  <c r="Y259" i="4"/>
  <c r="X259" i="4" s="1"/>
  <c r="AF412" i="4"/>
  <c r="Y412" i="4"/>
  <c r="X412" i="4" s="1"/>
  <c r="AF268" i="4"/>
  <c r="Y268" i="4"/>
  <c r="X268" i="4" s="1"/>
  <c r="Y77" i="4"/>
  <c r="X77" i="4" s="1"/>
  <c r="AC77" i="4"/>
  <c r="AF254" i="4"/>
  <c r="Y254" i="4"/>
  <c r="X254" i="4" s="1"/>
  <c r="AF378" i="4"/>
  <c r="Y378" i="4"/>
  <c r="AF309" i="4"/>
  <c r="Y309" i="4"/>
  <c r="X309" i="4" s="1"/>
  <c r="AF294" i="4"/>
  <c r="AF37" i="4"/>
  <c r="AF145" i="4"/>
  <c r="Y145" i="4"/>
  <c r="X145" i="4" s="1"/>
  <c r="AC198" i="4"/>
  <c r="AF215" i="4"/>
  <c r="Y319" i="4"/>
  <c r="X319" i="4" s="1"/>
  <c r="AF341" i="4"/>
  <c r="Y341" i="4"/>
  <c r="X341" i="4" s="1"/>
  <c r="AF363" i="4"/>
  <c r="Y363" i="4"/>
  <c r="X363" i="4" s="1"/>
  <c r="AF439" i="4"/>
  <c r="Y439" i="4"/>
  <c r="X439" i="4" s="1"/>
  <c r="AF472" i="4"/>
  <c r="X10" i="4"/>
  <c r="Y207" i="4"/>
  <c r="X207" i="4" s="1"/>
  <c r="AF207" i="4"/>
  <c r="AF313" i="4"/>
  <c r="Y313" i="4"/>
  <c r="X313" i="4" s="1"/>
  <c r="U377" i="4"/>
  <c r="AF418" i="4"/>
  <c r="Y418" i="4"/>
  <c r="X418" i="4" s="1"/>
  <c r="AF445" i="4"/>
  <c r="Y445" i="4"/>
  <c r="X445" i="4" s="1"/>
  <c r="Y103" i="4"/>
  <c r="X103" i="4" s="1"/>
  <c r="U202" i="4"/>
  <c r="AF260" i="4"/>
  <c r="Y260" i="4"/>
  <c r="X260" i="4" s="1"/>
  <c r="AF352" i="4"/>
  <c r="Y352" i="4"/>
  <c r="X352" i="4" s="1"/>
  <c r="AF265" i="4"/>
  <c r="Y265" i="4"/>
  <c r="X265" i="4" s="1"/>
  <c r="Y45" i="4"/>
  <c r="X45" i="4" s="1"/>
  <c r="AC49" i="4"/>
  <c r="Y63" i="4"/>
  <c r="X63" i="4" s="1"/>
  <c r="Y114" i="4"/>
  <c r="X114" i="4" s="1"/>
  <c r="Y128" i="4"/>
  <c r="X128" i="4" s="1"/>
  <c r="Y135" i="4"/>
  <c r="X135" i="4" s="1"/>
  <c r="Y163" i="4"/>
  <c r="X163" i="4" s="1"/>
  <c r="Y184" i="4"/>
  <c r="X184" i="4" s="1"/>
  <c r="Y195" i="4"/>
  <c r="X195" i="4" s="1"/>
  <c r="AC199" i="4"/>
  <c r="Y199" i="4"/>
  <c r="X199" i="4" s="1"/>
  <c r="AF221" i="4"/>
  <c r="AF320" i="4"/>
  <c r="Y320" i="4"/>
  <c r="X320" i="4" s="1"/>
  <c r="AF336" i="4"/>
  <c r="Y336" i="4"/>
  <c r="X336" i="4" s="1"/>
  <c r="AF285" i="4"/>
  <c r="Y285" i="4"/>
  <c r="X285" i="4" s="1"/>
  <c r="AF331" i="4"/>
  <c r="Y331" i="4"/>
  <c r="X331" i="4" s="1"/>
  <c r="AF342" i="4"/>
  <c r="Y342" i="4"/>
  <c r="X342" i="4" s="1"/>
  <c r="AF364" i="4"/>
  <c r="Y364" i="4"/>
  <c r="X364" i="4" s="1"/>
  <c r="Y440" i="4"/>
  <c r="X440" i="4" s="1"/>
  <c r="AF440" i="4"/>
  <c r="U450" i="4"/>
  <c r="AC96" i="4"/>
  <c r="Y96" i="4"/>
  <c r="X96" i="4" s="1"/>
  <c r="Y92" i="4"/>
  <c r="X92" i="4" s="1"/>
  <c r="AC92" i="4"/>
  <c r="Y100" i="4"/>
  <c r="X100" i="4" s="1"/>
  <c r="Y125" i="4"/>
  <c r="X125" i="4" s="1"/>
  <c r="AF226" i="4"/>
  <c r="Y226" i="4"/>
  <c r="X226" i="4" s="1"/>
  <c r="Y308" i="4"/>
  <c r="X308" i="4" s="1"/>
  <c r="AF314" i="4"/>
  <c r="Y314" i="4"/>
  <c r="X314" i="4" s="1"/>
  <c r="AF490" i="4"/>
  <c r="Y490" i="4"/>
  <c r="X490" i="4" s="1"/>
  <c r="AF28" i="4"/>
  <c r="Y28" i="4"/>
  <c r="X28" i="4" s="1"/>
  <c r="AF375" i="4"/>
  <c r="Y375" i="4"/>
  <c r="X375" i="4" s="1"/>
  <c r="AC157" i="4"/>
  <c r="AC53" i="4"/>
  <c r="Y53" i="4"/>
  <c r="X53" i="4" s="1"/>
  <c r="AC57" i="4"/>
  <c r="AC67" i="4"/>
  <c r="Y67" i="4"/>
  <c r="X67" i="4" s="1"/>
  <c r="Y111" i="4"/>
  <c r="X111" i="4" s="1"/>
  <c r="AC111" i="4"/>
  <c r="AC114" i="4"/>
  <c r="AF142" i="4"/>
  <c r="Y142" i="4"/>
  <c r="X142" i="4" s="1"/>
  <c r="AC192" i="4"/>
  <c r="Y192" i="4"/>
  <c r="X192" i="4" s="1"/>
  <c r="AC196" i="4"/>
  <c r="Y196" i="4"/>
  <c r="X196" i="4" s="1"/>
  <c r="AF250" i="4"/>
  <c r="Y250" i="4"/>
  <c r="X250" i="4" s="1"/>
  <c r="AF261" i="4"/>
  <c r="Y261" i="4"/>
  <c r="X261" i="4" s="1"/>
  <c r="AF346" i="4"/>
  <c r="Y346" i="4"/>
  <c r="X346" i="4" s="1"/>
  <c r="Y478" i="4"/>
  <c r="X478" i="4" s="1"/>
  <c r="AF488" i="4"/>
  <c r="Y488" i="4"/>
  <c r="X488" i="4" s="1"/>
  <c r="Y333" i="4"/>
  <c r="X333" i="4" s="1"/>
  <c r="Y62" i="4"/>
  <c r="X62" i="4" s="1"/>
  <c r="AC170" i="4"/>
  <c r="Y170" i="4"/>
  <c r="X170" i="4" s="1"/>
  <c r="AF315" i="4"/>
  <c r="Y432" i="4"/>
  <c r="X432" i="4" s="1"/>
  <c r="AF432" i="4"/>
  <c r="Y348" i="4"/>
  <c r="X348" i="4" s="1"/>
  <c r="AF414" i="4"/>
  <c r="Y414" i="4"/>
  <c r="X414" i="4" s="1"/>
  <c r="Y74" i="4"/>
  <c r="X74" i="4" s="1"/>
  <c r="Y99" i="4"/>
  <c r="X99" i="4" s="1"/>
  <c r="Y102" i="4"/>
  <c r="X102" i="4" s="1"/>
  <c r="Y105" i="4"/>
  <c r="X105" i="4" s="1"/>
  <c r="Y118" i="4"/>
  <c r="X118" i="4" s="1"/>
  <c r="AC161" i="4"/>
  <c r="Y161" i="4"/>
  <c r="X161" i="4" s="1"/>
  <c r="AF384" i="4"/>
  <c r="Y428" i="4"/>
  <c r="X428" i="4" s="1"/>
  <c r="Y451" i="4"/>
  <c r="AF456" i="4"/>
  <c r="Y456" i="4"/>
  <c r="X456" i="4" s="1"/>
  <c r="AF461" i="4"/>
  <c r="Y461" i="4"/>
  <c r="X461" i="4" s="1"/>
  <c r="AF379" i="4"/>
  <c r="Y379" i="4"/>
  <c r="X379" i="4" s="1"/>
  <c r="AF409" i="4"/>
  <c r="Y409" i="4"/>
  <c r="X409" i="4" s="1"/>
  <c r="AC59" i="4"/>
  <c r="Y59" i="4"/>
  <c r="X59" i="4" s="1"/>
  <c r="Y203" i="4"/>
  <c r="AF203" i="4"/>
  <c r="AF256" i="4"/>
  <c r="Y256" i="4"/>
  <c r="X256" i="4" s="1"/>
  <c r="Y124" i="4"/>
  <c r="X124" i="4" s="1"/>
  <c r="AF204" i="4"/>
  <c r="AF211" i="4"/>
  <c r="AF270" i="4"/>
  <c r="Y270" i="4"/>
  <c r="X270" i="4" s="1"/>
  <c r="AF283" i="4"/>
  <c r="AF321" i="4"/>
  <c r="Y321" i="4"/>
  <c r="X321" i="4" s="1"/>
  <c r="Y433" i="4"/>
  <c r="X433" i="4" s="1"/>
  <c r="AF343" i="4"/>
  <c r="Y343" i="4"/>
  <c r="X343" i="4" s="1"/>
  <c r="AC56" i="4"/>
  <c r="Y56" i="4"/>
  <c r="X56" i="4" s="1"/>
  <c r="Y44" i="4"/>
  <c r="X44" i="4" s="1"/>
  <c r="AF118" i="4"/>
  <c r="Y121" i="4"/>
  <c r="X121" i="4" s="1"/>
  <c r="AC197" i="4"/>
  <c r="AF485" i="4"/>
  <c r="Y485" i="4"/>
  <c r="X485" i="4" s="1"/>
  <c r="Y495" i="4"/>
  <c r="W495" i="4" s="1"/>
  <c r="AF495" i="4" s="1"/>
  <c r="AF496" i="4"/>
  <c r="AF334" i="4"/>
  <c r="Y334" i="4"/>
  <c r="X334" i="4" s="1"/>
  <c r="Y164" i="4"/>
  <c r="X164" i="4" s="1"/>
  <c r="AC164" i="4"/>
  <c r="Y361" i="4"/>
  <c r="X361" i="4" s="1"/>
  <c r="Y489" i="4"/>
  <c r="X489" i="4" s="1"/>
  <c r="AF489" i="4"/>
  <c r="AF25" i="4"/>
  <c r="AF115" i="4"/>
  <c r="Y25" i="4"/>
  <c r="X25" i="4" s="1"/>
  <c r="Y41" i="4"/>
  <c r="X41" i="4" s="1"/>
  <c r="AC78" i="4"/>
  <c r="Y78" i="4"/>
  <c r="X78" i="4" s="1"/>
  <c r="Y158" i="4"/>
  <c r="X158" i="4" s="1"/>
  <c r="AC174" i="4"/>
  <c r="Y204" i="4"/>
  <c r="X204" i="4" s="1"/>
  <c r="Y211" i="4"/>
  <c r="X211" i="4" s="1"/>
  <c r="AF235" i="4"/>
  <c r="AF243" i="4"/>
  <c r="Y283" i="4"/>
  <c r="X283" i="4" s="1"/>
  <c r="Y298" i="4"/>
  <c r="X298" i="4" s="1"/>
  <c r="AF307" i="4"/>
  <c r="Y307" i="4"/>
  <c r="X307" i="4" s="1"/>
  <c r="Y357" i="4"/>
  <c r="X357" i="4" s="1"/>
  <c r="AF367" i="4"/>
  <c r="Y367" i="4"/>
  <c r="X367" i="4" s="1"/>
  <c r="Y385" i="4"/>
  <c r="X385" i="4" s="1"/>
  <c r="AF385" i="4"/>
  <c r="Y447" i="4"/>
  <c r="AF447" i="4"/>
  <c r="AF329" i="4"/>
  <c r="Y329" i="4"/>
  <c r="X329" i="4" s="1"/>
  <c r="AC72" i="4"/>
  <c r="AC109" i="4"/>
  <c r="AF112" i="4"/>
  <c r="Y115" i="4"/>
  <c r="X115" i="4" s="1"/>
  <c r="Y143" i="4"/>
  <c r="X143" i="4" s="1"/>
  <c r="Y152" i="4"/>
  <c r="X152" i="4" s="1"/>
  <c r="AF330" i="4"/>
  <c r="AF457" i="4"/>
  <c r="AF476" i="4"/>
  <c r="Y476" i="4"/>
  <c r="X476" i="4" s="1"/>
  <c r="U369" i="4"/>
  <c r="AF473" i="4"/>
  <c r="Y473" i="4"/>
  <c r="X473" i="4" s="1"/>
  <c r="Y469" i="4"/>
  <c r="X469" i="4" s="1"/>
  <c r="AF469" i="4"/>
  <c r="AF246" i="4"/>
  <c r="Y246" i="4"/>
  <c r="X246" i="4" s="1"/>
  <c r="Y130" i="4"/>
  <c r="X130" i="4" s="1"/>
  <c r="AC147" i="4"/>
  <c r="U133" i="4" s="1"/>
  <c r="AF325" i="4"/>
  <c r="Y325" i="4"/>
  <c r="X325" i="4" s="1"/>
  <c r="Y487" i="4"/>
  <c r="X487" i="4" s="1"/>
  <c r="Y150" i="4"/>
  <c r="X150" i="4" s="1"/>
  <c r="AC182" i="4"/>
  <c r="Y182" i="4"/>
  <c r="X182" i="4" s="1"/>
  <c r="AF301" i="4"/>
  <c r="AF305" i="4"/>
  <c r="Y305" i="4"/>
  <c r="X305" i="4" s="1"/>
  <c r="AF355" i="4"/>
  <c r="Y359" i="4"/>
  <c r="X359" i="4" s="1"/>
  <c r="AF431" i="4"/>
  <c r="Y431" i="4"/>
  <c r="X431" i="4" s="1"/>
  <c r="U237" i="4"/>
  <c r="AF282" i="4"/>
  <c r="Y282" i="4"/>
  <c r="X282" i="4" s="1"/>
  <c r="AF479" i="4"/>
  <c r="Y479" i="4"/>
  <c r="X479" i="4" s="1"/>
  <c r="AF372" i="4"/>
  <c r="Y372" i="4"/>
  <c r="X372" i="4" s="1"/>
  <c r="AF376" i="4"/>
  <c r="Y376" i="4"/>
  <c r="X376" i="4" s="1"/>
  <c r="Y147" i="4"/>
  <c r="X147" i="4" s="1"/>
  <c r="AF153" i="4"/>
  <c r="Y200" i="4"/>
  <c r="X200" i="4" s="1"/>
  <c r="AF419" i="4"/>
  <c r="Y419" i="4"/>
  <c r="X419" i="4" s="1"/>
  <c r="AF444" i="4"/>
  <c r="AF358" i="4"/>
  <c r="AF289" i="4"/>
  <c r="Y413" i="4"/>
  <c r="X413" i="4" s="1"/>
  <c r="AF271" i="4"/>
  <c r="AF322" i="4"/>
  <c r="Y358" i="4"/>
  <c r="X358" i="4" s="1"/>
  <c r="AF253" i="4"/>
  <c r="AF435" i="4"/>
  <c r="Y493" i="4"/>
  <c r="X493" i="4" s="1"/>
  <c r="Y106" i="4"/>
  <c r="X106" i="4" s="1"/>
  <c r="Y156" i="4"/>
  <c r="X156" i="4" s="1"/>
  <c r="AC187" i="4"/>
  <c r="Y187" i="4"/>
  <c r="X187" i="4" s="1"/>
  <c r="Y253" i="4"/>
  <c r="X253" i="4" s="1"/>
  <c r="Y271" i="4"/>
  <c r="X271" i="4" s="1"/>
  <c r="AF286" i="4"/>
  <c r="Y322" i="4"/>
  <c r="X322" i="4" s="1"/>
  <c r="AF410" i="4"/>
  <c r="AF429" i="4"/>
  <c r="AG203" i="3"/>
  <c r="AG194" i="3"/>
  <c r="AG188" i="3"/>
  <c r="AG190" i="3"/>
  <c r="AG174" i="3"/>
  <c r="AG139" i="3"/>
  <c r="AG138" i="3"/>
  <c r="AG137" i="3"/>
  <c r="AG34" i="3"/>
  <c r="AG32" i="3"/>
  <c r="AG15" i="3"/>
  <c r="Y495" i="7" l="1"/>
  <c r="X495" i="7"/>
  <c r="AG495" i="7" s="1"/>
  <c r="V8" i="6"/>
  <c r="W8" i="6"/>
  <c r="Y7" i="6"/>
  <c r="AI7" i="6" s="1"/>
  <c r="Y499" i="6"/>
  <c r="Y148" i="4"/>
  <c r="X148" i="4" s="1"/>
  <c r="X220" i="4"/>
  <c r="V220" i="4" s="1"/>
  <c r="Y406" i="4"/>
  <c r="W406" i="4" s="1"/>
  <c r="AF406" i="4" s="1"/>
  <c r="X406" i="4"/>
  <c r="V406" i="4" s="1"/>
  <c r="U8" i="4"/>
  <c r="U7" i="4" s="1"/>
  <c r="Y220" i="4"/>
  <c r="W220" i="4" s="1"/>
  <c r="AF220" i="4" s="1"/>
  <c r="X491" i="4"/>
  <c r="V491" i="4" s="1"/>
  <c r="Y491" i="4"/>
  <c r="W491" i="4" s="1"/>
  <c r="AF491" i="4" s="1"/>
  <c r="Y471" i="4"/>
  <c r="W471" i="4" s="1"/>
  <c r="AF471" i="4" s="1"/>
  <c r="Y133" i="4"/>
  <c r="W133" i="4" s="1"/>
  <c r="AF133" i="4" s="1"/>
  <c r="Y38" i="4"/>
  <c r="W38" i="4" s="1"/>
  <c r="AF38" i="4" s="1"/>
  <c r="X39" i="4"/>
  <c r="X38" i="4" s="1"/>
  <c r="V38" i="4" s="1"/>
  <c r="X203" i="4"/>
  <c r="X202" i="4" s="1"/>
  <c r="V202" i="4" s="1"/>
  <c r="Y202" i="4"/>
  <c r="W202" i="4" s="1"/>
  <c r="AF202" i="4" s="1"/>
  <c r="X369" i="4"/>
  <c r="V369" i="4" s="1"/>
  <c r="X471" i="4"/>
  <c r="V471" i="4" s="1"/>
  <c r="X133" i="4"/>
  <c r="V133" i="4" s="1"/>
  <c r="X378" i="4"/>
  <c r="X377" i="4" s="1"/>
  <c r="V377" i="4" s="1"/>
  <c r="Y377" i="4"/>
  <c r="W377" i="4" s="1"/>
  <c r="AF377" i="4" s="1"/>
  <c r="Y450" i="4"/>
  <c r="W450" i="4" s="1"/>
  <c r="AF450" i="4" s="1"/>
  <c r="X451" i="4"/>
  <c r="X450" i="4" s="1"/>
  <c r="V450" i="4" s="1"/>
  <c r="Y9" i="4"/>
  <c r="X238" i="4"/>
  <c r="X237" i="4" s="1"/>
  <c r="V237" i="4" s="1"/>
  <c r="Y237" i="4"/>
  <c r="W237" i="4" s="1"/>
  <c r="AF237" i="4" s="1"/>
  <c r="Y369" i="4"/>
  <c r="W369" i="4" s="1"/>
  <c r="AF369" i="4" s="1"/>
  <c r="X447" i="4"/>
  <c r="X446" i="4" s="1"/>
  <c r="V446" i="4" s="1"/>
  <c r="Y446" i="4"/>
  <c r="W446" i="4" s="1"/>
  <c r="AF446" i="4" s="1"/>
  <c r="X328" i="4"/>
  <c r="X327" i="4" s="1"/>
  <c r="V327" i="4" s="1"/>
  <c r="Y327" i="4"/>
  <c r="W327" i="4" s="1"/>
  <c r="AF327" i="4" s="1"/>
  <c r="Y177" i="4"/>
  <c r="W177" i="4" s="1"/>
  <c r="AF177" i="4" s="1"/>
  <c r="X178" i="4"/>
  <c r="X177" i="4" s="1"/>
  <c r="V177" i="4" s="1"/>
  <c r="AG11" i="3"/>
  <c r="V11" i="3"/>
  <c r="Y505" i="3"/>
  <c r="X505" i="3" s="1"/>
  <c r="V505" i="3"/>
  <c r="Y504" i="3"/>
  <c r="X504" i="3"/>
  <c r="V504" i="3"/>
  <c r="Y503" i="3"/>
  <c r="Y502" i="3" s="1"/>
  <c r="X503" i="3"/>
  <c r="V503" i="3"/>
  <c r="AH502" i="3"/>
  <c r="AF502" i="3" s="1"/>
  <c r="AH501" i="3"/>
  <c r="AF501" i="3"/>
  <c r="AH500" i="3"/>
  <c r="AF500" i="3" s="1"/>
  <c r="AH499" i="3"/>
  <c r="AF499" i="3"/>
  <c r="AH498" i="3"/>
  <c r="AB498" i="3"/>
  <c r="AC498" i="3" s="1"/>
  <c r="U497" i="3" s="1"/>
  <c r="V498" i="3"/>
  <c r="W498" i="3" s="1"/>
  <c r="Y498" i="3" s="1"/>
  <c r="Y497" i="3" s="1"/>
  <c r="W497" i="3" s="1"/>
  <c r="AF497" i="3" s="1"/>
  <c r="AH497" i="3"/>
  <c r="AB497" i="3"/>
  <c r="X497" i="3"/>
  <c r="V497" i="3" s="1"/>
  <c r="AH496" i="3"/>
  <c r="AB496" i="3"/>
  <c r="AC496" i="3" s="1"/>
  <c r="U495" i="3" s="1"/>
  <c r="V496" i="3"/>
  <c r="W496" i="3" s="1"/>
  <c r="AF496" i="3" s="1"/>
  <c r="AH495" i="3"/>
  <c r="AB495" i="3"/>
  <c r="X495" i="3"/>
  <c r="V495" i="3" s="1"/>
  <c r="AH494" i="3"/>
  <c r="AB494" i="3"/>
  <c r="AH493" i="3"/>
  <c r="AG493" i="3"/>
  <c r="AB493" i="3"/>
  <c r="AC493" i="3" s="1"/>
  <c r="V493" i="3"/>
  <c r="W493" i="3" s="1"/>
  <c r="AH492" i="3"/>
  <c r="V492" i="3"/>
  <c r="W492" i="3" s="1"/>
  <c r="Y492" i="3" s="1"/>
  <c r="AB492" i="3"/>
  <c r="AC492" i="3" s="1"/>
  <c r="U491" i="3" s="1"/>
  <c r="AH491" i="3"/>
  <c r="AB491" i="3"/>
  <c r="AH490" i="3"/>
  <c r="AC490" i="3"/>
  <c r="AB490" i="3"/>
  <c r="V490" i="3"/>
  <c r="W490" i="3" s="1"/>
  <c r="AH489" i="3"/>
  <c r="V489" i="3"/>
  <c r="W489" i="3" s="1"/>
  <c r="AB489" i="3"/>
  <c r="AC489" i="3" s="1"/>
  <c r="AH488" i="3"/>
  <c r="AB488" i="3"/>
  <c r="AC488" i="3" s="1"/>
  <c r="V488" i="3"/>
  <c r="W488" i="3" s="1"/>
  <c r="AH487" i="3"/>
  <c r="AB487" i="3"/>
  <c r="AC487" i="3" s="1"/>
  <c r="V487" i="3"/>
  <c r="W487" i="3" s="1"/>
  <c r="AH486" i="3"/>
  <c r="AF486" i="3"/>
  <c r="AC486" i="3"/>
  <c r="AB486" i="3"/>
  <c r="V486" i="3"/>
  <c r="W486" i="3" s="1"/>
  <c r="Y486" i="3" s="1"/>
  <c r="X486" i="3" s="1"/>
  <c r="AH485" i="3"/>
  <c r="AB485" i="3"/>
  <c r="AC485" i="3" s="1"/>
  <c r="V485" i="3"/>
  <c r="W485" i="3" s="1"/>
  <c r="AH484" i="3"/>
  <c r="AB484" i="3"/>
  <c r="AC484" i="3" s="1"/>
  <c r="V484" i="3"/>
  <c r="W484" i="3" s="1"/>
  <c r="AH483" i="3"/>
  <c r="AB483" i="3"/>
  <c r="AC483" i="3" s="1"/>
  <c r="V483" i="3"/>
  <c r="W483" i="3" s="1"/>
  <c r="AH482" i="3"/>
  <c r="AB482" i="3"/>
  <c r="AC482" i="3" s="1"/>
  <c r="V482" i="3"/>
  <c r="W482" i="3" s="1"/>
  <c r="AH481" i="3"/>
  <c r="AB481" i="3"/>
  <c r="AC481" i="3" s="1"/>
  <c r="V481" i="3"/>
  <c r="W481" i="3" s="1"/>
  <c r="AH480" i="3"/>
  <c r="AC480" i="3"/>
  <c r="AB480" i="3"/>
  <c r="V480" i="3"/>
  <c r="W480" i="3" s="1"/>
  <c r="Y480" i="3" s="1"/>
  <c r="X480" i="3" s="1"/>
  <c r="AH479" i="3"/>
  <c r="AB479" i="3"/>
  <c r="AC479" i="3" s="1"/>
  <c r="V479" i="3"/>
  <c r="W479" i="3" s="1"/>
  <c r="AH478" i="3"/>
  <c r="AC478" i="3"/>
  <c r="AB478" i="3"/>
  <c r="V478" i="3"/>
  <c r="W478" i="3" s="1"/>
  <c r="AF478" i="3" s="1"/>
  <c r="AH477" i="3"/>
  <c r="AC477" i="3"/>
  <c r="AB477" i="3"/>
  <c r="V477" i="3"/>
  <c r="W477" i="3" s="1"/>
  <c r="Y477" i="3" s="1"/>
  <c r="X477" i="3" s="1"/>
  <c r="AH476" i="3"/>
  <c r="AB476" i="3"/>
  <c r="AC476" i="3" s="1"/>
  <c r="V476" i="3"/>
  <c r="W476" i="3" s="1"/>
  <c r="AH475" i="3"/>
  <c r="AB475" i="3"/>
  <c r="AC475" i="3" s="1"/>
  <c r="V475" i="3"/>
  <c r="W475" i="3" s="1"/>
  <c r="AH474" i="3"/>
  <c r="AB474" i="3"/>
  <c r="AC474" i="3" s="1"/>
  <c r="V474" i="3"/>
  <c r="W474" i="3" s="1"/>
  <c r="AH473" i="3"/>
  <c r="AB473" i="3"/>
  <c r="AC473" i="3" s="1"/>
  <c r="Y473" i="3"/>
  <c r="X473" i="3" s="1"/>
  <c r="W473" i="3"/>
  <c r="AF473" i="3" s="1"/>
  <c r="V473" i="3"/>
  <c r="AH472" i="3"/>
  <c r="AC472" i="3"/>
  <c r="AB472" i="3"/>
  <c r="V472" i="3"/>
  <c r="W472" i="3" s="1"/>
  <c r="AH471" i="3"/>
  <c r="AB471" i="3"/>
  <c r="AH470" i="3"/>
  <c r="AB470" i="3"/>
  <c r="AC470" i="3" s="1"/>
  <c r="V470" i="3"/>
  <c r="W470" i="3" s="1"/>
  <c r="Y470" i="3" s="1"/>
  <c r="X470" i="3" s="1"/>
  <c r="AH469" i="3"/>
  <c r="AC469" i="3"/>
  <c r="AB469" i="3"/>
  <c r="V469" i="3"/>
  <c r="W469" i="3" s="1"/>
  <c r="AF469" i="3" s="1"/>
  <c r="AH468" i="3"/>
  <c r="AC468" i="3"/>
  <c r="AB468" i="3"/>
  <c r="V468" i="3"/>
  <c r="W468" i="3" s="1"/>
  <c r="AH467" i="3"/>
  <c r="AB467" i="3"/>
  <c r="AC467" i="3" s="1"/>
  <c r="V467" i="3"/>
  <c r="W467" i="3" s="1"/>
  <c r="AH466" i="3"/>
  <c r="AB466" i="3"/>
  <c r="AC466" i="3" s="1"/>
  <c r="V466" i="3"/>
  <c r="W466" i="3" s="1"/>
  <c r="AF466" i="3" s="1"/>
  <c r="AH465" i="3"/>
  <c r="V465" i="3"/>
  <c r="W465" i="3" s="1"/>
  <c r="AB465" i="3"/>
  <c r="AC465" i="3" s="1"/>
  <c r="AH464" i="3"/>
  <c r="AC464" i="3"/>
  <c r="AB464" i="3"/>
  <c r="V464" i="3"/>
  <c r="W464" i="3" s="1"/>
  <c r="AF464" i="3" s="1"/>
  <c r="AH463" i="3"/>
  <c r="AC463" i="3"/>
  <c r="AB463" i="3"/>
  <c r="V463" i="3"/>
  <c r="W463" i="3" s="1"/>
  <c r="Y463" i="3" s="1"/>
  <c r="X463" i="3" s="1"/>
  <c r="AH462" i="3"/>
  <c r="AB462" i="3"/>
  <c r="AC462" i="3" s="1"/>
  <c r="V462" i="3"/>
  <c r="W462" i="3" s="1"/>
  <c r="Y462" i="3" s="1"/>
  <c r="X462" i="3" s="1"/>
  <c r="AH461" i="3"/>
  <c r="AB461" i="3"/>
  <c r="AC461" i="3" s="1"/>
  <c r="V461" i="3"/>
  <c r="W461" i="3" s="1"/>
  <c r="AH460" i="3"/>
  <c r="AB460" i="3"/>
  <c r="AC460" i="3" s="1"/>
  <c r="V460" i="3"/>
  <c r="W460" i="3" s="1"/>
  <c r="AH459" i="3"/>
  <c r="AC459" i="3"/>
  <c r="AB459" i="3"/>
  <c r="V459" i="3"/>
  <c r="W459" i="3" s="1"/>
  <c r="AH458" i="3"/>
  <c r="AF458" i="3"/>
  <c r="AC458" i="3"/>
  <c r="AB458" i="3"/>
  <c r="Y458" i="3"/>
  <c r="X458" i="3" s="1"/>
  <c r="V458" i="3"/>
  <c r="AH457" i="3"/>
  <c r="AF457" i="3"/>
  <c r="AC457" i="3"/>
  <c r="AB457" i="3"/>
  <c r="V457" i="3"/>
  <c r="W457" i="3" s="1"/>
  <c r="Y457" i="3" s="1"/>
  <c r="X457" i="3" s="1"/>
  <c r="AH456" i="3"/>
  <c r="AC456" i="3"/>
  <c r="AB456" i="3"/>
  <c r="V456" i="3"/>
  <c r="W456" i="3" s="1"/>
  <c r="AF456" i="3" s="1"/>
  <c r="AH455" i="3"/>
  <c r="AB455" i="3"/>
  <c r="AC455" i="3" s="1"/>
  <c r="Y455" i="3"/>
  <c r="X455" i="3"/>
  <c r="W455" i="3"/>
  <c r="AF455" i="3" s="1"/>
  <c r="V455" i="3"/>
  <c r="AH454" i="3"/>
  <c r="AB454" i="3"/>
  <c r="AC454" i="3" s="1"/>
  <c r="V454" i="3"/>
  <c r="W454" i="3" s="1"/>
  <c r="AH453" i="3"/>
  <c r="AB453" i="3"/>
  <c r="AC453" i="3" s="1"/>
  <c r="V453" i="3"/>
  <c r="W453" i="3" s="1"/>
  <c r="AH452" i="3"/>
  <c r="AF452" i="3" s="1"/>
  <c r="AC452" i="3"/>
  <c r="AB452" i="3"/>
  <c r="Y452" i="3"/>
  <c r="X452" i="3"/>
  <c r="V452" i="3"/>
  <c r="AH451" i="3"/>
  <c r="AC451" i="3"/>
  <c r="AB451" i="3"/>
  <c r="V451" i="3"/>
  <c r="W451" i="3" s="1"/>
  <c r="AF451" i="3" s="1"/>
  <c r="AH450" i="3"/>
  <c r="AB450" i="3"/>
  <c r="AH449" i="3"/>
  <c r="AG449" i="3"/>
  <c r="AC449" i="3"/>
  <c r="AB449" i="3"/>
  <c r="V449" i="3"/>
  <c r="W449" i="3" s="1"/>
  <c r="AH448" i="3"/>
  <c r="AC448" i="3"/>
  <c r="AB448" i="3"/>
  <c r="V448" i="3"/>
  <c r="W448" i="3" s="1"/>
  <c r="Y448" i="3" s="1"/>
  <c r="X448" i="3" s="1"/>
  <c r="AH447" i="3"/>
  <c r="V447" i="3"/>
  <c r="AC447" i="3"/>
  <c r="AB447" i="3"/>
  <c r="W447" i="3"/>
  <c r="AH446" i="3"/>
  <c r="AB446" i="3"/>
  <c r="AH445" i="3"/>
  <c r="AC445" i="3"/>
  <c r="AB445" i="3"/>
  <c r="W445" i="3"/>
  <c r="V445" i="3"/>
  <c r="AH444" i="3"/>
  <c r="AC444" i="3"/>
  <c r="AB444" i="3"/>
  <c r="V444" i="3"/>
  <c r="W444" i="3" s="1"/>
  <c r="Y444" i="3" s="1"/>
  <c r="X444" i="3" s="1"/>
  <c r="AH443" i="3"/>
  <c r="AB443" i="3"/>
  <c r="AC443" i="3" s="1"/>
  <c r="V443" i="3"/>
  <c r="W443" i="3" s="1"/>
  <c r="AF443" i="3" s="1"/>
  <c r="AH442" i="3"/>
  <c r="AF442" i="3" s="1"/>
  <c r="AB442" i="3"/>
  <c r="AC442" i="3" s="1"/>
  <c r="V442" i="3"/>
  <c r="W442" i="3" s="1"/>
  <c r="Y442" i="3" s="1"/>
  <c r="X442" i="3" s="1"/>
  <c r="AH441" i="3"/>
  <c r="AC441" i="3"/>
  <c r="AB441" i="3"/>
  <c r="W441" i="3"/>
  <c r="V441" i="3"/>
  <c r="AH440" i="3"/>
  <c r="AB440" i="3"/>
  <c r="AC440" i="3" s="1"/>
  <c r="Y440" i="3"/>
  <c r="X440" i="3" s="1"/>
  <c r="V440" i="3"/>
  <c r="W440" i="3" s="1"/>
  <c r="AF440" i="3" s="1"/>
  <c r="AH439" i="3"/>
  <c r="AB439" i="3"/>
  <c r="AC439" i="3" s="1"/>
  <c r="V439" i="3"/>
  <c r="W439" i="3" s="1"/>
  <c r="AH438" i="3"/>
  <c r="AC438" i="3"/>
  <c r="AB438" i="3"/>
  <c r="V438" i="3"/>
  <c r="W438" i="3" s="1"/>
  <c r="AH437" i="3"/>
  <c r="AF437" i="3"/>
  <c r="AB437" i="3"/>
  <c r="AC437" i="3" s="1"/>
  <c r="V437" i="3"/>
  <c r="W437" i="3" s="1"/>
  <c r="Y437" i="3" s="1"/>
  <c r="X437" i="3" s="1"/>
  <c r="AH436" i="3"/>
  <c r="AB436" i="3"/>
  <c r="AC436" i="3" s="1"/>
  <c r="V436" i="3"/>
  <c r="W436" i="3" s="1"/>
  <c r="AH435" i="3"/>
  <c r="AF435" i="3" s="1"/>
  <c r="AB435" i="3"/>
  <c r="AC435" i="3" s="1"/>
  <c r="W435" i="3"/>
  <c r="Y435" i="3" s="1"/>
  <c r="X435" i="3" s="1"/>
  <c r="V435" i="3"/>
  <c r="AH434" i="3"/>
  <c r="AF434" i="3"/>
  <c r="AC434" i="3"/>
  <c r="AB434" i="3"/>
  <c r="V434" i="3"/>
  <c r="W434" i="3" s="1"/>
  <c r="Y434" i="3" s="1"/>
  <c r="X434" i="3" s="1"/>
  <c r="AH433" i="3"/>
  <c r="AB433" i="3"/>
  <c r="AC433" i="3" s="1"/>
  <c r="V433" i="3"/>
  <c r="W433" i="3" s="1"/>
  <c r="AH432" i="3"/>
  <c r="AB432" i="3"/>
  <c r="AC432" i="3" s="1"/>
  <c r="V432" i="3"/>
  <c r="W432" i="3" s="1"/>
  <c r="AH431" i="3"/>
  <c r="AF431" i="3"/>
  <c r="AB431" i="3"/>
  <c r="AC431" i="3" s="1"/>
  <c r="V431" i="3"/>
  <c r="W431" i="3" s="1"/>
  <c r="Y431" i="3" s="1"/>
  <c r="X431" i="3" s="1"/>
  <c r="AH430" i="3"/>
  <c r="AB430" i="3"/>
  <c r="AC430" i="3" s="1"/>
  <c r="V430" i="3"/>
  <c r="W430" i="3" s="1"/>
  <c r="AH429" i="3"/>
  <c r="AC429" i="3"/>
  <c r="AB429" i="3"/>
  <c r="V429" i="3"/>
  <c r="W429" i="3" s="1"/>
  <c r="AH428" i="3"/>
  <c r="AC428" i="3"/>
  <c r="AB428" i="3"/>
  <c r="V428" i="3"/>
  <c r="W428" i="3" s="1"/>
  <c r="AF428" i="3" s="1"/>
  <c r="AH427" i="3"/>
  <c r="AC427" i="3"/>
  <c r="AB427" i="3"/>
  <c r="V427" i="3"/>
  <c r="W427" i="3" s="1"/>
  <c r="Y427" i="3" s="1"/>
  <c r="X427" i="3" s="1"/>
  <c r="AH426" i="3"/>
  <c r="AC426" i="3"/>
  <c r="AB426" i="3"/>
  <c r="V426" i="3"/>
  <c r="W426" i="3" s="1"/>
  <c r="AH425" i="3"/>
  <c r="AB425" i="3"/>
  <c r="AC425" i="3" s="1"/>
  <c r="V425" i="3"/>
  <c r="W425" i="3" s="1"/>
  <c r="AH424" i="3"/>
  <c r="AF424" i="3"/>
  <c r="AB424" i="3"/>
  <c r="AC424" i="3" s="1"/>
  <c r="V424" i="3"/>
  <c r="W424" i="3" s="1"/>
  <c r="Y424" i="3" s="1"/>
  <c r="X424" i="3" s="1"/>
  <c r="AH423" i="3"/>
  <c r="AB423" i="3"/>
  <c r="AC423" i="3" s="1"/>
  <c r="V423" i="3"/>
  <c r="W423" i="3" s="1"/>
  <c r="AH422" i="3"/>
  <c r="AB422" i="3"/>
  <c r="AC422" i="3" s="1"/>
  <c r="V422" i="3"/>
  <c r="W422" i="3" s="1"/>
  <c r="Y422" i="3" s="1"/>
  <c r="X422" i="3" s="1"/>
  <c r="AH421" i="3"/>
  <c r="AF421" i="3"/>
  <c r="AC421" i="3"/>
  <c r="AB421" i="3"/>
  <c r="Y421" i="3"/>
  <c r="X421" i="3"/>
  <c r="V421" i="3"/>
  <c r="W421" i="3" s="1"/>
  <c r="AH420" i="3"/>
  <c r="AC420" i="3"/>
  <c r="AB420" i="3"/>
  <c r="V420" i="3"/>
  <c r="W420" i="3" s="1"/>
  <c r="Y420" i="3" s="1"/>
  <c r="X420" i="3" s="1"/>
  <c r="AH419" i="3"/>
  <c r="AG419" i="3"/>
  <c r="V419" i="3" s="1"/>
  <c r="W419" i="3" s="1"/>
  <c r="AC419" i="3"/>
  <c r="AB419" i="3"/>
  <c r="AH418" i="3"/>
  <c r="AF418" i="3"/>
  <c r="AB418" i="3"/>
  <c r="AC418" i="3" s="1"/>
  <c r="V418" i="3"/>
  <c r="W418" i="3" s="1"/>
  <c r="Y418" i="3" s="1"/>
  <c r="X418" i="3" s="1"/>
  <c r="AH417" i="3"/>
  <c r="AC417" i="3"/>
  <c r="AB417" i="3"/>
  <c r="Y417" i="3"/>
  <c r="X417" i="3"/>
  <c r="V417" i="3"/>
  <c r="W417" i="3" s="1"/>
  <c r="AF417" i="3" s="1"/>
  <c r="AH416" i="3"/>
  <c r="AB416" i="3"/>
  <c r="AC416" i="3" s="1"/>
  <c r="V416" i="3"/>
  <c r="W416" i="3" s="1"/>
  <c r="AH415" i="3"/>
  <c r="AC415" i="3"/>
  <c r="AB415" i="3"/>
  <c r="V415" i="3"/>
  <c r="W415" i="3" s="1"/>
  <c r="AH414" i="3"/>
  <c r="AC414" i="3"/>
  <c r="AB414" i="3"/>
  <c r="V414" i="3"/>
  <c r="W414" i="3" s="1"/>
  <c r="AH413" i="3"/>
  <c r="AF413" i="3" s="1"/>
  <c r="AC413" i="3"/>
  <c r="AB413" i="3"/>
  <c r="V413" i="3"/>
  <c r="W413" i="3" s="1"/>
  <c r="Y413" i="3" s="1"/>
  <c r="X413" i="3" s="1"/>
  <c r="AH412" i="3"/>
  <c r="AB412" i="3"/>
  <c r="AC412" i="3" s="1"/>
  <c r="V412" i="3"/>
  <c r="W412" i="3" s="1"/>
  <c r="AH411" i="3"/>
  <c r="AC411" i="3"/>
  <c r="AB411" i="3"/>
  <c r="V411" i="3"/>
  <c r="W411" i="3" s="1"/>
  <c r="AF411" i="3" s="1"/>
  <c r="AH410" i="3"/>
  <c r="AC410" i="3"/>
  <c r="AB410" i="3"/>
  <c r="V410" i="3"/>
  <c r="W410" i="3" s="1"/>
  <c r="Y410" i="3" s="1"/>
  <c r="X410" i="3" s="1"/>
  <c r="AH409" i="3"/>
  <c r="AB409" i="3"/>
  <c r="AC409" i="3" s="1"/>
  <c r="V409" i="3"/>
  <c r="W409" i="3" s="1"/>
  <c r="Y409" i="3" s="1"/>
  <c r="X409" i="3" s="1"/>
  <c r="AH408" i="3"/>
  <c r="AC408" i="3"/>
  <c r="AB408" i="3"/>
  <c r="V408" i="3"/>
  <c r="W408" i="3" s="1"/>
  <c r="Y408" i="3" s="1"/>
  <c r="X408" i="3" s="1"/>
  <c r="AH407" i="3"/>
  <c r="AC407" i="3"/>
  <c r="AB407" i="3"/>
  <c r="V407" i="3"/>
  <c r="W407" i="3" s="1"/>
  <c r="Y407" i="3" s="1"/>
  <c r="X407" i="3" s="1"/>
  <c r="AH406" i="3"/>
  <c r="AB406" i="3"/>
  <c r="AH405" i="3"/>
  <c r="AG405" i="3"/>
  <c r="V405" i="3" s="1"/>
  <c r="W405" i="3" s="1"/>
  <c r="Y405" i="3" s="1"/>
  <c r="AC405" i="3"/>
  <c r="X405" i="3"/>
  <c r="AH404" i="3"/>
  <c r="AG404" i="3"/>
  <c r="V404" i="3" s="1"/>
  <c r="W404" i="3" s="1"/>
  <c r="AC404" i="3"/>
  <c r="Y404" i="3"/>
  <c r="X404" i="3" s="1"/>
  <c r="AH403" i="3"/>
  <c r="AG403" i="3"/>
  <c r="V403" i="3" s="1"/>
  <c r="W403" i="3" s="1"/>
  <c r="Y403" i="3" s="1"/>
  <c r="X403" i="3" s="1"/>
  <c r="AC403" i="3"/>
  <c r="AH402" i="3"/>
  <c r="AG402" i="3"/>
  <c r="V402" i="3" s="1"/>
  <c r="W402" i="3" s="1"/>
  <c r="Y402" i="3" s="1"/>
  <c r="X402" i="3" s="1"/>
  <c r="AC402" i="3"/>
  <c r="AH401" i="3"/>
  <c r="AG401" i="3"/>
  <c r="AC401" i="3"/>
  <c r="V401" i="3"/>
  <c r="W401" i="3" s="1"/>
  <c r="Y401" i="3" s="1"/>
  <c r="X401" i="3" s="1"/>
  <c r="AH400" i="3"/>
  <c r="AG400" i="3"/>
  <c r="AC400" i="3"/>
  <c r="V400" i="3"/>
  <c r="W400" i="3" s="1"/>
  <c r="Y400" i="3" s="1"/>
  <c r="X400" i="3" s="1"/>
  <c r="AH399" i="3"/>
  <c r="AG399" i="3"/>
  <c r="V399" i="3" s="1"/>
  <c r="W399" i="3" s="1"/>
  <c r="Y399" i="3" s="1"/>
  <c r="X399" i="3" s="1"/>
  <c r="AC399" i="3"/>
  <c r="AH398" i="3"/>
  <c r="AG398" i="3"/>
  <c r="V398" i="3" s="1"/>
  <c r="W398" i="3" s="1"/>
  <c r="AC398" i="3"/>
  <c r="Y398" i="3"/>
  <c r="X398" i="3" s="1"/>
  <c r="AH397" i="3"/>
  <c r="AG397" i="3"/>
  <c r="V397" i="3" s="1"/>
  <c r="W397" i="3" s="1"/>
  <c r="Y397" i="3" s="1"/>
  <c r="X397" i="3" s="1"/>
  <c r="AC397" i="3"/>
  <c r="AH396" i="3"/>
  <c r="AG396" i="3"/>
  <c r="AC396" i="3"/>
  <c r="V396" i="3"/>
  <c r="W396" i="3" s="1"/>
  <c r="Y396" i="3" s="1"/>
  <c r="X396" i="3" s="1"/>
  <c r="AH395" i="3"/>
  <c r="AG395" i="3"/>
  <c r="V395" i="3" s="1"/>
  <c r="W395" i="3" s="1"/>
  <c r="Y395" i="3" s="1"/>
  <c r="X395" i="3" s="1"/>
  <c r="AC395" i="3"/>
  <c r="AH394" i="3"/>
  <c r="AG394" i="3"/>
  <c r="AC394" i="3"/>
  <c r="V394" i="3"/>
  <c r="W394" i="3" s="1"/>
  <c r="Y394" i="3" s="1"/>
  <c r="X394" i="3" s="1"/>
  <c r="AH393" i="3"/>
  <c r="AG393" i="3"/>
  <c r="AC393" i="3"/>
  <c r="V393" i="3"/>
  <c r="W393" i="3" s="1"/>
  <c r="Y393" i="3" s="1"/>
  <c r="X393" i="3" s="1"/>
  <c r="AH392" i="3"/>
  <c r="AG392" i="3"/>
  <c r="AC392" i="3"/>
  <c r="W392" i="3"/>
  <c r="Y392" i="3" s="1"/>
  <c r="X392" i="3" s="1"/>
  <c r="V392" i="3"/>
  <c r="AH391" i="3"/>
  <c r="AG391" i="3"/>
  <c r="AC391" i="3"/>
  <c r="V391" i="3"/>
  <c r="W391" i="3" s="1"/>
  <c r="Y391" i="3" s="1"/>
  <c r="X391" i="3" s="1"/>
  <c r="AH390" i="3"/>
  <c r="AG390" i="3"/>
  <c r="V390" i="3" s="1"/>
  <c r="W390" i="3" s="1"/>
  <c r="Y390" i="3" s="1"/>
  <c r="X390" i="3" s="1"/>
  <c r="AC390" i="3"/>
  <c r="AH389" i="3"/>
  <c r="AG389" i="3"/>
  <c r="V389" i="3" s="1"/>
  <c r="AC389" i="3"/>
  <c r="W389" i="3"/>
  <c r="Y389" i="3" s="1"/>
  <c r="X389" i="3" s="1"/>
  <c r="AH388" i="3"/>
  <c r="AC388" i="3"/>
  <c r="AB388" i="3"/>
  <c r="V388" i="3"/>
  <c r="W388" i="3" s="1"/>
  <c r="AH387" i="3"/>
  <c r="AG387" i="3"/>
  <c r="AC387" i="3"/>
  <c r="AB387" i="3"/>
  <c r="V387" i="3"/>
  <c r="W387" i="3" s="1"/>
  <c r="AH386" i="3"/>
  <c r="AG386" i="3"/>
  <c r="AB386" i="3"/>
  <c r="AC386" i="3" s="1"/>
  <c r="V386" i="3"/>
  <c r="W386" i="3" s="1"/>
  <c r="AH385" i="3"/>
  <c r="AB385" i="3"/>
  <c r="AC385" i="3" s="1"/>
  <c r="V385" i="3"/>
  <c r="W385" i="3" s="1"/>
  <c r="AF385" i="3" s="1"/>
  <c r="AH384" i="3"/>
  <c r="AC384" i="3"/>
  <c r="AB384" i="3"/>
  <c r="V384" i="3"/>
  <c r="W384" i="3" s="1"/>
  <c r="AH383" i="3"/>
  <c r="V383" i="3"/>
  <c r="AC383" i="3"/>
  <c r="AB383" i="3"/>
  <c r="W383" i="3"/>
  <c r="AH382" i="3"/>
  <c r="AC382" i="3"/>
  <c r="AB382" i="3"/>
  <c r="V382" i="3"/>
  <c r="W382" i="3" s="1"/>
  <c r="AH381" i="3"/>
  <c r="AC381" i="3"/>
  <c r="AB381" i="3"/>
  <c r="V381" i="3"/>
  <c r="W381" i="3" s="1"/>
  <c r="AF381" i="3" s="1"/>
  <c r="AH380" i="3"/>
  <c r="AF380" i="3"/>
  <c r="AC380" i="3"/>
  <c r="AB380" i="3"/>
  <c r="V380" i="3"/>
  <c r="W380" i="3" s="1"/>
  <c r="Y380" i="3" s="1"/>
  <c r="X380" i="3" s="1"/>
  <c r="AH379" i="3"/>
  <c r="AC379" i="3"/>
  <c r="AB379" i="3"/>
  <c r="V379" i="3"/>
  <c r="W379" i="3" s="1"/>
  <c r="AH378" i="3"/>
  <c r="AB378" i="3"/>
  <c r="AC378" i="3" s="1"/>
  <c r="V378" i="3"/>
  <c r="W378" i="3" s="1"/>
  <c r="AH377" i="3"/>
  <c r="AB377" i="3"/>
  <c r="AH376" i="3"/>
  <c r="AG376" i="3"/>
  <c r="V376" i="3" s="1"/>
  <c r="W376" i="3" s="1"/>
  <c r="AB376" i="3"/>
  <c r="AC376" i="3" s="1"/>
  <c r="AH375" i="3"/>
  <c r="AB375" i="3"/>
  <c r="AC375" i="3" s="1"/>
  <c r="V375" i="3"/>
  <c r="W375" i="3" s="1"/>
  <c r="AF375" i="3" s="1"/>
  <c r="AH374" i="3"/>
  <c r="AG374" i="3"/>
  <c r="V374" i="3" s="1"/>
  <c r="W374" i="3" s="1"/>
  <c r="AC374" i="3"/>
  <c r="AB374" i="3"/>
  <c r="AH373" i="3"/>
  <c r="AC373" i="3"/>
  <c r="AB373" i="3"/>
  <c r="Z373" i="3"/>
  <c r="X373" i="3"/>
  <c r="V373" i="3" s="1"/>
  <c r="W373" i="3"/>
  <c r="AH372" i="3"/>
  <c r="AB372" i="3"/>
  <c r="AC372" i="3" s="1"/>
  <c r="V372" i="3"/>
  <c r="W372" i="3" s="1"/>
  <c r="AF372" i="3" s="1"/>
  <c r="AH371" i="3"/>
  <c r="AG371" i="3"/>
  <c r="V371" i="3" s="1"/>
  <c r="W371" i="3" s="1"/>
  <c r="Y371" i="3" s="1"/>
  <c r="X371" i="3" s="1"/>
  <c r="AF371" i="3"/>
  <c r="AB371" i="3"/>
  <c r="AC371" i="3" s="1"/>
  <c r="U369" i="3" s="1"/>
  <c r="AH370" i="3"/>
  <c r="V370" i="3"/>
  <c r="AC370" i="3"/>
  <c r="AB370" i="3"/>
  <c r="W370" i="3"/>
  <c r="AH369" i="3"/>
  <c r="AB369" i="3"/>
  <c r="AH368" i="3"/>
  <c r="AC368" i="3"/>
  <c r="AB368" i="3"/>
  <c r="W368" i="3"/>
  <c r="V368" i="3"/>
  <c r="AH367" i="3"/>
  <c r="AC367" i="3"/>
  <c r="AB367" i="3"/>
  <c r="Y367" i="3"/>
  <c r="X367" i="3" s="1"/>
  <c r="V367" i="3"/>
  <c r="W367" i="3" s="1"/>
  <c r="AF367" i="3" s="1"/>
  <c r="AH366" i="3"/>
  <c r="AC366" i="3"/>
  <c r="AB366" i="3"/>
  <c r="Y366" i="3"/>
  <c r="X366" i="3"/>
  <c r="V366" i="3"/>
  <c r="W366" i="3" s="1"/>
  <c r="AF366" i="3" s="1"/>
  <c r="AH365" i="3"/>
  <c r="AB365" i="3"/>
  <c r="AC365" i="3" s="1"/>
  <c r="V365" i="3"/>
  <c r="W365" i="3" s="1"/>
  <c r="Y365" i="3" s="1"/>
  <c r="X365" i="3" s="1"/>
  <c r="AH364" i="3"/>
  <c r="AC364" i="3"/>
  <c r="AB364" i="3"/>
  <c r="V364" i="3"/>
  <c r="W364" i="3" s="1"/>
  <c r="AF364" i="3" s="1"/>
  <c r="AH363" i="3"/>
  <c r="AC363" i="3"/>
  <c r="AB363" i="3"/>
  <c r="V363" i="3"/>
  <c r="W363" i="3" s="1"/>
  <c r="AH362" i="3"/>
  <c r="AC362" i="3"/>
  <c r="AB362" i="3"/>
  <c r="W362" i="3"/>
  <c r="Y362" i="3" s="1"/>
  <c r="X362" i="3" s="1"/>
  <c r="V362" i="3"/>
  <c r="AH361" i="3"/>
  <c r="AC361" i="3"/>
  <c r="AB361" i="3"/>
  <c r="V361" i="3"/>
  <c r="W361" i="3" s="1"/>
  <c r="Y361" i="3" s="1"/>
  <c r="X361" i="3" s="1"/>
  <c r="AH360" i="3"/>
  <c r="AB360" i="3"/>
  <c r="AC360" i="3" s="1"/>
  <c r="V360" i="3"/>
  <c r="W360" i="3" s="1"/>
  <c r="AH359" i="3"/>
  <c r="AB359" i="3"/>
  <c r="AC359" i="3" s="1"/>
  <c r="W359" i="3"/>
  <c r="V359" i="3"/>
  <c r="AH358" i="3"/>
  <c r="AB358" i="3"/>
  <c r="AC358" i="3" s="1"/>
  <c r="V358" i="3"/>
  <c r="W358" i="3" s="1"/>
  <c r="AH357" i="3"/>
  <c r="AB357" i="3"/>
  <c r="AC357" i="3" s="1"/>
  <c r="V357" i="3"/>
  <c r="W357" i="3" s="1"/>
  <c r="Y357" i="3" s="1"/>
  <c r="X357" i="3" s="1"/>
  <c r="AH356" i="3"/>
  <c r="AC356" i="3"/>
  <c r="AB356" i="3"/>
  <c r="V356" i="3"/>
  <c r="W356" i="3" s="1"/>
  <c r="Y356" i="3" s="1"/>
  <c r="X356" i="3" s="1"/>
  <c r="AH355" i="3"/>
  <c r="AC355" i="3"/>
  <c r="AB355" i="3"/>
  <c r="V355" i="3"/>
  <c r="W355" i="3" s="1"/>
  <c r="AH354" i="3"/>
  <c r="AB354" i="3"/>
  <c r="AC354" i="3" s="1"/>
  <c r="V354" i="3"/>
  <c r="W354" i="3" s="1"/>
  <c r="AF354" i="3" s="1"/>
  <c r="AH353" i="3"/>
  <c r="AB353" i="3"/>
  <c r="AC353" i="3" s="1"/>
  <c r="V353" i="3"/>
  <c r="W353" i="3" s="1"/>
  <c r="AH352" i="3"/>
  <c r="AF352" i="3"/>
  <c r="AB352" i="3"/>
  <c r="AC352" i="3" s="1"/>
  <c r="V352" i="3"/>
  <c r="W352" i="3" s="1"/>
  <c r="Y352" i="3" s="1"/>
  <c r="X352" i="3" s="1"/>
  <c r="AH351" i="3"/>
  <c r="AB351" i="3"/>
  <c r="AC351" i="3" s="1"/>
  <c r="V351" i="3"/>
  <c r="W351" i="3" s="1"/>
  <c r="AH350" i="3"/>
  <c r="AC350" i="3"/>
  <c r="AB350" i="3"/>
  <c r="V350" i="3"/>
  <c r="W350" i="3" s="1"/>
  <c r="Y350" i="3" s="1"/>
  <c r="X350" i="3" s="1"/>
  <c r="AH349" i="3"/>
  <c r="AB349" i="3"/>
  <c r="AC349" i="3" s="1"/>
  <c r="V349" i="3"/>
  <c r="W349" i="3" s="1"/>
  <c r="AH348" i="3"/>
  <c r="AB348" i="3"/>
  <c r="AC348" i="3" s="1"/>
  <c r="V348" i="3"/>
  <c r="W348" i="3" s="1"/>
  <c r="Y348" i="3" s="1"/>
  <c r="X348" i="3" s="1"/>
  <c r="AH347" i="3"/>
  <c r="AB347" i="3"/>
  <c r="AC347" i="3" s="1"/>
  <c r="W347" i="3"/>
  <c r="Y347" i="3" s="1"/>
  <c r="X347" i="3" s="1"/>
  <c r="V347" i="3"/>
  <c r="AH346" i="3"/>
  <c r="AB346" i="3"/>
  <c r="AC346" i="3" s="1"/>
  <c r="V346" i="3"/>
  <c r="W346" i="3" s="1"/>
  <c r="Y346" i="3" s="1"/>
  <c r="X346" i="3" s="1"/>
  <c r="AH345" i="3"/>
  <c r="AB345" i="3"/>
  <c r="AC345" i="3" s="1"/>
  <c r="V345" i="3"/>
  <c r="W345" i="3" s="1"/>
  <c r="Y345" i="3" s="1"/>
  <c r="X345" i="3" s="1"/>
  <c r="AH344" i="3"/>
  <c r="AC344" i="3"/>
  <c r="AB344" i="3"/>
  <c r="V344" i="3"/>
  <c r="W344" i="3" s="1"/>
  <c r="AH343" i="3"/>
  <c r="AB343" i="3"/>
  <c r="AC343" i="3" s="1"/>
  <c r="V343" i="3"/>
  <c r="W343" i="3" s="1"/>
  <c r="AH342" i="3"/>
  <c r="AC342" i="3"/>
  <c r="AB342" i="3"/>
  <c r="V342" i="3"/>
  <c r="W342" i="3" s="1"/>
  <c r="AF342" i="3" s="1"/>
  <c r="AH341" i="3"/>
  <c r="AB341" i="3"/>
  <c r="AC341" i="3" s="1"/>
  <c r="W341" i="3"/>
  <c r="V341" i="3"/>
  <c r="AH340" i="3"/>
  <c r="AB340" i="3"/>
  <c r="AC340" i="3" s="1"/>
  <c r="V340" i="3"/>
  <c r="W340" i="3" s="1"/>
  <c r="AH339" i="3"/>
  <c r="AF339" i="3"/>
  <c r="AB339" i="3"/>
  <c r="AC339" i="3" s="1"/>
  <c r="V339" i="3"/>
  <c r="W339" i="3" s="1"/>
  <c r="Y339" i="3" s="1"/>
  <c r="X339" i="3" s="1"/>
  <c r="AH338" i="3"/>
  <c r="AB338" i="3"/>
  <c r="AC338" i="3" s="1"/>
  <c r="W338" i="3"/>
  <c r="V338" i="3"/>
  <c r="AH337" i="3"/>
  <c r="AB337" i="3"/>
  <c r="AC337" i="3" s="1"/>
  <c r="V337" i="3"/>
  <c r="W337" i="3" s="1"/>
  <c r="AH336" i="3"/>
  <c r="AB336" i="3"/>
  <c r="AC336" i="3" s="1"/>
  <c r="V336" i="3"/>
  <c r="W336" i="3" s="1"/>
  <c r="AH335" i="3"/>
  <c r="AB335" i="3"/>
  <c r="AC335" i="3" s="1"/>
  <c r="V335" i="3"/>
  <c r="W335" i="3" s="1"/>
  <c r="AH334" i="3"/>
  <c r="AC334" i="3"/>
  <c r="AB334" i="3"/>
  <c r="V334" i="3"/>
  <c r="W334" i="3" s="1"/>
  <c r="AH333" i="3"/>
  <c r="AB333" i="3"/>
  <c r="AC333" i="3" s="1"/>
  <c r="V333" i="3"/>
  <c r="W333" i="3" s="1"/>
  <c r="AH332" i="3"/>
  <c r="AC332" i="3"/>
  <c r="AB332" i="3"/>
  <c r="V332" i="3"/>
  <c r="W332" i="3" s="1"/>
  <c r="Y332" i="3" s="1"/>
  <c r="X332" i="3" s="1"/>
  <c r="AH331" i="3"/>
  <c r="AB331" i="3"/>
  <c r="AC331" i="3" s="1"/>
  <c r="V331" i="3"/>
  <c r="W331" i="3" s="1"/>
  <c r="AH330" i="3"/>
  <c r="AB330" i="3"/>
  <c r="AC330" i="3" s="1"/>
  <c r="V330" i="3"/>
  <c r="W330" i="3" s="1"/>
  <c r="AH329" i="3"/>
  <c r="AC329" i="3"/>
  <c r="AB329" i="3"/>
  <c r="W329" i="3"/>
  <c r="V329" i="3"/>
  <c r="AH328" i="3"/>
  <c r="AC328" i="3"/>
  <c r="AB328" i="3"/>
  <c r="V328" i="3"/>
  <c r="W328" i="3" s="1"/>
  <c r="Y328" i="3" s="1"/>
  <c r="AH327" i="3"/>
  <c r="AB327" i="3"/>
  <c r="AH326" i="3"/>
  <c r="AF326" i="3"/>
  <c r="AB326" i="3"/>
  <c r="AC326" i="3" s="1"/>
  <c r="V326" i="3"/>
  <c r="W326" i="3" s="1"/>
  <c r="Y326" i="3" s="1"/>
  <c r="X326" i="3" s="1"/>
  <c r="AH325" i="3"/>
  <c r="AC325" i="3"/>
  <c r="AB325" i="3"/>
  <c r="V325" i="3"/>
  <c r="W325" i="3" s="1"/>
  <c r="AH324" i="3"/>
  <c r="AB324" i="3"/>
  <c r="AC324" i="3" s="1"/>
  <c r="V324" i="3"/>
  <c r="W324" i="3" s="1"/>
  <c r="Y324" i="3" s="1"/>
  <c r="X324" i="3" s="1"/>
  <c r="AH323" i="3"/>
  <c r="AB323" i="3"/>
  <c r="AC323" i="3" s="1"/>
  <c r="V323" i="3"/>
  <c r="W323" i="3" s="1"/>
  <c r="Y323" i="3" s="1"/>
  <c r="X323" i="3" s="1"/>
  <c r="AH322" i="3"/>
  <c r="AC322" i="3"/>
  <c r="AB322" i="3"/>
  <c r="V322" i="3"/>
  <c r="W322" i="3" s="1"/>
  <c r="AF322" i="3" s="1"/>
  <c r="AH321" i="3"/>
  <c r="AB321" i="3"/>
  <c r="AC321" i="3" s="1"/>
  <c r="V321" i="3"/>
  <c r="W321" i="3" s="1"/>
  <c r="AH320" i="3"/>
  <c r="AB320" i="3"/>
  <c r="AC320" i="3" s="1"/>
  <c r="V320" i="3"/>
  <c r="W320" i="3" s="1"/>
  <c r="AH319" i="3"/>
  <c r="AB319" i="3"/>
  <c r="AC319" i="3" s="1"/>
  <c r="V319" i="3"/>
  <c r="W319" i="3" s="1"/>
  <c r="Y319" i="3" s="1"/>
  <c r="X319" i="3" s="1"/>
  <c r="AH318" i="3"/>
  <c r="AB318" i="3"/>
  <c r="AC318" i="3" s="1"/>
  <c r="V318" i="3"/>
  <c r="W318" i="3" s="1"/>
  <c r="AF318" i="3" s="1"/>
  <c r="AH317" i="3"/>
  <c r="AF317" i="3"/>
  <c r="AB317" i="3"/>
  <c r="AC317" i="3" s="1"/>
  <c r="W317" i="3"/>
  <c r="Y317" i="3" s="1"/>
  <c r="X317" i="3" s="1"/>
  <c r="V317" i="3"/>
  <c r="AH316" i="3"/>
  <c r="AB316" i="3"/>
  <c r="AC316" i="3" s="1"/>
  <c r="V316" i="3"/>
  <c r="W316" i="3" s="1"/>
  <c r="AH315" i="3"/>
  <c r="AB315" i="3"/>
  <c r="AC315" i="3" s="1"/>
  <c r="V315" i="3"/>
  <c r="W315" i="3" s="1"/>
  <c r="AH314" i="3"/>
  <c r="AB314" i="3"/>
  <c r="AC314" i="3" s="1"/>
  <c r="W314" i="3"/>
  <c r="V314" i="3"/>
  <c r="AH313" i="3"/>
  <c r="AC313" i="3"/>
  <c r="AB313" i="3"/>
  <c r="V313" i="3"/>
  <c r="W313" i="3" s="1"/>
  <c r="AF313" i="3" s="1"/>
  <c r="AH312" i="3"/>
  <c r="AF312" i="3"/>
  <c r="AB312" i="3"/>
  <c r="AC312" i="3" s="1"/>
  <c r="V312" i="3"/>
  <c r="W312" i="3" s="1"/>
  <c r="Y312" i="3" s="1"/>
  <c r="X312" i="3" s="1"/>
  <c r="AH311" i="3"/>
  <c r="AB311" i="3"/>
  <c r="AC311" i="3" s="1"/>
  <c r="V311" i="3"/>
  <c r="W311" i="3" s="1"/>
  <c r="Y311" i="3" s="1"/>
  <c r="X311" i="3" s="1"/>
  <c r="AH310" i="3"/>
  <c r="AB310" i="3"/>
  <c r="AC310" i="3" s="1"/>
  <c r="V310" i="3"/>
  <c r="W310" i="3" s="1"/>
  <c r="AH309" i="3"/>
  <c r="AB309" i="3"/>
  <c r="AC309" i="3" s="1"/>
  <c r="V309" i="3"/>
  <c r="W309" i="3" s="1"/>
  <c r="Y309" i="3" s="1"/>
  <c r="X309" i="3" s="1"/>
  <c r="AH308" i="3"/>
  <c r="AC308" i="3"/>
  <c r="AB308" i="3"/>
  <c r="V308" i="3"/>
  <c r="W308" i="3" s="1"/>
  <c r="Y308" i="3" s="1"/>
  <c r="X308" i="3" s="1"/>
  <c r="AH307" i="3"/>
  <c r="AC307" i="3"/>
  <c r="AB307" i="3"/>
  <c r="V307" i="3"/>
  <c r="W307" i="3" s="1"/>
  <c r="Y307" i="3" s="1"/>
  <c r="X307" i="3" s="1"/>
  <c r="AH306" i="3"/>
  <c r="AC306" i="3"/>
  <c r="AB306" i="3"/>
  <c r="V306" i="3"/>
  <c r="W306" i="3" s="1"/>
  <c r="AF306" i="3" s="1"/>
  <c r="AH305" i="3"/>
  <c r="AB305" i="3"/>
  <c r="AC305" i="3" s="1"/>
  <c r="V305" i="3"/>
  <c r="W305" i="3" s="1"/>
  <c r="AH304" i="3"/>
  <c r="AC304" i="3"/>
  <c r="AB304" i="3"/>
  <c r="V304" i="3"/>
  <c r="W304" i="3" s="1"/>
  <c r="AF304" i="3" s="1"/>
  <c r="AH303" i="3"/>
  <c r="AB303" i="3"/>
  <c r="AC303" i="3" s="1"/>
  <c r="V303" i="3"/>
  <c r="W303" i="3" s="1"/>
  <c r="AH302" i="3"/>
  <c r="AC302" i="3"/>
  <c r="AB302" i="3"/>
  <c r="V302" i="3"/>
  <c r="W302" i="3" s="1"/>
  <c r="Y302" i="3" s="1"/>
  <c r="X302" i="3" s="1"/>
  <c r="AH301" i="3"/>
  <c r="AB301" i="3"/>
  <c r="AC301" i="3" s="1"/>
  <c r="V301" i="3"/>
  <c r="W301" i="3" s="1"/>
  <c r="AH300" i="3"/>
  <c r="AB300" i="3"/>
  <c r="AC300" i="3" s="1"/>
  <c r="V300" i="3"/>
  <c r="W300" i="3" s="1"/>
  <c r="Y300" i="3" s="1"/>
  <c r="X300" i="3" s="1"/>
  <c r="AH299" i="3"/>
  <c r="AB299" i="3"/>
  <c r="AC299" i="3" s="1"/>
  <c r="V299" i="3"/>
  <c r="W299" i="3" s="1"/>
  <c r="AH298" i="3"/>
  <c r="AC298" i="3"/>
  <c r="AB298" i="3"/>
  <c r="V298" i="3"/>
  <c r="W298" i="3" s="1"/>
  <c r="Y298" i="3" s="1"/>
  <c r="X298" i="3" s="1"/>
  <c r="AH297" i="3"/>
  <c r="AF297" i="3"/>
  <c r="AC297" i="3"/>
  <c r="AB297" i="3"/>
  <c r="V297" i="3"/>
  <c r="W297" i="3" s="1"/>
  <c r="Y297" i="3" s="1"/>
  <c r="X297" i="3" s="1"/>
  <c r="AH296" i="3"/>
  <c r="AC296" i="3"/>
  <c r="AB296" i="3"/>
  <c r="V296" i="3"/>
  <c r="W296" i="3" s="1"/>
  <c r="AH295" i="3"/>
  <c r="AB295" i="3"/>
  <c r="AC295" i="3" s="1"/>
  <c r="V295" i="3"/>
  <c r="W295" i="3" s="1"/>
  <c r="AH294" i="3"/>
  <c r="AF294" i="3"/>
  <c r="AB294" i="3"/>
  <c r="AC294" i="3" s="1"/>
  <c r="V294" i="3"/>
  <c r="W294" i="3" s="1"/>
  <c r="Y294" i="3" s="1"/>
  <c r="X294" i="3" s="1"/>
  <c r="AH293" i="3"/>
  <c r="AB293" i="3"/>
  <c r="AC293" i="3" s="1"/>
  <c r="V293" i="3"/>
  <c r="W293" i="3" s="1"/>
  <c r="AH292" i="3"/>
  <c r="AB292" i="3"/>
  <c r="AC292" i="3" s="1"/>
  <c r="V292" i="3"/>
  <c r="W292" i="3" s="1"/>
  <c r="AF292" i="3" s="1"/>
  <c r="AH291" i="3"/>
  <c r="AC291" i="3"/>
  <c r="AB291" i="3"/>
  <c r="V291" i="3"/>
  <c r="W291" i="3" s="1"/>
  <c r="AH290" i="3"/>
  <c r="AC290" i="3"/>
  <c r="AB290" i="3"/>
  <c r="V290" i="3"/>
  <c r="W290" i="3" s="1"/>
  <c r="Y290" i="3" s="1"/>
  <c r="X290" i="3" s="1"/>
  <c r="AH289" i="3"/>
  <c r="AB289" i="3"/>
  <c r="AC289" i="3" s="1"/>
  <c r="V289" i="3"/>
  <c r="W289" i="3" s="1"/>
  <c r="Y289" i="3" s="1"/>
  <c r="X289" i="3" s="1"/>
  <c r="AH288" i="3"/>
  <c r="AC288" i="3"/>
  <c r="AB288" i="3"/>
  <c r="V288" i="3"/>
  <c r="W288" i="3" s="1"/>
  <c r="Y288" i="3" s="1"/>
  <c r="X288" i="3" s="1"/>
  <c r="AH287" i="3"/>
  <c r="AC287" i="3"/>
  <c r="AB287" i="3"/>
  <c r="V287" i="3"/>
  <c r="W287" i="3" s="1"/>
  <c r="Y287" i="3" s="1"/>
  <c r="X287" i="3" s="1"/>
  <c r="AH286" i="3"/>
  <c r="AC286" i="3"/>
  <c r="AB286" i="3"/>
  <c r="V286" i="3"/>
  <c r="W286" i="3" s="1"/>
  <c r="AF286" i="3" s="1"/>
  <c r="AH285" i="3"/>
  <c r="AC285" i="3"/>
  <c r="AB285" i="3"/>
  <c r="V285" i="3"/>
  <c r="W285" i="3" s="1"/>
  <c r="AH284" i="3"/>
  <c r="AF284" i="3"/>
  <c r="AB284" i="3"/>
  <c r="AC284" i="3" s="1"/>
  <c r="V284" i="3"/>
  <c r="W284" i="3" s="1"/>
  <c r="Y284" i="3" s="1"/>
  <c r="X284" i="3" s="1"/>
  <c r="AH283" i="3"/>
  <c r="AB283" i="3"/>
  <c r="AC283" i="3" s="1"/>
  <c r="V283" i="3"/>
  <c r="W283" i="3" s="1"/>
  <c r="Y283" i="3" s="1"/>
  <c r="X283" i="3" s="1"/>
  <c r="AH282" i="3"/>
  <c r="AC282" i="3"/>
  <c r="AB282" i="3"/>
  <c r="V282" i="3"/>
  <c r="W282" i="3" s="1"/>
  <c r="AH281" i="3"/>
  <c r="AB281" i="3"/>
  <c r="AC281" i="3" s="1"/>
  <c r="V281" i="3"/>
  <c r="W281" i="3" s="1"/>
  <c r="AH280" i="3"/>
  <c r="AB280" i="3"/>
  <c r="AC280" i="3" s="1"/>
  <c r="V280" i="3"/>
  <c r="W280" i="3" s="1"/>
  <c r="AF280" i="3" s="1"/>
  <c r="AH279" i="3"/>
  <c r="AB279" i="3"/>
  <c r="AC279" i="3" s="1"/>
  <c r="V279" i="3"/>
  <c r="W279" i="3" s="1"/>
  <c r="Y279" i="3" s="1"/>
  <c r="X279" i="3" s="1"/>
  <c r="AH278" i="3"/>
  <c r="AB278" i="3"/>
  <c r="AC278" i="3" s="1"/>
  <c r="W278" i="3"/>
  <c r="V278" i="3"/>
  <c r="AH277" i="3"/>
  <c r="AB277" i="3"/>
  <c r="AC277" i="3" s="1"/>
  <c r="V277" i="3"/>
  <c r="W277" i="3" s="1"/>
  <c r="AF277" i="3" s="1"/>
  <c r="AH276" i="3"/>
  <c r="AB276" i="3"/>
  <c r="AC276" i="3" s="1"/>
  <c r="V276" i="3"/>
  <c r="W276" i="3" s="1"/>
  <c r="AF276" i="3" s="1"/>
  <c r="AH275" i="3"/>
  <c r="AB275" i="3"/>
  <c r="AC275" i="3" s="1"/>
  <c r="V275" i="3"/>
  <c r="W275" i="3" s="1"/>
  <c r="AH274" i="3"/>
  <c r="AC274" i="3"/>
  <c r="AB274" i="3"/>
  <c r="V274" i="3"/>
  <c r="W274" i="3" s="1"/>
  <c r="AH273" i="3"/>
  <c r="AC273" i="3"/>
  <c r="AB273" i="3"/>
  <c r="V273" i="3"/>
  <c r="W273" i="3" s="1"/>
  <c r="Y273" i="3" s="1"/>
  <c r="X273" i="3" s="1"/>
  <c r="AH272" i="3"/>
  <c r="AC272" i="3"/>
  <c r="AB272" i="3"/>
  <c r="V272" i="3"/>
  <c r="W272" i="3" s="1"/>
  <c r="Y272" i="3" s="1"/>
  <c r="X272" i="3" s="1"/>
  <c r="AH271" i="3"/>
  <c r="AB271" i="3"/>
  <c r="AC271" i="3" s="1"/>
  <c r="V271" i="3"/>
  <c r="W271" i="3" s="1"/>
  <c r="AH270" i="3"/>
  <c r="AC270" i="3"/>
  <c r="AB270" i="3"/>
  <c r="V270" i="3"/>
  <c r="W270" i="3" s="1"/>
  <c r="AH269" i="3"/>
  <c r="AF269" i="3"/>
  <c r="AC269" i="3"/>
  <c r="AB269" i="3"/>
  <c r="V269" i="3"/>
  <c r="W269" i="3" s="1"/>
  <c r="Y269" i="3" s="1"/>
  <c r="X269" i="3" s="1"/>
  <c r="AH268" i="3"/>
  <c r="AC268" i="3"/>
  <c r="AB268" i="3"/>
  <c r="V268" i="3"/>
  <c r="W268" i="3" s="1"/>
  <c r="Y268" i="3" s="1"/>
  <c r="X268" i="3" s="1"/>
  <c r="AH267" i="3"/>
  <c r="AB267" i="3"/>
  <c r="AC267" i="3" s="1"/>
  <c r="V267" i="3"/>
  <c r="W267" i="3" s="1"/>
  <c r="AH266" i="3"/>
  <c r="AC266" i="3"/>
  <c r="AB266" i="3"/>
  <c r="V266" i="3"/>
  <c r="W266" i="3" s="1"/>
  <c r="Y266" i="3" s="1"/>
  <c r="X266" i="3" s="1"/>
  <c r="AH265" i="3"/>
  <c r="AC265" i="3"/>
  <c r="AB265" i="3"/>
  <c r="V265" i="3"/>
  <c r="W265" i="3" s="1"/>
  <c r="Y265" i="3" s="1"/>
  <c r="X265" i="3" s="1"/>
  <c r="AH264" i="3"/>
  <c r="AB264" i="3"/>
  <c r="AC264" i="3" s="1"/>
  <c r="V264" i="3"/>
  <c r="W264" i="3" s="1"/>
  <c r="AH263" i="3"/>
  <c r="AB263" i="3"/>
  <c r="AC263" i="3" s="1"/>
  <c r="V263" i="3"/>
  <c r="W263" i="3" s="1"/>
  <c r="AH262" i="3"/>
  <c r="AF262" i="3" s="1"/>
  <c r="AB262" i="3"/>
  <c r="AC262" i="3" s="1"/>
  <c r="V262" i="3"/>
  <c r="W262" i="3" s="1"/>
  <c r="Y262" i="3" s="1"/>
  <c r="X262" i="3" s="1"/>
  <c r="AH261" i="3"/>
  <c r="AF261" i="3"/>
  <c r="AC261" i="3"/>
  <c r="AB261" i="3"/>
  <c r="V261" i="3"/>
  <c r="W261" i="3" s="1"/>
  <c r="Y261" i="3" s="1"/>
  <c r="X261" i="3" s="1"/>
  <c r="AH260" i="3"/>
  <c r="AC260" i="3"/>
  <c r="AB260" i="3"/>
  <c r="V260" i="3"/>
  <c r="W260" i="3" s="1"/>
  <c r="AH259" i="3"/>
  <c r="AF259" i="3"/>
  <c r="AC259" i="3"/>
  <c r="AB259" i="3"/>
  <c r="V259" i="3"/>
  <c r="W259" i="3" s="1"/>
  <c r="Y259" i="3" s="1"/>
  <c r="X259" i="3" s="1"/>
  <c r="AH258" i="3"/>
  <c r="AB258" i="3"/>
  <c r="AC258" i="3" s="1"/>
  <c r="V258" i="3"/>
  <c r="W258" i="3" s="1"/>
  <c r="AH257" i="3"/>
  <c r="AC257" i="3"/>
  <c r="AB257" i="3"/>
  <c r="W257" i="3"/>
  <c r="V257" i="3"/>
  <c r="AH256" i="3"/>
  <c r="AB256" i="3"/>
  <c r="AC256" i="3" s="1"/>
  <c r="V256" i="3"/>
  <c r="W256" i="3" s="1"/>
  <c r="Y256" i="3" s="1"/>
  <c r="X256" i="3" s="1"/>
  <c r="AH255" i="3"/>
  <c r="AC255" i="3"/>
  <c r="AB255" i="3"/>
  <c r="V255" i="3"/>
  <c r="W255" i="3" s="1"/>
  <c r="AF255" i="3" s="1"/>
  <c r="AH254" i="3"/>
  <c r="AB254" i="3"/>
  <c r="AC254" i="3" s="1"/>
  <c r="V254" i="3"/>
  <c r="W254" i="3" s="1"/>
  <c r="AH253" i="3"/>
  <c r="AB253" i="3"/>
  <c r="AC253" i="3" s="1"/>
  <c r="V253" i="3"/>
  <c r="W253" i="3" s="1"/>
  <c r="AH252" i="3"/>
  <c r="AB252" i="3"/>
  <c r="AC252" i="3" s="1"/>
  <c r="V252" i="3"/>
  <c r="W252" i="3" s="1"/>
  <c r="AF252" i="3" s="1"/>
  <c r="AH251" i="3"/>
  <c r="AB251" i="3"/>
  <c r="AC251" i="3" s="1"/>
  <c r="V251" i="3"/>
  <c r="W251" i="3" s="1"/>
  <c r="AH250" i="3"/>
  <c r="AC250" i="3"/>
  <c r="AB250" i="3"/>
  <c r="V250" i="3"/>
  <c r="W250" i="3" s="1"/>
  <c r="AH249" i="3"/>
  <c r="AC249" i="3"/>
  <c r="AB249" i="3"/>
  <c r="V249" i="3"/>
  <c r="W249" i="3" s="1"/>
  <c r="Y249" i="3" s="1"/>
  <c r="X249" i="3" s="1"/>
  <c r="AH248" i="3"/>
  <c r="AB248" i="3"/>
  <c r="AC248" i="3" s="1"/>
  <c r="W248" i="3"/>
  <c r="V248" i="3"/>
  <c r="AH247" i="3"/>
  <c r="AF247" i="3" s="1"/>
  <c r="AC247" i="3"/>
  <c r="AB247" i="3"/>
  <c r="V247" i="3"/>
  <c r="W247" i="3" s="1"/>
  <c r="Y247" i="3" s="1"/>
  <c r="X247" i="3" s="1"/>
  <c r="AH246" i="3"/>
  <c r="AB246" i="3"/>
  <c r="AC246" i="3" s="1"/>
  <c r="V246" i="3"/>
  <c r="W246" i="3" s="1"/>
  <c r="AH245" i="3"/>
  <c r="AB245" i="3"/>
  <c r="AC245" i="3" s="1"/>
  <c r="V245" i="3"/>
  <c r="W245" i="3" s="1"/>
  <c r="Y245" i="3" s="1"/>
  <c r="X245" i="3" s="1"/>
  <c r="AH244" i="3"/>
  <c r="AB244" i="3"/>
  <c r="AC244" i="3" s="1"/>
  <c r="V244" i="3"/>
  <c r="W244" i="3" s="1"/>
  <c r="AF244" i="3" s="1"/>
  <c r="AH243" i="3"/>
  <c r="AC243" i="3"/>
  <c r="AB243" i="3"/>
  <c r="V243" i="3"/>
  <c r="W243" i="3" s="1"/>
  <c r="AH242" i="3"/>
  <c r="AC242" i="3"/>
  <c r="AB242" i="3"/>
  <c r="V242" i="3"/>
  <c r="W242" i="3" s="1"/>
  <c r="AH241" i="3"/>
  <c r="AB241" i="3"/>
  <c r="AC241" i="3" s="1"/>
  <c r="V241" i="3"/>
  <c r="W241" i="3" s="1"/>
  <c r="AH240" i="3"/>
  <c r="AF240" i="3" s="1"/>
  <c r="AB240" i="3"/>
  <c r="AC240" i="3" s="1"/>
  <c r="V240" i="3"/>
  <c r="W240" i="3" s="1"/>
  <c r="Y240" i="3" s="1"/>
  <c r="X240" i="3" s="1"/>
  <c r="AH239" i="3"/>
  <c r="AB239" i="3"/>
  <c r="AC239" i="3" s="1"/>
  <c r="V239" i="3"/>
  <c r="W239" i="3" s="1"/>
  <c r="Y239" i="3" s="1"/>
  <c r="X239" i="3" s="1"/>
  <c r="AH238" i="3"/>
  <c r="AC238" i="3"/>
  <c r="AB238" i="3"/>
  <c r="W238" i="3"/>
  <c r="V238" i="3"/>
  <c r="AH237" i="3"/>
  <c r="AB237" i="3"/>
  <c r="AH236" i="3"/>
  <c r="AC236" i="3"/>
  <c r="AB236" i="3"/>
  <c r="V236" i="3"/>
  <c r="W236" i="3" s="1"/>
  <c r="AH235" i="3"/>
  <c r="AC235" i="3"/>
  <c r="AB235" i="3"/>
  <c r="V235" i="3"/>
  <c r="W235" i="3" s="1"/>
  <c r="AH234" i="3"/>
  <c r="AC234" i="3"/>
  <c r="AB234" i="3"/>
  <c r="V234" i="3"/>
  <c r="W234" i="3" s="1"/>
  <c r="AF234" i="3" s="1"/>
  <c r="AH233" i="3"/>
  <c r="AC233" i="3"/>
  <c r="AB233" i="3"/>
  <c r="V233" i="3"/>
  <c r="W233" i="3" s="1"/>
  <c r="Y233" i="3" s="1"/>
  <c r="X233" i="3" s="1"/>
  <c r="AH232" i="3"/>
  <c r="AC232" i="3"/>
  <c r="AB232" i="3"/>
  <c r="Y232" i="3"/>
  <c r="X232" i="3"/>
  <c r="V232" i="3"/>
  <c r="W232" i="3" s="1"/>
  <c r="AF232" i="3" s="1"/>
  <c r="AH231" i="3"/>
  <c r="AB231" i="3"/>
  <c r="AC231" i="3" s="1"/>
  <c r="V231" i="3"/>
  <c r="W231" i="3" s="1"/>
  <c r="AH230" i="3"/>
  <c r="AB230" i="3"/>
  <c r="AC230" i="3" s="1"/>
  <c r="W230" i="3"/>
  <c r="Y230" i="3" s="1"/>
  <c r="X230" i="3" s="1"/>
  <c r="V230" i="3"/>
  <c r="AH229" i="3"/>
  <c r="AB229" i="3"/>
  <c r="AC229" i="3" s="1"/>
  <c r="W229" i="3"/>
  <c r="V229" i="3"/>
  <c r="AH228" i="3"/>
  <c r="AB228" i="3"/>
  <c r="AC228" i="3" s="1"/>
  <c r="V228" i="3"/>
  <c r="W228" i="3" s="1"/>
  <c r="AH227" i="3"/>
  <c r="AB227" i="3"/>
  <c r="AC227" i="3" s="1"/>
  <c r="V227" i="3"/>
  <c r="W227" i="3" s="1"/>
  <c r="AH226" i="3"/>
  <c r="AC226" i="3"/>
  <c r="AB226" i="3"/>
  <c r="V226" i="3"/>
  <c r="W226" i="3" s="1"/>
  <c r="Y226" i="3" s="1"/>
  <c r="X226" i="3" s="1"/>
  <c r="AH225" i="3"/>
  <c r="AG225" i="3"/>
  <c r="V225" i="3" s="1"/>
  <c r="W225" i="3" s="1"/>
  <c r="Y225" i="3" s="1"/>
  <c r="X225" i="3" s="1"/>
  <c r="AF225" i="3"/>
  <c r="AB225" i="3"/>
  <c r="AC225" i="3" s="1"/>
  <c r="AH224" i="3"/>
  <c r="AG224" i="3"/>
  <c r="V224" i="3" s="1"/>
  <c r="AB224" i="3"/>
  <c r="AC224" i="3" s="1"/>
  <c r="W224" i="3"/>
  <c r="AF224" i="3" s="1"/>
  <c r="AH223" i="3"/>
  <c r="AB223" i="3"/>
  <c r="AC223" i="3" s="1"/>
  <c r="V223" i="3"/>
  <c r="W223" i="3" s="1"/>
  <c r="Y223" i="3" s="1"/>
  <c r="X223" i="3" s="1"/>
  <c r="AH222" i="3"/>
  <c r="AG222" i="3"/>
  <c r="AB222" i="3"/>
  <c r="AC222" i="3" s="1"/>
  <c r="V222" i="3"/>
  <c r="W222" i="3" s="1"/>
  <c r="AH221" i="3"/>
  <c r="AG221" i="3"/>
  <c r="AC221" i="3"/>
  <c r="AB221" i="3"/>
  <c r="V221" i="3"/>
  <c r="W221" i="3" s="1"/>
  <c r="AH220" i="3"/>
  <c r="AB220" i="3"/>
  <c r="AH219" i="3"/>
  <c r="AB219" i="3"/>
  <c r="AC219" i="3" s="1"/>
  <c r="V219" i="3"/>
  <c r="W219" i="3" s="1"/>
  <c r="AH218" i="3"/>
  <c r="AG218" i="3"/>
  <c r="AB218" i="3"/>
  <c r="AC218" i="3" s="1"/>
  <c r="V218" i="3"/>
  <c r="W218" i="3" s="1"/>
  <c r="Y218" i="3" s="1"/>
  <c r="X218" i="3" s="1"/>
  <c r="AH217" i="3"/>
  <c r="AG217" i="3"/>
  <c r="V217" i="3" s="1"/>
  <c r="W217" i="3" s="1"/>
  <c r="AF217" i="3"/>
  <c r="AB217" i="3"/>
  <c r="AC217" i="3" s="1"/>
  <c r="Y217" i="3"/>
  <c r="X217" i="3" s="1"/>
  <c r="AH216" i="3"/>
  <c r="AG216" i="3"/>
  <c r="V216" i="3" s="1"/>
  <c r="W216" i="3" s="1"/>
  <c r="AB216" i="3"/>
  <c r="AC216" i="3" s="1"/>
  <c r="AH215" i="3"/>
  <c r="AC215" i="3"/>
  <c r="AB215" i="3"/>
  <c r="V215" i="3"/>
  <c r="W215" i="3" s="1"/>
  <c r="Y215" i="3" s="1"/>
  <c r="X215" i="3" s="1"/>
  <c r="AH214" i="3"/>
  <c r="AC214" i="3"/>
  <c r="AB214" i="3"/>
  <c r="V214" i="3"/>
  <c r="W214" i="3" s="1"/>
  <c r="AH213" i="3"/>
  <c r="AC213" i="3"/>
  <c r="AB213" i="3"/>
  <c r="V213" i="3"/>
  <c r="W213" i="3" s="1"/>
  <c r="AH212" i="3"/>
  <c r="AC212" i="3"/>
  <c r="AB212" i="3"/>
  <c r="V212" i="3"/>
  <c r="W212" i="3" s="1"/>
  <c r="AH211" i="3"/>
  <c r="AG211" i="3"/>
  <c r="AC211" i="3"/>
  <c r="AB211" i="3"/>
  <c r="V211" i="3"/>
  <c r="W211" i="3" s="1"/>
  <c r="AH210" i="3"/>
  <c r="AG210" i="3"/>
  <c r="AC210" i="3"/>
  <c r="AB210" i="3"/>
  <c r="V210" i="3"/>
  <c r="W210" i="3" s="1"/>
  <c r="AH209" i="3"/>
  <c r="AB209" i="3"/>
  <c r="AC209" i="3" s="1"/>
  <c r="V209" i="3"/>
  <c r="W209" i="3" s="1"/>
  <c r="Y209" i="3" s="1"/>
  <c r="X209" i="3" s="1"/>
  <c r="AH208" i="3"/>
  <c r="AB208" i="3"/>
  <c r="AC208" i="3" s="1"/>
  <c r="V208" i="3"/>
  <c r="W208" i="3" s="1"/>
  <c r="AF208" i="3" s="1"/>
  <c r="AH207" i="3"/>
  <c r="AG207" i="3"/>
  <c r="V207" i="3" s="1"/>
  <c r="W207" i="3" s="1"/>
  <c r="AC207" i="3"/>
  <c r="AB207" i="3"/>
  <c r="AK206" i="3"/>
  <c r="AH206" i="3"/>
  <c r="AC206" i="3"/>
  <c r="AB206" i="3"/>
  <c r="AH205" i="3"/>
  <c r="AG206" i="3"/>
  <c r="V206" i="3" s="1"/>
  <c r="W206" i="3" s="1"/>
  <c r="AB205" i="3"/>
  <c r="AC205" i="3" s="1"/>
  <c r="V205" i="3"/>
  <c r="W205" i="3" s="1"/>
  <c r="AH204" i="3"/>
  <c r="AG204" i="3"/>
  <c r="AB204" i="3"/>
  <c r="AC204" i="3" s="1"/>
  <c r="V204" i="3"/>
  <c r="W204" i="3" s="1"/>
  <c r="AH203" i="3"/>
  <c r="AC203" i="3"/>
  <c r="AB203" i="3"/>
  <c r="V203" i="3"/>
  <c r="W203" i="3" s="1"/>
  <c r="AH202" i="3"/>
  <c r="AB202" i="3"/>
  <c r="AH201" i="3"/>
  <c r="AB201" i="3"/>
  <c r="AC201" i="3" s="1"/>
  <c r="V201" i="3"/>
  <c r="W201" i="3" s="1"/>
  <c r="AF201" i="3" s="1"/>
  <c r="U201" i="3"/>
  <c r="AH200" i="3"/>
  <c r="AB200" i="3"/>
  <c r="V200" i="3"/>
  <c r="W200" i="3" s="1"/>
  <c r="U200" i="3"/>
  <c r="AC200" i="3" s="1"/>
  <c r="AH199" i="3"/>
  <c r="AF199" i="3"/>
  <c r="AB199" i="3"/>
  <c r="V199" i="3"/>
  <c r="W199" i="3" s="1"/>
  <c r="U199" i="3"/>
  <c r="AH198" i="3"/>
  <c r="AB198" i="3"/>
  <c r="V198" i="3"/>
  <c r="W198" i="3" s="1"/>
  <c r="U198" i="3"/>
  <c r="AH197" i="3"/>
  <c r="AG197" i="3"/>
  <c r="V197" i="3" s="1"/>
  <c r="W197" i="3" s="1"/>
  <c r="AB197" i="3"/>
  <c r="U197" i="3"/>
  <c r="AC197" i="3" s="1"/>
  <c r="AH196" i="3"/>
  <c r="AB196" i="3"/>
  <c r="V196" i="3"/>
  <c r="W196" i="3" s="1"/>
  <c r="U196" i="3"/>
  <c r="AC196" i="3" s="1"/>
  <c r="AH195" i="3"/>
  <c r="AF195" i="3"/>
  <c r="AC195" i="3"/>
  <c r="AB195" i="3"/>
  <c r="V195" i="3"/>
  <c r="W195" i="3" s="1"/>
  <c r="Y195" i="3" s="1"/>
  <c r="X195" i="3" s="1"/>
  <c r="U195" i="3"/>
  <c r="AH194" i="3"/>
  <c r="V194" i="3"/>
  <c r="W194" i="3" s="1"/>
  <c r="AC194" i="3"/>
  <c r="AB194" i="3"/>
  <c r="U194" i="3"/>
  <c r="AH193" i="3"/>
  <c r="AC193" i="3"/>
  <c r="AB193" i="3"/>
  <c r="V193" i="3"/>
  <c r="W193" i="3" s="1"/>
  <c r="AF193" i="3" s="1"/>
  <c r="U193" i="3"/>
  <c r="Y193" i="3" s="1"/>
  <c r="X193" i="3" s="1"/>
  <c r="AH192" i="3"/>
  <c r="AB192" i="3"/>
  <c r="V192" i="3"/>
  <c r="W192" i="3" s="1"/>
  <c r="AF192" i="3" s="1"/>
  <c r="U192" i="3"/>
  <c r="AH191" i="3"/>
  <c r="AB191" i="3"/>
  <c r="V191" i="3"/>
  <c r="W191" i="3" s="1"/>
  <c r="AF191" i="3" s="1"/>
  <c r="U191" i="3"/>
  <c r="Y191" i="3" s="1"/>
  <c r="X191" i="3" s="1"/>
  <c r="AH190" i="3"/>
  <c r="AB190" i="3"/>
  <c r="AC190" i="3" s="1"/>
  <c r="V190" i="3"/>
  <c r="W190" i="3" s="1"/>
  <c r="U190" i="3"/>
  <c r="AH189" i="3"/>
  <c r="AB189" i="3"/>
  <c r="AC189" i="3" s="1"/>
  <c r="V189" i="3"/>
  <c r="W189" i="3" s="1"/>
  <c r="U189" i="3"/>
  <c r="AH188" i="3"/>
  <c r="AB188" i="3"/>
  <c r="V188" i="3"/>
  <c r="W188" i="3" s="1"/>
  <c r="U188" i="3"/>
  <c r="AC188" i="3" s="1"/>
  <c r="AH187" i="3"/>
  <c r="AF187" i="3"/>
  <c r="AB187" i="3"/>
  <c r="AC187" i="3" s="1"/>
  <c r="V187" i="3"/>
  <c r="W187" i="3" s="1"/>
  <c r="Y187" i="3" s="1"/>
  <c r="X187" i="3" s="1"/>
  <c r="U187" i="3"/>
  <c r="AH186" i="3"/>
  <c r="AG186" i="3"/>
  <c r="AF186" i="3"/>
  <c r="AB186" i="3"/>
  <c r="AC186" i="3" s="1"/>
  <c r="V186" i="3"/>
  <c r="W186" i="3" s="1"/>
  <c r="U186" i="3"/>
  <c r="AH185" i="3"/>
  <c r="AG185" i="3"/>
  <c r="AB185" i="3"/>
  <c r="V185" i="3"/>
  <c r="W185" i="3" s="1"/>
  <c r="AF185" i="3" s="1"/>
  <c r="U185" i="3"/>
  <c r="AH184" i="3"/>
  <c r="AB184" i="3"/>
  <c r="AC184" i="3" s="1"/>
  <c r="V184" i="3"/>
  <c r="W184" i="3" s="1"/>
  <c r="U184" i="3"/>
  <c r="AH183" i="3"/>
  <c r="AG183" i="3"/>
  <c r="AB183" i="3"/>
  <c r="V183" i="3"/>
  <c r="W183" i="3" s="1"/>
  <c r="AF183" i="3" s="1"/>
  <c r="U183" i="3"/>
  <c r="AH182" i="3"/>
  <c r="AG182" i="3"/>
  <c r="AC182" i="3"/>
  <c r="AB182" i="3"/>
  <c r="V182" i="3"/>
  <c r="W182" i="3" s="1"/>
  <c r="Y182" i="3" s="1"/>
  <c r="X182" i="3" s="1"/>
  <c r="U182" i="3"/>
  <c r="AH181" i="3"/>
  <c r="AG181" i="3"/>
  <c r="AC181" i="3"/>
  <c r="AB181" i="3"/>
  <c r="V181" i="3"/>
  <c r="W181" i="3" s="1"/>
  <c r="U181" i="3"/>
  <c r="AH180" i="3"/>
  <c r="AB180" i="3"/>
  <c r="V180" i="3"/>
  <c r="W180" i="3" s="1"/>
  <c r="AF180" i="3" s="1"/>
  <c r="U180" i="3"/>
  <c r="AC180" i="3" s="1"/>
  <c r="AH179" i="3"/>
  <c r="AB179" i="3"/>
  <c r="V179" i="3"/>
  <c r="W179" i="3" s="1"/>
  <c r="U179" i="3"/>
  <c r="AH178" i="3"/>
  <c r="AB178" i="3"/>
  <c r="V178" i="3"/>
  <c r="W178" i="3" s="1"/>
  <c r="AF178" i="3" s="1"/>
  <c r="U178" i="3"/>
  <c r="AH177" i="3"/>
  <c r="AB177" i="3"/>
  <c r="AH176" i="3"/>
  <c r="AC176" i="3"/>
  <c r="AB176" i="3"/>
  <c r="V176" i="3"/>
  <c r="W176" i="3" s="1"/>
  <c r="U176" i="3"/>
  <c r="AH175" i="3"/>
  <c r="AG175" i="3"/>
  <c r="AC175" i="3"/>
  <c r="AB175" i="3"/>
  <c r="V175" i="3"/>
  <c r="W175" i="3" s="1"/>
  <c r="U175" i="3"/>
  <c r="AH174" i="3"/>
  <c r="AB174" i="3"/>
  <c r="V174" i="3"/>
  <c r="W174" i="3" s="1"/>
  <c r="U174" i="3"/>
  <c r="AC174" i="3" s="1"/>
  <c r="AH173" i="3"/>
  <c r="AC173" i="3"/>
  <c r="AB173" i="3"/>
  <c r="V173" i="3"/>
  <c r="W173" i="3" s="1"/>
  <c r="U173" i="3"/>
  <c r="AH172" i="3"/>
  <c r="AB172" i="3"/>
  <c r="V172" i="3"/>
  <c r="W172" i="3" s="1"/>
  <c r="AF172" i="3" s="1"/>
  <c r="U172" i="3"/>
  <c r="AC172" i="3" s="1"/>
  <c r="AH171" i="3"/>
  <c r="AB171" i="3"/>
  <c r="AC171" i="3" s="1"/>
  <c r="V171" i="3"/>
  <c r="W171" i="3" s="1"/>
  <c r="U171" i="3"/>
  <c r="AH170" i="3"/>
  <c r="AG170" i="3"/>
  <c r="AB170" i="3"/>
  <c r="V170" i="3"/>
  <c r="W170" i="3" s="1"/>
  <c r="AF170" i="3" s="1"/>
  <c r="U170" i="3"/>
  <c r="AH169" i="3"/>
  <c r="AB169" i="3"/>
  <c r="V169" i="3"/>
  <c r="W169" i="3" s="1"/>
  <c r="U169" i="3"/>
  <c r="AC169" i="3" s="1"/>
  <c r="AH168" i="3"/>
  <c r="AG168" i="3"/>
  <c r="V168" i="3" s="1"/>
  <c r="W168" i="3" s="1"/>
  <c r="AB168" i="3"/>
  <c r="U168" i="3"/>
  <c r="AH167" i="3"/>
  <c r="AB167" i="3"/>
  <c r="V167" i="3"/>
  <c r="W167" i="3" s="1"/>
  <c r="AF167" i="3" s="1"/>
  <c r="U167" i="3"/>
  <c r="AH166" i="3"/>
  <c r="AC166" i="3"/>
  <c r="AB166" i="3"/>
  <c r="V166" i="3"/>
  <c r="W166" i="3" s="1"/>
  <c r="AF166" i="3" s="1"/>
  <c r="U166" i="3"/>
  <c r="AH165" i="3"/>
  <c r="AB165" i="3"/>
  <c r="V165" i="3"/>
  <c r="W165" i="3" s="1"/>
  <c r="AF165" i="3" s="1"/>
  <c r="U165" i="3"/>
  <c r="AH164" i="3"/>
  <c r="AB164" i="3"/>
  <c r="V164" i="3"/>
  <c r="W164" i="3" s="1"/>
  <c r="AF164" i="3" s="1"/>
  <c r="U164" i="3"/>
  <c r="AH163" i="3"/>
  <c r="AB163" i="3"/>
  <c r="AC163" i="3" s="1"/>
  <c r="V163" i="3"/>
  <c r="W163" i="3" s="1"/>
  <c r="Y163" i="3" s="1"/>
  <c r="X163" i="3" s="1"/>
  <c r="U163" i="3"/>
  <c r="AH162" i="3"/>
  <c r="AC162" i="3"/>
  <c r="AB162" i="3"/>
  <c r="V162" i="3"/>
  <c r="W162" i="3" s="1"/>
  <c r="U162" i="3"/>
  <c r="AH161" i="3"/>
  <c r="AB161" i="3"/>
  <c r="V161" i="3"/>
  <c r="W161" i="3" s="1"/>
  <c r="AF161" i="3" s="1"/>
  <c r="U161" i="3"/>
  <c r="AH160" i="3"/>
  <c r="AB160" i="3"/>
  <c r="V160" i="3"/>
  <c r="W160" i="3" s="1"/>
  <c r="AF160" i="3" s="1"/>
  <c r="U160" i="3"/>
  <c r="AH159" i="3"/>
  <c r="AC159" i="3"/>
  <c r="AB159" i="3"/>
  <c r="V159" i="3"/>
  <c r="W159" i="3" s="1"/>
  <c r="AF159" i="3" s="1"/>
  <c r="U159" i="3"/>
  <c r="AH158" i="3"/>
  <c r="AB158" i="3"/>
  <c r="V158" i="3"/>
  <c r="W158" i="3" s="1"/>
  <c r="AF158" i="3" s="1"/>
  <c r="U158" i="3"/>
  <c r="AH157" i="3"/>
  <c r="AB157" i="3"/>
  <c r="Y157" i="3"/>
  <c r="X157" i="3" s="1"/>
  <c r="V157" i="3"/>
  <c r="W157" i="3" s="1"/>
  <c r="AF157" i="3" s="1"/>
  <c r="U157" i="3"/>
  <c r="AH156" i="3"/>
  <c r="AB156" i="3"/>
  <c r="AC156" i="3" s="1"/>
  <c r="V156" i="3"/>
  <c r="W156" i="3" s="1"/>
  <c r="U156" i="3"/>
  <c r="AH155" i="3"/>
  <c r="AB155" i="3"/>
  <c r="AC155" i="3" s="1"/>
  <c r="V155" i="3"/>
  <c r="W155" i="3" s="1"/>
  <c r="U155" i="3"/>
  <c r="AH154" i="3"/>
  <c r="AB154" i="3"/>
  <c r="V154" i="3"/>
  <c r="W154" i="3" s="1"/>
  <c r="U154" i="3"/>
  <c r="AC154" i="3" s="1"/>
  <c r="AH153" i="3"/>
  <c r="AB153" i="3"/>
  <c r="V153" i="3"/>
  <c r="W153" i="3" s="1"/>
  <c r="U153" i="3"/>
  <c r="AH152" i="3"/>
  <c r="AG152" i="3"/>
  <c r="AC152" i="3"/>
  <c r="AB152" i="3"/>
  <c r="V152" i="3"/>
  <c r="W152" i="3" s="1"/>
  <c r="AF152" i="3" s="1"/>
  <c r="U152" i="3"/>
  <c r="AH151" i="3"/>
  <c r="AB151" i="3"/>
  <c r="V151" i="3"/>
  <c r="W151" i="3" s="1"/>
  <c r="U151" i="3"/>
  <c r="AC151" i="3" s="1"/>
  <c r="AH150" i="3"/>
  <c r="AC150" i="3"/>
  <c r="AB150" i="3"/>
  <c r="V150" i="3"/>
  <c r="W150" i="3" s="1"/>
  <c r="U150" i="3"/>
  <c r="AH149" i="3"/>
  <c r="AG149" i="3"/>
  <c r="AF149" i="3"/>
  <c r="AB149" i="3"/>
  <c r="AC149" i="3" s="1"/>
  <c r="W149" i="3"/>
  <c r="V149" i="3"/>
  <c r="U149" i="3"/>
  <c r="AH148" i="3"/>
  <c r="V148" i="3"/>
  <c r="W148" i="3" s="1"/>
  <c r="Y148" i="3" s="1"/>
  <c r="X148" i="3" s="1"/>
  <c r="AB148" i="3"/>
  <c r="AC148" i="3" s="1"/>
  <c r="U148" i="3"/>
  <c r="AH147" i="3"/>
  <c r="AB147" i="3"/>
  <c r="V147" i="3"/>
  <c r="W147" i="3" s="1"/>
  <c r="AF147" i="3" s="1"/>
  <c r="U147" i="3"/>
  <c r="AH146" i="3"/>
  <c r="AB146" i="3"/>
  <c r="AC146" i="3" s="1"/>
  <c r="V146" i="3"/>
  <c r="W146" i="3" s="1"/>
  <c r="AF146" i="3" s="1"/>
  <c r="U146" i="3"/>
  <c r="AH145" i="3"/>
  <c r="AB145" i="3"/>
  <c r="W145" i="3"/>
  <c r="AF145" i="3" s="1"/>
  <c r="V145" i="3"/>
  <c r="U145" i="3"/>
  <c r="AH144" i="3"/>
  <c r="AB144" i="3"/>
  <c r="V144" i="3"/>
  <c r="W144" i="3" s="1"/>
  <c r="U144" i="3"/>
  <c r="AC144" i="3" s="1"/>
  <c r="AH143" i="3"/>
  <c r="AC143" i="3"/>
  <c r="AB143" i="3"/>
  <c r="V143" i="3"/>
  <c r="W143" i="3" s="1"/>
  <c r="U143" i="3"/>
  <c r="AH142" i="3"/>
  <c r="AF142" i="3" s="1"/>
  <c r="AB142" i="3"/>
  <c r="AC142" i="3" s="1"/>
  <c r="V142" i="3"/>
  <c r="W142" i="3" s="1"/>
  <c r="Y142" i="3" s="1"/>
  <c r="X142" i="3" s="1"/>
  <c r="U142" i="3"/>
  <c r="AH141" i="3"/>
  <c r="AG141" i="3"/>
  <c r="AB141" i="3"/>
  <c r="V141" i="3"/>
  <c r="W141" i="3" s="1"/>
  <c r="U141" i="3"/>
  <c r="AC141" i="3" s="1"/>
  <c r="AH140" i="3"/>
  <c r="AG140" i="3"/>
  <c r="V140" i="3" s="1"/>
  <c r="W140" i="3" s="1"/>
  <c r="Y140" i="3" s="1"/>
  <c r="X140" i="3" s="1"/>
  <c r="AF140" i="3"/>
  <c r="AC140" i="3"/>
  <c r="AB140" i="3"/>
  <c r="U140" i="3"/>
  <c r="AH139" i="3"/>
  <c r="AB139" i="3"/>
  <c r="V139" i="3"/>
  <c r="W139" i="3" s="1"/>
  <c r="AF139" i="3" s="1"/>
  <c r="U139" i="3"/>
  <c r="AH138" i="3"/>
  <c r="AB138" i="3"/>
  <c r="V138" i="3"/>
  <c r="W138" i="3" s="1"/>
  <c r="U138" i="3"/>
  <c r="AC138" i="3" s="1"/>
  <c r="AH137" i="3"/>
  <c r="V137" i="3"/>
  <c r="W137" i="3" s="1"/>
  <c r="AF137" i="3" s="1"/>
  <c r="AB137" i="3"/>
  <c r="U137" i="3"/>
  <c r="AC137" i="3" s="1"/>
  <c r="AH136" i="3"/>
  <c r="AB136" i="3"/>
  <c r="V136" i="3"/>
  <c r="W136" i="3" s="1"/>
  <c r="AF136" i="3" s="1"/>
  <c r="U136" i="3"/>
  <c r="AC136" i="3" s="1"/>
  <c r="AH135" i="3"/>
  <c r="AC135" i="3"/>
  <c r="AB135" i="3"/>
  <c r="V135" i="3"/>
  <c r="W135" i="3" s="1"/>
  <c r="U135" i="3"/>
  <c r="AH134" i="3"/>
  <c r="AC134" i="3"/>
  <c r="AB134" i="3"/>
  <c r="V134" i="3"/>
  <c r="W134" i="3" s="1"/>
  <c r="AF134" i="3" s="1"/>
  <c r="U134" i="3"/>
  <c r="AH133" i="3"/>
  <c r="AB133" i="3"/>
  <c r="AH132" i="3"/>
  <c r="AB132" i="3"/>
  <c r="V132" i="3"/>
  <c r="W132" i="3" s="1"/>
  <c r="AF132" i="3" s="1"/>
  <c r="U132" i="3"/>
  <c r="AH131" i="3"/>
  <c r="AB131" i="3"/>
  <c r="V131" i="3"/>
  <c r="W131" i="3" s="1"/>
  <c r="Y131" i="3" s="1"/>
  <c r="X131" i="3" s="1"/>
  <c r="U131" i="3"/>
  <c r="AH130" i="3"/>
  <c r="AB130" i="3"/>
  <c r="V130" i="3"/>
  <c r="W130" i="3" s="1"/>
  <c r="U130" i="3"/>
  <c r="AC130" i="3" s="1"/>
  <c r="AH129" i="3"/>
  <c r="AC129" i="3"/>
  <c r="AB129" i="3"/>
  <c r="W129" i="3"/>
  <c r="Y129" i="3" s="1"/>
  <c r="X129" i="3" s="1"/>
  <c r="V129" i="3"/>
  <c r="U129" i="3"/>
  <c r="AH128" i="3"/>
  <c r="AC128" i="3"/>
  <c r="AB128" i="3"/>
  <c r="V128" i="3"/>
  <c r="W128" i="3" s="1"/>
  <c r="AF128" i="3" s="1"/>
  <c r="U128" i="3"/>
  <c r="AH127" i="3"/>
  <c r="AB127" i="3"/>
  <c r="W127" i="3"/>
  <c r="AF127" i="3" s="1"/>
  <c r="V127" i="3"/>
  <c r="U127" i="3"/>
  <c r="AC127" i="3" s="1"/>
  <c r="AH126" i="3"/>
  <c r="AB126" i="3"/>
  <c r="V126" i="3"/>
  <c r="W126" i="3" s="1"/>
  <c r="AF126" i="3" s="1"/>
  <c r="U126" i="3"/>
  <c r="AH125" i="3"/>
  <c r="AC125" i="3"/>
  <c r="AB125" i="3"/>
  <c r="V125" i="3"/>
  <c r="W125" i="3" s="1"/>
  <c r="AF125" i="3" s="1"/>
  <c r="U125" i="3"/>
  <c r="AH124" i="3"/>
  <c r="AB124" i="3"/>
  <c r="V124" i="3"/>
  <c r="W124" i="3" s="1"/>
  <c r="AF124" i="3" s="1"/>
  <c r="U124" i="3"/>
  <c r="AC124" i="3" s="1"/>
  <c r="AH123" i="3"/>
  <c r="AB123" i="3"/>
  <c r="V123" i="3"/>
  <c r="W123" i="3" s="1"/>
  <c r="AF123" i="3" s="1"/>
  <c r="U123" i="3"/>
  <c r="AH122" i="3"/>
  <c r="AB122" i="3"/>
  <c r="V122" i="3"/>
  <c r="W122" i="3" s="1"/>
  <c r="AF122" i="3" s="1"/>
  <c r="U122" i="3"/>
  <c r="AH121" i="3"/>
  <c r="AC121" i="3"/>
  <c r="AB121" i="3"/>
  <c r="V121" i="3"/>
  <c r="W121" i="3" s="1"/>
  <c r="U121" i="3"/>
  <c r="AH120" i="3"/>
  <c r="AC120" i="3"/>
  <c r="AB120" i="3"/>
  <c r="W120" i="3"/>
  <c r="Y120" i="3" s="1"/>
  <c r="X120" i="3" s="1"/>
  <c r="V120" i="3"/>
  <c r="U120" i="3"/>
  <c r="AH119" i="3"/>
  <c r="AB119" i="3"/>
  <c r="V119" i="3"/>
  <c r="W119" i="3" s="1"/>
  <c r="U119" i="3"/>
  <c r="AH118" i="3"/>
  <c r="AC118" i="3"/>
  <c r="AB118" i="3"/>
  <c r="V118" i="3"/>
  <c r="W118" i="3" s="1"/>
  <c r="AF118" i="3" s="1"/>
  <c r="U118" i="3"/>
  <c r="Y118" i="3" s="1"/>
  <c r="X118" i="3" s="1"/>
  <c r="AH117" i="3"/>
  <c r="AC117" i="3"/>
  <c r="AB117" i="3"/>
  <c r="V117" i="3"/>
  <c r="W117" i="3" s="1"/>
  <c r="Y117" i="3" s="1"/>
  <c r="X117" i="3" s="1"/>
  <c r="U117" i="3"/>
  <c r="AH116" i="3"/>
  <c r="AB116" i="3"/>
  <c r="V116" i="3"/>
  <c r="W116" i="3" s="1"/>
  <c r="AF116" i="3" s="1"/>
  <c r="U116" i="3"/>
  <c r="AC116" i="3" s="1"/>
  <c r="AH115" i="3"/>
  <c r="AB115" i="3"/>
  <c r="V115" i="3"/>
  <c r="W115" i="3" s="1"/>
  <c r="U115" i="3"/>
  <c r="AH114" i="3"/>
  <c r="AB114" i="3"/>
  <c r="W114" i="3"/>
  <c r="AF114" i="3" s="1"/>
  <c r="V114" i="3"/>
  <c r="U114" i="3"/>
  <c r="AH113" i="3"/>
  <c r="AC113" i="3"/>
  <c r="AB113" i="3"/>
  <c r="V113" i="3"/>
  <c r="W113" i="3" s="1"/>
  <c r="U113" i="3"/>
  <c r="AH112" i="3"/>
  <c r="AB112" i="3"/>
  <c r="V112" i="3"/>
  <c r="W112" i="3" s="1"/>
  <c r="AF112" i="3" s="1"/>
  <c r="U112" i="3"/>
  <c r="AH111" i="3"/>
  <c r="AB111" i="3"/>
  <c r="V111" i="3"/>
  <c r="W111" i="3" s="1"/>
  <c r="AF111" i="3" s="1"/>
  <c r="U111" i="3"/>
  <c r="AH110" i="3"/>
  <c r="AC110" i="3"/>
  <c r="AB110" i="3"/>
  <c r="V110" i="3"/>
  <c r="W110" i="3" s="1"/>
  <c r="AF110" i="3" s="1"/>
  <c r="U110" i="3"/>
  <c r="AH109" i="3"/>
  <c r="AB109" i="3"/>
  <c r="AC109" i="3" s="1"/>
  <c r="V109" i="3"/>
  <c r="W109" i="3" s="1"/>
  <c r="Y109" i="3" s="1"/>
  <c r="X109" i="3" s="1"/>
  <c r="U109" i="3"/>
  <c r="AH108" i="3"/>
  <c r="AB108" i="3"/>
  <c r="V108" i="3"/>
  <c r="W108" i="3" s="1"/>
  <c r="AF108" i="3" s="1"/>
  <c r="U108" i="3"/>
  <c r="AH107" i="3"/>
  <c r="AB107" i="3"/>
  <c r="V107" i="3"/>
  <c r="W107" i="3" s="1"/>
  <c r="AF107" i="3" s="1"/>
  <c r="U107" i="3"/>
  <c r="AC107" i="3" s="1"/>
  <c r="AH106" i="3"/>
  <c r="AB106" i="3"/>
  <c r="AC106" i="3" s="1"/>
  <c r="V106" i="3"/>
  <c r="W106" i="3" s="1"/>
  <c r="Y106" i="3" s="1"/>
  <c r="X106" i="3" s="1"/>
  <c r="U106" i="3"/>
  <c r="AH105" i="3"/>
  <c r="AB105" i="3"/>
  <c r="AC105" i="3" s="1"/>
  <c r="V105" i="3"/>
  <c r="W105" i="3" s="1"/>
  <c r="U105" i="3"/>
  <c r="AH104" i="3"/>
  <c r="AB104" i="3"/>
  <c r="AC104" i="3" s="1"/>
  <c r="V104" i="3"/>
  <c r="W104" i="3" s="1"/>
  <c r="U104" i="3"/>
  <c r="AH103" i="3"/>
  <c r="AB103" i="3"/>
  <c r="V103" i="3"/>
  <c r="W103" i="3" s="1"/>
  <c r="AF103" i="3" s="1"/>
  <c r="U103" i="3"/>
  <c r="AC103" i="3" s="1"/>
  <c r="AH102" i="3"/>
  <c r="AB102" i="3"/>
  <c r="V102" i="3"/>
  <c r="W102" i="3" s="1"/>
  <c r="U102" i="3"/>
  <c r="AC102" i="3" s="1"/>
  <c r="AH101" i="3"/>
  <c r="AB101" i="3"/>
  <c r="V101" i="3"/>
  <c r="W101" i="3" s="1"/>
  <c r="AF101" i="3" s="1"/>
  <c r="U101" i="3"/>
  <c r="AH100" i="3"/>
  <c r="AC100" i="3"/>
  <c r="AB100" i="3"/>
  <c r="V100" i="3"/>
  <c r="W100" i="3" s="1"/>
  <c r="U100" i="3"/>
  <c r="AH99" i="3"/>
  <c r="AB99" i="3"/>
  <c r="V99" i="3"/>
  <c r="W99" i="3" s="1"/>
  <c r="AF99" i="3" s="1"/>
  <c r="U99" i="3"/>
  <c r="AC99" i="3" s="1"/>
  <c r="AH98" i="3"/>
  <c r="AB98" i="3"/>
  <c r="AC98" i="3" s="1"/>
  <c r="V98" i="3"/>
  <c r="W98" i="3" s="1"/>
  <c r="U98" i="3"/>
  <c r="AH97" i="3"/>
  <c r="AB97" i="3"/>
  <c r="AC97" i="3" s="1"/>
  <c r="V97" i="3"/>
  <c r="W97" i="3" s="1"/>
  <c r="U97" i="3"/>
  <c r="AH96" i="3"/>
  <c r="AB96" i="3"/>
  <c r="W96" i="3"/>
  <c r="AF96" i="3" s="1"/>
  <c r="V96" i="3"/>
  <c r="U96" i="3"/>
  <c r="AH95" i="3"/>
  <c r="AB95" i="3"/>
  <c r="AC95" i="3" s="1"/>
  <c r="V95" i="3"/>
  <c r="W95" i="3" s="1"/>
  <c r="AF95" i="3" s="1"/>
  <c r="U95" i="3"/>
  <c r="AH94" i="3"/>
  <c r="AB94" i="3"/>
  <c r="V94" i="3"/>
  <c r="W94" i="3" s="1"/>
  <c r="AF94" i="3" s="1"/>
  <c r="U94" i="3"/>
  <c r="AH93" i="3"/>
  <c r="AB93" i="3"/>
  <c r="W93" i="3"/>
  <c r="AF93" i="3" s="1"/>
  <c r="V93" i="3"/>
  <c r="U93" i="3"/>
  <c r="AH92" i="3"/>
  <c r="AB92" i="3"/>
  <c r="V92" i="3"/>
  <c r="W92" i="3" s="1"/>
  <c r="AF92" i="3" s="1"/>
  <c r="U92" i="3"/>
  <c r="AC92" i="3" s="1"/>
  <c r="AH91" i="3"/>
  <c r="AB91" i="3"/>
  <c r="V91" i="3"/>
  <c r="W91" i="3" s="1"/>
  <c r="AF91" i="3" s="1"/>
  <c r="U91" i="3"/>
  <c r="AC91" i="3" s="1"/>
  <c r="AH90" i="3"/>
  <c r="AB90" i="3"/>
  <c r="V90" i="3"/>
  <c r="W90" i="3" s="1"/>
  <c r="AF90" i="3" s="1"/>
  <c r="U90" i="3"/>
  <c r="AH89" i="3"/>
  <c r="AC89" i="3"/>
  <c r="AB89" i="3"/>
  <c r="V89" i="3"/>
  <c r="W89" i="3" s="1"/>
  <c r="U89" i="3"/>
  <c r="AH88" i="3"/>
  <c r="AC88" i="3"/>
  <c r="AB88" i="3"/>
  <c r="V88" i="3"/>
  <c r="W88" i="3" s="1"/>
  <c r="AF88" i="3" s="1"/>
  <c r="U88" i="3"/>
  <c r="AH87" i="3"/>
  <c r="AB87" i="3"/>
  <c r="V87" i="3"/>
  <c r="W87" i="3" s="1"/>
  <c r="U87" i="3"/>
  <c r="AC87" i="3" s="1"/>
  <c r="AH86" i="3"/>
  <c r="AB86" i="3"/>
  <c r="V86" i="3"/>
  <c r="W86" i="3" s="1"/>
  <c r="AF86" i="3" s="1"/>
  <c r="U86" i="3"/>
  <c r="AC86" i="3" s="1"/>
  <c r="AH85" i="3"/>
  <c r="AB85" i="3"/>
  <c r="V85" i="3"/>
  <c r="W85" i="3" s="1"/>
  <c r="AF85" i="3" s="1"/>
  <c r="U85" i="3"/>
  <c r="AH84" i="3"/>
  <c r="AB84" i="3"/>
  <c r="AC84" i="3" s="1"/>
  <c r="V84" i="3"/>
  <c r="W84" i="3" s="1"/>
  <c r="U84" i="3"/>
  <c r="AH83" i="3"/>
  <c r="AB83" i="3"/>
  <c r="V83" i="3"/>
  <c r="W83" i="3" s="1"/>
  <c r="AF83" i="3" s="1"/>
  <c r="U83" i="3"/>
  <c r="AH82" i="3"/>
  <c r="AB82" i="3"/>
  <c r="V82" i="3"/>
  <c r="W82" i="3" s="1"/>
  <c r="AF82" i="3" s="1"/>
  <c r="U82" i="3"/>
  <c r="AH81" i="3"/>
  <c r="AC81" i="3"/>
  <c r="AB81" i="3"/>
  <c r="Y81" i="3"/>
  <c r="X81" i="3" s="1"/>
  <c r="V81" i="3"/>
  <c r="W81" i="3" s="1"/>
  <c r="AF81" i="3" s="1"/>
  <c r="U81" i="3"/>
  <c r="AH80" i="3"/>
  <c r="AB80" i="3"/>
  <c r="V80" i="3"/>
  <c r="W80" i="3" s="1"/>
  <c r="AF80" i="3" s="1"/>
  <c r="U80" i="3"/>
  <c r="AC80" i="3" s="1"/>
  <c r="AH79" i="3"/>
  <c r="AB79" i="3"/>
  <c r="V79" i="3"/>
  <c r="W79" i="3" s="1"/>
  <c r="AF79" i="3" s="1"/>
  <c r="U79" i="3"/>
  <c r="AH78" i="3"/>
  <c r="AB78" i="3"/>
  <c r="V78" i="3"/>
  <c r="W78" i="3" s="1"/>
  <c r="AF78" i="3" s="1"/>
  <c r="U78" i="3"/>
  <c r="AC78" i="3" s="1"/>
  <c r="AH77" i="3"/>
  <c r="AB77" i="3"/>
  <c r="AC77" i="3" s="1"/>
  <c r="V77" i="3"/>
  <c r="W77" i="3" s="1"/>
  <c r="AF77" i="3" s="1"/>
  <c r="U77" i="3"/>
  <c r="Y77" i="3" s="1"/>
  <c r="X77" i="3" s="1"/>
  <c r="AH76" i="3"/>
  <c r="AC76" i="3"/>
  <c r="AB76" i="3"/>
  <c r="W76" i="3"/>
  <c r="V76" i="3"/>
  <c r="U76" i="3"/>
  <c r="AH75" i="3"/>
  <c r="AB75" i="3"/>
  <c r="V75" i="3"/>
  <c r="W75" i="3" s="1"/>
  <c r="U75" i="3"/>
  <c r="AH74" i="3"/>
  <c r="AB74" i="3"/>
  <c r="AC74" i="3" s="1"/>
  <c r="Y74" i="3"/>
  <c r="X74" i="3" s="1"/>
  <c r="W74" i="3"/>
  <c r="AF74" i="3" s="1"/>
  <c r="V74" i="3"/>
  <c r="U74" i="3"/>
  <c r="AH73" i="3"/>
  <c r="AB73" i="3"/>
  <c r="AC73" i="3" s="1"/>
  <c r="V73" i="3"/>
  <c r="W73" i="3" s="1"/>
  <c r="AF73" i="3" s="1"/>
  <c r="U73" i="3"/>
  <c r="AH72" i="3"/>
  <c r="AB72" i="3"/>
  <c r="V72" i="3"/>
  <c r="W72" i="3" s="1"/>
  <c r="AF72" i="3" s="1"/>
  <c r="U72" i="3"/>
  <c r="AH71" i="3"/>
  <c r="AC71" i="3"/>
  <c r="AB71" i="3"/>
  <c r="V71" i="3"/>
  <c r="W71" i="3" s="1"/>
  <c r="U71" i="3"/>
  <c r="AH70" i="3"/>
  <c r="AB70" i="3"/>
  <c r="V70" i="3"/>
  <c r="W70" i="3" s="1"/>
  <c r="AF70" i="3" s="1"/>
  <c r="U70" i="3"/>
  <c r="AH69" i="3"/>
  <c r="AB69" i="3"/>
  <c r="W69" i="3"/>
  <c r="AF69" i="3" s="1"/>
  <c r="V69" i="3"/>
  <c r="U69" i="3"/>
  <c r="AH68" i="3"/>
  <c r="AB68" i="3"/>
  <c r="V68" i="3"/>
  <c r="W68" i="3" s="1"/>
  <c r="AF68" i="3" s="1"/>
  <c r="U68" i="3"/>
  <c r="AC68" i="3" s="1"/>
  <c r="AH67" i="3"/>
  <c r="AB67" i="3"/>
  <c r="V67" i="3"/>
  <c r="W67" i="3" s="1"/>
  <c r="AF67" i="3" s="1"/>
  <c r="U67" i="3"/>
  <c r="AH66" i="3"/>
  <c r="AB66" i="3"/>
  <c r="V66" i="3"/>
  <c r="W66" i="3" s="1"/>
  <c r="AF66" i="3" s="1"/>
  <c r="U66" i="3"/>
  <c r="AC66" i="3" s="1"/>
  <c r="AH65" i="3"/>
  <c r="AB65" i="3"/>
  <c r="AC65" i="3" s="1"/>
  <c r="Y65" i="3"/>
  <c r="X65" i="3" s="1"/>
  <c r="W65" i="3"/>
  <c r="AF65" i="3" s="1"/>
  <c r="V65" i="3"/>
  <c r="U65" i="3"/>
  <c r="AH64" i="3"/>
  <c r="AG64" i="3"/>
  <c r="AB64" i="3"/>
  <c r="V64" i="3"/>
  <c r="W64" i="3" s="1"/>
  <c r="U64" i="3"/>
  <c r="AC64" i="3" s="1"/>
  <c r="AH63" i="3"/>
  <c r="AC63" i="3"/>
  <c r="AB63" i="3"/>
  <c r="V63" i="3"/>
  <c r="W63" i="3" s="1"/>
  <c r="U63" i="3"/>
  <c r="AH62" i="3"/>
  <c r="AC62" i="3"/>
  <c r="AB62" i="3"/>
  <c r="V62" i="3"/>
  <c r="W62" i="3" s="1"/>
  <c r="U62" i="3"/>
  <c r="AH61" i="3"/>
  <c r="AB61" i="3"/>
  <c r="V61" i="3"/>
  <c r="W61" i="3" s="1"/>
  <c r="AF61" i="3" s="1"/>
  <c r="U61" i="3"/>
  <c r="AC61" i="3" s="1"/>
  <c r="AH60" i="3"/>
  <c r="AB60" i="3"/>
  <c r="V60" i="3"/>
  <c r="W60" i="3" s="1"/>
  <c r="AF60" i="3" s="1"/>
  <c r="U60" i="3"/>
  <c r="AC60" i="3" s="1"/>
  <c r="AH59" i="3"/>
  <c r="AB59" i="3"/>
  <c r="V59" i="3"/>
  <c r="W59" i="3" s="1"/>
  <c r="AF59" i="3" s="1"/>
  <c r="U59" i="3"/>
  <c r="AH58" i="3"/>
  <c r="AB58" i="3"/>
  <c r="V58" i="3"/>
  <c r="W58" i="3" s="1"/>
  <c r="U58" i="3"/>
  <c r="AC58" i="3" s="1"/>
  <c r="AH57" i="3"/>
  <c r="AC57" i="3"/>
  <c r="AB57" i="3"/>
  <c r="V57" i="3"/>
  <c r="W57" i="3" s="1"/>
  <c r="Y57" i="3" s="1"/>
  <c r="X57" i="3" s="1"/>
  <c r="U57" i="3"/>
  <c r="AH56" i="3"/>
  <c r="AB56" i="3"/>
  <c r="V56" i="3"/>
  <c r="W56" i="3" s="1"/>
  <c r="AF56" i="3" s="1"/>
  <c r="U56" i="3"/>
  <c r="AH55" i="3"/>
  <c r="AB55" i="3"/>
  <c r="V55" i="3"/>
  <c r="W55" i="3" s="1"/>
  <c r="AF55" i="3" s="1"/>
  <c r="U55" i="3"/>
  <c r="AC55" i="3" s="1"/>
  <c r="AH54" i="3"/>
  <c r="AB54" i="3"/>
  <c r="AC54" i="3" s="1"/>
  <c r="V54" i="3"/>
  <c r="W54" i="3" s="1"/>
  <c r="AF54" i="3" s="1"/>
  <c r="U54" i="3"/>
  <c r="AH53" i="3"/>
  <c r="AC53" i="3"/>
  <c r="AB53" i="3"/>
  <c r="V53" i="3"/>
  <c r="W53" i="3" s="1"/>
  <c r="U53" i="3"/>
  <c r="AH52" i="3"/>
  <c r="AB52" i="3"/>
  <c r="W52" i="3"/>
  <c r="V52" i="3"/>
  <c r="U52" i="3"/>
  <c r="AC52" i="3" s="1"/>
  <c r="AH51" i="3"/>
  <c r="AB51" i="3"/>
  <c r="V51" i="3"/>
  <c r="W51" i="3" s="1"/>
  <c r="U51" i="3"/>
  <c r="AH50" i="3"/>
  <c r="AC50" i="3"/>
  <c r="AB50" i="3"/>
  <c r="V50" i="3"/>
  <c r="W50" i="3" s="1"/>
  <c r="AF50" i="3" s="1"/>
  <c r="U50" i="3"/>
  <c r="AH49" i="3"/>
  <c r="AB49" i="3"/>
  <c r="V49" i="3"/>
  <c r="W49" i="3" s="1"/>
  <c r="U49" i="3"/>
  <c r="AH48" i="3"/>
  <c r="AB48" i="3"/>
  <c r="V48" i="3"/>
  <c r="W48" i="3" s="1"/>
  <c r="AF48" i="3" s="1"/>
  <c r="U48" i="3"/>
  <c r="AH47" i="3"/>
  <c r="AF47" i="3"/>
  <c r="AB47" i="3"/>
  <c r="AC47" i="3" s="1"/>
  <c r="V47" i="3"/>
  <c r="W47" i="3" s="1"/>
  <c r="Y47" i="3" s="1"/>
  <c r="X47" i="3" s="1"/>
  <c r="U47" i="3"/>
  <c r="AH46" i="3"/>
  <c r="AB46" i="3"/>
  <c r="AC46" i="3" s="1"/>
  <c r="V46" i="3"/>
  <c r="W46" i="3" s="1"/>
  <c r="AF46" i="3" s="1"/>
  <c r="U46" i="3"/>
  <c r="AH45" i="3"/>
  <c r="AB45" i="3"/>
  <c r="W45" i="3"/>
  <c r="AF45" i="3" s="1"/>
  <c r="V45" i="3"/>
  <c r="U45" i="3"/>
  <c r="AC45" i="3" s="1"/>
  <c r="AH44" i="3"/>
  <c r="AB44" i="3"/>
  <c r="AC44" i="3" s="1"/>
  <c r="V44" i="3"/>
  <c r="W44" i="3" s="1"/>
  <c r="AF44" i="3" s="1"/>
  <c r="U44" i="3"/>
  <c r="AH43" i="3"/>
  <c r="AB43" i="3"/>
  <c r="AC43" i="3" s="1"/>
  <c r="V43" i="3"/>
  <c r="W43" i="3" s="1"/>
  <c r="U43" i="3"/>
  <c r="AH42" i="3"/>
  <c r="AC42" i="3"/>
  <c r="AB42" i="3"/>
  <c r="V42" i="3"/>
  <c r="W42" i="3" s="1"/>
  <c r="AF42" i="3" s="1"/>
  <c r="U42" i="3"/>
  <c r="AH41" i="3"/>
  <c r="AC41" i="3"/>
  <c r="AB41" i="3"/>
  <c r="V41" i="3"/>
  <c r="W41" i="3" s="1"/>
  <c r="Y41" i="3" s="1"/>
  <c r="X41" i="3" s="1"/>
  <c r="U41" i="3"/>
  <c r="AH40" i="3"/>
  <c r="AB40" i="3"/>
  <c r="V40" i="3"/>
  <c r="W40" i="3" s="1"/>
  <c r="AF40" i="3" s="1"/>
  <c r="U40" i="3"/>
  <c r="AH39" i="3"/>
  <c r="AB39" i="3"/>
  <c r="V39" i="3"/>
  <c r="W39" i="3" s="1"/>
  <c r="AF39" i="3" s="1"/>
  <c r="U39" i="3"/>
  <c r="AC39" i="3" s="1"/>
  <c r="AH38" i="3"/>
  <c r="AB38" i="3"/>
  <c r="AH37" i="3"/>
  <c r="AC37" i="3"/>
  <c r="AB37" i="3"/>
  <c r="V37" i="3"/>
  <c r="W37" i="3" s="1"/>
  <c r="AF37" i="3" s="1"/>
  <c r="AH36" i="3"/>
  <c r="AB36" i="3"/>
  <c r="AC36" i="3" s="1"/>
  <c r="V36" i="3"/>
  <c r="W36" i="3" s="1"/>
  <c r="AH35" i="3"/>
  <c r="AC35" i="3"/>
  <c r="AB35" i="3"/>
  <c r="V35" i="3"/>
  <c r="W35" i="3" s="1"/>
  <c r="Y35" i="3" s="1"/>
  <c r="X35" i="3" s="1"/>
  <c r="AH34" i="3"/>
  <c r="V34" i="3"/>
  <c r="W34" i="3" s="1"/>
  <c r="AB34" i="3"/>
  <c r="AC34" i="3" s="1"/>
  <c r="AH33" i="3"/>
  <c r="AB33" i="3"/>
  <c r="AC33" i="3" s="1"/>
  <c r="V33" i="3"/>
  <c r="W33" i="3" s="1"/>
  <c r="AH32" i="3"/>
  <c r="V32" i="3"/>
  <c r="W32" i="3" s="1"/>
  <c r="AB32" i="3"/>
  <c r="AC32" i="3" s="1"/>
  <c r="AH31" i="3"/>
  <c r="AG31" i="3"/>
  <c r="AB31" i="3"/>
  <c r="AC31" i="3" s="1"/>
  <c r="V31" i="3"/>
  <c r="W31" i="3" s="1"/>
  <c r="AF31" i="3" s="1"/>
  <c r="AH30" i="3"/>
  <c r="AB30" i="3"/>
  <c r="AC30" i="3" s="1"/>
  <c r="V30" i="3"/>
  <c r="W30" i="3" s="1"/>
  <c r="AH29" i="3"/>
  <c r="AB29" i="3"/>
  <c r="AC29" i="3" s="1"/>
  <c r="V29" i="3"/>
  <c r="W29" i="3" s="1"/>
  <c r="AH28" i="3"/>
  <c r="AC28" i="3"/>
  <c r="AB28" i="3"/>
  <c r="V28" i="3"/>
  <c r="W28" i="3" s="1"/>
  <c r="AH27" i="3"/>
  <c r="AB27" i="3"/>
  <c r="AC27" i="3" s="1"/>
  <c r="V27" i="3"/>
  <c r="W27" i="3" s="1"/>
  <c r="AF27" i="3" s="1"/>
  <c r="AH26" i="3"/>
  <c r="AG26" i="3"/>
  <c r="V26" i="3" s="1"/>
  <c r="W26" i="3" s="1"/>
  <c r="Y26" i="3" s="1"/>
  <c r="X26" i="3" s="1"/>
  <c r="AF26" i="3"/>
  <c r="AC26" i="3"/>
  <c r="AB26" i="3"/>
  <c r="AH25" i="3"/>
  <c r="AB25" i="3"/>
  <c r="AC25" i="3" s="1"/>
  <c r="V25" i="3"/>
  <c r="W25" i="3" s="1"/>
  <c r="AH24" i="3"/>
  <c r="AB24" i="3"/>
  <c r="AC24" i="3" s="1"/>
  <c r="V24" i="3"/>
  <c r="W24" i="3" s="1"/>
  <c r="AH23" i="3"/>
  <c r="AG23" i="3"/>
  <c r="AC23" i="3"/>
  <c r="AB23" i="3"/>
  <c r="V23" i="3"/>
  <c r="W23" i="3" s="1"/>
  <c r="AF23" i="3" s="1"/>
  <c r="AH22" i="3"/>
  <c r="AF22" i="3"/>
  <c r="AC22" i="3"/>
  <c r="AB22" i="3"/>
  <c r="V22" i="3"/>
  <c r="W22" i="3" s="1"/>
  <c r="Y22" i="3" s="1"/>
  <c r="X22" i="3" s="1"/>
  <c r="AH21" i="3"/>
  <c r="AB21" i="3"/>
  <c r="AC21" i="3" s="1"/>
  <c r="V21" i="3"/>
  <c r="W21" i="3" s="1"/>
  <c r="AF21" i="3" s="1"/>
  <c r="AH20" i="3"/>
  <c r="AF20" i="3"/>
  <c r="AC20" i="3"/>
  <c r="AB20" i="3"/>
  <c r="V20" i="3"/>
  <c r="W20" i="3" s="1"/>
  <c r="Y20" i="3" s="1"/>
  <c r="X20" i="3" s="1"/>
  <c r="AH19" i="3"/>
  <c r="AC19" i="3"/>
  <c r="AB19" i="3"/>
  <c r="V19" i="3"/>
  <c r="W19" i="3" s="1"/>
  <c r="AF19" i="3" s="1"/>
  <c r="AH18" i="3"/>
  <c r="AB18" i="3"/>
  <c r="AC18" i="3" s="1"/>
  <c r="V18" i="3"/>
  <c r="W18" i="3" s="1"/>
  <c r="AH17" i="3"/>
  <c r="AC17" i="3"/>
  <c r="AB17" i="3"/>
  <c r="V17" i="3"/>
  <c r="W17" i="3" s="1"/>
  <c r="AH16" i="3"/>
  <c r="AC16" i="3"/>
  <c r="AB16" i="3"/>
  <c r="V16" i="3"/>
  <c r="W16" i="3" s="1"/>
  <c r="AH15" i="3"/>
  <c r="AC15" i="3"/>
  <c r="AB15" i="3"/>
  <c r="V15" i="3"/>
  <c r="W15" i="3" s="1"/>
  <c r="AH14" i="3"/>
  <c r="AB14" i="3"/>
  <c r="AC14" i="3" s="1"/>
  <c r="V14" i="3"/>
  <c r="W14" i="3" s="1"/>
  <c r="AH13" i="3"/>
  <c r="AB13" i="3"/>
  <c r="AC13" i="3" s="1"/>
  <c r="V13" i="3"/>
  <c r="W13" i="3" s="1"/>
  <c r="AH12" i="3"/>
  <c r="AG12" i="3"/>
  <c r="V12" i="3" s="1"/>
  <c r="W12" i="3" s="1"/>
  <c r="Y12" i="3" s="1"/>
  <c r="X12" i="3" s="1"/>
  <c r="AF12" i="3"/>
  <c r="AC12" i="3"/>
  <c r="AB12" i="3"/>
  <c r="AH11" i="3"/>
  <c r="AC11" i="3"/>
  <c r="AB11" i="3"/>
  <c r="W11" i="3"/>
  <c r="Y11" i="3" s="1"/>
  <c r="X11" i="3" s="1"/>
  <c r="AH10" i="3"/>
  <c r="AB10" i="3"/>
  <c r="AC10" i="3" s="1"/>
  <c r="V10" i="3"/>
  <c r="W10" i="3" s="1"/>
  <c r="AF10" i="3" s="1"/>
  <c r="AB9" i="3"/>
  <c r="X7" i="1"/>
  <c r="W495" i="7" l="1"/>
  <c r="Y7" i="7"/>
  <c r="Y500" i="7"/>
  <c r="AG6" i="6"/>
  <c r="W7" i="6"/>
  <c r="Y494" i="6"/>
  <c r="W9" i="4"/>
  <c r="Y8" i="4"/>
  <c r="V9" i="4"/>
  <c r="X8" i="4"/>
  <c r="AF492" i="3"/>
  <c r="Y411" i="3"/>
  <c r="X411" i="3" s="1"/>
  <c r="AF408" i="3"/>
  <c r="Y381" i="3"/>
  <c r="X381" i="3" s="1"/>
  <c r="Y125" i="3"/>
  <c r="X125" i="3" s="1"/>
  <c r="Y275" i="3"/>
  <c r="X275" i="3" s="1"/>
  <c r="AF275" i="3"/>
  <c r="AF482" i="3"/>
  <c r="Y482" i="3"/>
  <c r="X482" i="3" s="1"/>
  <c r="AF49" i="3"/>
  <c r="Y49" i="3"/>
  <c r="X49" i="3" s="1"/>
  <c r="AF87" i="3"/>
  <c r="Y87" i="3"/>
  <c r="X87" i="3" s="1"/>
  <c r="AF184" i="3"/>
  <c r="Y184" i="3"/>
  <c r="X184" i="3" s="1"/>
  <c r="AF285" i="3"/>
  <c r="Y285" i="3"/>
  <c r="X285" i="3" s="1"/>
  <c r="AF219" i="3"/>
  <c r="Y219" i="3"/>
  <c r="X219" i="3" s="1"/>
  <c r="Y305" i="3"/>
  <c r="X305" i="3" s="1"/>
  <c r="AF305" i="3"/>
  <c r="Y388" i="3"/>
  <c r="X388" i="3" s="1"/>
  <c r="AF388" i="3"/>
  <c r="AF270" i="3"/>
  <c r="Y270" i="3"/>
  <c r="X270" i="3" s="1"/>
  <c r="AF485" i="3"/>
  <c r="Y485" i="3"/>
  <c r="X485" i="3" s="1"/>
  <c r="AF75" i="3"/>
  <c r="Y75" i="3"/>
  <c r="X75" i="3" s="1"/>
  <c r="Y236" i="3"/>
  <c r="X236" i="3" s="1"/>
  <c r="AF236" i="3"/>
  <c r="AF468" i="3"/>
  <c r="Y468" i="3"/>
  <c r="X468" i="3" s="1"/>
  <c r="Y29" i="3"/>
  <c r="X29" i="3" s="1"/>
  <c r="AF29" i="3"/>
  <c r="AF479" i="3"/>
  <c r="Y479" i="3"/>
  <c r="X479" i="3" s="1"/>
  <c r="AF303" i="3"/>
  <c r="Y303" i="3"/>
  <c r="X303" i="3" s="1"/>
  <c r="AF43" i="3"/>
  <c r="Y43" i="3"/>
  <c r="X43" i="3" s="1"/>
  <c r="Y162" i="3"/>
  <c r="X162" i="3" s="1"/>
  <c r="AF162" i="3"/>
  <c r="AF34" i="3"/>
  <c r="Y34" i="3"/>
  <c r="X34" i="3" s="1"/>
  <c r="AF155" i="3"/>
  <c r="Y155" i="3"/>
  <c r="X155" i="3" s="1"/>
  <c r="Y295" i="3"/>
  <c r="X295" i="3" s="1"/>
  <c r="AF295" i="3"/>
  <c r="AF454" i="3"/>
  <c r="Y454" i="3"/>
  <c r="X454" i="3" s="1"/>
  <c r="AF105" i="3"/>
  <c r="Y105" i="3"/>
  <c r="X105" i="3" s="1"/>
  <c r="Y207" i="3"/>
  <c r="X207" i="3" s="1"/>
  <c r="AF207" i="3"/>
  <c r="AF231" i="3"/>
  <c r="Y231" i="3"/>
  <c r="X231" i="3" s="1"/>
  <c r="Y360" i="3"/>
  <c r="X360" i="3" s="1"/>
  <c r="AF360" i="3"/>
  <c r="Y146" i="3"/>
  <c r="X146" i="3" s="1"/>
  <c r="Y176" i="3"/>
  <c r="X176" i="3" s="1"/>
  <c r="AF176" i="3"/>
  <c r="AF196" i="3"/>
  <c r="Y196" i="3"/>
  <c r="X196" i="3" s="1"/>
  <c r="Y443" i="3"/>
  <c r="X443" i="3" s="1"/>
  <c r="AF448" i="3"/>
  <c r="Y208" i="3"/>
  <c r="X208" i="3" s="1"/>
  <c r="AF425" i="3"/>
  <c r="Y425" i="3"/>
  <c r="X425" i="3" s="1"/>
  <c r="AF308" i="3"/>
  <c r="Y372" i="3"/>
  <c r="X372" i="3" s="1"/>
  <c r="AF449" i="3"/>
  <c r="Y449" i="3"/>
  <c r="X449" i="3" s="1"/>
  <c r="Y466" i="3"/>
  <c r="X466" i="3" s="1"/>
  <c r="AF106" i="3"/>
  <c r="AF182" i="3"/>
  <c r="Y335" i="3"/>
  <c r="X335" i="3" s="1"/>
  <c r="AF335" i="3"/>
  <c r="Y55" i="3"/>
  <c r="X55" i="3" s="1"/>
  <c r="Y101" i="3"/>
  <c r="X101" i="3" s="1"/>
  <c r="Y349" i="3"/>
  <c r="X349" i="3" s="1"/>
  <c r="AF349" i="3"/>
  <c r="Y25" i="3"/>
  <c r="X25" i="3" s="1"/>
  <c r="AF25" i="3"/>
  <c r="AF120" i="3"/>
  <c r="Y23" i="3"/>
  <c r="X23" i="3" s="1"/>
  <c r="Y114" i="3"/>
  <c r="X114" i="3" s="1"/>
  <c r="AF462" i="3"/>
  <c r="AF119" i="3"/>
  <c r="Y119" i="3"/>
  <c r="X119" i="3" s="1"/>
  <c r="AF163" i="3"/>
  <c r="Y234" i="3"/>
  <c r="X234" i="3" s="1"/>
  <c r="Y278" i="3"/>
  <c r="X278" i="3" s="1"/>
  <c r="AF278" i="3"/>
  <c r="AF115" i="3"/>
  <c r="AF84" i="3"/>
  <c r="Y84" i="3"/>
  <c r="X84" i="3" s="1"/>
  <c r="Y465" i="3"/>
  <c r="X465" i="3" s="1"/>
  <c r="AF465" i="3"/>
  <c r="AF307" i="3"/>
  <c r="Y128" i="3"/>
  <c r="X128" i="3" s="1"/>
  <c r="Y251" i="3"/>
  <c r="X251" i="3" s="1"/>
  <c r="AF251" i="3"/>
  <c r="Y13" i="3"/>
  <c r="X13" i="3" s="1"/>
  <c r="AF13" i="3"/>
  <c r="Y415" i="3"/>
  <c r="X415" i="3" s="1"/>
  <c r="AF415" i="3"/>
  <c r="AF309" i="3"/>
  <c r="AF461" i="3"/>
  <c r="Y461" i="3"/>
  <c r="X461" i="3" s="1"/>
  <c r="Y198" i="3"/>
  <c r="X198" i="3" s="1"/>
  <c r="AF198" i="3"/>
  <c r="AF148" i="3"/>
  <c r="AF287" i="3"/>
  <c r="Y456" i="3"/>
  <c r="X456" i="3" s="1"/>
  <c r="Y474" i="3"/>
  <c r="X474" i="3" s="1"/>
  <c r="AF474" i="3"/>
  <c r="AF233" i="3"/>
  <c r="AF356" i="3"/>
  <c r="AF386" i="3"/>
  <c r="Y386" i="3"/>
  <c r="X386" i="3" s="1"/>
  <c r="AF427" i="3"/>
  <c r="AF52" i="3"/>
  <c r="Y52" i="3"/>
  <c r="X52" i="3" s="1"/>
  <c r="AF169" i="3"/>
  <c r="Y169" i="3"/>
  <c r="X169" i="3" s="1"/>
  <c r="AF283" i="3"/>
  <c r="AF62" i="3"/>
  <c r="Y254" i="3"/>
  <c r="X254" i="3" s="1"/>
  <c r="AF254" i="3"/>
  <c r="AF265" i="3"/>
  <c r="Y441" i="3"/>
  <c r="X441" i="3" s="1"/>
  <c r="AF441" i="3"/>
  <c r="AF476" i="3"/>
  <c r="Y476" i="3"/>
  <c r="X476" i="3" s="1"/>
  <c r="AF57" i="3"/>
  <c r="AF223" i="3"/>
  <c r="AF241" i="3"/>
  <c r="Y241" i="3"/>
  <c r="X241" i="3" s="1"/>
  <c r="AF488" i="3"/>
  <c r="Y488" i="3"/>
  <c r="X488" i="3" s="1"/>
  <c r="AF129" i="3"/>
  <c r="AF235" i="3"/>
  <c r="Y235" i="3"/>
  <c r="X235" i="3" s="1"/>
  <c r="AF289" i="3"/>
  <c r="AF345" i="3"/>
  <c r="AF290" i="3"/>
  <c r="AF498" i="3"/>
  <c r="Y88" i="3"/>
  <c r="X88" i="3" s="1"/>
  <c r="AF256" i="3"/>
  <c r="Y286" i="3"/>
  <c r="X286" i="3" s="1"/>
  <c r="AF407" i="3"/>
  <c r="AF444" i="3"/>
  <c r="Y469" i="3"/>
  <c r="X469" i="3" s="1"/>
  <c r="Y428" i="3"/>
  <c r="X428" i="3" s="1"/>
  <c r="AF41" i="3"/>
  <c r="Y51" i="3"/>
  <c r="X51" i="3" s="1"/>
  <c r="AF117" i="3"/>
  <c r="AF480" i="3"/>
  <c r="Y199" i="3"/>
  <c r="X199" i="3" s="1"/>
  <c r="AF323" i="3"/>
  <c r="Y127" i="3"/>
  <c r="X127" i="3" s="1"/>
  <c r="AF215" i="3"/>
  <c r="AF226" i="3"/>
  <c r="Y277" i="3"/>
  <c r="X277" i="3" s="1"/>
  <c r="AF347" i="3"/>
  <c r="Y62" i="3"/>
  <c r="X62" i="3" s="1"/>
  <c r="Y110" i="3"/>
  <c r="X110" i="3" s="1"/>
  <c r="AF477" i="3"/>
  <c r="Y66" i="3"/>
  <c r="X66" i="3" s="1"/>
  <c r="Y76" i="3"/>
  <c r="X76" i="3" s="1"/>
  <c r="AF420" i="3"/>
  <c r="Y72" i="3"/>
  <c r="X72" i="3" s="1"/>
  <c r="AF298" i="3"/>
  <c r="Y53" i="3"/>
  <c r="X53" i="3" s="1"/>
  <c r="AF53" i="3"/>
  <c r="Y321" i="3"/>
  <c r="X321" i="3" s="1"/>
  <c r="AF321" i="3"/>
  <c r="Y351" i="3"/>
  <c r="X351" i="3" s="1"/>
  <c r="AF351" i="3"/>
  <c r="Y316" i="3"/>
  <c r="X316" i="3" s="1"/>
  <c r="AF316" i="3"/>
  <c r="AF135" i="3"/>
  <c r="Y135" i="3"/>
  <c r="X135" i="3" s="1"/>
  <c r="Y36" i="3"/>
  <c r="X36" i="3" s="1"/>
  <c r="AF36" i="3"/>
  <c r="Y14" i="3"/>
  <c r="X14" i="3" s="1"/>
  <c r="AF14" i="3"/>
  <c r="AF113" i="3"/>
  <c r="Y113" i="3"/>
  <c r="X113" i="3" s="1"/>
  <c r="Y205" i="3"/>
  <c r="X205" i="3" s="1"/>
  <c r="AF205" i="3"/>
  <c r="AF98" i="3"/>
  <c r="Y98" i="3"/>
  <c r="X98" i="3" s="1"/>
  <c r="AF15" i="3"/>
  <c r="Y15" i="3"/>
  <c r="X15" i="3" s="1"/>
  <c r="AF104" i="3"/>
  <c r="Y104" i="3"/>
  <c r="X104" i="3" s="1"/>
  <c r="AF150" i="3"/>
  <c r="Y150" i="3"/>
  <c r="X150" i="3" s="1"/>
  <c r="AF188" i="3"/>
  <c r="Y188" i="3"/>
  <c r="X188" i="3" s="1"/>
  <c r="U9" i="3"/>
  <c r="Y228" i="3"/>
  <c r="X228" i="3" s="1"/>
  <c r="AF228" i="3"/>
  <c r="AF143" i="3"/>
  <c r="Y143" i="3"/>
  <c r="X143" i="3" s="1"/>
  <c r="AF16" i="3"/>
  <c r="Y16" i="3"/>
  <c r="X16" i="3" s="1"/>
  <c r="AF32" i="3"/>
  <c r="Y32" i="3"/>
  <c r="X32" i="3" s="1"/>
  <c r="AF175" i="3"/>
  <c r="Y175" i="3"/>
  <c r="X175" i="3" s="1"/>
  <c r="AF141" i="3"/>
  <c r="Y141" i="3"/>
  <c r="X141" i="3" s="1"/>
  <c r="Y71" i="3"/>
  <c r="X71" i="3" s="1"/>
  <c r="AF71" i="3"/>
  <c r="AF138" i="3"/>
  <c r="Y138" i="3"/>
  <c r="X138" i="3" s="1"/>
  <c r="Y179" i="3"/>
  <c r="X179" i="3" s="1"/>
  <c r="AF179" i="3"/>
  <c r="AF63" i="3"/>
  <c r="Y63" i="3"/>
  <c r="X63" i="3" s="1"/>
  <c r="AF89" i="3"/>
  <c r="Y89" i="3"/>
  <c r="X89" i="3" s="1"/>
  <c r="Y243" i="3"/>
  <c r="X243" i="3" s="1"/>
  <c r="AF243" i="3"/>
  <c r="AC49" i="3"/>
  <c r="AF100" i="3"/>
  <c r="Y166" i="3"/>
  <c r="X166" i="3" s="1"/>
  <c r="AF238" i="3"/>
  <c r="Y248" i="3"/>
  <c r="X248" i="3" s="1"/>
  <c r="AF248" i="3"/>
  <c r="Y42" i="3"/>
  <c r="X42" i="3" s="1"/>
  <c r="AC93" i="3"/>
  <c r="Y93" i="3"/>
  <c r="X93" i="3" s="1"/>
  <c r="AC108" i="3"/>
  <c r="Y108" i="3"/>
  <c r="X108" i="3" s="1"/>
  <c r="AC139" i="3"/>
  <c r="U133" i="3" s="1"/>
  <c r="Y139" i="3"/>
  <c r="X139" i="3" s="1"/>
  <c r="AC179" i="3"/>
  <c r="X328" i="3"/>
  <c r="Y327" i="3"/>
  <c r="W327" i="3" s="1"/>
  <c r="AF327" i="3" s="1"/>
  <c r="Y375" i="3"/>
  <c r="X375" i="3" s="1"/>
  <c r="AF453" i="3"/>
  <c r="Y453" i="3"/>
  <c r="X453" i="3" s="1"/>
  <c r="Y45" i="3"/>
  <c r="X45" i="3" s="1"/>
  <c r="AF382" i="3"/>
  <c r="Y382" i="3"/>
  <c r="X382" i="3" s="1"/>
  <c r="Y329" i="3"/>
  <c r="X329" i="3" s="1"/>
  <c r="AF329" i="3"/>
  <c r="Y39" i="3"/>
  <c r="Y78" i="3"/>
  <c r="X78" i="3" s="1"/>
  <c r="Y86" i="3"/>
  <c r="X86" i="3" s="1"/>
  <c r="AC167" i="3"/>
  <c r="Y167" i="3"/>
  <c r="X167" i="3" s="1"/>
  <c r="Y212" i="3"/>
  <c r="X212" i="3" s="1"/>
  <c r="AF212" i="3"/>
  <c r="Y244" i="3"/>
  <c r="X244" i="3" s="1"/>
  <c r="Y263" i="3"/>
  <c r="X263" i="3" s="1"/>
  <c r="AF263" i="3"/>
  <c r="Y304" i="3"/>
  <c r="X304" i="3" s="1"/>
  <c r="U327" i="3"/>
  <c r="AF346" i="3"/>
  <c r="AF35" i="3"/>
  <c r="AF64" i="3"/>
  <c r="Y64" i="3"/>
  <c r="X64" i="3" s="1"/>
  <c r="Y151" i="3"/>
  <c r="X151" i="3" s="1"/>
  <c r="AF151" i="3"/>
  <c r="AF268" i="3"/>
  <c r="AF272" i="3"/>
  <c r="AF414" i="3"/>
  <c r="Y414" i="3"/>
  <c r="X414" i="3" s="1"/>
  <c r="AF211" i="3"/>
  <c r="Y211" i="3"/>
  <c r="X211" i="3" s="1"/>
  <c r="AF253" i="3"/>
  <c r="Y253" i="3"/>
  <c r="X253" i="3" s="1"/>
  <c r="AF221" i="3"/>
  <c r="Y221" i="3"/>
  <c r="AF171" i="3"/>
  <c r="Y171" i="3"/>
  <c r="X171" i="3" s="1"/>
  <c r="U202" i="3"/>
  <c r="AF222" i="3"/>
  <c r="Y222" i="3"/>
  <c r="X222" i="3" s="1"/>
  <c r="AF282" i="3"/>
  <c r="Y282" i="3"/>
  <c r="X282" i="3" s="1"/>
  <c r="AF324" i="3"/>
  <c r="Y19" i="3"/>
  <c r="X19" i="3" s="1"/>
  <c r="Y50" i="3"/>
  <c r="X50" i="3" s="1"/>
  <c r="AC83" i="3"/>
  <c r="AC101" i="3"/>
  <c r="AF109" i="3"/>
  <c r="AC199" i="3"/>
  <c r="AF250" i="3"/>
  <c r="Y250" i="3"/>
  <c r="X250" i="3" s="1"/>
  <c r="Y325" i="3"/>
  <c r="X325" i="3" s="1"/>
  <c r="AF325" i="3"/>
  <c r="Y429" i="3"/>
  <c r="X429" i="3" s="1"/>
  <c r="AF429" i="3"/>
  <c r="Y459" i="3"/>
  <c r="X459" i="3" s="1"/>
  <c r="AF459" i="3"/>
  <c r="X492" i="3"/>
  <c r="AF28" i="3"/>
  <c r="Y28" i="3"/>
  <c r="X28" i="3" s="1"/>
  <c r="Y68" i="3"/>
  <c r="X68" i="3" s="1"/>
  <c r="Y172" i="3"/>
  <c r="X172" i="3" s="1"/>
  <c r="Y255" i="3"/>
  <c r="X255" i="3" s="1"/>
  <c r="Y264" i="3"/>
  <c r="X264" i="3" s="1"/>
  <c r="AF264" i="3"/>
  <c r="Y296" i="3"/>
  <c r="X296" i="3" s="1"/>
  <c r="AF296" i="3"/>
  <c r="U377" i="3"/>
  <c r="Y154" i="3"/>
  <c r="X154" i="3" s="1"/>
  <c r="AF154" i="3"/>
  <c r="AF216" i="3"/>
  <c r="Y216" i="3"/>
  <c r="X216" i="3" s="1"/>
  <c r="Y387" i="3"/>
  <c r="X387" i="3" s="1"/>
  <c r="AF387" i="3"/>
  <c r="Y60" i="3"/>
  <c r="X60" i="3" s="1"/>
  <c r="AC90" i="3"/>
  <c r="Y90" i="3"/>
  <c r="X90" i="3" s="1"/>
  <c r="Y116" i="3"/>
  <c r="X116" i="3" s="1"/>
  <c r="Y147" i="3"/>
  <c r="X147" i="3" s="1"/>
  <c r="AC147" i="3"/>
  <c r="AF190" i="3"/>
  <c r="Y190" i="3"/>
  <c r="X190" i="3" s="1"/>
  <c r="Y27" i="3"/>
  <c r="X27" i="3" s="1"/>
  <c r="Y136" i="3"/>
  <c r="X136" i="3" s="1"/>
  <c r="Y159" i="3"/>
  <c r="X159" i="3" s="1"/>
  <c r="AF239" i="3"/>
  <c r="Y314" i="3"/>
  <c r="X314" i="3" s="1"/>
  <c r="AF314" i="3"/>
  <c r="AC79" i="3"/>
  <c r="Y79" i="3"/>
  <c r="X79" i="3" s="1"/>
  <c r="Y320" i="3"/>
  <c r="X320" i="3" s="1"/>
  <c r="AF320" i="3"/>
  <c r="AF378" i="3"/>
  <c r="Y378" i="3"/>
  <c r="AF445" i="3"/>
  <c r="Y445" i="3"/>
  <c r="X445" i="3" s="1"/>
  <c r="Y61" i="3"/>
  <c r="X61" i="3" s="1"/>
  <c r="AF213" i="3"/>
  <c r="Y213" i="3"/>
  <c r="X213" i="3" s="1"/>
  <c r="AF300" i="3"/>
  <c r="AF336" i="3"/>
  <c r="Y336" i="3"/>
  <c r="X336" i="3" s="1"/>
  <c r="Y342" i="3"/>
  <c r="X342" i="3" s="1"/>
  <c r="AF11" i="3"/>
  <c r="Y83" i="3"/>
  <c r="X83" i="3" s="1"/>
  <c r="Y144" i="3"/>
  <c r="X144" i="3" s="1"/>
  <c r="AF168" i="3"/>
  <c r="AC191" i="3"/>
  <c r="AF218" i="3"/>
  <c r="AF310" i="3"/>
  <c r="Y310" i="3"/>
  <c r="X310" i="3" s="1"/>
  <c r="AF331" i="3"/>
  <c r="Y331" i="3"/>
  <c r="X331" i="3" s="1"/>
  <c r="Y358" i="3"/>
  <c r="X358" i="3" s="1"/>
  <c r="AF358" i="3"/>
  <c r="AF409" i="3"/>
  <c r="Y481" i="3"/>
  <c r="X481" i="3" s="1"/>
  <c r="AF481" i="3"/>
  <c r="AF433" i="3"/>
  <c r="Y433" i="3"/>
  <c r="X433" i="3" s="1"/>
  <c r="AF194" i="3"/>
  <c r="Y194" i="3"/>
  <c r="X194" i="3" s="1"/>
  <c r="Y31" i="3"/>
  <c r="X31" i="3" s="1"/>
  <c r="AF24" i="3"/>
  <c r="Y24" i="3"/>
  <c r="X24" i="3" s="1"/>
  <c r="AF102" i="3"/>
  <c r="Y102" i="3"/>
  <c r="X102" i="3" s="1"/>
  <c r="AF156" i="3"/>
  <c r="Y156" i="3"/>
  <c r="X156" i="3" s="1"/>
  <c r="AF200" i="3"/>
  <c r="Y200" i="3"/>
  <c r="X200" i="3" s="1"/>
  <c r="Y260" i="3"/>
  <c r="X260" i="3" s="1"/>
  <c r="AF260" i="3"/>
  <c r="AF301" i="3"/>
  <c r="Y301" i="3"/>
  <c r="X301" i="3" s="1"/>
  <c r="Y368" i="3"/>
  <c r="X368" i="3" s="1"/>
  <c r="AF368" i="3"/>
  <c r="AC72" i="3"/>
  <c r="AF76" i="3"/>
  <c r="AF121" i="3"/>
  <c r="Y121" i="3"/>
  <c r="X121" i="3" s="1"/>
  <c r="Y246" i="3"/>
  <c r="X246" i="3" s="1"/>
  <c r="AF246" i="3"/>
  <c r="AF337" i="3"/>
  <c r="Y337" i="3"/>
  <c r="X337" i="3" s="1"/>
  <c r="Y353" i="3"/>
  <c r="X353" i="3" s="1"/>
  <c r="AF353" i="3"/>
  <c r="AF436" i="3"/>
  <c r="Y436" i="3"/>
  <c r="X436" i="3" s="1"/>
  <c r="AF487" i="3"/>
  <c r="Y487" i="3"/>
  <c r="X487" i="3" s="1"/>
  <c r="AC69" i="3"/>
  <c r="Y69" i="3"/>
  <c r="X69" i="3" s="1"/>
  <c r="Y95" i="3"/>
  <c r="X95" i="3" s="1"/>
  <c r="Y145" i="3"/>
  <c r="X145" i="3" s="1"/>
  <c r="AC145" i="3"/>
  <c r="AF173" i="3"/>
  <c r="AC192" i="3"/>
  <c r="Y192" i="3"/>
  <c r="X192" i="3" s="1"/>
  <c r="Y292" i="3"/>
  <c r="X292" i="3" s="1"/>
  <c r="Y343" i="3"/>
  <c r="X343" i="3" s="1"/>
  <c r="AF343" i="3"/>
  <c r="Y123" i="3"/>
  <c r="X123" i="3" s="1"/>
  <c r="Y258" i="3"/>
  <c r="X258" i="3" s="1"/>
  <c r="AF258" i="3"/>
  <c r="AF334" i="3"/>
  <c r="Y334" i="3"/>
  <c r="X334" i="3" s="1"/>
  <c r="AC132" i="3"/>
  <c r="Y132" i="3"/>
  <c r="X132" i="3" s="1"/>
  <c r="Y126" i="3"/>
  <c r="X126" i="3" s="1"/>
  <c r="AC126" i="3"/>
  <c r="Y37" i="3"/>
  <c r="X37" i="3" s="1"/>
  <c r="Y44" i="3"/>
  <c r="X44" i="3" s="1"/>
  <c r="AC185" i="3"/>
  <c r="Y201" i="3"/>
  <c r="X201" i="3" s="1"/>
  <c r="AC51" i="3"/>
  <c r="U38" i="3" s="1"/>
  <c r="Y224" i="3"/>
  <c r="X224" i="3" s="1"/>
  <c r="AF279" i="3"/>
  <c r="Y344" i="3"/>
  <c r="X344" i="3" s="1"/>
  <c r="AF344" i="3"/>
  <c r="AF472" i="3"/>
  <c r="Y472" i="3"/>
  <c r="AC82" i="3"/>
  <c r="Y82" i="3"/>
  <c r="X82" i="3" s="1"/>
  <c r="Y276" i="3"/>
  <c r="X276" i="3" s="1"/>
  <c r="AF33" i="3"/>
  <c r="Y33" i="3"/>
  <c r="X33" i="3" s="1"/>
  <c r="AF214" i="3"/>
  <c r="Y214" i="3"/>
  <c r="X214" i="3" s="1"/>
  <c r="AF274" i="3"/>
  <c r="Y274" i="3"/>
  <c r="X274" i="3" s="1"/>
  <c r="Y92" i="3"/>
  <c r="X92" i="3" s="1"/>
  <c r="Y111" i="3"/>
  <c r="X111" i="3" s="1"/>
  <c r="AC111" i="3"/>
  <c r="Y21" i="3"/>
  <c r="X21" i="3" s="1"/>
  <c r="AC96" i="3"/>
  <c r="Y96" i="3"/>
  <c r="X96" i="3" s="1"/>
  <c r="Y107" i="3"/>
  <c r="X107" i="3" s="1"/>
  <c r="AF130" i="3"/>
  <c r="Y130" i="3"/>
  <c r="X130" i="3" s="1"/>
  <c r="AC153" i="3"/>
  <c r="Y153" i="3"/>
  <c r="X153" i="3" s="1"/>
  <c r="Y165" i="3"/>
  <c r="X165" i="3" s="1"/>
  <c r="Y174" i="3"/>
  <c r="X174" i="3" s="1"/>
  <c r="AF174" i="3"/>
  <c r="AF206" i="3"/>
  <c r="Y206" i="3"/>
  <c r="X206" i="3" s="1"/>
  <c r="AF288" i="3"/>
  <c r="Y483" i="3"/>
  <c r="X483" i="3" s="1"/>
  <c r="AF483" i="3"/>
  <c r="AC112" i="3"/>
  <c r="Y112" i="3"/>
  <c r="X112" i="3" s="1"/>
  <c r="AF18" i="3"/>
  <c r="Y18" i="3"/>
  <c r="X18" i="3" s="1"/>
  <c r="Y10" i="3"/>
  <c r="Y56" i="3"/>
  <c r="X56" i="3" s="1"/>
  <c r="AF376" i="3"/>
  <c r="Y376" i="3"/>
  <c r="X376" i="3" s="1"/>
  <c r="Y80" i="3"/>
  <c r="X80" i="3" s="1"/>
  <c r="Y338" i="3"/>
  <c r="X338" i="3" s="1"/>
  <c r="AF338" i="3"/>
  <c r="AF17" i="3"/>
  <c r="Y17" i="3"/>
  <c r="X17" i="3" s="1"/>
  <c r="AF30" i="3"/>
  <c r="Y30" i="3"/>
  <c r="X30" i="3" s="1"/>
  <c r="AF153" i="3"/>
  <c r="AF229" i="3"/>
  <c r="Y229" i="3"/>
  <c r="X229" i="3" s="1"/>
  <c r="AF333" i="3"/>
  <c r="Y333" i="3"/>
  <c r="X333" i="3" s="1"/>
  <c r="AF355" i="3"/>
  <c r="Y355" i="3"/>
  <c r="X355" i="3" s="1"/>
  <c r="AF203" i="3"/>
  <c r="Y203" i="3"/>
  <c r="AC161" i="3"/>
  <c r="Y161" i="3"/>
  <c r="X161" i="3" s="1"/>
  <c r="AF58" i="3"/>
  <c r="Y58" i="3"/>
  <c r="X58" i="3" s="1"/>
  <c r="Y364" i="3"/>
  <c r="X364" i="3" s="1"/>
  <c r="Y48" i="3"/>
  <c r="X48" i="3" s="1"/>
  <c r="AC48" i="3"/>
  <c r="AC122" i="3"/>
  <c r="Y122" i="3"/>
  <c r="X122" i="3" s="1"/>
  <c r="AF197" i="3"/>
  <c r="Y197" i="3"/>
  <c r="X197" i="3" s="1"/>
  <c r="AF209" i="3"/>
  <c r="AC85" i="3"/>
  <c r="Y85" i="3"/>
  <c r="X85" i="3" s="1"/>
  <c r="AC119" i="3"/>
  <c r="Y185" i="3"/>
  <c r="X185" i="3" s="1"/>
  <c r="Y252" i="3"/>
  <c r="X252" i="3" s="1"/>
  <c r="Y280" i="3"/>
  <c r="X280" i="3" s="1"/>
  <c r="Y438" i="3"/>
  <c r="X438" i="3" s="1"/>
  <c r="AF438" i="3"/>
  <c r="AF439" i="3"/>
  <c r="Y439" i="3"/>
  <c r="X439" i="3" s="1"/>
  <c r="AF383" i="3"/>
  <c r="Y383" i="3"/>
  <c r="X383" i="3" s="1"/>
  <c r="AC75" i="3"/>
  <c r="AC123" i="3"/>
  <c r="AF144" i="3"/>
  <c r="Y281" i="3"/>
  <c r="X281" i="3" s="1"/>
  <c r="AF281" i="3"/>
  <c r="AF330" i="3"/>
  <c r="Y330" i="3"/>
  <c r="X330" i="3" s="1"/>
  <c r="U471" i="3"/>
  <c r="Y293" i="3"/>
  <c r="X293" i="3" s="1"/>
  <c r="AF293" i="3"/>
  <c r="AF365" i="3"/>
  <c r="AF379" i="3"/>
  <c r="Y379" i="3"/>
  <c r="X379" i="3" s="1"/>
  <c r="Y160" i="3"/>
  <c r="X160" i="3" s="1"/>
  <c r="Y183" i="3"/>
  <c r="X183" i="3" s="1"/>
  <c r="AF189" i="3"/>
  <c r="Y189" i="3"/>
  <c r="X189" i="3" s="1"/>
  <c r="U220" i="3"/>
  <c r="Y313" i="3"/>
  <c r="X313" i="3" s="1"/>
  <c r="AF361" i="3"/>
  <c r="AF370" i="3"/>
  <c r="Y370" i="3"/>
  <c r="AF493" i="3"/>
  <c r="Y493" i="3"/>
  <c r="X493" i="3" s="1"/>
  <c r="Y210" i="3"/>
  <c r="X210" i="3" s="1"/>
  <c r="AF210" i="3"/>
  <c r="Y257" i="3"/>
  <c r="X257" i="3" s="1"/>
  <c r="AF257" i="3"/>
  <c r="Y322" i="3"/>
  <c r="X322" i="3" s="1"/>
  <c r="Y374" i="3"/>
  <c r="X374" i="3" s="1"/>
  <c r="AF374" i="3"/>
  <c r="Y416" i="3"/>
  <c r="X416" i="3" s="1"/>
  <c r="AF416" i="3"/>
  <c r="Y430" i="3"/>
  <c r="X430" i="3" s="1"/>
  <c r="AF430" i="3"/>
  <c r="AF463" i="3"/>
  <c r="Y478" i="3"/>
  <c r="X478" i="3" s="1"/>
  <c r="AC40" i="3"/>
  <c r="Y40" i="3"/>
  <c r="X40" i="3" s="1"/>
  <c r="AC157" i="3"/>
  <c r="AF384" i="3"/>
  <c r="Y99" i="3"/>
  <c r="X99" i="3" s="1"/>
  <c r="AC160" i="3"/>
  <c r="Y180" i="3"/>
  <c r="X180" i="3" s="1"/>
  <c r="AC183" i="3"/>
  <c r="AF340" i="3"/>
  <c r="AF357" i="3"/>
  <c r="Y384" i="3"/>
  <c r="X384" i="3" s="1"/>
  <c r="Y426" i="3"/>
  <c r="X426" i="3" s="1"/>
  <c r="AF426" i="3"/>
  <c r="Y464" i="3"/>
  <c r="X464" i="3" s="1"/>
  <c r="AF273" i="3"/>
  <c r="AC114" i="3"/>
  <c r="Y306" i="3"/>
  <c r="X306" i="3" s="1"/>
  <c r="Y318" i="3"/>
  <c r="X318" i="3" s="1"/>
  <c r="Y340" i="3"/>
  <c r="X340" i="3" s="1"/>
  <c r="AC70" i="3"/>
  <c r="Y70" i="3"/>
  <c r="X70" i="3" s="1"/>
  <c r="AC164" i="3"/>
  <c r="Y164" i="3"/>
  <c r="X164" i="3" s="1"/>
  <c r="AF412" i="3"/>
  <c r="Y412" i="3"/>
  <c r="X412" i="3" s="1"/>
  <c r="Y73" i="3"/>
  <c r="X73" i="3" s="1"/>
  <c r="Y94" i="3"/>
  <c r="X94" i="3" s="1"/>
  <c r="Y100" i="3"/>
  <c r="X100" i="3" s="1"/>
  <c r="AC115" i="3"/>
  <c r="Y103" i="3"/>
  <c r="X103" i="3" s="1"/>
  <c r="Y124" i="3"/>
  <c r="X124" i="3" s="1"/>
  <c r="Y149" i="3"/>
  <c r="X149" i="3" s="1"/>
  <c r="AC158" i="3"/>
  <c r="AF181" i="3"/>
  <c r="AF204" i="3"/>
  <c r="Y204" i="3"/>
  <c r="X204" i="3" s="1"/>
  <c r="Y238" i="3"/>
  <c r="AF266" i="3"/>
  <c r="Y354" i="3"/>
  <c r="X354" i="3" s="1"/>
  <c r="Y385" i="3"/>
  <c r="X385" i="3" s="1"/>
  <c r="Y432" i="3"/>
  <c r="X432" i="3" s="1"/>
  <c r="AF432" i="3"/>
  <c r="Y451" i="3"/>
  <c r="AF363" i="3"/>
  <c r="Y363" i="3"/>
  <c r="X363" i="3" s="1"/>
  <c r="AF97" i="3"/>
  <c r="Y137" i="3"/>
  <c r="X137" i="3" s="1"/>
  <c r="AF291" i="3"/>
  <c r="Y291" i="3"/>
  <c r="X291" i="3" s="1"/>
  <c r="Y299" i="3"/>
  <c r="X299" i="3" s="1"/>
  <c r="AF299" i="3"/>
  <c r="AF319" i="3"/>
  <c r="AF422" i="3"/>
  <c r="AF475" i="3"/>
  <c r="Y475" i="3"/>
  <c r="X475" i="3" s="1"/>
  <c r="Y489" i="3"/>
  <c r="X489" i="3" s="1"/>
  <c r="AF489" i="3"/>
  <c r="AC67" i="3"/>
  <c r="Y67" i="3"/>
  <c r="X67" i="3" s="1"/>
  <c r="Y168" i="3"/>
  <c r="X168" i="3" s="1"/>
  <c r="AC168" i="3"/>
  <c r="Y227" i="3"/>
  <c r="X227" i="3" s="1"/>
  <c r="AF227" i="3"/>
  <c r="Y406" i="3"/>
  <c r="W406" i="3" s="1"/>
  <c r="AF406" i="3" s="1"/>
  <c r="U446" i="3"/>
  <c r="U450" i="3"/>
  <c r="AF460" i="3"/>
  <c r="Y460" i="3"/>
  <c r="X460" i="3" s="1"/>
  <c r="U237" i="3"/>
  <c r="AC56" i="3"/>
  <c r="AC59" i="3"/>
  <c r="Y59" i="3"/>
  <c r="X59" i="3" s="1"/>
  <c r="Y91" i="3"/>
  <c r="X91" i="3" s="1"/>
  <c r="AC94" i="3"/>
  <c r="Y97" i="3"/>
  <c r="X97" i="3" s="1"/>
  <c r="Y115" i="3"/>
  <c r="X115" i="3" s="1"/>
  <c r="AC131" i="3"/>
  <c r="Y152" i="3"/>
  <c r="X152" i="3" s="1"/>
  <c r="Y158" i="3"/>
  <c r="X158" i="3" s="1"/>
  <c r="AC165" i="3"/>
  <c r="AF267" i="3"/>
  <c r="Y267" i="3"/>
  <c r="X267" i="3" s="1"/>
  <c r="Y271" i="3"/>
  <c r="X271" i="3" s="1"/>
  <c r="AF271" i="3"/>
  <c r="Y315" i="3"/>
  <c r="X315" i="3" s="1"/>
  <c r="AF315" i="3"/>
  <c r="AF328" i="3"/>
  <c r="AF332" i="3"/>
  <c r="Y359" i="3"/>
  <c r="X359" i="3" s="1"/>
  <c r="AF359" i="3"/>
  <c r="U406" i="3"/>
  <c r="AF484" i="3"/>
  <c r="Y484" i="3"/>
  <c r="X484" i="3" s="1"/>
  <c r="Y242" i="3"/>
  <c r="X242" i="3" s="1"/>
  <c r="AF242" i="3"/>
  <c r="AF245" i="3"/>
  <c r="AF249" i="3"/>
  <c r="AF350" i="3"/>
  <c r="AF467" i="3"/>
  <c r="Y467" i="3"/>
  <c r="X467" i="3" s="1"/>
  <c r="Y186" i="3"/>
  <c r="X186" i="3" s="1"/>
  <c r="AF362" i="3"/>
  <c r="Y447" i="3"/>
  <c r="AF447" i="3"/>
  <c r="Y170" i="3"/>
  <c r="X170" i="3" s="1"/>
  <c r="AC178" i="3"/>
  <c r="U177" i="3" s="1"/>
  <c r="Y181" i="3"/>
  <c r="X181" i="3" s="1"/>
  <c r="AF410" i="3"/>
  <c r="AF490" i="3"/>
  <c r="Y490" i="3"/>
  <c r="X490" i="3" s="1"/>
  <c r="AC198" i="3"/>
  <c r="Y423" i="3"/>
  <c r="X423" i="3" s="1"/>
  <c r="X406" i="3" s="1"/>
  <c r="V406" i="3" s="1"/>
  <c r="AF423" i="3"/>
  <c r="AF51" i="3"/>
  <c r="Y54" i="3"/>
  <c r="X54" i="3" s="1"/>
  <c r="Y134" i="3"/>
  <c r="Y173" i="3"/>
  <c r="X173" i="3" s="1"/>
  <c r="Y178" i="3"/>
  <c r="AF311" i="3"/>
  <c r="Y341" i="3"/>
  <c r="X341" i="3" s="1"/>
  <c r="AF341" i="3"/>
  <c r="AF348" i="3"/>
  <c r="Y496" i="3"/>
  <c r="Y495" i="3" s="1"/>
  <c r="W495" i="3" s="1"/>
  <c r="AF495" i="3" s="1"/>
  <c r="Y46" i="3"/>
  <c r="X46" i="3" s="1"/>
  <c r="AF131" i="3"/>
  <c r="AC170" i="3"/>
  <c r="Y419" i="3"/>
  <c r="X419" i="3" s="1"/>
  <c r="AF419" i="3"/>
  <c r="AF373" i="3"/>
  <c r="AF230" i="3"/>
  <c r="AF302" i="3"/>
  <c r="AG141" i="1"/>
  <c r="AG492" i="1"/>
  <c r="AG489" i="1"/>
  <c r="AG449" i="1"/>
  <c r="AG447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389" i="1"/>
  <c r="AG383" i="1"/>
  <c r="AG381" i="1"/>
  <c r="AG374" i="1"/>
  <c r="AG210" i="1"/>
  <c r="AG207" i="1"/>
  <c r="AG206" i="1"/>
  <c r="AG205" i="1"/>
  <c r="AK206" i="1"/>
  <c r="AG204" i="1"/>
  <c r="AG174" i="1"/>
  <c r="AG152" i="1"/>
  <c r="AG148" i="1"/>
  <c r="AG138" i="1"/>
  <c r="AG137" i="1"/>
  <c r="AJ9" i="7" l="1"/>
  <c r="AI6" i="7" s="1"/>
  <c r="W7" i="7"/>
  <c r="W494" i="6"/>
  <c r="AF494" i="6" s="1"/>
  <c r="X494" i="6"/>
  <c r="V8" i="4"/>
  <c r="Y499" i="4"/>
  <c r="W8" i="4"/>
  <c r="Y7" i="4"/>
  <c r="Y9" i="3"/>
  <c r="X10" i="3"/>
  <c r="X9" i="3" s="1"/>
  <c r="X238" i="3"/>
  <c r="X237" i="3" s="1"/>
  <c r="V237" i="3" s="1"/>
  <c r="Y237" i="3"/>
  <c r="W237" i="3" s="1"/>
  <c r="AF237" i="3" s="1"/>
  <c r="X327" i="3"/>
  <c r="V327" i="3" s="1"/>
  <c r="X370" i="3"/>
  <c r="X369" i="3" s="1"/>
  <c r="V369" i="3" s="1"/>
  <c r="Y369" i="3"/>
  <c r="W369" i="3" s="1"/>
  <c r="AF369" i="3" s="1"/>
  <c r="X447" i="3"/>
  <c r="X446" i="3" s="1"/>
  <c r="V446" i="3" s="1"/>
  <c r="Y446" i="3"/>
  <c r="W446" i="3" s="1"/>
  <c r="AF446" i="3" s="1"/>
  <c r="X203" i="3"/>
  <c r="X202" i="3" s="1"/>
  <c r="V202" i="3" s="1"/>
  <c r="Y202" i="3"/>
  <c r="W202" i="3" s="1"/>
  <c r="AF202" i="3" s="1"/>
  <c r="Y491" i="3"/>
  <c r="W491" i="3" s="1"/>
  <c r="AF491" i="3" s="1"/>
  <c r="X221" i="3"/>
  <c r="X220" i="3" s="1"/>
  <c r="V220" i="3" s="1"/>
  <c r="Y220" i="3"/>
  <c r="W220" i="3" s="1"/>
  <c r="AF220" i="3" s="1"/>
  <c r="X491" i="3"/>
  <c r="V491" i="3" s="1"/>
  <c r="X39" i="3"/>
  <c r="X38" i="3" s="1"/>
  <c r="V38" i="3" s="1"/>
  <c r="Y38" i="3"/>
  <c r="W38" i="3" s="1"/>
  <c r="AF38" i="3" s="1"/>
  <c r="X178" i="3"/>
  <c r="X177" i="3" s="1"/>
  <c r="V177" i="3" s="1"/>
  <c r="Y177" i="3"/>
  <c r="W177" i="3" s="1"/>
  <c r="AF177" i="3" s="1"/>
  <c r="X378" i="3"/>
  <c r="X377" i="3" s="1"/>
  <c r="V377" i="3" s="1"/>
  <c r="Y377" i="3"/>
  <c r="W377" i="3" s="1"/>
  <c r="AF377" i="3" s="1"/>
  <c r="Y471" i="3"/>
  <c r="W471" i="3" s="1"/>
  <c r="AF471" i="3" s="1"/>
  <c r="X472" i="3"/>
  <c r="X471" i="3" s="1"/>
  <c r="V471" i="3" s="1"/>
  <c r="U8" i="3"/>
  <c r="U7" i="3" s="1"/>
  <c r="X134" i="3"/>
  <c r="X133" i="3" s="1"/>
  <c r="V133" i="3" s="1"/>
  <c r="Y133" i="3"/>
  <c r="W133" i="3" s="1"/>
  <c r="AF133" i="3" s="1"/>
  <c r="X451" i="3"/>
  <c r="X450" i="3" s="1"/>
  <c r="V450" i="3" s="1"/>
  <c r="Y450" i="3"/>
  <c r="W450" i="3" s="1"/>
  <c r="AF450" i="3" s="1"/>
  <c r="AG32" i="1"/>
  <c r="AG34" i="1"/>
  <c r="AG11" i="1"/>
  <c r="AG12" i="1"/>
  <c r="AG23" i="1"/>
  <c r="V494" i="6" l="1"/>
  <c r="X499" i="6"/>
  <c r="X7" i="6"/>
  <c r="Y494" i="4"/>
  <c r="AI7" i="4"/>
  <c r="AG6" i="4" s="1"/>
  <c r="W7" i="4"/>
  <c r="X8" i="3"/>
  <c r="V9" i="3"/>
  <c r="W9" i="3"/>
  <c r="Y8" i="3"/>
  <c r="AG15" i="1"/>
  <c r="AI9" i="6" l="1"/>
  <c r="AH6" i="6" s="1"/>
  <c r="V7" i="6"/>
  <c r="X494" i="4"/>
  <c r="W494" i="4"/>
  <c r="AF494" i="4" s="1"/>
  <c r="Y7" i="3"/>
  <c r="Y499" i="3"/>
  <c r="W8" i="3"/>
  <c r="V8" i="3"/>
  <c r="V10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B470" i="1"/>
  <c r="AC470" i="1" s="1"/>
  <c r="V470" i="1"/>
  <c r="W470" i="1" s="1"/>
  <c r="Y470" i="1" s="1"/>
  <c r="X470" i="1" s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V405" i="1"/>
  <c r="W405" i="1" s="1"/>
  <c r="Y405" i="1" s="1"/>
  <c r="X405" i="1" s="1"/>
  <c r="V404" i="1"/>
  <c r="W404" i="1" s="1"/>
  <c r="Y404" i="1" s="1"/>
  <c r="X404" i="1" s="1"/>
  <c r="V403" i="1"/>
  <c r="W403" i="1" s="1"/>
  <c r="Y403" i="1" s="1"/>
  <c r="X403" i="1" s="1"/>
  <c r="V402" i="1"/>
  <c r="W402" i="1" s="1"/>
  <c r="Y402" i="1" s="1"/>
  <c r="X402" i="1" s="1"/>
  <c r="V401" i="1"/>
  <c r="W401" i="1" s="1"/>
  <c r="Y401" i="1" s="1"/>
  <c r="X401" i="1" s="1"/>
  <c r="V400" i="1"/>
  <c r="W400" i="1" s="1"/>
  <c r="Y400" i="1" s="1"/>
  <c r="X400" i="1" s="1"/>
  <c r="V399" i="1"/>
  <c r="W399" i="1" s="1"/>
  <c r="Y399" i="1" s="1"/>
  <c r="X399" i="1" s="1"/>
  <c r="V398" i="1"/>
  <c r="W398" i="1" s="1"/>
  <c r="Y398" i="1" s="1"/>
  <c r="X398" i="1" s="1"/>
  <c r="V397" i="1"/>
  <c r="W397" i="1" s="1"/>
  <c r="Y397" i="1" s="1"/>
  <c r="X397" i="1" s="1"/>
  <c r="V396" i="1"/>
  <c r="W396" i="1" s="1"/>
  <c r="Y396" i="1" s="1"/>
  <c r="X396" i="1" s="1"/>
  <c r="V395" i="1"/>
  <c r="W395" i="1" s="1"/>
  <c r="Y395" i="1" s="1"/>
  <c r="X395" i="1" s="1"/>
  <c r="V394" i="1"/>
  <c r="W394" i="1" s="1"/>
  <c r="Y394" i="1" s="1"/>
  <c r="X394" i="1" s="1"/>
  <c r="V393" i="1"/>
  <c r="W393" i="1" s="1"/>
  <c r="Y393" i="1" s="1"/>
  <c r="X393" i="1" s="1"/>
  <c r="V392" i="1"/>
  <c r="W392" i="1" s="1"/>
  <c r="Y392" i="1" s="1"/>
  <c r="X392" i="1" s="1"/>
  <c r="V391" i="1"/>
  <c r="W391" i="1" s="1"/>
  <c r="Y391" i="1" s="1"/>
  <c r="X391" i="1" s="1"/>
  <c r="V390" i="1"/>
  <c r="W390" i="1" s="1"/>
  <c r="Y390" i="1" s="1"/>
  <c r="X390" i="1" s="1"/>
  <c r="V389" i="1"/>
  <c r="W389" i="1" s="1"/>
  <c r="V494" i="4" l="1"/>
  <c r="X499" i="4"/>
  <c r="X7" i="4"/>
  <c r="Y494" i="3"/>
  <c r="W7" i="3"/>
  <c r="AI7" i="3"/>
  <c r="AG6" i="3" s="1"/>
  <c r="Y389" i="1"/>
  <c r="X389" i="1" s="1"/>
  <c r="AG26" i="1"/>
  <c r="AG387" i="1"/>
  <c r="AG222" i="1"/>
  <c r="AG370" i="1"/>
  <c r="AG371" i="1" s="1"/>
  <c r="AG386" i="1"/>
  <c r="V7" i="4" l="1"/>
  <c r="AI9" i="4"/>
  <c r="AH6" i="4" s="1"/>
  <c r="X494" i="3"/>
  <c r="W494" i="3"/>
  <c r="AF494" i="3" s="1"/>
  <c r="AG194" i="1"/>
  <c r="AG183" i="1"/>
  <c r="AG182" i="1"/>
  <c r="AG186" i="1"/>
  <c r="AG419" i="1"/>
  <c r="AG466" i="1"/>
  <c r="AG465" i="1"/>
  <c r="AG376" i="1"/>
  <c r="AG216" i="1"/>
  <c r="AG217" i="1"/>
  <c r="AG149" i="1"/>
  <c r="AG170" i="1"/>
  <c r="AG31" i="1"/>
  <c r="V494" i="3" l="1"/>
  <c r="X7" i="3"/>
  <c r="X499" i="3"/>
  <c r="V31" i="1"/>
  <c r="AG225" i="1"/>
  <c r="AG224" i="1"/>
  <c r="AG221" i="1"/>
  <c r="AG185" i="1"/>
  <c r="AG190" i="1"/>
  <c r="AG140" i="1"/>
  <c r="V7" i="3" l="1"/>
  <c r="AI9" i="3"/>
  <c r="AH6" i="3" s="1"/>
  <c r="AG493" i="1"/>
  <c r="AG181" i="1"/>
  <c r="AG218" i="1"/>
  <c r="AG211" i="1"/>
  <c r="AG197" i="1"/>
  <c r="AG175" i="1"/>
  <c r="AG168" i="1"/>
  <c r="AG64" i="1"/>
  <c r="W373" i="1" l="1"/>
  <c r="Z373" i="1"/>
  <c r="V493" i="1"/>
  <c r="V492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49" i="1"/>
  <c r="V448" i="1"/>
  <c r="V447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388" i="1"/>
  <c r="V387" i="1"/>
  <c r="V386" i="1"/>
  <c r="V385" i="1"/>
  <c r="V384" i="1"/>
  <c r="V383" i="1"/>
  <c r="V382" i="1"/>
  <c r="V381" i="1"/>
  <c r="V380" i="1"/>
  <c r="V379" i="1"/>
  <c r="V378" i="1"/>
  <c r="V376" i="1"/>
  <c r="V375" i="1"/>
  <c r="V374" i="1"/>
  <c r="V372" i="1"/>
  <c r="V371" i="1"/>
  <c r="V370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7" i="1"/>
  <c r="V36" i="1"/>
  <c r="V35" i="1"/>
  <c r="V34" i="1"/>
  <c r="V33" i="1"/>
  <c r="V32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1" i="1"/>
  <c r="AF452" i="1" l="1"/>
  <c r="AF458" i="1"/>
  <c r="AF499" i="1"/>
  <c r="AF500" i="1"/>
  <c r="AF501" i="1"/>
  <c r="AF502" i="1"/>
  <c r="V498" i="1"/>
  <c r="V496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12" i="1"/>
  <c r="W224" i="1"/>
  <c r="AF224" i="1" s="1"/>
  <c r="U175" i="1"/>
  <c r="U201" i="1" l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6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W498" i="1" l="1"/>
  <c r="W496" i="1"/>
  <c r="W493" i="1"/>
  <c r="AF493" i="1" s="1"/>
  <c r="W492" i="1"/>
  <c r="AF492" i="1" s="1"/>
  <c r="W490" i="1"/>
  <c r="W489" i="1"/>
  <c r="AF489" i="1" s="1"/>
  <c r="W488" i="1"/>
  <c r="W487" i="1"/>
  <c r="W486" i="1"/>
  <c r="AF486" i="1" s="1"/>
  <c r="W485" i="1"/>
  <c r="W484" i="1"/>
  <c r="AF484" i="1" s="1"/>
  <c r="W483" i="1"/>
  <c r="W482" i="1"/>
  <c r="AF482" i="1" s="1"/>
  <c r="W481" i="1"/>
  <c r="W480" i="1"/>
  <c r="AF480" i="1" s="1"/>
  <c r="W479" i="1"/>
  <c r="W478" i="1"/>
  <c r="W477" i="1"/>
  <c r="AF477" i="1" s="1"/>
  <c r="W476" i="1"/>
  <c r="W475" i="1"/>
  <c r="W474" i="1"/>
  <c r="AF474" i="1" s="1"/>
  <c r="W473" i="1"/>
  <c r="W472" i="1"/>
  <c r="W467" i="1"/>
  <c r="W466" i="1"/>
  <c r="W465" i="1"/>
  <c r="W464" i="1"/>
  <c r="W463" i="1"/>
  <c r="W462" i="1"/>
  <c r="W461" i="1"/>
  <c r="W460" i="1"/>
  <c r="W459" i="1"/>
  <c r="Y458" i="1"/>
  <c r="X458" i="1" s="1"/>
  <c r="W457" i="1"/>
  <c r="W456" i="1"/>
  <c r="W455" i="1"/>
  <c r="W454" i="1"/>
  <c r="W453" i="1"/>
  <c r="AF453" i="1" s="1"/>
  <c r="W451" i="1"/>
  <c r="W449" i="1"/>
  <c r="W448" i="1"/>
  <c r="W447" i="1"/>
  <c r="W445" i="1"/>
  <c r="W444" i="1"/>
  <c r="W443" i="1"/>
  <c r="W442" i="1"/>
  <c r="W441" i="1"/>
  <c r="AF441" i="1" s="1"/>
  <c r="W440" i="1"/>
  <c r="AF440" i="1" s="1"/>
  <c r="W439" i="1"/>
  <c r="W438" i="1"/>
  <c r="W437" i="1"/>
  <c r="W436" i="1"/>
  <c r="W435" i="1"/>
  <c r="W434" i="1"/>
  <c r="W433" i="1"/>
  <c r="W432" i="1"/>
  <c r="AF432" i="1" s="1"/>
  <c r="W431" i="1"/>
  <c r="W430" i="1"/>
  <c r="W429" i="1"/>
  <c r="W428" i="1"/>
  <c r="AF428" i="1" s="1"/>
  <c r="W427" i="1"/>
  <c r="W426" i="1"/>
  <c r="AF426" i="1" s="1"/>
  <c r="W425" i="1"/>
  <c r="W424" i="1"/>
  <c r="AF424" i="1" s="1"/>
  <c r="W423" i="1"/>
  <c r="W422" i="1"/>
  <c r="W421" i="1"/>
  <c r="W420" i="1"/>
  <c r="W419" i="1"/>
  <c r="W418" i="1"/>
  <c r="W417" i="1"/>
  <c r="W416" i="1"/>
  <c r="AF416" i="1" s="1"/>
  <c r="W415" i="1"/>
  <c r="W414" i="1"/>
  <c r="AF414" i="1" s="1"/>
  <c r="W413" i="1"/>
  <c r="W412" i="1"/>
  <c r="W411" i="1"/>
  <c r="W410" i="1"/>
  <c r="AF410" i="1" s="1"/>
  <c r="W409" i="1"/>
  <c r="W408" i="1"/>
  <c r="AF408" i="1" s="1"/>
  <c r="W407" i="1"/>
  <c r="W388" i="1"/>
  <c r="AF388" i="1" s="1"/>
  <c r="W387" i="1"/>
  <c r="W386" i="1"/>
  <c r="W385" i="1"/>
  <c r="W384" i="1"/>
  <c r="AF384" i="1" s="1"/>
  <c r="W383" i="1"/>
  <c r="W382" i="1"/>
  <c r="AF382" i="1" s="1"/>
  <c r="W381" i="1"/>
  <c r="W380" i="1"/>
  <c r="W379" i="1"/>
  <c r="W378" i="1"/>
  <c r="W376" i="1"/>
  <c r="W375" i="1"/>
  <c r="AF375" i="1" s="1"/>
  <c r="W374" i="1"/>
  <c r="W372" i="1"/>
  <c r="AF372" i="1" s="1"/>
  <c r="W371" i="1"/>
  <c r="W370" i="1"/>
  <c r="W368" i="1"/>
  <c r="W367" i="1"/>
  <c r="W366" i="1"/>
  <c r="W365" i="1"/>
  <c r="W364" i="1"/>
  <c r="AF364" i="1" s="1"/>
  <c r="W363" i="1"/>
  <c r="W362" i="1"/>
  <c r="AF362" i="1" s="1"/>
  <c r="W361" i="1"/>
  <c r="W360" i="1"/>
  <c r="W359" i="1"/>
  <c r="W358" i="1"/>
  <c r="AF358" i="1" s="1"/>
  <c r="W357" i="1"/>
  <c r="W356" i="1"/>
  <c r="W355" i="1"/>
  <c r="W354" i="1"/>
  <c r="W353" i="1"/>
  <c r="W352" i="1"/>
  <c r="AF352" i="1" s="1"/>
  <c r="W351" i="1"/>
  <c r="W350" i="1"/>
  <c r="W349" i="1"/>
  <c r="W348" i="1"/>
  <c r="W347" i="1"/>
  <c r="W346" i="1"/>
  <c r="AF346" i="1" s="1"/>
  <c r="W345" i="1"/>
  <c r="W344" i="1"/>
  <c r="AF344" i="1" s="1"/>
  <c r="W343" i="1"/>
  <c r="W342" i="1"/>
  <c r="AF342" i="1" s="1"/>
  <c r="W341" i="1"/>
  <c r="W340" i="1"/>
  <c r="AF340" i="1" s="1"/>
  <c r="W339" i="1"/>
  <c r="W338" i="1"/>
  <c r="W337" i="1"/>
  <c r="W336" i="1"/>
  <c r="W335" i="1"/>
  <c r="W334" i="1"/>
  <c r="W333" i="1"/>
  <c r="W332" i="1"/>
  <c r="W331" i="1"/>
  <c r="W330" i="1"/>
  <c r="AF330" i="1" s="1"/>
  <c r="W329" i="1"/>
  <c r="W328" i="1"/>
  <c r="W326" i="1"/>
  <c r="W325" i="1"/>
  <c r="W324" i="1"/>
  <c r="W323" i="1"/>
  <c r="AF323" i="1" s="1"/>
  <c r="W322" i="1"/>
  <c r="W321" i="1"/>
  <c r="W320" i="1"/>
  <c r="W319" i="1"/>
  <c r="W318" i="1"/>
  <c r="W317" i="1"/>
  <c r="W316" i="1"/>
  <c r="W315" i="1"/>
  <c r="AF315" i="1" s="1"/>
  <c r="W314" i="1"/>
  <c r="W313" i="1"/>
  <c r="AF313" i="1" s="1"/>
  <c r="W312" i="1"/>
  <c r="W311" i="1"/>
  <c r="AF311" i="1" s="1"/>
  <c r="W310" i="1"/>
  <c r="W309" i="1"/>
  <c r="W308" i="1"/>
  <c r="W307" i="1"/>
  <c r="AF307" i="1" s="1"/>
  <c r="W306" i="1"/>
  <c r="W305" i="1"/>
  <c r="W304" i="1"/>
  <c r="W303" i="1"/>
  <c r="AF303" i="1" s="1"/>
  <c r="W302" i="1"/>
  <c r="W301" i="1"/>
  <c r="W300" i="1"/>
  <c r="W299" i="1"/>
  <c r="AF299" i="1" s="1"/>
  <c r="W298" i="1"/>
  <c r="W297" i="1"/>
  <c r="W296" i="1"/>
  <c r="W295" i="1"/>
  <c r="AF295" i="1" s="1"/>
  <c r="W294" i="1"/>
  <c r="AF294" i="1" s="1"/>
  <c r="W293" i="1"/>
  <c r="W292" i="1"/>
  <c r="W291" i="1"/>
  <c r="W290" i="1"/>
  <c r="W289" i="1"/>
  <c r="W288" i="1"/>
  <c r="W287" i="1"/>
  <c r="AF287" i="1" s="1"/>
  <c r="W286" i="1"/>
  <c r="W285" i="1"/>
  <c r="W284" i="1"/>
  <c r="W283" i="1"/>
  <c r="AF283" i="1" s="1"/>
  <c r="W282" i="1"/>
  <c r="W281" i="1"/>
  <c r="AF281" i="1" s="1"/>
  <c r="W280" i="1"/>
  <c r="W279" i="1"/>
  <c r="W278" i="1"/>
  <c r="W277" i="1"/>
  <c r="W276" i="1"/>
  <c r="W275" i="1"/>
  <c r="AF275" i="1" s="1"/>
  <c r="W274" i="1"/>
  <c r="W273" i="1"/>
  <c r="W272" i="1"/>
  <c r="W271" i="1"/>
  <c r="AF271" i="1" s="1"/>
  <c r="W270" i="1"/>
  <c r="W269" i="1"/>
  <c r="W268" i="1"/>
  <c r="W267" i="1"/>
  <c r="W266" i="1"/>
  <c r="W265" i="1"/>
  <c r="AF265" i="1" s="1"/>
  <c r="W264" i="1"/>
  <c r="W263" i="1"/>
  <c r="AF263" i="1" s="1"/>
  <c r="W262" i="1"/>
  <c r="W261" i="1"/>
  <c r="W260" i="1"/>
  <c r="W259" i="1"/>
  <c r="AF259" i="1" s="1"/>
  <c r="W258" i="1"/>
  <c r="W257" i="1"/>
  <c r="W256" i="1"/>
  <c r="W255" i="1"/>
  <c r="AF255" i="1" s="1"/>
  <c r="W254" i="1"/>
  <c r="W253" i="1"/>
  <c r="W252" i="1"/>
  <c r="W251" i="1"/>
  <c r="AF251" i="1" s="1"/>
  <c r="W250" i="1"/>
  <c r="W249" i="1"/>
  <c r="W248" i="1"/>
  <c r="W247" i="1"/>
  <c r="AF247" i="1" s="1"/>
  <c r="W246" i="1"/>
  <c r="W245" i="1"/>
  <c r="AF245" i="1" s="1"/>
  <c r="W244" i="1"/>
  <c r="W243" i="1"/>
  <c r="AF243" i="1" s="1"/>
  <c r="W242" i="1"/>
  <c r="W241" i="1"/>
  <c r="W240" i="1"/>
  <c r="W239" i="1"/>
  <c r="W238" i="1"/>
  <c r="W236" i="1"/>
  <c r="W235" i="1"/>
  <c r="AF235" i="1" s="1"/>
  <c r="W234" i="1"/>
  <c r="AF234" i="1" s="1"/>
  <c r="W233" i="1"/>
  <c r="W232" i="1"/>
  <c r="W231" i="1"/>
  <c r="W230" i="1"/>
  <c r="AF230" i="1" s="1"/>
  <c r="W229" i="1"/>
  <c r="W228" i="1"/>
  <c r="W227" i="1"/>
  <c r="W226" i="1"/>
  <c r="AF226" i="1" s="1"/>
  <c r="W225" i="1"/>
  <c r="W223" i="1"/>
  <c r="W222" i="1"/>
  <c r="W221" i="1"/>
  <c r="W219" i="1"/>
  <c r="AF219" i="1" s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AF205" i="1" s="1"/>
  <c r="W204" i="1"/>
  <c r="W203" i="1"/>
  <c r="AF203" i="1" s="1"/>
  <c r="W196" i="1"/>
  <c r="AF196" i="1" s="1"/>
  <c r="W195" i="1"/>
  <c r="W194" i="1"/>
  <c r="W193" i="1"/>
  <c r="W192" i="1"/>
  <c r="AF192" i="1" s="1"/>
  <c r="W191" i="1"/>
  <c r="W190" i="1"/>
  <c r="W189" i="1"/>
  <c r="W188" i="1"/>
  <c r="AF188" i="1" s="1"/>
  <c r="W187" i="1"/>
  <c r="W186" i="1"/>
  <c r="AF186" i="1" s="1"/>
  <c r="W185" i="1"/>
  <c r="W184" i="1"/>
  <c r="AF184" i="1" s="1"/>
  <c r="W183" i="1"/>
  <c r="W182" i="1"/>
  <c r="W181" i="1"/>
  <c r="W180" i="1"/>
  <c r="AF180" i="1" s="1"/>
  <c r="W179" i="1"/>
  <c r="W178" i="1"/>
  <c r="W176" i="1"/>
  <c r="W175" i="1"/>
  <c r="W174" i="1"/>
  <c r="W173" i="1"/>
  <c r="W172" i="1"/>
  <c r="AF172" i="1" s="1"/>
  <c r="W171" i="1"/>
  <c r="AF171" i="1" s="1"/>
  <c r="W170" i="1"/>
  <c r="W169" i="1"/>
  <c r="W168" i="1"/>
  <c r="AF168" i="1" s="1"/>
  <c r="W167" i="1"/>
  <c r="W166" i="1"/>
  <c r="W165" i="1"/>
  <c r="W164" i="1"/>
  <c r="AF164" i="1" s="1"/>
  <c r="W163" i="1"/>
  <c r="W162" i="1"/>
  <c r="W161" i="1"/>
  <c r="W160" i="1"/>
  <c r="W159" i="1"/>
  <c r="AF159" i="1" s="1"/>
  <c r="W158" i="1"/>
  <c r="W157" i="1"/>
  <c r="W156" i="1"/>
  <c r="AF156" i="1" s="1"/>
  <c r="W155" i="1"/>
  <c r="AF155" i="1" s="1"/>
  <c r="W154" i="1"/>
  <c r="W153" i="1"/>
  <c r="W152" i="1"/>
  <c r="AF152" i="1" s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AF139" i="1" s="1"/>
  <c r="W138" i="1"/>
  <c r="W137" i="1"/>
  <c r="W136" i="1"/>
  <c r="AF136" i="1" s="1"/>
  <c r="W135" i="1"/>
  <c r="W134" i="1"/>
  <c r="W132" i="1"/>
  <c r="W131" i="1"/>
  <c r="AF131" i="1" s="1"/>
  <c r="W130" i="1"/>
  <c r="AF130" i="1" s="1"/>
  <c r="W129" i="1"/>
  <c r="W128" i="1"/>
  <c r="W127" i="1"/>
  <c r="W126" i="1"/>
  <c r="W125" i="1"/>
  <c r="W124" i="1"/>
  <c r="W123" i="1"/>
  <c r="AF123" i="1" s="1"/>
  <c r="W122" i="1"/>
  <c r="W121" i="1"/>
  <c r="W120" i="1"/>
  <c r="W119" i="1"/>
  <c r="W118" i="1"/>
  <c r="W117" i="1"/>
  <c r="W116" i="1"/>
  <c r="AF116" i="1" s="1"/>
  <c r="W115" i="1"/>
  <c r="W114" i="1"/>
  <c r="AF114" i="1" s="1"/>
  <c r="W113" i="1"/>
  <c r="W112" i="1"/>
  <c r="W111" i="1"/>
  <c r="AF111" i="1" s="1"/>
  <c r="W110" i="1"/>
  <c r="W109" i="1"/>
  <c r="W108" i="1"/>
  <c r="W107" i="1"/>
  <c r="W106" i="1"/>
  <c r="W105" i="1"/>
  <c r="W104" i="1"/>
  <c r="W103" i="1"/>
  <c r="W102" i="1"/>
  <c r="W101" i="1"/>
  <c r="W100" i="1"/>
  <c r="W99" i="1"/>
  <c r="AF99" i="1" s="1"/>
  <c r="W98" i="1"/>
  <c r="AF98" i="1" s="1"/>
  <c r="W97" i="1"/>
  <c r="W96" i="1"/>
  <c r="AF96" i="1" s="1"/>
  <c r="W95" i="1"/>
  <c r="W94" i="1"/>
  <c r="W93" i="1"/>
  <c r="W92" i="1"/>
  <c r="W91" i="1"/>
  <c r="AF91" i="1" s="1"/>
  <c r="W90" i="1"/>
  <c r="W89" i="1"/>
  <c r="W88" i="1"/>
  <c r="AF88" i="1" s="1"/>
  <c r="W87" i="1"/>
  <c r="W86" i="1"/>
  <c r="AF86" i="1" s="1"/>
  <c r="W85" i="1"/>
  <c r="W84" i="1"/>
  <c r="W83" i="1"/>
  <c r="W82" i="1"/>
  <c r="AF82" i="1" s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AF67" i="1" s="1"/>
  <c r="W66" i="1"/>
  <c r="AF66" i="1" s="1"/>
  <c r="W65" i="1"/>
  <c r="W64" i="1"/>
  <c r="W63" i="1"/>
  <c r="W62" i="1"/>
  <c r="W61" i="1"/>
  <c r="W60" i="1"/>
  <c r="W59" i="1"/>
  <c r="W58" i="1"/>
  <c r="W57" i="1"/>
  <c r="W56" i="1"/>
  <c r="W55" i="1"/>
  <c r="W54" i="1"/>
  <c r="AF54" i="1" s="1"/>
  <c r="W53" i="1"/>
  <c r="W52" i="1"/>
  <c r="AF52" i="1" s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11" i="1"/>
  <c r="AF11" i="1" s="1"/>
  <c r="W12" i="1"/>
  <c r="AF12" i="1" s="1"/>
  <c r="W13" i="1"/>
  <c r="W14" i="1"/>
  <c r="W15" i="1"/>
  <c r="AF15" i="1" s="1"/>
  <c r="W16" i="1"/>
  <c r="W17" i="1"/>
  <c r="W18" i="1"/>
  <c r="W19" i="1"/>
  <c r="AF19" i="1" s="1"/>
  <c r="W20" i="1"/>
  <c r="AF20" i="1" s="1"/>
  <c r="W21" i="1"/>
  <c r="W22" i="1"/>
  <c r="W23" i="1"/>
  <c r="AF23" i="1" s="1"/>
  <c r="W24" i="1"/>
  <c r="W25" i="1"/>
  <c r="AF25" i="1" s="1"/>
  <c r="W26" i="1"/>
  <c r="W27" i="1"/>
  <c r="AF27" i="1" s="1"/>
  <c r="W28" i="1"/>
  <c r="W29" i="1"/>
  <c r="W30" i="1"/>
  <c r="W31" i="1"/>
  <c r="AF31" i="1" s="1"/>
  <c r="W32" i="1"/>
  <c r="Y505" i="1"/>
  <c r="X505" i="1" s="1"/>
  <c r="V505" i="1"/>
  <c r="Y504" i="1"/>
  <c r="V504" i="1"/>
  <c r="Y503" i="1"/>
  <c r="X503" i="1" s="1"/>
  <c r="V503" i="1"/>
  <c r="AB498" i="1"/>
  <c r="AC498" i="1" s="1"/>
  <c r="U497" i="1" s="1"/>
  <c r="AB497" i="1"/>
  <c r="X497" i="1"/>
  <c r="V497" i="1" s="1"/>
  <c r="AB496" i="1"/>
  <c r="AC496" i="1" s="1"/>
  <c r="U495" i="1" s="1"/>
  <c r="AB495" i="1"/>
  <c r="X495" i="1"/>
  <c r="V495" i="1" s="1"/>
  <c r="AB494" i="1"/>
  <c r="AB493" i="1"/>
  <c r="AC493" i="1" s="1"/>
  <c r="AB492" i="1"/>
  <c r="AC492" i="1" s="1"/>
  <c r="AB491" i="1"/>
  <c r="AB490" i="1"/>
  <c r="AC490" i="1" s="1"/>
  <c r="AB489" i="1"/>
  <c r="AC489" i="1" s="1"/>
  <c r="AB488" i="1"/>
  <c r="AC488" i="1" s="1"/>
  <c r="AB487" i="1"/>
  <c r="AC487" i="1" s="1"/>
  <c r="AB486" i="1"/>
  <c r="AC486" i="1" s="1"/>
  <c r="AB485" i="1"/>
  <c r="AC485" i="1" s="1"/>
  <c r="AB484" i="1"/>
  <c r="AC484" i="1" s="1"/>
  <c r="AB483" i="1"/>
  <c r="AC483" i="1" s="1"/>
  <c r="AB482" i="1"/>
  <c r="AC482" i="1" s="1"/>
  <c r="AB481" i="1"/>
  <c r="AC481" i="1" s="1"/>
  <c r="AB480" i="1"/>
  <c r="AC480" i="1" s="1"/>
  <c r="AB479" i="1"/>
  <c r="AC479" i="1" s="1"/>
  <c r="AB478" i="1"/>
  <c r="AC478" i="1" s="1"/>
  <c r="AB477" i="1"/>
  <c r="AC477" i="1" s="1"/>
  <c r="AB476" i="1"/>
  <c r="AC476" i="1" s="1"/>
  <c r="AB475" i="1"/>
  <c r="AC475" i="1" s="1"/>
  <c r="AB474" i="1"/>
  <c r="AC474" i="1" s="1"/>
  <c r="AB473" i="1"/>
  <c r="AC473" i="1" s="1"/>
  <c r="AB472" i="1"/>
  <c r="AC472" i="1" s="1"/>
  <c r="AB471" i="1"/>
  <c r="AB469" i="1"/>
  <c r="AC469" i="1" s="1"/>
  <c r="AB468" i="1"/>
  <c r="AC468" i="1" s="1"/>
  <c r="AB467" i="1"/>
  <c r="AC467" i="1" s="1"/>
  <c r="AB466" i="1"/>
  <c r="AC466" i="1" s="1"/>
  <c r="AB465" i="1"/>
  <c r="AC465" i="1" s="1"/>
  <c r="AB464" i="1"/>
  <c r="AC464" i="1" s="1"/>
  <c r="AB463" i="1"/>
  <c r="AC463" i="1" s="1"/>
  <c r="AB462" i="1"/>
  <c r="AC462" i="1" s="1"/>
  <c r="AB461" i="1"/>
  <c r="AC461" i="1" s="1"/>
  <c r="AB460" i="1"/>
  <c r="AC460" i="1" s="1"/>
  <c r="AB459" i="1"/>
  <c r="AC459" i="1" s="1"/>
  <c r="AB458" i="1"/>
  <c r="AC458" i="1" s="1"/>
  <c r="AB457" i="1"/>
  <c r="AC457" i="1" s="1"/>
  <c r="AB456" i="1"/>
  <c r="AC456" i="1" s="1"/>
  <c r="AB455" i="1"/>
  <c r="AC455" i="1" s="1"/>
  <c r="AB454" i="1"/>
  <c r="AC454" i="1" s="1"/>
  <c r="AB453" i="1"/>
  <c r="AC453" i="1" s="1"/>
  <c r="AB452" i="1"/>
  <c r="AC452" i="1" s="1"/>
  <c r="Y452" i="1"/>
  <c r="X452" i="1" s="1"/>
  <c r="AB451" i="1"/>
  <c r="AC451" i="1" s="1"/>
  <c r="AB450" i="1"/>
  <c r="AB449" i="1"/>
  <c r="AC449" i="1" s="1"/>
  <c r="AB448" i="1"/>
  <c r="AC448" i="1" s="1"/>
  <c r="AB447" i="1"/>
  <c r="AC447" i="1" s="1"/>
  <c r="AB446" i="1"/>
  <c r="AB445" i="1"/>
  <c r="AC445" i="1" s="1"/>
  <c r="AB444" i="1"/>
  <c r="AC444" i="1" s="1"/>
  <c r="AB443" i="1"/>
  <c r="AC443" i="1" s="1"/>
  <c r="AB442" i="1"/>
  <c r="AC442" i="1" s="1"/>
  <c r="AB441" i="1"/>
  <c r="AC441" i="1" s="1"/>
  <c r="AB440" i="1"/>
  <c r="AC440" i="1" s="1"/>
  <c r="AB439" i="1"/>
  <c r="AC439" i="1" s="1"/>
  <c r="AB438" i="1"/>
  <c r="AC438" i="1" s="1"/>
  <c r="AB437" i="1"/>
  <c r="AC437" i="1" s="1"/>
  <c r="AB436" i="1"/>
  <c r="AC436" i="1" s="1"/>
  <c r="AB435" i="1"/>
  <c r="AC435" i="1" s="1"/>
  <c r="AB434" i="1"/>
  <c r="AC434" i="1" s="1"/>
  <c r="AB433" i="1"/>
  <c r="AC433" i="1" s="1"/>
  <c r="AB432" i="1"/>
  <c r="AC432" i="1" s="1"/>
  <c r="AB431" i="1"/>
  <c r="AC431" i="1" s="1"/>
  <c r="AB430" i="1"/>
  <c r="AC430" i="1" s="1"/>
  <c r="AB429" i="1"/>
  <c r="AC429" i="1" s="1"/>
  <c r="AB428" i="1"/>
  <c r="AC428" i="1" s="1"/>
  <c r="AB427" i="1"/>
  <c r="AC427" i="1" s="1"/>
  <c r="AB426" i="1"/>
  <c r="AC426" i="1" s="1"/>
  <c r="AB425" i="1"/>
  <c r="AC425" i="1" s="1"/>
  <c r="AB424" i="1"/>
  <c r="AC424" i="1" s="1"/>
  <c r="AB423" i="1"/>
  <c r="AC423" i="1" s="1"/>
  <c r="AB422" i="1"/>
  <c r="AC422" i="1" s="1"/>
  <c r="AB421" i="1"/>
  <c r="AC421" i="1" s="1"/>
  <c r="AB420" i="1"/>
  <c r="AC420" i="1" s="1"/>
  <c r="AB419" i="1"/>
  <c r="AC419" i="1" s="1"/>
  <c r="AB418" i="1"/>
  <c r="AC418" i="1" s="1"/>
  <c r="AB417" i="1"/>
  <c r="AC417" i="1" s="1"/>
  <c r="AB416" i="1"/>
  <c r="AC416" i="1" s="1"/>
  <c r="AB415" i="1"/>
  <c r="AC415" i="1" s="1"/>
  <c r="AB414" i="1"/>
  <c r="AC414" i="1" s="1"/>
  <c r="Y414" i="1"/>
  <c r="X414" i="1" s="1"/>
  <c r="AB413" i="1"/>
  <c r="AC413" i="1" s="1"/>
  <c r="AB412" i="1"/>
  <c r="AC412" i="1" s="1"/>
  <c r="AB411" i="1"/>
  <c r="AC411" i="1" s="1"/>
  <c r="AB410" i="1"/>
  <c r="AC410" i="1" s="1"/>
  <c r="Y410" i="1"/>
  <c r="X410" i="1" s="1"/>
  <c r="AB409" i="1"/>
  <c r="AC409" i="1" s="1"/>
  <c r="AB408" i="1"/>
  <c r="AC408" i="1" s="1"/>
  <c r="AB407" i="1"/>
  <c r="AC407" i="1" s="1"/>
  <c r="AB406" i="1"/>
  <c r="AB388" i="1"/>
  <c r="AC388" i="1" s="1"/>
  <c r="Y388" i="1"/>
  <c r="X388" i="1" s="1"/>
  <c r="AB387" i="1"/>
  <c r="AC387" i="1" s="1"/>
  <c r="AB386" i="1"/>
  <c r="AC386" i="1" s="1"/>
  <c r="AB385" i="1"/>
  <c r="AC385" i="1" s="1"/>
  <c r="AB384" i="1"/>
  <c r="AC384" i="1" s="1"/>
  <c r="AB383" i="1"/>
  <c r="AC383" i="1" s="1"/>
  <c r="AB382" i="1"/>
  <c r="AC382" i="1" s="1"/>
  <c r="AB381" i="1"/>
  <c r="AC381" i="1" s="1"/>
  <c r="AB380" i="1"/>
  <c r="AC380" i="1" s="1"/>
  <c r="AB379" i="1"/>
  <c r="AC379" i="1" s="1"/>
  <c r="AB378" i="1"/>
  <c r="AC378" i="1" s="1"/>
  <c r="AB377" i="1"/>
  <c r="AB376" i="1"/>
  <c r="AC376" i="1" s="1"/>
  <c r="AB375" i="1"/>
  <c r="AC375" i="1" s="1"/>
  <c r="AB374" i="1"/>
  <c r="AC374" i="1" s="1"/>
  <c r="AB373" i="1"/>
  <c r="AC373" i="1" s="1"/>
  <c r="AB372" i="1"/>
  <c r="AC372" i="1" s="1"/>
  <c r="AB371" i="1"/>
  <c r="AC371" i="1" s="1"/>
  <c r="AB370" i="1"/>
  <c r="AC370" i="1" s="1"/>
  <c r="AB369" i="1"/>
  <c r="AB368" i="1"/>
  <c r="AC368" i="1" s="1"/>
  <c r="AB367" i="1"/>
  <c r="AC367" i="1" s="1"/>
  <c r="AB366" i="1"/>
  <c r="AC366" i="1" s="1"/>
  <c r="AB365" i="1"/>
  <c r="AC365" i="1" s="1"/>
  <c r="AB364" i="1"/>
  <c r="AC364" i="1" s="1"/>
  <c r="AB363" i="1"/>
  <c r="AC363" i="1" s="1"/>
  <c r="AB362" i="1"/>
  <c r="AC362" i="1" s="1"/>
  <c r="AB361" i="1"/>
  <c r="AC361" i="1" s="1"/>
  <c r="AB360" i="1"/>
  <c r="AC360" i="1" s="1"/>
  <c r="AB359" i="1"/>
  <c r="AC359" i="1" s="1"/>
  <c r="AB358" i="1"/>
  <c r="AC358" i="1" s="1"/>
  <c r="AB357" i="1"/>
  <c r="AC357" i="1" s="1"/>
  <c r="AB356" i="1"/>
  <c r="AC356" i="1" s="1"/>
  <c r="AB355" i="1"/>
  <c r="AC355" i="1" s="1"/>
  <c r="AB354" i="1"/>
  <c r="AC354" i="1" s="1"/>
  <c r="AB353" i="1"/>
  <c r="AC353" i="1" s="1"/>
  <c r="AB352" i="1"/>
  <c r="AC352" i="1" s="1"/>
  <c r="AB351" i="1"/>
  <c r="AC351" i="1" s="1"/>
  <c r="AB350" i="1"/>
  <c r="AC350" i="1" s="1"/>
  <c r="AB349" i="1"/>
  <c r="AC349" i="1" s="1"/>
  <c r="AB348" i="1"/>
  <c r="AC348" i="1" s="1"/>
  <c r="AB347" i="1"/>
  <c r="AC347" i="1" s="1"/>
  <c r="AB346" i="1"/>
  <c r="AC346" i="1" s="1"/>
  <c r="Y346" i="1"/>
  <c r="X346" i="1" s="1"/>
  <c r="AB345" i="1"/>
  <c r="AC345" i="1" s="1"/>
  <c r="AB344" i="1"/>
  <c r="AC344" i="1" s="1"/>
  <c r="AB343" i="1"/>
  <c r="AC343" i="1" s="1"/>
  <c r="AB342" i="1"/>
  <c r="AC342" i="1" s="1"/>
  <c r="AB341" i="1"/>
  <c r="AC341" i="1" s="1"/>
  <c r="AB340" i="1"/>
  <c r="AC340" i="1" s="1"/>
  <c r="AB339" i="1"/>
  <c r="AC339" i="1" s="1"/>
  <c r="AB338" i="1"/>
  <c r="AC338" i="1" s="1"/>
  <c r="AB337" i="1"/>
  <c r="AC337" i="1" s="1"/>
  <c r="AB336" i="1"/>
  <c r="AC336" i="1" s="1"/>
  <c r="AB335" i="1"/>
  <c r="AC335" i="1" s="1"/>
  <c r="AB334" i="1"/>
  <c r="AC334" i="1" s="1"/>
  <c r="AB333" i="1"/>
  <c r="AC333" i="1" s="1"/>
  <c r="AB332" i="1"/>
  <c r="AC332" i="1" s="1"/>
  <c r="AB331" i="1"/>
  <c r="AC331" i="1" s="1"/>
  <c r="AB330" i="1"/>
  <c r="AC330" i="1" s="1"/>
  <c r="AB329" i="1"/>
  <c r="AC329" i="1" s="1"/>
  <c r="AB328" i="1"/>
  <c r="AC328" i="1" s="1"/>
  <c r="AB327" i="1"/>
  <c r="AB326" i="1"/>
  <c r="AC326" i="1" s="1"/>
  <c r="AB325" i="1"/>
  <c r="AC325" i="1" s="1"/>
  <c r="AB324" i="1"/>
  <c r="AC324" i="1" s="1"/>
  <c r="AB323" i="1"/>
  <c r="AC323" i="1" s="1"/>
  <c r="AB322" i="1"/>
  <c r="AC322" i="1" s="1"/>
  <c r="AB321" i="1"/>
  <c r="AC321" i="1" s="1"/>
  <c r="AB320" i="1"/>
  <c r="AC320" i="1" s="1"/>
  <c r="AB319" i="1"/>
  <c r="AC319" i="1" s="1"/>
  <c r="AB318" i="1"/>
  <c r="AC318" i="1" s="1"/>
  <c r="AB317" i="1"/>
  <c r="AC317" i="1" s="1"/>
  <c r="AB316" i="1"/>
  <c r="AC316" i="1" s="1"/>
  <c r="AB315" i="1"/>
  <c r="AC315" i="1" s="1"/>
  <c r="AB314" i="1"/>
  <c r="AC314" i="1" s="1"/>
  <c r="AB313" i="1"/>
  <c r="AC313" i="1" s="1"/>
  <c r="AB312" i="1"/>
  <c r="AC312" i="1" s="1"/>
  <c r="AB311" i="1"/>
  <c r="AC311" i="1" s="1"/>
  <c r="AB310" i="1"/>
  <c r="AC310" i="1" s="1"/>
  <c r="AB309" i="1"/>
  <c r="AC309" i="1" s="1"/>
  <c r="AB308" i="1"/>
  <c r="AC308" i="1" s="1"/>
  <c r="AB307" i="1"/>
  <c r="AC307" i="1" s="1"/>
  <c r="AB306" i="1"/>
  <c r="AC306" i="1" s="1"/>
  <c r="AB305" i="1"/>
  <c r="AC305" i="1" s="1"/>
  <c r="AB304" i="1"/>
  <c r="AC304" i="1" s="1"/>
  <c r="AB303" i="1"/>
  <c r="AC303" i="1" s="1"/>
  <c r="AB302" i="1"/>
  <c r="AC302" i="1" s="1"/>
  <c r="AB301" i="1"/>
  <c r="AC301" i="1" s="1"/>
  <c r="AB300" i="1"/>
  <c r="AC300" i="1" s="1"/>
  <c r="AB299" i="1"/>
  <c r="AC299" i="1" s="1"/>
  <c r="AB298" i="1"/>
  <c r="AC298" i="1" s="1"/>
  <c r="AB297" i="1"/>
  <c r="AC297" i="1" s="1"/>
  <c r="AB296" i="1"/>
  <c r="AC296" i="1" s="1"/>
  <c r="AB295" i="1"/>
  <c r="AC295" i="1" s="1"/>
  <c r="AB294" i="1"/>
  <c r="AC294" i="1" s="1"/>
  <c r="AB293" i="1"/>
  <c r="AC293" i="1" s="1"/>
  <c r="AB292" i="1"/>
  <c r="AC292" i="1" s="1"/>
  <c r="AB291" i="1"/>
  <c r="AC291" i="1" s="1"/>
  <c r="AB290" i="1"/>
  <c r="AC290" i="1" s="1"/>
  <c r="AB289" i="1"/>
  <c r="AC289" i="1" s="1"/>
  <c r="AB288" i="1"/>
  <c r="AC288" i="1" s="1"/>
  <c r="AB287" i="1"/>
  <c r="AC287" i="1" s="1"/>
  <c r="AB286" i="1"/>
  <c r="AC286" i="1" s="1"/>
  <c r="AB285" i="1"/>
  <c r="AC285" i="1" s="1"/>
  <c r="AB284" i="1"/>
  <c r="AC284" i="1" s="1"/>
  <c r="AB283" i="1"/>
  <c r="AC283" i="1" s="1"/>
  <c r="AB282" i="1"/>
  <c r="AC282" i="1" s="1"/>
  <c r="AB281" i="1"/>
  <c r="AC281" i="1" s="1"/>
  <c r="AB280" i="1"/>
  <c r="AC280" i="1" s="1"/>
  <c r="AB279" i="1"/>
  <c r="AC279" i="1" s="1"/>
  <c r="AB278" i="1"/>
  <c r="AC278" i="1" s="1"/>
  <c r="AB277" i="1"/>
  <c r="AC277" i="1" s="1"/>
  <c r="AB276" i="1"/>
  <c r="AC276" i="1" s="1"/>
  <c r="AB275" i="1"/>
  <c r="AC275" i="1" s="1"/>
  <c r="AB274" i="1"/>
  <c r="AC274" i="1" s="1"/>
  <c r="AB273" i="1"/>
  <c r="AC273" i="1" s="1"/>
  <c r="AB272" i="1"/>
  <c r="AC272" i="1" s="1"/>
  <c r="AB271" i="1"/>
  <c r="AC271" i="1" s="1"/>
  <c r="AB270" i="1"/>
  <c r="AC270" i="1" s="1"/>
  <c r="AB269" i="1"/>
  <c r="AC269" i="1" s="1"/>
  <c r="AB268" i="1"/>
  <c r="AC268" i="1" s="1"/>
  <c r="AB267" i="1"/>
  <c r="AC267" i="1" s="1"/>
  <c r="AB266" i="1"/>
  <c r="AC266" i="1" s="1"/>
  <c r="AB265" i="1"/>
  <c r="AC265" i="1" s="1"/>
  <c r="AB264" i="1"/>
  <c r="AC264" i="1" s="1"/>
  <c r="AB263" i="1"/>
  <c r="AC263" i="1" s="1"/>
  <c r="AB262" i="1"/>
  <c r="AC262" i="1" s="1"/>
  <c r="AB261" i="1"/>
  <c r="AC261" i="1" s="1"/>
  <c r="AB260" i="1"/>
  <c r="AC260" i="1" s="1"/>
  <c r="AB259" i="1"/>
  <c r="AC259" i="1" s="1"/>
  <c r="AB258" i="1"/>
  <c r="AC258" i="1" s="1"/>
  <c r="AB257" i="1"/>
  <c r="AC257" i="1" s="1"/>
  <c r="AB256" i="1"/>
  <c r="AC256" i="1" s="1"/>
  <c r="AB255" i="1"/>
  <c r="AC255" i="1" s="1"/>
  <c r="AB254" i="1"/>
  <c r="AC254" i="1" s="1"/>
  <c r="AB253" i="1"/>
  <c r="AC253" i="1" s="1"/>
  <c r="AB252" i="1"/>
  <c r="AC252" i="1" s="1"/>
  <c r="AB251" i="1"/>
  <c r="AC251" i="1" s="1"/>
  <c r="AB250" i="1"/>
  <c r="AC250" i="1" s="1"/>
  <c r="AB249" i="1"/>
  <c r="AC249" i="1" s="1"/>
  <c r="AB248" i="1"/>
  <c r="AC248" i="1" s="1"/>
  <c r="AB247" i="1"/>
  <c r="AC247" i="1" s="1"/>
  <c r="AB246" i="1"/>
  <c r="AC246" i="1" s="1"/>
  <c r="AB245" i="1"/>
  <c r="AC245" i="1" s="1"/>
  <c r="AB244" i="1"/>
  <c r="AC244" i="1" s="1"/>
  <c r="AB243" i="1"/>
  <c r="AC243" i="1" s="1"/>
  <c r="AB242" i="1"/>
  <c r="AC242" i="1" s="1"/>
  <c r="AB241" i="1"/>
  <c r="AC241" i="1" s="1"/>
  <c r="AB240" i="1"/>
  <c r="AC240" i="1" s="1"/>
  <c r="AB239" i="1"/>
  <c r="AC239" i="1" s="1"/>
  <c r="AB238" i="1"/>
  <c r="AC238" i="1" s="1"/>
  <c r="AB237" i="1"/>
  <c r="AB236" i="1"/>
  <c r="AC236" i="1" s="1"/>
  <c r="AB235" i="1"/>
  <c r="AC235" i="1" s="1"/>
  <c r="AB234" i="1"/>
  <c r="AC234" i="1" s="1"/>
  <c r="AB233" i="1"/>
  <c r="AC233" i="1" s="1"/>
  <c r="AB232" i="1"/>
  <c r="AC232" i="1" s="1"/>
  <c r="AB231" i="1"/>
  <c r="AC231" i="1" s="1"/>
  <c r="AB230" i="1"/>
  <c r="AC230" i="1" s="1"/>
  <c r="AB229" i="1"/>
  <c r="AC229" i="1" s="1"/>
  <c r="AB228" i="1"/>
  <c r="AC228" i="1" s="1"/>
  <c r="AB227" i="1"/>
  <c r="AC227" i="1" s="1"/>
  <c r="AB226" i="1"/>
  <c r="AC226" i="1" s="1"/>
  <c r="AB225" i="1"/>
  <c r="AC225" i="1" s="1"/>
  <c r="AB224" i="1"/>
  <c r="AC224" i="1" s="1"/>
  <c r="Y224" i="1"/>
  <c r="X224" i="1" s="1"/>
  <c r="AB223" i="1"/>
  <c r="AC223" i="1" s="1"/>
  <c r="AB222" i="1"/>
  <c r="AC222" i="1" s="1"/>
  <c r="AB221" i="1"/>
  <c r="AC221" i="1" s="1"/>
  <c r="AB220" i="1"/>
  <c r="AB219" i="1"/>
  <c r="AC219" i="1" s="1"/>
  <c r="AB218" i="1"/>
  <c r="AC218" i="1" s="1"/>
  <c r="AB217" i="1"/>
  <c r="AC217" i="1" s="1"/>
  <c r="AB216" i="1"/>
  <c r="AC216" i="1" s="1"/>
  <c r="AB215" i="1"/>
  <c r="AC215" i="1" s="1"/>
  <c r="AB214" i="1"/>
  <c r="AC214" i="1" s="1"/>
  <c r="AB213" i="1"/>
  <c r="AC213" i="1" s="1"/>
  <c r="AB212" i="1"/>
  <c r="AC212" i="1" s="1"/>
  <c r="AB211" i="1"/>
  <c r="AC211" i="1" s="1"/>
  <c r="AB210" i="1"/>
  <c r="AC210" i="1" s="1"/>
  <c r="AB209" i="1"/>
  <c r="AC209" i="1" s="1"/>
  <c r="AB208" i="1"/>
  <c r="AC208" i="1" s="1"/>
  <c r="AB207" i="1"/>
  <c r="AC207" i="1" s="1"/>
  <c r="AB206" i="1"/>
  <c r="AC206" i="1" s="1"/>
  <c r="AB205" i="1"/>
  <c r="AC205" i="1" s="1"/>
  <c r="AB204" i="1"/>
  <c r="AC204" i="1" s="1"/>
  <c r="AB203" i="1"/>
  <c r="AC203" i="1" s="1"/>
  <c r="AB202" i="1"/>
  <c r="AB201" i="1"/>
  <c r="AC201" i="1" s="1"/>
  <c r="AB200" i="1"/>
  <c r="AC200" i="1" s="1"/>
  <c r="AB199" i="1"/>
  <c r="AC199" i="1" s="1"/>
  <c r="AB198" i="1"/>
  <c r="AC198" i="1" s="1"/>
  <c r="AB197" i="1"/>
  <c r="AC197" i="1" s="1"/>
  <c r="AB196" i="1"/>
  <c r="AC196" i="1" s="1"/>
  <c r="AB195" i="1"/>
  <c r="AC195" i="1" s="1"/>
  <c r="AB194" i="1"/>
  <c r="AC194" i="1" s="1"/>
  <c r="AB193" i="1"/>
  <c r="AC193" i="1" s="1"/>
  <c r="AB192" i="1"/>
  <c r="AC192" i="1" s="1"/>
  <c r="Y192" i="1"/>
  <c r="X192" i="1" s="1"/>
  <c r="AB191" i="1"/>
  <c r="AC191" i="1" s="1"/>
  <c r="AB190" i="1"/>
  <c r="AC190" i="1" s="1"/>
  <c r="AB189" i="1"/>
  <c r="AC189" i="1" s="1"/>
  <c r="AB188" i="1"/>
  <c r="AC188" i="1" s="1"/>
  <c r="Y188" i="1"/>
  <c r="X188" i="1" s="1"/>
  <c r="AB187" i="1"/>
  <c r="AC187" i="1" s="1"/>
  <c r="AB186" i="1"/>
  <c r="AC186" i="1" s="1"/>
  <c r="AB185" i="1"/>
  <c r="AC185" i="1" s="1"/>
  <c r="AB184" i="1"/>
  <c r="AC184" i="1" s="1"/>
  <c r="Y184" i="1"/>
  <c r="X184" i="1" s="1"/>
  <c r="AB183" i="1"/>
  <c r="AC183" i="1" s="1"/>
  <c r="AB182" i="1"/>
  <c r="AC182" i="1" s="1"/>
  <c r="AB181" i="1"/>
  <c r="AC181" i="1" s="1"/>
  <c r="AB180" i="1"/>
  <c r="AC180" i="1" s="1"/>
  <c r="AB179" i="1"/>
  <c r="AC179" i="1" s="1"/>
  <c r="AB178" i="1"/>
  <c r="AC178" i="1" s="1"/>
  <c r="AB177" i="1"/>
  <c r="AB176" i="1"/>
  <c r="AC176" i="1" s="1"/>
  <c r="AB175" i="1"/>
  <c r="AC175" i="1" s="1"/>
  <c r="AB174" i="1"/>
  <c r="AC174" i="1" s="1"/>
  <c r="AB173" i="1"/>
  <c r="AC173" i="1" s="1"/>
  <c r="AB172" i="1"/>
  <c r="AC172" i="1" s="1"/>
  <c r="AB171" i="1"/>
  <c r="AC171" i="1" s="1"/>
  <c r="AB170" i="1"/>
  <c r="AC170" i="1" s="1"/>
  <c r="AB169" i="1"/>
  <c r="AC169" i="1" s="1"/>
  <c r="AB168" i="1"/>
  <c r="AC168" i="1" s="1"/>
  <c r="AB167" i="1"/>
  <c r="AC167" i="1" s="1"/>
  <c r="AB166" i="1"/>
  <c r="AC166" i="1" s="1"/>
  <c r="AB165" i="1"/>
  <c r="AC165" i="1" s="1"/>
  <c r="AB164" i="1"/>
  <c r="AC164" i="1" s="1"/>
  <c r="AB163" i="1"/>
  <c r="AC163" i="1" s="1"/>
  <c r="AB162" i="1"/>
  <c r="AC162" i="1" s="1"/>
  <c r="AB161" i="1"/>
  <c r="AC161" i="1" s="1"/>
  <c r="AB160" i="1"/>
  <c r="AC160" i="1" s="1"/>
  <c r="AB159" i="1"/>
  <c r="AC159" i="1" s="1"/>
  <c r="AB158" i="1"/>
  <c r="AC158" i="1" s="1"/>
  <c r="AB157" i="1"/>
  <c r="AC157" i="1" s="1"/>
  <c r="AB156" i="1"/>
  <c r="AC156" i="1" s="1"/>
  <c r="AB155" i="1"/>
  <c r="AC155" i="1" s="1"/>
  <c r="AB154" i="1"/>
  <c r="AC154" i="1" s="1"/>
  <c r="AB153" i="1"/>
  <c r="AC153" i="1" s="1"/>
  <c r="AB152" i="1"/>
  <c r="AC152" i="1" s="1"/>
  <c r="AB151" i="1"/>
  <c r="AC151" i="1" s="1"/>
  <c r="AB150" i="1"/>
  <c r="AC150" i="1" s="1"/>
  <c r="AB149" i="1"/>
  <c r="AC149" i="1" s="1"/>
  <c r="AB148" i="1"/>
  <c r="AC148" i="1" s="1"/>
  <c r="AB147" i="1"/>
  <c r="AC147" i="1" s="1"/>
  <c r="AB146" i="1"/>
  <c r="AC146" i="1" s="1"/>
  <c r="AB145" i="1"/>
  <c r="AC145" i="1" s="1"/>
  <c r="AB144" i="1"/>
  <c r="AC144" i="1" s="1"/>
  <c r="AB143" i="1"/>
  <c r="AC143" i="1" s="1"/>
  <c r="AB142" i="1"/>
  <c r="AC142" i="1" s="1"/>
  <c r="AB141" i="1"/>
  <c r="AC141" i="1" s="1"/>
  <c r="AB140" i="1"/>
  <c r="AC140" i="1" s="1"/>
  <c r="AB139" i="1"/>
  <c r="AC139" i="1" s="1"/>
  <c r="AB138" i="1"/>
  <c r="AC138" i="1" s="1"/>
  <c r="AB137" i="1"/>
  <c r="AC137" i="1" s="1"/>
  <c r="AB136" i="1"/>
  <c r="AC136" i="1" s="1"/>
  <c r="AB135" i="1"/>
  <c r="AC135" i="1" s="1"/>
  <c r="AB134" i="1"/>
  <c r="AC134" i="1" s="1"/>
  <c r="AB133" i="1"/>
  <c r="AB132" i="1"/>
  <c r="AC132" i="1" s="1"/>
  <c r="AB131" i="1"/>
  <c r="AC131" i="1" s="1"/>
  <c r="AB130" i="1"/>
  <c r="AC130" i="1" s="1"/>
  <c r="Y130" i="1"/>
  <c r="X130" i="1" s="1"/>
  <c r="AB129" i="1"/>
  <c r="AC129" i="1" s="1"/>
  <c r="AB128" i="1"/>
  <c r="AC128" i="1" s="1"/>
  <c r="AB127" i="1"/>
  <c r="AC127" i="1" s="1"/>
  <c r="AB126" i="1"/>
  <c r="AC126" i="1" s="1"/>
  <c r="AB125" i="1"/>
  <c r="AC125" i="1" s="1"/>
  <c r="AB124" i="1"/>
  <c r="AC124" i="1" s="1"/>
  <c r="AB123" i="1"/>
  <c r="AC123" i="1" s="1"/>
  <c r="AB122" i="1"/>
  <c r="AC122" i="1" s="1"/>
  <c r="AB121" i="1"/>
  <c r="AC121" i="1" s="1"/>
  <c r="AB120" i="1"/>
  <c r="AC120" i="1" s="1"/>
  <c r="AB119" i="1"/>
  <c r="AC119" i="1" s="1"/>
  <c r="AB118" i="1"/>
  <c r="AC118" i="1" s="1"/>
  <c r="AB117" i="1"/>
  <c r="AC117" i="1" s="1"/>
  <c r="AB116" i="1"/>
  <c r="AC116" i="1" s="1"/>
  <c r="AB115" i="1"/>
  <c r="AC115" i="1" s="1"/>
  <c r="AB114" i="1"/>
  <c r="AC114" i="1" s="1"/>
  <c r="Y114" i="1"/>
  <c r="X114" i="1" s="1"/>
  <c r="AB113" i="1"/>
  <c r="AC113" i="1" s="1"/>
  <c r="AB112" i="1"/>
  <c r="AC112" i="1" s="1"/>
  <c r="AB111" i="1"/>
  <c r="AC111" i="1" s="1"/>
  <c r="AB110" i="1"/>
  <c r="AC110" i="1" s="1"/>
  <c r="AB109" i="1"/>
  <c r="AC109" i="1" s="1"/>
  <c r="AB108" i="1"/>
  <c r="AC108" i="1" s="1"/>
  <c r="AB107" i="1"/>
  <c r="AC107" i="1" s="1"/>
  <c r="AB106" i="1"/>
  <c r="AC106" i="1" s="1"/>
  <c r="AB105" i="1"/>
  <c r="AC105" i="1" s="1"/>
  <c r="AB104" i="1"/>
  <c r="AC104" i="1" s="1"/>
  <c r="AB103" i="1"/>
  <c r="AC103" i="1" s="1"/>
  <c r="AB102" i="1"/>
  <c r="AC102" i="1" s="1"/>
  <c r="AB101" i="1"/>
  <c r="AC101" i="1" s="1"/>
  <c r="AB100" i="1"/>
  <c r="AC100" i="1" s="1"/>
  <c r="AB99" i="1"/>
  <c r="AC99" i="1" s="1"/>
  <c r="AB98" i="1"/>
  <c r="AC98" i="1" s="1"/>
  <c r="AB97" i="1"/>
  <c r="AC97" i="1" s="1"/>
  <c r="AB96" i="1"/>
  <c r="AC96" i="1" s="1"/>
  <c r="AB95" i="1"/>
  <c r="AC95" i="1" s="1"/>
  <c r="AB94" i="1"/>
  <c r="AC94" i="1" s="1"/>
  <c r="AB93" i="1"/>
  <c r="AC93" i="1" s="1"/>
  <c r="AB92" i="1"/>
  <c r="AC92" i="1" s="1"/>
  <c r="AB91" i="1"/>
  <c r="AC91" i="1" s="1"/>
  <c r="AB90" i="1"/>
  <c r="AC90" i="1" s="1"/>
  <c r="AB89" i="1"/>
  <c r="AC89" i="1" s="1"/>
  <c r="AB88" i="1"/>
  <c r="AC88" i="1" s="1"/>
  <c r="AB87" i="1"/>
  <c r="AC87" i="1" s="1"/>
  <c r="AB86" i="1"/>
  <c r="AC86" i="1" s="1"/>
  <c r="AB85" i="1"/>
  <c r="AC85" i="1" s="1"/>
  <c r="AB84" i="1"/>
  <c r="AC84" i="1" s="1"/>
  <c r="AB83" i="1"/>
  <c r="AC83" i="1" s="1"/>
  <c r="AB82" i="1"/>
  <c r="AC82" i="1" s="1"/>
  <c r="AB81" i="1"/>
  <c r="AC81" i="1" s="1"/>
  <c r="AB80" i="1"/>
  <c r="AC80" i="1" s="1"/>
  <c r="AB79" i="1"/>
  <c r="AC79" i="1" s="1"/>
  <c r="AB78" i="1"/>
  <c r="AC78" i="1" s="1"/>
  <c r="AB77" i="1"/>
  <c r="AC77" i="1" s="1"/>
  <c r="AB76" i="1"/>
  <c r="AC76" i="1" s="1"/>
  <c r="AB75" i="1"/>
  <c r="AC75" i="1" s="1"/>
  <c r="AB74" i="1"/>
  <c r="AC74" i="1" s="1"/>
  <c r="AB73" i="1"/>
  <c r="AC73" i="1" s="1"/>
  <c r="AB72" i="1"/>
  <c r="AC72" i="1" s="1"/>
  <c r="AB71" i="1"/>
  <c r="AC71" i="1" s="1"/>
  <c r="AB70" i="1"/>
  <c r="AC70" i="1" s="1"/>
  <c r="AB69" i="1"/>
  <c r="AC69" i="1" s="1"/>
  <c r="AB68" i="1"/>
  <c r="AC68" i="1" s="1"/>
  <c r="AB67" i="1"/>
  <c r="AC67" i="1" s="1"/>
  <c r="AB66" i="1"/>
  <c r="AC66" i="1" s="1"/>
  <c r="AB65" i="1"/>
  <c r="AC65" i="1" s="1"/>
  <c r="AB64" i="1"/>
  <c r="AC64" i="1" s="1"/>
  <c r="AB63" i="1"/>
  <c r="AC63" i="1" s="1"/>
  <c r="AB62" i="1"/>
  <c r="AC62" i="1" s="1"/>
  <c r="AB61" i="1"/>
  <c r="AC61" i="1" s="1"/>
  <c r="AB60" i="1"/>
  <c r="AC60" i="1" s="1"/>
  <c r="AB59" i="1"/>
  <c r="AC59" i="1" s="1"/>
  <c r="AB58" i="1"/>
  <c r="AC58" i="1" s="1"/>
  <c r="AB57" i="1"/>
  <c r="AC57" i="1" s="1"/>
  <c r="AB56" i="1"/>
  <c r="AC56" i="1" s="1"/>
  <c r="AB55" i="1"/>
  <c r="AC55" i="1" s="1"/>
  <c r="AB54" i="1"/>
  <c r="AC54" i="1" s="1"/>
  <c r="AB53" i="1"/>
  <c r="AC53" i="1" s="1"/>
  <c r="AB52" i="1"/>
  <c r="AC52" i="1" s="1"/>
  <c r="AB51" i="1"/>
  <c r="AC51" i="1" s="1"/>
  <c r="AB50" i="1"/>
  <c r="AC50" i="1" s="1"/>
  <c r="AB49" i="1"/>
  <c r="AC49" i="1" s="1"/>
  <c r="AB48" i="1"/>
  <c r="AC48" i="1" s="1"/>
  <c r="AB47" i="1"/>
  <c r="AC47" i="1" s="1"/>
  <c r="AB46" i="1"/>
  <c r="AC46" i="1" s="1"/>
  <c r="AB45" i="1"/>
  <c r="AC45" i="1" s="1"/>
  <c r="AB44" i="1"/>
  <c r="AC44" i="1" s="1"/>
  <c r="AB43" i="1"/>
  <c r="AC43" i="1" s="1"/>
  <c r="AB42" i="1"/>
  <c r="AC42" i="1" s="1"/>
  <c r="AB41" i="1"/>
  <c r="AC41" i="1" s="1"/>
  <c r="AB40" i="1"/>
  <c r="AC40" i="1" s="1"/>
  <c r="AB39" i="1"/>
  <c r="AC39" i="1" s="1"/>
  <c r="AB38" i="1"/>
  <c r="AB37" i="1"/>
  <c r="AC37" i="1" s="1"/>
  <c r="AB36" i="1"/>
  <c r="AC36" i="1" s="1"/>
  <c r="AB35" i="1"/>
  <c r="AC35" i="1" s="1"/>
  <c r="AB34" i="1"/>
  <c r="AC34" i="1" s="1"/>
  <c r="AB33" i="1"/>
  <c r="AC33" i="1" s="1"/>
  <c r="AB32" i="1"/>
  <c r="AC32" i="1" s="1"/>
  <c r="AB31" i="1"/>
  <c r="AC31" i="1" s="1"/>
  <c r="AB30" i="1"/>
  <c r="AC30" i="1" s="1"/>
  <c r="AB29" i="1"/>
  <c r="AC29" i="1" s="1"/>
  <c r="AB28" i="1"/>
  <c r="AC28" i="1" s="1"/>
  <c r="AB27" i="1"/>
  <c r="AC27" i="1" s="1"/>
  <c r="Y27" i="1"/>
  <c r="X27" i="1" s="1"/>
  <c r="AB26" i="1"/>
  <c r="AC26" i="1" s="1"/>
  <c r="AB25" i="1"/>
  <c r="AC25" i="1" s="1"/>
  <c r="AB24" i="1"/>
  <c r="AC24" i="1" s="1"/>
  <c r="AB23" i="1"/>
  <c r="AC23" i="1" s="1"/>
  <c r="AB22" i="1"/>
  <c r="AC22" i="1" s="1"/>
  <c r="AB21" i="1"/>
  <c r="AC21" i="1" s="1"/>
  <c r="AB20" i="1"/>
  <c r="AC20" i="1" s="1"/>
  <c r="AB19" i="1"/>
  <c r="AC19" i="1" s="1"/>
  <c r="AB18" i="1"/>
  <c r="AC18" i="1" s="1"/>
  <c r="AB17" i="1"/>
  <c r="AC17" i="1" s="1"/>
  <c r="AB16" i="1"/>
  <c r="AC16" i="1" s="1"/>
  <c r="AB15" i="1"/>
  <c r="AC15" i="1" s="1"/>
  <c r="Y15" i="1"/>
  <c r="X15" i="1" s="1"/>
  <c r="AB14" i="1"/>
  <c r="AC14" i="1" s="1"/>
  <c r="AB13" i="1"/>
  <c r="AC13" i="1" s="1"/>
  <c r="AB12" i="1"/>
  <c r="AC12" i="1" s="1"/>
  <c r="AB11" i="1"/>
  <c r="AC11" i="1" s="1"/>
  <c r="AB10" i="1"/>
  <c r="AC10" i="1" s="1"/>
  <c r="AB9" i="1"/>
  <c r="Y294" i="1" l="1"/>
  <c r="X294" i="1" s="1"/>
  <c r="Y164" i="1"/>
  <c r="X164" i="1" s="1"/>
  <c r="Y344" i="1"/>
  <c r="X344" i="1" s="1"/>
  <c r="Y67" i="1"/>
  <c r="X67" i="1" s="1"/>
  <c r="Y91" i="1"/>
  <c r="X91" i="1" s="1"/>
  <c r="Y131" i="1"/>
  <c r="X131" i="1" s="1"/>
  <c r="Y111" i="1"/>
  <c r="X111" i="1" s="1"/>
  <c r="Y219" i="1"/>
  <c r="X219" i="1" s="1"/>
  <c r="Y23" i="1"/>
  <c r="X23" i="1" s="1"/>
  <c r="Y136" i="1"/>
  <c r="X136" i="1" s="1"/>
  <c r="Y12" i="1"/>
  <c r="X12" i="1" s="1"/>
  <c r="Y11" i="1"/>
  <c r="X11" i="1" s="1"/>
  <c r="Y426" i="1"/>
  <c r="X426" i="1" s="1"/>
  <c r="Y123" i="1"/>
  <c r="X123" i="1" s="1"/>
  <c r="Y453" i="1"/>
  <c r="X453" i="1" s="1"/>
  <c r="Y235" i="1"/>
  <c r="X235" i="1" s="1"/>
  <c r="Y82" i="1"/>
  <c r="X82" i="1" s="1"/>
  <c r="Y86" i="1"/>
  <c r="X86" i="1" s="1"/>
  <c r="Y156" i="1"/>
  <c r="X156" i="1" s="1"/>
  <c r="Y265" i="1"/>
  <c r="X265" i="1" s="1"/>
  <c r="Y31" i="1"/>
  <c r="X31" i="1" s="1"/>
  <c r="Y54" i="1"/>
  <c r="X54" i="1" s="1"/>
  <c r="Y98" i="1"/>
  <c r="X98" i="1" s="1"/>
  <c r="Y474" i="1"/>
  <c r="X474" i="1" s="1"/>
  <c r="Y155" i="1"/>
  <c r="X155" i="1" s="1"/>
  <c r="Y477" i="1"/>
  <c r="X477" i="1" s="1"/>
  <c r="Y281" i="1"/>
  <c r="X281" i="1" s="1"/>
  <c r="Y172" i="1"/>
  <c r="X172" i="1" s="1"/>
  <c r="Y482" i="1"/>
  <c r="X482" i="1" s="1"/>
  <c r="Y159" i="1"/>
  <c r="X159" i="1" s="1"/>
  <c r="Y139" i="1"/>
  <c r="X139" i="1" s="1"/>
  <c r="Y245" i="1"/>
  <c r="X245" i="1" s="1"/>
  <c r="Y486" i="1"/>
  <c r="X486" i="1" s="1"/>
  <c r="Y99" i="1"/>
  <c r="X99" i="1" s="1"/>
  <c r="Y384" i="1"/>
  <c r="X384" i="1" s="1"/>
  <c r="Y171" i="1"/>
  <c r="X171" i="1" s="1"/>
  <c r="Y372" i="1"/>
  <c r="X372" i="1" s="1"/>
  <c r="Y203" i="1"/>
  <c r="X203" i="1" s="1"/>
  <c r="Y358" i="1"/>
  <c r="X358" i="1" s="1"/>
  <c r="Y342" i="1"/>
  <c r="X342" i="1" s="1"/>
  <c r="Y362" i="1"/>
  <c r="X362" i="1" s="1"/>
  <c r="Y168" i="1"/>
  <c r="X168" i="1" s="1"/>
  <c r="Y315" i="1"/>
  <c r="X315" i="1" s="1"/>
  <c r="Y20" i="1"/>
  <c r="X20" i="1" s="1"/>
  <c r="Y440" i="1"/>
  <c r="X440" i="1" s="1"/>
  <c r="Y480" i="1"/>
  <c r="X480" i="1" s="1"/>
  <c r="Y493" i="1"/>
  <c r="X493" i="1" s="1"/>
  <c r="Y382" i="1"/>
  <c r="X382" i="1" s="1"/>
  <c r="Y484" i="1"/>
  <c r="X484" i="1" s="1"/>
  <c r="Y424" i="1"/>
  <c r="X424" i="1" s="1"/>
  <c r="Y441" i="1"/>
  <c r="X441" i="1" s="1"/>
  <c r="Y408" i="1"/>
  <c r="X408" i="1" s="1"/>
  <c r="Y375" i="1"/>
  <c r="X375" i="1" s="1"/>
  <c r="Y283" i="1"/>
  <c r="X283" i="1" s="1"/>
  <c r="Y243" i="1"/>
  <c r="X243" i="1" s="1"/>
  <c r="Y263" i="1"/>
  <c r="X263" i="1" s="1"/>
  <c r="Y230" i="1"/>
  <c r="X230" i="1" s="1"/>
  <c r="Y205" i="1"/>
  <c r="X205" i="1" s="1"/>
  <c r="Y180" i="1"/>
  <c r="X180" i="1" s="1"/>
  <c r="Y196" i="1"/>
  <c r="X196" i="1" s="1"/>
  <c r="Y88" i="1"/>
  <c r="X88" i="1" s="1"/>
  <c r="Y66" i="1"/>
  <c r="X66" i="1" s="1"/>
  <c r="Y25" i="1"/>
  <c r="X25" i="1" s="1"/>
  <c r="Y29" i="1"/>
  <c r="X29" i="1" s="1"/>
  <c r="AF29" i="1"/>
  <c r="Y17" i="1"/>
  <c r="X17" i="1" s="1"/>
  <c r="AF17" i="1"/>
  <c r="Y40" i="1"/>
  <c r="X40" i="1" s="1"/>
  <c r="AF40" i="1"/>
  <c r="Y48" i="1"/>
  <c r="X48" i="1" s="1"/>
  <c r="AF48" i="1"/>
  <c r="Y60" i="1"/>
  <c r="X60" i="1" s="1"/>
  <c r="AF60" i="1"/>
  <c r="Y72" i="1"/>
  <c r="X72" i="1" s="1"/>
  <c r="AF72" i="1"/>
  <c r="Y84" i="1"/>
  <c r="X84" i="1" s="1"/>
  <c r="AF84" i="1"/>
  <c r="Y92" i="1"/>
  <c r="X92" i="1" s="1"/>
  <c r="AF92" i="1"/>
  <c r="Y128" i="1"/>
  <c r="X128" i="1" s="1"/>
  <c r="AF128" i="1"/>
  <c r="Y137" i="1"/>
  <c r="X137" i="1" s="1"/>
  <c r="AF137" i="1"/>
  <c r="Y145" i="1"/>
  <c r="X145" i="1" s="1"/>
  <c r="AF145" i="1"/>
  <c r="Y153" i="1"/>
  <c r="X153" i="1" s="1"/>
  <c r="AF153" i="1"/>
  <c r="Y161" i="1"/>
  <c r="X161" i="1" s="1"/>
  <c r="AF161" i="1"/>
  <c r="Y173" i="1"/>
  <c r="X173" i="1" s="1"/>
  <c r="AF173" i="1"/>
  <c r="Y190" i="1"/>
  <c r="X190" i="1" s="1"/>
  <c r="AF190" i="1"/>
  <c r="Y208" i="1"/>
  <c r="X208" i="1" s="1"/>
  <c r="AF208" i="1"/>
  <c r="Y221" i="1"/>
  <c r="X221" i="1" s="1"/>
  <c r="AF221" i="1"/>
  <c r="Y386" i="1"/>
  <c r="X386" i="1" s="1"/>
  <c r="AF386" i="1"/>
  <c r="Y412" i="1"/>
  <c r="X412" i="1" s="1"/>
  <c r="AF412" i="1"/>
  <c r="Y420" i="1"/>
  <c r="X420" i="1" s="1"/>
  <c r="AF420" i="1"/>
  <c r="Y436" i="1"/>
  <c r="X436" i="1" s="1"/>
  <c r="AF436" i="1"/>
  <c r="Y449" i="1"/>
  <c r="X449" i="1" s="1"/>
  <c r="AF449" i="1"/>
  <c r="Y459" i="1"/>
  <c r="X459" i="1" s="1"/>
  <c r="AF459" i="1"/>
  <c r="Y487" i="1"/>
  <c r="X487" i="1" s="1"/>
  <c r="AF487" i="1"/>
  <c r="Y32" i="1"/>
  <c r="X32" i="1" s="1"/>
  <c r="AF32" i="1"/>
  <c r="Y28" i="1"/>
  <c r="X28" i="1" s="1"/>
  <c r="AF28" i="1"/>
  <c r="Y24" i="1"/>
  <c r="X24" i="1" s="1"/>
  <c r="AF24" i="1"/>
  <c r="Y16" i="1"/>
  <c r="X16" i="1" s="1"/>
  <c r="AF16" i="1"/>
  <c r="Y41" i="1"/>
  <c r="X41" i="1" s="1"/>
  <c r="AF41" i="1"/>
  <c r="Y45" i="1"/>
  <c r="X45" i="1" s="1"/>
  <c r="AF45" i="1"/>
  <c r="Y49" i="1"/>
  <c r="X49" i="1" s="1"/>
  <c r="AF49" i="1"/>
  <c r="Y53" i="1"/>
  <c r="X53" i="1" s="1"/>
  <c r="AF53" i="1"/>
  <c r="Y57" i="1"/>
  <c r="X57" i="1" s="1"/>
  <c r="AF57" i="1"/>
  <c r="Y61" i="1"/>
  <c r="X61" i="1" s="1"/>
  <c r="AF61" i="1"/>
  <c r="Y65" i="1"/>
  <c r="X65" i="1" s="1"/>
  <c r="AF65" i="1"/>
  <c r="Y69" i="1"/>
  <c r="X69" i="1" s="1"/>
  <c r="AF69" i="1"/>
  <c r="Y73" i="1"/>
  <c r="X73" i="1" s="1"/>
  <c r="AF73" i="1"/>
  <c r="Y77" i="1"/>
  <c r="X77" i="1" s="1"/>
  <c r="AF77" i="1"/>
  <c r="Y81" i="1"/>
  <c r="X81" i="1" s="1"/>
  <c r="AF81" i="1"/>
  <c r="Y85" i="1"/>
  <c r="X85" i="1" s="1"/>
  <c r="AF85" i="1"/>
  <c r="Y89" i="1"/>
  <c r="X89" i="1" s="1"/>
  <c r="AF89" i="1"/>
  <c r="Y93" i="1"/>
  <c r="X93" i="1" s="1"/>
  <c r="AF93" i="1"/>
  <c r="Y97" i="1"/>
  <c r="X97" i="1" s="1"/>
  <c r="AF97" i="1"/>
  <c r="Y101" i="1"/>
  <c r="X101" i="1" s="1"/>
  <c r="AF101" i="1"/>
  <c r="Y105" i="1"/>
  <c r="X105" i="1" s="1"/>
  <c r="AF105" i="1"/>
  <c r="Y109" i="1"/>
  <c r="X109" i="1" s="1"/>
  <c r="AF109" i="1"/>
  <c r="Y113" i="1"/>
  <c r="X113" i="1" s="1"/>
  <c r="AF113" i="1"/>
  <c r="Y117" i="1"/>
  <c r="X117" i="1" s="1"/>
  <c r="AF117" i="1"/>
  <c r="Y121" i="1"/>
  <c r="X121" i="1" s="1"/>
  <c r="AF121" i="1"/>
  <c r="Y125" i="1"/>
  <c r="X125" i="1" s="1"/>
  <c r="AF125" i="1"/>
  <c r="Y129" i="1"/>
  <c r="X129" i="1" s="1"/>
  <c r="AF129" i="1"/>
  <c r="Y134" i="1"/>
  <c r="X134" i="1" s="1"/>
  <c r="AF134" i="1"/>
  <c r="Y142" i="1"/>
  <c r="X142" i="1" s="1"/>
  <c r="AF142" i="1"/>
  <c r="Y146" i="1"/>
  <c r="X146" i="1" s="1"/>
  <c r="AF146" i="1"/>
  <c r="Y150" i="1"/>
  <c r="X150" i="1" s="1"/>
  <c r="AF150" i="1"/>
  <c r="Y154" i="1"/>
  <c r="X154" i="1" s="1"/>
  <c r="AF154" i="1"/>
  <c r="Y158" i="1"/>
  <c r="X158" i="1" s="1"/>
  <c r="AF158" i="1"/>
  <c r="Y162" i="1"/>
  <c r="X162" i="1" s="1"/>
  <c r="AF162" i="1"/>
  <c r="Y166" i="1"/>
  <c r="X166" i="1" s="1"/>
  <c r="AF166" i="1"/>
  <c r="Y170" i="1"/>
  <c r="X170" i="1" s="1"/>
  <c r="AF170" i="1"/>
  <c r="Y179" i="1"/>
  <c r="X179" i="1" s="1"/>
  <c r="AF179" i="1"/>
  <c r="Y187" i="1"/>
  <c r="X187" i="1" s="1"/>
  <c r="AF187" i="1"/>
  <c r="Y191" i="1"/>
  <c r="X191" i="1" s="1"/>
  <c r="AF191" i="1"/>
  <c r="Y195" i="1"/>
  <c r="X195" i="1" s="1"/>
  <c r="AF195" i="1"/>
  <c r="Y209" i="1"/>
  <c r="X209" i="1" s="1"/>
  <c r="AF209" i="1"/>
  <c r="Y213" i="1"/>
  <c r="X213" i="1" s="1"/>
  <c r="AF213" i="1"/>
  <c r="Y217" i="1"/>
  <c r="X217" i="1" s="1"/>
  <c r="AF217" i="1"/>
  <c r="Y222" i="1"/>
  <c r="X222" i="1" s="1"/>
  <c r="AF222" i="1"/>
  <c r="Y227" i="1"/>
  <c r="X227" i="1" s="1"/>
  <c r="AF227" i="1"/>
  <c r="Y231" i="1"/>
  <c r="X231" i="1" s="1"/>
  <c r="AF231" i="1"/>
  <c r="Y374" i="1"/>
  <c r="X374" i="1" s="1"/>
  <c r="AF374" i="1"/>
  <c r="Y379" i="1"/>
  <c r="X379" i="1" s="1"/>
  <c r="AF379" i="1"/>
  <c r="Y387" i="1"/>
  <c r="X387" i="1" s="1"/>
  <c r="AF387" i="1"/>
  <c r="Y409" i="1"/>
  <c r="X409" i="1" s="1"/>
  <c r="AF409" i="1"/>
  <c r="Y413" i="1"/>
  <c r="X413" i="1" s="1"/>
  <c r="AF413" i="1"/>
  <c r="Y417" i="1"/>
  <c r="X417" i="1" s="1"/>
  <c r="AF417" i="1"/>
  <c r="Y421" i="1"/>
  <c r="X421" i="1" s="1"/>
  <c r="AF421" i="1"/>
  <c r="Y425" i="1"/>
  <c r="X425" i="1" s="1"/>
  <c r="AF425" i="1"/>
  <c r="Y429" i="1"/>
  <c r="X429" i="1" s="1"/>
  <c r="AF429" i="1"/>
  <c r="Y433" i="1"/>
  <c r="X433" i="1" s="1"/>
  <c r="AF433" i="1"/>
  <c r="Y437" i="1"/>
  <c r="X437" i="1" s="1"/>
  <c r="AF437" i="1"/>
  <c r="Y445" i="1"/>
  <c r="X445" i="1" s="1"/>
  <c r="AF445" i="1"/>
  <c r="Y451" i="1"/>
  <c r="X451" i="1" s="1"/>
  <c r="AF451" i="1"/>
  <c r="Y456" i="1"/>
  <c r="X456" i="1" s="1"/>
  <c r="AF456" i="1"/>
  <c r="Y460" i="1"/>
  <c r="X460" i="1" s="1"/>
  <c r="AF460" i="1"/>
  <c r="Y464" i="1"/>
  <c r="X464" i="1" s="1"/>
  <c r="AF464" i="1"/>
  <c r="Y472" i="1"/>
  <c r="X472" i="1" s="1"/>
  <c r="AF472" i="1"/>
  <c r="Y476" i="1"/>
  <c r="X476" i="1" s="1"/>
  <c r="AF476" i="1"/>
  <c r="Y488" i="1"/>
  <c r="X488" i="1" s="1"/>
  <c r="AF488" i="1"/>
  <c r="Y21" i="1"/>
  <c r="X21" i="1" s="1"/>
  <c r="AF21" i="1"/>
  <c r="Y64" i="1"/>
  <c r="X64" i="1" s="1"/>
  <c r="AF64" i="1"/>
  <c r="Y76" i="1"/>
  <c r="X76" i="1" s="1"/>
  <c r="AF76" i="1"/>
  <c r="Y100" i="1"/>
  <c r="X100" i="1" s="1"/>
  <c r="AF100" i="1"/>
  <c r="Y108" i="1"/>
  <c r="X108" i="1" s="1"/>
  <c r="AF108" i="1"/>
  <c r="Y120" i="1"/>
  <c r="X120" i="1" s="1"/>
  <c r="AF120" i="1"/>
  <c r="Y132" i="1"/>
  <c r="X132" i="1" s="1"/>
  <c r="AF132" i="1"/>
  <c r="Y157" i="1"/>
  <c r="X157" i="1" s="1"/>
  <c r="AF157" i="1"/>
  <c r="Y169" i="1"/>
  <c r="X169" i="1" s="1"/>
  <c r="AF169" i="1"/>
  <c r="Y178" i="1"/>
  <c r="X178" i="1" s="1"/>
  <c r="AF178" i="1"/>
  <c r="Y212" i="1"/>
  <c r="X212" i="1" s="1"/>
  <c r="AF212" i="1"/>
  <c r="Y444" i="1"/>
  <c r="X444" i="1" s="1"/>
  <c r="AF444" i="1"/>
  <c r="Y455" i="1"/>
  <c r="X455" i="1" s="1"/>
  <c r="AF455" i="1"/>
  <c r="Y463" i="1"/>
  <c r="X463" i="1" s="1"/>
  <c r="AF463" i="1"/>
  <c r="Y467" i="1"/>
  <c r="X467" i="1" s="1"/>
  <c r="AF467" i="1"/>
  <c r="Y475" i="1"/>
  <c r="X475" i="1" s="1"/>
  <c r="AF475" i="1"/>
  <c r="Y479" i="1"/>
  <c r="X479" i="1" s="1"/>
  <c r="AF479" i="1"/>
  <c r="Y234" i="1"/>
  <c r="X234" i="1" s="1"/>
  <c r="Y287" i="1"/>
  <c r="X287" i="1" s="1"/>
  <c r="Y52" i="1"/>
  <c r="X52" i="1" s="1"/>
  <c r="Y96" i="1"/>
  <c r="X96" i="1" s="1"/>
  <c r="Y247" i="1"/>
  <c r="X247" i="1" s="1"/>
  <c r="Y271" i="1"/>
  <c r="X271" i="1" s="1"/>
  <c r="Y340" i="1"/>
  <c r="X340" i="1" s="1"/>
  <c r="Y428" i="1"/>
  <c r="X428" i="1" s="1"/>
  <c r="Y46" i="1"/>
  <c r="X46" i="1" s="1"/>
  <c r="AF46" i="1"/>
  <c r="Y50" i="1"/>
  <c r="X50" i="1" s="1"/>
  <c r="AF50" i="1"/>
  <c r="Y58" i="1"/>
  <c r="X58" i="1" s="1"/>
  <c r="AF58" i="1"/>
  <c r="Y62" i="1"/>
  <c r="X62" i="1" s="1"/>
  <c r="AF62" i="1"/>
  <c r="Y70" i="1"/>
  <c r="X70" i="1" s="1"/>
  <c r="AF70" i="1"/>
  <c r="Y74" i="1"/>
  <c r="X74" i="1" s="1"/>
  <c r="AF74" i="1"/>
  <c r="Y78" i="1"/>
  <c r="X78" i="1" s="1"/>
  <c r="AF78" i="1"/>
  <c r="Y90" i="1"/>
  <c r="X90" i="1" s="1"/>
  <c r="AF90" i="1"/>
  <c r="Y94" i="1"/>
  <c r="X94" i="1" s="1"/>
  <c r="AF94" i="1"/>
  <c r="Y102" i="1"/>
  <c r="X102" i="1" s="1"/>
  <c r="AF102" i="1"/>
  <c r="Y106" i="1"/>
  <c r="X106" i="1" s="1"/>
  <c r="AF106" i="1"/>
  <c r="Y110" i="1"/>
  <c r="X110" i="1" s="1"/>
  <c r="AF110" i="1"/>
  <c r="Y118" i="1"/>
  <c r="X118" i="1" s="1"/>
  <c r="AF118" i="1"/>
  <c r="Y122" i="1"/>
  <c r="X122" i="1" s="1"/>
  <c r="AF122" i="1"/>
  <c r="Y126" i="1"/>
  <c r="X126" i="1" s="1"/>
  <c r="AF126" i="1"/>
  <c r="Y135" i="1"/>
  <c r="X135" i="1" s="1"/>
  <c r="AF135" i="1"/>
  <c r="Y143" i="1"/>
  <c r="X143" i="1" s="1"/>
  <c r="AF143" i="1"/>
  <c r="Y147" i="1"/>
  <c r="X147" i="1" s="1"/>
  <c r="AF147" i="1"/>
  <c r="Y151" i="1"/>
  <c r="X151" i="1" s="1"/>
  <c r="AF151" i="1"/>
  <c r="Y163" i="1"/>
  <c r="X163" i="1" s="1"/>
  <c r="AF163" i="1"/>
  <c r="Y167" i="1"/>
  <c r="X167" i="1" s="1"/>
  <c r="AF167" i="1"/>
  <c r="Y214" i="1"/>
  <c r="X214" i="1" s="1"/>
  <c r="AF214" i="1"/>
  <c r="Y218" i="1"/>
  <c r="X218" i="1" s="1"/>
  <c r="AF218" i="1"/>
  <c r="Y223" i="1"/>
  <c r="X223" i="1" s="1"/>
  <c r="AF223" i="1"/>
  <c r="Y228" i="1"/>
  <c r="X228" i="1" s="1"/>
  <c r="AF228" i="1"/>
  <c r="Y232" i="1"/>
  <c r="X232" i="1" s="1"/>
  <c r="AF232" i="1"/>
  <c r="Y236" i="1"/>
  <c r="X236" i="1" s="1"/>
  <c r="AF236" i="1"/>
  <c r="Y371" i="1"/>
  <c r="X371" i="1" s="1"/>
  <c r="AF371" i="1"/>
  <c r="Y380" i="1"/>
  <c r="X380" i="1" s="1"/>
  <c r="AF380" i="1"/>
  <c r="Y418" i="1"/>
  <c r="X418" i="1" s="1"/>
  <c r="AF418" i="1"/>
  <c r="Y422" i="1"/>
  <c r="X422" i="1" s="1"/>
  <c r="AF422" i="1"/>
  <c r="Y430" i="1"/>
  <c r="X430" i="1" s="1"/>
  <c r="AF430" i="1"/>
  <c r="Y434" i="1"/>
  <c r="X434" i="1" s="1"/>
  <c r="AF434" i="1"/>
  <c r="Y438" i="1"/>
  <c r="X438" i="1" s="1"/>
  <c r="AF438" i="1"/>
  <c r="Y442" i="1"/>
  <c r="X442" i="1" s="1"/>
  <c r="AF442" i="1"/>
  <c r="Y447" i="1"/>
  <c r="X447" i="1" s="1"/>
  <c r="AF447" i="1"/>
  <c r="Y457" i="1"/>
  <c r="X457" i="1" s="1"/>
  <c r="AF457" i="1"/>
  <c r="Y461" i="1"/>
  <c r="X461" i="1" s="1"/>
  <c r="AF461" i="1"/>
  <c r="Y465" i="1"/>
  <c r="X465" i="1" s="1"/>
  <c r="AF465" i="1"/>
  <c r="Y473" i="1"/>
  <c r="X473" i="1" s="1"/>
  <c r="AF473" i="1"/>
  <c r="Y481" i="1"/>
  <c r="X481" i="1" s="1"/>
  <c r="AF481" i="1"/>
  <c r="Y485" i="1"/>
  <c r="X485" i="1" s="1"/>
  <c r="AF485" i="1"/>
  <c r="Y496" i="1"/>
  <c r="Y495" i="1" s="1"/>
  <c r="W495" i="1" s="1"/>
  <c r="AF495" i="1" s="1"/>
  <c r="AF496" i="1"/>
  <c r="Y44" i="1"/>
  <c r="X44" i="1" s="1"/>
  <c r="AF44" i="1"/>
  <c r="Y56" i="1"/>
  <c r="X56" i="1" s="1"/>
  <c r="AF56" i="1"/>
  <c r="Y68" i="1"/>
  <c r="X68" i="1" s="1"/>
  <c r="AF68" i="1"/>
  <c r="Y80" i="1"/>
  <c r="X80" i="1" s="1"/>
  <c r="AF80" i="1"/>
  <c r="Y104" i="1"/>
  <c r="X104" i="1" s="1"/>
  <c r="AF104" i="1"/>
  <c r="Y112" i="1"/>
  <c r="X112" i="1" s="1"/>
  <c r="AF112" i="1"/>
  <c r="Y124" i="1"/>
  <c r="X124" i="1" s="1"/>
  <c r="AF124" i="1"/>
  <c r="Y149" i="1"/>
  <c r="X149" i="1" s="1"/>
  <c r="AF149" i="1"/>
  <c r="Y165" i="1"/>
  <c r="X165" i="1" s="1"/>
  <c r="AF165" i="1"/>
  <c r="Y216" i="1"/>
  <c r="X216" i="1" s="1"/>
  <c r="AF216" i="1"/>
  <c r="Y378" i="1"/>
  <c r="X378" i="1" s="1"/>
  <c r="AF378" i="1"/>
  <c r="Y483" i="1"/>
  <c r="X483" i="1" s="1"/>
  <c r="AF483" i="1"/>
  <c r="Y116" i="1"/>
  <c r="X116" i="1" s="1"/>
  <c r="Y226" i="1"/>
  <c r="X226" i="1" s="1"/>
  <c r="Y259" i="1"/>
  <c r="X259" i="1" s="1"/>
  <c r="Y295" i="1"/>
  <c r="X295" i="1" s="1"/>
  <c r="Y416" i="1"/>
  <c r="X416" i="1" s="1"/>
  <c r="Y432" i="1"/>
  <c r="X432" i="1" s="1"/>
  <c r="Y30" i="1"/>
  <c r="X30" i="1" s="1"/>
  <c r="AF30" i="1"/>
  <c r="Y22" i="1"/>
  <c r="X22" i="1" s="1"/>
  <c r="AF22" i="1"/>
  <c r="Y18" i="1"/>
  <c r="X18" i="1" s="1"/>
  <c r="AF18" i="1"/>
  <c r="Y14" i="1"/>
  <c r="X14" i="1" s="1"/>
  <c r="AF14" i="1"/>
  <c r="Y39" i="1"/>
  <c r="X39" i="1" s="1"/>
  <c r="AF39" i="1"/>
  <c r="Y43" i="1"/>
  <c r="X43" i="1" s="1"/>
  <c r="AF43" i="1"/>
  <c r="Y47" i="1"/>
  <c r="X47" i="1" s="1"/>
  <c r="AF47" i="1"/>
  <c r="Y51" i="1"/>
  <c r="X51" i="1" s="1"/>
  <c r="AF51" i="1"/>
  <c r="Y55" i="1"/>
  <c r="X55" i="1" s="1"/>
  <c r="AF55" i="1"/>
  <c r="Y59" i="1"/>
  <c r="X59" i="1" s="1"/>
  <c r="AF59" i="1"/>
  <c r="Y63" i="1"/>
  <c r="X63" i="1" s="1"/>
  <c r="AF63" i="1"/>
  <c r="Y71" i="1"/>
  <c r="X71" i="1" s="1"/>
  <c r="AF71" i="1"/>
  <c r="Y75" i="1"/>
  <c r="X75" i="1" s="1"/>
  <c r="AF75" i="1"/>
  <c r="Y79" i="1"/>
  <c r="X79" i="1" s="1"/>
  <c r="AF79" i="1"/>
  <c r="Y83" i="1"/>
  <c r="X83" i="1" s="1"/>
  <c r="AF83" i="1"/>
  <c r="Y87" i="1"/>
  <c r="X87" i="1" s="1"/>
  <c r="AF87" i="1"/>
  <c r="Y95" i="1"/>
  <c r="X95" i="1" s="1"/>
  <c r="AF95" i="1"/>
  <c r="Y103" i="1"/>
  <c r="X103" i="1" s="1"/>
  <c r="AF103" i="1"/>
  <c r="Y107" i="1"/>
  <c r="X107" i="1" s="1"/>
  <c r="AF107" i="1"/>
  <c r="Y115" i="1"/>
  <c r="X115" i="1" s="1"/>
  <c r="AF115" i="1"/>
  <c r="Y119" i="1"/>
  <c r="X119" i="1" s="1"/>
  <c r="AF119" i="1"/>
  <c r="Y127" i="1"/>
  <c r="X127" i="1" s="1"/>
  <c r="AF127" i="1"/>
  <c r="Y140" i="1"/>
  <c r="X140" i="1" s="1"/>
  <c r="AF140" i="1"/>
  <c r="Y144" i="1"/>
  <c r="X144" i="1" s="1"/>
  <c r="AF144" i="1"/>
  <c r="Y160" i="1"/>
  <c r="X160" i="1" s="1"/>
  <c r="AF160" i="1"/>
  <c r="Y176" i="1"/>
  <c r="X176" i="1" s="1"/>
  <c r="AF176" i="1"/>
  <c r="Y181" i="1"/>
  <c r="X181" i="1" s="1"/>
  <c r="AF181" i="1"/>
  <c r="Y185" i="1"/>
  <c r="X185" i="1" s="1"/>
  <c r="AF185" i="1"/>
  <c r="Y189" i="1"/>
  <c r="X189" i="1" s="1"/>
  <c r="AF189" i="1"/>
  <c r="Y193" i="1"/>
  <c r="X193" i="1" s="1"/>
  <c r="AF193" i="1"/>
  <c r="Y207" i="1"/>
  <c r="X207" i="1" s="1"/>
  <c r="AF207" i="1"/>
  <c r="Y215" i="1"/>
  <c r="X215" i="1" s="1"/>
  <c r="AF215" i="1"/>
  <c r="Y225" i="1"/>
  <c r="X225" i="1" s="1"/>
  <c r="AF225" i="1"/>
  <c r="Y229" i="1"/>
  <c r="X229" i="1" s="1"/>
  <c r="AF229" i="1"/>
  <c r="Y233" i="1"/>
  <c r="X233" i="1" s="1"/>
  <c r="AF233" i="1"/>
  <c r="Y376" i="1"/>
  <c r="X376" i="1" s="1"/>
  <c r="AF376" i="1"/>
  <c r="Y381" i="1"/>
  <c r="X381" i="1" s="1"/>
  <c r="AF381" i="1"/>
  <c r="Y385" i="1"/>
  <c r="X385" i="1" s="1"/>
  <c r="AF385" i="1"/>
  <c r="Y407" i="1"/>
  <c r="X407" i="1" s="1"/>
  <c r="AF407" i="1"/>
  <c r="Y411" i="1"/>
  <c r="X411" i="1" s="1"/>
  <c r="AF411" i="1"/>
  <c r="Y415" i="1"/>
  <c r="X415" i="1" s="1"/>
  <c r="AF415" i="1"/>
  <c r="Y419" i="1"/>
  <c r="X419" i="1" s="1"/>
  <c r="AF419" i="1"/>
  <c r="Y423" i="1"/>
  <c r="X423" i="1" s="1"/>
  <c r="AF423" i="1"/>
  <c r="Y427" i="1"/>
  <c r="X427" i="1" s="1"/>
  <c r="AF427" i="1"/>
  <c r="Y431" i="1"/>
  <c r="X431" i="1" s="1"/>
  <c r="AF431" i="1"/>
  <c r="Y435" i="1"/>
  <c r="X435" i="1" s="1"/>
  <c r="AF435" i="1"/>
  <c r="Y439" i="1"/>
  <c r="X439" i="1" s="1"/>
  <c r="AF439" i="1"/>
  <c r="Y443" i="1"/>
  <c r="X443" i="1" s="1"/>
  <c r="AF443" i="1"/>
  <c r="Y448" i="1"/>
  <c r="X448" i="1" s="1"/>
  <c r="AF448" i="1"/>
  <c r="Y454" i="1"/>
  <c r="X454" i="1" s="1"/>
  <c r="AF454" i="1"/>
  <c r="Y466" i="1"/>
  <c r="X466" i="1" s="1"/>
  <c r="AF466" i="1"/>
  <c r="Y478" i="1"/>
  <c r="X478" i="1" s="1"/>
  <c r="AF478" i="1"/>
  <c r="Y490" i="1"/>
  <c r="X490" i="1" s="1"/>
  <c r="AF490" i="1"/>
  <c r="Y498" i="1"/>
  <c r="Y497" i="1" s="1"/>
  <c r="W497" i="1" s="1"/>
  <c r="AF497" i="1" s="1"/>
  <c r="AF498" i="1"/>
  <c r="Y211" i="1"/>
  <c r="X211" i="1" s="1"/>
  <c r="AF211" i="1"/>
  <c r="Y210" i="1"/>
  <c r="X210" i="1" s="1"/>
  <c r="AF210" i="1"/>
  <c r="Y206" i="1"/>
  <c r="X206" i="1" s="1"/>
  <c r="AF206" i="1"/>
  <c r="Y204" i="1"/>
  <c r="X204" i="1" s="1"/>
  <c r="AF204" i="1"/>
  <c r="Y383" i="1"/>
  <c r="X383" i="1" s="1"/>
  <c r="AF383" i="1"/>
  <c r="X373" i="1"/>
  <c r="V373" i="1" s="1"/>
  <c r="AF373" i="1"/>
  <c r="Y348" i="1"/>
  <c r="X348" i="1" s="1"/>
  <c r="AF348" i="1"/>
  <c r="Y349" i="1"/>
  <c r="X349" i="1" s="1"/>
  <c r="AF349" i="1"/>
  <c r="Y329" i="1"/>
  <c r="X329" i="1" s="1"/>
  <c r="AF329" i="1"/>
  <c r="Y333" i="1"/>
  <c r="X333" i="1" s="1"/>
  <c r="AF333" i="1"/>
  <c r="Y334" i="1"/>
  <c r="X334" i="1" s="1"/>
  <c r="AF334" i="1"/>
  <c r="Y364" i="1"/>
  <c r="X364" i="1" s="1"/>
  <c r="Y335" i="1"/>
  <c r="X335" i="1" s="1"/>
  <c r="AF335" i="1"/>
  <c r="Y359" i="1"/>
  <c r="X359" i="1" s="1"/>
  <c r="AF359" i="1"/>
  <c r="Y324" i="1"/>
  <c r="X324" i="1" s="1"/>
  <c r="AF324" i="1"/>
  <c r="Y351" i="1"/>
  <c r="X351" i="1" s="1"/>
  <c r="AF351" i="1"/>
  <c r="Y336" i="1"/>
  <c r="X336" i="1" s="1"/>
  <c r="AF336" i="1"/>
  <c r="Y360" i="1"/>
  <c r="X360" i="1" s="1"/>
  <c r="AF360" i="1"/>
  <c r="Y337" i="1"/>
  <c r="X337" i="1" s="1"/>
  <c r="AF337" i="1"/>
  <c r="Y361" i="1"/>
  <c r="X361" i="1" s="1"/>
  <c r="AF361" i="1"/>
  <c r="Y338" i="1"/>
  <c r="X338" i="1" s="1"/>
  <c r="AF338" i="1"/>
  <c r="Y325" i="1"/>
  <c r="X325" i="1" s="1"/>
  <c r="AF325" i="1"/>
  <c r="Y326" i="1"/>
  <c r="X326" i="1" s="1"/>
  <c r="AF326" i="1"/>
  <c r="Y353" i="1"/>
  <c r="X353" i="1" s="1"/>
  <c r="AF353" i="1"/>
  <c r="Y354" i="1"/>
  <c r="X354" i="1" s="1"/>
  <c r="AF354" i="1"/>
  <c r="Y332" i="1"/>
  <c r="X332" i="1" s="1"/>
  <c r="AF332" i="1"/>
  <c r="Y357" i="1"/>
  <c r="X357" i="1" s="1"/>
  <c r="AF357" i="1"/>
  <c r="Y363" i="1"/>
  <c r="X363" i="1" s="1"/>
  <c r="AF363" i="1"/>
  <c r="Y330" i="1"/>
  <c r="X330" i="1" s="1"/>
  <c r="Y366" i="1"/>
  <c r="X366" i="1" s="1"/>
  <c r="AF366" i="1"/>
  <c r="Y343" i="1"/>
  <c r="X343" i="1" s="1"/>
  <c r="AF343" i="1"/>
  <c r="Y367" i="1"/>
  <c r="X367" i="1" s="1"/>
  <c r="AF367" i="1"/>
  <c r="Y341" i="1"/>
  <c r="X341" i="1" s="1"/>
  <c r="AF341" i="1"/>
  <c r="Y365" i="1"/>
  <c r="X365" i="1" s="1"/>
  <c r="AF365" i="1"/>
  <c r="Y368" i="1"/>
  <c r="X368" i="1" s="1"/>
  <c r="AF368" i="1"/>
  <c r="Y350" i="1"/>
  <c r="X350" i="1" s="1"/>
  <c r="AF350" i="1"/>
  <c r="Y355" i="1"/>
  <c r="X355" i="1" s="1"/>
  <c r="AF355" i="1"/>
  <c r="Y356" i="1"/>
  <c r="X356" i="1" s="1"/>
  <c r="AF356" i="1"/>
  <c r="Y339" i="1"/>
  <c r="X339" i="1" s="1"/>
  <c r="AF339" i="1"/>
  <c r="Y352" i="1"/>
  <c r="X352" i="1" s="1"/>
  <c r="Y345" i="1"/>
  <c r="X345" i="1" s="1"/>
  <c r="AF345" i="1"/>
  <c r="Y370" i="1"/>
  <c r="X370" i="1" s="1"/>
  <c r="AF370" i="1"/>
  <c r="Y328" i="1"/>
  <c r="X328" i="1" s="1"/>
  <c r="AF328" i="1"/>
  <c r="Y331" i="1"/>
  <c r="X331" i="1" s="1"/>
  <c r="AF331" i="1"/>
  <c r="Y347" i="1"/>
  <c r="X347" i="1" s="1"/>
  <c r="AF347" i="1"/>
  <c r="Y277" i="1"/>
  <c r="X277" i="1" s="1"/>
  <c r="AF277" i="1"/>
  <c r="Y323" i="1"/>
  <c r="X323" i="1" s="1"/>
  <c r="Y284" i="1"/>
  <c r="X284" i="1" s="1"/>
  <c r="AF284" i="1"/>
  <c r="Y308" i="1"/>
  <c r="X308" i="1" s="1"/>
  <c r="AF308" i="1"/>
  <c r="Y280" i="1"/>
  <c r="X280" i="1" s="1"/>
  <c r="AF280" i="1"/>
  <c r="Y286" i="1"/>
  <c r="X286" i="1" s="1"/>
  <c r="AF286" i="1"/>
  <c r="Y310" i="1"/>
  <c r="X310" i="1" s="1"/>
  <c r="AF310" i="1"/>
  <c r="Y279" i="1"/>
  <c r="X279" i="1" s="1"/>
  <c r="AF279" i="1"/>
  <c r="Y285" i="1"/>
  <c r="X285" i="1" s="1"/>
  <c r="AF285" i="1"/>
  <c r="Y307" i="1"/>
  <c r="X307" i="1" s="1"/>
  <c r="Y264" i="1"/>
  <c r="X264" i="1" s="1"/>
  <c r="AF264" i="1"/>
  <c r="Y288" i="1"/>
  <c r="X288" i="1" s="1"/>
  <c r="AF288" i="1"/>
  <c r="Y312" i="1"/>
  <c r="X312" i="1" s="1"/>
  <c r="AF312" i="1"/>
  <c r="Y278" i="1"/>
  <c r="X278" i="1" s="1"/>
  <c r="AF278" i="1"/>
  <c r="Y306" i="1"/>
  <c r="X306" i="1" s="1"/>
  <c r="AF306" i="1"/>
  <c r="Y309" i="1"/>
  <c r="X309" i="1" s="1"/>
  <c r="AF309" i="1"/>
  <c r="Y289" i="1"/>
  <c r="X289" i="1" s="1"/>
  <c r="AF289" i="1"/>
  <c r="Y266" i="1"/>
  <c r="X266" i="1" s="1"/>
  <c r="AF266" i="1"/>
  <c r="Y290" i="1"/>
  <c r="X290" i="1" s="1"/>
  <c r="AF290" i="1"/>
  <c r="Y314" i="1"/>
  <c r="X314" i="1" s="1"/>
  <c r="AF314" i="1"/>
  <c r="Y291" i="1"/>
  <c r="X291" i="1" s="1"/>
  <c r="AF291" i="1"/>
  <c r="Y300" i="1"/>
  <c r="X300" i="1" s="1"/>
  <c r="AF300" i="1"/>
  <c r="Y282" i="1"/>
  <c r="X282" i="1" s="1"/>
  <c r="AF282" i="1"/>
  <c r="Y267" i="1"/>
  <c r="X267" i="1" s="1"/>
  <c r="AF267" i="1"/>
  <c r="Y268" i="1"/>
  <c r="X268" i="1" s="1"/>
  <c r="AF268" i="1"/>
  <c r="Y292" i="1"/>
  <c r="X292" i="1" s="1"/>
  <c r="AF292" i="1"/>
  <c r="Y316" i="1"/>
  <c r="X316" i="1" s="1"/>
  <c r="AF316" i="1"/>
  <c r="Y299" i="1"/>
  <c r="X299" i="1" s="1"/>
  <c r="Y305" i="1"/>
  <c r="X305" i="1" s="1"/>
  <c r="AF305" i="1"/>
  <c r="Y311" i="1"/>
  <c r="X311" i="1" s="1"/>
  <c r="Y269" i="1"/>
  <c r="X269" i="1" s="1"/>
  <c r="AF269" i="1"/>
  <c r="Y293" i="1"/>
  <c r="X293" i="1" s="1"/>
  <c r="AF293" i="1"/>
  <c r="Y317" i="1"/>
  <c r="X317" i="1" s="1"/>
  <c r="AF317" i="1"/>
  <c r="Y301" i="1"/>
  <c r="X301" i="1" s="1"/>
  <c r="AF301" i="1"/>
  <c r="Y303" i="1"/>
  <c r="X303" i="1" s="1"/>
  <c r="Y270" i="1"/>
  <c r="X270" i="1" s="1"/>
  <c r="AF270" i="1"/>
  <c r="Y318" i="1"/>
  <c r="X318" i="1" s="1"/>
  <c r="AF318" i="1"/>
  <c r="Y304" i="1"/>
  <c r="X304" i="1" s="1"/>
  <c r="AF304" i="1"/>
  <c r="Y319" i="1"/>
  <c r="X319" i="1" s="1"/>
  <c r="AF319" i="1"/>
  <c r="Y276" i="1"/>
  <c r="X276" i="1" s="1"/>
  <c r="AF276" i="1"/>
  <c r="Y302" i="1"/>
  <c r="X302" i="1" s="1"/>
  <c r="AF302" i="1"/>
  <c r="Y275" i="1"/>
  <c r="X275" i="1" s="1"/>
  <c r="Y313" i="1"/>
  <c r="X313" i="1" s="1"/>
  <c r="Y272" i="1"/>
  <c r="X272" i="1" s="1"/>
  <c r="AF272" i="1"/>
  <c r="Y296" i="1"/>
  <c r="X296" i="1" s="1"/>
  <c r="AF296" i="1"/>
  <c r="Y320" i="1"/>
  <c r="X320" i="1" s="1"/>
  <c r="AF320" i="1"/>
  <c r="Y273" i="1"/>
  <c r="X273" i="1" s="1"/>
  <c r="AF273" i="1"/>
  <c r="Y297" i="1"/>
  <c r="X297" i="1" s="1"/>
  <c r="AF297" i="1"/>
  <c r="Y321" i="1"/>
  <c r="X321" i="1" s="1"/>
  <c r="AF321" i="1"/>
  <c r="Y274" i="1"/>
  <c r="X274" i="1" s="1"/>
  <c r="AF274" i="1"/>
  <c r="Y298" i="1"/>
  <c r="X298" i="1" s="1"/>
  <c r="AF298" i="1"/>
  <c r="Y322" i="1"/>
  <c r="X322" i="1" s="1"/>
  <c r="AF322" i="1"/>
  <c r="Y258" i="1"/>
  <c r="X258" i="1" s="1"/>
  <c r="AF258" i="1"/>
  <c r="Y260" i="1"/>
  <c r="X260" i="1" s="1"/>
  <c r="AF260" i="1"/>
  <c r="Y261" i="1"/>
  <c r="X261" i="1" s="1"/>
  <c r="AF261" i="1"/>
  <c r="Y262" i="1"/>
  <c r="X262" i="1" s="1"/>
  <c r="AF262" i="1"/>
  <c r="Y252" i="1"/>
  <c r="X252" i="1" s="1"/>
  <c r="AF252" i="1"/>
  <c r="Y254" i="1"/>
  <c r="X254" i="1" s="1"/>
  <c r="AF254" i="1"/>
  <c r="Y257" i="1"/>
  <c r="X257" i="1" s="1"/>
  <c r="AF257" i="1"/>
  <c r="Y255" i="1"/>
  <c r="X255" i="1" s="1"/>
  <c r="Y253" i="1"/>
  <c r="X253" i="1" s="1"/>
  <c r="AF253" i="1"/>
  <c r="Y256" i="1"/>
  <c r="X256" i="1" s="1"/>
  <c r="AF256" i="1"/>
  <c r="Y238" i="1"/>
  <c r="X238" i="1" s="1"/>
  <c r="AF238" i="1"/>
  <c r="Y239" i="1"/>
  <c r="X239" i="1" s="1"/>
  <c r="AF239" i="1"/>
  <c r="Y240" i="1"/>
  <c r="X240" i="1" s="1"/>
  <c r="AF240" i="1"/>
  <c r="Y244" i="1"/>
  <c r="X244" i="1" s="1"/>
  <c r="AF244" i="1"/>
  <c r="Y251" i="1"/>
  <c r="X251" i="1" s="1"/>
  <c r="Y242" i="1"/>
  <c r="X242" i="1" s="1"/>
  <c r="AF242" i="1"/>
  <c r="Y241" i="1"/>
  <c r="X241" i="1" s="1"/>
  <c r="AF241" i="1"/>
  <c r="Y246" i="1"/>
  <c r="X246" i="1" s="1"/>
  <c r="AF246" i="1"/>
  <c r="Y248" i="1"/>
  <c r="X248" i="1" s="1"/>
  <c r="AF248" i="1"/>
  <c r="Y249" i="1"/>
  <c r="X249" i="1" s="1"/>
  <c r="AF249" i="1"/>
  <c r="Y250" i="1"/>
  <c r="X250" i="1" s="1"/>
  <c r="AF250" i="1"/>
  <c r="Y194" i="1"/>
  <c r="X194" i="1" s="1"/>
  <c r="AF194" i="1"/>
  <c r="Y183" i="1"/>
  <c r="X183" i="1" s="1"/>
  <c r="AF183" i="1"/>
  <c r="Y182" i="1"/>
  <c r="X182" i="1" s="1"/>
  <c r="AF182" i="1"/>
  <c r="Y175" i="1"/>
  <c r="X175" i="1" s="1"/>
  <c r="AF175" i="1"/>
  <c r="Y174" i="1"/>
  <c r="X174" i="1" s="1"/>
  <c r="AF174" i="1"/>
  <c r="Y152" i="1"/>
  <c r="X152" i="1" s="1"/>
  <c r="Y148" i="1"/>
  <c r="X148" i="1" s="1"/>
  <c r="AF148" i="1"/>
  <c r="Y138" i="1"/>
  <c r="X138" i="1" s="1"/>
  <c r="AF138" i="1"/>
  <c r="Y42" i="1"/>
  <c r="X42" i="1" s="1"/>
  <c r="AF42" i="1"/>
  <c r="Y26" i="1"/>
  <c r="X26" i="1" s="1"/>
  <c r="AF26" i="1"/>
  <c r="Y19" i="1"/>
  <c r="X19" i="1" s="1"/>
  <c r="Y13" i="1"/>
  <c r="X13" i="1" s="1"/>
  <c r="AF13" i="1"/>
  <c r="Y462" i="1"/>
  <c r="X462" i="1" s="1"/>
  <c r="AF462" i="1"/>
  <c r="Y141" i="1"/>
  <c r="X141" i="1" s="1"/>
  <c r="AF141" i="1"/>
  <c r="Y186" i="1"/>
  <c r="X186" i="1" s="1"/>
  <c r="Y492" i="1"/>
  <c r="X492" i="1" s="1"/>
  <c r="Y489" i="1"/>
  <c r="X489" i="1" s="1"/>
  <c r="U446" i="1"/>
  <c r="U202" i="1"/>
  <c r="U491" i="1"/>
  <c r="U377" i="1"/>
  <c r="U133" i="1"/>
  <c r="U471" i="1"/>
  <c r="U220" i="1"/>
  <c r="U369" i="1"/>
  <c r="U406" i="1"/>
  <c r="U450" i="1"/>
  <c r="U237" i="1"/>
  <c r="U38" i="1"/>
  <c r="X504" i="1"/>
  <c r="Y502" i="1"/>
  <c r="U177" i="1"/>
  <c r="U9" i="1"/>
  <c r="U327" i="1"/>
  <c r="X202" i="1" l="1"/>
  <c r="V202" i="1" s="1"/>
  <c r="X377" i="1"/>
  <c r="V377" i="1" s="1"/>
  <c r="X327" i="1"/>
  <c r="V327" i="1" s="1"/>
  <c r="X491" i="1"/>
  <c r="V491" i="1" s="1"/>
  <c r="Y446" i="1"/>
  <c r="W446" i="1" s="1"/>
  <c r="AF446" i="1" s="1"/>
  <c r="X446" i="1"/>
  <c r="V446" i="1" s="1"/>
  <c r="Y377" i="1"/>
  <c r="W377" i="1" s="1"/>
  <c r="AF377" i="1" s="1"/>
  <c r="Y202" i="1"/>
  <c r="W202" i="1" s="1"/>
  <c r="AF202" i="1" s="1"/>
  <c r="X38" i="1"/>
  <c r="V38" i="1" s="1"/>
  <c r="Y406" i="1"/>
  <c r="W406" i="1" s="1"/>
  <c r="AF406" i="1" s="1"/>
  <c r="Y220" i="1"/>
  <c r="W220" i="1" s="1"/>
  <c r="AF220" i="1" s="1"/>
  <c r="X406" i="1"/>
  <c r="V406" i="1" s="1"/>
  <c r="X220" i="1"/>
  <c r="V220" i="1" s="1"/>
  <c r="Y38" i="1"/>
  <c r="W38" i="1" s="1"/>
  <c r="AF38" i="1" s="1"/>
  <c r="X133" i="1"/>
  <c r="V133" i="1" s="1"/>
  <c r="X369" i="1"/>
  <c r="V369" i="1" s="1"/>
  <c r="Y327" i="1"/>
  <c r="W327" i="1" s="1"/>
  <c r="AF327" i="1" s="1"/>
  <c r="Y369" i="1"/>
  <c r="W369" i="1" s="1"/>
  <c r="AF369" i="1" s="1"/>
  <c r="X237" i="1"/>
  <c r="V237" i="1" s="1"/>
  <c r="Y237" i="1"/>
  <c r="W237" i="1" s="1"/>
  <c r="AF237" i="1" s="1"/>
  <c r="Y133" i="1"/>
  <c r="W133" i="1" s="1"/>
  <c r="AF133" i="1" s="1"/>
  <c r="X471" i="1"/>
  <c r="V471" i="1" s="1"/>
  <c r="Y491" i="1"/>
  <c r="W491" i="1" s="1"/>
  <c r="AF491" i="1" s="1"/>
  <c r="Y471" i="1"/>
  <c r="W471" i="1" s="1"/>
  <c r="AF471" i="1" s="1"/>
  <c r="U8" i="1"/>
  <c r="U7" i="1" s="1"/>
  <c r="W33" i="1" l="1"/>
  <c r="W35" i="1"/>
  <c r="W34" i="1"/>
  <c r="W36" i="1"/>
  <c r="W37" i="1"/>
  <c r="Y35" i="1" l="1"/>
  <c r="X35" i="1" s="1"/>
  <c r="AF35" i="1"/>
  <c r="Y36" i="1"/>
  <c r="X36" i="1" s="1"/>
  <c r="AF36" i="1"/>
  <c r="Y34" i="1"/>
  <c r="X34" i="1" s="1"/>
  <c r="AF34" i="1"/>
  <c r="Y37" i="1"/>
  <c r="X37" i="1" s="1"/>
  <c r="AF37" i="1"/>
  <c r="Y33" i="1"/>
  <c r="X33" i="1" s="1"/>
  <c r="AF33" i="1"/>
  <c r="W197" i="1" l="1"/>
  <c r="W199" i="1"/>
  <c r="W198" i="1"/>
  <c r="W200" i="1"/>
  <c r="W201" i="1"/>
  <c r="Y201" i="1" l="1"/>
  <c r="X201" i="1" s="1"/>
  <c r="AF201" i="1"/>
  <c r="Y197" i="1"/>
  <c r="X197" i="1" s="1"/>
  <c r="AF197" i="1"/>
  <c r="Y200" i="1"/>
  <c r="X200" i="1" s="1"/>
  <c r="AF200" i="1"/>
  <c r="Y198" i="1"/>
  <c r="X198" i="1" s="1"/>
  <c r="AF198" i="1"/>
  <c r="Y199" i="1"/>
  <c r="X199" i="1" s="1"/>
  <c r="AF199" i="1"/>
  <c r="X177" i="1" l="1"/>
  <c r="V177" i="1" s="1"/>
  <c r="Y177" i="1"/>
  <c r="W177" i="1" s="1"/>
  <c r="AF177" i="1" s="1"/>
  <c r="W468" i="1" l="1"/>
  <c r="W469" i="1"/>
  <c r="Y468" i="1" l="1"/>
  <c r="X468" i="1" s="1"/>
  <c r="AF468" i="1"/>
  <c r="Y469" i="1"/>
  <c r="X469" i="1" s="1"/>
  <c r="AF469" i="1"/>
  <c r="Y450" i="1"/>
  <c r="X450" i="1" l="1"/>
  <c r="V450" i="1" s="1"/>
  <c r="W450" i="1"/>
  <c r="AF450" i="1" s="1"/>
  <c r="W10" i="1" l="1"/>
  <c r="Y10" i="1" l="1"/>
  <c r="X10" i="1" s="1"/>
  <c r="X9" i="1" s="1"/>
  <c r="AF10" i="1"/>
  <c r="Y9" i="1" l="1"/>
  <c r="W9" i="1" s="1"/>
  <c r="X8" i="1"/>
  <c r="V9" i="1"/>
  <c r="Y8" i="1" l="1"/>
  <c r="Y499" i="1" s="1"/>
  <c r="V8" i="1"/>
  <c r="W8" i="1" l="1"/>
  <c r="Y7" i="1"/>
  <c r="AI7" i="1" l="1"/>
  <c r="AG6" i="1" s="1"/>
  <c r="Y494" i="1"/>
  <c r="W494" i="1" s="1"/>
  <c r="AF494" i="1" s="1"/>
  <c r="W7" i="1"/>
  <c r="X494" i="1" l="1"/>
  <c r="V494" i="1" s="1"/>
  <c r="X499" i="1" l="1"/>
  <c r="AI9" i="1"/>
  <c r="AH6" i="1" s="1"/>
  <c r="V7" i="1" l="1"/>
  <c r="AB411" i="16" l="1"/>
  <c r="AA407" i="16"/>
  <c r="Y411" i="16"/>
  <c r="AA8" i="16" l="1"/>
  <c r="AH411" i="16"/>
  <c r="AA7" i="16"/>
  <c r="Y407" i="16"/>
  <c r="AA558" i="16" l="1"/>
  <c r="Y8" i="16"/>
  <c r="AH407" i="16"/>
  <c r="AK7" i="16"/>
  <c r="AI6" i="16" s="1"/>
  <c r="AA552" i="16"/>
  <c r="Y7" i="16"/>
  <c r="Z552" i="16" l="1"/>
  <c r="Y552" i="16"/>
  <c r="AH552" i="16" l="1"/>
  <c r="Z7" i="16"/>
  <c r="Z558" i="16"/>
  <c r="X552" i="16"/>
  <c r="AK9" i="16" l="1"/>
  <c r="AJ6" i="16" s="1"/>
  <c r="X7" i="16"/>
</calcChain>
</file>

<file path=xl/sharedStrings.xml><?xml version="1.0" encoding="utf-8"?>
<sst xmlns="http://schemas.openxmlformats.org/spreadsheetml/2006/main" count="78404" uniqueCount="3303">
  <si>
    <t>臺北市政府工務局水利工程處</t>
  </si>
  <si>
    <t>詳 細 價 目 表</t>
  </si>
  <si>
    <t>工程名稱：磺港溪再造C段護岸及步道整建工程(延壽橋至三合橋)</t>
  </si>
  <si>
    <t>施工地點：北投磺港溪</t>
  </si>
  <si>
    <t>工程編號：111 070020302 027 01</t>
  </si>
  <si>
    <t>項次</t>
  </si>
  <si>
    <t>項  目  及  說  明</t>
  </si>
  <si>
    <t>單位</t>
  </si>
  <si>
    <t>數量</t>
  </si>
  <si>
    <t>單  價</t>
  </si>
  <si>
    <t>複  價</t>
  </si>
  <si>
    <t>備  註</t>
  </si>
  <si>
    <t>壹</t>
  </si>
  <si>
    <t>發包工程費</t>
  </si>
  <si>
    <t>式</t>
  </si>
  <si>
    <t/>
  </si>
  <si>
    <t xml:space="preserve">
</t>
  </si>
  <si>
    <t>　一</t>
  </si>
  <si>
    <t>工程費</t>
  </si>
  <si>
    <t>　　(一)</t>
  </si>
  <si>
    <t>整備工程</t>
  </si>
  <si>
    <t>1.1.1</t>
  </si>
  <si>
    <t>機械拆除，瀝青混凝土，未含運費</t>
  </si>
  <si>
    <t>M3</t>
  </si>
  <si>
    <t xml:space="preserve">0222010123
分析表1_x000D_
</t>
  </si>
  <si>
    <t>1.1.2</t>
  </si>
  <si>
    <t>機械拆除，鋼筋混凝土，未含運費</t>
  </si>
  <si>
    <t xml:space="preserve">0222010E23
分析表2_x000D_
</t>
  </si>
  <si>
    <t>1.1.3</t>
  </si>
  <si>
    <t>盤踞切割</t>
  </si>
  <si>
    <t>M</t>
  </si>
  <si>
    <t>0222011101
#磺港路橋2993.02m、共月橋505.61m、三合橋1117.33</t>
  </si>
  <si>
    <t>1.1.4</t>
  </si>
  <si>
    <t>基地及路幅開挖，未含運費，(機械挖，0.7～0.79m3開挖機)</t>
  </si>
  <si>
    <t>B.M3</t>
  </si>
  <si>
    <t xml:space="preserve">02321PWD05AB1
分析表3_x000D_
</t>
  </si>
  <si>
    <t>1.1.5</t>
  </si>
  <si>
    <t>瀝青混凝土面層刨除，刨除料運費</t>
  </si>
  <si>
    <t xml:space="preserve">0296103003
分析表4_x000D_
</t>
  </si>
  <si>
    <t>1.1.6</t>
  </si>
  <si>
    <t>利用填方，含夯實</t>
  </si>
  <si>
    <t xml:space="preserve">02931BDD101
分析表5_x000D_
</t>
  </si>
  <si>
    <t>1.1.7</t>
  </si>
  <si>
    <t>餘方遠運處理(台北港)</t>
  </si>
  <si>
    <t>023235X46A
分析表6_x000D_
僅含運費(運距約&lt;20K)(土方管理費檢據核銷)</t>
  </si>
  <si>
    <t>1.1.8</t>
  </si>
  <si>
    <t>餘方自行處理(房屋廢方，含水土保持)</t>
  </si>
  <si>
    <t xml:space="preserve">0232340063a
分析表7_x000D_
</t>
  </si>
  <si>
    <t>1.1.9</t>
  </si>
  <si>
    <t>瀝青混凝土面層刨除，厚5cm，刨除機1.2m寬，含瀝青鋪面打毛(未含運費)</t>
  </si>
  <si>
    <t>M2</t>
  </si>
  <si>
    <t>02961403321
分析表8_x000D_
#含瀝青鋪面打毛</t>
  </si>
  <si>
    <t>1.1.10</t>
  </si>
  <si>
    <t>瀝青混凝土面層刨除，厚10cm，刨除機2.2m寬，未含運費</t>
  </si>
  <si>
    <t xml:space="preserve">0296190432
分析表9_x000D_
</t>
  </si>
  <si>
    <t>1.1.11</t>
  </si>
  <si>
    <t>切割瀝青混凝土或無筋混凝土，5cm≦切割深度＜10cm</t>
  </si>
  <si>
    <t xml:space="preserve">02220PWD00021
分析表10_x000D_
</t>
  </si>
  <si>
    <t>1.1.12</t>
  </si>
  <si>
    <t>清除及掘除，雜草雜木，含垃圾撿除，人工割</t>
  </si>
  <si>
    <t xml:space="preserve">0223109002
分析表11_x000D_
</t>
  </si>
  <si>
    <t>1.1.13</t>
  </si>
  <si>
    <t>垃圾及廢棄物(以體積計)清運</t>
  </si>
  <si>
    <t>02234A0003a
分析表12_x000D_
#</t>
  </si>
  <si>
    <t>1.1.14</t>
  </si>
  <si>
    <t>節塊吊放</t>
  </si>
  <si>
    <t>次</t>
  </si>
  <si>
    <t>01271AB00A
分析表13_x000D_
#磺港路橋、共月橋、三合橋</t>
  </si>
  <si>
    <t>1.1.15</t>
  </si>
  <si>
    <t>機械拆除，工地雜項拆除清理，欄杆，含運費</t>
  </si>
  <si>
    <t xml:space="preserve">0222016711
分析表14_x000D_
</t>
  </si>
  <si>
    <t>1.1.16</t>
  </si>
  <si>
    <t>既有路燈拆除繳回</t>
  </si>
  <si>
    <t>盞</t>
  </si>
  <si>
    <t>1652511031
分析表15_x000D_
#料繳回，含運費。</t>
  </si>
  <si>
    <t>1.1.17</t>
  </si>
  <si>
    <t>土方運送(百齡抽水站)</t>
  </si>
  <si>
    <t>趟</t>
  </si>
  <si>
    <t xml:space="preserve">01271A00EEa
分析表16_x000D_
</t>
  </si>
  <si>
    <t>1.1.18</t>
  </si>
  <si>
    <t>座椅拆除繳回</t>
  </si>
  <si>
    <t>座</t>
  </si>
  <si>
    <t>022201701E
#料繳回，含運費。</t>
  </si>
  <si>
    <t>1.1.19</t>
  </si>
  <si>
    <t>解說牌拆除</t>
  </si>
  <si>
    <t>022201604E
#料繳回，含運費。</t>
  </si>
  <si>
    <t>1.1.20</t>
  </si>
  <si>
    <t>自行車架拆除</t>
  </si>
  <si>
    <t>022201604E2
#料繳回，含運費。</t>
  </si>
  <si>
    <t>1.1.21</t>
  </si>
  <si>
    <t>交通牌誌拆除</t>
  </si>
  <si>
    <t>022200601E0
#料繳回，含運費。</t>
  </si>
  <si>
    <t>1.1.22</t>
  </si>
  <si>
    <t>既有水利設施拆除及運送</t>
  </si>
  <si>
    <t>02231A1014
抽水設施、水閘門</t>
  </si>
  <si>
    <t>1.1.23</t>
  </si>
  <si>
    <t>交通維持，道路管制人員，日間(06-22時)，義交</t>
  </si>
  <si>
    <t>時</t>
  </si>
  <si>
    <t>L015566G01001
[人力工項不打折]日間7時-18時</t>
  </si>
  <si>
    <t>　　(二)</t>
  </si>
  <si>
    <t>土建景觀工程</t>
  </si>
  <si>
    <t>1.2.1</t>
  </si>
  <si>
    <t>構造物回填，回填及夯實(實際)</t>
  </si>
  <si>
    <t>C.M3</t>
  </si>
  <si>
    <t xml:space="preserve">023174000A
分析表17_x000D_
</t>
  </si>
  <si>
    <t>1.2.2</t>
  </si>
  <si>
    <t>構造物回填，回填及夯實，人工夯實</t>
  </si>
  <si>
    <t xml:space="preserve">0231740#M1
分析表18_x000D_
</t>
  </si>
  <si>
    <t>1.2.3</t>
  </si>
  <si>
    <t>鋼筋，SD280W</t>
  </si>
  <si>
    <t>KG</t>
  </si>
  <si>
    <t>0321040009a
分析表19_x000D_
本項納入(鋼筋)物價指數調整</t>
  </si>
  <si>
    <t>1.2.4</t>
  </si>
  <si>
    <t>結構用混凝土，預拌，140kgf/cm2</t>
    <phoneticPr fontId="3" type="noConversion"/>
  </si>
  <si>
    <t xml:space="preserve">0331023003
分析表20_x000D_
</t>
  </si>
  <si>
    <t>1.2.5</t>
  </si>
  <si>
    <t>結構用混凝土，預拌，210kgf/cm2</t>
  </si>
  <si>
    <t xml:space="preserve">0331025003
分析表21_x000D_
</t>
  </si>
  <si>
    <t>1.2.6</t>
  </si>
  <si>
    <t>普通模板，丙種</t>
  </si>
  <si>
    <t>0311011302n
分析表22_x000D_
U型構，集水井，排水箱涵等。本項納入(普通模板)物價指數調整</t>
  </si>
  <si>
    <t>1.2.7</t>
  </si>
  <si>
    <t>清水模板，鋼模</t>
  </si>
  <si>
    <t>03110212A1a
分析表23_x000D_
本項納入「金屬製品類」物價指數調整</t>
  </si>
  <si>
    <t>1.2.8</t>
  </si>
  <si>
    <t>鍍鋅鋼料</t>
  </si>
  <si>
    <t>05500R0009A
分析表24_x000D_
#本項納入「金屬製品類」物價指數調整</t>
  </si>
  <si>
    <t>1.2.9</t>
  </si>
  <si>
    <t>金屬材料，鋼料，裁切加工銲製(工廠加工)</t>
  </si>
  <si>
    <t xml:space="preserve">050606B009
</t>
  </si>
  <si>
    <t>1.2.10</t>
  </si>
  <si>
    <t>結構用鋼材，銲接結構用軋鋼料，SM400B鋼構工程及製作、組立工程(含加勁板、續接板、螺絲、螺栓、螺帽等)</t>
  </si>
  <si>
    <t>0512540009A2
分析表25_x000D_
#本項納入「金屬製品類」物價指數調整</t>
  </si>
  <si>
    <t>1.2.11</t>
  </si>
  <si>
    <t>透水磚紙模地坪</t>
  </si>
  <si>
    <t xml:space="preserve">0279400002
分析表26_x000D_
</t>
  </si>
  <si>
    <t>1.2.12</t>
  </si>
  <si>
    <t>梯形磚鋪面，149.5x(30,20)x8cmTH</t>
  </si>
  <si>
    <t xml:space="preserve">0278600342
分析表27_x000D_
</t>
  </si>
  <si>
    <t>1.2.13</t>
  </si>
  <si>
    <t>石材鋪面</t>
  </si>
  <si>
    <t xml:space="preserve">0441000122
分析表28_x000D_
</t>
  </si>
  <si>
    <t>1.2.14</t>
  </si>
  <si>
    <t>露骨材地坪</t>
  </si>
  <si>
    <t xml:space="preserve">0336000002
分析表29_x000D_
</t>
  </si>
  <si>
    <t>1.2.15</t>
  </si>
  <si>
    <t>PC地坪</t>
  </si>
  <si>
    <t xml:space="preserve">0336070002
分析表30_x000D_
</t>
  </si>
  <si>
    <t>1.2.16</t>
  </si>
  <si>
    <t>瀝青混凝土鋪面</t>
  </si>
  <si>
    <t xml:space="preserve">02742DJ002
分析表31_x000D_
</t>
  </si>
  <si>
    <t>1.2.17</t>
  </si>
  <si>
    <t>格柵鋪面A</t>
  </si>
  <si>
    <t xml:space="preserve">055306H15Ba
分析表32_x000D_
</t>
  </si>
  <si>
    <t>1.2.18</t>
  </si>
  <si>
    <t>木棧道A</t>
  </si>
  <si>
    <t xml:space="preserve">06100M000A1
分析表33_x000D_
</t>
  </si>
  <si>
    <t>1.2.19</t>
  </si>
  <si>
    <t>木棧道B</t>
  </si>
  <si>
    <t xml:space="preserve">06100M000A2
分析表34_x000D_
</t>
  </si>
  <si>
    <t>1.2.20</t>
  </si>
  <si>
    <t>混凝土板地坪</t>
  </si>
  <si>
    <t>個</t>
  </si>
  <si>
    <t>0336092007
分析表35_x000D_
#</t>
  </si>
  <si>
    <t>1.2.21</t>
  </si>
  <si>
    <t>細石子鋪面</t>
  </si>
  <si>
    <t xml:space="preserve">027262000B
分析表36_x000D_
</t>
  </si>
  <si>
    <t>1.2.22</t>
  </si>
  <si>
    <t>鋼板收邊A型</t>
  </si>
  <si>
    <t>05500P0011
分析表37_x000D_
#</t>
  </si>
  <si>
    <t>1.2.23</t>
  </si>
  <si>
    <t>鋼板收邊B型</t>
  </si>
  <si>
    <t>05500P00C1
分析表38_x000D_
#</t>
  </si>
  <si>
    <t>1.2.24</t>
  </si>
  <si>
    <t>界石收邊</t>
  </si>
  <si>
    <t xml:space="preserve">02770A3111
分析表39_x000D_
</t>
  </si>
  <si>
    <t>1.2.25</t>
  </si>
  <si>
    <t>緣石收邊</t>
  </si>
  <si>
    <t>0277011001
分析表40_x000D_
#</t>
  </si>
  <si>
    <t>1.2.26</t>
  </si>
  <si>
    <t>道路緣石收邊</t>
  </si>
  <si>
    <t>02770110012
分析表41_x000D_
#</t>
  </si>
  <si>
    <t>1.2.27</t>
  </si>
  <si>
    <t>道路緣石斜坡式</t>
  </si>
  <si>
    <t>0277001001
分析表42_x000D_
#</t>
  </si>
  <si>
    <t>1.2.28</t>
  </si>
  <si>
    <t>場鑄道路緣石</t>
  </si>
  <si>
    <t>0277012001
分析表43_x000D_
#</t>
  </si>
  <si>
    <t>1.2.29</t>
  </si>
  <si>
    <t>伸縮縫</t>
  </si>
  <si>
    <t xml:space="preserve">0315030001
分析表44_x000D_
</t>
  </si>
  <si>
    <t>1.2.30</t>
  </si>
  <si>
    <t>警示帶定位磚</t>
  </si>
  <si>
    <t>02786A0202
分析表45_x000D_
#</t>
  </si>
  <si>
    <t>1.2.31</t>
  </si>
  <si>
    <t>座台A</t>
  </si>
  <si>
    <t xml:space="preserve">03054410011A
分析表46_x000D_
</t>
  </si>
  <si>
    <t>1.2.32</t>
  </si>
  <si>
    <t>座台B</t>
  </si>
  <si>
    <t xml:space="preserve">03054410011B
分析表47_x000D_
</t>
  </si>
  <si>
    <t>1.2.33</t>
  </si>
  <si>
    <t>座台C</t>
  </si>
  <si>
    <t xml:space="preserve">03054410011C
分析表48_x000D_
</t>
  </si>
  <si>
    <t>1.2.34</t>
  </si>
  <si>
    <t>座台D</t>
  </si>
  <si>
    <t xml:space="preserve">03054410011D
分析表49_x000D_
</t>
  </si>
  <si>
    <t>1.2.35</t>
  </si>
  <si>
    <t>座台E</t>
  </si>
  <si>
    <t xml:space="preserve">03054410011E
分析表50_x000D_
</t>
  </si>
  <si>
    <t>1.2.36</t>
  </si>
  <si>
    <t>座台F</t>
  </si>
  <si>
    <t xml:space="preserve">03054410011F
分析表51_x000D_
</t>
  </si>
  <si>
    <t>1.2.37</t>
  </si>
  <si>
    <t>座椅A</t>
  </si>
  <si>
    <t xml:space="preserve">030544100B2A
分析表52_x000D_
</t>
  </si>
  <si>
    <t>1.2.38</t>
  </si>
  <si>
    <t>座椅B</t>
  </si>
  <si>
    <t>03054410012B
分析表53_x000D_
#</t>
  </si>
  <si>
    <t>1.2.39</t>
  </si>
  <si>
    <t>座椅C</t>
  </si>
  <si>
    <t xml:space="preserve">030544100B2C
分析表54_x000D_
</t>
  </si>
  <si>
    <t>1.2.40</t>
  </si>
  <si>
    <t>座椅D</t>
  </si>
  <si>
    <t xml:space="preserve">030544100B2D
分析表55_x000D_
</t>
  </si>
  <si>
    <t>1.2.41</t>
  </si>
  <si>
    <t>草地座階</t>
  </si>
  <si>
    <t>03054410013
分析表56_x000D_
#</t>
  </si>
  <si>
    <t>1.2.42</t>
  </si>
  <si>
    <t>擋牆a’型</t>
  </si>
  <si>
    <t xml:space="preserve">0305441201a
分析表57_x000D_
</t>
  </si>
  <si>
    <t>1.2.43</t>
  </si>
  <si>
    <t>擋牆b’型</t>
  </si>
  <si>
    <t xml:space="preserve">0305441201b
分析表58_x000D_
</t>
  </si>
  <si>
    <t>1.2.44</t>
  </si>
  <si>
    <t>擋牆c’型</t>
  </si>
  <si>
    <t xml:space="preserve">0305441201c
分析表59_x000D_
</t>
  </si>
  <si>
    <t>1.2.45</t>
  </si>
  <si>
    <t>樓梯A</t>
  </si>
  <si>
    <t xml:space="preserve">03054B000BA
分析表60_x000D_
</t>
  </si>
  <si>
    <t>1.2.46</t>
  </si>
  <si>
    <t>樓梯B</t>
  </si>
  <si>
    <t xml:space="preserve">03054B000BB
分析表61_x000D_
</t>
  </si>
  <si>
    <t>1.2.47</t>
  </si>
  <si>
    <t>樓梯C</t>
  </si>
  <si>
    <t xml:space="preserve">03054B000BC
分析表62_x000D_
</t>
  </si>
  <si>
    <t>1.2.48</t>
  </si>
  <si>
    <t>樓梯D</t>
  </si>
  <si>
    <t>03054B000BD
分析表63_x000D_
#</t>
  </si>
  <si>
    <t>1.2.49</t>
  </si>
  <si>
    <t>樓梯F</t>
  </si>
  <si>
    <t xml:space="preserve">03054B000BF
分析表64_x000D_
</t>
  </si>
  <si>
    <t>1.2.50</t>
  </si>
  <si>
    <t>樓梯I</t>
  </si>
  <si>
    <t xml:space="preserve">03054B000BI
分析表65_x000D_
</t>
  </si>
  <si>
    <t>1.2.51</t>
  </si>
  <si>
    <t>樓梯L</t>
  </si>
  <si>
    <t xml:space="preserve">03054B000BL
分析表66_x000D_
</t>
  </si>
  <si>
    <t>1.2.52</t>
  </si>
  <si>
    <t>欄杆A</t>
  </si>
  <si>
    <t xml:space="preserve">05520B0001A
分析表67_x000D_
</t>
  </si>
  <si>
    <t>1.2.53</t>
  </si>
  <si>
    <t>欄杆B</t>
  </si>
  <si>
    <t xml:space="preserve">05520B0001B
分析表68_x000D_
</t>
  </si>
  <si>
    <t>1.2.54</t>
  </si>
  <si>
    <t>欄杆D</t>
  </si>
  <si>
    <t xml:space="preserve">05520B0001D
分析表69_x000D_
</t>
  </si>
  <si>
    <t>1.2.55</t>
  </si>
  <si>
    <t>護欄a</t>
  </si>
  <si>
    <t xml:space="preserve">03054412014a
分析表70_x000D_
</t>
  </si>
  <si>
    <t>1.2.56</t>
  </si>
  <si>
    <t>護欄b</t>
  </si>
  <si>
    <t xml:space="preserve">03054412014b
分析表71_x000D_
</t>
  </si>
  <si>
    <t>1.2.57</t>
  </si>
  <si>
    <t>地圖牌</t>
  </si>
  <si>
    <t>050606300D1
分析表72_x000D_
#</t>
  </si>
  <si>
    <t>1.2.58</t>
  </si>
  <si>
    <t>全區導覽牌</t>
  </si>
  <si>
    <t>050606300D2
分析表73_x000D_
#</t>
  </si>
  <si>
    <t>1.2.59</t>
  </si>
  <si>
    <t>公園自治條例</t>
  </si>
  <si>
    <t xml:space="preserve">050606300D3
分析表74_x000D_
</t>
  </si>
  <si>
    <t>1.2.60</t>
  </si>
  <si>
    <t>方向指示牌</t>
  </si>
  <si>
    <t xml:space="preserve">050606300D4
分析表75_x000D_
</t>
  </si>
  <si>
    <t>1.2.61</t>
  </si>
  <si>
    <t>水位警示設施</t>
  </si>
  <si>
    <t xml:space="preserve">050606300D5
分析表76_x000D_
</t>
  </si>
  <si>
    <t>1.2.62</t>
  </si>
  <si>
    <t>警示設施說明牌A</t>
  </si>
  <si>
    <t xml:space="preserve">050606300D6A
分析表77_x000D_
</t>
  </si>
  <si>
    <t>1.2.63</t>
  </si>
  <si>
    <t>警示設施說明牌B</t>
  </si>
  <si>
    <t xml:space="preserve">050606300D6B
分析表78_x000D_
</t>
  </si>
  <si>
    <t>1.2.64</t>
  </si>
  <si>
    <t>警示設施說明牌D</t>
  </si>
  <si>
    <t xml:space="preserve">050606300D6D
分析表79_x000D_
</t>
  </si>
  <si>
    <t>1.2.65</t>
  </si>
  <si>
    <t>警示設施說明牌E</t>
  </si>
  <si>
    <t xml:space="preserve">050606300D6E
分析表80_x000D_
</t>
  </si>
  <si>
    <t>1.2.66</t>
  </si>
  <si>
    <t>解說牌A</t>
  </si>
  <si>
    <t xml:space="preserve">050606300D7A
分析表81_x000D_
</t>
  </si>
  <si>
    <t>1.2.67</t>
  </si>
  <si>
    <t>解說牌B</t>
  </si>
  <si>
    <t xml:space="preserve">050606300D7B
分析表82_x000D_
</t>
  </si>
  <si>
    <t>1.2.68</t>
  </si>
  <si>
    <t>解說牌C</t>
  </si>
  <si>
    <t xml:space="preserve">050606300D7C
分析表83_x000D_
</t>
  </si>
  <si>
    <t>1.2.69</t>
  </si>
  <si>
    <t>解說牌D</t>
  </si>
  <si>
    <t xml:space="preserve">050606300D7D
分析表84_x000D_
</t>
  </si>
  <si>
    <t>1.2.70</t>
  </si>
  <si>
    <t>高程控制牌</t>
  </si>
  <si>
    <t xml:space="preserve">050606300D8
分析表85_x000D_
</t>
  </si>
  <si>
    <t>1.2.71</t>
  </si>
  <si>
    <t>高程控制樁A</t>
  </si>
  <si>
    <t xml:space="preserve">050606300D9A
分析表86_x000D_
</t>
  </si>
  <si>
    <t>1.2.72</t>
  </si>
  <si>
    <t>高程控制樁B</t>
  </si>
  <si>
    <t xml:space="preserve">050606300D9B
分析表87_x000D_
</t>
  </si>
  <si>
    <t>1.2.73</t>
  </si>
  <si>
    <t>標線，熱處理聚酯，反光，厚2mm，黏層劑(底漆)，第Ⅱ型</t>
  </si>
  <si>
    <t xml:space="preserve">0289821312
分析表88_x000D_
</t>
  </si>
  <si>
    <t>1.2.74</t>
  </si>
  <si>
    <t>垃圾筒</t>
  </si>
  <si>
    <t>組</t>
  </si>
  <si>
    <t>05500F1008
分析表89_x000D_
#</t>
  </si>
  <si>
    <t>1.2.75</t>
  </si>
  <si>
    <t>斜坡道</t>
  </si>
  <si>
    <t xml:space="preserve">030544110B
分析表90_x000D_
</t>
  </si>
  <si>
    <t>1.2.76</t>
  </si>
  <si>
    <t>巢箱</t>
  </si>
  <si>
    <t>06200Q1008
分析表91_x000D_
#含安裝</t>
  </si>
  <si>
    <t>1.2.77</t>
  </si>
  <si>
    <t>洗手(腳)池</t>
  </si>
  <si>
    <t>03054A0EA3
分析表92_x000D_
#含水龍頭</t>
  </si>
  <si>
    <t>1.2.78</t>
  </si>
  <si>
    <t>自然景石</t>
  </si>
  <si>
    <t>T</t>
  </si>
  <si>
    <t>0238100105
#含結構、吊運</t>
  </si>
  <si>
    <t>1.2.79</t>
  </si>
  <si>
    <t>陰井</t>
  </si>
  <si>
    <t xml:space="preserve">02631350BB
分析表93_x000D_
</t>
  </si>
  <si>
    <t>1.2.80</t>
  </si>
  <si>
    <t>PP陰井</t>
  </si>
  <si>
    <t xml:space="preserve">026313900B
分析表94_x000D_
</t>
  </si>
  <si>
    <t>1.2.81</t>
  </si>
  <si>
    <t>截水溝A型</t>
  </si>
  <si>
    <t xml:space="preserve">0260101101A
分析表95_x000D_
</t>
  </si>
  <si>
    <t>1.2.82</t>
  </si>
  <si>
    <t>截水溝B型</t>
  </si>
  <si>
    <t xml:space="preserve">0260101101B
分析表96_x000D_
</t>
  </si>
  <si>
    <t>1.2.83</t>
  </si>
  <si>
    <t>截水溝C型</t>
  </si>
  <si>
    <t xml:space="preserve">0260101101C
分析表97_x000D_
</t>
  </si>
  <si>
    <t>1.2.84</t>
  </si>
  <si>
    <t>草溝+∮4" HDPE透水管</t>
  </si>
  <si>
    <t>0292721402
分析表98_x000D_
#</t>
  </si>
  <si>
    <t>1.2.85</t>
  </si>
  <si>
    <t>草溝+∮6" HDPE透水管</t>
  </si>
  <si>
    <t>0292721402b
分析表99_x000D_
#</t>
  </si>
  <si>
    <t>1.2.86</t>
  </si>
  <si>
    <t>∮3"HDPE透水管</t>
  </si>
  <si>
    <t xml:space="preserve">02620B02023
分析表100_x000D_
</t>
  </si>
  <si>
    <t>1.2.87</t>
  </si>
  <si>
    <t>∮4"HDPE透水管</t>
  </si>
  <si>
    <t xml:space="preserve">02620B02024
分析表101_x000D_
</t>
  </si>
  <si>
    <t>1.2.88</t>
  </si>
  <si>
    <t>∮2"PVC排水管埋設</t>
  </si>
  <si>
    <t xml:space="preserve">026108F021a
分析表102_x000D_
</t>
  </si>
  <si>
    <t>1.2.89</t>
  </si>
  <si>
    <t>∮4"PVC排水管埋設</t>
  </si>
  <si>
    <t>026108F021b
分析表103_x000D_
#</t>
  </si>
  <si>
    <t>1.2.90</t>
  </si>
  <si>
    <t>∮4B(厚管)"PVC排水管埋設</t>
  </si>
  <si>
    <t>151072B52A
分析表104_x000D_
#</t>
  </si>
  <si>
    <t>1.2.91</t>
  </si>
  <si>
    <t>∮6"PVC排水管埋設</t>
  </si>
  <si>
    <t>026108F043B
分析表105_x000D_
#</t>
  </si>
  <si>
    <t>1.2.92</t>
  </si>
  <si>
    <t>∮8"PVC排水管埋設</t>
  </si>
  <si>
    <t>026108F021C
分析表106_x000D_
#</t>
  </si>
  <si>
    <t>1.2.93</t>
  </si>
  <si>
    <t>淺溝</t>
  </si>
  <si>
    <t>0260101101D
分析表107_x000D_
本項納入「金屬製品類」物價指數調整</t>
  </si>
  <si>
    <t>1.2.94</t>
  </si>
  <si>
    <t>雨水回收槽</t>
  </si>
  <si>
    <t>0263121DWA
分析表108_x000D_
#</t>
  </si>
  <si>
    <t>　　(三)</t>
  </si>
  <si>
    <t>橋梁工程</t>
  </si>
  <si>
    <t>1.3.1</t>
  </si>
  <si>
    <t>1.3.2</t>
  </si>
  <si>
    <t>結構用混凝土，預拌，140kgf/cm2</t>
  </si>
  <si>
    <t>1.3.3</t>
  </si>
  <si>
    <t>1.3.4</t>
  </si>
  <si>
    <t>結構用混凝土，預拌，280kgf/cm2</t>
  </si>
  <si>
    <t xml:space="preserve">0331027003
分析表109_x000D_
</t>
  </si>
  <si>
    <t>1.3.5</t>
  </si>
  <si>
    <t>1.3.6</t>
  </si>
  <si>
    <t>鋼筋，SD420W</t>
  </si>
  <si>
    <t>0321060035a
分析表110_x000D_
本項納入(鋼筋)物價指數調整</t>
  </si>
  <si>
    <t>1.3.7</t>
  </si>
  <si>
    <t>清水模板，甲種</t>
  </si>
  <si>
    <t>0311021102n
分析表111_x000D_
橋面。本項納入(清水木模)物價指數調整</t>
  </si>
  <si>
    <t>1.3.8</t>
  </si>
  <si>
    <t>清水模板，乙種</t>
  </si>
  <si>
    <t>0311021202n
分析表112_x000D_
場鑄結構混凝土用模板，(乙種，擋土牆，橋台，車行箱涵等)。本項納入(清水木模)物價指數調整</t>
  </si>
  <si>
    <t>1.3.9</t>
  </si>
  <si>
    <t>普通模板，乙種</t>
  </si>
  <si>
    <t>0311011202n
分析表113_x000D_
擋土牆，橋台，車行箱涵等。本項納入(普通模板)物價指數調整</t>
  </si>
  <si>
    <t>1.3.10</t>
  </si>
  <si>
    <t>耐候鋼，A242</t>
  </si>
  <si>
    <t>kg</t>
  </si>
  <si>
    <t xml:space="preserve">0512531009
</t>
  </si>
  <si>
    <t>1.3.11</t>
  </si>
  <si>
    <t>1.3.12</t>
  </si>
  <si>
    <t>1.3.13</t>
  </si>
  <si>
    <t>不銹鋼料，SUS304，含加工安裝等</t>
  </si>
  <si>
    <t xml:space="preserve">05500Pc009
分析表114_x000D_
</t>
  </si>
  <si>
    <t>1.3.14</t>
  </si>
  <si>
    <t>金屬製品，氟碳烤漆(一底二度，厚度50μM以上)</t>
  </si>
  <si>
    <t>055000b002
#</t>
  </si>
  <si>
    <t>1.3.15</t>
  </si>
  <si>
    <t>1.3.16</t>
  </si>
  <si>
    <t>施工輔助設施，施工架，鋼管，框式</t>
  </si>
  <si>
    <t>0154011202
分析表115_x000D_
需符合中華民國國家標準4750</t>
  </si>
  <si>
    <t>1.3.17</t>
  </si>
  <si>
    <t>1.3.18</t>
  </si>
  <si>
    <t>餘方自行處理(含水土保持)，總重15t傾卸貨車</t>
  </si>
  <si>
    <t xml:space="preserve">023234004A
分析表116_x000D_
</t>
  </si>
  <si>
    <t>1.3.19</t>
  </si>
  <si>
    <t>放樣</t>
  </si>
  <si>
    <t>0172544002a
#</t>
  </si>
  <si>
    <t>1.3.20</t>
  </si>
  <si>
    <t>全套管式鑽掘混凝土基樁，D=1200mm</t>
  </si>
  <si>
    <t>0246980001a
分析表117_x000D_
本項納入(鋼筋)物價指數調整</t>
  </si>
  <si>
    <t>1.3.21</t>
  </si>
  <si>
    <t>水泥混凝土鋪面，表面拉毛處理</t>
  </si>
  <si>
    <t xml:space="preserve">0336060002
分析表118_x000D_
</t>
  </si>
  <si>
    <t>1.3.22</t>
  </si>
  <si>
    <t>混凝土表面處理，晶化地坪，含分割縫</t>
  </si>
  <si>
    <t xml:space="preserve">0275123262
分析表119_x000D_
</t>
  </si>
  <si>
    <t>1.3.23</t>
  </si>
  <si>
    <t>共月橋無障礙警示帶</t>
  </si>
  <si>
    <t xml:space="preserve">02786A0202C
分析表120_x000D_
</t>
  </si>
  <si>
    <t>1.3.24</t>
  </si>
  <si>
    <t>共月橋欄杆A，新設，L=130cm</t>
  </si>
  <si>
    <t>0509110011e
分析表121_x000D_
#</t>
  </si>
  <si>
    <t>1.3.25</t>
  </si>
  <si>
    <t>共月橋欄杆B，新設，H=110cm</t>
  </si>
  <si>
    <t>0509110011f
分析表122_x000D_
#</t>
  </si>
  <si>
    <t>1.3.26</t>
  </si>
  <si>
    <t>共月橋欄杆C，新設，H=110cm</t>
  </si>
  <si>
    <t>0509110011g
分析表123_x000D_
#</t>
  </si>
  <si>
    <t>1.3.27</t>
  </si>
  <si>
    <t>共月橋耐候鋼板雷切焊接吊運組裝(t=6mm)</t>
  </si>
  <si>
    <t>0509110011a
分析表124_x000D_
#</t>
  </si>
  <si>
    <t>1.3.28</t>
  </si>
  <si>
    <t>共月橋耐候鋼包板6MM，260*100，橋內側，公園引道雙側</t>
  </si>
  <si>
    <t>0509110011c
分析表125_x000D_
#</t>
  </si>
  <si>
    <t>1.3.29</t>
  </si>
  <si>
    <t>共月橋園內引道</t>
  </si>
  <si>
    <t>050911001Bb
分析表126_x000D_
#</t>
  </si>
  <si>
    <t>1.3.30</t>
  </si>
  <si>
    <t>共月橋人行道引道</t>
  </si>
  <si>
    <t>050911001Ba
分析表127_x000D_
#</t>
  </si>
  <si>
    <t>1.3.31</t>
  </si>
  <si>
    <t>共月橋樓梯A扶手</t>
  </si>
  <si>
    <t>05500KC001A
分析表128_x000D_
#</t>
  </si>
  <si>
    <t>1.3.32</t>
  </si>
  <si>
    <t>共月橋樓梯B扶手type A</t>
  </si>
  <si>
    <t xml:space="preserve">05500KC001B1
分析表129_x000D_
</t>
  </si>
  <si>
    <t>1.3.33</t>
  </si>
  <si>
    <t>共月橋樓梯B扶手type B</t>
  </si>
  <si>
    <t xml:space="preserve">05500KC001B2
分析表130_x000D_
</t>
  </si>
  <si>
    <t>1.3.34</t>
  </si>
  <si>
    <t>共月橋樓梯A耐候鋼板雷切焊接吊運組裝(t=8mm)</t>
  </si>
  <si>
    <t>0509110014h
分析表131_x000D_
#</t>
  </si>
  <si>
    <t>1.3.35</t>
  </si>
  <si>
    <t>P1、P2橋墩造型混凝土牆</t>
  </si>
  <si>
    <t xml:space="preserve">030544100B
分析表132_x000D_
</t>
  </si>
  <si>
    <t>1.3.36</t>
  </si>
  <si>
    <t>共月橋</t>
  </si>
  <si>
    <t xml:space="preserve">051211AB0B1
分析表133_x000D_
</t>
  </si>
  <si>
    <t>1.3.37</t>
  </si>
  <si>
    <t>三合橋</t>
  </si>
  <si>
    <t xml:space="preserve">051211AB0B3
分析表134_x000D_
</t>
  </si>
  <si>
    <t>　　(四)</t>
  </si>
  <si>
    <t>河川工程</t>
  </si>
  <si>
    <t>1.4.1</t>
  </si>
  <si>
    <t>1.4.2</t>
  </si>
  <si>
    <t>1.4.3</t>
  </si>
  <si>
    <t>1.4.4</t>
  </si>
  <si>
    <t>結構用混凝土，泵送及澆注費</t>
  </si>
  <si>
    <t xml:space="preserve">03310000Z5
</t>
  </si>
  <si>
    <t>1.4.5</t>
  </si>
  <si>
    <t>1.4.6</t>
  </si>
  <si>
    <t>1.4.7</t>
  </si>
  <si>
    <t>1.4.8</t>
  </si>
  <si>
    <t>1.4.9</t>
  </si>
  <si>
    <t>砌排石工，混凝土砌石</t>
  </si>
  <si>
    <t>0238630502a
分析表135_x000D_
#卵石，厚30cm，含勾縫</t>
  </si>
  <si>
    <t>1.4.10</t>
  </si>
  <si>
    <t>低水護岸，拋石，塊石，硬石</t>
  </si>
  <si>
    <t>02381A010Aa
分析表136_x000D_
#</t>
  </si>
  <si>
    <t>1.4.11</t>
  </si>
  <si>
    <t>固床工，砌排石工，乾砌塊石</t>
  </si>
  <si>
    <t>0238630002
分析表137_x000D_
#</t>
  </si>
  <si>
    <t>1.4.12</t>
  </si>
  <si>
    <t>抿石子</t>
  </si>
  <si>
    <t xml:space="preserve">0978200002
分析表138_x000D_
</t>
  </si>
  <si>
    <t>1.4.13</t>
  </si>
  <si>
    <t>鋼筋，植筋，D25mm，鑽孔(含空氣槍清孔)及化學藥劑</t>
  </si>
  <si>
    <t>孔</t>
  </si>
  <si>
    <t xml:space="preserve">032100E7GB
</t>
  </si>
  <si>
    <t>1.4.14</t>
  </si>
  <si>
    <t>蜂巢格網</t>
  </si>
  <si>
    <t>0237101003a
分析表139_x000D_
#</t>
  </si>
  <si>
    <t>1.4.15</t>
  </si>
  <si>
    <t>1.4.16</t>
  </si>
  <si>
    <t>施工縫</t>
  </si>
  <si>
    <t xml:space="preserve">0315040001
分析表140_x000D_
</t>
  </si>
  <si>
    <t>1.4.17</t>
  </si>
  <si>
    <t>1.4.18</t>
  </si>
  <si>
    <t>預力混凝土基樁，D=400mm</t>
  </si>
  <si>
    <t>0245730011k
分析表141_x000D_
#(打樁，含空打)，本項零星工料包含鋼筋籠外側所需之間隔片費用</t>
  </si>
  <si>
    <t>1.4.19</t>
  </si>
  <si>
    <t>河道整理</t>
  </si>
  <si>
    <t xml:space="preserve">Z0910000001
</t>
  </si>
  <si>
    <t>　　(五)</t>
  </si>
  <si>
    <t>下水道工程</t>
  </si>
  <si>
    <t>1.5.1</t>
  </si>
  <si>
    <t>1.5.2</t>
  </si>
  <si>
    <t>1.5.3</t>
  </si>
  <si>
    <t>控制性低強度回填材料及澆置</t>
  </si>
  <si>
    <t xml:space="preserve">0337700003
分析表142_x000D_
</t>
  </si>
  <si>
    <t>1.5.4</t>
  </si>
  <si>
    <t>1.5.5</t>
  </si>
  <si>
    <t>1.5.6</t>
  </si>
  <si>
    <t>1.5.7</t>
  </si>
  <si>
    <t>1.5.8</t>
  </si>
  <si>
    <t>1.5.9</t>
  </si>
  <si>
    <t>1.5.10</t>
  </si>
  <si>
    <t>鋼筋混凝土管(B型)，D=500mm，三級管，未含開挖回填</t>
  </si>
  <si>
    <t xml:space="preserve">026102C30A
分析表143_x000D_
</t>
  </si>
  <si>
    <t>1.5.11</t>
  </si>
  <si>
    <t>預鑄鋼筋混凝土基座(埋管用)，D=1000mm管用</t>
  </si>
  <si>
    <t xml:space="preserve">026100BD0H
分析表144_x000D_
</t>
  </si>
  <si>
    <t>1.5.12</t>
  </si>
  <si>
    <t>擠壓式彈性填縫帶，(寬55mm，厚20mm)，600～1000mm鋼筋混凝土管排水用</t>
  </si>
  <si>
    <t xml:space="preserve">02610PWD0A331
</t>
  </si>
  <si>
    <t>1.5.13</t>
  </si>
  <si>
    <t>排水人孔，人孔蓋及蓋座，球狀石墨鑄鐵蓋，預鑄</t>
  </si>
  <si>
    <t xml:space="preserve">0263111208
分析表145_x000D_
</t>
  </si>
  <si>
    <t>1.5.14</t>
  </si>
  <si>
    <t>1.5.15</t>
  </si>
  <si>
    <t>1.5.16</t>
  </si>
  <si>
    <t>1.5.17</t>
  </si>
  <si>
    <t>塑膠包覆不銹鋼踏步，直徑=19mm</t>
  </si>
  <si>
    <t>支</t>
  </si>
  <si>
    <t xml:space="preserve">05500h0R0A
分析表146_x000D_
</t>
  </si>
  <si>
    <t>　　(六)</t>
  </si>
  <si>
    <t>道路及附屬工程</t>
  </si>
  <si>
    <t>1.6.1</t>
  </si>
  <si>
    <t>瀝青混凝土舖面，粗粒料9.5mm，黏度AC(1)-20</t>
  </si>
  <si>
    <t xml:space="preserve">0274205303
分析表147_x000D_
</t>
  </si>
  <si>
    <t>1.6.2</t>
  </si>
  <si>
    <t>瀝青混凝土舖面，粗粒料19.0mm，黏度AC(1)-20</t>
  </si>
  <si>
    <t xml:space="preserve">0274203303
分析表148_x000D_
</t>
  </si>
  <si>
    <t>1.6.3</t>
  </si>
  <si>
    <t>路基整理</t>
  </si>
  <si>
    <t xml:space="preserve">0233600002
分析表149_x000D_
</t>
  </si>
  <si>
    <t>1.6.4</t>
  </si>
  <si>
    <t>瀝青透層，中凝油溶瀝青，MC-70</t>
  </si>
  <si>
    <t xml:space="preserve">0274512002
分析表150_x000D_
</t>
  </si>
  <si>
    <t>1.6.5</t>
  </si>
  <si>
    <t>瀝青黏層，快凝油溶瀝青，RC-70</t>
  </si>
  <si>
    <t xml:space="preserve">0274711002
分析表151_x000D_
</t>
  </si>
  <si>
    <t>1.6.6</t>
  </si>
  <si>
    <t>1.6.7</t>
  </si>
  <si>
    <t>1.6.8</t>
  </si>
  <si>
    <t>1.6.9</t>
  </si>
  <si>
    <t>清水模板，丙種</t>
  </si>
  <si>
    <t>0311021302n
分析表152_x000D_
本項納入(清水木模)物價指數調整</t>
  </si>
  <si>
    <t>1.6.10</t>
  </si>
  <si>
    <t>1.6.11</t>
  </si>
  <si>
    <t>1.6.12</t>
  </si>
  <si>
    <t>鋼筋，植筋，D10mm，鑽孔(含空氣槍清孔)及化學藥劑</t>
  </si>
  <si>
    <t xml:space="preserve">032100E2GB
</t>
  </si>
  <si>
    <t>1.6.13</t>
  </si>
  <si>
    <t>鍍鋅格柵蓋板，(框53.6cm，蓋45cm)，細目型</t>
  </si>
  <si>
    <t>0553062008
分析表153_x000D_
#本項納入「金屬製品類」物價指數調整</t>
  </si>
  <si>
    <t>1.6.14</t>
  </si>
  <si>
    <t>鍍鋅格柵板及框座，止滑花紋加工，含搬運安裝</t>
  </si>
  <si>
    <t>0553070009n
分析表154_x000D_
#本項納入「金屬製品類」物價指數調整</t>
  </si>
  <si>
    <t>1.6.15</t>
  </si>
  <si>
    <t>　　(七)</t>
  </si>
  <si>
    <t>植栽工程</t>
  </si>
  <si>
    <t>1.7.1</t>
  </si>
  <si>
    <t>植栽，客土，砂質壤土</t>
  </si>
  <si>
    <t>02900B100C
分析表155_x000D_
穴孔：D=20CM， H=20CM</t>
  </si>
  <si>
    <t>1.7.2</t>
  </si>
  <si>
    <t>植栽，透氣管，HDPE</t>
  </si>
  <si>
    <t>02900U105A
#保護樹、移植喬木</t>
  </si>
  <si>
    <t>1.7.3</t>
  </si>
  <si>
    <t>移植，喬木類移植，5≦米高直徑&lt;10cm</t>
  </si>
  <si>
    <t>株</t>
  </si>
  <si>
    <t>029051300A
分析表156_x000D_
#保活一年</t>
  </si>
  <si>
    <t>1.7.4</t>
  </si>
  <si>
    <t>移植，喬木類移植，10cm≦米高直徑＜15cm</t>
  </si>
  <si>
    <t>029051400A
分析表157_x000D_
保活一年</t>
  </si>
  <si>
    <t>1.7.5</t>
  </si>
  <si>
    <t>移植，喬木類移植，15cm≦米高直徑＜20cm</t>
  </si>
  <si>
    <t>029051500A
分析表158_x000D_
保活一年</t>
  </si>
  <si>
    <t>1.7.6</t>
  </si>
  <si>
    <t>移植，喬木類移植，20cm≦米高直徑＜25cm</t>
  </si>
  <si>
    <t>029051600A
分析表159_x000D_
保活一年</t>
  </si>
  <si>
    <t>1.7.7</t>
  </si>
  <si>
    <t>移植，喬木類移植，25cm≦米高直徑＜30cm</t>
  </si>
  <si>
    <t>029051700A
分析表160_x000D_
#保活一年</t>
  </si>
  <si>
    <t>1.7.8</t>
  </si>
  <si>
    <t>移植，喬木類移植，30cm≦米高直徑＜35cm</t>
  </si>
  <si>
    <t>029051800A
分析表161_x000D_
保活一年</t>
  </si>
  <si>
    <t>1.7.9</t>
  </si>
  <si>
    <t>移植，喬木類移植，40cm≦米高直徑＜45cm</t>
  </si>
  <si>
    <t xml:space="preserve">029051A00A
分析表162_x000D_
</t>
  </si>
  <si>
    <t>1.7.10</t>
  </si>
  <si>
    <t>移植，喬木類移植，45cm≦米高直徑＜50cm</t>
  </si>
  <si>
    <t xml:space="preserve">029051B00A
分析表163_x000D_
</t>
  </si>
  <si>
    <t>1.7.11</t>
  </si>
  <si>
    <t>移植，喬木類移植，60cm≦米高直徑＜65cm</t>
  </si>
  <si>
    <t xml:space="preserve">029051E00A
分析表164_x000D_
</t>
  </si>
  <si>
    <t>1.7.12</t>
  </si>
  <si>
    <t>移植，喬木類移植，65cm≦米高直徑＜70cm</t>
  </si>
  <si>
    <t xml:space="preserve">029051F00A
分析表165_x000D_
</t>
  </si>
  <si>
    <t>1.7.13</t>
  </si>
  <si>
    <t>移植，喬木類移植，70cm≦米高直徑＜75cm</t>
  </si>
  <si>
    <t xml:space="preserve">029051G00A
分析表166_x000D_
</t>
  </si>
  <si>
    <t>1.7.14</t>
  </si>
  <si>
    <t>植栽維護，喬木類，樹木修剪，E級</t>
  </si>
  <si>
    <t>029351C00A1
分析表167_x000D_
受保護樹木6株，工程期間修剪2次，含枝葉運棄</t>
  </si>
  <si>
    <t>1.7.15</t>
  </si>
  <si>
    <t>植栽維護，喬木類，枯木移除(喬木類)，10cm≦米高直徑＜20cm</t>
  </si>
  <si>
    <t xml:space="preserve">029351A02A
分析表168_x000D_
</t>
  </si>
  <si>
    <t>1.7.16</t>
  </si>
  <si>
    <t>植栽維護，喬木類，枯木移除(喬木類)，20cm≦米高直徑＜30cm</t>
  </si>
  <si>
    <t xml:space="preserve">029351A03A
分析表169_x000D_
</t>
  </si>
  <si>
    <t>1.7.17</t>
  </si>
  <si>
    <t>植栽維護，喬木類，枯木移除(喬木類)，30cm≦米高直徑＜40cm</t>
  </si>
  <si>
    <t xml:space="preserve">029351A04A
分析表170_x000D_
</t>
  </si>
  <si>
    <t>1.7.18</t>
  </si>
  <si>
    <t>植栽維護，喬木類，枯木移除(喬木類)，40cm≦米高直徑＜50cm</t>
  </si>
  <si>
    <t xml:space="preserve">029351A05A
分析表171_x000D_
</t>
  </si>
  <si>
    <t>1.7.19</t>
  </si>
  <si>
    <t>植栽維護，喬木類，枯木移除(喬木類)，50cm≦米高直徑＜60cm</t>
  </si>
  <si>
    <t xml:space="preserve">029351A06A
分析表172_x000D_
</t>
  </si>
  <si>
    <t>1.7.20</t>
  </si>
  <si>
    <t>植栽維護，喬木類，枯木移除，70cm＜米高直徑≦80cm</t>
  </si>
  <si>
    <t xml:space="preserve">029351A08A
分析表173_x000D_
</t>
  </si>
  <si>
    <t>1.7.21</t>
  </si>
  <si>
    <t>植栽維護，喬木類，枯木移除，90㎝＜米高直徑</t>
  </si>
  <si>
    <t xml:space="preserve">029351A0AA
分析表174_x000D_
</t>
  </si>
  <si>
    <t>1.7.22</t>
  </si>
  <si>
    <t>施工圍籬，組合式活動，1.8m ≦高度＜ 2.1m</t>
  </si>
  <si>
    <t>01564C2001
分析表175_x000D_
保護樹菱形格網護樹圍籬</t>
  </si>
  <si>
    <t>1.7.23</t>
  </si>
  <si>
    <t>產品，植栽，包覆材料，草繩及保護墊片，三支組</t>
  </si>
  <si>
    <t>M02900D5208
#受保護樹木及移植樹木</t>
  </si>
  <si>
    <t>1.7.24</t>
  </si>
  <si>
    <t>產品，植栽，包覆材料，麻布袋，L=90~120cm，W=60~90cm</t>
  </si>
  <si>
    <t>M02900D6017
#含受保護樹木及移植樹木</t>
  </si>
  <si>
    <t>1.7.25</t>
  </si>
  <si>
    <t>產品，平面式塑膠警示帶，聚氯乙烯(PVC)，寬度=200mm</t>
  </si>
  <si>
    <t xml:space="preserve">M0250611301
</t>
  </si>
  <si>
    <t>1.7.26</t>
  </si>
  <si>
    <t>產品，防水毯</t>
  </si>
  <si>
    <t>M0712030002
受保護樹木</t>
  </si>
  <si>
    <t>1.7.27</t>
  </si>
  <si>
    <t>圍水，砂包堆置</t>
  </si>
  <si>
    <t xml:space="preserve">0226210003
分析表176_x000D_
</t>
  </si>
  <si>
    <t>1.7.28</t>
  </si>
  <si>
    <t>樹木生長監控</t>
  </si>
  <si>
    <t>1652510K0112A
#受保護樹木生長監控</t>
  </si>
  <si>
    <t>1.7.29</t>
  </si>
  <si>
    <t>植栽，鬆土(空氣挖掘機)</t>
  </si>
  <si>
    <t>0290030042
#</t>
  </si>
  <si>
    <t>1.7.30</t>
  </si>
  <si>
    <t>烏心石，450 ≦ 樹高 &lt; 500㎝，220≦樹幅＜240cm，14 ≦ 米高直徑 &lt; 16㎝</t>
  </si>
  <si>
    <t>0293828EGB
分析表177_x000D_
#</t>
  </si>
  <si>
    <t>1.7.31</t>
  </si>
  <si>
    <t>水茄苳，300 ≦ 樹高 &lt; 350㎝，200≦樹幅＜250cm，8 ≦ 米高直徑 &lt; 10㎝</t>
  </si>
  <si>
    <t>02938CBBF6
分析表178_x000D_
#</t>
  </si>
  <si>
    <t>1.7.32</t>
  </si>
  <si>
    <t>光蠟樹，450 ≦ 樹高 &lt; 500㎝，220≦樹幅＜240cm，14 ≦ 米高直徑 &lt; 16㎝</t>
  </si>
  <si>
    <t>02938J2EGB
分析表179_x000D_
#</t>
  </si>
  <si>
    <t>1.7.33</t>
  </si>
  <si>
    <t>青楓，400 ≦ 樹高 &lt; 450㎝，200≦樹幅＜220cm，8≦ 米高直徑 &lt; 10㎝</t>
  </si>
  <si>
    <t>02938HWDF6
分析表180_x000D_
#</t>
  </si>
  <si>
    <t>1.7.34</t>
  </si>
  <si>
    <t>大葉欖仁，300 ≦ 樹高 &lt; 350㎝，140≦樹幅＜160cm，8 ≦ 米高直徑 &lt; 9㎝</t>
  </si>
  <si>
    <t>02938CRBC6
分析表181_x000D_
#</t>
  </si>
  <si>
    <t>1.7.35</t>
  </si>
  <si>
    <t>台灣石楠，350 ≦ 樹高 &lt; 400㎝，160≦樹幅＜180cm，9 ≦ 米高直徑 &lt; 10㎝</t>
  </si>
  <si>
    <t>029382LCD7
分析表182_x000D_
#</t>
  </si>
  <si>
    <t>1.7.36</t>
  </si>
  <si>
    <t>苦楝，450 ≦ 樹高 &lt; 500㎝，220≦樹幅＜240cm，14 ≦ 米高直徑 &lt; 16㎝</t>
  </si>
  <si>
    <t>02938H5EGB
分析表183_x000D_
#</t>
  </si>
  <si>
    <t>1.7.37</t>
  </si>
  <si>
    <t>九芎，300 ≦ 樹高 &lt; 350㎝，120≦樹幅＜140cm，8 ≦ 米高直徑 &lt; 10㎝</t>
  </si>
  <si>
    <t>02938CHBB6
分析表184_x000D_
#</t>
  </si>
  <si>
    <t>1.7.38</t>
  </si>
  <si>
    <t>水柳，400 ≦ 樹高 &lt; 450㎝，200≦樹幅＜220cm，12≦ 米高直徑 &lt; 14㎝</t>
  </si>
  <si>
    <t>0293876DFB
分析表185_x000D_
#</t>
  </si>
  <si>
    <t>1.7.39</t>
  </si>
  <si>
    <t>烏桕，300 ≦ 樹高 &lt; 350㎝，140≦樹幅＜180cm，8 ≦ 米高直徑 &lt; 9㎝</t>
  </si>
  <si>
    <t>02938BQBC6
分析表186_x000D_
#</t>
  </si>
  <si>
    <t>1.7.40</t>
  </si>
  <si>
    <t>楓香，450 ≦ 樹高 &lt; 500㎝，220≦樹幅＜240cm，14 ≦ 米高直徑 &lt; 16㎝</t>
  </si>
  <si>
    <t>029386JEGB
分析表187_x000D_
#</t>
  </si>
  <si>
    <t>1.7.41</t>
  </si>
  <si>
    <t>樟樹，450 ≦ 樹高 &lt; 500㎝，220≦樹幅＜240cm，14 ≦ 米高直徑 &lt; 16㎝</t>
  </si>
  <si>
    <t>029383EEGB
分析表188_x000D_
#</t>
  </si>
  <si>
    <t>1.7.42</t>
  </si>
  <si>
    <t>大葉楠，450 ≦ 樹高 &lt; 500㎝，220≦樹幅＜240cm，14 ≦ 米高直徑 &lt; 16㎝</t>
  </si>
  <si>
    <t>0293835EGB
分析表189_x000D_
#</t>
  </si>
  <si>
    <t>1.7.43</t>
  </si>
  <si>
    <t>風箱，160 ≦ 樹高 &lt; 180㎝，80≦樹幅＜90cm，2 ≦ 米高直徑 &lt; 5㎝</t>
  </si>
  <si>
    <t>029382P682
分析表190_x000D_
#</t>
  </si>
  <si>
    <t>1.7.44</t>
  </si>
  <si>
    <t>羽裂蔓綠絨，70≦高度＜80㎝，40≦寬度＜50cm</t>
  </si>
  <si>
    <t>02922BB777
分析表191_x000D_
#</t>
  </si>
  <si>
    <t>1.7.45</t>
  </si>
  <si>
    <t>八角金盤，50≦高度＜60㎝，30≦寬度＜40cm</t>
  </si>
  <si>
    <t>02932bJ9801A
分析表192_x000D_
#</t>
  </si>
  <si>
    <t>1.7.46</t>
  </si>
  <si>
    <t>南天竹，70≦高度＜80㎝，50≦寬度＜60cm</t>
  </si>
  <si>
    <t>02932R1222
分析表193_x000D_
#</t>
  </si>
  <si>
    <t>1.7.47</t>
  </si>
  <si>
    <t>杜虹花，40≦ 高度＜50㎝，35≦寬度＜40cm</t>
  </si>
  <si>
    <t xml:space="preserve">02932Q1222
分析表194_x000D_
</t>
  </si>
  <si>
    <t>1.7.48</t>
  </si>
  <si>
    <t>含笑花，40≦ 高度＜50㎝，35≦寬度＜40cm</t>
  </si>
  <si>
    <t xml:space="preserve">0293826230
分析表195_x000D_
</t>
  </si>
  <si>
    <t>1.7.49</t>
  </si>
  <si>
    <t>金絲桃，35≦ 高度＜40㎝，30≦寬度＜35cm</t>
  </si>
  <si>
    <t xml:space="preserve">02932b57601
分析表196_x000D_
</t>
  </si>
  <si>
    <t>1.7.50</t>
  </si>
  <si>
    <t>日本衛矛，50≦ 高度＜60㎝，40≦寬度＜45cm</t>
  </si>
  <si>
    <t>02932bJ9801
分析表197_x000D_
#</t>
  </si>
  <si>
    <t>1.7.51</t>
  </si>
  <si>
    <t>蘭嶼樹杞，60≦ 高度＜70㎝，45≦寬度＜50cm</t>
  </si>
  <si>
    <t xml:space="preserve">02938FB340
分析表198_x000D_
</t>
  </si>
  <si>
    <t>1.7.52</t>
  </si>
  <si>
    <t>金露花，40≦高度＜50cm，30≦寬度＜40cm</t>
  </si>
  <si>
    <t>02931PWD04231
分析表199_x000D_
#</t>
  </si>
  <si>
    <t>1.7.53</t>
  </si>
  <si>
    <t>冇骨消，40≦ 高度＜50㎝，35≦寬度＜40cm</t>
  </si>
  <si>
    <t xml:space="preserve">02932bA8701
分析表200_x000D_
</t>
  </si>
  <si>
    <t>1.7.54</t>
  </si>
  <si>
    <t>山黃槴，40≦ 高度＜50㎝，35≦寬度＜40cm</t>
  </si>
  <si>
    <t>02932N333ZZZ
分析表201_x000D_
#</t>
  </si>
  <si>
    <t>1.7.55</t>
  </si>
  <si>
    <t>山月桃，30≦高度＜34cm，20≦寬度＜30cm</t>
  </si>
  <si>
    <t>029227B330
分析表202_x000D_
#</t>
  </si>
  <si>
    <t>1.7.56</t>
  </si>
  <si>
    <t>銀紋沿階草，15≦高度＜20cm，10≦寬度＜15cm</t>
  </si>
  <si>
    <t>02933PWD11212
分析表203_x000D_
#</t>
  </si>
  <si>
    <t>1.7.57</t>
  </si>
  <si>
    <t>蔓花生，10≦高度≦20cm，15≦寬度≦20cm</t>
  </si>
  <si>
    <t>0292361111
分析表204_x000D_
#</t>
  </si>
  <si>
    <t>1.7.58</t>
  </si>
  <si>
    <t>銀后粗肋草，25≦高度&lt;30cm，20≦寬度&lt;25cm</t>
  </si>
  <si>
    <t xml:space="preserve">02922B4230
分析表205_x000D_
</t>
  </si>
  <si>
    <t>1.7.59</t>
  </si>
  <si>
    <t>射干，20≦高度＜30cm，13≦寬度＜16cm</t>
  </si>
  <si>
    <t>029231B40442
分析表206_x000D_
#</t>
  </si>
  <si>
    <t>1.7.60</t>
  </si>
  <si>
    <t>千屈菜，15≦高度＜20cm，10cm≦寬度&lt;15cm</t>
  </si>
  <si>
    <t>02922GD0031
分析表207_x000D_
#</t>
  </si>
  <si>
    <t>1.7.61</t>
  </si>
  <si>
    <t>紫嬌花，20≦高度＜25cm，15cm≦寬度＜20cm</t>
  </si>
  <si>
    <t>0292341F0342
分析表208_x000D_
#</t>
  </si>
  <si>
    <t>1.7.62</t>
  </si>
  <si>
    <t>百子蓮，25≦高度＜30cm，15cm≦寬度＜20cmm</t>
  </si>
  <si>
    <t>029234150042
分析表209_x000D_
#</t>
  </si>
  <si>
    <t>1.7.63</t>
  </si>
  <si>
    <t>腎蕨，20≦高度＜25cm，15≦寬度＜20cm</t>
  </si>
  <si>
    <t>029233170042
分析表210_x000D_
#</t>
  </si>
  <si>
    <t>1.7.64</t>
  </si>
  <si>
    <t>檸檬天竺葵，25≦高度＜30cm，20≦寬度＜25cm</t>
  </si>
  <si>
    <t>0292353G5342
分析表211_x000D_
#</t>
  </si>
  <si>
    <t>1.7.65</t>
  </si>
  <si>
    <t>蜂香薄荷，25≦高度＜30cm，20≦寬度＜25cm</t>
  </si>
  <si>
    <t>029235175342b
分析表212_x000D_
#</t>
  </si>
  <si>
    <t>1.7.66</t>
  </si>
  <si>
    <t>芳香萬壽菊，25≦高度＜30cm，20≦寬度＜25cm</t>
  </si>
  <si>
    <t>029235345342
分析表213_x000D_
#</t>
  </si>
  <si>
    <t>1.7.67</t>
  </si>
  <si>
    <t>大安水蓑衣，30≦高度&lt;40cm，20≦寬度&lt;25cm</t>
  </si>
  <si>
    <t>029283A332
分析表214_x000D_
#</t>
  </si>
  <si>
    <t>1.7.68</t>
  </si>
  <si>
    <t>過長沙，20≦高度&lt;30cm，10≦寬度&lt;20cm</t>
  </si>
  <si>
    <t>0292833220
分析表215_x000D_
#</t>
  </si>
  <si>
    <t>1.7.69</t>
  </si>
  <si>
    <t>黃扇鳶尾，25≦高度＜30cm，15cm≦寬度＜20cm</t>
  </si>
  <si>
    <t>0292341A0042
分析表216_x000D_
#</t>
  </si>
  <si>
    <t>1.7.70</t>
  </si>
  <si>
    <t>鴨舌草，10≦高度&lt;15cm，10≦寬度&lt;15cm</t>
  </si>
  <si>
    <t>029284B121
分析表217_x000D_
#</t>
  </si>
  <si>
    <t>1.7.71</t>
  </si>
  <si>
    <t>紙莎草，50≦高度&lt;60cm，30≦寬度&lt;40cm</t>
  </si>
  <si>
    <t>029285C0071
分析表218_x000D_
#</t>
  </si>
  <si>
    <t>1.7.72</t>
  </si>
  <si>
    <t>野慈姑，25≦高度&lt;30cm，15≦寬度&lt;20cm</t>
  </si>
  <si>
    <t>029287F0041
分析表219_x000D_
#</t>
  </si>
  <si>
    <t>1.7.73</t>
  </si>
  <si>
    <t>野薑花，50≦高度&lt;60cm，30≦寬度&lt;40cm</t>
  </si>
  <si>
    <t>0292341H0003
分析表220_x000D_
#</t>
  </si>
  <si>
    <t>1.7.74</t>
  </si>
  <si>
    <t>螢藺，15≦高度&lt;20cm，10≦寬度&lt;15cm</t>
  </si>
  <si>
    <t>02928RB122
分析表221_x000D_
#</t>
  </si>
  <si>
    <t>1.7.75</t>
  </si>
  <si>
    <t>香蒲，30≦高度&lt;35cm，15≦寬度&lt;20cm</t>
  </si>
  <si>
    <t>02928A20041
分析表222_x000D_
#</t>
  </si>
  <si>
    <t>1.7.76</t>
  </si>
  <si>
    <t>田蔥，30≦高度&lt;35cm，15≦寬度&lt;20cm</t>
  </si>
  <si>
    <t>029289A0041
分析表223_x000D_
#</t>
  </si>
  <si>
    <t>1.7.77</t>
  </si>
  <si>
    <t>小葉馬纓丹，40 ≦高度(枝長)＜50cm</t>
  </si>
  <si>
    <t>029231AW500
分析表224_x000D_
#</t>
  </si>
  <si>
    <t>1.7.78</t>
  </si>
  <si>
    <t>鷗蔓，30≦高度(枝長)＜40cm</t>
  </si>
  <si>
    <t>029343Q400
分析表225_x000D_
#</t>
  </si>
  <si>
    <t>1.7.79</t>
  </si>
  <si>
    <t>忍冬，40≦高度(枝長)＜50cm</t>
  </si>
  <si>
    <t>029343100ZZZ
分析表226_x000D_
#</t>
  </si>
  <si>
    <t>1.7.80</t>
  </si>
  <si>
    <t>白茅，50≦高度＜60cm，30≦寬度&lt;40cm</t>
  </si>
  <si>
    <t xml:space="preserve">02922WC542
分析表227_x000D_
</t>
  </si>
  <si>
    <t>1.7.81</t>
  </si>
  <si>
    <t>鹽地鼠尾栗，30≦高度＜40cm，25≦寬度&lt;30cm</t>
  </si>
  <si>
    <t xml:space="preserve">02922SD332
分析表228_x000D_
</t>
  </si>
  <si>
    <t>1.7.82</t>
  </si>
  <si>
    <t>艷紅百合，50≦高度＜60cm，30≦寬度&lt;40cm</t>
  </si>
  <si>
    <t xml:space="preserve">02922LH542
分析表229_x000D_
</t>
  </si>
  <si>
    <t>1.7.83</t>
  </si>
  <si>
    <t>噴泉狼尾草，50≦高度＜60cm，30≦寬度&lt;40cm</t>
  </si>
  <si>
    <t xml:space="preserve">02922SV332
分析表230_x000D_
</t>
  </si>
  <si>
    <t>1.7.84</t>
  </si>
  <si>
    <t>蘆葦，50≦高度&lt;60，30≦寬度&lt;40</t>
  </si>
  <si>
    <t xml:space="preserve">029286B0041
分析表231_x000D_
</t>
  </si>
  <si>
    <t>1.7.85</t>
  </si>
  <si>
    <t>植草，草種噴植，混合草種，養護</t>
  </si>
  <si>
    <t xml:space="preserve">0292012C02
分析表232_x000D_
</t>
  </si>
  <si>
    <t>1.7.86</t>
  </si>
  <si>
    <t>一般地被類，玉龍草，穴盤苗</t>
  </si>
  <si>
    <t>叢</t>
  </si>
  <si>
    <t xml:space="preserve">029231AZ00B3
分析表233_x000D_
</t>
  </si>
  <si>
    <t>1.7.87</t>
  </si>
  <si>
    <t>植草，密舖</t>
  </si>
  <si>
    <t>0292000U02
分析表234_x000D_
#假儉草</t>
  </si>
  <si>
    <t>　　(八)</t>
  </si>
  <si>
    <t>電氣設備工程</t>
  </si>
  <si>
    <t>1.8.1</t>
  </si>
  <si>
    <t>低壓配電盤，錶箱 "KWH" PANEL</t>
  </si>
  <si>
    <t xml:space="preserve">1640100004Z01
分析表235_x000D_
</t>
  </si>
  <si>
    <t>1.8.2</t>
  </si>
  <si>
    <t>低壓配電盤，"MP" PANEL</t>
  </si>
  <si>
    <t xml:space="preserve">1640100004Z02
分析表236_x000D_
</t>
  </si>
  <si>
    <t>1.8.3</t>
  </si>
  <si>
    <t>低壓配電盤，"SP1~3" PANEL</t>
  </si>
  <si>
    <t xml:space="preserve">1640100004Z06
分析表237_x000D_
</t>
  </si>
  <si>
    <t>1.8.4</t>
  </si>
  <si>
    <t>低壓配電盤，"MLS" PANEL</t>
  </si>
  <si>
    <t xml:space="preserve">1640100004Z03
分析表238_x000D_
</t>
  </si>
  <si>
    <t>1.8.5</t>
  </si>
  <si>
    <t>低壓配電盤，"PPS" PANEL</t>
  </si>
  <si>
    <t xml:space="preserve">1640100004Z05
分析表239_x000D_
</t>
  </si>
  <si>
    <t>1.8.6</t>
  </si>
  <si>
    <t>道路照明，路燈，單臂，LED90W 燈桿8M 含基礎座預埋桿件</t>
  </si>
  <si>
    <t>16525100E00C1
# H:8M，含基礎座預埋桿件</t>
  </si>
  <si>
    <t>1.8.7</t>
  </si>
  <si>
    <t>道路照明，路燈，子母， LED90W &amp; 30W 燈桿8M 含基礎座預埋桿件</t>
  </si>
  <si>
    <t>16525100E00C2
#</t>
  </si>
  <si>
    <t>1.8.8</t>
  </si>
  <si>
    <t>道路照明，燈具，景觀高燈，LED45W 燈桿4M 含基礎座預埋桿件</t>
  </si>
  <si>
    <t>165254300M0C
#</t>
  </si>
  <si>
    <t>1.8.9</t>
  </si>
  <si>
    <t>道路照明，燈具，矮柱燈， LED20W 含基礎座桿</t>
  </si>
  <si>
    <t>16525450000C
#</t>
  </si>
  <si>
    <t>1.8.10</t>
  </si>
  <si>
    <t>線燈 LED1W 300mm</t>
  </si>
  <si>
    <t xml:space="preserve">165254100008a
</t>
  </si>
  <si>
    <t>1.8.11</t>
  </si>
  <si>
    <t>線燈 LED4W 1000mm</t>
  </si>
  <si>
    <t xml:space="preserve">165254100008b
</t>
  </si>
  <si>
    <t>1.8.12</t>
  </si>
  <si>
    <t>軟帶燈 LED11W</t>
  </si>
  <si>
    <t xml:space="preserve">165254100008c
</t>
  </si>
  <si>
    <t>1.8.13</t>
  </si>
  <si>
    <t>防水型崁燈 LED 30W</t>
  </si>
  <si>
    <t xml:space="preserve">165254000008b
</t>
  </si>
  <si>
    <t>1.8.14</t>
  </si>
  <si>
    <t>投射燈 LED 35W</t>
  </si>
  <si>
    <t xml:space="preserve">165254300008a
</t>
  </si>
  <si>
    <t>1.8.15</t>
  </si>
  <si>
    <t>水波紋高燈</t>
  </si>
  <si>
    <t>165297AB2BA
分析表240_x000D_
#(含基礎鎖固螺桿五金)</t>
  </si>
  <si>
    <t>1.8.16</t>
  </si>
  <si>
    <t>液位警報系統</t>
  </si>
  <si>
    <t>1041000004
含白鐵雙層防水控制箱*2、簡易防水面板*7</t>
  </si>
  <si>
    <t>1.8.17</t>
  </si>
  <si>
    <t>警示面板顯示器</t>
  </si>
  <si>
    <t xml:space="preserve">16401A0038
</t>
  </si>
  <si>
    <t>1.8.18</t>
  </si>
  <si>
    <t>水位計</t>
  </si>
  <si>
    <t xml:space="preserve">1640100008
分析表241_x000D_
</t>
  </si>
  <si>
    <t>1.8.19</t>
  </si>
  <si>
    <t>交通號誌</t>
  </si>
  <si>
    <t xml:space="preserve">1652900000Z
</t>
  </si>
  <si>
    <t>1.8.20</t>
  </si>
  <si>
    <t>交通號誌控制箱</t>
  </si>
  <si>
    <t xml:space="preserve">165510005Z
</t>
  </si>
  <si>
    <t>1.8.21</t>
  </si>
  <si>
    <t>戶外型照度感應器(含桿座)</t>
  </si>
  <si>
    <t>只</t>
  </si>
  <si>
    <t>0157403508A
#</t>
  </si>
  <si>
    <t>1.8.22</t>
  </si>
  <si>
    <t>電源供應器60W</t>
  </si>
  <si>
    <t>16551C2638
#水波紋高燈</t>
  </si>
  <si>
    <t>1.8.23</t>
  </si>
  <si>
    <t>電源供應器 8W 含IP68防水外箱</t>
  </si>
  <si>
    <t>台</t>
  </si>
  <si>
    <t xml:space="preserve">1653055005
</t>
  </si>
  <si>
    <t>1.8.24</t>
  </si>
  <si>
    <t>電源供應器 100W 含IP68防水外箱</t>
  </si>
  <si>
    <t xml:space="preserve">1653055005A
</t>
  </si>
  <si>
    <t>1.8.25</t>
  </si>
  <si>
    <t>600V聚氯乙烯絕緣電線(PVC)，絞線，5.5mm2</t>
  </si>
  <si>
    <t xml:space="preserve">1612312501
</t>
  </si>
  <si>
    <t>1.8.26</t>
  </si>
  <si>
    <t>電線及電纜，600V聚氯乙烯絕緣電線，3/C，50mm2</t>
  </si>
  <si>
    <t xml:space="preserve">16120b150M01
</t>
  </si>
  <si>
    <t>1.8.27</t>
  </si>
  <si>
    <t>電線及電纜，600V聚氯乙烯絕緣電線，3/C，30mm2</t>
  </si>
  <si>
    <t xml:space="preserve">16120b150N01
</t>
  </si>
  <si>
    <t>1.8.28</t>
  </si>
  <si>
    <t>電線及電纜，600V聚氯乙烯絕緣電線，3/C，22mm2</t>
  </si>
  <si>
    <t xml:space="preserve">16120b150L01
</t>
  </si>
  <si>
    <t>1.8.29</t>
  </si>
  <si>
    <t>電線及電纜，600V聚氯乙烯絕緣電線，3/C，8.0mm2</t>
  </si>
  <si>
    <t xml:space="preserve">16120b150H01
</t>
  </si>
  <si>
    <t>1.8.30</t>
  </si>
  <si>
    <t>電線及電纜，600V聚氯乙烯絕緣電線，3/C，5.5mm2</t>
  </si>
  <si>
    <t xml:space="preserve">16120b150G01
</t>
  </si>
  <si>
    <t>1.8.31</t>
  </si>
  <si>
    <t>電線及電纜，600V聚氯乙烯絕緣電線，7/C，3.5mm2</t>
  </si>
  <si>
    <t xml:space="preserve">16120b190D01
</t>
  </si>
  <si>
    <t>1.8.32</t>
  </si>
  <si>
    <t>600V PVC電纜，配線安全接頭</t>
  </si>
  <si>
    <t>01271D0004A
#</t>
  </si>
  <si>
    <t>1.8.33</t>
  </si>
  <si>
    <t>XLPE電力電纜，600V交連聚乙烯絕緣聚氯乙烯被覆電力電纜(XLPE)，1/C，14mm2</t>
  </si>
  <si>
    <t>1612061A0001
#</t>
  </si>
  <si>
    <t>1.8.34</t>
  </si>
  <si>
    <t>XLPE電力電纜，配線安全接頭</t>
  </si>
  <si>
    <t>01271D0004A1
#</t>
  </si>
  <si>
    <t>1.8.35</t>
  </si>
  <si>
    <t>導線管，硬質聚氯乙烯塑膠管，E管，標稱28mm</t>
  </si>
  <si>
    <t xml:space="preserve">161323104001
</t>
  </si>
  <si>
    <t>1.8.36</t>
  </si>
  <si>
    <t>導線管，硬質聚氯乙烯塑膠管，E管，標稱41mm</t>
  </si>
  <si>
    <t>161323106301
#</t>
  </si>
  <si>
    <t>1.8.37</t>
  </si>
  <si>
    <t>導線管，硬質聚氯乙烯塑膠管，E管，標稱52mm</t>
  </si>
  <si>
    <t xml:space="preserve">161323107001
</t>
  </si>
  <si>
    <t>1.8.38</t>
  </si>
  <si>
    <t>導線管，硬質聚氯乙烯塑膠管，E管，標稱80mm</t>
  </si>
  <si>
    <t xml:space="preserve">161323109001
</t>
  </si>
  <si>
    <t>1.8.39</t>
  </si>
  <si>
    <t>PVC導線管，配管另件</t>
  </si>
  <si>
    <t>01271D0004B
#</t>
  </si>
  <si>
    <t>1.8.40</t>
  </si>
  <si>
    <t>鍍鋅鋼管(GIP)，⌀82x4.2mmt</t>
  </si>
  <si>
    <t xml:space="preserve">151053000001Z
</t>
  </si>
  <si>
    <t>1.8.41</t>
  </si>
  <si>
    <t>GIP鍍鋅鋼管，配管另件</t>
  </si>
  <si>
    <t xml:space="preserve">01271D0004B1
</t>
  </si>
  <si>
    <t>　　(九)</t>
  </si>
  <si>
    <t>臨時動員及圍排水設施費</t>
  </si>
  <si>
    <t>1.9.1</t>
  </si>
  <si>
    <t>臨時擋土樁設施，鋼軌樁 50kg/m</t>
  </si>
  <si>
    <t>0225530001
分析表242_x000D_
租用(三合橋)</t>
  </si>
  <si>
    <t>1.9.2</t>
  </si>
  <si>
    <t>臨時擋土樁設施，鋼軌樁 50kg/m(含運費)，打拔</t>
  </si>
  <si>
    <t xml:space="preserve">0225530E31
分析表243_x000D_
</t>
  </si>
  <si>
    <t>1.9.3</t>
  </si>
  <si>
    <t>臨時通道用鋼板，厚15mm</t>
  </si>
  <si>
    <t>M2/月</t>
  </si>
  <si>
    <t>01532AB002m
面積約1746m2</t>
  </si>
  <si>
    <t>1.9.4</t>
  </si>
  <si>
    <t>施工期間動復員費(含颱風、暴雨或機關指定之動員及設施設備費用)</t>
  </si>
  <si>
    <t>0150092024L
#(含所有設施撤離)</t>
  </si>
  <si>
    <t>1.9.5</t>
  </si>
  <si>
    <t>臨時設施，排水設備，引擎抽水機，D=10cm，租金</t>
  </si>
  <si>
    <t>01510522BD
分析表244_x000D_
(含油料及運費)</t>
  </si>
  <si>
    <t>1.9.6</t>
  </si>
  <si>
    <t>　二</t>
  </si>
  <si>
    <t>雜項工程費</t>
  </si>
  <si>
    <t>2.1</t>
  </si>
  <si>
    <t>新舊工程銜接復舊</t>
  </si>
  <si>
    <t>0299130014
#</t>
  </si>
  <si>
    <t>2.2</t>
  </si>
  <si>
    <t>新舊結構物介面處理</t>
  </si>
  <si>
    <t>處</t>
  </si>
  <si>
    <t xml:space="preserve">13801A0007a
</t>
  </si>
  <si>
    <t>2.3</t>
  </si>
  <si>
    <t>三合橋臨時便橋</t>
  </si>
  <si>
    <t xml:space="preserve">13801A0002a
</t>
  </si>
  <si>
    <t>2.4</t>
  </si>
  <si>
    <t>施工照相及攝(錄)影，(4G行動門號，即時攝影無線傳輸)，施工動態即時影像傳輸費</t>
  </si>
  <si>
    <t>日/台</t>
  </si>
  <si>
    <t>013210100b
分析表245_x000D_
含路證申請、回報及配合道路挖掘之相關作業費用</t>
  </si>
  <si>
    <t>2.5</t>
  </si>
  <si>
    <t>臨時設施，臨時監控系統</t>
  </si>
  <si>
    <t xml:space="preserve">015100000F
</t>
  </si>
  <si>
    <t>2.6</t>
  </si>
  <si>
    <t>臨時設施，臨時電使用費及臨時水使用費</t>
  </si>
  <si>
    <t>月</t>
  </si>
  <si>
    <t xml:space="preserve">0151000000BA
</t>
  </si>
  <si>
    <t>2.7</t>
  </si>
  <si>
    <t>工地攝影記錄及影片製作</t>
  </si>
  <si>
    <t>1652510K0112
分析表246_x000D_
#</t>
  </si>
  <si>
    <t>2.8</t>
  </si>
  <si>
    <t>臨時工棚(含相關設施)</t>
  </si>
  <si>
    <t>13801100A2
#</t>
  </si>
  <si>
    <t>2.9</t>
  </si>
  <si>
    <t>生態檢核</t>
  </si>
  <si>
    <t xml:space="preserve">01572J0004
</t>
  </si>
  <si>
    <t>　三</t>
  </si>
  <si>
    <t>材料試驗費</t>
  </si>
  <si>
    <t>3.1</t>
  </si>
  <si>
    <t>品質管理，品質管理費，土木工程及建築類檢驗，A3045混凝土圓柱試體抗壓強度之檢驗法</t>
  </si>
  <si>
    <t xml:space="preserve">01450B11U7
</t>
  </si>
  <si>
    <t>3.2</t>
  </si>
  <si>
    <t>品質管理，材料設備檢驗費，土木工程及建築類檢驗，混凝土氯離子試驗</t>
  </si>
  <si>
    <t>01450A11U6A
#</t>
  </si>
  <si>
    <t>3.3</t>
  </si>
  <si>
    <t>品質管理，材料設備檢驗費，混凝土坍度試驗法</t>
  </si>
  <si>
    <t>01450D11Q7
#</t>
  </si>
  <si>
    <t>3.4</t>
  </si>
  <si>
    <t>品質管理，材料設備檢驗費，土木工程及建築類檢驗，混凝土鑽心試體試驗</t>
  </si>
  <si>
    <t>顆</t>
  </si>
  <si>
    <t>01450A1003
#</t>
  </si>
  <si>
    <t>3.5</t>
  </si>
  <si>
    <t>品質管理，材料設備檢驗費，土木工程及建築類檢驗，A2006鋼筋混凝土用鋼筋物性試驗</t>
  </si>
  <si>
    <t>01450D1D48
每組3支</t>
  </si>
  <si>
    <t>3.6</t>
  </si>
  <si>
    <t>品質管理，材料設備檢驗費，土木工程及建築類檢驗，A2006鋼筋混凝土用鋼筋化性試驗</t>
  </si>
  <si>
    <t>01450D1D58
每組3支</t>
  </si>
  <si>
    <t>3.7</t>
  </si>
  <si>
    <t>品質管理，材料設備檢驗費，土木工程及建築類檢驗，瀝青混合料含油量穩定值及級配分析</t>
  </si>
  <si>
    <t xml:space="preserve">01450D1CX8
</t>
  </si>
  <si>
    <t>3.8</t>
  </si>
  <si>
    <t>品質管理，材料設備檢驗費，土木工程及建築類檢驗，瀝青混凝土壓實度試驗及厚度檢驗</t>
  </si>
  <si>
    <t xml:space="preserve">01450D1CY8
</t>
  </si>
  <si>
    <t>3.9</t>
  </si>
  <si>
    <t>品質管理，材料設備檢驗費，土木工程及建築類檢驗，瀝青混凝土平整度試驗</t>
  </si>
  <si>
    <t xml:space="preserve">01450D1C2M
</t>
  </si>
  <si>
    <t>3.10</t>
  </si>
  <si>
    <t>品質管理，材料設備檢驗費，土木工程及建築類檢驗，瀝青混凝土黏滯度試驗</t>
  </si>
  <si>
    <t>01450A0038
#</t>
  </si>
  <si>
    <t>3.11</t>
  </si>
  <si>
    <t>品質管理，材料設備檢驗費，土木工程及建築類檢驗，地工織物試驗法【含拉力強度(伸長率、撕裂強度)、透水係數、耐紫外線性、起始模數、有效開孔性】</t>
  </si>
  <si>
    <t xml:space="preserve">01450D1D68
</t>
  </si>
  <si>
    <t>3.12</t>
  </si>
  <si>
    <t>品質管理，材料設備檢驗費，土木工程及建築類檢驗，鋼鐵件檢驗【含降伏、拉伸、彎曲、化性】</t>
  </si>
  <si>
    <t xml:space="preserve">01450D1D38
</t>
  </si>
  <si>
    <t>3.13</t>
  </si>
  <si>
    <t>品質管制，工廠內鋼熔接縫超音波探傷試驗</t>
  </si>
  <si>
    <t xml:space="preserve">014505000A
</t>
  </si>
  <si>
    <t>3.14</t>
  </si>
  <si>
    <t>品質管制，現場鋼熔接縫超音波探傷試驗</t>
  </si>
  <si>
    <t xml:space="preserve">014505100A
</t>
  </si>
  <si>
    <t>3.15</t>
  </si>
  <si>
    <t>品質管理，材料設備檢驗費，土木工程及建築類檢驗，標線抗滑試驗(現地試驗，1天，6個試驗點)</t>
  </si>
  <si>
    <t>01450D1Z18
#</t>
  </si>
  <si>
    <t>3.16</t>
  </si>
  <si>
    <t>品質管理，材料設備檢驗費，反光標線鑽心試體玻璃珠含量</t>
  </si>
  <si>
    <t xml:space="preserve">01450D1E68
</t>
  </si>
  <si>
    <t>3.17</t>
  </si>
  <si>
    <t>品質管理，材料設備檢驗費，土木工程及建築類檢驗，銲接鋼線網檢驗(含拉伸、彎曲、抗剪、外觀)</t>
  </si>
  <si>
    <t>01450D1DZ8#
#</t>
  </si>
  <si>
    <t>3.18</t>
  </si>
  <si>
    <t>品質管理，材料設備檢驗費，土木工程及建築類檢驗，碎石級配粒料篩分析試驗</t>
  </si>
  <si>
    <t>01450D1C3M
#</t>
  </si>
  <si>
    <t>3.19</t>
  </si>
  <si>
    <t>品質管理，材料設備檢驗費，木業類檢驗，原木檢驗(含樹種鑑定、含水率及ACQ吸收量檢測)</t>
  </si>
  <si>
    <t xml:space="preserve">01450DH28M#
</t>
  </si>
  <si>
    <t>3.20</t>
  </si>
  <si>
    <t>品質管理，材料設備檢驗費，土木工程及建築類檢驗，石材檢驗</t>
  </si>
  <si>
    <t xml:space="preserve">01450D1DX8#
</t>
  </si>
  <si>
    <t>3.21</t>
  </si>
  <si>
    <t>品質管理，材料設備檢驗費，土木工程及建築類檢驗，不鏽鋼料檢驗</t>
  </si>
  <si>
    <t xml:space="preserve">01450D1DY8#
</t>
  </si>
  <si>
    <t>3.22</t>
  </si>
  <si>
    <t>品質管理，材料設備檢驗費，土木工程及建築類檢驗，熱浸鍍鋅試驗</t>
  </si>
  <si>
    <t xml:space="preserve">01450E1BBM
</t>
  </si>
  <si>
    <t>3.23</t>
  </si>
  <si>
    <t>品質管理，材料設備檢驗費，土木工程及建築類檢驗，氟碳烤漆試驗</t>
  </si>
  <si>
    <t xml:space="preserve">01450F1BBM
</t>
  </si>
  <si>
    <t>3.24</t>
  </si>
  <si>
    <t>品質管理，材料設備檢驗費，土木工程及建築類檢驗，鍍鋅格柵蓋板試驗</t>
  </si>
  <si>
    <t xml:space="preserve">01450D1DR8
</t>
  </si>
  <si>
    <t>3.25</t>
  </si>
  <si>
    <t>品質管理，材料設備檢驗費，土木工程及建築類檢驗，HDPE鋼板加勁螺旋管檢驗【含抗拉強度、伸長率】</t>
  </si>
  <si>
    <t>01450A003A
#</t>
  </si>
  <si>
    <t>3.26</t>
  </si>
  <si>
    <t>品質管理，材料設備檢驗費，土木工程及建築類檢驗，A3003混凝土管檢驗法</t>
  </si>
  <si>
    <t xml:space="preserve">01450D116M
</t>
  </si>
  <si>
    <t>3.27</t>
  </si>
  <si>
    <t>品質管理，材料設備檢驗費，土木工程及建築類檢驗，化學螺栓拉拔力測試</t>
  </si>
  <si>
    <t>隻</t>
  </si>
  <si>
    <t xml:space="preserve">01450D1D1R
</t>
  </si>
  <si>
    <t>3.28</t>
  </si>
  <si>
    <t>品質管理，材料設備檢驗費，植筋拉拔試驗</t>
  </si>
  <si>
    <t xml:space="preserve">01450D1E6R
</t>
  </si>
  <si>
    <t>3.29</t>
  </si>
  <si>
    <t>品質管制，蜂巢格網試驗費</t>
  </si>
  <si>
    <t>01450B1CBM
#</t>
  </si>
  <si>
    <t>3.30</t>
  </si>
  <si>
    <t>品質管理，材料設備檢驗費，土木工程及建築類檢驗，土壤相對密度試驗</t>
  </si>
  <si>
    <t xml:space="preserve">01450D1C98
</t>
  </si>
  <si>
    <t>3.31</t>
  </si>
  <si>
    <t>品質管理，材料設備檢驗費，土木工程及建築類檢驗，工地密度試驗</t>
  </si>
  <si>
    <t xml:space="preserve">01450D1BBM
</t>
  </si>
  <si>
    <t>3.32</t>
  </si>
  <si>
    <t>品質管理，材料設備檢驗費，土木工程及建築類檢驗，土壤分類試驗</t>
  </si>
  <si>
    <t xml:space="preserve">01450D1CA8
</t>
  </si>
  <si>
    <t>3.33</t>
  </si>
  <si>
    <t>品質管理，材料設備檢驗費，基樁完整性試驗</t>
  </si>
  <si>
    <t xml:space="preserve">01450D18X8
</t>
  </si>
  <si>
    <t>3.34</t>
  </si>
  <si>
    <t>品質管理，材料設備檢驗費，土木工程及建築類檢驗，透水磚，透水試驗</t>
  </si>
  <si>
    <t>塊</t>
  </si>
  <si>
    <t>0145000034
#</t>
  </si>
  <si>
    <t>　四</t>
  </si>
  <si>
    <t>工地環境保護費</t>
  </si>
  <si>
    <t>4.1</t>
  </si>
  <si>
    <t>環境保護，逕流污染防治，洗車沖洗費</t>
  </si>
  <si>
    <t>處/月</t>
  </si>
  <si>
    <t xml:space="preserve">01572H100F
分析表247_x000D_
</t>
  </si>
  <si>
    <t>4.2</t>
  </si>
  <si>
    <t>環境保護，工地清潔費</t>
  </si>
  <si>
    <t>01572F000E
分析表248_x000D_
280m2/月，共24個月</t>
  </si>
  <si>
    <t>　五</t>
  </si>
  <si>
    <t>安全設施與交通維持費</t>
  </si>
  <si>
    <t>5.1</t>
  </si>
  <si>
    <t>施工圍籬，組合式固定，2.4m ≦高度</t>
  </si>
  <si>
    <t>01564L4001
分析表249_x000D_
高度2.4m</t>
  </si>
  <si>
    <t>5.2</t>
  </si>
  <si>
    <t>施工圍籬，圍籬美化，掛防水帆布(含輸出、包繩及打洞)</t>
  </si>
  <si>
    <t>015640B002
需經審查後設置</t>
  </si>
  <si>
    <t>5.3</t>
  </si>
  <si>
    <t>交通錐，高70cm，其他適當材料，PVC。2.5kg重</t>
  </si>
  <si>
    <t xml:space="preserve">0155642707
分析表250_x000D_
</t>
  </si>
  <si>
    <t>5.4</t>
  </si>
  <si>
    <t>交通錐，連桿</t>
  </si>
  <si>
    <t xml:space="preserve">015564080E
</t>
  </si>
  <si>
    <t>5.5</t>
  </si>
  <si>
    <t>指示標誌</t>
  </si>
  <si>
    <t xml:space="preserve">01556L000A
分析表251_x000D_
</t>
  </si>
  <si>
    <t>5.6</t>
  </si>
  <si>
    <t>活動型拒馬，長1.2m</t>
  </si>
  <si>
    <t xml:space="preserve">0155630A0A
分析表252_x000D_
</t>
  </si>
  <si>
    <t>5.7</t>
  </si>
  <si>
    <t>施工警告燈號</t>
  </si>
  <si>
    <t xml:space="preserve">015568000A
分析表253_x000D_
</t>
  </si>
  <si>
    <t>5.8</t>
  </si>
  <si>
    <t>工程告示牌及工地標誌，工程告示牌，鋁質，長500x寬320cm</t>
  </si>
  <si>
    <t xml:space="preserve">015831130Bn
分析表254_x000D_
</t>
  </si>
  <si>
    <t>5.9</t>
  </si>
  <si>
    <t>工程告示牌及工地標誌，柔性告示牌</t>
  </si>
  <si>
    <t>面</t>
  </si>
  <si>
    <t>01583B000A
分析表255_x000D_
創意柔性告示牌之圖案須依機關提供之電子檔依比例放大製作</t>
  </si>
  <si>
    <t>5.10</t>
  </si>
  <si>
    <t>牌面承座</t>
  </si>
  <si>
    <t xml:space="preserve">02891A5007
分析表256_x000D_
</t>
  </si>
  <si>
    <t>5.11</t>
  </si>
  <si>
    <t>軟質彈性分隔桿，含安裝</t>
  </si>
  <si>
    <t>02899#B001
分析表257_x000D_
D=8cm ±5%，H=75cm ±5%</t>
  </si>
  <si>
    <t>5.12</t>
  </si>
  <si>
    <t>型鋼護欄，含警示燈</t>
  </si>
  <si>
    <t>01556H1001
分析表258_x000D_
使用10次，以新製品或完整無缺(重新油漆或清理過後)之堪用品</t>
  </si>
  <si>
    <t>5.13</t>
  </si>
  <si>
    <t>施工圍籬，大門(含拆裝1次)</t>
  </si>
  <si>
    <t>樘</t>
  </si>
  <si>
    <t xml:space="preserve">01564F000A
</t>
  </si>
  <si>
    <t>5.14</t>
  </si>
  <si>
    <t>輕型欄杆(連工帶料)</t>
  </si>
  <si>
    <t>0156031012a
含警示燈</t>
  </si>
  <si>
    <t>5.15</t>
  </si>
  <si>
    <t>施工圍籬二次拆裝</t>
  </si>
  <si>
    <t xml:space="preserve">01556000Z1a
</t>
  </si>
  <si>
    <t>5.16</t>
  </si>
  <si>
    <t>輕型欄杆二次拆裝</t>
  </si>
  <si>
    <t xml:space="preserve">01556000Z1b
</t>
  </si>
  <si>
    <t>5.17</t>
  </si>
  <si>
    <t>安全設施維護管理費</t>
  </si>
  <si>
    <t xml:space="preserve">01556000Z4
</t>
  </si>
  <si>
    <t>　六</t>
  </si>
  <si>
    <t>職業安全衛生費</t>
  </si>
  <si>
    <t>6.1</t>
  </si>
  <si>
    <t>職業安全衛生，一般器材，安全告示牌，1.5mm厚P.V.C</t>
  </si>
  <si>
    <t xml:space="preserve">015741010J
</t>
  </si>
  <si>
    <t>6.2</t>
  </si>
  <si>
    <t>職業安全衛生，保護器材，頭部，安全帽(加反光條)</t>
  </si>
  <si>
    <t>頂</t>
  </si>
  <si>
    <t xml:space="preserve">015742110L
</t>
  </si>
  <si>
    <t>6.3</t>
  </si>
  <si>
    <t>職業安全衛生，保護器材，臉部，安全面罩</t>
  </si>
  <si>
    <t>具</t>
  </si>
  <si>
    <t xml:space="preserve">015742320C
</t>
  </si>
  <si>
    <t>6.4</t>
  </si>
  <si>
    <t>職業安全衛生，保護器材，眼睛，護目鏡，遮光護目鏡</t>
  </si>
  <si>
    <t xml:space="preserve">0157424228
</t>
  </si>
  <si>
    <t>6.5</t>
  </si>
  <si>
    <t>職業安全衛生，保護器材，手部，特殊手套，防酸鹼用</t>
  </si>
  <si>
    <t>雙</t>
  </si>
  <si>
    <t xml:space="preserve">015742672M
</t>
  </si>
  <si>
    <t>6.6</t>
  </si>
  <si>
    <t>職業安全衛生，保護器材，足部，安全鞋</t>
  </si>
  <si>
    <t xml:space="preserve">015742710M
</t>
  </si>
  <si>
    <t>6.7</t>
  </si>
  <si>
    <t>職業安全衛生，保護器材，身體，勞工衛生用防護衣</t>
  </si>
  <si>
    <t>套</t>
  </si>
  <si>
    <t xml:space="preserve">015742870G
</t>
  </si>
  <si>
    <t>6.8</t>
  </si>
  <si>
    <t>職業安全衛生，保護器材，身體，反光背心(印有「水利工程處施工廠商人員」字樣)</t>
  </si>
  <si>
    <t xml:space="preserve">0157428A0G
</t>
  </si>
  <si>
    <t>6.9</t>
  </si>
  <si>
    <t>職業安全衛生，保護器材，高處作業(含掛鉤等配件)</t>
  </si>
  <si>
    <t xml:space="preserve">0157429008
</t>
  </si>
  <si>
    <t>6.10</t>
  </si>
  <si>
    <t>職業安全衛生，保護器材，意外傷害救護設備，急救箱</t>
  </si>
  <si>
    <t xml:space="preserve">015742A107
</t>
  </si>
  <si>
    <t>6.11</t>
  </si>
  <si>
    <t>職業安全衛生，保護器材，臨水作業救生設備（含救生船及救生圈）</t>
  </si>
  <si>
    <t xml:space="preserve">015742D008
</t>
  </si>
  <si>
    <t>6.12</t>
  </si>
  <si>
    <t>職業安全衛生，保護器材，臨水作業救生設備，救生衣</t>
  </si>
  <si>
    <t xml:space="preserve">015742D108
</t>
  </si>
  <si>
    <t>6.13</t>
  </si>
  <si>
    <t>職業安全衛生，保護器材，臨水作業救生設備，救生圈(含救生索)</t>
  </si>
  <si>
    <t xml:space="preserve">015742D408
</t>
  </si>
  <si>
    <t>6.14</t>
  </si>
  <si>
    <t>職業安全衛生，保護器材，安全扶梯(2M高度以上，45cm寬)</t>
  </si>
  <si>
    <t xml:space="preserve">0157429517
</t>
  </si>
  <si>
    <t>6.15</t>
  </si>
  <si>
    <t>臨時設施，照明設備，夜間(500W含伸縮腳架)</t>
  </si>
  <si>
    <t xml:space="preserve">0151030028
</t>
  </si>
  <si>
    <t>6.16</t>
  </si>
  <si>
    <t>職業安全衛生，飲水及休息設備</t>
  </si>
  <si>
    <t xml:space="preserve">01574E0004
</t>
  </si>
  <si>
    <t>6.17</t>
  </si>
  <si>
    <t>產品，平面式塑膠警示帶</t>
  </si>
  <si>
    <t xml:space="preserve">M0250610001
</t>
  </si>
  <si>
    <t>6.18</t>
  </si>
  <si>
    <t>職安人員費用</t>
  </si>
  <si>
    <t>人月</t>
  </si>
  <si>
    <t>01574000D4
[人力工項不打折]設置2人</t>
  </si>
  <si>
    <t>6.19</t>
  </si>
  <si>
    <t>職業安全衛生，安衛管理及其他安全衛生措施</t>
  </si>
  <si>
    <t>01574B0004
含教育訓練及防災演練</t>
  </si>
  <si>
    <t>　七</t>
  </si>
  <si>
    <t>自主品管費</t>
  </si>
  <si>
    <t>7.1</t>
  </si>
  <si>
    <t>品管人員費用</t>
  </si>
  <si>
    <t>01574000D5
[人力工項不打折]設置2人</t>
  </si>
  <si>
    <t>7.2</t>
  </si>
  <si>
    <t>行政管理費</t>
  </si>
  <si>
    <t>01450000E4
含廠製圖及送審文件製作</t>
  </si>
  <si>
    <t>　八</t>
  </si>
  <si>
    <t>稅什費（含保險費）</t>
  </si>
  <si>
    <t>(一~七)*_x000D_
[約10.95000004%]</t>
  </si>
  <si>
    <t>　九</t>
  </si>
  <si>
    <t>台北港土方管理費</t>
  </si>
  <si>
    <t>本項單價為固定值(150元/M3)，訂約時不隨折數調整，依實際進場土方計價(費用不另計稅什費)</t>
  </si>
  <si>
    <t>9.1</t>
  </si>
  <si>
    <t xml:space="preserve">02323BX2A3
</t>
  </si>
  <si>
    <t>　一０</t>
  </si>
  <si>
    <t>鄰房現況鑑定（含稅）</t>
  </si>
  <si>
    <t>本項單價為固定值(56元/M2)，訂約時不隨折數調整，依實際鑑定戶數計架並檢據核銷(費用不另計稅什費)</t>
  </si>
  <si>
    <t>10.1</t>
  </si>
  <si>
    <t>鄰房現況鑑定(含稅)</t>
  </si>
  <si>
    <t xml:space="preserve">0225305002
</t>
  </si>
  <si>
    <t>【發包工程費小計】</t>
  </si>
  <si>
    <t>總價(總計)</t>
  </si>
  <si>
    <t>註記:</t>
  </si>
  <si>
    <t xml:space="preserve">一、人力項目單價依原列預算單價不予調低，「交通維持，道路管制人員，日間(06-22時)，義交」單價為280元/時、「職安人員費用」單價為47,468元/人月、「品管人員費用」單價為47,468元/人月。_x000D_
二、本工程包含有價廢料變賣項，係將本工程所產生之有價廢料變賣予廠商，該款項得標廠商得以現金方式繳納或由工程估驗款內扣抵，各項單價不得因決標金額所做比例調整而變動，預估數量計算所得總售價不列入標單暨發包契約總價，變賣項目及預估數量條列如後：_x000D_
  1.「瀝青混凝土刨除料變賣」，單價：575.00元/M3，預估數量：1,751.89M3，複價：1,007,336.75元。_x000D_
  2.「工地拆除，拆除材料回收利用與儲存」，單價：20.00元/KG，預估數量：5,720.19KG，複價：114,403.80元。_x000D_
  3.「拆除鋼筋」，單價：8.00元/KG，預估數量：719,800.00KG，複價：5,758,400.00元。_x000D_
 預估變賣總價為：6,880,140.55元，惟發包後則由得標廠商依實做數量乘單價以結算總售價。 </t>
  </si>
  <si>
    <t>1變後</t>
    <phoneticPr fontId="3" type="noConversion"/>
  </si>
  <si>
    <t>2變後</t>
    <phoneticPr fontId="3" type="noConversion"/>
  </si>
  <si>
    <t>1.1.24</t>
    <phoneticPr fontId="4" type="noConversion"/>
  </si>
  <si>
    <t>表土清除，堆置，及回填費，t=30cm</t>
    <phoneticPr fontId="4" type="noConversion"/>
  </si>
  <si>
    <t>1.1.25</t>
    <phoneticPr fontId="4" type="noConversion"/>
  </si>
  <si>
    <t>餘土分類處理</t>
    <phoneticPr fontId="4" type="noConversion"/>
  </si>
  <si>
    <t>1.1.26</t>
    <phoneticPr fontId="4" type="noConversion"/>
  </si>
  <si>
    <t>路線漆標線，12公尺以下道路及零星路段繪設</t>
    <phoneticPr fontId="4" type="noConversion"/>
  </si>
  <si>
    <t>1.1.27</t>
    <phoneticPr fontId="4" type="noConversion"/>
  </si>
  <si>
    <t>餘方近運1km小搬運</t>
    <phoneticPr fontId="4" type="noConversion"/>
  </si>
  <si>
    <t>1.1.28</t>
    <phoneticPr fontId="4" type="noConversion"/>
  </si>
  <si>
    <t>細整地</t>
    <phoneticPr fontId="4" type="noConversion"/>
  </si>
  <si>
    <t>1.3.38</t>
    <phoneticPr fontId="4" type="noConversion"/>
  </si>
  <si>
    <t>透地雷達</t>
    <phoneticPr fontId="4" type="noConversion"/>
  </si>
  <si>
    <t>1.3.39</t>
    <phoneticPr fontId="4" type="noConversion"/>
  </si>
  <si>
    <t>管線探測，鑽孔</t>
    <phoneticPr fontId="4" type="noConversion"/>
  </si>
  <si>
    <t>1.3.40</t>
    <phoneticPr fontId="4" type="noConversion"/>
  </si>
  <si>
    <t>地質鑽探</t>
    <phoneticPr fontId="4" type="noConversion"/>
  </si>
  <si>
    <t>1.3.41</t>
  </si>
  <si>
    <t>鋼構吊裝</t>
  </si>
  <si>
    <t>1.3.42</t>
  </si>
  <si>
    <t>金屬製品，防震拉條</t>
  </si>
  <si>
    <t>1.3.43</t>
  </si>
  <si>
    <t>金屬製品，防落裝置</t>
  </si>
  <si>
    <t>1.4.20</t>
    <phoneticPr fontId="4" type="noConversion"/>
  </si>
  <si>
    <t>混凝土軋碎加工，含人工撿拾</t>
    <phoneticPr fontId="4" type="noConversion"/>
  </si>
  <si>
    <t>1.4.21</t>
  </si>
  <si>
    <t>砌排石工，混凝土砌石(卵石均厚70cm)</t>
  </si>
  <si>
    <t>1.4.22</t>
  </si>
  <si>
    <t>預力混凝土基樁，D=600mm，(打樁，含樁，空打及PC版樁隱蔽障礙物清除處理)</t>
  </si>
  <si>
    <t>1.4.23</t>
  </si>
  <si>
    <t>結構用混凝土，預拌，280kgf/cm2(第二型水泥)</t>
  </si>
  <si>
    <t>1.4.24</t>
  </si>
  <si>
    <t>混凝土植草磚</t>
  </si>
  <si>
    <t>1.6.16</t>
    <phoneticPr fontId="4" type="noConversion"/>
  </si>
  <si>
    <t>(免拆模板，鋼質)，厚3mm鋼模</t>
    <phoneticPr fontId="4" type="noConversion"/>
  </si>
  <si>
    <t>1.7.88</t>
  </si>
  <si>
    <t>產品，空氣盆</t>
  </si>
  <si>
    <t>1.7.89</t>
  </si>
  <si>
    <t>產品，植草，植生袋，客土</t>
  </si>
  <si>
    <t>1.9.7</t>
    <phoneticPr fontId="4" type="noConversion"/>
  </si>
  <si>
    <t>臨時河道圍水設施，鋼板樁，L=13cm，(單邊水平長度，未含擋土支撐系統)</t>
    <phoneticPr fontId="4" type="noConversion"/>
  </si>
  <si>
    <t>2.10</t>
  </si>
  <si>
    <t>臨時構台便橋</t>
  </si>
  <si>
    <t>2.11</t>
  </si>
  <si>
    <t>臨時直立式號誌</t>
  </si>
  <si>
    <t>39項重金屬檢測</t>
    <phoneticPr fontId="4" type="noConversion"/>
  </si>
  <si>
    <t>3.36</t>
  </si>
  <si>
    <t>品質管理，預力混凝土基樁試驗</t>
  </si>
  <si>
    <t>3.37</t>
  </si>
  <si>
    <t>品質管理，材料設備檢驗費，盤式支承(固定型、單向活動型)垂直載重試驗(含支承墊回復)</t>
  </si>
  <si>
    <t>3.38</t>
  </si>
  <si>
    <t>品質管理，材料設備檢驗費，盤式支承(單向活動型)滑動摩擦係數試驗</t>
  </si>
  <si>
    <t>3.39</t>
  </si>
  <si>
    <t>品質管理，材料設備檢驗費，盤式支承尺度及表面粗糙度試驗</t>
  </si>
  <si>
    <t>環境保護費用，灑水車</t>
    <phoneticPr fontId="4" type="noConversion"/>
  </si>
  <si>
    <t>臨時工(百齡抽水站暫置區用)</t>
    <phoneticPr fontId="4" type="noConversion"/>
  </si>
  <si>
    <t xml:space="preserve">施工圍籬，組合式活動，1.8m≦高度&lt;2.1m	</t>
    <phoneticPr fontId="4" type="noConversion"/>
  </si>
  <si>
    <t>日</t>
  </si>
  <si>
    <t>袋</t>
  </si>
  <si>
    <t>車</t>
  </si>
  <si>
    <t>估驗日期：</t>
  </si>
  <si>
    <t>項目說明</t>
  </si>
  <si>
    <t>原契約
數量</t>
  </si>
  <si>
    <t>變 更 後
核定數量</t>
  </si>
  <si>
    <t>估驗
單價</t>
  </si>
  <si>
    <t>本   次
估驗數量</t>
  </si>
  <si>
    <t>本次止累計
估驗數量</t>
  </si>
  <si>
    <t>本   次
估驗金額</t>
  </si>
  <si>
    <t>本次止累計
估驗金額</t>
  </si>
  <si>
    <t>備    註</t>
  </si>
  <si>
    <t>一</t>
  </si>
  <si>
    <t>(一)</t>
  </si>
  <si>
    <t>4</t>
  </si>
  <si>
    <t>26</t>
  </si>
  <si>
    <t>路線漆標線，12公尺以下道路及零星路段繪設</t>
  </si>
  <si>
    <t>27</t>
  </si>
  <si>
    <t>餘方近運1km小搬運</t>
  </si>
  <si>
    <t>28</t>
  </si>
  <si>
    <t>細整地</t>
  </si>
  <si>
    <t>(二)</t>
  </si>
  <si>
    <t>(三)</t>
  </si>
  <si>
    <t>19</t>
  </si>
  <si>
    <t>41</t>
  </si>
  <si>
    <t>42</t>
  </si>
  <si>
    <t>43</t>
  </si>
  <si>
    <t>(四)</t>
  </si>
  <si>
    <t>9</t>
  </si>
  <si>
    <t>21</t>
  </si>
  <si>
    <t>22</t>
  </si>
  <si>
    <t>23</t>
  </si>
  <si>
    <t>24</t>
  </si>
  <si>
    <t>(五)</t>
  </si>
  <si>
    <t>5</t>
  </si>
  <si>
    <t>(六)</t>
  </si>
  <si>
    <t>16</t>
  </si>
  <si>
    <t>(免拆模板，鋼質)，厚3mm鋼模</t>
  </si>
  <si>
    <t>(七)</t>
  </si>
  <si>
    <t>88</t>
  </si>
  <si>
    <t>89</t>
  </si>
  <si>
    <t>(八)</t>
  </si>
  <si>
    <t>(九)</t>
  </si>
  <si>
    <t>3</t>
  </si>
  <si>
    <t>6</t>
  </si>
  <si>
    <t>二</t>
  </si>
  <si>
    <t>10</t>
  </si>
  <si>
    <t>11</t>
  </si>
  <si>
    <t>三</t>
  </si>
  <si>
    <t>36</t>
  </si>
  <si>
    <t>37</t>
  </si>
  <si>
    <t>38</t>
  </si>
  <si>
    <t>39</t>
  </si>
  <si>
    <t>四</t>
  </si>
  <si>
    <t>五</t>
  </si>
  <si>
    <t>12</t>
  </si>
  <si>
    <t>六</t>
  </si>
  <si>
    <t>七</t>
  </si>
  <si>
    <t>八</t>
  </si>
  <si>
    <t>(一~七)*
[約10.95000004%]</t>
  </si>
  <si>
    <t>九</t>
  </si>
  <si>
    <t>一０</t>
  </si>
  <si>
    <t>1</t>
  </si>
  <si>
    <t>合計</t>
  </si>
  <si>
    <t>本次止累計
估驗數量</t>
    <phoneticPr fontId="3" type="noConversion"/>
  </si>
  <si>
    <t>本   次
估驗金額</t>
    <phoneticPr fontId="3" type="noConversion"/>
  </si>
  <si>
    <t>本次止累計
估驗金額</t>
    <phoneticPr fontId="3" type="noConversion"/>
  </si>
  <si>
    <t>2</t>
  </si>
  <si>
    <t>7</t>
  </si>
  <si>
    <t>8</t>
  </si>
  <si>
    <t>13</t>
  </si>
  <si>
    <t>14</t>
  </si>
  <si>
    <t>15</t>
  </si>
  <si>
    <t>17</t>
  </si>
  <si>
    <t>18</t>
  </si>
  <si>
    <t>20</t>
  </si>
  <si>
    <t>表土清除，堆置，及回填費，t=30cm</t>
  </si>
  <si>
    <t>25</t>
  </si>
  <si>
    <t>餘土分類處理</t>
  </si>
  <si>
    <t>29</t>
  </si>
  <si>
    <t>30</t>
  </si>
  <si>
    <t>31</t>
  </si>
  <si>
    <t>32</t>
  </si>
  <si>
    <t>33</t>
  </si>
  <si>
    <t>34</t>
  </si>
  <si>
    <t>35</t>
  </si>
  <si>
    <t>40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</si>
  <si>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</si>
  <si>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</si>
  <si>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</si>
  <si>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</si>
  <si>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</si>
  <si>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</si>
  <si>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</si>
  <si>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</si>
  <si>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</si>
  <si>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</si>
  <si>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</si>
  <si>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</si>
  <si>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</si>
  <si>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</si>
  <si>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</si>
  <si>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</si>
  <si>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</si>
  <si>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</si>
  <si>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</si>
  <si>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</si>
  <si>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</si>
  <si>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</si>
  <si>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</si>
  <si>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</si>
  <si>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</si>
  <si>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</si>
  <si>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</si>
  <si>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</si>
  <si>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</si>
  <si>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</si>
  <si>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</si>
  <si>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</si>
  <si>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</si>
  <si>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</si>
  <si>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</si>
  <si>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</si>
  <si>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</si>
  <si>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</si>
  <si>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</si>
  <si>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</si>
  <si>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</si>
  <si>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</si>
  <si>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</si>
  <si>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</si>
  <si>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90</t>
  </si>
  <si>
    <t>91</t>
  </si>
  <si>
    <t>92</t>
  </si>
  <si>
    <t>93</t>
  </si>
  <si>
    <t>94</t>
  </si>
  <si>
    <t>透地雷達</t>
  </si>
  <si>
    <t>管線探測，鑽孔</t>
  </si>
  <si>
    <t>地質鑽探</t>
  </si>
  <si>
    <t>混凝土軋碎加工，含人工撿拾</t>
  </si>
  <si>
    <t>(估驗比率約:100%)</t>
  </si>
  <si>
    <t>臨時河道圍水設施，鋼板樁，L=13cm，(單邊水平長度，未含擋土支撐系統)</t>
  </si>
  <si>
    <t>39項重金屬檢測</t>
  </si>
  <si>
    <t>環境保護費用，灑水車</t>
  </si>
  <si>
    <t>臨時工(百齡抽水站暫置區用)</t>
  </si>
  <si>
    <t>施工圍籬，組合式活動，1.8m≦高度&lt;2.1m</t>
  </si>
  <si>
    <t>貳</t>
  </si>
  <si>
    <t>物價調整累計金額</t>
  </si>
  <si>
    <t>總計</t>
  </si>
  <si>
    <t>參</t>
  </si>
  <si>
    <t>變賣收入項</t>
  </si>
  <si>
    <t>瀝青混凝土刨除料變賣</t>
  </si>
  <si>
    <t>工地拆除，拆除材料回收利用與儲存</t>
  </si>
  <si>
    <t>拆除鋼筋</t>
  </si>
  <si>
    <t>累計估驗進度</t>
    <phoneticPr fontId="2" type="noConversion"/>
  </si>
  <si>
    <t>本期估驗進度</t>
    <phoneticPr fontId="2" type="noConversion"/>
  </si>
  <si>
    <t xml:space="preserve">  ** 單價計 **</t>
  </si>
  <si>
    <t xml:space="preserve">  ** 小計 **</t>
  </si>
  <si>
    <t xml:space="preserve">W0127110004
</t>
  </si>
  <si>
    <t>零星工料</t>
  </si>
  <si>
    <t xml:space="preserve">E000008E00001
</t>
  </si>
  <si>
    <t>卡車起重機</t>
  </si>
  <si>
    <t xml:space="preserve">L000006000002
</t>
  </si>
  <si>
    <t>工</t>
  </si>
  <si>
    <t>普通工</t>
  </si>
  <si>
    <t xml:space="preserve">M0556200009
</t>
  </si>
  <si>
    <t>產品，鑄鐵件</t>
  </si>
  <si>
    <t xml:space="preserve">L000006100002
</t>
  </si>
  <si>
    <t>小工</t>
  </si>
  <si>
    <t xml:space="preserve">L000006200002
</t>
  </si>
  <si>
    <t>大工</t>
  </si>
  <si>
    <t>M0321030035
含廠商產品檢驗合格證明書</t>
  </si>
  <si>
    <t>產品，鋼筋，SD280，工地交貨</t>
  </si>
  <si>
    <t xml:space="preserve">0321030075
</t>
  </si>
  <si>
    <t>鋼筋，SD280，連工帶料</t>
  </si>
  <si>
    <t>分析表290</t>
  </si>
  <si>
    <t xml:space="preserve">L000006100001
</t>
  </si>
  <si>
    <t>05500R0009A
分析表24
#本項納入「金屬製品類」物價指數調整</t>
  </si>
  <si>
    <t xml:space="preserve">16152510L000C
</t>
  </si>
  <si>
    <t>縮時攝影機(含記憶卡)</t>
  </si>
  <si>
    <t xml:space="preserve">1652510K00B2
</t>
  </si>
  <si>
    <t>縮時攝影機</t>
  </si>
  <si>
    <t>分析表289</t>
  </si>
  <si>
    <t xml:space="preserve">W0127120004
</t>
  </si>
  <si>
    <t>工具損耗</t>
  </si>
  <si>
    <t xml:space="preserve">L000006200001
</t>
  </si>
  <si>
    <t>0360100003
# TH=3cm</t>
  </si>
  <si>
    <t>無收縮水泥砂漿</t>
  </si>
  <si>
    <t>0331025003
分析表21</t>
  </si>
  <si>
    <t>0331023003
分析表20</t>
  </si>
  <si>
    <t>0321030075
分析表290</t>
  </si>
  <si>
    <t>0311011302n
分析表22
U型構，集水井，排水箱涵等。本項納入(普通模板)物價指數調整</t>
  </si>
  <si>
    <t>0231740#M1
分析表18</t>
  </si>
  <si>
    <t>165297BB2BA-12
#</t>
  </si>
  <si>
    <t>景觀高燈混凝土基礎座</t>
  </si>
  <si>
    <t>分析表288</t>
  </si>
  <si>
    <t xml:space="preserve">02323PWDB0001
</t>
  </si>
  <si>
    <t>餘方自行處理，就地平衡</t>
  </si>
  <si>
    <t xml:space="preserve">M02900B100B
</t>
  </si>
  <si>
    <t>產品，植栽，客土，砂質壤土</t>
  </si>
  <si>
    <t xml:space="preserve">029003000B
</t>
  </si>
  <si>
    <t>植栽，機械挖穴</t>
  </si>
  <si>
    <t xml:space="preserve">029003000C
</t>
  </si>
  <si>
    <t>分析表287</t>
  </si>
  <si>
    <t xml:space="preserve">L000006A00021
</t>
  </si>
  <si>
    <t>配合技術工之勞工，立支柱</t>
  </si>
  <si>
    <t xml:space="preserve">L000006A00051
</t>
  </si>
  <si>
    <t>配合技術工之勞工，剝樹皮</t>
  </si>
  <si>
    <t xml:space="preserve">M02900E416A
</t>
  </si>
  <si>
    <t>產品，植栽，支柱，原木，一支，(經防腐處理，H=3.0m，D=5~8cm)</t>
  </si>
  <si>
    <t xml:space="preserve">02900E4368
</t>
  </si>
  <si>
    <t>植栽，支柱，原木，三支，(經防腐處理，H=3.0m，D=5-8cm)</t>
  </si>
  <si>
    <t>分析表286</t>
  </si>
  <si>
    <t xml:space="preserve">M02900E415A
</t>
  </si>
  <si>
    <t>產品，植栽，支柱，原木，一支，(經防腐處理，H=2.4m，D=6~8cm)</t>
  </si>
  <si>
    <t xml:space="preserve">02900E4358
</t>
  </si>
  <si>
    <t>植栽，支柱，原木，三支，(經防腐處理，H=2.4m，D=6~8cm)</t>
  </si>
  <si>
    <t>分析表285</t>
  </si>
  <si>
    <t>M02900E414A
0</t>
  </si>
  <si>
    <t>產品，植栽，支柱，原木，一支，(經防腐處理，H=1.8m，D=5-8cm)</t>
  </si>
  <si>
    <t xml:space="preserve">02900E4348
</t>
  </si>
  <si>
    <t>植栽，支柱，原木，三支，(經防腐處理，H=1.8m，D=5-8cm)</t>
  </si>
  <si>
    <t>分析表284</t>
  </si>
  <si>
    <t>0550011009
本項納入「金屬製品類」物價指數調整</t>
  </si>
  <si>
    <t>結構用鋼料，製作</t>
  </si>
  <si>
    <t xml:space="preserve">L000005100041
</t>
  </si>
  <si>
    <t>機具操作技術工，移動式起重機</t>
  </si>
  <si>
    <t xml:space="preserve">E000008b10001
</t>
  </si>
  <si>
    <t>移動式起重機，10~19t</t>
  </si>
  <si>
    <t xml:space="preserve">0508160004
</t>
  </si>
  <si>
    <t>熱浸鍍鋅處理，550g/m2≦鍍鋅附著量</t>
  </si>
  <si>
    <t>05500R1009
本項納入「金屬製品類」物價指數調整</t>
  </si>
  <si>
    <t>鍍鋅鋼料，製作</t>
  </si>
  <si>
    <t>分析表283</t>
  </si>
  <si>
    <t xml:space="preserve">L000005B00011
</t>
  </si>
  <si>
    <t>泥水工，粉刷</t>
  </si>
  <si>
    <t>0406130003
分析表263</t>
  </si>
  <si>
    <t>水泥砂漿，1:3</t>
  </si>
  <si>
    <t xml:space="preserve">02386PWDA1302
</t>
  </si>
  <si>
    <t>砌排石工，水泥砂漿表面勾縫，1：3</t>
  </si>
  <si>
    <t>分析表282</t>
  </si>
  <si>
    <t xml:space="preserve">W0127191007
</t>
  </si>
  <si>
    <t>盤式支承，安裝費</t>
  </si>
  <si>
    <t>0360100004
#</t>
  </si>
  <si>
    <t>盤式支承，無收縮水泥砂漿</t>
  </si>
  <si>
    <t xml:space="preserve">M0582111007
</t>
  </si>
  <si>
    <t>產品，盤式支承，固定型，標稱載重 &lt; 50tf</t>
  </si>
  <si>
    <t xml:space="preserve">0582110007
</t>
  </si>
  <si>
    <t>盤式支承 固定型，標稱載重 &lt; 50tf</t>
  </si>
  <si>
    <t>分析表281</t>
  </si>
  <si>
    <t>L000005000301
#</t>
  </si>
  <si>
    <t>技術工</t>
  </si>
  <si>
    <t xml:space="preserve">M0792110004
</t>
  </si>
  <si>
    <t>產品，填縫材，填縫劑</t>
  </si>
  <si>
    <t xml:space="preserve">M0712020002
</t>
  </si>
  <si>
    <t>產品，油毛氈</t>
  </si>
  <si>
    <t xml:space="preserve">0712020002
</t>
  </si>
  <si>
    <t>油毛氈木條及鋪設</t>
  </si>
  <si>
    <t>分析表280</t>
  </si>
  <si>
    <t xml:space="preserve">M0337105003
</t>
  </si>
  <si>
    <t>產品，無收縮混凝土，抗壓強度350 kgf/cm2</t>
  </si>
  <si>
    <t xml:space="preserve">0337105003
</t>
  </si>
  <si>
    <t>無收縮混凝土，抗壓強度350 kgf/cm2</t>
  </si>
  <si>
    <t>分析表279</t>
  </si>
  <si>
    <t xml:space="preserve">M0582121107
</t>
  </si>
  <si>
    <t>產品，盤式支承，單向活動型，標稱載重 &lt; 50tf</t>
  </si>
  <si>
    <t xml:space="preserve">0582120007
</t>
  </si>
  <si>
    <t>盤式支承 單向活動型,50tf,H=12tf</t>
  </si>
  <si>
    <t>分析表278</t>
  </si>
  <si>
    <t xml:space="preserve">M0582114127
</t>
  </si>
  <si>
    <t>產品，盤式支承，固定型，200tf，抗拉拔力100tf</t>
  </si>
  <si>
    <t xml:space="preserve">0582114127
</t>
  </si>
  <si>
    <t>盤式支承 固定型,200tf,H=50tf，抗拉拔力100tf</t>
  </si>
  <si>
    <t>分析表277</t>
  </si>
  <si>
    <t xml:space="preserve">W0127191004
</t>
  </si>
  <si>
    <t>安裝費</t>
  </si>
  <si>
    <t xml:space="preserve">M0506010012
</t>
  </si>
  <si>
    <t>產品，格柵</t>
  </si>
  <si>
    <t xml:space="preserve">M0506010013
</t>
  </si>
  <si>
    <t>產品，橋面洩水孔(含鋼管)</t>
  </si>
  <si>
    <t xml:space="preserve">0263911301
</t>
  </si>
  <si>
    <t>橋面排水孔(含格柵及鋼管)</t>
  </si>
  <si>
    <t>分析表276</t>
  </si>
  <si>
    <t xml:space="preserve">W0127130004
</t>
  </si>
  <si>
    <t>運雜費</t>
  </si>
  <si>
    <t xml:space="preserve">W09PWD00064
</t>
  </si>
  <si>
    <t>施工費</t>
  </si>
  <si>
    <t xml:space="preserve">M09PWB00011
</t>
  </si>
  <si>
    <t>產品，橋面伸縮縫</t>
  </si>
  <si>
    <t xml:space="preserve">02DA000041
</t>
  </si>
  <si>
    <t>橋梁伸縮縫</t>
  </si>
  <si>
    <t>分析表275</t>
  </si>
  <si>
    <t xml:space="preserve">E39ZA000004
</t>
  </si>
  <si>
    <t>旋緊器具</t>
  </si>
  <si>
    <t xml:space="preserve">W012719Z0B1
</t>
  </si>
  <si>
    <t>安裝費，強力螺栓安裝</t>
  </si>
  <si>
    <t xml:space="preserve">M0509002ZB1
</t>
  </si>
  <si>
    <t>產品，螺栓，ASTM A325 TYPE Ⅲ強力螺栓</t>
  </si>
  <si>
    <t xml:space="preserve">0509002ZB1
</t>
  </si>
  <si>
    <t>螺栓，ASTM A325 TYPE Ⅲ強力螺栓</t>
  </si>
  <si>
    <t>分析表274</t>
  </si>
  <si>
    <t xml:space="preserve">09910ZP751
</t>
  </si>
  <si>
    <t>塗刷費</t>
  </si>
  <si>
    <t xml:space="preserve">09910ZP551
</t>
  </si>
  <si>
    <t>底漆材料</t>
  </si>
  <si>
    <t xml:space="preserve">09910ZP651
</t>
  </si>
  <si>
    <t>面漆、中間黏層、中塗漆等材料</t>
  </si>
  <si>
    <t xml:space="preserve">09910ZP451
</t>
  </si>
  <si>
    <t>表面噴砂處理(含補漆)</t>
  </si>
  <si>
    <t xml:space="preserve">0997210002
</t>
  </si>
  <si>
    <t>鋼橋塗裝</t>
  </si>
  <si>
    <t>分析表273</t>
  </si>
  <si>
    <t xml:space="preserve">L000006A00071
</t>
  </si>
  <si>
    <t>配合技術工之勞工，泥水</t>
  </si>
  <si>
    <t xml:space="preserve">L000005000021
</t>
  </si>
  <si>
    <t>技術工，斬石子</t>
  </si>
  <si>
    <t xml:space="preserve">L000005B00001
</t>
  </si>
  <si>
    <t>泥水工</t>
  </si>
  <si>
    <t xml:space="preserve">09220000F4
</t>
  </si>
  <si>
    <t>水泥砂漿粉刷，分隔壓條</t>
  </si>
  <si>
    <t xml:space="preserve">M09050G0009
</t>
  </si>
  <si>
    <t>產品，礦物填縫料</t>
  </si>
  <si>
    <t xml:space="preserve">M0305022009
</t>
  </si>
  <si>
    <t>產品，粒料，細粒料，2.1~3mm</t>
  </si>
  <si>
    <t xml:space="preserve">M030521140A
</t>
  </si>
  <si>
    <t>包</t>
  </si>
  <si>
    <t>產品，卜特蘭水泥，第1型水泥，袋裝，工地交貨</t>
  </si>
  <si>
    <t xml:space="preserve">0922030022
</t>
  </si>
  <si>
    <t>水泥砂漿粉刷，1：3水泥砂漿，打底</t>
  </si>
  <si>
    <t>0978100002
共月橋無障礙警示帶</t>
  </si>
  <si>
    <t>斬石子</t>
  </si>
  <si>
    <t>分析表272</t>
  </si>
  <si>
    <t xml:space="preserve">E000003100004
</t>
  </si>
  <si>
    <t>混凝土振動器</t>
  </si>
  <si>
    <t xml:space="preserve">L000006900021
</t>
  </si>
  <si>
    <t>混凝土作業工，澆置</t>
  </si>
  <si>
    <t xml:space="preserve">L0000051000P1
</t>
  </si>
  <si>
    <t>操作手，吊放機具</t>
  </si>
  <si>
    <t xml:space="preserve">L000005300071
</t>
  </si>
  <si>
    <t>駕駛，混凝土壓送車</t>
  </si>
  <si>
    <t xml:space="preserve">E000002600111
</t>
  </si>
  <si>
    <t>混凝土泵，混凝土輸送管，泵浦車出車費</t>
  </si>
  <si>
    <t>分析表271</t>
  </si>
  <si>
    <t xml:space="preserve">02323F0003
</t>
  </si>
  <si>
    <t>泥漿處理</t>
  </si>
  <si>
    <t xml:space="preserve">L000005300021
</t>
  </si>
  <si>
    <t>駕駛，大貨車</t>
  </si>
  <si>
    <t xml:space="preserve">E000003A35011
</t>
  </si>
  <si>
    <t>罐車，總重35~35.9t，裝泥漿用</t>
  </si>
  <si>
    <t xml:space="preserve">02323H0003
</t>
  </si>
  <si>
    <t>泥漿運棄及處理</t>
  </si>
  <si>
    <t>分析表270</t>
  </si>
  <si>
    <t xml:space="preserve">M0506020009
</t>
  </si>
  <si>
    <t>產品，金屬材料，鐵線</t>
  </si>
  <si>
    <t xml:space="preserve">L000005K00001n
</t>
  </si>
  <si>
    <t>鋼筋彎紮工</t>
  </si>
  <si>
    <t xml:space="preserve">L000005K00011n
</t>
  </si>
  <si>
    <t>鋼筋彎紮工，鋼筋剪裁</t>
  </si>
  <si>
    <t>M0321060035
本項納入(鋼筋)物價指數調整</t>
  </si>
  <si>
    <t>產品，鋼筋，SD420W</t>
  </si>
  <si>
    <t>0321060035z
本項納入(鋼筋)物價指數調整</t>
  </si>
  <si>
    <t>分析表269</t>
  </si>
  <si>
    <t xml:space="preserve">M023191400B
</t>
  </si>
  <si>
    <t>L.M3</t>
  </si>
  <si>
    <t>產品，選擇性回填材料，透水材料，卵石</t>
  </si>
  <si>
    <t xml:space="preserve">02319140BA
</t>
  </si>
  <si>
    <t>選擇性回填材料，透水材料，卵石，用於構造物背填</t>
  </si>
  <si>
    <t>分析表268</t>
  </si>
  <si>
    <t>M15110D65C6
含五金固定另件</t>
  </si>
  <si>
    <t>產品，高罩落水頭∮=3"(不銹鋼)</t>
  </si>
  <si>
    <t>15110D65C6
#</t>
  </si>
  <si>
    <t>高罩落水頭∮=3"</t>
  </si>
  <si>
    <t>分析表267</t>
  </si>
  <si>
    <t xml:space="preserve">M024950D082
</t>
  </si>
  <si>
    <t>產品，標高調整器</t>
  </si>
  <si>
    <t xml:space="preserve">E3533X10001
</t>
  </si>
  <si>
    <t>拍漿機(粉光用)</t>
  </si>
  <si>
    <t>0922030042
(適用施作面積200M2以上)</t>
  </si>
  <si>
    <t>水泥砂漿粉刷，1：3水泥砂漿，整體粉光</t>
  </si>
  <si>
    <t>分析表266</t>
  </si>
  <si>
    <t>0941010#32
#</t>
  </si>
  <si>
    <t>磨石子，打蠟</t>
  </si>
  <si>
    <t>M0274030002
#</t>
  </si>
  <si>
    <t>產品，柔性舖面，礦物填縫料</t>
  </si>
  <si>
    <t xml:space="preserve">0941000002
</t>
  </si>
  <si>
    <t>水泥磨石子</t>
  </si>
  <si>
    <t>分析表265</t>
  </si>
  <si>
    <t xml:space="preserve">M0277850002
</t>
  </si>
  <si>
    <t>產品，人行道面層，鋪面磚(高壓)</t>
  </si>
  <si>
    <t>0277850021
(警示帶/定位磚)</t>
  </si>
  <si>
    <t>人行道面層，舖面磚(高壓)，未含伸縮縫</t>
  </si>
  <si>
    <t>分析表264</t>
  </si>
  <si>
    <t xml:space="preserve">M030502203B
</t>
  </si>
  <si>
    <t>產品，粒料，細粒料，工地交貨</t>
  </si>
  <si>
    <t xml:space="preserve">0406130003
</t>
  </si>
  <si>
    <t>分析表263</t>
  </si>
  <si>
    <t xml:space="preserve">0553000044
</t>
  </si>
  <si>
    <t>金屬格柵蓋板，搬運費(含安裝)</t>
  </si>
  <si>
    <t xml:space="preserve">05060D3004
</t>
  </si>
  <si>
    <t>金屬材料，鐵件，五金零件</t>
  </si>
  <si>
    <t>M05530600021
本項納入「金屬製品類」物價指數調整</t>
  </si>
  <si>
    <t>產品，鍍鋅格柵蓋板(粗目型)</t>
  </si>
  <si>
    <t>05530600021
(W980*L1000mm)</t>
  </si>
  <si>
    <t>鍍鋅格柵蓋板，粗目型</t>
  </si>
  <si>
    <t>分析表262</t>
  </si>
  <si>
    <t xml:space="preserve">02742000F3
</t>
  </si>
  <si>
    <t>瀝青混凝土舖面，邊模等零星器材費</t>
  </si>
  <si>
    <t xml:space="preserve">M0296613203
</t>
  </si>
  <si>
    <t>產品，再生瀝青混凝土鋪面，(密級配，30%回收料)，粗粒料19.0mm，黏度AC(1)-10</t>
  </si>
  <si>
    <t xml:space="preserve">02742000A3
</t>
  </si>
  <si>
    <t>瀝青混凝土舖面，舖築及滾壓</t>
  </si>
  <si>
    <t xml:space="preserve">0296610003
</t>
  </si>
  <si>
    <t>再生瀝青混凝土鋪面，(密級配，30%回收料)</t>
  </si>
  <si>
    <t>分析表261</t>
  </si>
  <si>
    <t xml:space="preserve">0922030012
</t>
  </si>
  <si>
    <t>水泥砂漿粉刷，1：3水泥砂漿，面層粉光</t>
  </si>
  <si>
    <t>分析表260</t>
  </si>
  <si>
    <t xml:space="preserve">M023191300B
</t>
  </si>
  <si>
    <t>產品，選擇性回填材料，透水材料，碎石</t>
  </si>
  <si>
    <t xml:space="preserve">02319130BA
</t>
  </si>
  <si>
    <t>選擇性回填材料，透水材料，碎石，用於構造物背填</t>
  </si>
  <si>
    <t>分析表259</t>
  </si>
  <si>
    <t xml:space="preserve">05500PWD00004
</t>
  </si>
  <si>
    <t>加工組立（含焊接螺栓）、油漆及吊運組裝費</t>
  </si>
  <si>
    <t xml:space="preserve">051201A001
</t>
  </si>
  <si>
    <t>結構鋼，熱軋型鋼，輕量型鋼</t>
  </si>
  <si>
    <t xml:space="preserve">05500PWD50C03
</t>
  </si>
  <si>
    <t>鋼管（∮113.9mm）</t>
  </si>
  <si>
    <t xml:space="preserve">0512018181
</t>
  </si>
  <si>
    <t>結構鋼，熱軋型鋼，H型鋼，(H250xB250mm，t1=9mm，t2=14mm)</t>
  </si>
  <si>
    <t>01556H1001
使用10次，以新製品或完整無缺(重新油漆或清理過後)之堪用品</t>
  </si>
  <si>
    <t>分析表258</t>
  </si>
  <si>
    <t>M02899#B002
D=8cm ±5%，H=75cm ±5%</t>
  </si>
  <si>
    <t>產品，PU彈性分隔桿</t>
  </si>
  <si>
    <t>02899#B001
D=8cm ±5%，H=75cm ±5%</t>
  </si>
  <si>
    <t>分析表257</t>
  </si>
  <si>
    <t xml:space="preserve">M028910A007
</t>
  </si>
  <si>
    <t>產品，牌面承座及零件</t>
  </si>
  <si>
    <t xml:space="preserve">02891A5007
</t>
  </si>
  <si>
    <t>分析表256</t>
  </si>
  <si>
    <t xml:space="preserve">01583B1044
</t>
  </si>
  <si>
    <t>工程告示牌及工地標誌，柔性告示牌，鋁質，裝拆及維護</t>
  </si>
  <si>
    <t xml:space="preserve">M01583B100A
</t>
  </si>
  <si>
    <t>產品，工程告示牌及工地標誌，柔性告示牌，鋁質</t>
  </si>
  <si>
    <t>01583B000A
創意柔性告示牌之圖案須依機關提供之電子檔依比例放大製作</t>
  </si>
  <si>
    <t>分析表255</t>
  </si>
  <si>
    <t>0158311324
含維護</t>
  </si>
  <si>
    <t>工程告示牌及工地標誌，工程告示牌，鋁質，長500x寬320cm，安裝費</t>
  </si>
  <si>
    <t xml:space="preserve">M015831130An
</t>
  </si>
  <si>
    <t>產品，工程告示牌及工地標誌，工程告示牌，鋁質，長500x寬320cm</t>
  </si>
  <si>
    <t xml:space="preserve">015831130Bn
</t>
  </si>
  <si>
    <t>分析表254</t>
  </si>
  <si>
    <t xml:space="preserve">01510A1004
</t>
  </si>
  <si>
    <t>臨時設施，工程用電，交通維持警示燈</t>
  </si>
  <si>
    <t xml:space="preserve">015567003A
</t>
  </si>
  <si>
    <t>移動性施工標誌，維護</t>
  </si>
  <si>
    <t xml:space="preserve">015567002A
</t>
  </si>
  <si>
    <t>移動性施工標誌，裝拆</t>
  </si>
  <si>
    <t xml:space="preserve">M015568000A
</t>
  </si>
  <si>
    <t>產品，施工警告燈號</t>
  </si>
  <si>
    <t xml:space="preserve">015568000A
</t>
  </si>
  <si>
    <t>分析表253</t>
  </si>
  <si>
    <t xml:space="preserve">015563003A
</t>
  </si>
  <si>
    <t>活動型拒馬，維護</t>
  </si>
  <si>
    <t xml:space="preserve">015563002A
</t>
  </si>
  <si>
    <t>活動型拒馬，裝拆</t>
  </si>
  <si>
    <t xml:space="preserve">M0155630A0A
</t>
  </si>
  <si>
    <t>產品，活動型拒馬，長1.2m</t>
  </si>
  <si>
    <t xml:space="preserve">0155630A0A
</t>
  </si>
  <si>
    <t>分析表252</t>
  </si>
  <si>
    <t xml:space="preserve">01556L003A
</t>
  </si>
  <si>
    <t>指示標誌，維護</t>
  </si>
  <si>
    <t xml:space="preserve">01556L002A
</t>
  </si>
  <si>
    <t>指示標誌，裝拆</t>
  </si>
  <si>
    <t xml:space="preserve">M01556L001A
</t>
  </si>
  <si>
    <t>產品，指示標誌，折舊</t>
  </si>
  <si>
    <t xml:space="preserve">01556L000A
</t>
  </si>
  <si>
    <t>分析表251</t>
  </si>
  <si>
    <t xml:space="preserve">0155642037
</t>
  </si>
  <si>
    <t>交通錐，高70cm，維護</t>
  </si>
  <si>
    <t xml:space="preserve">0155642027
</t>
  </si>
  <si>
    <t>交通錐，高70cm，裝拆</t>
  </si>
  <si>
    <t xml:space="preserve">M0155642707
</t>
  </si>
  <si>
    <t>產品，交通錐，高70cm，其他適當材料，PVC，2.5kg種</t>
  </si>
  <si>
    <t xml:space="preserve">0155642707
</t>
  </si>
  <si>
    <t>分析表250</t>
  </si>
  <si>
    <t xml:space="preserve">01564M000B
</t>
  </si>
  <si>
    <t>施工圍籬，混凝土基礎</t>
  </si>
  <si>
    <t xml:space="preserve">01564L4034
</t>
  </si>
  <si>
    <t>施工圍籬，組合式固定，2.4m ≦高度，維護</t>
  </si>
  <si>
    <t xml:space="preserve">01564L4024
</t>
  </si>
  <si>
    <t>施工圍籬，組合式固定，2.4m ≦高度，裝拆</t>
  </si>
  <si>
    <t xml:space="preserve">M01564L4004
</t>
  </si>
  <si>
    <t>產品，施工圍籬，組合式固定，2.4m ≦高度</t>
  </si>
  <si>
    <t>01564L4001
高度2.4m</t>
  </si>
  <si>
    <t>分析表249</t>
  </si>
  <si>
    <t>01572F000E
280m2/月，共24個月</t>
  </si>
  <si>
    <t>分析表248</t>
  </si>
  <si>
    <t xml:space="preserve">L0000051000E1
</t>
  </si>
  <si>
    <t>操作手，清洗機</t>
  </si>
  <si>
    <t xml:space="preserve">E3535PWDX30101
</t>
  </si>
  <si>
    <t>清洗機，(高壓，泵浦壓力須達2610 psi）</t>
  </si>
  <si>
    <t xml:space="preserve">01572H100F
</t>
  </si>
  <si>
    <t>分析表247</t>
  </si>
  <si>
    <t xml:space="preserve">0133082504
</t>
  </si>
  <si>
    <t>片</t>
  </si>
  <si>
    <t>成果光碟燒製(含光碟紙套設計及印製)</t>
  </si>
  <si>
    <t>1652510K02B2
#</t>
  </si>
  <si>
    <t>成果影片拍攝(含腳本編寫、剪輯、字幕、配音、配樂、空拍)</t>
  </si>
  <si>
    <t>1652510K00B2
分析表289</t>
  </si>
  <si>
    <t>1652510K01B2
#</t>
  </si>
  <si>
    <t>施工前、中、後相片拍攝</t>
  </si>
  <si>
    <t>1652510K0112
#</t>
  </si>
  <si>
    <t>分析表246</t>
  </si>
  <si>
    <t xml:space="preserve">L000006C00001
</t>
  </si>
  <si>
    <t>臨時工，(路證申請，回報及配合道路挖掘之相關作業)</t>
  </si>
  <si>
    <t xml:space="preserve">L000006300001
</t>
  </si>
  <si>
    <t>雜工，影像傳輸設備操作</t>
  </si>
  <si>
    <t xml:space="preserve">M013211100B
</t>
  </si>
  <si>
    <t>產品，戶外型雲端管理型攝(錄)影機，(4G行動門號，即時攝影無線傳輸)，租用</t>
  </si>
  <si>
    <t xml:space="preserve">M013210100B
</t>
  </si>
  <si>
    <t>台/日</t>
  </si>
  <si>
    <t>產品，施工照相及攝(錄)影，(4G行動門號，即時攝影無線傳輸)，含電池及設備租用</t>
  </si>
  <si>
    <t>013210100b
含路證申請、回報及配合道路挖掘之相關作業費用</t>
  </si>
  <si>
    <t>分析表245</t>
  </si>
  <si>
    <t xml:space="preserve">W028432G131
</t>
  </si>
  <si>
    <t>五金另料，配合現場所需管線及PVC彎頭</t>
  </si>
  <si>
    <t xml:space="preserve">W01271400B4
</t>
  </si>
  <si>
    <t>搬運費，含機械設備材料裝卸</t>
  </si>
  <si>
    <t xml:space="preserve">015105210D
</t>
  </si>
  <si>
    <t>臨時設施，排水設備，引擎抽水機，60~100KW(含油料及運費)</t>
  </si>
  <si>
    <t>01510522BD
(含油料及運費)</t>
  </si>
  <si>
    <t>分析表244</t>
  </si>
  <si>
    <t xml:space="preserve">02255300W1
</t>
  </si>
  <si>
    <t>臨時擋土樁設施，鋼軌樁 50kg/m，運費</t>
  </si>
  <si>
    <t xml:space="preserve">0225530031
</t>
  </si>
  <si>
    <t>臨時擋土樁設施，鋼軌樁 50kg/m，打拔</t>
  </si>
  <si>
    <t xml:space="preserve">0225530E31
</t>
  </si>
  <si>
    <t>分析表243</t>
  </si>
  <si>
    <t>M0225530071
含運費</t>
  </si>
  <si>
    <t>產品，臨時擋土樁設施，鋼軌樁 50kg/m，(租金，1.0月)</t>
  </si>
  <si>
    <t>0225530001
租用(三合橋)</t>
  </si>
  <si>
    <t>分析表242</t>
  </si>
  <si>
    <t xml:space="preserve">M006D01N63A
</t>
  </si>
  <si>
    <t>產品，超音波液位計</t>
  </si>
  <si>
    <t>16401000041a
水位計(不含安裝及線材)</t>
  </si>
  <si>
    <t>白鐵雙層防水控制箱</t>
  </si>
  <si>
    <t xml:space="preserve">1640100008
</t>
  </si>
  <si>
    <t>分析表241</t>
  </si>
  <si>
    <t>M165297AB2BY
#</t>
  </si>
  <si>
    <t>產品，水波紋高燈</t>
  </si>
  <si>
    <t>165297BB2BA-12
分析表288
#</t>
  </si>
  <si>
    <t>165297AB2BA
#(含基礎鎖固螺桿五金)</t>
  </si>
  <si>
    <t>分析表240</t>
  </si>
  <si>
    <t>0127190004001
#</t>
  </si>
  <si>
    <t>安裝費，盤內裝配工資</t>
  </si>
  <si>
    <t>W0127100004002
#</t>
  </si>
  <si>
    <t>計量與計價，PVC WIRE&amp;五金另料&amp;壓克力銘牌</t>
  </si>
  <si>
    <t>W0127100004003
#</t>
  </si>
  <si>
    <t>計量與計價，基礎座含盤體定位</t>
  </si>
  <si>
    <t xml:space="preserve">W01271Z0004Z
</t>
  </si>
  <si>
    <t>打鑿修補(含防水填塞)</t>
  </si>
  <si>
    <t>164010000402
#</t>
  </si>
  <si>
    <t>低壓配電盤，CU BUS BAR 鍍錫銅排</t>
  </si>
  <si>
    <t xml:space="preserve">164133426646
</t>
  </si>
  <si>
    <t>漏電斷路器，2P，20AT，50AF，(Ics，10kA)，(AC，220V)，(30mA，0.1s</t>
  </si>
  <si>
    <t xml:space="preserve">16401C000a02
</t>
  </si>
  <si>
    <t>屋外防雨型 CASE:SUS304 2.0 粉體烤漆</t>
  </si>
  <si>
    <t xml:space="preserve">1640100004Z05
</t>
  </si>
  <si>
    <t>分析表239</t>
  </si>
  <si>
    <t>1641122032a
國產品</t>
  </si>
  <si>
    <t>D-FUSE 2A</t>
  </si>
  <si>
    <t>1641122030
#</t>
  </si>
  <si>
    <t>CS 選擇開關</t>
  </si>
  <si>
    <t>1641122084
#</t>
  </si>
  <si>
    <t>PBL 30φ照光式按鈕開關</t>
  </si>
  <si>
    <t>16401c1006a
國產品</t>
  </si>
  <si>
    <t>TIMER 0-24HR</t>
  </si>
  <si>
    <t>16401000061
國產品</t>
  </si>
  <si>
    <t>MC 20A 220V</t>
  </si>
  <si>
    <t xml:space="preserve">1648103006A01
</t>
  </si>
  <si>
    <t>TVSS 3∮4 100KA/P(含警報接點、正弦波追蹤、HRC)</t>
  </si>
  <si>
    <t xml:space="preserve">164112226606
</t>
  </si>
  <si>
    <t>無熔線斷路器，2P，20AT，50AF，10kA，220V</t>
  </si>
  <si>
    <t xml:space="preserve">164112326606
</t>
  </si>
  <si>
    <t>無熔線斷路器，2P，30AT，50AF，10kA，220V</t>
  </si>
  <si>
    <t xml:space="preserve">16401C000a04
</t>
  </si>
  <si>
    <t>屋外防雨型 CASE:SUS304 2.0 粉體烤漆(預留4P空間)</t>
  </si>
  <si>
    <t xml:space="preserve">1640100004Z03
</t>
  </si>
  <si>
    <t>分析表238</t>
  </si>
  <si>
    <t xml:space="preserve">16401C000a03
</t>
  </si>
  <si>
    <t>屋外防雨型 CASE:SUS304 2.0 粉體烤漆(預留號誌控制器設備)</t>
  </si>
  <si>
    <t xml:space="preserve">1640100004Z06
</t>
  </si>
  <si>
    <t>分析表237</t>
  </si>
  <si>
    <t xml:space="preserve">164133428646
</t>
  </si>
  <si>
    <t>漏電斷路器，2P，20AT，50AF，(Ics，15kA)，(AC，220V)，(30mA，0.1s</t>
  </si>
  <si>
    <t xml:space="preserve">164112328606
</t>
  </si>
  <si>
    <t>無熔線斷路器，2P，30AT，50AF，15kA，220V</t>
  </si>
  <si>
    <t xml:space="preserve">16411273C606
</t>
  </si>
  <si>
    <t>無熔線斷路器，2P，75AT，100AF，15kA，220V</t>
  </si>
  <si>
    <t xml:space="preserve">16401C000a01
</t>
  </si>
  <si>
    <t>屋外防雨型 CASE:SUS304 2.0/3.0t 粉體烤漆(預留4P空間)</t>
  </si>
  <si>
    <t xml:space="preserve">1640100004Z02
</t>
  </si>
  <si>
    <t>分析表236</t>
  </si>
  <si>
    <t>W0127100004001
#</t>
  </si>
  <si>
    <t>計量與計價，五金另料&amp;壓克力銘牌</t>
  </si>
  <si>
    <t xml:space="preserve">16411273D606
</t>
  </si>
  <si>
    <t>無熔線斷路器，2P，75AT，100AF，30kA，220V</t>
  </si>
  <si>
    <t xml:space="preserve">16401D000A01
</t>
  </si>
  <si>
    <t>CASE:600W*1600H*350D   SUS304 2.0t 粉體烤漆</t>
  </si>
  <si>
    <t xml:space="preserve">1640100004Z01
</t>
  </si>
  <si>
    <t>分析表235</t>
  </si>
  <si>
    <t>L000005f00071
含澆水、施肥、病蟲害防治、修剪、保活等</t>
  </si>
  <si>
    <t>植栽養護工，植草養護</t>
  </si>
  <si>
    <t xml:space="preserve">L000005e00001
</t>
  </si>
  <si>
    <t>植栽種植工</t>
  </si>
  <si>
    <t xml:space="preserve">M02900A1009
</t>
  </si>
  <si>
    <t>產品，植栽，肥料，有機肥料</t>
  </si>
  <si>
    <t>029003000C
分析表287</t>
  </si>
  <si>
    <t xml:space="preserve">L000006A00011
</t>
  </si>
  <si>
    <t>配合技術工之勞工，整地</t>
  </si>
  <si>
    <t>M0292000U02
狗牙根、地毯草及假儉草</t>
  </si>
  <si>
    <t>產品，植草，密舖</t>
  </si>
  <si>
    <t>0292000U02
#假儉草</t>
  </si>
  <si>
    <t>分析表234</t>
  </si>
  <si>
    <t>L000005f00061
含澆水、施肥、病蟲防治、修剪、保活等</t>
  </si>
  <si>
    <t>植栽養護工，植樹養護</t>
  </si>
  <si>
    <t xml:space="preserve">029355710B
</t>
  </si>
  <si>
    <t>植栽維護，地被類，種植費，樹高＜30cm</t>
  </si>
  <si>
    <t xml:space="preserve">029355700D
</t>
  </si>
  <si>
    <t>植栽維護，地被類，種植費</t>
  </si>
  <si>
    <t>M02900B100C
穴孔：D=20CM， H=20CM</t>
  </si>
  <si>
    <t>029005000B
穴孔：D=20CM， H=20CM</t>
  </si>
  <si>
    <t>植栽，人工挖穴</t>
  </si>
  <si>
    <t xml:space="preserve">M029231AZ00B3
</t>
  </si>
  <si>
    <t>產品，一般地被類，玉龍草，穴盤苗</t>
  </si>
  <si>
    <t xml:space="preserve">029231AZ00B3
</t>
  </si>
  <si>
    <t>分析表233</t>
  </si>
  <si>
    <t xml:space="preserve">0292190002
</t>
  </si>
  <si>
    <t>噴植草，植草養護(含澆水、施肥、病蟲防治、除雜草、保活等)</t>
  </si>
  <si>
    <t xml:space="preserve">0292010002
</t>
  </si>
  <si>
    <t>植草，草種噴植</t>
  </si>
  <si>
    <t xml:space="preserve">0292010Q02
</t>
  </si>
  <si>
    <t>植草，草種噴植，(覆蓋稻草蓆、撒砂土或其他方式處理)</t>
  </si>
  <si>
    <t xml:space="preserve">M029201A004
</t>
  </si>
  <si>
    <t>產品，植草，草種噴植，(黏著劑、肥料、農藥及水等)</t>
  </si>
  <si>
    <t xml:space="preserve">M0292012009
</t>
  </si>
  <si>
    <t>產品，植草，草種噴植，混合草種</t>
  </si>
  <si>
    <t xml:space="preserve">0292012C02
</t>
  </si>
  <si>
    <t>分析表232</t>
  </si>
  <si>
    <t>023234000A
就地平衡</t>
  </si>
  <si>
    <t>餘方自行處理(含水土保持)</t>
  </si>
  <si>
    <t xml:space="preserve">M029286B0041
</t>
  </si>
  <si>
    <t>產品，蘆葦，13cm≦容器直徑&lt;16cm</t>
  </si>
  <si>
    <t xml:space="preserve">029286B0041
</t>
  </si>
  <si>
    <t>分析表231</t>
  </si>
  <si>
    <t xml:space="preserve">M02922SV332
</t>
  </si>
  <si>
    <t>產品，噴泉狼尾草，50≦高度＜60cm，30≦寬度&lt;40cm</t>
  </si>
  <si>
    <t xml:space="preserve">02922SV332
</t>
  </si>
  <si>
    <t>分析表230</t>
  </si>
  <si>
    <t xml:space="preserve">M02922LH542
</t>
  </si>
  <si>
    <t>產品，艷紅百合，50≦高度＜60cm，30≦寬度&lt;40cm</t>
  </si>
  <si>
    <t xml:space="preserve">02922LH542
</t>
  </si>
  <si>
    <t>分析表229</t>
  </si>
  <si>
    <t xml:space="preserve">M02922SD332
</t>
  </si>
  <si>
    <t>產品，鹽地鼠尾栗，30≦高度＜40cm，25≦寬度&lt;30cm</t>
  </si>
  <si>
    <t xml:space="preserve">02922SD332
</t>
  </si>
  <si>
    <t>分析表228</t>
  </si>
  <si>
    <t xml:space="preserve">M02922WC542
</t>
  </si>
  <si>
    <t>產品，白茅，50≦高度＜60cm，30≦寬度&lt;40cm</t>
  </si>
  <si>
    <t xml:space="preserve">02922WC542
</t>
  </si>
  <si>
    <t>分析表227</t>
  </si>
  <si>
    <t xml:space="preserve">029354720A
</t>
  </si>
  <si>
    <t>植栽維護，蔓藤類，種植費，30≦樹高＜60cm</t>
  </si>
  <si>
    <t>M029343100
#</t>
  </si>
  <si>
    <t>產品，忍冬，40 ≦高度(枝長)＜50㎝</t>
  </si>
  <si>
    <t>029343100ZZZ
#</t>
  </si>
  <si>
    <t>分析表226</t>
  </si>
  <si>
    <t>M029343Q400
#</t>
  </si>
  <si>
    <t>產品，鷗蔓，30 ≦高度(枝長)＜40㎝</t>
  </si>
  <si>
    <t>029343Q400
#</t>
  </si>
  <si>
    <t>分析表225</t>
  </si>
  <si>
    <t>M029231AW500
#</t>
  </si>
  <si>
    <t>盆</t>
  </si>
  <si>
    <t>產品，一般地被類，小葉馬纓丹，40 ≦高度(枝長)＜50㎝</t>
  </si>
  <si>
    <t>029231AW500
#</t>
  </si>
  <si>
    <t>分析表224</t>
  </si>
  <si>
    <t xml:space="preserve">M029289A0041
</t>
  </si>
  <si>
    <t>產品，田蔥，13cm≦容器直徑&lt;16cm</t>
  </si>
  <si>
    <t>029289A0041
#</t>
  </si>
  <si>
    <t>分析表223</t>
  </si>
  <si>
    <t xml:space="preserve">M02928A20041
</t>
  </si>
  <si>
    <t>產品，香蒲，13cm≦容器直徑&lt;16cm</t>
  </si>
  <si>
    <t>02928A20041
#</t>
  </si>
  <si>
    <t>分析表222</t>
  </si>
  <si>
    <t xml:space="preserve">M02928RB122
</t>
  </si>
  <si>
    <t>產品，螢藺，15≦高度&lt;20，10≦寬度&lt;15</t>
  </si>
  <si>
    <t>02928RB122
#</t>
  </si>
  <si>
    <t>分析表221</t>
  </si>
  <si>
    <t xml:space="preserve">M0292341H0003
</t>
  </si>
  <si>
    <t>產品，球根類植物，野薑花</t>
  </si>
  <si>
    <t>0292341H0003
#</t>
  </si>
  <si>
    <t>分析表220</t>
  </si>
  <si>
    <t xml:space="preserve">M029287F0041
</t>
  </si>
  <si>
    <t>產品，野慈菇，13cm≦容器直徑&lt;16cm</t>
  </si>
  <si>
    <t>029287F0041
#</t>
  </si>
  <si>
    <t>分析表219</t>
  </si>
  <si>
    <t xml:space="preserve">M029285C0071
</t>
  </si>
  <si>
    <t>產品，紙莎草，22cm≦容器直徑&lt;27cm</t>
  </si>
  <si>
    <t>029285C0071
#</t>
  </si>
  <si>
    <t>分析表218</t>
  </si>
  <si>
    <t xml:space="preserve">M029284B121
</t>
  </si>
  <si>
    <t>產品，鴨舌草，10≦高度&lt;15，10≦寬度&lt;15</t>
  </si>
  <si>
    <t>029284B121
#</t>
  </si>
  <si>
    <t>分析表217</t>
  </si>
  <si>
    <t xml:space="preserve">M0292341A0042
</t>
  </si>
  <si>
    <t>產品，球根類植物，鳶尾類，13cm≦容器直徑＜16cm</t>
  </si>
  <si>
    <t>0292341A0042
#</t>
  </si>
  <si>
    <t>分析表216</t>
  </si>
  <si>
    <t xml:space="preserve">M0292833220
</t>
  </si>
  <si>
    <t>產品，過長沙，20≦高度&lt;30，10≦寬度&lt;20</t>
  </si>
  <si>
    <t>0292833220
#</t>
  </si>
  <si>
    <t>分析表215</t>
  </si>
  <si>
    <t xml:space="preserve">M029283A332
</t>
  </si>
  <si>
    <t>大安水蓑衣，30≦高度&lt;40，20≦寬度&lt;25</t>
  </si>
  <si>
    <t>029283A332
#</t>
  </si>
  <si>
    <t>分析表214</t>
  </si>
  <si>
    <t xml:space="preserve">M029235345342
</t>
  </si>
  <si>
    <t>產品，香草植物類，芳香萬壽菊，25≦高度(枝長)＜30cm，20≦寬度＜25cm，13cm≦容器直徑＜16cm</t>
  </si>
  <si>
    <t>029235345342
#</t>
  </si>
  <si>
    <t>分析表213</t>
  </si>
  <si>
    <t xml:space="preserve">M029235175342b
</t>
  </si>
  <si>
    <t>產品，蜂香薄荷，25≦高度(枝長)＜30cm，20≦寬度＜25cm，13cm≦容器直徑＜16cm</t>
  </si>
  <si>
    <t>029235175342b
#</t>
  </si>
  <si>
    <t>分析表212</t>
  </si>
  <si>
    <t xml:space="preserve">M0292353G53420
</t>
  </si>
  <si>
    <t>產品，香草植物類，檸檬天竺葵，25≦高度(枝長)＜30cm，20≦寬度＜25cm，13cm≦容器直徑＜16cm</t>
  </si>
  <si>
    <t>0292353G5342
#</t>
  </si>
  <si>
    <t>分析表211</t>
  </si>
  <si>
    <t xml:space="preserve">M029233170042
</t>
  </si>
  <si>
    <t>產品，耐蔭植物類，腎蕨類，13cm≦容器直徑＜16cm</t>
  </si>
  <si>
    <t>029233170042
#</t>
  </si>
  <si>
    <t>分析表210</t>
  </si>
  <si>
    <t xml:space="preserve">M029234150042
</t>
  </si>
  <si>
    <t>產品，球根類植物，百子蓮，13cm≦容器直徑＜16cm</t>
  </si>
  <si>
    <t>029234150042
#</t>
  </si>
  <si>
    <t>分析表209</t>
  </si>
  <si>
    <t xml:space="preserve">029355700B
</t>
  </si>
  <si>
    <t xml:space="preserve">M0292341F0042
</t>
  </si>
  <si>
    <t>產品，球根類植物，紫嬌花，13cm≦容器直徑＜16cm</t>
  </si>
  <si>
    <t>0292341F0342
#</t>
  </si>
  <si>
    <t>分析表208</t>
  </si>
  <si>
    <t xml:space="preserve">029357700B
</t>
  </si>
  <si>
    <t>植栽維護，草花類，種植費</t>
  </si>
  <si>
    <t xml:space="preserve">M02922GD0031
</t>
  </si>
  <si>
    <t>產品，千屈菜，13cm≦容器直徑&lt;16cm</t>
  </si>
  <si>
    <t>02922GD0031
#</t>
  </si>
  <si>
    <t>分析表207</t>
  </si>
  <si>
    <t xml:space="preserve">M029231B40442
</t>
  </si>
  <si>
    <t>產品，一般地被類，射干，20≦寬度＜30cm，13cm≦容器直徑＜16cm</t>
  </si>
  <si>
    <t>029231B40442
#</t>
  </si>
  <si>
    <t>分析表206</t>
  </si>
  <si>
    <t xml:space="preserve">M02922B4230
</t>
  </si>
  <si>
    <t>產品，銀后粗肋草，25≦高度&lt;30cm，20≦寬度&lt;25cm</t>
  </si>
  <si>
    <t xml:space="preserve">02922B4230
</t>
  </si>
  <si>
    <t>分析表205</t>
  </si>
  <si>
    <t xml:space="preserve">M0292361111
</t>
  </si>
  <si>
    <t>產品，蔓花生，10≦高度≦20cm，15≦寬度≦20cm</t>
  </si>
  <si>
    <t>0292361111
#</t>
  </si>
  <si>
    <t>分析表204</t>
  </si>
  <si>
    <t>M02933PWD11212
#</t>
  </si>
  <si>
    <t>產品，銀紋沿階草，盆徑=3寸盆，15cm≦株寬cm</t>
  </si>
  <si>
    <t>02933PWD11212
#</t>
  </si>
  <si>
    <t>分析表203</t>
  </si>
  <si>
    <t>M029227B330
#</t>
  </si>
  <si>
    <t>產品，山月桃，30≦高度＜34cm，20≦寬度＜30cm</t>
  </si>
  <si>
    <t>029227B330
#</t>
  </si>
  <si>
    <t>分析表202</t>
  </si>
  <si>
    <t xml:space="preserve">029353720A
</t>
  </si>
  <si>
    <t>植栽維護，灌木類，種植費，30≦樹高＜60cm</t>
  </si>
  <si>
    <t xml:space="preserve">M02932N333
</t>
  </si>
  <si>
    <t>產品，山黃槴，40≦ 高度＜50㎝，35≦寬度＜40cm</t>
  </si>
  <si>
    <t>02932N333ZZZ
#</t>
  </si>
  <si>
    <t>分析表201</t>
  </si>
  <si>
    <t xml:space="preserve">M02932bA8701
</t>
  </si>
  <si>
    <t>產品，冇骨消，40≦ 高度＜50㎝，35≦寬度＜40cm</t>
  </si>
  <si>
    <t xml:space="preserve">02932bA8701
</t>
  </si>
  <si>
    <t>分析表200</t>
  </si>
  <si>
    <t>02900B100C
分析表155
穴孔：D=20CM， H=20CM</t>
  </si>
  <si>
    <t>M02931PWD04231
#</t>
  </si>
  <si>
    <t>產品，黃金露花，30≦樹高＜60cm，30≦樹寬＜40cm</t>
  </si>
  <si>
    <t>02931PWD04231
#</t>
  </si>
  <si>
    <t>分析表199</t>
  </si>
  <si>
    <t xml:space="preserve">M02938FB340
</t>
  </si>
  <si>
    <t>產品，蘭嶼樹杞，60≦ 高度＜70㎝，45≦寬度＜50cm</t>
  </si>
  <si>
    <t xml:space="preserve">02938FB340
</t>
  </si>
  <si>
    <t>分析表198</t>
  </si>
  <si>
    <t xml:space="preserve">M02932bJ9801s
</t>
  </si>
  <si>
    <t>產品，日本衛矛，50≦ 高度＜60㎝，40≦寬度＜45cm</t>
  </si>
  <si>
    <t>02932bJ9801
#</t>
  </si>
  <si>
    <t>分析表197</t>
  </si>
  <si>
    <t xml:space="preserve">M02932b57601
</t>
  </si>
  <si>
    <t>產品，金絲桃，35≦ 高度＜40㎝，30≦寬度＜35cm</t>
  </si>
  <si>
    <t xml:space="preserve">02932b57601
</t>
  </si>
  <si>
    <t>分析表196</t>
  </si>
  <si>
    <t xml:space="preserve">029353730A
</t>
  </si>
  <si>
    <t>植栽維護，灌木類，種植費，60≦樹高＜90cm</t>
  </si>
  <si>
    <t xml:space="preserve">M0293826230
</t>
  </si>
  <si>
    <t>產品，含笑花，40≦ 高度＜50㎝，35≦寬度＜40cm</t>
  </si>
  <si>
    <t xml:space="preserve">0293826230
</t>
  </si>
  <si>
    <t>分析表195</t>
  </si>
  <si>
    <t xml:space="preserve">M02932Q1222
</t>
  </si>
  <si>
    <t>產品，杜虹花，40≦ 高度＜50㎝，35≦寬度＜40cm</t>
  </si>
  <si>
    <t xml:space="preserve">02932Q1222
</t>
  </si>
  <si>
    <t>分析表194</t>
  </si>
  <si>
    <t xml:space="preserve">M02932R1333
</t>
  </si>
  <si>
    <t>產品，南天竹，70≦ 高度＜80㎝，50≦寬度＜60cm</t>
  </si>
  <si>
    <t>02932R1222
#</t>
  </si>
  <si>
    <t>分析表193</t>
  </si>
  <si>
    <t xml:space="preserve">M02932bJ9801A
</t>
  </si>
  <si>
    <t>產品，八角金盤，50≦ 高度＜60㎝，30≦寬度＜40cm</t>
  </si>
  <si>
    <t>02932bJ9801A
#</t>
  </si>
  <si>
    <t>分析表192</t>
  </si>
  <si>
    <t xml:space="preserve">M02922BB777
</t>
  </si>
  <si>
    <t>產品，羽裂蔓綠絨，70≦ 高度＜80㎝，40≦寬度＜50cm</t>
  </si>
  <si>
    <t>02922BB777
#</t>
  </si>
  <si>
    <t>分析表191</t>
  </si>
  <si>
    <t xml:space="preserve">M02900A1001
</t>
  </si>
  <si>
    <t xml:space="preserve">0293517B0A
</t>
  </si>
  <si>
    <t>植栽維護，喬木類，種植費，300≦樹高＜350cm</t>
  </si>
  <si>
    <t>02900E4358
分析表285</t>
  </si>
  <si>
    <t>M02900S30a7
#</t>
  </si>
  <si>
    <t>產品，植栽，美植袋(2尺)</t>
  </si>
  <si>
    <t xml:space="preserve">M029382P682
</t>
  </si>
  <si>
    <t>產品，風箱，160 ≦ 樹高 &lt; 180㎝，80≦樹幅＜90cm，2 ≦ 米高直徑 &lt; 5㎝</t>
  </si>
  <si>
    <t>029382P682
#</t>
  </si>
  <si>
    <t>分析表190</t>
  </si>
  <si>
    <t xml:space="preserve">0293517E0A
</t>
  </si>
  <si>
    <t>植栽維護，喬木類，種植費，450≦樹高＜500cm</t>
  </si>
  <si>
    <t>M0293835EGB
#</t>
  </si>
  <si>
    <t>產品，大葉楠，450 ≦ 樹高 &lt; 500㎝，220≦樹幅＜240cm，14 ≦ 米高直徑 &lt; 16㎝</t>
  </si>
  <si>
    <t>0293835EGB
#</t>
  </si>
  <si>
    <t>分析表189</t>
  </si>
  <si>
    <t>0293517C0A
#</t>
  </si>
  <si>
    <t>植栽維護，喬木類，種植費，350≦樹高＜400cm</t>
  </si>
  <si>
    <t>M029383EEGB
#</t>
  </si>
  <si>
    <t>產品，樟樹，450 ≦ 樹高 &lt; 500㎝，220≦樹幅＜240cm，14 ≦ 米高直徑 &lt; 16㎝</t>
  </si>
  <si>
    <t>029383EEGB
#</t>
  </si>
  <si>
    <t>分析表188</t>
  </si>
  <si>
    <t>M02900S30b7
#</t>
  </si>
  <si>
    <t>產品，植栽，美植袋(3尺)</t>
  </si>
  <si>
    <t>M029386JEGB
#</t>
  </si>
  <si>
    <t>產品，楓香，450 ≦ 樹高 &lt; 500㎝，220≦樹幅＜240cm，14 ≦ 米高直徑 &lt; 16㎝</t>
  </si>
  <si>
    <t>029386JEGB
#</t>
  </si>
  <si>
    <t>分析表187</t>
  </si>
  <si>
    <t>M02938BQBC6
#</t>
  </si>
  <si>
    <t>產品，烏桕，300 ≦ 樹高 &lt; 350㎝，140≦樹幅＜180cm，8 ≦ 米高直徑 &lt; 9㎝</t>
  </si>
  <si>
    <t>02938BQBC6
#</t>
  </si>
  <si>
    <t>分析表186</t>
  </si>
  <si>
    <t>0293517D0A
#</t>
  </si>
  <si>
    <t>植栽維護，喬木類，種植費，400≦樹高＜450cm</t>
  </si>
  <si>
    <t>M0293876DFB
#</t>
  </si>
  <si>
    <t>產品，水柳，400 ≦ 樹高 &lt; 450㎝，200≦樹幅＜220cm，12≦ 米高直徑 &lt; 14㎝</t>
  </si>
  <si>
    <t>0293876DFB
#</t>
  </si>
  <si>
    <t>分析表185</t>
  </si>
  <si>
    <t>M02938CHBB6
#</t>
  </si>
  <si>
    <t>產品，九芎，300 ≦ 樹高 &lt; 350㎝，120≦樹幅＜140cm，8 ≦ 米高直徑 &lt; 10㎝</t>
  </si>
  <si>
    <t>02938CHBB6
#</t>
  </si>
  <si>
    <t>分析表184</t>
  </si>
  <si>
    <t>M02900S30c7
#</t>
  </si>
  <si>
    <t>產品，植栽，美植袋(4尺)</t>
  </si>
  <si>
    <t>M02938H5EGB
#</t>
  </si>
  <si>
    <t>產品，苦楝，450 ≦ 樹高 &lt; 500㎝，220≦樹幅＜240cm，14 ≦ 米高直徑 &lt; 16㎝</t>
  </si>
  <si>
    <t>02938H5EGB
#</t>
  </si>
  <si>
    <t>分析表183</t>
  </si>
  <si>
    <t>M029382LCD7
#</t>
  </si>
  <si>
    <t>產品，台灣石楠，350 ≦ 樹高 &lt; 400㎝，160≦樹幅＜180cm，9 ≦ 米高直徑 &lt; 10㎝</t>
  </si>
  <si>
    <t>029382LCD7
#</t>
  </si>
  <si>
    <t>分析表182</t>
  </si>
  <si>
    <t>M02938CRBC6
#</t>
  </si>
  <si>
    <t>產品，大葉欖仁，300 ≦ 樹高 &lt; 350㎝，140≦樹幅＜160cm，8 ≦ 米高直徑 &lt; 9㎝</t>
  </si>
  <si>
    <t>02938CRBC6
#</t>
  </si>
  <si>
    <t>分析表181</t>
  </si>
  <si>
    <t>02900E4368
分析表286</t>
  </si>
  <si>
    <t>M02938HWDF6
#</t>
  </si>
  <si>
    <t>產品，青楓，400 ≦ 樹高 &lt; 450㎝，200≦樹幅＜220cm，8≦ 米高直徑 &lt; 10㎝</t>
  </si>
  <si>
    <t>02938HWDF6
#</t>
  </si>
  <si>
    <t>分析表180</t>
  </si>
  <si>
    <t>M02938J2EGB
#</t>
  </si>
  <si>
    <t>產品，光蠟樹，450 ≦ 樹高 &lt; 500㎝，220≦樹幅＜240cm，14 ≦ 米高直徑 &lt; 16㎝</t>
  </si>
  <si>
    <t>02938J2EGB
#</t>
  </si>
  <si>
    <t>分析表179</t>
  </si>
  <si>
    <t>M02938CBBF6
#</t>
  </si>
  <si>
    <t>產品，水茄苳，300 ≦ 樹高 &lt; 350㎝，200≦樹幅＜250cm，8 ≦ 米高直徑 &lt; 10㎝</t>
  </si>
  <si>
    <t>02938CBBF6
#</t>
  </si>
  <si>
    <t>分析表178</t>
  </si>
  <si>
    <t>M0293828EGB
#</t>
  </si>
  <si>
    <t>產品，烏心石，450 ≦ 樹高 &lt; 500㎝，220≦樹幅＜240cm，14 ≦ 米高直徑 &lt; 16㎝</t>
  </si>
  <si>
    <t>0293828EGB
#</t>
  </si>
  <si>
    <t>分析表177</t>
  </si>
  <si>
    <t xml:space="preserve">M0226210034
</t>
  </si>
  <si>
    <t>產品，圍水，砂包堆置，聚丙烯袋(含紮繩)</t>
  </si>
  <si>
    <t xml:space="preserve">022621002A
</t>
  </si>
  <si>
    <t>圍水，砂包堆置，粗粒料運費</t>
  </si>
  <si>
    <t xml:space="preserve">M030502100B
</t>
  </si>
  <si>
    <t>產品，粒料，粗粒料</t>
  </si>
  <si>
    <t xml:space="preserve">0226210003
</t>
  </si>
  <si>
    <t>分析表176</t>
  </si>
  <si>
    <t xml:space="preserve">01564A0004
</t>
  </si>
  <si>
    <t>施工圍籬，固定式基礎</t>
  </si>
  <si>
    <t xml:space="preserve">01564C2034
</t>
  </si>
  <si>
    <t>施工圍籬，組合式活動，1.8m ≦高度＜ 2.1m，維護</t>
  </si>
  <si>
    <t xml:space="preserve">01564C2024
</t>
  </si>
  <si>
    <t>施工圍籬，組合式活動，1.8m ≦高度＜ 2.1m，裝拆</t>
  </si>
  <si>
    <t xml:space="preserve">M01564C2004
</t>
  </si>
  <si>
    <t>產品，施工圍籬，組合式活動，1.8m ≦高度＜ 2.1m</t>
  </si>
  <si>
    <t>01564C2001
保護樹菱形格網護樹圍籬</t>
  </si>
  <si>
    <t>分析表175</t>
  </si>
  <si>
    <t xml:space="preserve">E000003E10001
</t>
  </si>
  <si>
    <t>吊卡車，15米-噸</t>
  </si>
  <si>
    <t xml:space="preserve">L000005100011
</t>
  </si>
  <si>
    <t>操作手，開挖機</t>
  </si>
  <si>
    <t xml:space="preserve">E000004407001
</t>
  </si>
  <si>
    <t>開挖機，0.70~0.79m3</t>
  </si>
  <si>
    <t xml:space="preserve">L000005300011
</t>
  </si>
  <si>
    <t>駕駛，傾卸貨車</t>
  </si>
  <si>
    <t xml:space="preserve">E000003435001
</t>
  </si>
  <si>
    <t>傾卸貨車，總重35-35.9t</t>
  </si>
  <si>
    <t xml:space="preserve">L000006600011
</t>
  </si>
  <si>
    <t>養護工，整地</t>
  </si>
  <si>
    <t xml:space="preserve">L000005F00021
</t>
  </si>
  <si>
    <t>植栽養護工，修剪及整枝</t>
  </si>
  <si>
    <t xml:space="preserve">029351A0AA
</t>
  </si>
  <si>
    <t>分析表174</t>
  </si>
  <si>
    <t xml:space="preserve">029351A08A
</t>
  </si>
  <si>
    <t>分析表173</t>
  </si>
  <si>
    <t xml:space="preserve">029351A06A
</t>
  </si>
  <si>
    <t>分析表172</t>
  </si>
  <si>
    <t xml:space="preserve">029351A05A
</t>
  </si>
  <si>
    <t>分析表171</t>
  </si>
  <si>
    <t xml:space="preserve">029351A04A
</t>
  </si>
  <si>
    <t>分析表170</t>
  </si>
  <si>
    <t xml:space="preserve">029351A03A
</t>
  </si>
  <si>
    <t>分析表169</t>
  </si>
  <si>
    <t xml:space="preserve">029351A02A
</t>
  </si>
  <si>
    <t>分析表168</t>
  </si>
  <si>
    <t>L000005D00001
#</t>
  </si>
  <si>
    <t>植栽工</t>
  </si>
  <si>
    <t xml:space="preserve">E000003415001
</t>
  </si>
  <si>
    <t>傾卸貨車，總重15-15.9t</t>
  </si>
  <si>
    <t>029351C00A1
受保護樹木6株，工程期間修剪2次，含枝葉運棄</t>
  </si>
  <si>
    <t>分析表167</t>
  </si>
  <si>
    <t xml:space="preserve">M02900E1398
</t>
  </si>
  <si>
    <t>產品，植栽，支柱，竹，三支，(H=6m，竹梢末端直徑4cm以上)</t>
  </si>
  <si>
    <t xml:space="preserve">L000005F00051
</t>
  </si>
  <si>
    <t>植栽養護工，斷根處理</t>
  </si>
  <si>
    <t xml:space="preserve">L000005F00011
</t>
  </si>
  <si>
    <t>植栽養護工，挖掘植株</t>
  </si>
  <si>
    <t xml:space="preserve">029051G00A
</t>
  </si>
  <si>
    <t>分析表166</t>
  </si>
  <si>
    <t xml:space="preserve">029051F00A
</t>
  </si>
  <si>
    <t>分析表165</t>
  </si>
  <si>
    <t xml:space="preserve">029051E00A
</t>
  </si>
  <si>
    <t>分析表164</t>
  </si>
  <si>
    <t xml:space="preserve">029051B00A
</t>
  </si>
  <si>
    <t>分析表163</t>
  </si>
  <si>
    <t xml:space="preserve">029051A00A
</t>
  </si>
  <si>
    <t>分析表162</t>
  </si>
  <si>
    <t>02900E4348
分析表284</t>
  </si>
  <si>
    <t>029051800A
保活一年</t>
  </si>
  <si>
    <t>分析表161</t>
  </si>
  <si>
    <t>029051700A
#保活一年</t>
  </si>
  <si>
    <t>分析表160</t>
  </si>
  <si>
    <t>029051600A
保活一年</t>
  </si>
  <si>
    <t>分析表159</t>
  </si>
  <si>
    <t>029051500A
保活一年</t>
  </si>
  <si>
    <t>分析表158</t>
  </si>
  <si>
    <t>029051400A
保活一年</t>
  </si>
  <si>
    <t>分析表157</t>
  </si>
  <si>
    <t>029051300A
#保活一年</t>
  </si>
  <si>
    <t>分析表156</t>
  </si>
  <si>
    <t>02900B100C
穴孔：D=20CM， H=20CM</t>
  </si>
  <si>
    <t>分析表155</t>
  </si>
  <si>
    <t xml:space="preserve">0553060021
</t>
  </si>
  <si>
    <t>金屬格柵蓋板，鍍鋅格柵蓋板(含框座)，止滑花紋加工(人工)</t>
  </si>
  <si>
    <t>05500R1009
分析表283
本項納入「金屬製品類」物價指數調整</t>
  </si>
  <si>
    <t xml:space="preserve">M0550010009
</t>
  </si>
  <si>
    <t>產品，結構用鋼料</t>
  </si>
  <si>
    <t>0553070009n
#本項納入「金屬製品類」物價指數調整</t>
  </si>
  <si>
    <t>分析表154</t>
  </si>
  <si>
    <t>M0553068008
本項納入「金屬製品類」物價指數調整</t>
  </si>
  <si>
    <t>產品，細目型鍍鋅格柵蓋框(Ⅰ型)(含框座、鍊條)，溝寬40cm使用</t>
  </si>
  <si>
    <t>0553062008
#本項納入「金屬製品類」物價指數調整</t>
  </si>
  <si>
    <t>分析表153</t>
  </si>
  <si>
    <t xml:space="preserve">M05060D4009
</t>
  </si>
  <si>
    <t>產品，金屬材料，鐵件，五金繫件</t>
  </si>
  <si>
    <t xml:space="preserve">M0609011009
</t>
  </si>
  <si>
    <t>產品，鐵釘，鍍鋅</t>
  </si>
  <si>
    <t xml:space="preserve">L000005P00001n
</t>
  </si>
  <si>
    <t>模板安裝工</t>
  </si>
  <si>
    <t xml:space="preserve">M03110PWD0A44
</t>
  </si>
  <si>
    <t>產品，模板用支撐材料，丙種模板用</t>
  </si>
  <si>
    <t xml:space="preserve">M0605010002
</t>
  </si>
  <si>
    <t>產品，合板</t>
  </si>
  <si>
    <t>M0605024D23
本項納入(清水木模)物價指數調整</t>
  </si>
  <si>
    <t>產品，模板用木材，割材及角材，損耗</t>
  </si>
  <si>
    <t>M0605021D23
板料厚至少18mm以上。本項納入(清水木模)物價指數調整</t>
  </si>
  <si>
    <t>產品，模板用木材，板材，損耗</t>
  </si>
  <si>
    <t>0311021302n
本項納入(清水木模)物價指數調整</t>
  </si>
  <si>
    <t>分析表152</t>
  </si>
  <si>
    <t xml:space="preserve">0274700019
</t>
  </si>
  <si>
    <t>瀝青黏層，拌和廠保溫設備及加溫等(黏層用)</t>
  </si>
  <si>
    <t xml:space="preserve">L000005100091
</t>
  </si>
  <si>
    <t>操作手，瀝青撒佈機</t>
  </si>
  <si>
    <t xml:space="preserve">E000006100001
</t>
  </si>
  <si>
    <t>液化瀝青灑佈機</t>
  </si>
  <si>
    <t xml:space="preserve">M0274711009
</t>
  </si>
  <si>
    <t>產品，瀝青黏層，快凝油溶瀝青，RC-70</t>
  </si>
  <si>
    <t xml:space="preserve">0274711002
</t>
  </si>
  <si>
    <t>分析表151</t>
  </si>
  <si>
    <t xml:space="preserve">M0274512009
</t>
  </si>
  <si>
    <t>產品，瀝青透層，中凝油溶瀝青，MC-70</t>
  </si>
  <si>
    <t xml:space="preserve">0274512002
</t>
  </si>
  <si>
    <t>分析表150</t>
  </si>
  <si>
    <t xml:space="preserve">L000005300031
</t>
  </si>
  <si>
    <t>駕駛，灑水車</t>
  </si>
  <si>
    <t xml:space="preserve">L000005100071
</t>
  </si>
  <si>
    <t>操作手，壓路機</t>
  </si>
  <si>
    <t xml:space="preserve">L000005100021
</t>
  </si>
  <si>
    <t>操作手，推土機</t>
  </si>
  <si>
    <t xml:space="preserve">0151090004
</t>
  </si>
  <si>
    <t>臨時設施，工程用水</t>
  </si>
  <si>
    <t xml:space="preserve">E000002880001
</t>
  </si>
  <si>
    <t>灑水車，8.0~8.9m3</t>
  </si>
  <si>
    <t xml:space="preserve">E000006723001
</t>
  </si>
  <si>
    <t>鐵輪壓路機，三輪自走式，10~12t</t>
  </si>
  <si>
    <t xml:space="preserve">E000004101201
</t>
  </si>
  <si>
    <t>推土機，120~129KW</t>
  </si>
  <si>
    <t xml:space="preserve">0233600002
</t>
  </si>
  <si>
    <t>分析表149</t>
  </si>
  <si>
    <t xml:space="preserve">M0274293303
</t>
  </si>
  <si>
    <t>產品，瀝青混凝土舖面，密級配，粗粒料19.0mm，黏度AC(1)-20</t>
  </si>
  <si>
    <t xml:space="preserve">0274203303
</t>
  </si>
  <si>
    <t>分析表148</t>
  </si>
  <si>
    <t xml:space="preserve">M0274295303
</t>
  </si>
  <si>
    <t>產品，瀝青混凝土舖面，密級配，粗粒料9.5mm，黏度AC(1)-20</t>
  </si>
  <si>
    <t xml:space="preserve">0274205303
</t>
  </si>
  <si>
    <t>分析表147</t>
  </si>
  <si>
    <t xml:space="preserve">05500h4R04
</t>
  </si>
  <si>
    <t>塑膠包覆不銹鋼踏步，安裝，直徑=19mm</t>
  </si>
  <si>
    <t xml:space="preserve">M05500h0R0A
</t>
  </si>
  <si>
    <t>產品，塑膠包覆不銹鋼踏步，直徑=19mm</t>
  </si>
  <si>
    <t xml:space="preserve">05500h0R0A
</t>
  </si>
  <si>
    <t>分析表146</t>
  </si>
  <si>
    <t xml:space="preserve">02631R0124
</t>
  </si>
  <si>
    <t>預鑄混凝土人孔框座，(含球狀石墨鑄鐵人孔蓋，內徑60cm)，搬運及吊裝</t>
  </si>
  <si>
    <t xml:space="preserve">M0556260008
</t>
  </si>
  <si>
    <t>產品，鑄鐵件，球狀石墨鑄鐵人孔蓋及框座</t>
  </si>
  <si>
    <t xml:space="preserve">M02631R000C
</t>
  </si>
  <si>
    <t>產品，預鑄混凝土人孔框座</t>
  </si>
  <si>
    <t xml:space="preserve">0263111208
</t>
  </si>
  <si>
    <t>分析表145</t>
  </si>
  <si>
    <t xml:space="preserve">02610#CD0H
</t>
  </si>
  <si>
    <t>預鑄鋼筋混凝土基座(埋管用)吊裝，D=1000mm管用</t>
  </si>
  <si>
    <t xml:space="preserve">M026100BD0H
</t>
  </si>
  <si>
    <t>產品，預鑄鋼筋混凝土基座(埋管用)，D=1000mm管用</t>
  </si>
  <si>
    <t xml:space="preserve">026100BD0H
</t>
  </si>
  <si>
    <t>分析表144</t>
  </si>
  <si>
    <t xml:space="preserve">L000005n00051
</t>
  </si>
  <si>
    <t>裝設工，排水管道</t>
  </si>
  <si>
    <t xml:space="preserve">M026102C30A
</t>
  </si>
  <si>
    <t>產品，鋼筋混凝土管(B型)，D=500mm，三級管</t>
  </si>
  <si>
    <t xml:space="preserve">026102C30A
</t>
  </si>
  <si>
    <t>分析表143</t>
  </si>
  <si>
    <t xml:space="preserve">E3532PWDX60104
</t>
  </si>
  <si>
    <t>混凝土輸送設備</t>
  </si>
  <si>
    <t xml:space="preserve">M0337700003
</t>
  </si>
  <si>
    <t>產品，控制性低強度回填材料</t>
  </si>
  <si>
    <t xml:space="preserve">0337700003
</t>
  </si>
  <si>
    <t>分析表142</t>
  </si>
  <si>
    <t xml:space="preserve">0245730044
</t>
  </si>
  <si>
    <t>預力混凝土基樁，D=400mm，樁頭處理(含無收縮混凝土、鋼筋、吊模及與基礎之接樁處理)</t>
  </si>
  <si>
    <t xml:space="preserve">L000005c00011
</t>
  </si>
  <si>
    <t>金屬建材架構工，鋼索絞結工</t>
  </si>
  <si>
    <t xml:space="preserve">L0000051000C1
</t>
  </si>
  <si>
    <t>操作手，打樁設備</t>
  </si>
  <si>
    <t xml:space="preserve">L000004000001n
</t>
  </si>
  <si>
    <t>領班</t>
  </si>
  <si>
    <t xml:space="preserve">E00000PWD10H1001
</t>
  </si>
  <si>
    <t>打樁機械，(錘重，2.0~2.9t)</t>
  </si>
  <si>
    <t>M024573200A
另計</t>
  </si>
  <si>
    <t>產品，預力混凝土基樁，D=400mm，B種</t>
  </si>
  <si>
    <t>0245730011k
#(打樁，含空打)，本項零星工料包含鋼筋籠外側所需之間隔片費用</t>
  </si>
  <si>
    <t>分析表141</t>
  </si>
  <si>
    <t xml:space="preserve">M0315020001
</t>
  </si>
  <si>
    <t>產品，止水帶</t>
  </si>
  <si>
    <t xml:space="preserve">0315040001
</t>
  </si>
  <si>
    <t>分析表140</t>
  </si>
  <si>
    <t xml:space="preserve">M029200720D
</t>
  </si>
  <si>
    <t xml:space="preserve">M023710103
</t>
  </si>
  <si>
    <t>產品，蜂巢格網，H=20cm</t>
  </si>
  <si>
    <t xml:space="preserve">0237300002
</t>
  </si>
  <si>
    <t>蜂巢格網固定(含鋼筋、自攻螺絲或2mm鐵線及收邊板材固定)</t>
  </si>
  <si>
    <t>0237101003a
#</t>
  </si>
  <si>
    <t>分析表139</t>
  </si>
  <si>
    <t xml:space="preserve">0991092002
</t>
  </si>
  <si>
    <t>油漆，透明漆，一底二度</t>
  </si>
  <si>
    <t xml:space="preserve">L097825000001
</t>
  </si>
  <si>
    <t>抿石子，技術工</t>
  </si>
  <si>
    <t xml:space="preserve">M0978200024
</t>
  </si>
  <si>
    <t>產品，抿石子，分隔壓條</t>
  </si>
  <si>
    <t xml:space="preserve">0978200002
</t>
  </si>
  <si>
    <t>分析表138</t>
  </si>
  <si>
    <t xml:space="preserve">L000005000011
</t>
  </si>
  <si>
    <t>技術工，砌石</t>
  </si>
  <si>
    <t xml:space="preserve">00006701000
</t>
  </si>
  <si>
    <t>塊石搬運</t>
  </si>
  <si>
    <t xml:space="preserve">M0238620002
</t>
  </si>
  <si>
    <t>產品，砌排石工，鋪塊石</t>
  </si>
  <si>
    <t>0238630002
#</t>
  </si>
  <si>
    <t>分析表137</t>
  </si>
  <si>
    <t xml:space="preserve">M02381A010B
</t>
  </si>
  <si>
    <t>產品，拋石，塊石，硬石</t>
  </si>
  <si>
    <t>02381A010Aa
#</t>
  </si>
  <si>
    <t>分析表136</t>
  </si>
  <si>
    <t xml:space="preserve">M1510710000B4
</t>
  </si>
  <si>
    <t>產品，硬質聚氯乙烯塑膠管(A管薄管)，洩水孔用</t>
  </si>
  <si>
    <t>02386PWDA1302
分析表282</t>
  </si>
  <si>
    <t xml:space="preserve">M023860140A1
</t>
  </si>
  <si>
    <t>產品，砌排石工，(卵石，厚30cm，未含勾縫)</t>
  </si>
  <si>
    <t>0238630502a
#卵石，厚30cm，含勾縫</t>
  </si>
  <si>
    <t>分析表135</t>
  </si>
  <si>
    <t>0337105003
分析表279</t>
  </si>
  <si>
    <t>0582120007
分析表278</t>
  </si>
  <si>
    <t>0582110007
分析表281</t>
  </si>
  <si>
    <t>0263911301
分析表276</t>
  </si>
  <si>
    <t>02DA000041
分析表275</t>
  </si>
  <si>
    <t>0712020002
分析表280</t>
  </si>
  <si>
    <t xml:space="preserve">050900319A
</t>
  </si>
  <si>
    <t>剪力釘，19mm∮x160mm</t>
  </si>
  <si>
    <t>0509002ZB1
分析表274</t>
  </si>
  <si>
    <t>0997210002
分析表273</t>
  </si>
  <si>
    <t>0274205303
分析表147</t>
  </si>
  <si>
    <t>0274711002
分析表151</t>
  </si>
  <si>
    <t xml:space="preserve">051211AB0B3
</t>
  </si>
  <si>
    <t>分析表134</t>
  </si>
  <si>
    <t>0582114127
分析表277</t>
  </si>
  <si>
    <t xml:space="preserve">051211AB0B1
</t>
  </si>
  <si>
    <t>分析表133</t>
  </si>
  <si>
    <t>0922030012
分析表260</t>
  </si>
  <si>
    <t>0322000366
(含綁紮、耗損及運費)</t>
  </si>
  <si>
    <t>銲接鋼線網，D=6.00mm，15x15cm</t>
  </si>
  <si>
    <t xml:space="preserve">030544100B
</t>
  </si>
  <si>
    <t>分析表132</t>
  </si>
  <si>
    <t>0997000001
#</t>
  </si>
  <si>
    <t>銹轉化處理</t>
  </si>
  <si>
    <t xml:space="preserve">M05060D0007
</t>
  </si>
  <si>
    <t>產品，金屬材料，鐵件</t>
  </si>
  <si>
    <t>05500R7009a
#</t>
  </si>
  <si>
    <t>耐候鋼工廠內鋼料加工、焊接、切割、成形、組立</t>
  </si>
  <si>
    <t>0509110014h
#</t>
  </si>
  <si>
    <t>分析表131</t>
  </si>
  <si>
    <t>05500R7009b
#</t>
  </si>
  <si>
    <t>工廠內鋼料加工、焊接、切割、成形、組立</t>
  </si>
  <si>
    <t xml:space="preserve">05500KC001B2
</t>
  </si>
  <si>
    <t>分析表130</t>
  </si>
  <si>
    <t>0550004005
#</t>
  </si>
  <si>
    <t>金屬製品，安裝(含試裝)</t>
  </si>
  <si>
    <t xml:space="preserve">05500KC001B1
</t>
  </si>
  <si>
    <t>分析表129</t>
  </si>
  <si>
    <t>05500KC001A
#</t>
  </si>
  <si>
    <t>分析表128</t>
  </si>
  <si>
    <t>050911001Ba
#</t>
  </si>
  <si>
    <t>分析表127</t>
  </si>
  <si>
    <t>050911001Bb
#</t>
  </si>
  <si>
    <t>分析表126</t>
  </si>
  <si>
    <t>0509110011c
#</t>
  </si>
  <si>
    <t>分析表125</t>
  </si>
  <si>
    <t>0509110011a
#</t>
  </si>
  <si>
    <t>分析表124</t>
  </si>
  <si>
    <t>0509110011g
#</t>
  </si>
  <si>
    <t>分析表123</t>
  </si>
  <si>
    <t xml:space="preserve">M05500PC001
</t>
  </si>
  <si>
    <t>產品，不銹鋼編織網，加工及安裝</t>
  </si>
  <si>
    <t>0509110011f
#</t>
  </si>
  <si>
    <t>分析表122</t>
  </si>
  <si>
    <t>0509110011e
#</t>
  </si>
  <si>
    <t>分析表121</t>
  </si>
  <si>
    <t>0978100002
分析表272
共月橋無障礙警示帶</t>
  </si>
  <si>
    <t>023174000A
分析表17</t>
  </si>
  <si>
    <t xml:space="preserve">02786A0202C
</t>
  </si>
  <si>
    <t>分析表120</t>
  </si>
  <si>
    <t>0275100A14
(研磨機具費用)</t>
  </si>
  <si>
    <t>機具不分類</t>
  </si>
  <si>
    <t xml:space="preserve">03360900002
</t>
  </si>
  <si>
    <t>硬化塗料</t>
  </si>
  <si>
    <t>0922030042
分析表266
(適用施作面積200M2以上)</t>
  </si>
  <si>
    <t xml:space="preserve">0275123262
</t>
  </si>
  <si>
    <t>分析表119</t>
  </si>
  <si>
    <t>E000002600111
分析表271</t>
  </si>
  <si>
    <t xml:space="preserve">0336060002
</t>
  </si>
  <si>
    <t>分析表118</t>
  </si>
  <si>
    <t xml:space="preserve">02465PWD0F804
</t>
  </si>
  <si>
    <t>場鑄基樁樁頭處理，D=120cm</t>
  </si>
  <si>
    <t>02323H0003
分析表270</t>
  </si>
  <si>
    <t xml:space="preserve">M0246520003
</t>
  </si>
  <si>
    <t>產品，鑽掘樁，穩定液之添加物</t>
  </si>
  <si>
    <t xml:space="preserve">0246500023
</t>
  </si>
  <si>
    <t>鑽掘樁，泥漿鐵製容器</t>
  </si>
  <si>
    <t xml:space="preserve">024650001A
</t>
  </si>
  <si>
    <t>鑽掘樁，隔間鐵片</t>
  </si>
  <si>
    <t xml:space="preserve">L000005100051
</t>
  </si>
  <si>
    <t>操作手，抓斗機</t>
  </si>
  <si>
    <t xml:space="preserve">L0000051000R1
</t>
  </si>
  <si>
    <t>操作手，迴轉鑽井機</t>
  </si>
  <si>
    <t xml:space="preserve">E000004433001a
</t>
  </si>
  <si>
    <t>開挖機，履帶式抓斗，0.30~0.39m3，全套管基樁</t>
  </si>
  <si>
    <t xml:space="preserve">E000005300001a
</t>
  </si>
  <si>
    <t>全套管搖管機</t>
  </si>
  <si>
    <t xml:space="preserve">E3571PWDX0C18Aa
</t>
  </si>
  <si>
    <t>全套管搖管機用鋼管折舊，D=1200mm</t>
  </si>
  <si>
    <t xml:space="preserve">03210000D9
</t>
  </si>
  <si>
    <t>鋼筋，鋼筋點銲及鋼筋籠吊放</t>
  </si>
  <si>
    <t>0321060035z
分析表269
本項納入(鋼筋)物價指數調整</t>
  </si>
  <si>
    <t xml:space="preserve">0331027003a
</t>
  </si>
  <si>
    <t>結構用混凝土，(預拌，水中)，280kgf/cm2</t>
  </si>
  <si>
    <t>0246980001a
本項納入(鋼筋)物價指數調整</t>
  </si>
  <si>
    <t>分析表117</t>
  </si>
  <si>
    <t xml:space="preserve">02323A000A
</t>
  </si>
  <si>
    <t>棄土區費用(含水土保持)</t>
  </si>
  <si>
    <t xml:space="preserve">023234004A
</t>
  </si>
  <si>
    <t>分析表116</t>
  </si>
  <si>
    <t xml:space="preserve">0154010324
</t>
  </si>
  <si>
    <t>施工輔助設施，施工架，安全設施(含橫版及護欄等)</t>
  </si>
  <si>
    <t xml:space="preserve">0154011222
</t>
  </si>
  <si>
    <t>施工輔助設施，施工架，鋼管，框式，裝拆</t>
  </si>
  <si>
    <t>M0154011202
(含繫件，配件)</t>
  </si>
  <si>
    <t>產品，施工輔助設施，施工架，鋼管，框式</t>
  </si>
  <si>
    <t>0154011202
需符合中華民國國家標準4750</t>
  </si>
  <si>
    <t>分析表115</t>
  </si>
  <si>
    <t xml:space="preserve">05501S00P4
</t>
  </si>
  <si>
    <t>不銹鋼，加工焊接及架設按裝</t>
  </si>
  <si>
    <t xml:space="preserve">M05500PC009
</t>
  </si>
  <si>
    <t>產品，不銹鋼料，SUS304</t>
  </si>
  <si>
    <t xml:space="preserve">05500Pc009
</t>
  </si>
  <si>
    <t>分析表114</t>
  </si>
  <si>
    <t xml:space="preserve">M03110PWD0A34
</t>
  </si>
  <si>
    <t>產品，模板用支撐材料，乙種模板用</t>
  </si>
  <si>
    <t>M0605024013
本項納入(普通模板)物價指數調整</t>
  </si>
  <si>
    <t>M0605021013
板料厚至少18mm以上。本項納入(普通模板)物價指數調整</t>
  </si>
  <si>
    <t>0311011202n
擋土牆，橋台，車行箱涵等。本項納入(普通模板)物價指數調整</t>
  </si>
  <si>
    <t>分析表113</t>
  </si>
  <si>
    <t>0311021202n
場鑄結構混凝土用模板，(乙種，擋土牆，橋台，車行箱涵等)。本項納入(清水木模)物價指數調整</t>
  </si>
  <si>
    <t>分析表112</t>
  </si>
  <si>
    <t xml:space="preserve">M03110PWD0A24
</t>
  </si>
  <si>
    <t>產品，模板用支撐材料，橋面模板用</t>
  </si>
  <si>
    <t>0311021102n
橋面。本項納入(清水木模)物價指數調整</t>
  </si>
  <si>
    <t>分析表111</t>
  </si>
  <si>
    <t>0321060035a
本項納入(鋼筋)物價指數調整</t>
  </si>
  <si>
    <t>分析表110</t>
  </si>
  <si>
    <t xml:space="preserve">0339000004
</t>
  </si>
  <si>
    <t>混凝土養護</t>
  </si>
  <si>
    <t xml:space="preserve">M0305046103
</t>
  </si>
  <si>
    <t>產品，預拌混凝土材料費，280kgf/cm2，第1型水泥</t>
  </si>
  <si>
    <t xml:space="preserve">0331027003
</t>
  </si>
  <si>
    <t>分析表109</t>
  </si>
  <si>
    <t>M02811A1009a
#</t>
  </si>
  <si>
    <t>產品，∮1"PVC排水管</t>
  </si>
  <si>
    <t>M02811A0009a
#</t>
  </si>
  <si>
    <t>產品，∮2"PVC排水管</t>
  </si>
  <si>
    <t>M02811A00b9
#</t>
  </si>
  <si>
    <t>產品，∮4"PVC排水管</t>
  </si>
  <si>
    <t>026310000B
#</t>
  </si>
  <si>
    <t>不銹鋼檢視井</t>
  </si>
  <si>
    <t>0234200002
地工織布</t>
  </si>
  <si>
    <t>地工織物</t>
  </si>
  <si>
    <t>M071203A002
#</t>
  </si>
  <si>
    <t>產品，PE不透水布鋪設(含不透水布)</t>
  </si>
  <si>
    <t>0234230012
4mm不織布鋪設(含不織布)</t>
  </si>
  <si>
    <t>地工織物，不織布，舖設施工</t>
  </si>
  <si>
    <t>026312101A8
#</t>
  </si>
  <si>
    <t>上面板部件組裝</t>
  </si>
  <si>
    <t>026312101A7
#</t>
  </si>
  <si>
    <t>積磚平板組裝</t>
  </si>
  <si>
    <t>026312101A6
#</t>
  </si>
  <si>
    <t>積磚單元主體件組裝(含主體扣梢與側板頂柱)</t>
  </si>
  <si>
    <t>026312101A5
#</t>
  </si>
  <si>
    <t>上面板部件</t>
  </si>
  <si>
    <t>026312101A4
#</t>
  </si>
  <si>
    <t>主體插梢</t>
  </si>
  <si>
    <t>026312101A2
#</t>
  </si>
  <si>
    <t>積磚側板</t>
  </si>
  <si>
    <t>026312101A1
#</t>
  </si>
  <si>
    <t>積磚單元主體件</t>
  </si>
  <si>
    <t>0225540701
#雙側</t>
  </si>
  <si>
    <t>臨時擋土樁設施，鋼板樁，L=7m</t>
  </si>
  <si>
    <t>0263121DWA
#</t>
  </si>
  <si>
    <t>分析表108</t>
  </si>
  <si>
    <t>055306H112B
(淺溝)本項納入「金屬製品類」物價指數調整</t>
  </si>
  <si>
    <t>蓋板，100x10cm</t>
  </si>
  <si>
    <t>0978200002
分析表138</t>
  </si>
  <si>
    <t>0260101101D
本項納入「金屬製品類」物價指數調整</t>
  </si>
  <si>
    <t>分析表107</t>
  </si>
  <si>
    <t>W026108000004
#</t>
  </si>
  <si>
    <t>PVC管接管另料</t>
  </si>
  <si>
    <t xml:space="preserve">030610100001
</t>
  </si>
  <si>
    <t>管路砂灑水填實</t>
  </si>
  <si>
    <t>M02811A00B9c
#</t>
  </si>
  <si>
    <t>產品，∮8"PVC排水管</t>
  </si>
  <si>
    <t>02319130BA
分析表259</t>
  </si>
  <si>
    <t>026108F021C
#</t>
  </si>
  <si>
    <t>分析表106</t>
  </si>
  <si>
    <t>M02811B0001
#</t>
  </si>
  <si>
    <t>產品，∮6"PVC排水管</t>
  </si>
  <si>
    <t>026108F043B
#</t>
  </si>
  <si>
    <t>分析表105</t>
  </si>
  <si>
    <t>M151072B52A
#</t>
  </si>
  <si>
    <t>產品，∮4B(厚管)"PVC排水管</t>
  </si>
  <si>
    <t>151072B52A
#</t>
  </si>
  <si>
    <t>分析表104</t>
  </si>
  <si>
    <t>026108F021b
#</t>
  </si>
  <si>
    <t>分析表103</t>
  </si>
  <si>
    <t xml:space="preserve">026108F021a
</t>
  </si>
  <si>
    <t>分析表102</t>
  </si>
  <si>
    <t xml:space="preserve">M02900T100A
</t>
  </si>
  <si>
    <t>產品，不織布</t>
  </si>
  <si>
    <t xml:space="preserve">M02601AA0014
</t>
  </si>
  <si>
    <t>產品，∮4" HDPE透水管</t>
  </si>
  <si>
    <t xml:space="preserve">02620B02024
</t>
  </si>
  <si>
    <t>分析表101</t>
  </si>
  <si>
    <t>M02620B0202
#同等品</t>
  </si>
  <si>
    <t>產品，∮3" HDPE管</t>
  </si>
  <si>
    <t xml:space="preserve">02620B02023
</t>
  </si>
  <si>
    <t>分析表100</t>
  </si>
  <si>
    <t>M0234210002
#</t>
  </si>
  <si>
    <t>產品，地工織物，工程用非織物(不織布)</t>
  </si>
  <si>
    <t>M1522650001
∮=6"HDPE透水管</t>
  </si>
  <si>
    <t>產品，高密度聚乙烯管，透水管</t>
  </si>
  <si>
    <t>0292721402b
#</t>
  </si>
  <si>
    <t>分析表99</t>
  </si>
  <si>
    <t>0292721402
#</t>
  </si>
  <si>
    <t>分析表98</t>
  </si>
  <si>
    <t>0263111007X3
(鋪面另計)</t>
  </si>
  <si>
    <t>化妝蓋板，20x40.5cm</t>
  </si>
  <si>
    <t xml:space="preserve">0260101101C
</t>
  </si>
  <si>
    <t>分析表97</t>
  </si>
  <si>
    <t>055308200Ba
(W327*L600mm)</t>
  </si>
  <si>
    <t>細目型鍍鋅格柵板含條框</t>
  </si>
  <si>
    <t xml:space="preserve">0260101101B
</t>
  </si>
  <si>
    <t>分析表96</t>
  </si>
  <si>
    <t>0263111007XX
(鋪面另計)</t>
  </si>
  <si>
    <t>化妝蓋板，60x32.7cm</t>
  </si>
  <si>
    <t xml:space="preserve">0260101101A
</t>
  </si>
  <si>
    <t>分析表95</t>
  </si>
  <si>
    <t>026108FB11B
#</t>
  </si>
  <si>
    <t>PP陰井(含蓋、封板、運費)</t>
  </si>
  <si>
    <t xml:space="preserve">026313900B
</t>
  </si>
  <si>
    <t>分析表94</t>
  </si>
  <si>
    <t>0553082008
(W450*L450mm)</t>
  </si>
  <si>
    <t>陰井，鍍鋅花紋蓋板及框座</t>
  </si>
  <si>
    <t>02319140BA
分析表268</t>
  </si>
  <si>
    <t xml:space="preserve">02631350BB
</t>
  </si>
  <si>
    <t>分析表93</t>
  </si>
  <si>
    <t>15110D65C6
分析表267
#</t>
  </si>
  <si>
    <t>05500Pc009
分析表114</t>
  </si>
  <si>
    <t>M05500A00022
#</t>
  </si>
  <si>
    <t>產品，撥桿式水龍頭</t>
  </si>
  <si>
    <t>03054A0EA3
#含水龍頭</t>
  </si>
  <si>
    <t>分析表92</t>
  </si>
  <si>
    <t>W0127140B01a
#</t>
  </si>
  <si>
    <t>木料搬運費</t>
  </si>
  <si>
    <t xml:space="preserve">L000005851011
</t>
  </si>
  <si>
    <t>木作組裝技術工</t>
  </si>
  <si>
    <t xml:space="preserve">060800010D
</t>
  </si>
  <si>
    <t>木作塗裝工資</t>
  </si>
  <si>
    <t xml:space="preserve">061000140D0
</t>
  </si>
  <si>
    <t>才</t>
  </si>
  <si>
    <t>去霉防蟲劑</t>
  </si>
  <si>
    <t xml:space="preserve">061000160D
</t>
  </si>
  <si>
    <t>ACQ防腐處理＆護木油塗佈（二次）</t>
  </si>
  <si>
    <t xml:space="preserve">0610000A0Da
</t>
  </si>
  <si>
    <t>木料加工</t>
  </si>
  <si>
    <t>060600000A0
#原木，金檀木</t>
  </si>
  <si>
    <t>木材</t>
  </si>
  <si>
    <t>06200Q1008
#含安裝</t>
  </si>
  <si>
    <t>分析表91</t>
  </si>
  <si>
    <t xml:space="preserve">030544110B
</t>
  </si>
  <si>
    <t>分析表90</t>
  </si>
  <si>
    <t>0550001DA2
#</t>
  </si>
  <si>
    <t>電腦彩色圖層上色(全彩)</t>
  </si>
  <si>
    <t>M028911AC00
#一組6支</t>
  </si>
  <si>
    <t>產品，不鏽鋼螺絲</t>
  </si>
  <si>
    <t xml:space="preserve">M087115000A
</t>
  </si>
  <si>
    <t>對</t>
  </si>
  <si>
    <t>產品，鉸鏈</t>
  </si>
  <si>
    <t>05500F1008
#</t>
  </si>
  <si>
    <t>分析表89</t>
  </si>
  <si>
    <t xml:space="preserve">02898#D004
</t>
  </si>
  <si>
    <t>標線施工障礙排除</t>
  </si>
  <si>
    <t xml:space="preserve">L000005300051
</t>
  </si>
  <si>
    <t>標線，駕駛，車載式畫線機</t>
  </si>
  <si>
    <t xml:space="preserve">L028985000001
</t>
  </si>
  <si>
    <t>標線，技術工</t>
  </si>
  <si>
    <t xml:space="preserve">E000006920001
</t>
  </si>
  <si>
    <t>劃線機，(車載式，熱處理聚酯標線用)</t>
  </si>
  <si>
    <t xml:space="preserve">M09050E0009
</t>
  </si>
  <si>
    <t>產品，色粉</t>
  </si>
  <si>
    <t xml:space="preserve">M0289800019
</t>
  </si>
  <si>
    <t>產品，標線，黏層劑(底漆)</t>
  </si>
  <si>
    <t xml:space="preserve">M02898B0009
</t>
  </si>
  <si>
    <t>產品，標線，反光玻璃珠</t>
  </si>
  <si>
    <t xml:space="preserve">M02898AB009
</t>
  </si>
  <si>
    <t>產品，固體塑膠粉末第Ⅱ型</t>
  </si>
  <si>
    <t xml:space="preserve">0289821312
</t>
  </si>
  <si>
    <t>分析表88</t>
  </si>
  <si>
    <t xml:space="preserve">050900MH0A
</t>
  </si>
  <si>
    <t>金屬接合，不銹鋼膨脹螺栓，含零配件</t>
  </si>
  <si>
    <t xml:space="preserve">050606300D9B
</t>
  </si>
  <si>
    <t>分析表87</t>
  </si>
  <si>
    <t xml:space="preserve">050606300D9A
</t>
  </si>
  <si>
    <t>分析表86</t>
  </si>
  <si>
    <t xml:space="preserve">050606300D8
</t>
  </si>
  <si>
    <t>分析表85</t>
  </si>
  <si>
    <t xml:space="preserve">050606300D7D
</t>
  </si>
  <si>
    <t>分析表84</t>
  </si>
  <si>
    <t xml:space="preserve">050900GGCA
</t>
  </si>
  <si>
    <t>金屬接合，螺栓及螺帽，安裝，20φ</t>
  </si>
  <si>
    <t xml:space="preserve">050606300D7C
</t>
  </si>
  <si>
    <t>分析表83</t>
  </si>
  <si>
    <t>05500HD826
#</t>
  </si>
  <si>
    <t>基座螺栓M16(含零配件)</t>
  </si>
  <si>
    <t xml:space="preserve">050606300D7B
</t>
  </si>
  <si>
    <t>分析表82</t>
  </si>
  <si>
    <t xml:space="preserve">050606300D7A
</t>
  </si>
  <si>
    <t>分析表81</t>
  </si>
  <si>
    <t xml:space="preserve">050606300D6E
</t>
  </si>
  <si>
    <t>分析表80</t>
  </si>
  <si>
    <t xml:space="preserve">050606300D6D
</t>
  </si>
  <si>
    <t>分析表79</t>
  </si>
  <si>
    <t xml:space="preserve">050606300D6B
</t>
  </si>
  <si>
    <t>分析表78</t>
  </si>
  <si>
    <t xml:space="preserve">050606300D6A
</t>
  </si>
  <si>
    <t>分析表77</t>
  </si>
  <si>
    <t xml:space="preserve">050606300D5
</t>
  </si>
  <si>
    <t>分析表76</t>
  </si>
  <si>
    <t xml:space="preserve">050606300D4
</t>
  </si>
  <si>
    <t>分析表75</t>
  </si>
  <si>
    <t xml:space="preserve">050606300D3
</t>
  </si>
  <si>
    <t>分析表74</t>
  </si>
  <si>
    <t>050606300D2
#</t>
  </si>
  <si>
    <t>分析表73</t>
  </si>
  <si>
    <t>05500HD822a
#</t>
  </si>
  <si>
    <t>基座螺栓M12(含零配件)</t>
  </si>
  <si>
    <t>050606300D1
#</t>
  </si>
  <si>
    <t>分析表72</t>
  </si>
  <si>
    <t xml:space="preserve">03054412014b
</t>
  </si>
  <si>
    <t>分析表71</t>
  </si>
  <si>
    <t xml:space="preserve">03054412014a
</t>
  </si>
  <si>
    <t>分析表70</t>
  </si>
  <si>
    <t xml:space="preserve">05520B0001D
</t>
  </si>
  <si>
    <t>分析表69</t>
  </si>
  <si>
    <t xml:space="preserve">05520B0001B
</t>
  </si>
  <si>
    <t>分析表68</t>
  </si>
  <si>
    <t>0941000002
分析表265</t>
  </si>
  <si>
    <t xml:space="preserve">05520B0001A
</t>
  </si>
  <si>
    <t>分析表67</t>
  </si>
  <si>
    <t xml:space="preserve">03054B000BL
</t>
  </si>
  <si>
    <t>分析表66</t>
  </si>
  <si>
    <t xml:space="preserve">03054B000BI
</t>
  </si>
  <si>
    <t>分析表65</t>
  </si>
  <si>
    <t xml:space="preserve">03054B000BF
</t>
  </si>
  <si>
    <t>分析表64</t>
  </si>
  <si>
    <t>03054B000BD
#</t>
  </si>
  <si>
    <t>分析表63</t>
  </si>
  <si>
    <t xml:space="preserve">03054B000BC
</t>
  </si>
  <si>
    <t>分析表62</t>
  </si>
  <si>
    <t xml:space="preserve">03054B000BB
</t>
  </si>
  <si>
    <t>分析表61</t>
  </si>
  <si>
    <t xml:space="preserve">03054B000BA
</t>
  </si>
  <si>
    <t>分析表60</t>
  </si>
  <si>
    <t xml:space="preserve">0305441201c
</t>
  </si>
  <si>
    <t>分析表59</t>
  </si>
  <si>
    <t xml:space="preserve">0305441201b
</t>
  </si>
  <si>
    <t>分析表58</t>
  </si>
  <si>
    <t xml:space="preserve">0305441201a
</t>
  </si>
  <si>
    <t>分析表57</t>
  </si>
  <si>
    <t>03110212A1a
分析表23
本項納入「金屬製品類」物價指數調整</t>
  </si>
  <si>
    <t>03054410013
#</t>
  </si>
  <si>
    <t>分析表56</t>
  </si>
  <si>
    <t>0550021141a
#</t>
  </si>
  <si>
    <t>木料組裝</t>
  </si>
  <si>
    <t xml:space="preserve">0550004004
</t>
  </si>
  <si>
    <t>金屬軸承</t>
  </si>
  <si>
    <t xml:space="preserve">030544100B2D
</t>
  </si>
  <si>
    <t>分析表55</t>
  </si>
  <si>
    <t xml:space="preserve">030544100B2C
</t>
  </si>
  <si>
    <t>分析表54</t>
  </si>
  <si>
    <t>03054410012B
#</t>
  </si>
  <si>
    <t>分析表53</t>
  </si>
  <si>
    <t xml:space="preserve">030544100B2A
</t>
  </si>
  <si>
    <t>分析表52</t>
  </si>
  <si>
    <t xml:space="preserve">03054410011F
</t>
  </si>
  <si>
    <t>分析表51</t>
  </si>
  <si>
    <t xml:space="preserve">03054410011E
</t>
  </si>
  <si>
    <t>分析表50</t>
  </si>
  <si>
    <t xml:space="preserve">03054410011D
</t>
  </si>
  <si>
    <t>分析表49</t>
  </si>
  <si>
    <t xml:space="preserve">03054410011C
</t>
  </si>
  <si>
    <t>分析表48</t>
  </si>
  <si>
    <t xml:space="preserve">03054410011B
</t>
  </si>
  <si>
    <t>分析表47</t>
  </si>
  <si>
    <t xml:space="preserve">03054410011A
</t>
  </si>
  <si>
    <t>分析表46</t>
  </si>
  <si>
    <t>0277850021
分析表264
(警示帶/定位磚)</t>
  </si>
  <si>
    <t>0322000362
(含綁紮、耗損及運費)</t>
  </si>
  <si>
    <t>銲接鋼線網，D=10.00mm，15x15cm</t>
  </si>
  <si>
    <t>02786A0202
#</t>
  </si>
  <si>
    <t>分析表45</t>
  </si>
  <si>
    <t xml:space="preserve">M031503F0004
</t>
  </si>
  <si>
    <t>產品，混凝土附屬品，伸縮縫，側模</t>
  </si>
  <si>
    <t xml:space="preserve">M0315034004
</t>
  </si>
  <si>
    <t>產品，伸縮縫，(保麗龍，厚小於3.0cm)</t>
  </si>
  <si>
    <t xml:space="preserve">M031503E0004
</t>
  </si>
  <si>
    <t>產品，混凝土附屬品，伸縮縫，發泡PE棒</t>
  </si>
  <si>
    <t xml:space="preserve">M0315036004
</t>
  </si>
  <si>
    <t>產品，伸縮縫，填縫劑</t>
  </si>
  <si>
    <t xml:space="preserve">0315030001
</t>
  </si>
  <si>
    <t>分析表44</t>
  </si>
  <si>
    <t>0277012001
#</t>
  </si>
  <si>
    <t>分析表43</t>
  </si>
  <si>
    <t xml:space="preserve">M0277031S01
</t>
  </si>
  <si>
    <t>產品，鋼筋混凝土緣石，預鑄(斜坡式)</t>
  </si>
  <si>
    <t>0277001001
#</t>
  </si>
  <si>
    <t>分析表42</t>
  </si>
  <si>
    <t xml:space="preserve">M0277031001
</t>
  </si>
  <si>
    <t>產品，鋼筋混凝土緣石，預鑄</t>
  </si>
  <si>
    <t>02770110012
#</t>
  </si>
  <si>
    <t>分析表41</t>
  </si>
  <si>
    <t>0277011001
#</t>
  </si>
  <si>
    <t>分析表40</t>
  </si>
  <si>
    <t xml:space="preserve">M0277031009
</t>
  </si>
  <si>
    <t>產品，鋼筋混凝土界石，預鑄</t>
  </si>
  <si>
    <t xml:space="preserve">02770A3111
</t>
  </si>
  <si>
    <t>分析表39</t>
  </si>
  <si>
    <t>05500P00C1
#</t>
  </si>
  <si>
    <t>分析表38</t>
  </si>
  <si>
    <t>05500P0011
#</t>
  </si>
  <si>
    <t>分析表37</t>
  </si>
  <si>
    <t xml:space="preserve">027262000B
</t>
  </si>
  <si>
    <t>分析表36</t>
  </si>
  <si>
    <t>0336092007
#</t>
  </si>
  <si>
    <t>分析表35</t>
  </si>
  <si>
    <t xml:space="preserve">06100M000A2
</t>
  </si>
  <si>
    <t>分析表34</t>
  </si>
  <si>
    <t xml:space="preserve">06100M000A1
</t>
  </si>
  <si>
    <t>分析表33</t>
  </si>
  <si>
    <t>05530600021
分析表262
(W980*L1000mm)</t>
  </si>
  <si>
    <t xml:space="preserve">055306H15Ba
</t>
  </si>
  <si>
    <t>分析表32</t>
  </si>
  <si>
    <t>0296610003
分析表261</t>
  </si>
  <si>
    <t xml:space="preserve">02742DJ002
</t>
  </si>
  <si>
    <t>分析表31</t>
  </si>
  <si>
    <t>0315030001
分析表44</t>
  </si>
  <si>
    <t xml:space="preserve">0336070002
</t>
  </si>
  <si>
    <t>分析表30</t>
  </si>
  <si>
    <t>M0305002002
(露骨材地坪)</t>
  </si>
  <si>
    <t>產品，產品，混凝土基本材料及施工一般要求，緩凝劑</t>
  </si>
  <si>
    <t xml:space="preserve">0336000002
</t>
  </si>
  <si>
    <t>分析表29</t>
  </si>
  <si>
    <t>M0963710902
#(含運費)(石材鋪面)</t>
  </si>
  <si>
    <t>產品，石材地坪，花崗石，厚度3cm</t>
  </si>
  <si>
    <t>04061310A2
#(石材鋪面)</t>
  </si>
  <si>
    <t>石材黏著劑,TH=3cm</t>
  </si>
  <si>
    <t xml:space="preserve">0441000122
</t>
  </si>
  <si>
    <t>分析表28</t>
  </si>
  <si>
    <t>M02786003A2
#</t>
  </si>
  <si>
    <t>產品，梯形地磚，單面噴砂面，TH=8cm</t>
  </si>
  <si>
    <t>0279404002
#(透水磚紙模地坪)</t>
  </si>
  <si>
    <t>透水性舖面，透水黏層砂漿，TH=3cm</t>
  </si>
  <si>
    <t xml:space="preserve">0508160009
</t>
  </si>
  <si>
    <t xml:space="preserve">0278600342
</t>
  </si>
  <si>
    <t>分析表27</t>
  </si>
  <si>
    <t>M27940A002
#(透水磚紙模地坪)</t>
  </si>
  <si>
    <t>產品，透水性舖面，透水孔紙模(TH: 15cm)</t>
  </si>
  <si>
    <t>M0279500102
#(透水磚紙模地坪)</t>
  </si>
  <si>
    <t>產品，透水性混凝土地磚，厚60mm</t>
  </si>
  <si>
    <t xml:space="preserve">0279400002
</t>
  </si>
  <si>
    <t>分析表26</t>
  </si>
  <si>
    <t xml:space="preserve">050900J004
</t>
  </si>
  <si>
    <t>金屬接合，基礎錨定螺栓</t>
  </si>
  <si>
    <t>0512540009A2
#本項納入「金屬製品類」物價指數調整</t>
  </si>
  <si>
    <t>分析表25</t>
  </si>
  <si>
    <t>05500R0009A
#本項納入「金屬製品類」物價指數調整</t>
  </si>
  <si>
    <t>分析表24</t>
  </si>
  <si>
    <t xml:space="preserve">M0305060004
</t>
  </si>
  <si>
    <t>產品，脫模劑</t>
  </si>
  <si>
    <t>03110212C1a
本項納入「金屬製品類」物價指數調整</t>
  </si>
  <si>
    <t>清水模板，鋼模使用吊車裝拆</t>
  </si>
  <si>
    <t xml:space="preserve">M03110212B1a
</t>
  </si>
  <si>
    <t>產品，清水模板，鋼模製作費</t>
  </si>
  <si>
    <t>03110212A1a
本項納入「金屬製品類」物價指數調整</t>
  </si>
  <si>
    <t>分析表23</t>
  </si>
  <si>
    <t>0311011302n
U型構，集水井，排水箱涵等。本項納入(普通模板)物價指數調整</t>
  </si>
  <si>
    <t>分析表22</t>
  </si>
  <si>
    <t xml:space="preserve">M0305044103
</t>
  </si>
  <si>
    <t>產品，預拌混凝土材料費，210kgf/cm2，第1型水泥</t>
  </si>
  <si>
    <t xml:space="preserve">0331025003
</t>
  </si>
  <si>
    <t>分析表21</t>
  </si>
  <si>
    <t xml:space="preserve">M0305042103
</t>
  </si>
  <si>
    <t>產品，預拌混凝土材料費，140kgf/cm2，第1型水泥</t>
  </si>
  <si>
    <t xml:space="preserve">0331023003
</t>
  </si>
  <si>
    <t>分析表20</t>
  </si>
  <si>
    <t>M0321040005
本項納入(鋼筋)物價指數調整</t>
  </si>
  <si>
    <t>產品，鋼筋，SD280W</t>
  </si>
  <si>
    <t>0321040009a
本項納入(鋼筋)物價指數調整</t>
  </si>
  <si>
    <t>分析表19</t>
  </si>
  <si>
    <t xml:space="preserve">0231740#M1
</t>
  </si>
  <si>
    <t>分析表18</t>
  </si>
  <si>
    <t xml:space="preserve">L0000051000N1
</t>
  </si>
  <si>
    <t>操作手，壓實機</t>
  </si>
  <si>
    <t xml:space="preserve">E000005800001
</t>
  </si>
  <si>
    <t>回填土搗固機</t>
  </si>
  <si>
    <t xml:space="preserve">023174000A
</t>
  </si>
  <si>
    <t>分析表17</t>
  </si>
  <si>
    <t xml:space="preserve">01271A00EEa
</t>
  </si>
  <si>
    <t>分析表16</t>
  </si>
  <si>
    <t xml:space="preserve">16525102L00B
</t>
  </si>
  <si>
    <t>道路照明，路燈，燈桿拆或建桿工資，桿高≦5m</t>
  </si>
  <si>
    <t xml:space="preserve">16525133L006
</t>
  </si>
  <si>
    <t>道路照明，路燈，燈具及安定器，拆除或安裝工資，桿高≦5m</t>
  </si>
  <si>
    <t>1652511031
#料繳回，含運費。</t>
  </si>
  <si>
    <t>分析表15</t>
  </si>
  <si>
    <t xml:space="preserve">L000005100001
</t>
  </si>
  <si>
    <t>操作手</t>
  </si>
  <si>
    <t xml:space="preserve">E000004400711
</t>
  </si>
  <si>
    <t>開挖機，70~79KW，(作為破碎機用)</t>
  </si>
  <si>
    <t xml:space="preserve">0222016711
</t>
  </si>
  <si>
    <t>分析表14</t>
  </si>
  <si>
    <t xml:space="preserve">E3814ZFB201
</t>
  </si>
  <si>
    <t>吊車，20t以上</t>
  </si>
  <si>
    <t>01271AB00A
#磺港路橋、共月橋、三合橋</t>
  </si>
  <si>
    <t>分析表13</t>
  </si>
  <si>
    <t xml:space="preserve">02233B0003
</t>
  </si>
  <si>
    <t>清運，棄置場費用(含卡車沖洗及帆布覆蓋費)</t>
  </si>
  <si>
    <t xml:space="preserve">02234A00Z4
</t>
  </si>
  <si>
    <t>清除，垃圾及廢棄物，小搬運</t>
  </si>
  <si>
    <t xml:space="preserve">E000003400001
</t>
  </si>
  <si>
    <t>傾卸貨車，總重8-8.9t</t>
  </si>
  <si>
    <t>02234A0003a
#</t>
  </si>
  <si>
    <t>分析表12</t>
  </si>
  <si>
    <t xml:space="preserve">L000006400001
</t>
  </si>
  <si>
    <t>勞力工</t>
  </si>
  <si>
    <t xml:space="preserve">0223109002
</t>
  </si>
  <si>
    <t>分析表11</t>
  </si>
  <si>
    <t xml:space="preserve">M0151090004
</t>
  </si>
  <si>
    <t>產品，臨時設施，工程用水</t>
  </si>
  <si>
    <t xml:space="preserve">L0000051000D1
</t>
  </si>
  <si>
    <t>操作手，切割機</t>
  </si>
  <si>
    <t xml:space="preserve">E0000010T0004
</t>
  </si>
  <si>
    <t>機具不分類，割切機鋸片損耗</t>
  </si>
  <si>
    <t xml:space="preserve">E0000010R0001
</t>
  </si>
  <si>
    <t>機具不分類，混凝土割切機</t>
  </si>
  <si>
    <t xml:space="preserve">02220PWD00021
</t>
  </si>
  <si>
    <t>分析表10</t>
  </si>
  <si>
    <t xml:space="preserve">L000006500001
</t>
  </si>
  <si>
    <t>清潔工</t>
  </si>
  <si>
    <t xml:space="preserve">L000005300041
</t>
  </si>
  <si>
    <t>駕駛，清掃機</t>
  </si>
  <si>
    <t xml:space="preserve">E000003200001
</t>
  </si>
  <si>
    <t>清掃機</t>
  </si>
  <si>
    <t xml:space="preserve">E3542PWDX30U01
</t>
  </si>
  <si>
    <t>收料機(包括輸送帶)</t>
  </si>
  <si>
    <t xml:space="preserve">E00000630100B
</t>
  </si>
  <si>
    <t>瀝青混凝土刨除機，刨除機刨刀損耗</t>
  </si>
  <si>
    <t xml:space="preserve">E000006320001
</t>
  </si>
  <si>
    <t>瀝青混凝土刨除機，寬2.2m</t>
  </si>
  <si>
    <t xml:space="preserve">0296190432
</t>
  </si>
  <si>
    <t>分析表9</t>
  </si>
  <si>
    <t xml:space="preserve">02961140332a
</t>
  </si>
  <si>
    <t>瀝青鋪面打毛</t>
  </si>
  <si>
    <t xml:space="preserve">E000006310001
</t>
  </si>
  <si>
    <t>瀝青混凝土刨除機，寬1.2m</t>
  </si>
  <si>
    <t>02961403321
#含瀝青鋪面打毛</t>
  </si>
  <si>
    <t>分析表8</t>
  </si>
  <si>
    <t xml:space="preserve">02323PWDA0101
</t>
  </si>
  <si>
    <t>棄土區費用(含水土保持)，土棧場(修建工程廢棄物用)</t>
  </si>
  <si>
    <t xml:space="preserve">0232340063a
</t>
  </si>
  <si>
    <t>分析表7</t>
  </si>
  <si>
    <t>023235X46A
僅含運費(運距約&lt;20K)(土方管理費檢據核銷)</t>
  </si>
  <si>
    <t>分析表6</t>
  </si>
  <si>
    <t xml:space="preserve">02931BDD101
</t>
  </si>
  <si>
    <t>分析表5</t>
  </si>
  <si>
    <t xml:space="preserve">0296103003
</t>
  </si>
  <si>
    <t>分析表4</t>
  </si>
  <si>
    <t xml:space="preserve">02321PWD05AB1
</t>
  </si>
  <si>
    <t>分析表3</t>
  </si>
  <si>
    <t xml:space="preserve">0222010E23
</t>
  </si>
  <si>
    <t>分析表2</t>
  </si>
  <si>
    <t xml:space="preserve">0222010123
</t>
  </si>
  <si>
    <t>分析表1</t>
  </si>
  <si>
    <t xml:space="preserve"> </t>
  </si>
  <si>
    <t>單 價 分 析 表</t>
  </si>
  <si>
    <t>施工日報數量</t>
    <phoneticPr fontId="2" type="noConversion"/>
  </si>
  <si>
    <t>康</t>
    <phoneticPr fontId="2" type="noConversion"/>
  </si>
  <si>
    <t>工程名稱：磺港溪再造C段護岸及步道整建工程(延壽橋至三合橋)</t>
    <phoneticPr fontId="2" type="noConversion"/>
  </si>
  <si>
    <t>瀝青混凝土舖面，粗粒料19.0mm，黏度AC(1)-20</t>
    <phoneticPr fontId="2" type="noConversion"/>
  </si>
  <si>
    <t>傾卸貨車，總重35-35.9t</t>
    <phoneticPr fontId="2" type="noConversion"/>
  </si>
  <si>
    <t>開挖機，0.70~0.79m3</t>
    <phoneticPr fontId="2" type="noConversion"/>
  </si>
  <si>
    <t>吊卡車，15米-噸</t>
    <phoneticPr fontId="2" type="noConversion"/>
  </si>
  <si>
    <t>複  價</t>
    <phoneticPr fontId="2" type="noConversion"/>
  </si>
  <si>
    <t>品質管理，材料設備檢驗費，土木工程及建築類檢驗，工地密度試驗</t>
    <phoneticPr fontId="2" type="noConversion"/>
  </si>
  <si>
    <t>結構用鋼材，銲接結構用軋鋼料，SM400B鋼構工程及製作、組立工程(含加勁板、續接板、螺絲、螺栓、螺帽等)</t>
    <phoneticPr fontId="2" type="noConversion"/>
  </si>
  <si>
    <t>3變後</t>
    <phoneticPr fontId="3" type="noConversion"/>
  </si>
  <si>
    <t>2.12</t>
  </si>
  <si>
    <t>傾卸貨車，總重15-15.9t(災後)</t>
  </si>
  <si>
    <t>2.13</t>
  </si>
  <si>
    <t>傾卸貨車，總重8-8.9t(災後)</t>
  </si>
  <si>
    <t>2.14</t>
  </si>
  <si>
    <t>開挖機，履帶式抓斗，0.30~0.39m3(或小鏟裝車)(災後)</t>
  </si>
  <si>
    <t>2.15</t>
  </si>
  <si>
    <t>開挖機，0.70~0.79m3(災後)</t>
  </si>
  <si>
    <t>2.16</t>
  </si>
  <si>
    <t>吊卡車，15米-噸(災後)</t>
  </si>
  <si>
    <t>2.17</t>
  </si>
  <si>
    <t>吊車，20t以上(災後)</t>
  </si>
  <si>
    <t>2.18</t>
  </si>
  <si>
    <t>吊車，20t以下(災後)</t>
  </si>
  <si>
    <t>2.19</t>
  </si>
  <si>
    <t>灑水車，8.0~8.9m3(災後)</t>
  </si>
  <si>
    <t>2.20</t>
  </si>
  <si>
    <t>技術工(技術工、駕駛、操作手)(災後)</t>
  </si>
  <si>
    <t>2.21</t>
  </si>
  <si>
    <t>普通工(災後)</t>
  </si>
  <si>
    <t>2.22</t>
  </si>
  <si>
    <t>技術工(技術工、駕駛、操作手)，夜間(災後)</t>
  </si>
  <si>
    <t>2.23</t>
  </si>
  <si>
    <t>普通工，夜間(災後)</t>
  </si>
  <si>
    <t>2.24</t>
  </si>
  <si>
    <t>傾卸貨車，工程車3.5~6t(災後)</t>
  </si>
  <si>
    <t>2.25</t>
  </si>
  <si>
    <t>拖車，總重35-35.9t(災後)</t>
  </si>
  <si>
    <t>2.26</t>
  </si>
  <si>
    <t>鏈鋸機(含耗材工料)(災後)</t>
  </si>
  <si>
    <t>2.27</t>
  </si>
  <si>
    <t>臨時設施，雜項工程，工地處理，施工動復員，大型機具(災後)</t>
  </si>
  <si>
    <t>2.28</t>
  </si>
  <si>
    <t>臨時設施，雜項工程，工地處理，施工動復員，小型機具(災後)</t>
  </si>
  <si>
    <t>5.20</t>
    <phoneticPr fontId="2" type="noConversion"/>
  </si>
  <si>
    <t>安全設施及安全保護器材(災後)</t>
  </si>
  <si>
    <t>20</t>
    <phoneticPr fontId="2" type="noConversion"/>
  </si>
  <si>
    <t>前期(15期)</t>
    <phoneticPr fontId="3" type="noConversion"/>
  </si>
  <si>
    <t>康數量</t>
    <phoneticPr fontId="2" type="noConversion"/>
  </si>
  <si>
    <t>∮4"HDPE透水管</t>
    <phoneticPr fontId="2" type="noConversion"/>
  </si>
  <si>
    <t>警示面板顯示器</t>
    <phoneticPr fontId="2" type="noConversion"/>
  </si>
  <si>
    <t>1041000004
含白鐵雙層防水控制箱*2、簡易防水面板*7</t>
    <phoneticPr fontId="2" type="noConversion"/>
  </si>
  <si>
    <r>
      <t>品質管理，材料設備檢驗費，土木工程及建築類檢驗，A2006鋼筋混凝土用</t>
    </r>
    <r>
      <rPr>
        <sz val="12"/>
        <color rgb="FFFF0000"/>
        <rFont val="標楷體"/>
        <family val="4"/>
        <charset val="136"/>
      </rPr>
      <t>鋼筋物性試驗</t>
    </r>
    <phoneticPr fontId="2" type="noConversion"/>
  </si>
  <si>
    <r>
      <t>品質管理，材料設備檢驗費，土木工程及建築類檢驗，A2006鋼筋混凝土用</t>
    </r>
    <r>
      <rPr>
        <sz val="12"/>
        <color rgb="FFFF0000"/>
        <rFont val="標楷體"/>
        <family val="4"/>
        <charset val="136"/>
      </rPr>
      <t>鋼筋化性試驗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</si>
  <si>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瀝青混合料含油量穩定值及級配分析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</si>
  <si>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地工織物試驗法【含拉力強度(伸長率、撕裂強度)、透水係數、耐紫外線性、起始模數、有效開孔性】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</si>
  <si>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鋼鐵件檢驗【含降伏、拉伸、彎曲、化性】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</si>
  <si>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銲接鋼線網檢驗(含拉伸、彎曲、抗剪、外觀)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</si>
  <si>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不鏽鋼料檢驗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</si>
  <si>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熱浸鍍鋅試驗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</si>
  <si>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鍍鋅格柵蓋板試驗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</si>
  <si>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HDPE鋼板加勁螺旋管檢驗【含抗拉強度、伸長率】</t>
    </r>
    <phoneticPr fontId="2" type="noConversion"/>
  </si>
  <si>
    <r>
      <t>品質管理，材料設備檢驗費，</t>
    </r>
    <r>
      <rPr>
        <sz val="12"/>
        <color rgb="FFFF0000"/>
        <rFont val="標楷體"/>
        <family val="4"/>
        <charset val="136"/>
      </rPr>
      <t>植筋拉拔試驗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</si>
  <si>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土壤分類試驗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</si>
  <si>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工地密度試驗</t>
    </r>
    <phoneticPr fontId="2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</si>
  <si>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土壤相對密度試驗</t>
    </r>
    <phoneticPr fontId="2" type="noConversion"/>
  </si>
  <si>
    <r>
      <t>品質管理，材料設備檢驗費，</t>
    </r>
    <r>
      <rPr>
        <sz val="12"/>
        <color rgb="FFFF0000"/>
        <rFont val="標楷體"/>
        <family val="4"/>
        <charset val="136"/>
      </rPr>
      <t>基樁完整性試驗</t>
    </r>
    <phoneticPr fontId="2" type="noConversion"/>
  </si>
  <si>
    <t>前期(17期)</t>
    <phoneticPr fontId="3" type="noConversion"/>
  </si>
  <si>
    <t>前期(18期)</t>
    <phoneticPr fontId="3" type="noConversion"/>
  </si>
  <si>
    <r>
      <t>品質管理，材料設備檢驗費，土木工程及建築類檢驗，</t>
    </r>
    <r>
      <rPr>
        <sz val="12"/>
        <color rgb="FFFF0000"/>
        <rFont val="標楷體"/>
        <family val="4"/>
        <charset val="136"/>
      </rPr>
      <t>透水磚，透水試驗</t>
    </r>
    <phoneticPr fontId="2" type="noConversion"/>
  </si>
  <si>
    <r>
      <t>品質管理，材料設備檢驗費，盤式支承(固定型、單向活動型)</t>
    </r>
    <r>
      <rPr>
        <sz val="12"/>
        <color rgb="FFFF0000"/>
        <rFont val="標楷體"/>
        <family val="4"/>
        <charset val="136"/>
      </rPr>
      <t>垂直載重試驗(含支承墊回復)</t>
    </r>
    <phoneticPr fontId="2" type="noConversion"/>
  </si>
  <si>
    <r>
      <t>品質管理，材料設備檢驗費，盤式支承(單向活動型)</t>
    </r>
    <r>
      <rPr>
        <sz val="12"/>
        <color rgb="FFFF0000"/>
        <rFont val="標楷體"/>
        <family val="4"/>
        <charset val="136"/>
      </rPr>
      <t>滑動摩擦係數試驗</t>
    </r>
    <phoneticPr fontId="2" type="noConversion"/>
  </si>
  <si>
    <r>
      <t>品質管理，材料設備檢驗費，</t>
    </r>
    <r>
      <rPr>
        <sz val="12"/>
        <color rgb="FFFF0000"/>
        <rFont val="標楷體"/>
        <family val="4"/>
        <charset val="136"/>
      </rPr>
      <t>盤式支承尺度及表面粗糙度試驗</t>
    </r>
    <phoneticPr fontId="2" type="noConversion"/>
  </si>
  <si>
    <t>結構用混凝土，預拌，280kgf/cm2(第二型水泥)</t>
    <phoneticPr fontId="2" type="noConversion"/>
  </si>
  <si>
    <t>砌排石工，混凝土砌石(卵石均厚70cm)</t>
    <phoneticPr fontId="2" type="noConversion"/>
  </si>
  <si>
    <t>臨時河道圍水設施，鋼板樁，L=13m，(單邊水平長度，未含擋土支撐系統)</t>
    <phoneticPr fontId="4" type="noConversion"/>
  </si>
  <si>
    <t>梯形磚鋪面，149.5x(30,20)x8cmTH</t>
    <phoneticPr fontId="2" type="noConversion"/>
  </si>
  <si>
    <t>4變後</t>
    <phoneticPr fontId="2" type="noConversion"/>
  </si>
  <si>
    <r>
      <t>品質管理，材料設備檢驗費，木業類檢驗，</t>
    </r>
    <r>
      <rPr>
        <sz val="12"/>
        <color rgb="FFFF0000"/>
        <rFont val="標楷體"/>
        <family val="4"/>
        <charset val="136"/>
      </rPr>
      <t>原木檢驗(含樹種鑑定、含水率及ACQ吸收量檢測)</t>
    </r>
    <phoneticPr fontId="2" type="noConversion"/>
  </si>
  <si>
    <r>
      <rPr>
        <sz val="10"/>
        <color rgb="FF000000"/>
        <rFont val="標楷體"/>
        <family val="4"/>
        <charset val="136"/>
      </rPr>
      <t>品質管理，材料設備檢驗費，土木工程及建築類檢驗</t>
    </r>
    <r>
      <rPr>
        <sz val="12"/>
        <color indexed="8"/>
        <rFont val="標楷體"/>
        <family val="4"/>
        <charset val="136"/>
      </rPr>
      <t>，</t>
    </r>
    <r>
      <rPr>
        <sz val="12"/>
        <color rgb="FFFF0000"/>
        <rFont val="標楷體"/>
        <family val="4"/>
        <charset val="136"/>
      </rPr>
      <t>地工織物試驗法【含拉力強度(伸長率、撕裂強度)、透水係數、耐紫外線性、起始模數、有效開孔性】</t>
    </r>
    <phoneticPr fontId="2" type="noConversion"/>
  </si>
  <si>
    <t>前期(20期)</t>
    <phoneticPr fontId="3" type="noConversion"/>
  </si>
  <si>
    <t xml:space="preserve">03054410011A
分析表46
</t>
    <phoneticPr fontId="2" type="noConversion"/>
  </si>
  <si>
    <t>座</t>
    <phoneticPr fontId="2" type="noConversion"/>
  </si>
  <si>
    <t>前期(21期)</t>
    <phoneticPr fontId="3" type="noConversion"/>
  </si>
  <si>
    <t>05500R0009A
分析表24
#本項納入「金屬製品類」物價指數調整</t>
    <phoneticPr fontId="2" type="noConversion"/>
  </si>
  <si>
    <t>金屬材料，鋼料，裁切加工銲製(工廠加工)</t>
    <phoneticPr fontId="2" type="noConversion"/>
  </si>
  <si>
    <t xml:space="preserve">050606B009
</t>
    <phoneticPr fontId="2" type="noConversion"/>
  </si>
  <si>
    <t>餘方自行處理(含水土保持)，總重15t傾卸貨車</t>
    <phoneticPr fontId="2" type="noConversion"/>
  </si>
  <si>
    <t>傾卸貨車，總重35-35.9t</t>
    <phoneticPr fontId="2" type="noConversion"/>
  </si>
  <si>
    <t>餘方自行處理(含水土保持)，總重35-35.9t傾卸貨車</t>
    <phoneticPr fontId="2" type="noConversion"/>
  </si>
  <si>
    <t>前期(22期)</t>
    <phoneticPr fontId="3" type="noConversion"/>
  </si>
  <si>
    <t>新舊結構物介面處理</t>
    <phoneticPr fontId="2" type="noConversion"/>
  </si>
  <si>
    <t>前期(23期)</t>
    <phoneticPr fontId="3" type="noConversion"/>
  </si>
  <si>
    <t>前期(24期)</t>
    <phoneticPr fontId="3" type="noConversion"/>
  </si>
  <si>
    <t>∮8"PVC排水管埋設</t>
    <phoneticPr fontId="2" type="noConversion"/>
  </si>
  <si>
    <t>戶外型照度感應器(含桿座)</t>
    <phoneticPr fontId="2" type="noConversion"/>
  </si>
  <si>
    <t>前期(25期)</t>
    <phoneticPr fontId="3" type="noConversion"/>
  </si>
  <si>
    <t>導線管，硬質聚氯乙烯塑膠管，E管，標稱28mm</t>
    <phoneticPr fontId="2" type="noConversion"/>
  </si>
  <si>
    <t>L015566G01001
[人力工項不打折]日間7時-18時</t>
    <phoneticPr fontId="2" type="noConversion"/>
  </si>
  <si>
    <t>前期(27期)</t>
    <phoneticPr fontId="3" type="noConversion"/>
  </si>
  <si>
    <t>5變後</t>
    <phoneticPr fontId="2" type="noConversion"/>
  </si>
  <si>
    <t>1.1.29</t>
    <phoneticPr fontId="2" type="noConversion"/>
  </si>
  <si>
    <t>1.1.30</t>
    <phoneticPr fontId="2" type="noConversion"/>
  </si>
  <si>
    <t>交通維持，道路管制人員，夜間(22-06時)，義交</t>
  </si>
  <si>
    <t>餘方自行處理(含水土保持)，總重35-35.9t傾卸貨車</t>
  </si>
  <si>
    <t>95</t>
  </si>
  <si>
    <t>特殊地坪，壓花地坪</t>
  </si>
  <si>
    <t>96</t>
  </si>
  <si>
    <t>透水磚地坪B</t>
  </si>
  <si>
    <t>97</t>
  </si>
  <si>
    <t>98</t>
  </si>
  <si>
    <t>既有木作修復更新，含拆除、運棄</t>
  </si>
  <si>
    <t>99</t>
  </si>
  <si>
    <t>園區內木作欄杆修整，含護木漆塗布</t>
  </si>
  <si>
    <t>100</t>
  </si>
  <si>
    <t>園區既有鋼料除銹打磨修整塗裝</t>
  </si>
  <si>
    <t>101</t>
  </si>
  <si>
    <t>既有立柱補強</t>
  </si>
  <si>
    <t>102</t>
  </si>
  <si>
    <t>戶外專用電腦噴繪輸出及彩色膠膜</t>
  </si>
  <si>
    <t>103</t>
  </si>
  <si>
    <t>鋼筋，植筋，D13mm，鑽孔(含空氣槍清孔)及化學藥劑</t>
  </si>
  <si>
    <t>1.2.95</t>
    <phoneticPr fontId="2" type="noConversion"/>
  </si>
  <si>
    <t>1.2.96</t>
    <phoneticPr fontId="2" type="noConversion"/>
  </si>
  <si>
    <t>1.2.97</t>
    <phoneticPr fontId="2" type="noConversion"/>
  </si>
  <si>
    <t>1.2.98</t>
    <phoneticPr fontId="2" type="noConversion"/>
  </si>
  <si>
    <t>1.2.99</t>
    <phoneticPr fontId="2" type="noConversion"/>
  </si>
  <si>
    <t>2"PVC管埋設(含接頭、彎管、導線佈設等)</t>
  </si>
  <si>
    <t>3"PVC管埋設(含接頭、彎管、導線佈設等)</t>
  </si>
  <si>
    <t>4"PVC管埋設(含接頭、彎管、導線佈設等)</t>
  </si>
  <si>
    <t>6"PVC管埋設及附掛(含接頭、彎管及吊架、過管補強版等)</t>
  </si>
  <si>
    <t>仿清水混凝土塗裝</t>
  </si>
  <si>
    <t>1.3.44</t>
    <phoneticPr fontId="2" type="noConversion"/>
  </si>
  <si>
    <t>1.3.45</t>
    <phoneticPr fontId="2" type="noConversion"/>
  </si>
  <si>
    <t>1.3.46</t>
    <phoneticPr fontId="2" type="noConversion"/>
  </si>
  <si>
    <t>1.3.47</t>
    <phoneticPr fontId="2" type="noConversion"/>
  </si>
  <si>
    <t>1.3.48</t>
    <phoneticPr fontId="2" type="noConversion"/>
  </si>
  <si>
    <t>地工織物，抗沖蝕網，疊接施工</t>
  </si>
  <si>
    <t>洩水袋</t>
  </si>
  <si>
    <t>鋼筋，植筋，D16mm，鑽孔(含空氣槍清孔)及化學藥劑</t>
  </si>
  <si>
    <t>1.4.25</t>
    <phoneticPr fontId="2" type="noConversion"/>
  </si>
  <si>
    <t>1.4.26</t>
    <phoneticPr fontId="2" type="noConversion"/>
  </si>
  <si>
    <t>1.4.27</t>
    <phoneticPr fontId="2" type="noConversion"/>
  </si>
  <si>
    <t>1.4.28</t>
    <phoneticPr fontId="2" type="noConversion"/>
  </si>
  <si>
    <t>1.4.29</t>
    <phoneticPr fontId="2" type="noConversion"/>
  </si>
  <si>
    <t>12"排水鋼管，含埋設</t>
  </si>
  <si>
    <t>1.5.18</t>
    <phoneticPr fontId="2" type="noConversion"/>
  </si>
  <si>
    <t>1.6.17</t>
    <phoneticPr fontId="2" type="noConversion"/>
  </si>
  <si>
    <t>1.6.18</t>
    <phoneticPr fontId="2" type="noConversion"/>
  </si>
  <si>
    <t>1.6.19</t>
    <phoneticPr fontId="2" type="noConversion"/>
  </si>
  <si>
    <t>1.6.20</t>
    <phoneticPr fontId="2" type="noConversion"/>
  </si>
  <si>
    <t>級配粒料底層，碎石級配</t>
  </si>
  <si>
    <t>人行道化妝蓋板及底座</t>
  </si>
  <si>
    <t>道路交通標誌桿，含基礎</t>
  </si>
  <si>
    <t>道路交通標誌牌面</t>
  </si>
  <si>
    <t>17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</si>
  <si>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</si>
  <si>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</si>
  <si>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</si>
  <si>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</si>
  <si>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</si>
  <si>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</si>
  <si>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</si>
  <si>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29</t>
    <phoneticPr fontId="2" type="noConversion"/>
  </si>
  <si>
    <t>30</t>
    <phoneticPr fontId="2" type="noConversion"/>
  </si>
  <si>
    <t>1.7.90</t>
  </si>
  <si>
    <t>1.7.91</t>
  </si>
  <si>
    <t>1.7.92</t>
  </si>
  <si>
    <t>1.7.93</t>
  </si>
  <si>
    <t>1.7.94</t>
  </si>
  <si>
    <t>1.7.95</t>
  </si>
  <si>
    <t>1.7.96</t>
  </si>
  <si>
    <t>1.7.97</t>
  </si>
  <si>
    <t>1.7.98</t>
  </si>
  <si>
    <t>水茄苳，450≦樹高&lt;500cm，220≦樹幅&lt;240cm，14≦米高直徑&lt;16cm</t>
  </si>
  <si>
    <t>台灣石楠，250≦樹高&lt;300cm，160≦樹幅&lt;180cm，8≦米高直徑&lt;10cm</t>
  </si>
  <si>
    <t>九芎，450≦樹高&lt;500cm，220≦樹幅&lt;240cm，14≦米高直徑&lt;16cm</t>
  </si>
  <si>
    <t>水柳，450≦樹高&lt;500cm，220≦樹幅&lt;240cm，14≦米高直徑&lt;16cm</t>
  </si>
  <si>
    <t>烏桕，400≦樹高&lt;450cm，200≦樹幅&lt;220cm，14≦米高直徑&lt;16cm</t>
  </si>
  <si>
    <t>樟樹，400≦樹高&lt;450cm，200≦樹幅&lt;220cm，10≦米高直徑&lt;12cm</t>
  </si>
  <si>
    <t>番茉莉，50≦高度&lt;60cm，25≦寬度&lt;30cm</t>
  </si>
  <si>
    <t>紙莎草，30≦高度&lt;40cm，寬度&lt;10cm</t>
  </si>
  <si>
    <t>九重葛，120≦高度&lt;150cm</t>
  </si>
  <si>
    <t>1.8.42</t>
    <phoneticPr fontId="2" type="noConversion"/>
  </si>
  <si>
    <t>1.8.43</t>
    <phoneticPr fontId="2" type="noConversion"/>
  </si>
  <si>
    <t>1.8.44</t>
    <phoneticPr fontId="2" type="noConversion"/>
  </si>
  <si>
    <t>手孔埋設</t>
  </si>
  <si>
    <t>液位警報系統(系統規劃建置、網路線佈設等)</t>
  </si>
  <si>
    <t>道路照明，路燈，色溫調整</t>
  </si>
  <si>
    <t>42</t>
    <phoneticPr fontId="2" type="noConversion"/>
  </si>
  <si>
    <t>43</t>
    <phoneticPr fontId="2" type="noConversion"/>
  </si>
  <si>
    <t>44</t>
    <phoneticPr fontId="2" type="noConversion"/>
  </si>
  <si>
    <t>　　(一０)</t>
    <phoneticPr fontId="2" type="noConversion"/>
  </si>
  <si>
    <t>1.10.1</t>
    <phoneticPr fontId="2" type="noConversion"/>
  </si>
  <si>
    <t>1.10.2</t>
    <phoneticPr fontId="2" type="noConversion"/>
  </si>
  <si>
    <t>1.10.3</t>
  </si>
  <si>
    <t>1.10.4</t>
  </si>
  <si>
    <t>1.10.5</t>
  </si>
  <si>
    <t>1.10.6</t>
  </si>
  <si>
    <t>1.10.7</t>
  </si>
  <si>
    <t>1.10.8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</si>
  <si>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</si>
  <si>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</si>
  <si>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</si>
  <si>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</si>
  <si>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</si>
  <si>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</si>
  <si>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</si>
  <si>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</si>
  <si>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不鏽鋼板雷射造型切割</t>
  </si>
  <si>
    <t>觀溪亭地坪及外飾面</t>
  </si>
  <si>
    <t>蝶舞亭地坪及外飾面(含板材手工鍛造成型、板材手工拋磨、造型製作、工廠內假組立等)</t>
  </si>
  <si>
    <t>1</t>
    <phoneticPr fontId="2" type="noConversion"/>
  </si>
  <si>
    <t>2</t>
    <phoneticPr fontId="2" type="noConversion"/>
  </si>
  <si>
    <t>台北港土方管理費(114年起)</t>
  </si>
  <si>
    <t>9.2</t>
    <phoneticPr fontId="2" type="noConversion"/>
  </si>
  <si>
    <t>　　(一一)</t>
    <phoneticPr fontId="2" type="noConversion"/>
  </si>
  <si>
    <t>工程效益</t>
  </si>
  <si>
    <t>工程效益宣導活動</t>
  </si>
  <si>
    <t>1.11.1</t>
    <phoneticPr fontId="2" type="noConversion"/>
  </si>
  <si>
    <t>1.2.100</t>
    <phoneticPr fontId="2" type="noConversion"/>
  </si>
  <si>
    <t>1.2.101</t>
    <phoneticPr fontId="2" type="noConversion"/>
  </si>
  <si>
    <t>1.2.102</t>
    <phoneticPr fontId="2" type="noConversion"/>
  </si>
  <si>
    <t>1.2.103</t>
    <phoneticPr fontId="2" type="noConversion"/>
  </si>
  <si>
    <t>涼亭工程</t>
    <phoneticPr fontId="2" type="noConversion"/>
  </si>
  <si>
    <t>前期(26期)</t>
    <phoneticPr fontId="3" type="noConversion"/>
  </si>
  <si>
    <t>垃圾筒</t>
    <phoneticPr fontId="2" type="noConversion"/>
  </si>
  <si>
    <t>餘方遠運處理(台北港)</t>
    <phoneticPr fontId="2" type="noConversion"/>
  </si>
  <si>
    <t>垃圾及廢棄物(以體積計)清運</t>
    <phoneticPr fontId="2" type="noConversion"/>
  </si>
  <si>
    <t>吊車，20t以上(災後)</t>
    <phoneticPr fontId="2" type="noConversion"/>
  </si>
  <si>
    <t>開挖機，0.70~0.79m3(災後)</t>
    <phoneticPr fontId="2" type="noConversion"/>
  </si>
  <si>
    <t>技術工(技術工、駕駛、操作手)(災後)</t>
    <phoneticPr fontId="2" type="noConversion"/>
  </si>
  <si>
    <t>小工</t>
    <phoneticPr fontId="2" type="noConversion"/>
  </si>
  <si>
    <r>
      <rPr>
        <sz val="11"/>
        <color rgb="FF000000"/>
        <rFont val="標楷體"/>
        <family val="4"/>
        <charset val="136"/>
      </rPr>
      <t>品質管理，材料設備檢驗費，土木工程及建築類檢驗</t>
    </r>
    <r>
      <rPr>
        <sz val="11"/>
        <color indexed="8"/>
        <rFont val="標楷體"/>
        <family val="4"/>
        <charset val="136"/>
      </rPr>
      <t>，</t>
    </r>
    <r>
      <rPr>
        <sz val="11"/>
        <color rgb="FFFF0000"/>
        <rFont val="標楷體"/>
        <family val="4"/>
        <charset val="136"/>
      </rPr>
      <t>地工織物試驗法【含拉力強度(伸長率、撕裂強度)、透水係數、耐紫外線性、起始模數、有效開孔性】</t>
    </r>
    <phoneticPr fontId="2" type="noConversion"/>
  </si>
  <si>
    <r>
      <t>品質管理，材料設備檢驗費，土木工程及建築類檢驗，</t>
    </r>
    <r>
      <rPr>
        <sz val="10"/>
        <color rgb="FFFF0000"/>
        <rFont val="標楷體"/>
        <family val="4"/>
        <charset val="136"/>
      </rPr>
      <t>鍍鋅格柵蓋板試驗</t>
    </r>
    <phoneticPr fontId="2" type="noConversion"/>
  </si>
  <si>
    <r>
      <t>品質管理，材料設備檢驗費，土木工程及建築類檢驗，</t>
    </r>
    <r>
      <rPr>
        <sz val="10"/>
        <color rgb="FFFF0000"/>
        <rFont val="標楷體"/>
        <family val="4"/>
        <charset val="136"/>
      </rPr>
      <t>化學螺栓拉拔力測試</t>
    </r>
    <phoneticPr fontId="2" type="noConversion"/>
  </si>
  <si>
    <r>
      <t>品質管理，材料設備檢驗費，土木工程及建築類檢驗，</t>
    </r>
    <r>
      <rPr>
        <sz val="10"/>
        <color rgb="FFFF0000"/>
        <rFont val="標楷體"/>
        <family val="4"/>
        <charset val="136"/>
      </rPr>
      <t>工地密度試驗</t>
    </r>
    <phoneticPr fontId="2" type="noConversion"/>
  </si>
  <si>
    <r>
      <t>品質管理，材料設備檢驗費，土木工程及建築類檢驗，</t>
    </r>
    <r>
      <rPr>
        <sz val="10"/>
        <color rgb="FFFF0000"/>
        <rFont val="標楷體"/>
        <family val="4"/>
        <charset val="136"/>
      </rPr>
      <t>土壤分類試驗</t>
    </r>
    <phoneticPr fontId="2" type="noConversion"/>
  </si>
  <si>
    <t>前期(28期)</t>
    <phoneticPr fontId="3" type="noConversion"/>
  </si>
  <si>
    <r>
      <t>品質管理，材料設備檢驗費，土木工程及建築類檢驗，</t>
    </r>
    <r>
      <rPr>
        <sz val="10"/>
        <color rgb="FFFF0000"/>
        <rFont val="標楷體"/>
        <family val="4"/>
        <charset val="136"/>
      </rPr>
      <t>土壤相對密度試驗</t>
    </r>
    <phoneticPr fontId="2" type="noConversion"/>
  </si>
  <si>
    <t>前期(29期)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</si>
</sst>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#,##0.00_ "/>
    <numFmt numFmtId="177" formatCode="[$-404]e&quot;年&quot;m&quot;月&quot;d&quot;日&quot;;@"/>
    <numFmt numFmtId="178" formatCode="&quot;第&quot;\ #\ &quot;次估驗詳細表&quot;\ "/>
    <numFmt numFmtId="179" formatCode="0.000"/>
    <numFmt numFmtId="180" formatCode="0.0000_ "/>
    <numFmt numFmtId="181" formatCode="0.0000%"/>
    <numFmt numFmtId="182" formatCode="_-* #,##0_-;\-* #,##0_-;_-* &quot;-&quot;??_-;_-@_-"/>
  </numFmts>
  <fonts count="4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20"/>
      <name val="標楷體"/>
      <family val="4"/>
    </font>
    <font>
      <sz val="16"/>
      <name val="標楷體"/>
      <family val="4"/>
    </font>
    <font>
      <sz val="12"/>
      <name val="標楷體"/>
      <family val="4"/>
    </font>
    <font>
      <sz val="10"/>
      <name val="標楷體"/>
      <family val="4"/>
    </font>
    <font>
      <sz val="10"/>
      <name val="Arial"/>
      <family val="2"/>
    </font>
    <font>
      <sz val="8"/>
      <name val="標楷體"/>
      <family val="4"/>
    </font>
    <font>
      <sz val="14"/>
      <color indexed="8"/>
      <name val="標楷體"/>
      <family val="4"/>
      <charset val="136"/>
    </font>
    <font>
      <sz val="14"/>
      <name val="標楷體"/>
      <family val="4"/>
      <charset val="136"/>
    </font>
    <font>
      <sz val="14"/>
      <color theme="1"/>
      <name val="標楷體"/>
      <family val="4"/>
      <charset val="136"/>
    </font>
    <font>
      <sz val="6"/>
      <color indexed="8"/>
      <name val="標楷體"/>
      <family val="4"/>
      <charset val="136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2"/>
      <color indexed="8"/>
      <name val="標楷體"/>
      <family val="4"/>
      <charset val="136"/>
    </font>
    <font>
      <sz val="13"/>
      <color indexed="8"/>
      <name val="標楷體"/>
      <family val="4"/>
      <charset val="136"/>
    </font>
    <font>
      <sz val="16"/>
      <color indexed="8"/>
      <name val="標楷體"/>
      <family val="4"/>
      <charset val="136"/>
    </font>
    <font>
      <b/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name val="Arial"/>
      <family val="2"/>
    </font>
    <font>
      <b/>
      <sz val="14"/>
      <color rgb="FFFF0000"/>
      <name val="標楷體"/>
      <family val="4"/>
      <charset val="136"/>
    </font>
    <font>
      <b/>
      <sz val="12"/>
      <color rgb="FFFF0000"/>
      <name val="Arial"/>
      <family val="2"/>
    </font>
    <font>
      <sz val="8"/>
      <color indexed="8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0"/>
      <color theme="1"/>
      <name val="新細明體"/>
      <family val="2"/>
      <charset val="136"/>
      <scheme val="minor"/>
    </font>
    <font>
      <sz val="14"/>
      <color rgb="FFFF0000"/>
      <name val="標楷體"/>
      <family val="4"/>
      <charset val="136"/>
    </font>
    <font>
      <b/>
      <sz val="14"/>
      <name val="標楷體"/>
      <family val="4"/>
      <charset val="136"/>
    </font>
    <font>
      <b/>
      <sz val="10"/>
      <name val="標楷體"/>
      <family val="4"/>
      <charset val="136"/>
    </font>
    <font>
      <sz val="10"/>
      <color rgb="FFFF0000"/>
      <name val="Arial"/>
      <family val="2"/>
    </font>
    <font>
      <b/>
      <sz val="10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0"/>
      <color rgb="FF000000"/>
      <name val="標楷體"/>
      <family val="4"/>
      <charset val="136"/>
    </font>
    <font>
      <b/>
      <sz val="11"/>
      <color indexed="8"/>
      <name val="標楷體"/>
      <family val="4"/>
      <charset val="136"/>
    </font>
    <font>
      <b/>
      <sz val="10"/>
      <color rgb="FFFF0000"/>
      <name val="Arial"/>
      <family val="2"/>
    </font>
    <font>
      <sz val="12"/>
      <name val="新細明體"/>
      <family val="2"/>
      <charset val="136"/>
      <scheme val="minor"/>
    </font>
    <font>
      <sz val="10"/>
      <name val="新細明體"/>
      <family val="2"/>
      <charset val="136"/>
      <scheme val="minor"/>
    </font>
    <font>
      <b/>
      <sz val="14"/>
      <color theme="1"/>
      <name val="標楷體"/>
      <family val="4"/>
      <charset val="136"/>
    </font>
    <font>
      <sz val="10"/>
      <name val="標楷體"/>
      <family val="4"/>
      <charset val="136"/>
    </font>
    <font>
      <b/>
      <sz val="10"/>
      <name val="Arial"/>
      <family val="2"/>
    </font>
    <font>
      <sz val="11"/>
      <color indexed="8"/>
      <name val="標楷體"/>
      <family val="4"/>
      <charset val="136"/>
    </font>
    <font>
      <sz val="11"/>
      <color rgb="FF000000"/>
      <name val="標楷體"/>
      <family val="4"/>
      <charset val="136"/>
    </font>
    <font>
      <sz val="11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/>
  </cellStyleXfs>
  <cellXfs count="400">
    <xf numFmtId="0" fontId="0" fillId="0" borderId="0" xfId="0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shrinkToFit="1"/>
    </xf>
    <xf numFmtId="49" fontId="9" fillId="2" borderId="5" xfId="0" applyNumberFormat="1" applyFont="1" applyFill="1" applyBorder="1" applyAlignment="1">
      <alignment horizontal="left"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176" fontId="10" fillId="2" borderId="5" xfId="0" applyNumberFormat="1" applyFont="1" applyFill="1" applyBorder="1" applyAlignment="1">
      <alignment horizontal="right" vertical="center" shrinkToFit="1"/>
    </xf>
    <xf numFmtId="49" fontId="11" fillId="2" borderId="16" xfId="0" applyNumberFormat="1" applyFont="1" applyFill="1" applyBorder="1" applyAlignment="1">
      <alignment horizontal="left" vertical="center" wrapText="1"/>
    </xf>
    <xf numFmtId="49" fontId="9" fillId="4" borderId="8" xfId="0" applyNumberFormat="1" applyFont="1" applyFill="1" applyBorder="1" applyAlignment="1">
      <alignment horizontal="center" vertical="center" shrinkToFit="1"/>
    </xf>
    <xf numFmtId="49" fontId="9" fillId="4" borderId="5" xfId="0" applyNumberFormat="1" applyFont="1" applyFill="1" applyBorder="1" applyAlignment="1">
      <alignment horizontal="left" vertical="center" wrapText="1"/>
    </xf>
    <xf numFmtId="49" fontId="9" fillId="4" borderId="5" xfId="0" applyNumberFormat="1" applyFont="1" applyFill="1" applyBorder="1" applyAlignment="1">
      <alignment horizontal="center" vertical="center" wrapText="1"/>
    </xf>
    <xf numFmtId="176" fontId="10" fillId="4" borderId="5" xfId="0" applyNumberFormat="1" applyFont="1" applyFill="1" applyBorder="1" applyAlignment="1">
      <alignment horizontal="right" vertical="center" shrinkToFit="1"/>
    </xf>
    <xf numFmtId="49" fontId="11" fillId="4" borderId="16" xfId="0" applyNumberFormat="1" applyFont="1" applyFill="1" applyBorder="1" applyAlignment="1">
      <alignment horizontal="left" vertical="center" wrapText="1"/>
    </xf>
    <xf numFmtId="49" fontId="9" fillId="5" borderId="8" xfId="0" applyNumberFormat="1" applyFont="1" applyFill="1" applyBorder="1" applyAlignment="1">
      <alignment horizontal="center" vertical="center" shrinkToFit="1"/>
    </xf>
    <xf numFmtId="49" fontId="9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center" vertical="center" wrapText="1"/>
    </xf>
    <xf numFmtId="176" fontId="10" fillId="5" borderId="5" xfId="0" applyNumberFormat="1" applyFont="1" applyFill="1" applyBorder="1" applyAlignment="1">
      <alignment horizontal="right" vertical="center" shrinkToFit="1"/>
    </xf>
    <xf numFmtId="49" fontId="11" fillId="5" borderId="16" xfId="0" applyNumberFormat="1" applyFont="1" applyFill="1" applyBorder="1" applyAlignment="1">
      <alignment horizontal="left" vertical="center" wrapText="1"/>
    </xf>
    <xf numFmtId="49" fontId="9" fillId="0" borderId="8" xfId="0" applyNumberFormat="1" applyFont="1" applyBorder="1" applyAlignment="1">
      <alignment horizontal="center" vertical="center" shrinkToFit="1"/>
    </xf>
    <xf numFmtId="49" fontId="9" fillId="0" borderId="5" xfId="0" applyNumberFormat="1" applyFont="1" applyBorder="1" applyAlignment="1">
      <alignment horizontal="left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176" fontId="10" fillId="0" borderId="5" xfId="0" applyNumberFormat="1" applyFont="1" applyBorder="1" applyAlignment="1">
      <alignment horizontal="right" vertical="center" shrinkToFit="1"/>
    </xf>
    <xf numFmtId="49" fontId="11" fillId="0" borderId="16" xfId="0" applyNumberFormat="1" applyFont="1" applyBorder="1" applyAlignment="1">
      <alignment horizontal="center" vertical="center" wrapText="1"/>
    </xf>
    <xf numFmtId="49" fontId="9" fillId="6" borderId="8" xfId="0" applyNumberFormat="1" applyFont="1" applyFill="1" applyBorder="1" applyAlignment="1">
      <alignment horizontal="center" vertical="center" shrinkToFit="1"/>
    </xf>
    <xf numFmtId="49" fontId="9" fillId="6" borderId="5" xfId="0" applyNumberFormat="1" applyFont="1" applyFill="1" applyBorder="1" applyAlignment="1">
      <alignment horizontal="left" vertical="center" wrapText="1"/>
    </xf>
    <xf numFmtId="49" fontId="9" fillId="6" borderId="5" xfId="0" applyNumberFormat="1" applyFont="1" applyFill="1" applyBorder="1" applyAlignment="1">
      <alignment horizontal="center" vertical="center" wrapText="1"/>
    </xf>
    <xf numFmtId="176" fontId="10" fillId="6" borderId="5" xfId="0" applyNumberFormat="1" applyFont="1" applyFill="1" applyBorder="1" applyAlignment="1">
      <alignment horizontal="right" vertical="center" shrinkToFit="1"/>
    </xf>
    <xf numFmtId="49" fontId="11" fillId="6" borderId="16" xfId="0" applyNumberFormat="1" applyFont="1" applyFill="1" applyBorder="1" applyAlignment="1">
      <alignment horizontal="left" vertical="center" wrapText="1"/>
    </xf>
    <xf numFmtId="49" fontId="11" fillId="0" borderId="16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43" fontId="0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43" fontId="0" fillId="2" borderId="0" xfId="1" applyFont="1" applyFill="1">
      <alignment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0" xfId="0" applyFill="1" applyAlignment="1">
      <alignment vertical="center" wrapText="1"/>
    </xf>
    <xf numFmtId="43" fontId="0" fillId="4" borderId="0" xfId="1" applyFont="1" applyFill="1">
      <alignment vertical="center"/>
    </xf>
    <xf numFmtId="0" fontId="5" fillId="4" borderId="5" xfId="0" applyFon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43" fontId="0" fillId="5" borderId="0" xfId="1" applyFont="1" applyFill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shrinkToFi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right" vertical="center" shrinkToFit="1"/>
    </xf>
    <xf numFmtId="0" fontId="12" fillId="0" borderId="10" xfId="0" applyFont="1" applyBorder="1" applyAlignment="1">
      <alignment horizontal="center" vertical="center" wrapText="1" shrinkToFit="1"/>
    </xf>
    <xf numFmtId="0" fontId="13" fillId="2" borderId="6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horizontal="center" vertical="center" wrapText="1"/>
    </xf>
    <xf numFmtId="43" fontId="13" fillId="2" borderId="5" xfId="1" applyFont="1" applyFill="1" applyBorder="1" applyAlignment="1">
      <alignment horizontal="center" vertical="center" wrapText="1"/>
    </xf>
    <xf numFmtId="49" fontId="13" fillId="3" borderId="6" xfId="0" applyNumberFormat="1" applyFont="1" applyFill="1" applyBorder="1" applyAlignment="1">
      <alignment vertical="center" wrapText="1"/>
    </xf>
    <xf numFmtId="0" fontId="13" fillId="3" borderId="5" xfId="0" applyFont="1" applyFill="1" applyBorder="1" applyAlignment="1">
      <alignment horizontal="center" vertical="center" wrapText="1"/>
    </xf>
    <xf numFmtId="43" fontId="13" fillId="3" borderId="5" xfId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2" borderId="9" xfId="0" applyFont="1" applyFill="1" applyBorder="1" applyAlignment="1">
      <alignment vertical="center" wrapText="1"/>
    </xf>
    <xf numFmtId="0" fontId="13" fillId="2" borderId="8" xfId="0" applyFont="1" applyFill="1" applyBorder="1" applyAlignment="1">
      <alignment horizontal="center" vertical="center" shrinkToFit="1"/>
    </xf>
    <xf numFmtId="0" fontId="13" fillId="3" borderId="8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 shrinkToFit="1"/>
    </xf>
    <xf numFmtId="176" fontId="12" fillId="0" borderId="1" xfId="0" applyNumberFormat="1" applyFont="1" applyBorder="1" applyAlignment="1">
      <alignment horizontal="right" vertical="center" wrapText="1" shrinkToFit="1"/>
    </xf>
    <xf numFmtId="176" fontId="12" fillId="0" borderId="10" xfId="0" applyNumberFormat="1" applyFont="1" applyBorder="1" applyAlignment="1">
      <alignment horizontal="right" vertical="center" wrapText="1" shrinkToFit="1"/>
    </xf>
    <xf numFmtId="176" fontId="12" fillId="2" borderId="1" xfId="0" applyNumberFormat="1" applyFont="1" applyFill="1" applyBorder="1" applyAlignment="1">
      <alignment horizontal="right" vertical="center" wrapText="1" shrinkToFit="1"/>
    </xf>
    <xf numFmtId="176" fontId="12" fillId="3" borderId="1" xfId="0" applyNumberFormat="1" applyFont="1" applyFill="1" applyBorder="1" applyAlignment="1">
      <alignment horizontal="right" vertical="center" wrapText="1" shrinkToFit="1"/>
    </xf>
    <xf numFmtId="0" fontId="12" fillId="5" borderId="1" xfId="0" applyFont="1" applyFill="1" applyBorder="1" applyAlignment="1">
      <alignment vertical="center" shrinkToFit="1"/>
    </xf>
    <xf numFmtId="0" fontId="12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 shrinkToFit="1"/>
    </xf>
    <xf numFmtId="176" fontId="12" fillId="5" borderId="1" xfId="0" applyNumberFormat="1" applyFont="1" applyFill="1" applyBorder="1" applyAlignment="1">
      <alignment horizontal="right" vertical="center" wrapText="1" shrinkToFit="1"/>
    </xf>
    <xf numFmtId="0" fontId="12" fillId="5" borderId="11" xfId="0" applyFont="1" applyFill="1" applyBorder="1" applyAlignment="1">
      <alignment horizontal="center" vertical="center" wrapText="1" shrinkToFit="1"/>
    </xf>
    <xf numFmtId="176" fontId="12" fillId="5" borderId="11" xfId="0" applyNumberFormat="1" applyFont="1" applyFill="1" applyBorder="1" applyAlignment="1">
      <alignment horizontal="right" vertical="center" wrapText="1" shrinkToFit="1"/>
    </xf>
    <xf numFmtId="0" fontId="12" fillId="7" borderId="1" xfId="0" applyFont="1" applyFill="1" applyBorder="1" applyAlignment="1">
      <alignment vertical="center" shrinkToFit="1"/>
    </xf>
    <xf numFmtId="0" fontId="12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 shrinkToFit="1"/>
    </xf>
    <xf numFmtId="176" fontId="12" fillId="7" borderId="1" xfId="0" applyNumberFormat="1" applyFont="1" applyFill="1" applyBorder="1" applyAlignment="1">
      <alignment horizontal="right" vertical="center" wrapText="1" shrinkToFit="1"/>
    </xf>
    <xf numFmtId="0" fontId="12" fillId="0" borderId="0" xfId="0" applyFont="1" applyAlignment="1">
      <alignment vertical="center" wrapText="1" shrinkToFit="1"/>
    </xf>
    <xf numFmtId="0" fontId="12" fillId="0" borderId="0" xfId="0" applyFont="1" applyAlignment="1" applyProtection="1">
      <alignment horizontal="left" vertical="top" wrapText="1" shrinkToFit="1"/>
      <protection locked="0"/>
    </xf>
    <xf numFmtId="0" fontId="15" fillId="0" borderId="1" xfId="0" applyFont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5" fillId="8" borderId="0" xfId="0" applyFont="1" applyFill="1" applyAlignment="1">
      <alignment horizontal="center" vertical="center"/>
    </xf>
    <xf numFmtId="0" fontId="5" fillId="8" borderId="18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14" fillId="0" borderId="0" xfId="0" applyFont="1" applyAlignment="1">
      <alignment horizontal="center" wrapText="1"/>
    </xf>
    <xf numFmtId="176" fontId="10" fillId="9" borderId="5" xfId="0" applyNumberFormat="1" applyFont="1" applyFill="1" applyBorder="1" applyAlignment="1">
      <alignment horizontal="right" vertical="center" shrinkToFit="1"/>
    </xf>
    <xf numFmtId="176" fontId="10" fillId="10" borderId="5" xfId="0" applyNumberFormat="1" applyFont="1" applyFill="1" applyBorder="1" applyAlignment="1">
      <alignment horizontal="right" vertical="center" shrinkToFit="1"/>
    </xf>
    <xf numFmtId="10" fontId="13" fillId="0" borderId="0" xfId="0" applyNumberFormat="1" applyFont="1" applyAlignment="1">
      <alignment horizontal="center" wrapText="1"/>
    </xf>
    <xf numFmtId="0" fontId="16" fillId="0" borderId="0" xfId="3"/>
    <xf numFmtId="0" fontId="17" fillId="0" borderId="0" xfId="3" applyFont="1" applyAlignment="1">
      <alignment vertical="center"/>
    </xf>
    <xf numFmtId="0" fontId="16" fillId="0" borderId="0" xfId="3" applyAlignment="1">
      <alignment vertical="center" wrapText="1"/>
    </xf>
    <xf numFmtId="0" fontId="18" fillId="0" borderId="1" xfId="3" applyFont="1" applyBorder="1" applyAlignment="1">
      <alignment vertical="center" wrapText="1"/>
    </xf>
    <xf numFmtId="176" fontId="19" fillId="0" borderId="1" xfId="3" applyNumberFormat="1" applyFont="1" applyBorder="1" applyAlignment="1">
      <alignment horizontal="right" vertical="center" shrinkToFit="1"/>
    </xf>
    <xf numFmtId="0" fontId="18" fillId="0" borderId="1" xfId="3" applyFont="1" applyBorder="1" applyAlignment="1">
      <alignment horizontal="center" vertical="center" wrapText="1" shrinkToFit="1"/>
    </xf>
    <xf numFmtId="0" fontId="17" fillId="0" borderId="0" xfId="3" applyFont="1" applyAlignment="1">
      <alignment vertical="center" wrapText="1"/>
    </xf>
    <xf numFmtId="0" fontId="20" fillId="0" borderId="1" xfId="3" applyFont="1" applyBorder="1" applyAlignment="1">
      <alignment horizontal="center" vertical="center" wrapText="1"/>
    </xf>
    <xf numFmtId="4" fontId="20" fillId="0" borderId="1" xfId="3" applyNumberFormat="1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43" fontId="5" fillId="3" borderId="5" xfId="1" applyFont="1" applyFill="1" applyBorder="1" applyAlignment="1">
      <alignment horizontal="center" vertical="center" wrapText="1"/>
    </xf>
    <xf numFmtId="43" fontId="5" fillId="2" borderId="5" xfId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horizontal="center" vertical="center" wrapText="1" shrinkToFit="1"/>
    </xf>
    <xf numFmtId="176" fontId="12" fillId="11" borderId="1" xfId="0" applyNumberFormat="1" applyFont="1" applyFill="1" applyBorder="1" applyAlignment="1">
      <alignment horizontal="right" vertical="center" wrapText="1" shrinkToFit="1"/>
    </xf>
    <xf numFmtId="176" fontId="10" fillId="11" borderId="5" xfId="0" applyNumberFormat="1" applyFont="1" applyFill="1" applyBorder="1" applyAlignment="1">
      <alignment horizontal="right" vertical="center" shrinkToFit="1"/>
    </xf>
    <xf numFmtId="0" fontId="12" fillId="9" borderId="1" xfId="0" applyFont="1" applyFill="1" applyBorder="1" applyAlignment="1">
      <alignment vertical="center" wrapText="1"/>
    </xf>
    <xf numFmtId="10" fontId="11" fillId="0" borderId="16" xfId="2" applyNumberFormat="1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0" fontId="24" fillId="0" borderId="0" xfId="2" applyNumberFormat="1" applyFont="1" applyFill="1" applyAlignment="1">
      <alignment horizontal="center" wrapText="1"/>
    </xf>
    <xf numFmtId="176" fontId="25" fillId="0" borderId="0" xfId="0" applyNumberFormat="1" applyFont="1" applyAlignment="1">
      <alignment horizontal="center" vertical="center" shrinkToFit="1"/>
    </xf>
    <xf numFmtId="176" fontId="10" fillId="12" borderId="5" xfId="0" applyNumberFormat="1" applyFont="1" applyFill="1" applyBorder="1" applyAlignment="1">
      <alignment horizontal="right" vertical="center" shrinkToFit="1"/>
    </xf>
    <xf numFmtId="176" fontId="10" fillId="13" borderId="5" xfId="0" applyNumberFormat="1" applyFont="1" applyFill="1" applyBorder="1" applyAlignment="1">
      <alignment horizontal="right" vertical="center" shrinkToFit="1"/>
    </xf>
    <xf numFmtId="49" fontId="11" fillId="12" borderId="16" xfId="0" applyNumberFormat="1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right" vertical="center" shrinkToFit="1"/>
    </xf>
    <xf numFmtId="0" fontId="12" fillId="12" borderId="1" xfId="0" applyFont="1" applyFill="1" applyBorder="1" applyAlignment="1">
      <alignment vertical="center" wrapText="1"/>
    </xf>
    <xf numFmtId="0" fontId="12" fillId="12" borderId="1" xfId="0" applyFont="1" applyFill="1" applyBorder="1" applyAlignment="1">
      <alignment horizontal="center" vertical="center" wrapText="1" shrinkToFit="1"/>
    </xf>
    <xf numFmtId="176" fontId="12" fillId="12" borderId="1" xfId="0" applyNumberFormat="1" applyFont="1" applyFill="1" applyBorder="1" applyAlignment="1">
      <alignment horizontal="right" vertical="center" wrapText="1" shrinkToFit="1"/>
    </xf>
    <xf numFmtId="0" fontId="13" fillId="12" borderId="8" xfId="0" applyFont="1" applyFill="1" applyBorder="1" applyAlignment="1">
      <alignment horizontal="center" vertical="center" shrinkToFit="1"/>
    </xf>
    <xf numFmtId="0" fontId="13" fillId="12" borderId="6" xfId="0" applyFont="1" applyFill="1" applyBorder="1" applyAlignment="1">
      <alignment vertical="center" wrapText="1"/>
    </xf>
    <xf numFmtId="176" fontId="27" fillId="0" borderId="5" xfId="0" applyNumberFormat="1" applyFont="1" applyBorder="1" applyAlignment="1">
      <alignment horizontal="right" vertical="center" shrinkToFit="1"/>
    </xf>
    <xf numFmtId="0" fontId="28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5" fillId="12" borderId="6" xfId="0" applyFont="1" applyFill="1" applyBorder="1" applyAlignment="1">
      <alignment vertical="center" wrapText="1"/>
    </xf>
    <xf numFmtId="43" fontId="13" fillId="3" borderId="0" xfId="1" applyFont="1" applyFill="1" applyBorder="1" applyAlignment="1">
      <alignment horizontal="center" vertical="center" wrapText="1"/>
    </xf>
    <xf numFmtId="43" fontId="5" fillId="3" borderId="0" xfId="1" applyFont="1" applyFill="1" applyBorder="1" applyAlignment="1">
      <alignment horizontal="center" vertical="center" wrapText="1"/>
    </xf>
    <xf numFmtId="43" fontId="13" fillId="2" borderId="0" xfId="1" applyFont="1" applyFill="1" applyBorder="1" applyAlignment="1">
      <alignment horizontal="center" vertical="center" wrapText="1"/>
    </xf>
    <xf numFmtId="43" fontId="0" fillId="0" borderId="0" xfId="1" applyFont="1" applyFill="1">
      <alignment vertical="center"/>
    </xf>
    <xf numFmtId="0" fontId="13" fillId="12" borderId="19" xfId="0" applyFont="1" applyFill="1" applyBorder="1" applyAlignment="1">
      <alignment horizontal="center" vertical="center" shrinkToFit="1"/>
    </xf>
    <xf numFmtId="0" fontId="13" fillId="12" borderId="20" xfId="0" applyFont="1" applyFill="1" applyBorder="1" applyAlignment="1">
      <alignment vertical="center" wrapText="1"/>
    </xf>
    <xf numFmtId="0" fontId="13" fillId="3" borderId="21" xfId="0" applyFont="1" applyFill="1" applyBorder="1" applyAlignment="1">
      <alignment horizontal="center" vertical="center" wrapText="1"/>
    </xf>
    <xf numFmtId="176" fontId="12" fillId="3" borderId="10" xfId="0" applyNumberFormat="1" applyFont="1" applyFill="1" applyBorder="1" applyAlignment="1">
      <alignment horizontal="right" vertical="center" wrapText="1" shrinkToFit="1"/>
    </xf>
    <xf numFmtId="43" fontId="13" fillId="3" borderId="21" xfId="1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vertical="center" wrapText="1"/>
    </xf>
    <xf numFmtId="0" fontId="12" fillId="7" borderId="11" xfId="0" applyFont="1" applyFill="1" applyBorder="1" applyAlignment="1">
      <alignment vertical="center" shrinkToFit="1"/>
    </xf>
    <xf numFmtId="0" fontId="12" fillId="7" borderId="11" xfId="0" applyFont="1" applyFill="1" applyBorder="1" applyAlignment="1">
      <alignment vertical="center" wrapText="1"/>
    </xf>
    <xf numFmtId="0" fontId="12" fillId="7" borderId="11" xfId="0" applyFont="1" applyFill="1" applyBorder="1" applyAlignment="1">
      <alignment horizontal="center" vertical="center" wrapText="1" shrinkToFit="1"/>
    </xf>
    <xf numFmtId="176" fontId="12" fillId="7" borderId="11" xfId="0" applyNumberFormat="1" applyFont="1" applyFill="1" applyBorder="1" applyAlignment="1">
      <alignment horizontal="right" vertical="center" wrapText="1" shrinkToFit="1"/>
    </xf>
    <xf numFmtId="0" fontId="15" fillId="7" borderId="11" xfId="0" applyFont="1" applyFill="1" applyBorder="1" applyAlignment="1">
      <alignment vertical="center" wrapText="1"/>
    </xf>
    <xf numFmtId="0" fontId="13" fillId="0" borderId="5" xfId="0" applyFont="1" applyBorder="1" applyAlignment="1">
      <alignment horizontal="center" vertical="center" shrinkToFit="1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176" fontId="12" fillId="0" borderId="5" xfId="0" applyNumberFormat="1" applyFont="1" applyBorder="1" applyAlignment="1">
      <alignment horizontal="right" vertical="center" wrapText="1" shrinkToFit="1"/>
    </xf>
    <xf numFmtId="43" fontId="13" fillId="0" borderId="5" xfId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176" fontId="12" fillId="0" borderId="2" xfId="0" applyNumberFormat="1" applyFont="1" applyBorder="1" applyAlignment="1">
      <alignment horizontal="right" vertical="center" wrapText="1" shrinkToFit="1"/>
    </xf>
    <xf numFmtId="176" fontId="12" fillId="12" borderId="2" xfId="0" applyNumberFormat="1" applyFont="1" applyFill="1" applyBorder="1" applyAlignment="1">
      <alignment horizontal="right" vertical="center" wrapText="1" shrinkToFit="1"/>
    </xf>
    <xf numFmtId="43" fontId="13" fillId="3" borderId="6" xfId="1" applyFont="1" applyFill="1" applyBorder="1" applyAlignment="1">
      <alignment horizontal="center" vertical="center" wrapText="1"/>
    </xf>
    <xf numFmtId="43" fontId="13" fillId="3" borderId="20" xfId="1" applyFont="1" applyFill="1" applyBorder="1" applyAlignment="1">
      <alignment horizontal="center" vertical="center" wrapText="1"/>
    </xf>
    <xf numFmtId="43" fontId="13" fillId="0" borderId="6" xfId="1" applyFont="1" applyFill="1" applyBorder="1" applyAlignment="1">
      <alignment horizontal="center" vertical="center" wrapText="1"/>
    </xf>
    <xf numFmtId="176" fontId="12" fillId="0" borderId="4" xfId="0" applyNumberFormat="1" applyFont="1" applyBorder="1" applyAlignment="1">
      <alignment horizontal="right" vertical="center" wrapText="1" shrinkToFit="1"/>
    </xf>
    <xf numFmtId="176" fontId="12" fillId="3" borderId="4" xfId="0" applyNumberFormat="1" applyFont="1" applyFill="1" applyBorder="1" applyAlignment="1">
      <alignment horizontal="right" vertical="center" wrapText="1" shrinkToFit="1"/>
    </xf>
    <xf numFmtId="176" fontId="12" fillId="3" borderId="22" xfId="0" applyNumberFormat="1" applyFont="1" applyFill="1" applyBorder="1" applyAlignment="1">
      <alignment horizontal="right" vertical="center" wrapText="1" shrinkToFit="1"/>
    </xf>
    <xf numFmtId="176" fontId="12" fillId="0" borderId="7" xfId="0" applyNumberFormat="1" applyFont="1" applyBorder="1" applyAlignment="1">
      <alignment horizontal="right" vertical="center" wrapText="1" shrinkToFit="1"/>
    </xf>
    <xf numFmtId="176" fontId="12" fillId="12" borderId="10" xfId="0" applyNumberFormat="1" applyFont="1" applyFill="1" applyBorder="1" applyAlignment="1">
      <alignment horizontal="right" vertical="center" wrapText="1" shrinkToFit="1"/>
    </xf>
    <xf numFmtId="176" fontId="12" fillId="12" borderId="5" xfId="0" applyNumberFormat="1" applyFont="1" applyFill="1" applyBorder="1" applyAlignment="1">
      <alignment horizontal="right" vertical="center" wrapText="1" shrinkToFit="1"/>
    </xf>
    <xf numFmtId="43" fontId="15" fillId="0" borderId="5" xfId="0" applyNumberFormat="1" applyFont="1" applyBorder="1" applyAlignment="1">
      <alignment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vertical="center" wrapText="1"/>
    </xf>
    <xf numFmtId="43" fontId="13" fillId="2" borderId="21" xfId="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vertical="center" wrapText="1"/>
    </xf>
    <xf numFmtId="0" fontId="13" fillId="0" borderId="5" xfId="0" quotePrefix="1" applyFont="1" applyBorder="1" applyAlignment="1">
      <alignment horizontal="center" vertical="center" shrinkToFit="1"/>
    </xf>
    <xf numFmtId="176" fontId="12" fillId="2" borderId="4" xfId="0" applyNumberFormat="1" applyFont="1" applyFill="1" applyBorder="1" applyAlignment="1">
      <alignment horizontal="right" vertical="center" wrapText="1" shrinkToFit="1"/>
    </xf>
    <xf numFmtId="176" fontId="12" fillId="2" borderId="22" xfId="0" applyNumberFormat="1" applyFont="1" applyFill="1" applyBorder="1" applyAlignment="1">
      <alignment horizontal="right" vertical="center" wrapText="1" shrinkToFit="1"/>
    </xf>
    <xf numFmtId="0" fontId="13" fillId="2" borderId="5" xfId="0" applyFont="1" applyFill="1" applyBorder="1" applyAlignment="1">
      <alignment vertical="center" wrapText="1"/>
    </xf>
    <xf numFmtId="43" fontId="30" fillId="0" borderId="0" xfId="1" applyFont="1">
      <alignment vertical="center"/>
    </xf>
    <xf numFmtId="43" fontId="30" fillId="2" borderId="0" xfId="1" applyFont="1" applyFill="1">
      <alignment vertical="center"/>
    </xf>
    <xf numFmtId="43" fontId="30" fillId="4" borderId="0" xfId="1" applyFont="1" applyFill="1">
      <alignment vertical="center"/>
    </xf>
    <xf numFmtId="43" fontId="30" fillId="5" borderId="0" xfId="1" applyFont="1" applyFill="1">
      <alignment vertical="center"/>
    </xf>
    <xf numFmtId="0" fontId="13" fillId="0" borderId="0" xfId="0" applyFont="1" applyAlignment="1">
      <alignment vertical="center" wrapText="1"/>
    </xf>
    <xf numFmtId="10" fontId="13" fillId="0" borderId="0" xfId="0" applyNumberFormat="1" applyFont="1" applyAlignment="1">
      <alignment vertical="center" wrapText="1"/>
    </xf>
    <xf numFmtId="10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29" fillId="14" borderId="0" xfId="0" applyFont="1" applyFill="1" applyAlignment="1">
      <alignment horizontal="center" vertical="center" wrapText="1"/>
    </xf>
    <xf numFmtId="176" fontId="14" fillId="0" borderId="0" xfId="0" applyNumberFormat="1" applyFont="1" applyAlignment="1">
      <alignment vertical="center" wrapText="1"/>
    </xf>
    <xf numFmtId="176" fontId="26" fillId="0" borderId="0" xfId="0" applyNumberFormat="1" applyFont="1" applyAlignment="1">
      <alignment vertical="center" wrapText="1"/>
    </xf>
    <xf numFmtId="176" fontId="13" fillId="0" borderId="0" xfId="0" applyNumberFormat="1" applyFont="1" applyAlignment="1">
      <alignment vertical="center" wrapText="1"/>
    </xf>
    <xf numFmtId="176" fontId="31" fillId="0" borderId="0" xfId="0" applyNumberFormat="1" applyFont="1" applyAlignment="1">
      <alignment vertical="center" wrapText="1"/>
    </xf>
    <xf numFmtId="176" fontId="32" fillId="0" borderId="0" xfId="0" applyNumberFormat="1" applyFont="1" applyAlignment="1">
      <alignment vertical="center" wrapText="1"/>
    </xf>
    <xf numFmtId="0" fontId="31" fillId="0" borderId="0" xfId="0" applyFont="1" applyAlignment="1">
      <alignment wrapText="1"/>
    </xf>
    <xf numFmtId="179" fontId="31" fillId="0" borderId="0" xfId="0" applyNumberFormat="1" applyFont="1" applyAlignment="1">
      <alignment wrapText="1"/>
    </xf>
    <xf numFmtId="0" fontId="33" fillId="0" borderId="0" xfId="0" applyFont="1" applyAlignment="1">
      <alignment horizontal="center" vertical="center" wrapText="1"/>
    </xf>
    <xf numFmtId="180" fontId="31" fillId="0" borderId="0" xfId="0" applyNumberFormat="1" applyFont="1" applyAlignment="1">
      <alignment wrapText="1"/>
    </xf>
    <xf numFmtId="176" fontId="34" fillId="0" borderId="5" xfId="0" applyNumberFormat="1" applyFont="1" applyBorder="1" applyAlignment="1">
      <alignment horizontal="right" vertical="center" shrinkToFit="1"/>
    </xf>
    <xf numFmtId="43" fontId="30" fillId="0" borderId="0" xfId="1" applyFont="1" applyFill="1">
      <alignment vertical="center"/>
    </xf>
    <xf numFmtId="10" fontId="35" fillId="0" borderId="0" xfId="2" applyNumberFormat="1" applyFont="1" applyFill="1" applyAlignment="1">
      <alignment horizontal="center" wrapText="1"/>
    </xf>
    <xf numFmtId="0" fontId="12" fillId="15" borderId="1" xfId="0" applyFont="1" applyFill="1" applyBorder="1" applyAlignment="1">
      <alignment horizontal="center" vertical="center" wrapText="1" shrinkToFit="1"/>
    </xf>
    <xf numFmtId="176" fontId="12" fillId="15" borderId="1" xfId="0" applyNumberFormat="1" applyFont="1" applyFill="1" applyBorder="1" applyAlignment="1">
      <alignment horizontal="right" vertical="center" wrapText="1" shrinkToFit="1"/>
    </xf>
    <xf numFmtId="0" fontId="13" fillId="12" borderId="5" xfId="0" applyFont="1" applyFill="1" applyBorder="1" applyAlignment="1">
      <alignment horizontal="center" vertical="center" wrapText="1"/>
    </xf>
    <xf numFmtId="176" fontId="12" fillId="2" borderId="10" xfId="0" applyNumberFormat="1" applyFont="1" applyFill="1" applyBorder="1" applyAlignment="1">
      <alignment horizontal="right" vertical="center" wrapText="1" shrinkToFit="1"/>
    </xf>
    <xf numFmtId="0" fontId="13" fillId="12" borderId="21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shrinkToFit="1"/>
    </xf>
    <xf numFmtId="0" fontId="13" fillId="12" borderId="5" xfId="0" applyFont="1" applyFill="1" applyBorder="1" applyAlignment="1">
      <alignment vertical="center" wrapText="1"/>
    </xf>
    <xf numFmtId="176" fontId="34" fillId="12" borderId="5" xfId="0" applyNumberFormat="1" applyFont="1" applyFill="1" applyBorder="1" applyAlignment="1">
      <alignment horizontal="right" vertical="center" shrinkToFit="1"/>
    </xf>
    <xf numFmtId="0" fontId="13" fillId="12" borderId="5" xfId="0" quotePrefix="1" applyFont="1" applyFill="1" applyBorder="1" applyAlignment="1">
      <alignment horizontal="center" vertical="center" shrinkToFit="1"/>
    </xf>
    <xf numFmtId="0" fontId="12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 shrinkToFit="1"/>
    </xf>
    <xf numFmtId="176" fontId="12" fillId="4" borderId="1" xfId="0" applyNumberFormat="1" applyFont="1" applyFill="1" applyBorder="1" applyAlignment="1">
      <alignment horizontal="right" vertical="center" wrapText="1" shrinkToFit="1"/>
    </xf>
    <xf numFmtId="0" fontId="8" fillId="9" borderId="14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vertical="center" wrapText="1"/>
    </xf>
    <xf numFmtId="43" fontId="13" fillId="12" borderId="5" xfId="1" applyFont="1" applyFill="1" applyBorder="1" applyAlignment="1">
      <alignment horizontal="center" vertical="center" wrapText="1"/>
    </xf>
    <xf numFmtId="49" fontId="13" fillId="12" borderId="6" xfId="0" applyNumberFormat="1" applyFont="1" applyFill="1" applyBorder="1" applyAlignment="1">
      <alignment vertical="center" wrapText="1"/>
    </xf>
    <xf numFmtId="176" fontId="27" fillId="13" borderId="5" xfId="0" applyNumberFormat="1" applyFont="1" applyFill="1" applyBorder="1" applyAlignment="1">
      <alignment horizontal="right" vertical="center" shrinkToFit="1"/>
    </xf>
    <xf numFmtId="43" fontId="5" fillId="0" borderId="5" xfId="1" applyFont="1" applyFill="1" applyBorder="1" applyAlignment="1">
      <alignment horizontal="center" vertical="center" wrapText="1"/>
    </xf>
    <xf numFmtId="176" fontId="27" fillId="12" borderId="5" xfId="0" applyNumberFormat="1" applyFont="1" applyFill="1" applyBorder="1" applyAlignment="1">
      <alignment horizontal="right" vertical="center" shrinkToFit="1"/>
    </xf>
    <xf numFmtId="0" fontId="13" fillId="12" borderId="23" xfId="0" applyFont="1" applyFill="1" applyBorder="1" applyAlignment="1">
      <alignment vertical="center" wrapText="1"/>
    </xf>
    <xf numFmtId="181" fontId="13" fillId="0" borderId="0" xfId="0" applyNumberFormat="1" applyFont="1" applyAlignment="1">
      <alignment vertical="center" wrapText="1"/>
    </xf>
    <xf numFmtId="43" fontId="13" fillId="0" borderId="7" xfId="1" applyFont="1" applyFill="1" applyBorder="1" applyAlignment="1">
      <alignment horizontal="center" vertical="center" wrapText="1"/>
    </xf>
    <xf numFmtId="176" fontId="12" fillId="0" borderId="24" xfId="0" applyNumberFormat="1" applyFont="1" applyBorder="1" applyAlignment="1">
      <alignment horizontal="right" vertical="center" wrapText="1" shrinkToFit="1"/>
    </xf>
    <xf numFmtId="176" fontId="12" fillId="15" borderId="10" xfId="0" applyNumberFormat="1" applyFont="1" applyFill="1" applyBorder="1" applyAlignment="1">
      <alignment horizontal="right" vertical="center" wrapText="1" shrinkToFit="1"/>
    </xf>
    <xf numFmtId="176" fontId="12" fillId="2" borderId="24" xfId="0" applyNumberFormat="1" applyFont="1" applyFill="1" applyBorder="1" applyAlignment="1">
      <alignment horizontal="right" vertical="center" wrapText="1" shrinkToFit="1"/>
    </xf>
    <xf numFmtId="176" fontId="12" fillId="5" borderId="25" xfId="0" applyNumberFormat="1" applyFont="1" applyFill="1" applyBorder="1" applyAlignment="1">
      <alignment horizontal="right" vertical="center" wrapText="1" shrinkToFit="1"/>
    </xf>
    <xf numFmtId="176" fontId="12" fillId="5" borderId="4" xfId="0" applyNumberFormat="1" applyFont="1" applyFill="1" applyBorder="1" applyAlignment="1">
      <alignment horizontal="right" vertical="center" wrapText="1" shrinkToFit="1"/>
    </xf>
    <xf numFmtId="176" fontId="12" fillId="0" borderId="11" xfId="0" applyNumberFormat="1" applyFont="1" applyBorder="1" applyAlignment="1">
      <alignment horizontal="right" vertical="center" wrapText="1" shrinkToFit="1"/>
    </xf>
    <xf numFmtId="176" fontId="12" fillId="2" borderId="5" xfId="0" applyNumberFormat="1" applyFont="1" applyFill="1" applyBorder="1" applyAlignment="1">
      <alignment horizontal="right" vertical="center" wrapText="1" shrinkToFit="1"/>
    </xf>
    <xf numFmtId="176" fontId="12" fillId="5" borderId="5" xfId="0" applyNumberFormat="1" applyFont="1" applyFill="1" applyBorder="1" applyAlignment="1">
      <alignment horizontal="right" vertical="center" wrapText="1" shrinkToFit="1"/>
    </xf>
    <xf numFmtId="176" fontId="0" fillId="2" borderId="0" xfId="0" applyNumberFormat="1" applyFill="1" applyAlignment="1">
      <alignment vertical="center" wrapText="1"/>
    </xf>
    <xf numFmtId="0" fontId="13" fillId="2" borderId="5" xfId="0" applyFont="1" applyFill="1" applyBorder="1" applyAlignment="1">
      <alignment horizontal="center" vertical="center" shrinkToFit="1"/>
    </xf>
    <xf numFmtId="43" fontId="15" fillId="2" borderId="5" xfId="0" applyNumberFormat="1" applyFont="1" applyFill="1" applyBorder="1" applyAlignment="1">
      <alignment vertical="center" wrapText="1"/>
    </xf>
    <xf numFmtId="176" fontId="12" fillId="0" borderId="6" xfId="0" applyNumberFormat="1" applyFont="1" applyBorder="1" applyAlignment="1">
      <alignment horizontal="right" vertical="center" wrapText="1" shrinkToFit="1"/>
    </xf>
    <xf numFmtId="176" fontId="12" fillId="7" borderId="25" xfId="0" applyNumberFormat="1" applyFont="1" applyFill="1" applyBorder="1" applyAlignment="1">
      <alignment horizontal="right" vertical="center" wrapText="1" shrinkToFit="1"/>
    </xf>
    <xf numFmtId="176" fontId="12" fillId="7" borderId="4" xfId="0" applyNumberFormat="1" applyFont="1" applyFill="1" applyBorder="1" applyAlignment="1">
      <alignment horizontal="right" vertical="center" wrapText="1" shrinkToFit="1"/>
    </xf>
    <xf numFmtId="176" fontId="12" fillId="7" borderId="5" xfId="0" applyNumberFormat="1" applyFont="1" applyFill="1" applyBorder="1" applyAlignment="1">
      <alignment horizontal="right" vertical="center" wrapText="1" shrinkToFit="1"/>
    </xf>
    <xf numFmtId="176" fontId="12" fillId="12" borderId="11" xfId="0" applyNumberFormat="1" applyFont="1" applyFill="1" applyBorder="1" applyAlignment="1">
      <alignment horizontal="right" vertical="center" wrapText="1" shrinkToFit="1"/>
    </xf>
    <xf numFmtId="0" fontId="20" fillId="12" borderId="1" xfId="0" applyFont="1" applyFill="1" applyBorder="1" applyAlignment="1">
      <alignment vertical="center" wrapText="1"/>
    </xf>
    <xf numFmtId="0" fontId="5" fillId="12" borderId="5" xfId="0" applyFont="1" applyFill="1" applyBorder="1" applyAlignment="1">
      <alignment vertical="center" wrapText="1"/>
    </xf>
    <xf numFmtId="182" fontId="13" fillId="0" borderId="5" xfId="1" applyNumberFormat="1" applyFont="1" applyFill="1" applyBorder="1" applyAlignment="1">
      <alignment horizontal="center" vertical="center" wrapText="1"/>
    </xf>
    <xf numFmtId="176" fontId="34" fillId="13" borderId="5" xfId="0" applyNumberFormat="1" applyFont="1" applyFill="1" applyBorder="1" applyAlignment="1">
      <alignment horizontal="right" vertical="center" shrinkToFit="1"/>
    </xf>
    <xf numFmtId="0" fontId="13" fillId="12" borderId="9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horizontal="right" vertical="center" shrinkToFit="1"/>
    </xf>
    <xf numFmtId="0" fontId="12" fillId="16" borderId="1" xfId="0" applyFont="1" applyFill="1" applyBorder="1" applyAlignment="1">
      <alignment horizontal="right" vertical="center" shrinkToFit="1"/>
    </xf>
    <xf numFmtId="0" fontId="12" fillId="16" borderId="1" xfId="0" applyFont="1" applyFill="1" applyBorder="1" applyAlignment="1">
      <alignment vertical="center" wrapText="1"/>
    </xf>
    <xf numFmtId="0" fontId="12" fillId="16" borderId="1" xfId="0" applyFont="1" applyFill="1" applyBorder="1" applyAlignment="1">
      <alignment horizontal="center" vertical="center" wrapText="1" shrinkToFit="1"/>
    </xf>
    <xf numFmtId="176" fontId="12" fillId="16" borderId="1" xfId="0" applyNumberFormat="1" applyFont="1" applyFill="1" applyBorder="1" applyAlignment="1">
      <alignment horizontal="right" vertical="center" wrapText="1" shrinkToFit="1"/>
    </xf>
    <xf numFmtId="176" fontId="34" fillId="9" borderId="5" xfId="0" applyNumberFormat="1" applyFont="1" applyFill="1" applyBorder="1" applyAlignment="1">
      <alignment horizontal="right" vertical="center" shrinkToFit="1"/>
    </xf>
    <xf numFmtId="0" fontId="13" fillId="0" borderId="8" xfId="0" applyFont="1" applyBorder="1" applyAlignment="1">
      <alignment horizontal="center" vertical="center" shrinkToFit="1"/>
    </xf>
    <xf numFmtId="0" fontId="13" fillId="0" borderId="6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38" fillId="0" borderId="1" xfId="0" applyFont="1" applyBorder="1" applyAlignment="1">
      <alignment horizontal="right" vertical="center" wrapText="1" shrinkToFit="1"/>
    </xf>
    <xf numFmtId="176" fontId="39" fillId="13" borderId="5" xfId="0" applyNumberFormat="1" applyFont="1" applyFill="1" applyBorder="1" applyAlignment="1">
      <alignment horizontal="right" vertical="center" shrinkToFit="1"/>
    </xf>
    <xf numFmtId="0" fontId="12" fillId="13" borderId="1" xfId="0" applyFont="1" applyFill="1" applyBorder="1" applyAlignment="1">
      <alignment horizontal="right" vertical="center" shrinkToFit="1"/>
    </xf>
    <xf numFmtId="0" fontId="12" fillId="13" borderId="1" xfId="0" applyFont="1" applyFill="1" applyBorder="1" applyAlignment="1">
      <alignment horizontal="center" vertical="center" wrapText="1" shrinkToFit="1"/>
    </xf>
    <xf numFmtId="176" fontId="12" fillId="13" borderId="1" xfId="0" applyNumberFormat="1" applyFont="1" applyFill="1" applyBorder="1" applyAlignment="1">
      <alignment horizontal="right" vertical="center" wrapText="1" shrinkToFit="1"/>
    </xf>
    <xf numFmtId="176" fontId="39" fillId="12" borderId="5" xfId="0" applyNumberFormat="1" applyFont="1" applyFill="1" applyBorder="1" applyAlignment="1">
      <alignment horizontal="right" vertical="center" shrinkToFit="1"/>
    </xf>
    <xf numFmtId="0" fontId="40" fillId="0" borderId="0" xfId="0" applyFont="1" applyAlignment="1">
      <alignment vertical="center" wrapText="1"/>
    </xf>
    <xf numFmtId="43" fontId="41" fillId="0" borderId="0" xfId="1" applyFont="1">
      <alignment vertical="center"/>
    </xf>
    <xf numFmtId="176" fontId="42" fillId="0" borderId="0" xfId="0" applyNumberFormat="1" applyFont="1" applyAlignment="1">
      <alignment vertical="center" wrapText="1"/>
    </xf>
    <xf numFmtId="0" fontId="38" fillId="12" borderId="1" xfId="0" applyFont="1" applyFill="1" applyBorder="1" applyAlignment="1">
      <alignment horizontal="right" vertical="center" wrapText="1" shrinkToFit="1"/>
    </xf>
    <xf numFmtId="0" fontId="12" fillId="5" borderId="11" xfId="0" applyFont="1" applyFill="1" applyBorder="1" applyAlignment="1">
      <alignment vertical="center" shrinkToFit="1"/>
    </xf>
    <xf numFmtId="0" fontId="12" fillId="5" borderId="11" xfId="0" applyFont="1" applyFill="1" applyBorder="1" applyAlignment="1">
      <alignment vertical="center" wrapText="1"/>
    </xf>
    <xf numFmtId="0" fontId="15" fillId="5" borderId="11" xfId="0" applyFont="1" applyFill="1" applyBorder="1" applyAlignment="1">
      <alignment vertical="center" wrapText="1"/>
    </xf>
    <xf numFmtId="49" fontId="13" fillId="12" borderId="20" xfId="0" applyNumberFormat="1" applyFont="1" applyFill="1" applyBorder="1" applyAlignment="1">
      <alignment vertical="center" wrapText="1"/>
    </xf>
    <xf numFmtId="43" fontId="13" fillId="12" borderId="21" xfId="1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horizontal="center" vertical="center" shrinkToFit="1"/>
    </xf>
    <xf numFmtId="49" fontId="13" fillId="4" borderId="5" xfId="0" applyNumberFormat="1" applyFont="1" applyFill="1" applyBorder="1" applyAlignment="1">
      <alignment vertical="center" wrapText="1"/>
    </xf>
    <xf numFmtId="0" fontId="13" fillId="4" borderId="5" xfId="0" applyFont="1" applyFill="1" applyBorder="1" applyAlignment="1">
      <alignment horizontal="center" vertical="center" wrapText="1"/>
    </xf>
    <xf numFmtId="43" fontId="13" fillId="4" borderId="5" xfId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vertical="center" wrapText="1"/>
    </xf>
    <xf numFmtId="0" fontId="12" fillId="4" borderId="0" xfId="0" applyFont="1" applyFill="1" applyAlignment="1">
      <alignment vertical="center" wrapText="1"/>
    </xf>
    <xf numFmtId="49" fontId="11" fillId="4" borderId="16" xfId="0" applyNumberFormat="1" applyFont="1" applyFill="1" applyBorder="1" applyAlignment="1">
      <alignment horizontal="center" vertical="center" wrapText="1"/>
    </xf>
    <xf numFmtId="176" fontId="14" fillId="4" borderId="0" xfId="0" applyNumberFormat="1" applyFont="1" applyFill="1" applyAlignment="1">
      <alignment vertical="center" wrapText="1"/>
    </xf>
    <xf numFmtId="0" fontId="14" fillId="4" borderId="0" xfId="0" applyFont="1" applyFill="1" applyAlignment="1">
      <alignment wrapText="1"/>
    </xf>
    <xf numFmtId="0" fontId="13" fillId="4" borderId="0" xfId="0" applyFont="1" applyFill="1" applyAlignment="1">
      <alignment wrapText="1"/>
    </xf>
    <xf numFmtId="0" fontId="12" fillId="4" borderId="1" xfId="0" applyFont="1" applyFill="1" applyBorder="1" applyAlignment="1">
      <alignment horizontal="right" vertical="center" shrinkToFit="1"/>
    </xf>
    <xf numFmtId="0" fontId="15" fillId="4" borderId="1" xfId="0" applyFont="1" applyFill="1" applyBorder="1" applyAlignment="1">
      <alignment vertical="center" wrapText="1"/>
    </xf>
    <xf numFmtId="176" fontId="32" fillId="4" borderId="0" xfId="0" applyNumberFormat="1" applyFont="1" applyFill="1" applyAlignment="1">
      <alignment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center" vertical="center" wrapText="1"/>
    </xf>
    <xf numFmtId="176" fontId="12" fillId="4" borderId="5" xfId="0" applyNumberFormat="1" applyFont="1" applyFill="1" applyBorder="1" applyAlignment="1">
      <alignment horizontal="right" vertical="center" wrapText="1" shrinkToFit="1"/>
    </xf>
    <xf numFmtId="176" fontId="12" fillId="2" borderId="2" xfId="0" applyNumberFormat="1" applyFont="1" applyFill="1" applyBorder="1" applyAlignment="1">
      <alignment horizontal="right" vertical="center" wrapText="1" shrinkToFit="1"/>
    </xf>
    <xf numFmtId="176" fontId="12" fillId="3" borderId="5" xfId="0" applyNumberFormat="1" applyFont="1" applyFill="1" applyBorder="1" applyAlignment="1">
      <alignment horizontal="right" vertical="center" wrapText="1" shrinkToFit="1"/>
    </xf>
    <xf numFmtId="176" fontId="12" fillId="5" borderId="26" xfId="0" applyNumberFormat="1" applyFont="1" applyFill="1" applyBorder="1" applyAlignment="1">
      <alignment horizontal="right" vertical="center" wrapText="1" shrinkToFit="1"/>
    </xf>
    <xf numFmtId="176" fontId="12" fillId="5" borderId="27" xfId="0" applyNumberFormat="1" applyFont="1" applyFill="1" applyBorder="1" applyAlignment="1">
      <alignment horizontal="right" vertical="center" wrapText="1" shrinkToFit="1"/>
    </xf>
    <xf numFmtId="176" fontId="12" fillId="15" borderId="2" xfId="0" applyNumberFormat="1" applyFont="1" applyFill="1" applyBorder="1" applyAlignment="1">
      <alignment horizontal="right" vertical="center" wrapText="1" shrinkToFit="1"/>
    </xf>
    <xf numFmtId="176" fontId="12" fillId="2" borderId="6" xfId="0" applyNumberFormat="1" applyFont="1" applyFill="1" applyBorder="1" applyAlignment="1">
      <alignment horizontal="right" vertical="center" wrapText="1" shrinkToFit="1"/>
    </xf>
    <xf numFmtId="176" fontId="12" fillId="15" borderId="5" xfId="0" applyNumberFormat="1" applyFont="1" applyFill="1" applyBorder="1" applyAlignment="1">
      <alignment horizontal="right" vertical="center" wrapText="1" shrinkToFit="1"/>
    </xf>
    <xf numFmtId="176" fontId="26" fillId="4" borderId="0" xfId="0" applyNumberFormat="1" applyFont="1" applyFill="1" applyAlignment="1">
      <alignment vertical="center" wrapText="1"/>
    </xf>
    <xf numFmtId="0" fontId="15" fillId="4" borderId="4" xfId="0" applyFont="1" applyFill="1" applyBorder="1" applyAlignment="1">
      <alignment vertical="center" wrapText="1"/>
    </xf>
    <xf numFmtId="0" fontId="13" fillId="3" borderId="19" xfId="0" applyFont="1" applyFill="1" applyBorder="1" applyAlignment="1">
      <alignment horizontal="center" vertical="center" shrinkToFit="1"/>
    </xf>
    <xf numFmtId="0" fontId="13" fillId="3" borderId="20" xfId="0" applyFont="1" applyFill="1" applyBorder="1" applyAlignment="1">
      <alignment vertical="center" wrapText="1"/>
    </xf>
    <xf numFmtId="43" fontId="5" fillId="3" borderId="21" xfId="1" applyFont="1" applyFill="1" applyBorder="1" applyAlignment="1">
      <alignment horizontal="center" vertical="center" wrapText="1"/>
    </xf>
    <xf numFmtId="43" fontId="5" fillId="4" borderId="5" xfId="1" applyFont="1" applyFill="1" applyBorder="1" applyAlignment="1">
      <alignment horizontal="center" vertical="center" wrapText="1"/>
    </xf>
    <xf numFmtId="176" fontId="12" fillId="15" borderId="24" xfId="0" applyNumberFormat="1" applyFont="1" applyFill="1" applyBorder="1" applyAlignment="1">
      <alignment horizontal="right" vertical="center" wrapText="1" shrinkToFit="1"/>
    </xf>
    <xf numFmtId="0" fontId="20" fillId="4" borderId="1" xfId="0" applyFont="1" applyFill="1" applyBorder="1" applyAlignment="1">
      <alignment vertical="center" wrapText="1"/>
    </xf>
    <xf numFmtId="10" fontId="11" fillId="4" borderId="16" xfId="2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5" fillId="7" borderId="5" xfId="0" applyFont="1" applyFill="1" applyBorder="1" applyAlignment="1">
      <alignment horizontal="center" vertical="center"/>
    </xf>
    <xf numFmtId="49" fontId="9" fillId="7" borderId="8" xfId="0" applyNumberFormat="1" applyFont="1" applyFill="1" applyBorder="1" applyAlignment="1">
      <alignment horizontal="center" vertical="center" shrinkToFit="1"/>
    </xf>
    <xf numFmtId="49" fontId="9" fillId="7" borderId="5" xfId="0" applyNumberFormat="1" applyFont="1" applyFill="1" applyBorder="1" applyAlignment="1">
      <alignment horizontal="left" vertical="center" wrapText="1"/>
    </xf>
    <xf numFmtId="49" fontId="9" fillId="7" borderId="5" xfId="0" applyNumberFormat="1" applyFont="1" applyFill="1" applyBorder="1" applyAlignment="1">
      <alignment horizontal="center" vertical="center" wrapText="1"/>
    </xf>
    <xf numFmtId="176" fontId="10" fillId="7" borderId="5" xfId="0" applyNumberFormat="1" applyFont="1" applyFill="1" applyBorder="1" applyAlignment="1">
      <alignment horizontal="right" vertical="center" shrinkToFit="1"/>
    </xf>
    <xf numFmtId="49" fontId="11" fillId="7" borderId="16" xfId="0" applyNumberFormat="1" applyFont="1" applyFill="1" applyBorder="1" applyAlignment="1">
      <alignment horizontal="left" vertical="center" wrapText="1"/>
    </xf>
    <xf numFmtId="43" fontId="30" fillId="7" borderId="0" xfId="1" applyFont="1" applyFill="1">
      <alignment vertical="center"/>
    </xf>
    <xf numFmtId="176" fontId="14" fillId="7" borderId="0" xfId="0" applyNumberFormat="1" applyFont="1" applyFill="1" applyAlignment="1">
      <alignment vertical="center" wrapText="1"/>
    </xf>
    <xf numFmtId="0" fontId="14" fillId="7" borderId="0" xfId="0" applyFont="1" applyFill="1" applyAlignment="1">
      <alignment wrapText="1"/>
    </xf>
    <xf numFmtId="0" fontId="12" fillId="4" borderId="1" xfId="0" quotePrefix="1" applyFont="1" applyFill="1" applyBorder="1" applyAlignment="1">
      <alignment horizontal="right" vertical="center" shrinkToFit="1"/>
    </xf>
    <xf numFmtId="43" fontId="13" fillId="0" borderId="9" xfId="1" applyFont="1" applyFill="1" applyBorder="1" applyAlignment="1">
      <alignment horizontal="center" vertical="center" wrapText="1"/>
    </xf>
    <xf numFmtId="176" fontId="12" fillId="7" borderId="10" xfId="0" applyNumberFormat="1" applyFont="1" applyFill="1" applyBorder="1" applyAlignment="1">
      <alignment horizontal="right" vertical="center" wrapText="1" shrinkToFit="1"/>
    </xf>
    <xf numFmtId="176" fontId="12" fillId="7" borderId="6" xfId="0" applyNumberFormat="1" applyFont="1" applyFill="1" applyBorder="1" applyAlignment="1">
      <alignment horizontal="right" vertical="center" wrapText="1" shrinkToFit="1"/>
    </xf>
    <xf numFmtId="176" fontId="12" fillId="0" borderId="25" xfId="0" applyNumberFormat="1" applyFont="1" applyBorder="1" applyAlignment="1">
      <alignment horizontal="right" vertical="center" wrapText="1" shrinkToFit="1"/>
    </xf>
    <xf numFmtId="0" fontId="15" fillId="0" borderId="4" xfId="0" applyFont="1" applyBorder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15" fillId="2" borderId="22" xfId="0" applyFont="1" applyFill="1" applyBorder="1" applyAlignment="1">
      <alignment vertical="center" wrapText="1"/>
    </xf>
    <xf numFmtId="43" fontId="0" fillId="0" borderId="0" xfId="0" applyNumberFormat="1" applyAlignment="1">
      <alignment vertical="center" wrapText="1"/>
    </xf>
    <xf numFmtId="43" fontId="40" fillId="0" borderId="0" xfId="0" applyNumberFormat="1" applyFont="1" applyAlignment="1">
      <alignment vertical="center" wrapText="1"/>
    </xf>
    <xf numFmtId="176" fontId="39" fillId="4" borderId="5" xfId="0" applyNumberFormat="1" applyFont="1" applyFill="1" applyBorder="1" applyAlignment="1">
      <alignment horizontal="right" vertical="center" shrinkToFit="1"/>
    </xf>
    <xf numFmtId="176" fontId="39" fillId="17" borderId="5" xfId="0" applyNumberFormat="1" applyFont="1" applyFill="1" applyBorder="1" applyAlignment="1">
      <alignment horizontal="right" vertical="center" shrinkToFit="1"/>
    </xf>
    <xf numFmtId="176" fontId="31" fillId="0" borderId="1" xfId="0" applyNumberFormat="1" applyFont="1" applyBorder="1" applyAlignment="1">
      <alignment horizontal="right" vertical="center" wrapText="1" shrinkToFit="1"/>
    </xf>
    <xf numFmtId="176" fontId="31" fillId="0" borderId="10" xfId="0" applyNumberFormat="1" applyFont="1" applyBorder="1" applyAlignment="1">
      <alignment horizontal="right" vertical="center" wrapText="1" shrinkToFit="1"/>
    </xf>
    <xf numFmtId="43" fontId="31" fillId="2" borderId="5" xfId="1" applyFont="1" applyFill="1" applyBorder="1" applyAlignment="1">
      <alignment horizontal="center" vertical="center" wrapText="1"/>
    </xf>
    <xf numFmtId="43" fontId="31" fillId="3" borderId="5" xfId="1" applyFont="1" applyFill="1" applyBorder="1" applyAlignment="1">
      <alignment horizontal="center" vertical="center" wrapText="1"/>
    </xf>
    <xf numFmtId="43" fontId="31" fillId="3" borderId="21" xfId="1" applyFont="1" applyFill="1" applyBorder="1" applyAlignment="1">
      <alignment horizontal="center" vertical="center" wrapText="1"/>
    </xf>
    <xf numFmtId="43" fontId="31" fillId="4" borderId="5" xfId="1" applyFont="1" applyFill="1" applyBorder="1" applyAlignment="1">
      <alignment horizontal="center" vertical="center" wrapText="1"/>
    </xf>
    <xf numFmtId="176" fontId="34" fillId="4" borderId="5" xfId="0" applyNumberFormat="1" applyFont="1" applyFill="1" applyBorder="1" applyAlignment="1">
      <alignment horizontal="right" vertical="center" shrinkToFit="1"/>
    </xf>
    <xf numFmtId="49" fontId="5" fillId="12" borderId="6" xfId="0" applyNumberFormat="1" applyFont="1" applyFill="1" applyBorder="1" applyAlignment="1">
      <alignment vertical="center" wrapText="1"/>
    </xf>
    <xf numFmtId="176" fontId="20" fillId="0" borderId="10" xfId="0" applyNumberFormat="1" applyFont="1" applyBorder="1" applyAlignment="1">
      <alignment horizontal="right" vertical="center" wrapText="1" shrinkToFit="1"/>
    </xf>
    <xf numFmtId="176" fontId="31" fillId="4" borderId="1" xfId="0" applyNumberFormat="1" applyFont="1" applyFill="1" applyBorder="1" applyAlignment="1">
      <alignment horizontal="right" vertical="center" wrapText="1" shrinkToFit="1"/>
    </xf>
    <xf numFmtId="176" fontId="31" fillId="15" borderId="1" xfId="0" applyNumberFormat="1" applyFont="1" applyFill="1" applyBorder="1" applyAlignment="1">
      <alignment horizontal="right" vertical="center" wrapText="1" shrinkToFit="1"/>
    </xf>
    <xf numFmtId="43" fontId="43" fillId="3" borderId="6" xfId="1" applyFont="1" applyFill="1" applyBorder="1" applyAlignment="1">
      <alignment horizontal="center" vertical="center" wrapText="1"/>
    </xf>
    <xf numFmtId="176" fontId="26" fillId="13" borderId="0" xfId="0" applyNumberFormat="1" applyFont="1" applyFill="1" applyAlignment="1">
      <alignment vertical="center" wrapText="1"/>
    </xf>
    <xf numFmtId="176" fontId="31" fillId="0" borderId="5" xfId="0" applyNumberFormat="1" applyFont="1" applyBorder="1" applyAlignment="1">
      <alignment horizontal="right" vertical="center" wrapText="1" shrinkToFit="1"/>
    </xf>
    <xf numFmtId="176" fontId="44" fillId="13" borderId="5" xfId="0" applyNumberFormat="1" applyFont="1" applyFill="1" applyBorder="1" applyAlignment="1">
      <alignment horizontal="right" vertical="center" shrinkToFit="1"/>
    </xf>
    <xf numFmtId="176" fontId="31" fillId="12" borderId="1" xfId="0" applyNumberFormat="1" applyFont="1" applyFill="1" applyBorder="1" applyAlignment="1">
      <alignment horizontal="right" vertical="center" wrapText="1" shrinkToFit="1"/>
    </xf>
    <xf numFmtId="176" fontId="31" fillId="12" borderId="10" xfId="0" applyNumberFormat="1" applyFont="1" applyFill="1" applyBorder="1" applyAlignment="1">
      <alignment horizontal="right" vertical="center" wrapText="1" shrinkToFit="1"/>
    </xf>
    <xf numFmtId="176" fontId="31" fillId="12" borderId="5" xfId="0" applyNumberFormat="1" applyFont="1" applyFill="1" applyBorder="1" applyAlignment="1">
      <alignment horizontal="right" vertical="center" wrapText="1" shrinkToFit="1"/>
    </xf>
    <xf numFmtId="43" fontId="31" fillId="12" borderId="5" xfId="1" applyFont="1" applyFill="1" applyBorder="1" applyAlignment="1">
      <alignment horizontal="center" vertical="center" wrapText="1"/>
    </xf>
    <xf numFmtId="176" fontId="12" fillId="12" borderId="6" xfId="0" applyNumberFormat="1" applyFont="1" applyFill="1" applyBorder="1" applyAlignment="1">
      <alignment horizontal="right" vertical="center" wrapText="1" shrinkToFit="1"/>
    </xf>
    <xf numFmtId="43" fontId="13" fillId="12" borderId="6" xfId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176" fontId="31" fillId="0" borderId="28" xfId="0" applyNumberFormat="1" applyFont="1" applyBorder="1" applyAlignment="1">
      <alignment horizontal="right" vertical="center" wrapText="1" shrinkToFit="1"/>
    </xf>
    <xf numFmtId="4" fontId="12" fillId="18" borderId="1" xfId="0" applyNumberFormat="1" applyFont="1" applyFill="1" applyBorder="1" applyAlignment="1">
      <alignment horizontal="center" vertical="center" wrapText="1"/>
    </xf>
    <xf numFmtId="176" fontId="25" fillId="0" borderId="5" xfId="0" applyNumberFormat="1" applyFont="1" applyBorder="1" applyAlignment="1">
      <alignment horizontal="right" vertical="center" shrinkToFit="1"/>
    </xf>
    <xf numFmtId="176" fontId="31" fillId="7" borderId="1" xfId="0" applyNumberFormat="1" applyFont="1" applyFill="1" applyBorder="1" applyAlignment="1">
      <alignment horizontal="right" vertical="center" wrapText="1" shrinkToFit="1"/>
    </xf>
    <xf numFmtId="176" fontId="34" fillId="10" borderId="5" xfId="0" applyNumberFormat="1" applyFont="1" applyFill="1" applyBorder="1" applyAlignment="1">
      <alignment horizontal="right" vertical="center" shrinkToFit="1"/>
    </xf>
    <xf numFmtId="182" fontId="5" fillId="0" borderId="5" xfId="1" applyNumberFormat="1" applyFont="1" applyFill="1" applyBorder="1" applyAlignment="1">
      <alignment horizontal="center" vertical="center" wrapText="1"/>
    </xf>
    <xf numFmtId="176" fontId="31" fillId="4" borderId="0" xfId="0" applyNumberFormat="1" applyFont="1" applyFill="1" applyAlignment="1">
      <alignment vertical="center" wrapText="1"/>
    </xf>
    <xf numFmtId="0" fontId="45" fillId="12" borderId="1" xfId="0" applyFont="1" applyFill="1" applyBorder="1" applyAlignment="1">
      <alignment vertical="center" wrapText="1"/>
    </xf>
    <xf numFmtId="0" fontId="18" fillId="12" borderId="1" xfId="0" applyFont="1" applyFill="1" applyBorder="1" applyAlignment="1">
      <alignment vertical="center" wrapText="1"/>
    </xf>
    <xf numFmtId="43" fontId="5" fillId="12" borderId="5" xfId="1" applyFont="1" applyFill="1" applyBorder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 wrapText="1"/>
    </xf>
    <xf numFmtId="0" fontId="14" fillId="4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43" fontId="30" fillId="5" borderId="0" xfId="1" applyFont="1" applyFill="1" applyAlignment="1">
      <alignment vertical="center"/>
    </xf>
    <xf numFmtId="0" fontId="14" fillId="7" borderId="0" xfId="0" applyFont="1" applyFill="1" applyAlignment="1">
      <alignment horizontal="center" vertical="center" wrapText="1"/>
    </xf>
    <xf numFmtId="176" fontId="14" fillId="0" borderId="0" xfId="0" applyNumberFormat="1" applyFont="1" applyAlignment="1">
      <alignment wrapText="1"/>
    </xf>
    <xf numFmtId="176" fontId="14" fillId="0" borderId="0" xfId="0" applyNumberFormat="1" applyFont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40" fillId="6" borderId="0" xfId="0" applyFont="1" applyFill="1">
      <alignment vertical="center"/>
    </xf>
    <xf numFmtId="0" fontId="40" fillId="0" borderId="0" xfId="0" applyFont="1">
      <alignment vertical="center"/>
    </xf>
    <xf numFmtId="176" fontId="44" fillId="17" borderId="5" xfId="0" applyNumberFormat="1" applyFont="1" applyFill="1" applyBorder="1" applyAlignment="1">
      <alignment horizontal="right" vertical="center" shrinkToFit="1"/>
    </xf>
    <xf numFmtId="176" fontId="44" fillId="4" borderId="5" xfId="0" applyNumberFormat="1" applyFont="1" applyFill="1" applyBorder="1" applyAlignment="1">
      <alignment horizontal="right" vertical="center" shrinkToFit="1"/>
    </xf>
    <xf numFmtId="176" fontId="32" fillId="13" borderId="0" xfId="0" applyNumberFormat="1" applyFont="1" applyFill="1" applyAlignment="1">
      <alignment vertical="center" wrapText="1"/>
    </xf>
    <xf numFmtId="176" fontId="13" fillId="4" borderId="0" xfId="0" applyNumberFormat="1" applyFont="1" applyFill="1" applyAlignment="1">
      <alignment vertical="center" wrapText="1"/>
    </xf>
    <xf numFmtId="176" fontId="13" fillId="7" borderId="0" xfId="0" applyNumberFormat="1" applyFont="1" applyFill="1" applyAlignment="1">
      <alignment vertical="center" wrapText="1"/>
    </xf>
    <xf numFmtId="176" fontId="10" fillId="17" borderId="5" xfId="0" applyNumberFormat="1" applyFont="1" applyFill="1" applyBorder="1" applyAlignment="1">
      <alignment horizontal="right" vertical="center" shrinkToFit="1"/>
    </xf>
    <xf numFmtId="43" fontId="31" fillId="0" borderId="5" xfId="1" applyFont="1" applyFill="1" applyBorder="1" applyAlignment="1">
      <alignment horizontal="center" vertical="center" wrapText="1"/>
    </xf>
    <xf numFmtId="176" fontId="44" fillId="12" borderId="5" xfId="0" applyNumberFormat="1" applyFont="1" applyFill="1" applyBorder="1" applyAlignment="1">
      <alignment horizontal="right" vertical="center" shrinkToFit="1"/>
    </xf>
    <xf numFmtId="177" fontId="8" fillId="0" borderId="12" xfId="0" applyNumberFormat="1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12" fillId="0" borderId="2" xfId="0" applyFont="1" applyBorder="1" applyAlignment="1">
      <alignment vertical="center" wrapText="1" shrinkToFit="1"/>
    </xf>
    <xf numFmtId="0" fontId="12" fillId="0" borderId="3" xfId="0" applyFont="1" applyBorder="1" applyAlignment="1">
      <alignment vertical="center" wrapText="1" shrinkToFit="1"/>
    </xf>
    <xf numFmtId="0" fontId="12" fillId="0" borderId="4" xfId="0" applyFont="1" applyBorder="1" applyAlignment="1">
      <alignment vertical="center" wrapText="1" shrinkToFit="1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78" fontId="7" fillId="0" borderId="0" xfId="0" applyNumberFormat="1" applyFont="1" applyAlignment="1">
      <alignment horizontal="center" vertical="center" wrapText="1"/>
    </xf>
    <xf numFmtId="0" fontId="12" fillId="0" borderId="2" xfId="0" applyFont="1" applyBorder="1" applyAlignment="1" applyProtection="1">
      <alignment horizontal="left" vertical="top" wrapText="1" shrinkToFit="1"/>
      <protection locked="0"/>
    </xf>
    <xf numFmtId="0" fontId="12" fillId="0" borderId="3" xfId="0" applyFont="1" applyBorder="1" applyAlignment="1" applyProtection="1">
      <alignment horizontal="left" vertical="top" wrapText="1" shrinkToFit="1"/>
      <protection locked="0"/>
    </xf>
    <xf numFmtId="0" fontId="12" fillId="0" borderId="4" xfId="0" applyFont="1" applyBorder="1" applyAlignment="1" applyProtection="1">
      <alignment horizontal="left" vertical="top" wrapText="1" shrinkToFit="1"/>
      <protection locked="0"/>
    </xf>
    <xf numFmtId="0" fontId="12" fillId="0" borderId="0" xfId="0" applyFont="1" applyAlignment="1">
      <alignment horizontal="left" vertical="center" wrapText="1" shrinkToFit="1"/>
    </xf>
    <xf numFmtId="0" fontId="5" fillId="0" borderId="17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shrinkToFit="1"/>
    </xf>
    <xf numFmtId="0" fontId="0" fillId="0" borderId="12" xfId="0" applyBorder="1" applyAlignment="1">
      <alignment horizontal="left" vertical="center" shrinkToFit="1"/>
    </xf>
    <xf numFmtId="0" fontId="20" fillId="0" borderId="0" xfId="3" applyFont="1" applyAlignment="1">
      <alignment horizontal="left" vertical="center" wrapText="1"/>
    </xf>
    <xf numFmtId="0" fontId="22" fillId="0" borderId="0" xfId="3" applyFont="1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</cellXfs>
  <cellStyles count="4">
    <cellStyle name="一般" xfId="0" builtinId="0"/>
    <cellStyle name="一般 2" xfId="3" xr:uid="{E2D61D9B-639F-46BE-9287-C44D23BB1000}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A45A-1115-4D12-8076-1F56B440D015}">
  <sheetPr>
    <tabColor rgb="FFFF0000"/>
  </sheetPr>
  <dimension ref="A1:AK505"/>
  <sheetViews>
    <sheetView view="pageBreakPreview" topLeftCell="A2" zoomScale="80" zoomScaleNormal="80" zoomScaleSheetLayoutView="80" workbookViewId="0">
      <pane xSplit="14040" ySplit="1950" topLeftCell="V1" activePane="bottomLeft"/>
      <selection activeCell="B345" sqref="B345"/>
      <selection pane="topRight" activeCell="Y5" sqref="Y5:Z5"/>
      <selection pane="bottomLeft" activeCell="B345" sqref="B345"/>
      <selection pane="bottomRight" activeCell="AG131" sqref="AG131"/>
    </sheetView>
  </sheetViews>
  <sheetFormatPr defaultColWidth="8.5" defaultRowHeight="19.5" x14ac:dyDescent="0.3"/>
  <cols>
    <col min="1" max="1" width="5.25" style="72" customWidth="1"/>
    <col min="2" max="2" width="30.875" style="73" customWidth="1"/>
    <col min="3" max="3" width="5.5" style="73" customWidth="1"/>
    <col min="4" max="4" width="12.75" style="73" customWidth="1"/>
    <col min="5" max="5" width="13.375" style="73" customWidth="1"/>
    <col min="6" max="6" width="14.125" style="73" customWidth="1"/>
    <col min="7" max="7" width="11.625" style="73" customWidth="1"/>
    <col min="8" max="8" width="14.75" style="73" customWidth="1"/>
    <col min="9" max="9" width="23" style="73" customWidth="1"/>
    <col min="10" max="10" width="10.875" style="73" customWidth="1"/>
    <col min="11" max="11" width="2.5" style="73" customWidth="1"/>
    <col min="12" max="14" width="11.5" style="2" customWidth="1"/>
    <col min="15" max="15" width="1.25" style="96" customWidth="1"/>
    <col min="16" max="16" width="4.25" style="3" hidden="1" customWidth="1"/>
    <col min="17" max="17" width="35.25" hidden="1" customWidth="1"/>
    <col min="18" max="18" width="5.75" hidden="1" customWidth="1"/>
    <col min="19" max="19" width="9" hidden="1" customWidth="1"/>
    <col min="20" max="20" width="9.375" hidden="1" customWidth="1"/>
    <col min="21" max="21" width="12" hidden="1" customWidth="1"/>
    <col min="22" max="22" width="11.375" customWidth="1"/>
    <col min="23" max="23" width="11.75" customWidth="1"/>
    <col min="24" max="24" width="12.875" customWidth="1"/>
    <col min="25" max="25" width="12" customWidth="1"/>
    <col min="26" max="26" width="5.25" style="34" customWidth="1"/>
    <col min="27" max="27" width="0.875" customWidth="1"/>
    <col min="28" max="28" width="13.125" style="35" customWidth="1"/>
    <col min="29" max="29" width="14.75" style="35" customWidth="1"/>
    <col min="30" max="30" width="5.25" style="181" customWidth="1"/>
    <col min="31" max="31" width="5.25" style="181" hidden="1" customWidth="1"/>
    <col min="32" max="32" width="1.875" style="71" customWidth="1"/>
    <col min="33" max="33" width="16.5" style="185" customWidth="1"/>
    <col min="34" max="34" width="15.375" style="70" customWidth="1"/>
    <col min="35" max="35" width="5.875" style="70" customWidth="1"/>
    <col min="36" max="36" width="1.625" style="70" customWidth="1"/>
    <col min="37" max="37" width="15" style="70" bestFit="1" customWidth="1"/>
    <col min="38" max="223" width="8.5" style="70"/>
    <col min="224" max="224" width="5.25" style="70" customWidth="1"/>
    <col min="225" max="225" width="26.25" style="70" customWidth="1"/>
    <col min="226" max="226" width="5.5" style="70" customWidth="1"/>
    <col min="227" max="227" width="8.5" style="70"/>
    <col min="228" max="229" width="10.875" style="70" customWidth="1"/>
    <col min="230" max="230" width="15.25" style="70" customWidth="1"/>
    <col min="231" max="231" width="0.75" style="70" customWidth="1"/>
    <col min="232" max="234" width="0.625" style="70" customWidth="1"/>
    <col min="235" max="479" width="8.5" style="70"/>
    <col min="480" max="480" width="5.25" style="70" customWidth="1"/>
    <col min="481" max="481" width="26.25" style="70" customWidth="1"/>
    <col min="482" max="482" width="5.5" style="70" customWidth="1"/>
    <col min="483" max="483" width="8.5" style="70"/>
    <col min="484" max="485" width="10.875" style="70" customWidth="1"/>
    <col min="486" max="486" width="15.25" style="70" customWidth="1"/>
    <col min="487" max="487" width="0.75" style="70" customWidth="1"/>
    <col min="488" max="490" width="0.625" style="70" customWidth="1"/>
    <col min="491" max="735" width="8.5" style="70"/>
    <col min="736" max="736" width="5.25" style="70" customWidth="1"/>
    <col min="737" max="737" width="26.25" style="70" customWidth="1"/>
    <col min="738" max="738" width="5.5" style="70" customWidth="1"/>
    <col min="739" max="739" width="8.5" style="70"/>
    <col min="740" max="741" width="10.875" style="70" customWidth="1"/>
    <col min="742" max="742" width="15.25" style="70" customWidth="1"/>
    <col min="743" max="743" width="0.75" style="70" customWidth="1"/>
    <col min="744" max="746" width="0.625" style="70" customWidth="1"/>
    <col min="747" max="991" width="8.5" style="70"/>
    <col min="992" max="992" width="5.25" style="70" customWidth="1"/>
    <col min="993" max="993" width="26.25" style="70" customWidth="1"/>
    <col min="994" max="994" width="5.5" style="70" customWidth="1"/>
    <col min="995" max="995" width="8.5" style="70"/>
    <col min="996" max="997" width="10.875" style="70" customWidth="1"/>
    <col min="998" max="998" width="15.25" style="70" customWidth="1"/>
    <col min="999" max="999" width="0.75" style="70" customWidth="1"/>
    <col min="1000" max="1002" width="0.625" style="70" customWidth="1"/>
    <col min="1003" max="1247" width="8.5" style="70"/>
    <col min="1248" max="1248" width="5.25" style="70" customWidth="1"/>
    <col min="1249" max="1249" width="26.25" style="70" customWidth="1"/>
    <col min="1250" max="1250" width="5.5" style="70" customWidth="1"/>
    <col min="1251" max="1251" width="8.5" style="70"/>
    <col min="1252" max="1253" width="10.875" style="70" customWidth="1"/>
    <col min="1254" max="1254" width="15.25" style="70" customWidth="1"/>
    <col min="1255" max="1255" width="0.75" style="70" customWidth="1"/>
    <col min="1256" max="1258" width="0.625" style="70" customWidth="1"/>
    <col min="1259" max="1503" width="8.5" style="70"/>
    <col min="1504" max="1504" width="5.25" style="70" customWidth="1"/>
    <col min="1505" max="1505" width="26.25" style="70" customWidth="1"/>
    <col min="1506" max="1506" width="5.5" style="70" customWidth="1"/>
    <col min="1507" max="1507" width="8.5" style="70"/>
    <col min="1508" max="1509" width="10.875" style="70" customWidth="1"/>
    <col min="1510" max="1510" width="15.25" style="70" customWidth="1"/>
    <col min="1511" max="1511" width="0.75" style="70" customWidth="1"/>
    <col min="1512" max="1514" width="0.625" style="70" customWidth="1"/>
    <col min="1515" max="1759" width="8.5" style="70"/>
    <col min="1760" max="1760" width="5.25" style="70" customWidth="1"/>
    <col min="1761" max="1761" width="26.25" style="70" customWidth="1"/>
    <col min="1762" max="1762" width="5.5" style="70" customWidth="1"/>
    <col min="1763" max="1763" width="8.5" style="70"/>
    <col min="1764" max="1765" width="10.875" style="70" customWidth="1"/>
    <col min="1766" max="1766" width="15.25" style="70" customWidth="1"/>
    <col min="1767" max="1767" width="0.75" style="70" customWidth="1"/>
    <col min="1768" max="1770" width="0.625" style="70" customWidth="1"/>
    <col min="1771" max="2015" width="8.5" style="70"/>
    <col min="2016" max="2016" width="5.25" style="70" customWidth="1"/>
    <col min="2017" max="2017" width="26.25" style="70" customWidth="1"/>
    <col min="2018" max="2018" width="5.5" style="70" customWidth="1"/>
    <col min="2019" max="2019" width="8.5" style="70"/>
    <col min="2020" max="2021" width="10.875" style="70" customWidth="1"/>
    <col min="2022" max="2022" width="15.25" style="70" customWidth="1"/>
    <col min="2023" max="2023" width="0.75" style="70" customWidth="1"/>
    <col min="2024" max="2026" width="0.625" style="70" customWidth="1"/>
    <col min="2027" max="2271" width="8.5" style="70"/>
    <col min="2272" max="2272" width="5.25" style="70" customWidth="1"/>
    <col min="2273" max="2273" width="26.25" style="70" customWidth="1"/>
    <col min="2274" max="2274" width="5.5" style="70" customWidth="1"/>
    <col min="2275" max="2275" width="8.5" style="70"/>
    <col min="2276" max="2277" width="10.875" style="70" customWidth="1"/>
    <col min="2278" max="2278" width="15.25" style="70" customWidth="1"/>
    <col min="2279" max="2279" width="0.75" style="70" customWidth="1"/>
    <col min="2280" max="2282" width="0.625" style="70" customWidth="1"/>
    <col min="2283" max="2527" width="8.5" style="70"/>
    <col min="2528" max="2528" width="5.25" style="70" customWidth="1"/>
    <col min="2529" max="2529" width="26.25" style="70" customWidth="1"/>
    <col min="2530" max="2530" width="5.5" style="70" customWidth="1"/>
    <col min="2531" max="2531" width="8.5" style="70"/>
    <col min="2532" max="2533" width="10.875" style="70" customWidth="1"/>
    <col min="2534" max="2534" width="15.25" style="70" customWidth="1"/>
    <col min="2535" max="2535" width="0.75" style="70" customWidth="1"/>
    <col min="2536" max="2538" width="0.625" style="70" customWidth="1"/>
    <col min="2539" max="2783" width="8.5" style="70"/>
    <col min="2784" max="2784" width="5.25" style="70" customWidth="1"/>
    <col min="2785" max="2785" width="26.25" style="70" customWidth="1"/>
    <col min="2786" max="2786" width="5.5" style="70" customWidth="1"/>
    <col min="2787" max="2787" width="8.5" style="70"/>
    <col min="2788" max="2789" width="10.875" style="70" customWidth="1"/>
    <col min="2790" max="2790" width="15.25" style="70" customWidth="1"/>
    <col min="2791" max="2791" width="0.75" style="70" customWidth="1"/>
    <col min="2792" max="2794" width="0.625" style="70" customWidth="1"/>
    <col min="2795" max="3039" width="8.5" style="70"/>
    <col min="3040" max="3040" width="5.25" style="70" customWidth="1"/>
    <col min="3041" max="3041" width="26.25" style="70" customWidth="1"/>
    <col min="3042" max="3042" width="5.5" style="70" customWidth="1"/>
    <col min="3043" max="3043" width="8.5" style="70"/>
    <col min="3044" max="3045" width="10.875" style="70" customWidth="1"/>
    <col min="3046" max="3046" width="15.25" style="70" customWidth="1"/>
    <col min="3047" max="3047" width="0.75" style="70" customWidth="1"/>
    <col min="3048" max="3050" width="0.625" style="70" customWidth="1"/>
    <col min="3051" max="3295" width="8.5" style="70"/>
    <col min="3296" max="3296" width="5.25" style="70" customWidth="1"/>
    <col min="3297" max="3297" width="26.25" style="70" customWidth="1"/>
    <col min="3298" max="3298" width="5.5" style="70" customWidth="1"/>
    <col min="3299" max="3299" width="8.5" style="70"/>
    <col min="3300" max="3301" width="10.875" style="70" customWidth="1"/>
    <col min="3302" max="3302" width="15.25" style="70" customWidth="1"/>
    <col min="3303" max="3303" width="0.75" style="70" customWidth="1"/>
    <col min="3304" max="3306" width="0.625" style="70" customWidth="1"/>
    <col min="3307" max="3551" width="8.5" style="70"/>
    <col min="3552" max="3552" width="5.25" style="70" customWidth="1"/>
    <col min="3553" max="3553" width="26.25" style="70" customWidth="1"/>
    <col min="3554" max="3554" width="5.5" style="70" customWidth="1"/>
    <col min="3555" max="3555" width="8.5" style="70"/>
    <col min="3556" max="3557" width="10.875" style="70" customWidth="1"/>
    <col min="3558" max="3558" width="15.25" style="70" customWidth="1"/>
    <col min="3559" max="3559" width="0.75" style="70" customWidth="1"/>
    <col min="3560" max="3562" width="0.625" style="70" customWidth="1"/>
    <col min="3563" max="3807" width="8.5" style="70"/>
    <col min="3808" max="3808" width="5.25" style="70" customWidth="1"/>
    <col min="3809" max="3809" width="26.25" style="70" customWidth="1"/>
    <col min="3810" max="3810" width="5.5" style="70" customWidth="1"/>
    <col min="3811" max="3811" width="8.5" style="70"/>
    <col min="3812" max="3813" width="10.875" style="70" customWidth="1"/>
    <col min="3814" max="3814" width="15.25" style="70" customWidth="1"/>
    <col min="3815" max="3815" width="0.75" style="70" customWidth="1"/>
    <col min="3816" max="3818" width="0.625" style="70" customWidth="1"/>
    <col min="3819" max="4063" width="8.5" style="70"/>
    <col min="4064" max="4064" width="5.25" style="70" customWidth="1"/>
    <col min="4065" max="4065" width="26.25" style="70" customWidth="1"/>
    <col min="4066" max="4066" width="5.5" style="70" customWidth="1"/>
    <col min="4067" max="4067" width="8.5" style="70"/>
    <col min="4068" max="4069" width="10.875" style="70" customWidth="1"/>
    <col min="4070" max="4070" width="15.25" style="70" customWidth="1"/>
    <col min="4071" max="4071" width="0.75" style="70" customWidth="1"/>
    <col min="4072" max="4074" width="0.625" style="70" customWidth="1"/>
    <col min="4075" max="4319" width="8.5" style="70"/>
    <col min="4320" max="4320" width="5.25" style="70" customWidth="1"/>
    <col min="4321" max="4321" width="26.25" style="70" customWidth="1"/>
    <col min="4322" max="4322" width="5.5" style="70" customWidth="1"/>
    <col min="4323" max="4323" width="8.5" style="70"/>
    <col min="4324" max="4325" width="10.875" style="70" customWidth="1"/>
    <col min="4326" max="4326" width="15.25" style="70" customWidth="1"/>
    <col min="4327" max="4327" width="0.75" style="70" customWidth="1"/>
    <col min="4328" max="4330" width="0.625" style="70" customWidth="1"/>
    <col min="4331" max="4575" width="8.5" style="70"/>
    <col min="4576" max="4576" width="5.25" style="70" customWidth="1"/>
    <col min="4577" max="4577" width="26.25" style="70" customWidth="1"/>
    <col min="4578" max="4578" width="5.5" style="70" customWidth="1"/>
    <col min="4579" max="4579" width="8.5" style="70"/>
    <col min="4580" max="4581" width="10.875" style="70" customWidth="1"/>
    <col min="4582" max="4582" width="15.25" style="70" customWidth="1"/>
    <col min="4583" max="4583" width="0.75" style="70" customWidth="1"/>
    <col min="4584" max="4586" width="0.625" style="70" customWidth="1"/>
    <col min="4587" max="4831" width="8.5" style="70"/>
    <col min="4832" max="4832" width="5.25" style="70" customWidth="1"/>
    <col min="4833" max="4833" width="26.25" style="70" customWidth="1"/>
    <col min="4834" max="4834" width="5.5" style="70" customWidth="1"/>
    <col min="4835" max="4835" width="8.5" style="70"/>
    <col min="4836" max="4837" width="10.875" style="70" customWidth="1"/>
    <col min="4838" max="4838" width="15.25" style="70" customWidth="1"/>
    <col min="4839" max="4839" width="0.75" style="70" customWidth="1"/>
    <col min="4840" max="4842" width="0.625" style="70" customWidth="1"/>
    <col min="4843" max="5087" width="8.5" style="70"/>
    <col min="5088" max="5088" width="5.25" style="70" customWidth="1"/>
    <col min="5089" max="5089" width="26.25" style="70" customWidth="1"/>
    <col min="5090" max="5090" width="5.5" style="70" customWidth="1"/>
    <col min="5091" max="5091" width="8.5" style="70"/>
    <col min="5092" max="5093" width="10.875" style="70" customWidth="1"/>
    <col min="5094" max="5094" width="15.25" style="70" customWidth="1"/>
    <col min="5095" max="5095" width="0.75" style="70" customWidth="1"/>
    <col min="5096" max="5098" width="0.625" style="70" customWidth="1"/>
    <col min="5099" max="5343" width="8.5" style="70"/>
    <col min="5344" max="5344" width="5.25" style="70" customWidth="1"/>
    <col min="5345" max="5345" width="26.25" style="70" customWidth="1"/>
    <col min="5346" max="5346" width="5.5" style="70" customWidth="1"/>
    <col min="5347" max="5347" width="8.5" style="70"/>
    <col min="5348" max="5349" width="10.875" style="70" customWidth="1"/>
    <col min="5350" max="5350" width="15.25" style="70" customWidth="1"/>
    <col min="5351" max="5351" width="0.75" style="70" customWidth="1"/>
    <col min="5352" max="5354" width="0.625" style="70" customWidth="1"/>
    <col min="5355" max="5599" width="8.5" style="70"/>
    <col min="5600" max="5600" width="5.25" style="70" customWidth="1"/>
    <col min="5601" max="5601" width="26.25" style="70" customWidth="1"/>
    <col min="5602" max="5602" width="5.5" style="70" customWidth="1"/>
    <col min="5603" max="5603" width="8.5" style="70"/>
    <col min="5604" max="5605" width="10.875" style="70" customWidth="1"/>
    <col min="5606" max="5606" width="15.25" style="70" customWidth="1"/>
    <col min="5607" max="5607" width="0.75" style="70" customWidth="1"/>
    <col min="5608" max="5610" width="0.625" style="70" customWidth="1"/>
    <col min="5611" max="5855" width="8.5" style="70"/>
    <col min="5856" max="5856" width="5.25" style="70" customWidth="1"/>
    <col min="5857" max="5857" width="26.25" style="70" customWidth="1"/>
    <col min="5858" max="5858" width="5.5" style="70" customWidth="1"/>
    <col min="5859" max="5859" width="8.5" style="70"/>
    <col min="5860" max="5861" width="10.875" style="70" customWidth="1"/>
    <col min="5862" max="5862" width="15.25" style="70" customWidth="1"/>
    <col min="5863" max="5863" width="0.75" style="70" customWidth="1"/>
    <col min="5864" max="5866" width="0.625" style="70" customWidth="1"/>
    <col min="5867" max="6111" width="8.5" style="70"/>
    <col min="6112" max="6112" width="5.25" style="70" customWidth="1"/>
    <col min="6113" max="6113" width="26.25" style="70" customWidth="1"/>
    <col min="6114" max="6114" width="5.5" style="70" customWidth="1"/>
    <col min="6115" max="6115" width="8.5" style="70"/>
    <col min="6116" max="6117" width="10.875" style="70" customWidth="1"/>
    <col min="6118" max="6118" width="15.25" style="70" customWidth="1"/>
    <col min="6119" max="6119" width="0.75" style="70" customWidth="1"/>
    <col min="6120" max="6122" width="0.625" style="70" customWidth="1"/>
    <col min="6123" max="6367" width="8.5" style="70"/>
    <col min="6368" max="6368" width="5.25" style="70" customWidth="1"/>
    <col min="6369" max="6369" width="26.25" style="70" customWidth="1"/>
    <col min="6370" max="6370" width="5.5" style="70" customWidth="1"/>
    <col min="6371" max="6371" width="8.5" style="70"/>
    <col min="6372" max="6373" width="10.875" style="70" customWidth="1"/>
    <col min="6374" max="6374" width="15.25" style="70" customWidth="1"/>
    <col min="6375" max="6375" width="0.75" style="70" customWidth="1"/>
    <col min="6376" max="6378" width="0.625" style="70" customWidth="1"/>
    <col min="6379" max="6623" width="8.5" style="70"/>
    <col min="6624" max="6624" width="5.25" style="70" customWidth="1"/>
    <col min="6625" max="6625" width="26.25" style="70" customWidth="1"/>
    <col min="6626" max="6626" width="5.5" style="70" customWidth="1"/>
    <col min="6627" max="6627" width="8.5" style="70"/>
    <col min="6628" max="6629" width="10.875" style="70" customWidth="1"/>
    <col min="6630" max="6630" width="15.25" style="70" customWidth="1"/>
    <col min="6631" max="6631" width="0.75" style="70" customWidth="1"/>
    <col min="6632" max="6634" width="0.625" style="70" customWidth="1"/>
    <col min="6635" max="6879" width="8.5" style="70"/>
    <col min="6880" max="6880" width="5.25" style="70" customWidth="1"/>
    <col min="6881" max="6881" width="26.25" style="70" customWidth="1"/>
    <col min="6882" max="6882" width="5.5" style="70" customWidth="1"/>
    <col min="6883" max="6883" width="8.5" style="70"/>
    <col min="6884" max="6885" width="10.875" style="70" customWidth="1"/>
    <col min="6886" max="6886" width="15.25" style="70" customWidth="1"/>
    <col min="6887" max="6887" width="0.75" style="70" customWidth="1"/>
    <col min="6888" max="6890" width="0.625" style="70" customWidth="1"/>
    <col min="6891" max="7135" width="8.5" style="70"/>
    <col min="7136" max="7136" width="5.25" style="70" customWidth="1"/>
    <col min="7137" max="7137" width="26.25" style="70" customWidth="1"/>
    <col min="7138" max="7138" width="5.5" style="70" customWidth="1"/>
    <col min="7139" max="7139" width="8.5" style="70"/>
    <col min="7140" max="7141" width="10.875" style="70" customWidth="1"/>
    <col min="7142" max="7142" width="15.25" style="70" customWidth="1"/>
    <col min="7143" max="7143" width="0.75" style="70" customWidth="1"/>
    <col min="7144" max="7146" width="0.625" style="70" customWidth="1"/>
    <col min="7147" max="7391" width="8.5" style="70"/>
    <col min="7392" max="7392" width="5.25" style="70" customWidth="1"/>
    <col min="7393" max="7393" width="26.25" style="70" customWidth="1"/>
    <col min="7394" max="7394" width="5.5" style="70" customWidth="1"/>
    <col min="7395" max="7395" width="8.5" style="70"/>
    <col min="7396" max="7397" width="10.875" style="70" customWidth="1"/>
    <col min="7398" max="7398" width="15.25" style="70" customWidth="1"/>
    <col min="7399" max="7399" width="0.75" style="70" customWidth="1"/>
    <col min="7400" max="7402" width="0.625" style="70" customWidth="1"/>
    <col min="7403" max="7647" width="8.5" style="70"/>
    <col min="7648" max="7648" width="5.25" style="70" customWidth="1"/>
    <col min="7649" max="7649" width="26.25" style="70" customWidth="1"/>
    <col min="7650" max="7650" width="5.5" style="70" customWidth="1"/>
    <col min="7651" max="7651" width="8.5" style="70"/>
    <col min="7652" max="7653" width="10.875" style="70" customWidth="1"/>
    <col min="7654" max="7654" width="15.25" style="70" customWidth="1"/>
    <col min="7655" max="7655" width="0.75" style="70" customWidth="1"/>
    <col min="7656" max="7658" width="0.625" style="70" customWidth="1"/>
    <col min="7659" max="7903" width="8.5" style="70"/>
    <col min="7904" max="7904" width="5.25" style="70" customWidth="1"/>
    <col min="7905" max="7905" width="26.25" style="70" customWidth="1"/>
    <col min="7906" max="7906" width="5.5" style="70" customWidth="1"/>
    <col min="7907" max="7907" width="8.5" style="70"/>
    <col min="7908" max="7909" width="10.875" style="70" customWidth="1"/>
    <col min="7910" max="7910" width="15.25" style="70" customWidth="1"/>
    <col min="7911" max="7911" width="0.75" style="70" customWidth="1"/>
    <col min="7912" max="7914" width="0.625" style="70" customWidth="1"/>
    <col min="7915" max="8159" width="8.5" style="70"/>
    <col min="8160" max="8160" width="5.25" style="70" customWidth="1"/>
    <col min="8161" max="8161" width="26.25" style="70" customWidth="1"/>
    <col min="8162" max="8162" width="5.5" style="70" customWidth="1"/>
    <col min="8163" max="8163" width="8.5" style="70"/>
    <col min="8164" max="8165" width="10.875" style="70" customWidth="1"/>
    <col min="8166" max="8166" width="15.25" style="70" customWidth="1"/>
    <col min="8167" max="8167" width="0.75" style="70" customWidth="1"/>
    <col min="8168" max="8170" width="0.625" style="70" customWidth="1"/>
    <col min="8171" max="8415" width="8.5" style="70"/>
    <col min="8416" max="8416" width="5.25" style="70" customWidth="1"/>
    <col min="8417" max="8417" width="26.25" style="70" customWidth="1"/>
    <col min="8418" max="8418" width="5.5" style="70" customWidth="1"/>
    <col min="8419" max="8419" width="8.5" style="70"/>
    <col min="8420" max="8421" width="10.875" style="70" customWidth="1"/>
    <col min="8422" max="8422" width="15.25" style="70" customWidth="1"/>
    <col min="8423" max="8423" width="0.75" style="70" customWidth="1"/>
    <col min="8424" max="8426" width="0.625" style="70" customWidth="1"/>
    <col min="8427" max="8671" width="8.5" style="70"/>
    <col min="8672" max="8672" width="5.25" style="70" customWidth="1"/>
    <col min="8673" max="8673" width="26.25" style="70" customWidth="1"/>
    <col min="8674" max="8674" width="5.5" style="70" customWidth="1"/>
    <col min="8675" max="8675" width="8.5" style="70"/>
    <col min="8676" max="8677" width="10.875" style="70" customWidth="1"/>
    <col min="8678" max="8678" width="15.25" style="70" customWidth="1"/>
    <col min="8679" max="8679" width="0.75" style="70" customWidth="1"/>
    <col min="8680" max="8682" width="0.625" style="70" customWidth="1"/>
    <col min="8683" max="8927" width="8.5" style="70"/>
    <col min="8928" max="8928" width="5.25" style="70" customWidth="1"/>
    <col min="8929" max="8929" width="26.25" style="70" customWidth="1"/>
    <col min="8930" max="8930" width="5.5" style="70" customWidth="1"/>
    <col min="8931" max="8931" width="8.5" style="70"/>
    <col min="8932" max="8933" width="10.875" style="70" customWidth="1"/>
    <col min="8934" max="8934" width="15.25" style="70" customWidth="1"/>
    <col min="8935" max="8935" width="0.75" style="70" customWidth="1"/>
    <col min="8936" max="8938" width="0.625" style="70" customWidth="1"/>
    <col min="8939" max="9183" width="8.5" style="70"/>
    <col min="9184" max="9184" width="5.25" style="70" customWidth="1"/>
    <col min="9185" max="9185" width="26.25" style="70" customWidth="1"/>
    <col min="9186" max="9186" width="5.5" style="70" customWidth="1"/>
    <col min="9187" max="9187" width="8.5" style="70"/>
    <col min="9188" max="9189" width="10.875" style="70" customWidth="1"/>
    <col min="9190" max="9190" width="15.25" style="70" customWidth="1"/>
    <col min="9191" max="9191" width="0.75" style="70" customWidth="1"/>
    <col min="9192" max="9194" width="0.625" style="70" customWidth="1"/>
    <col min="9195" max="9439" width="8.5" style="70"/>
    <col min="9440" max="9440" width="5.25" style="70" customWidth="1"/>
    <col min="9441" max="9441" width="26.25" style="70" customWidth="1"/>
    <col min="9442" max="9442" width="5.5" style="70" customWidth="1"/>
    <col min="9443" max="9443" width="8.5" style="70"/>
    <col min="9444" max="9445" width="10.875" style="70" customWidth="1"/>
    <col min="9446" max="9446" width="15.25" style="70" customWidth="1"/>
    <col min="9447" max="9447" width="0.75" style="70" customWidth="1"/>
    <col min="9448" max="9450" width="0.625" style="70" customWidth="1"/>
    <col min="9451" max="9695" width="8.5" style="70"/>
    <col min="9696" max="9696" width="5.25" style="70" customWidth="1"/>
    <col min="9697" max="9697" width="26.25" style="70" customWidth="1"/>
    <col min="9698" max="9698" width="5.5" style="70" customWidth="1"/>
    <col min="9699" max="9699" width="8.5" style="70"/>
    <col min="9700" max="9701" width="10.875" style="70" customWidth="1"/>
    <col min="9702" max="9702" width="15.25" style="70" customWidth="1"/>
    <col min="9703" max="9703" width="0.75" style="70" customWidth="1"/>
    <col min="9704" max="9706" width="0.625" style="70" customWidth="1"/>
    <col min="9707" max="9951" width="8.5" style="70"/>
    <col min="9952" max="9952" width="5.25" style="70" customWidth="1"/>
    <col min="9953" max="9953" width="26.25" style="70" customWidth="1"/>
    <col min="9954" max="9954" width="5.5" style="70" customWidth="1"/>
    <col min="9955" max="9955" width="8.5" style="70"/>
    <col min="9956" max="9957" width="10.875" style="70" customWidth="1"/>
    <col min="9958" max="9958" width="15.25" style="70" customWidth="1"/>
    <col min="9959" max="9959" width="0.75" style="70" customWidth="1"/>
    <col min="9960" max="9962" width="0.625" style="70" customWidth="1"/>
    <col min="9963" max="10207" width="8.5" style="70"/>
    <col min="10208" max="10208" width="5.25" style="70" customWidth="1"/>
    <col min="10209" max="10209" width="26.25" style="70" customWidth="1"/>
    <col min="10210" max="10210" width="5.5" style="70" customWidth="1"/>
    <col min="10211" max="10211" width="8.5" style="70"/>
    <col min="10212" max="10213" width="10.875" style="70" customWidth="1"/>
    <col min="10214" max="10214" width="15.25" style="70" customWidth="1"/>
    <col min="10215" max="10215" width="0.75" style="70" customWidth="1"/>
    <col min="10216" max="10218" width="0.625" style="70" customWidth="1"/>
    <col min="10219" max="10463" width="8.5" style="70"/>
    <col min="10464" max="10464" width="5.25" style="70" customWidth="1"/>
    <col min="10465" max="10465" width="26.25" style="70" customWidth="1"/>
    <col min="10466" max="10466" width="5.5" style="70" customWidth="1"/>
    <col min="10467" max="10467" width="8.5" style="70"/>
    <col min="10468" max="10469" width="10.875" style="70" customWidth="1"/>
    <col min="10470" max="10470" width="15.25" style="70" customWidth="1"/>
    <col min="10471" max="10471" width="0.75" style="70" customWidth="1"/>
    <col min="10472" max="10474" width="0.625" style="70" customWidth="1"/>
    <col min="10475" max="10719" width="8.5" style="70"/>
    <col min="10720" max="10720" width="5.25" style="70" customWidth="1"/>
    <col min="10721" max="10721" width="26.25" style="70" customWidth="1"/>
    <col min="10722" max="10722" width="5.5" style="70" customWidth="1"/>
    <col min="10723" max="10723" width="8.5" style="70"/>
    <col min="10724" max="10725" width="10.875" style="70" customWidth="1"/>
    <col min="10726" max="10726" width="15.25" style="70" customWidth="1"/>
    <col min="10727" max="10727" width="0.75" style="70" customWidth="1"/>
    <col min="10728" max="10730" width="0.625" style="70" customWidth="1"/>
    <col min="10731" max="10975" width="8.5" style="70"/>
    <col min="10976" max="10976" width="5.25" style="70" customWidth="1"/>
    <col min="10977" max="10977" width="26.25" style="70" customWidth="1"/>
    <col min="10978" max="10978" width="5.5" style="70" customWidth="1"/>
    <col min="10979" max="10979" width="8.5" style="70"/>
    <col min="10980" max="10981" width="10.875" style="70" customWidth="1"/>
    <col min="10982" max="10982" width="15.25" style="70" customWidth="1"/>
    <col min="10983" max="10983" width="0.75" style="70" customWidth="1"/>
    <col min="10984" max="10986" width="0.625" style="70" customWidth="1"/>
    <col min="10987" max="11231" width="8.5" style="70"/>
    <col min="11232" max="11232" width="5.25" style="70" customWidth="1"/>
    <col min="11233" max="11233" width="26.25" style="70" customWidth="1"/>
    <col min="11234" max="11234" width="5.5" style="70" customWidth="1"/>
    <col min="11235" max="11235" width="8.5" style="70"/>
    <col min="11236" max="11237" width="10.875" style="70" customWidth="1"/>
    <col min="11238" max="11238" width="15.25" style="70" customWidth="1"/>
    <col min="11239" max="11239" width="0.75" style="70" customWidth="1"/>
    <col min="11240" max="11242" width="0.625" style="70" customWidth="1"/>
    <col min="11243" max="11487" width="8.5" style="70"/>
    <col min="11488" max="11488" width="5.25" style="70" customWidth="1"/>
    <col min="11489" max="11489" width="26.25" style="70" customWidth="1"/>
    <col min="11490" max="11490" width="5.5" style="70" customWidth="1"/>
    <col min="11491" max="11491" width="8.5" style="70"/>
    <col min="11492" max="11493" width="10.875" style="70" customWidth="1"/>
    <col min="11494" max="11494" width="15.25" style="70" customWidth="1"/>
    <col min="11495" max="11495" width="0.75" style="70" customWidth="1"/>
    <col min="11496" max="11498" width="0.625" style="70" customWidth="1"/>
    <col min="11499" max="11743" width="8.5" style="70"/>
    <col min="11744" max="11744" width="5.25" style="70" customWidth="1"/>
    <col min="11745" max="11745" width="26.25" style="70" customWidth="1"/>
    <col min="11746" max="11746" width="5.5" style="70" customWidth="1"/>
    <col min="11747" max="11747" width="8.5" style="70"/>
    <col min="11748" max="11749" width="10.875" style="70" customWidth="1"/>
    <col min="11750" max="11750" width="15.25" style="70" customWidth="1"/>
    <col min="11751" max="11751" width="0.75" style="70" customWidth="1"/>
    <col min="11752" max="11754" width="0.625" style="70" customWidth="1"/>
    <col min="11755" max="11999" width="8.5" style="70"/>
    <col min="12000" max="12000" width="5.25" style="70" customWidth="1"/>
    <col min="12001" max="12001" width="26.25" style="70" customWidth="1"/>
    <col min="12002" max="12002" width="5.5" style="70" customWidth="1"/>
    <col min="12003" max="12003" width="8.5" style="70"/>
    <col min="12004" max="12005" width="10.875" style="70" customWidth="1"/>
    <col min="12006" max="12006" width="15.25" style="70" customWidth="1"/>
    <col min="12007" max="12007" width="0.75" style="70" customWidth="1"/>
    <col min="12008" max="12010" width="0.625" style="70" customWidth="1"/>
    <col min="12011" max="12255" width="8.5" style="70"/>
    <col min="12256" max="12256" width="5.25" style="70" customWidth="1"/>
    <col min="12257" max="12257" width="26.25" style="70" customWidth="1"/>
    <col min="12258" max="12258" width="5.5" style="70" customWidth="1"/>
    <col min="12259" max="12259" width="8.5" style="70"/>
    <col min="12260" max="12261" width="10.875" style="70" customWidth="1"/>
    <col min="12262" max="12262" width="15.25" style="70" customWidth="1"/>
    <col min="12263" max="12263" width="0.75" style="70" customWidth="1"/>
    <col min="12264" max="12266" width="0.625" style="70" customWidth="1"/>
    <col min="12267" max="12511" width="8.5" style="70"/>
    <col min="12512" max="12512" width="5.25" style="70" customWidth="1"/>
    <col min="12513" max="12513" width="26.25" style="70" customWidth="1"/>
    <col min="12514" max="12514" width="5.5" style="70" customWidth="1"/>
    <col min="12515" max="12515" width="8.5" style="70"/>
    <col min="12516" max="12517" width="10.875" style="70" customWidth="1"/>
    <col min="12518" max="12518" width="15.25" style="70" customWidth="1"/>
    <col min="12519" max="12519" width="0.75" style="70" customWidth="1"/>
    <col min="12520" max="12522" width="0.625" style="70" customWidth="1"/>
    <col min="12523" max="12767" width="8.5" style="70"/>
    <col min="12768" max="12768" width="5.25" style="70" customWidth="1"/>
    <col min="12769" max="12769" width="26.25" style="70" customWidth="1"/>
    <col min="12770" max="12770" width="5.5" style="70" customWidth="1"/>
    <col min="12771" max="12771" width="8.5" style="70"/>
    <col min="12772" max="12773" width="10.875" style="70" customWidth="1"/>
    <col min="12774" max="12774" width="15.25" style="70" customWidth="1"/>
    <col min="12775" max="12775" width="0.75" style="70" customWidth="1"/>
    <col min="12776" max="12778" width="0.625" style="70" customWidth="1"/>
    <col min="12779" max="13023" width="8.5" style="70"/>
    <col min="13024" max="13024" width="5.25" style="70" customWidth="1"/>
    <col min="13025" max="13025" width="26.25" style="70" customWidth="1"/>
    <col min="13026" max="13026" width="5.5" style="70" customWidth="1"/>
    <col min="13027" max="13027" width="8.5" style="70"/>
    <col min="13028" max="13029" width="10.875" style="70" customWidth="1"/>
    <col min="13030" max="13030" width="15.25" style="70" customWidth="1"/>
    <col min="13031" max="13031" width="0.75" style="70" customWidth="1"/>
    <col min="13032" max="13034" width="0.625" style="70" customWidth="1"/>
    <col min="13035" max="13279" width="8.5" style="70"/>
    <col min="13280" max="13280" width="5.25" style="70" customWidth="1"/>
    <col min="13281" max="13281" width="26.25" style="70" customWidth="1"/>
    <col min="13282" max="13282" width="5.5" style="70" customWidth="1"/>
    <col min="13283" max="13283" width="8.5" style="70"/>
    <col min="13284" max="13285" width="10.875" style="70" customWidth="1"/>
    <col min="13286" max="13286" width="15.25" style="70" customWidth="1"/>
    <col min="13287" max="13287" width="0.75" style="70" customWidth="1"/>
    <col min="13288" max="13290" width="0.625" style="70" customWidth="1"/>
    <col min="13291" max="13535" width="8.5" style="70"/>
    <col min="13536" max="13536" width="5.25" style="70" customWidth="1"/>
    <col min="13537" max="13537" width="26.25" style="70" customWidth="1"/>
    <col min="13538" max="13538" width="5.5" style="70" customWidth="1"/>
    <col min="13539" max="13539" width="8.5" style="70"/>
    <col min="13540" max="13541" width="10.875" style="70" customWidth="1"/>
    <col min="13542" max="13542" width="15.25" style="70" customWidth="1"/>
    <col min="13543" max="13543" width="0.75" style="70" customWidth="1"/>
    <col min="13544" max="13546" width="0.625" style="70" customWidth="1"/>
    <col min="13547" max="13791" width="8.5" style="70"/>
    <col min="13792" max="13792" width="5.25" style="70" customWidth="1"/>
    <col min="13793" max="13793" width="26.25" style="70" customWidth="1"/>
    <col min="13794" max="13794" width="5.5" style="70" customWidth="1"/>
    <col min="13795" max="13795" width="8.5" style="70"/>
    <col min="13796" max="13797" width="10.875" style="70" customWidth="1"/>
    <col min="13798" max="13798" width="15.25" style="70" customWidth="1"/>
    <col min="13799" max="13799" width="0.75" style="70" customWidth="1"/>
    <col min="13800" max="13802" width="0.625" style="70" customWidth="1"/>
    <col min="13803" max="14047" width="8.5" style="70"/>
    <col min="14048" max="14048" width="5.25" style="70" customWidth="1"/>
    <col min="14049" max="14049" width="26.25" style="70" customWidth="1"/>
    <col min="14050" max="14050" width="5.5" style="70" customWidth="1"/>
    <col min="14051" max="14051" width="8.5" style="70"/>
    <col min="14052" max="14053" width="10.875" style="70" customWidth="1"/>
    <col min="14054" max="14054" width="15.25" style="70" customWidth="1"/>
    <col min="14055" max="14055" width="0.75" style="70" customWidth="1"/>
    <col min="14056" max="14058" width="0.625" style="70" customWidth="1"/>
    <col min="14059" max="14303" width="8.5" style="70"/>
    <col min="14304" max="14304" width="5.25" style="70" customWidth="1"/>
    <col min="14305" max="14305" width="26.25" style="70" customWidth="1"/>
    <col min="14306" max="14306" width="5.5" style="70" customWidth="1"/>
    <col min="14307" max="14307" width="8.5" style="70"/>
    <col min="14308" max="14309" width="10.875" style="70" customWidth="1"/>
    <col min="14310" max="14310" width="15.25" style="70" customWidth="1"/>
    <col min="14311" max="14311" width="0.75" style="70" customWidth="1"/>
    <col min="14312" max="14314" width="0.625" style="70" customWidth="1"/>
    <col min="14315" max="14559" width="8.5" style="70"/>
    <col min="14560" max="14560" width="5.25" style="70" customWidth="1"/>
    <col min="14561" max="14561" width="26.25" style="70" customWidth="1"/>
    <col min="14562" max="14562" width="5.5" style="70" customWidth="1"/>
    <col min="14563" max="14563" width="8.5" style="70"/>
    <col min="14564" max="14565" width="10.875" style="70" customWidth="1"/>
    <col min="14566" max="14566" width="15.25" style="70" customWidth="1"/>
    <col min="14567" max="14567" width="0.75" style="70" customWidth="1"/>
    <col min="14568" max="14570" width="0.625" style="70" customWidth="1"/>
    <col min="14571" max="14815" width="8.5" style="70"/>
    <col min="14816" max="14816" width="5.25" style="70" customWidth="1"/>
    <col min="14817" max="14817" width="26.25" style="70" customWidth="1"/>
    <col min="14818" max="14818" width="5.5" style="70" customWidth="1"/>
    <col min="14819" max="14819" width="8.5" style="70"/>
    <col min="14820" max="14821" width="10.875" style="70" customWidth="1"/>
    <col min="14822" max="14822" width="15.25" style="70" customWidth="1"/>
    <col min="14823" max="14823" width="0.75" style="70" customWidth="1"/>
    <col min="14824" max="14826" width="0.625" style="70" customWidth="1"/>
    <col min="14827" max="15071" width="8.5" style="70"/>
    <col min="15072" max="15072" width="5.25" style="70" customWidth="1"/>
    <col min="15073" max="15073" width="26.25" style="70" customWidth="1"/>
    <col min="15074" max="15074" width="5.5" style="70" customWidth="1"/>
    <col min="15075" max="15075" width="8.5" style="70"/>
    <col min="15076" max="15077" width="10.875" style="70" customWidth="1"/>
    <col min="15078" max="15078" width="15.25" style="70" customWidth="1"/>
    <col min="15079" max="15079" width="0.75" style="70" customWidth="1"/>
    <col min="15080" max="15082" width="0.625" style="70" customWidth="1"/>
    <col min="15083" max="15327" width="8.5" style="70"/>
    <col min="15328" max="15328" width="5.25" style="70" customWidth="1"/>
    <col min="15329" max="15329" width="26.25" style="70" customWidth="1"/>
    <col min="15330" max="15330" width="5.5" style="70" customWidth="1"/>
    <col min="15331" max="15331" width="8.5" style="70"/>
    <col min="15332" max="15333" width="10.875" style="70" customWidth="1"/>
    <col min="15334" max="15334" width="15.25" style="70" customWidth="1"/>
    <col min="15335" max="15335" width="0.75" style="70" customWidth="1"/>
    <col min="15336" max="15338" width="0.625" style="70" customWidth="1"/>
    <col min="15339" max="15583" width="8.5" style="70"/>
    <col min="15584" max="15584" width="5.25" style="70" customWidth="1"/>
    <col min="15585" max="15585" width="26.25" style="70" customWidth="1"/>
    <col min="15586" max="15586" width="5.5" style="70" customWidth="1"/>
    <col min="15587" max="15587" width="8.5" style="70"/>
    <col min="15588" max="15589" width="10.875" style="70" customWidth="1"/>
    <col min="15590" max="15590" width="15.25" style="70" customWidth="1"/>
    <col min="15591" max="15591" width="0.75" style="70" customWidth="1"/>
    <col min="15592" max="15594" width="0.625" style="70" customWidth="1"/>
    <col min="15595" max="15839" width="8.5" style="70"/>
    <col min="15840" max="15840" width="5.25" style="70" customWidth="1"/>
    <col min="15841" max="15841" width="26.25" style="70" customWidth="1"/>
    <col min="15842" max="15842" width="5.5" style="70" customWidth="1"/>
    <col min="15843" max="15843" width="8.5" style="70"/>
    <col min="15844" max="15845" width="10.875" style="70" customWidth="1"/>
    <col min="15846" max="15846" width="15.25" style="70" customWidth="1"/>
    <col min="15847" max="15847" width="0.75" style="70" customWidth="1"/>
    <col min="15848" max="15850" width="0.625" style="70" customWidth="1"/>
    <col min="15851" max="16095" width="8.5" style="70"/>
    <col min="16096" max="16096" width="5.25" style="70" customWidth="1"/>
    <col min="16097" max="16097" width="26.25" style="70" customWidth="1"/>
    <col min="16098" max="16098" width="5.5" style="70" customWidth="1"/>
    <col min="16099" max="16099" width="8.5" style="70"/>
    <col min="16100" max="16101" width="10.875" style="70" customWidth="1"/>
    <col min="16102" max="16102" width="15.25" style="70" customWidth="1"/>
    <col min="16103" max="16103" width="0.75" style="70" customWidth="1"/>
    <col min="16104" max="16106" width="0.625" style="70" customWidth="1"/>
    <col min="16107" max="16384" width="8.5" style="70"/>
  </cols>
  <sheetData>
    <row r="1" spans="1:37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47"/>
      <c r="V1" s="99"/>
      <c r="W1" s="99"/>
      <c r="X1" s="99"/>
      <c r="Y1" s="99"/>
      <c r="Z1" s="100"/>
    </row>
    <row r="2" spans="1:37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47"/>
    </row>
    <row r="3" spans="1:37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47"/>
      <c r="P3" s="386" t="s">
        <v>0</v>
      </c>
      <c r="Q3" s="387"/>
      <c r="R3" s="387"/>
      <c r="S3" s="387"/>
      <c r="T3" s="387"/>
      <c r="U3" s="387"/>
      <c r="V3" s="387"/>
      <c r="W3" s="387"/>
      <c r="X3" s="387"/>
      <c r="Y3" s="387"/>
      <c r="Z3" s="387"/>
    </row>
    <row r="4" spans="1:37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48"/>
      <c r="P4" s="389">
        <v>16</v>
      </c>
      <c r="Q4" s="387"/>
      <c r="R4" s="387"/>
      <c r="S4" s="387"/>
      <c r="T4" s="387"/>
      <c r="U4" s="387"/>
      <c r="V4" s="387"/>
      <c r="W4" s="387"/>
      <c r="X4" s="387"/>
      <c r="Y4" s="387"/>
      <c r="Z4" s="387"/>
    </row>
    <row r="5" spans="1:37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93" t="s">
        <v>4</v>
      </c>
      <c r="J5" s="393"/>
      <c r="K5" s="74"/>
      <c r="L5" s="394" t="s">
        <v>3109</v>
      </c>
      <c r="M5" s="394"/>
      <c r="N5" s="394"/>
      <c r="O5" s="96"/>
      <c r="P5" s="395" t="s">
        <v>2</v>
      </c>
      <c r="Q5" s="396"/>
      <c r="R5" s="396"/>
      <c r="S5" s="396"/>
      <c r="T5" s="396"/>
      <c r="U5" s="396"/>
      <c r="V5" s="396"/>
      <c r="W5" s="396"/>
      <c r="X5" s="4" t="s">
        <v>1361</v>
      </c>
      <c r="Y5" s="380">
        <v>45657</v>
      </c>
      <c r="Z5" s="381"/>
      <c r="AA5"/>
      <c r="AB5" s="35"/>
      <c r="AC5" s="35"/>
      <c r="AD5" s="181"/>
      <c r="AE5" s="181"/>
    </row>
    <row r="6" spans="1:37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1" t="s">
        <v>9</v>
      </c>
      <c r="I6" s="51" t="s">
        <v>3068</v>
      </c>
      <c r="J6" s="50" t="s">
        <v>11</v>
      </c>
      <c r="K6" s="47"/>
      <c r="L6" s="1" t="s">
        <v>1423</v>
      </c>
      <c r="M6" s="1" t="s">
        <v>1424</v>
      </c>
      <c r="N6" s="1" t="s">
        <v>1425</v>
      </c>
      <c r="O6" s="97"/>
      <c r="P6" s="5" t="s">
        <v>5</v>
      </c>
      <c r="Q6" s="6" t="s">
        <v>1362</v>
      </c>
      <c r="R6" s="6" t="s">
        <v>7</v>
      </c>
      <c r="S6" s="6" t="s">
        <v>1363</v>
      </c>
      <c r="T6" s="6" t="s">
        <v>1364</v>
      </c>
      <c r="U6" s="6" t="s">
        <v>1365</v>
      </c>
      <c r="V6" s="6" t="s">
        <v>1366</v>
      </c>
      <c r="W6" s="6" t="s">
        <v>1367</v>
      </c>
      <c r="X6" s="6" t="s">
        <v>1368</v>
      </c>
      <c r="Y6" s="6" t="s">
        <v>1369</v>
      </c>
      <c r="Z6" s="7" t="s">
        <v>1370</v>
      </c>
      <c r="AA6" s="36"/>
      <c r="AG6" s="186">
        <f>AI7</f>
        <v>0.59889999999999999</v>
      </c>
      <c r="AH6" s="104">
        <f>AI9</f>
        <v>6.7677298935428065E-2</v>
      </c>
      <c r="AI6" s="197" t="s">
        <v>1513</v>
      </c>
      <c r="AK6" s="68" t="s">
        <v>3110</v>
      </c>
    </row>
    <row r="7" spans="1:37" s="69" customFormat="1" ht="33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>
        <v>365478534</v>
      </c>
      <c r="J7" s="53" t="s">
        <v>15</v>
      </c>
      <c r="K7" s="73"/>
      <c r="L7" s="39">
        <v>1</v>
      </c>
      <c r="M7" s="39">
        <v>12220000.000000004</v>
      </c>
      <c r="N7" s="39">
        <v>194164200</v>
      </c>
      <c r="O7" s="98"/>
      <c r="P7" s="8" t="s">
        <v>12</v>
      </c>
      <c r="Q7" s="9" t="s">
        <v>13</v>
      </c>
      <c r="R7" s="10" t="s">
        <v>14</v>
      </c>
      <c r="S7" s="11">
        <v>1</v>
      </c>
      <c r="T7" s="11"/>
      <c r="U7" s="11">
        <f>U8+U377+U406+U446+U450+U471+U491+U494+U495+U497</f>
        <v>365478534</v>
      </c>
      <c r="V7" s="11">
        <f>IF(X7=0,0,1)</f>
        <v>1</v>
      </c>
      <c r="W7" s="11">
        <f>IF(Y7=0,0,1)</f>
        <v>1</v>
      </c>
      <c r="X7" s="11">
        <f>X8+X377+X406+X446+X450+X471+X491+X494+X495+X497</f>
        <v>24734600.000000007</v>
      </c>
      <c r="Y7" s="11">
        <f>ROUNDDOWN((Y8+Y377+Y406+Y446+Y450+Y471+Y491+Y495+Y497+(Y8+Y377+Y406+Y446+Y450+Y471+Y491)*0.1095000004)/1000,1)*1000</f>
        <v>218898800</v>
      </c>
      <c r="Z7" s="12" t="s">
        <v>15</v>
      </c>
      <c r="AA7" s="37" t="s">
        <v>16</v>
      </c>
      <c r="AB7" s="38"/>
      <c r="AC7" s="38"/>
      <c r="AD7" s="182"/>
      <c r="AE7" s="182"/>
      <c r="AF7" s="101"/>
      <c r="AG7" s="187"/>
      <c r="AH7" s="126">
        <v>365478534</v>
      </c>
      <c r="AI7" s="125">
        <f>ROUND(Y7/AH7,4)</f>
        <v>0.59889999999999999</v>
      </c>
    </row>
    <row r="8" spans="1:37" s="69" customFormat="1" ht="49.5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>
        <v>275489625</v>
      </c>
      <c r="J8" s="86" t="s">
        <v>15</v>
      </c>
      <c r="K8" s="73"/>
      <c r="L8" s="42">
        <v>1</v>
      </c>
      <c r="M8" s="42">
        <v>6680379.0399999982</v>
      </c>
      <c r="N8" s="42">
        <v>141593457.65000001</v>
      </c>
      <c r="O8" s="98"/>
      <c r="P8" s="13" t="s">
        <v>1371</v>
      </c>
      <c r="Q8" s="14" t="s">
        <v>18</v>
      </c>
      <c r="R8" s="15" t="s">
        <v>14</v>
      </c>
      <c r="S8" s="16">
        <v>1</v>
      </c>
      <c r="T8" s="16"/>
      <c r="U8" s="16">
        <f>U9+U38+U133+U177+U202+U220+U237+U327+U369</f>
        <v>275489625.00000006</v>
      </c>
      <c r="V8" s="16">
        <f t="shared" ref="V8:W9" si="0">IF(X8=0,0,1)</f>
        <v>1</v>
      </c>
      <c r="W8" s="16">
        <f t="shared" si="0"/>
        <v>1</v>
      </c>
      <c r="X8" s="16">
        <f>X9+X38+X133+X177+X202+X220+X237+X327+X369</f>
        <v>18218828.57</v>
      </c>
      <c r="Y8" s="16">
        <f>Y9+Y38+Y133+Y177+Y202+Y220+Y237+Y327+Y369</f>
        <v>159812286.22</v>
      </c>
      <c r="Z8" s="17" t="s">
        <v>15</v>
      </c>
      <c r="AA8" s="40" t="s">
        <v>16</v>
      </c>
      <c r="AB8" s="41"/>
      <c r="AC8" s="41"/>
      <c r="AD8" s="183"/>
      <c r="AE8" s="183"/>
      <c r="AF8" s="101"/>
      <c r="AG8" s="188"/>
      <c r="AI8" s="124" t="s">
        <v>1514</v>
      </c>
    </row>
    <row r="9" spans="1:37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>
        <v>90137193.75</v>
      </c>
      <c r="J9" s="80" t="s">
        <v>15</v>
      </c>
      <c r="K9" s="73"/>
      <c r="L9" s="45">
        <v>1</v>
      </c>
      <c r="M9" s="45">
        <v>653229.91999999969</v>
      </c>
      <c r="N9" s="45">
        <v>62749104.82</v>
      </c>
      <c r="O9" s="98"/>
      <c r="P9" s="18" t="s">
        <v>1372</v>
      </c>
      <c r="Q9" s="19" t="s">
        <v>20</v>
      </c>
      <c r="R9" s="20" t="s">
        <v>14</v>
      </c>
      <c r="S9" s="21">
        <v>1</v>
      </c>
      <c r="T9" s="21"/>
      <c r="U9" s="21">
        <f>SUMIFS(AC:AC,AD:AD,AD9)</f>
        <v>90137193.75000003</v>
      </c>
      <c r="V9" s="21">
        <f t="shared" si="0"/>
        <v>1</v>
      </c>
      <c r="W9" s="21">
        <f t="shared" si="0"/>
        <v>1</v>
      </c>
      <c r="X9" s="21">
        <f>SUMIFS(X:X,AE:AE,AD9)</f>
        <v>7051309.0800000001</v>
      </c>
      <c r="Y9" s="21">
        <f>SUMIFS(Y:Y,AE:AE,AD9)</f>
        <v>69800413.900000006</v>
      </c>
      <c r="Z9" s="22" t="s">
        <v>15</v>
      </c>
      <c r="AA9" s="43" t="s">
        <v>16</v>
      </c>
      <c r="AB9" s="44">
        <f>IF(T9=0,S9,T9)</f>
        <v>1</v>
      </c>
      <c r="AC9" s="44"/>
      <c r="AD9" s="181">
        <v>1.1000000000000001</v>
      </c>
      <c r="AE9" s="181"/>
      <c r="AF9" s="101"/>
      <c r="AG9" s="189" t="s">
        <v>3061</v>
      </c>
      <c r="AI9" s="125">
        <f>X7/AH7</f>
        <v>6.7677298935428065E-2</v>
      </c>
      <c r="AK9" s="101" t="s">
        <v>3062</v>
      </c>
    </row>
    <row r="10" spans="1:37" s="69" customFormat="1" ht="39" x14ac:dyDescent="0.3">
      <c r="A10" s="55" t="s">
        <v>21</v>
      </c>
      <c r="B10" s="53" t="s">
        <v>22</v>
      </c>
      <c r="C10" s="54" t="s">
        <v>23</v>
      </c>
      <c r="D10" s="75">
        <v>544.66</v>
      </c>
      <c r="E10" s="75"/>
      <c r="F10" s="75"/>
      <c r="G10" s="75"/>
      <c r="H10" s="75">
        <v>193.12</v>
      </c>
      <c r="I10" s="75">
        <v>105184.74</v>
      </c>
      <c r="J10" s="91" t="s">
        <v>24</v>
      </c>
      <c r="K10" s="73"/>
      <c r="L10" s="46">
        <v>408.7</v>
      </c>
      <c r="M10" s="46">
        <v>0</v>
      </c>
      <c r="N10" s="46">
        <v>78928.14</v>
      </c>
      <c r="O10" s="98"/>
      <c r="P10" s="23" t="s">
        <v>1421</v>
      </c>
      <c r="Q10" s="24" t="s">
        <v>22</v>
      </c>
      <c r="R10" s="25" t="s">
        <v>23</v>
      </c>
      <c r="S10" s="26">
        <v>544.66</v>
      </c>
      <c r="T10" s="26"/>
      <c r="U10" s="26">
        <v>193.12</v>
      </c>
      <c r="V10" s="127">
        <f>AG10-L10</f>
        <v>0</v>
      </c>
      <c r="W10" s="127">
        <f>V10+L10</f>
        <v>408.7</v>
      </c>
      <c r="X10" s="127">
        <f t="shared" ref="X10:X37" si="1">Y10-N10</f>
        <v>0</v>
      </c>
      <c r="Y10" s="127">
        <f>ROUND(U10*W10,2)</f>
        <v>78928.14</v>
      </c>
      <c r="Z10" s="33" t="s">
        <v>15</v>
      </c>
      <c r="AA10" s="36" t="s">
        <v>16</v>
      </c>
      <c r="AB10" s="35">
        <f>IF(T10="",S10,T10)</f>
        <v>544.66</v>
      </c>
      <c r="AC10" s="35">
        <f t="shared" ref="AC10:AC37" si="2">ROUND(U10*AB10,2)</f>
        <v>105184.74</v>
      </c>
      <c r="AD10" s="181">
        <v>1.1000000000000001</v>
      </c>
      <c r="AE10" s="181">
        <v>1.1000000000000001</v>
      </c>
      <c r="AF10" s="101" t="str">
        <f>IF(W10&gt;AH10,"超估","")</f>
        <v/>
      </c>
      <c r="AG10" s="190">
        <v>408.7</v>
      </c>
      <c r="AH10" s="69">
        <f>IF(G10=0,IF(F10=0,IF(E10=0,D10,E10),F10),G10)</f>
        <v>544.66</v>
      </c>
    </row>
    <row r="11" spans="1:37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>
        <v>1046.22</v>
      </c>
      <c r="I11" s="75">
        <v>7417092.9900000002</v>
      </c>
      <c r="J11" s="91" t="s">
        <v>27</v>
      </c>
      <c r="K11" s="73"/>
      <c r="L11" s="46">
        <v>5362.11</v>
      </c>
      <c r="M11" s="46">
        <v>0</v>
      </c>
      <c r="N11" s="46">
        <v>5609946.7199999997</v>
      </c>
      <c r="O11" s="98"/>
      <c r="P11" s="23" t="s">
        <v>1426</v>
      </c>
      <c r="Q11" s="24" t="s">
        <v>26</v>
      </c>
      <c r="R11" s="25" t="s">
        <v>23</v>
      </c>
      <c r="S11" s="26">
        <v>7089.42</v>
      </c>
      <c r="T11" s="26"/>
      <c r="U11" s="26">
        <v>1046.22</v>
      </c>
      <c r="V11" s="128">
        <f t="shared" ref="V11:V74" si="3">AG11-L11</f>
        <v>512</v>
      </c>
      <c r="W11" s="26">
        <f t="shared" ref="W11:W74" si="4">V11+L11</f>
        <v>5874.11</v>
      </c>
      <c r="X11" s="26">
        <f t="shared" si="1"/>
        <v>535664.6400000006</v>
      </c>
      <c r="Y11" s="26">
        <f t="shared" ref="Y11:Y74" si="5">ROUND(U11*W11,2)</f>
        <v>6145611.3600000003</v>
      </c>
      <c r="Z11" s="33" t="s">
        <v>15</v>
      </c>
      <c r="AA11" s="36" t="s">
        <v>16</v>
      </c>
      <c r="AB11" s="35">
        <f t="shared" ref="AB11:AB74" si="6">IF(T11="",S11,T11)</f>
        <v>7089.42</v>
      </c>
      <c r="AC11" s="35">
        <f t="shared" si="2"/>
        <v>7417092.9900000002</v>
      </c>
      <c r="AD11" s="181">
        <v>1.1000000000000001</v>
      </c>
      <c r="AE11" s="181">
        <v>1.1000000000000001</v>
      </c>
      <c r="AF11" s="101" t="str">
        <f t="shared" ref="AF11:AF74" si="7">IF(W11&gt;AH11,"超估","")</f>
        <v/>
      </c>
      <c r="AG11" s="193">
        <f>5362.11+512</f>
        <v>5874.11</v>
      </c>
      <c r="AH11" s="69">
        <f t="shared" ref="AH11:AH74" si="8">IF(G11=0,IF(F11=0,IF(E11=0,D11,E11),F11),G11)</f>
        <v>7089.42</v>
      </c>
    </row>
    <row r="12" spans="1:37" s="69" customFormat="1" ht="33" x14ac:dyDescent="0.3">
      <c r="A12" s="55" t="s">
        <v>28</v>
      </c>
      <c r="B12" s="53" t="s">
        <v>29</v>
      </c>
      <c r="C12" s="54" t="s">
        <v>30</v>
      </c>
      <c r="D12" s="75">
        <v>4616</v>
      </c>
      <c r="E12" s="75"/>
      <c r="F12" s="75"/>
      <c r="G12" s="75"/>
      <c r="H12" s="75">
        <v>6200</v>
      </c>
      <c r="I12" s="75">
        <v>28619200</v>
      </c>
      <c r="J12" s="91" t="s">
        <v>31</v>
      </c>
      <c r="K12" s="73"/>
      <c r="L12" s="46">
        <v>3630</v>
      </c>
      <c r="M12" s="46">
        <v>0</v>
      </c>
      <c r="N12" s="46">
        <v>22506000</v>
      </c>
      <c r="O12" s="98"/>
      <c r="P12" s="23" t="s">
        <v>1402</v>
      </c>
      <c r="Q12" s="24" t="s">
        <v>29</v>
      </c>
      <c r="R12" s="25" t="s">
        <v>30</v>
      </c>
      <c r="S12" s="26">
        <v>4616</v>
      </c>
      <c r="T12" s="26"/>
      <c r="U12" s="26">
        <v>6200</v>
      </c>
      <c r="V12" s="128">
        <f t="shared" si="3"/>
        <v>980.69999999999982</v>
      </c>
      <c r="W12" s="127">
        <f t="shared" si="4"/>
        <v>4610.7</v>
      </c>
      <c r="X12" s="127">
        <f t="shared" si="1"/>
        <v>6080340</v>
      </c>
      <c r="Y12" s="127">
        <f t="shared" si="5"/>
        <v>28586340</v>
      </c>
      <c r="Z12" s="33" t="s">
        <v>15</v>
      </c>
      <c r="AA12" s="36" t="s">
        <v>16</v>
      </c>
      <c r="AB12" s="35">
        <f t="shared" si="6"/>
        <v>4616</v>
      </c>
      <c r="AC12" s="35">
        <f t="shared" si="2"/>
        <v>28619200</v>
      </c>
      <c r="AD12" s="181">
        <v>1.1000000000000001</v>
      </c>
      <c r="AE12" s="181">
        <v>1.1000000000000001</v>
      </c>
      <c r="AF12" s="101" t="str">
        <f t="shared" si="7"/>
        <v/>
      </c>
      <c r="AG12" s="193">
        <f>3630+980.7</f>
        <v>4610.7</v>
      </c>
      <c r="AH12" s="69">
        <f t="shared" si="8"/>
        <v>4616</v>
      </c>
    </row>
    <row r="13" spans="1:37" s="69" customFormat="1" ht="58.5" x14ac:dyDescent="0.3">
      <c r="A13" s="55" t="s">
        <v>32</v>
      </c>
      <c r="B13" s="53" t="s">
        <v>33</v>
      </c>
      <c r="C13" s="54" t="s">
        <v>34</v>
      </c>
      <c r="D13" s="75">
        <v>29759</v>
      </c>
      <c r="E13" s="75"/>
      <c r="F13" s="75">
        <v>31759</v>
      </c>
      <c r="G13" s="75"/>
      <c r="H13" s="75">
        <v>48.28</v>
      </c>
      <c r="I13" s="75">
        <v>1533324.52</v>
      </c>
      <c r="J13" s="91" t="s">
        <v>35</v>
      </c>
      <c r="K13" s="73"/>
      <c r="L13" s="46">
        <v>28290.799999999999</v>
      </c>
      <c r="M13" s="46">
        <v>0</v>
      </c>
      <c r="N13" s="46">
        <v>1365879.82</v>
      </c>
      <c r="O13" s="98"/>
      <c r="P13" s="23" t="s">
        <v>1373</v>
      </c>
      <c r="Q13" s="24" t="s">
        <v>33</v>
      </c>
      <c r="R13" s="25" t="s">
        <v>34</v>
      </c>
      <c r="S13" s="26">
        <v>29759</v>
      </c>
      <c r="T13" s="26">
        <v>31759</v>
      </c>
      <c r="U13" s="26">
        <v>48.28</v>
      </c>
      <c r="V13" s="127">
        <f t="shared" si="3"/>
        <v>0</v>
      </c>
      <c r="W13" s="127">
        <f t="shared" si="4"/>
        <v>28290.799999999999</v>
      </c>
      <c r="X13" s="127">
        <f t="shared" si="1"/>
        <v>0</v>
      </c>
      <c r="Y13" s="127">
        <f t="shared" si="5"/>
        <v>1365879.82</v>
      </c>
      <c r="Z13" s="27" t="s">
        <v>15</v>
      </c>
      <c r="AA13" s="36" t="s">
        <v>16</v>
      </c>
      <c r="AB13" s="35">
        <f t="shared" si="6"/>
        <v>31759</v>
      </c>
      <c r="AC13" s="35">
        <f t="shared" si="2"/>
        <v>1533324.52</v>
      </c>
      <c r="AD13" s="181">
        <v>1.1000000000000001</v>
      </c>
      <c r="AE13" s="181">
        <v>1.1000000000000001</v>
      </c>
      <c r="AF13" s="101" t="str">
        <f t="shared" si="7"/>
        <v/>
      </c>
      <c r="AG13" s="190">
        <v>28290.799999999999</v>
      </c>
      <c r="AH13" s="69">
        <f t="shared" si="8"/>
        <v>31759</v>
      </c>
    </row>
    <row r="14" spans="1:37" s="69" customFormat="1" ht="39" x14ac:dyDescent="0.3">
      <c r="A14" s="55" t="s">
        <v>36</v>
      </c>
      <c r="B14" s="53" t="s">
        <v>37</v>
      </c>
      <c r="C14" s="54" t="s">
        <v>23</v>
      </c>
      <c r="D14" s="75">
        <v>731.44</v>
      </c>
      <c r="E14" s="75"/>
      <c r="F14" s="75"/>
      <c r="G14" s="75"/>
      <c r="H14" s="75">
        <v>599.75</v>
      </c>
      <c r="I14" s="75">
        <v>438681.14</v>
      </c>
      <c r="J14" s="91" t="s">
        <v>38</v>
      </c>
      <c r="K14" s="73"/>
      <c r="L14" s="46">
        <v>519.42999999999995</v>
      </c>
      <c r="M14" s="46">
        <v>0</v>
      </c>
      <c r="N14" s="46">
        <v>311528.14</v>
      </c>
      <c r="O14" s="98"/>
      <c r="P14" s="23" t="s">
        <v>1393</v>
      </c>
      <c r="Q14" s="24" t="s">
        <v>37</v>
      </c>
      <c r="R14" s="25" t="s">
        <v>23</v>
      </c>
      <c r="S14" s="26">
        <v>731.44</v>
      </c>
      <c r="T14" s="26"/>
      <c r="U14" s="26">
        <v>599.75</v>
      </c>
      <c r="V14" s="26">
        <f t="shared" si="3"/>
        <v>0</v>
      </c>
      <c r="W14" s="26">
        <f t="shared" si="4"/>
        <v>519.42999999999995</v>
      </c>
      <c r="X14" s="26">
        <f t="shared" si="1"/>
        <v>0</v>
      </c>
      <c r="Y14" s="26">
        <f t="shared" si="5"/>
        <v>311528.14</v>
      </c>
      <c r="Z14" s="33" t="s">
        <v>15</v>
      </c>
      <c r="AA14" s="36" t="s">
        <v>16</v>
      </c>
      <c r="AB14" s="35">
        <f t="shared" si="6"/>
        <v>731.44</v>
      </c>
      <c r="AC14" s="35">
        <f t="shared" si="2"/>
        <v>438681.14</v>
      </c>
      <c r="AD14" s="181">
        <v>1.1000000000000001</v>
      </c>
      <c r="AE14" s="181">
        <v>1.1000000000000001</v>
      </c>
      <c r="AF14" s="101" t="str">
        <f t="shared" si="7"/>
        <v/>
      </c>
      <c r="AG14" s="190">
        <v>519.42999999999995</v>
      </c>
      <c r="AH14" s="69">
        <f t="shared" si="8"/>
        <v>731.44</v>
      </c>
    </row>
    <row r="15" spans="1:37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>
        <v>104.64</v>
      </c>
      <c r="I15" s="75">
        <v>786788.16</v>
      </c>
      <c r="J15" s="91" t="s">
        <v>41</v>
      </c>
      <c r="K15" s="73"/>
      <c r="L15" s="46">
        <v>962</v>
      </c>
      <c r="M15" s="46">
        <v>100663.67999999999</v>
      </c>
      <c r="N15" s="46">
        <v>100663.67999999999</v>
      </c>
      <c r="O15" s="98"/>
      <c r="P15" s="23" t="s">
        <v>1403</v>
      </c>
      <c r="Q15" s="24" t="s">
        <v>40</v>
      </c>
      <c r="R15" s="25" t="s">
        <v>23</v>
      </c>
      <c r="S15" s="26">
        <v>7519</v>
      </c>
      <c r="T15" s="26"/>
      <c r="U15" s="26">
        <v>104.64</v>
      </c>
      <c r="V15" s="128">
        <f t="shared" si="3"/>
        <v>295</v>
      </c>
      <c r="W15" s="26">
        <f t="shared" si="4"/>
        <v>1257</v>
      </c>
      <c r="X15" s="26">
        <f t="shared" si="1"/>
        <v>30868.800000000017</v>
      </c>
      <c r="Y15" s="26">
        <f t="shared" si="5"/>
        <v>131532.48000000001</v>
      </c>
      <c r="Z15" s="33" t="s">
        <v>15</v>
      </c>
      <c r="AA15" s="36" t="s">
        <v>16</v>
      </c>
      <c r="AB15" s="35">
        <f t="shared" si="6"/>
        <v>7519</v>
      </c>
      <c r="AC15" s="35">
        <f t="shared" si="2"/>
        <v>786788.16</v>
      </c>
      <c r="AD15" s="181">
        <v>1.1000000000000001</v>
      </c>
      <c r="AE15" s="181">
        <v>1.1000000000000001</v>
      </c>
      <c r="AF15" s="101" t="str">
        <f t="shared" si="7"/>
        <v/>
      </c>
      <c r="AG15" s="193">
        <f>962+295</f>
        <v>1257</v>
      </c>
      <c r="AH15" s="69">
        <f t="shared" si="8"/>
        <v>7519</v>
      </c>
    </row>
    <row r="16" spans="1:37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>
        <v>1027.43</v>
      </c>
      <c r="I16" s="75">
        <v>22850043.199999999</v>
      </c>
      <c r="J16" s="91" t="s">
        <v>44</v>
      </c>
      <c r="K16" s="73"/>
      <c r="L16" s="46">
        <v>16836</v>
      </c>
      <c r="M16" s="46">
        <v>0</v>
      </c>
      <c r="N16" s="46">
        <v>17297811.48</v>
      </c>
      <c r="O16" s="98"/>
      <c r="P16" s="23" t="s">
        <v>1427</v>
      </c>
      <c r="Q16" s="24" t="s">
        <v>43</v>
      </c>
      <c r="R16" s="25" t="s">
        <v>34</v>
      </c>
      <c r="S16" s="26">
        <v>22240</v>
      </c>
      <c r="T16" s="26"/>
      <c r="U16" s="26">
        <v>1027.43</v>
      </c>
      <c r="V16" s="26">
        <f t="shared" si="3"/>
        <v>0</v>
      </c>
      <c r="W16" s="121">
        <f t="shared" si="4"/>
        <v>16836</v>
      </c>
      <c r="X16" s="26">
        <f t="shared" si="1"/>
        <v>0</v>
      </c>
      <c r="Y16" s="26">
        <f t="shared" si="5"/>
        <v>17297811.48</v>
      </c>
      <c r="Z16" s="33" t="s">
        <v>15</v>
      </c>
      <c r="AA16" s="36" t="s">
        <v>16</v>
      </c>
      <c r="AB16" s="35">
        <f t="shared" si="6"/>
        <v>22240</v>
      </c>
      <c r="AC16" s="35">
        <f t="shared" si="2"/>
        <v>22850043.199999999</v>
      </c>
      <c r="AD16" s="181">
        <v>1.1000000000000001</v>
      </c>
      <c r="AE16" s="181">
        <v>1.1000000000000001</v>
      </c>
      <c r="AF16" s="101" t="str">
        <f t="shared" si="7"/>
        <v/>
      </c>
      <c r="AG16" s="190">
        <v>16836</v>
      </c>
      <c r="AH16" s="69">
        <f t="shared" si="8"/>
        <v>22240</v>
      </c>
    </row>
    <row r="17" spans="1:34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>
        <v>1085.04</v>
      </c>
      <c r="I17" s="75">
        <v>7302774.9199999999</v>
      </c>
      <c r="J17" s="91" t="s">
        <v>47</v>
      </c>
      <c r="K17" s="73"/>
      <c r="L17" s="46">
        <v>4956</v>
      </c>
      <c r="M17" s="46">
        <v>0</v>
      </c>
      <c r="N17" s="46">
        <v>5377458.2400000002</v>
      </c>
      <c r="O17" s="98"/>
      <c r="P17" s="23" t="s">
        <v>1428</v>
      </c>
      <c r="Q17" s="24" t="s">
        <v>46</v>
      </c>
      <c r="R17" s="25" t="s">
        <v>23</v>
      </c>
      <c r="S17" s="26">
        <v>6730.42</v>
      </c>
      <c r="T17" s="26"/>
      <c r="U17" s="26">
        <v>1085.04</v>
      </c>
      <c r="V17" s="26">
        <f t="shared" si="3"/>
        <v>0</v>
      </c>
      <c r="W17" s="121">
        <f t="shared" si="4"/>
        <v>4956</v>
      </c>
      <c r="X17" s="26">
        <f t="shared" si="1"/>
        <v>0</v>
      </c>
      <c r="Y17" s="26">
        <f t="shared" si="5"/>
        <v>5377458.2400000002</v>
      </c>
      <c r="Z17" s="33" t="s">
        <v>15</v>
      </c>
      <c r="AA17" s="36" t="s">
        <v>16</v>
      </c>
      <c r="AB17" s="35">
        <f t="shared" si="6"/>
        <v>6730.42</v>
      </c>
      <c r="AC17" s="35">
        <f t="shared" si="2"/>
        <v>7302774.9199999999</v>
      </c>
      <c r="AD17" s="181">
        <v>1.1000000000000001</v>
      </c>
      <c r="AE17" s="181">
        <v>1.1000000000000001</v>
      </c>
      <c r="AF17" s="101" t="str">
        <f t="shared" si="7"/>
        <v/>
      </c>
      <c r="AG17" s="190">
        <v>4956</v>
      </c>
      <c r="AH17" s="69">
        <f t="shared" si="8"/>
        <v>6730.42</v>
      </c>
    </row>
    <row r="18" spans="1:34" s="69" customFormat="1" ht="58.5" x14ac:dyDescent="0.3">
      <c r="A18" s="55" t="s">
        <v>48</v>
      </c>
      <c r="B18" s="53" t="s">
        <v>49</v>
      </c>
      <c r="C18" s="54" t="s">
        <v>50</v>
      </c>
      <c r="D18" s="75">
        <v>3735.5</v>
      </c>
      <c r="E18" s="75"/>
      <c r="F18" s="75"/>
      <c r="G18" s="75"/>
      <c r="H18" s="75">
        <v>30.45</v>
      </c>
      <c r="I18" s="75">
        <v>113745.98</v>
      </c>
      <c r="J18" s="91" t="s">
        <v>51</v>
      </c>
      <c r="K18" s="73"/>
      <c r="L18" s="46">
        <v>2100</v>
      </c>
      <c r="M18" s="46">
        <v>0</v>
      </c>
      <c r="N18" s="46">
        <v>63945</v>
      </c>
      <c r="O18" s="98"/>
      <c r="P18" s="23" t="s">
        <v>1387</v>
      </c>
      <c r="Q18" s="24" t="s">
        <v>49</v>
      </c>
      <c r="R18" s="25" t="s">
        <v>50</v>
      </c>
      <c r="S18" s="26">
        <v>3735.5</v>
      </c>
      <c r="T18" s="26"/>
      <c r="U18" s="26">
        <v>30.45</v>
      </c>
      <c r="V18" s="26">
        <f t="shared" si="3"/>
        <v>0</v>
      </c>
      <c r="W18" s="26">
        <f t="shared" si="4"/>
        <v>2100</v>
      </c>
      <c r="X18" s="26">
        <f t="shared" si="1"/>
        <v>0</v>
      </c>
      <c r="Y18" s="26">
        <f t="shared" si="5"/>
        <v>63945</v>
      </c>
      <c r="Z18" s="33" t="s">
        <v>15</v>
      </c>
      <c r="AA18" s="36" t="s">
        <v>16</v>
      </c>
      <c r="AB18" s="35">
        <f t="shared" si="6"/>
        <v>3735.5</v>
      </c>
      <c r="AC18" s="35">
        <f t="shared" si="2"/>
        <v>113745.98</v>
      </c>
      <c r="AD18" s="181">
        <v>1.1000000000000001</v>
      </c>
      <c r="AE18" s="181">
        <v>1.1000000000000001</v>
      </c>
      <c r="AF18" s="101" t="str">
        <f t="shared" si="7"/>
        <v/>
      </c>
      <c r="AG18" s="190">
        <v>2100</v>
      </c>
      <c r="AH18" s="69">
        <f t="shared" si="8"/>
        <v>3735.5</v>
      </c>
    </row>
    <row r="19" spans="1:34" s="69" customFormat="1" ht="58.5" x14ac:dyDescent="0.3">
      <c r="A19" s="55" t="s">
        <v>52</v>
      </c>
      <c r="B19" s="53" t="s">
        <v>53</v>
      </c>
      <c r="C19" s="54" t="s">
        <v>50</v>
      </c>
      <c r="D19" s="75">
        <v>10205</v>
      </c>
      <c r="E19" s="75"/>
      <c r="F19" s="75"/>
      <c r="G19" s="75"/>
      <c r="H19" s="75">
        <v>28.48</v>
      </c>
      <c r="I19" s="75">
        <v>290638.40000000002</v>
      </c>
      <c r="J19" s="91" t="s">
        <v>54</v>
      </c>
      <c r="K19" s="73"/>
      <c r="L19" s="46">
        <v>300</v>
      </c>
      <c r="M19" s="46">
        <v>0</v>
      </c>
      <c r="N19" s="46">
        <v>8544</v>
      </c>
      <c r="O19" s="98"/>
      <c r="P19" s="23" t="s">
        <v>1405</v>
      </c>
      <c r="Q19" s="24" t="s">
        <v>53</v>
      </c>
      <c r="R19" s="25" t="s">
        <v>50</v>
      </c>
      <c r="S19" s="26">
        <v>10205</v>
      </c>
      <c r="T19" s="26"/>
      <c r="U19" s="26">
        <v>28.48</v>
      </c>
      <c r="V19" s="26">
        <f t="shared" si="3"/>
        <v>0</v>
      </c>
      <c r="W19" s="26">
        <f t="shared" si="4"/>
        <v>300</v>
      </c>
      <c r="X19" s="26">
        <f t="shared" si="1"/>
        <v>0</v>
      </c>
      <c r="Y19" s="26">
        <f t="shared" si="5"/>
        <v>8544</v>
      </c>
      <c r="Z19" s="33" t="s">
        <v>15</v>
      </c>
      <c r="AA19" s="36" t="s">
        <v>16</v>
      </c>
      <c r="AB19" s="35">
        <f t="shared" si="6"/>
        <v>10205</v>
      </c>
      <c r="AC19" s="35">
        <f t="shared" si="2"/>
        <v>290638.40000000002</v>
      </c>
      <c r="AD19" s="181">
        <v>1.1000000000000001</v>
      </c>
      <c r="AE19" s="181">
        <v>1.1000000000000001</v>
      </c>
      <c r="AF19" s="101" t="str">
        <f t="shared" si="7"/>
        <v/>
      </c>
      <c r="AG19" s="190">
        <v>300</v>
      </c>
      <c r="AH19" s="69">
        <f t="shared" si="8"/>
        <v>10205</v>
      </c>
    </row>
    <row r="20" spans="1:34" s="69" customFormat="1" ht="39" x14ac:dyDescent="0.3">
      <c r="A20" s="55" t="s">
        <v>55</v>
      </c>
      <c r="B20" s="53" t="s">
        <v>56</v>
      </c>
      <c r="C20" s="54" t="s">
        <v>30</v>
      </c>
      <c r="D20" s="75">
        <v>142.6</v>
      </c>
      <c r="E20" s="75"/>
      <c r="F20" s="75"/>
      <c r="G20" s="75"/>
      <c r="H20" s="75">
        <v>65.400000000000006</v>
      </c>
      <c r="I20" s="75">
        <v>9326.0400000000009</v>
      </c>
      <c r="J20" s="91" t="s">
        <v>57</v>
      </c>
      <c r="K20" s="73"/>
      <c r="L20" s="46">
        <v>60</v>
      </c>
      <c r="M20" s="46">
        <v>0</v>
      </c>
      <c r="N20" s="46">
        <v>3924</v>
      </c>
      <c r="O20" s="98"/>
      <c r="P20" s="23" t="s">
        <v>1406</v>
      </c>
      <c r="Q20" s="24" t="s">
        <v>56</v>
      </c>
      <c r="R20" s="25" t="s">
        <v>30</v>
      </c>
      <c r="S20" s="26">
        <v>142.6</v>
      </c>
      <c r="T20" s="26"/>
      <c r="U20" s="26">
        <v>65.400000000000006</v>
      </c>
      <c r="V20" s="26">
        <f t="shared" si="3"/>
        <v>0</v>
      </c>
      <c r="W20" s="26">
        <f t="shared" si="4"/>
        <v>60</v>
      </c>
      <c r="X20" s="26">
        <f t="shared" si="1"/>
        <v>0</v>
      </c>
      <c r="Y20" s="26">
        <f t="shared" si="5"/>
        <v>3924</v>
      </c>
      <c r="Z20" s="33" t="s">
        <v>15</v>
      </c>
      <c r="AA20" s="36" t="s">
        <v>16</v>
      </c>
      <c r="AB20" s="35">
        <f t="shared" si="6"/>
        <v>142.6</v>
      </c>
      <c r="AC20" s="35">
        <f t="shared" si="2"/>
        <v>9326.0400000000009</v>
      </c>
      <c r="AD20" s="181">
        <v>1.1000000000000001</v>
      </c>
      <c r="AE20" s="181">
        <v>1.1000000000000001</v>
      </c>
      <c r="AF20" s="101" t="str">
        <f t="shared" si="7"/>
        <v/>
      </c>
      <c r="AG20" s="190">
        <v>60</v>
      </c>
      <c r="AH20" s="69">
        <f t="shared" si="8"/>
        <v>142.6</v>
      </c>
    </row>
    <row r="21" spans="1:34" s="69" customFormat="1" ht="39" x14ac:dyDescent="0.3">
      <c r="A21" s="55" t="s">
        <v>58</v>
      </c>
      <c r="B21" s="53" t="s">
        <v>59</v>
      </c>
      <c r="C21" s="54" t="s">
        <v>50</v>
      </c>
      <c r="D21" s="75">
        <v>8459.2999999999993</v>
      </c>
      <c r="E21" s="75"/>
      <c r="F21" s="75"/>
      <c r="G21" s="75"/>
      <c r="H21" s="75">
        <v>20.190000000000001</v>
      </c>
      <c r="I21" s="75">
        <v>170793.27</v>
      </c>
      <c r="J21" s="91" t="s">
        <v>60</v>
      </c>
      <c r="K21" s="73"/>
      <c r="L21" s="46">
        <v>6584</v>
      </c>
      <c r="M21" s="46">
        <v>0</v>
      </c>
      <c r="N21" s="46">
        <v>132930.96</v>
      </c>
      <c r="O21" s="98"/>
      <c r="P21" s="23" t="s">
        <v>1414</v>
      </c>
      <c r="Q21" s="24" t="s">
        <v>59</v>
      </c>
      <c r="R21" s="25" t="s">
        <v>50</v>
      </c>
      <c r="S21" s="26">
        <v>8459.2999999999993</v>
      </c>
      <c r="T21" s="26"/>
      <c r="U21" s="26">
        <v>20.190000000000001</v>
      </c>
      <c r="V21" s="26">
        <f t="shared" si="3"/>
        <v>0</v>
      </c>
      <c r="W21" s="26">
        <f t="shared" si="4"/>
        <v>6584</v>
      </c>
      <c r="X21" s="26">
        <f t="shared" si="1"/>
        <v>0</v>
      </c>
      <c r="Y21" s="26">
        <f t="shared" si="5"/>
        <v>132930.96</v>
      </c>
      <c r="Z21" s="33" t="s">
        <v>15</v>
      </c>
      <c r="AA21" s="36" t="s">
        <v>16</v>
      </c>
      <c r="AB21" s="35">
        <f t="shared" si="6"/>
        <v>8459.2999999999993</v>
      </c>
      <c r="AC21" s="35">
        <f t="shared" si="2"/>
        <v>170793.27</v>
      </c>
      <c r="AD21" s="181">
        <v>1.1000000000000001</v>
      </c>
      <c r="AE21" s="181">
        <v>1.1000000000000001</v>
      </c>
      <c r="AF21" s="101" t="str">
        <f t="shared" si="7"/>
        <v/>
      </c>
      <c r="AG21" s="190">
        <v>6584</v>
      </c>
      <c r="AH21" s="69">
        <f t="shared" si="8"/>
        <v>8459.2999999999993</v>
      </c>
    </row>
    <row r="22" spans="1:34" s="69" customFormat="1" ht="39" x14ac:dyDescent="0.3">
      <c r="A22" s="55" t="s">
        <v>61</v>
      </c>
      <c r="B22" s="53" t="s">
        <v>62</v>
      </c>
      <c r="C22" s="54" t="s">
        <v>23</v>
      </c>
      <c r="D22" s="75">
        <v>1268.9000000000001</v>
      </c>
      <c r="E22" s="75"/>
      <c r="F22" s="75"/>
      <c r="G22" s="75"/>
      <c r="H22" s="75">
        <v>2492.81</v>
      </c>
      <c r="I22" s="75">
        <v>3163126.61</v>
      </c>
      <c r="J22" s="91" t="s">
        <v>63</v>
      </c>
      <c r="K22" s="73"/>
      <c r="L22" s="46">
        <v>108</v>
      </c>
      <c r="M22" s="46">
        <v>0</v>
      </c>
      <c r="N22" s="46">
        <v>269223.48</v>
      </c>
      <c r="O22" s="98"/>
      <c r="P22" s="23" t="s">
        <v>1429</v>
      </c>
      <c r="Q22" s="24" t="s">
        <v>62</v>
      </c>
      <c r="R22" s="25" t="s">
        <v>23</v>
      </c>
      <c r="S22" s="26">
        <v>1268.9000000000001</v>
      </c>
      <c r="T22" s="26"/>
      <c r="U22" s="26">
        <v>2492.81</v>
      </c>
      <c r="V22" s="26">
        <f t="shared" si="3"/>
        <v>0</v>
      </c>
      <c r="W22" s="26">
        <f t="shared" si="4"/>
        <v>108</v>
      </c>
      <c r="X22" s="26">
        <f t="shared" si="1"/>
        <v>0</v>
      </c>
      <c r="Y22" s="26">
        <f t="shared" si="5"/>
        <v>269223.48</v>
      </c>
      <c r="Z22" s="33" t="s">
        <v>15</v>
      </c>
      <c r="AA22" s="36" t="s">
        <v>16</v>
      </c>
      <c r="AB22" s="35">
        <f t="shared" si="6"/>
        <v>1268.9000000000001</v>
      </c>
      <c r="AC22" s="35">
        <f t="shared" si="2"/>
        <v>3163126.61</v>
      </c>
      <c r="AD22" s="181">
        <v>1.1000000000000001</v>
      </c>
      <c r="AE22" s="181">
        <v>1.1000000000000001</v>
      </c>
      <c r="AF22" s="101" t="str">
        <f t="shared" si="7"/>
        <v/>
      </c>
      <c r="AG22" s="190">
        <v>108</v>
      </c>
      <c r="AH22" s="69">
        <f t="shared" si="8"/>
        <v>1268.9000000000001</v>
      </c>
    </row>
    <row r="23" spans="1:34" s="69" customFormat="1" ht="33" x14ac:dyDescent="0.3">
      <c r="A23" s="55" t="s">
        <v>64</v>
      </c>
      <c r="B23" s="53" t="s">
        <v>65</v>
      </c>
      <c r="C23" s="54" t="s">
        <v>66</v>
      </c>
      <c r="D23" s="75">
        <v>659</v>
      </c>
      <c r="E23" s="75"/>
      <c r="F23" s="75"/>
      <c r="G23" s="75"/>
      <c r="H23" s="75">
        <v>521.17999999999995</v>
      </c>
      <c r="I23" s="75">
        <v>343457.62</v>
      </c>
      <c r="J23" s="91" t="s">
        <v>67</v>
      </c>
      <c r="K23" s="73"/>
      <c r="L23" s="46">
        <v>561</v>
      </c>
      <c r="M23" s="46">
        <v>0</v>
      </c>
      <c r="N23" s="46">
        <v>292381.98</v>
      </c>
      <c r="O23" s="98"/>
      <c r="P23" s="23" t="s">
        <v>1430</v>
      </c>
      <c r="Q23" s="24" t="s">
        <v>65</v>
      </c>
      <c r="R23" s="25" t="s">
        <v>66</v>
      </c>
      <c r="S23" s="26">
        <v>659</v>
      </c>
      <c r="T23" s="26"/>
      <c r="U23" s="26">
        <v>521.17999999999995</v>
      </c>
      <c r="V23" s="128">
        <f t="shared" si="3"/>
        <v>98</v>
      </c>
      <c r="W23" s="127">
        <f t="shared" si="4"/>
        <v>659</v>
      </c>
      <c r="X23" s="127">
        <f t="shared" si="1"/>
        <v>51075.640000000014</v>
      </c>
      <c r="Y23" s="127">
        <f t="shared" si="5"/>
        <v>343457.62</v>
      </c>
      <c r="Z23" s="33" t="s">
        <v>15</v>
      </c>
      <c r="AA23" s="36" t="s">
        <v>16</v>
      </c>
      <c r="AB23" s="35">
        <f t="shared" si="6"/>
        <v>659</v>
      </c>
      <c r="AC23" s="35">
        <f t="shared" si="2"/>
        <v>343457.62</v>
      </c>
      <c r="AD23" s="181">
        <v>1.1000000000000001</v>
      </c>
      <c r="AE23" s="181">
        <v>1.1000000000000001</v>
      </c>
      <c r="AF23" s="101" t="str">
        <f t="shared" si="7"/>
        <v/>
      </c>
      <c r="AG23" s="193">
        <f>561+98</f>
        <v>659</v>
      </c>
      <c r="AH23" s="69">
        <f t="shared" si="8"/>
        <v>659</v>
      </c>
    </row>
    <row r="24" spans="1:34" s="69" customFormat="1" ht="39" x14ac:dyDescent="0.3">
      <c r="A24" s="55" t="s">
        <v>68</v>
      </c>
      <c r="B24" s="53" t="s">
        <v>69</v>
      </c>
      <c r="C24" s="54" t="s">
        <v>30</v>
      </c>
      <c r="D24" s="75">
        <v>253.3</v>
      </c>
      <c r="E24" s="75"/>
      <c r="F24" s="75"/>
      <c r="G24" s="75"/>
      <c r="H24" s="75">
        <v>289.69</v>
      </c>
      <c r="I24" s="75">
        <v>73378.48</v>
      </c>
      <c r="J24" s="91" t="s">
        <v>70</v>
      </c>
      <c r="K24" s="73"/>
      <c r="L24" s="46">
        <v>250</v>
      </c>
      <c r="M24" s="46">
        <v>0</v>
      </c>
      <c r="N24" s="46">
        <v>72422.5</v>
      </c>
      <c r="O24" s="98"/>
      <c r="P24" s="23" t="s">
        <v>1431</v>
      </c>
      <c r="Q24" s="24" t="s">
        <v>69</v>
      </c>
      <c r="R24" s="25" t="s">
        <v>30</v>
      </c>
      <c r="S24" s="26">
        <v>253.3</v>
      </c>
      <c r="T24" s="26"/>
      <c r="U24" s="26">
        <v>289.69</v>
      </c>
      <c r="V24" s="127">
        <f t="shared" si="3"/>
        <v>0</v>
      </c>
      <c r="W24" s="127">
        <f t="shared" si="4"/>
        <v>250</v>
      </c>
      <c r="X24" s="127">
        <f t="shared" si="1"/>
        <v>0</v>
      </c>
      <c r="Y24" s="127">
        <f t="shared" si="5"/>
        <v>72422.5</v>
      </c>
      <c r="Z24" s="33" t="s">
        <v>15</v>
      </c>
      <c r="AA24" s="36" t="s">
        <v>16</v>
      </c>
      <c r="AB24" s="35">
        <f t="shared" si="6"/>
        <v>253.3</v>
      </c>
      <c r="AC24" s="35">
        <f t="shared" si="2"/>
        <v>73378.48</v>
      </c>
      <c r="AD24" s="181">
        <v>1.1000000000000001</v>
      </c>
      <c r="AE24" s="181">
        <v>1.1000000000000001</v>
      </c>
      <c r="AF24" s="101" t="str">
        <f t="shared" si="7"/>
        <v/>
      </c>
      <c r="AG24" s="190">
        <v>250</v>
      </c>
      <c r="AH24" s="69">
        <f t="shared" si="8"/>
        <v>253.3</v>
      </c>
    </row>
    <row r="25" spans="1:34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>
        <v>3311.45</v>
      </c>
      <c r="I25" s="75">
        <v>264916</v>
      </c>
      <c r="J25" s="91" t="s">
        <v>74</v>
      </c>
      <c r="K25" s="73"/>
      <c r="L25" s="46">
        <v>0</v>
      </c>
      <c r="M25" s="46">
        <v>0</v>
      </c>
      <c r="N25" s="46">
        <v>0</v>
      </c>
      <c r="O25" s="98"/>
      <c r="P25" s="23" t="s">
        <v>1395</v>
      </c>
      <c r="Q25" s="24" t="s">
        <v>72</v>
      </c>
      <c r="R25" s="25" t="s">
        <v>73</v>
      </c>
      <c r="S25" s="26">
        <v>80</v>
      </c>
      <c r="T25" s="26"/>
      <c r="U25" s="26">
        <v>3311.45</v>
      </c>
      <c r="V25" s="26">
        <f t="shared" si="3"/>
        <v>0</v>
      </c>
      <c r="W25" s="26">
        <f t="shared" si="4"/>
        <v>0</v>
      </c>
      <c r="X25" s="26">
        <f t="shared" si="1"/>
        <v>0</v>
      </c>
      <c r="Y25" s="26">
        <f t="shared" si="5"/>
        <v>0</v>
      </c>
      <c r="Z25" s="33" t="s">
        <v>15</v>
      </c>
      <c r="AA25" s="36" t="s">
        <v>16</v>
      </c>
      <c r="AB25" s="35">
        <f t="shared" si="6"/>
        <v>80</v>
      </c>
      <c r="AC25" s="35">
        <f t="shared" si="2"/>
        <v>264916</v>
      </c>
      <c r="AD25" s="181">
        <v>1.1000000000000001</v>
      </c>
      <c r="AE25" s="181">
        <v>1.1000000000000001</v>
      </c>
      <c r="AF25" s="101" t="str">
        <f t="shared" si="7"/>
        <v/>
      </c>
      <c r="AG25" s="190">
        <v>0</v>
      </c>
      <c r="AH25" s="69">
        <f t="shared" si="8"/>
        <v>80</v>
      </c>
    </row>
    <row r="26" spans="1:34" s="69" customFormat="1" ht="33" x14ac:dyDescent="0.3">
      <c r="A26" s="55" t="s">
        <v>75</v>
      </c>
      <c r="B26" s="53" t="s">
        <v>76</v>
      </c>
      <c r="C26" s="54" t="s">
        <v>77</v>
      </c>
      <c r="D26" s="75">
        <v>1278</v>
      </c>
      <c r="E26" s="75"/>
      <c r="F26" s="75"/>
      <c r="G26" s="75"/>
      <c r="H26" s="75">
        <v>3082.28</v>
      </c>
      <c r="I26" s="75">
        <v>3939153.84</v>
      </c>
      <c r="J26" s="91" t="s">
        <v>78</v>
      </c>
      <c r="K26" s="73"/>
      <c r="L26" s="46">
        <v>1153</v>
      </c>
      <c r="M26" s="46">
        <v>332886.23999999976</v>
      </c>
      <c r="N26" s="46">
        <v>3553868.84</v>
      </c>
      <c r="O26" s="98"/>
      <c r="P26" s="23" t="s">
        <v>1432</v>
      </c>
      <c r="Q26" s="24" t="s">
        <v>76</v>
      </c>
      <c r="R26" s="25" t="s">
        <v>77</v>
      </c>
      <c r="S26" s="26">
        <v>1278</v>
      </c>
      <c r="T26" s="26"/>
      <c r="U26" s="26">
        <v>3082.28</v>
      </c>
      <c r="V26" s="128">
        <f t="shared" si="3"/>
        <v>0</v>
      </c>
      <c r="W26" s="26">
        <f t="shared" si="4"/>
        <v>1153</v>
      </c>
      <c r="X26" s="26">
        <f t="shared" si="1"/>
        <v>0</v>
      </c>
      <c r="Y26" s="26">
        <f t="shared" si="5"/>
        <v>3553868.84</v>
      </c>
      <c r="Z26" s="33" t="s">
        <v>15</v>
      </c>
      <c r="AA26" s="36" t="s">
        <v>16</v>
      </c>
      <c r="AB26" s="35">
        <f t="shared" si="6"/>
        <v>1278</v>
      </c>
      <c r="AC26" s="35">
        <f t="shared" si="2"/>
        <v>3939153.84</v>
      </c>
      <c r="AD26" s="181">
        <v>1.1000000000000001</v>
      </c>
      <c r="AE26" s="181">
        <v>1.1000000000000001</v>
      </c>
      <c r="AF26" s="101" t="str">
        <f t="shared" si="7"/>
        <v/>
      </c>
      <c r="AG26" s="192">
        <f>1045+108</f>
        <v>1153</v>
      </c>
      <c r="AH26" s="69">
        <f t="shared" si="8"/>
        <v>1278</v>
      </c>
    </row>
    <row r="27" spans="1:34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>
        <v>1200</v>
      </c>
      <c r="I27" s="75">
        <v>36000</v>
      </c>
      <c r="J27" s="91" t="s">
        <v>82</v>
      </c>
      <c r="K27" s="73"/>
      <c r="L27" s="46">
        <v>0</v>
      </c>
      <c r="M27" s="46">
        <v>0</v>
      </c>
      <c r="N27" s="46">
        <v>0</v>
      </c>
      <c r="O27" s="98"/>
      <c r="P27" s="23" t="s">
        <v>1433</v>
      </c>
      <c r="Q27" s="24" t="s">
        <v>80</v>
      </c>
      <c r="R27" s="25" t="s">
        <v>81</v>
      </c>
      <c r="S27" s="26">
        <v>30</v>
      </c>
      <c r="T27" s="26"/>
      <c r="U27" s="26">
        <v>1200</v>
      </c>
      <c r="V27" s="26">
        <f t="shared" si="3"/>
        <v>0</v>
      </c>
      <c r="W27" s="26">
        <f t="shared" si="4"/>
        <v>0</v>
      </c>
      <c r="X27" s="26">
        <f t="shared" si="1"/>
        <v>0</v>
      </c>
      <c r="Y27" s="26">
        <f t="shared" si="5"/>
        <v>0</v>
      </c>
      <c r="Z27" s="33" t="s">
        <v>15</v>
      </c>
      <c r="AA27" s="36" t="s">
        <v>16</v>
      </c>
      <c r="AB27" s="35">
        <f t="shared" si="6"/>
        <v>30</v>
      </c>
      <c r="AC27" s="35">
        <f t="shared" si="2"/>
        <v>36000</v>
      </c>
      <c r="AD27" s="181">
        <v>1.1000000000000001</v>
      </c>
      <c r="AE27" s="181">
        <v>1.1000000000000001</v>
      </c>
      <c r="AF27" s="101" t="str">
        <f t="shared" si="7"/>
        <v/>
      </c>
      <c r="AG27" s="192">
        <v>0</v>
      </c>
      <c r="AH27" s="69">
        <f t="shared" si="8"/>
        <v>30</v>
      </c>
    </row>
    <row r="28" spans="1:34" s="69" customFormat="1" ht="33" x14ac:dyDescent="0.3">
      <c r="A28" s="55" t="s">
        <v>83</v>
      </c>
      <c r="B28" s="53" t="s">
        <v>84</v>
      </c>
      <c r="C28" s="54" t="s">
        <v>81</v>
      </c>
      <c r="D28" s="75">
        <v>12</v>
      </c>
      <c r="E28" s="75"/>
      <c r="F28" s="75"/>
      <c r="G28" s="75"/>
      <c r="H28" s="75">
        <v>3000</v>
      </c>
      <c r="I28" s="75">
        <v>36000</v>
      </c>
      <c r="J28" s="91" t="s">
        <v>85</v>
      </c>
      <c r="K28" s="73"/>
      <c r="L28" s="46">
        <v>12</v>
      </c>
      <c r="M28" s="46">
        <v>0</v>
      </c>
      <c r="N28" s="46">
        <v>36000</v>
      </c>
      <c r="O28" s="98"/>
      <c r="P28" s="23" t="s">
        <v>1382</v>
      </c>
      <c r="Q28" s="24" t="s">
        <v>84</v>
      </c>
      <c r="R28" s="25" t="s">
        <v>81</v>
      </c>
      <c r="S28" s="26">
        <v>12</v>
      </c>
      <c r="T28" s="26"/>
      <c r="U28" s="26">
        <v>3000</v>
      </c>
      <c r="V28" s="127">
        <f t="shared" si="3"/>
        <v>0</v>
      </c>
      <c r="W28" s="127">
        <f t="shared" si="4"/>
        <v>12</v>
      </c>
      <c r="X28" s="127">
        <f t="shared" si="1"/>
        <v>0</v>
      </c>
      <c r="Y28" s="127">
        <f t="shared" si="5"/>
        <v>36000</v>
      </c>
      <c r="Z28" s="33" t="s">
        <v>15</v>
      </c>
      <c r="AA28" s="36" t="s">
        <v>16</v>
      </c>
      <c r="AB28" s="35">
        <f t="shared" si="6"/>
        <v>12</v>
      </c>
      <c r="AC28" s="35">
        <f t="shared" si="2"/>
        <v>36000</v>
      </c>
      <c r="AD28" s="181">
        <v>1.1000000000000001</v>
      </c>
      <c r="AE28" s="181">
        <v>1.1000000000000001</v>
      </c>
      <c r="AF28" s="101" t="str">
        <f t="shared" si="7"/>
        <v/>
      </c>
      <c r="AG28" s="192">
        <v>12</v>
      </c>
      <c r="AH28" s="69">
        <f t="shared" si="8"/>
        <v>12</v>
      </c>
    </row>
    <row r="29" spans="1:34" s="69" customFormat="1" ht="33" x14ac:dyDescent="0.3">
      <c r="A29" s="55" t="s">
        <v>86</v>
      </c>
      <c r="B29" s="53" t="s">
        <v>87</v>
      </c>
      <c r="C29" s="54" t="s">
        <v>81</v>
      </c>
      <c r="D29" s="75">
        <v>20</v>
      </c>
      <c r="E29" s="75"/>
      <c r="F29" s="75"/>
      <c r="G29" s="75"/>
      <c r="H29" s="75">
        <v>3000</v>
      </c>
      <c r="I29" s="75">
        <v>60000</v>
      </c>
      <c r="J29" s="91" t="s">
        <v>88</v>
      </c>
      <c r="K29" s="73"/>
      <c r="L29" s="46">
        <v>20</v>
      </c>
      <c r="M29" s="46">
        <v>0</v>
      </c>
      <c r="N29" s="46">
        <v>60000</v>
      </c>
      <c r="O29" s="98"/>
      <c r="P29" s="23" t="s">
        <v>1434</v>
      </c>
      <c r="Q29" s="24" t="s">
        <v>87</v>
      </c>
      <c r="R29" s="25" t="s">
        <v>81</v>
      </c>
      <c r="S29" s="26">
        <v>20</v>
      </c>
      <c r="T29" s="26"/>
      <c r="U29" s="26">
        <v>3000</v>
      </c>
      <c r="V29" s="127">
        <f t="shared" si="3"/>
        <v>0</v>
      </c>
      <c r="W29" s="127">
        <f t="shared" si="4"/>
        <v>20</v>
      </c>
      <c r="X29" s="127">
        <f t="shared" si="1"/>
        <v>0</v>
      </c>
      <c r="Y29" s="127">
        <f t="shared" si="5"/>
        <v>60000</v>
      </c>
      <c r="Z29" s="33" t="s">
        <v>15</v>
      </c>
      <c r="AA29" s="36" t="s">
        <v>16</v>
      </c>
      <c r="AB29" s="35">
        <f t="shared" si="6"/>
        <v>20</v>
      </c>
      <c r="AC29" s="35">
        <f t="shared" si="2"/>
        <v>60000</v>
      </c>
      <c r="AD29" s="181">
        <v>1.1000000000000001</v>
      </c>
      <c r="AE29" s="181">
        <v>1.1000000000000001</v>
      </c>
      <c r="AF29" s="101" t="str">
        <f t="shared" si="7"/>
        <v/>
      </c>
      <c r="AG29" s="192">
        <v>20</v>
      </c>
      <c r="AH29" s="69">
        <f t="shared" si="8"/>
        <v>20</v>
      </c>
    </row>
    <row r="30" spans="1:34" s="69" customFormat="1" ht="33" x14ac:dyDescent="0.3">
      <c r="A30" s="55" t="s">
        <v>89</v>
      </c>
      <c r="B30" s="53" t="s">
        <v>90</v>
      </c>
      <c r="C30" s="54" t="s">
        <v>81</v>
      </c>
      <c r="D30" s="75">
        <v>19</v>
      </c>
      <c r="E30" s="75"/>
      <c r="F30" s="75"/>
      <c r="G30" s="75"/>
      <c r="H30" s="75">
        <v>3000</v>
      </c>
      <c r="I30" s="75">
        <v>57000</v>
      </c>
      <c r="J30" s="91" t="s">
        <v>91</v>
      </c>
      <c r="K30" s="73"/>
      <c r="L30" s="46">
        <v>1</v>
      </c>
      <c r="M30" s="46">
        <v>0</v>
      </c>
      <c r="N30" s="46">
        <v>3000</v>
      </c>
      <c r="O30" s="98"/>
      <c r="P30" s="23" t="s">
        <v>1388</v>
      </c>
      <c r="Q30" s="24" t="s">
        <v>90</v>
      </c>
      <c r="R30" s="25" t="s">
        <v>81</v>
      </c>
      <c r="S30" s="26">
        <v>19</v>
      </c>
      <c r="T30" s="26"/>
      <c r="U30" s="26">
        <v>3000</v>
      </c>
      <c r="V30" s="26">
        <f t="shared" si="3"/>
        <v>0</v>
      </c>
      <c r="W30" s="26">
        <f t="shared" si="4"/>
        <v>1</v>
      </c>
      <c r="X30" s="26">
        <f t="shared" si="1"/>
        <v>0</v>
      </c>
      <c r="Y30" s="26">
        <f t="shared" si="5"/>
        <v>3000</v>
      </c>
      <c r="Z30" s="33" t="s">
        <v>15</v>
      </c>
      <c r="AA30" s="36" t="s">
        <v>16</v>
      </c>
      <c r="AB30" s="35">
        <f t="shared" si="6"/>
        <v>19</v>
      </c>
      <c r="AC30" s="35">
        <f t="shared" si="2"/>
        <v>57000</v>
      </c>
      <c r="AD30" s="181">
        <v>1.1000000000000001</v>
      </c>
      <c r="AE30" s="181">
        <v>1.1000000000000001</v>
      </c>
      <c r="AF30" s="101" t="str">
        <f t="shared" si="7"/>
        <v/>
      </c>
      <c r="AG30" s="192">
        <v>1</v>
      </c>
      <c r="AH30" s="69">
        <f t="shared" si="8"/>
        <v>19</v>
      </c>
    </row>
    <row r="31" spans="1:34" s="69" customFormat="1" ht="33" x14ac:dyDescent="0.3">
      <c r="A31" s="55" t="s">
        <v>92</v>
      </c>
      <c r="B31" s="53" t="s">
        <v>93</v>
      </c>
      <c r="C31" s="54" t="s">
        <v>14</v>
      </c>
      <c r="D31" s="75">
        <v>1</v>
      </c>
      <c r="E31" s="75"/>
      <c r="F31" s="75"/>
      <c r="G31" s="75"/>
      <c r="H31" s="75">
        <v>400000</v>
      </c>
      <c r="I31" s="75">
        <v>400000</v>
      </c>
      <c r="J31" s="91" t="s">
        <v>94</v>
      </c>
      <c r="K31" s="73"/>
      <c r="L31" s="46">
        <v>0.5</v>
      </c>
      <c r="M31" s="46">
        <v>0</v>
      </c>
      <c r="N31" s="46">
        <v>200000</v>
      </c>
      <c r="O31" s="98"/>
      <c r="P31" s="23" t="s">
        <v>1389</v>
      </c>
      <c r="Q31" s="24" t="s">
        <v>93</v>
      </c>
      <c r="R31" s="25" t="s">
        <v>14</v>
      </c>
      <c r="S31" s="26">
        <v>1</v>
      </c>
      <c r="T31" s="26"/>
      <c r="U31" s="26">
        <v>400000</v>
      </c>
      <c r="V31" s="128">
        <f t="shared" si="3"/>
        <v>0</v>
      </c>
      <c r="W31" s="26">
        <f t="shared" si="4"/>
        <v>0.5</v>
      </c>
      <c r="X31" s="26">
        <f t="shared" si="1"/>
        <v>0</v>
      </c>
      <c r="Y31" s="26">
        <f t="shared" si="5"/>
        <v>200000</v>
      </c>
      <c r="Z31" s="33" t="s">
        <v>15</v>
      </c>
      <c r="AA31" s="36" t="s">
        <v>16</v>
      </c>
      <c r="AB31" s="35">
        <f t="shared" si="6"/>
        <v>1</v>
      </c>
      <c r="AC31" s="35">
        <f t="shared" si="2"/>
        <v>400000</v>
      </c>
      <c r="AD31" s="181">
        <v>1.1000000000000001</v>
      </c>
      <c r="AE31" s="181">
        <v>1.1000000000000001</v>
      </c>
      <c r="AF31" s="101" t="str">
        <f t="shared" si="7"/>
        <v/>
      </c>
      <c r="AG31" s="192">
        <f>0.5</f>
        <v>0.5</v>
      </c>
      <c r="AH31" s="69">
        <f t="shared" si="8"/>
        <v>1</v>
      </c>
    </row>
    <row r="32" spans="1:34" s="69" customFormat="1" ht="39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5">
        <v>280</v>
      </c>
      <c r="I32" s="75">
        <v>8624000</v>
      </c>
      <c r="J32" s="91" t="s">
        <v>98</v>
      </c>
      <c r="K32" s="73"/>
      <c r="L32" s="46">
        <v>9936</v>
      </c>
      <c r="M32" s="46">
        <v>99680</v>
      </c>
      <c r="N32" s="46">
        <v>2782080</v>
      </c>
      <c r="O32" s="98"/>
      <c r="P32" s="23" t="s">
        <v>1390</v>
      </c>
      <c r="Q32" s="24" t="s">
        <v>96</v>
      </c>
      <c r="R32" s="25" t="s">
        <v>97</v>
      </c>
      <c r="S32" s="26">
        <v>30800</v>
      </c>
      <c r="T32" s="26"/>
      <c r="U32" s="26">
        <v>280</v>
      </c>
      <c r="V32" s="128">
        <f t="shared" si="3"/>
        <v>762</v>
      </c>
      <c r="W32" s="26">
        <f t="shared" si="4"/>
        <v>10698</v>
      </c>
      <c r="X32" s="26">
        <f t="shared" si="1"/>
        <v>213360</v>
      </c>
      <c r="Y32" s="26">
        <f t="shared" si="5"/>
        <v>2995440</v>
      </c>
      <c r="Z32" s="33" t="s">
        <v>15</v>
      </c>
      <c r="AA32" s="36" t="s">
        <v>16</v>
      </c>
      <c r="AB32" s="35">
        <f t="shared" si="6"/>
        <v>30800</v>
      </c>
      <c r="AC32" s="35">
        <f t="shared" si="2"/>
        <v>8624000</v>
      </c>
      <c r="AD32" s="181">
        <v>1.1000000000000001</v>
      </c>
      <c r="AE32" s="181">
        <v>1.1000000000000001</v>
      </c>
      <c r="AF32" s="101" t="str">
        <f t="shared" si="7"/>
        <v/>
      </c>
      <c r="AG32" s="193">
        <f>8320+1260+356+762</f>
        <v>10698</v>
      </c>
      <c r="AH32" s="69">
        <f t="shared" si="8"/>
        <v>30800</v>
      </c>
    </row>
    <row r="33" spans="1:34" s="69" customFormat="1" ht="39" x14ac:dyDescent="0.3">
      <c r="A33" s="66" t="s">
        <v>1302</v>
      </c>
      <c r="B33" s="57" t="s">
        <v>1303</v>
      </c>
      <c r="C33" s="58" t="s">
        <v>50</v>
      </c>
      <c r="D33" s="59"/>
      <c r="E33" s="59">
        <v>2405</v>
      </c>
      <c r="F33" s="59"/>
      <c r="G33" s="59"/>
      <c r="H33" s="58">
        <v>70.23</v>
      </c>
      <c r="I33" s="59">
        <v>168903.15</v>
      </c>
      <c r="J33" s="92"/>
      <c r="K33" s="73"/>
      <c r="L33" s="46">
        <v>2405</v>
      </c>
      <c r="M33" s="46">
        <v>0</v>
      </c>
      <c r="N33" s="46">
        <v>168903.15</v>
      </c>
      <c r="O33" s="98"/>
      <c r="P33" s="23" t="s">
        <v>1391</v>
      </c>
      <c r="Q33" s="24" t="s">
        <v>1435</v>
      </c>
      <c r="R33" s="25" t="s">
        <v>50</v>
      </c>
      <c r="S33" s="26">
        <v>0</v>
      </c>
      <c r="T33" s="26">
        <v>2405</v>
      </c>
      <c r="U33" s="26">
        <v>70.23</v>
      </c>
      <c r="V33" s="127">
        <f t="shared" si="3"/>
        <v>0</v>
      </c>
      <c r="W33" s="127">
        <f t="shared" si="4"/>
        <v>2405</v>
      </c>
      <c r="X33" s="127">
        <f t="shared" si="1"/>
        <v>0</v>
      </c>
      <c r="Y33" s="127">
        <f t="shared" si="5"/>
        <v>168903.15</v>
      </c>
      <c r="Z33" s="27" t="s">
        <v>15</v>
      </c>
      <c r="AA33" s="36" t="s">
        <v>16</v>
      </c>
      <c r="AB33" s="35">
        <f t="shared" si="6"/>
        <v>2405</v>
      </c>
      <c r="AC33" s="35">
        <f t="shared" si="2"/>
        <v>168903.15</v>
      </c>
      <c r="AD33" s="181">
        <v>1.1000000000000001</v>
      </c>
      <c r="AE33" s="181">
        <v>1.1000000000000001</v>
      </c>
      <c r="AF33" s="101" t="str">
        <f t="shared" si="7"/>
        <v/>
      </c>
      <c r="AG33" s="190">
        <v>2405</v>
      </c>
      <c r="AH33" s="69">
        <f t="shared" si="8"/>
        <v>2405</v>
      </c>
    </row>
    <row r="34" spans="1:34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1">
        <v>20000</v>
      </c>
      <c r="I34" s="62">
        <v>3000000</v>
      </c>
      <c r="J34" s="93"/>
      <c r="L34" s="46">
        <v>106</v>
      </c>
      <c r="M34" s="46">
        <v>120000</v>
      </c>
      <c r="N34" s="46">
        <v>2120000</v>
      </c>
      <c r="O34" s="98"/>
      <c r="P34" s="23" t="s">
        <v>1436</v>
      </c>
      <c r="Q34" s="24" t="s">
        <v>1437</v>
      </c>
      <c r="R34" s="25" t="s">
        <v>1358</v>
      </c>
      <c r="S34" s="26">
        <v>0</v>
      </c>
      <c r="T34" s="26">
        <v>150</v>
      </c>
      <c r="U34" s="26">
        <v>20000</v>
      </c>
      <c r="V34" s="128">
        <f t="shared" si="3"/>
        <v>7</v>
      </c>
      <c r="W34" s="26">
        <f t="shared" si="4"/>
        <v>113</v>
      </c>
      <c r="X34" s="26">
        <f t="shared" si="1"/>
        <v>140000</v>
      </c>
      <c r="Y34" s="26">
        <f t="shared" si="5"/>
        <v>2260000</v>
      </c>
      <c r="Z34" s="27"/>
      <c r="AA34" s="36" t="s">
        <v>16</v>
      </c>
      <c r="AB34" s="35">
        <f t="shared" si="6"/>
        <v>150</v>
      </c>
      <c r="AC34" s="35">
        <f t="shared" si="2"/>
        <v>3000000</v>
      </c>
      <c r="AD34" s="181">
        <v>1.1000000000000001</v>
      </c>
      <c r="AE34" s="181">
        <v>1.1000000000000001</v>
      </c>
      <c r="AF34" s="101" t="str">
        <f t="shared" si="7"/>
        <v/>
      </c>
      <c r="AG34" s="193">
        <f>100+6+7</f>
        <v>113</v>
      </c>
      <c r="AH34" s="69">
        <f t="shared" si="8"/>
        <v>150</v>
      </c>
    </row>
    <row r="35" spans="1:34" ht="42" customHeight="1" x14ac:dyDescent="0.3">
      <c r="A35" s="67" t="s">
        <v>1306</v>
      </c>
      <c r="B35" s="60" t="s">
        <v>1307</v>
      </c>
      <c r="C35" s="61" t="s">
        <v>50</v>
      </c>
      <c r="D35" s="62"/>
      <c r="E35" s="63"/>
      <c r="F35" s="62">
        <v>138.05000000000001</v>
      </c>
      <c r="G35" s="62"/>
      <c r="H35" s="61">
        <v>165.22</v>
      </c>
      <c r="I35" s="62">
        <v>22808.62</v>
      </c>
      <c r="J35" s="93"/>
      <c r="L35" s="46">
        <v>138.05000000000001</v>
      </c>
      <c r="M35" s="46">
        <v>0</v>
      </c>
      <c r="N35" s="46">
        <v>22808.62</v>
      </c>
      <c r="O35" s="98"/>
      <c r="P35" s="23" t="s">
        <v>1374</v>
      </c>
      <c r="Q35" s="24" t="s">
        <v>1375</v>
      </c>
      <c r="R35" s="25" t="s">
        <v>50</v>
      </c>
      <c r="S35" s="26">
        <v>0</v>
      </c>
      <c r="T35" s="26">
        <v>138.05000000000001</v>
      </c>
      <c r="U35" s="26">
        <v>165.22</v>
      </c>
      <c r="V35" s="127">
        <f t="shared" si="3"/>
        <v>0</v>
      </c>
      <c r="W35" s="127">
        <f t="shared" si="4"/>
        <v>138.05000000000001</v>
      </c>
      <c r="X35" s="127">
        <f t="shared" si="1"/>
        <v>0</v>
      </c>
      <c r="Y35" s="127">
        <f t="shared" si="5"/>
        <v>22808.62</v>
      </c>
      <c r="Z35" s="27"/>
      <c r="AA35" s="36" t="s">
        <v>16</v>
      </c>
      <c r="AB35" s="35">
        <f t="shared" si="6"/>
        <v>138.05000000000001</v>
      </c>
      <c r="AC35" s="35">
        <f t="shared" si="2"/>
        <v>22808.62</v>
      </c>
      <c r="AD35" s="181">
        <v>1.1000000000000001</v>
      </c>
      <c r="AE35" s="181">
        <v>1.1000000000000001</v>
      </c>
      <c r="AF35" s="101" t="str">
        <f t="shared" si="7"/>
        <v/>
      </c>
      <c r="AG35" s="190">
        <v>138.05000000000001</v>
      </c>
      <c r="AH35" s="69">
        <f t="shared" si="8"/>
        <v>138.05000000000001</v>
      </c>
    </row>
    <row r="36" spans="1:34" ht="39" x14ac:dyDescent="0.3">
      <c r="A36" s="67" t="s">
        <v>1308</v>
      </c>
      <c r="B36" s="60" t="s">
        <v>1309</v>
      </c>
      <c r="C36" s="61" t="s">
        <v>34</v>
      </c>
      <c r="D36" s="62"/>
      <c r="E36" s="63"/>
      <c r="F36" s="62">
        <v>2000</v>
      </c>
      <c r="G36" s="62"/>
      <c r="H36" s="61">
        <v>100</v>
      </c>
      <c r="I36" s="62">
        <v>200000</v>
      </c>
      <c r="J36" s="93"/>
      <c r="L36" s="46">
        <v>2000</v>
      </c>
      <c r="M36" s="46">
        <v>0</v>
      </c>
      <c r="N36" s="46">
        <v>200000</v>
      </c>
      <c r="O36" s="98"/>
      <c r="P36" s="23" t="s">
        <v>1376</v>
      </c>
      <c r="Q36" s="24" t="s">
        <v>1377</v>
      </c>
      <c r="R36" s="25" t="s">
        <v>34</v>
      </c>
      <c r="S36" s="26">
        <v>0</v>
      </c>
      <c r="T36" s="26">
        <v>2000</v>
      </c>
      <c r="U36" s="26">
        <v>100</v>
      </c>
      <c r="V36" s="127">
        <f t="shared" si="3"/>
        <v>0</v>
      </c>
      <c r="W36" s="127">
        <f t="shared" si="4"/>
        <v>2000</v>
      </c>
      <c r="X36" s="127">
        <f t="shared" si="1"/>
        <v>0</v>
      </c>
      <c r="Y36" s="127">
        <f t="shared" si="5"/>
        <v>200000</v>
      </c>
      <c r="Z36" s="27"/>
      <c r="AA36" s="36" t="s">
        <v>16</v>
      </c>
      <c r="AB36" s="35">
        <f t="shared" si="6"/>
        <v>2000</v>
      </c>
      <c r="AC36" s="35">
        <f t="shared" si="2"/>
        <v>200000</v>
      </c>
      <c r="AD36" s="181">
        <v>1.1000000000000001</v>
      </c>
      <c r="AE36" s="181">
        <v>1.1000000000000001</v>
      </c>
      <c r="AF36" s="101" t="str">
        <f t="shared" si="7"/>
        <v/>
      </c>
      <c r="AG36" s="190">
        <v>2000</v>
      </c>
      <c r="AH36" s="69">
        <f t="shared" si="8"/>
        <v>2000</v>
      </c>
    </row>
    <row r="37" spans="1:34" ht="33" x14ac:dyDescent="0.3">
      <c r="A37" s="67" t="s">
        <v>1310</v>
      </c>
      <c r="B37" s="60" t="s">
        <v>1311</v>
      </c>
      <c r="C37" s="61" t="s">
        <v>50</v>
      </c>
      <c r="D37" s="62"/>
      <c r="E37" s="63"/>
      <c r="F37" s="62">
        <v>3324.02</v>
      </c>
      <c r="G37" s="62"/>
      <c r="H37" s="61">
        <v>33.35</v>
      </c>
      <c r="I37" s="62">
        <v>110856.07</v>
      </c>
      <c r="J37" s="93"/>
      <c r="L37" s="46">
        <v>3324.02</v>
      </c>
      <c r="M37" s="46">
        <v>0</v>
      </c>
      <c r="N37" s="46">
        <v>110856.07</v>
      </c>
      <c r="O37" s="98"/>
      <c r="P37" s="23" t="s">
        <v>1378</v>
      </c>
      <c r="Q37" s="24" t="s">
        <v>1379</v>
      </c>
      <c r="R37" s="25" t="s">
        <v>50</v>
      </c>
      <c r="S37" s="26">
        <v>0</v>
      </c>
      <c r="T37" s="26">
        <v>3324.02</v>
      </c>
      <c r="U37" s="26">
        <v>33.35</v>
      </c>
      <c r="V37" s="127">
        <f t="shared" si="3"/>
        <v>0</v>
      </c>
      <c r="W37" s="127">
        <f t="shared" si="4"/>
        <v>3324.02</v>
      </c>
      <c r="X37" s="127">
        <f t="shared" si="1"/>
        <v>0</v>
      </c>
      <c r="Y37" s="127">
        <f t="shared" si="5"/>
        <v>110856.07</v>
      </c>
      <c r="Z37" s="27"/>
      <c r="AA37" s="36" t="s">
        <v>16</v>
      </c>
      <c r="AB37" s="35">
        <f t="shared" si="6"/>
        <v>3324.02</v>
      </c>
      <c r="AC37" s="35">
        <f t="shared" si="2"/>
        <v>110856.07</v>
      </c>
      <c r="AD37" s="181">
        <v>1.1000000000000001</v>
      </c>
      <c r="AE37" s="181">
        <v>1.1000000000000001</v>
      </c>
      <c r="AF37" s="101" t="str">
        <f t="shared" si="7"/>
        <v/>
      </c>
      <c r="AG37" s="190">
        <v>3324.02</v>
      </c>
      <c r="AH37" s="69">
        <f t="shared" si="8"/>
        <v>3324.02</v>
      </c>
    </row>
    <row r="38" spans="1:34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2"/>
      <c r="I38" s="82">
        <v>42752872.340000004</v>
      </c>
      <c r="J38" s="94" t="s">
        <v>15</v>
      </c>
      <c r="K38" s="73"/>
      <c r="L38" s="45">
        <v>1</v>
      </c>
      <c r="M38" s="45">
        <v>0</v>
      </c>
      <c r="N38" s="45">
        <v>177728.93000000002</v>
      </c>
      <c r="O38" s="98"/>
      <c r="P38" s="18" t="s">
        <v>1380</v>
      </c>
      <c r="Q38" s="19" t="s">
        <v>100</v>
      </c>
      <c r="R38" s="20" t="s">
        <v>14</v>
      </c>
      <c r="S38" s="21">
        <v>1</v>
      </c>
      <c r="T38" s="21"/>
      <c r="U38" s="21">
        <f>SUMIFS(AC:AC,AD:AD,AD38)</f>
        <v>42752872.340000033</v>
      </c>
      <c r="V38" s="21">
        <f t="shared" ref="V38:W38" si="9">IF(X38=0,0,1)</f>
        <v>0</v>
      </c>
      <c r="W38" s="21">
        <f t="shared" si="9"/>
        <v>1</v>
      </c>
      <c r="X38" s="21">
        <f>SUMIFS(X:X,AE:AE,AD38)</f>
        <v>0</v>
      </c>
      <c r="Y38" s="21">
        <f>SUMIFS(Y:Y,AE:AE,AD38)</f>
        <v>177728.93000000002</v>
      </c>
      <c r="Z38" s="22" t="s">
        <v>15</v>
      </c>
      <c r="AA38" s="43" t="s">
        <v>16</v>
      </c>
      <c r="AB38" s="35">
        <f t="shared" si="6"/>
        <v>1</v>
      </c>
      <c r="AC38" s="44"/>
      <c r="AD38" s="181">
        <v>1.2</v>
      </c>
      <c r="AE38" s="181"/>
      <c r="AF38" s="101" t="str">
        <f t="shared" si="7"/>
        <v/>
      </c>
      <c r="AG38" s="190">
        <v>1</v>
      </c>
      <c r="AH38" s="69">
        <f t="shared" si="8"/>
        <v>1</v>
      </c>
    </row>
    <row r="39" spans="1:34" s="69" customFormat="1" ht="39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>
        <v>320.74</v>
      </c>
      <c r="I39" s="75">
        <v>753030.16</v>
      </c>
      <c r="J39" s="91" t="s">
        <v>104</v>
      </c>
      <c r="K39" s="73"/>
      <c r="L39" s="46">
        <v>0</v>
      </c>
      <c r="M39" s="46">
        <v>0</v>
      </c>
      <c r="N39" s="46">
        <v>0</v>
      </c>
      <c r="O39" s="98"/>
      <c r="P39" s="23" t="s">
        <v>1421</v>
      </c>
      <c r="Q39" s="24" t="s">
        <v>102</v>
      </c>
      <c r="R39" s="25" t="s">
        <v>103</v>
      </c>
      <c r="S39" s="26">
        <v>2347.79</v>
      </c>
      <c r="T39" s="26"/>
      <c r="U39" s="26">
        <f t="shared" ref="U39:U74" si="10">H39</f>
        <v>320.74</v>
      </c>
      <c r="V39" s="26">
        <f t="shared" si="3"/>
        <v>0</v>
      </c>
      <c r="W39" s="26">
        <f t="shared" si="4"/>
        <v>0</v>
      </c>
      <c r="X39" s="26">
        <f t="shared" ref="X39:X70" si="11">Y39-N39</f>
        <v>0</v>
      </c>
      <c r="Y39" s="26">
        <f t="shared" si="5"/>
        <v>0</v>
      </c>
      <c r="Z39" s="33" t="s">
        <v>15</v>
      </c>
      <c r="AA39" s="36" t="s">
        <v>16</v>
      </c>
      <c r="AB39" s="35">
        <f t="shared" si="6"/>
        <v>2347.79</v>
      </c>
      <c r="AC39" s="35">
        <f>ROUND(U39*AB39,2)</f>
        <v>753030.16</v>
      </c>
      <c r="AD39" s="181">
        <v>1.2</v>
      </c>
      <c r="AE39" s="181">
        <v>1.2</v>
      </c>
      <c r="AF39" s="101" t="str">
        <f t="shared" si="7"/>
        <v/>
      </c>
      <c r="AG39" s="190">
        <v>0</v>
      </c>
      <c r="AH39" s="69">
        <f t="shared" si="8"/>
        <v>2347.79</v>
      </c>
    </row>
    <row r="40" spans="1:34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>
        <v>346.08</v>
      </c>
      <c r="I40" s="75">
        <v>261553.42</v>
      </c>
      <c r="J40" s="91" t="s">
        <v>107</v>
      </c>
      <c r="K40" s="73"/>
      <c r="L40" s="46">
        <v>0</v>
      </c>
      <c r="M40" s="46">
        <v>0</v>
      </c>
      <c r="N40" s="46">
        <v>0</v>
      </c>
      <c r="O40" s="98"/>
      <c r="P40" s="23" t="s">
        <v>1426</v>
      </c>
      <c r="Q40" s="24" t="s">
        <v>106</v>
      </c>
      <c r="R40" s="25" t="s">
        <v>103</v>
      </c>
      <c r="S40" s="26">
        <v>755.76</v>
      </c>
      <c r="T40" s="26"/>
      <c r="U40" s="26">
        <f t="shared" si="10"/>
        <v>346.08</v>
      </c>
      <c r="V40" s="26">
        <f t="shared" si="3"/>
        <v>0</v>
      </c>
      <c r="W40" s="26">
        <f t="shared" si="4"/>
        <v>0</v>
      </c>
      <c r="X40" s="26">
        <f t="shared" si="11"/>
        <v>0</v>
      </c>
      <c r="Y40" s="26">
        <f t="shared" si="5"/>
        <v>0</v>
      </c>
      <c r="Z40" s="33" t="s">
        <v>15</v>
      </c>
      <c r="AA40" s="36" t="s">
        <v>16</v>
      </c>
      <c r="AB40" s="35">
        <f t="shared" si="6"/>
        <v>755.76</v>
      </c>
      <c r="AC40" s="35">
        <f t="shared" ref="AC40:AC103" si="12">ROUND(U40*AB40,2)</f>
        <v>261553.42</v>
      </c>
      <c r="AD40" s="181">
        <v>1.2</v>
      </c>
      <c r="AE40" s="181">
        <v>1.2</v>
      </c>
      <c r="AF40" s="101" t="str">
        <f t="shared" si="7"/>
        <v/>
      </c>
      <c r="AG40" s="190">
        <v>0</v>
      </c>
      <c r="AH40" s="69">
        <f t="shared" si="8"/>
        <v>755.76</v>
      </c>
    </row>
    <row r="41" spans="1:34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>
        <v>36.4</v>
      </c>
      <c r="I41" s="75">
        <v>1355298.67</v>
      </c>
      <c r="J41" s="91" t="s">
        <v>111</v>
      </c>
      <c r="K41" s="73"/>
      <c r="L41" s="46">
        <v>0</v>
      </c>
      <c r="M41" s="46">
        <v>0</v>
      </c>
      <c r="N41" s="46">
        <v>0</v>
      </c>
      <c r="O41" s="98"/>
      <c r="P41" s="23" t="s">
        <v>1402</v>
      </c>
      <c r="Q41" s="24" t="s">
        <v>109</v>
      </c>
      <c r="R41" s="25" t="s">
        <v>110</v>
      </c>
      <c r="S41" s="26">
        <v>37233.480000000003</v>
      </c>
      <c r="T41" s="26"/>
      <c r="U41" s="26">
        <f t="shared" si="10"/>
        <v>36.4</v>
      </c>
      <c r="V41" s="26">
        <f t="shared" si="3"/>
        <v>0</v>
      </c>
      <c r="W41" s="26">
        <f t="shared" si="4"/>
        <v>0</v>
      </c>
      <c r="X41" s="26">
        <f t="shared" si="11"/>
        <v>0</v>
      </c>
      <c r="Y41" s="26">
        <f t="shared" si="5"/>
        <v>0</v>
      </c>
      <c r="Z41" s="33" t="s">
        <v>15</v>
      </c>
      <c r="AA41" s="36" t="s">
        <v>16</v>
      </c>
      <c r="AB41" s="35">
        <f t="shared" si="6"/>
        <v>37233.480000000003</v>
      </c>
      <c r="AC41" s="35">
        <f t="shared" si="12"/>
        <v>1355298.67</v>
      </c>
      <c r="AD41" s="181">
        <v>1.2</v>
      </c>
      <c r="AE41" s="181">
        <v>1.2</v>
      </c>
      <c r="AF41" s="101" t="str">
        <f t="shared" si="7"/>
        <v/>
      </c>
      <c r="AG41" s="190">
        <v>0</v>
      </c>
      <c r="AH41" s="69">
        <f t="shared" si="8"/>
        <v>37233.480000000003</v>
      </c>
    </row>
    <row r="42" spans="1:34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>
        <v>3115.13</v>
      </c>
      <c r="I42" s="75">
        <v>918901.05</v>
      </c>
      <c r="J42" s="91" t="s">
        <v>114</v>
      </c>
      <c r="K42" s="73"/>
      <c r="L42" s="46">
        <v>0</v>
      </c>
      <c r="M42" s="46">
        <v>0</v>
      </c>
      <c r="N42" s="46">
        <v>0</v>
      </c>
      <c r="O42" s="98"/>
      <c r="P42" s="23" t="s">
        <v>1373</v>
      </c>
      <c r="Q42" s="24" t="s">
        <v>392</v>
      </c>
      <c r="R42" s="25" t="s">
        <v>23</v>
      </c>
      <c r="S42" s="26">
        <v>294.98</v>
      </c>
      <c r="T42" s="26"/>
      <c r="U42" s="26">
        <f t="shared" si="10"/>
        <v>3115.13</v>
      </c>
      <c r="V42" s="26">
        <f t="shared" si="3"/>
        <v>0</v>
      </c>
      <c r="W42" s="26">
        <f t="shared" si="4"/>
        <v>0</v>
      </c>
      <c r="X42" s="26">
        <f t="shared" si="11"/>
        <v>0</v>
      </c>
      <c r="Y42" s="26">
        <f t="shared" si="5"/>
        <v>0</v>
      </c>
      <c r="Z42" s="33" t="s">
        <v>15</v>
      </c>
      <c r="AA42" s="36" t="s">
        <v>16</v>
      </c>
      <c r="AB42" s="35">
        <f t="shared" si="6"/>
        <v>294.98</v>
      </c>
      <c r="AC42" s="35">
        <f t="shared" si="12"/>
        <v>918901.05</v>
      </c>
      <c r="AD42" s="181">
        <v>1.2</v>
      </c>
      <c r="AE42" s="181">
        <v>1.2</v>
      </c>
      <c r="AF42" s="101" t="str">
        <f t="shared" si="7"/>
        <v/>
      </c>
      <c r="AG42" s="190">
        <v>0</v>
      </c>
      <c r="AH42" s="69">
        <f t="shared" si="8"/>
        <v>294.98</v>
      </c>
    </row>
    <row r="43" spans="1:34" s="69" customFormat="1" ht="39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>
        <v>3321.13</v>
      </c>
      <c r="I43" s="75">
        <v>2811934.35</v>
      </c>
      <c r="J43" s="91" t="s">
        <v>117</v>
      </c>
      <c r="K43" s="73"/>
      <c r="L43" s="46">
        <v>0</v>
      </c>
      <c r="M43" s="46">
        <v>0</v>
      </c>
      <c r="N43" s="46">
        <v>0</v>
      </c>
      <c r="O43" s="98"/>
      <c r="P43" s="23" t="s">
        <v>1393</v>
      </c>
      <c r="Q43" s="24" t="s">
        <v>116</v>
      </c>
      <c r="R43" s="25" t="s">
        <v>23</v>
      </c>
      <c r="S43" s="26">
        <v>846.68</v>
      </c>
      <c r="T43" s="26"/>
      <c r="U43" s="26">
        <f t="shared" si="10"/>
        <v>3321.13</v>
      </c>
      <c r="V43" s="26">
        <f t="shared" si="3"/>
        <v>0</v>
      </c>
      <c r="W43" s="26">
        <f t="shared" si="4"/>
        <v>0</v>
      </c>
      <c r="X43" s="26">
        <f t="shared" si="11"/>
        <v>0</v>
      </c>
      <c r="Y43" s="26">
        <f t="shared" si="5"/>
        <v>0</v>
      </c>
      <c r="Z43" s="33" t="s">
        <v>15</v>
      </c>
      <c r="AA43" s="36" t="s">
        <v>16</v>
      </c>
      <c r="AB43" s="35">
        <f t="shared" si="6"/>
        <v>846.68</v>
      </c>
      <c r="AC43" s="35">
        <f t="shared" si="12"/>
        <v>2811934.35</v>
      </c>
      <c r="AD43" s="181">
        <v>1.2</v>
      </c>
      <c r="AE43" s="181">
        <v>1.2</v>
      </c>
      <c r="AF43" s="101" t="str">
        <f t="shared" si="7"/>
        <v/>
      </c>
      <c r="AG43" s="190">
        <v>0</v>
      </c>
      <c r="AH43" s="69">
        <f t="shared" si="8"/>
        <v>846.68</v>
      </c>
    </row>
    <row r="44" spans="1:34" s="69" customFormat="1" ht="41.25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>
        <v>533.64</v>
      </c>
      <c r="I44" s="75">
        <v>1273974.78</v>
      </c>
      <c r="J44" s="91" t="s">
        <v>120</v>
      </c>
      <c r="K44" s="73"/>
      <c r="L44" s="46">
        <v>0</v>
      </c>
      <c r="M44" s="46">
        <v>0</v>
      </c>
      <c r="N44" s="46">
        <v>0</v>
      </c>
      <c r="O44" s="98"/>
      <c r="P44" s="23" t="s">
        <v>1403</v>
      </c>
      <c r="Q44" s="24" t="s">
        <v>119</v>
      </c>
      <c r="R44" s="25" t="s">
        <v>50</v>
      </c>
      <c r="S44" s="26">
        <v>2387.33</v>
      </c>
      <c r="T44" s="26"/>
      <c r="U44" s="26">
        <f t="shared" si="10"/>
        <v>533.64</v>
      </c>
      <c r="V44" s="26">
        <f t="shared" si="3"/>
        <v>0</v>
      </c>
      <c r="W44" s="26">
        <f t="shared" si="4"/>
        <v>0</v>
      </c>
      <c r="X44" s="26">
        <f t="shared" si="11"/>
        <v>0</v>
      </c>
      <c r="Y44" s="26">
        <f t="shared" si="5"/>
        <v>0</v>
      </c>
      <c r="Z44" s="33" t="s">
        <v>15</v>
      </c>
      <c r="AA44" s="36" t="s">
        <v>16</v>
      </c>
      <c r="AB44" s="35">
        <f t="shared" si="6"/>
        <v>2387.33</v>
      </c>
      <c r="AC44" s="35">
        <f t="shared" si="12"/>
        <v>1273974.78</v>
      </c>
      <c r="AD44" s="181">
        <v>1.2</v>
      </c>
      <c r="AE44" s="181">
        <v>1.2</v>
      </c>
      <c r="AF44" s="101" t="str">
        <f t="shared" si="7"/>
        <v/>
      </c>
      <c r="AG44" s="190">
        <v>0</v>
      </c>
      <c r="AH44" s="69">
        <f t="shared" si="8"/>
        <v>2387.33</v>
      </c>
    </row>
    <row r="45" spans="1:34" s="69" customFormat="1" ht="33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>
        <v>1299.8900000000001</v>
      </c>
      <c r="I45" s="75">
        <v>1770710.16</v>
      </c>
      <c r="J45" s="91" t="s">
        <v>123</v>
      </c>
      <c r="K45" s="73"/>
      <c r="L45" s="46">
        <v>0</v>
      </c>
      <c r="M45" s="46">
        <v>0</v>
      </c>
      <c r="N45" s="46">
        <v>0</v>
      </c>
      <c r="O45" s="98"/>
      <c r="P45" s="23" t="s">
        <v>1427</v>
      </c>
      <c r="Q45" s="24" t="s">
        <v>122</v>
      </c>
      <c r="R45" s="25" t="s">
        <v>50</v>
      </c>
      <c r="S45" s="26">
        <v>1362.2</v>
      </c>
      <c r="T45" s="26"/>
      <c r="U45" s="26">
        <f t="shared" si="10"/>
        <v>1299.8900000000001</v>
      </c>
      <c r="V45" s="26">
        <f t="shared" si="3"/>
        <v>0</v>
      </c>
      <c r="W45" s="26">
        <f t="shared" si="4"/>
        <v>0</v>
      </c>
      <c r="X45" s="26">
        <f t="shared" si="11"/>
        <v>0</v>
      </c>
      <c r="Y45" s="26">
        <f t="shared" si="5"/>
        <v>0</v>
      </c>
      <c r="Z45" s="33" t="s">
        <v>15</v>
      </c>
      <c r="AA45" s="36" t="s">
        <v>16</v>
      </c>
      <c r="AB45" s="35">
        <f t="shared" si="6"/>
        <v>1362.2</v>
      </c>
      <c r="AC45" s="35">
        <f t="shared" si="12"/>
        <v>1770710.16</v>
      </c>
      <c r="AD45" s="181">
        <v>1.2</v>
      </c>
      <c r="AE45" s="181">
        <v>1.2</v>
      </c>
      <c r="AF45" s="101" t="str">
        <f t="shared" si="7"/>
        <v/>
      </c>
      <c r="AG45" s="190">
        <v>0</v>
      </c>
      <c r="AH45" s="69">
        <f t="shared" si="8"/>
        <v>1362.2</v>
      </c>
    </row>
    <row r="46" spans="1:34" s="69" customFormat="1" ht="33" x14ac:dyDescent="0.3">
      <c r="A46" s="55" t="s">
        <v>124</v>
      </c>
      <c r="B46" s="53" t="s">
        <v>125</v>
      </c>
      <c r="C46" s="54" t="s">
        <v>110</v>
      </c>
      <c r="D46" s="75">
        <v>4781.5600000000004</v>
      </c>
      <c r="E46" s="75"/>
      <c r="F46" s="75"/>
      <c r="G46" s="75"/>
      <c r="H46" s="75">
        <v>60</v>
      </c>
      <c r="I46" s="75">
        <v>286893.59999999998</v>
      </c>
      <c r="J46" s="91" t="s">
        <v>126</v>
      </c>
      <c r="K46" s="73"/>
      <c r="L46" s="46">
        <v>0</v>
      </c>
      <c r="M46" s="46">
        <v>0</v>
      </c>
      <c r="N46" s="46">
        <v>0</v>
      </c>
      <c r="O46" s="98"/>
      <c r="P46" s="23" t="s">
        <v>1428</v>
      </c>
      <c r="Q46" s="24" t="s">
        <v>125</v>
      </c>
      <c r="R46" s="25" t="s">
        <v>110</v>
      </c>
      <c r="S46" s="26">
        <v>4781.5600000000004</v>
      </c>
      <c r="T46" s="26"/>
      <c r="U46" s="26">
        <f t="shared" si="10"/>
        <v>60</v>
      </c>
      <c r="V46" s="26">
        <f t="shared" si="3"/>
        <v>0</v>
      </c>
      <c r="W46" s="26">
        <f t="shared" si="4"/>
        <v>0</v>
      </c>
      <c r="X46" s="26">
        <f t="shared" si="11"/>
        <v>0</v>
      </c>
      <c r="Y46" s="26">
        <f t="shared" si="5"/>
        <v>0</v>
      </c>
      <c r="Z46" s="33" t="s">
        <v>15</v>
      </c>
      <c r="AA46" s="36" t="s">
        <v>16</v>
      </c>
      <c r="AB46" s="35">
        <f t="shared" si="6"/>
        <v>4781.5600000000004</v>
      </c>
      <c r="AC46" s="35">
        <f t="shared" si="12"/>
        <v>286893.59999999998</v>
      </c>
      <c r="AD46" s="181">
        <v>1.2</v>
      </c>
      <c r="AE46" s="181">
        <v>1.2</v>
      </c>
      <c r="AF46" s="101" t="str">
        <f t="shared" si="7"/>
        <v/>
      </c>
      <c r="AG46" s="190">
        <v>0</v>
      </c>
      <c r="AH46" s="69">
        <f t="shared" si="8"/>
        <v>4781.5600000000004</v>
      </c>
    </row>
    <row r="47" spans="1:34" s="69" customFormat="1" ht="39" x14ac:dyDescent="0.3">
      <c r="A47" s="55" t="s">
        <v>127</v>
      </c>
      <c r="B47" s="53" t="s">
        <v>128</v>
      </c>
      <c r="C47" s="54" t="s">
        <v>110</v>
      </c>
      <c r="D47" s="75">
        <v>4781.5600000000004</v>
      </c>
      <c r="E47" s="75"/>
      <c r="F47" s="75"/>
      <c r="G47" s="75"/>
      <c r="H47" s="75">
        <v>31.9</v>
      </c>
      <c r="I47" s="75">
        <v>152531.76</v>
      </c>
      <c r="J47" s="91" t="s">
        <v>129</v>
      </c>
      <c r="K47" s="73"/>
      <c r="L47" s="46">
        <v>0</v>
      </c>
      <c r="M47" s="46">
        <v>0</v>
      </c>
      <c r="N47" s="46">
        <v>0</v>
      </c>
      <c r="O47" s="98"/>
      <c r="P47" s="23" t="s">
        <v>1387</v>
      </c>
      <c r="Q47" s="24" t="s">
        <v>128</v>
      </c>
      <c r="R47" s="25" t="s">
        <v>110</v>
      </c>
      <c r="S47" s="26">
        <v>4781.5600000000004</v>
      </c>
      <c r="T47" s="26"/>
      <c r="U47" s="26">
        <f t="shared" si="10"/>
        <v>31.9</v>
      </c>
      <c r="V47" s="26">
        <f t="shared" si="3"/>
        <v>0</v>
      </c>
      <c r="W47" s="26">
        <f t="shared" si="4"/>
        <v>0</v>
      </c>
      <c r="X47" s="26">
        <f t="shared" si="11"/>
        <v>0</v>
      </c>
      <c r="Y47" s="26">
        <f t="shared" si="5"/>
        <v>0</v>
      </c>
      <c r="Z47" s="33" t="s">
        <v>15</v>
      </c>
      <c r="AA47" s="36" t="s">
        <v>16</v>
      </c>
      <c r="AB47" s="35">
        <f t="shared" si="6"/>
        <v>4781.5600000000004</v>
      </c>
      <c r="AC47" s="35">
        <f t="shared" si="12"/>
        <v>152531.76</v>
      </c>
      <c r="AD47" s="181">
        <v>1.2</v>
      </c>
      <c r="AE47" s="181">
        <v>1.2</v>
      </c>
      <c r="AF47" s="101" t="str">
        <f t="shared" si="7"/>
        <v/>
      </c>
      <c r="AG47" s="190">
        <v>0</v>
      </c>
      <c r="AH47" s="69">
        <f t="shared" si="8"/>
        <v>4781.5600000000004</v>
      </c>
    </row>
    <row r="48" spans="1:34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>
        <v>107.31</v>
      </c>
      <c r="I48" s="75">
        <v>246905.29</v>
      </c>
      <c r="J48" s="91" t="s">
        <v>132</v>
      </c>
      <c r="K48" s="73"/>
      <c r="L48" s="46">
        <v>0</v>
      </c>
      <c r="M48" s="46">
        <v>0</v>
      </c>
      <c r="N48" s="46">
        <v>0</v>
      </c>
      <c r="O48" s="98"/>
      <c r="P48" s="23" t="s">
        <v>1405</v>
      </c>
      <c r="Q48" s="24" t="s">
        <v>131</v>
      </c>
      <c r="R48" s="25" t="s">
        <v>110</v>
      </c>
      <c r="S48" s="26">
        <v>2300.86</v>
      </c>
      <c r="T48" s="26"/>
      <c r="U48" s="26">
        <f t="shared" si="10"/>
        <v>107.31</v>
      </c>
      <c r="V48" s="26">
        <f t="shared" si="3"/>
        <v>0</v>
      </c>
      <c r="W48" s="26">
        <f t="shared" si="4"/>
        <v>0</v>
      </c>
      <c r="X48" s="26">
        <f t="shared" si="11"/>
        <v>0</v>
      </c>
      <c r="Y48" s="26">
        <f t="shared" si="5"/>
        <v>0</v>
      </c>
      <c r="Z48" s="33" t="s">
        <v>15</v>
      </c>
      <c r="AA48" s="36" t="s">
        <v>16</v>
      </c>
      <c r="AB48" s="35">
        <f t="shared" si="6"/>
        <v>2300.86</v>
      </c>
      <c r="AC48" s="35">
        <f t="shared" si="12"/>
        <v>246905.29</v>
      </c>
      <c r="AD48" s="181">
        <v>1.2</v>
      </c>
      <c r="AE48" s="181">
        <v>1.2</v>
      </c>
      <c r="AF48" s="101" t="str">
        <f t="shared" si="7"/>
        <v/>
      </c>
      <c r="AG48" s="190">
        <v>0</v>
      </c>
      <c r="AH48" s="69">
        <f t="shared" si="8"/>
        <v>2300.86</v>
      </c>
    </row>
    <row r="49" spans="1:34" s="69" customFormat="1" ht="33" x14ac:dyDescent="0.3">
      <c r="A49" s="55" t="s">
        <v>133</v>
      </c>
      <c r="B49" s="53" t="s">
        <v>134</v>
      </c>
      <c r="C49" s="54" t="s">
        <v>50</v>
      </c>
      <c r="D49" s="75">
        <v>5207.01</v>
      </c>
      <c r="E49" s="75"/>
      <c r="F49" s="75"/>
      <c r="G49" s="75"/>
      <c r="H49" s="75">
        <v>2964</v>
      </c>
      <c r="I49" s="75">
        <v>15433577.640000001</v>
      </c>
      <c r="J49" s="137" t="s">
        <v>135</v>
      </c>
      <c r="K49" s="73"/>
      <c r="L49" s="46">
        <v>0</v>
      </c>
      <c r="M49" s="46">
        <v>0</v>
      </c>
      <c r="N49" s="46">
        <v>0</v>
      </c>
      <c r="O49" s="98"/>
      <c r="P49" s="23" t="s">
        <v>1406</v>
      </c>
      <c r="Q49" s="24" t="s">
        <v>134</v>
      </c>
      <c r="R49" s="25" t="s">
        <v>50</v>
      </c>
      <c r="S49" s="26">
        <v>5207.01</v>
      </c>
      <c r="T49" s="26"/>
      <c r="U49" s="26">
        <f t="shared" si="10"/>
        <v>2964</v>
      </c>
      <c r="V49" s="26">
        <f t="shared" si="3"/>
        <v>0</v>
      </c>
      <c r="W49" s="26">
        <f t="shared" si="4"/>
        <v>0</v>
      </c>
      <c r="X49" s="26">
        <f t="shared" si="11"/>
        <v>0</v>
      </c>
      <c r="Y49" s="26">
        <f t="shared" si="5"/>
        <v>0</v>
      </c>
      <c r="Z49" s="33" t="s">
        <v>15</v>
      </c>
      <c r="AA49" s="36" t="s">
        <v>16</v>
      </c>
      <c r="AB49" s="35">
        <f t="shared" si="6"/>
        <v>5207.01</v>
      </c>
      <c r="AC49" s="35">
        <f t="shared" si="12"/>
        <v>15433577.640000001</v>
      </c>
      <c r="AD49" s="181">
        <v>1.2</v>
      </c>
      <c r="AE49" s="181">
        <v>1.2</v>
      </c>
      <c r="AF49" s="101" t="str">
        <f t="shared" si="7"/>
        <v/>
      </c>
      <c r="AG49" s="190">
        <v>0</v>
      </c>
      <c r="AH49" s="69">
        <f t="shared" si="8"/>
        <v>5207.01</v>
      </c>
    </row>
    <row r="50" spans="1:34" s="69" customFormat="1" ht="39" x14ac:dyDescent="0.3">
      <c r="A50" s="55" t="s">
        <v>136</v>
      </c>
      <c r="B50" s="53" t="s">
        <v>137</v>
      </c>
      <c r="C50" s="54" t="s">
        <v>50</v>
      </c>
      <c r="D50" s="75">
        <v>693.8</v>
      </c>
      <c r="E50" s="75"/>
      <c r="F50" s="75"/>
      <c r="G50" s="75"/>
      <c r="H50" s="75">
        <v>3961.57</v>
      </c>
      <c r="I50" s="75">
        <v>2748537.27</v>
      </c>
      <c r="J50" s="137" t="s">
        <v>138</v>
      </c>
      <c r="K50" s="73"/>
      <c r="L50" s="46">
        <v>0</v>
      </c>
      <c r="M50" s="46">
        <v>0</v>
      </c>
      <c r="N50" s="46">
        <v>0</v>
      </c>
      <c r="O50" s="98"/>
      <c r="P50" s="23" t="s">
        <v>1414</v>
      </c>
      <c r="Q50" s="24" t="s">
        <v>137</v>
      </c>
      <c r="R50" s="25" t="s">
        <v>50</v>
      </c>
      <c r="S50" s="26">
        <v>693.8</v>
      </c>
      <c r="T50" s="26"/>
      <c r="U50" s="26">
        <f t="shared" si="10"/>
        <v>3961.57</v>
      </c>
      <c r="V50" s="26">
        <f t="shared" si="3"/>
        <v>0</v>
      </c>
      <c r="W50" s="26">
        <f t="shared" si="4"/>
        <v>0</v>
      </c>
      <c r="X50" s="26">
        <f t="shared" si="11"/>
        <v>0</v>
      </c>
      <c r="Y50" s="26">
        <f t="shared" si="5"/>
        <v>0</v>
      </c>
      <c r="Z50" s="33" t="s">
        <v>15</v>
      </c>
      <c r="AA50" s="36" t="s">
        <v>16</v>
      </c>
      <c r="AB50" s="35">
        <f t="shared" si="6"/>
        <v>693.8</v>
      </c>
      <c r="AC50" s="35">
        <f t="shared" si="12"/>
        <v>2748537.27</v>
      </c>
      <c r="AD50" s="181">
        <v>1.2</v>
      </c>
      <c r="AE50" s="181">
        <v>1.2</v>
      </c>
      <c r="AF50" s="101" t="str">
        <f t="shared" si="7"/>
        <v/>
      </c>
      <c r="AG50" s="190">
        <v>0</v>
      </c>
      <c r="AH50" s="69">
        <f t="shared" si="8"/>
        <v>693.8</v>
      </c>
    </row>
    <row r="51" spans="1:34" s="69" customFormat="1" ht="33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>
        <v>3965.81</v>
      </c>
      <c r="I51" s="75">
        <v>1488090.89</v>
      </c>
      <c r="J51" s="137" t="s">
        <v>141</v>
      </c>
      <c r="K51" s="73"/>
      <c r="L51" s="46">
        <v>0</v>
      </c>
      <c r="M51" s="46">
        <v>0</v>
      </c>
      <c r="N51" s="46">
        <v>0</v>
      </c>
      <c r="O51" s="98"/>
      <c r="P51" s="23" t="s">
        <v>1429</v>
      </c>
      <c r="Q51" s="24" t="s">
        <v>140</v>
      </c>
      <c r="R51" s="25" t="s">
        <v>50</v>
      </c>
      <c r="S51" s="26">
        <v>375.23</v>
      </c>
      <c r="T51" s="26"/>
      <c r="U51" s="26">
        <f t="shared" si="10"/>
        <v>3965.81</v>
      </c>
      <c r="V51" s="26">
        <f t="shared" si="3"/>
        <v>0</v>
      </c>
      <c r="W51" s="26">
        <f t="shared" si="4"/>
        <v>0</v>
      </c>
      <c r="X51" s="26">
        <f t="shared" si="11"/>
        <v>0</v>
      </c>
      <c r="Y51" s="26">
        <f t="shared" si="5"/>
        <v>0</v>
      </c>
      <c r="Z51" s="33" t="s">
        <v>15</v>
      </c>
      <c r="AA51" s="36" t="s">
        <v>16</v>
      </c>
      <c r="AB51" s="35">
        <f t="shared" si="6"/>
        <v>375.23</v>
      </c>
      <c r="AC51" s="35">
        <f t="shared" si="12"/>
        <v>1488090.89</v>
      </c>
      <c r="AD51" s="181">
        <v>1.2</v>
      </c>
      <c r="AE51" s="181">
        <v>1.2</v>
      </c>
      <c r="AF51" s="101" t="str">
        <f t="shared" si="7"/>
        <v/>
      </c>
      <c r="AG51" s="190">
        <v>0</v>
      </c>
      <c r="AH51" s="69">
        <f t="shared" si="8"/>
        <v>375.23</v>
      </c>
    </row>
    <row r="52" spans="1:34" s="69" customFormat="1" ht="33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>
        <v>773.88</v>
      </c>
      <c r="I52" s="75">
        <v>26931.02</v>
      </c>
      <c r="J52" s="91" t="s">
        <v>144</v>
      </c>
      <c r="K52" s="73"/>
      <c r="L52" s="46">
        <v>0</v>
      </c>
      <c r="M52" s="46">
        <v>0</v>
      </c>
      <c r="N52" s="46">
        <v>0</v>
      </c>
      <c r="O52" s="98"/>
      <c r="P52" s="23" t="s">
        <v>1430</v>
      </c>
      <c r="Q52" s="24" t="s">
        <v>143</v>
      </c>
      <c r="R52" s="25" t="s">
        <v>50</v>
      </c>
      <c r="S52" s="26">
        <v>34.799999999999997</v>
      </c>
      <c r="T52" s="26"/>
      <c r="U52" s="26">
        <f t="shared" si="10"/>
        <v>773.88</v>
      </c>
      <c r="V52" s="26">
        <f t="shared" si="3"/>
        <v>0</v>
      </c>
      <c r="W52" s="26">
        <f t="shared" si="4"/>
        <v>0</v>
      </c>
      <c r="X52" s="26">
        <f t="shared" si="11"/>
        <v>0</v>
      </c>
      <c r="Y52" s="26">
        <f t="shared" si="5"/>
        <v>0</v>
      </c>
      <c r="Z52" s="33" t="s">
        <v>15</v>
      </c>
      <c r="AA52" s="36" t="s">
        <v>16</v>
      </c>
      <c r="AB52" s="35">
        <f t="shared" si="6"/>
        <v>34.799999999999997</v>
      </c>
      <c r="AC52" s="35">
        <f t="shared" si="12"/>
        <v>26931.02</v>
      </c>
      <c r="AD52" s="181">
        <v>1.2</v>
      </c>
      <c r="AE52" s="181">
        <v>1.2</v>
      </c>
      <c r="AF52" s="101" t="str">
        <f t="shared" si="7"/>
        <v/>
      </c>
      <c r="AG52" s="190">
        <v>0</v>
      </c>
      <c r="AH52" s="69">
        <f t="shared" si="8"/>
        <v>34.799999999999997</v>
      </c>
    </row>
    <row r="53" spans="1:34" s="69" customFormat="1" ht="33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>
        <v>948.4</v>
      </c>
      <c r="I53" s="75">
        <v>11361.83</v>
      </c>
      <c r="J53" s="91" t="s">
        <v>147</v>
      </c>
      <c r="K53" s="73"/>
      <c r="L53" s="46">
        <v>0</v>
      </c>
      <c r="M53" s="46">
        <v>0</v>
      </c>
      <c r="N53" s="46">
        <v>0</v>
      </c>
      <c r="O53" s="98"/>
      <c r="P53" s="23" t="s">
        <v>1431</v>
      </c>
      <c r="Q53" s="24" t="s">
        <v>146</v>
      </c>
      <c r="R53" s="25" t="s">
        <v>50</v>
      </c>
      <c r="S53" s="26">
        <v>11.98</v>
      </c>
      <c r="T53" s="26"/>
      <c r="U53" s="26">
        <f t="shared" si="10"/>
        <v>948.4</v>
      </c>
      <c r="V53" s="26">
        <f t="shared" si="3"/>
        <v>0</v>
      </c>
      <c r="W53" s="26">
        <f t="shared" si="4"/>
        <v>0</v>
      </c>
      <c r="X53" s="26">
        <f t="shared" si="11"/>
        <v>0</v>
      </c>
      <c r="Y53" s="26">
        <f t="shared" si="5"/>
        <v>0</v>
      </c>
      <c r="Z53" s="33" t="s">
        <v>15</v>
      </c>
      <c r="AA53" s="36" t="s">
        <v>16</v>
      </c>
      <c r="AB53" s="35">
        <f t="shared" si="6"/>
        <v>11.98</v>
      </c>
      <c r="AC53" s="35">
        <f t="shared" si="12"/>
        <v>11361.83</v>
      </c>
      <c r="AD53" s="181">
        <v>1.2</v>
      </c>
      <c r="AE53" s="181">
        <v>1.2</v>
      </c>
      <c r="AF53" s="101" t="str">
        <f t="shared" si="7"/>
        <v/>
      </c>
      <c r="AG53" s="190">
        <v>0</v>
      </c>
      <c r="AH53" s="69">
        <f t="shared" si="8"/>
        <v>11.98</v>
      </c>
    </row>
    <row r="54" spans="1:34" s="69" customFormat="1" ht="33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>
        <v>6163.46</v>
      </c>
      <c r="I54" s="75">
        <v>870650.36</v>
      </c>
      <c r="J54" s="91" t="s">
        <v>150</v>
      </c>
      <c r="K54" s="73"/>
      <c r="L54" s="46">
        <v>0</v>
      </c>
      <c r="M54" s="46">
        <v>0</v>
      </c>
      <c r="N54" s="46">
        <v>0</v>
      </c>
      <c r="O54" s="98"/>
      <c r="P54" s="23" t="s">
        <v>1395</v>
      </c>
      <c r="Q54" s="24" t="s">
        <v>149</v>
      </c>
      <c r="R54" s="25" t="s">
        <v>50</v>
      </c>
      <c r="S54" s="26">
        <v>141.26</v>
      </c>
      <c r="T54" s="26"/>
      <c r="U54" s="26">
        <f t="shared" si="10"/>
        <v>6163.46</v>
      </c>
      <c r="V54" s="26">
        <f t="shared" si="3"/>
        <v>0</v>
      </c>
      <c r="W54" s="26">
        <f t="shared" si="4"/>
        <v>0</v>
      </c>
      <c r="X54" s="26">
        <f t="shared" si="11"/>
        <v>0</v>
      </c>
      <c r="Y54" s="26">
        <f t="shared" si="5"/>
        <v>0</v>
      </c>
      <c r="Z54" s="33" t="s">
        <v>15</v>
      </c>
      <c r="AA54" s="36" t="s">
        <v>16</v>
      </c>
      <c r="AB54" s="35">
        <f t="shared" si="6"/>
        <v>141.26</v>
      </c>
      <c r="AC54" s="35">
        <f t="shared" si="12"/>
        <v>870650.36</v>
      </c>
      <c r="AD54" s="181">
        <v>1.2</v>
      </c>
      <c r="AE54" s="181">
        <v>1.2</v>
      </c>
      <c r="AF54" s="101" t="str">
        <f t="shared" si="7"/>
        <v/>
      </c>
      <c r="AG54" s="190">
        <v>0</v>
      </c>
      <c r="AH54" s="69">
        <f t="shared" si="8"/>
        <v>141.26</v>
      </c>
    </row>
    <row r="55" spans="1:34" s="69" customFormat="1" ht="33" x14ac:dyDescent="0.3">
      <c r="A55" s="55" t="s">
        <v>151</v>
      </c>
      <c r="B55" s="53" t="s">
        <v>152</v>
      </c>
      <c r="C55" s="54" t="s">
        <v>81</v>
      </c>
      <c r="D55" s="75">
        <v>1</v>
      </c>
      <c r="E55" s="75"/>
      <c r="F55" s="75"/>
      <c r="G55" s="75"/>
      <c r="H55" s="75">
        <v>169519.61</v>
      </c>
      <c r="I55" s="75">
        <v>169519.61</v>
      </c>
      <c r="J55" s="91" t="s">
        <v>153</v>
      </c>
      <c r="K55" s="73"/>
      <c r="L55" s="46">
        <v>0</v>
      </c>
      <c r="M55" s="46">
        <v>0</v>
      </c>
      <c r="N55" s="46">
        <v>0</v>
      </c>
      <c r="O55" s="98"/>
      <c r="P55" s="23" t="s">
        <v>1432</v>
      </c>
      <c r="Q55" s="24" t="s">
        <v>152</v>
      </c>
      <c r="R55" s="25" t="s">
        <v>81</v>
      </c>
      <c r="S55" s="26">
        <v>1</v>
      </c>
      <c r="T55" s="26"/>
      <c r="U55" s="26">
        <f t="shared" si="10"/>
        <v>169519.61</v>
      </c>
      <c r="V55" s="26">
        <f t="shared" si="3"/>
        <v>0</v>
      </c>
      <c r="W55" s="26">
        <f t="shared" si="4"/>
        <v>0</v>
      </c>
      <c r="X55" s="26">
        <f t="shared" si="11"/>
        <v>0</v>
      </c>
      <c r="Y55" s="26">
        <f t="shared" si="5"/>
        <v>0</v>
      </c>
      <c r="Z55" s="33" t="s">
        <v>15</v>
      </c>
      <c r="AA55" s="36" t="s">
        <v>16</v>
      </c>
      <c r="AB55" s="35">
        <f t="shared" si="6"/>
        <v>1</v>
      </c>
      <c r="AC55" s="35">
        <f t="shared" si="12"/>
        <v>169519.61</v>
      </c>
      <c r="AD55" s="181">
        <v>1.2</v>
      </c>
      <c r="AE55" s="181">
        <v>1.2</v>
      </c>
      <c r="AF55" s="101" t="str">
        <f t="shared" si="7"/>
        <v/>
      </c>
      <c r="AG55" s="190">
        <v>0</v>
      </c>
      <c r="AH55" s="69">
        <f t="shared" si="8"/>
        <v>1</v>
      </c>
    </row>
    <row r="56" spans="1:34" s="69" customFormat="1" ht="33" x14ac:dyDescent="0.3">
      <c r="A56" s="55" t="s">
        <v>154</v>
      </c>
      <c r="B56" s="53" t="s">
        <v>155</v>
      </c>
      <c r="C56" s="54" t="s">
        <v>81</v>
      </c>
      <c r="D56" s="75">
        <v>1</v>
      </c>
      <c r="E56" s="75"/>
      <c r="F56" s="75"/>
      <c r="G56" s="75"/>
      <c r="H56" s="75">
        <v>350211.64</v>
      </c>
      <c r="I56" s="75">
        <v>350211.64</v>
      </c>
      <c r="J56" s="91" t="s">
        <v>156</v>
      </c>
      <c r="K56" s="73"/>
      <c r="L56" s="46">
        <v>0</v>
      </c>
      <c r="M56" s="46">
        <v>0</v>
      </c>
      <c r="N56" s="46">
        <v>0</v>
      </c>
      <c r="O56" s="98"/>
      <c r="P56" s="23" t="s">
        <v>1433</v>
      </c>
      <c r="Q56" s="24" t="s">
        <v>155</v>
      </c>
      <c r="R56" s="25" t="s">
        <v>81</v>
      </c>
      <c r="S56" s="26">
        <v>1</v>
      </c>
      <c r="T56" s="26"/>
      <c r="U56" s="26">
        <f t="shared" si="10"/>
        <v>350211.64</v>
      </c>
      <c r="V56" s="26">
        <f t="shared" si="3"/>
        <v>0</v>
      </c>
      <c r="W56" s="26">
        <f t="shared" si="4"/>
        <v>0</v>
      </c>
      <c r="X56" s="26">
        <f t="shared" si="11"/>
        <v>0</v>
      </c>
      <c r="Y56" s="26">
        <f t="shared" si="5"/>
        <v>0</v>
      </c>
      <c r="Z56" s="33" t="s">
        <v>15</v>
      </c>
      <c r="AA56" s="36" t="s">
        <v>16</v>
      </c>
      <c r="AB56" s="35">
        <f t="shared" si="6"/>
        <v>1</v>
      </c>
      <c r="AC56" s="35">
        <f t="shared" si="12"/>
        <v>350211.64</v>
      </c>
      <c r="AD56" s="181">
        <v>1.2</v>
      </c>
      <c r="AE56" s="181">
        <v>1.2</v>
      </c>
      <c r="AF56" s="101" t="str">
        <f t="shared" si="7"/>
        <v/>
      </c>
      <c r="AG56" s="190">
        <v>0</v>
      </c>
      <c r="AH56" s="69">
        <f t="shared" si="8"/>
        <v>1</v>
      </c>
    </row>
    <row r="57" spans="1:34" s="69" customFormat="1" ht="33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>
        <v>309726.87</v>
      </c>
      <c r="I57" s="75">
        <v>309726.87</v>
      </c>
      <c r="J57" s="91" t="s">
        <v>159</v>
      </c>
      <c r="K57" s="73"/>
      <c r="L57" s="46">
        <v>0</v>
      </c>
      <c r="M57" s="46">
        <v>0</v>
      </c>
      <c r="N57" s="46">
        <v>0</v>
      </c>
      <c r="O57" s="98"/>
      <c r="P57" s="23" t="s">
        <v>1382</v>
      </c>
      <c r="Q57" s="24" t="s">
        <v>158</v>
      </c>
      <c r="R57" s="25" t="s">
        <v>81</v>
      </c>
      <c r="S57" s="26">
        <v>1</v>
      </c>
      <c r="T57" s="26"/>
      <c r="U57" s="26">
        <f t="shared" si="10"/>
        <v>309726.87</v>
      </c>
      <c r="V57" s="26">
        <f t="shared" si="3"/>
        <v>0</v>
      </c>
      <c r="W57" s="26">
        <f t="shared" si="4"/>
        <v>0</v>
      </c>
      <c r="X57" s="26">
        <f t="shared" si="11"/>
        <v>0</v>
      </c>
      <c r="Y57" s="26">
        <f t="shared" si="5"/>
        <v>0</v>
      </c>
      <c r="Z57" s="33" t="s">
        <v>15</v>
      </c>
      <c r="AA57" s="36" t="s">
        <v>16</v>
      </c>
      <c r="AB57" s="35">
        <f t="shared" si="6"/>
        <v>1</v>
      </c>
      <c r="AC57" s="35">
        <f t="shared" si="12"/>
        <v>309726.87</v>
      </c>
      <c r="AD57" s="181">
        <v>1.2</v>
      </c>
      <c r="AE57" s="181">
        <v>1.2</v>
      </c>
      <c r="AF57" s="101" t="str">
        <f t="shared" si="7"/>
        <v/>
      </c>
      <c r="AG57" s="190">
        <v>0</v>
      </c>
      <c r="AH57" s="69">
        <f t="shared" si="8"/>
        <v>1</v>
      </c>
    </row>
    <row r="58" spans="1:34" s="69" customFormat="1" ht="33" x14ac:dyDescent="0.3">
      <c r="A58" s="55" t="s">
        <v>160</v>
      </c>
      <c r="B58" s="53" t="s">
        <v>161</v>
      </c>
      <c r="C58" s="54" t="s">
        <v>162</v>
      </c>
      <c r="D58" s="75">
        <v>19</v>
      </c>
      <c r="E58" s="75"/>
      <c r="F58" s="75"/>
      <c r="G58" s="75"/>
      <c r="H58" s="75">
        <v>1134.56</v>
      </c>
      <c r="I58" s="75">
        <v>21556.639999999999</v>
      </c>
      <c r="J58" s="91" t="s">
        <v>163</v>
      </c>
      <c r="K58" s="73"/>
      <c r="L58" s="46">
        <v>0</v>
      </c>
      <c r="M58" s="46">
        <v>0</v>
      </c>
      <c r="N58" s="46">
        <v>0</v>
      </c>
      <c r="O58" s="98"/>
      <c r="P58" s="23" t="s">
        <v>1434</v>
      </c>
      <c r="Q58" s="24" t="s">
        <v>161</v>
      </c>
      <c r="R58" s="25" t="s">
        <v>162</v>
      </c>
      <c r="S58" s="26">
        <v>19</v>
      </c>
      <c r="T58" s="26"/>
      <c r="U58" s="26">
        <f t="shared" si="10"/>
        <v>1134.56</v>
      </c>
      <c r="V58" s="26">
        <f t="shared" si="3"/>
        <v>0</v>
      </c>
      <c r="W58" s="26">
        <f t="shared" si="4"/>
        <v>0</v>
      </c>
      <c r="X58" s="26">
        <f t="shared" si="11"/>
        <v>0</v>
      </c>
      <c r="Y58" s="26">
        <f t="shared" si="5"/>
        <v>0</v>
      </c>
      <c r="Z58" s="33" t="s">
        <v>15</v>
      </c>
      <c r="AA58" s="36" t="s">
        <v>16</v>
      </c>
      <c r="AB58" s="35">
        <f t="shared" si="6"/>
        <v>19</v>
      </c>
      <c r="AC58" s="35">
        <f t="shared" si="12"/>
        <v>21556.639999999999</v>
      </c>
      <c r="AD58" s="181">
        <v>1.2</v>
      </c>
      <c r="AE58" s="181">
        <v>1.2</v>
      </c>
      <c r="AF58" s="101" t="str">
        <f t="shared" si="7"/>
        <v/>
      </c>
      <c r="AG58" s="190">
        <v>0</v>
      </c>
      <c r="AH58" s="69">
        <f t="shared" si="8"/>
        <v>19</v>
      </c>
    </row>
    <row r="59" spans="1:34" s="69" customFormat="1" ht="39" x14ac:dyDescent="0.3">
      <c r="A59" s="55" t="s">
        <v>164</v>
      </c>
      <c r="B59" s="53" t="s">
        <v>165</v>
      </c>
      <c r="C59" s="54" t="s">
        <v>103</v>
      </c>
      <c r="D59" s="75">
        <v>179.11</v>
      </c>
      <c r="E59" s="75"/>
      <c r="F59" s="75"/>
      <c r="G59" s="75"/>
      <c r="H59" s="75">
        <v>145.21</v>
      </c>
      <c r="I59" s="75">
        <v>26008.560000000001</v>
      </c>
      <c r="J59" s="91" t="s">
        <v>166</v>
      </c>
      <c r="K59" s="73"/>
      <c r="L59" s="46">
        <v>0</v>
      </c>
      <c r="M59" s="46">
        <v>0</v>
      </c>
      <c r="N59" s="46">
        <v>0</v>
      </c>
      <c r="O59" s="98"/>
      <c r="P59" s="23" t="s">
        <v>1388</v>
      </c>
      <c r="Q59" s="24" t="s">
        <v>165</v>
      </c>
      <c r="R59" s="25" t="s">
        <v>103</v>
      </c>
      <c r="S59" s="26">
        <v>179.11</v>
      </c>
      <c r="T59" s="26"/>
      <c r="U59" s="26">
        <f t="shared" si="10"/>
        <v>145.21</v>
      </c>
      <c r="V59" s="26">
        <f t="shared" si="3"/>
        <v>0</v>
      </c>
      <c r="W59" s="26">
        <f t="shared" si="4"/>
        <v>0</v>
      </c>
      <c r="X59" s="26">
        <f t="shared" si="11"/>
        <v>0</v>
      </c>
      <c r="Y59" s="26">
        <f t="shared" si="5"/>
        <v>0</v>
      </c>
      <c r="Z59" s="33" t="s">
        <v>15</v>
      </c>
      <c r="AA59" s="36" t="s">
        <v>16</v>
      </c>
      <c r="AB59" s="35">
        <f t="shared" si="6"/>
        <v>179.11</v>
      </c>
      <c r="AC59" s="35">
        <f t="shared" si="12"/>
        <v>26008.560000000001</v>
      </c>
      <c r="AD59" s="181">
        <v>1.2</v>
      </c>
      <c r="AE59" s="181">
        <v>1.2</v>
      </c>
      <c r="AF59" s="101" t="str">
        <f t="shared" si="7"/>
        <v/>
      </c>
      <c r="AG59" s="190">
        <v>0</v>
      </c>
      <c r="AH59" s="69">
        <f t="shared" si="8"/>
        <v>179.11</v>
      </c>
    </row>
    <row r="60" spans="1:34" s="69" customFormat="1" ht="33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>
        <v>2755.97</v>
      </c>
      <c r="I60" s="75">
        <v>2176665.11</v>
      </c>
      <c r="J60" s="91" t="s">
        <v>169</v>
      </c>
      <c r="K60" s="73"/>
      <c r="L60" s="46">
        <v>0</v>
      </c>
      <c r="M60" s="46">
        <v>0</v>
      </c>
      <c r="N60" s="46">
        <v>0</v>
      </c>
      <c r="O60" s="98"/>
      <c r="P60" s="23" t="s">
        <v>1389</v>
      </c>
      <c r="Q60" s="24" t="s">
        <v>168</v>
      </c>
      <c r="R60" s="25" t="s">
        <v>30</v>
      </c>
      <c r="S60" s="26">
        <v>789.8</v>
      </c>
      <c r="T60" s="26"/>
      <c r="U60" s="26">
        <f t="shared" si="10"/>
        <v>2755.97</v>
      </c>
      <c r="V60" s="26">
        <f t="shared" si="3"/>
        <v>0</v>
      </c>
      <c r="W60" s="26">
        <f t="shared" si="4"/>
        <v>0</v>
      </c>
      <c r="X60" s="26">
        <f t="shared" si="11"/>
        <v>0</v>
      </c>
      <c r="Y60" s="26">
        <f t="shared" si="5"/>
        <v>0</v>
      </c>
      <c r="Z60" s="33" t="s">
        <v>15</v>
      </c>
      <c r="AA60" s="36" t="s">
        <v>16</v>
      </c>
      <c r="AB60" s="35">
        <f t="shared" si="6"/>
        <v>789.8</v>
      </c>
      <c r="AC60" s="35">
        <f t="shared" si="12"/>
        <v>2176665.11</v>
      </c>
      <c r="AD60" s="181">
        <v>1.2</v>
      </c>
      <c r="AE60" s="181">
        <v>1.2</v>
      </c>
      <c r="AF60" s="101" t="str">
        <f t="shared" si="7"/>
        <v/>
      </c>
      <c r="AG60" s="190">
        <v>0</v>
      </c>
      <c r="AH60" s="69">
        <f t="shared" si="8"/>
        <v>789.8</v>
      </c>
    </row>
    <row r="61" spans="1:34" s="69" customFormat="1" ht="33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>
        <v>576.79999999999995</v>
      </c>
      <c r="I61" s="75">
        <v>18053.84</v>
      </c>
      <c r="J61" s="91" t="s">
        <v>172</v>
      </c>
      <c r="K61" s="73"/>
      <c r="L61" s="46">
        <v>0</v>
      </c>
      <c r="M61" s="46">
        <v>0</v>
      </c>
      <c r="N61" s="46">
        <v>0</v>
      </c>
      <c r="O61" s="98"/>
      <c r="P61" s="23" t="s">
        <v>1390</v>
      </c>
      <c r="Q61" s="24" t="s">
        <v>171</v>
      </c>
      <c r="R61" s="25" t="s">
        <v>30</v>
      </c>
      <c r="S61" s="26">
        <v>31.3</v>
      </c>
      <c r="T61" s="26"/>
      <c r="U61" s="26">
        <f t="shared" si="10"/>
        <v>576.79999999999995</v>
      </c>
      <c r="V61" s="26">
        <f t="shared" si="3"/>
        <v>0</v>
      </c>
      <c r="W61" s="26">
        <f t="shared" si="4"/>
        <v>0</v>
      </c>
      <c r="X61" s="26">
        <f t="shared" si="11"/>
        <v>0</v>
      </c>
      <c r="Y61" s="26">
        <f t="shared" si="5"/>
        <v>0</v>
      </c>
      <c r="Z61" s="33" t="s">
        <v>15</v>
      </c>
      <c r="AA61" s="36" t="s">
        <v>16</v>
      </c>
      <c r="AB61" s="35">
        <f t="shared" si="6"/>
        <v>31.3</v>
      </c>
      <c r="AC61" s="35">
        <f t="shared" si="12"/>
        <v>18053.84</v>
      </c>
      <c r="AD61" s="181">
        <v>1.2</v>
      </c>
      <c r="AE61" s="181">
        <v>1.2</v>
      </c>
      <c r="AF61" s="101" t="str">
        <f t="shared" si="7"/>
        <v/>
      </c>
      <c r="AG61" s="190">
        <v>0</v>
      </c>
      <c r="AH61" s="69">
        <f t="shared" si="8"/>
        <v>31.3</v>
      </c>
    </row>
    <row r="62" spans="1:34" s="69" customFormat="1" ht="33" x14ac:dyDescent="0.3">
      <c r="A62" s="55" t="s">
        <v>173</v>
      </c>
      <c r="B62" s="53" t="s">
        <v>174</v>
      </c>
      <c r="C62" s="54" t="s">
        <v>30</v>
      </c>
      <c r="D62" s="75">
        <v>360.35</v>
      </c>
      <c r="E62" s="75"/>
      <c r="F62" s="75"/>
      <c r="G62" s="75"/>
      <c r="H62" s="75">
        <v>615.34</v>
      </c>
      <c r="I62" s="75">
        <v>221737.77</v>
      </c>
      <c r="J62" s="91" t="s">
        <v>175</v>
      </c>
      <c r="K62" s="73"/>
      <c r="L62" s="46">
        <v>0</v>
      </c>
      <c r="M62" s="46">
        <v>0</v>
      </c>
      <c r="N62" s="46">
        <v>0</v>
      </c>
      <c r="O62" s="98"/>
      <c r="P62" s="23" t="s">
        <v>1391</v>
      </c>
      <c r="Q62" s="24" t="s">
        <v>174</v>
      </c>
      <c r="R62" s="25" t="s">
        <v>30</v>
      </c>
      <c r="S62" s="26">
        <v>360.35</v>
      </c>
      <c r="T62" s="26"/>
      <c r="U62" s="26">
        <f t="shared" si="10"/>
        <v>615.34</v>
      </c>
      <c r="V62" s="26">
        <f t="shared" si="3"/>
        <v>0</v>
      </c>
      <c r="W62" s="26">
        <f t="shared" si="4"/>
        <v>0</v>
      </c>
      <c r="X62" s="26">
        <f t="shared" si="11"/>
        <v>0</v>
      </c>
      <c r="Y62" s="26">
        <f t="shared" si="5"/>
        <v>0</v>
      </c>
      <c r="Z62" s="33" t="s">
        <v>15</v>
      </c>
      <c r="AA62" s="36" t="s">
        <v>16</v>
      </c>
      <c r="AB62" s="35">
        <f t="shared" si="6"/>
        <v>360.35</v>
      </c>
      <c r="AC62" s="35">
        <f t="shared" si="12"/>
        <v>221737.77</v>
      </c>
      <c r="AD62" s="181">
        <v>1.2</v>
      </c>
      <c r="AE62" s="181">
        <v>1.2</v>
      </c>
      <c r="AF62" s="101" t="str">
        <f t="shared" si="7"/>
        <v/>
      </c>
      <c r="AG62" s="190">
        <v>0</v>
      </c>
      <c r="AH62" s="69">
        <f t="shared" si="8"/>
        <v>360.35</v>
      </c>
    </row>
    <row r="63" spans="1:34" s="69" customFormat="1" ht="33" x14ac:dyDescent="0.3">
      <c r="A63" s="55" t="s">
        <v>176</v>
      </c>
      <c r="B63" s="53" t="s">
        <v>177</v>
      </c>
      <c r="C63" s="54" t="s">
        <v>30</v>
      </c>
      <c r="D63" s="75">
        <v>691.14</v>
      </c>
      <c r="E63" s="75"/>
      <c r="F63" s="75"/>
      <c r="G63" s="75"/>
      <c r="H63" s="75">
        <v>685.3</v>
      </c>
      <c r="I63" s="75">
        <v>473638.24</v>
      </c>
      <c r="J63" s="91" t="s">
        <v>178</v>
      </c>
      <c r="K63" s="73"/>
      <c r="L63" s="46">
        <v>0</v>
      </c>
      <c r="M63" s="46">
        <v>0</v>
      </c>
      <c r="N63" s="46">
        <v>0</v>
      </c>
      <c r="O63" s="98"/>
      <c r="P63" s="23" t="s">
        <v>1436</v>
      </c>
      <c r="Q63" s="24" t="s">
        <v>177</v>
      </c>
      <c r="R63" s="25" t="s">
        <v>30</v>
      </c>
      <c r="S63" s="26">
        <v>691.14</v>
      </c>
      <c r="T63" s="26"/>
      <c r="U63" s="26">
        <f t="shared" si="10"/>
        <v>685.3</v>
      </c>
      <c r="V63" s="26">
        <f t="shared" si="3"/>
        <v>0</v>
      </c>
      <c r="W63" s="26">
        <f t="shared" si="4"/>
        <v>0</v>
      </c>
      <c r="X63" s="26">
        <f t="shared" si="11"/>
        <v>0</v>
      </c>
      <c r="Y63" s="26">
        <f t="shared" si="5"/>
        <v>0</v>
      </c>
      <c r="Z63" s="33" t="s">
        <v>15</v>
      </c>
      <c r="AA63" s="36" t="s">
        <v>16</v>
      </c>
      <c r="AB63" s="35">
        <f t="shared" si="6"/>
        <v>691.14</v>
      </c>
      <c r="AC63" s="35">
        <f t="shared" si="12"/>
        <v>473638.24</v>
      </c>
      <c r="AD63" s="181">
        <v>1.2</v>
      </c>
      <c r="AE63" s="181">
        <v>1.2</v>
      </c>
      <c r="AF63" s="101" t="str">
        <f t="shared" si="7"/>
        <v/>
      </c>
      <c r="AG63" s="190">
        <v>0</v>
      </c>
      <c r="AH63" s="69">
        <f t="shared" si="8"/>
        <v>691.14</v>
      </c>
    </row>
    <row r="64" spans="1:34" s="69" customFormat="1" ht="33" x14ac:dyDescent="0.3">
      <c r="A64" s="55" t="s">
        <v>179</v>
      </c>
      <c r="B64" s="53" t="s">
        <v>180</v>
      </c>
      <c r="C64" s="54" t="s">
        <v>30</v>
      </c>
      <c r="D64" s="75">
        <v>890.62</v>
      </c>
      <c r="E64" s="75"/>
      <c r="F64" s="75"/>
      <c r="G64" s="75"/>
      <c r="H64" s="75">
        <v>699.72</v>
      </c>
      <c r="I64" s="75">
        <v>623184.63</v>
      </c>
      <c r="J64" s="91" t="s">
        <v>181</v>
      </c>
      <c r="K64" s="73"/>
      <c r="L64" s="46">
        <v>32</v>
      </c>
      <c r="M64" s="46">
        <v>0</v>
      </c>
      <c r="N64" s="46">
        <v>22391.040000000001</v>
      </c>
      <c r="O64" s="98"/>
      <c r="P64" s="23" t="s">
        <v>1374</v>
      </c>
      <c r="Q64" s="24" t="s">
        <v>180</v>
      </c>
      <c r="R64" s="25" t="s">
        <v>30</v>
      </c>
      <c r="S64" s="26">
        <v>890.62</v>
      </c>
      <c r="T64" s="26"/>
      <c r="U64" s="26">
        <f t="shared" si="10"/>
        <v>699.72</v>
      </c>
      <c r="V64" s="128">
        <f t="shared" si="3"/>
        <v>0</v>
      </c>
      <c r="W64" s="26">
        <f t="shared" si="4"/>
        <v>32</v>
      </c>
      <c r="X64" s="26">
        <f t="shared" si="11"/>
        <v>0</v>
      </c>
      <c r="Y64" s="26">
        <f t="shared" si="5"/>
        <v>22391.040000000001</v>
      </c>
      <c r="Z64" s="33" t="s">
        <v>15</v>
      </c>
      <c r="AA64" s="36" t="s">
        <v>16</v>
      </c>
      <c r="AB64" s="35">
        <f t="shared" si="6"/>
        <v>890.62</v>
      </c>
      <c r="AC64" s="35">
        <f t="shared" si="12"/>
        <v>623184.63</v>
      </c>
      <c r="AD64" s="181">
        <v>1.2</v>
      </c>
      <c r="AE64" s="181">
        <v>1.2</v>
      </c>
      <c r="AF64" s="101" t="str">
        <f t="shared" si="7"/>
        <v/>
      </c>
      <c r="AG64" s="192">
        <f>32</f>
        <v>32</v>
      </c>
      <c r="AH64" s="69">
        <f t="shared" si="8"/>
        <v>890.62</v>
      </c>
    </row>
    <row r="65" spans="1:34" s="69" customFormat="1" ht="33" x14ac:dyDescent="0.3">
      <c r="A65" s="55" t="s">
        <v>182</v>
      </c>
      <c r="B65" s="53" t="s">
        <v>183</v>
      </c>
      <c r="C65" s="54" t="s">
        <v>30</v>
      </c>
      <c r="D65" s="75">
        <v>85.77</v>
      </c>
      <c r="E65" s="75"/>
      <c r="F65" s="75"/>
      <c r="G65" s="75"/>
      <c r="H65" s="75">
        <v>1199.33</v>
      </c>
      <c r="I65" s="75">
        <v>102866.53</v>
      </c>
      <c r="J65" s="91" t="s">
        <v>184</v>
      </c>
      <c r="K65" s="73"/>
      <c r="L65" s="46">
        <v>0</v>
      </c>
      <c r="M65" s="46">
        <v>0</v>
      </c>
      <c r="N65" s="46">
        <v>0</v>
      </c>
      <c r="O65" s="98"/>
      <c r="P65" s="23" t="s">
        <v>1376</v>
      </c>
      <c r="Q65" s="24" t="s">
        <v>183</v>
      </c>
      <c r="R65" s="25" t="s">
        <v>30</v>
      </c>
      <c r="S65" s="26">
        <v>85.77</v>
      </c>
      <c r="T65" s="26"/>
      <c r="U65" s="26">
        <f t="shared" si="10"/>
        <v>1199.33</v>
      </c>
      <c r="V65" s="26">
        <f t="shared" si="3"/>
        <v>0</v>
      </c>
      <c r="W65" s="26">
        <f t="shared" si="4"/>
        <v>0</v>
      </c>
      <c r="X65" s="26">
        <f t="shared" si="11"/>
        <v>0</v>
      </c>
      <c r="Y65" s="26">
        <f t="shared" si="5"/>
        <v>0</v>
      </c>
      <c r="Z65" s="33" t="s">
        <v>15</v>
      </c>
      <c r="AA65" s="36" t="s">
        <v>16</v>
      </c>
      <c r="AB65" s="35">
        <f t="shared" si="6"/>
        <v>85.77</v>
      </c>
      <c r="AC65" s="35">
        <f t="shared" si="12"/>
        <v>102866.53</v>
      </c>
      <c r="AD65" s="181">
        <v>1.2</v>
      </c>
      <c r="AE65" s="181">
        <v>1.2</v>
      </c>
      <c r="AF65" s="101" t="str">
        <f t="shared" si="7"/>
        <v/>
      </c>
      <c r="AG65" s="190">
        <v>0</v>
      </c>
      <c r="AH65" s="69">
        <f t="shared" si="8"/>
        <v>85.77</v>
      </c>
    </row>
    <row r="66" spans="1:34" s="69" customFormat="1" ht="33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>
        <v>57.68</v>
      </c>
      <c r="I66" s="75">
        <v>10833.46</v>
      </c>
      <c r="J66" s="91" t="s">
        <v>187</v>
      </c>
      <c r="K66" s="73"/>
      <c r="L66" s="46">
        <v>0</v>
      </c>
      <c r="M66" s="46">
        <v>0</v>
      </c>
      <c r="N66" s="46">
        <v>0</v>
      </c>
      <c r="O66" s="98"/>
      <c r="P66" s="23" t="s">
        <v>1378</v>
      </c>
      <c r="Q66" s="24" t="s">
        <v>186</v>
      </c>
      <c r="R66" s="25" t="s">
        <v>30</v>
      </c>
      <c r="S66" s="26">
        <v>187.82</v>
      </c>
      <c r="T66" s="26"/>
      <c r="U66" s="26">
        <f t="shared" si="10"/>
        <v>57.68</v>
      </c>
      <c r="V66" s="26">
        <f t="shared" si="3"/>
        <v>0</v>
      </c>
      <c r="W66" s="26">
        <f t="shared" si="4"/>
        <v>0</v>
      </c>
      <c r="X66" s="26">
        <f t="shared" si="11"/>
        <v>0</v>
      </c>
      <c r="Y66" s="26">
        <f t="shared" si="5"/>
        <v>0</v>
      </c>
      <c r="Z66" s="33" t="s">
        <v>15</v>
      </c>
      <c r="AA66" s="36" t="s">
        <v>16</v>
      </c>
      <c r="AB66" s="35">
        <f t="shared" si="6"/>
        <v>187.82</v>
      </c>
      <c r="AC66" s="35">
        <f t="shared" si="12"/>
        <v>10833.46</v>
      </c>
      <c r="AD66" s="181">
        <v>1.2</v>
      </c>
      <c r="AE66" s="181">
        <v>1.2</v>
      </c>
      <c r="AF66" s="101" t="str">
        <f t="shared" si="7"/>
        <v/>
      </c>
      <c r="AG66" s="190">
        <v>0</v>
      </c>
      <c r="AH66" s="69">
        <f t="shared" si="8"/>
        <v>187.82</v>
      </c>
    </row>
    <row r="67" spans="1:34" s="69" customFormat="1" ht="33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>
        <v>138.84</v>
      </c>
      <c r="I67" s="75">
        <v>2611.58</v>
      </c>
      <c r="J67" s="91" t="s">
        <v>190</v>
      </c>
      <c r="K67" s="73"/>
      <c r="L67" s="46">
        <v>0</v>
      </c>
      <c r="M67" s="46">
        <v>0</v>
      </c>
      <c r="N67" s="46">
        <v>0</v>
      </c>
      <c r="O67" s="98"/>
      <c r="P67" s="23" t="s">
        <v>1438</v>
      </c>
      <c r="Q67" s="24" t="s">
        <v>189</v>
      </c>
      <c r="R67" s="25" t="s">
        <v>30</v>
      </c>
      <c r="S67" s="26">
        <v>18.809999999999999</v>
      </c>
      <c r="T67" s="26"/>
      <c r="U67" s="26">
        <f t="shared" si="10"/>
        <v>138.84</v>
      </c>
      <c r="V67" s="26">
        <f t="shared" si="3"/>
        <v>0</v>
      </c>
      <c r="W67" s="26">
        <f t="shared" si="4"/>
        <v>0</v>
      </c>
      <c r="X67" s="26">
        <f t="shared" si="11"/>
        <v>0</v>
      </c>
      <c r="Y67" s="26">
        <f t="shared" si="5"/>
        <v>0</v>
      </c>
      <c r="Z67" s="33" t="s">
        <v>15</v>
      </c>
      <c r="AA67" s="36" t="s">
        <v>16</v>
      </c>
      <c r="AB67" s="35">
        <f t="shared" si="6"/>
        <v>18.809999999999999</v>
      </c>
      <c r="AC67" s="35">
        <f t="shared" si="12"/>
        <v>2611.58</v>
      </c>
      <c r="AD67" s="181">
        <v>1.2</v>
      </c>
      <c r="AE67" s="181">
        <v>1.2</v>
      </c>
      <c r="AF67" s="101" t="str">
        <f t="shared" si="7"/>
        <v/>
      </c>
      <c r="AG67" s="190">
        <v>0</v>
      </c>
      <c r="AH67" s="69">
        <f t="shared" si="8"/>
        <v>18.809999999999999</v>
      </c>
    </row>
    <row r="68" spans="1:34" s="69" customFormat="1" ht="33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>
        <v>2145.42</v>
      </c>
      <c r="I68" s="75">
        <v>43938.2</v>
      </c>
      <c r="J68" s="91" t="s">
        <v>193</v>
      </c>
      <c r="K68" s="73"/>
      <c r="L68" s="46">
        <v>0</v>
      </c>
      <c r="M68" s="46">
        <v>0</v>
      </c>
      <c r="N68" s="46">
        <v>0</v>
      </c>
      <c r="O68" s="98"/>
      <c r="P68" s="23" t="s">
        <v>1439</v>
      </c>
      <c r="Q68" s="24" t="s">
        <v>192</v>
      </c>
      <c r="R68" s="25" t="s">
        <v>50</v>
      </c>
      <c r="S68" s="26">
        <v>20.48</v>
      </c>
      <c r="T68" s="26"/>
      <c r="U68" s="26">
        <f t="shared" si="10"/>
        <v>2145.42</v>
      </c>
      <c r="V68" s="26">
        <f t="shared" si="3"/>
        <v>0</v>
      </c>
      <c r="W68" s="26">
        <f t="shared" si="4"/>
        <v>0</v>
      </c>
      <c r="X68" s="26">
        <f t="shared" si="11"/>
        <v>0</v>
      </c>
      <c r="Y68" s="26">
        <f t="shared" si="5"/>
        <v>0</v>
      </c>
      <c r="Z68" s="33" t="s">
        <v>15</v>
      </c>
      <c r="AA68" s="36" t="s">
        <v>16</v>
      </c>
      <c r="AB68" s="35">
        <f t="shared" si="6"/>
        <v>20.48</v>
      </c>
      <c r="AC68" s="35">
        <f t="shared" si="12"/>
        <v>43938.2</v>
      </c>
      <c r="AD68" s="181">
        <v>1.2</v>
      </c>
      <c r="AE68" s="181">
        <v>1.2</v>
      </c>
      <c r="AF68" s="101" t="str">
        <f t="shared" si="7"/>
        <v/>
      </c>
      <c r="AG68" s="190">
        <v>0</v>
      </c>
      <c r="AH68" s="69">
        <f t="shared" si="8"/>
        <v>20.48</v>
      </c>
    </row>
    <row r="69" spans="1:34" s="69" customFormat="1" ht="33" x14ac:dyDescent="0.3">
      <c r="A69" s="55" t="s">
        <v>194</v>
      </c>
      <c r="B69" s="53" t="s">
        <v>195</v>
      </c>
      <c r="C69" s="54" t="s">
        <v>30</v>
      </c>
      <c r="D69" s="75">
        <v>354.7</v>
      </c>
      <c r="E69" s="75"/>
      <c r="F69" s="75"/>
      <c r="G69" s="75"/>
      <c r="H69" s="75">
        <v>511.4</v>
      </c>
      <c r="I69" s="75">
        <v>181393.58</v>
      </c>
      <c r="J69" s="91" t="s">
        <v>196</v>
      </c>
      <c r="K69" s="73"/>
      <c r="L69" s="46">
        <v>0</v>
      </c>
      <c r="M69" s="46">
        <v>0</v>
      </c>
      <c r="N69" s="46">
        <v>0</v>
      </c>
      <c r="O69" s="98"/>
      <c r="P69" s="23" t="s">
        <v>1440</v>
      </c>
      <c r="Q69" s="24" t="s">
        <v>195</v>
      </c>
      <c r="R69" s="25" t="s">
        <v>30</v>
      </c>
      <c r="S69" s="26">
        <v>354.7</v>
      </c>
      <c r="T69" s="26"/>
      <c r="U69" s="26">
        <f t="shared" si="10"/>
        <v>511.4</v>
      </c>
      <c r="V69" s="26">
        <f t="shared" si="3"/>
        <v>0</v>
      </c>
      <c r="W69" s="26">
        <f t="shared" si="4"/>
        <v>0</v>
      </c>
      <c r="X69" s="26">
        <f t="shared" si="11"/>
        <v>0</v>
      </c>
      <c r="Y69" s="26">
        <f t="shared" si="5"/>
        <v>0</v>
      </c>
      <c r="Z69" s="33" t="s">
        <v>15</v>
      </c>
      <c r="AA69" s="36" t="s">
        <v>16</v>
      </c>
      <c r="AB69" s="35">
        <f t="shared" si="6"/>
        <v>354.7</v>
      </c>
      <c r="AC69" s="35">
        <f t="shared" si="12"/>
        <v>181393.58</v>
      </c>
      <c r="AD69" s="181">
        <v>1.2</v>
      </c>
      <c r="AE69" s="181">
        <v>1.2</v>
      </c>
      <c r="AF69" s="101" t="str">
        <f t="shared" si="7"/>
        <v/>
      </c>
      <c r="AG69" s="190">
        <v>0</v>
      </c>
      <c r="AH69" s="69">
        <f t="shared" si="8"/>
        <v>354.7</v>
      </c>
    </row>
    <row r="70" spans="1:34" s="69" customFormat="1" ht="33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>
        <v>578.86</v>
      </c>
      <c r="I70" s="75">
        <v>25875.040000000001</v>
      </c>
      <c r="J70" s="91" t="s">
        <v>199</v>
      </c>
      <c r="K70" s="73"/>
      <c r="L70" s="46">
        <v>0</v>
      </c>
      <c r="M70" s="46">
        <v>0</v>
      </c>
      <c r="N70" s="46">
        <v>0</v>
      </c>
      <c r="O70" s="98"/>
      <c r="P70" s="23" t="s">
        <v>1441</v>
      </c>
      <c r="Q70" s="24" t="s">
        <v>198</v>
      </c>
      <c r="R70" s="25" t="s">
        <v>30</v>
      </c>
      <c r="S70" s="26">
        <v>44.7</v>
      </c>
      <c r="T70" s="26"/>
      <c r="U70" s="26">
        <f t="shared" si="10"/>
        <v>578.86</v>
      </c>
      <c r="V70" s="26">
        <f t="shared" si="3"/>
        <v>0</v>
      </c>
      <c r="W70" s="26">
        <f t="shared" si="4"/>
        <v>0</v>
      </c>
      <c r="X70" s="26">
        <f t="shared" si="11"/>
        <v>0</v>
      </c>
      <c r="Y70" s="26">
        <f t="shared" si="5"/>
        <v>0</v>
      </c>
      <c r="Z70" s="33" t="s">
        <v>15</v>
      </c>
      <c r="AA70" s="36" t="s">
        <v>16</v>
      </c>
      <c r="AB70" s="35">
        <f t="shared" si="6"/>
        <v>44.7</v>
      </c>
      <c r="AC70" s="35">
        <f t="shared" si="12"/>
        <v>25875.040000000001</v>
      </c>
      <c r="AD70" s="181">
        <v>1.2</v>
      </c>
      <c r="AE70" s="181">
        <v>1.2</v>
      </c>
      <c r="AF70" s="101" t="str">
        <f t="shared" si="7"/>
        <v/>
      </c>
      <c r="AG70" s="190">
        <v>0</v>
      </c>
      <c r="AH70" s="69">
        <f t="shared" si="8"/>
        <v>44.7</v>
      </c>
    </row>
    <row r="71" spans="1:34" s="69" customFormat="1" ht="33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>
        <v>723.06</v>
      </c>
      <c r="I71" s="75">
        <v>22414.86</v>
      </c>
      <c r="J71" s="91" t="s">
        <v>202</v>
      </c>
      <c r="K71" s="73"/>
      <c r="L71" s="46">
        <v>0</v>
      </c>
      <c r="M71" s="46">
        <v>0</v>
      </c>
      <c r="N71" s="46">
        <v>0</v>
      </c>
      <c r="O71" s="98"/>
      <c r="P71" s="23" t="s">
        <v>1442</v>
      </c>
      <c r="Q71" s="24" t="s">
        <v>201</v>
      </c>
      <c r="R71" s="25" t="s">
        <v>30</v>
      </c>
      <c r="S71" s="26">
        <v>31</v>
      </c>
      <c r="T71" s="26"/>
      <c r="U71" s="26">
        <f t="shared" si="10"/>
        <v>723.06</v>
      </c>
      <c r="V71" s="26">
        <f t="shared" si="3"/>
        <v>0</v>
      </c>
      <c r="W71" s="26">
        <f t="shared" si="4"/>
        <v>0</v>
      </c>
      <c r="X71" s="26">
        <f t="shared" ref="X71:X102" si="13">Y71-N71</f>
        <v>0</v>
      </c>
      <c r="Y71" s="26">
        <f t="shared" si="5"/>
        <v>0</v>
      </c>
      <c r="Z71" s="33" t="s">
        <v>15</v>
      </c>
      <c r="AA71" s="36" t="s">
        <v>16</v>
      </c>
      <c r="AB71" s="35">
        <f t="shared" si="6"/>
        <v>31</v>
      </c>
      <c r="AC71" s="35">
        <f t="shared" si="12"/>
        <v>22414.86</v>
      </c>
      <c r="AD71" s="181">
        <v>1.2</v>
      </c>
      <c r="AE71" s="181">
        <v>1.2</v>
      </c>
      <c r="AF71" s="101" t="str">
        <f t="shared" si="7"/>
        <v/>
      </c>
      <c r="AG71" s="190">
        <v>0</v>
      </c>
      <c r="AH71" s="69">
        <f t="shared" si="8"/>
        <v>31</v>
      </c>
    </row>
    <row r="72" spans="1:34" s="69" customFormat="1" ht="33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>
        <v>829.15</v>
      </c>
      <c r="I72" s="75">
        <v>15007.62</v>
      </c>
      <c r="J72" s="91" t="s">
        <v>205</v>
      </c>
      <c r="K72" s="73"/>
      <c r="L72" s="46">
        <v>0</v>
      </c>
      <c r="M72" s="46">
        <v>0</v>
      </c>
      <c r="N72" s="46">
        <v>0</v>
      </c>
      <c r="O72" s="98"/>
      <c r="P72" s="23" t="s">
        <v>1443</v>
      </c>
      <c r="Q72" s="24" t="s">
        <v>204</v>
      </c>
      <c r="R72" s="25" t="s">
        <v>30</v>
      </c>
      <c r="S72" s="26">
        <v>18.100000000000001</v>
      </c>
      <c r="T72" s="26"/>
      <c r="U72" s="26">
        <f t="shared" si="10"/>
        <v>829.15</v>
      </c>
      <c r="V72" s="26">
        <f t="shared" si="3"/>
        <v>0</v>
      </c>
      <c r="W72" s="26">
        <f t="shared" si="4"/>
        <v>0</v>
      </c>
      <c r="X72" s="26">
        <f t="shared" si="13"/>
        <v>0</v>
      </c>
      <c r="Y72" s="26">
        <f t="shared" si="5"/>
        <v>0</v>
      </c>
      <c r="Z72" s="33" t="s">
        <v>15</v>
      </c>
      <c r="AA72" s="36" t="s">
        <v>16</v>
      </c>
      <c r="AB72" s="35">
        <f t="shared" si="6"/>
        <v>18.100000000000001</v>
      </c>
      <c r="AC72" s="35">
        <f t="shared" si="12"/>
        <v>15007.62</v>
      </c>
      <c r="AD72" s="181">
        <v>1.2</v>
      </c>
      <c r="AE72" s="181">
        <v>1.2</v>
      </c>
      <c r="AF72" s="101" t="str">
        <f t="shared" si="7"/>
        <v/>
      </c>
      <c r="AG72" s="190">
        <v>0</v>
      </c>
      <c r="AH72" s="69">
        <f t="shared" si="8"/>
        <v>18.100000000000001</v>
      </c>
    </row>
    <row r="73" spans="1:34" s="69" customFormat="1" ht="33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>
        <v>443.93</v>
      </c>
      <c r="I73" s="75">
        <v>80084.97</v>
      </c>
      <c r="J73" s="91" t="s">
        <v>208</v>
      </c>
      <c r="K73" s="73"/>
      <c r="L73" s="46">
        <v>0</v>
      </c>
      <c r="M73" s="46">
        <v>0</v>
      </c>
      <c r="N73" s="46">
        <v>0</v>
      </c>
      <c r="O73" s="98"/>
      <c r="P73" s="23" t="s">
        <v>1444</v>
      </c>
      <c r="Q73" s="24" t="s">
        <v>207</v>
      </c>
      <c r="R73" s="25" t="s">
        <v>30</v>
      </c>
      <c r="S73" s="26">
        <v>180.4</v>
      </c>
      <c r="T73" s="26"/>
      <c r="U73" s="26">
        <f t="shared" si="10"/>
        <v>443.93</v>
      </c>
      <c r="V73" s="26">
        <f t="shared" si="3"/>
        <v>0</v>
      </c>
      <c r="W73" s="26">
        <f t="shared" si="4"/>
        <v>0</v>
      </c>
      <c r="X73" s="26">
        <f t="shared" si="13"/>
        <v>0</v>
      </c>
      <c r="Y73" s="26">
        <f t="shared" si="5"/>
        <v>0</v>
      </c>
      <c r="Z73" s="33" t="s">
        <v>15</v>
      </c>
      <c r="AA73" s="36" t="s">
        <v>16</v>
      </c>
      <c r="AB73" s="35">
        <f t="shared" si="6"/>
        <v>180.4</v>
      </c>
      <c r="AC73" s="35">
        <f t="shared" si="12"/>
        <v>80084.97</v>
      </c>
      <c r="AD73" s="181">
        <v>1.2</v>
      </c>
      <c r="AE73" s="181">
        <v>1.2</v>
      </c>
      <c r="AF73" s="101" t="str">
        <f t="shared" si="7"/>
        <v/>
      </c>
      <c r="AG73" s="190">
        <v>0</v>
      </c>
      <c r="AH73" s="69">
        <f t="shared" si="8"/>
        <v>180.4</v>
      </c>
    </row>
    <row r="74" spans="1:34" s="69" customFormat="1" ht="33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>
        <v>578.86</v>
      </c>
      <c r="I74" s="75">
        <v>14818.82</v>
      </c>
      <c r="J74" s="91" t="s">
        <v>211</v>
      </c>
      <c r="K74" s="73"/>
      <c r="L74" s="46">
        <v>0</v>
      </c>
      <c r="M74" s="46">
        <v>0</v>
      </c>
      <c r="N74" s="46">
        <v>0</v>
      </c>
      <c r="O74" s="98"/>
      <c r="P74" s="23" t="s">
        <v>1408</v>
      </c>
      <c r="Q74" s="24" t="s">
        <v>210</v>
      </c>
      <c r="R74" s="25" t="s">
        <v>30</v>
      </c>
      <c r="S74" s="26">
        <v>25.6</v>
      </c>
      <c r="T74" s="26"/>
      <c r="U74" s="26">
        <f t="shared" si="10"/>
        <v>578.86</v>
      </c>
      <c r="V74" s="26">
        <f t="shared" si="3"/>
        <v>0</v>
      </c>
      <c r="W74" s="26">
        <f t="shared" si="4"/>
        <v>0</v>
      </c>
      <c r="X74" s="26">
        <f t="shared" si="13"/>
        <v>0</v>
      </c>
      <c r="Y74" s="26">
        <f t="shared" si="5"/>
        <v>0</v>
      </c>
      <c r="Z74" s="33" t="s">
        <v>15</v>
      </c>
      <c r="AA74" s="36" t="s">
        <v>16</v>
      </c>
      <c r="AB74" s="35">
        <f t="shared" si="6"/>
        <v>25.6</v>
      </c>
      <c r="AC74" s="35">
        <f t="shared" si="12"/>
        <v>14818.82</v>
      </c>
      <c r="AD74" s="181">
        <v>1.2</v>
      </c>
      <c r="AE74" s="181">
        <v>1.2</v>
      </c>
      <c r="AF74" s="101" t="str">
        <f t="shared" si="7"/>
        <v/>
      </c>
      <c r="AG74" s="190">
        <v>0</v>
      </c>
      <c r="AH74" s="69">
        <f t="shared" si="8"/>
        <v>25.6</v>
      </c>
    </row>
    <row r="75" spans="1:34" s="69" customFormat="1" ht="33" x14ac:dyDescent="0.3">
      <c r="A75" s="55" t="s">
        <v>212</v>
      </c>
      <c r="B75" s="53" t="s">
        <v>213</v>
      </c>
      <c r="C75" s="54" t="s">
        <v>81</v>
      </c>
      <c r="D75" s="75">
        <v>7</v>
      </c>
      <c r="E75" s="75"/>
      <c r="F75" s="75"/>
      <c r="G75" s="75"/>
      <c r="H75" s="75">
        <v>17307.09</v>
      </c>
      <c r="I75" s="75">
        <v>121149.63</v>
      </c>
      <c r="J75" s="91" t="s">
        <v>214</v>
      </c>
      <c r="K75" s="73"/>
      <c r="L75" s="46">
        <v>0</v>
      </c>
      <c r="M75" s="46">
        <v>0</v>
      </c>
      <c r="N75" s="46">
        <v>0</v>
      </c>
      <c r="O75" s="98"/>
      <c r="P75" s="23" t="s">
        <v>1409</v>
      </c>
      <c r="Q75" s="24" t="s">
        <v>213</v>
      </c>
      <c r="R75" s="25" t="s">
        <v>81</v>
      </c>
      <c r="S75" s="26">
        <v>7</v>
      </c>
      <c r="T75" s="26"/>
      <c r="U75" s="26">
        <f t="shared" ref="U75:U138" si="14">H75</f>
        <v>17307.09</v>
      </c>
      <c r="V75" s="26">
        <f t="shared" ref="V75:V132" si="15">AG75-L75</f>
        <v>0</v>
      </c>
      <c r="W75" s="26">
        <f t="shared" ref="W75:W132" si="16">V75+L75</f>
        <v>0</v>
      </c>
      <c r="X75" s="26">
        <f t="shared" si="13"/>
        <v>0</v>
      </c>
      <c r="Y75" s="26">
        <f t="shared" ref="Y75:Y138" si="17">ROUND(U75*W75,2)</f>
        <v>0</v>
      </c>
      <c r="Z75" s="33" t="s">
        <v>15</v>
      </c>
      <c r="AA75" s="36" t="s">
        <v>16</v>
      </c>
      <c r="AB75" s="35">
        <f t="shared" ref="AB75:AB138" si="18">IF(T75="",S75,T75)</f>
        <v>7</v>
      </c>
      <c r="AC75" s="35">
        <f t="shared" si="12"/>
        <v>121149.63</v>
      </c>
      <c r="AD75" s="181">
        <v>1.2</v>
      </c>
      <c r="AE75" s="181">
        <v>1.2</v>
      </c>
      <c r="AF75" s="101" t="str">
        <f t="shared" ref="AF75:AF138" si="19">IF(W75&gt;AH75,"超估","")</f>
        <v/>
      </c>
      <c r="AG75" s="190">
        <v>0</v>
      </c>
      <c r="AH75" s="69">
        <f t="shared" ref="AH75:AH138" si="20">IF(G75=0,IF(F75=0,IF(E75=0,D75,E75),F75),G75)</f>
        <v>7</v>
      </c>
    </row>
    <row r="76" spans="1:34" s="69" customFormat="1" ht="33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>
        <v>443.93</v>
      </c>
      <c r="I76" s="75">
        <v>3462.65</v>
      </c>
      <c r="J76" s="91" t="s">
        <v>217</v>
      </c>
      <c r="K76" s="73"/>
      <c r="L76" s="46">
        <v>0</v>
      </c>
      <c r="M76" s="46">
        <v>0</v>
      </c>
      <c r="N76" s="46">
        <v>0</v>
      </c>
      <c r="O76" s="98"/>
      <c r="P76" s="23" t="s">
        <v>1410</v>
      </c>
      <c r="Q76" s="24" t="s">
        <v>216</v>
      </c>
      <c r="R76" s="25" t="s">
        <v>30</v>
      </c>
      <c r="S76" s="26">
        <v>7.8</v>
      </c>
      <c r="T76" s="26"/>
      <c r="U76" s="26">
        <f t="shared" si="14"/>
        <v>443.93</v>
      </c>
      <c r="V76" s="26">
        <f t="shared" si="15"/>
        <v>0</v>
      </c>
      <c r="W76" s="26">
        <f t="shared" si="16"/>
        <v>0</v>
      </c>
      <c r="X76" s="26">
        <f t="shared" si="13"/>
        <v>0</v>
      </c>
      <c r="Y76" s="26">
        <f t="shared" si="17"/>
        <v>0</v>
      </c>
      <c r="Z76" s="33" t="s">
        <v>15</v>
      </c>
      <c r="AA76" s="36" t="s">
        <v>16</v>
      </c>
      <c r="AB76" s="35">
        <f t="shared" si="18"/>
        <v>7.8</v>
      </c>
      <c r="AC76" s="35">
        <f t="shared" si="12"/>
        <v>3462.65</v>
      </c>
      <c r="AD76" s="181">
        <v>1.2</v>
      </c>
      <c r="AE76" s="181">
        <v>1.2</v>
      </c>
      <c r="AF76" s="101" t="str">
        <f t="shared" si="19"/>
        <v/>
      </c>
      <c r="AG76" s="190">
        <v>0</v>
      </c>
      <c r="AH76" s="69">
        <f t="shared" si="20"/>
        <v>7.8</v>
      </c>
    </row>
    <row r="77" spans="1:34" s="69" customFormat="1" ht="33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>
        <v>13705.7</v>
      </c>
      <c r="I77" s="75">
        <v>27411.4</v>
      </c>
      <c r="J77" s="91" t="s">
        <v>220</v>
      </c>
      <c r="K77" s="73"/>
      <c r="L77" s="46">
        <v>0</v>
      </c>
      <c r="M77" s="46">
        <v>0</v>
      </c>
      <c r="N77" s="46">
        <v>0</v>
      </c>
      <c r="O77" s="98"/>
      <c r="P77" s="23" t="s">
        <v>1411</v>
      </c>
      <c r="Q77" s="24" t="s">
        <v>219</v>
      </c>
      <c r="R77" s="25" t="s">
        <v>81</v>
      </c>
      <c r="S77" s="26">
        <v>2</v>
      </c>
      <c r="T77" s="26"/>
      <c r="U77" s="26">
        <f t="shared" si="14"/>
        <v>13705.7</v>
      </c>
      <c r="V77" s="26">
        <f t="shared" si="15"/>
        <v>0</v>
      </c>
      <c r="W77" s="26">
        <f t="shared" si="16"/>
        <v>0</v>
      </c>
      <c r="X77" s="26">
        <f t="shared" si="13"/>
        <v>0</v>
      </c>
      <c r="Y77" s="26">
        <f t="shared" si="17"/>
        <v>0</v>
      </c>
      <c r="Z77" s="33" t="s">
        <v>15</v>
      </c>
      <c r="AA77" s="36" t="s">
        <v>16</v>
      </c>
      <c r="AB77" s="35">
        <f t="shared" si="18"/>
        <v>2</v>
      </c>
      <c r="AC77" s="35">
        <f t="shared" si="12"/>
        <v>27411.4</v>
      </c>
      <c r="AD77" s="181">
        <v>1.2</v>
      </c>
      <c r="AE77" s="181">
        <v>1.2</v>
      </c>
      <c r="AF77" s="101" t="str">
        <f t="shared" si="19"/>
        <v/>
      </c>
      <c r="AG77" s="190">
        <v>0</v>
      </c>
      <c r="AH77" s="69">
        <f t="shared" si="20"/>
        <v>2</v>
      </c>
    </row>
    <row r="78" spans="1:34" s="69" customFormat="1" ht="33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>
        <v>25126.95</v>
      </c>
      <c r="I78" s="75">
        <v>75380.850000000006</v>
      </c>
      <c r="J78" s="91" t="s">
        <v>223</v>
      </c>
      <c r="K78" s="73"/>
      <c r="L78" s="46">
        <v>0</v>
      </c>
      <c r="M78" s="46">
        <v>0</v>
      </c>
      <c r="N78" s="46">
        <v>0</v>
      </c>
      <c r="O78" s="98"/>
      <c r="P78" s="23" t="s">
        <v>1445</v>
      </c>
      <c r="Q78" s="24" t="s">
        <v>222</v>
      </c>
      <c r="R78" s="25" t="s">
        <v>81</v>
      </c>
      <c r="S78" s="26">
        <v>3</v>
      </c>
      <c r="T78" s="26"/>
      <c r="U78" s="26">
        <f t="shared" si="14"/>
        <v>25126.95</v>
      </c>
      <c r="V78" s="26">
        <f t="shared" si="15"/>
        <v>0</v>
      </c>
      <c r="W78" s="26">
        <f t="shared" si="16"/>
        <v>0</v>
      </c>
      <c r="X78" s="26">
        <f t="shared" si="13"/>
        <v>0</v>
      </c>
      <c r="Y78" s="26">
        <f t="shared" si="17"/>
        <v>0</v>
      </c>
      <c r="Z78" s="33" t="s">
        <v>15</v>
      </c>
      <c r="AA78" s="36" t="s">
        <v>16</v>
      </c>
      <c r="AB78" s="35">
        <f t="shared" si="18"/>
        <v>3</v>
      </c>
      <c r="AC78" s="35">
        <f t="shared" si="12"/>
        <v>75380.850000000006</v>
      </c>
      <c r="AD78" s="181">
        <v>1.2</v>
      </c>
      <c r="AE78" s="181">
        <v>1.2</v>
      </c>
      <c r="AF78" s="101" t="str">
        <f t="shared" si="19"/>
        <v/>
      </c>
      <c r="AG78" s="190">
        <v>0</v>
      </c>
      <c r="AH78" s="69">
        <f t="shared" si="20"/>
        <v>3</v>
      </c>
    </row>
    <row r="79" spans="1:34" s="69" customFormat="1" ht="33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>
        <v>2901.57</v>
      </c>
      <c r="I79" s="75">
        <v>52228.26</v>
      </c>
      <c r="J79" s="91" t="s">
        <v>226</v>
      </c>
      <c r="K79" s="73"/>
      <c r="L79" s="46">
        <v>0</v>
      </c>
      <c r="M79" s="46">
        <v>0</v>
      </c>
      <c r="N79" s="46">
        <v>0</v>
      </c>
      <c r="O79" s="98"/>
      <c r="P79" s="23" t="s">
        <v>1383</v>
      </c>
      <c r="Q79" s="24" t="s">
        <v>225</v>
      </c>
      <c r="R79" s="25" t="s">
        <v>30</v>
      </c>
      <c r="S79" s="26">
        <v>18</v>
      </c>
      <c r="T79" s="26"/>
      <c r="U79" s="26">
        <f t="shared" si="14"/>
        <v>2901.57</v>
      </c>
      <c r="V79" s="26">
        <f t="shared" si="15"/>
        <v>0</v>
      </c>
      <c r="W79" s="26">
        <f t="shared" si="16"/>
        <v>0</v>
      </c>
      <c r="X79" s="26">
        <f t="shared" si="13"/>
        <v>0</v>
      </c>
      <c r="Y79" s="26">
        <f t="shared" si="17"/>
        <v>0</v>
      </c>
      <c r="Z79" s="33" t="s">
        <v>15</v>
      </c>
      <c r="AA79" s="36" t="s">
        <v>16</v>
      </c>
      <c r="AB79" s="35">
        <f t="shared" si="18"/>
        <v>18</v>
      </c>
      <c r="AC79" s="35">
        <f t="shared" si="12"/>
        <v>52228.26</v>
      </c>
      <c r="AD79" s="181">
        <v>1.2</v>
      </c>
      <c r="AE79" s="181">
        <v>1.2</v>
      </c>
      <c r="AF79" s="101" t="str">
        <f t="shared" si="19"/>
        <v/>
      </c>
      <c r="AG79" s="190">
        <v>0</v>
      </c>
      <c r="AH79" s="69">
        <f t="shared" si="20"/>
        <v>18</v>
      </c>
    </row>
    <row r="80" spans="1:34" s="69" customFormat="1" ht="33" x14ac:dyDescent="0.3">
      <c r="A80" s="55" t="s">
        <v>227</v>
      </c>
      <c r="B80" s="53" t="s">
        <v>228</v>
      </c>
      <c r="C80" s="54" t="s">
        <v>30</v>
      </c>
      <c r="D80" s="75">
        <v>17.100000000000001</v>
      </c>
      <c r="E80" s="75"/>
      <c r="F80" s="75"/>
      <c r="G80" s="75"/>
      <c r="H80" s="75">
        <v>1762.96</v>
      </c>
      <c r="I80" s="75">
        <v>30146.62</v>
      </c>
      <c r="J80" s="91" t="s">
        <v>229</v>
      </c>
      <c r="K80" s="73"/>
      <c r="L80" s="46">
        <v>0</v>
      </c>
      <c r="M80" s="46">
        <v>0</v>
      </c>
      <c r="N80" s="46">
        <v>0</v>
      </c>
      <c r="O80" s="98"/>
      <c r="P80" s="23" t="s">
        <v>1384</v>
      </c>
      <c r="Q80" s="24" t="s">
        <v>228</v>
      </c>
      <c r="R80" s="25" t="s">
        <v>30</v>
      </c>
      <c r="S80" s="26">
        <v>17.100000000000001</v>
      </c>
      <c r="T80" s="26"/>
      <c r="U80" s="26">
        <f t="shared" si="14"/>
        <v>1762.96</v>
      </c>
      <c r="V80" s="26">
        <f t="shared" si="15"/>
        <v>0</v>
      </c>
      <c r="W80" s="26">
        <f t="shared" si="16"/>
        <v>0</v>
      </c>
      <c r="X80" s="26">
        <f t="shared" si="13"/>
        <v>0</v>
      </c>
      <c r="Y80" s="26">
        <f t="shared" si="17"/>
        <v>0</v>
      </c>
      <c r="Z80" s="33" t="s">
        <v>15</v>
      </c>
      <c r="AA80" s="36" t="s">
        <v>16</v>
      </c>
      <c r="AB80" s="35">
        <f t="shared" si="18"/>
        <v>17.100000000000001</v>
      </c>
      <c r="AC80" s="35">
        <f t="shared" si="12"/>
        <v>30146.62</v>
      </c>
      <c r="AD80" s="181">
        <v>1.2</v>
      </c>
      <c r="AE80" s="181">
        <v>1.2</v>
      </c>
      <c r="AF80" s="101" t="str">
        <f t="shared" si="19"/>
        <v/>
      </c>
      <c r="AG80" s="190">
        <v>0</v>
      </c>
      <c r="AH80" s="69">
        <f t="shared" si="20"/>
        <v>17.100000000000001</v>
      </c>
    </row>
    <row r="81" spans="1:34" s="69" customFormat="1" ht="33" x14ac:dyDescent="0.3">
      <c r="A81" s="55" t="s">
        <v>230</v>
      </c>
      <c r="B81" s="53" t="s">
        <v>231</v>
      </c>
      <c r="C81" s="54" t="s">
        <v>30</v>
      </c>
      <c r="D81" s="75">
        <v>77.400000000000006</v>
      </c>
      <c r="E81" s="75"/>
      <c r="F81" s="75"/>
      <c r="G81" s="75"/>
      <c r="H81" s="75">
        <v>1224.3</v>
      </c>
      <c r="I81" s="75">
        <v>94760.82</v>
      </c>
      <c r="J81" s="91" t="s">
        <v>232</v>
      </c>
      <c r="K81" s="73"/>
      <c r="L81" s="46">
        <v>0</v>
      </c>
      <c r="M81" s="46">
        <v>0</v>
      </c>
      <c r="N81" s="46">
        <v>0</v>
      </c>
      <c r="O81" s="98"/>
      <c r="P81" s="23" t="s">
        <v>1385</v>
      </c>
      <c r="Q81" s="24" t="s">
        <v>231</v>
      </c>
      <c r="R81" s="25" t="s">
        <v>30</v>
      </c>
      <c r="S81" s="26">
        <v>77.400000000000006</v>
      </c>
      <c r="T81" s="26"/>
      <c r="U81" s="26">
        <f t="shared" si="14"/>
        <v>1224.3</v>
      </c>
      <c r="V81" s="26">
        <f t="shared" si="15"/>
        <v>0</v>
      </c>
      <c r="W81" s="26">
        <f t="shared" si="16"/>
        <v>0</v>
      </c>
      <c r="X81" s="26">
        <f t="shared" si="13"/>
        <v>0</v>
      </c>
      <c r="Y81" s="26">
        <f t="shared" si="17"/>
        <v>0</v>
      </c>
      <c r="Z81" s="33" t="s">
        <v>15</v>
      </c>
      <c r="AA81" s="36" t="s">
        <v>16</v>
      </c>
      <c r="AB81" s="35">
        <f t="shared" si="18"/>
        <v>77.400000000000006</v>
      </c>
      <c r="AC81" s="35">
        <f t="shared" si="12"/>
        <v>94760.82</v>
      </c>
      <c r="AD81" s="181">
        <v>1.2</v>
      </c>
      <c r="AE81" s="181">
        <v>1.2</v>
      </c>
      <c r="AF81" s="101" t="str">
        <f t="shared" si="19"/>
        <v/>
      </c>
      <c r="AG81" s="190">
        <v>0</v>
      </c>
      <c r="AH81" s="69">
        <f t="shared" si="20"/>
        <v>77.400000000000006</v>
      </c>
    </row>
    <row r="82" spans="1:34" s="69" customFormat="1" ht="33" x14ac:dyDescent="0.3">
      <c r="A82" s="55" t="s">
        <v>233</v>
      </c>
      <c r="B82" s="53" t="s">
        <v>234</v>
      </c>
      <c r="C82" s="54" t="s">
        <v>30</v>
      </c>
      <c r="D82" s="75">
        <v>32.5</v>
      </c>
      <c r="E82" s="75"/>
      <c r="F82" s="75"/>
      <c r="G82" s="75"/>
      <c r="H82" s="75">
        <v>1148.7</v>
      </c>
      <c r="I82" s="75">
        <v>37332.75</v>
      </c>
      <c r="J82" s="91" t="s">
        <v>235</v>
      </c>
      <c r="K82" s="73"/>
      <c r="L82" s="46">
        <v>0</v>
      </c>
      <c r="M82" s="46">
        <v>0</v>
      </c>
      <c r="N82" s="46">
        <v>0</v>
      </c>
      <c r="O82" s="98"/>
      <c r="P82" s="23" t="s">
        <v>1446</v>
      </c>
      <c r="Q82" s="24" t="s">
        <v>234</v>
      </c>
      <c r="R82" s="25" t="s">
        <v>30</v>
      </c>
      <c r="S82" s="26">
        <v>32.5</v>
      </c>
      <c r="T82" s="26"/>
      <c r="U82" s="26">
        <f t="shared" si="14"/>
        <v>1148.7</v>
      </c>
      <c r="V82" s="26">
        <f t="shared" si="15"/>
        <v>0</v>
      </c>
      <c r="W82" s="26">
        <f t="shared" si="16"/>
        <v>0</v>
      </c>
      <c r="X82" s="26">
        <f t="shared" si="13"/>
        <v>0</v>
      </c>
      <c r="Y82" s="26">
        <f t="shared" si="17"/>
        <v>0</v>
      </c>
      <c r="Z82" s="33" t="s">
        <v>15</v>
      </c>
      <c r="AA82" s="36" t="s">
        <v>16</v>
      </c>
      <c r="AB82" s="35">
        <f t="shared" si="18"/>
        <v>32.5</v>
      </c>
      <c r="AC82" s="35">
        <f t="shared" si="12"/>
        <v>37332.75</v>
      </c>
      <c r="AD82" s="181">
        <v>1.2</v>
      </c>
      <c r="AE82" s="181">
        <v>1.2</v>
      </c>
      <c r="AF82" s="101" t="str">
        <f t="shared" si="19"/>
        <v/>
      </c>
      <c r="AG82" s="190">
        <v>0</v>
      </c>
      <c r="AH82" s="69">
        <f t="shared" si="20"/>
        <v>32.5</v>
      </c>
    </row>
    <row r="83" spans="1:34" s="69" customFormat="1" ht="33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>
        <v>19780.169999999998</v>
      </c>
      <c r="I83" s="75">
        <v>19780.169999999998</v>
      </c>
      <c r="J83" s="91" t="s">
        <v>238</v>
      </c>
      <c r="K83" s="73"/>
      <c r="L83" s="46">
        <v>0</v>
      </c>
      <c r="M83" s="46">
        <v>0</v>
      </c>
      <c r="N83" s="46">
        <v>0</v>
      </c>
      <c r="O83" s="98"/>
      <c r="P83" s="23" t="s">
        <v>1447</v>
      </c>
      <c r="Q83" s="24" t="s">
        <v>237</v>
      </c>
      <c r="R83" s="25" t="s">
        <v>81</v>
      </c>
      <c r="S83" s="26">
        <v>1</v>
      </c>
      <c r="T83" s="26"/>
      <c r="U83" s="26">
        <f t="shared" si="14"/>
        <v>19780.169999999998</v>
      </c>
      <c r="V83" s="26">
        <f t="shared" si="15"/>
        <v>0</v>
      </c>
      <c r="W83" s="26">
        <f t="shared" si="16"/>
        <v>0</v>
      </c>
      <c r="X83" s="26">
        <f t="shared" si="13"/>
        <v>0</v>
      </c>
      <c r="Y83" s="26">
        <f t="shared" si="17"/>
        <v>0</v>
      </c>
      <c r="Z83" s="33" t="s">
        <v>15</v>
      </c>
      <c r="AA83" s="36" t="s">
        <v>16</v>
      </c>
      <c r="AB83" s="35">
        <f t="shared" si="18"/>
        <v>1</v>
      </c>
      <c r="AC83" s="35">
        <f t="shared" si="12"/>
        <v>19780.169999999998</v>
      </c>
      <c r="AD83" s="181">
        <v>1.2</v>
      </c>
      <c r="AE83" s="181">
        <v>1.2</v>
      </c>
      <c r="AF83" s="101" t="str">
        <f t="shared" si="19"/>
        <v/>
      </c>
      <c r="AG83" s="190">
        <v>0</v>
      </c>
      <c r="AH83" s="69">
        <f t="shared" si="20"/>
        <v>1</v>
      </c>
    </row>
    <row r="84" spans="1:34" s="69" customFormat="1" ht="33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>
        <v>1218.03</v>
      </c>
      <c r="I84" s="75">
        <v>1218.03</v>
      </c>
      <c r="J84" s="91" t="s">
        <v>241</v>
      </c>
      <c r="K84" s="73"/>
      <c r="L84" s="46">
        <v>0</v>
      </c>
      <c r="M84" s="46">
        <v>0</v>
      </c>
      <c r="N84" s="46">
        <v>0</v>
      </c>
      <c r="O84" s="98"/>
      <c r="P84" s="23" t="s">
        <v>1448</v>
      </c>
      <c r="Q84" s="24" t="s">
        <v>240</v>
      </c>
      <c r="R84" s="25" t="s">
        <v>81</v>
      </c>
      <c r="S84" s="26">
        <v>1</v>
      </c>
      <c r="T84" s="26"/>
      <c r="U84" s="26">
        <f t="shared" si="14"/>
        <v>1218.03</v>
      </c>
      <c r="V84" s="26">
        <f t="shared" si="15"/>
        <v>0</v>
      </c>
      <c r="W84" s="26">
        <f t="shared" si="16"/>
        <v>0</v>
      </c>
      <c r="X84" s="26">
        <f t="shared" si="13"/>
        <v>0</v>
      </c>
      <c r="Y84" s="26">
        <f t="shared" si="17"/>
        <v>0</v>
      </c>
      <c r="Z84" s="33" t="s">
        <v>15</v>
      </c>
      <c r="AA84" s="36" t="s">
        <v>16</v>
      </c>
      <c r="AB84" s="35">
        <f t="shared" si="18"/>
        <v>1</v>
      </c>
      <c r="AC84" s="35">
        <f t="shared" si="12"/>
        <v>1218.03</v>
      </c>
      <c r="AD84" s="181">
        <v>1.2</v>
      </c>
      <c r="AE84" s="181">
        <v>1.2</v>
      </c>
      <c r="AF84" s="101" t="str">
        <f t="shared" si="19"/>
        <v/>
      </c>
      <c r="AG84" s="190">
        <v>0</v>
      </c>
      <c r="AH84" s="69">
        <f t="shared" si="20"/>
        <v>1</v>
      </c>
    </row>
    <row r="85" spans="1:34" s="69" customFormat="1" ht="33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>
        <v>3110.7</v>
      </c>
      <c r="I85" s="75">
        <v>3110.7</v>
      </c>
      <c r="J85" s="91" t="s">
        <v>244</v>
      </c>
      <c r="K85" s="73"/>
      <c r="L85" s="46">
        <v>0</v>
      </c>
      <c r="M85" s="46">
        <v>0</v>
      </c>
      <c r="N85" s="46">
        <v>0</v>
      </c>
      <c r="O85" s="98"/>
      <c r="P85" s="23" t="s">
        <v>1449</v>
      </c>
      <c r="Q85" s="24" t="s">
        <v>243</v>
      </c>
      <c r="R85" s="25" t="s">
        <v>81</v>
      </c>
      <c r="S85" s="26">
        <v>1</v>
      </c>
      <c r="T85" s="26"/>
      <c r="U85" s="26">
        <f t="shared" si="14"/>
        <v>3110.7</v>
      </c>
      <c r="V85" s="26">
        <f t="shared" si="15"/>
        <v>0</v>
      </c>
      <c r="W85" s="26">
        <f t="shared" si="16"/>
        <v>0</v>
      </c>
      <c r="X85" s="26">
        <f t="shared" si="13"/>
        <v>0</v>
      </c>
      <c r="Y85" s="26">
        <f t="shared" si="17"/>
        <v>0</v>
      </c>
      <c r="Z85" s="33" t="s">
        <v>15</v>
      </c>
      <c r="AA85" s="36" t="s">
        <v>16</v>
      </c>
      <c r="AB85" s="35">
        <f t="shared" si="18"/>
        <v>1</v>
      </c>
      <c r="AC85" s="35">
        <f t="shared" si="12"/>
        <v>3110.7</v>
      </c>
      <c r="AD85" s="181">
        <v>1.2</v>
      </c>
      <c r="AE85" s="181">
        <v>1.2</v>
      </c>
      <c r="AF85" s="101" t="str">
        <f t="shared" si="19"/>
        <v/>
      </c>
      <c r="AG85" s="190">
        <v>0</v>
      </c>
      <c r="AH85" s="69">
        <f t="shared" si="20"/>
        <v>1</v>
      </c>
    </row>
    <row r="86" spans="1:34" s="69" customFormat="1" ht="33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>
        <v>1251.0999999999999</v>
      </c>
      <c r="I86" s="75">
        <v>1251.0999999999999</v>
      </c>
      <c r="J86" s="91" t="s">
        <v>247</v>
      </c>
      <c r="K86" s="73"/>
      <c r="L86" s="46">
        <v>0</v>
      </c>
      <c r="M86" s="46">
        <v>0</v>
      </c>
      <c r="N86" s="46">
        <v>0</v>
      </c>
      <c r="O86" s="98"/>
      <c r="P86" s="23" t="s">
        <v>1450</v>
      </c>
      <c r="Q86" s="24" t="s">
        <v>246</v>
      </c>
      <c r="R86" s="25" t="s">
        <v>81</v>
      </c>
      <c r="S86" s="26">
        <v>1</v>
      </c>
      <c r="T86" s="26"/>
      <c r="U86" s="26">
        <f t="shared" si="14"/>
        <v>1251.0999999999999</v>
      </c>
      <c r="V86" s="26">
        <f t="shared" si="15"/>
        <v>0</v>
      </c>
      <c r="W86" s="26">
        <f t="shared" si="16"/>
        <v>0</v>
      </c>
      <c r="X86" s="26">
        <f t="shared" si="13"/>
        <v>0</v>
      </c>
      <c r="Y86" s="26">
        <f t="shared" si="17"/>
        <v>0</v>
      </c>
      <c r="Z86" s="33" t="s">
        <v>15</v>
      </c>
      <c r="AA86" s="36" t="s">
        <v>16</v>
      </c>
      <c r="AB86" s="35">
        <f t="shared" si="18"/>
        <v>1</v>
      </c>
      <c r="AC86" s="35">
        <f t="shared" si="12"/>
        <v>1251.0999999999999</v>
      </c>
      <c r="AD86" s="181">
        <v>1.2</v>
      </c>
      <c r="AE86" s="181">
        <v>1.2</v>
      </c>
      <c r="AF86" s="101" t="str">
        <f t="shared" si="19"/>
        <v/>
      </c>
      <c r="AG86" s="190">
        <v>0</v>
      </c>
      <c r="AH86" s="69">
        <f t="shared" si="20"/>
        <v>1</v>
      </c>
    </row>
    <row r="87" spans="1:34" s="69" customFormat="1" ht="33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>
        <v>9500.58</v>
      </c>
      <c r="I87" s="75">
        <v>9500.58</v>
      </c>
      <c r="J87" s="91" t="s">
        <v>250</v>
      </c>
      <c r="K87" s="73"/>
      <c r="L87" s="46">
        <v>0</v>
      </c>
      <c r="M87" s="46">
        <v>0</v>
      </c>
      <c r="N87" s="46">
        <v>0</v>
      </c>
      <c r="O87" s="98"/>
      <c r="P87" s="23" t="s">
        <v>1451</v>
      </c>
      <c r="Q87" s="24" t="s">
        <v>249</v>
      </c>
      <c r="R87" s="25" t="s">
        <v>81</v>
      </c>
      <c r="S87" s="26">
        <v>1</v>
      </c>
      <c r="T87" s="26"/>
      <c r="U87" s="26">
        <f t="shared" si="14"/>
        <v>9500.58</v>
      </c>
      <c r="V87" s="26">
        <f t="shared" si="15"/>
        <v>0</v>
      </c>
      <c r="W87" s="26">
        <f t="shared" si="16"/>
        <v>0</v>
      </c>
      <c r="X87" s="26">
        <f t="shared" si="13"/>
        <v>0</v>
      </c>
      <c r="Y87" s="26">
        <f t="shared" si="17"/>
        <v>0</v>
      </c>
      <c r="Z87" s="33" t="s">
        <v>15</v>
      </c>
      <c r="AA87" s="36" t="s">
        <v>16</v>
      </c>
      <c r="AB87" s="35">
        <f t="shared" si="18"/>
        <v>1</v>
      </c>
      <c r="AC87" s="35">
        <f t="shared" si="12"/>
        <v>9500.58</v>
      </c>
      <c r="AD87" s="181">
        <v>1.2</v>
      </c>
      <c r="AE87" s="181">
        <v>1.2</v>
      </c>
      <c r="AF87" s="101" t="str">
        <f t="shared" si="19"/>
        <v/>
      </c>
      <c r="AG87" s="190">
        <v>0</v>
      </c>
      <c r="AH87" s="69">
        <f t="shared" si="20"/>
        <v>1</v>
      </c>
    </row>
    <row r="88" spans="1:34" s="69" customFormat="1" ht="33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>
        <v>3871.43</v>
      </c>
      <c r="I88" s="75">
        <v>3871.43</v>
      </c>
      <c r="J88" s="91" t="s">
        <v>253</v>
      </c>
      <c r="K88" s="73"/>
      <c r="L88" s="46">
        <v>0</v>
      </c>
      <c r="M88" s="46">
        <v>0</v>
      </c>
      <c r="N88" s="46">
        <v>0</v>
      </c>
      <c r="O88" s="98"/>
      <c r="P88" s="23" t="s">
        <v>1452</v>
      </c>
      <c r="Q88" s="24" t="s">
        <v>252</v>
      </c>
      <c r="R88" s="25" t="s">
        <v>81</v>
      </c>
      <c r="S88" s="26">
        <v>1</v>
      </c>
      <c r="T88" s="26"/>
      <c r="U88" s="26">
        <f t="shared" si="14"/>
        <v>3871.43</v>
      </c>
      <c r="V88" s="26">
        <f t="shared" si="15"/>
        <v>0</v>
      </c>
      <c r="W88" s="26">
        <f t="shared" si="16"/>
        <v>0</v>
      </c>
      <c r="X88" s="26">
        <f t="shared" si="13"/>
        <v>0</v>
      </c>
      <c r="Y88" s="26">
        <f t="shared" si="17"/>
        <v>0</v>
      </c>
      <c r="Z88" s="33" t="s">
        <v>15</v>
      </c>
      <c r="AA88" s="36" t="s">
        <v>16</v>
      </c>
      <c r="AB88" s="35">
        <f t="shared" si="18"/>
        <v>1</v>
      </c>
      <c r="AC88" s="35">
        <f t="shared" si="12"/>
        <v>3871.43</v>
      </c>
      <c r="AD88" s="181">
        <v>1.2</v>
      </c>
      <c r="AE88" s="181">
        <v>1.2</v>
      </c>
      <c r="AF88" s="101" t="str">
        <f t="shared" si="19"/>
        <v/>
      </c>
      <c r="AG88" s="190">
        <v>0</v>
      </c>
      <c r="AH88" s="69">
        <f t="shared" si="20"/>
        <v>1</v>
      </c>
    </row>
    <row r="89" spans="1:34" s="69" customFormat="1" ht="33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>
        <v>25380.34</v>
      </c>
      <c r="I89" s="75">
        <v>25380.34</v>
      </c>
      <c r="J89" s="91" t="s">
        <v>256</v>
      </c>
      <c r="K89" s="73"/>
      <c r="L89" s="46">
        <v>0</v>
      </c>
      <c r="M89" s="46">
        <v>0</v>
      </c>
      <c r="N89" s="46">
        <v>0</v>
      </c>
      <c r="O89" s="98"/>
      <c r="P89" s="23" t="s">
        <v>1453</v>
      </c>
      <c r="Q89" s="24" t="s">
        <v>255</v>
      </c>
      <c r="R89" s="25" t="s">
        <v>81</v>
      </c>
      <c r="S89" s="26">
        <v>1</v>
      </c>
      <c r="T89" s="26"/>
      <c r="U89" s="26">
        <f t="shared" si="14"/>
        <v>25380.34</v>
      </c>
      <c r="V89" s="26">
        <f t="shared" si="15"/>
        <v>0</v>
      </c>
      <c r="W89" s="26">
        <f t="shared" si="16"/>
        <v>0</v>
      </c>
      <c r="X89" s="26">
        <f t="shared" si="13"/>
        <v>0</v>
      </c>
      <c r="Y89" s="26">
        <f t="shared" si="17"/>
        <v>0</v>
      </c>
      <c r="Z89" s="33" t="s">
        <v>15</v>
      </c>
      <c r="AA89" s="36" t="s">
        <v>16</v>
      </c>
      <c r="AB89" s="35">
        <f t="shared" si="18"/>
        <v>1</v>
      </c>
      <c r="AC89" s="35">
        <f t="shared" si="12"/>
        <v>25380.34</v>
      </c>
      <c r="AD89" s="181">
        <v>1.2</v>
      </c>
      <c r="AE89" s="181">
        <v>1.2</v>
      </c>
      <c r="AF89" s="101" t="str">
        <f t="shared" si="19"/>
        <v/>
      </c>
      <c r="AG89" s="190">
        <v>0</v>
      </c>
      <c r="AH89" s="69">
        <f t="shared" si="20"/>
        <v>1</v>
      </c>
    </row>
    <row r="90" spans="1:34" s="69" customFormat="1" ht="33" x14ac:dyDescent="0.3">
      <c r="A90" s="55" t="s">
        <v>257</v>
      </c>
      <c r="B90" s="53" t="s">
        <v>258</v>
      </c>
      <c r="C90" s="54" t="s">
        <v>30</v>
      </c>
      <c r="D90" s="75">
        <v>13.9</v>
      </c>
      <c r="E90" s="75"/>
      <c r="F90" s="75"/>
      <c r="G90" s="75"/>
      <c r="H90" s="75">
        <v>1285.31</v>
      </c>
      <c r="I90" s="75">
        <v>17865.810000000001</v>
      </c>
      <c r="J90" s="91" t="s">
        <v>259</v>
      </c>
      <c r="K90" s="73"/>
      <c r="L90" s="46">
        <v>0</v>
      </c>
      <c r="M90" s="46">
        <v>0</v>
      </c>
      <c r="N90" s="46">
        <v>0</v>
      </c>
      <c r="O90" s="98"/>
      <c r="P90" s="23" t="s">
        <v>1454</v>
      </c>
      <c r="Q90" s="24" t="s">
        <v>258</v>
      </c>
      <c r="R90" s="25" t="s">
        <v>30</v>
      </c>
      <c r="S90" s="26">
        <v>13.9</v>
      </c>
      <c r="T90" s="26"/>
      <c r="U90" s="26">
        <f t="shared" si="14"/>
        <v>1285.31</v>
      </c>
      <c r="V90" s="26">
        <f t="shared" si="15"/>
        <v>0</v>
      </c>
      <c r="W90" s="26">
        <f t="shared" si="16"/>
        <v>0</v>
      </c>
      <c r="X90" s="26">
        <f t="shared" si="13"/>
        <v>0</v>
      </c>
      <c r="Y90" s="26">
        <f t="shared" si="17"/>
        <v>0</v>
      </c>
      <c r="Z90" s="33" t="s">
        <v>15</v>
      </c>
      <c r="AA90" s="36" t="s">
        <v>16</v>
      </c>
      <c r="AB90" s="35">
        <f t="shared" si="18"/>
        <v>13.9</v>
      </c>
      <c r="AC90" s="35">
        <f t="shared" si="12"/>
        <v>17865.810000000001</v>
      </c>
      <c r="AD90" s="181">
        <v>1.2</v>
      </c>
      <c r="AE90" s="181">
        <v>1.2</v>
      </c>
      <c r="AF90" s="101" t="str">
        <f t="shared" si="19"/>
        <v/>
      </c>
      <c r="AG90" s="190">
        <v>0</v>
      </c>
      <c r="AH90" s="69">
        <f t="shared" si="20"/>
        <v>13.9</v>
      </c>
    </row>
    <row r="91" spans="1:34" s="69" customFormat="1" ht="33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>
        <v>1976.06</v>
      </c>
      <c r="I91" s="75">
        <v>186046.05</v>
      </c>
      <c r="J91" s="91" t="s">
        <v>262</v>
      </c>
      <c r="K91" s="73"/>
      <c r="L91" s="46">
        <v>0</v>
      </c>
      <c r="M91" s="46">
        <v>0</v>
      </c>
      <c r="N91" s="46">
        <v>0</v>
      </c>
      <c r="O91" s="98"/>
      <c r="P91" s="23" t="s">
        <v>1455</v>
      </c>
      <c r="Q91" s="24" t="s">
        <v>261</v>
      </c>
      <c r="R91" s="25" t="s">
        <v>30</v>
      </c>
      <c r="S91" s="26">
        <v>94.15</v>
      </c>
      <c r="T91" s="26"/>
      <c r="U91" s="26">
        <f t="shared" si="14"/>
        <v>1976.06</v>
      </c>
      <c r="V91" s="26">
        <f t="shared" si="15"/>
        <v>0</v>
      </c>
      <c r="W91" s="26">
        <f t="shared" si="16"/>
        <v>0</v>
      </c>
      <c r="X91" s="26">
        <f t="shared" si="13"/>
        <v>0</v>
      </c>
      <c r="Y91" s="26">
        <f t="shared" si="17"/>
        <v>0</v>
      </c>
      <c r="Z91" s="33" t="s">
        <v>15</v>
      </c>
      <c r="AA91" s="36" t="s">
        <v>16</v>
      </c>
      <c r="AB91" s="35">
        <f t="shared" si="18"/>
        <v>94.15</v>
      </c>
      <c r="AC91" s="35">
        <f t="shared" si="12"/>
        <v>186046.05</v>
      </c>
      <c r="AD91" s="181">
        <v>1.2</v>
      </c>
      <c r="AE91" s="181">
        <v>1.2</v>
      </c>
      <c r="AF91" s="101" t="str">
        <f t="shared" si="19"/>
        <v/>
      </c>
      <c r="AG91" s="190">
        <v>0</v>
      </c>
      <c r="AH91" s="69">
        <f t="shared" si="20"/>
        <v>94.15</v>
      </c>
    </row>
    <row r="92" spans="1:34" s="69" customFormat="1" ht="33" x14ac:dyDescent="0.3">
      <c r="A92" s="55" t="s">
        <v>263</v>
      </c>
      <c r="B92" s="53" t="s">
        <v>264</v>
      </c>
      <c r="C92" s="54" t="s">
        <v>30</v>
      </c>
      <c r="D92" s="75">
        <v>13.5</v>
      </c>
      <c r="E92" s="75"/>
      <c r="F92" s="75"/>
      <c r="G92" s="75"/>
      <c r="H92" s="75">
        <v>1889.54</v>
      </c>
      <c r="I92" s="75">
        <v>25508.79</v>
      </c>
      <c r="J92" s="91" t="s">
        <v>265</v>
      </c>
      <c r="K92" s="73"/>
      <c r="L92" s="46">
        <v>0</v>
      </c>
      <c r="M92" s="46">
        <v>0</v>
      </c>
      <c r="N92" s="46">
        <v>0</v>
      </c>
      <c r="O92" s="98"/>
      <c r="P92" s="23" t="s">
        <v>1456</v>
      </c>
      <c r="Q92" s="24" t="s">
        <v>264</v>
      </c>
      <c r="R92" s="25" t="s">
        <v>30</v>
      </c>
      <c r="S92" s="26">
        <v>13.5</v>
      </c>
      <c r="T92" s="26"/>
      <c r="U92" s="26">
        <f t="shared" si="14"/>
        <v>1889.54</v>
      </c>
      <c r="V92" s="26">
        <f t="shared" si="15"/>
        <v>0</v>
      </c>
      <c r="W92" s="26">
        <f t="shared" si="16"/>
        <v>0</v>
      </c>
      <c r="X92" s="26">
        <f t="shared" si="13"/>
        <v>0</v>
      </c>
      <c r="Y92" s="26">
        <f t="shared" si="17"/>
        <v>0</v>
      </c>
      <c r="Z92" s="33" t="s">
        <v>15</v>
      </c>
      <c r="AA92" s="36" t="s">
        <v>16</v>
      </c>
      <c r="AB92" s="35">
        <f t="shared" si="18"/>
        <v>13.5</v>
      </c>
      <c r="AC92" s="35">
        <f t="shared" si="12"/>
        <v>25508.79</v>
      </c>
      <c r="AD92" s="181">
        <v>1.2</v>
      </c>
      <c r="AE92" s="181">
        <v>1.2</v>
      </c>
      <c r="AF92" s="101" t="str">
        <f t="shared" si="19"/>
        <v/>
      </c>
      <c r="AG92" s="190">
        <v>0</v>
      </c>
      <c r="AH92" s="69">
        <f t="shared" si="20"/>
        <v>13.5</v>
      </c>
    </row>
    <row r="93" spans="1:34" s="69" customFormat="1" ht="33" x14ac:dyDescent="0.3">
      <c r="A93" s="55" t="s">
        <v>266</v>
      </c>
      <c r="B93" s="53" t="s">
        <v>267</v>
      </c>
      <c r="C93" s="54" t="s">
        <v>30</v>
      </c>
      <c r="D93" s="75">
        <v>13.7</v>
      </c>
      <c r="E93" s="75"/>
      <c r="F93" s="75"/>
      <c r="G93" s="75"/>
      <c r="H93" s="75">
        <v>1778.66</v>
      </c>
      <c r="I93" s="75">
        <v>24367.64</v>
      </c>
      <c r="J93" s="91" t="s">
        <v>268</v>
      </c>
      <c r="K93" s="73"/>
      <c r="L93" s="46">
        <v>0</v>
      </c>
      <c r="M93" s="46">
        <v>0</v>
      </c>
      <c r="N93" s="46">
        <v>0</v>
      </c>
      <c r="O93" s="98"/>
      <c r="P93" s="23" t="s">
        <v>1457</v>
      </c>
      <c r="Q93" s="24" t="s">
        <v>267</v>
      </c>
      <c r="R93" s="25" t="s">
        <v>30</v>
      </c>
      <c r="S93" s="26">
        <v>13.7</v>
      </c>
      <c r="T93" s="26"/>
      <c r="U93" s="26">
        <f t="shared" si="14"/>
        <v>1778.66</v>
      </c>
      <c r="V93" s="26">
        <f t="shared" si="15"/>
        <v>0</v>
      </c>
      <c r="W93" s="26">
        <f t="shared" si="16"/>
        <v>0</v>
      </c>
      <c r="X93" s="26">
        <f t="shared" si="13"/>
        <v>0</v>
      </c>
      <c r="Y93" s="26">
        <f t="shared" si="17"/>
        <v>0</v>
      </c>
      <c r="Z93" s="33" t="s">
        <v>15</v>
      </c>
      <c r="AA93" s="36" t="s">
        <v>16</v>
      </c>
      <c r="AB93" s="35">
        <f t="shared" si="18"/>
        <v>13.7</v>
      </c>
      <c r="AC93" s="35">
        <f t="shared" si="12"/>
        <v>24367.64</v>
      </c>
      <c r="AD93" s="181">
        <v>1.2</v>
      </c>
      <c r="AE93" s="181">
        <v>1.2</v>
      </c>
      <c r="AF93" s="101" t="str">
        <f t="shared" si="19"/>
        <v/>
      </c>
      <c r="AG93" s="190">
        <v>0</v>
      </c>
      <c r="AH93" s="69">
        <f t="shared" si="20"/>
        <v>13.7</v>
      </c>
    </row>
    <row r="94" spans="1:34" s="69" customFormat="1" ht="33" x14ac:dyDescent="0.3">
      <c r="A94" s="55" t="s">
        <v>269</v>
      </c>
      <c r="B94" s="53" t="s">
        <v>270</v>
      </c>
      <c r="C94" s="54" t="s">
        <v>30</v>
      </c>
      <c r="D94" s="75">
        <v>17.920000000000002</v>
      </c>
      <c r="E94" s="75"/>
      <c r="F94" s="75"/>
      <c r="G94" s="75"/>
      <c r="H94" s="75">
        <v>2939.14</v>
      </c>
      <c r="I94" s="75">
        <v>52669.39</v>
      </c>
      <c r="J94" s="91" t="s">
        <v>271</v>
      </c>
      <c r="K94" s="73"/>
      <c r="L94" s="46">
        <v>0</v>
      </c>
      <c r="M94" s="46">
        <v>0</v>
      </c>
      <c r="N94" s="46">
        <v>0</v>
      </c>
      <c r="O94" s="98"/>
      <c r="P94" s="23" t="s">
        <v>1458</v>
      </c>
      <c r="Q94" s="24" t="s">
        <v>270</v>
      </c>
      <c r="R94" s="25" t="s">
        <v>30</v>
      </c>
      <c r="S94" s="26">
        <v>17.920000000000002</v>
      </c>
      <c r="T94" s="26"/>
      <c r="U94" s="26">
        <f t="shared" si="14"/>
        <v>2939.14</v>
      </c>
      <c r="V94" s="26">
        <f t="shared" si="15"/>
        <v>0</v>
      </c>
      <c r="W94" s="26">
        <f t="shared" si="16"/>
        <v>0</v>
      </c>
      <c r="X94" s="26">
        <f t="shared" si="13"/>
        <v>0</v>
      </c>
      <c r="Y94" s="26">
        <f t="shared" si="17"/>
        <v>0</v>
      </c>
      <c r="Z94" s="33" t="s">
        <v>15</v>
      </c>
      <c r="AA94" s="36" t="s">
        <v>16</v>
      </c>
      <c r="AB94" s="35">
        <f t="shared" si="18"/>
        <v>17.920000000000002</v>
      </c>
      <c r="AC94" s="35">
        <f t="shared" si="12"/>
        <v>52669.39</v>
      </c>
      <c r="AD94" s="181">
        <v>1.2</v>
      </c>
      <c r="AE94" s="181">
        <v>1.2</v>
      </c>
      <c r="AF94" s="101" t="str">
        <f t="shared" si="19"/>
        <v/>
      </c>
      <c r="AG94" s="190">
        <v>0</v>
      </c>
      <c r="AH94" s="69">
        <f t="shared" si="20"/>
        <v>17.920000000000002</v>
      </c>
    </row>
    <row r="95" spans="1:34" s="69" customFormat="1" ht="33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>
        <v>23030.799999999999</v>
      </c>
      <c r="I95" s="75">
        <v>23030.799999999999</v>
      </c>
      <c r="J95" s="91" t="s">
        <v>274</v>
      </c>
      <c r="K95" s="73"/>
      <c r="L95" s="46">
        <v>0</v>
      </c>
      <c r="M95" s="46">
        <v>0</v>
      </c>
      <c r="N95" s="46">
        <v>0</v>
      </c>
      <c r="O95" s="98"/>
      <c r="P95" s="23" t="s">
        <v>1459</v>
      </c>
      <c r="Q95" s="24" t="s">
        <v>273</v>
      </c>
      <c r="R95" s="25" t="s">
        <v>81</v>
      </c>
      <c r="S95" s="26">
        <v>1</v>
      </c>
      <c r="T95" s="26"/>
      <c r="U95" s="26">
        <f t="shared" si="14"/>
        <v>23030.799999999999</v>
      </c>
      <c r="V95" s="26">
        <f t="shared" si="15"/>
        <v>0</v>
      </c>
      <c r="W95" s="26">
        <f t="shared" si="16"/>
        <v>0</v>
      </c>
      <c r="X95" s="26">
        <f t="shared" si="13"/>
        <v>0</v>
      </c>
      <c r="Y95" s="26">
        <f t="shared" si="17"/>
        <v>0</v>
      </c>
      <c r="Z95" s="33" t="s">
        <v>15</v>
      </c>
      <c r="AA95" s="36" t="s">
        <v>16</v>
      </c>
      <c r="AB95" s="35">
        <f t="shared" si="18"/>
        <v>1</v>
      </c>
      <c r="AC95" s="35">
        <f t="shared" si="12"/>
        <v>23030.799999999999</v>
      </c>
      <c r="AD95" s="181">
        <v>1.2</v>
      </c>
      <c r="AE95" s="181">
        <v>1.2</v>
      </c>
      <c r="AF95" s="101" t="str">
        <f t="shared" si="19"/>
        <v/>
      </c>
      <c r="AG95" s="190">
        <v>0</v>
      </c>
      <c r="AH95" s="69">
        <f t="shared" si="20"/>
        <v>1</v>
      </c>
    </row>
    <row r="96" spans="1:34" s="69" customFormat="1" ht="33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>
        <v>18605.919999999998</v>
      </c>
      <c r="I96" s="75">
        <v>37211.839999999997</v>
      </c>
      <c r="J96" s="91" t="s">
        <v>277</v>
      </c>
      <c r="K96" s="73"/>
      <c r="L96" s="46">
        <v>0</v>
      </c>
      <c r="M96" s="46">
        <v>0</v>
      </c>
      <c r="N96" s="46">
        <v>0</v>
      </c>
      <c r="O96" s="98"/>
      <c r="P96" s="23" t="s">
        <v>1460</v>
      </c>
      <c r="Q96" s="24" t="s">
        <v>276</v>
      </c>
      <c r="R96" s="25" t="s">
        <v>81</v>
      </c>
      <c r="S96" s="26">
        <v>2</v>
      </c>
      <c r="T96" s="26"/>
      <c r="U96" s="26">
        <f t="shared" si="14"/>
        <v>18605.919999999998</v>
      </c>
      <c r="V96" s="26">
        <f t="shared" si="15"/>
        <v>0</v>
      </c>
      <c r="W96" s="26">
        <f t="shared" si="16"/>
        <v>0</v>
      </c>
      <c r="X96" s="26">
        <f t="shared" si="13"/>
        <v>0</v>
      </c>
      <c r="Y96" s="26">
        <f t="shared" si="17"/>
        <v>0</v>
      </c>
      <c r="Z96" s="33" t="s">
        <v>15</v>
      </c>
      <c r="AA96" s="36" t="s">
        <v>16</v>
      </c>
      <c r="AB96" s="35">
        <f t="shared" si="18"/>
        <v>2</v>
      </c>
      <c r="AC96" s="35">
        <f t="shared" si="12"/>
        <v>37211.839999999997</v>
      </c>
      <c r="AD96" s="181">
        <v>1.2</v>
      </c>
      <c r="AE96" s="181">
        <v>1.2</v>
      </c>
      <c r="AF96" s="101" t="str">
        <f t="shared" si="19"/>
        <v/>
      </c>
      <c r="AG96" s="190">
        <v>0</v>
      </c>
      <c r="AH96" s="69">
        <f t="shared" si="20"/>
        <v>2</v>
      </c>
    </row>
    <row r="97" spans="1:34" s="69" customFormat="1" ht="33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>
        <v>18605.919999999998</v>
      </c>
      <c r="I97" s="75">
        <v>18605.919999999998</v>
      </c>
      <c r="J97" s="91" t="s">
        <v>280</v>
      </c>
      <c r="K97" s="73"/>
      <c r="L97" s="46">
        <v>0</v>
      </c>
      <c r="M97" s="46">
        <v>0</v>
      </c>
      <c r="N97" s="46">
        <v>0</v>
      </c>
      <c r="O97" s="98"/>
      <c r="P97" s="23" t="s">
        <v>1461</v>
      </c>
      <c r="Q97" s="24" t="s">
        <v>279</v>
      </c>
      <c r="R97" s="25" t="s">
        <v>81</v>
      </c>
      <c r="S97" s="26">
        <v>1</v>
      </c>
      <c r="T97" s="26"/>
      <c r="U97" s="26">
        <f t="shared" si="14"/>
        <v>18605.919999999998</v>
      </c>
      <c r="V97" s="26">
        <f t="shared" si="15"/>
        <v>0</v>
      </c>
      <c r="W97" s="26">
        <f t="shared" si="16"/>
        <v>0</v>
      </c>
      <c r="X97" s="26">
        <f t="shared" si="13"/>
        <v>0</v>
      </c>
      <c r="Y97" s="26">
        <f t="shared" si="17"/>
        <v>0</v>
      </c>
      <c r="Z97" s="33" t="s">
        <v>15</v>
      </c>
      <c r="AA97" s="36" t="s">
        <v>16</v>
      </c>
      <c r="AB97" s="35">
        <f t="shared" si="18"/>
        <v>1</v>
      </c>
      <c r="AC97" s="35">
        <f t="shared" si="12"/>
        <v>18605.919999999998</v>
      </c>
      <c r="AD97" s="181">
        <v>1.2</v>
      </c>
      <c r="AE97" s="181">
        <v>1.2</v>
      </c>
      <c r="AF97" s="101" t="str">
        <f t="shared" si="19"/>
        <v/>
      </c>
      <c r="AG97" s="190">
        <v>0</v>
      </c>
      <c r="AH97" s="69">
        <f t="shared" si="20"/>
        <v>1</v>
      </c>
    </row>
    <row r="98" spans="1:34" s="69" customFormat="1" ht="33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>
        <v>11655.48</v>
      </c>
      <c r="I98" s="75">
        <v>34966.44</v>
      </c>
      <c r="J98" s="91" t="s">
        <v>283</v>
      </c>
      <c r="K98" s="73"/>
      <c r="L98" s="46">
        <v>0</v>
      </c>
      <c r="M98" s="46">
        <v>0</v>
      </c>
      <c r="N98" s="46">
        <v>0</v>
      </c>
      <c r="O98" s="98"/>
      <c r="P98" s="23" t="s">
        <v>1462</v>
      </c>
      <c r="Q98" s="24" t="s">
        <v>282</v>
      </c>
      <c r="R98" s="25" t="s">
        <v>81</v>
      </c>
      <c r="S98" s="26">
        <v>3</v>
      </c>
      <c r="T98" s="26"/>
      <c r="U98" s="26">
        <f t="shared" si="14"/>
        <v>11655.48</v>
      </c>
      <c r="V98" s="26">
        <f t="shared" si="15"/>
        <v>0</v>
      </c>
      <c r="W98" s="26">
        <f t="shared" si="16"/>
        <v>0</v>
      </c>
      <c r="X98" s="26">
        <f t="shared" si="13"/>
        <v>0</v>
      </c>
      <c r="Y98" s="26">
        <f t="shared" si="17"/>
        <v>0</v>
      </c>
      <c r="Z98" s="33" t="s">
        <v>15</v>
      </c>
      <c r="AA98" s="36" t="s">
        <v>16</v>
      </c>
      <c r="AB98" s="35">
        <f t="shared" si="18"/>
        <v>3</v>
      </c>
      <c r="AC98" s="35">
        <f t="shared" si="12"/>
        <v>34966.44</v>
      </c>
      <c r="AD98" s="181">
        <v>1.2</v>
      </c>
      <c r="AE98" s="181">
        <v>1.2</v>
      </c>
      <c r="AF98" s="101" t="str">
        <f t="shared" si="19"/>
        <v/>
      </c>
      <c r="AG98" s="190">
        <v>0</v>
      </c>
      <c r="AH98" s="69">
        <f t="shared" si="20"/>
        <v>3</v>
      </c>
    </row>
    <row r="99" spans="1:34" s="69" customFormat="1" ht="33" x14ac:dyDescent="0.3">
      <c r="A99" s="55" t="s">
        <v>284</v>
      </c>
      <c r="B99" s="53" t="s">
        <v>285</v>
      </c>
      <c r="C99" s="54" t="s">
        <v>81</v>
      </c>
      <c r="D99" s="75">
        <v>4</v>
      </c>
      <c r="E99" s="75"/>
      <c r="F99" s="75"/>
      <c r="G99" s="75"/>
      <c r="H99" s="75">
        <v>25108.91</v>
      </c>
      <c r="I99" s="75">
        <v>100435.64</v>
      </c>
      <c r="J99" s="91" t="s">
        <v>286</v>
      </c>
      <c r="K99" s="73"/>
      <c r="L99" s="46">
        <v>0</v>
      </c>
      <c r="M99" s="46">
        <v>0</v>
      </c>
      <c r="N99" s="46">
        <v>0</v>
      </c>
      <c r="O99" s="98"/>
      <c r="P99" s="23" t="s">
        <v>1463</v>
      </c>
      <c r="Q99" s="24" t="s">
        <v>285</v>
      </c>
      <c r="R99" s="25" t="s">
        <v>81</v>
      </c>
      <c r="S99" s="26">
        <v>4</v>
      </c>
      <c r="T99" s="26"/>
      <c r="U99" s="26">
        <f t="shared" si="14"/>
        <v>25108.91</v>
      </c>
      <c r="V99" s="26">
        <f t="shared" si="15"/>
        <v>0</v>
      </c>
      <c r="W99" s="26">
        <f t="shared" si="16"/>
        <v>0</v>
      </c>
      <c r="X99" s="26">
        <f t="shared" si="13"/>
        <v>0</v>
      </c>
      <c r="Y99" s="26">
        <f t="shared" si="17"/>
        <v>0</v>
      </c>
      <c r="Z99" s="33" t="s">
        <v>15</v>
      </c>
      <c r="AA99" s="36" t="s">
        <v>16</v>
      </c>
      <c r="AB99" s="35">
        <f t="shared" si="18"/>
        <v>4</v>
      </c>
      <c r="AC99" s="35">
        <f t="shared" si="12"/>
        <v>100435.64</v>
      </c>
      <c r="AD99" s="181">
        <v>1.2</v>
      </c>
      <c r="AE99" s="181">
        <v>1.2</v>
      </c>
      <c r="AF99" s="101" t="str">
        <f t="shared" si="19"/>
        <v/>
      </c>
      <c r="AG99" s="190">
        <v>0</v>
      </c>
      <c r="AH99" s="69">
        <f t="shared" si="20"/>
        <v>4</v>
      </c>
    </row>
    <row r="100" spans="1:34" s="69" customFormat="1" ht="33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>
        <v>22416.92</v>
      </c>
      <c r="I100" s="75">
        <v>112084.6</v>
      </c>
      <c r="J100" s="91" t="s">
        <v>289</v>
      </c>
      <c r="K100" s="73"/>
      <c r="L100" s="46">
        <v>0</v>
      </c>
      <c r="M100" s="46">
        <v>0</v>
      </c>
      <c r="N100" s="46">
        <v>0</v>
      </c>
      <c r="O100" s="98"/>
      <c r="P100" s="23" t="s">
        <v>1464</v>
      </c>
      <c r="Q100" s="24" t="s">
        <v>288</v>
      </c>
      <c r="R100" s="25" t="s">
        <v>81</v>
      </c>
      <c r="S100" s="26">
        <v>5</v>
      </c>
      <c r="T100" s="26"/>
      <c r="U100" s="26">
        <f t="shared" si="14"/>
        <v>22416.92</v>
      </c>
      <c r="V100" s="26">
        <f t="shared" si="15"/>
        <v>0</v>
      </c>
      <c r="W100" s="26">
        <f t="shared" si="16"/>
        <v>0</v>
      </c>
      <c r="X100" s="26">
        <f t="shared" si="13"/>
        <v>0</v>
      </c>
      <c r="Y100" s="26">
        <f t="shared" si="17"/>
        <v>0</v>
      </c>
      <c r="Z100" s="33" t="s">
        <v>15</v>
      </c>
      <c r="AA100" s="36" t="s">
        <v>16</v>
      </c>
      <c r="AB100" s="35">
        <f t="shared" si="18"/>
        <v>5</v>
      </c>
      <c r="AC100" s="35">
        <f t="shared" si="12"/>
        <v>112084.6</v>
      </c>
      <c r="AD100" s="181">
        <v>1.2</v>
      </c>
      <c r="AE100" s="181">
        <v>1.2</v>
      </c>
      <c r="AF100" s="101" t="str">
        <f t="shared" si="19"/>
        <v/>
      </c>
      <c r="AG100" s="190">
        <v>0</v>
      </c>
      <c r="AH100" s="69">
        <f t="shared" si="20"/>
        <v>5</v>
      </c>
    </row>
    <row r="101" spans="1:34" s="69" customFormat="1" ht="33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>
        <v>21724.76</v>
      </c>
      <c r="I101" s="75">
        <v>21724.76</v>
      </c>
      <c r="J101" s="91" t="s">
        <v>292</v>
      </c>
      <c r="K101" s="73"/>
      <c r="L101" s="46">
        <v>0</v>
      </c>
      <c r="M101" s="46">
        <v>0</v>
      </c>
      <c r="N101" s="46">
        <v>0</v>
      </c>
      <c r="O101" s="98"/>
      <c r="P101" s="23" t="s">
        <v>1465</v>
      </c>
      <c r="Q101" s="24" t="s">
        <v>291</v>
      </c>
      <c r="R101" s="25" t="s">
        <v>81</v>
      </c>
      <c r="S101" s="26">
        <v>1</v>
      </c>
      <c r="T101" s="26"/>
      <c r="U101" s="26">
        <f t="shared" si="14"/>
        <v>21724.76</v>
      </c>
      <c r="V101" s="26">
        <f t="shared" si="15"/>
        <v>0</v>
      </c>
      <c r="W101" s="26">
        <f t="shared" si="16"/>
        <v>0</v>
      </c>
      <c r="X101" s="26">
        <f t="shared" si="13"/>
        <v>0</v>
      </c>
      <c r="Y101" s="26">
        <f t="shared" si="17"/>
        <v>0</v>
      </c>
      <c r="Z101" s="33" t="s">
        <v>15</v>
      </c>
      <c r="AA101" s="36" t="s">
        <v>16</v>
      </c>
      <c r="AB101" s="35">
        <f t="shared" si="18"/>
        <v>1</v>
      </c>
      <c r="AC101" s="35">
        <f t="shared" si="12"/>
        <v>21724.76</v>
      </c>
      <c r="AD101" s="181">
        <v>1.2</v>
      </c>
      <c r="AE101" s="181">
        <v>1.2</v>
      </c>
      <c r="AF101" s="101" t="str">
        <f t="shared" si="19"/>
        <v/>
      </c>
      <c r="AG101" s="190">
        <v>0</v>
      </c>
      <c r="AH101" s="69">
        <f t="shared" si="20"/>
        <v>1</v>
      </c>
    </row>
    <row r="102" spans="1:34" s="69" customFormat="1" ht="33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>
        <v>17341.04</v>
      </c>
      <c r="I102" s="75">
        <v>34682.080000000002</v>
      </c>
      <c r="J102" s="91" t="s">
        <v>295</v>
      </c>
      <c r="K102" s="73"/>
      <c r="L102" s="46">
        <v>0</v>
      </c>
      <c r="M102" s="46">
        <v>0</v>
      </c>
      <c r="N102" s="46">
        <v>0</v>
      </c>
      <c r="O102" s="98"/>
      <c r="P102" s="23" t="s">
        <v>1466</v>
      </c>
      <c r="Q102" s="24" t="s">
        <v>294</v>
      </c>
      <c r="R102" s="25" t="s">
        <v>81</v>
      </c>
      <c r="S102" s="26">
        <v>2</v>
      </c>
      <c r="T102" s="26"/>
      <c r="U102" s="26">
        <f t="shared" si="14"/>
        <v>17341.04</v>
      </c>
      <c r="V102" s="26">
        <f t="shared" si="15"/>
        <v>0</v>
      </c>
      <c r="W102" s="26">
        <f t="shared" si="16"/>
        <v>0</v>
      </c>
      <c r="X102" s="26">
        <f t="shared" si="13"/>
        <v>0</v>
      </c>
      <c r="Y102" s="26">
        <f t="shared" si="17"/>
        <v>0</v>
      </c>
      <c r="Z102" s="33" t="s">
        <v>15</v>
      </c>
      <c r="AA102" s="36" t="s">
        <v>16</v>
      </c>
      <c r="AB102" s="35">
        <f t="shared" si="18"/>
        <v>2</v>
      </c>
      <c r="AC102" s="35">
        <f t="shared" si="12"/>
        <v>34682.080000000002</v>
      </c>
      <c r="AD102" s="181">
        <v>1.2</v>
      </c>
      <c r="AE102" s="181">
        <v>1.2</v>
      </c>
      <c r="AF102" s="101" t="str">
        <f t="shared" si="19"/>
        <v/>
      </c>
      <c r="AG102" s="190">
        <v>0</v>
      </c>
      <c r="AH102" s="69">
        <f t="shared" si="20"/>
        <v>2</v>
      </c>
    </row>
    <row r="103" spans="1:34" s="69" customFormat="1" ht="33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>
        <v>17341.04</v>
      </c>
      <c r="I103" s="75">
        <v>17341.04</v>
      </c>
      <c r="J103" s="91" t="s">
        <v>298</v>
      </c>
      <c r="K103" s="73"/>
      <c r="L103" s="46">
        <v>0</v>
      </c>
      <c r="M103" s="46">
        <v>0</v>
      </c>
      <c r="N103" s="46">
        <v>0</v>
      </c>
      <c r="O103" s="98"/>
      <c r="P103" s="23" t="s">
        <v>1467</v>
      </c>
      <c r="Q103" s="24" t="s">
        <v>297</v>
      </c>
      <c r="R103" s="25" t="s">
        <v>81</v>
      </c>
      <c r="S103" s="26">
        <v>1</v>
      </c>
      <c r="T103" s="26"/>
      <c r="U103" s="26">
        <f t="shared" si="14"/>
        <v>17341.04</v>
      </c>
      <c r="V103" s="26">
        <f t="shared" si="15"/>
        <v>0</v>
      </c>
      <c r="W103" s="26">
        <f t="shared" si="16"/>
        <v>0</v>
      </c>
      <c r="X103" s="26">
        <f t="shared" ref="X103:X132" si="21">Y103-N103</f>
        <v>0</v>
      </c>
      <c r="Y103" s="26">
        <f t="shared" si="17"/>
        <v>0</v>
      </c>
      <c r="Z103" s="33" t="s">
        <v>15</v>
      </c>
      <c r="AA103" s="36" t="s">
        <v>16</v>
      </c>
      <c r="AB103" s="35">
        <f t="shared" si="18"/>
        <v>1</v>
      </c>
      <c r="AC103" s="35">
        <f t="shared" si="12"/>
        <v>17341.04</v>
      </c>
      <c r="AD103" s="181">
        <v>1.2</v>
      </c>
      <c r="AE103" s="181">
        <v>1.2</v>
      </c>
      <c r="AF103" s="101" t="str">
        <f t="shared" si="19"/>
        <v/>
      </c>
      <c r="AG103" s="190">
        <v>0</v>
      </c>
      <c r="AH103" s="69">
        <f t="shared" si="20"/>
        <v>1</v>
      </c>
    </row>
    <row r="104" spans="1:34" s="69" customFormat="1" ht="33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>
        <v>17341.04</v>
      </c>
      <c r="I104" s="75">
        <v>104046.24</v>
      </c>
      <c r="J104" s="91" t="s">
        <v>301</v>
      </c>
      <c r="K104" s="73"/>
      <c r="L104" s="46">
        <v>0</v>
      </c>
      <c r="M104" s="46">
        <v>0</v>
      </c>
      <c r="N104" s="46">
        <v>0</v>
      </c>
      <c r="O104" s="98"/>
      <c r="P104" s="23" t="s">
        <v>1468</v>
      </c>
      <c r="Q104" s="24" t="s">
        <v>300</v>
      </c>
      <c r="R104" s="25" t="s">
        <v>81</v>
      </c>
      <c r="S104" s="26">
        <v>6</v>
      </c>
      <c r="T104" s="26"/>
      <c r="U104" s="26">
        <f t="shared" si="14"/>
        <v>17341.04</v>
      </c>
      <c r="V104" s="26">
        <f t="shared" si="15"/>
        <v>0</v>
      </c>
      <c r="W104" s="26">
        <f t="shared" si="16"/>
        <v>0</v>
      </c>
      <c r="X104" s="26">
        <f t="shared" si="21"/>
        <v>0</v>
      </c>
      <c r="Y104" s="26">
        <f t="shared" si="17"/>
        <v>0</v>
      </c>
      <c r="Z104" s="33" t="s">
        <v>15</v>
      </c>
      <c r="AA104" s="36" t="s">
        <v>16</v>
      </c>
      <c r="AB104" s="35">
        <f t="shared" si="18"/>
        <v>6</v>
      </c>
      <c r="AC104" s="35">
        <f t="shared" ref="AC104:AC132" si="22">ROUND(U104*AB104,2)</f>
        <v>104046.24</v>
      </c>
      <c r="AD104" s="181">
        <v>1.2</v>
      </c>
      <c r="AE104" s="181">
        <v>1.2</v>
      </c>
      <c r="AF104" s="101" t="str">
        <f t="shared" si="19"/>
        <v/>
      </c>
      <c r="AG104" s="190">
        <v>0</v>
      </c>
      <c r="AH104" s="69">
        <f t="shared" si="20"/>
        <v>6</v>
      </c>
    </row>
    <row r="105" spans="1:34" s="69" customFormat="1" ht="33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>
        <v>17497.64</v>
      </c>
      <c r="I105" s="75">
        <v>34995.279999999999</v>
      </c>
      <c r="J105" s="91" t="s">
        <v>304</v>
      </c>
      <c r="K105" s="73"/>
      <c r="L105" s="46">
        <v>0</v>
      </c>
      <c r="M105" s="46">
        <v>0</v>
      </c>
      <c r="N105" s="46">
        <v>0</v>
      </c>
      <c r="O105" s="98"/>
      <c r="P105" s="23" t="s">
        <v>1469</v>
      </c>
      <c r="Q105" s="24" t="s">
        <v>303</v>
      </c>
      <c r="R105" s="25" t="s">
        <v>81</v>
      </c>
      <c r="S105" s="26">
        <v>2</v>
      </c>
      <c r="T105" s="26"/>
      <c r="U105" s="26">
        <f t="shared" si="14"/>
        <v>17497.64</v>
      </c>
      <c r="V105" s="26">
        <f t="shared" si="15"/>
        <v>0</v>
      </c>
      <c r="W105" s="26">
        <f t="shared" si="16"/>
        <v>0</v>
      </c>
      <c r="X105" s="26">
        <f t="shared" si="21"/>
        <v>0</v>
      </c>
      <c r="Y105" s="26">
        <f t="shared" si="17"/>
        <v>0</v>
      </c>
      <c r="Z105" s="33" t="s">
        <v>15</v>
      </c>
      <c r="AA105" s="36" t="s">
        <v>16</v>
      </c>
      <c r="AB105" s="35">
        <f t="shared" si="18"/>
        <v>2</v>
      </c>
      <c r="AC105" s="35">
        <f t="shared" si="22"/>
        <v>34995.279999999999</v>
      </c>
      <c r="AD105" s="181">
        <v>1.2</v>
      </c>
      <c r="AE105" s="181">
        <v>1.2</v>
      </c>
      <c r="AF105" s="101" t="str">
        <f t="shared" si="19"/>
        <v/>
      </c>
      <c r="AG105" s="190">
        <v>0</v>
      </c>
      <c r="AH105" s="69">
        <f t="shared" si="20"/>
        <v>2</v>
      </c>
    </row>
    <row r="106" spans="1:34" s="69" customFormat="1" ht="33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>
        <v>1501.74</v>
      </c>
      <c r="I106" s="75">
        <v>3003.48</v>
      </c>
      <c r="J106" s="91" t="s">
        <v>307</v>
      </c>
      <c r="K106" s="73"/>
      <c r="L106" s="46">
        <v>0</v>
      </c>
      <c r="M106" s="46">
        <v>0</v>
      </c>
      <c r="N106" s="46">
        <v>0</v>
      </c>
      <c r="O106" s="98"/>
      <c r="P106" s="23" t="s">
        <v>1470</v>
      </c>
      <c r="Q106" s="24" t="s">
        <v>306</v>
      </c>
      <c r="R106" s="25" t="s">
        <v>81</v>
      </c>
      <c r="S106" s="26">
        <v>2</v>
      </c>
      <c r="T106" s="26"/>
      <c r="U106" s="26">
        <f t="shared" si="14"/>
        <v>1501.74</v>
      </c>
      <c r="V106" s="26">
        <f t="shared" si="15"/>
        <v>0</v>
      </c>
      <c r="W106" s="26">
        <f t="shared" si="16"/>
        <v>0</v>
      </c>
      <c r="X106" s="26">
        <f t="shared" si="21"/>
        <v>0</v>
      </c>
      <c r="Y106" s="26">
        <f t="shared" si="17"/>
        <v>0</v>
      </c>
      <c r="Z106" s="33" t="s">
        <v>15</v>
      </c>
      <c r="AA106" s="36" t="s">
        <v>16</v>
      </c>
      <c r="AB106" s="35">
        <f t="shared" si="18"/>
        <v>2</v>
      </c>
      <c r="AC106" s="35">
        <f t="shared" si="22"/>
        <v>3003.48</v>
      </c>
      <c r="AD106" s="181">
        <v>1.2</v>
      </c>
      <c r="AE106" s="181">
        <v>1.2</v>
      </c>
      <c r="AF106" s="101" t="str">
        <f t="shared" si="19"/>
        <v/>
      </c>
      <c r="AG106" s="190">
        <v>0</v>
      </c>
      <c r="AH106" s="69">
        <f t="shared" si="20"/>
        <v>2</v>
      </c>
    </row>
    <row r="107" spans="1:34" s="69" customFormat="1" ht="33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>
        <v>994.98</v>
      </c>
      <c r="I107" s="75">
        <v>994.98</v>
      </c>
      <c r="J107" s="91" t="s">
        <v>310</v>
      </c>
      <c r="K107" s="73"/>
      <c r="L107" s="46">
        <v>0</v>
      </c>
      <c r="M107" s="46">
        <v>0</v>
      </c>
      <c r="N107" s="46">
        <v>0</v>
      </c>
      <c r="O107" s="98"/>
      <c r="P107" s="23" t="s">
        <v>1471</v>
      </c>
      <c r="Q107" s="24" t="s">
        <v>309</v>
      </c>
      <c r="R107" s="25" t="s">
        <v>81</v>
      </c>
      <c r="S107" s="26">
        <v>1</v>
      </c>
      <c r="T107" s="26"/>
      <c r="U107" s="26">
        <f t="shared" si="14"/>
        <v>994.98</v>
      </c>
      <c r="V107" s="26">
        <f t="shared" si="15"/>
        <v>0</v>
      </c>
      <c r="W107" s="26">
        <f t="shared" si="16"/>
        <v>0</v>
      </c>
      <c r="X107" s="26">
        <f t="shared" si="21"/>
        <v>0</v>
      </c>
      <c r="Y107" s="26">
        <f t="shared" si="17"/>
        <v>0</v>
      </c>
      <c r="Z107" s="33" t="s">
        <v>15</v>
      </c>
      <c r="AA107" s="36" t="s">
        <v>16</v>
      </c>
      <c r="AB107" s="35">
        <f t="shared" si="18"/>
        <v>1</v>
      </c>
      <c r="AC107" s="35">
        <f t="shared" si="22"/>
        <v>994.98</v>
      </c>
      <c r="AD107" s="181">
        <v>1.2</v>
      </c>
      <c r="AE107" s="181">
        <v>1.2</v>
      </c>
      <c r="AF107" s="101" t="str">
        <f t="shared" si="19"/>
        <v/>
      </c>
      <c r="AG107" s="190">
        <v>0</v>
      </c>
      <c r="AH107" s="69">
        <f t="shared" si="20"/>
        <v>1</v>
      </c>
    </row>
    <row r="108" spans="1:34" s="69" customFormat="1" ht="33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>
        <v>331.66</v>
      </c>
      <c r="I108" s="75">
        <v>3979.92</v>
      </c>
      <c r="J108" s="91" t="s">
        <v>313</v>
      </c>
      <c r="K108" s="73"/>
      <c r="L108" s="46">
        <v>0</v>
      </c>
      <c r="M108" s="46">
        <v>0</v>
      </c>
      <c r="N108" s="46">
        <v>0</v>
      </c>
      <c r="O108" s="98"/>
      <c r="P108" s="23" t="s">
        <v>1472</v>
      </c>
      <c r="Q108" s="24" t="s">
        <v>312</v>
      </c>
      <c r="R108" s="25" t="s">
        <v>81</v>
      </c>
      <c r="S108" s="26">
        <v>12</v>
      </c>
      <c r="T108" s="26"/>
      <c r="U108" s="26">
        <f t="shared" si="14"/>
        <v>331.66</v>
      </c>
      <c r="V108" s="26">
        <f t="shared" si="15"/>
        <v>0</v>
      </c>
      <c r="W108" s="26">
        <f t="shared" si="16"/>
        <v>0</v>
      </c>
      <c r="X108" s="26">
        <f t="shared" si="21"/>
        <v>0</v>
      </c>
      <c r="Y108" s="26">
        <f t="shared" si="17"/>
        <v>0</v>
      </c>
      <c r="Z108" s="33" t="s">
        <v>15</v>
      </c>
      <c r="AA108" s="36" t="s">
        <v>16</v>
      </c>
      <c r="AB108" s="35">
        <f t="shared" si="18"/>
        <v>12</v>
      </c>
      <c r="AC108" s="35">
        <f t="shared" si="22"/>
        <v>3979.92</v>
      </c>
      <c r="AD108" s="181">
        <v>1.2</v>
      </c>
      <c r="AE108" s="181">
        <v>1.2</v>
      </c>
      <c r="AF108" s="101" t="str">
        <f t="shared" si="19"/>
        <v/>
      </c>
      <c r="AG108" s="190">
        <v>0</v>
      </c>
      <c r="AH108" s="69">
        <f t="shared" si="20"/>
        <v>12</v>
      </c>
    </row>
    <row r="109" spans="1:34" s="69" customFormat="1" ht="33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>
        <v>1096.44</v>
      </c>
      <c r="I109" s="75">
        <v>2192.88</v>
      </c>
      <c r="J109" s="91" t="s">
        <v>316</v>
      </c>
      <c r="K109" s="73"/>
      <c r="L109" s="46">
        <v>0</v>
      </c>
      <c r="M109" s="46">
        <v>0</v>
      </c>
      <c r="N109" s="46">
        <v>0</v>
      </c>
      <c r="O109" s="98"/>
      <c r="P109" s="23" t="s">
        <v>1473</v>
      </c>
      <c r="Q109" s="24" t="s">
        <v>315</v>
      </c>
      <c r="R109" s="25" t="s">
        <v>81</v>
      </c>
      <c r="S109" s="26">
        <v>2</v>
      </c>
      <c r="T109" s="26"/>
      <c r="U109" s="26">
        <f t="shared" si="14"/>
        <v>1096.44</v>
      </c>
      <c r="V109" s="26">
        <f t="shared" si="15"/>
        <v>0</v>
      </c>
      <c r="W109" s="26">
        <f t="shared" si="16"/>
        <v>0</v>
      </c>
      <c r="X109" s="26">
        <f t="shared" si="21"/>
        <v>0</v>
      </c>
      <c r="Y109" s="26">
        <f t="shared" si="17"/>
        <v>0</v>
      </c>
      <c r="Z109" s="33" t="s">
        <v>15</v>
      </c>
      <c r="AA109" s="36" t="s">
        <v>16</v>
      </c>
      <c r="AB109" s="35">
        <f t="shared" si="18"/>
        <v>2</v>
      </c>
      <c r="AC109" s="35">
        <f t="shared" si="22"/>
        <v>2192.88</v>
      </c>
      <c r="AD109" s="181">
        <v>1.2</v>
      </c>
      <c r="AE109" s="181">
        <v>1.2</v>
      </c>
      <c r="AF109" s="101" t="str">
        <f t="shared" si="19"/>
        <v/>
      </c>
      <c r="AG109" s="190">
        <v>0</v>
      </c>
      <c r="AH109" s="69">
        <f t="shared" si="20"/>
        <v>2</v>
      </c>
    </row>
    <row r="110" spans="1:34" s="69" customFormat="1" ht="33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>
        <v>952.24</v>
      </c>
      <c r="I110" s="75">
        <v>3808.96</v>
      </c>
      <c r="J110" s="91" t="s">
        <v>319</v>
      </c>
      <c r="K110" s="73"/>
      <c r="L110" s="46">
        <v>0</v>
      </c>
      <c r="M110" s="46">
        <v>0</v>
      </c>
      <c r="N110" s="46">
        <v>0</v>
      </c>
      <c r="O110" s="98"/>
      <c r="P110" s="23" t="s">
        <v>1474</v>
      </c>
      <c r="Q110" s="24" t="s">
        <v>318</v>
      </c>
      <c r="R110" s="25" t="s">
        <v>81</v>
      </c>
      <c r="S110" s="26">
        <v>4</v>
      </c>
      <c r="T110" s="26"/>
      <c r="U110" s="26">
        <f t="shared" si="14"/>
        <v>952.24</v>
      </c>
      <c r="V110" s="26">
        <f t="shared" si="15"/>
        <v>0</v>
      </c>
      <c r="W110" s="26">
        <f t="shared" si="16"/>
        <v>0</v>
      </c>
      <c r="X110" s="26">
        <f t="shared" si="21"/>
        <v>0</v>
      </c>
      <c r="Y110" s="26">
        <f t="shared" si="17"/>
        <v>0</v>
      </c>
      <c r="Z110" s="33" t="s">
        <v>15</v>
      </c>
      <c r="AA110" s="36" t="s">
        <v>16</v>
      </c>
      <c r="AB110" s="35">
        <f t="shared" si="18"/>
        <v>4</v>
      </c>
      <c r="AC110" s="35">
        <f t="shared" si="22"/>
        <v>3808.96</v>
      </c>
      <c r="AD110" s="181">
        <v>1.2</v>
      </c>
      <c r="AE110" s="181">
        <v>1.2</v>
      </c>
      <c r="AF110" s="101" t="str">
        <f t="shared" si="19"/>
        <v/>
      </c>
      <c r="AG110" s="190">
        <v>0</v>
      </c>
      <c r="AH110" s="69">
        <f t="shared" si="20"/>
        <v>4</v>
      </c>
    </row>
    <row r="111" spans="1:34" s="69" customFormat="1" ht="58.5" x14ac:dyDescent="0.3">
      <c r="A111" s="55" t="s">
        <v>320</v>
      </c>
      <c r="B111" s="53" t="s">
        <v>321</v>
      </c>
      <c r="C111" s="54" t="s">
        <v>50</v>
      </c>
      <c r="D111" s="75">
        <v>676.98</v>
      </c>
      <c r="E111" s="75">
        <v>773.78</v>
      </c>
      <c r="F111" s="75"/>
      <c r="G111" s="75"/>
      <c r="H111" s="75">
        <v>647.70000000000005</v>
      </c>
      <c r="I111" s="75">
        <v>501177.31</v>
      </c>
      <c r="J111" s="91" t="s">
        <v>322</v>
      </c>
      <c r="K111" s="73"/>
      <c r="L111" s="46">
        <v>239.83</v>
      </c>
      <c r="M111" s="46">
        <v>0</v>
      </c>
      <c r="N111" s="46">
        <v>155337.89000000001</v>
      </c>
      <c r="O111" s="98"/>
      <c r="P111" s="23" t="s">
        <v>1475</v>
      </c>
      <c r="Q111" s="24" t="s">
        <v>321</v>
      </c>
      <c r="R111" s="25" t="s">
        <v>50</v>
      </c>
      <c r="S111" s="26">
        <v>676.98</v>
      </c>
      <c r="T111" s="26">
        <v>773.78</v>
      </c>
      <c r="U111" s="26">
        <f t="shared" si="14"/>
        <v>647.70000000000005</v>
      </c>
      <c r="V111" s="127">
        <f t="shared" si="15"/>
        <v>0</v>
      </c>
      <c r="W111" s="127">
        <f t="shared" si="16"/>
        <v>239.83</v>
      </c>
      <c r="X111" s="127">
        <f t="shared" si="21"/>
        <v>0</v>
      </c>
      <c r="Y111" s="127">
        <f t="shared" si="17"/>
        <v>155337.89000000001</v>
      </c>
      <c r="Z111" s="27" t="s">
        <v>15</v>
      </c>
      <c r="AA111" s="36" t="s">
        <v>16</v>
      </c>
      <c r="AB111" s="35">
        <f t="shared" si="18"/>
        <v>773.78</v>
      </c>
      <c r="AC111" s="35">
        <f t="shared" si="22"/>
        <v>501177.31</v>
      </c>
      <c r="AD111" s="181">
        <v>1.2</v>
      </c>
      <c r="AE111" s="181">
        <v>1.2</v>
      </c>
      <c r="AF111" s="101" t="str">
        <f t="shared" si="19"/>
        <v/>
      </c>
      <c r="AG111" s="190">
        <v>239.83</v>
      </c>
      <c r="AH111" s="69">
        <f t="shared" si="20"/>
        <v>773.78</v>
      </c>
    </row>
    <row r="112" spans="1:34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>
        <v>10413.299999999999</v>
      </c>
      <c r="I112" s="75">
        <v>20826.599999999999</v>
      </c>
      <c r="J112" s="91" t="s">
        <v>326</v>
      </c>
      <c r="K112" s="73"/>
      <c r="L112" s="46">
        <v>0</v>
      </c>
      <c r="M112" s="46">
        <v>0</v>
      </c>
      <c r="N112" s="46">
        <v>0</v>
      </c>
      <c r="O112" s="98"/>
      <c r="P112" s="23" t="s">
        <v>1476</v>
      </c>
      <c r="Q112" s="24" t="s">
        <v>324</v>
      </c>
      <c r="R112" s="25" t="s">
        <v>325</v>
      </c>
      <c r="S112" s="26">
        <v>2</v>
      </c>
      <c r="T112" s="26"/>
      <c r="U112" s="26">
        <f t="shared" si="14"/>
        <v>10413.299999999999</v>
      </c>
      <c r="V112" s="26">
        <f t="shared" si="15"/>
        <v>0</v>
      </c>
      <c r="W112" s="26">
        <f t="shared" si="16"/>
        <v>0</v>
      </c>
      <c r="X112" s="26">
        <f t="shared" si="21"/>
        <v>0</v>
      </c>
      <c r="Y112" s="26">
        <f t="shared" si="17"/>
        <v>0</v>
      </c>
      <c r="Z112" s="33" t="s">
        <v>15</v>
      </c>
      <c r="AA112" s="36" t="s">
        <v>16</v>
      </c>
      <c r="AB112" s="35">
        <f t="shared" si="18"/>
        <v>2</v>
      </c>
      <c r="AC112" s="35">
        <f t="shared" si="22"/>
        <v>20826.599999999999</v>
      </c>
      <c r="AD112" s="181">
        <v>1.2</v>
      </c>
      <c r="AE112" s="181">
        <v>1.2</v>
      </c>
      <c r="AF112" s="101" t="str">
        <f t="shared" si="19"/>
        <v/>
      </c>
      <c r="AG112" s="190">
        <v>0</v>
      </c>
      <c r="AH112" s="69">
        <f t="shared" si="20"/>
        <v>2</v>
      </c>
    </row>
    <row r="113" spans="1:34" s="69" customFormat="1" ht="33" x14ac:dyDescent="0.3">
      <c r="A113" s="55" t="s">
        <v>327</v>
      </c>
      <c r="B113" s="53" t="s">
        <v>328</v>
      </c>
      <c r="C113" s="54" t="s">
        <v>81</v>
      </c>
      <c r="D113" s="75">
        <v>1</v>
      </c>
      <c r="E113" s="75"/>
      <c r="F113" s="75"/>
      <c r="G113" s="75"/>
      <c r="H113" s="75">
        <v>101421.35</v>
      </c>
      <c r="I113" s="75">
        <v>101421.35</v>
      </c>
      <c r="J113" s="91" t="s">
        <v>329</v>
      </c>
      <c r="K113" s="73"/>
      <c r="L113" s="46">
        <v>0</v>
      </c>
      <c r="M113" s="46">
        <v>0</v>
      </c>
      <c r="N113" s="46">
        <v>0</v>
      </c>
      <c r="O113" s="98"/>
      <c r="P113" s="23" t="s">
        <v>1477</v>
      </c>
      <c r="Q113" s="24" t="s">
        <v>328</v>
      </c>
      <c r="R113" s="25" t="s">
        <v>81</v>
      </c>
      <c r="S113" s="26">
        <v>1</v>
      </c>
      <c r="T113" s="26"/>
      <c r="U113" s="26">
        <f t="shared" si="14"/>
        <v>101421.35</v>
      </c>
      <c r="V113" s="26">
        <f t="shared" si="15"/>
        <v>0</v>
      </c>
      <c r="W113" s="26">
        <f t="shared" si="16"/>
        <v>0</v>
      </c>
      <c r="X113" s="26">
        <f t="shared" si="21"/>
        <v>0</v>
      </c>
      <c r="Y113" s="26">
        <f t="shared" si="17"/>
        <v>0</v>
      </c>
      <c r="Z113" s="33" t="s">
        <v>15</v>
      </c>
      <c r="AA113" s="36" t="s">
        <v>16</v>
      </c>
      <c r="AB113" s="35">
        <f t="shared" si="18"/>
        <v>1</v>
      </c>
      <c r="AC113" s="35">
        <f t="shared" si="22"/>
        <v>101421.35</v>
      </c>
      <c r="AD113" s="181">
        <v>1.2</v>
      </c>
      <c r="AE113" s="181">
        <v>1.2</v>
      </c>
      <c r="AF113" s="101" t="str">
        <f t="shared" si="19"/>
        <v/>
      </c>
      <c r="AG113" s="190">
        <v>0</v>
      </c>
      <c r="AH113" s="69">
        <f t="shared" si="20"/>
        <v>1</v>
      </c>
    </row>
    <row r="114" spans="1:34" s="69" customFormat="1" ht="33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>
        <v>4575.26</v>
      </c>
      <c r="I114" s="75">
        <v>13725.78</v>
      </c>
      <c r="J114" s="91" t="s">
        <v>332</v>
      </c>
      <c r="K114" s="73"/>
      <c r="L114" s="46">
        <v>0</v>
      </c>
      <c r="M114" s="46">
        <v>0</v>
      </c>
      <c r="N114" s="46">
        <v>0</v>
      </c>
      <c r="O114" s="98"/>
      <c r="P114" s="23" t="s">
        <v>1478</v>
      </c>
      <c r="Q114" s="24" t="s">
        <v>331</v>
      </c>
      <c r="R114" s="25" t="s">
        <v>325</v>
      </c>
      <c r="S114" s="26">
        <v>3</v>
      </c>
      <c r="T114" s="26"/>
      <c r="U114" s="26">
        <f t="shared" si="14"/>
        <v>4575.26</v>
      </c>
      <c r="V114" s="26">
        <f t="shared" si="15"/>
        <v>0</v>
      </c>
      <c r="W114" s="26">
        <f t="shared" si="16"/>
        <v>0</v>
      </c>
      <c r="X114" s="26">
        <f t="shared" si="21"/>
        <v>0</v>
      </c>
      <c r="Y114" s="26">
        <f t="shared" si="17"/>
        <v>0</v>
      </c>
      <c r="Z114" s="33" t="s">
        <v>15</v>
      </c>
      <c r="AA114" s="36" t="s">
        <v>16</v>
      </c>
      <c r="AB114" s="35">
        <f t="shared" si="18"/>
        <v>3</v>
      </c>
      <c r="AC114" s="35">
        <f t="shared" si="22"/>
        <v>13725.78</v>
      </c>
      <c r="AD114" s="181">
        <v>1.2</v>
      </c>
      <c r="AE114" s="181">
        <v>1.2</v>
      </c>
      <c r="AF114" s="101" t="str">
        <f t="shared" si="19"/>
        <v/>
      </c>
      <c r="AG114" s="190">
        <v>0</v>
      </c>
      <c r="AH114" s="69">
        <f t="shared" si="20"/>
        <v>3</v>
      </c>
    </row>
    <row r="115" spans="1:34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>
        <v>12634.43</v>
      </c>
      <c r="I115" s="75">
        <v>12634.43</v>
      </c>
      <c r="J115" s="91" t="s">
        <v>335</v>
      </c>
      <c r="K115" s="73"/>
      <c r="L115" s="46">
        <v>0</v>
      </c>
      <c r="M115" s="46">
        <v>0</v>
      </c>
      <c r="N115" s="46">
        <v>0</v>
      </c>
      <c r="O115" s="98"/>
      <c r="P115" s="23" t="s">
        <v>1479</v>
      </c>
      <c r="Q115" s="24" t="s">
        <v>334</v>
      </c>
      <c r="R115" s="25" t="s">
        <v>81</v>
      </c>
      <c r="S115" s="26">
        <v>1</v>
      </c>
      <c r="T115" s="26"/>
      <c r="U115" s="26">
        <f t="shared" si="14"/>
        <v>12634.43</v>
      </c>
      <c r="V115" s="26">
        <f t="shared" si="15"/>
        <v>0</v>
      </c>
      <c r="W115" s="26">
        <f t="shared" si="16"/>
        <v>0</v>
      </c>
      <c r="X115" s="26">
        <f t="shared" si="21"/>
        <v>0</v>
      </c>
      <c r="Y115" s="26">
        <f t="shared" si="17"/>
        <v>0</v>
      </c>
      <c r="Z115" s="33" t="s">
        <v>15</v>
      </c>
      <c r="AA115" s="36" t="s">
        <v>16</v>
      </c>
      <c r="AB115" s="35">
        <f t="shared" si="18"/>
        <v>1</v>
      </c>
      <c r="AC115" s="35">
        <f t="shared" si="22"/>
        <v>12634.43</v>
      </c>
      <c r="AD115" s="181">
        <v>1.2</v>
      </c>
      <c r="AE115" s="181">
        <v>1.2</v>
      </c>
      <c r="AF115" s="101" t="str">
        <f t="shared" si="19"/>
        <v/>
      </c>
      <c r="AG115" s="190">
        <v>0</v>
      </c>
      <c r="AH115" s="69">
        <f t="shared" si="20"/>
        <v>1</v>
      </c>
    </row>
    <row r="116" spans="1:34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>
        <v>15300</v>
      </c>
      <c r="I116" s="75">
        <v>974304</v>
      </c>
      <c r="J116" s="91" t="s">
        <v>339</v>
      </c>
      <c r="K116" s="73"/>
      <c r="L116" s="46">
        <v>0</v>
      </c>
      <c r="M116" s="46">
        <v>0</v>
      </c>
      <c r="N116" s="46">
        <v>0</v>
      </c>
      <c r="O116" s="98"/>
      <c r="P116" s="23" t="s">
        <v>1480</v>
      </c>
      <c r="Q116" s="24" t="s">
        <v>337</v>
      </c>
      <c r="R116" s="25" t="s">
        <v>338</v>
      </c>
      <c r="S116" s="26">
        <v>63.68</v>
      </c>
      <c r="T116" s="26"/>
      <c r="U116" s="26">
        <f t="shared" si="14"/>
        <v>15300</v>
      </c>
      <c r="V116" s="26">
        <f t="shared" si="15"/>
        <v>0</v>
      </c>
      <c r="W116" s="26">
        <f t="shared" si="16"/>
        <v>0</v>
      </c>
      <c r="X116" s="26">
        <f t="shared" si="21"/>
        <v>0</v>
      </c>
      <c r="Y116" s="26">
        <f t="shared" si="17"/>
        <v>0</v>
      </c>
      <c r="Z116" s="33" t="s">
        <v>15</v>
      </c>
      <c r="AA116" s="36" t="s">
        <v>16</v>
      </c>
      <c r="AB116" s="35">
        <f t="shared" si="18"/>
        <v>63.68</v>
      </c>
      <c r="AC116" s="35">
        <f t="shared" si="22"/>
        <v>974304</v>
      </c>
      <c r="AD116" s="181">
        <v>1.2</v>
      </c>
      <c r="AE116" s="181">
        <v>1.2</v>
      </c>
      <c r="AF116" s="101" t="str">
        <f t="shared" si="19"/>
        <v/>
      </c>
      <c r="AG116" s="190">
        <v>0</v>
      </c>
      <c r="AH116" s="69">
        <f t="shared" si="20"/>
        <v>63.68</v>
      </c>
    </row>
    <row r="117" spans="1:34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>
        <v>4498.58</v>
      </c>
      <c r="I117" s="75">
        <v>278911.96000000002</v>
      </c>
      <c r="J117" s="91" t="s">
        <v>342</v>
      </c>
      <c r="K117" s="73"/>
      <c r="L117" s="46">
        <v>0</v>
      </c>
      <c r="M117" s="46">
        <v>0</v>
      </c>
      <c r="N117" s="46">
        <v>0</v>
      </c>
      <c r="O117" s="98"/>
      <c r="P117" s="23" t="s">
        <v>1481</v>
      </c>
      <c r="Q117" s="24" t="s">
        <v>341</v>
      </c>
      <c r="R117" s="25" t="s">
        <v>81</v>
      </c>
      <c r="S117" s="26">
        <v>62</v>
      </c>
      <c r="T117" s="26"/>
      <c r="U117" s="26">
        <f t="shared" si="14"/>
        <v>4498.58</v>
      </c>
      <c r="V117" s="26">
        <f t="shared" si="15"/>
        <v>0</v>
      </c>
      <c r="W117" s="26">
        <f t="shared" si="16"/>
        <v>0</v>
      </c>
      <c r="X117" s="26">
        <f t="shared" si="21"/>
        <v>0</v>
      </c>
      <c r="Y117" s="26">
        <f t="shared" si="17"/>
        <v>0</v>
      </c>
      <c r="Z117" s="33" t="s">
        <v>15</v>
      </c>
      <c r="AA117" s="36" t="s">
        <v>16</v>
      </c>
      <c r="AB117" s="35">
        <f t="shared" si="18"/>
        <v>62</v>
      </c>
      <c r="AC117" s="35">
        <f t="shared" si="22"/>
        <v>278911.96000000002</v>
      </c>
      <c r="AD117" s="181">
        <v>1.2</v>
      </c>
      <c r="AE117" s="181">
        <v>1.2</v>
      </c>
      <c r="AF117" s="101" t="str">
        <f t="shared" si="19"/>
        <v/>
      </c>
      <c r="AG117" s="190">
        <v>0</v>
      </c>
      <c r="AH117" s="69">
        <f t="shared" si="20"/>
        <v>62</v>
      </c>
    </row>
    <row r="118" spans="1:34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>
        <v>3353.68</v>
      </c>
      <c r="I118" s="75">
        <v>50305.2</v>
      </c>
      <c r="J118" s="91" t="s">
        <v>345</v>
      </c>
      <c r="K118" s="73"/>
      <c r="L118" s="46">
        <v>0</v>
      </c>
      <c r="M118" s="46">
        <v>0</v>
      </c>
      <c r="N118" s="46">
        <v>0</v>
      </c>
      <c r="O118" s="98"/>
      <c r="P118" s="23" t="s">
        <v>1482</v>
      </c>
      <c r="Q118" s="24" t="s">
        <v>344</v>
      </c>
      <c r="R118" s="25" t="s">
        <v>81</v>
      </c>
      <c r="S118" s="26">
        <v>15</v>
      </c>
      <c r="T118" s="26"/>
      <c r="U118" s="26">
        <f t="shared" si="14"/>
        <v>3353.68</v>
      </c>
      <c r="V118" s="26">
        <f t="shared" si="15"/>
        <v>0</v>
      </c>
      <c r="W118" s="26">
        <f t="shared" si="16"/>
        <v>0</v>
      </c>
      <c r="X118" s="26">
        <f t="shared" si="21"/>
        <v>0</v>
      </c>
      <c r="Y118" s="26">
        <f t="shared" si="17"/>
        <v>0</v>
      </c>
      <c r="Z118" s="33" t="s">
        <v>15</v>
      </c>
      <c r="AA118" s="36" t="s">
        <v>16</v>
      </c>
      <c r="AB118" s="35">
        <f t="shared" si="18"/>
        <v>15</v>
      </c>
      <c r="AC118" s="35">
        <f t="shared" si="22"/>
        <v>50305.2</v>
      </c>
      <c r="AD118" s="181">
        <v>1.2</v>
      </c>
      <c r="AE118" s="181">
        <v>1.2</v>
      </c>
      <c r="AF118" s="101" t="str">
        <f t="shared" si="19"/>
        <v/>
      </c>
      <c r="AG118" s="190">
        <v>0</v>
      </c>
      <c r="AH118" s="69">
        <f t="shared" si="20"/>
        <v>15</v>
      </c>
    </row>
    <row r="119" spans="1:34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>
        <v>9874.4</v>
      </c>
      <c r="I119" s="75">
        <v>128367.2</v>
      </c>
      <c r="J119" s="91" t="s">
        <v>348</v>
      </c>
      <c r="K119" s="73"/>
      <c r="L119" s="46">
        <v>0</v>
      </c>
      <c r="M119" s="46">
        <v>0</v>
      </c>
      <c r="N119" s="46">
        <v>0</v>
      </c>
      <c r="O119" s="98"/>
      <c r="P119" s="23" t="s">
        <v>1483</v>
      </c>
      <c r="Q119" s="24" t="s">
        <v>347</v>
      </c>
      <c r="R119" s="25" t="s">
        <v>30</v>
      </c>
      <c r="S119" s="26">
        <v>13</v>
      </c>
      <c r="T119" s="26"/>
      <c r="U119" s="26">
        <f t="shared" si="14"/>
        <v>9874.4</v>
      </c>
      <c r="V119" s="26">
        <f t="shared" si="15"/>
        <v>0</v>
      </c>
      <c r="W119" s="26">
        <f t="shared" si="16"/>
        <v>0</v>
      </c>
      <c r="X119" s="26">
        <f t="shared" si="21"/>
        <v>0</v>
      </c>
      <c r="Y119" s="26">
        <f t="shared" si="17"/>
        <v>0</v>
      </c>
      <c r="Z119" s="33" t="s">
        <v>15</v>
      </c>
      <c r="AA119" s="36" t="s">
        <v>16</v>
      </c>
      <c r="AB119" s="35">
        <f t="shared" si="18"/>
        <v>13</v>
      </c>
      <c r="AC119" s="35">
        <f t="shared" si="22"/>
        <v>128367.2</v>
      </c>
      <c r="AD119" s="181">
        <v>1.2</v>
      </c>
      <c r="AE119" s="181">
        <v>1.2</v>
      </c>
      <c r="AF119" s="101" t="str">
        <f t="shared" si="19"/>
        <v/>
      </c>
      <c r="AG119" s="190">
        <v>0</v>
      </c>
      <c r="AH119" s="69">
        <f t="shared" si="20"/>
        <v>13</v>
      </c>
    </row>
    <row r="120" spans="1:34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>
        <v>6554.37</v>
      </c>
      <c r="I120" s="75">
        <v>273317.23</v>
      </c>
      <c r="J120" s="91" t="s">
        <v>351</v>
      </c>
      <c r="K120" s="73"/>
      <c r="L120" s="46">
        <v>0</v>
      </c>
      <c r="M120" s="46">
        <v>0</v>
      </c>
      <c r="N120" s="46">
        <v>0</v>
      </c>
      <c r="O120" s="98"/>
      <c r="P120" s="23" t="s">
        <v>1484</v>
      </c>
      <c r="Q120" s="24" t="s">
        <v>350</v>
      </c>
      <c r="R120" s="25" t="s">
        <v>30</v>
      </c>
      <c r="S120" s="26">
        <v>41.7</v>
      </c>
      <c r="T120" s="26"/>
      <c r="U120" s="26">
        <f t="shared" si="14"/>
        <v>6554.37</v>
      </c>
      <c r="V120" s="26">
        <f t="shared" si="15"/>
        <v>0</v>
      </c>
      <c r="W120" s="26">
        <f t="shared" si="16"/>
        <v>0</v>
      </c>
      <c r="X120" s="26">
        <f t="shared" si="21"/>
        <v>0</v>
      </c>
      <c r="Y120" s="26">
        <f t="shared" si="17"/>
        <v>0</v>
      </c>
      <c r="Z120" s="33" t="s">
        <v>15</v>
      </c>
      <c r="AA120" s="36" t="s">
        <v>16</v>
      </c>
      <c r="AB120" s="35">
        <f t="shared" si="18"/>
        <v>41.7</v>
      </c>
      <c r="AC120" s="35">
        <f t="shared" si="22"/>
        <v>273317.23</v>
      </c>
      <c r="AD120" s="181">
        <v>1.2</v>
      </c>
      <c r="AE120" s="181">
        <v>1.2</v>
      </c>
      <c r="AF120" s="101" t="str">
        <f t="shared" si="19"/>
        <v/>
      </c>
      <c r="AG120" s="190">
        <v>0</v>
      </c>
      <c r="AH120" s="69">
        <f t="shared" si="20"/>
        <v>41.7</v>
      </c>
    </row>
    <row r="121" spans="1:34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>
        <v>8390.73</v>
      </c>
      <c r="I121" s="75">
        <v>10907.95</v>
      </c>
      <c r="J121" s="91" t="s">
        <v>354</v>
      </c>
      <c r="K121" s="73"/>
      <c r="L121" s="46">
        <v>0</v>
      </c>
      <c r="M121" s="46">
        <v>0</v>
      </c>
      <c r="N121" s="46">
        <v>0</v>
      </c>
      <c r="O121" s="98"/>
      <c r="P121" s="23" t="s">
        <v>1485</v>
      </c>
      <c r="Q121" s="24" t="s">
        <v>353</v>
      </c>
      <c r="R121" s="25" t="s">
        <v>30</v>
      </c>
      <c r="S121" s="26">
        <v>1.3</v>
      </c>
      <c r="T121" s="26"/>
      <c r="U121" s="26">
        <f t="shared" si="14"/>
        <v>8390.73</v>
      </c>
      <c r="V121" s="26">
        <f t="shared" si="15"/>
        <v>0</v>
      </c>
      <c r="W121" s="26">
        <f t="shared" si="16"/>
        <v>0</v>
      </c>
      <c r="X121" s="26">
        <f t="shared" si="21"/>
        <v>0</v>
      </c>
      <c r="Y121" s="26">
        <f t="shared" si="17"/>
        <v>0</v>
      </c>
      <c r="Z121" s="33" t="s">
        <v>15</v>
      </c>
      <c r="AA121" s="36" t="s">
        <v>16</v>
      </c>
      <c r="AB121" s="35">
        <f t="shared" si="18"/>
        <v>1.3</v>
      </c>
      <c r="AC121" s="35">
        <f t="shared" si="22"/>
        <v>10907.95</v>
      </c>
      <c r="AD121" s="181">
        <v>1.2</v>
      </c>
      <c r="AE121" s="181">
        <v>1.2</v>
      </c>
      <c r="AF121" s="101" t="str">
        <f t="shared" si="19"/>
        <v/>
      </c>
      <c r="AG121" s="190">
        <v>0</v>
      </c>
      <c r="AH121" s="69">
        <f t="shared" si="20"/>
        <v>1.3</v>
      </c>
    </row>
    <row r="122" spans="1:34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>
        <v>671.99</v>
      </c>
      <c r="I122" s="75">
        <v>82184.38</v>
      </c>
      <c r="J122" s="91" t="s">
        <v>357</v>
      </c>
      <c r="K122" s="73"/>
      <c r="L122" s="46">
        <v>0</v>
      </c>
      <c r="M122" s="46">
        <v>0</v>
      </c>
      <c r="N122" s="46">
        <v>0</v>
      </c>
      <c r="O122" s="98"/>
      <c r="P122" s="23" t="s">
        <v>1486</v>
      </c>
      <c r="Q122" s="24" t="s">
        <v>356</v>
      </c>
      <c r="R122" s="25" t="s">
        <v>30</v>
      </c>
      <c r="S122" s="26">
        <v>122.3</v>
      </c>
      <c r="T122" s="26"/>
      <c r="U122" s="26">
        <f t="shared" si="14"/>
        <v>671.99</v>
      </c>
      <c r="V122" s="26">
        <f t="shared" si="15"/>
        <v>0</v>
      </c>
      <c r="W122" s="26">
        <f t="shared" si="16"/>
        <v>0</v>
      </c>
      <c r="X122" s="26">
        <f t="shared" si="21"/>
        <v>0</v>
      </c>
      <c r="Y122" s="26">
        <f t="shared" si="17"/>
        <v>0</v>
      </c>
      <c r="Z122" s="33" t="s">
        <v>15</v>
      </c>
      <c r="AA122" s="36" t="s">
        <v>16</v>
      </c>
      <c r="AB122" s="35">
        <f t="shared" si="18"/>
        <v>122.3</v>
      </c>
      <c r="AC122" s="35">
        <f t="shared" si="22"/>
        <v>82184.38</v>
      </c>
      <c r="AD122" s="181">
        <v>1.2</v>
      </c>
      <c r="AE122" s="181">
        <v>1.2</v>
      </c>
      <c r="AF122" s="101" t="str">
        <f t="shared" si="19"/>
        <v/>
      </c>
      <c r="AG122" s="190">
        <v>0</v>
      </c>
      <c r="AH122" s="69">
        <f t="shared" si="20"/>
        <v>122.3</v>
      </c>
    </row>
    <row r="123" spans="1:34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>
        <v>935.67</v>
      </c>
      <c r="I123" s="75">
        <v>94512.03</v>
      </c>
      <c r="J123" s="91" t="s">
        <v>360</v>
      </c>
      <c r="K123" s="73"/>
      <c r="L123" s="46">
        <v>0</v>
      </c>
      <c r="M123" s="46">
        <v>0</v>
      </c>
      <c r="N123" s="46">
        <v>0</v>
      </c>
      <c r="O123" s="98"/>
      <c r="P123" s="23" t="s">
        <v>1487</v>
      </c>
      <c r="Q123" s="24" t="s">
        <v>359</v>
      </c>
      <c r="R123" s="25" t="s">
        <v>30</v>
      </c>
      <c r="S123" s="26">
        <v>101.01</v>
      </c>
      <c r="T123" s="26"/>
      <c r="U123" s="26">
        <f t="shared" si="14"/>
        <v>935.67</v>
      </c>
      <c r="V123" s="26">
        <f t="shared" si="15"/>
        <v>0</v>
      </c>
      <c r="W123" s="26">
        <f t="shared" si="16"/>
        <v>0</v>
      </c>
      <c r="X123" s="26">
        <f t="shared" si="21"/>
        <v>0</v>
      </c>
      <c r="Y123" s="26">
        <f t="shared" si="17"/>
        <v>0</v>
      </c>
      <c r="Z123" s="33" t="s">
        <v>15</v>
      </c>
      <c r="AA123" s="36" t="s">
        <v>16</v>
      </c>
      <c r="AB123" s="35">
        <f t="shared" si="18"/>
        <v>101.01</v>
      </c>
      <c r="AC123" s="35">
        <f t="shared" si="22"/>
        <v>94512.03</v>
      </c>
      <c r="AD123" s="181">
        <v>1.2</v>
      </c>
      <c r="AE123" s="181">
        <v>1.2</v>
      </c>
      <c r="AF123" s="101" t="str">
        <f t="shared" si="19"/>
        <v/>
      </c>
      <c r="AG123" s="190">
        <v>0</v>
      </c>
      <c r="AH123" s="69">
        <f t="shared" si="20"/>
        <v>101.01</v>
      </c>
    </row>
    <row r="124" spans="1:34" s="69" customFormat="1" ht="33" x14ac:dyDescent="0.3">
      <c r="A124" s="55" t="s">
        <v>361</v>
      </c>
      <c r="B124" s="53" t="s">
        <v>362</v>
      </c>
      <c r="C124" s="54" t="s">
        <v>30</v>
      </c>
      <c r="D124" s="75">
        <v>489</v>
      </c>
      <c r="E124" s="75"/>
      <c r="F124" s="75"/>
      <c r="G124" s="75"/>
      <c r="H124" s="75">
        <v>658.31</v>
      </c>
      <c r="I124" s="75">
        <v>321913.59000000003</v>
      </c>
      <c r="J124" s="91" t="s">
        <v>363</v>
      </c>
      <c r="K124" s="73"/>
      <c r="L124" s="46">
        <v>0</v>
      </c>
      <c r="M124" s="46">
        <v>0</v>
      </c>
      <c r="N124" s="46">
        <v>0</v>
      </c>
      <c r="O124" s="98"/>
      <c r="P124" s="23" t="s">
        <v>1488</v>
      </c>
      <c r="Q124" s="24" t="s">
        <v>362</v>
      </c>
      <c r="R124" s="25" t="s">
        <v>30</v>
      </c>
      <c r="S124" s="26">
        <v>489</v>
      </c>
      <c r="T124" s="26"/>
      <c r="U124" s="26">
        <f t="shared" si="14"/>
        <v>658.31</v>
      </c>
      <c r="V124" s="26">
        <f t="shared" si="15"/>
        <v>0</v>
      </c>
      <c r="W124" s="26">
        <f t="shared" si="16"/>
        <v>0</v>
      </c>
      <c r="X124" s="26">
        <f t="shared" si="21"/>
        <v>0</v>
      </c>
      <c r="Y124" s="26">
        <f t="shared" si="17"/>
        <v>0</v>
      </c>
      <c r="Z124" s="33" t="s">
        <v>15</v>
      </c>
      <c r="AA124" s="36" t="s">
        <v>16</v>
      </c>
      <c r="AB124" s="35">
        <f t="shared" si="18"/>
        <v>489</v>
      </c>
      <c r="AC124" s="35">
        <f t="shared" si="22"/>
        <v>321913.59000000003</v>
      </c>
      <c r="AD124" s="181">
        <v>1.2</v>
      </c>
      <c r="AE124" s="181">
        <v>1.2</v>
      </c>
      <c r="AF124" s="101" t="str">
        <f t="shared" si="19"/>
        <v/>
      </c>
      <c r="AG124" s="190">
        <v>0</v>
      </c>
      <c r="AH124" s="69">
        <f t="shared" si="20"/>
        <v>489</v>
      </c>
    </row>
    <row r="125" spans="1:34" s="69" customFormat="1" ht="33" x14ac:dyDescent="0.3">
      <c r="A125" s="55" t="s">
        <v>364</v>
      </c>
      <c r="B125" s="53" t="s">
        <v>3111</v>
      </c>
      <c r="C125" s="54" t="s">
        <v>30</v>
      </c>
      <c r="D125" s="75">
        <v>216</v>
      </c>
      <c r="E125" s="75"/>
      <c r="F125" s="75"/>
      <c r="G125" s="75"/>
      <c r="H125" s="75">
        <v>730.41</v>
      </c>
      <c r="I125" s="75">
        <v>157768.56</v>
      </c>
      <c r="J125" s="91" t="s">
        <v>366</v>
      </c>
      <c r="K125" s="73"/>
      <c r="L125" s="46">
        <v>0</v>
      </c>
      <c r="M125" s="46">
        <v>0</v>
      </c>
      <c r="N125" s="46">
        <v>0</v>
      </c>
      <c r="O125" s="98"/>
      <c r="P125" s="23" t="s">
        <v>1489</v>
      </c>
      <c r="Q125" s="24" t="s">
        <v>365</v>
      </c>
      <c r="R125" s="25" t="s">
        <v>30</v>
      </c>
      <c r="S125" s="26">
        <v>216</v>
      </c>
      <c r="T125" s="26"/>
      <c r="U125" s="26">
        <f t="shared" si="14"/>
        <v>730.41</v>
      </c>
      <c r="V125" s="26">
        <f t="shared" si="15"/>
        <v>0</v>
      </c>
      <c r="W125" s="26">
        <f t="shared" si="16"/>
        <v>0</v>
      </c>
      <c r="X125" s="26">
        <f t="shared" si="21"/>
        <v>0</v>
      </c>
      <c r="Y125" s="26">
        <f t="shared" si="17"/>
        <v>0</v>
      </c>
      <c r="Z125" s="33" t="s">
        <v>15</v>
      </c>
      <c r="AA125" s="36" t="s">
        <v>16</v>
      </c>
      <c r="AB125" s="35">
        <f t="shared" si="18"/>
        <v>216</v>
      </c>
      <c r="AC125" s="35">
        <f t="shared" si="22"/>
        <v>157768.56</v>
      </c>
      <c r="AD125" s="181">
        <v>1.2</v>
      </c>
      <c r="AE125" s="181">
        <v>1.2</v>
      </c>
      <c r="AF125" s="101" t="str">
        <f t="shared" si="19"/>
        <v/>
      </c>
      <c r="AG125" s="190">
        <v>0</v>
      </c>
      <c r="AH125" s="69">
        <f t="shared" si="20"/>
        <v>216</v>
      </c>
    </row>
    <row r="126" spans="1:34" s="69" customFormat="1" ht="33" x14ac:dyDescent="0.3">
      <c r="A126" s="55" t="s">
        <v>367</v>
      </c>
      <c r="B126" s="53" t="s">
        <v>368</v>
      </c>
      <c r="C126" s="54" t="s">
        <v>30</v>
      </c>
      <c r="D126" s="75">
        <v>45.16</v>
      </c>
      <c r="E126" s="75"/>
      <c r="F126" s="75"/>
      <c r="G126" s="75"/>
      <c r="H126" s="75">
        <v>406.4</v>
      </c>
      <c r="I126" s="75">
        <v>18353.02</v>
      </c>
      <c r="J126" s="91" t="s">
        <v>369</v>
      </c>
      <c r="K126" s="73"/>
      <c r="L126" s="46">
        <v>0</v>
      </c>
      <c r="M126" s="46">
        <v>0</v>
      </c>
      <c r="N126" s="46">
        <v>0</v>
      </c>
      <c r="O126" s="98"/>
      <c r="P126" s="23" t="s">
        <v>1398</v>
      </c>
      <c r="Q126" s="24" t="s">
        <v>368</v>
      </c>
      <c r="R126" s="25" t="s">
        <v>30</v>
      </c>
      <c r="S126" s="26">
        <v>45.16</v>
      </c>
      <c r="T126" s="26"/>
      <c r="U126" s="26">
        <f t="shared" si="14"/>
        <v>406.4</v>
      </c>
      <c r="V126" s="26">
        <f t="shared" si="15"/>
        <v>0</v>
      </c>
      <c r="W126" s="26">
        <f t="shared" si="16"/>
        <v>0</v>
      </c>
      <c r="X126" s="26">
        <f t="shared" si="21"/>
        <v>0</v>
      </c>
      <c r="Y126" s="26">
        <f t="shared" si="17"/>
        <v>0</v>
      </c>
      <c r="Z126" s="33" t="s">
        <v>15</v>
      </c>
      <c r="AA126" s="36" t="s">
        <v>16</v>
      </c>
      <c r="AB126" s="35">
        <f t="shared" si="18"/>
        <v>45.16</v>
      </c>
      <c r="AC126" s="35">
        <f t="shared" si="22"/>
        <v>18353.02</v>
      </c>
      <c r="AD126" s="181">
        <v>1.2</v>
      </c>
      <c r="AE126" s="181">
        <v>1.2</v>
      </c>
      <c r="AF126" s="101" t="str">
        <f t="shared" si="19"/>
        <v/>
      </c>
      <c r="AG126" s="190">
        <v>0</v>
      </c>
      <c r="AH126" s="69">
        <f t="shared" si="20"/>
        <v>45.16</v>
      </c>
    </row>
    <row r="127" spans="1:34" s="69" customFormat="1" ht="33" x14ac:dyDescent="0.3">
      <c r="A127" s="55" t="s">
        <v>370</v>
      </c>
      <c r="B127" s="53" t="s">
        <v>371</v>
      </c>
      <c r="C127" s="54" t="s">
        <v>30</v>
      </c>
      <c r="D127" s="75">
        <v>116.8</v>
      </c>
      <c r="E127" s="75"/>
      <c r="F127" s="75"/>
      <c r="G127" s="75"/>
      <c r="H127" s="75">
        <v>457.9</v>
      </c>
      <c r="I127" s="75">
        <v>53482.720000000001</v>
      </c>
      <c r="J127" s="91" t="s">
        <v>372</v>
      </c>
      <c r="K127" s="73"/>
      <c r="L127" s="46">
        <v>0</v>
      </c>
      <c r="M127" s="46">
        <v>0</v>
      </c>
      <c r="N127" s="46">
        <v>0</v>
      </c>
      <c r="O127" s="98"/>
      <c r="P127" s="23" t="s">
        <v>1399</v>
      </c>
      <c r="Q127" s="24" t="s">
        <v>371</v>
      </c>
      <c r="R127" s="25" t="s">
        <v>30</v>
      </c>
      <c r="S127" s="26">
        <v>116.8</v>
      </c>
      <c r="T127" s="26"/>
      <c r="U127" s="26">
        <f t="shared" si="14"/>
        <v>457.9</v>
      </c>
      <c r="V127" s="26">
        <f t="shared" si="15"/>
        <v>0</v>
      </c>
      <c r="W127" s="26">
        <f t="shared" si="16"/>
        <v>0</v>
      </c>
      <c r="X127" s="26">
        <f t="shared" si="21"/>
        <v>0</v>
      </c>
      <c r="Y127" s="26">
        <f t="shared" si="17"/>
        <v>0</v>
      </c>
      <c r="Z127" s="33" t="s">
        <v>15</v>
      </c>
      <c r="AA127" s="36" t="s">
        <v>16</v>
      </c>
      <c r="AB127" s="35">
        <f t="shared" si="18"/>
        <v>116.8</v>
      </c>
      <c r="AC127" s="35">
        <f t="shared" si="22"/>
        <v>53482.720000000001</v>
      </c>
      <c r="AD127" s="181">
        <v>1.2</v>
      </c>
      <c r="AE127" s="181">
        <v>1.2</v>
      </c>
      <c r="AF127" s="101" t="str">
        <f t="shared" si="19"/>
        <v/>
      </c>
      <c r="AG127" s="190">
        <v>0</v>
      </c>
      <c r="AH127" s="69">
        <f t="shared" si="20"/>
        <v>116.8</v>
      </c>
    </row>
    <row r="128" spans="1:34" s="69" customFormat="1" ht="33" x14ac:dyDescent="0.3">
      <c r="A128" s="55" t="s">
        <v>373</v>
      </c>
      <c r="B128" s="53" t="s">
        <v>374</v>
      </c>
      <c r="C128" s="54" t="s">
        <v>30</v>
      </c>
      <c r="D128" s="75">
        <v>25.8</v>
      </c>
      <c r="E128" s="75"/>
      <c r="F128" s="75"/>
      <c r="G128" s="75"/>
      <c r="H128" s="75">
        <v>499.1</v>
      </c>
      <c r="I128" s="75">
        <v>12876.78</v>
      </c>
      <c r="J128" s="91" t="s">
        <v>375</v>
      </c>
      <c r="K128" s="73"/>
      <c r="L128" s="46">
        <v>0</v>
      </c>
      <c r="M128" s="46">
        <v>0</v>
      </c>
      <c r="N128" s="46">
        <v>0</v>
      </c>
      <c r="O128" s="98"/>
      <c r="P128" s="23" t="s">
        <v>1490</v>
      </c>
      <c r="Q128" s="24" t="s">
        <v>374</v>
      </c>
      <c r="R128" s="25" t="s">
        <v>30</v>
      </c>
      <c r="S128" s="26">
        <v>25.8</v>
      </c>
      <c r="T128" s="26"/>
      <c r="U128" s="26">
        <f t="shared" si="14"/>
        <v>499.1</v>
      </c>
      <c r="V128" s="26">
        <f t="shared" si="15"/>
        <v>0</v>
      </c>
      <c r="W128" s="26">
        <f t="shared" si="16"/>
        <v>0</v>
      </c>
      <c r="X128" s="26">
        <f t="shared" si="21"/>
        <v>0</v>
      </c>
      <c r="Y128" s="26">
        <f t="shared" si="17"/>
        <v>0</v>
      </c>
      <c r="Z128" s="33" t="s">
        <v>15</v>
      </c>
      <c r="AA128" s="36" t="s">
        <v>16</v>
      </c>
      <c r="AB128" s="35">
        <f t="shared" si="18"/>
        <v>25.8</v>
      </c>
      <c r="AC128" s="35">
        <f t="shared" si="22"/>
        <v>12876.78</v>
      </c>
      <c r="AD128" s="181">
        <v>1.2</v>
      </c>
      <c r="AE128" s="181">
        <v>1.2</v>
      </c>
      <c r="AF128" s="101" t="str">
        <f t="shared" si="19"/>
        <v/>
      </c>
      <c r="AG128" s="190">
        <v>0</v>
      </c>
      <c r="AH128" s="69">
        <f t="shared" si="20"/>
        <v>25.8</v>
      </c>
    </row>
    <row r="129" spans="1:37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>
        <v>545.85</v>
      </c>
      <c r="I129" s="75">
        <v>29415.86</v>
      </c>
      <c r="J129" s="91" t="s">
        <v>378</v>
      </c>
      <c r="K129" s="73"/>
      <c r="L129" s="46">
        <v>0</v>
      </c>
      <c r="M129" s="46">
        <v>0</v>
      </c>
      <c r="N129" s="46">
        <v>0</v>
      </c>
      <c r="O129" s="98"/>
      <c r="P129" s="23" t="s">
        <v>1491</v>
      </c>
      <c r="Q129" s="24" t="s">
        <v>377</v>
      </c>
      <c r="R129" s="25" t="s">
        <v>30</v>
      </c>
      <c r="S129" s="26">
        <v>53.89</v>
      </c>
      <c r="T129" s="26"/>
      <c r="U129" s="26">
        <f t="shared" si="14"/>
        <v>545.85</v>
      </c>
      <c r="V129" s="26">
        <f t="shared" si="15"/>
        <v>0</v>
      </c>
      <c r="W129" s="26">
        <f t="shared" si="16"/>
        <v>0</v>
      </c>
      <c r="X129" s="26">
        <f t="shared" si="21"/>
        <v>0</v>
      </c>
      <c r="Y129" s="26">
        <f t="shared" si="17"/>
        <v>0</v>
      </c>
      <c r="Z129" s="33" t="s">
        <v>15</v>
      </c>
      <c r="AA129" s="36" t="s">
        <v>16</v>
      </c>
      <c r="AB129" s="35">
        <f t="shared" si="18"/>
        <v>53.89</v>
      </c>
      <c r="AC129" s="35">
        <f t="shared" si="22"/>
        <v>29415.86</v>
      </c>
      <c r="AD129" s="181">
        <v>1.2</v>
      </c>
      <c r="AE129" s="181">
        <v>1.2</v>
      </c>
      <c r="AF129" s="101" t="str">
        <f t="shared" si="19"/>
        <v/>
      </c>
      <c r="AG129" s="190">
        <v>0</v>
      </c>
      <c r="AH129" s="69">
        <f t="shared" si="20"/>
        <v>53.89</v>
      </c>
    </row>
    <row r="130" spans="1:37" s="69" customFormat="1" ht="33" x14ac:dyDescent="0.3">
      <c r="A130" s="55" t="s">
        <v>379</v>
      </c>
      <c r="B130" s="53" t="s">
        <v>380</v>
      </c>
      <c r="C130" s="54" t="s">
        <v>30</v>
      </c>
      <c r="D130" s="75">
        <v>21</v>
      </c>
      <c r="E130" s="75"/>
      <c r="F130" s="75"/>
      <c r="G130" s="75"/>
      <c r="H130" s="75">
        <v>644.09</v>
      </c>
      <c r="I130" s="75">
        <v>13525.89</v>
      </c>
      <c r="J130" s="91" t="s">
        <v>381</v>
      </c>
      <c r="K130" s="73"/>
      <c r="L130" s="46">
        <v>0</v>
      </c>
      <c r="M130" s="46">
        <v>0</v>
      </c>
      <c r="N130" s="46">
        <v>0</v>
      </c>
      <c r="O130" s="98"/>
      <c r="P130" s="23" t="s">
        <v>1492</v>
      </c>
      <c r="Q130" s="24" t="s">
        <v>380</v>
      </c>
      <c r="R130" s="25" t="s">
        <v>30</v>
      </c>
      <c r="S130" s="26">
        <v>21</v>
      </c>
      <c r="T130" s="26"/>
      <c r="U130" s="26">
        <f t="shared" si="14"/>
        <v>644.09</v>
      </c>
      <c r="V130" s="26">
        <f t="shared" si="15"/>
        <v>0</v>
      </c>
      <c r="W130" s="26">
        <f t="shared" si="16"/>
        <v>0</v>
      </c>
      <c r="X130" s="26">
        <f t="shared" si="21"/>
        <v>0</v>
      </c>
      <c r="Y130" s="26">
        <f t="shared" si="17"/>
        <v>0</v>
      </c>
      <c r="Z130" s="33" t="s">
        <v>15</v>
      </c>
      <c r="AA130" s="36" t="s">
        <v>16</v>
      </c>
      <c r="AB130" s="35">
        <f t="shared" si="18"/>
        <v>21</v>
      </c>
      <c r="AC130" s="35">
        <f t="shared" si="22"/>
        <v>13525.89</v>
      </c>
      <c r="AD130" s="181">
        <v>1.2</v>
      </c>
      <c r="AE130" s="181">
        <v>1.2</v>
      </c>
      <c r="AF130" s="101" t="str">
        <f t="shared" si="19"/>
        <v/>
      </c>
      <c r="AG130" s="190">
        <v>0</v>
      </c>
      <c r="AH130" s="69">
        <f t="shared" si="20"/>
        <v>21</v>
      </c>
    </row>
    <row r="131" spans="1:37" s="69" customFormat="1" ht="33" x14ac:dyDescent="0.3">
      <c r="A131" s="55" t="s">
        <v>382</v>
      </c>
      <c r="B131" s="53" t="s">
        <v>383</v>
      </c>
      <c r="C131" s="54" t="s">
        <v>30</v>
      </c>
      <c r="D131" s="75">
        <v>275.60000000000002</v>
      </c>
      <c r="E131" s="75"/>
      <c r="F131" s="75"/>
      <c r="G131" s="75"/>
      <c r="H131" s="75">
        <v>7340.41</v>
      </c>
      <c r="I131" s="75">
        <v>2023017</v>
      </c>
      <c r="J131" s="91" t="s">
        <v>384</v>
      </c>
      <c r="K131" s="73"/>
      <c r="L131" s="46">
        <v>0</v>
      </c>
      <c r="M131" s="46">
        <v>0</v>
      </c>
      <c r="N131" s="46">
        <v>0</v>
      </c>
      <c r="O131" s="98"/>
      <c r="P131" s="23" t="s">
        <v>1493</v>
      </c>
      <c r="Q131" s="24" t="s">
        <v>383</v>
      </c>
      <c r="R131" s="25" t="s">
        <v>30</v>
      </c>
      <c r="S131" s="26">
        <v>275.60000000000002</v>
      </c>
      <c r="T131" s="26"/>
      <c r="U131" s="26">
        <f t="shared" si="14"/>
        <v>7340.41</v>
      </c>
      <c r="V131" s="26">
        <f t="shared" si="15"/>
        <v>0</v>
      </c>
      <c r="W131" s="26">
        <f t="shared" si="16"/>
        <v>0</v>
      </c>
      <c r="X131" s="26">
        <f t="shared" si="21"/>
        <v>0</v>
      </c>
      <c r="Y131" s="26">
        <f t="shared" si="17"/>
        <v>0</v>
      </c>
      <c r="Z131" s="33" t="s">
        <v>15</v>
      </c>
      <c r="AA131" s="36" t="s">
        <v>16</v>
      </c>
      <c r="AB131" s="35">
        <f t="shared" si="18"/>
        <v>275.60000000000002</v>
      </c>
      <c r="AC131" s="35">
        <f t="shared" si="22"/>
        <v>2023017</v>
      </c>
      <c r="AD131" s="181">
        <v>1.2</v>
      </c>
      <c r="AE131" s="181">
        <v>1.2</v>
      </c>
      <c r="AF131" s="101" t="str">
        <f t="shared" si="19"/>
        <v/>
      </c>
      <c r="AG131" s="190">
        <v>0</v>
      </c>
      <c r="AH131" s="69">
        <f t="shared" si="20"/>
        <v>275.60000000000002</v>
      </c>
    </row>
    <row r="132" spans="1:37" s="69" customFormat="1" ht="33" x14ac:dyDescent="0.3">
      <c r="A132" s="55" t="s">
        <v>385</v>
      </c>
      <c r="B132" s="53" t="s">
        <v>386</v>
      </c>
      <c r="C132" s="54" t="s">
        <v>81</v>
      </c>
      <c r="D132" s="75">
        <v>1</v>
      </c>
      <c r="E132" s="75"/>
      <c r="F132" s="75"/>
      <c r="G132" s="75"/>
      <c r="H132" s="75">
        <v>913345.81</v>
      </c>
      <c r="I132" s="75">
        <v>913345.81</v>
      </c>
      <c r="J132" s="91" t="s">
        <v>387</v>
      </c>
      <c r="K132" s="73"/>
      <c r="L132" s="46">
        <v>0</v>
      </c>
      <c r="M132" s="46">
        <v>0</v>
      </c>
      <c r="N132" s="46">
        <v>0</v>
      </c>
      <c r="O132" s="98"/>
      <c r="P132" s="23" t="s">
        <v>1494</v>
      </c>
      <c r="Q132" s="24" t="s">
        <v>386</v>
      </c>
      <c r="R132" s="25" t="s">
        <v>81</v>
      </c>
      <c r="S132" s="26">
        <v>1</v>
      </c>
      <c r="T132" s="26"/>
      <c r="U132" s="26">
        <f t="shared" si="14"/>
        <v>913345.81</v>
      </c>
      <c r="V132" s="128">
        <f t="shared" si="15"/>
        <v>0</v>
      </c>
      <c r="W132" s="26">
        <f t="shared" si="16"/>
        <v>0</v>
      </c>
      <c r="X132" s="26">
        <f t="shared" si="21"/>
        <v>0</v>
      </c>
      <c r="Y132" s="26">
        <f t="shared" si="17"/>
        <v>0</v>
      </c>
      <c r="Z132" s="33" t="s">
        <v>15</v>
      </c>
      <c r="AA132" s="36" t="s">
        <v>16</v>
      </c>
      <c r="AB132" s="35">
        <f t="shared" si="18"/>
        <v>1</v>
      </c>
      <c r="AC132" s="35">
        <f t="shared" si="22"/>
        <v>913345.81</v>
      </c>
      <c r="AD132" s="181">
        <v>1.2</v>
      </c>
      <c r="AE132" s="181">
        <v>1.2</v>
      </c>
      <c r="AF132" s="101" t="str">
        <f t="shared" si="19"/>
        <v/>
      </c>
      <c r="AG132" s="191">
        <v>0</v>
      </c>
      <c r="AH132" s="69">
        <f t="shared" si="20"/>
        <v>1</v>
      </c>
    </row>
    <row r="133" spans="1:37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/>
      <c r="I133" s="82">
        <v>63133198.189999998</v>
      </c>
      <c r="J133" s="94" t="s">
        <v>15</v>
      </c>
      <c r="K133" s="73"/>
      <c r="L133" s="45">
        <v>1</v>
      </c>
      <c r="M133" s="45">
        <v>563749.51999999979</v>
      </c>
      <c r="N133" s="45">
        <v>32558756.390000001</v>
      </c>
      <c r="O133" s="98"/>
      <c r="P133" s="18" t="s">
        <v>1381</v>
      </c>
      <c r="Q133" s="19" t="s">
        <v>389</v>
      </c>
      <c r="R133" s="20" t="s">
        <v>14</v>
      </c>
      <c r="S133" s="21">
        <v>1</v>
      </c>
      <c r="T133" s="21"/>
      <c r="U133" s="21">
        <f>SUMIFS(AC:AC,AD:AD,AD133)</f>
        <v>63133198.190000005</v>
      </c>
      <c r="V133" s="21">
        <f t="shared" ref="V133:W133" si="23">IF(X133=0,0,1)</f>
        <v>1</v>
      </c>
      <c r="W133" s="21">
        <f t="shared" si="23"/>
        <v>1</v>
      </c>
      <c r="X133" s="21">
        <f>SUMIFS(X:X,AE:AE,AD133)</f>
        <v>5899179.2699999996</v>
      </c>
      <c r="Y133" s="21">
        <f>SUMIFS(Y:Y,AE:AE,AD133)</f>
        <v>38457935.660000004</v>
      </c>
      <c r="Z133" s="22" t="s">
        <v>15</v>
      </c>
      <c r="AA133" s="43" t="s">
        <v>16</v>
      </c>
      <c r="AB133" s="35">
        <f t="shared" si="18"/>
        <v>1</v>
      </c>
      <c r="AC133" s="44"/>
      <c r="AD133" s="184">
        <v>1.3</v>
      </c>
      <c r="AE133" s="184"/>
      <c r="AF133" s="101" t="str">
        <f t="shared" si="19"/>
        <v/>
      </c>
      <c r="AG133" s="190">
        <v>1</v>
      </c>
      <c r="AH133" s="69">
        <f t="shared" si="20"/>
        <v>1</v>
      </c>
    </row>
    <row r="134" spans="1:37" s="69" customFormat="1" ht="39" x14ac:dyDescent="0.3">
      <c r="A134" s="55" t="s">
        <v>390</v>
      </c>
      <c r="B134" s="53" t="s">
        <v>102</v>
      </c>
      <c r="C134" s="54" t="s">
        <v>103</v>
      </c>
      <c r="D134" s="75">
        <v>274.45</v>
      </c>
      <c r="E134" s="75"/>
      <c r="F134" s="75"/>
      <c r="G134" s="75"/>
      <c r="H134" s="75">
        <v>320.74</v>
      </c>
      <c r="I134" s="75">
        <v>88027.09</v>
      </c>
      <c r="J134" s="91" t="s">
        <v>104</v>
      </c>
      <c r="K134" s="73"/>
      <c r="L134" s="46">
        <v>0</v>
      </c>
      <c r="M134" s="46">
        <v>0</v>
      </c>
      <c r="N134" s="46">
        <v>0</v>
      </c>
      <c r="O134" s="98"/>
      <c r="P134" s="23" t="s">
        <v>1421</v>
      </c>
      <c r="Q134" s="24" t="s">
        <v>102</v>
      </c>
      <c r="R134" s="25" t="s">
        <v>103</v>
      </c>
      <c r="S134" s="26">
        <v>274.45</v>
      </c>
      <c r="T134" s="26"/>
      <c r="U134" s="26">
        <f t="shared" si="14"/>
        <v>320.74</v>
      </c>
      <c r="V134" s="26">
        <f t="shared" ref="V134:V176" si="24">AG134-L134</f>
        <v>0</v>
      </c>
      <c r="W134" s="26">
        <f t="shared" ref="W134:W176" si="25">V134+L134</f>
        <v>0</v>
      </c>
      <c r="X134" s="26">
        <f t="shared" ref="X134:X176" si="26">Y134-N134</f>
        <v>0</v>
      </c>
      <c r="Y134" s="26">
        <f t="shared" si="17"/>
        <v>0</v>
      </c>
      <c r="Z134" s="33" t="s">
        <v>15</v>
      </c>
      <c r="AA134" s="36" t="s">
        <v>16</v>
      </c>
      <c r="AB134" s="35">
        <f t="shared" si="18"/>
        <v>274.45</v>
      </c>
      <c r="AC134" s="35">
        <f t="shared" ref="AC134:AC176" si="27">ROUND(U134*AB134,2)</f>
        <v>88027.09</v>
      </c>
      <c r="AD134" s="181">
        <v>1.3</v>
      </c>
      <c r="AE134" s="181">
        <v>1.3</v>
      </c>
      <c r="AF134" s="101" t="str">
        <f t="shared" si="19"/>
        <v/>
      </c>
      <c r="AG134" s="190">
        <v>0</v>
      </c>
      <c r="AH134" s="69">
        <f t="shared" si="20"/>
        <v>274.45</v>
      </c>
    </row>
    <row r="135" spans="1:37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>
        <v>3115.13</v>
      </c>
      <c r="I135" s="75">
        <v>137751.04999999999</v>
      </c>
      <c r="J135" s="91" t="s">
        <v>114</v>
      </c>
      <c r="K135" s="73"/>
      <c r="L135" s="46">
        <v>16.79</v>
      </c>
      <c r="M135" s="46">
        <v>0</v>
      </c>
      <c r="N135" s="46">
        <v>52303.03</v>
      </c>
      <c r="O135" s="98"/>
      <c r="P135" s="23" t="s">
        <v>1426</v>
      </c>
      <c r="Q135" s="24" t="s">
        <v>392</v>
      </c>
      <c r="R135" s="25" t="s">
        <v>23</v>
      </c>
      <c r="S135" s="26">
        <v>44.22</v>
      </c>
      <c r="T135" s="26"/>
      <c r="U135" s="26">
        <f t="shared" si="14"/>
        <v>3115.13</v>
      </c>
      <c r="V135" s="26">
        <f t="shared" si="24"/>
        <v>0</v>
      </c>
      <c r="W135" s="26">
        <f t="shared" si="25"/>
        <v>16.79</v>
      </c>
      <c r="X135" s="26">
        <f t="shared" si="26"/>
        <v>0</v>
      </c>
      <c r="Y135" s="26">
        <f t="shared" si="17"/>
        <v>52303.03</v>
      </c>
      <c r="Z135" s="33" t="s">
        <v>15</v>
      </c>
      <c r="AA135" s="36" t="s">
        <v>16</v>
      </c>
      <c r="AB135" s="35">
        <f t="shared" si="18"/>
        <v>44.22</v>
      </c>
      <c r="AC135" s="35">
        <f t="shared" si="27"/>
        <v>137751.04999999999</v>
      </c>
      <c r="AD135" s="181">
        <v>1.3</v>
      </c>
      <c r="AE135" s="181">
        <v>1.3</v>
      </c>
      <c r="AF135" s="101" t="str">
        <f t="shared" si="19"/>
        <v/>
      </c>
      <c r="AG135" s="190">
        <v>16.79</v>
      </c>
      <c r="AH135" s="69">
        <f t="shared" si="20"/>
        <v>44.22</v>
      </c>
    </row>
    <row r="136" spans="1:37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>
        <v>3321.13</v>
      </c>
      <c r="I136" s="75">
        <v>318728.84999999998</v>
      </c>
      <c r="J136" s="91" t="s">
        <v>117</v>
      </c>
      <c r="K136" s="73"/>
      <c r="L136" s="46">
        <v>0</v>
      </c>
      <c r="M136" s="46">
        <v>0</v>
      </c>
      <c r="N136" s="46">
        <v>0</v>
      </c>
      <c r="O136" s="98"/>
      <c r="P136" s="23" t="s">
        <v>1402</v>
      </c>
      <c r="Q136" s="24" t="s">
        <v>116</v>
      </c>
      <c r="R136" s="25" t="s">
        <v>23</v>
      </c>
      <c r="S136" s="26">
        <v>95.97</v>
      </c>
      <c r="T136" s="26"/>
      <c r="U136" s="26">
        <f t="shared" si="14"/>
        <v>3321.13</v>
      </c>
      <c r="V136" s="26">
        <f t="shared" si="24"/>
        <v>0</v>
      </c>
      <c r="W136" s="26">
        <f t="shared" si="25"/>
        <v>0</v>
      </c>
      <c r="X136" s="26">
        <f t="shared" si="26"/>
        <v>0</v>
      </c>
      <c r="Y136" s="26">
        <f t="shared" si="17"/>
        <v>0</v>
      </c>
      <c r="Z136" s="33" t="s">
        <v>15</v>
      </c>
      <c r="AA136" s="36" t="s">
        <v>16</v>
      </c>
      <c r="AB136" s="35">
        <f t="shared" si="18"/>
        <v>95.97</v>
      </c>
      <c r="AC136" s="35">
        <f t="shared" si="27"/>
        <v>318728.84999999998</v>
      </c>
      <c r="AD136" s="181">
        <v>1.3</v>
      </c>
      <c r="AE136" s="181">
        <v>1.3</v>
      </c>
      <c r="AF136" s="101" t="str">
        <f t="shared" si="19"/>
        <v/>
      </c>
      <c r="AG136" s="190">
        <v>0</v>
      </c>
      <c r="AH136" s="69">
        <f t="shared" si="20"/>
        <v>95.97</v>
      </c>
    </row>
    <row r="137" spans="1:37" s="69" customFormat="1" ht="39" x14ac:dyDescent="0.3">
      <c r="A137" s="55" t="s">
        <v>394</v>
      </c>
      <c r="B137" s="53" t="s">
        <v>395</v>
      </c>
      <c r="C137" s="54" t="s">
        <v>23</v>
      </c>
      <c r="D137" s="75">
        <v>1216.8</v>
      </c>
      <c r="E137" s="75"/>
      <c r="F137" s="75"/>
      <c r="G137" s="75"/>
      <c r="H137" s="75">
        <v>3643.73</v>
      </c>
      <c r="I137" s="75">
        <v>4433690.66</v>
      </c>
      <c r="J137" s="91" t="s">
        <v>396</v>
      </c>
      <c r="K137" s="73"/>
      <c r="L137" s="46">
        <v>232.88</v>
      </c>
      <c r="M137" s="46">
        <v>18.21999999997206</v>
      </c>
      <c r="N137" s="46">
        <v>848551.84</v>
      </c>
      <c r="O137" s="98"/>
      <c r="P137" s="23" t="s">
        <v>1373</v>
      </c>
      <c r="Q137" s="24" t="s">
        <v>395</v>
      </c>
      <c r="R137" s="25" t="s">
        <v>23</v>
      </c>
      <c r="S137" s="26">
        <v>1216.8</v>
      </c>
      <c r="T137" s="26"/>
      <c r="U137" s="26">
        <f t="shared" si="14"/>
        <v>3643.73</v>
      </c>
      <c r="V137" s="128">
        <f t="shared" si="24"/>
        <v>152.5</v>
      </c>
      <c r="W137" s="26">
        <f t="shared" si="25"/>
        <v>385.38</v>
      </c>
      <c r="X137" s="26">
        <f t="shared" si="26"/>
        <v>555668.82999999996</v>
      </c>
      <c r="Y137" s="26">
        <f t="shared" si="17"/>
        <v>1404220.67</v>
      </c>
      <c r="Z137" s="33" t="s">
        <v>15</v>
      </c>
      <c r="AA137" s="36" t="s">
        <v>16</v>
      </c>
      <c r="AB137" s="35">
        <f t="shared" si="18"/>
        <v>1216.8</v>
      </c>
      <c r="AC137" s="35">
        <f t="shared" si="27"/>
        <v>4433690.66</v>
      </c>
      <c r="AD137" s="181">
        <v>1.3</v>
      </c>
      <c r="AE137" s="181">
        <v>1.3</v>
      </c>
      <c r="AF137" s="101" t="str">
        <f t="shared" si="19"/>
        <v/>
      </c>
      <c r="AG137" s="191">
        <f>68+115+49.88+152.5</f>
        <v>385.38</v>
      </c>
      <c r="AH137" s="69">
        <f t="shared" si="20"/>
        <v>1216.8</v>
      </c>
      <c r="AK137" s="195">
        <v>388.56</v>
      </c>
    </row>
    <row r="138" spans="1:37" s="69" customFormat="1" ht="33" x14ac:dyDescent="0.3">
      <c r="A138" s="55" t="s">
        <v>397</v>
      </c>
      <c r="B138" s="122" t="s">
        <v>109</v>
      </c>
      <c r="C138" s="54" t="s">
        <v>110</v>
      </c>
      <c r="D138" s="75">
        <v>4788.7700000000004</v>
      </c>
      <c r="E138" s="75"/>
      <c r="F138" s="75"/>
      <c r="G138" s="75"/>
      <c r="H138" s="75">
        <v>36.4</v>
      </c>
      <c r="I138" s="75">
        <v>174311.23</v>
      </c>
      <c r="J138" s="91" t="s">
        <v>111</v>
      </c>
      <c r="K138" s="73"/>
      <c r="L138" s="46">
        <v>2040</v>
      </c>
      <c r="M138" s="46">
        <v>0</v>
      </c>
      <c r="N138" s="46">
        <v>74256</v>
      </c>
      <c r="O138" s="98"/>
      <c r="P138" s="23" t="s">
        <v>1393</v>
      </c>
      <c r="Q138" s="24" t="s">
        <v>109</v>
      </c>
      <c r="R138" s="25" t="s">
        <v>110</v>
      </c>
      <c r="S138" s="26">
        <v>4788.7700000000004</v>
      </c>
      <c r="T138" s="26"/>
      <c r="U138" s="26">
        <f t="shared" si="14"/>
        <v>36.4</v>
      </c>
      <c r="V138" s="128">
        <f t="shared" si="24"/>
        <v>2126</v>
      </c>
      <c r="W138" s="127">
        <f t="shared" si="25"/>
        <v>4166</v>
      </c>
      <c r="X138" s="127">
        <f t="shared" si="26"/>
        <v>77386.399999999994</v>
      </c>
      <c r="Y138" s="127">
        <f t="shared" si="17"/>
        <v>151642.4</v>
      </c>
      <c r="Z138" s="33" t="s">
        <v>15</v>
      </c>
      <c r="AA138" s="36" t="s">
        <v>16</v>
      </c>
      <c r="AB138" s="35">
        <f t="shared" si="18"/>
        <v>4788.7700000000004</v>
      </c>
      <c r="AC138" s="35">
        <f t="shared" si="27"/>
        <v>174311.23</v>
      </c>
      <c r="AD138" s="181">
        <v>1.3</v>
      </c>
      <c r="AE138" s="181">
        <v>1.3</v>
      </c>
      <c r="AF138" s="101" t="str">
        <f t="shared" si="19"/>
        <v/>
      </c>
      <c r="AG138" s="193">
        <f>2040+2126</f>
        <v>4166</v>
      </c>
      <c r="AH138" s="69">
        <f t="shared" si="20"/>
        <v>4788.7700000000004</v>
      </c>
      <c r="AK138" s="195">
        <v>4788.7700000000004</v>
      </c>
    </row>
    <row r="139" spans="1:37" s="69" customFormat="1" ht="33" x14ac:dyDescent="0.3">
      <c r="A139" s="55" t="s">
        <v>398</v>
      </c>
      <c r="B139" s="122" t="s">
        <v>399</v>
      </c>
      <c r="C139" s="54" t="s">
        <v>110</v>
      </c>
      <c r="D139" s="75">
        <v>205535.32</v>
      </c>
      <c r="E139" s="75"/>
      <c r="F139" s="75"/>
      <c r="G139" s="75"/>
      <c r="H139" s="75">
        <v>38.71</v>
      </c>
      <c r="I139" s="75">
        <v>7956272.2400000002</v>
      </c>
      <c r="J139" s="91" t="s">
        <v>400</v>
      </c>
      <c r="K139" s="73"/>
      <c r="L139" s="46">
        <v>82006.52</v>
      </c>
      <c r="M139" s="46">
        <v>0</v>
      </c>
      <c r="N139" s="46">
        <v>3174472.39</v>
      </c>
      <c r="O139" s="98"/>
      <c r="P139" s="23" t="s">
        <v>1403</v>
      </c>
      <c r="Q139" s="24" t="s">
        <v>399</v>
      </c>
      <c r="R139" s="25" t="s">
        <v>110</v>
      </c>
      <c r="S139" s="26">
        <v>205535.32</v>
      </c>
      <c r="T139" s="26"/>
      <c r="U139" s="26">
        <f t="shared" ref="U139:U176" si="28">H139</f>
        <v>38.71</v>
      </c>
      <c r="V139" s="26">
        <f t="shared" si="24"/>
        <v>0</v>
      </c>
      <c r="W139" s="26">
        <f t="shared" si="25"/>
        <v>82006.52</v>
      </c>
      <c r="X139" s="26">
        <f t="shared" si="26"/>
        <v>0</v>
      </c>
      <c r="Y139" s="26">
        <f t="shared" ref="Y139:Y203" si="29">ROUND(U139*W139,2)</f>
        <v>3174472.39</v>
      </c>
      <c r="Z139" s="33" t="s">
        <v>15</v>
      </c>
      <c r="AA139" s="36" t="s">
        <v>16</v>
      </c>
      <c r="AB139" s="35">
        <f t="shared" ref="AB139:AB202" si="30">IF(T139="",S139,T139)</f>
        <v>205535.32</v>
      </c>
      <c r="AC139" s="35">
        <f t="shared" si="27"/>
        <v>7956272.2400000002</v>
      </c>
      <c r="AD139" s="181">
        <v>1.3</v>
      </c>
      <c r="AE139" s="181">
        <v>1.3</v>
      </c>
      <c r="AF139" s="101" t="str">
        <f t="shared" ref="AF139:AF202" si="31">IF(W139&gt;AH139,"超估","")</f>
        <v/>
      </c>
      <c r="AG139" s="190">
        <v>82006.52</v>
      </c>
      <c r="AH139" s="69">
        <f t="shared" ref="AH139:AH202" si="32">IF(G139=0,IF(F139=0,IF(E139=0,D139,E139),F139),G139)</f>
        <v>205535.32</v>
      </c>
      <c r="AK139" s="195">
        <v>72641</v>
      </c>
    </row>
    <row r="140" spans="1:37" s="69" customFormat="1" ht="33" x14ac:dyDescent="0.3">
      <c r="A140" s="55" t="s">
        <v>401</v>
      </c>
      <c r="B140" s="53" t="s">
        <v>402</v>
      </c>
      <c r="C140" s="54" t="s">
        <v>50</v>
      </c>
      <c r="D140" s="75">
        <v>320.89999999999998</v>
      </c>
      <c r="E140" s="75"/>
      <c r="F140" s="75"/>
      <c r="G140" s="75"/>
      <c r="H140" s="75">
        <v>1154.98</v>
      </c>
      <c r="I140" s="75">
        <v>370633.08</v>
      </c>
      <c r="J140" s="91" t="s">
        <v>403</v>
      </c>
      <c r="K140" s="73"/>
      <c r="L140" s="46">
        <v>236.19</v>
      </c>
      <c r="M140" s="46">
        <v>0</v>
      </c>
      <c r="N140" s="46">
        <v>272794.73</v>
      </c>
      <c r="O140" s="98"/>
      <c r="P140" s="23" t="s">
        <v>1427</v>
      </c>
      <c r="Q140" s="24" t="s">
        <v>402</v>
      </c>
      <c r="R140" s="25" t="s">
        <v>50</v>
      </c>
      <c r="S140" s="26">
        <v>320.89999999999998</v>
      </c>
      <c r="T140" s="26"/>
      <c r="U140" s="26">
        <f t="shared" si="28"/>
        <v>1154.98</v>
      </c>
      <c r="V140" s="128">
        <f t="shared" si="24"/>
        <v>0</v>
      </c>
      <c r="W140" s="26">
        <f t="shared" si="25"/>
        <v>236.19</v>
      </c>
      <c r="X140" s="26">
        <f t="shared" si="26"/>
        <v>0</v>
      </c>
      <c r="Y140" s="26">
        <f t="shared" si="29"/>
        <v>272794.73</v>
      </c>
      <c r="Z140" s="33" t="s">
        <v>15</v>
      </c>
      <c r="AA140" s="36" t="s">
        <v>16</v>
      </c>
      <c r="AB140" s="35">
        <f t="shared" si="30"/>
        <v>320.89999999999998</v>
      </c>
      <c r="AC140" s="35">
        <f t="shared" si="27"/>
        <v>370633.08</v>
      </c>
      <c r="AD140" s="181">
        <v>1.3</v>
      </c>
      <c r="AE140" s="181">
        <v>1.3</v>
      </c>
      <c r="AF140" s="101" t="str">
        <f t="shared" si="31"/>
        <v/>
      </c>
      <c r="AG140" s="191">
        <f>50.19+186</f>
        <v>236.19</v>
      </c>
      <c r="AH140" s="69">
        <f t="shared" si="32"/>
        <v>320.89999999999998</v>
      </c>
      <c r="AK140" s="195">
        <v>351.34</v>
      </c>
    </row>
    <row r="141" spans="1:37" s="69" customFormat="1" ht="57.75" x14ac:dyDescent="0.3">
      <c r="A141" s="55" t="s">
        <v>404</v>
      </c>
      <c r="B141" s="53" t="s">
        <v>405</v>
      </c>
      <c r="C141" s="54" t="s">
        <v>50</v>
      </c>
      <c r="D141" s="75">
        <v>493.85</v>
      </c>
      <c r="E141" s="75"/>
      <c r="F141" s="75"/>
      <c r="G141" s="75"/>
      <c r="H141" s="75">
        <v>982.98</v>
      </c>
      <c r="I141" s="75">
        <v>485444.67</v>
      </c>
      <c r="J141" s="91" t="s">
        <v>406</v>
      </c>
      <c r="K141" s="73"/>
      <c r="L141" s="46">
        <v>393.03</v>
      </c>
      <c r="M141" s="46">
        <v>0</v>
      </c>
      <c r="N141" s="46">
        <v>386340.63</v>
      </c>
      <c r="O141" s="98"/>
      <c r="P141" s="23" t="s">
        <v>1428</v>
      </c>
      <c r="Q141" s="24" t="s">
        <v>405</v>
      </c>
      <c r="R141" s="25" t="s">
        <v>50</v>
      </c>
      <c r="S141" s="26">
        <v>493.85</v>
      </c>
      <c r="T141" s="26"/>
      <c r="U141" s="26">
        <f t="shared" si="28"/>
        <v>982.98</v>
      </c>
      <c r="V141" s="128">
        <f t="shared" si="24"/>
        <v>100.82</v>
      </c>
      <c r="W141" s="127">
        <f t="shared" si="25"/>
        <v>493.84999999999997</v>
      </c>
      <c r="X141" s="127">
        <f t="shared" si="26"/>
        <v>99104.039999999979</v>
      </c>
      <c r="Y141" s="127">
        <f t="shared" si="29"/>
        <v>485444.67</v>
      </c>
      <c r="Z141" s="33" t="s">
        <v>15</v>
      </c>
      <c r="AA141" s="36" t="s">
        <v>16</v>
      </c>
      <c r="AB141" s="35">
        <f t="shared" si="30"/>
        <v>493.85</v>
      </c>
      <c r="AC141" s="35">
        <f t="shared" si="27"/>
        <v>485444.67</v>
      </c>
      <c r="AD141" s="181">
        <v>1.3</v>
      </c>
      <c r="AE141" s="181">
        <v>1.3</v>
      </c>
      <c r="AF141" s="101" t="str">
        <f t="shared" si="31"/>
        <v/>
      </c>
      <c r="AG141" s="191">
        <f>393.03+100.82</f>
        <v>493.84999999999997</v>
      </c>
      <c r="AH141" s="69">
        <f t="shared" si="32"/>
        <v>493.85</v>
      </c>
      <c r="AK141" s="195">
        <v>574.89200000000017</v>
      </c>
    </row>
    <row r="142" spans="1:37" s="69" customFormat="1" ht="41.25" x14ac:dyDescent="0.3">
      <c r="A142" s="55" t="s">
        <v>407</v>
      </c>
      <c r="B142" s="53" t="s">
        <v>408</v>
      </c>
      <c r="C142" s="54" t="s">
        <v>50</v>
      </c>
      <c r="D142" s="75">
        <v>126.48</v>
      </c>
      <c r="E142" s="75"/>
      <c r="F142" s="75"/>
      <c r="G142" s="75"/>
      <c r="H142" s="75">
        <v>804.79</v>
      </c>
      <c r="I142" s="75">
        <v>101789.84</v>
      </c>
      <c r="J142" s="91" t="s">
        <v>409</v>
      </c>
      <c r="K142" s="73"/>
      <c r="L142" s="46">
        <v>126.48</v>
      </c>
      <c r="M142" s="46">
        <v>0</v>
      </c>
      <c r="N142" s="46">
        <v>101789.84</v>
      </c>
      <c r="O142" s="98"/>
      <c r="P142" s="23" t="s">
        <v>1387</v>
      </c>
      <c r="Q142" s="24" t="s">
        <v>408</v>
      </c>
      <c r="R142" s="25" t="s">
        <v>50</v>
      </c>
      <c r="S142" s="26">
        <v>126.48</v>
      </c>
      <c r="T142" s="26"/>
      <c r="U142" s="26">
        <f t="shared" si="28"/>
        <v>804.79</v>
      </c>
      <c r="V142" s="127">
        <f t="shared" si="24"/>
        <v>0</v>
      </c>
      <c r="W142" s="127">
        <f t="shared" si="25"/>
        <v>126.48</v>
      </c>
      <c r="X142" s="127">
        <f t="shared" si="26"/>
        <v>0</v>
      </c>
      <c r="Y142" s="127">
        <f t="shared" si="29"/>
        <v>101789.84</v>
      </c>
      <c r="Z142" s="33" t="s">
        <v>15</v>
      </c>
      <c r="AA142" s="36" t="s">
        <v>16</v>
      </c>
      <c r="AB142" s="35">
        <f t="shared" si="30"/>
        <v>126.48</v>
      </c>
      <c r="AC142" s="35">
        <f t="shared" si="27"/>
        <v>101789.84</v>
      </c>
      <c r="AD142" s="181">
        <v>1.3</v>
      </c>
      <c r="AE142" s="181">
        <v>1.3</v>
      </c>
      <c r="AF142" s="101" t="str">
        <f t="shared" si="31"/>
        <v/>
      </c>
      <c r="AG142" s="192">
        <v>126.48</v>
      </c>
      <c r="AH142" s="69">
        <f t="shared" si="32"/>
        <v>126.48</v>
      </c>
      <c r="AK142" s="195">
        <v>120</v>
      </c>
    </row>
    <row r="143" spans="1:37" s="69" customFormat="1" ht="33" x14ac:dyDescent="0.3">
      <c r="A143" s="55" t="s">
        <v>410</v>
      </c>
      <c r="B143" s="53" t="s">
        <v>411</v>
      </c>
      <c r="C143" s="54" t="s">
        <v>412</v>
      </c>
      <c r="D143" s="75">
        <v>12205</v>
      </c>
      <c r="E143" s="75"/>
      <c r="F143" s="75"/>
      <c r="G143" s="75"/>
      <c r="H143" s="75">
        <v>75</v>
      </c>
      <c r="I143" s="75">
        <v>915375</v>
      </c>
      <c r="J143" s="91" t="s">
        <v>413</v>
      </c>
      <c r="K143" s="73"/>
      <c r="L143" s="46">
        <v>0</v>
      </c>
      <c r="M143" s="46">
        <v>0</v>
      </c>
      <c r="N143" s="46">
        <v>0</v>
      </c>
      <c r="O143" s="98"/>
      <c r="P143" s="23" t="s">
        <v>1405</v>
      </c>
      <c r="Q143" s="24" t="s">
        <v>411</v>
      </c>
      <c r="R143" s="25" t="s">
        <v>412</v>
      </c>
      <c r="S143" s="26">
        <v>12205</v>
      </c>
      <c r="T143" s="26"/>
      <c r="U143" s="26">
        <f t="shared" si="28"/>
        <v>75</v>
      </c>
      <c r="V143" s="26">
        <f t="shared" si="24"/>
        <v>0</v>
      </c>
      <c r="W143" s="26">
        <f t="shared" si="25"/>
        <v>0</v>
      </c>
      <c r="X143" s="26">
        <f t="shared" si="26"/>
        <v>0</v>
      </c>
      <c r="Y143" s="26">
        <f t="shared" si="29"/>
        <v>0</v>
      </c>
      <c r="Z143" s="33" t="s">
        <v>15</v>
      </c>
      <c r="AA143" s="36" t="s">
        <v>16</v>
      </c>
      <c r="AB143" s="35">
        <f t="shared" si="30"/>
        <v>12205</v>
      </c>
      <c r="AC143" s="35">
        <f t="shared" si="27"/>
        <v>915375</v>
      </c>
      <c r="AD143" s="181">
        <v>1.3</v>
      </c>
      <c r="AE143" s="181">
        <v>1.3</v>
      </c>
      <c r="AF143" s="101" t="str">
        <f t="shared" si="31"/>
        <v/>
      </c>
      <c r="AG143" s="190">
        <v>0</v>
      </c>
      <c r="AH143" s="69">
        <f t="shared" si="32"/>
        <v>12205</v>
      </c>
    </row>
    <row r="144" spans="1:37" s="69" customFormat="1" ht="33" x14ac:dyDescent="0.3">
      <c r="A144" s="55" t="s">
        <v>414</v>
      </c>
      <c r="B144" s="53" t="s">
        <v>125</v>
      </c>
      <c r="C144" s="54" t="s">
        <v>110</v>
      </c>
      <c r="D144" s="75">
        <v>8317</v>
      </c>
      <c r="E144" s="75"/>
      <c r="F144" s="75"/>
      <c r="G144" s="75"/>
      <c r="H144" s="75">
        <v>60</v>
      </c>
      <c r="I144" s="75">
        <v>499020</v>
      </c>
      <c r="J144" s="91" t="s">
        <v>126</v>
      </c>
      <c r="K144" s="73"/>
      <c r="L144" s="46">
        <v>0</v>
      </c>
      <c r="M144" s="46">
        <v>0</v>
      </c>
      <c r="N144" s="46">
        <v>0</v>
      </c>
      <c r="O144" s="98"/>
      <c r="P144" s="23" t="s">
        <v>1406</v>
      </c>
      <c r="Q144" s="24" t="s">
        <v>125</v>
      </c>
      <c r="R144" s="25" t="s">
        <v>110</v>
      </c>
      <c r="S144" s="26">
        <v>8317</v>
      </c>
      <c r="T144" s="26"/>
      <c r="U144" s="26">
        <f t="shared" si="28"/>
        <v>60</v>
      </c>
      <c r="V144" s="26">
        <f t="shared" si="24"/>
        <v>0</v>
      </c>
      <c r="W144" s="26">
        <f t="shared" si="25"/>
        <v>0</v>
      </c>
      <c r="X144" s="26">
        <f t="shared" si="26"/>
        <v>0</v>
      </c>
      <c r="Y144" s="26">
        <f t="shared" si="29"/>
        <v>0</v>
      </c>
      <c r="Z144" s="33" t="s">
        <v>15</v>
      </c>
      <c r="AA144" s="36" t="s">
        <v>16</v>
      </c>
      <c r="AB144" s="35">
        <f t="shared" si="30"/>
        <v>8317</v>
      </c>
      <c r="AC144" s="35">
        <f t="shared" si="27"/>
        <v>499020</v>
      </c>
      <c r="AD144" s="181">
        <v>1.3</v>
      </c>
      <c r="AE144" s="181">
        <v>1.3</v>
      </c>
      <c r="AF144" s="101" t="str">
        <f t="shared" si="31"/>
        <v/>
      </c>
      <c r="AG144" s="190">
        <v>0</v>
      </c>
      <c r="AH144" s="69">
        <f t="shared" si="32"/>
        <v>8317</v>
      </c>
    </row>
    <row r="145" spans="1:34" s="69" customFormat="1" ht="39" x14ac:dyDescent="0.3">
      <c r="A145" s="55" t="s">
        <v>415</v>
      </c>
      <c r="B145" s="53" t="s">
        <v>128</v>
      </c>
      <c r="C145" s="54" t="s">
        <v>110</v>
      </c>
      <c r="D145" s="75">
        <v>8317</v>
      </c>
      <c r="E145" s="75"/>
      <c r="F145" s="75"/>
      <c r="G145" s="75"/>
      <c r="H145" s="75">
        <v>31.9</v>
      </c>
      <c r="I145" s="75">
        <v>265312.3</v>
      </c>
      <c r="J145" s="91" t="s">
        <v>129</v>
      </c>
      <c r="K145" s="73"/>
      <c r="L145" s="46">
        <v>0</v>
      </c>
      <c r="M145" s="46">
        <v>0</v>
      </c>
      <c r="N145" s="46">
        <v>0</v>
      </c>
      <c r="O145" s="98"/>
      <c r="P145" s="23" t="s">
        <v>1414</v>
      </c>
      <c r="Q145" s="24" t="s">
        <v>128</v>
      </c>
      <c r="R145" s="25" t="s">
        <v>110</v>
      </c>
      <c r="S145" s="26">
        <v>8317</v>
      </c>
      <c r="T145" s="26"/>
      <c r="U145" s="26">
        <f t="shared" si="28"/>
        <v>31.9</v>
      </c>
      <c r="V145" s="26">
        <f t="shared" si="24"/>
        <v>0</v>
      </c>
      <c r="W145" s="26">
        <f t="shared" si="25"/>
        <v>0</v>
      </c>
      <c r="X145" s="26">
        <f t="shared" si="26"/>
        <v>0</v>
      </c>
      <c r="Y145" s="26">
        <f t="shared" si="29"/>
        <v>0</v>
      </c>
      <c r="Z145" s="33" t="s">
        <v>15</v>
      </c>
      <c r="AA145" s="36" t="s">
        <v>16</v>
      </c>
      <c r="AB145" s="35">
        <f t="shared" si="30"/>
        <v>8317</v>
      </c>
      <c r="AC145" s="35">
        <f t="shared" si="27"/>
        <v>265312.3</v>
      </c>
      <c r="AD145" s="181">
        <v>1.3</v>
      </c>
      <c r="AE145" s="181">
        <v>1.3</v>
      </c>
      <c r="AF145" s="101" t="str">
        <f t="shared" si="31"/>
        <v/>
      </c>
      <c r="AG145" s="190">
        <v>0</v>
      </c>
      <c r="AH145" s="69">
        <f t="shared" si="32"/>
        <v>8317</v>
      </c>
    </row>
    <row r="146" spans="1:34" s="69" customFormat="1" ht="39" x14ac:dyDescent="0.3">
      <c r="A146" s="55" t="s">
        <v>416</v>
      </c>
      <c r="B146" s="53" t="s">
        <v>417</v>
      </c>
      <c r="C146" s="54" t="s">
        <v>110</v>
      </c>
      <c r="D146" s="75">
        <v>1087</v>
      </c>
      <c r="E146" s="75"/>
      <c r="F146" s="75"/>
      <c r="G146" s="75"/>
      <c r="H146" s="75">
        <v>278.10000000000002</v>
      </c>
      <c r="I146" s="75">
        <v>302294.7</v>
      </c>
      <c r="J146" s="91" t="s">
        <v>418</v>
      </c>
      <c r="K146" s="73"/>
      <c r="L146" s="46">
        <v>0</v>
      </c>
      <c r="M146" s="46">
        <v>0</v>
      </c>
      <c r="N146" s="46">
        <v>0</v>
      </c>
      <c r="O146" s="98"/>
      <c r="P146" s="23" t="s">
        <v>1429</v>
      </c>
      <c r="Q146" s="24" t="s">
        <v>417</v>
      </c>
      <c r="R146" s="25" t="s">
        <v>110</v>
      </c>
      <c r="S146" s="26">
        <v>1087</v>
      </c>
      <c r="T146" s="26"/>
      <c r="U146" s="26">
        <f t="shared" si="28"/>
        <v>278.10000000000002</v>
      </c>
      <c r="V146" s="26">
        <f t="shared" si="24"/>
        <v>0</v>
      </c>
      <c r="W146" s="26">
        <f t="shared" si="25"/>
        <v>0</v>
      </c>
      <c r="X146" s="26">
        <f t="shared" si="26"/>
        <v>0</v>
      </c>
      <c r="Y146" s="26">
        <f t="shared" si="29"/>
        <v>0</v>
      </c>
      <c r="Z146" s="33" t="s">
        <v>15</v>
      </c>
      <c r="AA146" s="36" t="s">
        <v>16</v>
      </c>
      <c r="AB146" s="35">
        <f t="shared" si="30"/>
        <v>1087</v>
      </c>
      <c r="AC146" s="35">
        <f t="shared" si="27"/>
        <v>302294.7</v>
      </c>
      <c r="AD146" s="181">
        <v>1.3</v>
      </c>
      <c r="AE146" s="181">
        <v>1.3</v>
      </c>
      <c r="AF146" s="101" t="str">
        <f t="shared" si="31"/>
        <v/>
      </c>
      <c r="AG146" s="190">
        <v>0</v>
      </c>
      <c r="AH146" s="69">
        <f t="shared" si="32"/>
        <v>1087</v>
      </c>
    </row>
    <row r="147" spans="1:34" s="69" customFormat="1" ht="39" x14ac:dyDescent="0.3">
      <c r="A147" s="55" t="s">
        <v>419</v>
      </c>
      <c r="B147" s="53" t="s">
        <v>420</v>
      </c>
      <c r="C147" s="54" t="s">
        <v>50</v>
      </c>
      <c r="D147" s="75">
        <v>172</v>
      </c>
      <c r="E147" s="75"/>
      <c r="F147" s="75"/>
      <c r="G147" s="75"/>
      <c r="H147" s="75">
        <v>1400</v>
      </c>
      <c r="I147" s="75">
        <v>240800</v>
      </c>
      <c r="J147" s="91" t="s">
        <v>421</v>
      </c>
      <c r="K147" s="73"/>
      <c r="L147" s="46">
        <v>0</v>
      </c>
      <c r="M147" s="46">
        <v>0</v>
      </c>
      <c r="N147" s="46">
        <v>0</v>
      </c>
      <c r="O147" s="98"/>
      <c r="P147" s="23" t="s">
        <v>1430</v>
      </c>
      <c r="Q147" s="24" t="s">
        <v>420</v>
      </c>
      <c r="R147" s="25" t="s">
        <v>50</v>
      </c>
      <c r="S147" s="26">
        <v>172</v>
      </c>
      <c r="T147" s="26"/>
      <c r="U147" s="26">
        <f t="shared" si="28"/>
        <v>1400</v>
      </c>
      <c r="V147" s="26">
        <f t="shared" si="24"/>
        <v>0</v>
      </c>
      <c r="W147" s="26">
        <f t="shared" si="25"/>
        <v>0</v>
      </c>
      <c r="X147" s="26">
        <f t="shared" si="26"/>
        <v>0</v>
      </c>
      <c r="Y147" s="26">
        <f t="shared" si="29"/>
        <v>0</v>
      </c>
      <c r="Z147" s="33" t="s">
        <v>15</v>
      </c>
      <c r="AA147" s="36" t="s">
        <v>16</v>
      </c>
      <c r="AB147" s="35">
        <f t="shared" si="30"/>
        <v>172</v>
      </c>
      <c r="AC147" s="35">
        <f t="shared" si="27"/>
        <v>240800</v>
      </c>
      <c r="AD147" s="181">
        <v>1.3</v>
      </c>
      <c r="AE147" s="181">
        <v>1.3</v>
      </c>
      <c r="AF147" s="101" t="str">
        <f t="shared" si="31"/>
        <v/>
      </c>
      <c r="AG147" s="190">
        <v>0</v>
      </c>
      <c r="AH147" s="69">
        <f t="shared" si="32"/>
        <v>172</v>
      </c>
    </row>
    <row r="148" spans="1:34" s="69" customFormat="1" ht="97.5" x14ac:dyDescent="0.3">
      <c r="A148" s="55" t="s">
        <v>422</v>
      </c>
      <c r="B148" s="53" t="s">
        <v>3070</v>
      </c>
      <c r="C148" s="54" t="s">
        <v>110</v>
      </c>
      <c r="D148" s="75">
        <v>150400</v>
      </c>
      <c r="E148" s="75"/>
      <c r="F148" s="75"/>
      <c r="G148" s="75"/>
      <c r="H148" s="75">
        <v>107.31</v>
      </c>
      <c r="I148" s="75">
        <v>16139424</v>
      </c>
      <c r="J148" s="91" t="s">
        <v>132</v>
      </c>
      <c r="K148" s="73"/>
      <c r="L148" s="46">
        <v>67289.58</v>
      </c>
      <c r="M148" s="46">
        <v>0</v>
      </c>
      <c r="N148" s="46">
        <v>7220844.8300000001</v>
      </c>
      <c r="O148" s="98"/>
      <c r="P148" s="23" t="s">
        <v>1431</v>
      </c>
      <c r="Q148" s="24" t="s">
        <v>131</v>
      </c>
      <c r="R148" s="25" t="s">
        <v>110</v>
      </c>
      <c r="S148" s="26">
        <v>150400</v>
      </c>
      <c r="T148" s="26"/>
      <c r="U148" s="26">
        <f t="shared" si="28"/>
        <v>107.31</v>
      </c>
      <c r="V148" s="128">
        <f t="shared" si="24"/>
        <v>41250</v>
      </c>
      <c r="W148" s="26">
        <f t="shared" si="25"/>
        <v>108539.58</v>
      </c>
      <c r="X148" s="26">
        <f t="shared" si="26"/>
        <v>4426537.5</v>
      </c>
      <c r="Y148" s="26">
        <f t="shared" si="29"/>
        <v>11647382.33</v>
      </c>
      <c r="Z148" s="33" t="s">
        <v>15</v>
      </c>
      <c r="AA148" s="36" t="s">
        <v>16</v>
      </c>
      <c r="AB148" s="35">
        <f t="shared" si="30"/>
        <v>150400</v>
      </c>
      <c r="AC148" s="35">
        <f t="shared" si="27"/>
        <v>16139424</v>
      </c>
      <c r="AD148" s="181">
        <v>1.3</v>
      </c>
      <c r="AE148" s="181">
        <v>1.3</v>
      </c>
      <c r="AF148" s="101" t="str">
        <f t="shared" si="31"/>
        <v/>
      </c>
      <c r="AG148" s="193">
        <f>67289.58+8250*5</f>
        <v>108539.58</v>
      </c>
      <c r="AH148" s="69">
        <f t="shared" si="32"/>
        <v>150400</v>
      </c>
    </row>
    <row r="149" spans="1:34" s="69" customFormat="1" ht="39" x14ac:dyDescent="0.3">
      <c r="A149" s="55" t="s">
        <v>423</v>
      </c>
      <c r="B149" s="53" t="s">
        <v>424</v>
      </c>
      <c r="C149" s="54" t="s">
        <v>50</v>
      </c>
      <c r="D149" s="75">
        <v>1140.1600000000001</v>
      </c>
      <c r="E149" s="75"/>
      <c r="F149" s="75"/>
      <c r="G149" s="75"/>
      <c r="H149" s="75">
        <v>692.16</v>
      </c>
      <c r="I149" s="75">
        <v>789173.15</v>
      </c>
      <c r="J149" s="91" t="s">
        <v>425</v>
      </c>
      <c r="K149" s="73"/>
      <c r="L149" s="46">
        <v>843.39</v>
      </c>
      <c r="M149" s="46">
        <v>77521.919999999925</v>
      </c>
      <c r="N149" s="46">
        <v>583760.81999999995</v>
      </c>
      <c r="O149" s="98"/>
      <c r="P149" s="23" t="s">
        <v>1395</v>
      </c>
      <c r="Q149" s="24" t="s">
        <v>424</v>
      </c>
      <c r="R149" s="25" t="s">
        <v>50</v>
      </c>
      <c r="S149" s="26">
        <v>1140.1600000000001</v>
      </c>
      <c r="T149" s="26"/>
      <c r="U149" s="26">
        <f t="shared" si="28"/>
        <v>692.16</v>
      </c>
      <c r="V149" s="128">
        <f t="shared" si="24"/>
        <v>0</v>
      </c>
      <c r="W149" s="26">
        <f t="shared" si="25"/>
        <v>843.39</v>
      </c>
      <c r="X149" s="26">
        <f t="shared" si="26"/>
        <v>0</v>
      </c>
      <c r="Y149" s="26">
        <f t="shared" si="29"/>
        <v>583760.81999999995</v>
      </c>
      <c r="Z149" s="33" t="s">
        <v>15</v>
      </c>
      <c r="AA149" s="36" t="s">
        <v>16</v>
      </c>
      <c r="AB149" s="35">
        <f t="shared" si="30"/>
        <v>1140.1600000000001</v>
      </c>
      <c r="AC149" s="35">
        <f t="shared" si="27"/>
        <v>789173.15</v>
      </c>
      <c r="AD149" s="181">
        <v>1.3</v>
      </c>
      <c r="AE149" s="181">
        <v>1.3</v>
      </c>
      <c r="AF149" s="101" t="str">
        <f t="shared" si="31"/>
        <v/>
      </c>
      <c r="AG149" s="192">
        <f>506.39+225+112</f>
        <v>843.39</v>
      </c>
      <c r="AH149" s="69">
        <f t="shared" si="32"/>
        <v>1140.1600000000001</v>
      </c>
    </row>
    <row r="150" spans="1:34" s="69" customFormat="1" ht="58.5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133"/>
      <c r="F150" s="133"/>
      <c r="G150" s="133"/>
      <c r="H150" s="75">
        <v>48.28</v>
      </c>
      <c r="I150" s="75">
        <v>25472.05</v>
      </c>
      <c r="J150" s="91" t="s">
        <v>35</v>
      </c>
      <c r="K150" s="73"/>
      <c r="L150" s="46">
        <v>527.59</v>
      </c>
      <c r="M150" s="46">
        <v>0</v>
      </c>
      <c r="N150" s="46">
        <v>25472.05</v>
      </c>
      <c r="O150" s="98"/>
      <c r="P150" s="23" t="s">
        <v>1432</v>
      </c>
      <c r="Q150" s="24" t="s">
        <v>33</v>
      </c>
      <c r="R150" s="25" t="s">
        <v>34</v>
      </c>
      <c r="S150" s="26">
        <v>527.59</v>
      </c>
      <c r="T150" s="26"/>
      <c r="U150" s="26">
        <f t="shared" si="28"/>
        <v>48.28</v>
      </c>
      <c r="V150" s="127">
        <f t="shared" si="24"/>
        <v>0</v>
      </c>
      <c r="W150" s="127">
        <f t="shared" si="25"/>
        <v>527.59</v>
      </c>
      <c r="X150" s="127">
        <f t="shared" si="26"/>
        <v>0</v>
      </c>
      <c r="Y150" s="127">
        <f t="shared" si="29"/>
        <v>25472.05</v>
      </c>
      <c r="Z150" s="33" t="s">
        <v>15</v>
      </c>
      <c r="AA150" s="36" t="s">
        <v>16</v>
      </c>
      <c r="AB150" s="35">
        <f t="shared" si="30"/>
        <v>527.59</v>
      </c>
      <c r="AC150" s="35">
        <f t="shared" si="27"/>
        <v>25472.05</v>
      </c>
      <c r="AD150" s="181">
        <v>1.3</v>
      </c>
      <c r="AE150" s="181">
        <v>1.3</v>
      </c>
      <c r="AF150" s="101" t="str">
        <f t="shared" si="31"/>
        <v/>
      </c>
      <c r="AG150" s="190">
        <v>527.59</v>
      </c>
      <c r="AH150" s="69">
        <f t="shared" si="32"/>
        <v>527.59</v>
      </c>
    </row>
    <row r="151" spans="1:34" s="69" customFormat="1" ht="39" x14ac:dyDescent="0.3">
      <c r="A151" s="55" t="s">
        <v>427</v>
      </c>
      <c r="B151" s="53" t="s">
        <v>428</v>
      </c>
      <c r="C151" s="54" t="s">
        <v>34</v>
      </c>
      <c r="D151" s="75">
        <v>355.42</v>
      </c>
      <c r="E151" s="75"/>
      <c r="F151" s="75"/>
      <c r="G151" s="75"/>
      <c r="H151" s="75">
        <v>721.06</v>
      </c>
      <c r="I151" s="75">
        <v>256279.15</v>
      </c>
      <c r="J151" s="91" t="s">
        <v>429</v>
      </c>
      <c r="K151" s="73"/>
      <c r="L151" s="46">
        <v>0</v>
      </c>
      <c r="M151" s="46">
        <v>0</v>
      </c>
      <c r="N151" s="46">
        <v>0</v>
      </c>
      <c r="O151" s="98"/>
      <c r="P151" s="23" t="s">
        <v>1433</v>
      </c>
      <c r="Q151" s="24" t="s">
        <v>428</v>
      </c>
      <c r="R151" s="25" t="s">
        <v>34</v>
      </c>
      <c r="S151" s="26">
        <v>355.42</v>
      </c>
      <c r="T151" s="26"/>
      <c r="U151" s="26">
        <f t="shared" si="28"/>
        <v>721.06</v>
      </c>
      <c r="V151" s="26">
        <f t="shared" si="24"/>
        <v>0</v>
      </c>
      <c r="W151" s="26">
        <f t="shared" si="25"/>
        <v>0</v>
      </c>
      <c r="X151" s="26">
        <f t="shared" si="26"/>
        <v>0</v>
      </c>
      <c r="Y151" s="26">
        <f t="shared" si="29"/>
        <v>0</v>
      </c>
      <c r="Z151" s="33" t="s">
        <v>15</v>
      </c>
      <c r="AA151" s="36" t="s">
        <v>16</v>
      </c>
      <c r="AB151" s="35">
        <f t="shared" si="30"/>
        <v>355.42</v>
      </c>
      <c r="AC151" s="35">
        <f t="shared" si="27"/>
        <v>256279.15</v>
      </c>
      <c r="AD151" s="181">
        <v>1.3</v>
      </c>
      <c r="AE151" s="181">
        <v>1.3</v>
      </c>
      <c r="AF151" s="101" t="str">
        <f t="shared" si="31"/>
        <v/>
      </c>
      <c r="AG151" s="190">
        <v>0</v>
      </c>
      <c r="AH151" s="69">
        <f t="shared" si="32"/>
        <v>355.42</v>
      </c>
    </row>
    <row r="152" spans="1:34" s="69" customFormat="1" ht="33" x14ac:dyDescent="0.3">
      <c r="A152" s="55" t="s">
        <v>430</v>
      </c>
      <c r="B152" s="53" t="s">
        <v>431</v>
      </c>
      <c r="C152" s="54" t="s">
        <v>50</v>
      </c>
      <c r="D152" s="75">
        <v>272</v>
      </c>
      <c r="E152" s="75"/>
      <c r="F152" s="75">
        <v>32675</v>
      </c>
      <c r="G152" s="75"/>
      <c r="H152" s="75">
        <v>28</v>
      </c>
      <c r="I152" s="75">
        <v>914900</v>
      </c>
      <c r="J152" s="91" t="s">
        <v>432</v>
      </c>
      <c r="K152" s="73"/>
      <c r="L152" s="46">
        <v>16337</v>
      </c>
      <c r="M152" s="46">
        <v>0</v>
      </c>
      <c r="N152" s="46">
        <v>457436</v>
      </c>
      <c r="O152" s="98"/>
      <c r="P152" s="23" t="s">
        <v>1382</v>
      </c>
      <c r="Q152" s="24" t="s">
        <v>431</v>
      </c>
      <c r="R152" s="25" t="s">
        <v>50</v>
      </c>
      <c r="S152" s="26">
        <v>272</v>
      </c>
      <c r="T152" s="26">
        <v>32675</v>
      </c>
      <c r="U152" s="26">
        <f t="shared" si="28"/>
        <v>28</v>
      </c>
      <c r="V152" s="128">
        <f t="shared" si="24"/>
        <v>2565</v>
      </c>
      <c r="W152" s="26">
        <f t="shared" si="25"/>
        <v>18902</v>
      </c>
      <c r="X152" s="26">
        <f t="shared" si="26"/>
        <v>71820</v>
      </c>
      <c r="Y152" s="26">
        <f t="shared" si="29"/>
        <v>529256</v>
      </c>
      <c r="Z152" s="27" t="s">
        <v>15</v>
      </c>
      <c r="AA152" s="36" t="s">
        <v>16</v>
      </c>
      <c r="AB152" s="35">
        <f t="shared" si="30"/>
        <v>32675</v>
      </c>
      <c r="AC152" s="35">
        <f t="shared" si="27"/>
        <v>914900</v>
      </c>
      <c r="AD152" s="181">
        <v>1.3</v>
      </c>
      <c r="AE152" s="181">
        <v>1.3</v>
      </c>
      <c r="AF152" s="101" t="str">
        <f t="shared" si="31"/>
        <v/>
      </c>
      <c r="AG152" s="191">
        <f>14772+1565+2565</f>
        <v>18902</v>
      </c>
      <c r="AH152" s="69">
        <f t="shared" si="32"/>
        <v>32675</v>
      </c>
    </row>
    <row r="153" spans="1:34" s="69" customFormat="1" ht="39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133"/>
      <c r="F153" s="133"/>
      <c r="G153" s="133"/>
      <c r="H153" s="75">
        <v>19012.060000000001</v>
      </c>
      <c r="I153" s="75">
        <v>14144972.640000001</v>
      </c>
      <c r="J153" s="91" t="s">
        <v>435</v>
      </c>
      <c r="K153" s="73"/>
      <c r="L153" s="46">
        <v>744</v>
      </c>
      <c r="M153" s="46">
        <v>0</v>
      </c>
      <c r="N153" s="46">
        <v>14144972.640000001</v>
      </c>
      <c r="O153" s="98"/>
      <c r="P153" s="23" t="s">
        <v>1434</v>
      </c>
      <c r="Q153" s="24" t="s">
        <v>434</v>
      </c>
      <c r="R153" s="25" t="s">
        <v>30</v>
      </c>
      <c r="S153" s="26">
        <v>744</v>
      </c>
      <c r="T153" s="26"/>
      <c r="U153" s="26">
        <f t="shared" si="28"/>
        <v>19012.060000000001</v>
      </c>
      <c r="V153" s="127">
        <f t="shared" si="24"/>
        <v>0</v>
      </c>
      <c r="W153" s="127">
        <f t="shared" si="25"/>
        <v>744</v>
      </c>
      <c r="X153" s="127">
        <f t="shared" si="26"/>
        <v>0</v>
      </c>
      <c r="Y153" s="127">
        <f t="shared" si="29"/>
        <v>14144972.640000001</v>
      </c>
      <c r="Z153" s="33" t="s">
        <v>15</v>
      </c>
      <c r="AA153" s="36" t="s">
        <v>16</v>
      </c>
      <c r="AB153" s="35">
        <f t="shared" si="30"/>
        <v>744</v>
      </c>
      <c r="AC153" s="35">
        <f t="shared" si="27"/>
        <v>14144972.640000001</v>
      </c>
      <c r="AD153" s="181">
        <v>1.3</v>
      </c>
      <c r="AE153" s="181">
        <v>1.3</v>
      </c>
      <c r="AF153" s="101" t="str">
        <f t="shared" si="31"/>
        <v/>
      </c>
      <c r="AG153" s="190">
        <v>744</v>
      </c>
      <c r="AH153" s="69">
        <f t="shared" si="32"/>
        <v>744</v>
      </c>
    </row>
    <row r="154" spans="1:34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>
        <v>373.1</v>
      </c>
      <c r="I154" s="75">
        <v>50741.599999999999</v>
      </c>
      <c r="J154" s="91" t="s">
        <v>438</v>
      </c>
      <c r="K154" s="73"/>
      <c r="L154" s="46">
        <v>0</v>
      </c>
      <c r="M154" s="46">
        <v>0</v>
      </c>
      <c r="N154" s="46">
        <v>0</v>
      </c>
      <c r="O154" s="98"/>
      <c r="P154" s="23" t="s">
        <v>1388</v>
      </c>
      <c r="Q154" s="24" t="s">
        <v>437</v>
      </c>
      <c r="R154" s="25" t="s">
        <v>50</v>
      </c>
      <c r="S154" s="26">
        <v>136</v>
      </c>
      <c r="T154" s="26"/>
      <c r="U154" s="26">
        <f t="shared" si="28"/>
        <v>373.1</v>
      </c>
      <c r="V154" s="26">
        <f t="shared" si="24"/>
        <v>0</v>
      </c>
      <c r="W154" s="26">
        <f t="shared" si="25"/>
        <v>0</v>
      </c>
      <c r="X154" s="26">
        <f t="shared" si="26"/>
        <v>0</v>
      </c>
      <c r="Y154" s="26">
        <f t="shared" si="29"/>
        <v>0</v>
      </c>
      <c r="Z154" s="33" t="s">
        <v>15</v>
      </c>
      <c r="AA154" s="36" t="s">
        <v>16</v>
      </c>
      <c r="AB154" s="35">
        <f t="shared" si="30"/>
        <v>136</v>
      </c>
      <c r="AC154" s="35">
        <f t="shared" si="27"/>
        <v>50741.599999999999</v>
      </c>
      <c r="AD154" s="181">
        <v>1.3</v>
      </c>
      <c r="AE154" s="181">
        <v>1.3</v>
      </c>
      <c r="AF154" s="101" t="str">
        <f t="shared" si="31"/>
        <v/>
      </c>
      <c r="AG154" s="190">
        <v>0</v>
      </c>
      <c r="AH154" s="69">
        <f t="shared" si="32"/>
        <v>136</v>
      </c>
    </row>
    <row r="155" spans="1:34" s="69" customFormat="1" ht="39" x14ac:dyDescent="0.3">
      <c r="A155" s="55" t="s">
        <v>439</v>
      </c>
      <c r="B155" s="53" t="s">
        <v>440</v>
      </c>
      <c r="C155" s="54" t="s">
        <v>50</v>
      </c>
      <c r="D155" s="75">
        <v>136</v>
      </c>
      <c r="E155" s="75"/>
      <c r="F155" s="75"/>
      <c r="G155" s="75"/>
      <c r="H155" s="75">
        <v>616.53</v>
      </c>
      <c r="I155" s="75">
        <v>83848.08</v>
      </c>
      <c r="J155" s="91" t="s">
        <v>441</v>
      </c>
      <c r="K155" s="73"/>
      <c r="L155" s="46">
        <v>0</v>
      </c>
      <c r="M155" s="46">
        <v>0</v>
      </c>
      <c r="N155" s="46">
        <v>0</v>
      </c>
      <c r="O155" s="98"/>
      <c r="P155" s="23" t="s">
        <v>1389</v>
      </c>
      <c r="Q155" s="24" t="s">
        <v>440</v>
      </c>
      <c r="R155" s="25" t="s">
        <v>50</v>
      </c>
      <c r="S155" s="26">
        <v>136</v>
      </c>
      <c r="T155" s="26"/>
      <c r="U155" s="26">
        <f t="shared" si="28"/>
        <v>616.53</v>
      </c>
      <c r="V155" s="26">
        <f t="shared" si="24"/>
        <v>0</v>
      </c>
      <c r="W155" s="26">
        <f t="shared" si="25"/>
        <v>0</v>
      </c>
      <c r="X155" s="26">
        <f t="shared" si="26"/>
        <v>0</v>
      </c>
      <c r="Y155" s="26">
        <f t="shared" si="29"/>
        <v>0</v>
      </c>
      <c r="Z155" s="33" t="s">
        <v>15</v>
      </c>
      <c r="AA155" s="36" t="s">
        <v>16</v>
      </c>
      <c r="AB155" s="35">
        <f t="shared" si="30"/>
        <v>136</v>
      </c>
      <c r="AC155" s="35">
        <f t="shared" si="27"/>
        <v>83848.08</v>
      </c>
      <c r="AD155" s="181">
        <v>1.3</v>
      </c>
      <c r="AE155" s="181">
        <v>1.3</v>
      </c>
      <c r="AF155" s="101" t="str">
        <f t="shared" si="31"/>
        <v/>
      </c>
      <c r="AG155" s="190">
        <v>0</v>
      </c>
      <c r="AH155" s="69">
        <f t="shared" si="32"/>
        <v>136</v>
      </c>
    </row>
    <row r="156" spans="1:34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>
        <v>2664.06</v>
      </c>
      <c r="I156" s="75">
        <v>9590.6200000000008</v>
      </c>
      <c r="J156" s="91" t="s">
        <v>444</v>
      </c>
      <c r="K156" s="73"/>
      <c r="L156" s="46">
        <v>0</v>
      </c>
      <c r="M156" s="46">
        <v>0</v>
      </c>
      <c r="N156" s="46">
        <v>0</v>
      </c>
      <c r="O156" s="98"/>
      <c r="P156" s="23" t="s">
        <v>1390</v>
      </c>
      <c r="Q156" s="24" t="s">
        <v>443</v>
      </c>
      <c r="R156" s="25" t="s">
        <v>50</v>
      </c>
      <c r="S156" s="26">
        <v>3.6</v>
      </c>
      <c r="T156" s="26"/>
      <c r="U156" s="26">
        <f t="shared" si="28"/>
        <v>2664.06</v>
      </c>
      <c r="V156" s="26">
        <f t="shared" si="24"/>
        <v>0</v>
      </c>
      <c r="W156" s="26">
        <f t="shared" si="25"/>
        <v>0</v>
      </c>
      <c r="X156" s="26">
        <f t="shared" si="26"/>
        <v>0</v>
      </c>
      <c r="Y156" s="26">
        <f t="shared" si="29"/>
        <v>0</v>
      </c>
      <c r="Z156" s="33" t="s">
        <v>15</v>
      </c>
      <c r="AA156" s="36" t="s">
        <v>16</v>
      </c>
      <c r="AB156" s="35">
        <f t="shared" si="30"/>
        <v>3.6</v>
      </c>
      <c r="AC156" s="35">
        <f t="shared" si="27"/>
        <v>9590.6200000000008</v>
      </c>
      <c r="AD156" s="181">
        <v>1.3</v>
      </c>
      <c r="AE156" s="181">
        <v>1.3</v>
      </c>
      <c r="AF156" s="101" t="str">
        <f t="shared" si="31"/>
        <v/>
      </c>
      <c r="AG156" s="190">
        <v>0</v>
      </c>
      <c r="AH156" s="69">
        <f t="shared" si="32"/>
        <v>3.6</v>
      </c>
    </row>
    <row r="157" spans="1:34" s="69" customFormat="1" ht="39" x14ac:dyDescent="0.3">
      <c r="A157" s="55" t="s">
        <v>445</v>
      </c>
      <c r="B157" s="53" t="s">
        <v>446</v>
      </c>
      <c r="C157" s="54" t="s">
        <v>30</v>
      </c>
      <c r="D157" s="75">
        <v>44</v>
      </c>
      <c r="E157" s="75"/>
      <c r="F157" s="75"/>
      <c r="G157" s="75"/>
      <c r="H157" s="75">
        <v>5183.22</v>
      </c>
      <c r="I157" s="75">
        <v>228061.68</v>
      </c>
      <c r="J157" s="137" t="s">
        <v>447</v>
      </c>
      <c r="K157" s="73"/>
      <c r="L157" s="46">
        <v>0</v>
      </c>
      <c r="M157" s="46">
        <v>0</v>
      </c>
      <c r="N157" s="46">
        <v>0</v>
      </c>
      <c r="O157" s="98"/>
      <c r="P157" s="23" t="s">
        <v>1391</v>
      </c>
      <c r="Q157" s="24" t="s">
        <v>446</v>
      </c>
      <c r="R157" s="25" t="s">
        <v>30</v>
      </c>
      <c r="S157" s="26">
        <v>44</v>
      </c>
      <c r="T157" s="26"/>
      <c r="U157" s="26">
        <f t="shared" si="28"/>
        <v>5183.22</v>
      </c>
      <c r="V157" s="26">
        <f t="shared" si="24"/>
        <v>0</v>
      </c>
      <c r="W157" s="26">
        <f t="shared" si="25"/>
        <v>0</v>
      </c>
      <c r="X157" s="26">
        <f t="shared" si="26"/>
        <v>0</v>
      </c>
      <c r="Y157" s="26">
        <f t="shared" si="29"/>
        <v>0</v>
      </c>
      <c r="Z157" s="33" t="s">
        <v>15</v>
      </c>
      <c r="AA157" s="36" t="s">
        <v>16</v>
      </c>
      <c r="AB157" s="35">
        <f t="shared" si="30"/>
        <v>44</v>
      </c>
      <c r="AC157" s="35">
        <f t="shared" si="27"/>
        <v>228061.68</v>
      </c>
      <c r="AD157" s="181">
        <v>1.3</v>
      </c>
      <c r="AE157" s="181">
        <v>1.3</v>
      </c>
      <c r="AF157" s="101" t="str">
        <f t="shared" si="31"/>
        <v/>
      </c>
      <c r="AG157" s="190">
        <v>0</v>
      </c>
      <c r="AH157" s="69">
        <f t="shared" si="32"/>
        <v>44</v>
      </c>
    </row>
    <row r="158" spans="1:34" s="69" customFormat="1" ht="39" x14ac:dyDescent="0.3">
      <c r="A158" s="55" t="s">
        <v>448</v>
      </c>
      <c r="B158" s="53" t="s">
        <v>449</v>
      </c>
      <c r="C158" s="54" t="s">
        <v>30</v>
      </c>
      <c r="D158" s="75">
        <v>94.14</v>
      </c>
      <c r="E158" s="75"/>
      <c r="F158" s="75"/>
      <c r="G158" s="75"/>
      <c r="H158" s="75">
        <v>9392.57</v>
      </c>
      <c r="I158" s="75">
        <v>884216.54</v>
      </c>
      <c r="J158" s="137" t="s">
        <v>450</v>
      </c>
      <c r="K158" s="73"/>
      <c r="L158" s="46">
        <v>0</v>
      </c>
      <c r="M158" s="46">
        <v>0</v>
      </c>
      <c r="N158" s="46">
        <v>0</v>
      </c>
      <c r="O158" s="98"/>
      <c r="P158" s="23" t="s">
        <v>1436</v>
      </c>
      <c r="Q158" s="24" t="s">
        <v>449</v>
      </c>
      <c r="R158" s="25" t="s">
        <v>30</v>
      </c>
      <c r="S158" s="26">
        <v>94.14</v>
      </c>
      <c r="T158" s="26"/>
      <c r="U158" s="26">
        <f t="shared" si="28"/>
        <v>9392.57</v>
      </c>
      <c r="V158" s="26">
        <f t="shared" si="24"/>
        <v>0</v>
      </c>
      <c r="W158" s="26">
        <f t="shared" si="25"/>
        <v>0</v>
      </c>
      <c r="X158" s="26">
        <f t="shared" si="26"/>
        <v>0</v>
      </c>
      <c r="Y158" s="26">
        <f t="shared" si="29"/>
        <v>0</v>
      </c>
      <c r="Z158" s="33" t="s">
        <v>15</v>
      </c>
      <c r="AA158" s="36" t="s">
        <v>16</v>
      </c>
      <c r="AB158" s="35">
        <f t="shared" si="30"/>
        <v>94.14</v>
      </c>
      <c r="AC158" s="35">
        <f t="shared" si="27"/>
        <v>884216.54</v>
      </c>
      <c r="AD158" s="181">
        <v>1.3</v>
      </c>
      <c r="AE158" s="181">
        <v>1.3</v>
      </c>
      <c r="AF158" s="101" t="str">
        <f t="shared" si="31"/>
        <v/>
      </c>
      <c r="AG158" s="190">
        <v>0</v>
      </c>
      <c r="AH158" s="69">
        <f t="shared" si="32"/>
        <v>94.14</v>
      </c>
    </row>
    <row r="159" spans="1:34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>
        <v>2388.5700000000002</v>
      </c>
      <c r="I159" s="75">
        <v>272296.98</v>
      </c>
      <c r="J159" s="137" t="s">
        <v>453</v>
      </c>
      <c r="K159" s="73"/>
      <c r="L159" s="46">
        <v>0</v>
      </c>
      <c r="M159" s="46">
        <v>0</v>
      </c>
      <c r="N159" s="46">
        <v>0</v>
      </c>
      <c r="O159" s="98"/>
      <c r="P159" s="23" t="s">
        <v>1374</v>
      </c>
      <c r="Q159" s="24" t="s">
        <v>452</v>
      </c>
      <c r="R159" s="25" t="s">
        <v>30</v>
      </c>
      <c r="S159" s="26">
        <v>114</v>
      </c>
      <c r="T159" s="26"/>
      <c r="U159" s="26">
        <f t="shared" si="28"/>
        <v>2388.5700000000002</v>
      </c>
      <c r="V159" s="26">
        <f t="shared" si="24"/>
        <v>0</v>
      </c>
      <c r="W159" s="26">
        <f t="shared" si="25"/>
        <v>0</v>
      </c>
      <c r="X159" s="26">
        <f t="shared" si="26"/>
        <v>0</v>
      </c>
      <c r="Y159" s="26">
        <f t="shared" si="29"/>
        <v>0</v>
      </c>
      <c r="Z159" s="33" t="s">
        <v>15</v>
      </c>
      <c r="AA159" s="36" t="s">
        <v>16</v>
      </c>
      <c r="AB159" s="35">
        <f t="shared" si="30"/>
        <v>114</v>
      </c>
      <c r="AC159" s="35">
        <f t="shared" si="27"/>
        <v>272296.98</v>
      </c>
      <c r="AD159" s="181">
        <v>1.3</v>
      </c>
      <c r="AE159" s="181">
        <v>1.3</v>
      </c>
      <c r="AF159" s="101" t="str">
        <f t="shared" si="31"/>
        <v/>
      </c>
      <c r="AG159" s="190">
        <v>0</v>
      </c>
      <c r="AH159" s="69">
        <f t="shared" si="32"/>
        <v>114</v>
      </c>
    </row>
    <row r="160" spans="1:34" s="69" customFormat="1" ht="39" x14ac:dyDescent="0.3">
      <c r="A160" s="55" t="s">
        <v>454</v>
      </c>
      <c r="B160" s="53" t="s">
        <v>455</v>
      </c>
      <c r="C160" s="54" t="s">
        <v>30</v>
      </c>
      <c r="D160" s="75">
        <v>44</v>
      </c>
      <c r="E160" s="75"/>
      <c r="F160" s="75"/>
      <c r="G160" s="75"/>
      <c r="H160" s="75">
        <v>80192.710000000006</v>
      </c>
      <c r="I160" s="75">
        <v>3528479.24</v>
      </c>
      <c r="J160" s="137" t="s">
        <v>456</v>
      </c>
      <c r="K160" s="73"/>
      <c r="L160" s="46">
        <v>0</v>
      </c>
      <c r="M160" s="46">
        <v>0</v>
      </c>
      <c r="N160" s="46">
        <v>0</v>
      </c>
      <c r="O160" s="98"/>
      <c r="P160" s="23" t="s">
        <v>1376</v>
      </c>
      <c r="Q160" s="24" t="s">
        <v>455</v>
      </c>
      <c r="R160" s="25" t="s">
        <v>30</v>
      </c>
      <c r="S160" s="26">
        <v>44</v>
      </c>
      <c r="T160" s="26"/>
      <c r="U160" s="26">
        <f t="shared" si="28"/>
        <v>80192.710000000006</v>
      </c>
      <c r="V160" s="26">
        <f t="shared" si="24"/>
        <v>0</v>
      </c>
      <c r="W160" s="26">
        <f t="shared" si="25"/>
        <v>0</v>
      </c>
      <c r="X160" s="26">
        <f t="shared" si="26"/>
        <v>0</v>
      </c>
      <c r="Y160" s="26">
        <f t="shared" si="29"/>
        <v>0</v>
      </c>
      <c r="Z160" s="33" t="s">
        <v>15</v>
      </c>
      <c r="AA160" s="36" t="s">
        <v>16</v>
      </c>
      <c r="AB160" s="35">
        <f t="shared" si="30"/>
        <v>44</v>
      </c>
      <c r="AC160" s="35">
        <f t="shared" si="27"/>
        <v>3528479.24</v>
      </c>
      <c r="AD160" s="181">
        <v>1.3</v>
      </c>
      <c r="AE160" s="181">
        <v>1.3</v>
      </c>
      <c r="AF160" s="101" t="str">
        <f t="shared" si="31"/>
        <v/>
      </c>
      <c r="AG160" s="190">
        <v>0</v>
      </c>
      <c r="AH160" s="69">
        <f t="shared" si="32"/>
        <v>44</v>
      </c>
    </row>
    <row r="161" spans="1:34" s="69" customFormat="1" ht="58.5" x14ac:dyDescent="0.3">
      <c r="A161" s="55" t="s">
        <v>457</v>
      </c>
      <c r="B161" s="53" t="s">
        <v>458</v>
      </c>
      <c r="C161" s="54" t="s">
        <v>30</v>
      </c>
      <c r="D161" s="75">
        <v>90</v>
      </c>
      <c r="E161" s="75"/>
      <c r="F161" s="75"/>
      <c r="G161" s="75"/>
      <c r="H161" s="75">
        <v>9257.1299999999992</v>
      </c>
      <c r="I161" s="75">
        <v>833141.7</v>
      </c>
      <c r="J161" s="137" t="s">
        <v>459</v>
      </c>
      <c r="K161" s="73"/>
      <c r="L161" s="46">
        <v>0</v>
      </c>
      <c r="M161" s="46">
        <v>0</v>
      </c>
      <c r="N161" s="46">
        <v>0</v>
      </c>
      <c r="O161" s="98"/>
      <c r="P161" s="23" t="s">
        <v>1378</v>
      </c>
      <c r="Q161" s="24" t="s">
        <v>458</v>
      </c>
      <c r="R161" s="25" t="s">
        <v>30</v>
      </c>
      <c r="S161" s="26">
        <v>90</v>
      </c>
      <c r="T161" s="26"/>
      <c r="U161" s="26">
        <f t="shared" si="28"/>
        <v>9257.1299999999992</v>
      </c>
      <c r="V161" s="26">
        <f t="shared" si="24"/>
        <v>0</v>
      </c>
      <c r="W161" s="26">
        <f t="shared" si="25"/>
        <v>0</v>
      </c>
      <c r="X161" s="26">
        <f t="shared" si="26"/>
        <v>0</v>
      </c>
      <c r="Y161" s="26">
        <f t="shared" si="29"/>
        <v>0</v>
      </c>
      <c r="Z161" s="33" t="s">
        <v>15</v>
      </c>
      <c r="AA161" s="36" t="s">
        <v>16</v>
      </c>
      <c r="AB161" s="35">
        <f t="shared" si="30"/>
        <v>90</v>
      </c>
      <c r="AC161" s="35">
        <f t="shared" si="27"/>
        <v>833141.7</v>
      </c>
      <c r="AD161" s="181">
        <v>1.3</v>
      </c>
      <c r="AE161" s="181">
        <v>1.3</v>
      </c>
      <c r="AF161" s="101" t="str">
        <f t="shared" si="31"/>
        <v/>
      </c>
      <c r="AG161" s="190">
        <v>0</v>
      </c>
      <c r="AH161" s="69">
        <f t="shared" si="32"/>
        <v>90</v>
      </c>
    </row>
    <row r="162" spans="1:34" s="69" customFormat="1" ht="33" x14ac:dyDescent="0.3">
      <c r="A162" s="55" t="s">
        <v>460</v>
      </c>
      <c r="B162" s="53" t="s">
        <v>461</v>
      </c>
      <c r="C162" s="54" t="s">
        <v>81</v>
      </c>
      <c r="D162" s="75">
        <v>1</v>
      </c>
      <c r="E162" s="75"/>
      <c r="F162" s="75"/>
      <c r="G162" s="75"/>
      <c r="H162" s="75">
        <v>58649</v>
      </c>
      <c r="I162" s="75">
        <v>58649</v>
      </c>
      <c r="J162" s="137" t="s">
        <v>462</v>
      </c>
      <c r="K162" s="73"/>
      <c r="L162" s="46">
        <v>0</v>
      </c>
      <c r="M162" s="46">
        <v>0</v>
      </c>
      <c r="N162" s="46">
        <v>0</v>
      </c>
      <c r="O162" s="98"/>
      <c r="P162" s="23" t="s">
        <v>1438</v>
      </c>
      <c r="Q162" s="24" t="s">
        <v>461</v>
      </c>
      <c r="R162" s="25" t="s">
        <v>81</v>
      </c>
      <c r="S162" s="26">
        <v>1</v>
      </c>
      <c r="T162" s="26"/>
      <c r="U162" s="26">
        <f t="shared" si="28"/>
        <v>58649</v>
      </c>
      <c r="V162" s="26">
        <f t="shared" si="24"/>
        <v>0</v>
      </c>
      <c r="W162" s="26">
        <f t="shared" si="25"/>
        <v>0</v>
      </c>
      <c r="X162" s="26">
        <f t="shared" si="26"/>
        <v>0</v>
      </c>
      <c r="Y162" s="26">
        <f t="shared" si="29"/>
        <v>0</v>
      </c>
      <c r="Z162" s="33" t="s">
        <v>15</v>
      </c>
      <c r="AA162" s="36" t="s">
        <v>16</v>
      </c>
      <c r="AB162" s="35">
        <f t="shared" si="30"/>
        <v>1</v>
      </c>
      <c r="AC162" s="35">
        <f t="shared" si="27"/>
        <v>58649</v>
      </c>
      <c r="AD162" s="181">
        <v>1.3</v>
      </c>
      <c r="AE162" s="181">
        <v>1.3</v>
      </c>
      <c r="AF162" s="101" t="str">
        <f t="shared" si="31"/>
        <v/>
      </c>
      <c r="AG162" s="190">
        <v>0</v>
      </c>
      <c r="AH162" s="69">
        <f t="shared" si="32"/>
        <v>1</v>
      </c>
    </row>
    <row r="163" spans="1:34" s="69" customFormat="1" ht="33" x14ac:dyDescent="0.3">
      <c r="A163" s="55" t="s">
        <v>463</v>
      </c>
      <c r="B163" s="53" t="s">
        <v>464</v>
      </c>
      <c r="C163" s="54" t="s">
        <v>81</v>
      </c>
      <c r="D163" s="75">
        <v>1</v>
      </c>
      <c r="E163" s="75"/>
      <c r="F163" s="75"/>
      <c r="G163" s="75"/>
      <c r="H163" s="75">
        <v>107614.5</v>
      </c>
      <c r="I163" s="75">
        <v>107614.5</v>
      </c>
      <c r="J163" s="137" t="s">
        <v>465</v>
      </c>
      <c r="K163" s="73"/>
      <c r="L163" s="46">
        <v>0</v>
      </c>
      <c r="M163" s="46">
        <v>0</v>
      </c>
      <c r="N163" s="46">
        <v>0</v>
      </c>
      <c r="O163" s="98"/>
      <c r="P163" s="23" t="s">
        <v>1439</v>
      </c>
      <c r="Q163" s="24" t="s">
        <v>464</v>
      </c>
      <c r="R163" s="25" t="s">
        <v>81</v>
      </c>
      <c r="S163" s="26">
        <v>1</v>
      </c>
      <c r="T163" s="26"/>
      <c r="U163" s="26">
        <f t="shared" si="28"/>
        <v>107614.5</v>
      </c>
      <c r="V163" s="26">
        <f t="shared" si="24"/>
        <v>0</v>
      </c>
      <c r="W163" s="26">
        <f t="shared" si="25"/>
        <v>0</v>
      </c>
      <c r="X163" s="26">
        <f t="shared" si="26"/>
        <v>0</v>
      </c>
      <c r="Y163" s="26">
        <f t="shared" si="29"/>
        <v>0</v>
      </c>
      <c r="Z163" s="33" t="s">
        <v>15</v>
      </c>
      <c r="AA163" s="36" t="s">
        <v>16</v>
      </c>
      <c r="AB163" s="35">
        <f t="shared" si="30"/>
        <v>1</v>
      </c>
      <c r="AC163" s="35">
        <f t="shared" si="27"/>
        <v>107614.5</v>
      </c>
      <c r="AD163" s="181">
        <v>1.3</v>
      </c>
      <c r="AE163" s="181">
        <v>1.3</v>
      </c>
      <c r="AF163" s="101" t="str">
        <f t="shared" si="31"/>
        <v/>
      </c>
      <c r="AG163" s="190">
        <v>0</v>
      </c>
      <c r="AH163" s="69">
        <f t="shared" si="32"/>
        <v>1</v>
      </c>
    </row>
    <row r="164" spans="1:34" s="69" customFormat="1" ht="33" x14ac:dyDescent="0.3">
      <c r="A164" s="55" t="s">
        <v>466</v>
      </c>
      <c r="B164" s="53" t="s">
        <v>467</v>
      </c>
      <c r="C164" s="54" t="s">
        <v>30</v>
      </c>
      <c r="D164" s="75">
        <v>13.2</v>
      </c>
      <c r="E164" s="75"/>
      <c r="F164" s="75"/>
      <c r="G164" s="75"/>
      <c r="H164" s="75">
        <v>2809.33</v>
      </c>
      <c r="I164" s="75">
        <v>37083.160000000003</v>
      </c>
      <c r="J164" s="137" t="s">
        <v>468</v>
      </c>
      <c r="K164" s="73"/>
      <c r="L164" s="46">
        <v>0</v>
      </c>
      <c r="M164" s="46">
        <v>0</v>
      </c>
      <c r="N164" s="46">
        <v>0</v>
      </c>
      <c r="O164" s="98"/>
      <c r="P164" s="23" t="s">
        <v>1440</v>
      </c>
      <c r="Q164" s="24" t="s">
        <v>467</v>
      </c>
      <c r="R164" s="25" t="s">
        <v>30</v>
      </c>
      <c r="S164" s="26">
        <v>13.2</v>
      </c>
      <c r="T164" s="26"/>
      <c r="U164" s="26">
        <f t="shared" si="28"/>
        <v>2809.33</v>
      </c>
      <c r="V164" s="26">
        <f t="shared" si="24"/>
        <v>0</v>
      </c>
      <c r="W164" s="26">
        <f t="shared" si="25"/>
        <v>0</v>
      </c>
      <c r="X164" s="26">
        <f t="shared" si="26"/>
        <v>0</v>
      </c>
      <c r="Y164" s="26">
        <f t="shared" si="29"/>
        <v>0</v>
      </c>
      <c r="Z164" s="33" t="s">
        <v>15</v>
      </c>
      <c r="AA164" s="36" t="s">
        <v>16</v>
      </c>
      <c r="AB164" s="35">
        <f t="shared" si="30"/>
        <v>13.2</v>
      </c>
      <c r="AC164" s="35">
        <f t="shared" si="27"/>
        <v>37083.160000000003</v>
      </c>
      <c r="AD164" s="181">
        <v>1.3</v>
      </c>
      <c r="AE164" s="181">
        <v>1.3</v>
      </c>
      <c r="AF164" s="101" t="str">
        <f t="shared" si="31"/>
        <v/>
      </c>
      <c r="AG164" s="190">
        <v>0</v>
      </c>
      <c r="AH164" s="69">
        <f t="shared" si="32"/>
        <v>13.2</v>
      </c>
    </row>
    <row r="165" spans="1:34" s="69" customFormat="1" ht="33" x14ac:dyDescent="0.3">
      <c r="A165" s="55" t="s">
        <v>469</v>
      </c>
      <c r="B165" s="53" t="s">
        <v>470</v>
      </c>
      <c r="C165" s="54" t="s">
        <v>30</v>
      </c>
      <c r="D165" s="75">
        <v>3</v>
      </c>
      <c r="E165" s="75"/>
      <c r="F165" s="75"/>
      <c r="G165" s="75"/>
      <c r="H165" s="75">
        <v>2433.89</v>
      </c>
      <c r="I165" s="75">
        <v>7301.67</v>
      </c>
      <c r="J165" s="137" t="s">
        <v>471</v>
      </c>
      <c r="K165" s="73"/>
      <c r="L165" s="46">
        <v>0</v>
      </c>
      <c r="M165" s="46">
        <v>0</v>
      </c>
      <c r="N165" s="46">
        <v>0</v>
      </c>
      <c r="O165" s="98"/>
      <c r="P165" s="23" t="s">
        <v>1441</v>
      </c>
      <c r="Q165" s="24" t="s">
        <v>470</v>
      </c>
      <c r="R165" s="25" t="s">
        <v>30</v>
      </c>
      <c r="S165" s="26">
        <v>3</v>
      </c>
      <c r="T165" s="26"/>
      <c r="U165" s="26">
        <f t="shared" si="28"/>
        <v>2433.89</v>
      </c>
      <c r="V165" s="26">
        <f t="shared" si="24"/>
        <v>0</v>
      </c>
      <c r="W165" s="26">
        <f t="shared" si="25"/>
        <v>0</v>
      </c>
      <c r="X165" s="26">
        <f t="shared" si="26"/>
        <v>0</v>
      </c>
      <c r="Y165" s="26">
        <f t="shared" si="29"/>
        <v>0</v>
      </c>
      <c r="Z165" s="33" t="s">
        <v>15</v>
      </c>
      <c r="AA165" s="36" t="s">
        <v>16</v>
      </c>
      <c r="AB165" s="35">
        <f t="shared" si="30"/>
        <v>3</v>
      </c>
      <c r="AC165" s="35">
        <f t="shared" si="27"/>
        <v>7301.67</v>
      </c>
      <c r="AD165" s="181">
        <v>1.3</v>
      </c>
      <c r="AE165" s="181">
        <v>1.3</v>
      </c>
      <c r="AF165" s="101" t="str">
        <f t="shared" si="31"/>
        <v/>
      </c>
      <c r="AG165" s="190">
        <v>0</v>
      </c>
      <c r="AH165" s="69">
        <f t="shared" si="32"/>
        <v>3</v>
      </c>
    </row>
    <row r="166" spans="1:34" s="69" customFormat="1" ht="33" x14ac:dyDescent="0.3">
      <c r="A166" s="55" t="s">
        <v>472</v>
      </c>
      <c r="B166" s="53" t="s">
        <v>473</v>
      </c>
      <c r="C166" s="54" t="s">
        <v>30</v>
      </c>
      <c r="D166" s="75">
        <v>6</v>
      </c>
      <c r="E166" s="75"/>
      <c r="F166" s="75"/>
      <c r="G166" s="75"/>
      <c r="H166" s="75">
        <v>2888.64</v>
      </c>
      <c r="I166" s="75">
        <v>17331.84</v>
      </c>
      <c r="J166" s="137" t="s">
        <v>474</v>
      </c>
      <c r="K166" s="73"/>
      <c r="L166" s="46">
        <v>0</v>
      </c>
      <c r="M166" s="46">
        <v>0</v>
      </c>
      <c r="N166" s="46">
        <v>0</v>
      </c>
      <c r="O166" s="98"/>
      <c r="P166" s="23" t="s">
        <v>1442</v>
      </c>
      <c r="Q166" s="24" t="s">
        <v>473</v>
      </c>
      <c r="R166" s="25" t="s">
        <v>30</v>
      </c>
      <c r="S166" s="26">
        <v>6</v>
      </c>
      <c r="T166" s="26"/>
      <c r="U166" s="26">
        <f t="shared" si="28"/>
        <v>2888.64</v>
      </c>
      <c r="V166" s="26">
        <f t="shared" si="24"/>
        <v>0</v>
      </c>
      <c r="W166" s="26">
        <f t="shared" si="25"/>
        <v>0</v>
      </c>
      <c r="X166" s="26">
        <f t="shared" si="26"/>
        <v>0</v>
      </c>
      <c r="Y166" s="26">
        <f t="shared" si="29"/>
        <v>0</v>
      </c>
      <c r="Z166" s="33" t="s">
        <v>15</v>
      </c>
      <c r="AA166" s="36" t="s">
        <v>16</v>
      </c>
      <c r="AB166" s="35">
        <f t="shared" si="30"/>
        <v>6</v>
      </c>
      <c r="AC166" s="35">
        <f t="shared" si="27"/>
        <v>17331.84</v>
      </c>
      <c r="AD166" s="181">
        <v>1.3</v>
      </c>
      <c r="AE166" s="181">
        <v>1.3</v>
      </c>
      <c r="AF166" s="101" t="str">
        <f t="shared" si="31"/>
        <v/>
      </c>
      <c r="AG166" s="190">
        <v>0</v>
      </c>
      <c r="AH166" s="69">
        <f t="shared" si="32"/>
        <v>6</v>
      </c>
    </row>
    <row r="167" spans="1:34" s="69" customFormat="1" ht="39" x14ac:dyDescent="0.3">
      <c r="A167" s="55" t="s">
        <v>475</v>
      </c>
      <c r="B167" s="53" t="s">
        <v>476</v>
      </c>
      <c r="C167" s="54" t="s">
        <v>14</v>
      </c>
      <c r="D167" s="75">
        <v>1</v>
      </c>
      <c r="E167" s="75"/>
      <c r="F167" s="75"/>
      <c r="G167" s="75"/>
      <c r="H167" s="75">
        <v>430876.81</v>
      </c>
      <c r="I167" s="75">
        <v>430876.81</v>
      </c>
      <c r="J167" s="137" t="s">
        <v>477</v>
      </c>
      <c r="K167" s="73"/>
      <c r="L167" s="46">
        <v>0</v>
      </c>
      <c r="M167" s="46">
        <v>0</v>
      </c>
      <c r="N167" s="46">
        <v>0</v>
      </c>
      <c r="O167" s="98"/>
      <c r="P167" s="23" t="s">
        <v>1443</v>
      </c>
      <c r="Q167" s="24" t="s">
        <v>476</v>
      </c>
      <c r="R167" s="25" t="s">
        <v>14</v>
      </c>
      <c r="S167" s="26">
        <v>1</v>
      </c>
      <c r="T167" s="26"/>
      <c r="U167" s="26">
        <f t="shared" si="28"/>
        <v>430876.81</v>
      </c>
      <c r="V167" s="26">
        <f t="shared" si="24"/>
        <v>0</v>
      </c>
      <c r="W167" s="26">
        <f t="shared" si="25"/>
        <v>0</v>
      </c>
      <c r="X167" s="26">
        <f t="shared" si="26"/>
        <v>0</v>
      </c>
      <c r="Y167" s="26">
        <f t="shared" si="29"/>
        <v>0</v>
      </c>
      <c r="Z167" s="33" t="s">
        <v>15</v>
      </c>
      <c r="AA167" s="36" t="s">
        <v>16</v>
      </c>
      <c r="AB167" s="35">
        <f t="shared" si="30"/>
        <v>1</v>
      </c>
      <c r="AC167" s="35">
        <f t="shared" si="27"/>
        <v>430876.81</v>
      </c>
      <c r="AD167" s="181">
        <v>1.3</v>
      </c>
      <c r="AE167" s="181">
        <v>1.3</v>
      </c>
      <c r="AF167" s="101" t="str">
        <f t="shared" si="31"/>
        <v/>
      </c>
      <c r="AG167" s="190">
        <v>0</v>
      </c>
      <c r="AH167" s="69">
        <f t="shared" si="32"/>
        <v>1</v>
      </c>
    </row>
    <row r="168" spans="1:34" s="69" customFormat="1" ht="33" x14ac:dyDescent="0.3">
      <c r="A168" s="55" t="s">
        <v>478</v>
      </c>
      <c r="B168" s="53" t="s">
        <v>479</v>
      </c>
      <c r="C168" s="54" t="s">
        <v>81</v>
      </c>
      <c r="D168" s="75">
        <v>1</v>
      </c>
      <c r="E168" s="75"/>
      <c r="F168" s="75"/>
      <c r="G168" s="75"/>
      <c r="H168" s="75">
        <v>29563.21</v>
      </c>
      <c r="I168" s="75">
        <v>29563.21</v>
      </c>
      <c r="J168" s="137" t="s">
        <v>480</v>
      </c>
      <c r="K168" s="73"/>
      <c r="L168" s="46">
        <v>1</v>
      </c>
      <c r="M168" s="46">
        <v>0</v>
      </c>
      <c r="N168" s="46">
        <v>29563.21</v>
      </c>
      <c r="O168" s="98"/>
      <c r="P168" s="23" t="s">
        <v>1444</v>
      </c>
      <c r="Q168" s="24" t="s">
        <v>479</v>
      </c>
      <c r="R168" s="25" t="s">
        <v>81</v>
      </c>
      <c r="S168" s="26">
        <v>1</v>
      </c>
      <c r="T168" s="26"/>
      <c r="U168" s="26">
        <f t="shared" si="28"/>
        <v>29563.21</v>
      </c>
      <c r="V168" s="127">
        <f t="shared" si="24"/>
        <v>0</v>
      </c>
      <c r="W168" s="127">
        <f t="shared" si="25"/>
        <v>1</v>
      </c>
      <c r="X168" s="127">
        <f t="shared" si="26"/>
        <v>0</v>
      </c>
      <c r="Y168" s="127">
        <f t="shared" si="29"/>
        <v>29563.21</v>
      </c>
      <c r="Z168" s="33" t="s">
        <v>15</v>
      </c>
      <c r="AA168" s="36" t="s">
        <v>16</v>
      </c>
      <c r="AB168" s="35">
        <f t="shared" si="30"/>
        <v>1</v>
      </c>
      <c r="AC168" s="35">
        <f t="shared" si="27"/>
        <v>29563.21</v>
      </c>
      <c r="AD168" s="181">
        <v>1.3</v>
      </c>
      <c r="AE168" s="181">
        <v>1.3</v>
      </c>
      <c r="AF168" s="101" t="str">
        <f t="shared" si="31"/>
        <v/>
      </c>
      <c r="AG168" s="194">
        <f>1</f>
        <v>1</v>
      </c>
      <c r="AH168" s="69">
        <f t="shared" si="32"/>
        <v>1</v>
      </c>
    </row>
    <row r="169" spans="1:34" s="69" customFormat="1" ht="33" x14ac:dyDescent="0.3">
      <c r="A169" s="55" t="s">
        <v>481</v>
      </c>
      <c r="B169" s="53" t="s">
        <v>482</v>
      </c>
      <c r="C169" s="54" t="s">
        <v>81</v>
      </c>
      <c r="D169" s="75">
        <v>1</v>
      </c>
      <c r="E169" s="75"/>
      <c r="F169" s="75"/>
      <c r="G169" s="75"/>
      <c r="H169" s="75">
        <v>1061152.75</v>
      </c>
      <c r="I169" s="75">
        <v>1061152.75</v>
      </c>
      <c r="J169" s="137" t="s">
        <v>483</v>
      </c>
      <c r="K169" s="73"/>
      <c r="L169" s="46">
        <v>0</v>
      </c>
      <c r="M169" s="46">
        <v>0</v>
      </c>
      <c r="N169" s="46">
        <v>0</v>
      </c>
      <c r="O169" s="98"/>
      <c r="P169" s="23" t="s">
        <v>1408</v>
      </c>
      <c r="Q169" s="24" t="s">
        <v>482</v>
      </c>
      <c r="R169" s="25" t="s">
        <v>81</v>
      </c>
      <c r="S169" s="26">
        <v>1</v>
      </c>
      <c r="T169" s="26"/>
      <c r="U169" s="26">
        <f t="shared" si="28"/>
        <v>1061152.75</v>
      </c>
      <c r="V169" s="26">
        <f t="shared" si="24"/>
        <v>0</v>
      </c>
      <c r="W169" s="26">
        <f t="shared" si="25"/>
        <v>0</v>
      </c>
      <c r="X169" s="26">
        <f t="shared" si="26"/>
        <v>0</v>
      </c>
      <c r="Y169" s="26">
        <f t="shared" si="29"/>
        <v>0</v>
      </c>
      <c r="Z169" s="33" t="s">
        <v>15</v>
      </c>
      <c r="AA169" s="36" t="s">
        <v>16</v>
      </c>
      <c r="AB169" s="35">
        <f t="shared" si="30"/>
        <v>1</v>
      </c>
      <c r="AC169" s="35">
        <f t="shared" si="27"/>
        <v>1061152.75</v>
      </c>
      <c r="AD169" s="181">
        <v>1.3</v>
      </c>
      <c r="AE169" s="181">
        <v>1.3</v>
      </c>
      <c r="AF169" s="101" t="str">
        <f t="shared" si="31"/>
        <v/>
      </c>
      <c r="AG169" s="192">
        <v>0</v>
      </c>
      <c r="AH169" s="69">
        <f t="shared" si="32"/>
        <v>1</v>
      </c>
    </row>
    <row r="170" spans="1:34" s="69" customFormat="1" ht="33" x14ac:dyDescent="0.3">
      <c r="A170" s="55" t="s">
        <v>484</v>
      </c>
      <c r="B170" s="53" t="s">
        <v>485</v>
      </c>
      <c r="C170" s="54" t="s">
        <v>81</v>
      </c>
      <c r="D170" s="75">
        <v>1</v>
      </c>
      <c r="E170" s="75"/>
      <c r="F170" s="75"/>
      <c r="G170" s="75"/>
      <c r="H170" s="75">
        <v>2431046.88</v>
      </c>
      <c r="I170" s="75">
        <v>2431046.88</v>
      </c>
      <c r="J170" s="137" t="s">
        <v>486</v>
      </c>
      <c r="K170" s="73"/>
      <c r="L170" s="46">
        <v>1</v>
      </c>
      <c r="M170" s="46">
        <v>486209.37999999989</v>
      </c>
      <c r="N170" s="46">
        <v>2431046.88</v>
      </c>
      <c r="O170" s="98"/>
      <c r="P170" s="23" t="s">
        <v>1409</v>
      </c>
      <c r="Q170" s="24" t="s">
        <v>485</v>
      </c>
      <c r="R170" s="25" t="s">
        <v>81</v>
      </c>
      <c r="S170" s="26">
        <v>1</v>
      </c>
      <c r="T170" s="26"/>
      <c r="U170" s="26">
        <f t="shared" si="28"/>
        <v>2431046.88</v>
      </c>
      <c r="V170" s="128">
        <f t="shared" si="24"/>
        <v>0</v>
      </c>
      <c r="W170" s="127">
        <f t="shared" si="25"/>
        <v>1</v>
      </c>
      <c r="X170" s="127">
        <f t="shared" si="26"/>
        <v>0</v>
      </c>
      <c r="Y170" s="127">
        <f t="shared" si="29"/>
        <v>2431046.88</v>
      </c>
      <c r="Z170" s="33" t="s">
        <v>15</v>
      </c>
      <c r="AA170" s="36" t="s">
        <v>16</v>
      </c>
      <c r="AB170" s="35">
        <f t="shared" si="30"/>
        <v>1</v>
      </c>
      <c r="AC170" s="35">
        <f t="shared" si="27"/>
        <v>2431046.88</v>
      </c>
      <c r="AD170" s="181">
        <v>1.3</v>
      </c>
      <c r="AE170" s="181">
        <v>1.3</v>
      </c>
      <c r="AF170" s="101" t="str">
        <f t="shared" si="31"/>
        <v/>
      </c>
      <c r="AG170" s="194">
        <f>0.8+0.2</f>
        <v>1</v>
      </c>
      <c r="AH170" s="69">
        <f t="shared" si="32"/>
        <v>1</v>
      </c>
    </row>
    <row r="171" spans="1:34" s="69" customFormat="1" ht="33" x14ac:dyDescent="0.3">
      <c r="A171" s="134" t="s">
        <v>1312</v>
      </c>
      <c r="B171" s="135" t="s">
        <v>1313</v>
      </c>
      <c r="C171" s="58" t="s">
        <v>14</v>
      </c>
      <c r="D171" s="77"/>
      <c r="E171" s="59">
        <v>1</v>
      </c>
      <c r="F171" s="77"/>
      <c r="G171" s="77"/>
      <c r="H171" s="77">
        <v>87950.62</v>
      </c>
      <c r="I171" s="59">
        <v>87950.62</v>
      </c>
      <c r="J171" s="92"/>
      <c r="K171" s="73"/>
      <c r="L171" s="46">
        <v>1</v>
      </c>
      <c r="M171" s="46">
        <v>0</v>
      </c>
      <c r="N171" s="46">
        <v>87950.62</v>
      </c>
      <c r="O171" s="98"/>
      <c r="P171" s="23" t="s">
        <v>1410</v>
      </c>
      <c r="Q171" s="24" t="s">
        <v>1495</v>
      </c>
      <c r="R171" s="25" t="s">
        <v>14</v>
      </c>
      <c r="S171" s="26">
        <v>0</v>
      </c>
      <c r="T171" s="26">
        <v>1</v>
      </c>
      <c r="U171" s="26">
        <f t="shared" si="28"/>
        <v>87950.62</v>
      </c>
      <c r="V171" s="127">
        <f t="shared" si="24"/>
        <v>0</v>
      </c>
      <c r="W171" s="127">
        <f t="shared" si="25"/>
        <v>1</v>
      </c>
      <c r="X171" s="127">
        <f t="shared" si="26"/>
        <v>0</v>
      </c>
      <c r="Y171" s="127">
        <f t="shared" si="29"/>
        <v>87950.62</v>
      </c>
      <c r="Z171" s="27"/>
      <c r="AA171" s="36" t="s">
        <v>16</v>
      </c>
      <c r="AB171" s="35">
        <f t="shared" si="30"/>
        <v>1</v>
      </c>
      <c r="AC171" s="35">
        <f t="shared" si="27"/>
        <v>87950.62</v>
      </c>
      <c r="AD171" s="181">
        <v>1.3</v>
      </c>
      <c r="AE171" s="181">
        <v>1.3</v>
      </c>
      <c r="AF171" s="101" t="str">
        <f t="shared" si="31"/>
        <v/>
      </c>
      <c r="AG171" s="190">
        <v>1</v>
      </c>
      <c r="AH171" s="69">
        <f t="shared" si="32"/>
        <v>1</v>
      </c>
    </row>
    <row r="172" spans="1:34" s="69" customFormat="1" ht="33" x14ac:dyDescent="0.3">
      <c r="A172" s="134" t="s">
        <v>1314</v>
      </c>
      <c r="B172" s="135" t="s">
        <v>1315</v>
      </c>
      <c r="C172" s="58" t="s">
        <v>30</v>
      </c>
      <c r="D172" s="77"/>
      <c r="E172" s="59">
        <v>24</v>
      </c>
      <c r="F172" s="77"/>
      <c r="G172" s="77"/>
      <c r="H172" s="77">
        <v>4257.93</v>
      </c>
      <c r="I172" s="59">
        <v>102190.32</v>
      </c>
      <c r="J172" s="92"/>
      <c r="K172" s="73"/>
      <c r="L172" s="46">
        <v>24</v>
      </c>
      <c r="M172" s="46">
        <v>0</v>
      </c>
      <c r="N172" s="46">
        <v>102190.32</v>
      </c>
      <c r="O172" s="98"/>
      <c r="P172" s="23" t="s">
        <v>1411</v>
      </c>
      <c r="Q172" s="24" t="s">
        <v>1496</v>
      </c>
      <c r="R172" s="25" t="s">
        <v>30</v>
      </c>
      <c r="S172" s="26">
        <v>0</v>
      </c>
      <c r="T172" s="26">
        <v>24</v>
      </c>
      <c r="U172" s="26">
        <f t="shared" si="28"/>
        <v>4257.93</v>
      </c>
      <c r="V172" s="127">
        <f t="shared" si="24"/>
        <v>0</v>
      </c>
      <c r="W172" s="127">
        <f t="shared" si="25"/>
        <v>24</v>
      </c>
      <c r="X172" s="127">
        <f t="shared" si="26"/>
        <v>0</v>
      </c>
      <c r="Y172" s="127">
        <f t="shared" si="29"/>
        <v>102190.32</v>
      </c>
      <c r="Z172" s="27"/>
      <c r="AA172" s="36" t="s">
        <v>16</v>
      </c>
      <c r="AB172" s="35">
        <f t="shared" si="30"/>
        <v>24</v>
      </c>
      <c r="AC172" s="35">
        <f t="shared" si="27"/>
        <v>102190.32</v>
      </c>
      <c r="AD172" s="181">
        <v>1.3</v>
      </c>
      <c r="AE172" s="181">
        <v>1.3</v>
      </c>
      <c r="AF172" s="101" t="str">
        <f t="shared" si="31"/>
        <v/>
      </c>
      <c r="AG172" s="190">
        <v>24</v>
      </c>
      <c r="AH172" s="69">
        <f t="shared" si="32"/>
        <v>24</v>
      </c>
    </row>
    <row r="173" spans="1:34" s="69" customFormat="1" ht="33" x14ac:dyDescent="0.3">
      <c r="A173" s="134" t="s">
        <v>1316</v>
      </c>
      <c r="B173" s="135" t="s">
        <v>1317</v>
      </c>
      <c r="C173" s="58" t="s">
        <v>513</v>
      </c>
      <c r="D173" s="77"/>
      <c r="E173" s="59">
        <v>1</v>
      </c>
      <c r="F173" s="77"/>
      <c r="G173" s="77"/>
      <c r="H173" s="77">
        <v>200835.11</v>
      </c>
      <c r="I173" s="59">
        <v>200835.11</v>
      </c>
      <c r="J173" s="92"/>
      <c r="K173" s="73"/>
      <c r="L173" s="46">
        <v>1</v>
      </c>
      <c r="M173" s="46">
        <v>0</v>
      </c>
      <c r="N173" s="46">
        <v>200835.11</v>
      </c>
      <c r="O173" s="98"/>
      <c r="P173" s="23" t="s">
        <v>1445</v>
      </c>
      <c r="Q173" s="24" t="s">
        <v>1497</v>
      </c>
      <c r="R173" s="25" t="s">
        <v>513</v>
      </c>
      <c r="S173" s="26">
        <v>0</v>
      </c>
      <c r="T173" s="26">
        <v>1</v>
      </c>
      <c r="U173" s="26">
        <f t="shared" si="28"/>
        <v>200835.11</v>
      </c>
      <c r="V173" s="127">
        <f t="shared" si="24"/>
        <v>0</v>
      </c>
      <c r="W173" s="127">
        <f t="shared" si="25"/>
        <v>1</v>
      </c>
      <c r="X173" s="127">
        <f t="shared" si="26"/>
        <v>0</v>
      </c>
      <c r="Y173" s="127">
        <f t="shared" si="29"/>
        <v>200835.11</v>
      </c>
      <c r="Z173" s="27"/>
      <c r="AA173" s="36" t="s">
        <v>16</v>
      </c>
      <c r="AB173" s="35">
        <f t="shared" si="30"/>
        <v>1</v>
      </c>
      <c r="AC173" s="35">
        <f t="shared" si="27"/>
        <v>200835.11</v>
      </c>
      <c r="AD173" s="181">
        <v>1.3</v>
      </c>
      <c r="AE173" s="181">
        <v>1.3</v>
      </c>
      <c r="AF173" s="101" t="str">
        <f t="shared" si="31"/>
        <v/>
      </c>
      <c r="AG173" s="190">
        <v>1</v>
      </c>
      <c r="AH173" s="69">
        <f t="shared" si="32"/>
        <v>1</v>
      </c>
    </row>
    <row r="174" spans="1:34" ht="33" x14ac:dyDescent="0.3">
      <c r="A174" s="67" t="s">
        <v>1318</v>
      </c>
      <c r="B174" s="64" t="s">
        <v>1319</v>
      </c>
      <c r="C174" s="61" t="s">
        <v>412</v>
      </c>
      <c r="D174" s="78"/>
      <c r="E174" s="78"/>
      <c r="F174" s="116">
        <v>150400</v>
      </c>
      <c r="G174" s="141"/>
      <c r="H174" s="78">
        <v>16.21</v>
      </c>
      <c r="I174" s="62">
        <v>2437984</v>
      </c>
      <c r="J174" s="93"/>
      <c r="L174" s="46">
        <v>67289.58</v>
      </c>
      <c r="M174" s="46">
        <v>0</v>
      </c>
      <c r="N174" s="46">
        <v>1090764.0900000001</v>
      </c>
      <c r="O174" s="98"/>
      <c r="P174" s="23" t="s">
        <v>1383</v>
      </c>
      <c r="Q174" s="24" t="s">
        <v>1319</v>
      </c>
      <c r="R174" s="25" t="s">
        <v>412</v>
      </c>
      <c r="S174" s="26">
        <v>0</v>
      </c>
      <c r="T174" s="26">
        <v>150400</v>
      </c>
      <c r="U174" s="26">
        <f t="shared" si="28"/>
        <v>16.21</v>
      </c>
      <c r="V174" s="128">
        <f t="shared" si="24"/>
        <v>41250</v>
      </c>
      <c r="W174" s="26">
        <f t="shared" si="25"/>
        <v>108539.58</v>
      </c>
      <c r="X174" s="26">
        <f t="shared" si="26"/>
        <v>668662.5</v>
      </c>
      <c r="Y174" s="26">
        <f t="shared" si="29"/>
        <v>1759426.59</v>
      </c>
      <c r="Z174" s="27"/>
      <c r="AA174" s="36" t="s">
        <v>16</v>
      </c>
      <c r="AB174" s="35">
        <f t="shared" si="30"/>
        <v>150400</v>
      </c>
      <c r="AC174" s="35">
        <f t="shared" si="27"/>
        <v>2437984</v>
      </c>
      <c r="AD174" s="181">
        <v>1.3</v>
      </c>
      <c r="AE174" s="181">
        <v>1.3</v>
      </c>
      <c r="AF174" s="101" t="str">
        <f t="shared" si="31"/>
        <v/>
      </c>
      <c r="AG174" s="193">
        <f>67289.58+8250*5</f>
        <v>108539.58</v>
      </c>
      <c r="AH174" s="69">
        <f t="shared" si="32"/>
        <v>150400</v>
      </c>
    </row>
    <row r="175" spans="1:34" ht="33" x14ac:dyDescent="0.3">
      <c r="A175" s="67" t="s">
        <v>1320</v>
      </c>
      <c r="B175" s="64" t="s">
        <v>1321</v>
      </c>
      <c r="C175" s="61" t="s">
        <v>325</v>
      </c>
      <c r="D175" s="78"/>
      <c r="E175" s="78"/>
      <c r="F175" s="62">
        <v>18</v>
      </c>
      <c r="G175" s="140"/>
      <c r="H175" s="78">
        <v>79588.210000000006</v>
      </c>
      <c r="I175" s="62">
        <v>1432587.78</v>
      </c>
      <c r="J175" s="93"/>
      <c r="L175" s="46">
        <v>16</v>
      </c>
      <c r="M175" s="46">
        <v>0</v>
      </c>
      <c r="N175" s="46">
        <v>1273411.3600000001</v>
      </c>
      <c r="O175" s="98"/>
      <c r="P175" s="23" t="s">
        <v>1384</v>
      </c>
      <c r="Q175" s="24" t="s">
        <v>1321</v>
      </c>
      <c r="R175" s="25" t="s">
        <v>325</v>
      </c>
      <c r="S175" s="26">
        <v>0</v>
      </c>
      <c r="T175" s="26">
        <v>18</v>
      </c>
      <c r="U175" s="26">
        <f t="shared" si="28"/>
        <v>79588.210000000006</v>
      </c>
      <c r="V175" s="128">
        <f t="shared" si="24"/>
        <v>0</v>
      </c>
      <c r="W175" s="26">
        <f t="shared" si="25"/>
        <v>16</v>
      </c>
      <c r="X175" s="26">
        <f t="shared" si="26"/>
        <v>0</v>
      </c>
      <c r="Y175" s="26">
        <f t="shared" si="29"/>
        <v>1273411.3600000001</v>
      </c>
      <c r="Z175" s="27"/>
      <c r="AA175" s="36" t="s">
        <v>16</v>
      </c>
      <c r="AB175" s="35">
        <f t="shared" si="30"/>
        <v>18</v>
      </c>
      <c r="AC175" s="35">
        <f t="shared" si="27"/>
        <v>1432587.78</v>
      </c>
      <c r="AD175" s="181">
        <v>1.3</v>
      </c>
      <c r="AE175" s="181">
        <v>1.3</v>
      </c>
      <c r="AF175" s="101" t="str">
        <f t="shared" si="31"/>
        <v/>
      </c>
      <c r="AG175" s="194">
        <f>12+4</f>
        <v>16</v>
      </c>
      <c r="AH175" s="69">
        <f t="shared" si="32"/>
        <v>18</v>
      </c>
    </row>
    <row r="176" spans="1:34" ht="33" x14ac:dyDescent="0.3">
      <c r="A176" s="67" t="s">
        <v>1322</v>
      </c>
      <c r="B176" s="64" t="s">
        <v>1323</v>
      </c>
      <c r="C176" s="61" t="s">
        <v>325</v>
      </c>
      <c r="D176" s="78"/>
      <c r="E176" s="78"/>
      <c r="F176" s="62">
        <v>2</v>
      </c>
      <c r="G176" s="140"/>
      <c r="H176" s="78">
        <v>120491.2</v>
      </c>
      <c r="I176" s="62">
        <v>240982.39999999999</v>
      </c>
      <c r="J176" s="93"/>
      <c r="L176" s="46">
        <v>0</v>
      </c>
      <c r="M176" s="46">
        <v>0</v>
      </c>
      <c r="N176" s="46">
        <v>0</v>
      </c>
      <c r="O176" s="98"/>
      <c r="P176" s="23" t="s">
        <v>1385</v>
      </c>
      <c r="Q176" s="24" t="s">
        <v>1323</v>
      </c>
      <c r="R176" s="25" t="s">
        <v>325</v>
      </c>
      <c r="S176" s="26">
        <v>0</v>
      </c>
      <c r="T176" s="26">
        <v>2</v>
      </c>
      <c r="U176" s="26">
        <f t="shared" si="28"/>
        <v>120491.2</v>
      </c>
      <c r="V176" s="26">
        <f t="shared" si="24"/>
        <v>0</v>
      </c>
      <c r="W176" s="26">
        <f t="shared" si="25"/>
        <v>0</v>
      </c>
      <c r="X176" s="26">
        <f t="shared" si="26"/>
        <v>0</v>
      </c>
      <c r="Y176" s="26">
        <f t="shared" si="29"/>
        <v>0</v>
      </c>
      <c r="Z176" s="27"/>
      <c r="AA176" s="36" t="s">
        <v>16</v>
      </c>
      <c r="AB176" s="35">
        <f t="shared" si="30"/>
        <v>2</v>
      </c>
      <c r="AC176" s="35">
        <f t="shared" si="27"/>
        <v>240982.39999999999</v>
      </c>
      <c r="AD176" s="181">
        <v>1.3</v>
      </c>
      <c r="AE176" s="181">
        <v>1.3</v>
      </c>
      <c r="AF176" s="101" t="str">
        <f t="shared" si="31"/>
        <v/>
      </c>
      <c r="AG176" s="190">
        <v>0</v>
      </c>
      <c r="AH176" s="69">
        <f t="shared" si="32"/>
        <v>2</v>
      </c>
    </row>
    <row r="177" spans="1:34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2"/>
      <c r="H177" s="82"/>
      <c r="I177" s="82">
        <v>18130103.780000001</v>
      </c>
      <c r="J177" s="94" t="s">
        <v>15</v>
      </c>
      <c r="K177" s="73"/>
      <c r="L177" s="45">
        <v>1</v>
      </c>
      <c r="M177" s="45">
        <v>548949.2699999999</v>
      </c>
      <c r="N177" s="45">
        <v>15670999.640000001</v>
      </c>
      <c r="O177" s="98"/>
      <c r="P177" s="18" t="s">
        <v>1386</v>
      </c>
      <c r="Q177" s="19" t="s">
        <v>488</v>
      </c>
      <c r="R177" s="20" t="s">
        <v>14</v>
      </c>
      <c r="S177" s="21">
        <v>1</v>
      </c>
      <c r="T177" s="21"/>
      <c r="U177" s="21">
        <f>SUMIFS(AC:AC,AD:AD,AD177)</f>
        <v>18130103.780000001</v>
      </c>
      <c r="V177" s="21">
        <f t="shared" ref="V177:W177" si="33">IF(X177=0,0,1)</f>
        <v>0</v>
      </c>
      <c r="W177" s="21">
        <f t="shared" si="33"/>
        <v>1</v>
      </c>
      <c r="X177" s="21">
        <f>SUMIFS(X:X,AE:AE,AD177)</f>
        <v>0</v>
      </c>
      <c r="Y177" s="21">
        <f>SUMIFS(Y:Y,AE:AE,AD177)</f>
        <v>15670999.640000001</v>
      </c>
      <c r="Z177" s="22" t="s">
        <v>15</v>
      </c>
      <c r="AA177" s="43" t="s">
        <v>16</v>
      </c>
      <c r="AB177" s="35">
        <f t="shared" si="30"/>
        <v>1</v>
      </c>
      <c r="AC177" s="44"/>
      <c r="AD177" s="184">
        <v>1.4</v>
      </c>
      <c r="AE177" s="184"/>
      <c r="AF177" s="101" t="str">
        <f t="shared" si="31"/>
        <v/>
      </c>
      <c r="AG177" s="190">
        <v>1</v>
      </c>
      <c r="AH177" s="69">
        <f t="shared" si="32"/>
        <v>1</v>
      </c>
    </row>
    <row r="178" spans="1:34" s="69" customFormat="1" ht="39" x14ac:dyDescent="0.3">
      <c r="A178" s="55" t="s">
        <v>489</v>
      </c>
      <c r="B178" s="53" t="s">
        <v>392</v>
      </c>
      <c r="C178" s="54" t="s">
        <v>23</v>
      </c>
      <c r="D178" s="75">
        <v>20</v>
      </c>
      <c r="E178" s="75"/>
      <c r="F178" s="75"/>
      <c r="G178" s="75"/>
      <c r="H178" s="75">
        <v>3115.13</v>
      </c>
      <c r="I178" s="75">
        <v>62302.6</v>
      </c>
      <c r="J178" s="91" t="s">
        <v>114</v>
      </c>
      <c r="K178" s="73"/>
      <c r="L178" s="46">
        <v>12.15</v>
      </c>
      <c r="M178" s="46">
        <v>0</v>
      </c>
      <c r="N178" s="46">
        <v>37848.83</v>
      </c>
      <c r="O178" s="98"/>
      <c r="P178" s="23" t="s">
        <v>1421</v>
      </c>
      <c r="Q178" s="24" t="s">
        <v>392</v>
      </c>
      <c r="R178" s="25" t="s">
        <v>23</v>
      </c>
      <c r="S178" s="26">
        <v>20</v>
      </c>
      <c r="T178" s="26"/>
      <c r="U178" s="26">
        <f t="shared" ref="U178:U201" si="34">H178</f>
        <v>3115.13</v>
      </c>
      <c r="V178" s="26">
        <f t="shared" ref="V178:V201" si="35">AG178-L178</f>
        <v>0</v>
      </c>
      <c r="W178" s="26">
        <f t="shared" ref="W178:W241" si="36">V178+L178</f>
        <v>12.15</v>
      </c>
      <c r="X178" s="26">
        <f t="shared" ref="X178:X201" si="37">Y178-N178</f>
        <v>0</v>
      </c>
      <c r="Y178" s="26">
        <f t="shared" si="29"/>
        <v>37848.83</v>
      </c>
      <c r="Z178" s="33" t="s">
        <v>15</v>
      </c>
      <c r="AA178" s="36" t="s">
        <v>16</v>
      </c>
      <c r="AB178" s="35">
        <f t="shared" si="30"/>
        <v>20</v>
      </c>
      <c r="AC178" s="35">
        <f t="shared" ref="AC178:AC219" si="38">ROUND(U178*AB178,2)</f>
        <v>62302.6</v>
      </c>
      <c r="AD178" s="181">
        <v>1.4</v>
      </c>
      <c r="AE178" s="181">
        <v>1.4</v>
      </c>
      <c r="AF178" s="101" t="str">
        <f t="shared" si="31"/>
        <v/>
      </c>
      <c r="AG178" s="190">
        <v>12.15</v>
      </c>
      <c r="AH178" s="69">
        <f t="shared" si="32"/>
        <v>20</v>
      </c>
    </row>
    <row r="179" spans="1:34" s="69" customFormat="1" ht="39" x14ac:dyDescent="0.3">
      <c r="A179" s="55" t="s">
        <v>490</v>
      </c>
      <c r="B179" s="53" t="s">
        <v>116</v>
      </c>
      <c r="C179" s="54" t="s">
        <v>23</v>
      </c>
      <c r="D179" s="75">
        <v>354</v>
      </c>
      <c r="E179" s="75"/>
      <c r="F179" s="75"/>
      <c r="G179" s="75"/>
      <c r="H179" s="75">
        <v>3321.13</v>
      </c>
      <c r="I179" s="75">
        <v>1175680.02</v>
      </c>
      <c r="J179" s="91" t="s">
        <v>117</v>
      </c>
      <c r="K179" s="73"/>
      <c r="L179" s="46">
        <v>0</v>
      </c>
      <c r="M179" s="46">
        <v>0</v>
      </c>
      <c r="N179" s="46">
        <v>0</v>
      </c>
      <c r="O179" s="98"/>
      <c r="P179" s="23" t="s">
        <v>1426</v>
      </c>
      <c r="Q179" s="24" t="s">
        <v>116</v>
      </c>
      <c r="R179" s="25" t="s">
        <v>23</v>
      </c>
      <c r="S179" s="26">
        <v>354</v>
      </c>
      <c r="T179" s="26"/>
      <c r="U179" s="26">
        <f t="shared" si="34"/>
        <v>3321.13</v>
      </c>
      <c r="V179" s="26">
        <f t="shared" si="35"/>
        <v>0</v>
      </c>
      <c r="W179" s="26">
        <f t="shared" si="36"/>
        <v>0</v>
      </c>
      <c r="X179" s="26">
        <f t="shared" si="37"/>
        <v>0</v>
      </c>
      <c r="Y179" s="26">
        <f t="shared" si="29"/>
        <v>0</v>
      </c>
      <c r="Z179" s="33" t="s">
        <v>15</v>
      </c>
      <c r="AA179" s="36" t="s">
        <v>16</v>
      </c>
      <c r="AB179" s="35">
        <f t="shared" si="30"/>
        <v>354</v>
      </c>
      <c r="AC179" s="35">
        <f t="shared" si="38"/>
        <v>1175680.02</v>
      </c>
      <c r="AD179" s="181">
        <v>1.4</v>
      </c>
      <c r="AE179" s="181">
        <v>1.4</v>
      </c>
      <c r="AF179" s="101" t="str">
        <f t="shared" si="31"/>
        <v/>
      </c>
      <c r="AG179" s="190">
        <v>0</v>
      </c>
      <c r="AH179" s="69">
        <f t="shared" si="32"/>
        <v>354</v>
      </c>
    </row>
    <row r="180" spans="1:34" s="69" customFormat="1" ht="39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133"/>
      <c r="F180" s="133"/>
      <c r="G180" s="133"/>
      <c r="H180" s="75">
        <v>3643.73</v>
      </c>
      <c r="I180" s="75">
        <v>0</v>
      </c>
      <c r="J180" s="91" t="s">
        <v>396</v>
      </c>
      <c r="K180" s="73"/>
      <c r="L180" s="46">
        <v>0</v>
      </c>
      <c r="M180" s="46">
        <v>0</v>
      </c>
      <c r="N180" s="46">
        <v>0</v>
      </c>
      <c r="O180" s="98"/>
      <c r="P180" s="23" t="s">
        <v>1402</v>
      </c>
      <c r="Q180" s="24" t="s">
        <v>395</v>
      </c>
      <c r="R180" s="25" t="s">
        <v>23</v>
      </c>
      <c r="S180" s="26">
        <v>690</v>
      </c>
      <c r="T180" s="26">
        <v>0</v>
      </c>
      <c r="U180" s="26">
        <f t="shared" si="34"/>
        <v>3643.73</v>
      </c>
      <c r="V180" s="127">
        <f t="shared" si="35"/>
        <v>0</v>
      </c>
      <c r="W180" s="127">
        <f t="shared" si="36"/>
        <v>0</v>
      </c>
      <c r="X180" s="127">
        <f t="shared" si="37"/>
        <v>0</v>
      </c>
      <c r="Y180" s="127">
        <f t="shared" si="29"/>
        <v>0</v>
      </c>
      <c r="Z180" s="33" t="s">
        <v>15</v>
      </c>
      <c r="AA180" s="36" t="s">
        <v>16</v>
      </c>
      <c r="AB180" s="35">
        <f t="shared" si="30"/>
        <v>0</v>
      </c>
      <c r="AC180" s="35">
        <f t="shared" si="38"/>
        <v>0</v>
      </c>
      <c r="AD180" s="181">
        <v>1.4</v>
      </c>
      <c r="AE180" s="181">
        <v>1.4</v>
      </c>
      <c r="AF180" s="101" t="str">
        <f t="shared" si="31"/>
        <v/>
      </c>
      <c r="AG180" s="191">
        <v>0</v>
      </c>
      <c r="AH180" s="69">
        <f t="shared" si="32"/>
        <v>690</v>
      </c>
    </row>
    <row r="181" spans="1:34" s="69" customFormat="1" ht="33" customHeight="1" x14ac:dyDescent="0.3">
      <c r="A181" s="55" t="s">
        <v>492</v>
      </c>
      <c r="B181" s="53" t="s">
        <v>493</v>
      </c>
      <c r="C181" s="54" t="s">
        <v>23</v>
      </c>
      <c r="D181" s="75">
        <v>1065</v>
      </c>
      <c r="E181" s="75"/>
      <c r="F181" s="75"/>
      <c r="G181" s="75"/>
      <c r="H181" s="75">
        <v>200</v>
      </c>
      <c r="I181" s="75">
        <v>213000</v>
      </c>
      <c r="J181" s="91" t="s">
        <v>494</v>
      </c>
      <c r="K181" s="73"/>
      <c r="L181" s="46">
        <v>694.31</v>
      </c>
      <c r="M181" s="46">
        <v>0</v>
      </c>
      <c r="N181" s="46">
        <v>138862</v>
      </c>
      <c r="O181" s="98"/>
      <c r="P181" s="23" t="s">
        <v>1373</v>
      </c>
      <c r="Q181" s="24" t="s">
        <v>493</v>
      </c>
      <c r="R181" s="25" t="s">
        <v>23</v>
      </c>
      <c r="S181" s="26">
        <v>1065</v>
      </c>
      <c r="T181" s="26"/>
      <c r="U181" s="26">
        <f t="shared" si="34"/>
        <v>200</v>
      </c>
      <c r="V181" s="136">
        <f t="shared" si="35"/>
        <v>0</v>
      </c>
      <c r="W181" s="26">
        <f t="shared" si="36"/>
        <v>694.31</v>
      </c>
      <c r="X181" s="26">
        <f t="shared" si="37"/>
        <v>0</v>
      </c>
      <c r="Y181" s="26">
        <f t="shared" si="29"/>
        <v>138862</v>
      </c>
      <c r="Z181" s="33" t="s">
        <v>15</v>
      </c>
      <c r="AA181" s="36" t="s">
        <v>16</v>
      </c>
      <c r="AB181" s="35">
        <f t="shared" si="30"/>
        <v>1065</v>
      </c>
      <c r="AC181" s="35">
        <f t="shared" si="38"/>
        <v>213000</v>
      </c>
      <c r="AD181" s="181">
        <v>1.4</v>
      </c>
      <c r="AE181" s="181">
        <v>1.4</v>
      </c>
      <c r="AF181" s="101" t="str">
        <f t="shared" si="31"/>
        <v/>
      </c>
      <c r="AG181" s="191">
        <f>AG178+AG180+AG200</f>
        <v>694.31</v>
      </c>
      <c r="AH181" s="69">
        <f t="shared" si="32"/>
        <v>1065</v>
      </c>
    </row>
    <row r="182" spans="1:34" s="69" customFormat="1" ht="57.75" x14ac:dyDescent="0.3">
      <c r="A182" s="130" t="s">
        <v>495</v>
      </c>
      <c r="B182" s="131" t="s">
        <v>405</v>
      </c>
      <c r="C182" s="132" t="s">
        <v>50</v>
      </c>
      <c r="D182" s="133">
        <v>1229</v>
      </c>
      <c r="E182" s="133"/>
      <c r="F182" s="133"/>
      <c r="G182" s="133"/>
      <c r="H182" s="75">
        <v>982.98</v>
      </c>
      <c r="I182" s="75">
        <v>1208082.42</v>
      </c>
      <c r="J182" s="91" t="s">
        <v>406</v>
      </c>
      <c r="K182" s="73"/>
      <c r="L182" s="46">
        <v>1229</v>
      </c>
      <c r="M182" s="46">
        <v>193647.05999999994</v>
      </c>
      <c r="N182" s="46">
        <v>1208082.42</v>
      </c>
      <c r="O182" s="98"/>
      <c r="P182" s="23" t="s">
        <v>1393</v>
      </c>
      <c r="Q182" s="24" t="s">
        <v>405</v>
      </c>
      <c r="R182" s="25" t="s">
        <v>50</v>
      </c>
      <c r="S182" s="26">
        <v>1229</v>
      </c>
      <c r="T182" s="26"/>
      <c r="U182" s="26">
        <f t="shared" si="34"/>
        <v>982.98</v>
      </c>
      <c r="V182" s="127">
        <f t="shared" si="35"/>
        <v>0</v>
      </c>
      <c r="W182" s="127">
        <f t="shared" si="36"/>
        <v>1229</v>
      </c>
      <c r="X182" s="127">
        <f t="shared" si="37"/>
        <v>0</v>
      </c>
      <c r="Y182" s="127">
        <f t="shared" si="29"/>
        <v>1208082.42</v>
      </c>
      <c r="Z182" s="33" t="s">
        <v>15</v>
      </c>
      <c r="AA182" s="36" t="s">
        <v>16</v>
      </c>
      <c r="AB182" s="35">
        <f t="shared" si="30"/>
        <v>1229</v>
      </c>
      <c r="AC182" s="35">
        <f t="shared" si="38"/>
        <v>1208082.42</v>
      </c>
      <c r="AD182" s="181">
        <v>1.4</v>
      </c>
      <c r="AE182" s="181">
        <v>1.4</v>
      </c>
      <c r="AF182" s="101" t="str">
        <f t="shared" si="31"/>
        <v/>
      </c>
      <c r="AG182" s="191">
        <f>1032+197</f>
        <v>1229</v>
      </c>
      <c r="AH182" s="69">
        <f t="shared" si="32"/>
        <v>1229</v>
      </c>
    </row>
    <row r="183" spans="1:34" s="69" customFormat="1" ht="41.25" x14ac:dyDescent="0.3">
      <c r="A183" s="130" t="s">
        <v>496</v>
      </c>
      <c r="B183" s="131" t="s">
        <v>408</v>
      </c>
      <c r="C183" s="132" t="s">
        <v>50</v>
      </c>
      <c r="D183" s="133">
        <v>285</v>
      </c>
      <c r="E183" s="133"/>
      <c r="F183" s="133"/>
      <c r="G183" s="133"/>
      <c r="H183" s="75">
        <v>804.79</v>
      </c>
      <c r="I183" s="75">
        <v>229365.15</v>
      </c>
      <c r="J183" s="91" t="s">
        <v>409</v>
      </c>
      <c r="K183" s="73"/>
      <c r="L183" s="46">
        <v>285</v>
      </c>
      <c r="M183" s="46">
        <v>52311.350000000006</v>
      </c>
      <c r="N183" s="46">
        <v>229365.15</v>
      </c>
      <c r="O183" s="98"/>
      <c r="P183" s="23" t="s">
        <v>1403</v>
      </c>
      <c r="Q183" s="24" t="s">
        <v>408</v>
      </c>
      <c r="R183" s="25" t="s">
        <v>50</v>
      </c>
      <c r="S183" s="26">
        <v>285</v>
      </c>
      <c r="T183" s="26"/>
      <c r="U183" s="26">
        <f t="shared" si="34"/>
        <v>804.79</v>
      </c>
      <c r="V183" s="127">
        <f t="shared" si="35"/>
        <v>0</v>
      </c>
      <c r="W183" s="127">
        <f t="shared" si="36"/>
        <v>285</v>
      </c>
      <c r="X183" s="127">
        <f t="shared" si="37"/>
        <v>0</v>
      </c>
      <c r="Y183" s="127">
        <f t="shared" si="29"/>
        <v>229365.15</v>
      </c>
      <c r="Z183" s="33" t="s">
        <v>15</v>
      </c>
      <c r="AA183" s="36" t="s">
        <v>16</v>
      </c>
      <c r="AB183" s="35">
        <f t="shared" si="30"/>
        <v>285</v>
      </c>
      <c r="AC183" s="35">
        <f t="shared" si="38"/>
        <v>229365.15</v>
      </c>
      <c r="AD183" s="181">
        <v>1.4</v>
      </c>
      <c r="AE183" s="181">
        <v>1.4</v>
      </c>
      <c r="AF183" s="101" t="str">
        <f t="shared" si="31"/>
        <v/>
      </c>
      <c r="AG183" s="191">
        <f>220+65</f>
        <v>285</v>
      </c>
      <c r="AH183" s="69">
        <f t="shared" si="32"/>
        <v>285</v>
      </c>
    </row>
    <row r="184" spans="1:34" s="69" customFormat="1" ht="33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133"/>
      <c r="F184" s="133"/>
      <c r="G184" s="133"/>
      <c r="H184" s="75">
        <v>36.4</v>
      </c>
      <c r="I184" s="75">
        <v>499262.4</v>
      </c>
      <c r="J184" s="91" t="s">
        <v>111</v>
      </c>
      <c r="K184" s="73"/>
      <c r="L184" s="46">
        <v>13110.94</v>
      </c>
      <c r="M184" s="46">
        <v>0</v>
      </c>
      <c r="N184" s="46">
        <v>477238.22</v>
      </c>
      <c r="O184" s="98"/>
      <c r="P184" s="23" t="s">
        <v>1427</v>
      </c>
      <c r="Q184" s="24" t="s">
        <v>109</v>
      </c>
      <c r="R184" s="25" t="s">
        <v>110</v>
      </c>
      <c r="S184" s="26">
        <v>13716</v>
      </c>
      <c r="T184" s="26"/>
      <c r="U184" s="26">
        <f t="shared" si="34"/>
        <v>36.4</v>
      </c>
      <c r="V184" s="127">
        <f t="shared" si="35"/>
        <v>0</v>
      </c>
      <c r="W184" s="127">
        <f t="shared" si="36"/>
        <v>13110.94</v>
      </c>
      <c r="X184" s="127">
        <f t="shared" si="37"/>
        <v>0</v>
      </c>
      <c r="Y184" s="127">
        <f t="shared" si="29"/>
        <v>477238.22</v>
      </c>
      <c r="Z184" s="33" t="s">
        <v>15</v>
      </c>
      <c r="AA184" s="36" t="s">
        <v>16</v>
      </c>
      <c r="AB184" s="35">
        <f t="shared" si="30"/>
        <v>13716</v>
      </c>
      <c r="AC184" s="35">
        <f t="shared" si="38"/>
        <v>499262.4</v>
      </c>
      <c r="AD184" s="181">
        <v>1.4</v>
      </c>
      <c r="AE184" s="181">
        <v>1.4</v>
      </c>
      <c r="AF184" s="101" t="str">
        <f t="shared" si="31"/>
        <v/>
      </c>
      <c r="AG184" s="190">
        <v>13110.94</v>
      </c>
      <c r="AH184" s="69">
        <f t="shared" si="32"/>
        <v>13716</v>
      </c>
    </row>
    <row r="185" spans="1:34" s="69" customFormat="1" ht="33" x14ac:dyDescent="0.3">
      <c r="A185" s="130" t="s">
        <v>498</v>
      </c>
      <c r="B185" s="131" t="s">
        <v>399</v>
      </c>
      <c r="C185" s="132" t="s">
        <v>110</v>
      </c>
      <c r="D185" s="133">
        <v>13810</v>
      </c>
      <c r="E185" s="133"/>
      <c r="F185" s="133"/>
      <c r="G185" s="133"/>
      <c r="H185" s="75">
        <v>38.71</v>
      </c>
      <c r="I185" s="75">
        <v>534585.1</v>
      </c>
      <c r="J185" s="91" t="s">
        <v>400</v>
      </c>
      <c r="K185" s="73"/>
      <c r="L185" s="46">
        <v>13810</v>
      </c>
      <c r="M185" s="46">
        <v>0</v>
      </c>
      <c r="N185" s="46">
        <v>534585.1</v>
      </c>
      <c r="O185" s="98"/>
      <c r="P185" s="23" t="s">
        <v>1428</v>
      </c>
      <c r="Q185" s="24" t="s">
        <v>399</v>
      </c>
      <c r="R185" s="25" t="s">
        <v>110</v>
      </c>
      <c r="S185" s="26">
        <v>13810</v>
      </c>
      <c r="T185" s="26"/>
      <c r="U185" s="26">
        <f t="shared" si="34"/>
        <v>38.71</v>
      </c>
      <c r="V185" s="127">
        <f t="shared" si="35"/>
        <v>0</v>
      </c>
      <c r="W185" s="127">
        <f t="shared" si="36"/>
        <v>13810</v>
      </c>
      <c r="X185" s="127">
        <f t="shared" si="37"/>
        <v>0</v>
      </c>
      <c r="Y185" s="127">
        <f t="shared" si="29"/>
        <v>534585.1</v>
      </c>
      <c r="Z185" s="33" t="s">
        <v>15</v>
      </c>
      <c r="AA185" s="36" t="s">
        <v>16</v>
      </c>
      <c r="AB185" s="35">
        <f t="shared" si="30"/>
        <v>13810</v>
      </c>
      <c r="AC185" s="35">
        <f t="shared" si="38"/>
        <v>534585.1</v>
      </c>
      <c r="AD185" s="181">
        <v>1.4</v>
      </c>
      <c r="AE185" s="181">
        <v>1.4</v>
      </c>
      <c r="AF185" s="101" t="str">
        <f t="shared" si="31"/>
        <v/>
      </c>
      <c r="AG185" s="191">
        <f>13810</f>
        <v>13810</v>
      </c>
      <c r="AH185" s="69">
        <f t="shared" si="32"/>
        <v>13810</v>
      </c>
    </row>
    <row r="186" spans="1:34" s="69" customFormat="1" ht="33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133"/>
      <c r="F186" s="133">
        <v>754.47</v>
      </c>
      <c r="G186" s="133"/>
      <c r="H186" s="75">
        <v>2510.79</v>
      </c>
      <c r="I186" s="75">
        <v>1894315.73</v>
      </c>
      <c r="J186" s="91" t="s">
        <v>501</v>
      </c>
      <c r="K186" s="73"/>
      <c r="L186" s="46">
        <v>754.3</v>
      </c>
      <c r="M186" s="46">
        <v>225468.93999999994</v>
      </c>
      <c r="N186" s="46">
        <v>1893888.9</v>
      </c>
      <c r="O186" s="98"/>
      <c r="P186" s="23" t="s">
        <v>1387</v>
      </c>
      <c r="Q186" s="24" t="s">
        <v>500</v>
      </c>
      <c r="R186" s="25" t="s">
        <v>50</v>
      </c>
      <c r="S186" s="26">
        <v>699</v>
      </c>
      <c r="T186" s="26">
        <v>754.47</v>
      </c>
      <c r="U186" s="26">
        <f t="shared" si="34"/>
        <v>2510.79</v>
      </c>
      <c r="V186" s="127">
        <f t="shared" si="35"/>
        <v>0</v>
      </c>
      <c r="W186" s="127">
        <f t="shared" si="36"/>
        <v>754.3</v>
      </c>
      <c r="X186" s="127">
        <f t="shared" si="37"/>
        <v>0</v>
      </c>
      <c r="Y186" s="127">
        <f t="shared" si="29"/>
        <v>1893888.9</v>
      </c>
      <c r="Z186" s="27"/>
      <c r="AA186" s="36" t="s">
        <v>16</v>
      </c>
      <c r="AB186" s="35">
        <f t="shared" si="30"/>
        <v>754.47</v>
      </c>
      <c r="AC186" s="35">
        <f t="shared" si="38"/>
        <v>1894315.73</v>
      </c>
      <c r="AD186" s="181">
        <v>1.4</v>
      </c>
      <c r="AE186" s="181">
        <v>1.4</v>
      </c>
      <c r="AF186" s="101" t="str">
        <f t="shared" si="31"/>
        <v/>
      </c>
      <c r="AG186" s="191">
        <f>664.5+89.8</f>
        <v>754.3</v>
      </c>
      <c r="AH186" s="69">
        <f t="shared" si="32"/>
        <v>754.47</v>
      </c>
    </row>
    <row r="187" spans="1:34" s="69" customFormat="1" ht="39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133"/>
      <c r="F187" s="133"/>
      <c r="G187" s="133"/>
      <c r="H187" s="75">
        <v>3298.06</v>
      </c>
      <c r="I187" s="75">
        <v>906966.5</v>
      </c>
      <c r="J187" s="91" t="s">
        <v>504</v>
      </c>
      <c r="K187" s="73"/>
      <c r="L187" s="46">
        <v>275</v>
      </c>
      <c r="M187" s="46">
        <v>0</v>
      </c>
      <c r="N187" s="46">
        <v>906966.5</v>
      </c>
      <c r="O187" s="98"/>
      <c r="P187" s="23" t="s">
        <v>1405</v>
      </c>
      <c r="Q187" s="24" t="s">
        <v>503</v>
      </c>
      <c r="R187" s="25" t="s">
        <v>103</v>
      </c>
      <c r="S187" s="26">
        <v>275</v>
      </c>
      <c r="T187" s="26"/>
      <c r="U187" s="26">
        <f t="shared" si="34"/>
        <v>3298.06</v>
      </c>
      <c r="V187" s="127">
        <f t="shared" si="35"/>
        <v>0</v>
      </c>
      <c r="W187" s="127">
        <f t="shared" si="36"/>
        <v>275</v>
      </c>
      <c r="X187" s="127">
        <f t="shared" si="37"/>
        <v>0</v>
      </c>
      <c r="Y187" s="127">
        <f t="shared" si="29"/>
        <v>906966.5</v>
      </c>
      <c r="Z187" s="33"/>
      <c r="AA187" s="36" t="s">
        <v>16</v>
      </c>
      <c r="AB187" s="35">
        <f t="shared" si="30"/>
        <v>275</v>
      </c>
      <c r="AC187" s="35">
        <f t="shared" si="38"/>
        <v>906966.5</v>
      </c>
      <c r="AD187" s="181">
        <v>1.4</v>
      </c>
      <c r="AE187" s="181">
        <v>1.4</v>
      </c>
      <c r="AF187" s="101" t="str">
        <f t="shared" si="31"/>
        <v/>
      </c>
      <c r="AG187" s="190">
        <v>275</v>
      </c>
      <c r="AH187" s="69">
        <f t="shared" si="32"/>
        <v>275</v>
      </c>
    </row>
    <row r="188" spans="1:34" s="69" customFormat="1" ht="39" x14ac:dyDescent="0.3">
      <c r="A188" s="55" t="s">
        <v>505</v>
      </c>
      <c r="B188" s="53" t="s">
        <v>506</v>
      </c>
      <c r="C188" s="54" t="s">
        <v>50</v>
      </c>
      <c r="D188" s="75">
        <v>203</v>
      </c>
      <c r="E188" s="75"/>
      <c r="F188" s="75"/>
      <c r="G188" s="75"/>
      <c r="H188" s="75">
        <v>2952.19</v>
      </c>
      <c r="I188" s="75">
        <v>599294.56999999995</v>
      </c>
      <c r="J188" s="91" t="s">
        <v>507</v>
      </c>
      <c r="K188" s="73"/>
      <c r="L188" s="46">
        <v>129.80000000000001</v>
      </c>
      <c r="M188" s="46">
        <v>0</v>
      </c>
      <c r="N188" s="46">
        <v>383194.26</v>
      </c>
      <c r="O188" s="98"/>
      <c r="P188" s="23" t="s">
        <v>1406</v>
      </c>
      <c r="Q188" s="24" t="s">
        <v>506</v>
      </c>
      <c r="R188" s="25" t="s">
        <v>50</v>
      </c>
      <c r="S188" s="26">
        <v>203</v>
      </c>
      <c r="T188" s="26"/>
      <c r="U188" s="26">
        <f t="shared" si="34"/>
        <v>2952.19</v>
      </c>
      <c r="V188" s="26">
        <f t="shared" si="35"/>
        <v>0</v>
      </c>
      <c r="W188" s="26">
        <f t="shared" si="36"/>
        <v>129.80000000000001</v>
      </c>
      <c r="X188" s="26">
        <f t="shared" si="37"/>
        <v>0</v>
      </c>
      <c r="Y188" s="26">
        <f t="shared" si="29"/>
        <v>383194.26</v>
      </c>
      <c r="Z188" s="33" t="s">
        <v>15</v>
      </c>
      <c r="AA188" s="36" t="s">
        <v>16</v>
      </c>
      <c r="AB188" s="35">
        <f t="shared" si="30"/>
        <v>203</v>
      </c>
      <c r="AC188" s="35">
        <f t="shared" si="38"/>
        <v>599294.56999999995</v>
      </c>
      <c r="AD188" s="181">
        <v>1.4</v>
      </c>
      <c r="AE188" s="181">
        <v>1.4</v>
      </c>
      <c r="AF188" s="101" t="str">
        <f t="shared" si="31"/>
        <v/>
      </c>
      <c r="AG188" s="190">
        <v>129.80000000000001</v>
      </c>
      <c r="AH188" s="69">
        <f t="shared" si="32"/>
        <v>203</v>
      </c>
    </row>
    <row r="189" spans="1:34" s="69" customFormat="1" ht="33" x14ac:dyDescent="0.3">
      <c r="A189" s="55" t="s">
        <v>508</v>
      </c>
      <c r="B189" s="53" t="s">
        <v>509</v>
      </c>
      <c r="C189" s="54" t="s">
        <v>50</v>
      </c>
      <c r="D189" s="75">
        <v>405</v>
      </c>
      <c r="E189" s="75"/>
      <c r="F189" s="75"/>
      <c r="G189" s="75"/>
      <c r="H189" s="75">
        <v>1454.57</v>
      </c>
      <c r="I189" s="75">
        <v>589100.85</v>
      </c>
      <c r="J189" s="91" t="s">
        <v>510</v>
      </c>
      <c r="K189" s="73"/>
      <c r="L189" s="46">
        <v>0</v>
      </c>
      <c r="M189" s="46">
        <v>0</v>
      </c>
      <c r="N189" s="46">
        <v>0</v>
      </c>
      <c r="O189" s="98"/>
      <c r="P189" s="23" t="s">
        <v>1414</v>
      </c>
      <c r="Q189" s="24" t="s">
        <v>509</v>
      </c>
      <c r="R189" s="25" t="s">
        <v>50</v>
      </c>
      <c r="S189" s="26">
        <v>405</v>
      </c>
      <c r="T189" s="26"/>
      <c r="U189" s="26">
        <f t="shared" si="34"/>
        <v>1454.57</v>
      </c>
      <c r="V189" s="26">
        <f t="shared" si="35"/>
        <v>0</v>
      </c>
      <c r="W189" s="26">
        <f t="shared" si="36"/>
        <v>0</v>
      </c>
      <c r="X189" s="26">
        <f t="shared" si="37"/>
        <v>0</v>
      </c>
      <c r="Y189" s="26">
        <f t="shared" si="29"/>
        <v>0</v>
      </c>
      <c r="Z189" s="33" t="s">
        <v>15</v>
      </c>
      <c r="AA189" s="36" t="s">
        <v>16</v>
      </c>
      <c r="AB189" s="35">
        <f t="shared" si="30"/>
        <v>405</v>
      </c>
      <c r="AC189" s="35">
        <f t="shared" si="38"/>
        <v>589100.85</v>
      </c>
      <c r="AD189" s="181">
        <v>1.4</v>
      </c>
      <c r="AE189" s="181">
        <v>1.4</v>
      </c>
      <c r="AF189" s="101" t="str">
        <f t="shared" si="31"/>
        <v/>
      </c>
      <c r="AG189" s="190">
        <v>0</v>
      </c>
      <c r="AH189" s="69">
        <f t="shared" si="32"/>
        <v>405</v>
      </c>
    </row>
    <row r="190" spans="1:34" s="69" customFormat="1" ht="39" x14ac:dyDescent="0.3">
      <c r="A190" s="55" t="s">
        <v>511</v>
      </c>
      <c r="B190" s="53" t="s">
        <v>512</v>
      </c>
      <c r="C190" s="54" t="s">
        <v>513</v>
      </c>
      <c r="D190" s="75">
        <v>372</v>
      </c>
      <c r="E190" s="75"/>
      <c r="F190" s="75"/>
      <c r="G190" s="75"/>
      <c r="H190" s="75">
        <v>435</v>
      </c>
      <c r="I190" s="75">
        <v>161820</v>
      </c>
      <c r="J190" s="91" t="s">
        <v>514</v>
      </c>
      <c r="K190" s="73"/>
      <c r="L190" s="46">
        <v>210</v>
      </c>
      <c r="M190" s="46">
        <v>0</v>
      </c>
      <c r="N190" s="46">
        <v>91350</v>
      </c>
      <c r="O190" s="98"/>
      <c r="P190" s="23" t="s">
        <v>1429</v>
      </c>
      <c r="Q190" s="24" t="s">
        <v>512</v>
      </c>
      <c r="R190" s="25" t="s">
        <v>513</v>
      </c>
      <c r="S190" s="26">
        <v>372</v>
      </c>
      <c r="T190" s="26"/>
      <c r="U190" s="26">
        <f t="shared" si="34"/>
        <v>435</v>
      </c>
      <c r="V190" s="128">
        <f t="shared" si="35"/>
        <v>0</v>
      </c>
      <c r="W190" s="26">
        <f t="shared" si="36"/>
        <v>210</v>
      </c>
      <c r="X190" s="26">
        <f t="shared" si="37"/>
        <v>0</v>
      </c>
      <c r="Y190" s="26">
        <f t="shared" si="29"/>
        <v>91350</v>
      </c>
      <c r="Z190" s="33" t="s">
        <v>15</v>
      </c>
      <c r="AA190" s="36" t="s">
        <v>16</v>
      </c>
      <c r="AB190" s="35">
        <f t="shared" si="30"/>
        <v>372</v>
      </c>
      <c r="AC190" s="35">
        <f t="shared" si="38"/>
        <v>161820</v>
      </c>
      <c r="AD190" s="181">
        <v>1.4</v>
      </c>
      <c r="AE190" s="181">
        <v>1.4</v>
      </c>
      <c r="AF190" s="101" t="str">
        <f t="shared" si="31"/>
        <v/>
      </c>
      <c r="AG190" s="191">
        <f>210</f>
        <v>210</v>
      </c>
      <c r="AH190" s="69">
        <f t="shared" si="32"/>
        <v>372</v>
      </c>
    </row>
    <row r="191" spans="1:34" s="69" customFormat="1" ht="33" x14ac:dyDescent="0.3">
      <c r="A191" s="55" t="s">
        <v>515</v>
      </c>
      <c r="B191" s="53" t="s">
        <v>516</v>
      </c>
      <c r="C191" s="54" t="s">
        <v>50</v>
      </c>
      <c r="D191" s="75">
        <v>1984</v>
      </c>
      <c r="E191" s="75"/>
      <c r="F191" s="75"/>
      <c r="G191" s="75"/>
      <c r="H191" s="75">
        <v>885.8</v>
      </c>
      <c r="I191" s="75">
        <v>1757427.2</v>
      </c>
      <c r="J191" s="91" t="s">
        <v>517</v>
      </c>
      <c r="K191" s="73"/>
      <c r="L191" s="46">
        <v>1796.5</v>
      </c>
      <c r="M191" s="46">
        <v>0</v>
      </c>
      <c r="N191" s="46">
        <v>1591339.7</v>
      </c>
      <c r="O191" s="98"/>
      <c r="P191" s="23" t="s">
        <v>1430</v>
      </c>
      <c r="Q191" s="24" t="s">
        <v>516</v>
      </c>
      <c r="R191" s="25" t="s">
        <v>50</v>
      </c>
      <c r="S191" s="26">
        <v>1984</v>
      </c>
      <c r="T191" s="26"/>
      <c r="U191" s="26">
        <f t="shared" si="34"/>
        <v>885.8</v>
      </c>
      <c r="V191" s="26">
        <f t="shared" si="35"/>
        <v>0</v>
      </c>
      <c r="W191" s="26">
        <f t="shared" si="36"/>
        <v>1796.5</v>
      </c>
      <c r="X191" s="26">
        <f t="shared" si="37"/>
        <v>0</v>
      </c>
      <c r="Y191" s="26">
        <f t="shared" si="29"/>
        <v>1591339.7</v>
      </c>
      <c r="Z191" s="33" t="s">
        <v>15</v>
      </c>
      <c r="AA191" s="36" t="s">
        <v>16</v>
      </c>
      <c r="AB191" s="35">
        <f t="shared" si="30"/>
        <v>1984</v>
      </c>
      <c r="AC191" s="35">
        <f t="shared" si="38"/>
        <v>1757427.2</v>
      </c>
      <c r="AD191" s="181">
        <v>1.4</v>
      </c>
      <c r="AE191" s="181">
        <v>1.4</v>
      </c>
      <c r="AF191" s="101" t="str">
        <f t="shared" si="31"/>
        <v/>
      </c>
      <c r="AG191" s="190">
        <v>1796.5</v>
      </c>
      <c r="AH191" s="69">
        <f t="shared" si="32"/>
        <v>1984</v>
      </c>
    </row>
    <row r="192" spans="1:34" s="69" customFormat="1" ht="33" x14ac:dyDescent="0.3">
      <c r="A192" s="55" t="s">
        <v>518</v>
      </c>
      <c r="B192" s="53" t="s">
        <v>189</v>
      </c>
      <c r="C192" s="54" t="s">
        <v>30</v>
      </c>
      <c r="D192" s="75">
        <v>45</v>
      </c>
      <c r="E192" s="75"/>
      <c r="F192" s="75"/>
      <c r="G192" s="75"/>
      <c r="H192" s="75">
        <v>138.84</v>
      </c>
      <c r="I192" s="75">
        <v>6247.8</v>
      </c>
      <c r="J192" s="91" t="s">
        <v>190</v>
      </c>
      <c r="K192" s="73"/>
      <c r="L192" s="46">
        <v>24.96</v>
      </c>
      <c r="M192" s="46">
        <v>0</v>
      </c>
      <c r="N192" s="46">
        <v>3465.45</v>
      </c>
      <c r="O192" s="98"/>
      <c r="P192" s="23" t="s">
        <v>1431</v>
      </c>
      <c r="Q192" s="24" t="s">
        <v>189</v>
      </c>
      <c r="R192" s="25" t="s">
        <v>30</v>
      </c>
      <c r="S192" s="26">
        <v>45</v>
      </c>
      <c r="T192" s="26"/>
      <c r="U192" s="26">
        <f t="shared" si="34"/>
        <v>138.84</v>
      </c>
      <c r="V192" s="26">
        <f t="shared" si="35"/>
        <v>0</v>
      </c>
      <c r="W192" s="26">
        <f t="shared" si="36"/>
        <v>24.96</v>
      </c>
      <c r="X192" s="26">
        <f t="shared" si="37"/>
        <v>0</v>
      </c>
      <c r="Y192" s="26">
        <f t="shared" si="29"/>
        <v>3465.45</v>
      </c>
      <c r="Z192" s="33" t="s">
        <v>15</v>
      </c>
      <c r="AA192" s="36" t="s">
        <v>16</v>
      </c>
      <c r="AB192" s="35">
        <f t="shared" si="30"/>
        <v>45</v>
      </c>
      <c r="AC192" s="35">
        <f t="shared" si="38"/>
        <v>6247.8</v>
      </c>
      <c r="AD192" s="181">
        <v>1.4</v>
      </c>
      <c r="AE192" s="181">
        <v>1.4</v>
      </c>
      <c r="AF192" s="101" t="str">
        <f t="shared" si="31"/>
        <v/>
      </c>
      <c r="AG192" s="190">
        <v>24.96</v>
      </c>
      <c r="AH192" s="69">
        <f t="shared" si="32"/>
        <v>45</v>
      </c>
    </row>
    <row r="193" spans="1:37" s="69" customFormat="1" ht="33" x14ac:dyDescent="0.3">
      <c r="A193" s="55" t="s">
        <v>519</v>
      </c>
      <c r="B193" s="53" t="s">
        <v>520</v>
      </c>
      <c r="C193" s="54" t="s">
        <v>30</v>
      </c>
      <c r="D193" s="75">
        <v>62</v>
      </c>
      <c r="E193" s="75"/>
      <c r="F193" s="75"/>
      <c r="G193" s="75"/>
      <c r="H193" s="75">
        <v>326.3</v>
      </c>
      <c r="I193" s="75">
        <v>20230.599999999999</v>
      </c>
      <c r="J193" s="91" t="s">
        <v>521</v>
      </c>
      <c r="K193" s="73"/>
      <c r="L193" s="46">
        <v>0</v>
      </c>
      <c r="M193" s="46">
        <v>0</v>
      </c>
      <c r="N193" s="46">
        <v>0</v>
      </c>
      <c r="O193" s="98"/>
      <c r="P193" s="23" t="s">
        <v>1395</v>
      </c>
      <c r="Q193" s="24" t="s">
        <v>520</v>
      </c>
      <c r="R193" s="25" t="s">
        <v>30</v>
      </c>
      <c r="S193" s="26">
        <v>62</v>
      </c>
      <c r="T193" s="26"/>
      <c r="U193" s="26">
        <f t="shared" si="34"/>
        <v>326.3</v>
      </c>
      <c r="V193" s="26">
        <f t="shared" si="35"/>
        <v>0</v>
      </c>
      <c r="W193" s="26">
        <f t="shared" si="36"/>
        <v>0</v>
      </c>
      <c r="X193" s="26">
        <f t="shared" si="37"/>
        <v>0</v>
      </c>
      <c r="Y193" s="26">
        <f t="shared" si="29"/>
        <v>0</v>
      </c>
      <c r="Z193" s="33" t="s">
        <v>15</v>
      </c>
      <c r="AA193" s="36" t="s">
        <v>16</v>
      </c>
      <c r="AB193" s="35">
        <f t="shared" si="30"/>
        <v>62</v>
      </c>
      <c r="AC193" s="35">
        <f t="shared" si="38"/>
        <v>20230.599999999999</v>
      </c>
      <c r="AD193" s="181">
        <v>1.4</v>
      </c>
      <c r="AE193" s="181">
        <v>1.4</v>
      </c>
      <c r="AF193" s="101" t="str">
        <f t="shared" si="31"/>
        <v/>
      </c>
      <c r="AG193" s="190">
        <v>0</v>
      </c>
      <c r="AH193" s="69">
        <f t="shared" si="32"/>
        <v>62</v>
      </c>
    </row>
    <row r="194" spans="1:37" s="69" customFormat="1" ht="39" x14ac:dyDescent="0.3">
      <c r="A194" s="55" t="s">
        <v>522</v>
      </c>
      <c r="B194" s="53" t="s">
        <v>424</v>
      </c>
      <c r="C194" s="54" t="s">
        <v>50</v>
      </c>
      <c r="D194" s="75">
        <v>275</v>
      </c>
      <c r="E194" s="75"/>
      <c r="F194" s="75"/>
      <c r="G194" s="75"/>
      <c r="H194" s="75">
        <v>692.16</v>
      </c>
      <c r="I194" s="75">
        <v>190344</v>
      </c>
      <c r="J194" s="91" t="s">
        <v>425</v>
      </c>
      <c r="K194" s="73"/>
      <c r="L194" s="46">
        <v>205.6</v>
      </c>
      <c r="M194" s="46">
        <v>77521.920000000013</v>
      </c>
      <c r="N194" s="46">
        <v>142308.1</v>
      </c>
      <c r="O194" s="98"/>
      <c r="P194" s="23" t="s">
        <v>1432</v>
      </c>
      <c r="Q194" s="24" t="s">
        <v>424</v>
      </c>
      <c r="R194" s="25" t="s">
        <v>50</v>
      </c>
      <c r="S194" s="26">
        <v>275</v>
      </c>
      <c r="T194" s="26"/>
      <c r="U194" s="26">
        <f t="shared" si="34"/>
        <v>692.16</v>
      </c>
      <c r="V194" s="128">
        <f t="shared" si="35"/>
        <v>0</v>
      </c>
      <c r="W194" s="26">
        <f t="shared" si="36"/>
        <v>205.6</v>
      </c>
      <c r="X194" s="26">
        <f t="shared" si="37"/>
        <v>0</v>
      </c>
      <c r="Y194" s="26">
        <f t="shared" si="29"/>
        <v>142308.1</v>
      </c>
      <c r="Z194" s="33" t="s">
        <v>15</v>
      </c>
      <c r="AA194" s="36" t="s">
        <v>16</v>
      </c>
      <c r="AB194" s="35">
        <f t="shared" si="30"/>
        <v>275</v>
      </c>
      <c r="AC194" s="35">
        <f t="shared" si="38"/>
        <v>190344</v>
      </c>
      <c r="AD194" s="181">
        <v>1.4</v>
      </c>
      <c r="AE194" s="181">
        <v>1.4</v>
      </c>
      <c r="AF194" s="101" t="str">
        <f t="shared" si="31"/>
        <v/>
      </c>
      <c r="AG194" s="191">
        <f>93.6+112</f>
        <v>205.6</v>
      </c>
      <c r="AH194" s="69">
        <f t="shared" si="32"/>
        <v>275</v>
      </c>
    </row>
    <row r="195" spans="1:37" s="69" customFormat="1" ht="41.25" x14ac:dyDescent="0.3">
      <c r="A195" s="130" t="s">
        <v>523</v>
      </c>
      <c r="B195" s="131" t="s">
        <v>524</v>
      </c>
      <c r="C195" s="54" t="s">
        <v>30</v>
      </c>
      <c r="D195" s="75">
        <v>429</v>
      </c>
      <c r="E195" s="75"/>
      <c r="F195" s="75"/>
      <c r="G195" s="75"/>
      <c r="H195" s="75">
        <v>1707.13</v>
      </c>
      <c r="I195" s="75">
        <v>0</v>
      </c>
      <c r="J195" s="91" t="s">
        <v>525</v>
      </c>
      <c r="K195" s="73"/>
      <c r="L195" s="46">
        <v>0</v>
      </c>
      <c r="M195" s="46">
        <v>0</v>
      </c>
      <c r="N195" s="46">
        <v>0</v>
      </c>
      <c r="O195" s="98"/>
      <c r="P195" s="23" t="s">
        <v>1433</v>
      </c>
      <c r="Q195" s="24" t="s">
        <v>524</v>
      </c>
      <c r="R195" s="25" t="s">
        <v>30</v>
      </c>
      <c r="S195" s="26">
        <v>429</v>
      </c>
      <c r="T195" s="26">
        <v>0</v>
      </c>
      <c r="U195" s="26">
        <f t="shared" si="34"/>
        <v>1707.13</v>
      </c>
      <c r="V195" s="127">
        <f t="shared" si="35"/>
        <v>0</v>
      </c>
      <c r="W195" s="127">
        <f t="shared" si="36"/>
        <v>0</v>
      </c>
      <c r="X195" s="127">
        <f t="shared" si="37"/>
        <v>0</v>
      </c>
      <c r="Y195" s="127">
        <f t="shared" si="29"/>
        <v>0</v>
      </c>
      <c r="Z195" s="33" t="s">
        <v>15</v>
      </c>
      <c r="AA195" s="36" t="s">
        <v>16</v>
      </c>
      <c r="AB195" s="35">
        <f t="shared" si="30"/>
        <v>0</v>
      </c>
      <c r="AC195" s="35">
        <f t="shared" si="38"/>
        <v>0</v>
      </c>
      <c r="AD195" s="181">
        <v>1.4</v>
      </c>
      <c r="AE195" s="181">
        <v>1.4</v>
      </c>
      <c r="AF195" s="101" t="str">
        <f t="shared" si="31"/>
        <v/>
      </c>
      <c r="AG195" s="190">
        <v>0</v>
      </c>
      <c r="AH195" s="69">
        <f t="shared" si="32"/>
        <v>429</v>
      </c>
    </row>
    <row r="196" spans="1:37" s="69" customFormat="1" ht="39" x14ac:dyDescent="0.3">
      <c r="A196" s="130" t="s">
        <v>526</v>
      </c>
      <c r="B196" s="131" t="s">
        <v>527</v>
      </c>
      <c r="C196" s="54" t="s">
        <v>34</v>
      </c>
      <c r="D196" s="75">
        <v>1597.5</v>
      </c>
      <c r="E196" s="75"/>
      <c r="F196" s="75"/>
      <c r="G196" s="75"/>
      <c r="H196" s="75">
        <v>49</v>
      </c>
      <c r="I196" s="75">
        <v>78277.5</v>
      </c>
      <c r="J196" s="91" t="s">
        <v>528</v>
      </c>
      <c r="K196" s="73"/>
      <c r="L196" s="46">
        <v>1530</v>
      </c>
      <c r="M196" s="46">
        <v>0</v>
      </c>
      <c r="N196" s="46">
        <v>74970</v>
      </c>
      <c r="O196" s="98"/>
      <c r="P196" s="23" t="s">
        <v>1382</v>
      </c>
      <c r="Q196" s="24" t="s">
        <v>527</v>
      </c>
      <c r="R196" s="25" t="s">
        <v>34</v>
      </c>
      <c r="S196" s="26">
        <v>1597.5</v>
      </c>
      <c r="T196" s="26"/>
      <c r="U196" s="26">
        <f t="shared" si="34"/>
        <v>49</v>
      </c>
      <c r="V196" s="127">
        <f t="shared" si="35"/>
        <v>0</v>
      </c>
      <c r="W196" s="127">
        <f t="shared" si="36"/>
        <v>1530</v>
      </c>
      <c r="X196" s="127">
        <f t="shared" si="37"/>
        <v>0</v>
      </c>
      <c r="Y196" s="127">
        <f t="shared" si="29"/>
        <v>74970</v>
      </c>
      <c r="Z196" s="33" t="s">
        <v>15</v>
      </c>
      <c r="AA196" s="36" t="s">
        <v>16</v>
      </c>
      <c r="AB196" s="35">
        <f t="shared" si="30"/>
        <v>1597.5</v>
      </c>
      <c r="AC196" s="35">
        <f t="shared" si="38"/>
        <v>78277.5</v>
      </c>
      <c r="AD196" s="181">
        <v>1.4</v>
      </c>
      <c r="AE196" s="181">
        <v>1.4</v>
      </c>
      <c r="AF196" s="101" t="str">
        <f t="shared" si="31"/>
        <v/>
      </c>
      <c r="AG196" s="190">
        <v>1530</v>
      </c>
      <c r="AH196" s="69">
        <f t="shared" si="32"/>
        <v>1597.5</v>
      </c>
    </row>
    <row r="197" spans="1:37" s="69" customFormat="1" ht="39" x14ac:dyDescent="0.3">
      <c r="A197" s="66" t="s">
        <v>1324</v>
      </c>
      <c r="B197" s="57" t="s">
        <v>1325</v>
      </c>
      <c r="C197" s="58" t="s">
        <v>23</v>
      </c>
      <c r="D197" s="59"/>
      <c r="E197" s="117">
        <v>1362.5</v>
      </c>
      <c r="F197" s="77"/>
      <c r="G197" s="77"/>
      <c r="H197" s="77">
        <v>926.62</v>
      </c>
      <c r="I197" s="59">
        <v>1262519.75</v>
      </c>
      <c r="J197" s="92"/>
      <c r="K197" s="73"/>
      <c r="L197" s="46">
        <v>1345</v>
      </c>
      <c r="M197" s="46">
        <v>0</v>
      </c>
      <c r="N197" s="46">
        <v>1246303.8999999999</v>
      </c>
      <c r="O197" s="98"/>
      <c r="P197" s="23" t="s">
        <v>1434</v>
      </c>
      <c r="Q197" s="24" t="s">
        <v>1498</v>
      </c>
      <c r="R197" s="25" t="s">
        <v>23</v>
      </c>
      <c r="S197" s="26">
        <v>0</v>
      </c>
      <c r="T197" s="26">
        <v>1362.5</v>
      </c>
      <c r="U197" s="26">
        <f t="shared" si="34"/>
        <v>926.62</v>
      </c>
      <c r="V197" s="127">
        <f t="shared" si="35"/>
        <v>0</v>
      </c>
      <c r="W197" s="127">
        <f t="shared" si="36"/>
        <v>1345</v>
      </c>
      <c r="X197" s="127">
        <f t="shared" si="37"/>
        <v>0</v>
      </c>
      <c r="Y197" s="127">
        <f t="shared" si="29"/>
        <v>1246303.8999999999</v>
      </c>
      <c r="Z197" s="27"/>
      <c r="AA197" s="36" t="s">
        <v>16</v>
      </c>
      <c r="AB197" s="35">
        <f t="shared" si="30"/>
        <v>1362.5</v>
      </c>
      <c r="AC197" s="35">
        <f t="shared" si="38"/>
        <v>1262519.75</v>
      </c>
      <c r="AD197" s="181">
        <v>1.4</v>
      </c>
      <c r="AE197" s="181">
        <v>1.4</v>
      </c>
      <c r="AF197" s="101" t="str">
        <f t="shared" si="31"/>
        <v/>
      </c>
      <c r="AG197" s="191">
        <f>525+820</f>
        <v>1345</v>
      </c>
      <c r="AH197" s="69">
        <f t="shared" si="32"/>
        <v>1362.5</v>
      </c>
    </row>
    <row r="198" spans="1:37" ht="39" x14ac:dyDescent="0.3">
      <c r="A198" s="134" t="s">
        <v>1326</v>
      </c>
      <c r="B198" s="135" t="s">
        <v>1327</v>
      </c>
      <c r="C198" s="61" t="s">
        <v>50</v>
      </c>
      <c r="D198" s="62"/>
      <c r="E198" s="78"/>
      <c r="F198" s="62">
        <v>548.70000000000005</v>
      </c>
      <c r="G198" s="140"/>
      <c r="H198" s="78">
        <v>3120.78</v>
      </c>
      <c r="I198" s="62">
        <v>1712371.99</v>
      </c>
      <c r="J198" s="93"/>
      <c r="L198" s="46">
        <v>548.70000000000005</v>
      </c>
      <c r="M198" s="46">
        <v>0</v>
      </c>
      <c r="N198" s="46">
        <v>1712371.99</v>
      </c>
      <c r="O198" s="98"/>
      <c r="P198" s="23" t="s">
        <v>1388</v>
      </c>
      <c r="Q198" s="24" t="s">
        <v>1327</v>
      </c>
      <c r="R198" s="25" t="s">
        <v>50</v>
      </c>
      <c r="S198" s="26">
        <v>0</v>
      </c>
      <c r="T198" s="26">
        <v>548.70000000000005</v>
      </c>
      <c r="U198" s="26">
        <f t="shared" si="34"/>
        <v>3120.78</v>
      </c>
      <c r="V198" s="127">
        <f t="shared" si="35"/>
        <v>0</v>
      </c>
      <c r="W198" s="127">
        <f t="shared" si="36"/>
        <v>548.70000000000005</v>
      </c>
      <c r="X198" s="127">
        <f t="shared" si="37"/>
        <v>0</v>
      </c>
      <c r="Y198" s="127">
        <f>ROUND(U198*W198,2)</f>
        <v>1712371.99</v>
      </c>
      <c r="Z198" s="27"/>
      <c r="AA198" s="36" t="s">
        <v>16</v>
      </c>
      <c r="AB198" s="35">
        <f t="shared" si="30"/>
        <v>548.70000000000005</v>
      </c>
      <c r="AC198" s="35">
        <f t="shared" si="38"/>
        <v>1712371.99</v>
      </c>
      <c r="AD198" s="181">
        <v>1.4</v>
      </c>
      <c r="AE198" s="181">
        <v>1.4</v>
      </c>
      <c r="AF198" s="101" t="str">
        <f t="shared" si="31"/>
        <v/>
      </c>
      <c r="AG198" s="190">
        <v>548.70000000000005</v>
      </c>
      <c r="AH198" s="69">
        <f t="shared" si="32"/>
        <v>548.70000000000005</v>
      </c>
    </row>
    <row r="199" spans="1:37" ht="58.5" x14ac:dyDescent="0.3">
      <c r="A199" s="134" t="s">
        <v>1328</v>
      </c>
      <c r="B199" s="135" t="s">
        <v>1329</v>
      </c>
      <c r="C199" s="61" t="s">
        <v>30</v>
      </c>
      <c r="D199" s="62"/>
      <c r="E199" s="78"/>
      <c r="F199" s="62">
        <v>410</v>
      </c>
      <c r="G199" s="140"/>
      <c r="H199" s="78">
        <v>5733.63</v>
      </c>
      <c r="I199" s="62">
        <v>2350788.2999999998</v>
      </c>
      <c r="J199" s="93"/>
      <c r="L199" s="46">
        <v>410</v>
      </c>
      <c r="M199" s="46">
        <v>0</v>
      </c>
      <c r="N199" s="46">
        <v>2350788.2999999998</v>
      </c>
      <c r="O199" s="98"/>
      <c r="P199" s="23" t="s">
        <v>1389</v>
      </c>
      <c r="Q199" s="24" t="s">
        <v>1329</v>
      </c>
      <c r="R199" s="25" t="s">
        <v>30</v>
      </c>
      <c r="S199" s="26">
        <v>0</v>
      </c>
      <c r="T199" s="26">
        <v>410</v>
      </c>
      <c r="U199" s="26">
        <f t="shared" si="34"/>
        <v>5733.63</v>
      </c>
      <c r="V199" s="127">
        <f t="shared" si="35"/>
        <v>0</v>
      </c>
      <c r="W199" s="127">
        <f t="shared" si="36"/>
        <v>410</v>
      </c>
      <c r="X199" s="127">
        <f t="shared" si="37"/>
        <v>0</v>
      </c>
      <c r="Y199" s="127">
        <f t="shared" si="29"/>
        <v>2350788.2999999998</v>
      </c>
      <c r="Z199" s="27"/>
      <c r="AA199" s="36" t="s">
        <v>16</v>
      </c>
      <c r="AB199" s="35">
        <f t="shared" si="30"/>
        <v>410</v>
      </c>
      <c r="AC199" s="35">
        <f t="shared" si="38"/>
        <v>2350788.2999999998</v>
      </c>
      <c r="AD199" s="181">
        <v>1.4</v>
      </c>
      <c r="AE199" s="181">
        <v>1.4</v>
      </c>
      <c r="AF199" s="101" t="str">
        <f t="shared" si="31"/>
        <v/>
      </c>
      <c r="AG199" s="190">
        <v>410</v>
      </c>
      <c r="AH199" s="69">
        <f t="shared" si="32"/>
        <v>410</v>
      </c>
    </row>
    <row r="200" spans="1:37" ht="39" x14ac:dyDescent="0.3">
      <c r="A200" s="134" t="s">
        <v>1330</v>
      </c>
      <c r="B200" s="135" t="s">
        <v>1331</v>
      </c>
      <c r="C200" s="61" t="s">
        <v>23</v>
      </c>
      <c r="D200" s="62"/>
      <c r="E200" s="78"/>
      <c r="F200" s="62">
        <v>690</v>
      </c>
      <c r="G200" s="140"/>
      <c r="H200" s="78">
        <v>3832.97</v>
      </c>
      <c r="I200" s="62">
        <v>2644749.2999999998</v>
      </c>
      <c r="J200" s="93"/>
      <c r="L200" s="46">
        <v>682.16</v>
      </c>
      <c r="M200" s="46">
        <v>0</v>
      </c>
      <c r="N200" s="46">
        <v>2614698.8199999998</v>
      </c>
      <c r="O200" s="98"/>
      <c r="P200" s="23" t="s">
        <v>1390</v>
      </c>
      <c r="Q200" s="24" t="s">
        <v>1331</v>
      </c>
      <c r="R200" s="25" t="s">
        <v>23</v>
      </c>
      <c r="S200" s="26">
        <v>0</v>
      </c>
      <c r="T200" s="26">
        <v>690</v>
      </c>
      <c r="U200" s="26">
        <f t="shared" si="34"/>
        <v>3832.97</v>
      </c>
      <c r="V200" s="127">
        <f t="shared" si="35"/>
        <v>0</v>
      </c>
      <c r="W200" s="127">
        <f t="shared" si="36"/>
        <v>682.16</v>
      </c>
      <c r="X200" s="127">
        <f t="shared" si="37"/>
        <v>0</v>
      </c>
      <c r="Y200" s="127">
        <f t="shared" si="29"/>
        <v>2614698.8199999998</v>
      </c>
      <c r="Z200" s="27"/>
      <c r="AA200" s="36" t="s">
        <v>16</v>
      </c>
      <c r="AB200" s="35">
        <f t="shared" si="30"/>
        <v>690</v>
      </c>
      <c r="AC200" s="35">
        <f t="shared" si="38"/>
        <v>2644749.2999999998</v>
      </c>
      <c r="AD200" s="181">
        <v>1.4</v>
      </c>
      <c r="AE200" s="181">
        <v>1.4</v>
      </c>
      <c r="AF200" s="101" t="str">
        <f t="shared" si="31"/>
        <v/>
      </c>
      <c r="AG200" s="190">
        <v>682.16</v>
      </c>
      <c r="AH200" s="69">
        <f t="shared" si="32"/>
        <v>690</v>
      </c>
    </row>
    <row r="201" spans="1:37" ht="33" x14ac:dyDescent="0.3">
      <c r="A201" s="134" t="s">
        <v>1332</v>
      </c>
      <c r="B201" s="135" t="s">
        <v>1333</v>
      </c>
      <c r="C201" s="61" t="s">
        <v>50</v>
      </c>
      <c r="D201" s="62"/>
      <c r="E201" s="78"/>
      <c r="F201" s="62">
        <v>48</v>
      </c>
      <c r="G201" s="140"/>
      <c r="H201" s="78">
        <v>695.25</v>
      </c>
      <c r="I201" s="62">
        <v>33372</v>
      </c>
      <c r="J201" s="93"/>
      <c r="L201" s="46">
        <v>48</v>
      </c>
      <c r="M201" s="46">
        <v>0</v>
      </c>
      <c r="N201" s="46">
        <v>33372</v>
      </c>
      <c r="O201" s="98"/>
      <c r="P201" s="23" t="s">
        <v>1391</v>
      </c>
      <c r="Q201" s="24" t="s">
        <v>1333</v>
      </c>
      <c r="R201" s="25" t="s">
        <v>50</v>
      </c>
      <c r="S201" s="26">
        <v>0</v>
      </c>
      <c r="T201" s="26">
        <v>48</v>
      </c>
      <c r="U201" s="26">
        <f t="shared" si="34"/>
        <v>695.25</v>
      </c>
      <c r="V201" s="127">
        <f t="shared" si="35"/>
        <v>0</v>
      </c>
      <c r="W201" s="127">
        <f t="shared" si="36"/>
        <v>48</v>
      </c>
      <c r="X201" s="127">
        <f t="shared" si="37"/>
        <v>0</v>
      </c>
      <c r="Y201" s="127">
        <f t="shared" si="29"/>
        <v>33372</v>
      </c>
      <c r="Z201" s="27"/>
      <c r="AA201" s="36" t="s">
        <v>16</v>
      </c>
      <c r="AB201" s="35">
        <f t="shared" si="30"/>
        <v>48</v>
      </c>
      <c r="AC201" s="35">
        <f t="shared" si="38"/>
        <v>33372</v>
      </c>
      <c r="AD201" s="181">
        <v>1.4</v>
      </c>
      <c r="AE201" s="181">
        <v>1.4</v>
      </c>
      <c r="AF201" s="101" t="str">
        <f t="shared" si="31"/>
        <v/>
      </c>
      <c r="AG201" s="190">
        <v>48</v>
      </c>
      <c r="AH201" s="69">
        <f t="shared" si="32"/>
        <v>48</v>
      </c>
    </row>
    <row r="202" spans="1:37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82"/>
      <c r="H202" s="82"/>
      <c r="I202" s="82">
        <v>28425744.34</v>
      </c>
      <c r="J202" s="94" t="s">
        <v>15</v>
      </c>
      <c r="K202" s="73"/>
      <c r="L202" s="45">
        <v>1</v>
      </c>
      <c r="M202" s="45">
        <v>3941288.9299999997</v>
      </c>
      <c r="N202" s="45">
        <v>20492656.549999997</v>
      </c>
      <c r="O202" s="98"/>
      <c r="P202" s="18" t="s">
        <v>1392</v>
      </c>
      <c r="Q202" s="19" t="s">
        <v>530</v>
      </c>
      <c r="R202" s="20" t="s">
        <v>14</v>
      </c>
      <c r="S202" s="21">
        <v>1</v>
      </c>
      <c r="T202" s="21"/>
      <c r="U202" s="21">
        <f>SUMIFS(AC:AC,AD:AD,AD202)</f>
        <v>28425744.340000007</v>
      </c>
      <c r="V202" s="21">
        <f t="shared" ref="V202:W202" si="39">IF(X202=0,0,1)</f>
        <v>1</v>
      </c>
      <c r="W202" s="21">
        <f t="shared" si="39"/>
        <v>1</v>
      </c>
      <c r="X202" s="21">
        <f>SUMIFS(X:X,AE:AE,AD202)</f>
        <v>5156605.82</v>
      </c>
      <c r="Y202" s="21">
        <f>SUMIFS(Y:Y,AE:AE,AD202)</f>
        <v>25649262.370000001</v>
      </c>
      <c r="Z202" s="22" t="s">
        <v>15</v>
      </c>
      <c r="AA202" s="43" t="s">
        <v>16</v>
      </c>
      <c r="AB202" s="35">
        <f t="shared" si="30"/>
        <v>1</v>
      </c>
      <c r="AC202" s="35"/>
      <c r="AD202" s="184">
        <v>1.5</v>
      </c>
      <c r="AE202" s="184"/>
      <c r="AF202" s="101" t="str">
        <f t="shared" si="31"/>
        <v/>
      </c>
      <c r="AG202" s="190">
        <v>1</v>
      </c>
      <c r="AH202" s="69">
        <f t="shared" si="32"/>
        <v>1</v>
      </c>
    </row>
    <row r="203" spans="1:37" s="69" customFormat="1" ht="49.5" customHeight="1" x14ac:dyDescent="0.3">
      <c r="A203" s="55" t="s">
        <v>531</v>
      </c>
      <c r="B203" s="53" t="s">
        <v>392</v>
      </c>
      <c r="C203" s="54" t="s">
        <v>23</v>
      </c>
      <c r="D203" s="75">
        <v>250</v>
      </c>
      <c r="E203" s="75"/>
      <c r="F203" s="75"/>
      <c r="G203" s="75"/>
      <c r="H203" s="75">
        <v>3115.13</v>
      </c>
      <c r="I203" s="75">
        <v>778782.5</v>
      </c>
      <c r="J203" s="91" t="s">
        <v>114</v>
      </c>
      <c r="K203" s="73"/>
      <c r="L203" s="46">
        <v>0</v>
      </c>
      <c r="M203" s="46">
        <v>0</v>
      </c>
      <c r="N203" s="46">
        <v>0</v>
      </c>
      <c r="O203" s="98"/>
      <c r="P203" s="23" t="s">
        <v>1421</v>
      </c>
      <c r="Q203" s="24" t="s">
        <v>392</v>
      </c>
      <c r="R203" s="25" t="s">
        <v>23</v>
      </c>
      <c r="S203" s="26">
        <v>250</v>
      </c>
      <c r="T203" s="26"/>
      <c r="U203" s="26">
        <v>3115.13</v>
      </c>
      <c r="V203" s="26">
        <f t="shared" ref="V203:V219" si="40">AG203-L203</f>
        <v>0</v>
      </c>
      <c r="W203" s="26">
        <f t="shared" si="36"/>
        <v>0</v>
      </c>
      <c r="X203" s="26">
        <f t="shared" ref="X203:X219" si="41">Y203-N203</f>
        <v>0</v>
      </c>
      <c r="Y203" s="26">
        <f t="shared" si="29"/>
        <v>0</v>
      </c>
      <c r="Z203" s="33" t="s">
        <v>15</v>
      </c>
      <c r="AA203" s="36" t="s">
        <v>16</v>
      </c>
      <c r="AB203" s="35">
        <f t="shared" ref="AB203:AB266" si="42">IF(T203="",S203,T203)</f>
        <v>250</v>
      </c>
      <c r="AC203" s="35">
        <f t="shared" si="38"/>
        <v>778782.5</v>
      </c>
      <c r="AD203" s="181">
        <v>1.5</v>
      </c>
      <c r="AE203" s="181">
        <v>1.5</v>
      </c>
      <c r="AF203" s="101" t="str">
        <f t="shared" ref="AF203:AF266" si="43">IF(W203&gt;AH203,"超估","")</f>
        <v/>
      </c>
      <c r="AG203" s="190">
        <v>0</v>
      </c>
      <c r="AH203" s="69">
        <f t="shared" ref="AH203:AH266" si="44">IF(G203=0,IF(F203=0,IF(E203=0,D203,E203),F203),G203)</f>
        <v>250</v>
      </c>
    </row>
    <row r="204" spans="1:37" s="69" customFormat="1" ht="49.5" customHeight="1" x14ac:dyDescent="0.3">
      <c r="A204" s="55" t="s">
        <v>532</v>
      </c>
      <c r="B204" s="53" t="s">
        <v>116</v>
      </c>
      <c r="C204" s="54" t="s">
        <v>23</v>
      </c>
      <c r="D204" s="75">
        <v>2474</v>
      </c>
      <c r="E204" s="75"/>
      <c r="F204" s="75"/>
      <c r="G204" s="75"/>
      <c r="H204" s="75">
        <v>3321.13</v>
      </c>
      <c r="I204" s="75">
        <v>8216475.6200000001</v>
      </c>
      <c r="J204" s="91" t="s">
        <v>117</v>
      </c>
      <c r="K204" s="73"/>
      <c r="L204" s="46">
        <v>1815.35</v>
      </c>
      <c r="M204" s="46">
        <v>1932897.6599999997</v>
      </c>
      <c r="N204" s="46">
        <v>6029013.3499999996</v>
      </c>
      <c r="O204" s="98"/>
      <c r="P204" s="23" t="s">
        <v>1426</v>
      </c>
      <c r="Q204" s="24" t="s">
        <v>116</v>
      </c>
      <c r="R204" s="25" t="s">
        <v>23</v>
      </c>
      <c r="S204" s="26">
        <v>2474</v>
      </c>
      <c r="T204" s="26"/>
      <c r="U204" s="26">
        <v>3321.13</v>
      </c>
      <c r="V204" s="128">
        <f t="shared" si="40"/>
        <v>658</v>
      </c>
      <c r="W204" s="127">
        <f t="shared" si="36"/>
        <v>2473.35</v>
      </c>
      <c r="X204" s="127">
        <f t="shared" si="41"/>
        <v>2185303.54</v>
      </c>
      <c r="Y204" s="127">
        <f t="shared" ref="Y204:Y267" si="45">ROUND(U204*W204,2)</f>
        <v>8214316.8899999997</v>
      </c>
      <c r="Z204" s="33" t="s">
        <v>15</v>
      </c>
      <c r="AA204" s="36" t="s">
        <v>16</v>
      </c>
      <c r="AB204" s="35">
        <f t="shared" si="42"/>
        <v>2474</v>
      </c>
      <c r="AC204" s="35">
        <f t="shared" si="38"/>
        <v>8216475.6200000001</v>
      </c>
      <c r="AD204" s="181">
        <v>1.5</v>
      </c>
      <c r="AE204" s="181">
        <v>1.5</v>
      </c>
      <c r="AF204" s="101" t="str">
        <f t="shared" si="43"/>
        <v/>
      </c>
      <c r="AG204" s="191">
        <f>1233.35+582+658</f>
        <v>2473.35</v>
      </c>
      <c r="AH204" s="69">
        <f t="shared" si="44"/>
        <v>2474</v>
      </c>
      <c r="AK204" s="196">
        <v>2782.2855</v>
      </c>
    </row>
    <row r="205" spans="1:37" s="69" customFormat="1" ht="49.5" customHeight="1" x14ac:dyDescent="0.3">
      <c r="A205" s="55" t="s">
        <v>533</v>
      </c>
      <c r="B205" s="53" t="s">
        <v>534</v>
      </c>
      <c r="C205" s="54" t="s">
        <v>23</v>
      </c>
      <c r="D205" s="75">
        <v>1187</v>
      </c>
      <c r="E205" s="75"/>
      <c r="F205" s="75"/>
      <c r="G205" s="75"/>
      <c r="H205" s="75">
        <v>1749.25</v>
      </c>
      <c r="I205" s="75">
        <v>2076359.75</v>
      </c>
      <c r="J205" s="91" t="s">
        <v>535</v>
      </c>
      <c r="K205" s="73"/>
      <c r="L205" s="46">
        <v>245</v>
      </c>
      <c r="M205" s="46">
        <v>99707.25</v>
      </c>
      <c r="N205" s="46">
        <v>428566.25</v>
      </c>
      <c r="O205" s="98"/>
      <c r="P205" s="23" t="s">
        <v>1402</v>
      </c>
      <c r="Q205" s="24" t="s">
        <v>534</v>
      </c>
      <c r="R205" s="25" t="s">
        <v>23</v>
      </c>
      <c r="S205" s="26">
        <v>1187</v>
      </c>
      <c r="T205" s="26"/>
      <c r="U205" s="26">
        <v>1749.25</v>
      </c>
      <c r="V205" s="128">
        <f t="shared" si="40"/>
        <v>528</v>
      </c>
      <c r="W205" s="26">
        <f t="shared" si="36"/>
        <v>773</v>
      </c>
      <c r="X205" s="26">
        <f t="shared" si="41"/>
        <v>923604</v>
      </c>
      <c r="Y205" s="26">
        <f t="shared" si="45"/>
        <v>1352170.25</v>
      </c>
      <c r="Z205" s="33" t="s">
        <v>15</v>
      </c>
      <c r="AA205" s="36" t="s">
        <v>16</v>
      </c>
      <c r="AB205" s="35">
        <f t="shared" si="42"/>
        <v>1187</v>
      </c>
      <c r="AC205" s="35">
        <f t="shared" si="38"/>
        <v>2076359.75</v>
      </c>
      <c r="AD205" s="181">
        <v>1.5</v>
      </c>
      <c r="AE205" s="181">
        <v>1.5</v>
      </c>
      <c r="AF205" s="101" t="str">
        <f t="shared" si="43"/>
        <v/>
      </c>
      <c r="AG205" s="191">
        <f>93+95+57+528</f>
        <v>773</v>
      </c>
      <c r="AH205" s="69">
        <f t="shared" si="44"/>
        <v>1187</v>
      </c>
      <c r="AK205" s="195">
        <v>1161.5828000000001</v>
      </c>
    </row>
    <row r="206" spans="1:37" s="69" customFormat="1" ht="39" x14ac:dyDescent="0.3">
      <c r="A206" s="55" t="s">
        <v>536</v>
      </c>
      <c r="B206" s="53" t="s">
        <v>493</v>
      </c>
      <c r="C206" s="54" t="s">
        <v>23</v>
      </c>
      <c r="D206" s="75">
        <v>3911</v>
      </c>
      <c r="E206" s="75"/>
      <c r="F206" s="75"/>
      <c r="G206" s="75"/>
      <c r="H206" s="75">
        <v>200</v>
      </c>
      <c r="I206" s="75">
        <v>782200</v>
      </c>
      <c r="J206" s="91" t="s">
        <v>494</v>
      </c>
      <c r="K206" s="73"/>
      <c r="L206" s="46">
        <v>2060.35</v>
      </c>
      <c r="M206" s="46">
        <v>127800</v>
      </c>
      <c r="N206" s="46">
        <v>412070</v>
      </c>
      <c r="O206" s="98"/>
      <c r="P206" s="23" t="s">
        <v>1373</v>
      </c>
      <c r="Q206" s="24" t="s">
        <v>493</v>
      </c>
      <c r="R206" s="25" t="s">
        <v>23</v>
      </c>
      <c r="S206" s="26">
        <v>3911</v>
      </c>
      <c r="T206" s="26"/>
      <c r="U206" s="26">
        <v>200</v>
      </c>
      <c r="V206" s="128">
        <f t="shared" si="40"/>
        <v>1186</v>
      </c>
      <c r="W206" s="26">
        <f t="shared" si="36"/>
        <v>3246.35</v>
      </c>
      <c r="X206" s="26">
        <f t="shared" si="41"/>
        <v>237200</v>
      </c>
      <c r="Y206" s="26">
        <f t="shared" si="45"/>
        <v>649270</v>
      </c>
      <c r="Z206" s="33" t="s">
        <v>15</v>
      </c>
      <c r="AA206" s="36" t="s">
        <v>16</v>
      </c>
      <c r="AB206" s="35">
        <f t="shared" si="42"/>
        <v>3911</v>
      </c>
      <c r="AC206" s="35">
        <f t="shared" si="38"/>
        <v>782200</v>
      </c>
      <c r="AD206" s="181">
        <v>1.5</v>
      </c>
      <c r="AE206" s="181">
        <v>1.5</v>
      </c>
      <c r="AF206" s="101" t="str">
        <f t="shared" si="43"/>
        <v/>
      </c>
      <c r="AG206" s="193">
        <f>AG203+AG204+AG205</f>
        <v>3246.35</v>
      </c>
      <c r="AH206" s="69">
        <f t="shared" si="44"/>
        <v>3911</v>
      </c>
      <c r="AK206" s="198">
        <f>AK203+AK204+AK205</f>
        <v>3943.8683000000001</v>
      </c>
    </row>
    <row r="207" spans="1:37" s="69" customFormat="1" ht="57.75" x14ac:dyDescent="0.3">
      <c r="A207" s="55" t="s">
        <v>537</v>
      </c>
      <c r="B207" s="53" t="s">
        <v>405</v>
      </c>
      <c r="C207" s="54" t="s">
        <v>50</v>
      </c>
      <c r="D207" s="75">
        <v>3820</v>
      </c>
      <c r="E207" s="75"/>
      <c r="F207" s="75">
        <v>4730</v>
      </c>
      <c r="G207" s="75"/>
      <c r="H207" s="75">
        <v>982.98</v>
      </c>
      <c r="I207" s="75">
        <v>4649495.4000000004</v>
      </c>
      <c r="J207" s="91" t="s">
        <v>406</v>
      </c>
      <c r="K207" s="73"/>
      <c r="L207" s="46">
        <v>4413.8</v>
      </c>
      <c r="M207" s="46">
        <v>942677.8200000003</v>
      </c>
      <c r="N207" s="46">
        <v>4338677.12</v>
      </c>
      <c r="O207" s="98"/>
      <c r="P207" s="23" t="s">
        <v>1393</v>
      </c>
      <c r="Q207" s="24" t="s">
        <v>405</v>
      </c>
      <c r="R207" s="25" t="s">
        <v>50</v>
      </c>
      <c r="S207" s="26">
        <v>3820</v>
      </c>
      <c r="T207" s="26">
        <v>4730</v>
      </c>
      <c r="U207" s="26">
        <v>982.98</v>
      </c>
      <c r="V207" s="128">
        <f t="shared" si="40"/>
        <v>316.19999999999982</v>
      </c>
      <c r="W207" s="127">
        <f t="shared" si="36"/>
        <v>4730</v>
      </c>
      <c r="X207" s="127">
        <f t="shared" si="41"/>
        <v>310818.28000000026</v>
      </c>
      <c r="Y207" s="127">
        <f t="shared" si="45"/>
        <v>4649495.4000000004</v>
      </c>
      <c r="Z207" s="27" t="s">
        <v>15</v>
      </c>
      <c r="AA207" s="36" t="s">
        <v>16</v>
      </c>
      <c r="AB207" s="35">
        <f t="shared" si="42"/>
        <v>4730</v>
      </c>
      <c r="AC207" s="35">
        <f t="shared" si="38"/>
        <v>4649495.4000000004</v>
      </c>
      <c r="AD207" s="181">
        <v>1.5</v>
      </c>
      <c r="AE207" s="181">
        <v>1.5</v>
      </c>
      <c r="AF207" s="101" t="str">
        <f t="shared" si="43"/>
        <v/>
      </c>
      <c r="AG207" s="191">
        <f>3454.8+959+316.2</f>
        <v>4730</v>
      </c>
      <c r="AH207" s="69">
        <f t="shared" si="44"/>
        <v>4730</v>
      </c>
      <c r="AK207" s="195">
        <v>5411.06</v>
      </c>
    </row>
    <row r="208" spans="1:37" s="69" customFormat="1" ht="41.25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133"/>
      <c r="F208" s="133"/>
      <c r="G208" s="133"/>
      <c r="H208" s="75">
        <v>804.79</v>
      </c>
      <c r="I208" s="75">
        <v>643832</v>
      </c>
      <c r="J208" s="91" t="s">
        <v>409</v>
      </c>
      <c r="K208" s="73"/>
      <c r="L208" s="46">
        <v>800</v>
      </c>
      <c r="M208" s="46">
        <v>0</v>
      </c>
      <c r="N208" s="46">
        <v>643832</v>
      </c>
      <c r="O208" s="98"/>
      <c r="P208" s="23" t="s">
        <v>1403</v>
      </c>
      <c r="Q208" s="24" t="s">
        <v>408</v>
      </c>
      <c r="R208" s="25" t="s">
        <v>50</v>
      </c>
      <c r="S208" s="26">
        <v>800</v>
      </c>
      <c r="T208" s="26"/>
      <c r="U208" s="26">
        <v>804.79</v>
      </c>
      <c r="V208" s="127">
        <f t="shared" si="40"/>
        <v>0</v>
      </c>
      <c r="W208" s="127">
        <f t="shared" si="36"/>
        <v>800</v>
      </c>
      <c r="X208" s="127">
        <f t="shared" si="41"/>
        <v>0</v>
      </c>
      <c r="Y208" s="127">
        <f t="shared" si="45"/>
        <v>643832</v>
      </c>
      <c r="Z208" s="33" t="s">
        <v>15</v>
      </c>
      <c r="AA208" s="36" t="s">
        <v>16</v>
      </c>
      <c r="AB208" s="35">
        <f t="shared" si="42"/>
        <v>800</v>
      </c>
      <c r="AC208" s="35">
        <f t="shared" si="38"/>
        <v>643832</v>
      </c>
      <c r="AD208" s="181">
        <v>1.5</v>
      </c>
      <c r="AE208" s="181">
        <v>1.5</v>
      </c>
      <c r="AF208" s="101" t="str">
        <f t="shared" si="43"/>
        <v/>
      </c>
      <c r="AG208" s="190">
        <v>800</v>
      </c>
      <c r="AH208" s="69">
        <f t="shared" si="44"/>
        <v>800</v>
      </c>
    </row>
    <row r="209" spans="1:34" s="69" customFormat="1" ht="41.25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133"/>
      <c r="F209" s="133"/>
      <c r="G209" s="133"/>
      <c r="H209" s="75">
        <v>533.64</v>
      </c>
      <c r="I209" s="75">
        <v>137679.12</v>
      </c>
      <c r="J209" s="91" t="s">
        <v>120</v>
      </c>
      <c r="K209" s="73"/>
      <c r="L209" s="46">
        <v>258</v>
      </c>
      <c r="M209" s="46">
        <v>0</v>
      </c>
      <c r="N209" s="46">
        <v>137679.12</v>
      </c>
      <c r="O209" s="98"/>
      <c r="P209" s="23" t="s">
        <v>1427</v>
      </c>
      <c r="Q209" s="24" t="s">
        <v>119</v>
      </c>
      <c r="R209" s="25" t="s">
        <v>50</v>
      </c>
      <c r="S209" s="26">
        <v>258</v>
      </c>
      <c r="T209" s="26"/>
      <c r="U209" s="26">
        <v>533.64</v>
      </c>
      <c r="V209" s="127">
        <f t="shared" si="40"/>
        <v>0</v>
      </c>
      <c r="W209" s="127">
        <f t="shared" si="36"/>
        <v>258</v>
      </c>
      <c r="X209" s="127">
        <f t="shared" si="41"/>
        <v>0</v>
      </c>
      <c r="Y209" s="127">
        <f t="shared" si="45"/>
        <v>137679.12</v>
      </c>
      <c r="Z209" s="33" t="s">
        <v>15</v>
      </c>
      <c r="AA209" s="36" t="s">
        <v>16</v>
      </c>
      <c r="AB209" s="35">
        <f t="shared" si="42"/>
        <v>258</v>
      </c>
      <c r="AC209" s="35">
        <f t="shared" si="38"/>
        <v>137679.12</v>
      </c>
      <c r="AD209" s="181">
        <v>1.5</v>
      </c>
      <c r="AE209" s="181">
        <v>1.5</v>
      </c>
      <c r="AF209" s="101" t="str">
        <f t="shared" si="43"/>
        <v/>
      </c>
      <c r="AG209" s="190">
        <v>258</v>
      </c>
      <c r="AH209" s="69">
        <f t="shared" si="44"/>
        <v>258</v>
      </c>
    </row>
    <row r="210" spans="1:34" s="69" customFormat="1" ht="33" x14ac:dyDescent="0.3">
      <c r="A210" s="55" t="s">
        <v>540</v>
      </c>
      <c r="B210" s="53" t="s">
        <v>109</v>
      </c>
      <c r="C210" s="54" t="s">
        <v>110</v>
      </c>
      <c r="D210" s="75">
        <v>133401</v>
      </c>
      <c r="E210" s="75"/>
      <c r="F210" s="75"/>
      <c r="G210" s="75"/>
      <c r="H210" s="75">
        <v>36.4</v>
      </c>
      <c r="I210" s="75">
        <v>4855796.4000000004</v>
      </c>
      <c r="J210" s="91" t="s">
        <v>111</v>
      </c>
      <c r="K210" s="73"/>
      <c r="L210" s="46">
        <v>91594.92</v>
      </c>
      <c r="M210" s="46">
        <v>493220</v>
      </c>
      <c r="N210" s="46">
        <v>3334055.09</v>
      </c>
      <c r="O210" s="98"/>
      <c r="P210" s="23" t="s">
        <v>1428</v>
      </c>
      <c r="Q210" s="24" t="s">
        <v>109</v>
      </c>
      <c r="R210" s="25" t="s">
        <v>110</v>
      </c>
      <c r="S210" s="26">
        <v>133401</v>
      </c>
      <c r="T210" s="26"/>
      <c r="U210" s="26">
        <v>36.4</v>
      </c>
      <c r="V210" s="128">
        <f t="shared" si="40"/>
        <v>41199.999999999985</v>
      </c>
      <c r="W210" s="127">
        <f t="shared" si="36"/>
        <v>132794.91999999998</v>
      </c>
      <c r="X210" s="127">
        <f t="shared" si="41"/>
        <v>1499680</v>
      </c>
      <c r="Y210" s="127">
        <f t="shared" si="45"/>
        <v>4833735.09</v>
      </c>
      <c r="Z210" s="33" t="s">
        <v>15</v>
      </c>
      <c r="AA210" s="36" t="s">
        <v>16</v>
      </c>
      <c r="AB210" s="35">
        <f t="shared" si="42"/>
        <v>133401</v>
      </c>
      <c r="AC210" s="35">
        <f t="shared" si="38"/>
        <v>4855796.4000000004</v>
      </c>
      <c r="AD210" s="181">
        <v>1.5</v>
      </c>
      <c r="AE210" s="181">
        <v>1.5</v>
      </c>
      <c r="AF210" s="101" t="str">
        <f t="shared" si="43"/>
        <v/>
      </c>
      <c r="AG210" s="191">
        <f>46044.92+32000+13550+41200</f>
        <v>132794.91999999998</v>
      </c>
      <c r="AH210" s="69">
        <f t="shared" si="44"/>
        <v>133401</v>
      </c>
    </row>
    <row r="211" spans="1:34" s="69" customFormat="1" ht="33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133"/>
      <c r="F211" s="133"/>
      <c r="G211" s="133"/>
      <c r="H211" s="75">
        <v>38.71</v>
      </c>
      <c r="I211" s="75">
        <v>4598825.42</v>
      </c>
      <c r="J211" s="91" t="s">
        <v>400</v>
      </c>
      <c r="K211" s="73"/>
      <c r="L211" s="46">
        <v>118802</v>
      </c>
      <c r="M211" s="46">
        <v>0</v>
      </c>
      <c r="N211" s="46">
        <v>4598825.42</v>
      </c>
      <c r="O211" s="98"/>
      <c r="P211" s="23" t="s">
        <v>1387</v>
      </c>
      <c r="Q211" s="24" t="s">
        <v>399</v>
      </c>
      <c r="R211" s="25" t="s">
        <v>110</v>
      </c>
      <c r="S211" s="26">
        <v>118802</v>
      </c>
      <c r="T211" s="26"/>
      <c r="U211" s="26">
        <v>38.71</v>
      </c>
      <c r="V211" s="127">
        <f t="shared" si="40"/>
        <v>0</v>
      </c>
      <c r="W211" s="127">
        <f t="shared" si="36"/>
        <v>118802</v>
      </c>
      <c r="X211" s="127">
        <f t="shared" si="41"/>
        <v>0</v>
      </c>
      <c r="Y211" s="127">
        <f t="shared" si="45"/>
        <v>4598825.42</v>
      </c>
      <c r="Z211" s="33" t="s">
        <v>15</v>
      </c>
      <c r="AA211" s="36" t="s">
        <v>16</v>
      </c>
      <c r="AB211" s="35">
        <f t="shared" si="42"/>
        <v>118802</v>
      </c>
      <c r="AC211" s="35">
        <f t="shared" si="38"/>
        <v>4598825.42</v>
      </c>
      <c r="AD211" s="181">
        <v>1.5</v>
      </c>
      <c r="AE211" s="181">
        <v>1.5</v>
      </c>
      <c r="AF211" s="101" t="str">
        <f t="shared" si="43"/>
        <v/>
      </c>
      <c r="AG211" s="191">
        <f>41802+77000</f>
        <v>118802</v>
      </c>
      <c r="AH211" s="69">
        <f t="shared" si="44"/>
        <v>118802</v>
      </c>
    </row>
    <row r="212" spans="1:34" s="69" customFormat="1" ht="58.5" x14ac:dyDescent="0.3">
      <c r="A212" s="55" t="s">
        <v>542</v>
      </c>
      <c r="B212" s="53" t="s">
        <v>543</v>
      </c>
      <c r="C212" s="54" t="s">
        <v>30</v>
      </c>
      <c r="D212" s="75">
        <v>129</v>
      </c>
      <c r="E212" s="75"/>
      <c r="F212" s="75"/>
      <c r="G212" s="75"/>
      <c r="H212" s="75">
        <v>2865.95</v>
      </c>
      <c r="I212" s="75">
        <v>369707.55</v>
      </c>
      <c r="J212" s="91" t="s">
        <v>544</v>
      </c>
      <c r="K212" s="73"/>
      <c r="L212" s="46">
        <v>0</v>
      </c>
      <c r="M212" s="46">
        <v>0</v>
      </c>
      <c r="N212" s="46">
        <v>0</v>
      </c>
      <c r="O212" s="98"/>
      <c r="P212" s="23" t="s">
        <v>1405</v>
      </c>
      <c r="Q212" s="24" t="s">
        <v>543</v>
      </c>
      <c r="R212" s="25" t="s">
        <v>30</v>
      </c>
      <c r="S212" s="26">
        <v>129</v>
      </c>
      <c r="T212" s="26"/>
      <c r="U212" s="26">
        <v>2865.95</v>
      </c>
      <c r="V212" s="26">
        <f t="shared" si="40"/>
        <v>0</v>
      </c>
      <c r="W212" s="26">
        <f t="shared" si="36"/>
        <v>0</v>
      </c>
      <c r="X212" s="26">
        <f t="shared" si="41"/>
        <v>0</v>
      </c>
      <c r="Y212" s="26">
        <f t="shared" si="45"/>
        <v>0</v>
      </c>
      <c r="Z212" s="33" t="s">
        <v>15</v>
      </c>
      <c r="AA212" s="36" t="s">
        <v>16</v>
      </c>
      <c r="AB212" s="35">
        <f t="shared" si="42"/>
        <v>129</v>
      </c>
      <c r="AC212" s="35">
        <f t="shared" si="38"/>
        <v>369707.55</v>
      </c>
      <c r="AD212" s="181">
        <v>1.5</v>
      </c>
      <c r="AE212" s="181">
        <v>1.5</v>
      </c>
      <c r="AF212" s="101" t="str">
        <f t="shared" si="43"/>
        <v/>
      </c>
      <c r="AG212" s="190">
        <v>0</v>
      </c>
      <c r="AH212" s="69">
        <f t="shared" si="44"/>
        <v>129</v>
      </c>
    </row>
    <row r="213" spans="1:34" s="69" customFormat="1" ht="39" x14ac:dyDescent="0.3">
      <c r="A213" s="55" t="s">
        <v>545</v>
      </c>
      <c r="B213" s="53" t="s">
        <v>546</v>
      </c>
      <c r="C213" s="54" t="s">
        <v>81</v>
      </c>
      <c r="D213" s="75">
        <v>54</v>
      </c>
      <c r="E213" s="75"/>
      <c r="F213" s="75"/>
      <c r="G213" s="75"/>
      <c r="H213" s="75">
        <v>1478.05</v>
      </c>
      <c r="I213" s="75">
        <v>79814.7</v>
      </c>
      <c r="J213" s="91" t="s">
        <v>547</v>
      </c>
      <c r="K213" s="73"/>
      <c r="L213" s="46">
        <v>0</v>
      </c>
      <c r="M213" s="46">
        <v>0</v>
      </c>
      <c r="N213" s="46">
        <v>0</v>
      </c>
      <c r="O213" s="98"/>
      <c r="P213" s="23" t="s">
        <v>1406</v>
      </c>
      <c r="Q213" s="24" t="s">
        <v>546</v>
      </c>
      <c r="R213" s="25" t="s">
        <v>81</v>
      </c>
      <c r="S213" s="26">
        <v>54</v>
      </c>
      <c r="T213" s="26"/>
      <c r="U213" s="26">
        <v>1478.05</v>
      </c>
      <c r="V213" s="26">
        <f t="shared" si="40"/>
        <v>0</v>
      </c>
      <c r="W213" s="26">
        <f t="shared" si="36"/>
        <v>0</v>
      </c>
      <c r="X213" s="26">
        <f t="shared" si="41"/>
        <v>0</v>
      </c>
      <c r="Y213" s="26">
        <f t="shared" si="45"/>
        <v>0</v>
      </c>
      <c r="Z213" s="33" t="s">
        <v>15</v>
      </c>
      <c r="AA213" s="36" t="s">
        <v>16</v>
      </c>
      <c r="AB213" s="35">
        <f t="shared" si="42"/>
        <v>54</v>
      </c>
      <c r="AC213" s="35">
        <f t="shared" si="38"/>
        <v>79814.7</v>
      </c>
      <c r="AD213" s="181">
        <v>1.5</v>
      </c>
      <c r="AE213" s="181">
        <v>1.5</v>
      </c>
      <c r="AF213" s="101" t="str">
        <f t="shared" si="43"/>
        <v/>
      </c>
      <c r="AG213" s="190">
        <v>0</v>
      </c>
      <c r="AH213" s="69">
        <f t="shared" si="44"/>
        <v>54</v>
      </c>
    </row>
    <row r="214" spans="1:34" s="69" customFormat="1" ht="58.5" x14ac:dyDescent="0.3">
      <c r="A214" s="55" t="s">
        <v>548</v>
      </c>
      <c r="B214" s="53" t="s">
        <v>549</v>
      </c>
      <c r="C214" s="54" t="s">
        <v>30</v>
      </c>
      <c r="D214" s="75">
        <v>170</v>
      </c>
      <c r="E214" s="75"/>
      <c r="F214" s="75"/>
      <c r="G214" s="75"/>
      <c r="H214" s="75">
        <v>151.72</v>
      </c>
      <c r="I214" s="75">
        <v>25792.400000000001</v>
      </c>
      <c r="J214" s="91" t="s">
        <v>550</v>
      </c>
      <c r="K214" s="73"/>
      <c r="L214" s="46">
        <v>0</v>
      </c>
      <c r="M214" s="46">
        <v>0</v>
      </c>
      <c r="N214" s="46">
        <v>0</v>
      </c>
      <c r="O214" s="98"/>
      <c r="P214" s="23" t="s">
        <v>1414</v>
      </c>
      <c r="Q214" s="24" t="s">
        <v>549</v>
      </c>
      <c r="R214" s="25" t="s">
        <v>30</v>
      </c>
      <c r="S214" s="26">
        <v>170</v>
      </c>
      <c r="T214" s="26"/>
      <c r="U214" s="26">
        <v>151.72</v>
      </c>
      <c r="V214" s="26">
        <f t="shared" si="40"/>
        <v>0</v>
      </c>
      <c r="W214" s="26">
        <f t="shared" si="36"/>
        <v>0</v>
      </c>
      <c r="X214" s="26">
        <f t="shared" si="41"/>
        <v>0</v>
      </c>
      <c r="Y214" s="26">
        <f t="shared" si="45"/>
        <v>0</v>
      </c>
      <c r="Z214" s="33" t="s">
        <v>15</v>
      </c>
      <c r="AA214" s="36" t="s">
        <v>16</v>
      </c>
      <c r="AB214" s="35">
        <f t="shared" si="42"/>
        <v>170</v>
      </c>
      <c r="AC214" s="35">
        <f t="shared" si="38"/>
        <v>25792.400000000001</v>
      </c>
      <c r="AD214" s="181">
        <v>1.5</v>
      </c>
      <c r="AE214" s="181">
        <v>1.5</v>
      </c>
      <c r="AF214" s="101" t="str">
        <f t="shared" si="43"/>
        <v/>
      </c>
      <c r="AG214" s="190">
        <v>0</v>
      </c>
      <c r="AH214" s="69">
        <f t="shared" si="44"/>
        <v>170</v>
      </c>
    </row>
    <row r="215" spans="1:34" s="69" customFormat="1" ht="39" x14ac:dyDescent="0.3">
      <c r="A215" s="55" t="s">
        <v>551</v>
      </c>
      <c r="B215" s="53" t="s">
        <v>552</v>
      </c>
      <c r="C215" s="54" t="s">
        <v>325</v>
      </c>
      <c r="D215" s="75">
        <v>4</v>
      </c>
      <c r="E215" s="75"/>
      <c r="F215" s="75"/>
      <c r="G215" s="75"/>
      <c r="H215" s="75">
        <v>15779.6</v>
      </c>
      <c r="I215" s="75">
        <v>63118.400000000001</v>
      </c>
      <c r="J215" s="91" t="s">
        <v>553</v>
      </c>
      <c r="K215" s="73"/>
      <c r="L215" s="46">
        <v>0</v>
      </c>
      <c r="M215" s="46">
        <v>0</v>
      </c>
      <c r="N215" s="46">
        <v>0</v>
      </c>
      <c r="O215" s="98"/>
      <c r="P215" s="23" t="s">
        <v>1429</v>
      </c>
      <c r="Q215" s="24" t="s">
        <v>552</v>
      </c>
      <c r="R215" s="25" t="s">
        <v>325</v>
      </c>
      <c r="S215" s="26">
        <v>4</v>
      </c>
      <c r="T215" s="26"/>
      <c r="U215" s="26">
        <v>15779.6</v>
      </c>
      <c r="V215" s="26">
        <f t="shared" si="40"/>
        <v>0</v>
      </c>
      <c r="W215" s="26">
        <f t="shared" si="36"/>
        <v>0</v>
      </c>
      <c r="X215" s="26">
        <f t="shared" si="41"/>
        <v>0</v>
      </c>
      <c r="Y215" s="26">
        <f t="shared" si="45"/>
        <v>0</v>
      </c>
      <c r="Z215" s="33" t="s">
        <v>15</v>
      </c>
      <c r="AA215" s="36" t="s">
        <v>16</v>
      </c>
      <c r="AB215" s="35">
        <f t="shared" si="42"/>
        <v>4</v>
      </c>
      <c r="AC215" s="35">
        <f t="shared" si="38"/>
        <v>63118.400000000001</v>
      </c>
      <c r="AD215" s="181">
        <v>1.5</v>
      </c>
      <c r="AE215" s="181">
        <v>1.5</v>
      </c>
      <c r="AF215" s="101" t="str">
        <f t="shared" si="43"/>
        <v/>
      </c>
      <c r="AG215" s="190">
        <v>0</v>
      </c>
      <c r="AH215" s="69">
        <f t="shared" si="44"/>
        <v>4</v>
      </c>
    </row>
    <row r="216" spans="1:34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>
        <v>138.84</v>
      </c>
      <c r="I216" s="75">
        <v>62894.52</v>
      </c>
      <c r="J216" s="91" t="s">
        <v>190</v>
      </c>
      <c r="K216" s="73"/>
      <c r="L216" s="46">
        <v>285</v>
      </c>
      <c r="M216" s="46">
        <v>39569.4</v>
      </c>
      <c r="N216" s="46">
        <v>39569.4</v>
      </c>
      <c r="O216" s="98"/>
      <c r="P216" s="23" t="s">
        <v>1430</v>
      </c>
      <c r="Q216" s="24" t="s">
        <v>189</v>
      </c>
      <c r="R216" s="25" t="s">
        <v>30</v>
      </c>
      <c r="S216" s="26">
        <v>453</v>
      </c>
      <c r="T216" s="26"/>
      <c r="U216" s="26">
        <v>138.84</v>
      </c>
      <c r="V216" s="128">
        <f t="shared" si="40"/>
        <v>0</v>
      </c>
      <c r="W216" s="26">
        <f t="shared" si="36"/>
        <v>285</v>
      </c>
      <c r="X216" s="26">
        <f t="shared" si="41"/>
        <v>0</v>
      </c>
      <c r="Y216" s="26">
        <f t="shared" si="45"/>
        <v>39569.4</v>
      </c>
      <c r="Z216" s="33" t="s">
        <v>15</v>
      </c>
      <c r="AA216" s="36" t="s">
        <v>16</v>
      </c>
      <c r="AB216" s="35">
        <f t="shared" si="42"/>
        <v>453</v>
      </c>
      <c r="AC216" s="35">
        <f t="shared" si="38"/>
        <v>62894.52</v>
      </c>
      <c r="AD216" s="181">
        <v>1.5</v>
      </c>
      <c r="AE216" s="181">
        <v>1.5</v>
      </c>
      <c r="AF216" s="101" t="str">
        <f t="shared" si="43"/>
        <v/>
      </c>
      <c r="AG216" s="191">
        <f>19*15</f>
        <v>285</v>
      </c>
      <c r="AH216" s="69">
        <f t="shared" si="44"/>
        <v>453</v>
      </c>
    </row>
    <row r="217" spans="1:34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>
        <v>326.3</v>
      </c>
      <c r="I217" s="75">
        <v>548184</v>
      </c>
      <c r="J217" s="91" t="s">
        <v>521</v>
      </c>
      <c r="K217" s="73"/>
      <c r="L217" s="46">
        <v>936</v>
      </c>
      <c r="M217" s="46">
        <v>305416.8</v>
      </c>
      <c r="N217" s="46">
        <v>305416.8</v>
      </c>
      <c r="O217" s="98"/>
      <c r="P217" s="23" t="s">
        <v>1431</v>
      </c>
      <c r="Q217" s="24" t="s">
        <v>520</v>
      </c>
      <c r="R217" s="25" t="s">
        <v>30</v>
      </c>
      <c r="S217" s="26">
        <v>1680</v>
      </c>
      <c r="T217" s="26"/>
      <c r="U217" s="26">
        <v>326.3</v>
      </c>
      <c r="V217" s="128">
        <f t="shared" si="40"/>
        <v>0</v>
      </c>
      <c r="W217" s="26">
        <f t="shared" si="36"/>
        <v>936</v>
      </c>
      <c r="X217" s="26">
        <f t="shared" si="41"/>
        <v>0</v>
      </c>
      <c r="Y217" s="26">
        <f t="shared" si="45"/>
        <v>305416.8</v>
      </c>
      <c r="Z217" s="33" t="s">
        <v>15</v>
      </c>
      <c r="AA217" s="36" t="s">
        <v>16</v>
      </c>
      <c r="AB217" s="35">
        <f t="shared" si="42"/>
        <v>1680</v>
      </c>
      <c r="AC217" s="35">
        <f t="shared" si="38"/>
        <v>548184</v>
      </c>
      <c r="AD217" s="181">
        <v>1.5</v>
      </c>
      <c r="AE217" s="181">
        <v>1.5</v>
      </c>
      <c r="AF217" s="101" t="str">
        <f t="shared" si="43"/>
        <v/>
      </c>
      <c r="AG217" s="191">
        <f>312*3</f>
        <v>936</v>
      </c>
      <c r="AH217" s="69">
        <f t="shared" si="44"/>
        <v>1680</v>
      </c>
    </row>
    <row r="218" spans="1:34" s="69" customFormat="1" ht="39" x14ac:dyDescent="0.3">
      <c r="A218" s="55" t="s">
        <v>556</v>
      </c>
      <c r="B218" s="53" t="s">
        <v>424</v>
      </c>
      <c r="C218" s="54" t="s">
        <v>50</v>
      </c>
      <c r="D218" s="75">
        <v>756</v>
      </c>
      <c r="E218" s="75"/>
      <c r="F218" s="75"/>
      <c r="G218" s="75"/>
      <c r="H218" s="75">
        <v>692.16</v>
      </c>
      <c r="I218" s="75">
        <v>523272.96000000002</v>
      </c>
      <c r="J218" s="91" t="s">
        <v>425</v>
      </c>
      <c r="K218" s="73"/>
      <c r="L218" s="46">
        <v>325</v>
      </c>
      <c r="M218" s="46">
        <v>0</v>
      </c>
      <c r="N218" s="46">
        <v>224952</v>
      </c>
      <c r="O218" s="98"/>
      <c r="P218" s="23" t="s">
        <v>1395</v>
      </c>
      <c r="Q218" s="24" t="s">
        <v>424</v>
      </c>
      <c r="R218" s="25" t="s">
        <v>50</v>
      </c>
      <c r="S218" s="26">
        <v>756</v>
      </c>
      <c r="T218" s="26"/>
      <c r="U218" s="26">
        <v>692.16</v>
      </c>
      <c r="V218" s="128">
        <f t="shared" si="40"/>
        <v>0</v>
      </c>
      <c r="W218" s="26">
        <f t="shared" si="36"/>
        <v>325</v>
      </c>
      <c r="X218" s="26">
        <f t="shared" si="41"/>
        <v>0</v>
      </c>
      <c r="Y218" s="26">
        <f t="shared" si="45"/>
        <v>224952</v>
      </c>
      <c r="Z218" s="33" t="s">
        <v>15</v>
      </c>
      <c r="AA218" s="36" t="s">
        <v>16</v>
      </c>
      <c r="AB218" s="35">
        <f t="shared" si="42"/>
        <v>756</v>
      </c>
      <c r="AC218" s="35">
        <f t="shared" si="38"/>
        <v>523272.96000000002</v>
      </c>
      <c r="AD218" s="181">
        <v>1.5</v>
      </c>
      <c r="AE218" s="181">
        <v>1.5</v>
      </c>
      <c r="AF218" s="101" t="str">
        <f t="shared" si="43"/>
        <v/>
      </c>
      <c r="AG218" s="191">
        <f>325</f>
        <v>325</v>
      </c>
      <c r="AH218" s="69">
        <f t="shared" si="44"/>
        <v>756</v>
      </c>
    </row>
    <row r="219" spans="1:34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>
        <v>422.3</v>
      </c>
      <c r="I219" s="75">
        <v>13513.6</v>
      </c>
      <c r="J219" s="91" t="s">
        <v>560</v>
      </c>
      <c r="K219" s="73"/>
      <c r="L219" s="46">
        <v>0</v>
      </c>
      <c r="M219" s="46">
        <v>0</v>
      </c>
      <c r="N219" s="46">
        <v>0</v>
      </c>
      <c r="O219" s="98"/>
      <c r="P219" s="23" t="s">
        <v>1432</v>
      </c>
      <c r="Q219" s="24" t="s">
        <v>558</v>
      </c>
      <c r="R219" s="25" t="s">
        <v>559</v>
      </c>
      <c r="S219" s="26">
        <v>32</v>
      </c>
      <c r="T219" s="26"/>
      <c r="U219" s="26">
        <v>422.3</v>
      </c>
      <c r="V219" s="26">
        <f t="shared" si="40"/>
        <v>0</v>
      </c>
      <c r="W219" s="26">
        <f t="shared" si="36"/>
        <v>0</v>
      </c>
      <c r="X219" s="26">
        <f t="shared" si="41"/>
        <v>0</v>
      </c>
      <c r="Y219" s="26">
        <f t="shared" si="45"/>
        <v>0</v>
      </c>
      <c r="Z219" s="33" t="s">
        <v>15</v>
      </c>
      <c r="AA219" s="36" t="s">
        <v>16</v>
      </c>
      <c r="AB219" s="35">
        <f t="shared" si="42"/>
        <v>32</v>
      </c>
      <c r="AC219" s="35">
        <f t="shared" si="38"/>
        <v>13513.6</v>
      </c>
      <c r="AD219" s="181">
        <v>1.5</v>
      </c>
      <c r="AE219" s="181">
        <v>1.5</v>
      </c>
      <c r="AF219" s="101" t="str">
        <f t="shared" si="43"/>
        <v/>
      </c>
      <c r="AG219" s="190">
        <v>0</v>
      </c>
      <c r="AH219" s="69">
        <f t="shared" si="44"/>
        <v>32</v>
      </c>
    </row>
    <row r="220" spans="1:34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/>
      <c r="I220" s="82">
        <v>11661827.369999999</v>
      </c>
      <c r="J220" s="94" t="s">
        <v>15</v>
      </c>
      <c r="K220" s="73"/>
      <c r="L220" s="45">
        <v>1</v>
      </c>
      <c r="M220" s="45">
        <v>293131.14</v>
      </c>
      <c r="N220" s="45">
        <v>1263733.5900000001</v>
      </c>
      <c r="O220" s="98"/>
      <c r="P220" s="18" t="s">
        <v>1394</v>
      </c>
      <c r="Q220" s="19" t="s">
        <v>562</v>
      </c>
      <c r="R220" s="20" t="s">
        <v>14</v>
      </c>
      <c r="S220" s="21">
        <v>1</v>
      </c>
      <c r="T220" s="21"/>
      <c r="U220" s="21">
        <f>SUMIFS(AC:AC,AD:AD,AD220)</f>
        <v>11661827.369999999</v>
      </c>
      <c r="V220" s="21">
        <f t="shared" ref="V220:W220" si="46">IF(X220=0,0,1)</f>
        <v>0</v>
      </c>
      <c r="W220" s="21">
        <f t="shared" si="46"/>
        <v>1</v>
      </c>
      <c r="X220" s="21">
        <f>SUMIFS(X:X,AE:AE,AD220)</f>
        <v>0</v>
      </c>
      <c r="Y220" s="21">
        <f>SUMIFS(Y:Y,AE:AE,AD220)</f>
        <v>1263733.5900000001</v>
      </c>
      <c r="Z220" s="22" t="s">
        <v>15</v>
      </c>
      <c r="AA220" s="43" t="s">
        <v>16</v>
      </c>
      <c r="AB220" s="35">
        <f t="shared" si="42"/>
        <v>1</v>
      </c>
      <c r="AC220" s="44"/>
      <c r="AD220" s="184">
        <v>1.6</v>
      </c>
      <c r="AE220" s="184"/>
      <c r="AF220" s="101" t="str">
        <f t="shared" si="43"/>
        <v/>
      </c>
      <c r="AG220" s="190">
        <v>1</v>
      </c>
      <c r="AH220" s="69">
        <f t="shared" si="44"/>
        <v>1</v>
      </c>
    </row>
    <row r="221" spans="1:34" s="69" customFormat="1" ht="39" x14ac:dyDescent="0.3">
      <c r="A221" s="55" t="s">
        <v>563</v>
      </c>
      <c r="B221" s="53" t="s">
        <v>564</v>
      </c>
      <c r="C221" s="54" t="s">
        <v>23</v>
      </c>
      <c r="D221" s="75">
        <v>256</v>
      </c>
      <c r="E221" s="75"/>
      <c r="F221" s="75"/>
      <c r="G221" s="75"/>
      <c r="H221" s="75">
        <v>7517.56</v>
      </c>
      <c r="I221" s="75">
        <v>1924495.3600000001</v>
      </c>
      <c r="J221" s="91" t="s">
        <v>565</v>
      </c>
      <c r="K221" s="73"/>
      <c r="L221" s="46">
        <v>99.1</v>
      </c>
      <c r="M221" s="46">
        <v>0</v>
      </c>
      <c r="N221" s="46">
        <v>744990.2</v>
      </c>
      <c r="O221" s="98"/>
      <c r="P221" s="23" t="s">
        <v>1421</v>
      </c>
      <c r="Q221" s="24" t="s">
        <v>564</v>
      </c>
      <c r="R221" s="25" t="s">
        <v>23</v>
      </c>
      <c r="S221" s="26">
        <v>256</v>
      </c>
      <c r="T221" s="26"/>
      <c r="U221" s="26">
        <v>7517.56</v>
      </c>
      <c r="V221" s="128">
        <f t="shared" ref="V221:V236" si="47">AG221-L221</f>
        <v>0</v>
      </c>
      <c r="W221" s="26">
        <f t="shared" si="36"/>
        <v>99.1</v>
      </c>
      <c r="X221" s="26">
        <f t="shared" ref="X221:X236" si="48">Y221-N221</f>
        <v>0</v>
      </c>
      <c r="Y221" s="26">
        <f t="shared" si="45"/>
        <v>744990.2</v>
      </c>
      <c r="Z221" s="33" t="s">
        <v>15</v>
      </c>
      <c r="AA221" s="36" t="s">
        <v>16</v>
      </c>
      <c r="AB221" s="35">
        <f t="shared" si="42"/>
        <v>256</v>
      </c>
      <c r="AC221" s="35">
        <f t="shared" ref="AC221:AC236" si="49">ROUND(U221*AB221,2)</f>
        <v>1924495.3600000001</v>
      </c>
      <c r="AD221" s="181">
        <v>1.6</v>
      </c>
      <c r="AE221" s="181">
        <v>1.6</v>
      </c>
      <c r="AF221" s="101" t="str">
        <f t="shared" si="43"/>
        <v/>
      </c>
      <c r="AG221" s="191">
        <f>69.6+29.5</f>
        <v>99.1</v>
      </c>
      <c r="AH221" s="69">
        <f t="shared" si="44"/>
        <v>256</v>
      </c>
    </row>
    <row r="222" spans="1:34" s="69" customFormat="1" ht="39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7496.96</v>
      </c>
      <c r="I222" s="75">
        <v>5742671.3600000003</v>
      </c>
      <c r="J222" s="91" t="s">
        <v>568</v>
      </c>
      <c r="K222" s="73"/>
      <c r="L222" s="46">
        <v>62.3</v>
      </c>
      <c r="M222" s="46">
        <v>293131.14</v>
      </c>
      <c r="N222" s="46">
        <v>467060.61</v>
      </c>
      <c r="O222" s="98"/>
      <c r="P222" s="23" t="s">
        <v>1426</v>
      </c>
      <c r="Q222" s="24" t="s">
        <v>567</v>
      </c>
      <c r="R222" s="25" t="s">
        <v>23</v>
      </c>
      <c r="S222" s="26">
        <v>766</v>
      </c>
      <c r="T222" s="26"/>
      <c r="U222" s="26">
        <v>7496.96</v>
      </c>
      <c r="V222" s="128">
        <f t="shared" si="47"/>
        <v>0</v>
      </c>
      <c r="W222" s="26">
        <f t="shared" si="36"/>
        <v>62.3</v>
      </c>
      <c r="X222" s="26">
        <f t="shared" si="48"/>
        <v>0</v>
      </c>
      <c r="Y222" s="26">
        <f t="shared" si="45"/>
        <v>467060.61</v>
      </c>
      <c r="Z222" s="33" t="s">
        <v>15</v>
      </c>
      <c r="AA222" s="36" t="s">
        <v>16</v>
      </c>
      <c r="AB222" s="35">
        <f t="shared" si="42"/>
        <v>766</v>
      </c>
      <c r="AC222" s="35">
        <f t="shared" si="49"/>
        <v>5742671.3600000003</v>
      </c>
      <c r="AD222" s="181">
        <v>1.6</v>
      </c>
      <c r="AE222" s="181">
        <v>1.6</v>
      </c>
      <c r="AF222" s="101" t="str">
        <f t="shared" si="43"/>
        <v/>
      </c>
      <c r="AG222" s="191">
        <f>23.2+39.1</f>
        <v>62.3</v>
      </c>
      <c r="AH222" s="69">
        <f t="shared" si="44"/>
        <v>766</v>
      </c>
    </row>
    <row r="223" spans="1:34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>
        <v>11.6</v>
      </c>
      <c r="I223" s="75">
        <v>59194.8</v>
      </c>
      <c r="J223" s="91" t="s">
        <v>571</v>
      </c>
      <c r="K223" s="73"/>
      <c r="L223" s="46">
        <v>0</v>
      </c>
      <c r="M223" s="46">
        <v>0</v>
      </c>
      <c r="N223" s="46">
        <v>0</v>
      </c>
      <c r="O223" s="98"/>
      <c r="P223" s="23" t="s">
        <v>1402</v>
      </c>
      <c r="Q223" s="24" t="s">
        <v>570</v>
      </c>
      <c r="R223" s="25" t="s">
        <v>50</v>
      </c>
      <c r="S223" s="26">
        <v>5103</v>
      </c>
      <c r="T223" s="26"/>
      <c r="U223" s="26">
        <v>11.6</v>
      </c>
      <c r="V223" s="26">
        <f t="shared" si="47"/>
        <v>0</v>
      </c>
      <c r="W223" s="26">
        <f t="shared" si="36"/>
        <v>0</v>
      </c>
      <c r="X223" s="26">
        <f t="shared" si="48"/>
        <v>0</v>
      </c>
      <c r="Y223" s="26">
        <f t="shared" si="45"/>
        <v>0</v>
      </c>
      <c r="Z223" s="33" t="s">
        <v>15</v>
      </c>
      <c r="AA223" s="36" t="s">
        <v>16</v>
      </c>
      <c r="AB223" s="35">
        <f t="shared" si="42"/>
        <v>5103</v>
      </c>
      <c r="AC223" s="35">
        <f t="shared" si="49"/>
        <v>59194.8</v>
      </c>
      <c r="AD223" s="181">
        <v>1.6</v>
      </c>
      <c r="AE223" s="181">
        <v>1.6</v>
      </c>
      <c r="AF223" s="101" t="str">
        <f t="shared" si="43"/>
        <v/>
      </c>
      <c r="AG223" s="190">
        <v>0</v>
      </c>
      <c r="AH223" s="69">
        <f t="shared" si="44"/>
        <v>5103</v>
      </c>
    </row>
    <row r="224" spans="1:34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42.46</v>
      </c>
      <c r="I224" s="75">
        <v>216673.38</v>
      </c>
      <c r="J224" s="91" t="s">
        <v>574</v>
      </c>
      <c r="K224" s="73"/>
      <c r="L224" s="46">
        <v>1021</v>
      </c>
      <c r="M224" s="46">
        <v>0</v>
      </c>
      <c r="N224" s="46">
        <v>43351.66</v>
      </c>
      <c r="O224" s="98"/>
      <c r="P224" s="23" t="s">
        <v>1373</v>
      </c>
      <c r="Q224" s="24" t="s">
        <v>573</v>
      </c>
      <c r="R224" s="25" t="s">
        <v>50</v>
      </c>
      <c r="S224" s="26">
        <v>5103</v>
      </c>
      <c r="T224" s="26"/>
      <c r="U224" s="26">
        <v>42.46</v>
      </c>
      <c r="V224" s="128">
        <f t="shared" si="47"/>
        <v>0</v>
      </c>
      <c r="W224" s="26">
        <f t="shared" si="36"/>
        <v>1021</v>
      </c>
      <c r="X224" s="26">
        <f t="shared" si="48"/>
        <v>0</v>
      </c>
      <c r="Y224" s="26">
        <f t="shared" si="45"/>
        <v>43351.66</v>
      </c>
      <c r="Z224" s="33" t="s">
        <v>15</v>
      </c>
      <c r="AA224" s="36" t="s">
        <v>16</v>
      </c>
      <c r="AB224" s="35">
        <f t="shared" si="42"/>
        <v>5103</v>
      </c>
      <c r="AC224" s="35">
        <f t="shared" si="49"/>
        <v>216673.38</v>
      </c>
      <c r="AD224" s="181">
        <v>1.6</v>
      </c>
      <c r="AE224" s="181">
        <v>1.6</v>
      </c>
      <c r="AF224" s="101" t="str">
        <f t="shared" si="43"/>
        <v/>
      </c>
      <c r="AG224" s="191">
        <f>696+325</f>
        <v>1021</v>
      </c>
      <c r="AH224" s="69">
        <f t="shared" si="44"/>
        <v>5103</v>
      </c>
    </row>
    <row r="225" spans="1:34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15.96</v>
      </c>
      <c r="I225" s="75">
        <v>244299.72</v>
      </c>
      <c r="J225" s="91" t="s">
        <v>577</v>
      </c>
      <c r="K225" s="73"/>
      <c r="L225" s="46">
        <v>522</v>
      </c>
      <c r="M225" s="46">
        <v>0</v>
      </c>
      <c r="N225" s="46">
        <v>8331.1200000000008</v>
      </c>
      <c r="O225" s="98"/>
      <c r="P225" s="23" t="s">
        <v>1393</v>
      </c>
      <c r="Q225" s="24" t="s">
        <v>576</v>
      </c>
      <c r="R225" s="25" t="s">
        <v>50</v>
      </c>
      <c r="S225" s="26">
        <v>15307</v>
      </c>
      <c r="T225" s="26"/>
      <c r="U225" s="26">
        <v>15.96</v>
      </c>
      <c r="V225" s="128">
        <f t="shared" si="47"/>
        <v>0</v>
      </c>
      <c r="W225" s="26">
        <f t="shared" si="36"/>
        <v>522</v>
      </c>
      <c r="X225" s="26">
        <f t="shared" si="48"/>
        <v>0</v>
      </c>
      <c r="Y225" s="26">
        <f t="shared" si="45"/>
        <v>8331.1200000000008</v>
      </c>
      <c r="Z225" s="33" t="s">
        <v>15</v>
      </c>
      <c r="AA225" s="36" t="s">
        <v>16</v>
      </c>
      <c r="AB225" s="35">
        <f t="shared" si="42"/>
        <v>15307</v>
      </c>
      <c r="AC225" s="35">
        <f t="shared" si="49"/>
        <v>244299.72</v>
      </c>
      <c r="AD225" s="181">
        <v>1.6</v>
      </c>
      <c r="AE225" s="181">
        <v>1.6</v>
      </c>
      <c r="AF225" s="101" t="str">
        <f t="shared" si="43"/>
        <v/>
      </c>
      <c r="AG225" s="191">
        <f>522</f>
        <v>522</v>
      </c>
      <c r="AH225" s="69">
        <f t="shared" si="44"/>
        <v>15307</v>
      </c>
    </row>
    <row r="226" spans="1:34" s="69" customFormat="1" ht="39" x14ac:dyDescent="0.3">
      <c r="A226" s="55" t="s">
        <v>578</v>
      </c>
      <c r="B226" s="53" t="s">
        <v>392</v>
      </c>
      <c r="C226" s="54" t="s">
        <v>23</v>
      </c>
      <c r="D226" s="75">
        <v>24</v>
      </c>
      <c r="E226" s="75"/>
      <c r="F226" s="75"/>
      <c r="G226" s="75"/>
      <c r="H226" s="75">
        <v>3115.13</v>
      </c>
      <c r="I226" s="75">
        <v>74763.12</v>
      </c>
      <c r="J226" s="91" t="s">
        <v>114</v>
      </c>
      <c r="K226" s="73"/>
      <c r="L226" s="46">
        <v>0</v>
      </c>
      <c r="M226" s="46">
        <v>0</v>
      </c>
      <c r="N226" s="46">
        <v>0</v>
      </c>
      <c r="O226" s="98"/>
      <c r="P226" s="23" t="s">
        <v>1403</v>
      </c>
      <c r="Q226" s="24" t="s">
        <v>392</v>
      </c>
      <c r="R226" s="25" t="s">
        <v>23</v>
      </c>
      <c r="S226" s="26">
        <v>24</v>
      </c>
      <c r="T226" s="26"/>
      <c r="U226" s="26">
        <v>3115.13</v>
      </c>
      <c r="V226" s="26">
        <f t="shared" si="47"/>
        <v>0</v>
      </c>
      <c r="W226" s="26">
        <f t="shared" si="36"/>
        <v>0</v>
      </c>
      <c r="X226" s="26">
        <f t="shared" si="48"/>
        <v>0</v>
      </c>
      <c r="Y226" s="26">
        <f t="shared" si="45"/>
        <v>0</v>
      </c>
      <c r="Z226" s="33" t="s">
        <v>15</v>
      </c>
      <c r="AA226" s="36" t="s">
        <v>16</v>
      </c>
      <c r="AB226" s="35">
        <f t="shared" si="42"/>
        <v>24</v>
      </c>
      <c r="AC226" s="35">
        <f t="shared" si="49"/>
        <v>74763.12</v>
      </c>
      <c r="AD226" s="181">
        <v>1.6</v>
      </c>
      <c r="AE226" s="181">
        <v>1.6</v>
      </c>
      <c r="AF226" s="101" t="str">
        <f t="shared" si="43"/>
        <v/>
      </c>
      <c r="AG226" s="190">
        <v>0</v>
      </c>
      <c r="AH226" s="69">
        <f t="shared" si="44"/>
        <v>24</v>
      </c>
    </row>
    <row r="227" spans="1:34" s="69" customFormat="1" ht="39" x14ac:dyDescent="0.3">
      <c r="A227" s="55" t="s">
        <v>579</v>
      </c>
      <c r="B227" s="53" t="s">
        <v>116</v>
      </c>
      <c r="C227" s="54" t="s">
        <v>23</v>
      </c>
      <c r="D227" s="75">
        <v>237</v>
      </c>
      <c r="E227" s="75"/>
      <c r="F227" s="75"/>
      <c r="G227" s="75"/>
      <c r="H227" s="75">
        <v>3321.13</v>
      </c>
      <c r="I227" s="75">
        <v>787107.81</v>
      </c>
      <c r="J227" s="91" t="s">
        <v>117</v>
      </c>
      <c r="K227" s="73"/>
      <c r="L227" s="46">
        <v>0</v>
      </c>
      <c r="M227" s="46">
        <v>0</v>
      </c>
      <c r="N227" s="46">
        <v>0</v>
      </c>
      <c r="O227" s="98"/>
      <c r="P227" s="23" t="s">
        <v>1427</v>
      </c>
      <c r="Q227" s="24" t="s">
        <v>116</v>
      </c>
      <c r="R227" s="25" t="s">
        <v>23</v>
      </c>
      <c r="S227" s="26">
        <v>237</v>
      </c>
      <c r="T227" s="26"/>
      <c r="U227" s="26">
        <v>3321.13</v>
      </c>
      <c r="V227" s="26">
        <f t="shared" si="47"/>
        <v>0</v>
      </c>
      <c r="W227" s="26">
        <f t="shared" si="36"/>
        <v>0</v>
      </c>
      <c r="X227" s="26">
        <f t="shared" si="48"/>
        <v>0</v>
      </c>
      <c r="Y227" s="26">
        <f t="shared" si="45"/>
        <v>0</v>
      </c>
      <c r="Z227" s="33" t="s">
        <v>15</v>
      </c>
      <c r="AA227" s="36" t="s">
        <v>16</v>
      </c>
      <c r="AB227" s="35">
        <f t="shared" si="42"/>
        <v>237</v>
      </c>
      <c r="AC227" s="35">
        <f t="shared" si="49"/>
        <v>787107.81</v>
      </c>
      <c r="AD227" s="181">
        <v>1.6</v>
      </c>
      <c r="AE227" s="181">
        <v>1.6</v>
      </c>
      <c r="AF227" s="101" t="str">
        <f t="shared" si="43"/>
        <v/>
      </c>
      <c r="AG227" s="190">
        <v>0</v>
      </c>
      <c r="AH227" s="69">
        <f t="shared" si="44"/>
        <v>237</v>
      </c>
    </row>
    <row r="228" spans="1:34" s="69" customFormat="1" ht="39" x14ac:dyDescent="0.3">
      <c r="A228" s="55" t="s">
        <v>580</v>
      </c>
      <c r="B228" s="53" t="s">
        <v>493</v>
      </c>
      <c r="C228" s="54" t="s">
        <v>23</v>
      </c>
      <c r="D228" s="75">
        <v>261</v>
      </c>
      <c r="E228" s="75"/>
      <c r="F228" s="75"/>
      <c r="G228" s="75"/>
      <c r="H228" s="75">
        <v>200</v>
      </c>
      <c r="I228" s="75">
        <v>52200</v>
      </c>
      <c r="J228" s="91" t="s">
        <v>494</v>
      </c>
      <c r="K228" s="73"/>
      <c r="L228" s="46">
        <v>0</v>
      </c>
      <c r="M228" s="46">
        <v>0</v>
      </c>
      <c r="N228" s="46">
        <v>0</v>
      </c>
      <c r="O228" s="98"/>
      <c r="P228" s="23" t="s">
        <v>1428</v>
      </c>
      <c r="Q228" s="24" t="s">
        <v>493</v>
      </c>
      <c r="R228" s="25" t="s">
        <v>23</v>
      </c>
      <c r="S228" s="26">
        <v>261</v>
      </c>
      <c r="T228" s="26"/>
      <c r="U228" s="26">
        <v>200</v>
      </c>
      <c r="V228" s="26">
        <f t="shared" si="47"/>
        <v>0</v>
      </c>
      <c r="W228" s="26">
        <f t="shared" si="36"/>
        <v>0</v>
      </c>
      <c r="X228" s="26">
        <f t="shared" si="48"/>
        <v>0</v>
      </c>
      <c r="Y228" s="26">
        <f t="shared" si="45"/>
        <v>0</v>
      </c>
      <c r="Z228" s="33" t="s">
        <v>15</v>
      </c>
      <c r="AA228" s="36" t="s">
        <v>16</v>
      </c>
      <c r="AB228" s="35">
        <f t="shared" si="42"/>
        <v>261</v>
      </c>
      <c r="AC228" s="35">
        <f t="shared" si="49"/>
        <v>52200</v>
      </c>
      <c r="AD228" s="181">
        <v>1.6</v>
      </c>
      <c r="AE228" s="181">
        <v>1.6</v>
      </c>
      <c r="AF228" s="101" t="str">
        <f t="shared" si="43"/>
        <v/>
      </c>
      <c r="AG228" s="190">
        <v>0</v>
      </c>
      <c r="AH228" s="69">
        <f t="shared" si="44"/>
        <v>261</v>
      </c>
    </row>
    <row r="229" spans="1:34" s="69" customFormat="1" ht="33" x14ac:dyDescent="0.3">
      <c r="A229" s="55" t="s">
        <v>581</v>
      </c>
      <c r="B229" s="53" t="s">
        <v>582</v>
      </c>
      <c r="C229" s="54" t="s">
        <v>50</v>
      </c>
      <c r="D229" s="75">
        <v>745</v>
      </c>
      <c r="E229" s="75"/>
      <c r="F229" s="75"/>
      <c r="G229" s="75"/>
      <c r="H229" s="75">
        <v>698.31</v>
      </c>
      <c r="I229" s="75">
        <v>520240.95</v>
      </c>
      <c r="J229" s="91" t="s">
        <v>583</v>
      </c>
      <c r="K229" s="73"/>
      <c r="L229" s="46">
        <v>0</v>
      </c>
      <c r="M229" s="46">
        <v>0</v>
      </c>
      <c r="N229" s="46">
        <v>0</v>
      </c>
      <c r="O229" s="98"/>
      <c r="P229" s="23" t="s">
        <v>1387</v>
      </c>
      <c r="Q229" s="24" t="s">
        <v>582</v>
      </c>
      <c r="R229" s="25" t="s">
        <v>50</v>
      </c>
      <c r="S229" s="26">
        <v>745</v>
      </c>
      <c r="T229" s="26"/>
      <c r="U229" s="26">
        <v>698.31</v>
      </c>
      <c r="V229" s="26">
        <f t="shared" si="47"/>
        <v>0</v>
      </c>
      <c r="W229" s="26">
        <f t="shared" si="36"/>
        <v>0</v>
      </c>
      <c r="X229" s="26">
        <f t="shared" si="48"/>
        <v>0</v>
      </c>
      <c r="Y229" s="26">
        <f t="shared" si="45"/>
        <v>0</v>
      </c>
      <c r="Z229" s="33" t="s">
        <v>15</v>
      </c>
      <c r="AA229" s="36" t="s">
        <v>16</v>
      </c>
      <c r="AB229" s="35">
        <f t="shared" si="42"/>
        <v>745</v>
      </c>
      <c r="AC229" s="35">
        <f t="shared" si="49"/>
        <v>520240.95</v>
      </c>
      <c r="AD229" s="181">
        <v>1.6</v>
      </c>
      <c r="AE229" s="181">
        <v>1.6</v>
      </c>
      <c r="AF229" s="101" t="str">
        <f t="shared" si="43"/>
        <v/>
      </c>
      <c r="AG229" s="190">
        <v>0</v>
      </c>
      <c r="AH229" s="69">
        <f t="shared" si="44"/>
        <v>745</v>
      </c>
    </row>
    <row r="230" spans="1:34" s="69" customFormat="1" ht="41.25" x14ac:dyDescent="0.3">
      <c r="A230" s="55" t="s">
        <v>584</v>
      </c>
      <c r="B230" s="53" t="s">
        <v>119</v>
      </c>
      <c r="C230" s="54" t="s">
        <v>50</v>
      </c>
      <c r="D230" s="75">
        <v>915</v>
      </c>
      <c r="E230" s="75"/>
      <c r="F230" s="75"/>
      <c r="G230" s="75"/>
      <c r="H230" s="75">
        <v>533.64</v>
      </c>
      <c r="I230" s="75">
        <v>488280.6</v>
      </c>
      <c r="J230" s="91" t="s">
        <v>120</v>
      </c>
      <c r="K230" s="73"/>
      <c r="L230" s="46">
        <v>0</v>
      </c>
      <c r="M230" s="46">
        <v>0</v>
      </c>
      <c r="N230" s="46">
        <v>0</v>
      </c>
      <c r="O230" s="98"/>
      <c r="P230" s="23" t="s">
        <v>1405</v>
      </c>
      <c r="Q230" s="24" t="s">
        <v>119</v>
      </c>
      <c r="R230" s="25" t="s">
        <v>50</v>
      </c>
      <c r="S230" s="26">
        <v>915</v>
      </c>
      <c r="T230" s="26"/>
      <c r="U230" s="26">
        <v>533.64</v>
      </c>
      <c r="V230" s="26">
        <f t="shared" si="47"/>
        <v>0</v>
      </c>
      <c r="W230" s="26">
        <f t="shared" si="36"/>
        <v>0</v>
      </c>
      <c r="X230" s="26">
        <f t="shared" si="48"/>
        <v>0</v>
      </c>
      <c r="Y230" s="26">
        <f t="shared" si="45"/>
        <v>0</v>
      </c>
      <c r="Z230" s="33" t="s">
        <v>15</v>
      </c>
      <c r="AA230" s="36" t="s">
        <v>16</v>
      </c>
      <c r="AB230" s="35">
        <f t="shared" si="42"/>
        <v>915</v>
      </c>
      <c r="AC230" s="35">
        <f t="shared" si="49"/>
        <v>488280.6</v>
      </c>
      <c r="AD230" s="181">
        <v>1.6</v>
      </c>
      <c r="AE230" s="181">
        <v>1.6</v>
      </c>
      <c r="AF230" s="101" t="str">
        <f t="shared" si="43"/>
        <v/>
      </c>
      <c r="AG230" s="190">
        <v>0</v>
      </c>
      <c r="AH230" s="69">
        <f t="shared" si="44"/>
        <v>915</v>
      </c>
    </row>
    <row r="231" spans="1:34" s="69" customFormat="1" ht="33" x14ac:dyDescent="0.3">
      <c r="A231" s="55" t="s">
        <v>585</v>
      </c>
      <c r="B231" s="53" t="s">
        <v>109</v>
      </c>
      <c r="C231" s="54" t="s">
        <v>110</v>
      </c>
      <c r="D231" s="75">
        <v>9227</v>
      </c>
      <c r="E231" s="75"/>
      <c r="F231" s="75"/>
      <c r="G231" s="75"/>
      <c r="H231" s="75">
        <v>36.4</v>
      </c>
      <c r="I231" s="75">
        <v>335862.8</v>
      </c>
      <c r="J231" s="91" t="s">
        <v>111</v>
      </c>
      <c r="K231" s="73"/>
      <c r="L231" s="46">
        <v>0</v>
      </c>
      <c r="M231" s="46">
        <v>0</v>
      </c>
      <c r="N231" s="46">
        <v>0</v>
      </c>
      <c r="O231" s="98"/>
      <c r="P231" s="23" t="s">
        <v>1406</v>
      </c>
      <c r="Q231" s="24" t="s">
        <v>109</v>
      </c>
      <c r="R231" s="25" t="s">
        <v>110</v>
      </c>
      <c r="S231" s="26">
        <v>9227</v>
      </c>
      <c r="T231" s="26"/>
      <c r="U231" s="26">
        <v>36.4</v>
      </c>
      <c r="V231" s="26">
        <f t="shared" si="47"/>
        <v>0</v>
      </c>
      <c r="W231" s="26">
        <f t="shared" si="36"/>
        <v>0</v>
      </c>
      <c r="X231" s="26">
        <f t="shared" si="48"/>
        <v>0</v>
      </c>
      <c r="Y231" s="26">
        <f t="shared" si="45"/>
        <v>0</v>
      </c>
      <c r="Z231" s="33" t="s">
        <v>15</v>
      </c>
      <c r="AA231" s="36" t="s">
        <v>16</v>
      </c>
      <c r="AB231" s="35">
        <f t="shared" si="42"/>
        <v>9227</v>
      </c>
      <c r="AC231" s="35">
        <f t="shared" si="49"/>
        <v>335862.8</v>
      </c>
      <c r="AD231" s="181">
        <v>1.6</v>
      </c>
      <c r="AE231" s="181">
        <v>1.6</v>
      </c>
      <c r="AF231" s="101" t="str">
        <f t="shared" si="43"/>
        <v/>
      </c>
      <c r="AG231" s="190">
        <v>0</v>
      </c>
      <c r="AH231" s="69">
        <f t="shared" si="44"/>
        <v>9227</v>
      </c>
    </row>
    <row r="232" spans="1:34" s="69" customFormat="1" ht="39" x14ac:dyDescent="0.3">
      <c r="A232" s="55" t="s">
        <v>586</v>
      </c>
      <c r="B232" s="53" t="s">
        <v>587</v>
      </c>
      <c r="C232" s="54" t="s">
        <v>513</v>
      </c>
      <c r="D232" s="75">
        <v>189</v>
      </c>
      <c r="E232" s="75"/>
      <c r="F232" s="75"/>
      <c r="G232" s="75"/>
      <c r="H232" s="75">
        <v>40</v>
      </c>
      <c r="I232" s="75">
        <v>7560</v>
      </c>
      <c r="J232" s="91" t="s">
        <v>588</v>
      </c>
      <c r="K232" s="73"/>
      <c r="L232" s="46">
        <v>0</v>
      </c>
      <c r="M232" s="46">
        <v>0</v>
      </c>
      <c r="N232" s="46">
        <v>0</v>
      </c>
      <c r="O232" s="98"/>
      <c r="P232" s="23" t="s">
        <v>1414</v>
      </c>
      <c r="Q232" s="24" t="s">
        <v>587</v>
      </c>
      <c r="R232" s="25" t="s">
        <v>513</v>
      </c>
      <c r="S232" s="26">
        <v>189</v>
      </c>
      <c r="T232" s="26"/>
      <c r="U232" s="26">
        <v>40</v>
      </c>
      <c r="V232" s="26">
        <f t="shared" si="47"/>
        <v>0</v>
      </c>
      <c r="W232" s="26">
        <f t="shared" si="36"/>
        <v>0</v>
      </c>
      <c r="X232" s="26">
        <f t="shared" si="48"/>
        <v>0</v>
      </c>
      <c r="Y232" s="26">
        <f t="shared" si="45"/>
        <v>0</v>
      </c>
      <c r="Z232" s="33" t="s">
        <v>15</v>
      </c>
      <c r="AA232" s="36" t="s">
        <v>16</v>
      </c>
      <c r="AB232" s="35">
        <f t="shared" si="42"/>
        <v>189</v>
      </c>
      <c r="AC232" s="35">
        <f t="shared" si="49"/>
        <v>7560</v>
      </c>
      <c r="AD232" s="181">
        <v>1.6</v>
      </c>
      <c r="AE232" s="181">
        <v>1.6</v>
      </c>
      <c r="AF232" s="101" t="str">
        <f t="shared" si="43"/>
        <v/>
      </c>
      <c r="AG232" s="190">
        <v>0</v>
      </c>
      <c r="AH232" s="69">
        <f t="shared" si="44"/>
        <v>189</v>
      </c>
    </row>
    <row r="233" spans="1:34" s="69" customFormat="1" ht="39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>
        <v>3615.3</v>
      </c>
      <c r="I233" s="75">
        <v>426605.4</v>
      </c>
      <c r="J233" s="91" t="s">
        <v>591</v>
      </c>
      <c r="K233" s="73"/>
      <c r="L233" s="46">
        <v>0</v>
      </c>
      <c r="M233" s="46">
        <v>0</v>
      </c>
      <c r="N233" s="46">
        <v>0</v>
      </c>
      <c r="O233" s="98"/>
      <c r="P233" s="23" t="s">
        <v>1429</v>
      </c>
      <c r="Q233" s="24" t="s">
        <v>590</v>
      </c>
      <c r="R233" s="25" t="s">
        <v>325</v>
      </c>
      <c r="S233" s="26">
        <v>118</v>
      </c>
      <c r="T233" s="26"/>
      <c r="U233" s="26">
        <v>3615.3</v>
      </c>
      <c r="V233" s="26">
        <f t="shared" si="47"/>
        <v>0</v>
      </c>
      <c r="W233" s="26">
        <f t="shared" si="36"/>
        <v>0</v>
      </c>
      <c r="X233" s="26">
        <f t="shared" si="48"/>
        <v>0</v>
      </c>
      <c r="Y233" s="26">
        <f t="shared" si="45"/>
        <v>0</v>
      </c>
      <c r="Z233" s="33" t="s">
        <v>15</v>
      </c>
      <c r="AA233" s="36" t="s">
        <v>16</v>
      </c>
      <c r="AB233" s="35">
        <f t="shared" si="42"/>
        <v>118</v>
      </c>
      <c r="AC233" s="35">
        <f t="shared" si="49"/>
        <v>426605.4</v>
      </c>
      <c r="AD233" s="181">
        <v>1.6</v>
      </c>
      <c r="AE233" s="181">
        <v>1.6</v>
      </c>
      <c r="AF233" s="101" t="str">
        <f t="shared" si="43"/>
        <v/>
      </c>
      <c r="AG233" s="190">
        <v>0</v>
      </c>
      <c r="AH233" s="69">
        <f t="shared" si="44"/>
        <v>118</v>
      </c>
    </row>
    <row r="234" spans="1:34" s="69" customFormat="1" ht="39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>
        <v>113.98</v>
      </c>
      <c r="I234" s="75">
        <v>316066.53999999998</v>
      </c>
      <c r="J234" s="91" t="s">
        <v>594</v>
      </c>
      <c r="K234" s="73"/>
      <c r="L234" s="46">
        <v>0</v>
      </c>
      <c r="M234" s="46">
        <v>0</v>
      </c>
      <c r="N234" s="46">
        <v>0</v>
      </c>
      <c r="O234" s="98"/>
      <c r="P234" s="23" t="s">
        <v>1430</v>
      </c>
      <c r="Q234" s="24" t="s">
        <v>593</v>
      </c>
      <c r="R234" s="25" t="s">
        <v>110</v>
      </c>
      <c r="S234" s="26">
        <v>2773</v>
      </c>
      <c r="T234" s="26"/>
      <c r="U234" s="26">
        <v>113.98</v>
      </c>
      <c r="V234" s="26">
        <f t="shared" si="47"/>
        <v>0</v>
      </c>
      <c r="W234" s="26">
        <f t="shared" si="36"/>
        <v>0</v>
      </c>
      <c r="X234" s="26">
        <f t="shared" si="48"/>
        <v>0</v>
      </c>
      <c r="Y234" s="26">
        <f t="shared" si="45"/>
        <v>0</v>
      </c>
      <c r="Z234" s="33" t="s">
        <v>15</v>
      </c>
      <c r="AA234" s="36" t="s">
        <v>16</v>
      </c>
      <c r="AB234" s="35">
        <f t="shared" si="42"/>
        <v>2773</v>
      </c>
      <c r="AC234" s="35">
        <f t="shared" si="49"/>
        <v>316066.53999999998</v>
      </c>
      <c r="AD234" s="181">
        <v>1.6</v>
      </c>
      <c r="AE234" s="181">
        <v>1.6</v>
      </c>
      <c r="AF234" s="101" t="str">
        <f t="shared" si="43"/>
        <v/>
      </c>
      <c r="AG234" s="190">
        <v>0</v>
      </c>
      <c r="AH234" s="69">
        <f t="shared" si="44"/>
        <v>2773</v>
      </c>
    </row>
    <row r="235" spans="1:34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5">
        <v>138.84</v>
      </c>
      <c r="I235" s="75">
        <v>15550.08</v>
      </c>
      <c r="J235" s="91" t="s">
        <v>190</v>
      </c>
      <c r="K235" s="73"/>
      <c r="L235" s="46">
        <v>0</v>
      </c>
      <c r="M235" s="46">
        <v>0</v>
      </c>
      <c r="N235" s="46">
        <v>0</v>
      </c>
      <c r="O235" s="98"/>
      <c r="P235" s="23" t="s">
        <v>1431</v>
      </c>
      <c r="Q235" s="24" t="s">
        <v>189</v>
      </c>
      <c r="R235" s="25" t="s">
        <v>30</v>
      </c>
      <c r="S235" s="26">
        <v>112</v>
      </c>
      <c r="T235" s="26"/>
      <c r="U235" s="26">
        <v>138.84</v>
      </c>
      <c r="V235" s="26">
        <f t="shared" si="47"/>
        <v>0</v>
      </c>
      <c r="W235" s="26">
        <f t="shared" si="36"/>
        <v>0</v>
      </c>
      <c r="X235" s="26">
        <f t="shared" si="48"/>
        <v>0</v>
      </c>
      <c r="Y235" s="26">
        <f t="shared" si="45"/>
        <v>0</v>
      </c>
      <c r="Z235" s="33" t="s">
        <v>15</v>
      </c>
      <c r="AA235" s="36" t="s">
        <v>16</v>
      </c>
      <c r="AB235" s="35">
        <f t="shared" si="42"/>
        <v>112</v>
      </c>
      <c r="AC235" s="35">
        <f t="shared" si="49"/>
        <v>15550.08</v>
      </c>
      <c r="AD235" s="181">
        <v>1.6</v>
      </c>
      <c r="AE235" s="181">
        <v>1.6</v>
      </c>
      <c r="AF235" s="101" t="str">
        <f t="shared" si="43"/>
        <v/>
      </c>
      <c r="AG235" s="190">
        <v>0</v>
      </c>
      <c r="AH235" s="69">
        <f t="shared" si="44"/>
        <v>112</v>
      </c>
    </row>
    <row r="236" spans="1:34" ht="39" x14ac:dyDescent="0.3">
      <c r="A236" s="67" t="s">
        <v>1334</v>
      </c>
      <c r="B236" s="64" t="s">
        <v>1335</v>
      </c>
      <c r="C236" s="61" t="s">
        <v>50</v>
      </c>
      <c r="D236" s="78"/>
      <c r="E236" s="78"/>
      <c r="F236" s="62">
        <v>518.22</v>
      </c>
      <c r="G236" s="140"/>
      <c r="H236" s="78">
        <v>868.85</v>
      </c>
      <c r="I236" s="62">
        <v>450255.45</v>
      </c>
      <c r="J236" s="93"/>
      <c r="L236" s="46">
        <v>0</v>
      </c>
      <c r="M236" s="46">
        <v>0</v>
      </c>
      <c r="N236" s="46">
        <v>0</v>
      </c>
      <c r="O236" s="98"/>
      <c r="P236" s="23" t="s">
        <v>1395</v>
      </c>
      <c r="Q236" s="24" t="s">
        <v>1396</v>
      </c>
      <c r="R236" s="25" t="s">
        <v>50</v>
      </c>
      <c r="S236" s="26">
        <v>0</v>
      </c>
      <c r="T236" s="26">
        <v>518.22</v>
      </c>
      <c r="U236" s="26">
        <v>868.85</v>
      </c>
      <c r="V236" s="26">
        <f t="shared" si="47"/>
        <v>0</v>
      </c>
      <c r="W236" s="26">
        <f t="shared" si="36"/>
        <v>0</v>
      </c>
      <c r="X236" s="26">
        <f t="shared" si="48"/>
        <v>0</v>
      </c>
      <c r="Y236" s="26">
        <f t="shared" si="45"/>
        <v>0</v>
      </c>
      <c r="Z236" s="27"/>
      <c r="AA236" s="36" t="s">
        <v>16</v>
      </c>
      <c r="AB236" s="35">
        <f t="shared" si="42"/>
        <v>518.22</v>
      </c>
      <c r="AC236" s="35">
        <f t="shared" si="49"/>
        <v>450255.45</v>
      </c>
      <c r="AD236" s="181">
        <v>1.6</v>
      </c>
      <c r="AE236" s="181">
        <v>1.6</v>
      </c>
      <c r="AF236" s="101" t="str">
        <f t="shared" si="43"/>
        <v/>
      </c>
      <c r="AG236" s="190">
        <v>0</v>
      </c>
      <c r="AH236" s="69">
        <f t="shared" si="44"/>
        <v>518.22</v>
      </c>
    </row>
    <row r="237" spans="1:34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2"/>
      <c r="I237" s="82">
        <v>7832216.5700000003</v>
      </c>
      <c r="J237" s="94" t="s">
        <v>15</v>
      </c>
      <c r="K237" s="73"/>
      <c r="L237" s="45">
        <v>1</v>
      </c>
      <c r="M237" s="45">
        <v>0</v>
      </c>
      <c r="N237" s="45">
        <v>2457617.2000000002</v>
      </c>
      <c r="O237" s="98"/>
      <c r="P237" s="18" t="s">
        <v>1397</v>
      </c>
      <c r="Q237" s="19" t="s">
        <v>597</v>
      </c>
      <c r="R237" s="20" t="s">
        <v>14</v>
      </c>
      <c r="S237" s="21">
        <v>1</v>
      </c>
      <c r="T237" s="21"/>
      <c r="U237" s="21">
        <f>SUMIFS(AC:AC,AD:AD,AD237)</f>
        <v>7832216.5699999994</v>
      </c>
      <c r="V237" s="21">
        <f t="shared" ref="V237:W237" si="50">IF(X237=0,0,1)</f>
        <v>0</v>
      </c>
      <c r="W237" s="21">
        <f t="shared" si="50"/>
        <v>1</v>
      </c>
      <c r="X237" s="21">
        <f>SUMIFS(X:X,AE:AE,AD237)</f>
        <v>0</v>
      </c>
      <c r="Y237" s="21">
        <f>SUMIFS(Y:Y,AE:AE,AD237)</f>
        <v>2457617.2000000002</v>
      </c>
      <c r="Z237" s="22" t="s">
        <v>15</v>
      </c>
      <c r="AA237" s="43" t="s">
        <v>16</v>
      </c>
      <c r="AB237" s="35">
        <f t="shared" si="42"/>
        <v>1</v>
      </c>
      <c r="AC237" s="44"/>
      <c r="AD237" s="184">
        <v>1.7</v>
      </c>
      <c r="AE237" s="184"/>
      <c r="AF237" s="101" t="str">
        <f t="shared" si="43"/>
        <v/>
      </c>
      <c r="AG237" s="190">
        <v>1</v>
      </c>
      <c r="AH237" s="69">
        <f t="shared" si="44"/>
        <v>1</v>
      </c>
    </row>
    <row r="238" spans="1:34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>
        <v>704.52</v>
      </c>
      <c r="I238" s="75">
        <v>1829427.08</v>
      </c>
      <c r="J238" s="91" t="s">
        <v>600</v>
      </c>
      <c r="K238" s="73"/>
      <c r="L238" s="46">
        <v>0</v>
      </c>
      <c r="M238" s="46">
        <v>0</v>
      </c>
      <c r="N238" s="46">
        <v>0</v>
      </c>
      <c r="O238" s="98"/>
      <c r="P238" s="23" t="s">
        <v>1421</v>
      </c>
      <c r="Q238" s="24" t="s">
        <v>599</v>
      </c>
      <c r="R238" s="25" t="s">
        <v>103</v>
      </c>
      <c r="S238" s="26">
        <v>2596.6999999999998</v>
      </c>
      <c r="T238" s="26"/>
      <c r="U238" s="26">
        <v>704.52</v>
      </c>
      <c r="V238" s="26">
        <f t="shared" ref="V238:V301" si="51">AG238-L238</f>
        <v>0</v>
      </c>
      <c r="W238" s="26">
        <f t="shared" si="36"/>
        <v>0</v>
      </c>
      <c r="X238" s="26">
        <f t="shared" ref="X238:X269" si="52">Y238-N238</f>
        <v>0</v>
      </c>
      <c r="Y238" s="26">
        <f t="shared" si="45"/>
        <v>0</v>
      </c>
      <c r="Z238" s="33" t="s">
        <v>15</v>
      </c>
      <c r="AA238" s="36" t="s">
        <v>16</v>
      </c>
      <c r="AB238" s="35">
        <f t="shared" si="42"/>
        <v>2596.6999999999998</v>
      </c>
      <c r="AC238" s="35">
        <f t="shared" ref="AC238:AC301" si="53">ROUND(U238*AB238,2)</f>
        <v>1829427.08</v>
      </c>
      <c r="AD238" s="181">
        <v>1.7</v>
      </c>
      <c r="AE238" s="181">
        <v>1.7</v>
      </c>
      <c r="AF238" s="101" t="str">
        <f t="shared" si="43"/>
        <v/>
      </c>
      <c r="AG238" s="190">
        <v>0</v>
      </c>
      <c r="AH238" s="69">
        <f t="shared" si="44"/>
        <v>2596.6999999999998</v>
      </c>
    </row>
    <row r="239" spans="1:34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>
        <v>400</v>
      </c>
      <c r="I239" s="75">
        <v>50400</v>
      </c>
      <c r="J239" s="91" t="s">
        <v>603</v>
      </c>
      <c r="K239" s="73"/>
      <c r="L239" s="46">
        <v>0</v>
      </c>
      <c r="M239" s="46">
        <v>0</v>
      </c>
      <c r="N239" s="46">
        <v>0</v>
      </c>
      <c r="O239" s="98"/>
      <c r="P239" s="23" t="s">
        <v>1426</v>
      </c>
      <c r="Q239" s="24" t="s">
        <v>602</v>
      </c>
      <c r="R239" s="25" t="s">
        <v>559</v>
      </c>
      <c r="S239" s="26">
        <v>126</v>
      </c>
      <c r="T239" s="26"/>
      <c r="U239" s="26">
        <v>400</v>
      </c>
      <c r="V239" s="26">
        <f t="shared" si="51"/>
        <v>0</v>
      </c>
      <c r="W239" s="26">
        <f t="shared" si="36"/>
        <v>0</v>
      </c>
      <c r="X239" s="26">
        <f t="shared" si="52"/>
        <v>0</v>
      </c>
      <c r="Y239" s="26">
        <f t="shared" si="45"/>
        <v>0</v>
      </c>
      <c r="Z239" s="33" t="s">
        <v>15</v>
      </c>
      <c r="AA239" s="36" t="s">
        <v>16</v>
      </c>
      <c r="AB239" s="35">
        <f t="shared" si="42"/>
        <v>126</v>
      </c>
      <c r="AC239" s="35">
        <f t="shared" si="53"/>
        <v>50400</v>
      </c>
      <c r="AD239" s="181">
        <v>1.7</v>
      </c>
      <c r="AE239" s="181">
        <v>1.7</v>
      </c>
      <c r="AF239" s="101" t="str">
        <f t="shared" si="43"/>
        <v/>
      </c>
      <c r="AG239" s="190">
        <v>0</v>
      </c>
      <c r="AH239" s="69">
        <f t="shared" si="44"/>
        <v>126</v>
      </c>
    </row>
    <row r="240" spans="1:34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>
        <v>3569.95</v>
      </c>
      <c r="I240" s="75">
        <v>42839.4</v>
      </c>
      <c r="J240" s="91" t="s">
        <v>607</v>
      </c>
      <c r="K240" s="73"/>
      <c r="L240" s="46">
        <v>0</v>
      </c>
      <c r="M240" s="46">
        <v>0</v>
      </c>
      <c r="N240" s="46">
        <v>0</v>
      </c>
      <c r="O240" s="98"/>
      <c r="P240" s="23" t="s">
        <v>1402</v>
      </c>
      <c r="Q240" s="24" t="s">
        <v>605</v>
      </c>
      <c r="R240" s="25" t="s">
        <v>606</v>
      </c>
      <c r="S240" s="26">
        <v>12</v>
      </c>
      <c r="T240" s="26"/>
      <c r="U240" s="26">
        <v>3569.95</v>
      </c>
      <c r="V240" s="26">
        <f t="shared" si="51"/>
        <v>0</v>
      </c>
      <c r="W240" s="26">
        <f t="shared" si="36"/>
        <v>0</v>
      </c>
      <c r="X240" s="26">
        <f t="shared" si="52"/>
        <v>0</v>
      </c>
      <c r="Y240" s="26">
        <f t="shared" si="45"/>
        <v>0</v>
      </c>
      <c r="Z240" s="33" t="s">
        <v>15</v>
      </c>
      <c r="AA240" s="36" t="s">
        <v>16</v>
      </c>
      <c r="AB240" s="35">
        <f t="shared" si="42"/>
        <v>12</v>
      </c>
      <c r="AC240" s="35">
        <f t="shared" si="53"/>
        <v>42839.4</v>
      </c>
      <c r="AD240" s="181">
        <v>1.7</v>
      </c>
      <c r="AE240" s="181">
        <v>1.7</v>
      </c>
      <c r="AF240" s="101" t="str">
        <f t="shared" si="43"/>
        <v/>
      </c>
      <c r="AG240" s="190">
        <v>0</v>
      </c>
      <c r="AH240" s="69">
        <f t="shared" si="44"/>
        <v>12</v>
      </c>
    </row>
    <row r="241" spans="1:34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>
        <v>4083.1</v>
      </c>
      <c r="I241" s="75">
        <v>73495.8</v>
      </c>
      <c r="J241" s="91" t="s">
        <v>610</v>
      </c>
      <c r="K241" s="73"/>
      <c r="L241" s="46">
        <v>5</v>
      </c>
      <c r="M241" s="46">
        <v>0</v>
      </c>
      <c r="N241" s="46">
        <v>20415.5</v>
      </c>
      <c r="O241" s="98"/>
      <c r="P241" s="23" t="s">
        <v>1373</v>
      </c>
      <c r="Q241" s="24" t="s">
        <v>609</v>
      </c>
      <c r="R241" s="25" t="s">
        <v>606</v>
      </c>
      <c r="S241" s="26">
        <v>18</v>
      </c>
      <c r="T241" s="26"/>
      <c r="U241" s="26">
        <v>4083.1</v>
      </c>
      <c r="V241" s="26">
        <f t="shared" si="51"/>
        <v>0</v>
      </c>
      <c r="W241" s="26">
        <f t="shared" si="36"/>
        <v>5</v>
      </c>
      <c r="X241" s="26">
        <f t="shared" si="52"/>
        <v>0</v>
      </c>
      <c r="Y241" s="26">
        <f t="shared" si="45"/>
        <v>20415.5</v>
      </c>
      <c r="Z241" s="33" t="s">
        <v>15</v>
      </c>
      <c r="AA241" s="36" t="s">
        <v>16</v>
      </c>
      <c r="AB241" s="35">
        <f t="shared" si="42"/>
        <v>18</v>
      </c>
      <c r="AC241" s="35">
        <f t="shared" si="53"/>
        <v>73495.8</v>
      </c>
      <c r="AD241" s="181">
        <v>1.7</v>
      </c>
      <c r="AE241" s="181">
        <v>1.7</v>
      </c>
      <c r="AF241" s="101" t="str">
        <f t="shared" si="43"/>
        <v/>
      </c>
      <c r="AG241" s="190">
        <v>5</v>
      </c>
      <c r="AH241" s="69">
        <f t="shared" si="44"/>
        <v>18</v>
      </c>
    </row>
    <row r="242" spans="1:34" s="69" customFormat="1" ht="39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133"/>
      <c r="F242" s="133"/>
      <c r="G242" s="133"/>
      <c r="H242" s="75">
        <v>7408.5</v>
      </c>
      <c r="I242" s="75">
        <v>37042.5</v>
      </c>
      <c r="J242" s="91" t="s">
        <v>613</v>
      </c>
      <c r="K242" s="73"/>
      <c r="L242" s="46">
        <v>5</v>
      </c>
      <c r="M242" s="46">
        <v>0</v>
      </c>
      <c r="N242" s="46">
        <v>37042.5</v>
      </c>
      <c r="O242" s="98"/>
      <c r="P242" s="23" t="s">
        <v>1393</v>
      </c>
      <c r="Q242" s="24" t="s">
        <v>612</v>
      </c>
      <c r="R242" s="25" t="s">
        <v>606</v>
      </c>
      <c r="S242" s="26">
        <v>5</v>
      </c>
      <c r="T242" s="26"/>
      <c r="U242" s="26">
        <v>7408.5</v>
      </c>
      <c r="V242" s="127">
        <f t="shared" si="51"/>
        <v>0</v>
      </c>
      <c r="W242" s="127">
        <f t="shared" ref="W242:W305" si="54">V242+L242</f>
        <v>5</v>
      </c>
      <c r="X242" s="127">
        <f t="shared" si="52"/>
        <v>0</v>
      </c>
      <c r="Y242" s="127">
        <f t="shared" si="45"/>
        <v>37042.5</v>
      </c>
      <c r="Z242" s="33" t="s">
        <v>15</v>
      </c>
      <c r="AA242" s="36" t="s">
        <v>16</v>
      </c>
      <c r="AB242" s="35">
        <f t="shared" si="42"/>
        <v>5</v>
      </c>
      <c r="AC242" s="35">
        <f t="shared" si="53"/>
        <v>37042.5</v>
      </c>
      <c r="AD242" s="181">
        <v>1.7</v>
      </c>
      <c r="AE242" s="181">
        <v>1.7</v>
      </c>
      <c r="AF242" s="101" t="str">
        <f t="shared" si="43"/>
        <v/>
      </c>
      <c r="AG242" s="190">
        <v>5</v>
      </c>
      <c r="AH242" s="69">
        <f t="shared" si="44"/>
        <v>5</v>
      </c>
    </row>
    <row r="243" spans="1:34" s="69" customFormat="1" ht="39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133"/>
      <c r="F243" s="133"/>
      <c r="G243" s="133"/>
      <c r="H243" s="75">
        <v>10319.280000000001</v>
      </c>
      <c r="I243" s="75">
        <v>51596.4</v>
      </c>
      <c r="J243" s="91" t="s">
        <v>616</v>
      </c>
      <c r="K243" s="73"/>
      <c r="L243" s="46">
        <v>5</v>
      </c>
      <c r="M243" s="46">
        <v>0</v>
      </c>
      <c r="N243" s="46">
        <v>51596.4</v>
      </c>
      <c r="O243" s="98"/>
      <c r="P243" s="23" t="s">
        <v>1403</v>
      </c>
      <c r="Q243" s="24" t="s">
        <v>615</v>
      </c>
      <c r="R243" s="25" t="s">
        <v>606</v>
      </c>
      <c r="S243" s="26">
        <v>5</v>
      </c>
      <c r="T243" s="26"/>
      <c r="U243" s="26">
        <v>10319.280000000001</v>
      </c>
      <c r="V243" s="127">
        <f t="shared" si="51"/>
        <v>0</v>
      </c>
      <c r="W243" s="127">
        <f t="shared" si="54"/>
        <v>5</v>
      </c>
      <c r="X243" s="127">
        <f t="shared" si="52"/>
        <v>0</v>
      </c>
      <c r="Y243" s="127">
        <f t="shared" si="45"/>
        <v>51596.4</v>
      </c>
      <c r="Z243" s="33" t="s">
        <v>15</v>
      </c>
      <c r="AA243" s="36" t="s">
        <v>16</v>
      </c>
      <c r="AB243" s="35">
        <f t="shared" si="42"/>
        <v>5</v>
      </c>
      <c r="AC243" s="35">
        <f t="shared" si="53"/>
        <v>51596.4</v>
      </c>
      <c r="AD243" s="181">
        <v>1.7</v>
      </c>
      <c r="AE243" s="181">
        <v>1.7</v>
      </c>
      <c r="AF243" s="101" t="str">
        <f t="shared" si="43"/>
        <v/>
      </c>
      <c r="AG243" s="190">
        <v>5</v>
      </c>
      <c r="AH243" s="69">
        <f t="shared" si="44"/>
        <v>5</v>
      </c>
    </row>
    <row r="244" spans="1:34" s="69" customFormat="1" ht="39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133"/>
      <c r="F244" s="133"/>
      <c r="G244" s="133"/>
      <c r="H244" s="75">
        <v>15164.14</v>
      </c>
      <c r="I244" s="75">
        <v>30328.28</v>
      </c>
      <c r="J244" s="91" t="s">
        <v>619</v>
      </c>
      <c r="K244" s="73"/>
      <c r="L244" s="46">
        <v>2</v>
      </c>
      <c r="M244" s="46">
        <v>0</v>
      </c>
      <c r="N244" s="46">
        <v>30328.28</v>
      </c>
      <c r="O244" s="98"/>
      <c r="P244" s="23" t="s">
        <v>1427</v>
      </c>
      <c r="Q244" s="24" t="s">
        <v>618</v>
      </c>
      <c r="R244" s="25" t="s">
        <v>606</v>
      </c>
      <c r="S244" s="26">
        <v>2</v>
      </c>
      <c r="T244" s="26"/>
      <c r="U244" s="26">
        <v>15164.14</v>
      </c>
      <c r="V244" s="127">
        <f t="shared" si="51"/>
        <v>0</v>
      </c>
      <c r="W244" s="127">
        <f t="shared" si="54"/>
        <v>2</v>
      </c>
      <c r="X244" s="127">
        <f t="shared" si="52"/>
        <v>0</v>
      </c>
      <c r="Y244" s="127">
        <f t="shared" si="45"/>
        <v>30328.28</v>
      </c>
      <c r="Z244" s="33" t="s">
        <v>15</v>
      </c>
      <c r="AA244" s="36" t="s">
        <v>16</v>
      </c>
      <c r="AB244" s="35">
        <f t="shared" si="42"/>
        <v>2</v>
      </c>
      <c r="AC244" s="35">
        <f t="shared" si="53"/>
        <v>30328.28</v>
      </c>
      <c r="AD244" s="181">
        <v>1.7</v>
      </c>
      <c r="AE244" s="181">
        <v>1.7</v>
      </c>
      <c r="AF244" s="101" t="str">
        <f t="shared" si="43"/>
        <v/>
      </c>
      <c r="AG244" s="190">
        <v>2</v>
      </c>
      <c r="AH244" s="69">
        <f t="shared" si="44"/>
        <v>2</v>
      </c>
    </row>
    <row r="245" spans="1:34" s="69" customFormat="1" ht="39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133"/>
      <c r="F245" s="133"/>
      <c r="G245" s="133"/>
      <c r="H245" s="75">
        <v>21803.06</v>
      </c>
      <c r="I245" s="75">
        <v>130818.36</v>
      </c>
      <c r="J245" s="91" t="s">
        <v>622</v>
      </c>
      <c r="K245" s="73"/>
      <c r="L245" s="46">
        <v>6</v>
      </c>
      <c r="M245" s="46">
        <v>0</v>
      </c>
      <c r="N245" s="46">
        <v>130818.36</v>
      </c>
      <c r="O245" s="98"/>
      <c r="P245" s="23" t="s">
        <v>1428</v>
      </c>
      <c r="Q245" s="24" t="s">
        <v>621</v>
      </c>
      <c r="R245" s="25" t="s">
        <v>606</v>
      </c>
      <c r="S245" s="26">
        <v>6</v>
      </c>
      <c r="T245" s="26"/>
      <c r="U245" s="26">
        <v>21803.06</v>
      </c>
      <c r="V245" s="127">
        <f t="shared" si="51"/>
        <v>0</v>
      </c>
      <c r="W245" s="127">
        <f t="shared" si="54"/>
        <v>6</v>
      </c>
      <c r="X245" s="127">
        <f t="shared" si="52"/>
        <v>0</v>
      </c>
      <c r="Y245" s="127">
        <f t="shared" si="45"/>
        <v>130818.36</v>
      </c>
      <c r="Z245" s="33" t="s">
        <v>15</v>
      </c>
      <c r="AA245" s="36" t="s">
        <v>16</v>
      </c>
      <c r="AB245" s="35">
        <f t="shared" si="42"/>
        <v>6</v>
      </c>
      <c r="AC245" s="35">
        <f t="shared" si="53"/>
        <v>130818.36</v>
      </c>
      <c r="AD245" s="181">
        <v>1.7</v>
      </c>
      <c r="AE245" s="181">
        <v>1.7</v>
      </c>
      <c r="AF245" s="101" t="str">
        <f t="shared" si="43"/>
        <v/>
      </c>
      <c r="AG245" s="190">
        <v>6</v>
      </c>
      <c r="AH245" s="69">
        <f t="shared" si="44"/>
        <v>6</v>
      </c>
    </row>
    <row r="246" spans="1:34" s="69" customFormat="1" ht="39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133"/>
      <c r="F246" s="133"/>
      <c r="G246" s="133"/>
      <c r="H246" s="75">
        <v>26196.51</v>
      </c>
      <c r="I246" s="75">
        <v>78589.53</v>
      </c>
      <c r="J246" s="91" t="s">
        <v>625</v>
      </c>
      <c r="K246" s="73"/>
      <c r="L246" s="46">
        <v>3</v>
      </c>
      <c r="M246" s="46">
        <v>0</v>
      </c>
      <c r="N246" s="46">
        <v>78589.53</v>
      </c>
      <c r="O246" s="98"/>
      <c r="P246" s="23" t="s">
        <v>1387</v>
      </c>
      <c r="Q246" s="24" t="s">
        <v>624</v>
      </c>
      <c r="R246" s="25" t="s">
        <v>606</v>
      </c>
      <c r="S246" s="26">
        <v>3</v>
      </c>
      <c r="T246" s="26"/>
      <c r="U246" s="26">
        <v>26196.51</v>
      </c>
      <c r="V246" s="127">
        <f t="shared" si="51"/>
        <v>0</v>
      </c>
      <c r="W246" s="127">
        <f t="shared" si="54"/>
        <v>3</v>
      </c>
      <c r="X246" s="127">
        <f t="shared" si="52"/>
        <v>0</v>
      </c>
      <c r="Y246" s="127">
        <f t="shared" si="45"/>
        <v>78589.53</v>
      </c>
      <c r="Z246" s="33" t="s">
        <v>15</v>
      </c>
      <c r="AA246" s="36" t="s">
        <v>16</v>
      </c>
      <c r="AB246" s="35">
        <f t="shared" si="42"/>
        <v>3</v>
      </c>
      <c r="AC246" s="35">
        <f t="shared" si="53"/>
        <v>78589.53</v>
      </c>
      <c r="AD246" s="181">
        <v>1.7</v>
      </c>
      <c r="AE246" s="181">
        <v>1.7</v>
      </c>
      <c r="AF246" s="101" t="str">
        <f t="shared" si="43"/>
        <v/>
      </c>
      <c r="AG246" s="190">
        <v>3</v>
      </c>
      <c r="AH246" s="69">
        <f t="shared" si="44"/>
        <v>3</v>
      </c>
    </row>
    <row r="247" spans="1:34" s="69" customFormat="1" ht="39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133"/>
      <c r="F247" s="133"/>
      <c r="G247" s="133"/>
      <c r="H247" s="75">
        <v>29984.85</v>
      </c>
      <c r="I247" s="75">
        <v>59969.7</v>
      </c>
      <c r="J247" s="91" t="s">
        <v>628</v>
      </c>
      <c r="K247" s="73"/>
      <c r="L247" s="46">
        <v>2</v>
      </c>
      <c r="M247" s="46">
        <v>0</v>
      </c>
      <c r="N247" s="46">
        <v>59969.7</v>
      </c>
      <c r="O247" s="98"/>
      <c r="P247" s="23" t="s">
        <v>1405</v>
      </c>
      <c r="Q247" s="24" t="s">
        <v>627</v>
      </c>
      <c r="R247" s="25" t="s">
        <v>606</v>
      </c>
      <c r="S247" s="26">
        <v>2</v>
      </c>
      <c r="T247" s="26"/>
      <c r="U247" s="26">
        <v>29984.85</v>
      </c>
      <c r="V247" s="127">
        <f t="shared" si="51"/>
        <v>0</v>
      </c>
      <c r="W247" s="127">
        <f t="shared" si="54"/>
        <v>2</v>
      </c>
      <c r="X247" s="127">
        <f t="shared" si="52"/>
        <v>0</v>
      </c>
      <c r="Y247" s="127">
        <f t="shared" si="45"/>
        <v>59969.7</v>
      </c>
      <c r="Z247" s="33" t="s">
        <v>15</v>
      </c>
      <c r="AA247" s="36" t="s">
        <v>16</v>
      </c>
      <c r="AB247" s="35">
        <f t="shared" si="42"/>
        <v>2</v>
      </c>
      <c r="AC247" s="35">
        <f t="shared" si="53"/>
        <v>59969.7</v>
      </c>
      <c r="AD247" s="181">
        <v>1.7</v>
      </c>
      <c r="AE247" s="181">
        <v>1.7</v>
      </c>
      <c r="AF247" s="101" t="str">
        <f t="shared" si="43"/>
        <v/>
      </c>
      <c r="AG247" s="190">
        <v>2</v>
      </c>
      <c r="AH247" s="69">
        <f t="shared" si="44"/>
        <v>2</v>
      </c>
    </row>
    <row r="248" spans="1:34" s="69" customFormat="1" ht="39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133"/>
      <c r="F248" s="133"/>
      <c r="G248" s="133"/>
      <c r="H248" s="75">
        <v>38914.949999999997</v>
      </c>
      <c r="I248" s="75">
        <v>116744.85</v>
      </c>
      <c r="J248" s="91" t="s">
        <v>631</v>
      </c>
      <c r="K248" s="73"/>
      <c r="L248" s="46">
        <v>3</v>
      </c>
      <c r="M248" s="46">
        <v>0</v>
      </c>
      <c r="N248" s="46">
        <v>116744.85</v>
      </c>
      <c r="O248" s="98"/>
      <c r="P248" s="23" t="s">
        <v>1406</v>
      </c>
      <c r="Q248" s="24" t="s">
        <v>630</v>
      </c>
      <c r="R248" s="25" t="s">
        <v>606</v>
      </c>
      <c r="S248" s="26">
        <v>3</v>
      </c>
      <c r="T248" s="26"/>
      <c r="U248" s="26">
        <v>38914.949999999997</v>
      </c>
      <c r="V248" s="127">
        <f t="shared" si="51"/>
        <v>0</v>
      </c>
      <c r="W248" s="127">
        <f t="shared" si="54"/>
        <v>3</v>
      </c>
      <c r="X248" s="127">
        <f t="shared" si="52"/>
        <v>0</v>
      </c>
      <c r="Y248" s="127">
        <f t="shared" si="45"/>
        <v>116744.85</v>
      </c>
      <c r="Z248" s="33" t="s">
        <v>15</v>
      </c>
      <c r="AA248" s="36" t="s">
        <v>16</v>
      </c>
      <c r="AB248" s="35">
        <f t="shared" si="42"/>
        <v>3</v>
      </c>
      <c r="AC248" s="35">
        <f t="shared" si="53"/>
        <v>116744.85</v>
      </c>
      <c r="AD248" s="181">
        <v>1.7</v>
      </c>
      <c r="AE248" s="181">
        <v>1.7</v>
      </c>
      <c r="AF248" s="101" t="str">
        <f t="shared" si="43"/>
        <v/>
      </c>
      <c r="AG248" s="190">
        <v>3</v>
      </c>
      <c r="AH248" s="69">
        <f t="shared" si="44"/>
        <v>3</v>
      </c>
    </row>
    <row r="249" spans="1:34" s="69" customFormat="1" ht="39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133"/>
      <c r="F249" s="133"/>
      <c r="G249" s="133"/>
      <c r="H249" s="75">
        <v>43624.88</v>
      </c>
      <c r="I249" s="75">
        <v>130874.64</v>
      </c>
      <c r="J249" s="91" t="s">
        <v>634</v>
      </c>
      <c r="K249" s="73"/>
      <c r="L249" s="46">
        <v>3</v>
      </c>
      <c r="M249" s="46">
        <v>0</v>
      </c>
      <c r="N249" s="46">
        <v>130874.64</v>
      </c>
      <c r="O249" s="98"/>
      <c r="P249" s="23" t="s">
        <v>1414</v>
      </c>
      <c r="Q249" s="24" t="s">
        <v>633</v>
      </c>
      <c r="R249" s="25" t="s">
        <v>606</v>
      </c>
      <c r="S249" s="26">
        <v>3</v>
      </c>
      <c r="T249" s="26"/>
      <c r="U249" s="26">
        <v>43624.88</v>
      </c>
      <c r="V249" s="127">
        <f t="shared" si="51"/>
        <v>0</v>
      </c>
      <c r="W249" s="127">
        <f t="shared" si="54"/>
        <v>3</v>
      </c>
      <c r="X249" s="127">
        <f t="shared" si="52"/>
        <v>0</v>
      </c>
      <c r="Y249" s="127">
        <f t="shared" si="45"/>
        <v>130874.64</v>
      </c>
      <c r="Z249" s="33" t="s">
        <v>15</v>
      </c>
      <c r="AA249" s="36" t="s">
        <v>16</v>
      </c>
      <c r="AB249" s="35">
        <f t="shared" si="42"/>
        <v>3</v>
      </c>
      <c r="AC249" s="35">
        <f t="shared" si="53"/>
        <v>130874.64</v>
      </c>
      <c r="AD249" s="181">
        <v>1.7</v>
      </c>
      <c r="AE249" s="181">
        <v>1.7</v>
      </c>
      <c r="AF249" s="101" t="str">
        <f t="shared" si="43"/>
        <v/>
      </c>
      <c r="AG249" s="190">
        <v>3</v>
      </c>
      <c r="AH249" s="69">
        <f t="shared" si="44"/>
        <v>3</v>
      </c>
    </row>
    <row r="250" spans="1:34" s="69" customFormat="1" ht="39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133"/>
      <c r="F250" s="133"/>
      <c r="G250" s="133"/>
      <c r="H250" s="75">
        <v>73088.800000000003</v>
      </c>
      <c r="I250" s="75">
        <v>73088.800000000003</v>
      </c>
      <c r="J250" s="91" t="s">
        <v>637</v>
      </c>
      <c r="K250" s="73"/>
      <c r="L250" s="46">
        <v>1</v>
      </c>
      <c r="M250" s="46">
        <v>0</v>
      </c>
      <c r="N250" s="46">
        <v>73088.800000000003</v>
      </c>
      <c r="O250" s="98"/>
      <c r="P250" s="23" t="s">
        <v>1429</v>
      </c>
      <c r="Q250" s="24" t="s">
        <v>636</v>
      </c>
      <c r="R250" s="25" t="s">
        <v>606</v>
      </c>
      <c r="S250" s="26">
        <v>1</v>
      </c>
      <c r="T250" s="26"/>
      <c r="U250" s="26">
        <v>73088.800000000003</v>
      </c>
      <c r="V250" s="127">
        <f t="shared" si="51"/>
        <v>0</v>
      </c>
      <c r="W250" s="127">
        <f t="shared" si="54"/>
        <v>1</v>
      </c>
      <c r="X250" s="127">
        <f t="shared" si="52"/>
        <v>0</v>
      </c>
      <c r="Y250" s="127">
        <f t="shared" si="45"/>
        <v>73088.800000000003</v>
      </c>
      <c r="Z250" s="33" t="s">
        <v>15</v>
      </c>
      <c r="AA250" s="36" t="s">
        <v>16</v>
      </c>
      <c r="AB250" s="35">
        <f t="shared" si="42"/>
        <v>1</v>
      </c>
      <c r="AC250" s="35">
        <f t="shared" si="53"/>
        <v>73088.800000000003</v>
      </c>
      <c r="AD250" s="181">
        <v>1.7</v>
      </c>
      <c r="AE250" s="181">
        <v>1.7</v>
      </c>
      <c r="AF250" s="101" t="str">
        <f t="shared" si="43"/>
        <v/>
      </c>
      <c r="AG250" s="190">
        <v>1</v>
      </c>
      <c r="AH250" s="69">
        <f t="shared" si="44"/>
        <v>1</v>
      </c>
    </row>
    <row r="251" spans="1:34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>
        <v>22814.5</v>
      </c>
      <c r="I251" s="75">
        <v>136887</v>
      </c>
      <c r="J251" s="91" t="s">
        <v>640</v>
      </c>
      <c r="K251" s="73"/>
      <c r="L251" s="46">
        <v>0</v>
      </c>
      <c r="M251" s="46">
        <v>0</v>
      </c>
      <c r="N251" s="46">
        <v>0</v>
      </c>
      <c r="O251" s="98"/>
      <c r="P251" s="23" t="s">
        <v>1430</v>
      </c>
      <c r="Q251" s="24" t="s">
        <v>639</v>
      </c>
      <c r="R251" s="25" t="s">
        <v>606</v>
      </c>
      <c r="S251" s="26">
        <v>6</v>
      </c>
      <c r="T251" s="26"/>
      <c r="U251" s="26">
        <v>22814.5</v>
      </c>
      <c r="V251" s="26">
        <f t="shared" si="51"/>
        <v>0</v>
      </c>
      <c r="W251" s="26">
        <f t="shared" si="54"/>
        <v>0</v>
      </c>
      <c r="X251" s="26">
        <f t="shared" si="52"/>
        <v>0</v>
      </c>
      <c r="Y251" s="26">
        <f t="shared" si="45"/>
        <v>0</v>
      </c>
      <c r="Z251" s="33" t="s">
        <v>15</v>
      </c>
      <c r="AA251" s="36" t="s">
        <v>16</v>
      </c>
      <c r="AB251" s="35">
        <f t="shared" si="42"/>
        <v>6</v>
      </c>
      <c r="AC251" s="35">
        <f t="shared" si="53"/>
        <v>136887</v>
      </c>
      <c r="AD251" s="181">
        <v>1.7</v>
      </c>
      <c r="AE251" s="181">
        <v>1.7</v>
      </c>
      <c r="AF251" s="101" t="str">
        <f t="shared" si="43"/>
        <v/>
      </c>
      <c r="AG251" s="190">
        <v>0</v>
      </c>
      <c r="AH251" s="69">
        <f t="shared" si="44"/>
        <v>6</v>
      </c>
    </row>
    <row r="252" spans="1:34" s="69" customFormat="1" ht="58.5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133"/>
      <c r="F252" s="133"/>
      <c r="G252" s="133"/>
      <c r="H252" s="75">
        <v>1963.3</v>
      </c>
      <c r="I252" s="75">
        <v>5889.9</v>
      </c>
      <c r="J252" s="91" t="s">
        <v>643</v>
      </c>
      <c r="K252" s="73"/>
      <c r="L252" s="46">
        <v>3</v>
      </c>
      <c r="M252" s="46">
        <v>0</v>
      </c>
      <c r="N252" s="46">
        <v>5889.9</v>
      </c>
      <c r="O252" s="98"/>
      <c r="P252" s="23" t="s">
        <v>1431</v>
      </c>
      <c r="Q252" s="24" t="s">
        <v>642</v>
      </c>
      <c r="R252" s="25" t="s">
        <v>606</v>
      </c>
      <c r="S252" s="26">
        <v>3</v>
      </c>
      <c r="T252" s="26"/>
      <c r="U252" s="26">
        <v>1963.3</v>
      </c>
      <c r="V252" s="127">
        <f t="shared" si="51"/>
        <v>0</v>
      </c>
      <c r="W252" s="127">
        <f t="shared" si="54"/>
        <v>3</v>
      </c>
      <c r="X252" s="127">
        <f t="shared" si="52"/>
        <v>0</v>
      </c>
      <c r="Y252" s="127">
        <f t="shared" si="45"/>
        <v>5889.9</v>
      </c>
      <c r="Z252" s="33" t="s">
        <v>15</v>
      </c>
      <c r="AA252" s="36" t="s">
        <v>16</v>
      </c>
      <c r="AB252" s="35">
        <f t="shared" si="42"/>
        <v>3</v>
      </c>
      <c r="AC252" s="35">
        <f t="shared" si="53"/>
        <v>5889.9</v>
      </c>
      <c r="AD252" s="181">
        <v>1.7</v>
      </c>
      <c r="AE252" s="181">
        <v>1.7</v>
      </c>
      <c r="AF252" s="101" t="str">
        <f t="shared" si="43"/>
        <v/>
      </c>
      <c r="AG252" s="190">
        <v>3</v>
      </c>
      <c r="AH252" s="69">
        <f t="shared" si="44"/>
        <v>3</v>
      </c>
    </row>
    <row r="253" spans="1:34" s="69" customFormat="1" ht="58.5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133"/>
      <c r="F253" s="133"/>
      <c r="G253" s="133"/>
      <c r="H253" s="75">
        <v>2216.6</v>
      </c>
      <c r="I253" s="75">
        <v>11083</v>
      </c>
      <c r="J253" s="91" t="s">
        <v>646</v>
      </c>
      <c r="K253" s="73"/>
      <c r="L253" s="46">
        <v>5</v>
      </c>
      <c r="M253" s="46">
        <v>0</v>
      </c>
      <c r="N253" s="46">
        <v>11083</v>
      </c>
      <c r="O253" s="98"/>
      <c r="P253" s="23" t="s">
        <v>1395</v>
      </c>
      <c r="Q253" s="24" t="s">
        <v>645</v>
      </c>
      <c r="R253" s="25" t="s">
        <v>606</v>
      </c>
      <c r="S253" s="26">
        <v>5</v>
      </c>
      <c r="T253" s="26"/>
      <c r="U253" s="26">
        <v>2216.6</v>
      </c>
      <c r="V253" s="127">
        <f t="shared" si="51"/>
        <v>0</v>
      </c>
      <c r="W253" s="127">
        <f t="shared" si="54"/>
        <v>5</v>
      </c>
      <c r="X253" s="127">
        <f t="shared" si="52"/>
        <v>0</v>
      </c>
      <c r="Y253" s="127">
        <f t="shared" si="45"/>
        <v>11083</v>
      </c>
      <c r="Z253" s="33" t="s">
        <v>15</v>
      </c>
      <c r="AA253" s="36" t="s">
        <v>16</v>
      </c>
      <c r="AB253" s="35">
        <f t="shared" si="42"/>
        <v>5</v>
      </c>
      <c r="AC253" s="35">
        <f t="shared" si="53"/>
        <v>11083</v>
      </c>
      <c r="AD253" s="181">
        <v>1.7</v>
      </c>
      <c r="AE253" s="181">
        <v>1.7</v>
      </c>
      <c r="AF253" s="101" t="str">
        <f t="shared" si="43"/>
        <v/>
      </c>
      <c r="AG253" s="190">
        <v>5</v>
      </c>
      <c r="AH253" s="69">
        <f t="shared" si="44"/>
        <v>5</v>
      </c>
    </row>
    <row r="254" spans="1:34" s="69" customFormat="1" ht="58.5" x14ac:dyDescent="0.3">
      <c r="A254" s="55" t="s">
        <v>647</v>
      </c>
      <c r="B254" s="53" t="s">
        <v>648</v>
      </c>
      <c r="C254" s="54" t="s">
        <v>606</v>
      </c>
      <c r="D254" s="75">
        <v>7</v>
      </c>
      <c r="E254" s="75">
        <v>17</v>
      </c>
      <c r="F254" s="75"/>
      <c r="G254" s="75"/>
      <c r="H254" s="75">
        <v>2999.02</v>
      </c>
      <c r="I254" s="75">
        <v>50983.34</v>
      </c>
      <c r="J254" s="91" t="s">
        <v>649</v>
      </c>
      <c r="K254" s="73"/>
      <c r="L254" s="46">
        <v>7</v>
      </c>
      <c r="M254" s="46">
        <v>0</v>
      </c>
      <c r="N254" s="46">
        <v>20993.14</v>
      </c>
      <c r="O254" s="98"/>
      <c r="P254" s="23" t="s">
        <v>1432</v>
      </c>
      <c r="Q254" s="24" t="s">
        <v>648</v>
      </c>
      <c r="R254" s="25" t="s">
        <v>606</v>
      </c>
      <c r="S254" s="26">
        <v>7</v>
      </c>
      <c r="T254" s="26">
        <v>17</v>
      </c>
      <c r="U254" s="26">
        <v>2999.02</v>
      </c>
      <c r="V254" s="26">
        <f t="shared" si="51"/>
        <v>0</v>
      </c>
      <c r="W254" s="26">
        <f t="shared" si="54"/>
        <v>7</v>
      </c>
      <c r="X254" s="26">
        <f t="shared" si="52"/>
        <v>0</v>
      </c>
      <c r="Y254" s="26">
        <f t="shared" si="45"/>
        <v>20993.14</v>
      </c>
      <c r="Z254" s="27" t="s">
        <v>15</v>
      </c>
      <c r="AA254" s="36" t="s">
        <v>16</v>
      </c>
      <c r="AB254" s="35">
        <f t="shared" si="42"/>
        <v>17</v>
      </c>
      <c r="AC254" s="35">
        <f t="shared" si="53"/>
        <v>50983.34</v>
      </c>
      <c r="AD254" s="181">
        <v>1.7</v>
      </c>
      <c r="AE254" s="181">
        <v>1.7</v>
      </c>
      <c r="AF254" s="101" t="str">
        <f t="shared" si="43"/>
        <v/>
      </c>
      <c r="AG254" s="190">
        <v>7</v>
      </c>
      <c r="AH254" s="69">
        <f t="shared" si="44"/>
        <v>17</v>
      </c>
    </row>
    <row r="255" spans="1:34" s="69" customFormat="1" ht="58.5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133"/>
      <c r="F255" s="133"/>
      <c r="G255" s="133"/>
      <c r="H255" s="75">
        <v>4720.5600000000004</v>
      </c>
      <c r="I255" s="75">
        <v>14161.68</v>
      </c>
      <c r="J255" s="91" t="s">
        <v>652</v>
      </c>
      <c r="K255" s="73"/>
      <c r="L255" s="46">
        <v>3</v>
      </c>
      <c r="M255" s="46">
        <v>0</v>
      </c>
      <c r="N255" s="46">
        <v>14161.68</v>
      </c>
      <c r="O255" s="98"/>
      <c r="P255" s="23" t="s">
        <v>1433</v>
      </c>
      <c r="Q255" s="24" t="s">
        <v>651</v>
      </c>
      <c r="R255" s="25" t="s">
        <v>606</v>
      </c>
      <c r="S255" s="26">
        <v>3</v>
      </c>
      <c r="T255" s="26"/>
      <c r="U255" s="26">
        <v>4720.5600000000004</v>
      </c>
      <c r="V255" s="127">
        <f t="shared" si="51"/>
        <v>0</v>
      </c>
      <c r="W255" s="127">
        <f t="shared" si="54"/>
        <v>3</v>
      </c>
      <c r="X255" s="127">
        <f t="shared" si="52"/>
        <v>0</v>
      </c>
      <c r="Y255" s="127">
        <f t="shared" si="45"/>
        <v>14161.68</v>
      </c>
      <c r="Z255" s="33" t="s">
        <v>15</v>
      </c>
      <c r="AA255" s="36" t="s">
        <v>16</v>
      </c>
      <c r="AB255" s="35">
        <f t="shared" si="42"/>
        <v>3</v>
      </c>
      <c r="AC255" s="35">
        <f t="shared" si="53"/>
        <v>14161.68</v>
      </c>
      <c r="AD255" s="181">
        <v>1.7</v>
      </c>
      <c r="AE255" s="181">
        <v>1.7</v>
      </c>
      <c r="AF255" s="101" t="str">
        <f t="shared" si="43"/>
        <v/>
      </c>
      <c r="AG255" s="190">
        <v>3</v>
      </c>
      <c r="AH255" s="69">
        <f t="shared" si="44"/>
        <v>3</v>
      </c>
    </row>
    <row r="256" spans="1:34" s="69" customFormat="1" ht="58.5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133"/>
      <c r="F256" s="133"/>
      <c r="G256" s="133"/>
      <c r="H256" s="75">
        <v>5897.9</v>
      </c>
      <c r="I256" s="75">
        <v>23591.599999999999</v>
      </c>
      <c r="J256" s="91" t="s">
        <v>655</v>
      </c>
      <c r="K256" s="73"/>
      <c r="L256" s="46">
        <v>4</v>
      </c>
      <c r="M256" s="46">
        <v>0</v>
      </c>
      <c r="N256" s="46">
        <v>23591.599999999999</v>
      </c>
      <c r="O256" s="98"/>
      <c r="P256" s="23" t="s">
        <v>1382</v>
      </c>
      <c r="Q256" s="24" t="s">
        <v>654</v>
      </c>
      <c r="R256" s="25" t="s">
        <v>606</v>
      </c>
      <c r="S256" s="26">
        <v>4</v>
      </c>
      <c r="T256" s="26"/>
      <c r="U256" s="26">
        <v>5897.9</v>
      </c>
      <c r="V256" s="127">
        <f t="shared" si="51"/>
        <v>0</v>
      </c>
      <c r="W256" s="127">
        <f t="shared" si="54"/>
        <v>4</v>
      </c>
      <c r="X256" s="127">
        <f t="shared" si="52"/>
        <v>0</v>
      </c>
      <c r="Y256" s="127">
        <f t="shared" si="45"/>
        <v>23591.599999999999</v>
      </c>
      <c r="Z256" s="33" t="s">
        <v>15</v>
      </c>
      <c r="AA256" s="36" t="s">
        <v>16</v>
      </c>
      <c r="AB256" s="35">
        <f t="shared" si="42"/>
        <v>4</v>
      </c>
      <c r="AC256" s="35">
        <f t="shared" si="53"/>
        <v>23591.599999999999</v>
      </c>
      <c r="AD256" s="181">
        <v>1.7</v>
      </c>
      <c r="AE256" s="181">
        <v>1.7</v>
      </c>
      <c r="AF256" s="101" t="str">
        <f t="shared" si="43"/>
        <v/>
      </c>
      <c r="AG256" s="190">
        <v>4</v>
      </c>
      <c r="AH256" s="69">
        <f t="shared" si="44"/>
        <v>4</v>
      </c>
    </row>
    <row r="257" spans="1:34" s="69" customFormat="1" ht="39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133"/>
      <c r="F257" s="133"/>
      <c r="G257" s="133"/>
      <c r="H257" s="75">
        <v>9356.16</v>
      </c>
      <c r="I257" s="75">
        <v>9356.16</v>
      </c>
      <c r="J257" s="91" t="s">
        <v>658</v>
      </c>
      <c r="K257" s="73"/>
      <c r="L257" s="46">
        <v>1</v>
      </c>
      <c r="M257" s="46">
        <v>0</v>
      </c>
      <c r="N257" s="46">
        <v>9356.16</v>
      </c>
      <c r="O257" s="98"/>
      <c r="P257" s="23" t="s">
        <v>1434</v>
      </c>
      <c r="Q257" s="24" t="s">
        <v>657</v>
      </c>
      <c r="R257" s="25" t="s">
        <v>606</v>
      </c>
      <c r="S257" s="26">
        <v>1</v>
      </c>
      <c r="T257" s="26"/>
      <c r="U257" s="26">
        <v>9356.16</v>
      </c>
      <c r="V257" s="127">
        <f t="shared" si="51"/>
        <v>0</v>
      </c>
      <c r="W257" s="127">
        <f t="shared" si="54"/>
        <v>1</v>
      </c>
      <c r="X257" s="127">
        <f t="shared" si="52"/>
        <v>0</v>
      </c>
      <c r="Y257" s="127">
        <f t="shared" si="45"/>
        <v>9356.16</v>
      </c>
      <c r="Z257" s="33" t="s">
        <v>15</v>
      </c>
      <c r="AA257" s="36" t="s">
        <v>16</v>
      </c>
      <c r="AB257" s="35">
        <f t="shared" si="42"/>
        <v>1</v>
      </c>
      <c r="AC257" s="35">
        <f t="shared" si="53"/>
        <v>9356.16</v>
      </c>
      <c r="AD257" s="181">
        <v>1.7</v>
      </c>
      <c r="AE257" s="181">
        <v>1.7</v>
      </c>
      <c r="AF257" s="101" t="str">
        <f t="shared" si="43"/>
        <v/>
      </c>
      <c r="AG257" s="190">
        <v>1</v>
      </c>
      <c r="AH257" s="69">
        <f t="shared" si="44"/>
        <v>1</v>
      </c>
    </row>
    <row r="258" spans="1:34" s="69" customFormat="1" ht="39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133"/>
      <c r="F258" s="133"/>
      <c r="G258" s="133"/>
      <c r="H258" s="75">
        <v>13184.01</v>
      </c>
      <c r="I258" s="75">
        <v>13184.01</v>
      </c>
      <c r="J258" s="91" t="s">
        <v>661</v>
      </c>
      <c r="K258" s="73"/>
      <c r="L258" s="46">
        <v>1</v>
      </c>
      <c r="M258" s="46">
        <v>0</v>
      </c>
      <c r="N258" s="46">
        <v>13184.01</v>
      </c>
      <c r="O258" s="98"/>
      <c r="P258" s="23" t="s">
        <v>1388</v>
      </c>
      <c r="Q258" s="24" t="s">
        <v>660</v>
      </c>
      <c r="R258" s="25" t="s">
        <v>606</v>
      </c>
      <c r="S258" s="26">
        <v>1</v>
      </c>
      <c r="T258" s="26"/>
      <c r="U258" s="26">
        <v>13184.01</v>
      </c>
      <c r="V258" s="127">
        <f t="shared" si="51"/>
        <v>0</v>
      </c>
      <c r="W258" s="127">
        <f t="shared" si="54"/>
        <v>1</v>
      </c>
      <c r="X258" s="127">
        <f t="shared" si="52"/>
        <v>0</v>
      </c>
      <c r="Y258" s="127">
        <f t="shared" si="45"/>
        <v>13184.01</v>
      </c>
      <c r="Z258" s="33" t="s">
        <v>15</v>
      </c>
      <c r="AA258" s="36" t="s">
        <v>16</v>
      </c>
      <c r="AB258" s="35">
        <f t="shared" si="42"/>
        <v>1</v>
      </c>
      <c r="AC258" s="35">
        <f t="shared" si="53"/>
        <v>13184.01</v>
      </c>
      <c r="AD258" s="181">
        <v>1.7</v>
      </c>
      <c r="AE258" s="181">
        <v>1.7</v>
      </c>
      <c r="AF258" s="101" t="str">
        <f t="shared" si="43"/>
        <v/>
      </c>
      <c r="AG258" s="190">
        <v>1</v>
      </c>
      <c r="AH258" s="69">
        <f t="shared" si="44"/>
        <v>1</v>
      </c>
    </row>
    <row r="259" spans="1:34" s="69" customFormat="1" ht="39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133"/>
      <c r="F259" s="133"/>
      <c r="G259" s="133"/>
      <c r="H259" s="75">
        <v>1859.87</v>
      </c>
      <c r="I259" s="75">
        <v>87432.49</v>
      </c>
      <c r="J259" s="91" t="s">
        <v>664</v>
      </c>
      <c r="K259" s="73"/>
      <c r="L259" s="46">
        <v>47.01</v>
      </c>
      <c r="M259" s="46">
        <v>0</v>
      </c>
      <c r="N259" s="46">
        <v>87432.49</v>
      </c>
      <c r="O259" s="98"/>
      <c r="P259" s="23" t="s">
        <v>1389</v>
      </c>
      <c r="Q259" s="24" t="s">
        <v>663</v>
      </c>
      <c r="R259" s="25" t="s">
        <v>30</v>
      </c>
      <c r="S259" s="26">
        <v>47.01</v>
      </c>
      <c r="T259" s="26"/>
      <c r="U259" s="26">
        <v>1859.87</v>
      </c>
      <c r="V259" s="127">
        <f t="shared" si="51"/>
        <v>0</v>
      </c>
      <c r="W259" s="127">
        <f t="shared" si="54"/>
        <v>47.01</v>
      </c>
      <c r="X259" s="127">
        <f t="shared" si="52"/>
        <v>0</v>
      </c>
      <c r="Y259" s="127">
        <f t="shared" si="45"/>
        <v>87432.49</v>
      </c>
      <c r="Z259" s="33" t="s">
        <v>15</v>
      </c>
      <c r="AA259" s="36" t="s">
        <v>16</v>
      </c>
      <c r="AB259" s="35">
        <f t="shared" si="42"/>
        <v>47.01</v>
      </c>
      <c r="AC259" s="35">
        <f t="shared" si="53"/>
        <v>87432.49</v>
      </c>
      <c r="AD259" s="181">
        <v>1.7</v>
      </c>
      <c r="AE259" s="181">
        <v>1.7</v>
      </c>
      <c r="AF259" s="101" t="str">
        <f t="shared" si="43"/>
        <v/>
      </c>
      <c r="AG259" s="190">
        <v>47.01</v>
      </c>
      <c r="AH259" s="69">
        <f t="shared" si="44"/>
        <v>47.01</v>
      </c>
    </row>
    <row r="260" spans="1:34" s="69" customFormat="1" ht="39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133"/>
      <c r="F260" s="133"/>
      <c r="G260" s="133"/>
      <c r="H260" s="75">
        <v>40</v>
      </c>
      <c r="I260" s="75">
        <v>2520</v>
      </c>
      <c r="J260" s="91" t="s">
        <v>667</v>
      </c>
      <c r="K260" s="73"/>
      <c r="L260" s="46">
        <v>63</v>
      </c>
      <c r="M260" s="46">
        <v>0</v>
      </c>
      <c r="N260" s="46">
        <v>2520</v>
      </c>
      <c r="O260" s="98"/>
      <c r="P260" s="23" t="s">
        <v>1390</v>
      </c>
      <c r="Q260" s="24" t="s">
        <v>666</v>
      </c>
      <c r="R260" s="25" t="s">
        <v>325</v>
      </c>
      <c r="S260" s="26">
        <v>63</v>
      </c>
      <c r="T260" s="26"/>
      <c r="U260" s="26">
        <v>40</v>
      </c>
      <c r="V260" s="127">
        <f t="shared" si="51"/>
        <v>0</v>
      </c>
      <c r="W260" s="127">
        <f t="shared" si="54"/>
        <v>63</v>
      </c>
      <c r="X260" s="127">
        <f t="shared" si="52"/>
        <v>0</v>
      </c>
      <c r="Y260" s="127">
        <f t="shared" si="45"/>
        <v>2520</v>
      </c>
      <c r="Z260" s="33" t="s">
        <v>15</v>
      </c>
      <c r="AA260" s="36" t="s">
        <v>16</v>
      </c>
      <c r="AB260" s="35">
        <f t="shared" si="42"/>
        <v>63</v>
      </c>
      <c r="AC260" s="35">
        <f t="shared" si="53"/>
        <v>2520</v>
      </c>
      <c r="AD260" s="181">
        <v>1.7</v>
      </c>
      <c r="AE260" s="181">
        <v>1.7</v>
      </c>
      <c r="AF260" s="101" t="str">
        <f t="shared" si="43"/>
        <v/>
      </c>
      <c r="AG260" s="190">
        <v>63</v>
      </c>
      <c r="AH260" s="69">
        <f t="shared" si="44"/>
        <v>63</v>
      </c>
    </row>
    <row r="261" spans="1:34" s="69" customFormat="1" ht="58.5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133"/>
      <c r="F261" s="133"/>
      <c r="G261" s="133"/>
      <c r="H261" s="75">
        <v>35</v>
      </c>
      <c r="I261" s="75">
        <v>11025</v>
      </c>
      <c r="J261" s="91" t="s">
        <v>670</v>
      </c>
      <c r="K261" s="73"/>
      <c r="L261" s="46">
        <v>315</v>
      </c>
      <c r="M261" s="46">
        <v>0</v>
      </c>
      <c r="N261" s="46">
        <v>11025</v>
      </c>
      <c r="O261" s="98"/>
      <c r="P261" s="23" t="s">
        <v>1391</v>
      </c>
      <c r="Q261" s="24" t="s">
        <v>669</v>
      </c>
      <c r="R261" s="25" t="s">
        <v>162</v>
      </c>
      <c r="S261" s="26">
        <v>315</v>
      </c>
      <c r="T261" s="26"/>
      <c r="U261" s="26">
        <v>35</v>
      </c>
      <c r="V261" s="127">
        <f t="shared" si="51"/>
        <v>0</v>
      </c>
      <c r="W261" s="127">
        <f t="shared" si="54"/>
        <v>315</v>
      </c>
      <c r="X261" s="127">
        <f t="shared" si="52"/>
        <v>0</v>
      </c>
      <c r="Y261" s="127">
        <f t="shared" si="45"/>
        <v>11025</v>
      </c>
      <c r="Z261" s="33" t="s">
        <v>15</v>
      </c>
      <c r="AA261" s="36" t="s">
        <v>16</v>
      </c>
      <c r="AB261" s="35">
        <f t="shared" si="42"/>
        <v>315</v>
      </c>
      <c r="AC261" s="35">
        <f t="shared" si="53"/>
        <v>11025</v>
      </c>
      <c r="AD261" s="181">
        <v>1.7</v>
      </c>
      <c r="AE261" s="181">
        <v>1.7</v>
      </c>
      <c r="AF261" s="101" t="str">
        <f t="shared" si="43"/>
        <v/>
      </c>
      <c r="AG261" s="190">
        <v>315</v>
      </c>
      <c r="AH261" s="69">
        <f t="shared" si="44"/>
        <v>315</v>
      </c>
    </row>
    <row r="262" spans="1:34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>
        <v>10</v>
      </c>
      <c r="I262" s="75">
        <v>12000</v>
      </c>
      <c r="J262" s="91" t="s">
        <v>673</v>
      </c>
      <c r="K262" s="73"/>
      <c r="L262" s="46">
        <v>0</v>
      </c>
      <c r="M262" s="46">
        <v>0</v>
      </c>
      <c r="N262" s="46">
        <v>0</v>
      </c>
      <c r="O262" s="98"/>
      <c r="P262" s="23" t="s">
        <v>1436</v>
      </c>
      <c r="Q262" s="24" t="s">
        <v>672</v>
      </c>
      <c r="R262" s="25" t="s">
        <v>30</v>
      </c>
      <c r="S262" s="26">
        <v>1200</v>
      </c>
      <c r="T262" s="26"/>
      <c r="U262" s="26">
        <v>10</v>
      </c>
      <c r="V262" s="26">
        <f t="shared" si="51"/>
        <v>0</v>
      </c>
      <c r="W262" s="26">
        <f t="shared" si="54"/>
        <v>0</v>
      </c>
      <c r="X262" s="26">
        <f t="shared" si="52"/>
        <v>0</v>
      </c>
      <c r="Y262" s="26">
        <f t="shared" si="45"/>
        <v>0</v>
      </c>
      <c r="Z262" s="33" t="s">
        <v>15</v>
      </c>
      <c r="AA262" s="36" t="s">
        <v>16</v>
      </c>
      <c r="AB262" s="35">
        <f t="shared" si="42"/>
        <v>1200</v>
      </c>
      <c r="AC262" s="35">
        <f t="shared" si="53"/>
        <v>12000</v>
      </c>
      <c r="AD262" s="181">
        <v>1.7</v>
      </c>
      <c r="AE262" s="181">
        <v>1.7</v>
      </c>
      <c r="AF262" s="101" t="str">
        <f t="shared" si="43"/>
        <v/>
      </c>
      <c r="AG262" s="190">
        <v>0</v>
      </c>
      <c r="AH262" s="69">
        <f t="shared" si="44"/>
        <v>1200</v>
      </c>
    </row>
    <row r="263" spans="1:34" s="69" customFormat="1" ht="33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133"/>
      <c r="F263" s="133"/>
      <c r="G263" s="133"/>
      <c r="H263" s="75">
        <v>531</v>
      </c>
      <c r="I263" s="75">
        <v>16381.35</v>
      </c>
      <c r="J263" s="91" t="s">
        <v>676</v>
      </c>
      <c r="K263" s="73"/>
      <c r="L263" s="46">
        <v>30.85</v>
      </c>
      <c r="M263" s="46">
        <v>0</v>
      </c>
      <c r="N263" s="46">
        <v>16381.35</v>
      </c>
      <c r="O263" s="98"/>
      <c r="P263" s="23" t="s">
        <v>1374</v>
      </c>
      <c r="Q263" s="24" t="s">
        <v>675</v>
      </c>
      <c r="R263" s="25" t="s">
        <v>50</v>
      </c>
      <c r="S263" s="26">
        <v>30.85</v>
      </c>
      <c r="T263" s="26"/>
      <c r="U263" s="26">
        <v>531</v>
      </c>
      <c r="V263" s="127">
        <f t="shared" si="51"/>
        <v>0</v>
      </c>
      <c r="W263" s="127">
        <f t="shared" si="54"/>
        <v>30.85</v>
      </c>
      <c r="X263" s="127">
        <f t="shared" si="52"/>
        <v>0</v>
      </c>
      <c r="Y263" s="127">
        <f t="shared" si="45"/>
        <v>16381.35</v>
      </c>
      <c r="Z263" s="33" t="s">
        <v>15</v>
      </c>
      <c r="AA263" s="36" t="s">
        <v>16</v>
      </c>
      <c r="AB263" s="35">
        <f t="shared" si="42"/>
        <v>30.85</v>
      </c>
      <c r="AC263" s="35">
        <f t="shared" si="53"/>
        <v>16381.35</v>
      </c>
      <c r="AD263" s="181">
        <v>1.7</v>
      </c>
      <c r="AE263" s="181">
        <v>1.7</v>
      </c>
      <c r="AF263" s="101" t="str">
        <f t="shared" si="43"/>
        <v/>
      </c>
      <c r="AG263" s="190">
        <v>30.85</v>
      </c>
      <c r="AH263" s="69">
        <f t="shared" si="44"/>
        <v>30.85</v>
      </c>
    </row>
    <row r="264" spans="1:34" s="69" customFormat="1" ht="33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133"/>
      <c r="F264" s="133"/>
      <c r="G264" s="133"/>
      <c r="H264" s="75">
        <v>3386.57</v>
      </c>
      <c r="I264" s="75">
        <v>12530.31</v>
      </c>
      <c r="J264" s="91" t="s">
        <v>679</v>
      </c>
      <c r="K264" s="73"/>
      <c r="L264" s="46">
        <v>3.7</v>
      </c>
      <c r="M264" s="46">
        <v>0</v>
      </c>
      <c r="N264" s="46">
        <v>12530.31</v>
      </c>
      <c r="O264" s="98"/>
      <c r="P264" s="23" t="s">
        <v>1376</v>
      </c>
      <c r="Q264" s="24" t="s">
        <v>678</v>
      </c>
      <c r="R264" s="25" t="s">
        <v>23</v>
      </c>
      <c r="S264" s="26">
        <v>3.7</v>
      </c>
      <c r="T264" s="26"/>
      <c r="U264" s="26">
        <v>3386.57</v>
      </c>
      <c r="V264" s="127">
        <f t="shared" si="51"/>
        <v>0</v>
      </c>
      <c r="W264" s="127">
        <f t="shared" si="54"/>
        <v>3.7</v>
      </c>
      <c r="X264" s="127">
        <f t="shared" si="52"/>
        <v>0</v>
      </c>
      <c r="Y264" s="127">
        <f t="shared" si="45"/>
        <v>12530.31</v>
      </c>
      <c r="Z264" s="33" t="s">
        <v>15</v>
      </c>
      <c r="AA264" s="36" t="s">
        <v>16</v>
      </c>
      <c r="AB264" s="35">
        <f t="shared" si="42"/>
        <v>3.7</v>
      </c>
      <c r="AC264" s="35">
        <f t="shared" si="53"/>
        <v>12530.31</v>
      </c>
      <c r="AD264" s="181">
        <v>1.7</v>
      </c>
      <c r="AE264" s="181">
        <v>1.7</v>
      </c>
      <c r="AF264" s="101" t="str">
        <f t="shared" si="43"/>
        <v/>
      </c>
      <c r="AG264" s="190">
        <v>3.7</v>
      </c>
      <c r="AH264" s="69">
        <f t="shared" si="44"/>
        <v>3.7</v>
      </c>
    </row>
    <row r="265" spans="1:34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75"/>
      <c r="H265" s="75">
        <v>108000</v>
      </c>
      <c r="I265" s="75">
        <v>108000</v>
      </c>
      <c r="J265" s="91" t="s">
        <v>682</v>
      </c>
      <c r="K265" s="73"/>
      <c r="L265" s="46">
        <v>0</v>
      </c>
      <c r="M265" s="46">
        <v>0</v>
      </c>
      <c r="N265" s="46">
        <v>0</v>
      </c>
      <c r="O265" s="98"/>
      <c r="P265" s="23" t="s">
        <v>1378</v>
      </c>
      <c r="Q265" s="24" t="s">
        <v>681</v>
      </c>
      <c r="R265" s="25" t="s">
        <v>14</v>
      </c>
      <c r="S265" s="26">
        <v>1</v>
      </c>
      <c r="T265" s="26"/>
      <c r="U265" s="26">
        <v>108000</v>
      </c>
      <c r="V265" s="26">
        <f t="shared" si="51"/>
        <v>0</v>
      </c>
      <c r="W265" s="26">
        <f t="shared" si="54"/>
        <v>0</v>
      </c>
      <c r="X265" s="26">
        <f t="shared" si="52"/>
        <v>0</v>
      </c>
      <c r="Y265" s="26">
        <f t="shared" si="45"/>
        <v>0</v>
      </c>
      <c r="Z265" s="33" t="s">
        <v>15</v>
      </c>
      <c r="AA265" s="36" t="s">
        <v>16</v>
      </c>
      <c r="AB265" s="35">
        <f t="shared" si="42"/>
        <v>1</v>
      </c>
      <c r="AC265" s="35">
        <f t="shared" si="53"/>
        <v>108000</v>
      </c>
      <c r="AD265" s="181">
        <v>1.7</v>
      </c>
      <c r="AE265" s="181">
        <v>1.7</v>
      </c>
      <c r="AF265" s="101" t="str">
        <f t="shared" si="43"/>
        <v/>
      </c>
      <c r="AG265" s="190">
        <v>0</v>
      </c>
      <c r="AH265" s="69">
        <f t="shared" si="44"/>
        <v>1</v>
      </c>
    </row>
    <row r="266" spans="1:34" s="69" customFormat="1" ht="33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75"/>
      <c r="H266" s="75">
        <v>500</v>
      </c>
      <c r="I266" s="75">
        <v>724160</v>
      </c>
      <c r="J266" s="91" t="s">
        <v>685</v>
      </c>
      <c r="K266" s="73"/>
      <c r="L266" s="46">
        <v>0</v>
      </c>
      <c r="M266" s="46">
        <v>0</v>
      </c>
      <c r="N266" s="46">
        <v>0</v>
      </c>
      <c r="O266" s="98"/>
      <c r="P266" s="23" t="s">
        <v>1438</v>
      </c>
      <c r="Q266" s="24" t="s">
        <v>684</v>
      </c>
      <c r="R266" s="25" t="s">
        <v>50</v>
      </c>
      <c r="S266" s="26">
        <v>1448.32</v>
      </c>
      <c r="T266" s="26"/>
      <c r="U266" s="26">
        <v>500</v>
      </c>
      <c r="V266" s="26">
        <f t="shared" si="51"/>
        <v>0</v>
      </c>
      <c r="W266" s="26">
        <f t="shared" si="54"/>
        <v>0</v>
      </c>
      <c r="X266" s="26">
        <f t="shared" si="52"/>
        <v>0</v>
      </c>
      <c r="Y266" s="26">
        <f t="shared" si="45"/>
        <v>0</v>
      </c>
      <c r="Z266" s="33" t="s">
        <v>15</v>
      </c>
      <c r="AA266" s="36" t="s">
        <v>16</v>
      </c>
      <c r="AB266" s="35">
        <f t="shared" si="42"/>
        <v>1448.32</v>
      </c>
      <c r="AC266" s="35">
        <f t="shared" si="53"/>
        <v>724160</v>
      </c>
      <c r="AD266" s="181">
        <v>1.7</v>
      </c>
      <c r="AE266" s="181">
        <v>1.7</v>
      </c>
      <c r="AF266" s="101" t="str">
        <f t="shared" si="43"/>
        <v/>
      </c>
      <c r="AG266" s="190">
        <v>0</v>
      </c>
      <c r="AH266" s="69">
        <f t="shared" si="44"/>
        <v>1448.32</v>
      </c>
    </row>
    <row r="267" spans="1:34" s="69" customFormat="1" ht="58.5" hidden="1" x14ac:dyDescent="0.3">
      <c r="A267" s="55" t="s">
        <v>686</v>
      </c>
      <c r="B267" s="53" t="s">
        <v>687</v>
      </c>
      <c r="C267" s="54" t="s">
        <v>606</v>
      </c>
      <c r="D267" s="75">
        <v>42</v>
      </c>
      <c r="E267" s="75"/>
      <c r="F267" s="75"/>
      <c r="G267" s="75"/>
      <c r="H267" s="75">
        <v>10176.969999999999</v>
      </c>
      <c r="I267" s="75">
        <v>427432.74</v>
      </c>
      <c r="J267" s="91" t="s">
        <v>688</v>
      </c>
      <c r="K267" s="73"/>
      <c r="L267" s="46">
        <v>0</v>
      </c>
      <c r="M267" s="46">
        <v>0</v>
      </c>
      <c r="N267" s="46">
        <v>0</v>
      </c>
      <c r="O267" s="98"/>
      <c r="P267" s="23" t="s">
        <v>1439</v>
      </c>
      <c r="Q267" s="24" t="s">
        <v>687</v>
      </c>
      <c r="R267" s="25" t="s">
        <v>606</v>
      </c>
      <c r="S267" s="26">
        <v>42</v>
      </c>
      <c r="T267" s="26"/>
      <c r="U267" s="26">
        <v>10176.969999999999</v>
      </c>
      <c r="V267" s="26">
        <f t="shared" si="51"/>
        <v>0</v>
      </c>
      <c r="W267" s="26">
        <f t="shared" si="54"/>
        <v>0</v>
      </c>
      <c r="X267" s="26">
        <f t="shared" si="52"/>
        <v>0</v>
      </c>
      <c r="Y267" s="26">
        <f t="shared" si="45"/>
        <v>0</v>
      </c>
      <c r="Z267" s="33" t="s">
        <v>15</v>
      </c>
      <c r="AA267" s="36" t="s">
        <v>16</v>
      </c>
      <c r="AB267" s="35">
        <f t="shared" ref="AB267:AB330" si="55">IF(T267="",S267,T267)</f>
        <v>42</v>
      </c>
      <c r="AC267" s="35">
        <f t="shared" si="53"/>
        <v>427432.74</v>
      </c>
      <c r="AD267" s="181">
        <v>1.7</v>
      </c>
      <c r="AE267" s="181">
        <v>1.7</v>
      </c>
      <c r="AF267" s="101" t="str">
        <f t="shared" ref="AF267:AF330" si="56">IF(W267&gt;AH267,"超估","")</f>
        <v/>
      </c>
      <c r="AG267" s="190">
        <v>0</v>
      </c>
      <c r="AH267" s="69">
        <f t="shared" ref="AH267:AH330" si="57">IF(G267=0,IF(F267=0,IF(E267=0,D267,E267),F267),G267)</f>
        <v>42</v>
      </c>
    </row>
    <row r="268" spans="1:34" s="69" customFormat="1" ht="58.5" hidden="1" x14ac:dyDescent="0.3">
      <c r="A268" s="55" t="s">
        <v>689</v>
      </c>
      <c r="B268" s="53" t="s">
        <v>690</v>
      </c>
      <c r="C268" s="54" t="s">
        <v>606</v>
      </c>
      <c r="D268" s="75">
        <v>19</v>
      </c>
      <c r="E268" s="75"/>
      <c r="F268" s="75"/>
      <c r="G268" s="75"/>
      <c r="H268" s="75">
        <v>13526.18</v>
      </c>
      <c r="I268" s="75">
        <v>256997.42</v>
      </c>
      <c r="J268" s="91" t="s">
        <v>691</v>
      </c>
      <c r="K268" s="73"/>
      <c r="L268" s="46">
        <v>0</v>
      </c>
      <c r="M268" s="46">
        <v>0</v>
      </c>
      <c r="N268" s="46">
        <v>0</v>
      </c>
      <c r="O268" s="98"/>
      <c r="P268" s="23" t="s">
        <v>1440</v>
      </c>
      <c r="Q268" s="24" t="s">
        <v>690</v>
      </c>
      <c r="R268" s="25" t="s">
        <v>606</v>
      </c>
      <c r="S268" s="26">
        <v>19</v>
      </c>
      <c r="T268" s="26"/>
      <c r="U268" s="26">
        <v>13526.18</v>
      </c>
      <c r="V268" s="26">
        <f t="shared" si="51"/>
        <v>0</v>
      </c>
      <c r="W268" s="26">
        <f t="shared" si="54"/>
        <v>0</v>
      </c>
      <c r="X268" s="26">
        <f t="shared" si="52"/>
        <v>0</v>
      </c>
      <c r="Y268" s="26">
        <f t="shared" ref="Y268:Y331" si="58">ROUND(U268*W268,2)</f>
        <v>0</v>
      </c>
      <c r="Z268" s="33" t="s">
        <v>15</v>
      </c>
      <c r="AA268" s="36" t="s">
        <v>16</v>
      </c>
      <c r="AB268" s="35">
        <f t="shared" si="55"/>
        <v>19</v>
      </c>
      <c r="AC268" s="35">
        <f t="shared" si="53"/>
        <v>256997.42</v>
      </c>
      <c r="AD268" s="181">
        <v>1.7</v>
      </c>
      <c r="AE268" s="181">
        <v>1.7</v>
      </c>
      <c r="AF268" s="101" t="str">
        <f t="shared" si="56"/>
        <v/>
      </c>
      <c r="AG268" s="190">
        <v>0</v>
      </c>
      <c r="AH268" s="69">
        <f t="shared" si="57"/>
        <v>19</v>
      </c>
    </row>
    <row r="269" spans="1:34" s="69" customFormat="1" ht="58.5" hidden="1" x14ac:dyDescent="0.3">
      <c r="A269" s="55" t="s">
        <v>692</v>
      </c>
      <c r="B269" s="53" t="s">
        <v>693</v>
      </c>
      <c r="C269" s="54" t="s">
        <v>606</v>
      </c>
      <c r="D269" s="75">
        <v>8</v>
      </c>
      <c r="E269" s="75"/>
      <c r="F269" s="75"/>
      <c r="G269" s="75"/>
      <c r="H269" s="75">
        <v>8660.64</v>
      </c>
      <c r="I269" s="75">
        <v>69285.119999999995</v>
      </c>
      <c r="J269" s="91" t="s">
        <v>694</v>
      </c>
      <c r="K269" s="73"/>
      <c r="L269" s="46">
        <v>0</v>
      </c>
      <c r="M269" s="46">
        <v>0</v>
      </c>
      <c r="N269" s="46">
        <v>0</v>
      </c>
      <c r="O269" s="98"/>
      <c r="P269" s="23" t="s">
        <v>1441</v>
      </c>
      <c r="Q269" s="24" t="s">
        <v>693</v>
      </c>
      <c r="R269" s="25" t="s">
        <v>606</v>
      </c>
      <c r="S269" s="26">
        <v>8</v>
      </c>
      <c r="T269" s="26"/>
      <c r="U269" s="26">
        <v>8660.64</v>
      </c>
      <c r="V269" s="26">
        <f t="shared" si="51"/>
        <v>0</v>
      </c>
      <c r="W269" s="26">
        <f t="shared" si="54"/>
        <v>0</v>
      </c>
      <c r="X269" s="26">
        <f t="shared" si="52"/>
        <v>0</v>
      </c>
      <c r="Y269" s="26">
        <f t="shared" si="58"/>
        <v>0</v>
      </c>
      <c r="Z269" s="33" t="s">
        <v>15</v>
      </c>
      <c r="AA269" s="36" t="s">
        <v>16</v>
      </c>
      <c r="AB269" s="35">
        <f t="shared" si="55"/>
        <v>8</v>
      </c>
      <c r="AC269" s="35">
        <f t="shared" si="53"/>
        <v>69285.119999999995</v>
      </c>
      <c r="AD269" s="181">
        <v>1.7</v>
      </c>
      <c r="AE269" s="181">
        <v>1.7</v>
      </c>
      <c r="AF269" s="101" t="str">
        <f t="shared" si="56"/>
        <v/>
      </c>
      <c r="AG269" s="190">
        <v>0</v>
      </c>
      <c r="AH269" s="69">
        <f t="shared" si="57"/>
        <v>8</v>
      </c>
    </row>
    <row r="270" spans="1:34" s="69" customFormat="1" ht="58.5" hidden="1" x14ac:dyDescent="0.3">
      <c r="A270" s="55" t="s">
        <v>695</v>
      </c>
      <c r="B270" s="53" t="s">
        <v>696</v>
      </c>
      <c r="C270" s="54" t="s">
        <v>606</v>
      </c>
      <c r="D270" s="75">
        <v>8</v>
      </c>
      <c r="E270" s="75"/>
      <c r="F270" s="75"/>
      <c r="G270" s="75"/>
      <c r="H270" s="75">
        <v>17930.64</v>
      </c>
      <c r="I270" s="75">
        <v>143445.12</v>
      </c>
      <c r="J270" s="91" t="s">
        <v>697</v>
      </c>
      <c r="K270" s="73"/>
      <c r="L270" s="46">
        <v>0</v>
      </c>
      <c r="M270" s="46">
        <v>0</v>
      </c>
      <c r="N270" s="46">
        <v>0</v>
      </c>
      <c r="O270" s="98"/>
      <c r="P270" s="23" t="s">
        <v>1442</v>
      </c>
      <c r="Q270" s="24" t="s">
        <v>696</v>
      </c>
      <c r="R270" s="25" t="s">
        <v>606</v>
      </c>
      <c r="S270" s="26">
        <v>8</v>
      </c>
      <c r="T270" s="26"/>
      <c r="U270" s="26">
        <v>17930.64</v>
      </c>
      <c r="V270" s="26">
        <f t="shared" si="51"/>
        <v>0</v>
      </c>
      <c r="W270" s="26">
        <f t="shared" si="54"/>
        <v>0</v>
      </c>
      <c r="X270" s="26">
        <f t="shared" ref="X270:X301" si="59">Y270-N270</f>
        <v>0</v>
      </c>
      <c r="Y270" s="26">
        <f t="shared" si="58"/>
        <v>0</v>
      </c>
      <c r="Z270" s="33" t="s">
        <v>15</v>
      </c>
      <c r="AA270" s="36" t="s">
        <v>16</v>
      </c>
      <c r="AB270" s="35">
        <f t="shared" si="55"/>
        <v>8</v>
      </c>
      <c r="AC270" s="35">
        <f t="shared" si="53"/>
        <v>143445.12</v>
      </c>
      <c r="AD270" s="181">
        <v>1.7</v>
      </c>
      <c r="AE270" s="181">
        <v>1.7</v>
      </c>
      <c r="AF270" s="101" t="str">
        <f t="shared" si="56"/>
        <v/>
      </c>
      <c r="AG270" s="190">
        <v>0</v>
      </c>
      <c r="AH270" s="69">
        <f t="shared" si="57"/>
        <v>8</v>
      </c>
    </row>
    <row r="271" spans="1:34" s="69" customFormat="1" ht="58.5" hidden="1" x14ac:dyDescent="0.3">
      <c r="A271" s="55" t="s">
        <v>698</v>
      </c>
      <c r="B271" s="53" t="s">
        <v>699</v>
      </c>
      <c r="C271" s="54" t="s">
        <v>606</v>
      </c>
      <c r="D271" s="75">
        <v>14</v>
      </c>
      <c r="E271" s="75"/>
      <c r="F271" s="75"/>
      <c r="G271" s="75"/>
      <c r="H271" s="75">
        <v>5272.95</v>
      </c>
      <c r="I271" s="75">
        <v>73821.3</v>
      </c>
      <c r="J271" s="91" t="s">
        <v>700</v>
      </c>
      <c r="K271" s="73"/>
      <c r="L271" s="46">
        <v>0</v>
      </c>
      <c r="M271" s="46">
        <v>0</v>
      </c>
      <c r="N271" s="46">
        <v>0</v>
      </c>
      <c r="O271" s="98"/>
      <c r="P271" s="23" t="s">
        <v>1443</v>
      </c>
      <c r="Q271" s="24" t="s">
        <v>699</v>
      </c>
      <c r="R271" s="25" t="s">
        <v>606</v>
      </c>
      <c r="S271" s="26">
        <v>14</v>
      </c>
      <c r="T271" s="26"/>
      <c r="U271" s="26">
        <v>5272.95</v>
      </c>
      <c r="V271" s="26">
        <f t="shared" si="51"/>
        <v>0</v>
      </c>
      <c r="W271" s="26">
        <f t="shared" si="54"/>
        <v>0</v>
      </c>
      <c r="X271" s="26">
        <f t="shared" si="59"/>
        <v>0</v>
      </c>
      <c r="Y271" s="26">
        <f t="shared" si="58"/>
        <v>0</v>
      </c>
      <c r="Z271" s="33" t="s">
        <v>15</v>
      </c>
      <c r="AA271" s="36" t="s">
        <v>16</v>
      </c>
      <c r="AB271" s="35">
        <f t="shared" si="55"/>
        <v>14</v>
      </c>
      <c r="AC271" s="35">
        <f t="shared" si="53"/>
        <v>73821.3</v>
      </c>
      <c r="AD271" s="181">
        <v>1.7</v>
      </c>
      <c r="AE271" s="181">
        <v>1.7</v>
      </c>
      <c r="AF271" s="101" t="str">
        <f t="shared" si="56"/>
        <v/>
      </c>
      <c r="AG271" s="190">
        <v>0</v>
      </c>
      <c r="AH271" s="69">
        <f t="shared" si="57"/>
        <v>14</v>
      </c>
    </row>
    <row r="272" spans="1:34" s="69" customFormat="1" ht="58.5" hidden="1" x14ac:dyDescent="0.3">
      <c r="A272" s="55" t="s">
        <v>701</v>
      </c>
      <c r="B272" s="53" t="s">
        <v>702</v>
      </c>
      <c r="C272" s="54" t="s">
        <v>606</v>
      </c>
      <c r="D272" s="75">
        <v>15</v>
      </c>
      <c r="E272" s="75"/>
      <c r="F272" s="75"/>
      <c r="G272" s="75"/>
      <c r="H272" s="75">
        <v>5272.95</v>
      </c>
      <c r="I272" s="75">
        <v>79094.25</v>
      </c>
      <c r="J272" s="91" t="s">
        <v>703</v>
      </c>
      <c r="K272" s="73"/>
      <c r="L272" s="46">
        <v>0</v>
      </c>
      <c r="M272" s="46">
        <v>0</v>
      </c>
      <c r="N272" s="46">
        <v>0</v>
      </c>
      <c r="O272" s="98"/>
      <c r="P272" s="23" t="s">
        <v>1444</v>
      </c>
      <c r="Q272" s="24" t="s">
        <v>702</v>
      </c>
      <c r="R272" s="25" t="s">
        <v>606</v>
      </c>
      <c r="S272" s="26">
        <v>15</v>
      </c>
      <c r="T272" s="26"/>
      <c r="U272" s="26">
        <v>5272.95</v>
      </c>
      <c r="V272" s="26">
        <f t="shared" si="51"/>
        <v>0</v>
      </c>
      <c r="W272" s="26">
        <f t="shared" si="54"/>
        <v>0</v>
      </c>
      <c r="X272" s="26">
        <f t="shared" si="59"/>
        <v>0</v>
      </c>
      <c r="Y272" s="26">
        <f t="shared" si="58"/>
        <v>0</v>
      </c>
      <c r="Z272" s="33" t="s">
        <v>15</v>
      </c>
      <c r="AA272" s="36" t="s">
        <v>16</v>
      </c>
      <c r="AB272" s="35">
        <f t="shared" si="55"/>
        <v>15</v>
      </c>
      <c r="AC272" s="35">
        <f t="shared" si="53"/>
        <v>79094.25</v>
      </c>
      <c r="AD272" s="181">
        <v>1.7</v>
      </c>
      <c r="AE272" s="181">
        <v>1.7</v>
      </c>
      <c r="AF272" s="101" t="str">
        <f t="shared" si="56"/>
        <v/>
      </c>
      <c r="AG272" s="190">
        <v>0</v>
      </c>
      <c r="AH272" s="69">
        <f t="shared" si="57"/>
        <v>15</v>
      </c>
    </row>
    <row r="273" spans="1:34" s="69" customFormat="1" ht="58.5" hidden="1" x14ac:dyDescent="0.3">
      <c r="A273" s="55" t="s">
        <v>704</v>
      </c>
      <c r="B273" s="53" t="s">
        <v>705</v>
      </c>
      <c r="C273" s="54" t="s">
        <v>606</v>
      </c>
      <c r="D273" s="75">
        <v>1</v>
      </c>
      <c r="E273" s="75"/>
      <c r="F273" s="75"/>
      <c r="G273" s="75"/>
      <c r="H273" s="75">
        <v>7859.47</v>
      </c>
      <c r="I273" s="75">
        <v>7859.47</v>
      </c>
      <c r="J273" s="91" t="s">
        <v>706</v>
      </c>
      <c r="K273" s="73"/>
      <c r="L273" s="46">
        <v>0</v>
      </c>
      <c r="M273" s="46">
        <v>0</v>
      </c>
      <c r="N273" s="46">
        <v>0</v>
      </c>
      <c r="O273" s="98"/>
      <c r="P273" s="23" t="s">
        <v>1408</v>
      </c>
      <c r="Q273" s="24" t="s">
        <v>705</v>
      </c>
      <c r="R273" s="25" t="s">
        <v>606</v>
      </c>
      <c r="S273" s="26">
        <v>1</v>
      </c>
      <c r="T273" s="26"/>
      <c r="U273" s="26">
        <v>7859.47</v>
      </c>
      <c r="V273" s="26">
        <f t="shared" si="51"/>
        <v>0</v>
      </c>
      <c r="W273" s="26">
        <f t="shared" si="54"/>
        <v>0</v>
      </c>
      <c r="X273" s="26">
        <f t="shared" si="59"/>
        <v>0</v>
      </c>
      <c r="Y273" s="26">
        <f t="shared" si="58"/>
        <v>0</v>
      </c>
      <c r="Z273" s="33" t="s">
        <v>15</v>
      </c>
      <c r="AA273" s="36" t="s">
        <v>16</v>
      </c>
      <c r="AB273" s="35">
        <f t="shared" si="55"/>
        <v>1</v>
      </c>
      <c r="AC273" s="35">
        <f t="shared" si="53"/>
        <v>7859.47</v>
      </c>
      <c r="AD273" s="181">
        <v>1.7</v>
      </c>
      <c r="AE273" s="181">
        <v>1.7</v>
      </c>
      <c r="AF273" s="101" t="str">
        <f t="shared" si="56"/>
        <v/>
      </c>
      <c r="AG273" s="190">
        <v>0</v>
      </c>
      <c r="AH273" s="69">
        <f t="shared" si="57"/>
        <v>1</v>
      </c>
    </row>
    <row r="274" spans="1:34" s="69" customFormat="1" ht="58.5" hidden="1" x14ac:dyDescent="0.3">
      <c r="A274" s="55" t="s">
        <v>707</v>
      </c>
      <c r="B274" s="53" t="s">
        <v>708</v>
      </c>
      <c r="C274" s="54" t="s">
        <v>606</v>
      </c>
      <c r="D274" s="75">
        <v>1</v>
      </c>
      <c r="E274" s="75"/>
      <c r="F274" s="75"/>
      <c r="G274" s="75"/>
      <c r="H274" s="75">
        <v>5839.45</v>
      </c>
      <c r="I274" s="75">
        <v>5839.45</v>
      </c>
      <c r="J274" s="91" t="s">
        <v>709</v>
      </c>
      <c r="K274" s="73"/>
      <c r="L274" s="46">
        <v>0</v>
      </c>
      <c r="M274" s="46">
        <v>0</v>
      </c>
      <c r="N274" s="46">
        <v>0</v>
      </c>
      <c r="O274" s="98"/>
      <c r="P274" s="23" t="s">
        <v>1409</v>
      </c>
      <c r="Q274" s="24" t="s">
        <v>708</v>
      </c>
      <c r="R274" s="25" t="s">
        <v>606</v>
      </c>
      <c r="S274" s="26">
        <v>1</v>
      </c>
      <c r="T274" s="26"/>
      <c r="U274" s="26">
        <v>5839.45</v>
      </c>
      <c r="V274" s="26">
        <f t="shared" si="51"/>
        <v>0</v>
      </c>
      <c r="W274" s="26">
        <f t="shared" si="54"/>
        <v>0</v>
      </c>
      <c r="X274" s="26">
        <f t="shared" si="59"/>
        <v>0</v>
      </c>
      <c r="Y274" s="26">
        <f t="shared" si="58"/>
        <v>0</v>
      </c>
      <c r="Z274" s="33" t="s">
        <v>15</v>
      </c>
      <c r="AA274" s="36" t="s">
        <v>16</v>
      </c>
      <c r="AB274" s="35">
        <f t="shared" si="55"/>
        <v>1</v>
      </c>
      <c r="AC274" s="35">
        <f t="shared" si="53"/>
        <v>5839.45</v>
      </c>
      <c r="AD274" s="181">
        <v>1.7</v>
      </c>
      <c r="AE274" s="181">
        <v>1.7</v>
      </c>
      <c r="AF274" s="101" t="str">
        <f t="shared" si="56"/>
        <v/>
      </c>
      <c r="AG274" s="190">
        <v>0</v>
      </c>
      <c r="AH274" s="69">
        <f t="shared" si="57"/>
        <v>1</v>
      </c>
    </row>
    <row r="275" spans="1:34" s="69" customFormat="1" ht="58.5" hidden="1" x14ac:dyDescent="0.3">
      <c r="A275" s="55" t="s">
        <v>710</v>
      </c>
      <c r="B275" s="53" t="s">
        <v>711</v>
      </c>
      <c r="C275" s="54" t="s">
        <v>606</v>
      </c>
      <c r="D275" s="75">
        <v>1</v>
      </c>
      <c r="E275" s="75"/>
      <c r="F275" s="75"/>
      <c r="G275" s="75"/>
      <c r="H275" s="75">
        <v>7189.97</v>
      </c>
      <c r="I275" s="75">
        <v>7189.97</v>
      </c>
      <c r="J275" s="91" t="s">
        <v>712</v>
      </c>
      <c r="K275" s="73"/>
      <c r="L275" s="46">
        <v>0</v>
      </c>
      <c r="M275" s="46">
        <v>0</v>
      </c>
      <c r="N275" s="46">
        <v>0</v>
      </c>
      <c r="O275" s="98"/>
      <c r="P275" s="23" t="s">
        <v>1410</v>
      </c>
      <c r="Q275" s="24" t="s">
        <v>711</v>
      </c>
      <c r="R275" s="25" t="s">
        <v>606</v>
      </c>
      <c r="S275" s="26">
        <v>1</v>
      </c>
      <c r="T275" s="26"/>
      <c r="U275" s="26">
        <v>7189.97</v>
      </c>
      <c r="V275" s="26">
        <f t="shared" si="51"/>
        <v>0</v>
      </c>
      <c r="W275" s="26">
        <f t="shared" si="54"/>
        <v>0</v>
      </c>
      <c r="X275" s="26">
        <f t="shared" si="59"/>
        <v>0</v>
      </c>
      <c r="Y275" s="26">
        <f t="shared" si="58"/>
        <v>0</v>
      </c>
      <c r="Z275" s="33" t="s">
        <v>15</v>
      </c>
      <c r="AA275" s="36" t="s">
        <v>16</v>
      </c>
      <c r="AB275" s="35">
        <f t="shared" si="55"/>
        <v>1</v>
      </c>
      <c r="AC275" s="35">
        <f t="shared" si="53"/>
        <v>7189.97</v>
      </c>
      <c r="AD275" s="181">
        <v>1.7</v>
      </c>
      <c r="AE275" s="181">
        <v>1.7</v>
      </c>
      <c r="AF275" s="101" t="str">
        <f t="shared" si="56"/>
        <v/>
      </c>
      <c r="AG275" s="190">
        <v>0</v>
      </c>
      <c r="AH275" s="69">
        <f t="shared" si="57"/>
        <v>1</v>
      </c>
    </row>
    <row r="276" spans="1:34" s="69" customFormat="1" ht="58.5" hidden="1" x14ac:dyDescent="0.3">
      <c r="A276" s="55" t="s">
        <v>713</v>
      </c>
      <c r="B276" s="53" t="s">
        <v>714</v>
      </c>
      <c r="C276" s="54" t="s">
        <v>606</v>
      </c>
      <c r="D276" s="75">
        <v>4</v>
      </c>
      <c r="E276" s="75"/>
      <c r="F276" s="75"/>
      <c r="G276" s="75"/>
      <c r="H276" s="75">
        <v>4860.95</v>
      </c>
      <c r="I276" s="75">
        <v>19443.8</v>
      </c>
      <c r="J276" s="91" t="s">
        <v>715</v>
      </c>
      <c r="K276" s="73"/>
      <c r="L276" s="46">
        <v>0</v>
      </c>
      <c r="M276" s="46">
        <v>0</v>
      </c>
      <c r="N276" s="46">
        <v>0</v>
      </c>
      <c r="O276" s="98"/>
      <c r="P276" s="23" t="s">
        <v>1411</v>
      </c>
      <c r="Q276" s="24" t="s">
        <v>714</v>
      </c>
      <c r="R276" s="25" t="s">
        <v>606</v>
      </c>
      <c r="S276" s="26">
        <v>4</v>
      </c>
      <c r="T276" s="26"/>
      <c r="U276" s="26">
        <v>4860.95</v>
      </c>
      <c r="V276" s="26">
        <f t="shared" si="51"/>
        <v>0</v>
      </c>
      <c r="W276" s="26">
        <f t="shared" si="54"/>
        <v>0</v>
      </c>
      <c r="X276" s="26">
        <f t="shared" si="59"/>
        <v>0</v>
      </c>
      <c r="Y276" s="26">
        <f t="shared" si="58"/>
        <v>0</v>
      </c>
      <c r="Z276" s="33" t="s">
        <v>15</v>
      </c>
      <c r="AA276" s="36" t="s">
        <v>16</v>
      </c>
      <c r="AB276" s="35">
        <f t="shared" si="55"/>
        <v>4</v>
      </c>
      <c r="AC276" s="35">
        <f t="shared" si="53"/>
        <v>19443.8</v>
      </c>
      <c r="AD276" s="181">
        <v>1.7</v>
      </c>
      <c r="AE276" s="181">
        <v>1.7</v>
      </c>
      <c r="AF276" s="101" t="str">
        <f t="shared" si="56"/>
        <v/>
      </c>
      <c r="AG276" s="190">
        <v>0</v>
      </c>
      <c r="AH276" s="69">
        <f t="shared" si="57"/>
        <v>4</v>
      </c>
    </row>
    <row r="277" spans="1:34" s="69" customFormat="1" ht="58.5" hidden="1" x14ac:dyDescent="0.3">
      <c r="A277" s="55" t="s">
        <v>716</v>
      </c>
      <c r="B277" s="53" t="s">
        <v>717</v>
      </c>
      <c r="C277" s="54" t="s">
        <v>606</v>
      </c>
      <c r="D277" s="75">
        <v>1</v>
      </c>
      <c r="E277" s="75"/>
      <c r="F277" s="75"/>
      <c r="G277" s="75"/>
      <c r="H277" s="75">
        <v>14800.45</v>
      </c>
      <c r="I277" s="75">
        <v>14800.45</v>
      </c>
      <c r="J277" s="91" t="s">
        <v>718</v>
      </c>
      <c r="K277" s="73"/>
      <c r="L277" s="46">
        <v>0</v>
      </c>
      <c r="M277" s="46">
        <v>0</v>
      </c>
      <c r="N277" s="46">
        <v>0</v>
      </c>
      <c r="O277" s="98"/>
      <c r="P277" s="23" t="s">
        <v>1445</v>
      </c>
      <c r="Q277" s="24" t="s">
        <v>717</v>
      </c>
      <c r="R277" s="25" t="s">
        <v>606</v>
      </c>
      <c r="S277" s="26">
        <v>1</v>
      </c>
      <c r="T277" s="26"/>
      <c r="U277" s="26">
        <v>14800.45</v>
      </c>
      <c r="V277" s="26">
        <f t="shared" si="51"/>
        <v>0</v>
      </c>
      <c r="W277" s="26">
        <f t="shared" si="54"/>
        <v>0</v>
      </c>
      <c r="X277" s="26">
        <f t="shared" si="59"/>
        <v>0</v>
      </c>
      <c r="Y277" s="26">
        <f t="shared" si="58"/>
        <v>0</v>
      </c>
      <c r="Z277" s="33" t="s">
        <v>15</v>
      </c>
      <c r="AA277" s="36" t="s">
        <v>16</v>
      </c>
      <c r="AB277" s="35">
        <f t="shared" si="55"/>
        <v>1</v>
      </c>
      <c r="AC277" s="35">
        <f t="shared" si="53"/>
        <v>14800.45</v>
      </c>
      <c r="AD277" s="181">
        <v>1.7</v>
      </c>
      <c r="AE277" s="181">
        <v>1.7</v>
      </c>
      <c r="AF277" s="101" t="str">
        <f t="shared" si="56"/>
        <v/>
      </c>
      <c r="AG277" s="190">
        <v>0</v>
      </c>
      <c r="AH277" s="69">
        <f t="shared" si="57"/>
        <v>1</v>
      </c>
    </row>
    <row r="278" spans="1:34" s="69" customFormat="1" ht="58.5" hidden="1" x14ac:dyDescent="0.3">
      <c r="A278" s="55" t="s">
        <v>719</v>
      </c>
      <c r="B278" s="53" t="s">
        <v>720</v>
      </c>
      <c r="C278" s="54" t="s">
        <v>606</v>
      </c>
      <c r="D278" s="75">
        <v>1</v>
      </c>
      <c r="E278" s="75"/>
      <c r="F278" s="75"/>
      <c r="G278" s="75"/>
      <c r="H278" s="75">
        <v>6661.47</v>
      </c>
      <c r="I278" s="75">
        <v>6661.47</v>
      </c>
      <c r="J278" s="91" t="s">
        <v>721</v>
      </c>
      <c r="K278" s="73"/>
      <c r="L278" s="46">
        <v>0</v>
      </c>
      <c r="M278" s="46">
        <v>0</v>
      </c>
      <c r="N278" s="46">
        <v>0</v>
      </c>
      <c r="O278" s="98"/>
      <c r="P278" s="23" t="s">
        <v>1383</v>
      </c>
      <c r="Q278" s="24" t="s">
        <v>720</v>
      </c>
      <c r="R278" s="25" t="s">
        <v>606</v>
      </c>
      <c r="S278" s="26">
        <v>1</v>
      </c>
      <c r="T278" s="26"/>
      <c r="U278" s="26">
        <v>6661.47</v>
      </c>
      <c r="V278" s="26">
        <f t="shared" si="51"/>
        <v>0</v>
      </c>
      <c r="W278" s="26">
        <f t="shared" si="54"/>
        <v>0</v>
      </c>
      <c r="X278" s="26">
        <f t="shared" si="59"/>
        <v>0</v>
      </c>
      <c r="Y278" s="26">
        <f t="shared" si="58"/>
        <v>0</v>
      </c>
      <c r="Z278" s="33" t="s">
        <v>15</v>
      </c>
      <c r="AA278" s="36" t="s">
        <v>16</v>
      </c>
      <c r="AB278" s="35">
        <f t="shared" si="55"/>
        <v>1</v>
      </c>
      <c r="AC278" s="35">
        <f t="shared" si="53"/>
        <v>6661.47</v>
      </c>
      <c r="AD278" s="181">
        <v>1.7</v>
      </c>
      <c r="AE278" s="181">
        <v>1.7</v>
      </c>
      <c r="AF278" s="101" t="str">
        <f t="shared" si="56"/>
        <v/>
      </c>
      <c r="AG278" s="190">
        <v>0</v>
      </c>
      <c r="AH278" s="69">
        <f t="shared" si="57"/>
        <v>1</v>
      </c>
    </row>
    <row r="279" spans="1:34" s="69" customFormat="1" ht="58.5" hidden="1" x14ac:dyDescent="0.3">
      <c r="A279" s="55" t="s">
        <v>722</v>
      </c>
      <c r="B279" s="53" t="s">
        <v>723</v>
      </c>
      <c r="C279" s="54" t="s">
        <v>606</v>
      </c>
      <c r="D279" s="75">
        <v>1</v>
      </c>
      <c r="E279" s="75"/>
      <c r="F279" s="75"/>
      <c r="G279" s="75"/>
      <c r="H279" s="75">
        <v>15584.47</v>
      </c>
      <c r="I279" s="75">
        <v>15584.47</v>
      </c>
      <c r="J279" s="91" t="s">
        <v>724</v>
      </c>
      <c r="K279" s="73"/>
      <c r="L279" s="46">
        <v>0</v>
      </c>
      <c r="M279" s="46">
        <v>0</v>
      </c>
      <c r="N279" s="46">
        <v>0</v>
      </c>
      <c r="O279" s="98"/>
      <c r="P279" s="23" t="s">
        <v>1384</v>
      </c>
      <c r="Q279" s="24" t="s">
        <v>723</v>
      </c>
      <c r="R279" s="25" t="s">
        <v>606</v>
      </c>
      <c r="S279" s="26">
        <v>1</v>
      </c>
      <c r="T279" s="26"/>
      <c r="U279" s="26">
        <v>15584.47</v>
      </c>
      <c r="V279" s="26">
        <f t="shared" si="51"/>
        <v>0</v>
      </c>
      <c r="W279" s="26">
        <f t="shared" si="54"/>
        <v>0</v>
      </c>
      <c r="X279" s="26">
        <f t="shared" si="59"/>
        <v>0</v>
      </c>
      <c r="Y279" s="26">
        <f t="shared" si="58"/>
        <v>0</v>
      </c>
      <c r="Z279" s="33" t="s">
        <v>15</v>
      </c>
      <c r="AA279" s="36" t="s">
        <v>16</v>
      </c>
      <c r="AB279" s="35">
        <f t="shared" si="55"/>
        <v>1</v>
      </c>
      <c r="AC279" s="35">
        <f t="shared" si="53"/>
        <v>15584.47</v>
      </c>
      <c r="AD279" s="181">
        <v>1.7</v>
      </c>
      <c r="AE279" s="181">
        <v>1.7</v>
      </c>
      <c r="AF279" s="101" t="str">
        <f t="shared" si="56"/>
        <v/>
      </c>
      <c r="AG279" s="190">
        <v>0</v>
      </c>
      <c r="AH279" s="69">
        <f t="shared" si="57"/>
        <v>1</v>
      </c>
    </row>
    <row r="280" spans="1:34" s="69" customFormat="1" ht="58.5" hidden="1" x14ac:dyDescent="0.3">
      <c r="A280" s="55" t="s">
        <v>725</v>
      </c>
      <c r="B280" s="53" t="s">
        <v>726</v>
      </c>
      <c r="C280" s="54" t="s">
        <v>606</v>
      </c>
      <c r="D280" s="75">
        <v>4</v>
      </c>
      <c r="E280" s="75"/>
      <c r="F280" s="75"/>
      <c r="G280" s="75"/>
      <c r="H280" s="75">
        <v>3949.4</v>
      </c>
      <c r="I280" s="75">
        <v>15797.6</v>
      </c>
      <c r="J280" s="91" t="s">
        <v>727</v>
      </c>
      <c r="K280" s="73"/>
      <c r="L280" s="46">
        <v>0</v>
      </c>
      <c r="M280" s="46">
        <v>0</v>
      </c>
      <c r="N280" s="46">
        <v>0</v>
      </c>
      <c r="O280" s="98"/>
      <c r="P280" s="23" t="s">
        <v>1385</v>
      </c>
      <c r="Q280" s="24" t="s">
        <v>726</v>
      </c>
      <c r="R280" s="25" t="s">
        <v>606</v>
      </c>
      <c r="S280" s="26">
        <v>4</v>
      </c>
      <c r="T280" s="26"/>
      <c r="U280" s="26">
        <v>3949.4</v>
      </c>
      <c r="V280" s="26">
        <f t="shared" si="51"/>
        <v>0</v>
      </c>
      <c r="W280" s="26">
        <f t="shared" si="54"/>
        <v>0</v>
      </c>
      <c r="X280" s="26">
        <f t="shared" si="59"/>
        <v>0</v>
      </c>
      <c r="Y280" s="26">
        <f t="shared" si="58"/>
        <v>0</v>
      </c>
      <c r="Z280" s="33" t="s">
        <v>15</v>
      </c>
      <c r="AA280" s="36" t="s">
        <v>16</v>
      </c>
      <c r="AB280" s="35">
        <f t="shared" si="55"/>
        <v>4</v>
      </c>
      <c r="AC280" s="35">
        <f t="shared" si="53"/>
        <v>15797.6</v>
      </c>
      <c r="AD280" s="181">
        <v>1.7</v>
      </c>
      <c r="AE280" s="181">
        <v>1.7</v>
      </c>
      <c r="AF280" s="101" t="str">
        <f t="shared" si="56"/>
        <v/>
      </c>
      <c r="AG280" s="190">
        <v>0</v>
      </c>
      <c r="AH280" s="69">
        <f t="shared" si="57"/>
        <v>4</v>
      </c>
    </row>
    <row r="281" spans="1:34" s="69" customFormat="1" ht="39" hidden="1" x14ac:dyDescent="0.3">
      <c r="A281" s="55" t="s">
        <v>728</v>
      </c>
      <c r="B281" s="53" t="s">
        <v>729</v>
      </c>
      <c r="C281" s="54" t="s">
        <v>606</v>
      </c>
      <c r="D281" s="75">
        <v>1</v>
      </c>
      <c r="E281" s="75"/>
      <c r="F281" s="75"/>
      <c r="G281" s="75"/>
      <c r="H281" s="75">
        <v>227.07</v>
      </c>
      <c r="I281" s="75">
        <v>227.07</v>
      </c>
      <c r="J281" s="91" t="s">
        <v>730</v>
      </c>
      <c r="K281" s="73"/>
      <c r="L281" s="46">
        <v>0</v>
      </c>
      <c r="M281" s="46">
        <v>0</v>
      </c>
      <c r="N281" s="46">
        <v>0</v>
      </c>
      <c r="O281" s="98"/>
      <c r="P281" s="23" t="s">
        <v>1446</v>
      </c>
      <c r="Q281" s="24" t="s">
        <v>729</v>
      </c>
      <c r="R281" s="25" t="s">
        <v>606</v>
      </c>
      <c r="S281" s="26">
        <v>1</v>
      </c>
      <c r="T281" s="26"/>
      <c r="U281" s="26">
        <v>227.07</v>
      </c>
      <c r="V281" s="26">
        <f t="shared" si="51"/>
        <v>0</v>
      </c>
      <c r="W281" s="26">
        <f t="shared" si="54"/>
        <v>0</v>
      </c>
      <c r="X281" s="26">
        <f t="shared" si="59"/>
        <v>0</v>
      </c>
      <c r="Y281" s="26">
        <f t="shared" si="58"/>
        <v>0</v>
      </c>
      <c r="Z281" s="33" t="s">
        <v>15</v>
      </c>
      <c r="AA281" s="36" t="s">
        <v>16</v>
      </c>
      <c r="AB281" s="35">
        <f t="shared" si="55"/>
        <v>1</v>
      </c>
      <c r="AC281" s="35">
        <f t="shared" si="53"/>
        <v>227.07</v>
      </c>
      <c r="AD281" s="181">
        <v>1.7</v>
      </c>
      <c r="AE281" s="181">
        <v>1.7</v>
      </c>
      <c r="AF281" s="101" t="str">
        <f t="shared" si="56"/>
        <v/>
      </c>
      <c r="AG281" s="190">
        <v>0</v>
      </c>
      <c r="AH281" s="69">
        <f t="shared" si="57"/>
        <v>1</v>
      </c>
    </row>
    <row r="282" spans="1:34" s="69" customFormat="1" ht="39" hidden="1" x14ac:dyDescent="0.3">
      <c r="A282" s="55" t="s">
        <v>731</v>
      </c>
      <c r="B282" s="53" t="s">
        <v>732</v>
      </c>
      <c r="C282" s="54" t="s">
        <v>606</v>
      </c>
      <c r="D282" s="75">
        <v>1</v>
      </c>
      <c r="E282" s="75"/>
      <c r="F282" s="75"/>
      <c r="G282" s="75"/>
      <c r="H282" s="75">
        <v>277.02999999999997</v>
      </c>
      <c r="I282" s="75">
        <v>277.02999999999997</v>
      </c>
      <c r="J282" s="91" t="s">
        <v>733</v>
      </c>
      <c r="K282" s="73"/>
      <c r="L282" s="46">
        <v>0</v>
      </c>
      <c r="M282" s="46">
        <v>0</v>
      </c>
      <c r="N282" s="46">
        <v>0</v>
      </c>
      <c r="O282" s="98"/>
      <c r="P282" s="23" t="s">
        <v>1447</v>
      </c>
      <c r="Q282" s="24" t="s">
        <v>732</v>
      </c>
      <c r="R282" s="25" t="s">
        <v>606</v>
      </c>
      <c r="S282" s="26">
        <v>1</v>
      </c>
      <c r="T282" s="26"/>
      <c r="U282" s="26">
        <v>277.02999999999997</v>
      </c>
      <c r="V282" s="26">
        <f t="shared" si="51"/>
        <v>0</v>
      </c>
      <c r="W282" s="26">
        <f t="shared" si="54"/>
        <v>0</v>
      </c>
      <c r="X282" s="26">
        <f t="shared" si="59"/>
        <v>0</v>
      </c>
      <c r="Y282" s="26">
        <f t="shared" si="58"/>
        <v>0</v>
      </c>
      <c r="Z282" s="33" t="s">
        <v>15</v>
      </c>
      <c r="AA282" s="36" t="s">
        <v>16</v>
      </c>
      <c r="AB282" s="35">
        <f t="shared" si="55"/>
        <v>1</v>
      </c>
      <c r="AC282" s="35">
        <f t="shared" si="53"/>
        <v>277.02999999999997</v>
      </c>
      <c r="AD282" s="181">
        <v>1.7</v>
      </c>
      <c r="AE282" s="181">
        <v>1.7</v>
      </c>
      <c r="AF282" s="101" t="str">
        <f t="shared" si="56"/>
        <v/>
      </c>
      <c r="AG282" s="190">
        <v>0</v>
      </c>
      <c r="AH282" s="69">
        <f t="shared" si="57"/>
        <v>1</v>
      </c>
    </row>
    <row r="283" spans="1:34" s="69" customFormat="1" ht="39" hidden="1" x14ac:dyDescent="0.3">
      <c r="A283" s="55" t="s">
        <v>734</v>
      </c>
      <c r="B283" s="53" t="s">
        <v>735</v>
      </c>
      <c r="C283" s="54" t="s">
        <v>606</v>
      </c>
      <c r="D283" s="75">
        <v>1</v>
      </c>
      <c r="E283" s="75"/>
      <c r="F283" s="75"/>
      <c r="G283" s="75"/>
      <c r="H283" s="75">
        <v>286.3</v>
      </c>
      <c r="I283" s="75">
        <v>286.3</v>
      </c>
      <c r="J283" s="91" t="s">
        <v>736</v>
      </c>
      <c r="K283" s="73"/>
      <c r="L283" s="46">
        <v>0</v>
      </c>
      <c r="M283" s="46">
        <v>0</v>
      </c>
      <c r="N283" s="46">
        <v>0</v>
      </c>
      <c r="O283" s="98"/>
      <c r="P283" s="23" t="s">
        <v>1448</v>
      </c>
      <c r="Q283" s="24" t="s">
        <v>735</v>
      </c>
      <c r="R283" s="25" t="s">
        <v>606</v>
      </c>
      <c r="S283" s="26">
        <v>1</v>
      </c>
      <c r="T283" s="26"/>
      <c r="U283" s="26">
        <v>286.3</v>
      </c>
      <c r="V283" s="26">
        <f t="shared" si="51"/>
        <v>0</v>
      </c>
      <c r="W283" s="26">
        <f t="shared" si="54"/>
        <v>0</v>
      </c>
      <c r="X283" s="26">
        <f t="shared" si="59"/>
        <v>0</v>
      </c>
      <c r="Y283" s="26">
        <f t="shared" si="58"/>
        <v>0</v>
      </c>
      <c r="Z283" s="33" t="s">
        <v>15</v>
      </c>
      <c r="AA283" s="36" t="s">
        <v>16</v>
      </c>
      <c r="AB283" s="35">
        <f t="shared" si="55"/>
        <v>1</v>
      </c>
      <c r="AC283" s="35">
        <f t="shared" si="53"/>
        <v>286.3</v>
      </c>
      <c r="AD283" s="181">
        <v>1.7</v>
      </c>
      <c r="AE283" s="181">
        <v>1.7</v>
      </c>
      <c r="AF283" s="101" t="str">
        <f t="shared" si="56"/>
        <v/>
      </c>
      <c r="AG283" s="190">
        <v>0</v>
      </c>
      <c r="AH283" s="69">
        <f t="shared" si="57"/>
        <v>1</v>
      </c>
    </row>
    <row r="284" spans="1:34" s="69" customFormat="1" ht="39" hidden="1" x14ac:dyDescent="0.3">
      <c r="A284" s="55" t="s">
        <v>737</v>
      </c>
      <c r="B284" s="53" t="s">
        <v>738</v>
      </c>
      <c r="C284" s="54" t="s">
        <v>606</v>
      </c>
      <c r="D284" s="75">
        <v>1</v>
      </c>
      <c r="E284" s="75"/>
      <c r="F284" s="75"/>
      <c r="G284" s="75"/>
      <c r="H284" s="75">
        <v>134.37</v>
      </c>
      <c r="I284" s="75">
        <v>134.37</v>
      </c>
      <c r="J284" s="91" t="s">
        <v>739</v>
      </c>
      <c r="K284" s="73"/>
      <c r="L284" s="46">
        <v>0</v>
      </c>
      <c r="M284" s="46">
        <v>0</v>
      </c>
      <c r="N284" s="46">
        <v>0</v>
      </c>
      <c r="O284" s="98"/>
      <c r="P284" s="23" t="s">
        <v>1449</v>
      </c>
      <c r="Q284" s="24" t="s">
        <v>738</v>
      </c>
      <c r="R284" s="25" t="s">
        <v>606</v>
      </c>
      <c r="S284" s="26">
        <v>1</v>
      </c>
      <c r="T284" s="26"/>
      <c r="U284" s="26">
        <v>134.37</v>
      </c>
      <c r="V284" s="26">
        <f t="shared" si="51"/>
        <v>0</v>
      </c>
      <c r="W284" s="26">
        <f t="shared" si="54"/>
        <v>0</v>
      </c>
      <c r="X284" s="26">
        <f t="shared" si="59"/>
        <v>0</v>
      </c>
      <c r="Y284" s="26">
        <f t="shared" si="58"/>
        <v>0</v>
      </c>
      <c r="Z284" s="33" t="s">
        <v>15</v>
      </c>
      <c r="AA284" s="36" t="s">
        <v>16</v>
      </c>
      <c r="AB284" s="35">
        <f t="shared" si="55"/>
        <v>1</v>
      </c>
      <c r="AC284" s="35">
        <f t="shared" si="53"/>
        <v>134.37</v>
      </c>
      <c r="AD284" s="181">
        <v>1.7</v>
      </c>
      <c r="AE284" s="181">
        <v>1.7</v>
      </c>
      <c r="AF284" s="101" t="str">
        <f t="shared" si="56"/>
        <v/>
      </c>
      <c r="AG284" s="190">
        <v>0</v>
      </c>
      <c r="AH284" s="69">
        <f t="shared" si="57"/>
        <v>1</v>
      </c>
    </row>
    <row r="285" spans="1:34" s="69" customFormat="1" ht="39" hidden="1" x14ac:dyDescent="0.3">
      <c r="A285" s="55" t="s">
        <v>740</v>
      </c>
      <c r="B285" s="53" t="s">
        <v>741</v>
      </c>
      <c r="C285" s="54" t="s">
        <v>606</v>
      </c>
      <c r="D285" s="75">
        <v>1</v>
      </c>
      <c r="E285" s="75"/>
      <c r="F285" s="75"/>
      <c r="G285" s="75"/>
      <c r="H285" s="75">
        <v>142.1</v>
      </c>
      <c r="I285" s="75">
        <v>142.1</v>
      </c>
      <c r="J285" s="91" t="s">
        <v>742</v>
      </c>
      <c r="K285" s="73"/>
      <c r="L285" s="46">
        <v>0</v>
      </c>
      <c r="M285" s="46">
        <v>0</v>
      </c>
      <c r="N285" s="46">
        <v>0</v>
      </c>
      <c r="O285" s="98"/>
      <c r="P285" s="23" t="s">
        <v>1450</v>
      </c>
      <c r="Q285" s="24" t="s">
        <v>741</v>
      </c>
      <c r="R285" s="25" t="s">
        <v>606</v>
      </c>
      <c r="S285" s="26">
        <v>1</v>
      </c>
      <c r="T285" s="26"/>
      <c r="U285" s="26">
        <v>142.1</v>
      </c>
      <c r="V285" s="26">
        <f t="shared" si="51"/>
        <v>0</v>
      </c>
      <c r="W285" s="26">
        <f t="shared" si="54"/>
        <v>0</v>
      </c>
      <c r="X285" s="26">
        <f t="shared" si="59"/>
        <v>0</v>
      </c>
      <c r="Y285" s="26">
        <f t="shared" si="58"/>
        <v>0</v>
      </c>
      <c r="Z285" s="33" t="s">
        <v>15</v>
      </c>
      <c r="AA285" s="36" t="s">
        <v>16</v>
      </c>
      <c r="AB285" s="35">
        <f t="shared" si="55"/>
        <v>1</v>
      </c>
      <c r="AC285" s="35">
        <f t="shared" si="53"/>
        <v>142.1</v>
      </c>
      <c r="AD285" s="181">
        <v>1.7</v>
      </c>
      <c r="AE285" s="181">
        <v>1.7</v>
      </c>
      <c r="AF285" s="101" t="str">
        <f t="shared" si="56"/>
        <v/>
      </c>
      <c r="AG285" s="190">
        <v>0</v>
      </c>
      <c r="AH285" s="69">
        <f t="shared" si="57"/>
        <v>1</v>
      </c>
    </row>
    <row r="286" spans="1:34" s="69" customFormat="1" ht="39" hidden="1" x14ac:dyDescent="0.3">
      <c r="A286" s="55" t="s">
        <v>743</v>
      </c>
      <c r="B286" s="53" t="s">
        <v>744</v>
      </c>
      <c r="C286" s="54" t="s">
        <v>606</v>
      </c>
      <c r="D286" s="75">
        <v>1</v>
      </c>
      <c r="E286" s="75"/>
      <c r="F286" s="75"/>
      <c r="G286" s="75"/>
      <c r="H286" s="75">
        <v>90.32</v>
      </c>
      <c r="I286" s="75">
        <v>90.32</v>
      </c>
      <c r="J286" s="91" t="s">
        <v>745</v>
      </c>
      <c r="K286" s="73"/>
      <c r="L286" s="46">
        <v>0</v>
      </c>
      <c r="M286" s="46">
        <v>0</v>
      </c>
      <c r="N286" s="46">
        <v>0</v>
      </c>
      <c r="O286" s="98"/>
      <c r="P286" s="23" t="s">
        <v>1451</v>
      </c>
      <c r="Q286" s="24" t="s">
        <v>744</v>
      </c>
      <c r="R286" s="25" t="s">
        <v>606</v>
      </c>
      <c r="S286" s="26">
        <v>1</v>
      </c>
      <c r="T286" s="26"/>
      <c r="U286" s="26">
        <v>90.32</v>
      </c>
      <c r="V286" s="26">
        <f t="shared" si="51"/>
        <v>0</v>
      </c>
      <c r="W286" s="26">
        <f t="shared" si="54"/>
        <v>0</v>
      </c>
      <c r="X286" s="26">
        <f t="shared" si="59"/>
        <v>0</v>
      </c>
      <c r="Y286" s="26">
        <f t="shared" si="58"/>
        <v>0</v>
      </c>
      <c r="Z286" s="33" t="s">
        <v>15</v>
      </c>
      <c r="AA286" s="36" t="s">
        <v>16</v>
      </c>
      <c r="AB286" s="35">
        <f t="shared" si="55"/>
        <v>1</v>
      </c>
      <c r="AC286" s="35">
        <f t="shared" si="53"/>
        <v>90.32</v>
      </c>
      <c r="AD286" s="181">
        <v>1.7</v>
      </c>
      <c r="AE286" s="181">
        <v>1.7</v>
      </c>
      <c r="AF286" s="101" t="str">
        <f t="shared" si="56"/>
        <v/>
      </c>
      <c r="AG286" s="190">
        <v>0</v>
      </c>
      <c r="AH286" s="69">
        <f t="shared" si="57"/>
        <v>1</v>
      </c>
    </row>
    <row r="287" spans="1:34" s="69" customFormat="1" ht="39" hidden="1" x14ac:dyDescent="0.3">
      <c r="A287" s="55" t="s">
        <v>746</v>
      </c>
      <c r="B287" s="53" t="s">
        <v>747</v>
      </c>
      <c r="C287" s="54" t="s">
        <v>606</v>
      </c>
      <c r="D287" s="75">
        <v>1</v>
      </c>
      <c r="E287" s="75"/>
      <c r="F287" s="75"/>
      <c r="G287" s="75"/>
      <c r="H287" s="75">
        <v>125.1</v>
      </c>
      <c r="I287" s="75">
        <v>125.1</v>
      </c>
      <c r="J287" s="91" t="s">
        <v>748</v>
      </c>
      <c r="K287" s="73"/>
      <c r="L287" s="46">
        <v>0</v>
      </c>
      <c r="M287" s="46">
        <v>0</v>
      </c>
      <c r="N287" s="46">
        <v>0</v>
      </c>
      <c r="O287" s="98"/>
      <c r="P287" s="23" t="s">
        <v>1452</v>
      </c>
      <c r="Q287" s="24" t="s">
        <v>747</v>
      </c>
      <c r="R287" s="25" t="s">
        <v>606</v>
      </c>
      <c r="S287" s="26">
        <v>1</v>
      </c>
      <c r="T287" s="26"/>
      <c r="U287" s="26">
        <v>125.1</v>
      </c>
      <c r="V287" s="26">
        <f t="shared" si="51"/>
        <v>0</v>
      </c>
      <c r="W287" s="26">
        <f t="shared" si="54"/>
        <v>0</v>
      </c>
      <c r="X287" s="26">
        <f t="shared" si="59"/>
        <v>0</v>
      </c>
      <c r="Y287" s="26">
        <f t="shared" si="58"/>
        <v>0</v>
      </c>
      <c r="Z287" s="33" t="s">
        <v>15</v>
      </c>
      <c r="AA287" s="36" t="s">
        <v>16</v>
      </c>
      <c r="AB287" s="35">
        <f t="shared" si="55"/>
        <v>1</v>
      </c>
      <c r="AC287" s="35">
        <f t="shared" si="53"/>
        <v>125.1</v>
      </c>
      <c r="AD287" s="181">
        <v>1.7</v>
      </c>
      <c r="AE287" s="181">
        <v>1.7</v>
      </c>
      <c r="AF287" s="101" t="str">
        <f t="shared" si="56"/>
        <v/>
      </c>
      <c r="AG287" s="190">
        <v>0</v>
      </c>
      <c r="AH287" s="69">
        <f t="shared" si="57"/>
        <v>1</v>
      </c>
    </row>
    <row r="288" spans="1:34" s="69" customFormat="1" ht="39" hidden="1" x14ac:dyDescent="0.3">
      <c r="A288" s="55" t="s">
        <v>749</v>
      </c>
      <c r="B288" s="53" t="s">
        <v>750</v>
      </c>
      <c r="C288" s="54" t="s">
        <v>606</v>
      </c>
      <c r="D288" s="75">
        <v>1</v>
      </c>
      <c r="E288" s="75"/>
      <c r="F288" s="75"/>
      <c r="G288" s="75"/>
      <c r="H288" s="75">
        <v>137.04</v>
      </c>
      <c r="I288" s="75">
        <v>137.04</v>
      </c>
      <c r="J288" s="91" t="s">
        <v>751</v>
      </c>
      <c r="K288" s="73"/>
      <c r="L288" s="46">
        <v>0</v>
      </c>
      <c r="M288" s="46">
        <v>0</v>
      </c>
      <c r="N288" s="46">
        <v>0</v>
      </c>
      <c r="O288" s="98"/>
      <c r="P288" s="23" t="s">
        <v>1453</v>
      </c>
      <c r="Q288" s="24" t="s">
        <v>750</v>
      </c>
      <c r="R288" s="25" t="s">
        <v>606</v>
      </c>
      <c r="S288" s="26">
        <v>1</v>
      </c>
      <c r="T288" s="26"/>
      <c r="U288" s="26">
        <v>137.04</v>
      </c>
      <c r="V288" s="26">
        <f t="shared" si="51"/>
        <v>0</v>
      </c>
      <c r="W288" s="26">
        <f t="shared" si="54"/>
        <v>0</v>
      </c>
      <c r="X288" s="26">
        <f t="shared" si="59"/>
        <v>0</v>
      </c>
      <c r="Y288" s="26">
        <f t="shared" si="58"/>
        <v>0</v>
      </c>
      <c r="Z288" s="33" t="s">
        <v>15</v>
      </c>
      <c r="AA288" s="36" t="s">
        <v>16</v>
      </c>
      <c r="AB288" s="35">
        <f t="shared" si="55"/>
        <v>1</v>
      </c>
      <c r="AC288" s="35">
        <f t="shared" si="53"/>
        <v>137.04</v>
      </c>
      <c r="AD288" s="181">
        <v>1.7</v>
      </c>
      <c r="AE288" s="181">
        <v>1.7</v>
      </c>
      <c r="AF288" s="101" t="str">
        <f t="shared" si="56"/>
        <v/>
      </c>
      <c r="AG288" s="190">
        <v>0</v>
      </c>
      <c r="AH288" s="69">
        <f t="shared" si="57"/>
        <v>1</v>
      </c>
    </row>
    <row r="289" spans="1:34" s="69" customFormat="1" ht="39" hidden="1" x14ac:dyDescent="0.3">
      <c r="A289" s="55" t="s">
        <v>752</v>
      </c>
      <c r="B289" s="53" t="s">
        <v>753</v>
      </c>
      <c r="C289" s="54" t="s">
        <v>606</v>
      </c>
      <c r="D289" s="75">
        <v>1</v>
      </c>
      <c r="E289" s="75"/>
      <c r="F289" s="75"/>
      <c r="G289" s="75"/>
      <c r="H289" s="75">
        <v>107.12</v>
      </c>
      <c r="I289" s="75">
        <v>107.12</v>
      </c>
      <c r="J289" s="91" t="s">
        <v>754</v>
      </c>
      <c r="K289" s="73"/>
      <c r="L289" s="46">
        <v>0</v>
      </c>
      <c r="M289" s="46">
        <v>0</v>
      </c>
      <c r="N289" s="46">
        <v>0</v>
      </c>
      <c r="O289" s="98"/>
      <c r="P289" s="23" t="s">
        <v>1454</v>
      </c>
      <c r="Q289" s="24" t="s">
        <v>753</v>
      </c>
      <c r="R289" s="25" t="s">
        <v>606</v>
      </c>
      <c r="S289" s="26">
        <v>1</v>
      </c>
      <c r="T289" s="26"/>
      <c r="U289" s="26">
        <v>107.12</v>
      </c>
      <c r="V289" s="26">
        <f t="shared" si="51"/>
        <v>0</v>
      </c>
      <c r="W289" s="26">
        <f t="shared" si="54"/>
        <v>0</v>
      </c>
      <c r="X289" s="26">
        <f t="shared" si="59"/>
        <v>0</v>
      </c>
      <c r="Y289" s="26">
        <f t="shared" si="58"/>
        <v>0</v>
      </c>
      <c r="Z289" s="33" t="s">
        <v>15</v>
      </c>
      <c r="AA289" s="36" t="s">
        <v>16</v>
      </c>
      <c r="AB289" s="35">
        <f t="shared" si="55"/>
        <v>1</v>
      </c>
      <c r="AC289" s="35">
        <f t="shared" si="53"/>
        <v>107.12</v>
      </c>
      <c r="AD289" s="181">
        <v>1.7</v>
      </c>
      <c r="AE289" s="181">
        <v>1.7</v>
      </c>
      <c r="AF289" s="101" t="str">
        <f t="shared" si="56"/>
        <v/>
      </c>
      <c r="AG289" s="190">
        <v>0</v>
      </c>
      <c r="AH289" s="69">
        <f t="shared" si="57"/>
        <v>1</v>
      </c>
    </row>
    <row r="290" spans="1:34" s="69" customFormat="1" ht="39" hidden="1" x14ac:dyDescent="0.3">
      <c r="A290" s="55" t="s">
        <v>755</v>
      </c>
      <c r="B290" s="53" t="s">
        <v>756</v>
      </c>
      <c r="C290" s="54" t="s">
        <v>606</v>
      </c>
      <c r="D290" s="75">
        <v>1</v>
      </c>
      <c r="E290" s="75"/>
      <c r="F290" s="75"/>
      <c r="G290" s="75"/>
      <c r="H290" s="75">
        <v>124.17</v>
      </c>
      <c r="I290" s="75">
        <v>124.17</v>
      </c>
      <c r="J290" s="91" t="s">
        <v>757</v>
      </c>
      <c r="K290" s="73"/>
      <c r="L290" s="46">
        <v>0</v>
      </c>
      <c r="M290" s="46">
        <v>0</v>
      </c>
      <c r="N290" s="46">
        <v>0</v>
      </c>
      <c r="O290" s="98"/>
      <c r="P290" s="23" t="s">
        <v>1455</v>
      </c>
      <c r="Q290" s="24" t="s">
        <v>756</v>
      </c>
      <c r="R290" s="25" t="s">
        <v>606</v>
      </c>
      <c r="S290" s="26">
        <v>1</v>
      </c>
      <c r="T290" s="26"/>
      <c r="U290" s="26">
        <v>124.17</v>
      </c>
      <c r="V290" s="26">
        <f t="shared" si="51"/>
        <v>0</v>
      </c>
      <c r="W290" s="26">
        <f t="shared" si="54"/>
        <v>0</v>
      </c>
      <c r="X290" s="26">
        <f t="shared" si="59"/>
        <v>0</v>
      </c>
      <c r="Y290" s="26">
        <f t="shared" si="58"/>
        <v>0</v>
      </c>
      <c r="Z290" s="33" t="s">
        <v>15</v>
      </c>
      <c r="AA290" s="36" t="s">
        <v>16</v>
      </c>
      <c r="AB290" s="35">
        <f t="shared" si="55"/>
        <v>1</v>
      </c>
      <c r="AC290" s="35">
        <f t="shared" si="53"/>
        <v>124.17</v>
      </c>
      <c r="AD290" s="181">
        <v>1.7</v>
      </c>
      <c r="AE290" s="181">
        <v>1.7</v>
      </c>
      <c r="AF290" s="101" t="str">
        <f t="shared" si="56"/>
        <v/>
      </c>
      <c r="AG290" s="190">
        <v>0</v>
      </c>
      <c r="AH290" s="69">
        <f t="shared" si="57"/>
        <v>1</v>
      </c>
    </row>
    <row r="291" spans="1:34" s="69" customFormat="1" ht="39" hidden="1" x14ac:dyDescent="0.3">
      <c r="A291" s="55" t="s">
        <v>758</v>
      </c>
      <c r="B291" s="53" t="s">
        <v>759</v>
      </c>
      <c r="C291" s="54" t="s">
        <v>606</v>
      </c>
      <c r="D291" s="75">
        <v>1</v>
      </c>
      <c r="E291" s="75"/>
      <c r="F291" s="75"/>
      <c r="G291" s="75"/>
      <c r="H291" s="75">
        <v>121.59</v>
      </c>
      <c r="I291" s="75">
        <v>121.59</v>
      </c>
      <c r="J291" s="91" t="s">
        <v>760</v>
      </c>
      <c r="K291" s="73"/>
      <c r="L291" s="46">
        <v>0</v>
      </c>
      <c r="M291" s="46">
        <v>0</v>
      </c>
      <c r="N291" s="46">
        <v>0</v>
      </c>
      <c r="O291" s="98"/>
      <c r="P291" s="23" t="s">
        <v>1456</v>
      </c>
      <c r="Q291" s="24" t="s">
        <v>759</v>
      </c>
      <c r="R291" s="25" t="s">
        <v>606</v>
      </c>
      <c r="S291" s="26">
        <v>1</v>
      </c>
      <c r="T291" s="26"/>
      <c r="U291" s="26">
        <v>121.59</v>
      </c>
      <c r="V291" s="26">
        <f t="shared" si="51"/>
        <v>0</v>
      </c>
      <c r="W291" s="26">
        <f t="shared" si="54"/>
        <v>0</v>
      </c>
      <c r="X291" s="26">
        <f t="shared" si="59"/>
        <v>0</v>
      </c>
      <c r="Y291" s="26">
        <f t="shared" si="58"/>
        <v>0</v>
      </c>
      <c r="Z291" s="33" t="s">
        <v>15</v>
      </c>
      <c r="AA291" s="36" t="s">
        <v>16</v>
      </c>
      <c r="AB291" s="35">
        <f t="shared" si="55"/>
        <v>1</v>
      </c>
      <c r="AC291" s="35">
        <f t="shared" si="53"/>
        <v>121.59</v>
      </c>
      <c r="AD291" s="181">
        <v>1.7</v>
      </c>
      <c r="AE291" s="181">
        <v>1.7</v>
      </c>
      <c r="AF291" s="101" t="str">
        <f t="shared" si="56"/>
        <v/>
      </c>
      <c r="AG291" s="190">
        <v>0</v>
      </c>
      <c r="AH291" s="69">
        <f t="shared" si="57"/>
        <v>1</v>
      </c>
    </row>
    <row r="292" spans="1:34" s="69" customFormat="1" ht="39" hidden="1" x14ac:dyDescent="0.3">
      <c r="A292" s="55" t="s">
        <v>761</v>
      </c>
      <c r="B292" s="53" t="s">
        <v>762</v>
      </c>
      <c r="C292" s="54" t="s">
        <v>606</v>
      </c>
      <c r="D292" s="75">
        <v>1</v>
      </c>
      <c r="E292" s="75"/>
      <c r="F292" s="75"/>
      <c r="G292" s="75"/>
      <c r="H292" s="75">
        <v>154.51</v>
      </c>
      <c r="I292" s="75">
        <v>154.51</v>
      </c>
      <c r="J292" s="91" t="s">
        <v>763</v>
      </c>
      <c r="K292" s="73"/>
      <c r="L292" s="46">
        <v>0</v>
      </c>
      <c r="M292" s="46">
        <v>0</v>
      </c>
      <c r="N292" s="46">
        <v>0</v>
      </c>
      <c r="O292" s="98"/>
      <c r="P292" s="23" t="s">
        <v>1457</v>
      </c>
      <c r="Q292" s="24" t="s">
        <v>762</v>
      </c>
      <c r="R292" s="25" t="s">
        <v>606</v>
      </c>
      <c r="S292" s="26">
        <v>1</v>
      </c>
      <c r="T292" s="26"/>
      <c r="U292" s="26">
        <v>154.51</v>
      </c>
      <c r="V292" s="26">
        <f t="shared" si="51"/>
        <v>0</v>
      </c>
      <c r="W292" s="26">
        <f t="shared" si="54"/>
        <v>0</v>
      </c>
      <c r="X292" s="26">
        <f t="shared" si="59"/>
        <v>0</v>
      </c>
      <c r="Y292" s="26">
        <f t="shared" si="58"/>
        <v>0</v>
      </c>
      <c r="Z292" s="33" t="s">
        <v>15</v>
      </c>
      <c r="AA292" s="36" t="s">
        <v>16</v>
      </c>
      <c r="AB292" s="35">
        <f t="shared" si="55"/>
        <v>1</v>
      </c>
      <c r="AC292" s="35">
        <f t="shared" si="53"/>
        <v>154.51</v>
      </c>
      <c r="AD292" s="181">
        <v>1.7</v>
      </c>
      <c r="AE292" s="181">
        <v>1.7</v>
      </c>
      <c r="AF292" s="101" t="str">
        <f t="shared" si="56"/>
        <v/>
      </c>
      <c r="AG292" s="190">
        <v>0</v>
      </c>
      <c r="AH292" s="69">
        <f t="shared" si="57"/>
        <v>1</v>
      </c>
    </row>
    <row r="293" spans="1:34" s="69" customFormat="1" ht="39" hidden="1" x14ac:dyDescent="0.3">
      <c r="A293" s="55" t="s">
        <v>764</v>
      </c>
      <c r="B293" s="53" t="s">
        <v>765</v>
      </c>
      <c r="C293" s="54" t="s">
        <v>606</v>
      </c>
      <c r="D293" s="75">
        <v>1</v>
      </c>
      <c r="E293" s="75"/>
      <c r="F293" s="75"/>
      <c r="G293" s="75"/>
      <c r="H293" s="75">
        <v>36.549999999999997</v>
      </c>
      <c r="I293" s="75">
        <v>36.549999999999997</v>
      </c>
      <c r="J293" s="91" t="s">
        <v>766</v>
      </c>
      <c r="K293" s="73"/>
      <c r="L293" s="46">
        <v>0</v>
      </c>
      <c r="M293" s="46">
        <v>0</v>
      </c>
      <c r="N293" s="46">
        <v>0</v>
      </c>
      <c r="O293" s="98"/>
      <c r="P293" s="23" t="s">
        <v>1458</v>
      </c>
      <c r="Q293" s="24" t="s">
        <v>765</v>
      </c>
      <c r="R293" s="25" t="s">
        <v>606</v>
      </c>
      <c r="S293" s="26">
        <v>1</v>
      </c>
      <c r="T293" s="26"/>
      <c r="U293" s="26">
        <v>36.549999999999997</v>
      </c>
      <c r="V293" s="26">
        <f t="shared" si="51"/>
        <v>0</v>
      </c>
      <c r="W293" s="26">
        <f t="shared" si="54"/>
        <v>0</v>
      </c>
      <c r="X293" s="26">
        <f t="shared" si="59"/>
        <v>0</v>
      </c>
      <c r="Y293" s="26">
        <f t="shared" si="58"/>
        <v>0</v>
      </c>
      <c r="Z293" s="33" t="s">
        <v>15</v>
      </c>
      <c r="AA293" s="36" t="s">
        <v>16</v>
      </c>
      <c r="AB293" s="35">
        <f t="shared" si="55"/>
        <v>1</v>
      </c>
      <c r="AC293" s="35">
        <f t="shared" si="53"/>
        <v>36.549999999999997</v>
      </c>
      <c r="AD293" s="181">
        <v>1.7</v>
      </c>
      <c r="AE293" s="181">
        <v>1.7</v>
      </c>
      <c r="AF293" s="101" t="str">
        <f t="shared" si="56"/>
        <v/>
      </c>
      <c r="AG293" s="190">
        <v>0</v>
      </c>
      <c r="AH293" s="69">
        <f t="shared" si="57"/>
        <v>1</v>
      </c>
    </row>
    <row r="294" spans="1:34" s="69" customFormat="1" ht="39" hidden="1" x14ac:dyDescent="0.3">
      <c r="A294" s="55" t="s">
        <v>767</v>
      </c>
      <c r="B294" s="53" t="s">
        <v>768</v>
      </c>
      <c r="C294" s="54" t="s">
        <v>606</v>
      </c>
      <c r="D294" s="75">
        <v>1</v>
      </c>
      <c r="E294" s="75"/>
      <c r="F294" s="75"/>
      <c r="G294" s="75"/>
      <c r="H294" s="75">
        <v>27.8</v>
      </c>
      <c r="I294" s="75">
        <v>27.8</v>
      </c>
      <c r="J294" s="91" t="s">
        <v>769</v>
      </c>
      <c r="K294" s="73"/>
      <c r="L294" s="46">
        <v>0</v>
      </c>
      <c r="M294" s="46">
        <v>0</v>
      </c>
      <c r="N294" s="46">
        <v>0</v>
      </c>
      <c r="O294" s="98"/>
      <c r="P294" s="23" t="s">
        <v>1459</v>
      </c>
      <c r="Q294" s="24" t="s">
        <v>768</v>
      </c>
      <c r="R294" s="25" t="s">
        <v>606</v>
      </c>
      <c r="S294" s="26">
        <v>1</v>
      </c>
      <c r="T294" s="26"/>
      <c r="U294" s="26">
        <v>27.8</v>
      </c>
      <c r="V294" s="26">
        <f t="shared" si="51"/>
        <v>0</v>
      </c>
      <c r="W294" s="26">
        <f t="shared" si="54"/>
        <v>0</v>
      </c>
      <c r="X294" s="26">
        <f t="shared" si="59"/>
        <v>0</v>
      </c>
      <c r="Y294" s="26">
        <f t="shared" si="58"/>
        <v>0</v>
      </c>
      <c r="Z294" s="33" t="s">
        <v>15</v>
      </c>
      <c r="AA294" s="36" t="s">
        <v>16</v>
      </c>
      <c r="AB294" s="35">
        <f t="shared" si="55"/>
        <v>1</v>
      </c>
      <c r="AC294" s="35">
        <f t="shared" si="53"/>
        <v>27.8</v>
      </c>
      <c r="AD294" s="181">
        <v>1.7</v>
      </c>
      <c r="AE294" s="181">
        <v>1.7</v>
      </c>
      <c r="AF294" s="101" t="str">
        <f t="shared" si="56"/>
        <v/>
      </c>
      <c r="AG294" s="190">
        <v>0</v>
      </c>
      <c r="AH294" s="69">
        <f t="shared" si="57"/>
        <v>1</v>
      </c>
    </row>
    <row r="295" spans="1:34" s="69" customFormat="1" ht="39" hidden="1" x14ac:dyDescent="0.3">
      <c r="A295" s="55" t="s">
        <v>770</v>
      </c>
      <c r="B295" s="53" t="s">
        <v>771</v>
      </c>
      <c r="C295" s="54" t="s">
        <v>606</v>
      </c>
      <c r="D295" s="75">
        <v>1</v>
      </c>
      <c r="E295" s="75"/>
      <c r="F295" s="75"/>
      <c r="G295" s="75"/>
      <c r="H295" s="75">
        <v>105.13</v>
      </c>
      <c r="I295" s="75">
        <v>105.13</v>
      </c>
      <c r="J295" s="91" t="s">
        <v>772</v>
      </c>
      <c r="K295" s="73"/>
      <c r="L295" s="46">
        <v>0</v>
      </c>
      <c r="M295" s="46">
        <v>0</v>
      </c>
      <c r="N295" s="46">
        <v>0</v>
      </c>
      <c r="O295" s="98"/>
      <c r="P295" s="23" t="s">
        <v>1460</v>
      </c>
      <c r="Q295" s="24" t="s">
        <v>771</v>
      </c>
      <c r="R295" s="25" t="s">
        <v>606</v>
      </c>
      <c r="S295" s="26">
        <v>1</v>
      </c>
      <c r="T295" s="26"/>
      <c r="U295" s="26">
        <v>105.13</v>
      </c>
      <c r="V295" s="26">
        <f t="shared" si="51"/>
        <v>0</v>
      </c>
      <c r="W295" s="26">
        <f t="shared" si="54"/>
        <v>0</v>
      </c>
      <c r="X295" s="26">
        <f t="shared" si="59"/>
        <v>0</v>
      </c>
      <c r="Y295" s="26">
        <f t="shared" si="58"/>
        <v>0</v>
      </c>
      <c r="Z295" s="33" t="s">
        <v>15</v>
      </c>
      <c r="AA295" s="36" t="s">
        <v>16</v>
      </c>
      <c r="AB295" s="35">
        <f t="shared" si="55"/>
        <v>1</v>
      </c>
      <c r="AC295" s="35">
        <f t="shared" si="53"/>
        <v>105.13</v>
      </c>
      <c r="AD295" s="181">
        <v>1.7</v>
      </c>
      <c r="AE295" s="181">
        <v>1.7</v>
      </c>
      <c r="AF295" s="101" t="str">
        <f t="shared" si="56"/>
        <v/>
      </c>
      <c r="AG295" s="190">
        <v>0</v>
      </c>
      <c r="AH295" s="69">
        <f t="shared" si="57"/>
        <v>1</v>
      </c>
    </row>
    <row r="296" spans="1:34" s="69" customFormat="1" ht="39" hidden="1" x14ac:dyDescent="0.3">
      <c r="A296" s="55" t="s">
        <v>773</v>
      </c>
      <c r="B296" s="53" t="s">
        <v>774</v>
      </c>
      <c r="C296" s="54" t="s">
        <v>606</v>
      </c>
      <c r="D296" s="75">
        <v>1</v>
      </c>
      <c r="E296" s="75"/>
      <c r="F296" s="75"/>
      <c r="G296" s="75"/>
      <c r="H296" s="75">
        <v>53.12</v>
      </c>
      <c r="I296" s="75">
        <v>53.12</v>
      </c>
      <c r="J296" s="91" t="s">
        <v>775</v>
      </c>
      <c r="K296" s="73"/>
      <c r="L296" s="46">
        <v>0</v>
      </c>
      <c r="M296" s="46">
        <v>0</v>
      </c>
      <c r="N296" s="46">
        <v>0</v>
      </c>
      <c r="O296" s="98"/>
      <c r="P296" s="23" t="s">
        <v>1461</v>
      </c>
      <c r="Q296" s="24" t="s">
        <v>774</v>
      </c>
      <c r="R296" s="25" t="s">
        <v>606</v>
      </c>
      <c r="S296" s="26">
        <v>1</v>
      </c>
      <c r="T296" s="26"/>
      <c r="U296" s="26">
        <v>53.12</v>
      </c>
      <c r="V296" s="26">
        <f t="shared" si="51"/>
        <v>0</v>
      </c>
      <c r="W296" s="26">
        <f t="shared" si="54"/>
        <v>0</v>
      </c>
      <c r="X296" s="26">
        <f t="shared" si="59"/>
        <v>0</v>
      </c>
      <c r="Y296" s="26">
        <f t="shared" si="58"/>
        <v>0</v>
      </c>
      <c r="Z296" s="33" t="s">
        <v>15</v>
      </c>
      <c r="AA296" s="36" t="s">
        <v>16</v>
      </c>
      <c r="AB296" s="35">
        <f t="shared" si="55"/>
        <v>1</v>
      </c>
      <c r="AC296" s="35">
        <f t="shared" si="53"/>
        <v>53.12</v>
      </c>
      <c r="AD296" s="181">
        <v>1.7</v>
      </c>
      <c r="AE296" s="181">
        <v>1.7</v>
      </c>
      <c r="AF296" s="101" t="str">
        <f t="shared" si="56"/>
        <v/>
      </c>
      <c r="AG296" s="190">
        <v>0</v>
      </c>
      <c r="AH296" s="69">
        <f t="shared" si="57"/>
        <v>1</v>
      </c>
    </row>
    <row r="297" spans="1:34" s="69" customFormat="1" ht="39" hidden="1" x14ac:dyDescent="0.3">
      <c r="A297" s="55" t="s">
        <v>776</v>
      </c>
      <c r="B297" s="53" t="s">
        <v>777</v>
      </c>
      <c r="C297" s="54" t="s">
        <v>606</v>
      </c>
      <c r="D297" s="75">
        <v>1</v>
      </c>
      <c r="E297" s="75"/>
      <c r="F297" s="75"/>
      <c r="G297" s="75"/>
      <c r="H297" s="75">
        <v>36.380000000000003</v>
      </c>
      <c r="I297" s="75">
        <v>36.380000000000003</v>
      </c>
      <c r="J297" s="91" t="s">
        <v>778</v>
      </c>
      <c r="K297" s="73"/>
      <c r="L297" s="46">
        <v>0</v>
      </c>
      <c r="M297" s="46">
        <v>0</v>
      </c>
      <c r="N297" s="46">
        <v>0</v>
      </c>
      <c r="O297" s="98"/>
      <c r="P297" s="23" t="s">
        <v>1462</v>
      </c>
      <c r="Q297" s="24" t="s">
        <v>777</v>
      </c>
      <c r="R297" s="25" t="s">
        <v>606</v>
      </c>
      <c r="S297" s="26">
        <v>1</v>
      </c>
      <c r="T297" s="26"/>
      <c r="U297" s="26">
        <v>36.380000000000003</v>
      </c>
      <c r="V297" s="26">
        <f t="shared" si="51"/>
        <v>0</v>
      </c>
      <c r="W297" s="26">
        <f t="shared" si="54"/>
        <v>0</v>
      </c>
      <c r="X297" s="26">
        <f t="shared" si="59"/>
        <v>0</v>
      </c>
      <c r="Y297" s="26">
        <f t="shared" si="58"/>
        <v>0</v>
      </c>
      <c r="Z297" s="33" t="s">
        <v>15</v>
      </c>
      <c r="AA297" s="36" t="s">
        <v>16</v>
      </c>
      <c r="AB297" s="35">
        <f t="shared" si="55"/>
        <v>1</v>
      </c>
      <c r="AC297" s="35">
        <f t="shared" si="53"/>
        <v>36.380000000000003</v>
      </c>
      <c r="AD297" s="181">
        <v>1.7</v>
      </c>
      <c r="AE297" s="181">
        <v>1.7</v>
      </c>
      <c r="AF297" s="101" t="str">
        <f t="shared" si="56"/>
        <v/>
      </c>
      <c r="AG297" s="190">
        <v>0</v>
      </c>
      <c r="AH297" s="69">
        <f t="shared" si="57"/>
        <v>1</v>
      </c>
    </row>
    <row r="298" spans="1:34" s="69" customFormat="1" ht="39" hidden="1" x14ac:dyDescent="0.3">
      <c r="A298" s="55" t="s">
        <v>779</v>
      </c>
      <c r="B298" s="53" t="s">
        <v>780</v>
      </c>
      <c r="C298" s="54" t="s">
        <v>606</v>
      </c>
      <c r="D298" s="75">
        <v>1</v>
      </c>
      <c r="E298" s="75"/>
      <c r="F298" s="75"/>
      <c r="G298" s="75"/>
      <c r="H298" s="75">
        <v>59.74</v>
      </c>
      <c r="I298" s="75">
        <v>59.74</v>
      </c>
      <c r="J298" s="91" t="s">
        <v>781</v>
      </c>
      <c r="K298" s="73"/>
      <c r="L298" s="46">
        <v>0</v>
      </c>
      <c r="M298" s="46">
        <v>0</v>
      </c>
      <c r="N298" s="46">
        <v>0</v>
      </c>
      <c r="O298" s="98"/>
      <c r="P298" s="23" t="s">
        <v>1463</v>
      </c>
      <c r="Q298" s="24" t="s">
        <v>780</v>
      </c>
      <c r="R298" s="25" t="s">
        <v>606</v>
      </c>
      <c r="S298" s="26">
        <v>1</v>
      </c>
      <c r="T298" s="26"/>
      <c r="U298" s="26">
        <v>59.74</v>
      </c>
      <c r="V298" s="26">
        <f t="shared" si="51"/>
        <v>0</v>
      </c>
      <c r="W298" s="26">
        <f t="shared" si="54"/>
        <v>0</v>
      </c>
      <c r="X298" s="26">
        <f t="shared" si="59"/>
        <v>0</v>
      </c>
      <c r="Y298" s="26">
        <f t="shared" si="58"/>
        <v>0</v>
      </c>
      <c r="Z298" s="33" t="s">
        <v>15</v>
      </c>
      <c r="AA298" s="36" t="s">
        <v>16</v>
      </c>
      <c r="AB298" s="35">
        <f t="shared" si="55"/>
        <v>1</v>
      </c>
      <c r="AC298" s="35">
        <f t="shared" si="53"/>
        <v>59.74</v>
      </c>
      <c r="AD298" s="181">
        <v>1.7</v>
      </c>
      <c r="AE298" s="181">
        <v>1.7</v>
      </c>
      <c r="AF298" s="101" t="str">
        <f t="shared" si="56"/>
        <v/>
      </c>
      <c r="AG298" s="190">
        <v>0</v>
      </c>
      <c r="AH298" s="69">
        <f t="shared" si="57"/>
        <v>1</v>
      </c>
    </row>
    <row r="299" spans="1:34" s="69" customFormat="1" ht="39" hidden="1" x14ac:dyDescent="0.3">
      <c r="A299" s="55" t="s">
        <v>782</v>
      </c>
      <c r="B299" s="53" t="s">
        <v>783</v>
      </c>
      <c r="C299" s="54" t="s">
        <v>606</v>
      </c>
      <c r="D299" s="75">
        <v>1</v>
      </c>
      <c r="E299" s="75"/>
      <c r="F299" s="75"/>
      <c r="G299" s="75"/>
      <c r="H299" s="75">
        <v>80.41</v>
      </c>
      <c r="I299" s="75">
        <v>80.41</v>
      </c>
      <c r="J299" s="91" t="s">
        <v>784</v>
      </c>
      <c r="K299" s="73"/>
      <c r="L299" s="46">
        <v>0</v>
      </c>
      <c r="M299" s="46">
        <v>0</v>
      </c>
      <c r="N299" s="46">
        <v>0</v>
      </c>
      <c r="O299" s="98"/>
      <c r="P299" s="23" t="s">
        <v>1464</v>
      </c>
      <c r="Q299" s="24" t="s">
        <v>783</v>
      </c>
      <c r="R299" s="25" t="s">
        <v>606</v>
      </c>
      <c r="S299" s="26">
        <v>1</v>
      </c>
      <c r="T299" s="26"/>
      <c r="U299" s="26">
        <v>80.41</v>
      </c>
      <c r="V299" s="26">
        <f t="shared" si="51"/>
        <v>0</v>
      </c>
      <c r="W299" s="26">
        <f t="shared" si="54"/>
        <v>0</v>
      </c>
      <c r="X299" s="26">
        <f t="shared" si="59"/>
        <v>0</v>
      </c>
      <c r="Y299" s="26">
        <f t="shared" si="58"/>
        <v>0</v>
      </c>
      <c r="Z299" s="33" t="s">
        <v>15</v>
      </c>
      <c r="AA299" s="36" t="s">
        <v>16</v>
      </c>
      <c r="AB299" s="35">
        <f t="shared" si="55"/>
        <v>1</v>
      </c>
      <c r="AC299" s="35">
        <f t="shared" si="53"/>
        <v>80.41</v>
      </c>
      <c r="AD299" s="181">
        <v>1.7</v>
      </c>
      <c r="AE299" s="181">
        <v>1.7</v>
      </c>
      <c r="AF299" s="101" t="str">
        <f t="shared" si="56"/>
        <v/>
      </c>
      <c r="AG299" s="190">
        <v>0</v>
      </c>
      <c r="AH299" s="69">
        <f t="shared" si="57"/>
        <v>1</v>
      </c>
    </row>
    <row r="300" spans="1:34" s="69" customFormat="1" ht="39" hidden="1" x14ac:dyDescent="0.3">
      <c r="A300" s="55" t="s">
        <v>785</v>
      </c>
      <c r="B300" s="53" t="s">
        <v>786</v>
      </c>
      <c r="C300" s="54" t="s">
        <v>606</v>
      </c>
      <c r="D300" s="75">
        <v>1</v>
      </c>
      <c r="E300" s="75"/>
      <c r="F300" s="75"/>
      <c r="G300" s="75"/>
      <c r="H300" s="75">
        <v>64.959999999999994</v>
      </c>
      <c r="I300" s="75">
        <v>64.959999999999994</v>
      </c>
      <c r="J300" s="91" t="s">
        <v>787</v>
      </c>
      <c r="K300" s="73"/>
      <c r="L300" s="46">
        <v>0</v>
      </c>
      <c r="M300" s="46">
        <v>0</v>
      </c>
      <c r="N300" s="46">
        <v>0</v>
      </c>
      <c r="O300" s="98"/>
      <c r="P300" s="23" t="s">
        <v>1465</v>
      </c>
      <c r="Q300" s="24" t="s">
        <v>786</v>
      </c>
      <c r="R300" s="25" t="s">
        <v>606</v>
      </c>
      <c r="S300" s="26">
        <v>1</v>
      </c>
      <c r="T300" s="26"/>
      <c r="U300" s="26">
        <v>64.959999999999994</v>
      </c>
      <c r="V300" s="26">
        <f t="shared" si="51"/>
        <v>0</v>
      </c>
      <c r="W300" s="26">
        <f t="shared" si="54"/>
        <v>0</v>
      </c>
      <c r="X300" s="26">
        <f t="shared" si="59"/>
        <v>0</v>
      </c>
      <c r="Y300" s="26">
        <f t="shared" si="58"/>
        <v>0</v>
      </c>
      <c r="Z300" s="33" t="s">
        <v>15</v>
      </c>
      <c r="AA300" s="36" t="s">
        <v>16</v>
      </c>
      <c r="AB300" s="35">
        <f t="shared" si="55"/>
        <v>1</v>
      </c>
      <c r="AC300" s="35">
        <f t="shared" si="53"/>
        <v>64.959999999999994</v>
      </c>
      <c r="AD300" s="181">
        <v>1.7</v>
      </c>
      <c r="AE300" s="181">
        <v>1.7</v>
      </c>
      <c r="AF300" s="101" t="str">
        <f t="shared" si="56"/>
        <v/>
      </c>
      <c r="AG300" s="190">
        <v>0</v>
      </c>
      <c r="AH300" s="69">
        <f t="shared" si="57"/>
        <v>1</v>
      </c>
    </row>
    <row r="301" spans="1:34" s="69" customFormat="1" ht="39" hidden="1" x14ac:dyDescent="0.3">
      <c r="A301" s="55" t="s">
        <v>788</v>
      </c>
      <c r="B301" s="53" t="s">
        <v>789</v>
      </c>
      <c r="C301" s="54" t="s">
        <v>606</v>
      </c>
      <c r="D301" s="75">
        <v>1</v>
      </c>
      <c r="E301" s="75"/>
      <c r="F301" s="75"/>
      <c r="G301" s="75"/>
      <c r="H301" s="75">
        <v>95.86</v>
      </c>
      <c r="I301" s="75">
        <v>95.86</v>
      </c>
      <c r="J301" s="91" t="s">
        <v>790</v>
      </c>
      <c r="K301" s="73"/>
      <c r="L301" s="46">
        <v>0</v>
      </c>
      <c r="M301" s="46">
        <v>0</v>
      </c>
      <c r="N301" s="46">
        <v>0</v>
      </c>
      <c r="O301" s="98"/>
      <c r="P301" s="23" t="s">
        <v>1466</v>
      </c>
      <c r="Q301" s="24" t="s">
        <v>789</v>
      </c>
      <c r="R301" s="25" t="s">
        <v>606</v>
      </c>
      <c r="S301" s="26">
        <v>1</v>
      </c>
      <c r="T301" s="26"/>
      <c r="U301" s="26">
        <v>95.86</v>
      </c>
      <c r="V301" s="26">
        <f t="shared" si="51"/>
        <v>0</v>
      </c>
      <c r="W301" s="26">
        <f t="shared" si="54"/>
        <v>0</v>
      </c>
      <c r="X301" s="26">
        <f t="shared" si="59"/>
        <v>0</v>
      </c>
      <c r="Y301" s="26">
        <f t="shared" si="58"/>
        <v>0</v>
      </c>
      <c r="Z301" s="33" t="s">
        <v>15</v>
      </c>
      <c r="AA301" s="36" t="s">
        <v>16</v>
      </c>
      <c r="AB301" s="35">
        <f t="shared" si="55"/>
        <v>1</v>
      </c>
      <c r="AC301" s="35">
        <f t="shared" si="53"/>
        <v>95.86</v>
      </c>
      <c r="AD301" s="181">
        <v>1.7</v>
      </c>
      <c r="AE301" s="181">
        <v>1.7</v>
      </c>
      <c r="AF301" s="101" t="str">
        <f t="shared" si="56"/>
        <v/>
      </c>
      <c r="AG301" s="190">
        <v>0</v>
      </c>
      <c r="AH301" s="69">
        <f t="shared" si="57"/>
        <v>1</v>
      </c>
    </row>
    <row r="302" spans="1:34" s="69" customFormat="1" ht="39" hidden="1" x14ac:dyDescent="0.3">
      <c r="A302" s="55" t="s">
        <v>791</v>
      </c>
      <c r="B302" s="53" t="s">
        <v>792</v>
      </c>
      <c r="C302" s="54" t="s">
        <v>606</v>
      </c>
      <c r="D302" s="75">
        <v>1</v>
      </c>
      <c r="E302" s="75"/>
      <c r="F302" s="75"/>
      <c r="G302" s="75"/>
      <c r="H302" s="75">
        <v>93.29</v>
      </c>
      <c r="I302" s="75">
        <v>93.29</v>
      </c>
      <c r="J302" s="91" t="s">
        <v>793</v>
      </c>
      <c r="K302" s="73"/>
      <c r="L302" s="46">
        <v>0</v>
      </c>
      <c r="M302" s="46">
        <v>0</v>
      </c>
      <c r="N302" s="46">
        <v>0</v>
      </c>
      <c r="O302" s="98"/>
      <c r="P302" s="23" t="s">
        <v>1467</v>
      </c>
      <c r="Q302" s="24" t="s">
        <v>792</v>
      </c>
      <c r="R302" s="25" t="s">
        <v>606</v>
      </c>
      <c r="S302" s="26">
        <v>1</v>
      </c>
      <c r="T302" s="26"/>
      <c r="U302" s="26">
        <v>93.29</v>
      </c>
      <c r="V302" s="26">
        <f t="shared" ref="V302:V326" si="60">AG302-L302</f>
        <v>0</v>
      </c>
      <c r="W302" s="26">
        <f t="shared" si="54"/>
        <v>0</v>
      </c>
      <c r="X302" s="26">
        <f t="shared" ref="X302:X326" si="61">Y302-N302</f>
        <v>0</v>
      </c>
      <c r="Y302" s="26">
        <f t="shared" si="58"/>
        <v>0</v>
      </c>
      <c r="Z302" s="33" t="s">
        <v>15</v>
      </c>
      <c r="AA302" s="36" t="s">
        <v>16</v>
      </c>
      <c r="AB302" s="35">
        <f t="shared" si="55"/>
        <v>1</v>
      </c>
      <c r="AC302" s="35">
        <f t="shared" ref="AC302:AC365" si="62">ROUND(U302*AB302,2)</f>
        <v>93.29</v>
      </c>
      <c r="AD302" s="181">
        <v>1.7</v>
      </c>
      <c r="AE302" s="181">
        <v>1.7</v>
      </c>
      <c r="AF302" s="101" t="str">
        <f t="shared" si="56"/>
        <v/>
      </c>
      <c r="AG302" s="190">
        <v>0</v>
      </c>
      <c r="AH302" s="69">
        <f t="shared" si="57"/>
        <v>1</v>
      </c>
    </row>
    <row r="303" spans="1:34" s="69" customFormat="1" ht="39" hidden="1" x14ac:dyDescent="0.3">
      <c r="A303" s="55" t="s">
        <v>794</v>
      </c>
      <c r="B303" s="53" t="s">
        <v>795</v>
      </c>
      <c r="C303" s="54" t="s">
        <v>606</v>
      </c>
      <c r="D303" s="75">
        <v>1</v>
      </c>
      <c r="E303" s="75"/>
      <c r="F303" s="75"/>
      <c r="G303" s="75"/>
      <c r="H303" s="75">
        <v>93.8</v>
      </c>
      <c r="I303" s="75">
        <v>93.8</v>
      </c>
      <c r="J303" s="91" t="s">
        <v>796</v>
      </c>
      <c r="K303" s="73"/>
      <c r="L303" s="46">
        <v>0</v>
      </c>
      <c r="M303" s="46">
        <v>0</v>
      </c>
      <c r="N303" s="46">
        <v>0</v>
      </c>
      <c r="O303" s="98"/>
      <c r="P303" s="23" t="s">
        <v>1468</v>
      </c>
      <c r="Q303" s="24" t="s">
        <v>795</v>
      </c>
      <c r="R303" s="25" t="s">
        <v>606</v>
      </c>
      <c r="S303" s="26">
        <v>1</v>
      </c>
      <c r="T303" s="26"/>
      <c r="U303" s="26">
        <v>93.8</v>
      </c>
      <c r="V303" s="26">
        <f t="shared" si="60"/>
        <v>0</v>
      </c>
      <c r="W303" s="26">
        <f t="shared" si="54"/>
        <v>0</v>
      </c>
      <c r="X303" s="26">
        <f t="shared" si="61"/>
        <v>0</v>
      </c>
      <c r="Y303" s="26">
        <f t="shared" si="58"/>
        <v>0</v>
      </c>
      <c r="Z303" s="33" t="s">
        <v>15</v>
      </c>
      <c r="AA303" s="36" t="s">
        <v>16</v>
      </c>
      <c r="AB303" s="35">
        <f t="shared" si="55"/>
        <v>1</v>
      </c>
      <c r="AC303" s="35">
        <f t="shared" si="62"/>
        <v>93.8</v>
      </c>
      <c r="AD303" s="181">
        <v>1.7</v>
      </c>
      <c r="AE303" s="181">
        <v>1.7</v>
      </c>
      <c r="AF303" s="101" t="str">
        <f t="shared" si="56"/>
        <v/>
      </c>
      <c r="AG303" s="190">
        <v>0</v>
      </c>
      <c r="AH303" s="69">
        <f t="shared" si="57"/>
        <v>1</v>
      </c>
    </row>
    <row r="304" spans="1:34" s="69" customFormat="1" ht="39" hidden="1" x14ac:dyDescent="0.3">
      <c r="A304" s="55" t="s">
        <v>797</v>
      </c>
      <c r="B304" s="53" t="s">
        <v>798</v>
      </c>
      <c r="C304" s="54" t="s">
        <v>606</v>
      </c>
      <c r="D304" s="75">
        <v>1</v>
      </c>
      <c r="E304" s="75"/>
      <c r="F304" s="75"/>
      <c r="G304" s="75"/>
      <c r="H304" s="75">
        <v>63.35</v>
      </c>
      <c r="I304" s="75">
        <v>63.35</v>
      </c>
      <c r="J304" s="91" t="s">
        <v>799</v>
      </c>
      <c r="K304" s="73"/>
      <c r="L304" s="46">
        <v>0</v>
      </c>
      <c r="M304" s="46">
        <v>0</v>
      </c>
      <c r="N304" s="46">
        <v>0</v>
      </c>
      <c r="O304" s="98"/>
      <c r="P304" s="23" t="s">
        <v>1469</v>
      </c>
      <c r="Q304" s="24" t="s">
        <v>798</v>
      </c>
      <c r="R304" s="25" t="s">
        <v>606</v>
      </c>
      <c r="S304" s="26">
        <v>1</v>
      </c>
      <c r="T304" s="26"/>
      <c r="U304" s="26">
        <v>63.35</v>
      </c>
      <c r="V304" s="26">
        <f t="shared" si="60"/>
        <v>0</v>
      </c>
      <c r="W304" s="26">
        <f t="shared" si="54"/>
        <v>0</v>
      </c>
      <c r="X304" s="26">
        <f t="shared" si="61"/>
        <v>0</v>
      </c>
      <c r="Y304" s="26">
        <f t="shared" si="58"/>
        <v>0</v>
      </c>
      <c r="Z304" s="33" t="s">
        <v>15</v>
      </c>
      <c r="AA304" s="36" t="s">
        <v>16</v>
      </c>
      <c r="AB304" s="35">
        <f t="shared" si="55"/>
        <v>1</v>
      </c>
      <c r="AC304" s="35">
        <f t="shared" si="62"/>
        <v>63.35</v>
      </c>
      <c r="AD304" s="181">
        <v>1.7</v>
      </c>
      <c r="AE304" s="181">
        <v>1.7</v>
      </c>
      <c r="AF304" s="101" t="str">
        <f t="shared" si="56"/>
        <v/>
      </c>
      <c r="AG304" s="190">
        <v>0</v>
      </c>
      <c r="AH304" s="69">
        <f t="shared" si="57"/>
        <v>1</v>
      </c>
    </row>
    <row r="305" spans="1:34" s="69" customFormat="1" ht="39" hidden="1" x14ac:dyDescent="0.3">
      <c r="A305" s="55" t="s">
        <v>800</v>
      </c>
      <c r="B305" s="53" t="s">
        <v>801</v>
      </c>
      <c r="C305" s="54" t="s">
        <v>606</v>
      </c>
      <c r="D305" s="75">
        <v>1</v>
      </c>
      <c r="E305" s="75"/>
      <c r="F305" s="75"/>
      <c r="G305" s="75"/>
      <c r="H305" s="75">
        <v>156.05000000000001</v>
      </c>
      <c r="I305" s="75">
        <v>156.05000000000001</v>
      </c>
      <c r="J305" s="91" t="s">
        <v>802</v>
      </c>
      <c r="K305" s="73"/>
      <c r="L305" s="46">
        <v>0</v>
      </c>
      <c r="M305" s="46">
        <v>0</v>
      </c>
      <c r="N305" s="46">
        <v>0</v>
      </c>
      <c r="O305" s="98"/>
      <c r="P305" s="23" t="s">
        <v>1470</v>
      </c>
      <c r="Q305" s="24" t="s">
        <v>801</v>
      </c>
      <c r="R305" s="25" t="s">
        <v>606</v>
      </c>
      <c r="S305" s="26">
        <v>1</v>
      </c>
      <c r="T305" s="26"/>
      <c r="U305" s="26">
        <v>156.05000000000001</v>
      </c>
      <c r="V305" s="26">
        <f t="shared" si="60"/>
        <v>0</v>
      </c>
      <c r="W305" s="26">
        <f t="shared" si="54"/>
        <v>0</v>
      </c>
      <c r="X305" s="26">
        <f t="shared" si="61"/>
        <v>0</v>
      </c>
      <c r="Y305" s="26">
        <f t="shared" si="58"/>
        <v>0</v>
      </c>
      <c r="Z305" s="33" t="s">
        <v>15</v>
      </c>
      <c r="AA305" s="36" t="s">
        <v>16</v>
      </c>
      <c r="AB305" s="35">
        <f t="shared" si="55"/>
        <v>1</v>
      </c>
      <c r="AC305" s="35">
        <f t="shared" si="62"/>
        <v>156.05000000000001</v>
      </c>
      <c r="AD305" s="181">
        <v>1.7</v>
      </c>
      <c r="AE305" s="181">
        <v>1.7</v>
      </c>
      <c r="AF305" s="101" t="str">
        <f t="shared" si="56"/>
        <v/>
      </c>
      <c r="AG305" s="190">
        <v>0</v>
      </c>
      <c r="AH305" s="69">
        <f t="shared" si="57"/>
        <v>1</v>
      </c>
    </row>
    <row r="306" spans="1:34" s="69" customFormat="1" ht="39" hidden="1" x14ac:dyDescent="0.3">
      <c r="A306" s="55" t="s">
        <v>803</v>
      </c>
      <c r="B306" s="53" t="s">
        <v>804</v>
      </c>
      <c r="C306" s="54" t="s">
        <v>606</v>
      </c>
      <c r="D306" s="75">
        <v>1</v>
      </c>
      <c r="E306" s="75"/>
      <c r="F306" s="75"/>
      <c r="G306" s="75"/>
      <c r="H306" s="75">
        <v>69.08</v>
      </c>
      <c r="I306" s="75">
        <v>69.08</v>
      </c>
      <c r="J306" s="91" t="s">
        <v>805</v>
      </c>
      <c r="K306" s="73"/>
      <c r="L306" s="46">
        <v>0</v>
      </c>
      <c r="M306" s="46">
        <v>0</v>
      </c>
      <c r="N306" s="46">
        <v>0</v>
      </c>
      <c r="O306" s="98"/>
      <c r="P306" s="23" t="s">
        <v>1471</v>
      </c>
      <c r="Q306" s="24" t="s">
        <v>804</v>
      </c>
      <c r="R306" s="25" t="s">
        <v>606</v>
      </c>
      <c r="S306" s="26">
        <v>1</v>
      </c>
      <c r="T306" s="26"/>
      <c r="U306" s="26">
        <v>69.08</v>
      </c>
      <c r="V306" s="26">
        <f t="shared" si="60"/>
        <v>0</v>
      </c>
      <c r="W306" s="26">
        <f t="shared" ref="W306:W370" si="63">V306+L306</f>
        <v>0</v>
      </c>
      <c r="X306" s="26">
        <f t="shared" si="61"/>
        <v>0</v>
      </c>
      <c r="Y306" s="26">
        <f t="shared" si="58"/>
        <v>0</v>
      </c>
      <c r="Z306" s="33" t="s">
        <v>15</v>
      </c>
      <c r="AA306" s="36" t="s">
        <v>16</v>
      </c>
      <c r="AB306" s="35">
        <f t="shared" si="55"/>
        <v>1</v>
      </c>
      <c r="AC306" s="35">
        <f t="shared" si="62"/>
        <v>69.08</v>
      </c>
      <c r="AD306" s="181">
        <v>1.7</v>
      </c>
      <c r="AE306" s="181">
        <v>1.7</v>
      </c>
      <c r="AF306" s="101" t="str">
        <f t="shared" si="56"/>
        <v/>
      </c>
      <c r="AG306" s="190">
        <v>0</v>
      </c>
      <c r="AH306" s="69">
        <f t="shared" si="57"/>
        <v>1</v>
      </c>
    </row>
    <row r="307" spans="1:34" s="69" customFormat="1" ht="39" hidden="1" x14ac:dyDescent="0.3">
      <c r="A307" s="55" t="s">
        <v>806</v>
      </c>
      <c r="B307" s="53" t="s">
        <v>807</v>
      </c>
      <c r="C307" s="54" t="s">
        <v>606</v>
      </c>
      <c r="D307" s="75">
        <v>1</v>
      </c>
      <c r="E307" s="75"/>
      <c r="F307" s="75"/>
      <c r="G307" s="75"/>
      <c r="H307" s="75">
        <v>55.62</v>
      </c>
      <c r="I307" s="75">
        <v>55.62</v>
      </c>
      <c r="J307" s="91" t="s">
        <v>808</v>
      </c>
      <c r="K307" s="73"/>
      <c r="L307" s="46">
        <v>0</v>
      </c>
      <c r="M307" s="46">
        <v>0</v>
      </c>
      <c r="N307" s="46">
        <v>0</v>
      </c>
      <c r="O307" s="98"/>
      <c r="P307" s="23" t="s">
        <v>1472</v>
      </c>
      <c r="Q307" s="24" t="s">
        <v>807</v>
      </c>
      <c r="R307" s="25" t="s">
        <v>606</v>
      </c>
      <c r="S307" s="26">
        <v>1</v>
      </c>
      <c r="T307" s="26"/>
      <c r="U307" s="26">
        <v>55.62</v>
      </c>
      <c r="V307" s="26">
        <f t="shared" si="60"/>
        <v>0</v>
      </c>
      <c r="W307" s="26">
        <f t="shared" si="63"/>
        <v>0</v>
      </c>
      <c r="X307" s="26">
        <f t="shared" si="61"/>
        <v>0</v>
      </c>
      <c r="Y307" s="26">
        <f t="shared" si="58"/>
        <v>0</v>
      </c>
      <c r="Z307" s="33" t="s">
        <v>15</v>
      </c>
      <c r="AA307" s="36" t="s">
        <v>16</v>
      </c>
      <c r="AB307" s="35">
        <f t="shared" si="55"/>
        <v>1</v>
      </c>
      <c r="AC307" s="35">
        <f t="shared" si="62"/>
        <v>55.62</v>
      </c>
      <c r="AD307" s="181">
        <v>1.7</v>
      </c>
      <c r="AE307" s="181">
        <v>1.7</v>
      </c>
      <c r="AF307" s="101" t="str">
        <f t="shared" si="56"/>
        <v/>
      </c>
      <c r="AG307" s="190">
        <v>0</v>
      </c>
      <c r="AH307" s="69">
        <f t="shared" si="57"/>
        <v>1</v>
      </c>
    </row>
    <row r="308" spans="1:34" s="69" customFormat="1" ht="39" hidden="1" x14ac:dyDescent="0.3">
      <c r="A308" s="55" t="s">
        <v>809</v>
      </c>
      <c r="B308" s="53" t="s">
        <v>810</v>
      </c>
      <c r="C308" s="54" t="s">
        <v>606</v>
      </c>
      <c r="D308" s="75">
        <v>1</v>
      </c>
      <c r="E308" s="75"/>
      <c r="F308" s="75"/>
      <c r="G308" s="75"/>
      <c r="H308" s="75">
        <v>91.67</v>
      </c>
      <c r="I308" s="75">
        <v>91.67</v>
      </c>
      <c r="J308" s="91" t="s">
        <v>811</v>
      </c>
      <c r="K308" s="73"/>
      <c r="L308" s="46">
        <v>0</v>
      </c>
      <c r="M308" s="46">
        <v>0</v>
      </c>
      <c r="N308" s="46">
        <v>0</v>
      </c>
      <c r="O308" s="98"/>
      <c r="P308" s="23" t="s">
        <v>1473</v>
      </c>
      <c r="Q308" s="24" t="s">
        <v>810</v>
      </c>
      <c r="R308" s="25" t="s">
        <v>606</v>
      </c>
      <c r="S308" s="26">
        <v>1</v>
      </c>
      <c r="T308" s="26"/>
      <c r="U308" s="26">
        <v>91.67</v>
      </c>
      <c r="V308" s="26">
        <f t="shared" si="60"/>
        <v>0</v>
      </c>
      <c r="W308" s="26">
        <f t="shared" si="63"/>
        <v>0</v>
      </c>
      <c r="X308" s="26">
        <f t="shared" si="61"/>
        <v>0</v>
      </c>
      <c r="Y308" s="26">
        <f t="shared" si="58"/>
        <v>0</v>
      </c>
      <c r="Z308" s="33" t="s">
        <v>15</v>
      </c>
      <c r="AA308" s="36" t="s">
        <v>16</v>
      </c>
      <c r="AB308" s="35">
        <f t="shared" si="55"/>
        <v>1</v>
      </c>
      <c r="AC308" s="35">
        <f t="shared" si="62"/>
        <v>91.67</v>
      </c>
      <c r="AD308" s="181">
        <v>1.7</v>
      </c>
      <c r="AE308" s="181">
        <v>1.7</v>
      </c>
      <c r="AF308" s="101" t="str">
        <f t="shared" si="56"/>
        <v/>
      </c>
      <c r="AG308" s="190">
        <v>0</v>
      </c>
      <c r="AH308" s="69">
        <f t="shared" si="57"/>
        <v>1</v>
      </c>
    </row>
    <row r="309" spans="1:34" s="69" customFormat="1" ht="39" hidden="1" x14ac:dyDescent="0.3">
      <c r="A309" s="55" t="s">
        <v>812</v>
      </c>
      <c r="B309" s="53" t="s">
        <v>813</v>
      </c>
      <c r="C309" s="54" t="s">
        <v>606</v>
      </c>
      <c r="D309" s="75">
        <v>1</v>
      </c>
      <c r="E309" s="75"/>
      <c r="F309" s="75"/>
      <c r="G309" s="75"/>
      <c r="H309" s="75">
        <v>68.5</v>
      </c>
      <c r="I309" s="75">
        <v>68.5</v>
      </c>
      <c r="J309" s="91" t="s">
        <v>814</v>
      </c>
      <c r="K309" s="73"/>
      <c r="L309" s="46">
        <v>0</v>
      </c>
      <c r="M309" s="46">
        <v>0</v>
      </c>
      <c r="N309" s="46">
        <v>0</v>
      </c>
      <c r="O309" s="98"/>
      <c r="P309" s="23" t="s">
        <v>1474</v>
      </c>
      <c r="Q309" s="24" t="s">
        <v>813</v>
      </c>
      <c r="R309" s="25" t="s">
        <v>606</v>
      </c>
      <c r="S309" s="26">
        <v>1</v>
      </c>
      <c r="T309" s="26"/>
      <c r="U309" s="26">
        <v>68.5</v>
      </c>
      <c r="V309" s="26">
        <f t="shared" si="60"/>
        <v>0</v>
      </c>
      <c r="W309" s="26">
        <f t="shared" si="63"/>
        <v>0</v>
      </c>
      <c r="X309" s="26">
        <f t="shared" si="61"/>
        <v>0</v>
      </c>
      <c r="Y309" s="26">
        <f t="shared" si="58"/>
        <v>0</v>
      </c>
      <c r="Z309" s="33" t="s">
        <v>15</v>
      </c>
      <c r="AA309" s="36" t="s">
        <v>16</v>
      </c>
      <c r="AB309" s="35">
        <f t="shared" si="55"/>
        <v>1</v>
      </c>
      <c r="AC309" s="35">
        <f t="shared" si="62"/>
        <v>68.5</v>
      </c>
      <c r="AD309" s="181">
        <v>1.7</v>
      </c>
      <c r="AE309" s="181">
        <v>1.7</v>
      </c>
      <c r="AF309" s="101" t="str">
        <f t="shared" si="56"/>
        <v/>
      </c>
      <c r="AG309" s="190">
        <v>0</v>
      </c>
      <c r="AH309" s="69">
        <f t="shared" si="57"/>
        <v>1</v>
      </c>
    </row>
    <row r="310" spans="1:34" s="69" customFormat="1" ht="39" hidden="1" x14ac:dyDescent="0.3">
      <c r="A310" s="55" t="s">
        <v>815</v>
      </c>
      <c r="B310" s="53" t="s">
        <v>816</v>
      </c>
      <c r="C310" s="54" t="s">
        <v>606</v>
      </c>
      <c r="D310" s="75">
        <v>1</v>
      </c>
      <c r="E310" s="75"/>
      <c r="F310" s="75"/>
      <c r="G310" s="75"/>
      <c r="H310" s="75">
        <v>58.2</v>
      </c>
      <c r="I310" s="75">
        <v>58.2</v>
      </c>
      <c r="J310" s="91" t="s">
        <v>817</v>
      </c>
      <c r="K310" s="73"/>
      <c r="L310" s="46">
        <v>0</v>
      </c>
      <c r="M310" s="46">
        <v>0</v>
      </c>
      <c r="N310" s="46">
        <v>0</v>
      </c>
      <c r="O310" s="98"/>
      <c r="P310" s="23" t="s">
        <v>1475</v>
      </c>
      <c r="Q310" s="24" t="s">
        <v>816</v>
      </c>
      <c r="R310" s="25" t="s">
        <v>606</v>
      </c>
      <c r="S310" s="26">
        <v>1</v>
      </c>
      <c r="T310" s="26"/>
      <c r="U310" s="26">
        <v>58.2</v>
      </c>
      <c r="V310" s="26">
        <f t="shared" si="60"/>
        <v>0</v>
      </c>
      <c r="W310" s="26">
        <f t="shared" si="63"/>
        <v>0</v>
      </c>
      <c r="X310" s="26">
        <f t="shared" si="61"/>
        <v>0</v>
      </c>
      <c r="Y310" s="26">
        <f t="shared" si="58"/>
        <v>0</v>
      </c>
      <c r="Z310" s="33" t="s">
        <v>15</v>
      </c>
      <c r="AA310" s="36" t="s">
        <v>16</v>
      </c>
      <c r="AB310" s="35">
        <f t="shared" si="55"/>
        <v>1</v>
      </c>
      <c r="AC310" s="35">
        <f t="shared" si="62"/>
        <v>58.2</v>
      </c>
      <c r="AD310" s="181">
        <v>1.7</v>
      </c>
      <c r="AE310" s="181">
        <v>1.7</v>
      </c>
      <c r="AF310" s="101" t="str">
        <f t="shared" si="56"/>
        <v/>
      </c>
      <c r="AG310" s="190">
        <v>0</v>
      </c>
      <c r="AH310" s="69">
        <f t="shared" si="57"/>
        <v>1</v>
      </c>
    </row>
    <row r="311" spans="1:34" s="69" customFormat="1" ht="39" hidden="1" x14ac:dyDescent="0.3">
      <c r="A311" s="55" t="s">
        <v>818</v>
      </c>
      <c r="B311" s="53" t="s">
        <v>819</v>
      </c>
      <c r="C311" s="54" t="s">
        <v>606</v>
      </c>
      <c r="D311" s="75">
        <v>1</v>
      </c>
      <c r="E311" s="75"/>
      <c r="F311" s="75"/>
      <c r="G311" s="75"/>
      <c r="H311" s="75">
        <v>70.040000000000006</v>
      </c>
      <c r="I311" s="75">
        <v>70.040000000000006</v>
      </c>
      <c r="J311" s="91" t="s">
        <v>820</v>
      </c>
      <c r="K311" s="73"/>
      <c r="L311" s="46">
        <v>0</v>
      </c>
      <c r="M311" s="46">
        <v>0</v>
      </c>
      <c r="N311" s="46">
        <v>0</v>
      </c>
      <c r="O311" s="98"/>
      <c r="P311" s="23" t="s">
        <v>1476</v>
      </c>
      <c r="Q311" s="24" t="s">
        <v>819</v>
      </c>
      <c r="R311" s="25" t="s">
        <v>606</v>
      </c>
      <c r="S311" s="26">
        <v>1</v>
      </c>
      <c r="T311" s="26"/>
      <c r="U311" s="26">
        <v>70.040000000000006</v>
      </c>
      <c r="V311" s="26">
        <f t="shared" si="60"/>
        <v>0</v>
      </c>
      <c r="W311" s="26">
        <f t="shared" si="63"/>
        <v>0</v>
      </c>
      <c r="X311" s="26">
        <f t="shared" si="61"/>
        <v>0</v>
      </c>
      <c r="Y311" s="26">
        <f t="shared" si="58"/>
        <v>0</v>
      </c>
      <c r="Z311" s="33" t="s">
        <v>15</v>
      </c>
      <c r="AA311" s="36" t="s">
        <v>16</v>
      </c>
      <c r="AB311" s="35">
        <f t="shared" si="55"/>
        <v>1</v>
      </c>
      <c r="AC311" s="35">
        <f t="shared" si="62"/>
        <v>70.040000000000006</v>
      </c>
      <c r="AD311" s="181">
        <v>1.7</v>
      </c>
      <c r="AE311" s="181">
        <v>1.7</v>
      </c>
      <c r="AF311" s="101" t="str">
        <f t="shared" si="56"/>
        <v/>
      </c>
      <c r="AG311" s="190">
        <v>0</v>
      </c>
      <c r="AH311" s="69">
        <f t="shared" si="57"/>
        <v>1</v>
      </c>
    </row>
    <row r="312" spans="1:34" s="69" customFormat="1" ht="39" hidden="1" x14ac:dyDescent="0.3">
      <c r="A312" s="55" t="s">
        <v>821</v>
      </c>
      <c r="B312" s="53" t="s">
        <v>822</v>
      </c>
      <c r="C312" s="54" t="s">
        <v>606</v>
      </c>
      <c r="D312" s="75">
        <v>1</v>
      </c>
      <c r="E312" s="75"/>
      <c r="F312" s="75"/>
      <c r="G312" s="75"/>
      <c r="H312" s="75">
        <v>61.29</v>
      </c>
      <c r="I312" s="75">
        <v>61.29</v>
      </c>
      <c r="J312" s="91" t="s">
        <v>823</v>
      </c>
      <c r="K312" s="73"/>
      <c r="L312" s="46">
        <v>0</v>
      </c>
      <c r="M312" s="46">
        <v>0</v>
      </c>
      <c r="N312" s="46">
        <v>0</v>
      </c>
      <c r="O312" s="98"/>
      <c r="P312" s="23" t="s">
        <v>1477</v>
      </c>
      <c r="Q312" s="24" t="s">
        <v>822</v>
      </c>
      <c r="R312" s="25" t="s">
        <v>606</v>
      </c>
      <c r="S312" s="26">
        <v>1</v>
      </c>
      <c r="T312" s="26"/>
      <c r="U312" s="26">
        <v>61.29</v>
      </c>
      <c r="V312" s="26">
        <f t="shared" si="60"/>
        <v>0</v>
      </c>
      <c r="W312" s="26">
        <f t="shared" si="63"/>
        <v>0</v>
      </c>
      <c r="X312" s="26">
        <f t="shared" si="61"/>
        <v>0</v>
      </c>
      <c r="Y312" s="26">
        <f t="shared" si="58"/>
        <v>0</v>
      </c>
      <c r="Z312" s="33" t="s">
        <v>15</v>
      </c>
      <c r="AA312" s="36" t="s">
        <v>16</v>
      </c>
      <c r="AB312" s="35">
        <f t="shared" si="55"/>
        <v>1</v>
      </c>
      <c r="AC312" s="35">
        <f t="shared" si="62"/>
        <v>61.29</v>
      </c>
      <c r="AD312" s="181">
        <v>1.7</v>
      </c>
      <c r="AE312" s="181">
        <v>1.7</v>
      </c>
      <c r="AF312" s="101" t="str">
        <f t="shared" si="56"/>
        <v/>
      </c>
      <c r="AG312" s="190">
        <v>0</v>
      </c>
      <c r="AH312" s="69">
        <f t="shared" si="57"/>
        <v>1</v>
      </c>
    </row>
    <row r="313" spans="1:34" s="69" customFormat="1" ht="39" hidden="1" x14ac:dyDescent="0.3">
      <c r="A313" s="55" t="s">
        <v>824</v>
      </c>
      <c r="B313" s="53" t="s">
        <v>825</v>
      </c>
      <c r="C313" s="54" t="s">
        <v>606</v>
      </c>
      <c r="D313" s="75">
        <v>1</v>
      </c>
      <c r="E313" s="75"/>
      <c r="F313" s="75"/>
      <c r="G313" s="75"/>
      <c r="H313" s="75">
        <v>59.74</v>
      </c>
      <c r="I313" s="75">
        <v>59.74</v>
      </c>
      <c r="J313" s="91" t="s">
        <v>826</v>
      </c>
      <c r="K313" s="73"/>
      <c r="L313" s="46">
        <v>0</v>
      </c>
      <c r="M313" s="46">
        <v>0</v>
      </c>
      <c r="N313" s="46">
        <v>0</v>
      </c>
      <c r="O313" s="98"/>
      <c r="P313" s="23" t="s">
        <v>1478</v>
      </c>
      <c r="Q313" s="24" t="s">
        <v>825</v>
      </c>
      <c r="R313" s="25" t="s">
        <v>606</v>
      </c>
      <c r="S313" s="26">
        <v>1</v>
      </c>
      <c r="T313" s="26"/>
      <c r="U313" s="26">
        <v>59.74</v>
      </c>
      <c r="V313" s="26">
        <f t="shared" si="60"/>
        <v>0</v>
      </c>
      <c r="W313" s="26">
        <f t="shared" si="63"/>
        <v>0</v>
      </c>
      <c r="X313" s="26">
        <f t="shared" si="61"/>
        <v>0</v>
      </c>
      <c r="Y313" s="26">
        <f t="shared" si="58"/>
        <v>0</v>
      </c>
      <c r="Z313" s="33" t="s">
        <v>15</v>
      </c>
      <c r="AA313" s="36" t="s">
        <v>16</v>
      </c>
      <c r="AB313" s="35">
        <f t="shared" si="55"/>
        <v>1</v>
      </c>
      <c r="AC313" s="35">
        <f t="shared" si="62"/>
        <v>59.74</v>
      </c>
      <c r="AD313" s="181">
        <v>1.7</v>
      </c>
      <c r="AE313" s="181">
        <v>1.7</v>
      </c>
      <c r="AF313" s="101" t="str">
        <f t="shared" si="56"/>
        <v/>
      </c>
      <c r="AG313" s="190">
        <v>0</v>
      </c>
      <c r="AH313" s="69">
        <f t="shared" si="57"/>
        <v>1</v>
      </c>
    </row>
    <row r="314" spans="1:34" s="69" customFormat="1" ht="39" hidden="1" x14ac:dyDescent="0.3">
      <c r="A314" s="55" t="s">
        <v>827</v>
      </c>
      <c r="B314" s="53" t="s">
        <v>828</v>
      </c>
      <c r="C314" s="54" t="s">
        <v>606</v>
      </c>
      <c r="D314" s="75">
        <v>1</v>
      </c>
      <c r="E314" s="75"/>
      <c r="F314" s="75"/>
      <c r="G314" s="75"/>
      <c r="H314" s="75">
        <v>69.58</v>
      </c>
      <c r="I314" s="75">
        <v>69.58</v>
      </c>
      <c r="J314" s="91" t="s">
        <v>829</v>
      </c>
      <c r="K314" s="73"/>
      <c r="L314" s="46">
        <v>0</v>
      </c>
      <c r="M314" s="46">
        <v>0</v>
      </c>
      <c r="N314" s="46">
        <v>0</v>
      </c>
      <c r="O314" s="98"/>
      <c r="P314" s="23" t="s">
        <v>1479</v>
      </c>
      <c r="Q314" s="24" t="s">
        <v>828</v>
      </c>
      <c r="R314" s="25" t="s">
        <v>606</v>
      </c>
      <c r="S314" s="26">
        <v>1</v>
      </c>
      <c r="T314" s="26"/>
      <c r="U314" s="26">
        <v>69.58</v>
      </c>
      <c r="V314" s="26">
        <f t="shared" si="60"/>
        <v>0</v>
      </c>
      <c r="W314" s="26">
        <f t="shared" si="63"/>
        <v>0</v>
      </c>
      <c r="X314" s="26">
        <f t="shared" si="61"/>
        <v>0</v>
      </c>
      <c r="Y314" s="26">
        <f t="shared" si="58"/>
        <v>0</v>
      </c>
      <c r="Z314" s="33" t="s">
        <v>15</v>
      </c>
      <c r="AA314" s="36" t="s">
        <v>16</v>
      </c>
      <c r="AB314" s="35">
        <f t="shared" si="55"/>
        <v>1</v>
      </c>
      <c r="AC314" s="35">
        <f t="shared" si="62"/>
        <v>69.58</v>
      </c>
      <c r="AD314" s="181">
        <v>1.7</v>
      </c>
      <c r="AE314" s="181">
        <v>1.7</v>
      </c>
      <c r="AF314" s="101" t="str">
        <f t="shared" si="56"/>
        <v/>
      </c>
      <c r="AG314" s="190">
        <v>0</v>
      </c>
      <c r="AH314" s="69">
        <f t="shared" si="57"/>
        <v>1</v>
      </c>
    </row>
    <row r="315" spans="1:34" s="69" customFormat="1" ht="39" hidden="1" x14ac:dyDescent="0.3">
      <c r="A315" s="55" t="s">
        <v>830</v>
      </c>
      <c r="B315" s="53" t="s">
        <v>831</v>
      </c>
      <c r="C315" s="54" t="s">
        <v>606</v>
      </c>
      <c r="D315" s="75">
        <v>1</v>
      </c>
      <c r="E315" s="75"/>
      <c r="F315" s="75"/>
      <c r="G315" s="75"/>
      <c r="H315" s="75">
        <v>112.84</v>
      </c>
      <c r="I315" s="75">
        <v>112.84</v>
      </c>
      <c r="J315" s="91" t="s">
        <v>832</v>
      </c>
      <c r="K315" s="73"/>
      <c r="L315" s="46">
        <v>0</v>
      </c>
      <c r="M315" s="46">
        <v>0</v>
      </c>
      <c r="N315" s="46">
        <v>0</v>
      </c>
      <c r="O315" s="98"/>
      <c r="P315" s="23" t="s">
        <v>1480</v>
      </c>
      <c r="Q315" s="24" t="s">
        <v>831</v>
      </c>
      <c r="R315" s="25" t="s">
        <v>606</v>
      </c>
      <c r="S315" s="26">
        <v>1</v>
      </c>
      <c r="T315" s="26"/>
      <c r="U315" s="26">
        <v>112.84</v>
      </c>
      <c r="V315" s="26">
        <f t="shared" si="60"/>
        <v>0</v>
      </c>
      <c r="W315" s="26">
        <f t="shared" si="63"/>
        <v>0</v>
      </c>
      <c r="X315" s="26">
        <f t="shared" si="61"/>
        <v>0</v>
      </c>
      <c r="Y315" s="26">
        <f t="shared" si="58"/>
        <v>0</v>
      </c>
      <c r="Z315" s="33" t="s">
        <v>15</v>
      </c>
      <c r="AA315" s="36" t="s">
        <v>16</v>
      </c>
      <c r="AB315" s="35">
        <f t="shared" si="55"/>
        <v>1</v>
      </c>
      <c r="AC315" s="35">
        <f t="shared" si="62"/>
        <v>112.84</v>
      </c>
      <c r="AD315" s="181">
        <v>1.7</v>
      </c>
      <c r="AE315" s="181">
        <v>1.7</v>
      </c>
      <c r="AF315" s="101" t="str">
        <f t="shared" si="56"/>
        <v/>
      </c>
      <c r="AG315" s="190">
        <v>0</v>
      </c>
      <c r="AH315" s="69">
        <f t="shared" si="57"/>
        <v>1</v>
      </c>
    </row>
    <row r="316" spans="1:34" s="69" customFormat="1" ht="39" hidden="1" x14ac:dyDescent="0.3">
      <c r="A316" s="55" t="s">
        <v>833</v>
      </c>
      <c r="B316" s="53" t="s">
        <v>834</v>
      </c>
      <c r="C316" s="54" t="s">
        <v>606</v>
      </c>
      <c r="D316" s="75">
        <v>1</v>
      </c>
      <c r="E316" s="75"/>
      <c r="F316" s="75"/>
      <c r="G316" s="75"/>
      <c r="H316" s="75">
        <v>102.54</v>
      </c>
      <c r="I316" s="75">
        <v>102.54</v>
      </c>
      <c r="J316" s="91" t="s">
        <v>835</v>
      </c>
      <c r="K316" s="73"/>
      <c r="L316" s="46">
        <v>0</v>
      </c>
      <c r="M316" s="46">
        <v>0</v>
      </c>
      <c r="N316" s="46">
        <v>0</v>
      </c>
      <c r="O316" s="98"/>
      <c r="P316" s="23" t="s">
        <v>1481</v>
      </c>
      <c r="Q316" s="24" t="s">
        <v>834</v>
      </c>
      <c r="R316" s="25" t="s">
        <v>606</v>
      </c>
      <c r="S316" s="26">
        <v>1</v>
      </c>
      <c r="T316" s="26"/>
      <c r="U316" s="26">
        <v>102.54</v>
      </c>
      <c r="V316" s="26">
        <f t="shared" si="60"/>
        <v>0</v>
      </c>
      <c r="W316" s="26">
        <f t="shared" si="63"/>
        <v>0</v>
      </c>
      <c r="X316" s="26">
        <f t="shared" si="61"/>
        <v>0</v>
      </c>
      <c r="Y316" s="26">
        <f t="shared" si="58"/>
        <v>0</v>
      </c>
      <c r="Z316" s="33" t="s">
        <v>15</v>
      </c>
      <c r="AA316" s="36" t="s">
        <v>16</v>
      </c>
      <c r="AB316" s="35">
        <f t="shared" si="55"/>
        <v>1</v>
      </c>
      <c r="AC316" s="35">
        <f t="shared" si="62"/>
        <v>102.54</v>
      </c>
      <c r="AD316" s="181">
        <v>1.7</v>
      </c>
      <c r="AE316" s="181">
        <v>1.7</v>
      </c>
      <c r="AF316" s="101" t="str">
        <f t="shared" si="56"/>
        <v/>
      </c>
      <c r="AG316" s="190">
        <v>0</v>
      </c>
      <c r="AH316" s="69">
        <f t="shared" si="57"/>
        <v>1</v>
      </c>
    </row>
    <row r="317" spans="1:34" s="69" customFormat="1" ht="39" hidden="1" x14ac:dyDescent="0.3">
      <c r="A317" s="55" t="s">
        <v>836</v>
      </c>
      <c r="B317" s="53" t="s">
        <v>837</v>
      </c>
      <c r="C317" s="54" t="s">
        <v>606</v>
      </c>
      <c r="D317" s="75">
        <v>1</v>
      </c>
      <c r="E317" s="75"/>
      <c r="F317" s="75"/>
      <c r="G317" s="75"/>
      <c r="H317" s="75">
        <v>82.99</v>
      </c>
      <c r="I317" s="75">
        <v>82.99</v>
      </c>
      <c r="J317" s="91" t="s">
        <v>838</v>
      </c>
      <c r="K317" s="73"/>
      <c r="L317" s="46">
        <v>0</v>
      </c>
      <c r="M317" s="46">
        <v>0</v>
      </c>
      <c r="N317" s="46">
        <v>0</v>
      </c>
      <c r="O317" s="98"/>
      <c r="P317" s="23" t="s">
        <v>1482</v>
      </c>
      <c r="Q317" s="24" t="s">
        <v>837</v>
      </c>
      <c r="R317" s="25" t="s">
        <v>606</v>
      </c>
      <c r="S317" s="26">
        <v>1</v>
      </c>
      <c r="T317" s="26"/>
      <c r="U317" s="26">
        <v>82.99</v>
      </c>
      <c r="V317" s="26">
        <f t="shared" si="60"/>
        <v>0</v>
      </c>
      <c r="W317" s="26">
        <f t="shared" si="63"/>
        <v>0</v>
      </c>
      <c r="X317" s="26">
        <f t="shared" si="61"/>
        <v>0</v>
      </c>
      <c r="Y317" s="26">
        <f t="shared" si="58"/>
        <v>0</v>
      </c>
      <c r="Z317" s="33" t="s">
        <v>15</v>
      </c>
      <c r="AA317" s="36" t="s">
        <v>16</v>
      </c>
      <c r="AB317" s="35">
        <f t="shared" si="55"/>
        <v>1</v>
      </c>
      <c r="AC317" s="35">
        <f t="shared" si="62"/>
        <v>82.99</v>
      </c>
      <c r="AD317" s="181">
        <v>1.7</v>
      </c>
      <c r="AE317" s="181">
        <v>1.7</v>
      </c>
      <c r="AF317" s="101" t="str">
        <f t="shared" si="56"/>
        <v/>
      </c>
      <c r="AG317" s="190">
        <v>0</v>
      </c>
      <c r="AH317" s="69">
        <f t="shared" si="57"/>
        <v>1</v>
      </c>
    </row>
    <row r="318" spans="1:34" s="69" customFormat="1" ht="39" hidden="1" x14ac:dyDescent="0.3">
      <c r="A318" s="55" t="s">
        <v>839</v>
      </c>
      <c r="B318" s="53" t="s">
        <v>840</v>
      </c>
      <c r="C318" s="54" t="s">
        <v>606</v>
      </c>
      <c r="D318" s="75">
        <v>1</v>
      </c>
      <c r="E318" s="75"/>
      <c r="F318" s="75"/>
      <c r="G318" s="75"/>
      <c r="H318" s="75">
        <v>80.41</v>
      </c>
      <c r="I318" s="75">
        <v>80.41</v>
      </c>
      <c r="J318" s="91" t="s">
        <v>841</v>
      </c>
      <c r="K318" s="73"/>
      <c r="L318" s="46">
        <v>0</v>
      </c>
      <c r="M318" s="46">
        <v>0</v>
      </c>
      <c r="N318" s="46">
        <v>0</v>
      </c>
      <c r="O318" s="98"/>
      <c r="P318" s="23" t="s">
        <v>1483</v>
      </c>
      <c r="Q318" s="24" t="s">
        <v>840</v>
      </c>
      <c r="R318" s="25" t="s">
        <v>606</v>
      </c>
      <c r="S318" s="26">
        <v>1</v>
      </c>
      <c r="T318" s="26"/>
      <c r="U318" s="26">
        <v>80.41</v>
      </c>
      <c r="V318" s="26">
        <f t="shared" si="60"/>
        <v>0</v>
      </c>
      <c r="W318" s="26">
        <f t="shared" si="63"/>
        <v>0</v>
      </c>
      <c r="X318" s="26">
        <f t="shared" si="61"/>
        <v>0</v>
      </c>
      <c r="Y318" s="26">
        <f t="shared" si="58"/>
        <v>0</v>
      </c>
      <c r="Z318" s="33" t="s">
        <v>15</v>
      </c>
      <c r="AA318" s="36" t="s">
        <v>16</v>
      </c>
      <c r="AB318" s="35">
        <f t="shared" si="55"/>
        <v>1</v>
      </c>
      <c r="AC318" s="35">
        <f t="shared" si="62"/>
        <v>80.41</v>
      </c>
      <c r="AD318" s="181">
        <v>1.7</v>
      </c>
      <c r="AE318" s="181">
        <v>1.7</v>
      </c>
      <c r="AF318" s="101" t="str">
        <f t="shared" si="56"/>
        <v/>
      </c>
      <c r="AG318" s="190">
        <v>0</v>
      </c>
      <c r="AH318" s="69">
        <f t="shared" si="57"/>
        <v>1</v>
      </c>
    </row>
    <row r="319" spans="1:34" s="69" customFormat="1" ht="39" hidden="1" x14ac:dyDescent="0.3">
      <c r="A319" s="55" t="s">
        <v>842</v>
      </c>
      <c r="B319" s="53" t="s">
        <v>843</v>
      </c>
      <c r="C319" s="54" t="s">
        <v>606</v>
      </c>
      <c r="D319" s="75">
        <v>1</v>
      </c>
      <c r="E319" s="75"/>
      <c r="F319" s="75"/>
      <c r="G319" s="75"/>
      <c r="H319" s="75">
        <v>101.01</v>
      </c>
      <c r="I319" s="75">
        <v>101.01</v>
      </c>
      <c r="J319" s="91" t="s">
        <v>844</v>
      </c>
      <c r="K319" s="73"/>
      <c r="L319" s="46">
        <v>0</v>
      </c>
      <c r="M319" s="46">
        <v>0</v>
      </c>
      <c r="N319" s="46">
        <v>0</v>
      </c>
      <c r="O319" s="98"/>
      <c r="P319" s="23" t="s">
        <v>1484</v>
      </c>
      <c r="Q319" s="24" t="s">
        <v>843</v>
      </c>
      <c r="R319" s="25" t="s">
        <v>606</v>
      </c>
      <c r="S319" s="26">
        <v>1</v>
      </c>
      <c r="T319" s="26"/>
      <c r="U319" s="26">
        <v>101.01</v>
      </c>
      <c r="V319" s="26">
        <f t="shared" si="60"/>
        <v>0</v>
      </c>
      <c r="W319" s="26">
        <f t="shared" si="63"/>
        <v>0</v>
      </c>
      <c r="X319" s="26">
        <f t="shared" si="61"/>
        <v>0</v>
      </c>
      <c r="Y319" s="26">
        <f t="shared" si="58"/>
        <v>0</v>
      </c>
      <c r="Z319" s="33" t="s">
        <v>15</v>
      </c>
      <c r="AA319" s="36" t="s">
        <v>16</v>
      </c>
      <c r="AB319" s="35">
        <f t="shared" si="55"/>
        <v>1</v>
      </c>
      <c r="AC319" s="35">
        <f t="shared" si="62"/>
        <v>101.01</v>
      </c>
      <c r="AD319" s="181">
        <v>1.7</v>
      </c>
      <c r="AE319" s="181">
        <v>1.7</v>
      </c>
      <c r="AF319" s="101" t="str">
        <f t="shared" si="56"/>
        <v/>
      </c>
      <c r="AG319" s="190">
        <v>0</v>
      </c>
      <c r="AH319" s="69">
        <f t="shared" si="57"/>
        <v>1</v>
      </c>
    </row>
    <row r="320" spans="1:34" s="69" customFormat="1" ht="39" hidden="1" x14ac:dyDescent="0.3">
      <c r="A320" s="55" t="s">
        <v>845</v>
      </c>
      <c r="B320" s="53" t="s">
        <v>846</v>
      </c>
      <c r="C320" s="54" t="s">
        <v>606</v>
      </c>
      <c r="D320" s="75">
        <v>1</v>
      </c>
      <c r="E320" s="75"/>
      <c r="F320" s="75"/>
      <c r="G320" s="75"/>
      <c r="H320" s="75">
        <v>76.290000000000006</v>
      </c>
      <c r="I320" s="75">
        <v>76.290000000000006</v>
      </c>
      <c r="J320" s="91" t="s">
        <v>847</v>
      </c>
      <c r="K320" s="73"/>
      <c r="L320" s="46">
        <v>0</v>
      </c>
      <c r="M320" s="46">
        <v>0</v>
      </c>
      <c r="N320" s="46">
        <v>0</v>
      </c>
      <c r="O320" s="98"/>
      <c r="P320" s="23" t="s">
        <v>1485</v>
      </c>
      <c r="Q320" s="24" t="s">
        <v>846</v>
      </c>
      <c r="R320" s="25" t="s">
        <v>606</v>
      </c>
      <c r="S320" s="26">
        <v>1</v>
      </c>
      <c r="T320" s="26"/>
      <c r="U320" s="26">
        <v>76.290000000000006</v>
      </c>
      <c r="V320" s="26">
        <f t="shared" si="60"/>
        <v>0</v>
      </c>
      <c r="W320" s="26">
        <f t="shared" si="63"/>
        <v>0</v>
      </c>
      <c r="X320" s="26">
        <f t="shared" si="61"/>
        <v>0</v>
      </c>
      <c r="Y320" s="26">
        <f t="shared" si="58"/>
        <v>0</v>
      </c>
      <c r="Z320" s="33" t="s">
        <v>15</v>
      </c>
      <c r="AA320" s="36" t="s">
        <v>16</v>
      </c>
      <c r="AB320" s="35">
        <f t="shared" si="55"/>
        <v>1</v>
      </c>
      <c r="AC320" s="35">
        <f t="shared" si="62"/>
        <v>76.290000000000006</v>
      </c>
      <c r="AD320" s="181">
        <v>1.7</v>
      </c>
      <c r="AE320" s="181">
        <v>1.7</v>
      </c>
      <c r="AF320" s="101" t="str">
        <f t="shared" si="56"/>
        <v/>
      </c>
      <c r="AG320" s="190">
        <v>0</v>
      </c>
      <c r="AH320" s="69">
        <f t="shared" si="57"/>
        <v>1</v>
      </c>
    </row>
    <row r="321" spans="1:34" s="69" customFormat="1" ht="39" hidden="1" x14ac:dyDescent="0.3">
      <c r="A321" s="55" t="s">
        <v>848</v>
      </c>
      <c r="B321" s="53" t="s">
        <v>849</v>
      </c>
      <c r="C321" s="54" t="s">
        <v>606</v>
      </c>
      <c r="D321" s="75">
        <v>1</v>
      </c>
      <c r="E321" s="75"/>
      <c r="F321" s="75"/>
      <c r="G321" s="75"/>
      <c r="H321" s="75">
        <v>73.650000000000006</v>
      </c>
      <c r="I321" s="75">
        <v>73.650000000000006</v>
      </c>
      <c r="J321" s="91" t="s">
        <v>850</v>
      </c>
      <c r="K321" s="73"/>
      <c r="L321" s="46">
        <v>0</v>
      </c>
      <c r="M321" s="46">
        <v>0</v>
      </c>
      <c r="N321" s="46">
        <v>0</v>
      </c>
      <c r="O321" s="98"/>
      <c r="P321" s="23" t="s">
        <v>1486</v>
      </c>
      <c r="Q321" s="24" t="s">
        <v>849</v>
      </c>
      <c r="R321" s="25" t="s">
        <v>606</v>
      </c>
      <c r="S321" s="26">
        <v>1</v>
      </c>
      <c r="T321" s="26"/>
      <c r="U321" s="26">
        <v>73.650000000000006</v>
      </c>
      <c r="V321" s="26">
        <f t="shared" si="60"/>
        <v>0</v>
      </c>
      <c r="W321" s="26">
        <f t="shared" si="63"/>
        <v>0</v>
      </c>
      <c r="X321" s="26">
        <f t="shared" si="61"/>
        <v>0</v>
      </c>
      <c r="Y321" s="26">
        <f t="shared" si="58"/>
        <v>0</v>
      </c>
      <c r="Z321" s="33" t="s">
        <v>15</v>
      </c>
      <c r="AA321" s="36" t="s">
        <v>16</v>
      </c>
      <c r="AB321" s="35">
        <f t="shared" si="55"/>
        <v>1</v>
      </c>
      <c r="AC321" s="35">
        <f t="shared" si="62"/>
        <v>73.650000000000006</v>
      </c>
      <c r="AD321" s="181">
        <v>1.7</v>
      </c>
      <c r="AE321" s="181">
        <v>1.7</v>
      </c>
      <c r="AF321" s="101" t="str">
        <f t="shared" si="56"/>
        <v/>
      </c>
      <c r="AG321" s="190">
        <v>0</v>
      </c>
      <c r="AH321" s="69">
        <f t="shared" si="57"/>
        <v>1</v>
      </c>
    </row>
    <row r="322" spans="1:34" s="69" customFormat="1" ht="39" hidden="1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75"/>
      <c r="H322" s="75">
        <v>43.78</v>
      </c>
      <c r="I322" s="75">
        <v>43.78</v>
      </c>
      <c r="J322" s="91" t="s">
        <v>853</v>
      </c>
      <c r="K322" s="73"/>
      <c r="L322" s="46">
        <v>0</v>
      </c>
      <c r="M322" s="46">
        <v>0</v>
      </c>
      <c r="N322" s="46">
        <v>0</v>
      </c>
      <c r="O322" s="98"/>
      <c r="P322" s="23" t="s">
        <v>1487</v>
      </c>
      <c r="Q322" s="24" t="s">
        <v>852</v>
      </c>
      <c r="R322" s="25" t="s">
        <v>50</v>
      </c>
      <c r="S322" s="26">
        <v>1</v>
      </c>
      <c r="T322" s="26"/>
      <c r="U322" s="26">
        <v>43.78</v>
      </c>
      <c r="V322" s="26">
        <f t="shared" si="60"/>
        <v>0</v>
      </c>
      <c r="W322" s="26">
        <f t="shared" si="63"/>
        <v>0</v>
      </c>
      <c r="X322" s="26">
        <f t="shared" si="61"/>
        <v>0</v>
      </c>
      <c r="Y322" s="26">
        <f t="shared" si="58"/>
        <v>0</v>
      </c>
      <c r="Z322" s="33" t="s">
        <v>15</v>
      </c>
      <c r="AA322" s="36" t="s">
        <v>16</v>
      </c>
      <c r="AB322" s="35">
        <f t="shared" si="55"/>
        <v>1</v>
      </c>
      <c r="AC322" s="35">
        <f t="shared" si="62"/>
        <v>43.78</v>
      </c>
      <c r="AD322" s="181">
        <v>1.7</v>
      </c>
      <c r="AE322" s="181">
        <v>1.7</v>
      </c>
      <c r="AF322" s="101" t="str">
        <f t="shared" si="56"/>
        <v/>
      </c>
      <c r="AG322" s="190">
        <v>0</v>
      </c>
      <c r="AH322" s="69">
        <f t="shared" si="57"/>
        <v>1</v>
      </c>
    </row>
    <row r="323" spans="1:34" s="69" customFormat="1" ht="39" hidden="1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75"/>
      <c r="H323" s="75">
        <v>28.11</v>
      </c>
      <c r="I323" s="75">
        <v>28.11</v>
      </c>
      <c r="J323" s="91" t="s">
        <v>857</v>
      </c>
      <c r="K323" s="73"/>
      <c r="L323" s="46">
        <v>0</v>
      </c>
      <c r="M323" s="46">
        <v>0</v>
      </c>
      <c r="N323" s="46">
        <v>0</v>
      </c>
      <c r="O323" s="98"/>
      <c r="P323" s="23" t="s">
        <v>1488</v>
      </c>
      <c r="Q323" s="24" t="s">
        <v>855</v>
      </c>
      <c r="R323" s="25" t="s">
        <v>856</v>
      </c>
      <c r="S323" s="26">
        <v>1</v>
      </c>
      <c r="T323" s="26"/>
      <c r="U323" s="26">
        <v>28.11</v>
      </c>
      <c r="V323" s="26">
        <f t="shared" si="60"/>
        <v>0</v>
      </c>
      <c r="W323" s="26">
        <f t="shared" si="63"/>
        <v>0</v>
      </c>
      <c r="X323" s="26">
        <f t="shared" si="61"/>
        <v>0</v>
      </c>
      <c r="Y323" s="26">
        <f t="shared" si="58"/>
        <v>0</v>
      </c>
      <c r="Z323" s="33" t="s">
        <v>15</v>
      </c>
      <c r="AA323" s="36" t="s">
        <v>16</v>
      </c>
      <c r="AB323" s="35">
        <f t="shared" si="55"/>
        <v>1</v>
      </c>
      <c r="AC323" s="35">
        <f t="shared" si="62"/>
        <v>28.11</v>
      </c>
      <c r="AD323" s="181">
        <v>1.7</v>
      </c>
      <c r="AE323" s="181">
        <v>1.7</v>
      </c>
      <c r="AF323" s="101" t="str">
        <f t="shared" si="56"/>
        <v/>
      </c>
      <c r="AG323" s="190">
        <v>0</v>
      </c>
      <c r="AH323" s="69">
        <f t="shared" si="57"/>
        <v>1</v>
      </c>
    </row>
    <row r="324" spans="1:34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75"/>
      <c r="H324" s="75">
        <v>245.47</v>
      </c>
      <c r="I324" s="75">
        <v>245.47</v>
      </c>
      <c r="J324" s="91" t="s">
        <v>860</v>
      </c>
      <c r="K324" s="73"/>
      <c r="L324" s="46">
        <v>0</v>
      </c>
      <c r="M324" s="46">
        <v>0</v>
      </c>
      <c r="N324" s="46">
        <v>0</v>
      </c>
      <c r="O324" s="98"/>
      <c r="P324" s="23" t="s">
        <v>1489</v>
      </c>
      <c r="Q324" s="24" t="s">
        <v>859</v>
      </c>
      <c r="R324" s="25" t="s">
        <v>50</v>
      </c>
      <c r="S324" s="26">
        <v>1</v>
      </c>
      <c r="T324" s="26"/>
      <c r="U324" s="26">
        <v>245.47</v>
      </c>
      <c r="V324" s="26">
        <f t="shared" si="60"/>
        <v>0</v>
      </c>
      <c r="W324" s="26">
        <f t="shared" si="63"/>
        <v>0</v>
      </c>
      <c r="X324" s="26">
        <f t="shared" si="61"/>
        <v>0</v>
      </c>
      <c r="Y324" s="26">
        <f t="shared" si="58"/>
        <v>0</v>
      </c>
      <c r="Z324" s="33" t="s">
        <v>15</v>
      </c>
      <c r="AA324" s="36" t="s">
        <v>16</v>
      </c>
      <c r="AB324" s="35">
        <f t="shared" si="55"/>
        <v>1</v>
      </c>
      <c r="AC324" s="35">
        <f t="shared" si="62"/>
        <v>245.47</v>
      </c>
      <c r="AD324" s="181">
        <v>1.7</v>
      </c>
      <c r="AE324" s="181">
        <v>1.7</v>
      </c>
      <c r="AF324" s="101" t="str">
        <f t="shared" si="56"/>
        <v/>
      </c>
      <c r="AG324" s="190">
        <v>0</v>
      </c>
      <c r="AH324" s="69">
        <f t="shared" si="57"/>
        <v>1</v>
      </c>
    </row>
    <row r="325" spans="1:34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140"/>
      <c r="H325" s="78">
        <v>839.94</v>
      </c>
      <c r="I325" s="62">
        <v>61718.79</v>
      </c>
      <c r="J325" s="93"/>
      <c r="L325" s="46">
        <v>0</v>
      </c>
      <c r="M325" s="46">
        <v>0</v>
      </c>
      <c r="N325" s="46">
        <v>0</v>
      </c>
      <c r="O325" s="98"/>
      <c r="P325" s="23" t="s">
        <v>1398</v>
      </c>
      <c r="Q325" s="24" t="s">
        <v>1337</v>
      </c>
      <c r="R325" s="25" t="s">
        <v>30</v>
      </c>
      <c r="S325" s="26">
        <v>0</v>
      </c>
      <c r="T325" s="26">
        <v>73.48</v>
      </c>
      <c r="U325" s="26">
        <v>839.94</v>
      </c>
      <c r="V325" s="26">
        <f t="shared" si="60"/>
        <v>0</v>
      </c>
      <c r="W325" s="26">
        <f t="shared" si="63"/>
        <v>0</v>
      </c>
      <c r="X325" s="26">
        <f t="shared" si="61"/>
        <v>0</v>
      </c>
      <c r="Y325" s="26">
        <f>ROUND(U325*W325,2)</f>
        <v>0</v>
      </c>
      <c r="Z325" s="27"/>
      <c r="AA325" s="36" t="s">
        <v>16</v>
      </c>
      <c r="AB325" s="35">
        <f t="shared" si="55"/>
        <v>73.48</v>
      </c>
      <c r="AC325" s="35">
        <f t="shared" si="62"/>
        <v>61718.79</v>
      </c>
      <c r="AD325" s="181">
        <v>1.7</v>
      </c>
      <c r="AE325" s="181">
        <v>1.7</v>
      </c>
      <c r="AF325" s="101" t="str">
        <f t="shared" si="56"/>
        <v/>
      </c>
      <c r="AG325" s="190">
        <v>0</v>
      </c>
      <c r="AH325" s="69">
        <f t="shared" si="57"/>
        <v>73.48</v>
      </c>
    </row>
    <row r="326" spans="1:34" ht="33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140"/>
      <c r="H326" s="78">
        <v>150</v>
      </c>
      <c r="I326" s="62">
        <v>2678400</v>
      </c>
      <c r="J326" s="93"/>
      <c r="L326" s="46">
        <v>10000</v>
      </c>
      <c r="M326" s="46">
        <v>0</v>
      </c>
      <c r="N326" s="46">
        <v>1500000</v>
      </c>
      <c r="O326" s="98"/>
      <c r="P326" s="23" t="s">
        <v>1399</v>
      </c>
      <c r="Q326" s="24" t="s">
        <v>1339</v>
      </c>
      <c r="R326" s="25" t="s">
        <v>1359</v>
      </c>
      <c r="S326" s="26">
        <v>0</v>
      </c>
      <c r="T326" s="26">
        <v>17856</v>
      </c>
      <c r="U326" s="26">
        <v>150</v>
      </c>
      <c r="V326" s="26">
        <f t="shared" si="60"/>
        <v>0</v>
      </c>
      <c r="W326" s="26">
        <f t="shared" si="63"/>
        <v>10000</v>
      </c>
      <c r="X326" s="26">
        <f t="shared" si="61"/>
        <v>0</v>
      </c>
      <c r="Y326" s="26">
        <f t="shared" si="58"/>
        <v>1500000</v>
      </c>
      <c r="Z326" s="27"/>
      <c r="AA326" s="36" t="s">
        <v>16</v>
      </c>
      <c r="AB326" s="35">
        <f t="shared" si="55"/>
        <v>17856</v>
      </c>
      <c r="AC326" s="35">
        <f t="shared" si="62"/>
        <v>2678400</v>
      </c>
      <c r="AD326" s="181">
        <v>1.7</v>
      </c>
      <c r="AE326" s="181">
        <v>1.7</v>
      </c>
      <c r="AF326" s="101" t="str">
        <f t="shared" si="56"/>
        <v/>
      </c>
      <c r="AG326" s="190">
        <v>10000</v>
      </c>
      <c r="AH326" s="69">
        <f t="shared" si="57"/>
        <v>17856</v>
      </c>
    </row>
    <row r="327" spans="1:34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2"/>
      <c r="H327" s="82"/>
      <c r="I327" s="82">
        <v>5831452.4900000002</v>
      </c>
      <c r="J327" s="94" t="s">
        <v>15</v>
      </c>
      <c r="K327" s="73"/>
      <c r="L327" s="45">
        <v>0</v>
      </c>
      <c r="M327" s="45">
        <v>0</v>
      </c>
      <c r="N327" s="45">
        <v>0</v>
      </c>
      <c r="O327" s="98"/>
      <c r="P327" s="18" t="s">
        <v>1400</v>
      </c>
      <c r="Q327" s="19" t="s">
        <v>862</v>
      </c>
      <c r="R327" s="20" t="s">
        <v>14</v>
      </c>
      <c r="S327" s="21">
        <v>1</v>
      </c>
      <c r="T327" s="21"/>
      <c r="U327" s="21">
        <f>SUMIFS(AC:AC,AD:AD,AD327)</f>
        <v>5831452.4899999993</v>
      </c>
      <c r="V327" s="21">
        <f t="shared" ref="V327:W327" si="64">IF(X327=0,0,1)</f>
        <v>0</v>
      </c>
      <c r="W327" s="21">
        <f t="shared" si="64"/>
        <v>0</v>
      </c>
      <c r="X327" s="21">
        <f>SUMIFS(X:X,AE:AE,AD327)</f>
        <v>0</v>
      </c>
      <c r="Y327" s="21">
        <f>SUMIFS(Y:Y,AE:AE,AD327)</f>
        <v>0</v>
      </c>
      <c r="Z327" s="22" t="s">
        <v>15</v>
      </c>
      <c r="AA327" s="43" t="s">
        <v>16</v>
      </c>
      <c r="AB327" s="35">
        <f t="shared" si="55"/>
        <v>1</v>
      </c>
      <c r="AC327" s="44"/>
      <c r="AD327" s="184">
        <v>1.8</v>
      </c>
      <c r="AE327" s="184"/>
      <c r="AF327" s="101" t="str">
        <f t="shared" si="56"/>
        <v/>
      </c>
      <c r="AG327" s="190">
        <v>0</v>
      </c>
      <c r="AH327" s="69">
        <f t="shared" si="57"/>
        <v>1</v>
      </c>
    </row>
    <row r="328" spans="1:34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>
        <v>69458</v>
      </c>
      <c r="I328" s="75">
        <v>69458</v>
      </c>
      <c r="J328" s="91" t="s">
        <v>865</v>
      </c>
      <c r="K328" s="73"/>
      <c r="L328" s="46">
        <v>0</v>
      </c>
      <c r="M328" s="46">
        <v>0</v>
      </c>
      <c r="N328" s="46">
        <v>0</v>
      </c>
      <c r="O328" s="98"/>
      <c r="P328" s="23" t="s">
        <v>1421</v>
      </c>
      <c r="Q328" s="24" t="s">
        <v>864</v>
      </c>
      <c r="R328" s="25" t="s">
        <v>14</v>
      </c>
      <c r="S328" s="26">
        <v>1</v>
      </c>
      <c r="T328" s="26"/>
      <c r="U328" s="26">
        <v>69458</v>
      </c>
      <c r="V328" s="26">
        <f t="shared" ref="V328:V368" si="65">AG328-L328</f>
        <v>0</v>
      </c>
      <c r="W328" s="26">
        <f t="shared" si="63"/>
        <v>0</v>
      </c>
      <c r="X328" s="26">
        <f t="shared" ref="X328:X368" si="66">Y328-N328</f>
        <v>0</v>
      </c>
      <c r="Y328" s="26">
        <f t="shared" si="58"/>
        <v>0</v>
      </c>
      <c r="Z328" s="33" t="s">
        <v>15</v>
      </c>
      <c r="AA328" s="36" t="s">
        <v>16</v>
      </c>
      <c r="AB328" s="35">
        <f t="shared" si="55"/>
        <v>1</v>
      </c>
      <c r="AC328" s="35">
        <f t="shared" si="62"/>
        <v>69458</v>
      </c>
      <c r="AD328" s="181">
        <v>1.8</v>
      </c>
      <c r="AE328" s="181">
        <v>1.8</v>
      </c>
      <c r="AF328" s="101" t="str">
        <f t="shared" si="56"/>
        <v/>
      </c>
      <c r="AG328" s="190">
        <v>0</v>
      </c>
      <c r="AH328" s="69">
        <f t="shared" si="57"/>
        <v>1</v>
      </c>
    </row>
    <row r="329" spans="1:34" s="69" customFormat="1" ht="33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>
        <v>94852.479999999996</v>
      </c>
      <c r="I329" s="75">
        <v>94852.479999999996</v>
      </c>
      <c r="J329" s="91" t="s">
        <v>868</v>
      </c>
      <c r="K329" s="73"/>
      <c r="L329" s="46">
        <v>0</v>
      </c>
      <c r="M329" s="46">
        <v>0</v>
      </c>
      <c r="N329" s="46">
        <v>0</v>
      </c>
      <c r="O329" s="98"/>
      <c r="P329" s="23" t="s">
        <v>1426</v>
      </c>
      <c r="Q329" s="24" t="s">
        <v>867</v>
      </c>
      <c r="R329" s="25" t="s">
        <v>14</v>
      </c>
      <c r="S329" s="26">
        <v>1</v>
      </c>
      <c r="T329" s="26"/>
      <c r="U329" s="26">
        <v>94852.479999999996</v>
      </c>
      <c r="V329" s="26">
        <f t="shared" si="65"/>
        <v>0</v>
      </c>
      <c r="W329" s="26">
        <f t="shared" si="63"/>
        <v>0</v>
      </c>
      <c r="X329" s="26">
        <f t="shared" si="66"/>
        <v>0</v>
      </c>
      <c r="Y329" s="26">
        <f t="shared" si="58"/>
        <v>0</v>
      </c>
      <c r="Z329" s="33" t="s">
        <v>15</v>
      </c>
      <c r="AA329" s="36" t="s">
        <v>16</v>
      </c>
      <c r="AB329" s="35">
        <f t="shared" si="55"/>
        <v>1</v>
      </c>
      <c r="AC329" s="35">
        <f t="shared" si="62"/>
        <v>94852.479999999996</v>
      </c>
      <c r="AD329" s="181">
        <v>1.8</v>
      </c>
      <c r="AE329" s="181">
        <v>1.8</v>
      </c>
      <c r="AF329" s="101" t="str">
        <f t="shared" si="56"/>
        <v/>
      </c>
      <c r="AG329" s="190">
        <v>0</v>
      </c>
      <c r="AH329" s="69">
        <f t="shared" si="57"/>
        <v>1</v>
      </c>
    </row>
    <row r="330" spans="1:34" s="69" customFormat="1" ht="39" x14ac:dyDescent="0.3">
      <c r="A330" s="55" t="s">
        <v>869</v>
      </c>
      <c r="B330" s="53" t="s">
        <v>870</v>
      </c>
      <c r="C330" s="54" t="s">
        <v>14</v>
      </c>
      <c r="D330" s="75">
        <v>1</v>
      </c>
      <c r="E330" s="75"/>
      <c r="F330" s="75"/>
      <c r="G330" s="75"/>
      <c r="H330" s="75">
        <v>251510</v>
      </c>
      <c r="I330" s="75">
        <v>251510</v>
      </c>
      <c r="J330" s="91" t="s">
        <v>871</v>
      </c>
      <c r="K330" s="73"/>
      <c r="L330" s="46">
        <v>0</v>
      </c>
      <c r="M330" s="46">
        <v>0</v>
      </c>
      <c r="N330" s="46">
        <v>0</v>
      </c>
      <c r="O330" s="98"/>
      <c r="P330" s="23" t="s">
        <v>1402</v>
      </c>
      <c r="Q330" s="24" t="s">
        <v>870</v>
      </c>
      <c r="R330" s="25" t="s">
        <v>14</v>
      </c>
      <c r="S330" s="26">
        <v>1</v>
      </c>
      <c r="T330" s="26"/>
      <c r="U330" s="26">
        <v>251510</v>
      </c>
      <c r="V330" s="26">
        <f t="shared" si="65"/>
        <v>0</v>
      </c>
      <c r="W330" s="26">
        <f t="shared" si="63"/>
        <v>0</v>
      </c>
      <c r="X330" s="26">
        <f t="shared" si="66"/>
        <v>0</v>
      </c>
      <c r="Y330" s="26">
        <f t="shared" si="58"/>
        <v>0</v>
      </c>
      <c r="Z330" s="33" t="s">
        <v>15</v>
      </c>
      <c r="AA330" s="36" t="s">
        <v>16</v>
      </c>
      <c r="AB330" s="35">
        <f t="shared" si="55"/>
        <v>1</v>
      </c>
      <c r="AC330" s="35">
        <f t="shared" si="62"/>
        <v>251510</v>
      </c>
      <c r="AD330" s="181">
        <v>1.8</v>
      </c>
      <c r="AE330" s="181">
        <v>1.8</v>
      </c>
      <c r="AF330" s="101" t="str">
        <f t="shared" si="56"/>
        <v/>
      </c>
      <c r="AG330" s="190">
        <v>0</v>
      </c>
      <c r="AH330" s="69">
        <f t="shared" si="57"/>
        <v>1</v>
      </c>
    </row>
    <row r="331" spans="1:34" s="69" customFormat="1" ht="33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>
        <v>174688.22</v>
      </c>
      <c r="I331" s="75">
        <v>174688.22</v>
      </c>
      <c r="J331" s="91" t="s">
        <v>874</v>
      </c>
      <c r="K331" s="73"/>
      <c r="L331" s="46">
        <v>0</v>
      </c>
      <c r="M331" s="46">
        <v>0</v>
      </c>
      <c r="N331" s="46">
        <v>0</v>
      </c>
      <c r="O331" s="98"/>
      <c r="P331" s="23" t="s">
        <v>1373</v>
      </c>
      <c r="Q331" s="24" t="s">
        <v>873</v>
      </c>
      <c r="R331" s="25" t="s">
        <v>14</v>
      </c>
      <c r="S331" s="26">
        <v>1</v>
      </c>
      <c r="T331" s="26"/>
      <c r="U331" s="26">
        <v>174688.22</v>
      </c>
      <c r="V331" s="26">
        <f t="shared" si="65"/>
        <v>0</v>
      </c>
      <c r="W331" s="26">
        <f t="shared" si="63"/>
        <v>0</v>
      </c>
      <c r="X331" s="26">
        <f t="shared" si="66"/>
        <v>0</v>
      </c>
      <c r="Y331" s="26">
        <f t="shared" si="58"/>
        <v>0</v>
      </c>
      <c r="Z331" s="33" t="s">
        <v>15</v>
      </c>
      <c r="AA331" s="36" t="s">
        <v>16</v>
      </c>
      <c r="AB331" s="35">
        <f t="shared" ref="AB331:AB411" si="67">IF(T331="",S331,T331)</f>
        <v>1</v>
      </c>
      <c r="AC331" s="35">
        <f t="shared" si="62"/>
        <v>174688.22</v>
      </c>
      <c r="AD331" s="181">
        <v>1.8</v>
      </c>
      <c r="AE331" s="181">
        <v>1.8</v>
      </c>
      <c r="AF331" s="101" t="str">
        <f t="shared" ref="AF331:AF411" si="68">IF(W331&gt;AH331,"超估","")</f>
        <v/>
      </c>
      <c r="AG331" s="190">
        <v>0</v>
      </c>
      <c r="AH331" s="69">
        <f t="shared" ref="AH331:AH394" si="69">IF(G331=0,IF(F331=0,IF(E331=0,D331,E331),F331),G331)</f>
        <v>1</v>
      </c>
    </row>
    <row r="332" spans="1:34" s="69" customFormat="1" ht="33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>
        <v>21221.84</v>
      </c>
      <c r="I332" s="75">
        <v>21221.84</v>
      </c>
      <c r="J332" s="91" t="s">
        <v>877</v>
      </c>
      <c r="K332" s="73"/>
      <c r="L332" s="46">
        <v>0</v>
      </c>
      <c r="M332" s="46">
        <v>0</v>
      </c>
      <c r="N332" s="46">
        <v>0</v>
      </c>
      <c r="O332" s="98"/>
      <c r="P332" s="23" t="s">
        <v>1393</v>
      </c>
      <c r="Q332" s="24" t="s">
        <v>876</v>
      </c>
      <c r="R332" s="25" t="s">
        <v>14</v>
      </c>
      <c r="S332" s="26">
        <v>1</v>
      </c>
      <c r="T332" s="26"/>
      <c r="U332" s="26">
        <v>21221.84</v>
      </c>
      <c r="V332" s="26">
        <f t="shared" si="65"/>
        <v>0</v>
      </c>
      <c r="W332" s="26">
        <f t="shared" si="63"/>
        <v>0</v>
      </c>
      <c r="X332" s="26">
        <f t="shared" si="66"/>
        <v>0</v>
      </c>
      <c r="Y332" s="26">
        <f t="shared" ref="Y332:Y368" si="70">ROUND(U332*W332,2)</f>
        <v>0</v>
      </c>
      <c r="Z332" s="33" t="s">
        <v>15</v>
      </c>
      <c r="AA332" s="36" t="s">
        <v>16</v>
      </c>
      <c r="AB332" s="35">
        <f t="shared" si="67"/>
        <v>1</v>
      </c>
      <c r="AC332" s="35">
        <f t="shared" si="62"/>
        <v>21221.84</v>
      </c>
      <c r="AD332" s="181">
        <v>1.8</v>
      </c>
      <c r="AE332" s="181">
        <v>1.8</v>
      </c>
      <c r="AF332" s="101" t="str">
        <f t="shared" si="68"/>
        <v/>
      </c>
      <c r="AG332" s="190">
        <v>0</v>
      </c>
      <c r="AH332" s="69">
        <f t="shared" si="69"/>
        <v>1</v>
      </c>
    </row>
    <row r="333" spans="1:34" s="69" customFormat="1" ht="58.5" x14ac:dyDescent="0.3">
      <c r="A333" s="55" t="s">
        <v>878</v>
      </c>
      <c r="B333" s="53" t="s">
        <v>879</v>
      </c>
      <c r="C333" s="54" t="s">
        <v>81</v>
      </c>
      <c r="D333" s="75">
        <v>12</v>
      </c>
      <c r="E333" s="75"/>
      <c r="F333" s="75"/>
      <c r="G333" s="75"/>
      <c r="H333" s="75">
        <v>42800</v>
      </c>
      <c r="I333" s="75">
        <v>513600</v>
      </c>
      <c r="J333" s="91" t="s">
        <v>880</v>
      </c>
      <c r="K333" s="73"/>
      <c r="L333" s="46">
        <v>0</v>
      </c>
      <c r="M333" s="46">
        <v>0</v>
      </c>
      <c r="N333" s="46">
        <v>0</v>
      </c>
      <c r="O333" s="98"/>
      <c r="P333" s="23" t="s">
        <v>1403</v>
      </c>
      <c r="Q333" s="24" t="s">
        <v>879</v>
      </c>
      <c r="R333" s="25" t="s">
        <v>81</v>
      </c>
      <c r="S333" s="26">
        <v>12</v>
      </c>
      <c r="T333" s="26"/>
      <c r="U333" s="26">
        <v>42800</v>
      </c>
      <c r="V333" s="26">
        <f t="shared" si="65"/>
        <v>0</v>
      </c>
      <c r="W333" s="26">
        <f t="shared" si="63"/>
        <v>0</v>
      </c>
      <c r="X333" s="26">
        <f t="shared" si="66"/>
        <v>0</v>
      </c>
      <c r="Y333" s="26">
        <f t="shared" si="70"/>
        <v>0</v>
      </c>
      <c r="Z333" s="33" t="s">
        <v>15</v>
      </c>
      <c r="AA333" s="36" t="s">
        <v>16</v>
      </c>
      <c r="AB333" s="35">
        <f t="shared" si="67"/>
        <v>12</v>
      </c>
      <c r="AC333" s="35">
        <f t="shared" si="62"/>
        <v>513600</v>
      </c>
      <c r="AD333" s="181">
        <v>1.8</v>
      </c>
      <c r="AE333" s="181">
        <v>1.8</v>
      </c>
      <c r="AF333" s="101" t="str">
        <f t="shared" si="68"/>
        <v/>
      </c>
      <c r="AG333" s="190">
        <v>0</v>
      </c>
      <c r="AH333" s="69">
        <f t="shared" si="69"/>
        <v>12</v>
      </c>
    </row>
    <row r="334" spans="1:34" s="69" customFormat="1" ht="58.5" x14ac:dyDescent="0.3">
      <c r="A334" s="55" t="s">
        <v>881</v>
      </c>
      <c r="B334" s="53" t="s">
        <v>882</v>
      </c>
      <c r="C334" s="54" t="s">
        <v>81</v>
      </c>
      <c r="D334" s="75">
        <v>7</v>
      </c>
      <c r="E334" s="75"/>
      <c r="F334" s="75"/>
      <c r="G334" s="75"/>
      <c r="H334" s="75">
        <v>60400</v>
      </c>
      <c r="I334" s="75">
        <v>422800</v>
      </c>
      <c r="J334" s="91" t="s">
        <v>883</v>
      </c>
      <c r="K334" s="73"/>
      <c r="L334" s="46">
        <v>0</v>
      </c>
      <c r="M334" s="46">
        <v>0</v>
      </c>
      <c r="N334" s="46">
        <v>0</v>
      </c>
      <c r="O334" s="98"/>
      <c r="P334" s="23" t="s">
        <v>1427</v>
      </c>
      <c r="Q334" s="24" t="s">
        <v>882</v>
      </c>
      <c r="R334" s="25" t="s">
        <v>81</v>
      </c>
      <c r="S334" s="26">
        <v>7</v>
      </c>
      <c r="T334" s="26"/>
      <c r="U334" s="26">
        <v>60400</v>
      </c>
      <c r="V334" s="26">
        <f t="shared" si="65"/>
        <v>0</v>
      </c>
      <c r="W334" s="26">
        <f t="shared" si="63"/>
        <v>0</v>
      </c>
      <c r="X334" s="26">
        <f t="shared" si="66"/>
        <v>0</v>
      </c>
      <c r="Y334" s="26">
        <f t="shared" si="70"/>
        <v>0</v>
      </c>
      <c r="Z334" s="33" t="s">
        <v>15</v>
      </c>
      <c r="AA334" s="36" t="s">
        <v>16</v>
      </c>
      <c r="AB334" s="35">
        <f t="shared" si="67"/>
        <v>7</v>
      </c>
      <c r="AC334" s="35">
        <f t="shared" si="62"/>
        <v>422800</v>
      </c>
      <c r="AD334" s="181">
        <v>1.8</v>
      </c>
      <c r="AE334" s="181">
        <v>1.8</v>
      </c>
      <c r="AF334" s="101" t="str">
        <f t="shared" si="68"/>
        <v/>
      </c>
      <c r="AG334" s="190">
        <v>0</v>
      </c>
      <c r="AH334" s="69">
        <f t="shared" si="69"/>
        <v>7</v>
      </c>
    </row>
    <row r="335" spans="1:34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>
        <v>35000</v>
      </c>
      <c r="I335" s="75">
        <v>455000</v>
      </c>
      <c r="J335" s="91" t="s">
        <v>886</v>
      </c>
      <c r="K335" s="73"/>
      <c r="L335" s="46">
        <v>0</v>
      </c>
      <c r="M335" s="46">
        <v>0</v>
      </c>
      <c r="N335" s="46">
        <v>0</v>
      </c>
      <c r="O335" s="98"/>
      <c r="P335" s="23" t="s">
        <v>1428</v>
      </c>
      <c r="Q335" s="24" t="s">
        <v>885</v>
      </c>
      <c r="R335" s="25" t="s">
        <v>81</v>
      </c>
      <c r="S335" s="26">
        <v>13</v>
      </c>
      <c r="T335" s="26"/>
      <c r="U335" s="26">
        <v>35000</v>
      </c>
      <c r="V335" s="26">
        <f t="shared" si="65"/>
        <v>0</v>
      </c>
      <c r="W335" s="26">
        <f t="shared" si="63"/>
        <v>0</v>
      </c>
      <c r="X335" s="26">
        <f t="shared" si="66"/>
        <v>0</v>
      </c>
      <c r="Y335" s="26">
        <f t="shared" si="70"/>
        <v>0</v>
      </c>
      <c r="Z335" s="33" t="s">
        <v>15</v>
      </c>
      <c r="AA335" s="36" t="s">
        <v>16</v>
      </c>
      <c r="AB335" s="35">
        <f t="shared" si="67"/>
        <v>13</v>
      </c>
      <c r="AC335" s="35">
        <f t="shared" si="62"/>
        <v>455000</v>
      </c>
      <c r="AD335" s="181">
        <v>1.8</v>
      </c>
      <c r="AE335" s="181">
        <v>1.8</v>
      </c>
      <c r="AF335" s="101" t="str">
        <f t="shared" si="68"/>
        <v/>
      </c>
      <c r="AG335" s="190">
        <v>0</v>
      </c>
      <c r="AH335" s="69">
        <f t="shared" si="69"/>
        <v>13</v>
      </c>
    </row>
    <row r="336" spans="1:34" s="69" customFormat="1" ht="39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>
        <v>10000</v>
      </c>
      <c r="I336" s="75">
        <v>130000</v>
      </c>
      <c r="J336" s="91" t="s">
        <v>889</v>
      </c>
      <c r="K336" s="73"/>
      <c r="L336" s="46">
        <v>0</v>
      </c>
      <c r="M336" s="46">
        <v>0</v>
      </c>
      <c r="N336" s="46">
        <v>0</v>
      </c>
      <c r="O336" s="98"/>
      <c r="P336" s="23" t="s">
        <v>1387</v>
      </c>
      <c r="Q336" s="24" t="s">
        <v>888</v>
      </c>
      <c r="R336" s="25" t="s">
        <v>81</v>
      </c>
      <c r="S336" s="26">
        <v>13</v>
      </c>
      <c r="T336" s="26"/>
      <c r="U336" s="26">
        <v>10000</v>
      </c>
      <c r="V336" s="26">
        <f t="shared" si="65"/>
        <v>0</v>
      </c>
      <c r="W336" s="26">
        <f t="shared" si="63"/>
        <v>0</v>
      </c>
      <c r="X336" s="26">
        <f t="shared" si="66"/>
        <v>0</v>
      </c>
      <c r="Y336" s="26">
        <f t="shared" si="70"/>
        <v>0</v>
      </c>
      <c r="Z336" s="33" t="s">
        <v>15</v>
      </c>
      <c r="AA336" s="36" t="s">
        <v>16</v>
      </c>
      <c r="AB336" s="35">
        <f t="shared" si="67"/>
        <v>13</v>
      </c>
      <c r="AC336" s="35">
        <f t="shared" si="62"/>
        <v>130000</v>
      </c>
      <c r="AD336" s="181">
        <v>1.8</v>
      </c>
      <c r="AE336" s="181">
        <v>1.8</v>
      </c>
      <c r="AF336" s="101" t="str">
        <f t="shared" si="68"/>
        <v/>
      </c>
      <c r="AG336" s="190">
        <v>0</v>
      </c>
      <c r="AH336" s="69">
        <f t="shared" si="69"/>
        <v>13</v>
      </c>
    </row>
    <row r="337" spans="1:34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>
        <v>1500</v>
      </c>
      <c r="I337" s="75">
        <v>3000</v>
      </c>
      <c r="J337" s="91" t="s">
        <v>892</v>
      </c>
      <c r="K337" s="73"/>
      <c r="L337" s="46">
        <v>0</v>
      </c>
      <c r="M337" s="46">
        <v>0</v>
      </c>
      <c r="N337" s="46">
        <v>0</v>
      </c>
      <c r="O337" s="98"/>
      <c r="P337" s="23" t="s">
        <v>1405</v>
      </c>
      <c r="Q337" s="24" t="s">
        <v>891</v>
      </c>
      <c r="R337" s="25" t="s">
        <v>325</v>
      </c>
      <c r="S337" s="26">
        <v>2</v>
      </c>
      <c r="T337" s="26"/>
      <c r="U337" s="26">
        <v>1500</v>
      </c>
      <c r="V337" s="26">
        <f t="shared" si="65"/>
        <v>0</v>
      </c>
      <c r="W337" s="26">
        <f t="shared" si="63"/>
        <v>0</v>
      </c>
      <c r="X337" s="26">
        <f t="shared" si="66"/>
        <v>0</v>
      </c>
      <c r="Y337" s="26">
        <f t="shared" si="70"/>
        <v>0</v>
      </c>
      <c r="Z337" s="33" t="s">
        <v>15</v>
      </c>
      <c r="AA337" s="36" t="s">
        <v>16</v>
      </c>
      <c r="AB337" s="35">
        <f t="shared" si="67"/>
        <v>2</v>
      </c>
      <c r="AC337" s="35">
        <f t="shared" si="62"/>
        <v>3000</v>
      </c>
      <c r="AD337" s="181">
        <v>1.8</v>
      </c>
      <c r="AE337" s="181">
        <v>1.8</v>
      </c>
      <c r="AF337" s="101" t="str">
        <f t="shared" si="68"/>
        <v/>
      </c>
      <c r="AG337" s="190">
        <v>0</v>
      </c>
      <c r="AH337" s="69">
        <f t="shared" si="69"/>
        <v>2</v>
      </c>
    </row>
    <row r="338" spans="1:34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>
        <v>4000</v>
      </c>
      <c r="I338" s="75">
        <v>8000</v>
      </c>
      <c r="J338" s="91" t="s">
        <v>895</v>
      </c>
      <c r="K338" s="73"/>
      <c r="L338" s="46">
        <v>0</v>
      </c>
      <c r="M338" s="46">
        <v>0</v>
      </c>
      <c r="N338" s="46">
        <v>0</v>
      </c>
      <c r="O338" s="98"/>
      <c r="P338" s="23" t="s">
        <v>1406</v>
      </c>
      <c r="Q338" s="24" t="s">
        <v>894</v>
      </c>
      <c r="R338" s="25" t="s">
        <v>325</v>
      </c>
      <c r="S338" s="26">
        <v>2</v>
      </c>
      <c r="T338" s="26"/>
      <c r="U338" s="26">
        <v>4000</v>
      </c>
      <c r="V338" s="26">
        <f t="shared" si="65"/>
        <v>0</v>
      </c>
      <c r="W338" s="26">
        <f t="shared" si="63"/>
        <v>0</v>
      </c>
      <c r="X338" s="26">
        <f t="shared" si="66"/>
        <v>0</v>
      </c>
      <c r="Y338" s="26">
        <f t="shared" si="70"/>
        <v>0</v>
      </c>
      <c r="Z338" s="33" t="s">
        <v>15</v>
      </c>
      <c r="AA338" s="36" t="s">
        <v>16</v>
      </c>
      <c r="AB338" s="35">
        <f t="shared" si="67"/>
        <v>2</v>
      </c>
      <c r="AC338" s="35">
        <f t="shared" si="62"/>
        <v>8000</v>
      </c>
      <c r="AD338" s="181">
        <v>1.8</v>
      </c>
      <c r="AE338" s="181">
        <v>1.8</v>
      </c>
      <c r="AF338" s="101" t="str">
        <f t="shared" si="68"/>
        <v/>
      </c>
      <c r="AG338" s="190">
        <v>0</v>
      </c>
      <c r="AH338" s="69">
        <f t="shared" si="69"/>
        <v>2</v>
      </c>
    </row>
    <row r="339" spans="1:34" s="69" customFormat="1" ht="33" x14ac:dyDescent="0.3">
      <c r="A339" s="55" t="s">
        <v>896</v>
      </c>
      <c r="B339" s="53" t="s">
        <v>897</v>
      </c>
      <c r="C339" s="54" t="s">
        <v>30</v>
      </c>
      <c r="D339" s="75">
        <v>216.55</v>
      </c>
      <c r="E339" s="75"/>
      <c r="F339" s="75"/>
      <c r="G339" s="75"/>
      <c r="H339" s="75">
        <v>800</v>
      </c>
      <c r="I339" s="75">
        <v>173240</v>
      </c>
      <c r="J339" s="91" t="s">
        <v>898</v>
      </c>
      <c r="K339" s="73"/>
      <c r="L339" s="46">
        <v>0</v>
      </c>
      <c r="M339" s="46">
        <v>0</v>
      </c>
      <c r="N339" s="46">
        <v>0</v>
      </c>
      <c r="O339" s="98"/>
      <c r="P339" s="23" t="s">
        <v>1414</v>
      </c>
      <c r="Q339" s="24" t="s">
        <v>897</v>
      </c>
      <c r="R339" s="25" t="s">
        <v>30</v>
      </c>
      <c r="S339" s="26">
        <v>216.55</v>
      </c>
      <c r="T339" s="26"/>
      <c r="U339" s="26">
        <v>800</v>
      </c>
      <c r="V339" s="26">
        <f t="shared" si="65"/>
        <v>0</v>
      </c>
      <c r="W339" s="26">
        <f t="shared" si="63"/>
        <v>0</v>
      </c>
      <c r="X339" s="26">
        <f t="shared" si="66"/>
        <v>0</v>
      </c>
      <c r="Y339" s="26">
        <f t="shared" si="70"/>
        <v>0</v>
      </c>
      <c r="Z339" s="33" t="s">
        <v>15</v>
      </c>
      <c r="AA339" s="36" t="s">
        <v>16</v>
      </c>
      <c r="AB339" s="35">
        <f t="shared" si="67"/>
        <v>216.55</v>
      </c>
      <c r="AC339" s="35">
        <f t="shared" si="62"/>
        <v>173240</v>
      </c>
      <c r="AD339" s="181">
        <v>1.8</v>
      </c>
      <c r="AE339" s="181">
        <v>1.8</v>
      </c>
      <c r="AF339" s="101" t="str">
        <f t="shared" si="68"/>
        <v/>
      </c>
      <c r="AG339" s="190">
        <v>0</v>
      </c>
      <c r="AH339" s="69">
        <f t="shared" si="69"/>
        <v>216.55</v>
      </c>
    </row>
    <row r="340" spans="1:34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>
        <v>11300</v>
      </c>
      <c r="I340" s="75">
        <v>56500</v>
      </c>
      <c r="J340" s="91" t="s">
        <v>901</v>
      </c>
      <c r="K340" s="73"/>
      <c r="L340" s="46">
        <v>0</v>
      </c>
      <c r="M340" s="46">
        <v>0</v>
      </c>
      <c r="N340" s="46">
        <v>0</v>
      </c>
      <c r="O340" s="98"/>
      <c r="P340" s="23" t="s">
        <v>1429</v>
      </c>
      <c r="Q340" s="24" t="s">
        <v>900</v>
      </c>
      <c r="R340" s="25" t="s">
        <v>325</v>
      </c>
      <c r="S340" s="26">
        <v>5</v>
      </c>
      <c r="T340" s="26"/>
      <c r="U340" s="26">
        <v>11300</v>
      </c>
      <c r="V340" s="26">
        <f t="shared" si="65"/>
        <v>0</v>
      </c>
      <c r="W340" s="26">
        <f t="shared" si="63"/>
        <v>0</v>
      </c>
      <c r="X340" s="26">
        <f t="shared" si="66"/>
        <v>0</v>
      </c>
      <c r="Y340" s="26">
        <f t="shared" si="70"/>
        <v>0</v>
      </c>
      <c r="Z340" s="33" t="s">
        <v>15</v>
      </c>
      <c r="AA340" s="36" t="s">
        <v>16</v>
      </c>
      <c r="AB340" s="35">
        <f t="shared" si="67"/>
        <v>5</v>
      </c>
      <c r="AC340" s="35">
        <f t="shared" si="62"/>
        <v>56500</v>
      </c>
      <c r="AD340" s="181">
        <v>1.8</v>
      </c>
      <c r="AE340" s="181">
        <v>1.8</v>
      </c>
      <c r="AF340" s="101" t="str">
        <f t="shared" si="68"/>
        <v/>
      </c>
      <c r="AG340" s="190">
        <v>0</v>
      </c>
      <c r="AH340" s="69">
        <f t="shared" si="69"/>
        <v>5</v>
      </c>
    </row>
    <row r="341" spans="1:34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>
        <v>13500</v>
      </c>
      <c r="I341" s="75">
        <v>108000</v>
      </c>
      <c r="J341" s="91" t="s">
        <v>904</v>
      </c>
      <c r="K341" s="73"/>
      <c r="L341" s="46">
        <v>0</v>
      </c>
      <c r="M341" s="46">
        <v>0</v>
      </c>
      <c r="N341" s="46">
        <v>0</v>
      </c>
      <c r="O341" s="98"/>
      <c r="P341" s="23" t="s">
        <v>1430</v>
      </c>
      <c r="Q341" s="24" t="s">
        <v>903</v>
      </c>
      <c r="R341" s="25" t="s">
        <v>325</v>
      </c>
      <c r="S341" s="26">
        <v>8</v>
      </c>
      <c r="T341" s="26"/>
      <c r="U341" s="26">
        <v>13500</v>
      </c>
      <c r="V341" s="26">
        <f t="shared" si="65"/>
        <v>0</v>
      </c>
      <c r="W341" s="26">
        <f t="shared" si="63"/>
        <v>0</v>
      </c>
      <c r="X341" s="26">
        <f t="shared" si="66"/>
        <v>0</v>
      </c>
      <c r="Y341" s="26">
        <f t="shared" si="70"/>
        <v>0</v>
      </c>
      <c r="Z341" s="33" t="s">
        <v>15</v>
      </c>
      <c r="AA341" s="36" t="s">
        <v>16</v>
      </c>
      <c r="AB341" s="35">
        <f t="shared" si="67"/>
        <v>8</v>
      </c>
      <c r="AC341" s="35">
        <f t="shared" si="62"/>
        <v>108000</v>
      </c>
      <c r="AD341" s="181">
        <v>1.8</v>
      </c>
      <c r="AE341" s="181">
        <v>1.8</v>
      </c>
      <c r="AF341" s="101" t="str">
        <f t="shared" si="68"/>
        <v/>
      </c>
      <c r="AG341" s="190">
        <v>0</v>
      </c>
      <c r="AH341" s="69">
        <f t="shared" si="69"/>
        <v>8</v>
      </c>
    </row>
    <row r="342" spans="1:34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>
        <v>112963.49</v>
      </c>
      <c r="I342" s="75">
        <v>112963.49</v>
      </c>
      <c r="J342" s="91" t="s">
        <v>907</v>
      </c>
      <c r="K342" s="73"/>
      <c r="L342" s="46">
        <v>0</v>
      </c>
      <c r="M342" s="46">
        <v>0</v>
      </c>
      <c r="N342" s="46">
        <v>0</v>
      </c>
      <c r="O342" s="98"/>
      <c r="P342" s="23" t="s">
        <v>1431</v>
      </c>
      <c r="Q342" s="24" t="s">
        <v>906</v>
      </c>
      <c r="R342" s="25" t="s">
        <v>73</v>
      </c>
      <c r="S342" s="26">
        <v>1</v>
      </c>
      <c r="T342" s="26"/>
      <c r="U342" s="26">
        <v>112963.49</v>
      </c>
      <c r="V342" s="26">
        <f t="shared" si="65"/>
        <v>0</v>
      </c>
      <c r="W342" s="26">
        <f t="shared" si="63"/>
        <v>0</v>
      </c>
      <c r="X342" s="26">
        <f t="shared" si="66"/>
        <v>0</v>
      </c>
      <c r="Y342" s="26">
        <f t="shared" si="70"/>
        <v>0</v>
      </c>
      <c r="Z342" s="33" t="s">
        <v>15</v>
      </c>
      <c r="AA342" s="36" t="s">
        <v>16</v>
      </c>
      <c r="AB342" s="35">
        <f t="shared" si="67"/>
        <v>1</v>
      </c>
      <c r="AC342" s="35">
        <f t="shared" si="62"/>
        <v>112963.49</v>
      </c>
      <c r="AD342" s="181">
        <v>1.8</v>
      </c>
      <c r="AE342" s="181">
        <v>1.8</v>
      </c>
      <c r="AF342" s="101" t="str">
        <f t="shared" si="68"/>
        <v/>
      </c>
      <c r="AG342" s="190">
        <v>0</v>
      </c>
      <c r="AH342" s="69">
        <f t="shared" si="69"/>
        <v>1</v>
      </c>
    </row>
    <row r="343" spans="1:34" s="69" customFormat="1" ht="33" x14ac:dyDescent="0.3">
      <c r="A343" s="55" t="s">
        <v>908</v>
      </c>
      <c r="B343" s="53" t="s">
        <v>909</v>
      </c>
      <c r="C343" s="54" t="s">
        <v>14</v>
      </c>
      <c r="D343" s="75">
        <v>1</v>
      </c>
      <c r="E343" s="75"/>
      <c r="F343" s="75"/>
      <c r="G343" s="75"/>
      <c r="H343" s="75">
        <v>322500</v>
      </c>
      <c r="I343" s="75">
        <v>322500</v>
      </c>
      <c r="J343" s="91" t="s">
        <v>3113</v>
      </c>
      <c r="K343" s="73"/>
      <c r="L343" s="46">
        <v>0</v>
      </c>
      <c r="M343" s="46">
        <v>0</v>
      </c>
      <c r="N343" s="46">
        <v>0</v>
      </c>
      <c r="O343" s="98"/>
      <c r="P343" s="23" t="s">
        <v>1395</v>
      </c>
      <c r="Q343" s="24" t="s">
        <v>909</v>
      </c>
      <c r="R343" s="25" t="s">
        <v>14</v>
      </c>
      <c r="S343" s="26">
        <v>1</v>
      </c>
      <c r="T343" s="26"/>
      <c r="U343" s="26">
        <v>322500</v>
      </c>
      <c r="V343" s="26">
        <f t="shared" si="65"/>
        <v>0</v>
      </c>
      <c r="W343" s="26">
        <f t="shared" si="63"/>
        <v>0</v>
      </c>
      <c r="X343" s="26">
        <f t="shared" si="66"/>
        <v>0</v>
      </c>
      <c r="Y343" s="26">
        <f t="shared" si="70"/>
        <v>0</v>
      </c>
      <c r="Z343" s="33" t="s">
        <v>15</v>
      </c>
      <c r="AA343" s="36" t="s">
        <v>16</v>
      </c>
      <c r="AB343" s="35">
        <f t="shared" si="67"/>
        <v>1</v>
      </c>
      <c r="AC343" s="35">
        <f t="shared" si="62"/>
        <v>322500</v>
      </c>
      <c r="AD343" s="181">
        <v>1.8</v>
      </c>
      <c r="AE343" s="181">
        <v>1.8</v>
      </c>
      <c r="AF343" s="101" t="str">
        <f t="shared" si="68"/>
        <v/>
      </c>
      <c r="AG343" s="190">
        <v>0</v>
      </c>
      <c r="AH343" s="69">
        <f t="shared" si="69"/>
        <v>1</v>
      </c>
    </row>
    <row r="344" spans="1:34" s="69" customFormat="1" ht="33" x14ac:dyDescent="0.3">
      <c r="A344" s="55" t="s">
        <v>911</v>
      </c>
      <c r="B344" s="53" t="s">
        <v>3112</v>
      </c>
      <c r="C344" s="54" t="s">
        <v>325</v>
      </c>
      <c r="D344" s="75">
        <v>7</v>
      </c>
      <c r="E344" s="75"/>
      <c r="F344" s="75"/>
      <c r="G344" s="75"/>
      <c r="H344" s="75">
        <v>15500</v>
      </c>
      <c r="I344" s="75">
        <v>108500</v>
      </c>
      <c r="J344" s="91" t="s">
        <v>913</v>
      </c>
      <c r="K344" s="73"/>
      <c r="L344" s="46">
        <v>0</v>
      </c>
      <c r="M344" s="46">
        <v>0</v>
      </c>
      <c r="N344" s="46">
        <v>0</v>
      </c>
      <c r="O344" s="98"/>
      <c r="P344" s="23" t="s">
        <v>1432</v>
      </c>
      <c r="Q344" s="24" t="s">
        <v>912</v>
      </c>
      <c r="R344" s="25" t="s">
        <v>325</v>
      </c>
      <c r="S344" s="26">
        <v>7</v>
      </c>
      <c r="T344" s="26"/>
      <c r="U344" s="26">
        <v>15500</v>
      </c>
      <c r="V344" s="26">
        <f t="shared" si="65"/>
        <v>0</v>
      </c>
      <c r="W344" s="26">
        <f t="shared" si="63"/>
        <v>0</v>
      </c>
      <c r="X344" s="26">
        <f t="shared" si="66"/>
        <v>0</v>
      </c>
      <c r="Y344" s="26">
        <f t="shared" si="70"/>
        <v>0</v>
      </c>
      <c r="Z344" s="33" t="s">
        <v>15</v>
      </c>
      <c r="AA344" s="36" t="s">
        <v>16</v>
      </c>
      <c r="AB344" s="35">
        <f t="shared" si="67"/>
        <v>7</v>
      </c>
      <c r="AC344" s="35">
        <f t="shared" si="62"/>
        <v>108500</v>
      </c>
      <c r="AD344" s="181">
        <v>1.8</v>
      </c>
      <c r="AE344" s="181">
        <v>1.8</v>
      </c>
      <c r="AF344" s="101" t="str">
        <f t="shared" si="68"/>
        <v/>
      </c>
      <c r="AG344" s="190">
        <v>0</v>
      </c>
      <c r="AH344" s="69">
        <f t="shared" si="69"/>
        <v>7</v>
      </c>
    </row>
    <row r="345" spans="1:34" s="69" customFormat="1" ht="33" x14ac:dyDescent="0.3">
      <c r="A345" s="55" t="s">
        <v>914</v>
      </c>
      <c r="B345" s="53" t="s">
        <v>915</v>
      </c>
      <c r="C345" s="54" t="s">
        <v>325</v>
      </c>
      <c r="D345" s="75">
        <v>2</v>
      </c>
      <c r="E345" s="75"/>
      <c r="F345" s="75"/>
      <c r="G345" s="75"/>
      <c r="H345" s="75">
        <v>113300</v>
      </c>
      <c r="I345" s="75">
        <v>226600</v>
      </c>
      <c r="J345" s="91" t="s">
        <v>916</v>
      </c>
      <c r="K345" s="73"/>
      <c r="L345" s="46">
        <v>0</v>
      </c>
      <c r="M345" s="46">
        <v>0</v>
      </c>
      <c r="N345" s="46">
        <v>0</v>
      </c>
      <c r="O345" s="98"/>
      <c r="P345" s="23" t="s">
        <v>1433</v>
      </c>
      <c r="Q345" s="24" t="s">
        <v>915</v>
      </c>
      <c r="R345" s="25" t="s">
        <v>325</v>
      </c>
      <c r="S345" s="26">
        <v>2</v>
      </c>
      <c r="T345" s="26"/>
      <c r="U345" s="26">
        <v>113300</v>
      </c>
      <c r="V345" s="26">
        <f t="shared" si="65"/>
        <v>0</v>
      </c>
      <c r="W345" s="26">
        <f t="shared" si="63"/>
        <v>0</v>
      </c>
      <c r="X345" s="26">
        <f t="shared" si="66"/>
        <v>0</v>
      </c>
      <c r="Y345" s="26">
        <f t="shared" si="70"/>
        <v>0</v>
      </c>
      <c r="Z345" s="33" t="s">
        <v>15</v>
      </c>
      <c r="AA345" s="36" t="s">
        <v>16</v>
      </c>
      <c r="AB345" s="35">
        <f t="shared" si="67"/>
        <v>2</v>
      </c>
      <c r="AC345" s="35">
        <f t="shared" si="62"/>
        <v>226600</v>
      </c>
      <c r="AD345" s="181">
        <v>1.8</v>
      </c>
      <c r="AE345" s="181">
        <v>1.8</v>
      </c>
      <c r="AF345" s="101" t="str">
        <f t="shared" si="68"/>
        <v/>
      </c>
      <c r="AG345" s="190">
        <v>0</v>
      </c>
      <c r="AH345" s="69">
        <f t="shared" si="69"/>
        <v>2</v>
      </c>
    </row>
    <row r="346" spans="1:34" s="69" customFormat="1" ht="33" x14ac:dyDescent="0.3">
      <c r="A346" s="55" t="s">
        <v>917</v>
      </c>
      <c r="B346" s="53" t="s">
        <v>918</v>
      </c>
      <c r="C346" s="54" t="s">
        <v>325</v>
      </c>
      <c r="D346" s="75">
        <v>9</v>
      </c>
      <c r="E346" s="75"/>
      <c r="F346" s="75"/>
      <c r="G346" s="75"/>
      <c r="H346" s="75">
        <v>100000</v>
      </c>
      <c r="I346" s="75">
        <v>900000</v>
      </c>
      <c r="J346" s="91" t="s">
        <v>919</v>
      </c>
      <c r="K346" s="73"/>
      <c r="L346" s="46">
        <v>0</v>
      </c>
      <c r="M346" s="46">
        <v>0</v>
      </c>
      <c r="N346" s="46">
        <v>0</v>
      </c>
      <c r="O346" s="98"/>
      <c r="P346" s="23" t="s">
        <v>1382</v>
      </c>
      <c r="Q346" s="24" t="s">
        <v>918</v>
      </c>
      <c r="R346" s="25" t="s">
        <v>325</v>
      </c>
      <c r="S346" s="26">
        <v>9</v>
      </c>
      <c r="T346" s="26"/>
      <c r="U346" s="26">
        <v>100000</v>
      </c>
      <c r="V346" s="26">
        <f t="shared" si="65"/>
        <v>0</v>
      </c>
      <c r="W346" s="26">
        <f t="shared" si="63"/>
        <v>0</v>
      </c>
      <c r="X346" s="26">
        <f t="shared" si="66"/>
        <v>0</v>
      </c>
      <c r="Y346" s="26">
        <f t="shared" si="70"/>
        <v>0</v>
      </c>
      <c r="Z346" s="33" t="s">
        <v>15</v>
      </c>
      <c r="AA346" s="36" t="s">
        <v>16</v>
      </c>
      <c r="AB346" s="35">
        <f t="shared" si="67"/>
        <v>9</v>
      </c>
      <c r="AC346" s="35">
        <f t="shared" si="62"/>
        <v>900000</v>
      </c>
      <c r="AD346" s="181">
        <v>1.8</v>
      </c>
      <c r="AE346" s="181">
        <v>1.8</v>
      </c>
      <c r="AF346" s="101" t="str">
        <f t="shared" si="68"/>
        <v/>
      </c>
      <c r="AG346" s="190">
        <v>0</v>
      </c>
      <c r="AH346" s="69">
        <f t="shared" si="69"/>
        <v>9</v>
      </c>
    </row>
    <row r="347" spans="1:34" s="69" customFormat="1" ht="33" x14ac:dyDescent="0.3">
      <c r="A347" s="55" t="s">
        <v>920</v>
      </c>
      <c r="B347" s="53" t="s">
        <v>921</v>
      </c>
      <c r="C347" s="54" t="s">
        <v>81</v>
      </c>
      <c r="D347" s="75">
        <v>2</v>
      </c>
      <c r="E347" s="75"/>
      <c r="F347" s="75"/>
      <c r="G347" s="75"/>
      <c r="H347" s="75">
        <v>15000</v>
      </c>
      <c r="I347" s="75">
        <v>30000</v>
      </c>
      <c r="J347" s="91" t="s">
        <v>922</v>
      </c>
      <c r="K347" s="73"/>
      <c r="L347" s="46">
        <v>0</v>
      </c>
      <c r="M347" s="46">
        <v>0</v>
      </c>
      <c r="N347" s="46">
        <v>0</v>
      </c>
      <c r="O347" s="98"/>
      <c r="P347" s="23" t="s">
        <v>1434</v>
      </c>
      <c r="Q347" s="24" t="s">
        <v>921</v>
      </c>
      <c r="R347" s="25" t="s">
        <v>81</v>
      </c>
      <c r="S347" s="26">
        <v>2</v>
      </c>
      <c r="T347" s="26"/>
      <c r="U347" s="26">
        <v>15000</v>
      </c>
      <c r="V347" s="26">
        <f t="shared" si="65"/>
        <v>0</v>
      </c>
      <c r="W347" s="26">
        <f t="shared" si="63"/>
        <v>0</v>
      </c>
      <c r="X347" s="26">
        <f t="shared" si="66"/>
        <v>0</v>
      </c>
      <c r="Y347" s="26">
        <f t="shared" si="70"/>
        <v>0</v>
      </c>
      <c r="Z347" s="33" t="s">
        <v>15</v>
      </c>
      <c r="AA347" s="36" t="s">
        <v>16</v>
      </c>
      <c r="AB347" s="35">
        <f t="shared" si="67"/>
        <v>2</v>
      </c>
      <c r="AC347" s="35">
        <f t="shared" si="62"/>
        <v>30000</v>
      </c>
      <c r="AD347" s="181">
        <v>1.8</v>
      </c>
      <c r="AE347" s="181">
        <v>1.8</v>
      </c>
      <c r="AF347" s="101" t="str">
        <f t="shared" si="68"/>
        <v/>
      </c>
      <c r="AG347" s="190">
        <v>0</v>
      </c>
      <c r="AH347" s="69">
        <f t="shared" si="69"/>
        <v>2</v>
      </c>
    </row>
    <row r="348" spans="1:34" s="69" customFormat="1" ht="33" x14ac:dyDescent="0.3">
      <c r="A348" s="55" t="s">
        <v>923</v>
      </c>
      <c r="B348" s="53" t="s">
        <v>924</v>
      </c>
      <c r="C348" s="54" t="s">
        <v>925</v>
      </c>
      <c r="D348" s="75">
        <v>1</v>
      </c>
      <c r="E348" s="75"/>
      <c r="F348" s="75"/>
      <c r="G348" s="75"/>
      <c r="H348" s="75">
        <v>15000</v>
      </c>
      <c r="I348" s="75">
        <v>15000</v>
      </c>
      <c r="J348" s="91" t="s">
        <v>926</v>
      </c>
      <c r="K348" s="73"/>
      <c r="L348" s="46">
        <v>0</v>
      </c>
      <c r="M348" s="46">
        <v>0</v>
      </c>
      <c r="N348" s="46">
        <v>0</v>
      </c>
      <c r="O348" s="98"/>
      <c r="P348" s="23" t="s">
        <v>1388</v>
      </c>
      <c r="Q348" s="24" t="s">
        <v>924</v>
      </c>
      <c r="R348" s="25" t="s">
        <v>925</v>
      </c>
      <c r="S348" s="26">
        <v>1</v>
      </c>
      <c r="T348" s="26"/>
      <c r="U348" s="26">
        <v>15000</v>
      </c>
      <c r="V348" s="26">
        <f t="shared" si="65"/>
        <v>0</v>
      </c>
      <c r="W348" s="26">
        <f t="shared" si="63"/>
        <v>0</v>
      </c>
      <c r="X348" s="26">
        <f t="shared" si="66"/>
        <v>0</v>
      </c>
      <c r="Y348" s="26">
        <f t="shared" si="70"/>
        <v>0</v>
      </c>
      <c r="Z348" s="33" t="s">
        <v>15</v>
      </c>
      <c r="AA348" s="36" t="s">
        <v>16</v>
      </c>
      <c r="AB348" s="35">
        <f t="shared" si="67"/>
        <v>1</v>
      </c>
      <c r="AC348" s="35">
        <f t="shared" si="62"/>
        <v>15000</v>
      </c>
      <c r="AD348" s="181">
        <v>1.8</v>
      </c>
      <c r="AE348" s="181">
        <v>1.8</v>
      </c>
      <c r="AF348" s="101" t="str">
        <f t="shared" si="68"/>
        <v/>
      </c>
      <c r="AG348" s="190">
        <v>0</v>
      </c>
      <c r="AH348" s="69">
        <f t="shared" si="69"/>
        <v>1</v>
      </c>
    </row>
    <row r="349" spans="1:34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>
        <v>1500</v>
      </c>
      <c r="I349" s="75">
        <v>1500</v>
      </c>
      <c r="J349" s="91" t="s">
        <v>929</v>
      </c>
      <c r="K349" s="73"/>
      <c r="L349" s="46">
        <v>0</v>
      </c>
      <c r="M349" s="46">
        <v>0</v>
      </c>
      <c r="N349" s="46">
        <v>0</v>
      </c>
      <c r="O349" s="98"/>
      <c r="P349" s="23" t="s">
        <v>1389</v>
      </c>
      <c r="Q349" s="24" t="s">
        <v>928</v>
      </c>
      <c r="R349" s="25" t="s">
        <v>325</v>
      </c>
      <c r="S349" s="26">
        <v>1</v>
      </c>
      <c r="T349" s="26"/>
      <c r="U349" s="26">
        <v>1500</v>
      </c>
      <c r="V349" s="26">
        <f t="shared" si="65"/>
        <v>0</v>
      </c>
      <c r="W349" s="26">
        <f t="shared" si="63"/>
        <v>0</v>
      </c>
      <c r="X349" s="26">
        <f t="shared" si="66"/>
        <v>0</v>
      </c>
      <c r="Y349" s="26">
        <f t="shared" si="70"/>
        <v>0</v>
      </c>
      <c r="Z349" s="33" t="s">
        <v>15</v>
      </c>
      <c r="AA349" s="36" t="s">
        <v>16</v>
      </c>
      <c r="AB349" s="35">
        <f t="shared" si="67"/>
        <v>1</v>
      </c>
      <c r="AC349" s="35">
        <f t="shared" si="62"/>
        <v>1500</v>
      </c>
      <c r="AD349" s="181">
        <v>1.8</v>
      </c>
      <c r="AE349" s="181">
        <v>1.8</v>
      </c>
      <c r="AF349" s="101" t="str">
        <f t="shared" si="68"/>
        <v/>
      </c>
      <c r="AG349" s="190">
        <v>0</v>
      </c>
      <c r="AH349" s="69">
        <f t="shared" si="69"/>
        <v>1</v>
      </c>
    </row>
    <row r="350" spans="1:34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>
        <v>2600</v>
      </c>
      <c r="I350" s="75">
        <v>7800</v>
      </c>
      <c r="J350" s="91" t="s">
        <v>933</v>
      </c>
      <c r="K350" s="73"/>
      <c r="L350" s="46">
        <v>0</v>
      </c>
      <c r="M350" s="46">
        <v>0</v>
      </c>
      <c r="N350" s="46">
        <v>0</v>
      </c>
      <c r="O350" s="98"/>
      <c r="P350" s="23" t="s">
        <v>1390</v>
      </c>
      <c r="Q350" s="24" t="s">
        <v>931</v>
      </c>
      <c r="R350" s="25" t="s">
        <v>932</v>
      </c>
      <c r="S350" s="26">
        <v>3</v>
      </c>
      <c r="T350" s="26"/>
      <c r="U350" s="26">
        <v>2600</v>
      </c>
      <c r="V350" s="26">
        <f t="shared" si="65"/>
        <v>0</v>
      </c>
      <c r="W350" s="26">
        <f t="shared" si="63"/>
        <v>0</v>
      </c>
      <c r="X350" s="26">
        <f t="shared" si="66"/>
        <v>0</v>
      </c>
      <c r="Y350" s="26">
        <f t="shared" si="70"/>
        <v>0</v>
      </c>
      <c r="Z350" s="33" t="s">
        <v>15</v>
      </c>
      <c r="AA350" s="36" t="s">
        <v>16</v>
      </c>
      <c r="AB350" s="35">
        <f t="shared" si="67"/>
        <v>3</v>
      </c>
      <c r="AC350" s="35">
        <f t="shared" si="62"/>
        <v>7800</v>
      </c>
      <c r="AD350" s="181">
        <v>1.8</v>
      </c>
      <c r="AE350" s="181">
        <v>1.8</v>
      </c>
      <c r="AF350" s="101" t="str">
        <f t="shared" si="68"/>
        <v/>
      </c>
      <c r="AG350" s="190">
        <v>0</v>
      </c>
      <c r="AH350" s="69">
        <f t="shared" si="69"/>
        <v>3</v>
      </c>
    </row>
    <row r="351" spans="1:34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>
        <v>4460</v>
      </c>
      <c r="I351" s="75">
        <v>169480</v>
      </c>
      <c r="J351" s="91" t="s">
        <v>936</v>
      </c>
      <c r="K351" s="73"/>
      <c r="L351" s="46">
        <v>0</v>
      </c>
      <c r="M351" s="46">
        <v>0</v>
      </c>
      <c r="N351" s="46">
        <v>0</v>
      </c>
      <c r="O351" s="98"/>
      <c r="P351" s="23" t="s">
        <v>1391</v>
      </c>
      <c r="Q351" s="24" t="s">
        <v>935</v>
      </c>
      <c r="R351" s="25" t="s">
        <v>932</v>
      </c>
      <c r="S351" s="26">
        <v>38</v>
      </c>
      <c r="T351" s="26"/>
      <c r="U351" s="26">
        <v>4460</v>
      </c>
      <c r="V351" s="26">
        <f t="shared" si="65"/>
        <v>0</v>
      </c>
      <c r="W351" s="26">
        <f t="shared" si="63"/>
        <v>0</v>
      </c>
      <c r="X351" s="26">
        <f t="shared" si="66"/>
        <v>0</v>
      </c>
      <c r="Y351" s="26">
        <f t="shared" si="70"/>
        <v>0</v>
      </c>
      <c r="Z351" s="33" t="s">
        <v>15</v>
      </c>
      <c r="AA351" s="36" t="s">
        <v>16</v>
      </c>
      <c r="AB351" s="35">
        <f t="shared" si="67"/>
        <v>38</v>
      </c>
      <c r="AC351" s="35">
        <f t="shared" si="62"/>
        <v>169480</v>
      </c>
      <c r="AD351" s="181">
        <v>1.8</v>
      </c>
      <c r="AE351" s="181">
        <v>1.8</v>
      </c>
      <c r="AF351" s="101" t="str">
        <f t="shared" si="68"/>
        <v/>
      </c>
      <c r="AG351" s="190">
        <v>0</v>
      </c>
      <c r="AH351" s="69">
        <f t="shared" si="69"/>
        <v>38</v>
      </c>
    </row>
    <row r="352" spans="1:34" s="69" customFormat="1" ht="39" x14ac:dyDescent="0.3">
      <c r="A352" s="55" t="s">
        <v>937</v>
      </c>
      <c r="B352" s="53" t="s">
        <v>938</v>
      </c>
      <c r="C352" s="54" t="s">
        <v>30</v>
      </c>
      <c r="D352" s="75">
        <v>1352</v>
      </c>
      <c r="E352" s="75"/>
      <c r="F352" s="75"/>
      <c r="G352" s="75"/>
      <c r="H352" s="75">
        <v>30.59</v>
      </c>
      <c r="I352" s="75">
        <v>41357.68</v>
      </c>
      <c r="J352" s="91" t="s">
        <v>939</v>
      </c>
      <c r="K352" s="73"/>
      <c r="L352" s="46">
        <v>0</v>
      </c>
      <c r="M352" s="46">
        <v>0</v>
      </c>
      <c r="N352" s="46">
        <v>0</v>
      </c>
      <c r="O352" s="98"/>
      <c r="P352" s="23" t="s">
        <v>1436</v>
      </c>
      <c r="Q352" s="24" t="s">
        <v>938</v>
      </c>
      <c r="R352" s="25" t="s">
        <v>30</v>
      </c>
      <c r="S352" s="26">
        <v>1352</v>
      </c>
      <c r="T352" s="26"/>
      <c r="U352" s="26">
        <v>30.59</v>
      </c>
      <c r="V352" s="26">
        <f t="shared" si="65"/>
        <v>0</v>
      </c>
      <c r="W352" s="26">
        <f t="shared" si="63"/>
        <v>0</v>
      </c>
      <c r="X352" s="26">
        <f t="shared" si="66"/>
        <v>0</v>
      </c>
      <c r="Y352" s="26">
        <f t="shared" si="70"/>
        <v>0</v>
      </c>
      <c r="Z352" s="33" t="s">
        <v>15</v>
      </c>
      <c r="AA352" s="36" t="s">
        <v>16</v>
      </c>
      <c r="AB352" s="35">
        <f t="shared" si="67"/>
        <v>1352</v>
      </c>
      <c r="AC352" s="35">
        <f t="shared" si="62"/>
        <v>41357.68</v>
      </c>
      <c r="AD352" s="181">
        <v>1.8</v>
      </c>
      <c r="AE352" s="181">
        <v>1.8</v>
      </c>
      <c r="AF352" s="101" t="str">
        <f t="shared" si="68"/>
        <v/>
      </c>
      <c r="AG352" s="190">
        <v>0</v>
      </c>
      <c r="AH352" s="69">
        <f t="shared" si="69"/>
        <v>1352</v>
      </c>
    </row>
    <row r="353" spans="1:34" s="69" customFormat="1" ht="39" x14ac:dyDescent="0.3">
      <c r="A353" s="55" t="s">
        <v>940</v>
      </c>
      <c r="B353" s="53" t="s">
        <v>941</v>
      </c>
      <c r="C353" s="54" t="s">
        <v>30</v>
      </c>
      <c r="D353" s="75">
        <v>300</v>
      </c>
      <c r="E353" s="75"/>
      <c r="F353" s="75"/>
      <c r="G353" s="75"/>
      <c r="H353" s="75">
        <v>972.45</v>
      </c>
      <c r="I353" s="75">
        <v>291735</v>
      </c>
      <c r="J353" s="91" t="s">
        <v>942</v>
      </c>
      <c r="K353" s="73"/>
      <c r="L353" s="46">
        <v>0</v>
      </c>
      <c r="M353" s="46">
        <v>0</v>
      </c>
      <c r="N353" s="46">
        <v>0</v>
      </c>
      <c r="O353" s="98"/>
      <c r="P353" s="23" t="s">
        <v>1374</v>
      </c>
      <c r="Q353" s="24" t="s">
        <v>941</v>
      </c>
      <c r="R353" s="25" t="s">
        <v>30</v>
      </c>
      <c r="S353" s="26">
        <v>300</v>
      </c>
      <c r="T353" s="26"/>
      <c r="U353" s="26">
        <v>972.45</v>
      </c>
      <c r="V353" s="26">
        <f t="shared" si="65"/>
        <v>0</v>
      </c>
      <c r="W353" s="26">
        <f t="shared" si="63"/>
        <v>0</v>
      </c>
      <c r="X353" s="26">
        <f t="shared" si="66"/>
        <v>0</v>
      </c>
      <c r="Y353" s="26">
        <f t="shared" si="70"/>
        <v>0</v>
      </c>
      <c r="Z353" s="33" t="s">
        <v>15</v>
      </c>
      <c r="AA353" s="36" t="s">
        <v>16</v>
      </c>
      <c r="AB353" s="35">
        <f t="shared" si="67"/>
        <v>300</v>
      </c>
      <c r="AC353" s="35">
        <f t="shared" si="62"/>
        <v>291735</v>
      </c>
      <c r="AD353" s="181">
        <v>1.8</v>
      </c>
      <c r="AE353" s="181">
        <v>1.8</v>
      </c>
      <c r="AF353" s="101" t="str">
        <f t="shared" si="68"/>
        <v/>
      </c>
      <c r="AG353" s="190">
        <v>0</v>
      </c>
      <c r="AH353" s="69">
        <f t="shared" si="69"/>
        <v>300</v>
      </c>
    </row>
    <row r="354" spans="1:34" s="69" customFormat="1" ht="39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>
        <v>628.34</v>
      </c>
      <c r="I354" s="75">
        <v>158341.68</v>
      </c>
      <c r="J354" s="91" t="s">
        <v>945</v>
      </c>
      <c r="K354" s="73"/>
      <c r="L354" s="46">
        <v>0</v>
      </c>
      <c r="M354" s="46">
        <v>0</v>
      </c>
      <c r="N354" s="46">
        <v>0</v>
      </c>
      <c r="O354" s="98"/>
      <c r="P354" s="23" t="s">
        <v>1376</v>
      </c>
      <c r="Q354" s="24" t="s">
        <v>944</v>
      </c>
      <c r="R354" s="25" t="s">
        <v>30</v>
      </c>
      <c r="S354" s="26">
        <v>252</v>
      </c>
      <c r="T354" s="26"/>
      <c r="U354" s="26">
        <v>628.34</v>
      </c>
      <c r="V354" s="26">
        <f t="shared" si="65"/>
        <v>0</v>
      </c>
      <c r="W354" s="26">
        <f t="shared" si="63"/>
        <v>0</v>
      </c>
      <c r="X354" s="26">
        <f t="shared" si="66"/>
        <v>0</v>
      </c>
      <c r="Y354" s="26">
        <f t="shared" si="70"/>
        <v>0</v>
      </c>
      <c r="Z354" s="33" t="s">
        <v>15</v>
      </c>
      <c r="AA354" s="36" t="s">
        <v>16</v>
      </c>
      <c r="AB354" s="35">
        <f t="shared" si="67"/>
        <v>252</v>
      </c>
      <c r="AC354" s="35">
        <f t="shared" si="62"/>
        <v>158341.68</v>
      </c>
      <c r="AD354" s="181">
        <v>1.8</v>
      </c>
      <c r="AE354" s="181">
        <v>1.8</v>
      </c>
      <c r="AF354" s="101" t="str">
        <f t="shared" si="68"/>
        <v/>
      </c>
      <c r="AG354" s="190">
        <v>0</v>
      </c>
      <c r="AH354" s="69">
        <f t="shared" si="69"/>
        <v>252</v>
      </c>
    </row>
    <row r="355" spans="1:34" s="69" customFormat="1" ht="39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>
        <v>497.09</v>
      </c>
      <c r="I355" s="75">
        <v>17895.240000000002</v>
      </c>
      <c r="J355" s="91" t="s">
        <v>948</v>
      </c>
      <c r="K355" s="73"/>
      <c r="L355" s="46">
        <v>0</v>
      </c>
      <c r="M355" s="46">
        <v>0</v>
      </c>
      <c r="N355" s="46">
        <v>0</v>
      </c>
      <c r="O355" s="98"/>
      <c r="P355" s="23" t="s">
        <v>1378</v>
      </c>
      <c r="Q355" s="24" t="s">
        <v>947</v>
      </c>
      <c r="R355" s="25" t="s">
        <v>30</v>
      </c>
      <c r="S355" s="26">
        <v>36</v>
      </c>
      <c r="T355" s="26"/>
      <c r="U355" s="26">
        <v>497.09</v>
      </c>
      <c r="V355" s="26">
        <f t="shared" si="65"/>
        <v>0</v>
      </c>
      <c r="W355" s="26">
        <f t="shared" si="63"/>
        <v>0</v>
      </c>
      <c r="X355" s="26">
        <f t="shared" si="66"/>
        <v>0</v>
      </c>
      <c r="Y355" s="26">
        <f t="shared" si="70"/>
        <v>0</v>
      </c>
      <c r="Z355" s="33" t="s">
        <v>15</v>
      </c>
      <c r="AA355" s="36" t="s">
        <v>16</v>
      </c>
      <c r="AB355" s="35">
        <f t="shared" si="67"/>
        <v>36</v>
      </c>
      <c r="AC355" s="35">
        <f t="shared" si="62"/>
        <v>17895.240000000002</v>
      </c>
      <c r="AD355" s="181">
        <v>1.8</v>
      </c>
      <c r="AE355" s="181">
        <v>1.8</v>
      </c>
      <c r="AF355" s="101" t="str">
        <f t="shared" si="68"/>
        <v/>
      </c>
      <c r="AG355" s="190">
        <v>0</v>
      </c>
      <c r="AH355" s="69">
        <f t="shared" si="69"/>
        <v>36</v>
      </c>
    </row>
    <row r="356" spans="1:34" s="69" customFormat="1" ht="39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>
        <v>270.2</v>
      </c>
      <c r="I356" s="75">
        <v>42961.8</v>
      </c>
      <c r="J356" s="91" t="s">
        <v>951</v>
      </c>
      <c r="K356" s="73"/>
      <c r="L356" s="46">
        <v>0</v>
      </c>
      <c r="M356" s="46">
        <v>0</v>
      </c>
      <c r="N356" s="46">
        <v>0</v>
      </c>
      <c r="O356" s="98"/>
      <c r="P356" s="23" t="s">
        <v>1438</v>
      </c>
      <c r="Q356" s="24" t="s">
        <v>950</v>
      </c>
      <c r="R356" s="25" t="s">
        <v>30</v>
      </c>
      <c r="S356" s="26">
        <v>159</v>
      </c>
      <c r="T356" s="26"/>
      <c r="U356" s="26">
        <v>270.2</v>
      </c>
      <c r="V356" s="26">
        <f t="shared" si="65"/>
        <v>0</v>
      </c>
      <c r="W356" s="26">
        <f t="shared" si="63"/>
        <v>0</v>
      </c>
      <c r="X356" s="26">
        <f t="shared" si="66"/>
        <v>0</v>
      </c>
      <c r="Y356" s="26">
        <f t="shared" si="70"/>
        <v>0</v>
      </c>
      <c r="Z356" s="33" t="s">
        <v>15</v>
      </c>
      <c r="AA356" s="36" t="s">
        <v>16</v>
      </c>
      <c r="AB356" s="35">
        <f t="shared" si="67"/>
        <v>159</v>
      </c>
      <c r="AC356" s="35">
        <f t="shared" si="62"/>
        <v>42961.8</v>
      </c>
      <c r="AD356" s="181">
        <v>1.8</v>
      </c>
      <c r="AE356" s="181">
        <v>1.8</v>
      </c>
      <c r="AF356" s="101" t="str">
        <f t="shared" si="68"/>
        <v/>
      </c>
      <c r="AG356" s="190">
        <v>0</v>
      </c>
      <c r="AH356" s="69">
        <f t="shared" si="69"/>
        <v>159</v>
      </c>
    </row>
    <row r="357" spans="1:34" s="69" customFormat="1" ht="39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>
        <v>152.94</v>
      </c>
      <c r="I357" s="75">
        <v>183375.06</v>
      </c>
      <c r="J357" s="91" t="s">
        <v>954</v>
      </c>
      <c r="K357" s="73"/>
      <c r="L357" s="46">
        <v>0</v>
      </c>
      <c r="M357" s="46">
        <v>0</v>
      </c>
      <c r="N357" s="46">
        <v>0</v>
      </c>
      <c r="O357" s="98"/>
      <c r="P357" s="23" t="s">
        <v>1439</v>
      </c>
      <c r="Q357" s="24" t="s">
        <v>953</v>
      </c>
      <c r="R357" s="25" t="s">
        <v>30</v>
      </c>
      <c r="S357" s="26">
        <v>1199</v>
      </c>
      <c r="T357" s="26"/>
      <c r="U357" s="26">
        <v>152.94</v>
      </c>
      <c r="V357" s="26">
        <f t="shared" si="65"/>
        <v>0</v>
      </c>
      <c r="W357" s="26">
        <f t="shared" si="63"/>
        <v>0</v>
      </c>
      <c r="X357" s="26">
        <f t="shared" si="66"/>
        <v>0</v>
      </c>
      <c r="Y357" s="26">
        <f t="shared" si="70"/>
        <v>0</v>
      </c>
      <c r="Z357" s="33" t="s">
        <v>15</v>
      </c>
      <c r="AA357" s="36" t="s">
        <v>16</v>
      </c>
      <c r="AB357" s="35">
        <f t="shared" si="67"/>
        <v>1199</v>
      </c>
      <c r="AC357" s="35">
        <f t="shared" si="62"/>
        <v>183375.06</v>
      </c>
      <c r="AD357" s="181">
        <v>1.8</v>
      </c>
      <c r="AE357" s="181">
        <v>1.8</v>
      </c>
      <c r="AF357" s="101" t="str">
        <f t="shared" si="68"/>
        <v/>
      </c>
      <c r="AG357" s="190">
        <v>0</v>
      </c>
      <c r="AH357" s="69">
        <f t="shared" si="69"/>
        <v>1199</v>
      </c>
    </row>
    <row r="358" spans="1:34" s="69" customFormat="1" ht="39" x14ac:dyDescent="0.3">
      <c r="A358" s="55" t="s">
        <v>955</v>
      </c>
      <c r="B358" s="53" t="s">
        <v>956</v>
      </c>
      <c r="C358" s="54" t="s">
        <v>30</v>
      </c>
      <c r="D358" s="75">
        <v>144</v>
      </c>
      <c r="E358" s="75"/>
      <c r="F358" s="75"/>
      <c r="G358" s="75"/>
      <c r="H358" s="75">
        <v>228.14</v>
      </c>
      <c r="I358" s="75">
        <v>32852.160000000003</v>
      </c>
      <c r="J358" s="91" t="s">
        <v>957</v>
      </c>
      <c r="K358" s="73"/>
      <c r="L358" s="46">
        <v>0</v>
      </c>
      <c r="M358" s="46">
        <v>0</v>
      </c>
      <c r="N358" s="46">
        <v>0</v>
      </c>
      <c r="O358" s="98"/>
      <c r="P358" s="23" t="s">
        <v>1440</v>
      </c>
      <c r="Q358" s="24" t="s">
        <v>956</v>
      </c>
      <c r="R358" s="25" t="s">
        <v>30</v>
      </c>
      <c r="S358" s="26">
        <v>144</v>
      </c>
      <c r="T358" s="26"/>
      <c r="U358" s="26">
        <v>228.14</v>
      </c>
      <c r="V358" s="26">
        <f t="shared" si="65"/>
        <v>0</v>
      </c>
      <c r="W358" s="26">
        <f t="shared" si="63"/>
        <v>0</v>
      </c>
      <c r="X358" s="26">
        <f t="shared" si="66"/>
        <v>0</v>
      </c>
      <c r="Y358" s="26">
        <f t="shared" si="70"/>
        <v>0</v>
      </c>
      <c r="Z358" s="33" t="s">
        <v>15</v>
      </c>
      <c r="AA358" s="36" t="s">
        <v>16</v>
      </c>
      <c r="AB358" s="35">
        <f t="shared" si="67"/>
        <v>144</v>
      </c>
      <c r="AC358" s="35">
        <f t="shared" si="62"/>
        <v>32852.160000000003</v>
      </c>
      <c r="AD358" s="181">
        <v>1.8</v>
      </c>
      <c r="AE358" s="181">
        <v>1.8</v>
      </c>
      <c r="AF358" s="101" t="str">
        <f t="shared" si="68"/>
        <v/>
      </c>
      <c r="AG358" s="190">
        <v>0</v>
      </c>
      <c r="AH358" s="69">
        <f t="shared" si="69"/>
        <v>144</v>
      </c>
    </row>
    <row r="359" spans="1:34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>
        <v>90448.13</v>
      </c>
      <c r="I359" s="75">
        <v>90448.13</v>
      </c>
      <c r="J359" s="91" t="s">
        <v>960</v>
      </c>
      <c r="K359" s="73"/>
      <c r="L359" s="46">
        <v>0</v>
      </c>
      <c r="M359" s="46">
        <v>0</v>
      </c>
      <c r="N359" s="46">
        <v>0</v>
      </c>
      <c r="O359" s="98"/>
      <c r="P359" s="23" t="s">
        <v>1441</v>
      </c>
      <c r="Q359" s="24" t="s">
        <v>959</v>
      </c>
      <c r="R359" s="25" t="s">
        <v>14</v>
      </c>
      <c r="S359" s="26">
        <v>1</v>
      </c>
      <c r="T359" s="26"/>
      <c r="U359" s="26">
        <v>90448.13</v>
      </c>
      <c r="V359" s="26">
        <f t="shared" si="65"/>
        <v>0</v>
      </c>
      <c r="W359" s="26">
        <f t="shared" si="63"/>
        <v>0</v>
      </c>
      <c r="X359" s="26">
        <f t="shared" si="66"/>
        <v>0</v>
      </c>
      <c r="Y359" s="26">
        <f t="shared" si="70"/>
        <v>0</v>
      </c>
      <c r="Z359" s="33" t="s">
        <v>15</v>
      </c>
      <c r="AA359" s="36" t="s">
        <v>16</v>
      </c>
      <c r="AB359" s="35">
        <f t="shared" si="67"/>
        <v>1</v>
      </c>
      <c r="AC359" s="35">
        <f t="shared" si="62"/>
        <v>90448.13</v>
      </c>
      <c r="AD359" s="181">
        <v>1.8</v>
      </c>
      <c r="AE359" s="181">
        <v>1.8</v>
      </c>
      <c r="AF359" s="101" t="str">
        <f t="shared" si="68"/>
        <v/>
      </c>
      <c r="AG359" s="190">
        <v>0</v>
      </c>
      <c r="AH359" s="69">
        <f t="shared" si="69"/>
        <v>1</v>
      </c>
    </row>
    <row r="360" spans="1:34" s="69" customFormat="1" ht="58.5" x14ac:dyDescent="0.3">
      <c r="A360" s="55" t="s">
        <v>961</v>
      </c>
      <c r="B360" s="53" t="s">
        <v>962</v>
      </c>
      <c r="C360" s="54" t="s">
        <v>30</v>
      </c>
      <c r="D360" s="75">
        <v>2702</v>
      </c>
      <c r="E360" s="75"/>
      <c r="F360" s="75"/>
      <c r="G360" s="75"/>
      <c r="H360" s="75">
        <v>81.569999999999993</v>
      </c>
      <c r="I360" s="75">
        <v>220402.14</v>
      </c>
      <c r="J360" s="91" t="s">
        <v>963</v>
      </c>
      <c r="K360" s="73"/>
      <c r="L360" s="46">
        <v>0</v>
      </c>
      <c r="M360" s="46">
        <v>0</v>
      </c>
      <c r="N360" s="46">
        <v>0</v>
      </c>
      <c r="O360" s="98"/>
      <c r="P360" s="23" t="s">
        <v>1442</v>
      </c>
      <c r="Q360" s="24" t="s">
        <v>962</v>
      </c>
      <c r="R360" s="25" t="s">
        <v>30</v>
      </c>
      <c r="S360" s="26">
        <v>2702</v>
      </c>
      <c r="T360" s="26"/>
      <c r="U360" s="26">
        <v>81.569999999999993</v>
      </c>
      <c r="V360" s="26">
        <f t="shared" si="65"/>
        <v>0</v>
      </c>
      <c r="W360" s="26">
        <f t="shared" si="63"/>
        <v>0</v>
      </c>
      <c r="X360" s="26">
        <f t="shared" si="66"/>
        <v>0</v>
      </c>
      <c r="Y360" s="26">
        <f t="shared" si="70"/>
        <v>0</v>
      </c>
      <c r="Z360" s="33" t="s">
        <v>15</v>
      </c>
      <c r="AA360" s="36" t="s">
        <v>16</v>
      </c>
      <c r="AB360" s="35">
        <f t="shared" si="67"/>
        <v>2702</v>
      </c>
      <c r="AC360" s="35">
        <f t="shared" si="62"/>
        <v>220402.14</v>
      </c>
      <c r="AD360" s="181">
        <v>1.8</v>
      </c>
      <c r="AE360" s="181">
        <v>1.8</v>
      </c>
      <c r="AF360" s="101" t="str">
        <f t="shared" si="68"/>
        <v/>
      </c>
      <c r="AG360" s="190">
        <v>0</v>
      </c>
      <c r="AH360" s="69">
        <f t="shared" si="69"/>
        <v>2702</v>
      </c>
    </row>
    <row r="361" spans="1:34" s="69" customFormat="1" ht="39" x14ac:dyDescent="0.3">
      <c r="A361" s="55" t="s">
        <v>964</v>
      </c>
      <c r="B361" s="53" t="s">
        <v>965</v>
      </c>
      <c r="C361" s="54" t="s">
        <v>14</v>
      </c>
      <c r="D361" s="75">
        <v>1</v>
      </c>
      <c r="E361" s="75"/>
      <c r="F361" s="75"/>
      <c r="G361" s="75"/>
      <c r="H361" s="75">
        <v>25939</v>
      </c>
      <c r="I361" s="75">
        <v>25939</v>
      </c>
      <c r="J361" s="91" t="s">
        <v>966</v>
      </c>
      <c r="K361" s="73"/>
      <c r="L361" s="46">
        <v>0</v>
      </c>
      <c r="M361" s="46">
        <v>0</v>
      </c>
      <c r="N361" s="46">
        <v>0</v>
      </c>
      <c r="O361" s="98"/>
      <c r="P361" s="23" t="s">
        <v>1443</v>
      </c>
      <c r="Q361" s="24" t="s">
        <v>965</v>
      </c>
      <c r="R361" s="25" t="s">
        <v>14</v>
      </c>
      <c r="S361" s="26">
        <v>1</v>
      </c>
      <c r="T361" s="26"/>
      <c r="U361" s="26">
        <v>25939</v>
      </c>
      <c r="V361" s="26">
        <f t="shared" si="65"/>
        <v>0</v>
      </c>
      <c r="W361" s="26">
        <f t="shared" si="63"/>
        <v>0</v>
      </c>
      <c r="X361" s="26">
        <f t="shared" si="66"/>
        <v>0</v>
      </c>
      <c r="Y361" s="26">
        <f t="shared" si="70"/>
        <v>0</v>
      </c>
      <c r="Z361" s="33" t="s">
        <v>15</v>
      </c>
      <c r="AA361" s="36" t="s">
        <v>16</v>
      </c>
      <c r="AB361" s="35">
        <f t="shared" si="67"/>
        <v>1</v>
      </c>
      <c r="AC361" s="35">
        <f t="shared" si="62"/>
        <v>25939</v>
      </c>
      <c r="AD361" s="181">
        <v>1.8</v>
      </c>
      <c r="AE361" s="181">
        <v>1.8</v>
      </c>
      <c r="AF361" s="101" t="str">
        <f t="shared" si="68"/>
        <v/>
      </c>
      <c r="AG361" s="190">
        <v>0</v>
      </c>
      <c r="AH361" s="69">
        <f t="shared" si="69"/>
        <v>1</v>
      </c>
    </row>
    <row r="362" spans="1:34" s="69" customFormat="1" ht="39" x14ac:dyDescent="0.3">
      <c r="A362" s="55" t="s">
        <v>967</v>
      </c>
      <c r="B362" s="53" t="s">
        <v>968</v>
      </c>
      <c r="C362" s="54" t="s">
        <v>30</v>
      </c>
      <c r="D362" s="75">
        <v>1272</v>
      </c>
      <c r="E362" s="75"/>
      <c r="F362" s="75"/>
      <c r="G362" s="75"/>
      <c r="H362" s="75">
        <v>36.96</v>
      </c>
      <c r="I362" s="75">
        <v>47013.120000000003</v>
      </c>
      <c r="J362" s="91" t="s">
        <v>969</v>
      </c>
      <c r="K362" s="73"/>
      <c r="L362" s="46">
        <v>0</v>
      </c>
      <c r="M362" s="46">
        <v>0</v>
      </c>
      <c r="N362" s="46">
        <v>0</v>
      </c>
      <c r="O362" s="98"/>
      <c r="P362" s="23" t="s">
        <v>1444</v>
      </c>
      <c r="Q362" s="24" t="s">
        <v>968</v>
      </c>
      <c r="R362" s="25" t="s">
        <v>30</v>
      </c>
      <c r="S362" s="26">
        <v>1272</v>
      </c>
      <c r="T362" s="26"/>
      <c r="U362" s="26">
        <v>36.96</v>
      </c>
      <c r="V362" s="26">
        <f t="shared" si="65"/>
        <v>0</v>
      </c>
      <c r="W362" s="26">
        <f t="shared" si="63"/>
        <v>0</v>
      </c>
      <c r="X362" s="26">
        <f t="shared" si="66"/>
        <v>0</v>
      </c>
      <c r="Y362" s="26">
        <f t="shared" si="70"/>
        <v>0</v>
      </c>
      <c r="Z362" s="33" t="s">
        <v>15</v>
      </c>
      <c r="AA362" s="36" t="s">
        <v>16</v>
      </c>
      <c r="AB362" s="35">
        <f t="shared" si="67"/>
        <v>1272</v>
      </c>
      <c r="AC362" s="35">
        <f t="shared" si="62"/>
        <v>47013.120000000003</v>
      </c>
      <c r="AD362" s="181">
        <v>1.8</v>
      </c>
      <c r="AE362" s="181">
        <v>1.8</v>
      </c>
      <c r="AF362" s="101" t="str">
        <f t="shared" si="68"/>
        <v/>
      </c>
      <c r="AG362" s="190">
        <v>0</v>
      </c>
      <c r="AH362" s="69">
        <f t="shared" si="69"/>
        <v>1272</v>
      </c>
    </row>
    <row r="363" spans="1:34" s="69" customFormat="1" ht="39" x14ac:dyDescent="0.3">
      <c r="A363" s="55" t="s">
        <v>970</v>
      </c>
      <c r="B363" s="53" t="s">
        <v>971</v>
      </c>
      <c r="C363" s="54" t="s">
        <v>30</v>
      </c>
      <c r="D363" s="75">
        <v>1470</v>
      </c>
      <c r="E363" s="75"/>
      <c r="F363" s="75"/>
      <c r="G363" s="75"/>
      <c r="H363" s="75">
        <v>62.45</v>
      </c>
      <c r="I363" s="75">
        <v>91801.5</v>
      </c>
      <c r="J363" s="91" t="s">
        <v>972</v>
      </c>
      <c r="K363" s="73"/>
      <c r="L363" s="46">
        <v>0</v>
      </c>
      <c r="M363" s="46">
        <v>0</v>
      </c>
      <c r="N363" s="46">
        <v>0</v>
      </c>
      <c r="O363" s="98"/>
      <c r="P363" s="23" t="s">
        <v>1408</v>
      </c>
      <c r="Q363" s="24" t="s">
        <v>971</v>
      </c>
      <c r="R363" s="25" t="s">
        <v>30</v>
      </c>
      <c r="S363" s="26">
        <v>1470</v>
      </c>
      <c r="T363" s="26"/>
      <c r="U363" s="26">
        <v>62.45</v>
      </c>
      <c r="V363" s="26">
        <f t="shared" si="65"/>
        <v>0</v>
      </c>
      <c r="W363" s="26">
        <f t="shared" si="63"/>
        <v>0</v>
      </c>
      <c r="X363" s="26">
        <f t="shared" si="66"/>
        <v>0</v>
      </c>
      <c r="Y363" s="26">
        <f t="shared" si="70"/>
        <v>0</v>
      </c>
      <c r="Z363" s="33" t="s">
        <v>15</v>
      </c>
      <c r="AA363" s="36" t="s">
        <v>16</v>
      </c>
      <c r="AB363" s="35">
        <f t="shared" si="67"/>
        <v>1470</v>
      </c>
      <c r="AC363" s="35">
        <f t="shared" si="62"/>
        <v>91801.5</v>
      </c>
      <c r="AD363" s="181">
        <v>1.8</v>
      </c>
      <c r="AE363" s="181">
        <v>1.8</v>
      </c>
      <c r="AF363" s="101" t="str">
        <f t="shared" si="68"/>
        <v/>
      </c>
      <c r="AG363" s="190">
        <v>0</v>
      </c>
      <c r="AH363" s="69">
        <f t="shared" si="69"/>
        <v>1470</v>
      </c>
    </row>
    <row r="364" spans="1:34" s="69" customFormat="1" ht="39" x14ac:dyDescent="0.3">
      <c r="A364" s="55" t="s">
        <v>973</v>
      </c>
      <c r="B364" s="53" t="s">
        <v>974</v>
      </c>
      <c r="C364" s="54" t="s">
        <v>30</v>
      </c>
      <c r="D364" s="75">
        <v>407</v>
      </c>
      <c r="E364" s="75"/>
      <c r="F364" s="75"/>
      <c r="G364" s="75"/>
      <c r="H364" s="75">
        <v>90.49</v>
      </c>
      <c r="I364" s="75">
        <v>36829.43</v>
      </c>
      <c r="J364" s="91" t="s">
        <v>975</v>
      </c>
      <c r="K364" s="73"/>
      <c r="L364" s="46">
        <v>0</v>
      </c>
      <c r="M364" s="46">
        <v>0</v>
      </c>
      <c r="N364" s="46">
        <v>0</v>
      </c>
      <c r="O364" s="98"/>
      <c r="P364" s="23" t="s">
        <v>1409</v>
      </c>
      <c r="Q364" s="24" t="s">
        <v>974</v>
      </c>
      <c r="R364" s="25" t="s">
        <v>30</v>
      </c>
      <c r="S364" s="26">
        <v>407</v>
      </c>
      <c r="T364" s="26"/>
      <c r="U364" s="26">
        <v>90.49</v>
      </c>
      <c r="V364" s="26">
        <f t="shared" si="65"/>
        <v>0</v>
      </c>
      <c r="W364" s="26">
        <f t="shared" si="63"/>
        <v>0</v>
      </c>
      <c r="X364" s="26">
        <f t="shared" si="66"/>
        <v>0</v>
      </c>
      <c r="Y364" s="26">
        <f t="shared" si="70"/>
        <v>0</v>
      </c>
      <c r="Z364" s="33" t="s">
        <v>15</v>
      </c>
      <c r="AA364" s="36" t="s">
        <v>16</v>
      </c>
      <c r="AB364" s="35">
        <f t="shared" si="67"/>
        <v>407</v>
      </c>
      <c r="AC364" s="35">
        <f t="shared" si="62"/>
        <v>36829.43</v>
      </c>
      <c r="AD364" s="181">
        <v>1.8</v>
      </c>
      <c r="AE364" s="181">
        <v>1.8</v>
      </c>
      <c r="AF364" s="101" t="str">
        <f t="shared" si="68"/>
        <v/>
      </c>
      <c r="AG364" s="190">
        <v>0</v>
      </c>
      <c r="AH364" s="69">
        <f t="shared" si="69"/>
        <v>407</v>
      </c>
    </row>
    <row r="365" spans="1:34" s="69" customFormat="1" ht="39" x14ac:dyDescent="0.3">
      <c r="A365" s="55" t="s">
        <v>976</v>
      </c>
      <c r="B365" s="53" t="s">
        <v>977</v>
      </c>
      <c r="C365" s="54" t="s">
        <v>30</v>
      </c>
      <c r="D365" s="75">
        <v>55</v>
      </c>
      <c r="E365" s="75"/>
      <c r="F365" s="75"/>
      <c r="G365" s="75"/>
      <c r="H365" s="75">
        <v>186.08</v>
      </c>
      <c r="I365" s="75">
        <v>10234.4</v>
      </c>
      <c r="J365" s="91" t="s">
        <v>978</v>
      </c>
      <c r="K365" s="73"/>
      <c r="L365" s="46">
        <v>0</v>
      </c>
      <c r="M365" s="46">
        <v>0</v>
      </c>
      <c r="N365" s="46">
        <v>0</v>
      </c>
      <c r="O365" s="98"/>
      <c r="P365" s="23" t="s">
        <v>1410</v>
      </c>
      <c r="Q365" s="24" t="s">
        <v>977</v>
      </c>
      <c r="R365" s="25" t="s">
        <v>30</v>
      </c>
      <c r="S365" s="26">
        <v>55</v>
      </c>
      <c r="T365" s="26"/>
      <c r="U365" s="26">
        <v>186.08</v>
      </c>
      <c r="V365" s="26">
        <f t="shared" si="65"/>
        <v>0</v>
      </c>
      <c r="W365" s="26">
        <f t="shared" si="63"/>
        <v>0</v>
      </c>
      <c r="X365" s="26">
        <f t="shared" si="66"/>
        <v>0</v>
      </c>
      <c r="Y365" s="26">
        <f t="shared" si="70"/>
        <v>0</v>
      </c>
      <c r="Z365" s="33" t="s">
        <v>15</v>
      </c>
      <c r="AA365" s="36" t="s">
        <v>16</v>
      </c>
      <c r="AB365" s="35">
        <f t="shared" si="67"/>
        <v>55</v>
      </c>
      <c r="AC365" s="35">
        <f t="shared" si="62"/>
        <v>10234.4</v>
      </c>
      <c r="AD365" s="181">
        <v>1.8</v>
      </c>
      <c r="AE365" s="181">
        <v>1.8</v>
      </c>
      <c r="AF365" s="101" t="str">
        <f t="shared" si="68"/>
        <v/>
      </c>
      <c r="AG365" s="190">
        <v>0</v>
      </c>
      <c r="AH365" s="69">
        <f t="shared" si="69"/>
        <v>55</v>
      </c>
    </row>
    <row r="366" spans="1:34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>
        <v>51046</v>
      </c>
      <c r="I366" s="75">
        <v>51046</v>
      </c>
      <c r="J366" s="91" t="s">
        <v>981</v>
      </c>
      <c r="K366" s="73"/>
      <c r="L366" s="46">
        <v>0</v>
      </c>
      <c r="M366" s="46">
        <v>0</v>
      </c>
      <c r="N366" s="46">
        <v>0</v>
      </c>
      <c r="O366" s="98"/>
      <c r="P366" s="23" t="s">
        <v>1411</v>
      </c>
      <c r="Q366" s="24" t="s">
        <v>980</v>
      </c>
      <c r="R366" s="25" t="s">
        <v>14</v>
      </c>
      <c r="S366" s="26">
        <v>1</v>
      </c>
      <c r="T366" s="26"/>
      <c r="U366" s="26">
        <v>51046</v>
      </c>
      <c r="V366" s="26">
        <f t="shared" si="65"/>
        <v>0</v>
      </c>
      <c r="W366" s="26">
        <f t="shared" si="63"/>
        <v>0</v>
      </c>
      <c r="X366" s="26">
        <f t="shared" si="66"/>
        <v>0</v>
      </c>
      <c r="Y366" s="26">
        <f t="shared" si="70"/>
        <v>0</v>
      </c>
      <c r="Z366" s="33" t="s">
        <v>15</v>
      </c>
      <c r="AA366" s="36" t="s">
        <v>16</v>
      </c>
      <c r="AB366" s="35">
        <f t="shared" si="67"/>
        <v>1</v>
      </c>
      <c r="AC366" s="35">
        <f t="shared" ref="AC366:AC368" si="71">ROUND(U366*AB366,2)</f>
        <v>51046</v>
      </c>
      <c r="AD366" s="181">
        <v>1.8</v>
      </c>
      <c r="AE366" s="181">
        <v>1.8</v>
      </c>
      <c r="AF366" s="101" t="str">
        <f t="shared" si="68"/>
        <v/>
      </c>
      <c r="AG366" s="190">
        <v>0</v>
      </c>
      <c r="AH366" s="69">
        <f t="shared" si="69"/>
        <v>1</v>
      </c>
    </row>
    <row r="367" spans="1:34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>
        <v>671.66</v>
      </c>
      <c r="I367" s="75">
        <v>88659.12</v>
      </c>
      <c r="J367" s="91" t="s">
        <v>984</v>
      </c>
      <c r="K367" s="73"/>
      <c r="L367" s="46">
        <v>0</v>
      </c>
      <c r="M367" s="46">
        <v>0</v>
      </c>
      <c r="N367" s="46">
        <v>0</v>
      </c>
      <c r="O367" s="98"/>
      <c r="P367" s="23" t="s">
        <v>1445</v>
      </c>
      <c r="Q367" s="24" t="s">
        <v>983</v>
      </c>
      <c r="R367" s="25" t="s">
        <v>30</v>
      </c>
      <c r="S367" s="26">
        <v>132</v>
      </c>
      <c r="T367" s="26"/>
      <c r="U367" s="26">
        <v>671.66</v>
      </c>
      <c r="V367" s="26">
        <f t="shared" si="65"/>
        <v>0</v>
      </c>
      <c r="W367" s="26">
        <f t="shared" si="63"/>
        <v>0</v>
      </c>
      <c r="X367" s="26">
        <f t="shared" si="66"/>
        <v>0</v>
      </c>
      <c r="Y367" s="26">
        <f t="shared" si="70"/>
        <v>0</v>
      </c>
      <c r="Z367" s="33" t="s">
        <v>15</v>
      </c>
      <c r="AA367" s="36" t="s">
        <v>16</v>
      </c>
      <c r="AB367" s="35">
        <f t="shared" si="67"/>
        <v>132</v>
      </c>
      <c r="AC367" s="35">
        <f t="shared" si="71"/>
        <v>88659.12</v>
      </c>
      <c r="AD367" s="181">
        <v>1.8</v>
      </c>
      <c r="AE367" s="181">
        <v>1.8</v>
      </c>
      <c r="AF367" s="101" t="str">
        <f t="shared" si="68"/>
        <v/>
      </c>
      <c r="AG367" s="190">
        <v>0</v>
      </c>
      <c r="AH367" s="69">
        <f t="shared" si="69"/>
        <v>132</v>
      </c>
    </row>
    <row r="368" spans="1:34" s="69" customFormat="1" ht="33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>
        <v>24347</v>
      </c>
      <c r="I368" s="75">
        <v>24347</v>
      </c>
      <c r="J368" s="91" t="s">
        <v>987</v>
      </c>
      <c r="K368" s="73"/>
      <c r="L368" s="46">
        <v>0</v>
      </c>
      <c r="M368" s="46">
        <v>0</v>
      </c>
      <c r="N368" s="46">
        <v>0</v>
      </c>
      <c r="O368" s="98"/>
      <c r="P368" s="23" t="s">
        <v>1383</v>
      </c>
      <c r="Q368" s="24" t="s">
        <v>986</v>
      </c>
      <c r="R368" s="25" t="s">
        <v>14</v>
      </c>
      <c r="S368" s="26">
        <v>1</v>
      </c>
      <c r="T368" s="26"/>
      <c r="U368" s="26">
        <v>24347</v>
      </c>
      <c r="V368" s="26">
        <f t="shared" si="65"/>
        <v>0</v>
      </c>
      <c r="W368" s="26">
        <f t="shared" si="63"/>
        <v>0</v>
      </c>
      <c r="X368" s="26">
        <f t="shared" si="66"/>
        <v>0</v>
      </c>
      <c r="Y368" s="26">
        <f t="shared" si="70"/>
        <v>0</v>
      </c>
      <c r="Z368" s="33" t="s">
        <v>15</v>
      </c>
      <c r="AA368" s="36" t="s">
        <v>16</v>
      </c>
      <c r="AB368" s="35">
        <f t="shared" si="67"/>
        <v>1</v>
      </c>
      <c r="AC368" s="35">
        <f t="shared" si="71"/>
        <v>24347</v>
      </c>
      <c r="AD368" s="181">
        <v>1.8</v>
      </c>
      <c r="AE368" s="181">
        <v>1.8</v>
      </c>
      <c r="AF368" s="101" t="str">
        <f t="shared" si="68"/>
        <v/>
      </c>
      <c r="AG368" s="190">
        <v>0</v>
      </c>
      <c r="AH368" s="69">
        <f t="shared" si="69"/>
        <v>1</v>
      </c>
    </row>
    <row r="369" spans="1:34" s="69" customFormat="1" ht="33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/>
      <c r="I369" s="82">
        <v>7585016.1699999999</v>
      </c>
      <c r="J369" s="94" t="s">
        <v>15</v>
      </c>
      <c r="K369" s="73"/>
      <c r="L369" s="45">
        <v>1</v>
      </c>
      <c r="M369" s="45">
        <v>680030.26000000013</v>
      </c>
      <c r="N369" s="45">
        <v>6222860.5299999993</v>
      </c>
      <c r="O369" s="98"/>
      <c r="P369" s="18" t="s">
        <v>1401</v>
      </c>
      <c r="Q369" s="19" t="s">
        <v>989</v>
      </c>
      <c r="R369" s="20" t="s">
        <v>14</v>
      </c>
      <c r="S369" s="21">
        <v>1</v>
      </c>
      <c r="T369" s="21"/>
      <c r="U369" s="21">
        <f>SUMIFS(AC:AC,AD:AD,AD369)</f>
        <v>7585016.1699999999</v>
      </c>
      <c r="V369" s="21">
        <f t="shared" ref="V369:W369" si="72">IF(X369=0,0,1)</f>
        <v>1</v>
      </c>
      <c r="W369" s="21">
        <f t="shared" si="72"/>
        <v>1</v>
      </c>
      <c r="X369" s="21">
        <f>SUMIFS(X:X,AE:AE,AD369)</f>
        <v>111734.40000000014</v>
      </c>
      <c r="Y369" s="21">
        <f>SUMIFS(Y:Y,AE:AE,AD369)</f>
        <v>6334594.9299999997</v>
      </c>
      <c r="Z369" s="22" t="s">
        <v>15</v>
      </c>
      <c r="AA369" s="43" t="s">
        <v>16</v>
      </c>
      <c r="AB369" s="35">
        <f t="shared" si="67"/>
        <v>1</v>
      </c>
      <c r="AC369" s="44"/>
      <c r="AD369" s="184">
        <v>1.9</v>
      </c>
      <c r="AE369" s="184"/>
      <c r="AF369" s="101" t="str">
        <f t="shared" si="68"/>
        <v/>
      </c>
      <c r="AG369" s="190">
        <v>1</v>
      </c>
      <c r="AH369" s="69">
        <f t="shared" si="69"/>
        <v>1</v>
      </c>
    </row>
    <row r="370" spans="1:34" s="69" customFormat="1" ht="39" x14ac:dyDescent="0.3">
      <c r="A370" s="55" t="s">
        <v>990</v>
      </c>
      <c r="B370" s="53" t="s">
        <v>991</v>
      </c>
      <c r="C370" s="54" t="s">
        <v>30</v>
      </c>
      <c r="D370" s="75">
        <v>1088</v>
      </c>
      <c r="E370" s="75">
        <v>975</v>
      </c>
      <c r="F370" s="75"/>
      <c r="G370" s="75"/>
      <c r="H370" s="75">
        <v>247.2</v>
      </c>
      <c r="I370" s="75">
        <v>241020</v>
      </c>
      <c r="J370" s="91" t="s">
        <v>992</v>
      </c>
      <c r="K370" s="73"/>
      <c r="L370" s="46">
        <v>565</v>
      </c>
      <c r="M370" s="46">
        <v>50676</v>
      </c>
      <c r="N370" s="46">
        <v>139668</v>
      </c>
      <c r="O370" s="98"/>
      <c r="P370" s="23" t="s">
        <v>1421</v>
      </c>
      <c r="Q370" s="24" t="s">
        <v>991</v>
      </c>
      <c r="R370" s="25" t="s">
        <v>30</v>
      </c>
      <c r="S370" s="26">
        <v>1088</v>
      </c>
      <c r="T370" s="26">
        <v>975</v>
      </c>
      <c r="U370" s="26">
        <v>247.2</v>
      </c>
      <c r="V370" s="128">
        <f t="shared" ref="V370:V376" si="73">AG370-L370</f>
        <v>0</v>
      </c>
      <c r="W370" s="26">
        <f t="shared" si="63"/>
        <v>565</v>
      </c>
      <c r="X370" s="26">
        <f t="shared" ref="X370:X376" si="74">Y370-N370</f>
        <v>0</v>
      </c>
      <c r="Y370" s="26">
        <f t="shared" ref="Y370:Y376" si="75">ROUND(U370*W370,2)</f>
        <v>139668</v>
      </c>
      <c r="Z370" s="27" t="s">
        <v>15</v>
      </c>
      <c r="AA370" s="36" t="s">
        <v>16</v>
      </c>
      <c r="AB370" s="35">
        <f t="shared" si="67"/>
        <v>975</v>
      </c>
      <c r="AC370" s="35">
        <f t="shared" ref="AC370:AC376" si="76">ROUND(U370*AB370,2)</f>
        <v>241020</v>
      </c>
      <c r="AD370" s="181">
        <v>1.9</v>
      </c>
      <c r="AE370" s="181">
        <v>1.9</v>
      </c>
      <c r="AF370" s="101" t="str">
        <f t="shared" si="68"/>
        <v/>
      </c>
      <c r="AG370" s="191">
        <f>360+205</f>
        <v>565</v>
      </c>
      <c r="AH370" s="69">
        <f t="shared" si="69"/>
        <v>975</v>
      </c>
    </row>
    <row r="371" spans="1:34" s="69" customFormat="1" ht="39" x14ac:dyDescent="0.3">
      <c r="A371" s="55" t="s">
        <v>993</v>
      </c>
      <c r="B371" s="53" t="s">
        <v>994</v>
      </c>
      <c r="C371" s="54" t="s">
        <v>30</v>
      </c>
      <c r="D371" s="75">
        <v>1088</v>
      </c>
      <c r="E371" s="75">
        <v>975</v>
      </c>
      <c r="F371" s="75"/>
      <c r="G371" s="75"/>
      <c r="H371" s="75">
        <v>236.9</v>
      </c>
      <c r="I371" s="75">
        <v>230977.5</v>
      </c>
      <c r="J371" s="91" t="s">
        <v>995</v>
      </c>
      <c r="K371" s="73"/>
      <c r="L371" s="46">
        <v>565</v>
      </c>
      <c r="M371" s="46">
        <v>48564.5</v>
      </c>
      <c r="N371" s="46">
        <v>133848.5</v>
      </c>
      <c r="O371" s="98"/>
      <c r="P371" s="23" t="s">
        <v>1426</v>
      </c>
      <c r="Q371" s="24" t="s">
        <v>994</v>
      </c>
      <c r="R371" s="25" t="s">
        <v>30</v>
      </c>
      <c r="S371" s="26">
        <v>1088</v>
      </c>
      <c r="T371" s="26">
        <v>975</v>
      </c>
      <c r="U371" s="26">
        <v>236.9</v>
      </c>
      <c r="V371" s="128">
        <f t="shared" si="73"/>
        <v>0</v>
      </c>
      <c r="W371" s="26">
        <f t="shared" ref="W371:W376" si="77">V371+L371</f>
        <v>565</v>
      </c>
      <c r="X371" s="26">
        <f>Y371-N371</f>
        <v>0</v>
      </c>
      <c r="Y371" s="26">
        <f t="shared" si="75"/>
        <v>133848.5</v>
      </c>
      <c r="Z371" s="27" t="s">
        <v>15</v>
      </c>
      <c r="AA371" s="36" t="s">
        <v>16</v>
      </c>
      <c r="AB371" s="35">
        <f t="shared" si="67"/>
        <v>975</v>
      </c>
      <c r="AC371" s="35">
        <f t="shared" si="76"/>
        <v>230977.5</v>
      </c>
      <c r="AD371" s="181">
        <v>1.9</v>
      </c>
      <c r="AE371" s="181">
        <v>1.9</v>
      </c>
      <c r="AF371" s="101" t="str">
        <f t="shared" si="68"/>
        <v/>
      </c>
      <c r="AG371" s="191">
        <f>AG370</f>
        <v>565</v>
      </c>
      <c r="AH371" s="69">
        <f t="shared" si="69"/>
        <v>975</v>
      </c>
    </row>
    <row r="372" spans="1:34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252.35</v>
      </c>
      <c r="I372" s="75">
        <v>2206548.4</v>
      </c>
      <c r="J372" s="91" t="s">
        <v>999</v>
      </c>
      <c r="K372" s="73"/>
      <c r="L372" s="46">
        <v>7744</v>
      </c>
      <c r="M372" s="46">
        <v>0</v>
      </c>
      <c r="N372" s="46">
        <v>1954198.4</v>
      </c>
      <c r="O372" s="98"/>
      <c r="P372" s="23" t="s">
        <v>1402</v>
      </c>
      <c r="Q372" s="24" t="s">
        <v>997</v>
      </c>
      <c r="R372" s="25" t="s">
        <v>998</v>
      </c>
      <c r="S372" s="26">
        <v>6984</v>
      </c>
      <c r="T372" s="26">
        <v>8744</v>
      </c>
      <c r="U372" s="26">
        <v>252.35</v>
      </c>
      <c r="V372" s="26">
        <f t="shared" si="73"/>
        <v>0</v>
      </c>
      <c r="W372" s="26">
        <f t="shared" si="77"/>
        <v>7744</v>
      </c>
      <c r="X372" s="26">
        <f t="shared" si="74"/>
        <v>0</v>
      </c>
      <c r="Y372" s="26">
        <f t="shared" si="75"/>
        <v>1954198.4</v>
      </c>
      <c r="Z372" s="27" t="s">
        <v>15</v>
      </c>
      <c r="AA372" s="36" t="s">
        <v>16</v>
      </c>
      <c r="AB372" s="35">
        <f t="shared" si="67"/>
        <v>8744</v>
      </c>
      <c r="AC372" s="35">
        <f t="shared" si="76"/>
        <v>2206548.4</v>
      </c>
      <c r="AD372" s="181">
        <v>1.9</v>
      </c>
      <c r="AE372" s="181">
        <v>1.9</v>
      </c>
      <c r="AF372" s="101" t="str">
        <f t="shared" si="68"/>
        <v/>
      </c>
      <c r="AG372" s="190">
        <v>7744</v>
      </c>
      <c r="AH372" s="69">
        <f t="shared" si="69"/>
        <v>8744</v>
      </c>
    </row>
    <row r="373" spans="1:34" s="69" customFormat="1" ht="58.5" x14ac:dyDescent="0.3">
      <c r="A373" s="55" t="s">
        <v>1000</v>
      </c>
      <c r="B373" s="53" t="s">
        <v>1001</v>
      </c>
      <c r="C373" s="54" t="s">
        <v>14</v>
      </c>
      <c r="D373" s="75">
        <v>1</v>
      </c>
      <c r="E373" s="75"/>
      <c r="F373" s="75"/>
      <c r="G373" s="75"/>
      <c r="H373" s="75">
        <v>350000</v>
      </c>
      <c r="I373" s="75">
        <v>350000</v>
      </c>
      <c r="J373" s="91" t="s">
        <v>1002</v>
      </c>
      <c r="K373" s="73"/>
      <c r="L373" s="46">
        <v>1</v>
      </c>
      <c r="M373" s="46">
        <v>0</v>
      </c>
      <c r="N373" s="46">
        <v>157500</v>
      </c>
      <c r="O373" s="98"/>
      <c r="P373" s="23" t="s">
        <v>1373</v>
      </c>
      <c r="Q373" s="24" t="s">
        <v>1001</v>
      </c>
      <c r="R373" s="25" t="s">
        <v>14</v>
      </c>
      <c r="S373" s="26">
        <v>1</v>
      </c>
      <c r="T373" s="26"/>
      <c r="U373" s="26">
        <v>350000</v>
      </c>
      <c r="V373" s="26">
        <f>IF(X373=0,0,1)</f>
        <v>0</v>
      </c>
      <c r="W373" s="26">
        <f>IF(Y373=0,0,1)</f>
        <v>1</v>
      </c>
      <c r="X373" s="26">
        <f t="shared" si="74"/>
        <v>0</v>
      </c>
      <c r="Y373" s="26">
        <v>157500</v>
      </c>
      <c r="Z373" s="123">
        <f>Y373/I373</f>
        <v>0.45</v>
      </c>
      <c r="AA373" s="36" t="s">
        <v>16</v>
      </c>
      <c r="AB373" s="35">
        <f t="shared" si="67"/>
        <v>1</v>
      </c>
      <c r="AC373" s="35">
        <f t="shared" si="76"/>
        <v>350000</v>
      </c>
      <c r="AD373" s="181">
        <v>1.9</v>
      </c>
      <c r="AE373" s="181">
        <v>1.9</v>
      </c>
      <c r="AF373" s="101" t="str">
        <f t="shared" si="68"/>
        <v/>
      </c>
      <c r="AG373" s="190">
        <v>1</v>
      </c>
      <c r="AH373" s="69">
        <f t="shared" si="69"/>
        <v>1</v>
      </c>
    </row>
    <row r="374" spans="1:34" s="69" customFormat="1" ht="39" x14ac:dyDescent="0.3">
      <c r="A374" s="55" t="s">
        <v>1003</v>
      </c>
      <c r="B374" s="53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931.12</v>
      </c>
      <c r="I374" s="75">
        <v>2309177.6</v>
      </c>
      <c r="J374" s="91" t="s">
        <v>1005</v>
      </c>
      <c r="K374" s="73"/>
      <c r="L374" s="46">
        <v>1708</v>
      </c>
      <c r="M374" s="46">
        <v>37244.800000000047</v>
      </c>
      <c r="N374" s="46">
        <v>1590352.96</v>
      </c>
      <c r="O374" s="98"/>
      <c r="P374" s="23" t="s">
        <v>1393</v>
      </c>
      <c r="Q374" s="24" t="s">
        <v>1004</v>
      </c>
      <c r="R374" s="25" t="s">
        <v>97</v>
      </c>
      <c r="S374" s="26">
        <v>1</v>
      </c>
      <c r="T374" s="26">
        <v>2480</v>
      </c>
      <c r="U374" s="26">
        <v>931.12</v>
      </c>
      <c r="V374" s="128">
        <f t="shared" si="73"/>
        <v>120</v>
      </c>
      <c r="W374" s="26">
        <f t="shared" si="77"/>
        <v>1828</v>
      </c>
      <c r="X374" s="26">
        <f t="shared" si="74"/>
        <v>111734.40000000014</v>
      </c>
      <c r="Y374" s="26">
        <f t="shared" si="75"/>
        <v>1702087.36</v>
      </c>
      <c r="Z374" s="27" t="s">
        <v>15</v>
      </c>
      <c r="AA374" s="36" t="s">
        <v>16</v>
      </c>
      <c r="AB374" s="35">
        <f t="shared" si="67"/>
        <v>2480</v>
      </c>
      <c r="AC374" s="35">
        <f t="shared" si="76"/>
        <v>2309177.6</v>
      </c>
      <c r="AD374" s="181">
        <v>1.9</v>
      </c>
      <c r="AE374" s="181">
        <v>1.9</v>
      </c>
      <c r="AF374" s="101" t="str">
        <f t="shared" si="68"/>
        <v/>
      </c>
      <c r="AG374" s="191">
        <f>1500+8*3*7+8*5+8*15</f>
        <v>1828</v>
      </c>
      <c r="AH374" s="69">
        <f t="shared" si="69"/>
        <v>2480</v>
      </c>
    </row>
    <row r="375" spans="1:34" s="69" customFormat="1" ht="33" x14ac:dyDescent="0.3">
      <c r="A375" s="130" t="s">
        <v>1006</v>
      </c>
      <c r="B375" s="131" t="s">
        <v>678</v>
      </c>
      <c r="C375" s="132" t="s">
        <v>23</v>
      </c>
      <c r="D375" s="133">
        <v>1</v>
      </c>
      <c r="E375" s="133">
        <v>91</v>
      </c>
      <c r="F375" s="133">
        <v>291</v>
      </c>
      <c r="G375" s="133"/>
      <c r="H375" s="75">
        <v>3386.57</v>
      </c>
      <c r="I375" s="75">
        <v>985491.87</v>
      </c>
      <c r="J375" s="91" t="s">
        <v>679</v>
      </c>
      <c r="K375" s="73"/>
      <c r="L375" s="46">
        <v>291</v>
      </c>
      <c r="M375" s="46">
        <v>0</v>
      </c>
      <c r="N375" s="46">
        <v>985491.87</v>
      </c>
      <c r="O375" s="98"/>
      <c r="P375" s="23" t="s">
        <v>1403</v>
      </c>
      <c r="Q375" s="24" t="s">
        <v>678</v>
      </c>
      <c r="R375" s="25" t="s">
        <v>23</v>
      </c>
      <c r="S375" s="26">
        <v>1</v>
      </c>
      <c r="T375" s="26">
        <v>291</v>
      </c>
      <c r="U375" s="26">
        <v>3386.57</v>
      </c>
      <c r="V375" s="127">
        <f t="shared" si="73"/>
        <v>0</v>
      </c>
      <c r="W375" s="127">
        <f t="shared" si="77"/>
        <v>291</v>
      </c>
      <c r="X375" s="127">
        <f t="shared" si="74"/>
        <v>0</v>
      </c>
      <c r="Y375" s="127">
        <f t="shared" si="75"/>
        <v>985491.87</v>
      </c>
      <c r="Z375" s="27" t="s">
        <v>15</v>
      </c>
      <c r="AA375" s="36" t="s">
        <v>16</v>
      </c>
      <c r="AB375" s="35">
        <f t="shared" si="67"/>
        <v>291</v>
      </c>
      <c r="AC375" s="35">
        <f t="shared" si="76"/>
        <v>985491.87</v>
      </c>
      <c r="AD375" s="181">
        <v>1.9</v>
      </c>
      <c r="AE375" s="181">
        <v>1.9</v>
      </c>
      <c r="AF375" s="101" t="str">
        <f t="shared" si="68"/>
        <v/>
      </c>
      <c r="AG375" s="190">
        <v>291</v>
      </c>
      <c r="AH375" s="69">
        <f t="shared" si="69"/>
        <v>291</v>
      </c>
    </row>
    <row r="376" spans="1:34" s="69" customFormat="1" ht="58.5" x14ac:dyDescent="0.3">
      <c r="A376" s="66" t="s">
        <v>1340</v>
      </c>
      <c r="B376" s="57" t="s">
        <v>1341</v>
      </c>
      <c r="C376" s="58" t="s">
        <v>30</v>
      </c>
      <c r="D376" s="77"/>
      <c r="E376" s="59">
        <v>130</v>
      </c>
      <c r="F376" s="77"/>
      <c r="G376" s="77"/>
      <c r="H376" s="77">
        <v>9706.16</v>
      </c>
      <c r="I376" s="59">
        <v>1261800.8</v>
      </c>
      <c r="J376" s="92"/>
      <c r="K376" s="73"/>
      <c r="L376" s="46">
        <v>130</v>
      </c>
      <c r="M376" s="46">
        <v>543544.96000000008</v>
      </c>
      <c r="N376" s="46">
        <v>1261800.8</v>
      </c>
      <c r="O376" s="98"/>
      <c r="P376" s="23" t="s">
        <v>1427</v>
      </c>
      <c r="Q376" s="24" t="s">
        <v>1500</v>
      </c>
      <c r="R376" s="25" t="s">
        <v>30</v>
      </c>
      <c r="S376" s="26">
        <v>0</v>
      </c>
      <c r="T376" s="26">
        <v>130</v>
      </c>
      <c r="U376" s="26">
        <v>9706.16</v>
      </c>
      <c r="V376" s="127">
        <f t="shared" si="73"/>
        <v>0</v>
      </c>
      <c r="W376" s="127">
        <f t="shared" si="77"/>
        <v>130</v>
      </c>
      <c r="X376" s="127">
        <f t="shared" si="74"/>
        <v>0</v>
      </c>
      <c r="Y376" s="127">
        <f t="shared" si="75"/>
        <v>1261800.8</v>
      </c>
      <c r="Z376" s="27"/>
      <c r="AA376" s="36" t="s">
        <v>16</v>
      </c>
      <c r="AB376" s="35">
        <f t="shared" si="67"/>
        <v>130</v>
      </c>
      <c r="AC376" s="35">
        <f t="shared" si="76"/>
        <v>1261800.8</v>
      </c>
      <c r="AD376" s="181">
        <v>1.9</v>
      </c>
      <c r="AE376" s="181">
        <v>1.9</v>
      </c>
      <c r="AF376" s="101" t="str">
        <f t="shared" si="68"/>
        <v/>
      </c>
      <c r="AG376" s="191">
        <f>74+56</f>
        <v>130</v>
      </c>
      <c r="AH376" s="69">
        <f t="shared" si="69"/>
        <v>130</v>
      </c>
    </row>
    <row r="377" spans="1:34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/>
      <c r="I377" s="88">
        <v>27450638.109999999</v>
      </c>
      <c r="J377" s="95" t="s">
        <v>15</v>
      </c>
      <c r="K377" s="73"/>
      <c r="L377" s="42">
        <v>1</v>
      </c>
      <c r="M377" s="42">
        <v>3737881.12</v>
      </c>
      <c r="N377" s="42">
        <v>18341566.260000002</v>
      </c>
      <c r="O377" s="98"/>
      <c r="P377" s="13" t="s">
        <v>1404</v>
      </c>
      <c r="Q377" s="14" t="s">
        <v>1008</v>
      </c>
      <c r="R377" s="15" t="s">
        <v>14</v>
      </c>
      <c r="S377" s="16">
        <v>1</v>
      </c>
      <c r="T377" s="16"/>
      <c r="U377" s="16">
        <f>SUMIFS(AC:AC,AD:AD,AD377)</f>
        <v>27450638.110000003</v>
      </c>
      <c r="V377" s="16">
        <f t="shared" ref="V377:W377" si="78">IF(X377=0,0,1)</f>
        <v>1</v>
      </c>
      <c r="W377" s="16">
        <f t="shared" si="78"/>
        <v>1</v>
      </c>
      <c r="X377" s="16">
        <f>SUMIFS(X:X,AE:AE,AD377)</f>
        <v>3551263.3600000003</v>
      </c>
      <c r="Y377" s="16">
        <f>SUMIFS(Y:Y,AE:AE,AD377)</f>
        <v>21892829.620000005</v>
      </c>
      <c r="Z377" s="17" t="s">
        <v>15</v>
      </c>
      <c r="AA377" s="40" t="s">
        <v>16</v>
      </c>
      <c r="AB377" s="35">
        <f t="shared" si="67"/>
        <v>1</v>
      </c>
      <c r="AC377" s="41"/>
      <c r="AD377" s="183">
        <v>2</v>
      </c>
      <c r="AE377" s="183"/>
      <c r="AF377" s="101" t="str">
        <f t="shared" si="68"/>
        <v/>
      </c>
      <c r="AG377" s="190">
        <v>1</v>
      </c>
      <c r="AH377" s="69">
        <f t="shared" si="69"/>
        <v>1</v>
      </c>
    </row>
    <row r="378" spans="1:34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>
        <v>711302</v>
      </c>
      <c r="I378" s="75">
        <v>711302</v>
      </c>
      <c r="J378" s="91" t="s">
        <v>1011</v>
      </c>
      <c r="K378" s="73"/>
      <c r="L378" s="46">
        <v>0</v>
      </c>
      <c r="M378" s="46">
        <v>0</v>
      </c>
      <c r="N378" s="46">
        <v>0</v>
      </c>
      <c r="O378" s="98"/>
      <c r="P378" s="23" t="s">
        <v>1421</v>
      </c>
      <c r="Q378" s="24" t="s">
        <v>1010</v>
      </c>
      <c r="R378" s="25" t="s">
        <v>14</v>
      </c>
      <c r="S378" s="26">
        <v>1</v>
      </c>
      <c r="T378" s="26"/>
      <c r="U378" s="26">
        <v>711302</v>
      </c>
      <c r="V378" s="26">
        <f t="shared" ref="V378:V388" si="79">AG378-L378</f>
        <v>0</v>
      </c>
      <c r="W378" s="26">
        <f t="shared" ref="W378:W457" si="80">V378+L378</f>
        <v>0</v>
      </c>
      <c r="X378" s="26">
        <f t="shared" ref="X378:X388" si="81">Y378-N378</f>
        <v>0</v>
      </c>
      <c r="Y378" s="26">
        <f t="shared" ref="Y378:Y388" si="82">ROUND(U378*W378,2)</f>
        <v>0</v>
      </c>
      <c r="Z378" s="33" t="s">
        <v>15</v>
      </c>
      <c r="AA378" s="36" t="s">
        <v>16</v>
      </c>
      <c r="AB378" s="35">
        <f t="shared" si="67"/>
        <v>1</v>
      </c>
      <c r="AC378" s="35">
        <f t="shared" ref="AC378:AC405" si="83">ROUND(U378*AB378,2)</f>
        <v>711302</v>
      </c>
      <c r="AD378" s="181">
        <v>2</v>
      </c>
      <c r="AE378" s="181">
        <v>2</v>
      </c>
      <c r="AF378" s="101" t="str">
        <f t="shared" si="68"/>
        <v/>
      </c>
      <c r="AG378" s="190">
        <v>0</v>
      </c>
      <c r="AH378" s="69">
        <f t="shared" si="69"/>
        <v>1</v>
      </c>
    </row>
    <row r="379" spans="1:34" s="69" customFormat="1" ht="33" customHeight="1" x14ac:dyDescent="0.3">
      <c r="A379" s="55" t="s">
        <v>1012</v>
      </c>
      <c r="B379" s="53" t="s">
        <v>1013</v>
      </c>
      <c r="C379" s="54" t="s">
        <v>1014</v>
      </c>
      <c r="D379" s="75">
        <v>7</v>
      </c>
      <c r="E379" s="75"/>
      <c r="F379" s="75"/>
      <c r="G379" s="75"/>
      <c r="H379" s="75">
        <v>50000</v>
      </c>
      <c r="I379" s="75">
        <v>350000</v>
      </c>
      <c r="J379" s="91" t="s">
        <v>1015</v>
      </c>
      <c r="K379" s="73"/>
      <c r="L379" s="46">
        <v>0</v>
      </c>
      <c r="M379" s="46">
        <v>0</v>
      </c>
      <c r="N379" s="46">
        <v>0</v>
      </c>
      <c r="O379" s="98"/>
      <c r="P379" s="23" t="s">
        <v>1426</v>
      </c>
      <c r="Q379" s="24" t="s">
        <v>1013</v>
      </c>
      <c r="R379" s="25" t="s">
        <v>1014</v>
      </c>
      <c r="S379" s="26">
        <v>7</v>
      </c>
      <c r="T379" s="26"/>
      <c r="U379" s="26">
        <v>50000</v>
      </c>
      <c r="V379" s="26">
        <f t="shared" si="79"/>
        <v>0</v>
      </c>
      <c r="W379" s="26">
        <f t="shared" si="80"/>
        <v>0</v>
      </c>
      <c r="X379" s="26">
        <f t="shared" si="81"/>
        <v>0</v>
      </c>
      <c r="Y379" s="26">
        <f t="shared" si="82"/>
        <v>0</v>
      </c>
      <c r="Z379" s="33" t="s">
        <v>15</v>
      </c>
      <c r="AA379" s="36" t="s">
        <v>16</v>
      </c>
      <c r="AB379" s="35">
        <f t="shared" si="67"/>
        <v>7</v>
      </c>
      <c r="AC379" s="35">
        <f t="shared" si="83"/>
        <v>350000</v>
      </c>
      <c r="AD379" s="181">
        <v>2</v>
      </c>
      <c r="AE379" s="181">
        <v>2</v>
      </c>
      <c r="AF379" s="101" t="str">
        <f t="shared" si="68"/>
        <v/>
      </c>
      <c r="AG379" s="190">
        <v>0</v>
      </c>
      <c r="AH379" s="69">
        <f t="shared" si="69"/>
        <v>7</v>
      </c>
    </row>
    <row r="380" spans="1:34" s="69" customFormat="1" ht="33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133"/>
      <c r="F380" s="133">
        <v>400</v>
      </c>
      <c r="G380" s="170"/>
      <c r="H380" s="75">
        <v>22500</v>
      </c>
      <c r="I380" s="75">
        <v>9000000</v>
      </c>
      <c r="J380" s="91" t="s">
        <v>1018</v>
      </c>
      <c r="K380" s="73"/>
      <c r="L380" s="46">
        <v>400</v>
      </c>
      <c r="M380" s="46">
        <v>0</v>
      </c>
      <c r="N380" s="46">
        <v>9000000</v>
      </c>
      <c r="O380" s="98"/>
      <c r="P380" s="23" t="s">
        <v>1402</v>
      </c>
      <c r="Q380" s="24" t="s">
        <v>1017</v>
      </c>
      <c r="R380" s="25" t="s">
        <v>50</v>
      </c>
      <c r="S380" s="26">
        <v>360</v>
      </c>
      <c r="T380" s="26">
        <v>400</v>
      </c>
      <c r="U380" s="26">
        <v>22500</v>
      </c>
      <c r="V380" s="127">
        <f t="shared" si="79"/>
        <v>0</v>
      </c>
      <c r="W380" s="127">
        <f t="shared" si="80"/>
        <v>400</v>
      </c>
      <c r="X380" s="127">
        <f t="shared" si="81"/>
        <v>0</v>
      </c>
      <c r="Y380" s="127">
        <f t="shared" si="82"/>
        <v>9000000</v>
      </c>
      <c r="Z380" s="27" t="s">
        <v>15</v>
      </c>
      <c r="AA380" s="36" t="s">
        <v>16</v>
      </c>
      <c r="AB380" s="35">
        <f t="shared" si="67"/>
        <v>400</v>
      </c>
      <c r="AC380" s="35">
        <f t="shared" si="83"/>
        <v>9000000</v>
      </c>
      <c r="AD380" s="181">
        <v>2</v>
      </c>
      <c r="AE380" s="181">
        <v>2</v>
      </c>
      <c r="AF380" s="101" t="str">
        <f t="shared" si="68"/>
        <v/>
      </c>
      <c r="AG380" s="190">
        <v>400</v>
      </c>
      <c r="AH380" s="69">
        <f t="shared" si="69"/>
        <v>400</v>
      </c>
    </row>
    <row r="381" spans="1:34" s="69" customFormat="1" ht="78" x14ac:dyDescent="0.3">
      <c r="A381" s="55" t="s">
        <v>1019</v>
      </c>
      <c r="B381" s="53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158"/>
      <c r="H381" s="166">
        <v>806</v>
      </c>
      <c r="I381" s="75">
        <v>2941900</v>
      </c>
      <c r="J381" s="91" t="s">
        <v>1022</v>
      </c>
      <c r="K381" s="73"/>
      <c r="L381" s="46">
        <v>1339</v>
      </c>
      <c r="M381" s="46">
        <v>72540</v>
      </c>
      <c r="N381" s="46">
        <v>1079234</v>
      </c>
      <c r="O381" s="98"/>
      <c r="P381" s="23" t="s">
        <v>1373</v>
      </c>
      <c r="Q381" s="24" t="s">
        <v>1020</v>
      </c>
      <c r="R381" s="25" t="s">
        <v>1021</v>
      </c>
      <c r="S381" s="26">
        <v>730</v>
      </c>
      <c r="T381" s="26">
        <v>3650</v>
      </c>
      <c r="U381" s="26">
        <v>806</v>
      </c>
      <c r="V381" s="102">
        <f t="shared" si="79"/>
        <v>93</v>
      </c>
      <c r="W381" s="26">
        <f t="shared" si="80"/>
        <v>1432</v>
      </c>
      <c r="X381" s="26">
        <f t="shared" si="81"/>
        <v>74958</v>
      </c>
      <c r="Y381" s="26">
        <f t="shared" si="82"/>
        <v>1154192</v>
      </c>
      <c r="Z381" s="27" t="s">
        <v>15</v>
      </c>
      <c r="AA381" s="36" t="s">
        <v>16</v>
      </c>
      <c r="AB381" s="35">
        <f t="shared" si="67"/>
        <v>3650</v>
      </c>
      <c r="AC381" s="35">
        <f t="shared" si="83"/>
        <v>2941900</v>
      </c>
      <c r="AD381" s="181">
        <v>2</v>
      </c>
      <c r="AE381" s="181">
        <v>2</v>
      </c>
      <c r="AF381" s="101" t="str">
        <f t="shared" si="68"/>
        <v/>
      </c>
      <c r="AG381" s="191">
        <f>1156+93+90+93</f>
        <v>1432</v>
      </c>
      <c r="AH381" s="69">
        <f t="shared" si="69"/>
        <v>3650</v>
      </c>
    </row>
    <row r="382" spans="1:34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133">
        <v>4</v>
      </c>
      <c r="F382" s="162">
        <v>5</v>
      </c>
      <c r="G382" s="171"/>
      <c r="H382" s="166">
        <v>50000</v>
      </c>
      <c r="I382" s="75">
        <v>250000</v>
      </c>
      <c r="J382" s="91" t="s">
        <v>1025</v>
      </c>
      <c r="K382" s="73"/>
      <c r="L382" s="46">
        <v>5</v>
      </c>
      <c r="M382" s="46">
        <v>0</v>
      </c>
      <c r="N382" s="46">
        <v>250000</v>
      </c>
      <c r="O382" s="98"/>
      <c r="P382" s="23" t="s">
        <v>1393</v>
      </c>
      <c r="Q382" s="24" t="s">
        <v>1024</v>
      </c>
      <c r="R382" s="25" t="s">
        <v>1014</v>
      </c>
      <c r="S382" s="26">
        <v>2</v>
      </c>
      <c r="T382" s="26">
        <v>5</v>
      </c>
      <c r="U382" s="26">
        <v>50000</v>
      </c>
      <c r="V382" s="127">
        <f t="shared" si="79"/>
        <v>0</v>
      </c>
      <c r="W382" s="127">
        <f t="shared" si="80"/>
        <v>5</v>
      </c>
      <c r="X382" s="127">
        <f t="shared" si="81"/>
        <v>0</v>
      </c>
      <c r="Y382" s="127">
        <f t="shared" si="82"/>
        <v>250000</v>
      </c>
      <c r="Z382" s="27" t="s">
        <v>15</v>
      </c>
      <c r="AA382" s="36" t="s">
        <v>16</v>
      </c>
      <c r="AB382" s="35">
        <f t="shared" si="67"/>
        <v>5</v>
      </c>
      <c r="AC382" s="35">
        <f t="shared" si="83"/>
        <v>250000</v>
      </c>
      <c r="AD382" s="181">
        <v>2</v>
      </c>
      <c r="AE382" s="181">
        <v>2</v>
      </c>
      <c r="AF382" s="101" t="str">
        <f t="shared" si="68"/>
        <v/>
      </c>
      <c r="AG382" s="190">
        <v>5</v>
      </c>
      <c r="AH382" s="69">
        <f t="shared" si="69"/>
        <v>5</v>
      </c>
    </row>
    <row r="383" spans="1:34" s="69" customFormat="1" ht="33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158"/>
      <c r="H383" s="166">
        <v>180000</v>
      </c>
      <c r="I383" s="75">
        <v>4320000</v>
      </c>
      <c r="J383" s="91" t="s">
        <v>1029</v>
      </c>
      <c r="K383" s="73"/>
      <c r="L383" s="46">
        <v>12</v>
      </c>
      <c r="M383" s="46">
        <v>360000</v>
      </c>
      <c r="N383" s="46">
        <v>2160000</v>
      </c>
      <c r="O383" s="98"/>
      <c r="P383" s="23" t="s">
        <v>1403</v>
      </c>
      <c r="Q383" s="24" t="s">
        <v>1027</v>
      </c>
      <c r="R383" s="25" t="s">
        <v>1028</v>
      </c>
      <c r="S383" s="26">
        <v>24</v>
      </c>
      <c r="T383" s="26"/>
      <c r="U383" s="26">
        <v>180000</v>
      </c>
      <c r="V383" s="102">
        <f t="shared" si="79"/>
        <v>1</v>
      </c>
      <c r="W383" s="26">
        <f t="shared" si="80"/>
        <v>13</v>
      </c>
      <c r="X383" s="26">
        <f t="shared" si="81"/>
        <v>180000</v>
      </c>
      <c r="Y383" s="26">
        <f t="shared" si="82"/>
        <v>2340000</v>
      </c>
      <c r="Z383" s="33" t="s">
        <v>15</v>
      </c>
      <c r="AA383" s="36" t="s">
        <v>16</v>
      </c>
      <c r="AB383" s="35">
        <f t="shared" si="67"/>
        <v>24</v>
      </c>
      <c r="AC383" s="35">
        <f t="shared" si="83"/>
        <v>4320000</v>
      </c>
      <c r="AD383" s="181">
        <v>2</v>
      </c>
      <c r="AE383" s="181">
        <v>2</v>
      </c>
      <c r="AF383" s="101" t="str">
        <f t="shared" si="68"/>
        <v/>
      </c>
      <c r="AG383" s="191">
        <f>8+1+1+2+1</f>
        <v>13</v>
      </c>
      <c r="AH383" s="69">
        <f t="shared" si="69"/>
        <v>24</v>
      </c>
    </row>
    <row r="384" spans="1:34" s="69" customFormat="1" ht="49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158"/>
      <c r="H384" s="166">
        <v>205982.81</v>
      </c>
      <c r="I384" s="75">
        <v>205982.81</v>
      </c>
      <c r="J384" s="91" t="s">
        <v>1032</v>
      </c>
      <c r="K384" s="73"/>
      <c r="L384" s="46">
        <v>0</v>
      </c>
      <c r="M384" s="46">
        <v>0</v>
      </c>
      <c r="N384" s="46">
        <v>0</v>
      </c>
      <c r="O384" s="98"/>
      <c r="P384" s="23" t="s">
        <v>1427</v>
      </c>
      <c r="Q384" s="24" t="s">
        <v>1031</v>
      </c>
      <c r="R384" s="25" t="s">
        <v>14</v>
      </c>
      <c r="S384" s="26">
        <v>1</v>
      </c>
      <c r="T384" s="26"/>
      <c r="U384" s="26">
        <v>205982.81</v>
      </c>
      <c r="V384" s="26">
        <f t="shared" si="79"/>
        <v>0</v>
      </c>
      <c r="W384" s="26">
        <f t="shared" si="80"/>
        <v>0</v>
      </c>
      <c r="X384" s="26">
        <f t="shared" si="81"/>
        <v>0</v>
      </c>
      <c r="Y384" s="26">
        <f t="shared" si="82"/>
        <v>0</v>
      </c>
      <c r="Z384" s="33" t="s">
        <v>15</v>
      </c>
      <c r="AA384" s="36" t="s">
        <v>16</v>
      </c>
      <c r="AB384" s="35">
        <f t="shared" si="67"/>
        <v>1</v>
      </c>
      <c r="AC384" s="35">
        <f t="shared" si="83"/>
        <v>205982.81</v>
      </c>
      <c r="AD384" s="181">
        <v>2</v>
      </c>
      <c r="AE384" s="181">
        <v>2</v>
      </c>
      <c r="AF384" s="101" t="str">
        <f t="shared" si="68"/>
        <v/>
      </c>
      <c r="AG384" s="190">
        <v>0</v>
      </c>
      <c r="AH384" s="69">
        <f t="shared" si="69"/>
        <v>1</v>
      </c>
    </row>
    <row r="385" spans="1:34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133"/>
      <c r="F385" s="162"/>
      <c r="G385" s="171"/>
      <c r="H385" s="166">
        <v>2425000</v>
      </c>
      <c r="I385" s="75">
        <v>2425000</v>
      </c>
      <c r="J385" s="91" t="s">
        <v>1035</v>
      </c>
      <c r="K385" s="73"/>
      <c r="L385" s="46">
        <v>1</v>
      </c>
      <c r="M385" s="46">
        <v>0</v>
      </c>
      <c r="N385" s="46">
        <v>2425000</v>
      </c>
      <c r="O385" s="98"/>
      <c r="P385" s="23" t="s">
        <v>1428</v>
      </c>
      <c r="Q385" s="24" t="s">
        <v>1034</v>
      </c>
      <c r="R385" s="25" t="s">
        <v>14</v>
      </c>
      <c r="S385" s="26">
        <v>1</v>
      </c>
      <c r="T385" s="26"/>
      <c r="U385" s="26">
        <v>2425000</v>
      </c>
      <c r="V385" s="127">
        <f t="shared" si="79"/>
        <v>0</v>
      </c>
      <c r="W385" s="127">
        <f t="shared" si="80"/>
        <v>1</v>
      </c>
      <c r="X385" s="127">
        <f t="shared" si="81"/>
        <v>0</v>
      </c>
      <c r="Y385" s="127">
        <f t="shared" si="82"/>
        <v>2425000</v>
      </c>
      <c r="Z385" s="129" t="s">
        <v>1499</v>
      </c>
      <c r="AA385" s="36" t="s">
        <v>16</v>
      </c>
      <c r="AB385" s="35">
        <f t="shared" si="67"/>
        <v>1</v>
      </c>
      <c r="AC385" s="35">
        <f t="shared" si="83"/>
        <v>2425000</v>
      </c>
      <c r="AD385" s="181">
        <v>2</v>
      </c>
      <c r="AE385" s="181">
        <v>2</v>
      </c>
      <c r="AF385" s="101" t="str">
        <f t="shared" si="68"/>
        <v/>
      </c>
      <c r="AG385" s="190">
        <v>1</v>
      </c>
      <c r="AH385" s="69">
        <f t="shared" si="69"/>
        <v>1</v>
      </c>
    </row>
    <row r="386" spans="1:34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158"/>
      <c r="H386" s="166">
        <v>350000</v>
      </c>
      <c r="I386" s="75">
        <v>350000</v>
      </c>
      <c r="J386" s="91" t="s">
        <v>1038</v>
      </c>
      <c r="K386" s="73"/>
      <c r="L386" s="46">
        <v>0.5</v>
      </c>
      <c r="M386" s="46">
        <v>175000</v>
      </c>
      <c r="N386" s="46">
        <v>175000</v>
      </c>
      <c r="O386" s="98"/>
      <c r="P386" s="23" t="s">
        <v>1387</v>
      </c>
      <c r="Q386" s="24" t="s">
        <v>1037</v>
      </c>
      <c r="R386" s="25" t="s">
        <v>14</v>
      </c>
      <c r="S386" s="26">
        <v>1</v>
      </c>
      <c r="T386" s="26"/>
      <c r="U386" s="26">
        <v>350000</v>
      </c>
      <c r="V386" s="128">
        <f t="shared" si="79"/>
        <v>0</v>
      </c>
      <c r="W386" s="26">
        <f t="shared" si="80"/>
        <v>0.5</v>
      </c>
      <c r="X386" s="26">
        <f t="shared" si="81"/>
        <v>0</v>
      </c>
      <c r="Y386" s="26">
        <f t="shared" si="82"/>
        <v>175000</v>
      </c>
      <c r="Z386" s="33" t="s">
        <v>15</v>
      </c>
      <c r="AA386" s="36" t="s">
        <v>16</v>
      </c>
      <c r="AB386" s="35">
        <f t="shared" si="67"/>
        <v>1</v>
      </c>
      <c r="AC386" s="35">
        <f t="shared" si="83"/>
        <v>350000</v>
      </c>
      <c r="AD386" s="181">
        <v>2</v>
      </c>
      <c r="AE386" s="181">
        <v>2</v>
      </c>
      <c r="AF386" s="101" t="str">
        <f t="shared" si="68"/>
        <v/>
      </c>
      <c r="AG386" s="191">
        <f>0.5</f>
        <v>0.5</v>
      </c>
      <c r="AH386" s="69">
        <f t="shared" si="69"/>
        <v>1</v>
      </c>
    </row>
    <row r="387" spans="1:34" ht="33" x14ac:dyDescent="0.3">
      <c r="A387" s="67" t="s">
        <v>1342</v>
      </c>
      <c r="B387" s="64" t="s">
        <v>1343</v>
      </c>
      <c r="C387" s="61" t="s">
        <v>50</v>
      </c>
      <c r="D387" s="78"/>
      <c r="E387" s="78"/>
      <c r="F387" s="163">
        <v>320</v>
      </c>
      <c r="G387" s="62"/>
      <c r="H387" s="167">
        <v>10869.24</v>
      </c>
      <c r="I387" s="62">
        <v>3478156.8</v>
      </c>
      <c r="J387" s="93"/>
      <c r="L387" s="46">
        <v>288</v>
      </c>
      <c r="M387" s="46">
        <v>3130341.12</v>
      </c>
      <c r="N387" s="46">
        <v>3130341.12</v>
      </c>
      <c r="O387" s="98"/>
      <c r="P387" s="23" t="s">
        <v>1405</v>
      </c>
      <c r="Q387" s="24" t="s">
        <v>1343</v>
      </c>
      <c r="R387" s="25" t="s">
        <v>50</v>
      </c>
      <c r="S387" s="26">
        <v>0</v>
      </c>
      <c r="T387" s="26">
        <v>320</v>
      </c>
      <c r="U387" s="26">
        <v>10869.24</v>
      </c>
      <c r="V387" s="128">
        <f t="shared" si="79"/>
        <v>0</v>
      </c>
      <c r="W387" s="26">
        <f t="shared" si="80"/>
        <v>288</v>
      </c>
      <c r="X387" s="26">
        <f t="shared" si="81"/>
        <v>0</v>
      </c>
      <c r="Y387" s="26">
        <f t="shared" si="82"/>
        <v>3130341.12</v>
      </c>
      <c r="Z387" s="27"/>
      <c r="AA387" s="36" t="s">
        <v>16</v>
      </c>
      <c r="AB387" s="35">
        <f t="shared" si="67"/>
        <v>320</v>
      </c>
      <c r="AC387" s="35">
        <f t="shared" si="83"/>
        <v>3478156.8</v>
      </c>
      <c r="AD387" s="181">
        <v>2</v>
      </c>
      <c r="AE387" s="181">
        <v>2</v>
      </c>
      <c r="AF387" s="101" t="str">
        <f t="shared" si="68"/>
        <v/>
      </c>
      <c r="AG387" s="191">
        <f>320*0.9</f>
        <v>288</v>
      </c>
      <c r="AH387" s="69">
        <f t="shared" si="69"/>
        <v>320</v>
      </c>
    </row>
    <row r="388" spans="1:34" ht="33" x14ac:dyDescent="0.3">
      <c r="A388" s="144" t="s">
        <v>1344</v>
      </c>
      <c r="B388" s="145" t="s">
        <v>1345</v>
      </c>
      <c r="C388" s="146" t="s">
        <v>325</v>
      </c>
      <c r="D388" s="147"/>
      <c r="E388" s="147"/>
      <c r="F388" s="164">
        <v>2</v>
      </c>
      <c r="G388" s="62"/>
      <c r="H388" s="168">
        <v>60995.57</v>
      </c>
      <c r="I388" s="148">
        <v>121991.14</v>
      </c>
      <c r="J388" s="149"/>
      <c r="L388" s="46">
        <v>2</v>
      </c>
      <c r="M388" s="46">
        <v>0</v>
      </c>
      <c r="N388" s="46">
        <v>121991.14</v>
      </c>
      <c r="O388" s="98"/>
      <c r="P388" s="23" t="s">
        <v>1406</v>
      </c>
      <c r="Q388" s="24" t="s">
        <v>1345</v>
      </c>
      <c r="R388" s="25" t="s">
        <v>325</v>
      </c>
      <c r="S388" s="26">
        <v>0</v>
      </c>
      <c r="T388" s="26">
        <v>2</v>
      </c>
      <c r="U388" s="26">
        <v>60995.57</v>
      </c>
      <c r="V388" s="127">
        <f t="shared" si="79"/>
        <v>0</v>
      </c>
      <c r="W388" s="127">
        <f t="shared" si="80"/>
        <v>2</v>
      </c>
      <c r="X388" s="127">
        <f t="shared" si="81"/>
        <v>0</v>
      </c>
      <c r="Y388" s="127">
        <f t="shared" si="82"/>
        <v>121991.14</v>
      </c>
      <c r="Z388" s="27"/>
      <c r="AA388" s="36" t="s">
        <v>16</v>
      </c>
      <c r="AB388" s="35">
        <f t="shared" si="67"/>
        <v>2</v>
      </c>
      <c r="AC388" s="35">
        <f t="shared" si="83"/>
        <v>121991.14</v>
      </c>
      <c r="AD388" s="181">
        <v>2</v>
      </c>
      <c r="AE388" s="181">
        <v>2</v>
      </c>
      <c r="AF388" s="101" t="str">
        <f t="shared" si="68"/>
        <v/>
      </c>
      <c r="AG388" s="190">
        <v>2</v>
      </c>
      <c r="AH388" s="69">
        <f t="shared" si="69"/>
        <v>2</v>
      </c>
    </row>
    <row r="389" spans="1:34" ht="39" x14ac:dyDescent="0.3">
      <c r="A389" s="155" t="s">
        <v>3072</v>
      </c>
      <c r="B389" s="156" t="s">
        <v>3073</v>
      </c>
      <c r="C389" s="157" t="s">
        <v>97</v>
      </c>
      <c r="D389" s="158"/>
      <c r="E389" s="158"/>
      <c r="F389" s="165"/>
      <c r="G389" s="159">
        <v>220</v>
      </c>
      <c r="H389" s="169">
        <v>1159.82</v>
      </c>
      <c r="I389" s="159">
        <v>255160.4</v>
      </c>
      <c r="J389" s="172"/>
      <c r="L389" s="46">
        <v>0</v>
      </c>
      <c r="M389" s="46">
        <v>0</v>
      </c>
      <c r="N389" s="46">
        <v>0</v>
      </c>
      <c r="O389" s="98"/>
      <c r="P389" s="23" t="s">
        <v>1414</v>
      </c>
      <c r="Q389" s="24" t="s">
        <v>3073</v>
      </c>
      <c r="R389" s="25" t="s">
        <v>97</v>
      </c>
      <c r="S389" s="26"/>
      <c r="T389" s="26"/>
      <c r="U389" s="169">
        <v>1159.82</v>
      </c>
      <c r="V389" s="128">
        <f t="shared" ref="V389:V405" si="84">AG389-L389</f>
        <v>220</v>
      </c>
      <c r="W389" s="26">
        <f>V389+L389</f>
        <v>220</v>
      </c>
      <c r="X389" s="26">
        <f t="shared" ref="X389:X405" si="85">Y389-N389</f>
        <v>255160.4</v>
      </c>
      <c r="Y389" s="26">
        <f t="shared" ref="Y389:Y405" si="86">ROUND(U389*W389,2)</f>
        <v>255160.4</v>
      </c>
      <c r="Z389" s="27"/>
      <c r="AA389" s="36"/>
      <c r="AB389" s="143">
        <v>220</v>
      </c>
      <c r="AC389" s="35">
        <f t="shared" si="83"/>
        <v>255160.4</v>
      </c>
      <c r="AD389" s="181">
        <v>2</v>
      </c>
      <c r="AE389" s="181">
        <v>2</v>
      </c>
      <c r="AF389" s="101"/>
      <c r="AG389" s="190">
        <f>G389</f>
        <v>220</v>
      </c>
      <c r="AH389" s="69">
        <f t="shared" si="69"/>
        <v>220</v>
      </c>
    </row>
    <row r="390" spans="1:34" ht="39" x14ac:dyDescent="0.3">
      <c r="A390" s="155" t="s">
        <v>3074</v>
      </c>
      <c r="B390" s="156" t="s">
        <v>3075</v>
      </c>
      <c r="C390" s="157" t="s">
        <v>97</v>
      </c>
      <c r="D390" s="158"/>
      <c r="E390" s="158"/>
      <c r="F390" s="165"/>
      <c r="G390" s="159">
        <v>264.5</v>
      </c>
      <c r="H390" s="169">
        <v>689.89</v>
      </c>
      <c r="I390" s="159">
        <v>182475.91</v>
      </c>
      <c r="J390" s="172"/>
      <c r="L390" s="46">
        <v>0</v>
      </c>
      <c r="M390" s="46">
        <v>0</v>
      </c>
      <c r="N390" s="46">
        <v>0</v>
      </c>
      <c r="O390" s="98"/>
      <c r="P390" s="23" t="s">
        <v>1429</v>
      </c>
      <c r="Q390" s="24" t="s">
        <v>3075</v>
      </c>
      <c r="R390" s="25" t="s">
        <v>97</v>
      </c>
      <c r="S390" s="26"/>
      <c r="T390" s="26"/>
      <c r="U390" s="169">
        <v>689.89</v>
      </c>
      <c r="V390" s="128">
        <f t="shared" si="84"/>
        <v>264.5</v>
      </c>
      <c r="W390" s="26">
        <f t="shared" ref="W390:W405" si="87">V390+L390</f>
        <v>264.5</v>
      </c>
      <c r="X390" s="26">
        <f t="shared" si="85"/>
        <v>182475.91</v>
      </c>
      <c r="Y390" s="26">
        <f t="shared" si="86"/>
        <v>182475.91</v>
      </c>
      <c r="Z390" s="27"/>
      <c r="AA390" s="36"/>
      <c r="AB390" s="143">
        <v>264.5</v>
      </c>
      <c r="AC390" s="35">
        <f t="shared" si="83"/>
        <v>182475.91</v>
      </c>
      <c r="AD390" s="181">
        <v>2</v>
      </c>
      <c r="AE390" s="181">
        <v>2</v>
      </c>
      <c r="AF390" s="101"/>
      <c r="AG390" s="190">
        <f t="shared" ref="AG390:AG405" si="88">G390</f>
        <v>264.5</v>
      </c>
      <c r="AH390" s="69">
        <f t="shared" si="69"/>
        <v>264.5</v>
      </c>
    </row>
    <row r="391" spans="1:34" ht="58.5" x14ac:dyDescent="0.3">
      <c r="A391" s="155" t="s">
        <v>3076</v>
      </c>
      <c r="B391" s="156" t="s">
        <v>3077</v>
      </c>
      <c r="C391" s="157" t="s">
        <v>97</v>
      </c>
      <c r="D391" s="158"/>
      <c r="E391" s="158"/>
      <c r="F391" s="165"/>
      <c r="G391" s="159">
        <v>218.5</v>
      </c>
      <c r="H391" s="169">
        <v>899.86</v>
      </c>
      <c r="I391" s="159">
        <v>196619.41</v>
      </c>
      <c r="J391" s="172"/>
      <c r="L391" s="46">
        <v>0</v>
      </c>
      <c r="M391" s="46">
        <v>0</v>
      </c>
      <c r="N391" s="46">
        <v>0</v>
      </c>
      <c r="O391" s="98"/>
      <c r="P391" s="23" t="s">
        <v>1430</v>
      </c>
      <c r="Q391" s="24" t="s">
        <v>3077</v>
      </c>
      <c r="R391" s="25" t="s">
        <v>97</v>
      </c>
      <c r="S391" s="26"/>
      <c r="T391" s="26"/>
      <c r="U391" s="169">
        <v>899.86</v>
      </c>
      <c r="V391" s="128">
        <f t="shared" si="84"/>
        <v>218.5</v>
      </c>
      <c r="W391" s="26">
        <f t="shared" si="87"/>
        <v>218.5</v>
      </c>
      <c r="X391" s="26">
        <f t="shared" si="85"/>
        <v>196619.41</v>
      </c>
      <c r="Y391" s="26">
        <f t="shared" si="86"/>
        <v>196619.41</v>
      </c>
      <c r="Z391" s="27"/>
      <c r="AA391" s="36"/>
      <c r="AB391" s="143">
        <v>218.5</v>
      </c>
      <c r="AC391" s="35">
        <f t="shared" si="83"/>
        <v>196619.41</v>
      </c>
      <c r="AD391" s="181">
        <v>2</v>
      </c>
      <c r="AE391" s="181">
        <v>2</v>
      </c>
      <c r="AF391" s="101"/>
      <c r="AG391" s="190">
        <f t="shared" si="88"/>
        <v>218.5</v>
      </c>
      <c r="AH391" s="69">
        <f t="shared" si="69"/>
        <v>218.5</v>
      </c>
    </row>
    <row r="392" spans="1:34" ht="39" x14ac:dyDescent="0.3">
      <c r="A392" s="155" t="s">
        <v>3078</v>
      </c>
      <c r="B392" s="156" t="s">
        <v>3079</v>
      </c>
      <c r="C392" s="157" t="s">
        <v>97</v>
      </c>
      <c r="D392" s="158"/>
      <c r="E392" s="158"/>
      <c r="F392" s="165"/>
      <c r="G392" s="159">
        <v>87.5</v>
      </c>
      <c r="H392" s="169">
        <v>1499.76</v>
      </c>
      <c r="I392" s="159">
        <v>131229</v>
      </c>
      <c r="J392" s="172"/>
      <c r="L392" s="46">
        <v>0</v>
      </c>
      <c r="M392" s="46">
        <v>0</v>
      </c>
      <c r="N392" s="46">
        <v>0</v>
      </c>
      <c r="O392" s="98"/>
      <c r="P392" s="23" t="s">
        <v>1431</v>
      </c>
      <c r="Q392" s="24" t="s">
        <v>3079</v>
      </c>
      <c r="R392" s="25" t="s">
        <v>97</v>
      </c>
      <c r="S392" s="26"/>
      <c r="T392" s="26"/>
      <c r="U392" s="169">
        <v>1499.76</v>
      </c>
      <c r="V392" s="128">
        <f t="shared" si="84"/>
        <v>87.5</v>
      </c>
      <c r="W392" s="26">
        <f t="shared" si="87"/>
        <v>87.5</v>
      </c>
      <c r="X392" s="26">
        <f t="shared" si="85"/>
        <v>131229</v>
      </c>
      <c r="Y392" s="26">
        <f t="shared" si="86"/>
        <v>131229</v>
      </c>
      <c r="Z392" s="27"/>
      <c r="AA392" s="36"/>
      <c r="AB392" s="143">
        <v>87.5</v>
      </c>
      <c r="AC392" s="35">
        <f t="shared" si="83"/>
        <v>131229</v>
      </c>
      <c r="AD392" s="181">
        <v>2</v>
      </c>
      <c r="AE392" s="181">
        <v>2</v>
      </c>
      <c r="AF392" s="101"/>
      <c r="AG392" s="190">
        <f t="shared" si="88"/>
        <v>87.5</v>
      </c>
      <c r="AH392" s="69">
        <f t="shared" si="69"/>
        <v>87.5</v>
      </c>
    </row>
    <row r="393" spans="1:34" x14ac:dyDescent="0.3">
      <c r="A393" s="155" t="s">
        <v>3080</v>
      </c>
      <c r="B393" s="156" t="s">
        <v>3081</v>
      </c>
      <c r="C393" s="157" t="s">
        <v>97</v>
      </c>
      <c r="D393" s="158"/>
      <c r="E393" s="158"/>
      <c r="F393" s="159"/>
      <c r="G393" s="159">
        <v>144.5</v>
      </c>
      <c r="H393" s="158">
        <v>1419.78</v>
      </c>
      <c r="I393" s="159">
        <v>205158.21</v>
      </c>
      <c r="J393" s="172"/>
      <c r="L393" s="46">
        <v>0</v>
      </c>
      <c r="M393" s="46">
        <v>0</v>
      </c>
      <c r="N393" s="46">
        <v>0</v>
      </c>
      <c r="O393" s="98"/>
      <c r="P393" s="23" t="s">
        <v>1395</v>
      </c>
      <c r="Q393" s="24" t="s">
        <v>3081</v>
      </c>
      <c r="R393" s="25" t="s">
        <v>97</v>
      </c>
      <c r="S393" s="26"/>
      <c r="T393" s="26"/>
      <c r="U393" s="158">
        <v>1419.78</v>
      </c>
      <c r="V393" s="128">
        <f t="shared" si="84"/>
        <v>144.5</v>
      </c>
      <c r="W393" s="26">
        <f t="shared" si="87"/>
        <v>144.5</v>
      </c>
      <c r="X393" s="26">
        <f t="shared" si="85"/>
        <v>205158.21</v>
      </c>
      <c r="Y393" s="26">
        <f t="shared" si="86"/>
        <v>205158.21</v>
      </c>
      <c r="Z393" s="27"/>
      <c r="AA393" s="36"/>
      <c r="AB393" s="143">
        <v>144.5</v>
      </c>
      <c r="AC393" s="35">
        <f t="shared" si="83"/>
        <v>205158.21</v>
      </c>
      <c r="AD393" s="181">
        <v>2</v>
      </c>
      <c r="AE393" s="181">
        <v>2</v>
      </c>
      <c r="AF393" s="101"/>
      <c r="AG393" s="190">
        <f t="shared" si="88"/>
        <v>144.5</v>
      </c>
      <c r="AH393" s="69">
        <f t="shared" si="69"/>
        <v>144.5</v>
      </c>
    </row>
    <row r="394" spans="1:34" x14ac:dyDescent="0.3">
      <c r="A394" s="155" t="s">
        <v>3082</v>
      </c>
      <c r="B394" s="156" t="s">
        <v>3083</v>
      </c>
      <c r="C394" s="157" t="s">
        <v>97</v>
      </c>
      <c r="D394" s="158"/>
      <c r="E394" s="158"/>
      <c r="F394" s="159"/>
      <c r="G394" s="159">
        <v>27</v>
      </c>
      <c r="H394" s="158">
        <v>2999.53</v>
      </c>
      <c r="I394" s="159">
        <v>80987.31</v>
      </c>
      <c r="J394" s="172"/>
      <c r="L394" s="46">
        <v>0</v>
      </c>
      <c r="M394" s="46">
        <v>0</v>
      </c>
      <c r="N394" s="46">
        <v>0</v>
      </c>
      <c r="O394" s="98"/>
      <c r="P394" s="23" t="s">
        <v>1432</v>
      </c>
      <c r="Q394" s="24" t="s">
        <v>3083</v>
      </c>
      <c r="R394" s="25" t="s">
        <v>97</v>
      </c>
      <c r="S394" s="26"/>
      <c r="T394" s="26"/>
      <c r="U394" s="158">
        <v>2999.53</v>
      </c>
      <c r="V394" s="128">
        <f t="shared" si="84"/>
        <v>27</v>
      </c>
      <c r="W394" s="26">
        <f t="shared" si="87"/>
        <v>27</v>
      </c>
      <c r="X394" s="26">
        <f t="shared" si="85"/>
        <v>80987.31</v>
      </c>
      <c r="Y394" s="26">
        <f t="shared" si="86"/>
        <v>80987.31</v>
      </c>
      <c r="Z394" s="27"/>
      <c r="AA394" s="36"/>
      <c r="AB394" s="143">
        <v>27</v>
      </c>
      <c r="AC394" s="35">
        <f t="shared" si="83"/>
        <v>80987.31</v>
      </c>
      <c r="AD394" s="181">
        <v>2</v>
      </c>
      <c r="AE394" s="181">
        <v>2</v>
      </c>
      <c r="AF394" s="101"/>
      <c r="AG394" s="190">
        <f t="shared" si="88"/>
        <v>27</v>
      </c>
      <c r="AH394" s="69">
        <f t="shared" si="69"/>
        <v>27</v>
      </c>
    </row>
    <row r="395" spans="1:34" x14ac:dyDescent="0.3">
      <c r="A395" s="155" t="s">
        <v>3084</v>
      </c>
      <c r="B395" s="156" t="s">
        <v>3085</v>
      </c>
      <c r="C395" s="157" t="s">
        <v>97</v>
      </c>
      <c r="D395" s="158"/>
      <c r="E395" s="158"/>
      <c r="F395" s="159"/>
      <c r="G395" s="159">
        <v>28</v>
      </c>
      <c r="H395" s="158">
        <v>1364.78</v>
      </c>
      <c r="I395" s="159">
        <v>38213.839999999997</v>
      </c>
      <c r="J395" s="172"/>
      <c r="L395" s="46">
        <v>0</v>
      </c>
      <c r="M395" s="46">
        <v>0</v>
      </c>
      <c r="N395" s="46">
        <v>0</v>
      </c>
      <c r="O395" s="98"/>
      <c r="P395" s="23" t="s">
        <v>1433</v>
      </c>
      <c r="Q395" s="24" t="s">
        <v>3085</v>
      </c>
      <c r="R395" s="25" t="s">
        <v>97</v>
      </c>
      <c r="S395" s="26"/>
      <c r="T395" s="26"/>
      <c r="U395" s="158">
        <v>1364.78</v>
      </c>
      <c r="V395" s="128">
        <f t="shared" si="84"/>
        <v>28</v>
      </c>
      <c r="W395" s="26">
        <f t="shared" si="87"/>
        <v>28</v>
      </c>
      <c r="X395" s="26">
        <f t="shared" si="85"/>
        <v>38213.839999999997</v>
      </c>
      <c r="Y395" s="26">
        <f t="shared" si="86"/>
        <v>38213.839999999997</v>
      </c>
      <c r="Z395" s="27"/>
      <c r="AA395" s="36"/>
      <c r="AB395" s="143">
        <v>28</v>
      </c>
      <c r="AC395" s="35">
        <f t="shared" si="83"/>
        <v>38213.839999999997</v>
      </c>
      <c r="AD395" s="181">
        <v>2</v>
      </c>
      <c r="AE395" s="181">
        <v>2</v>
      </c>
      <c r="AF395" s="101"/>
      <c r="AG395" s="190">
        <f t="shared" si="88"/>
        <v>28</v>
      </c>
      <c r="AH395" s="69">
        <f t="shared" ref="AH395:AH458" si="89">IF(G395=0,IF(F395=0,IF(E395=0,D395,E395),F395),G395)</f>
        <v>28</v>
      </c>
    </row>
    <row r="396" spans="1:34" x14ac:dyDescent="0.3">
      <c r="A396" s="155" t="s">
        <v>3086</v>
      </c>
      <c r="B396" s="156" t="s">
        <v>3087</v>
      </c>
      <c r="C396" s="157" t="s">
        <v>97</v>
      </c>
      <c r="D396" s="158"/>
      <c r="E396" s="158"/>
      <c r="F396" s="159"/>
      <c r="G396" s="159">
        <v>156</v>
      </c>
      <c r="H396" s="158">
        <v>771.88</v>
      </c>
      <c r="I396" s="159">
        <v>120413.28</v>
      </c>
      <c r="J396" s="172"/>
      <c r="L396" s="46">
        <v>0</v>
      </c>
      <c r="M396" s="46">
        <v>0</v>
      </c>
      <c r="N396" s="46">
        <v>0</v>
      </c>
      <c r="O396" s="98"/>
      <c r="P396" s="23" t="s">
        <v>1382</v>
      </c>
      <c r="Q396" s="24" t="s">
        <v>3087</v>
      </c>
      <c r="R396" s="25" t="s">
        <v>97</v>
      </c>
      <c r="S396" s="26"/>
      <c r="T396" s="26"/>
      <c r="U396" s="158">
        <v>771.88</v>
      </c>
      <c r="V396" s="128">
        <f t="shared" si="84"/>
        <v>156</v>
      </c>
      <c r="W396" s="26">
        <f t="shared" si="87"/>
        <v>156</v>
      </c>
      <c r="X396" s="26">
        <f t="shared" si="85"/>
        <v>120413.28</v>
      </c>
      <c r="Y396" s="26">
        <f t="shared" si="86"/>
        <v>120413.28</v>
      </c>
      <c r="Z396" s="27"/>
      <c r="AA396" s="36"/>
      <c r="AB396" s="143">
        <v>156</v>
      </c>
      <c r="AC396" s="35">
        <f t="shared" si="83"/>
        <v>120413.28</v>
      </c>
      <c r="AD396" s="181">
        <v>2</v>
      </c>
      <c r="AE396" s="181">
        <v>2</v>
      </c>
      <c r="AF396" s="101"/>
      <c r="AG396" s="190">
        <f t="shared" si="88"/>
        <v>156</v>
      </c>
      <c r="AH396" s="69">
        <f t="shared" si="89"/>
        <v>156</v>
      </c>
    </row>
    <row r="397" spans="1:34" ht="39" x14ac:dyDescent="0.3">
      <c r="A397" s="155" t="s">
        <v>3088</v>
      </c>
      <c r="B397" s="156" t="s">
        <v>3089</v>
      </c>
      <c r="C397" s="157" t="s">
        <v>97</v>
      </c>
      <c r="D397" s="158"/>
      <c r="E397" s="158"/>
      <c r="F397" s="159"/>
      <c r="G397" s="159">
        <v>1917</v>
      </c>
      <c r="H397" s="158">
        <v>400.94</v>
      </c>
      <c r="I397" s="159">
        <v>768601.98</v>
      </c>
      <c r="J397" s="172"/>
      <c r="L397" s="46">
        <v>0</v>
      </c>
      <c r="M397" s="46">
        <v>0</v>
      </c>
      <c r="N397" s="46">
        <v>0</v>
      </c>
      <c r="O397" s="98"/>
      <c r="P397" s="23" t="s">
        <v>1434</v>
      </c>
      <c r="Q397" s="24" t="s">
        <v>3089</v>
      </c>
      <c r="R397" s="25" t="s">
        <v>97</v>
      </c>
      <c r="S397" s="26"/>
      <c r="T397" s="26"/>
      <c r="U397" s="158">
        <v>400.94</v>
      </c>
      <c r="V397" s="128">
        <f t="shared" si="84"/>
        <v>1917</v>
      </c>
      <c r="W397" s="26">
        <f t="shared" si="87"/>
        <v>1917</v>
      </c>
      <c r="X397" s="26">
        <f t="shared" si="85"/>
        <v>768601.98</v>
      </c>
      <c r="Y397" s="26">
        <f t="shared" si="86"/>
        <v>768601.98</v>
      </c>
      <c r="Z397" s="27"/>
      <c r="AA397" s="36"/>
      <c r="AB397" s="143">
        <v>1917</v>
      </c>
      <c r="AC397" s="35">
        <f t="shared" si="83"/>
        <v>768601.98</v>
      </c>
      <c r="AD397" s="181">
        <v>2</v>
      </c>
      <c r="AE397" s="181">
        <v>2</v>
      </c>
      <c r="AF397" s="101"/>
      <c r="AG397" s="190">
        <f t="shared" si="88"/>
        <v>1917</v>
      </c>
      <c r="AH397" s="69">
        <f t="shared" si="89"/>
        <v>1917</v>
      </c>
    </row>
    <row r="398" spans="1:34" x14ac:dyDescent="0.3">
      <c r="A398" s="155" t="s">
        <v>3090</v>
      </c>
      <c r="B398" s="156" t="s">
        <v>3091</v>
      </c>
      <c r="C398" s="157" t="s">
        <v>97</v>
      </c>
      <c r="D398" s="158"/>
      <c r="E398" s="158"/>
      <c r="F398" s="159"/>
      <c r="G398" s="159">
        <v>380</v>
      </c>
      <c r="H398" s="158">
        <v>280.95999999999998</v>
      </c>
      <c r="I398" s="159">
        <v>106764.8</v>
      </c>
      <c r="J398" s="172"/>
      <c r="L398" s="46">
        <v>0</v>
      </c>
      <c r="M398" s="46">
        <v>0</v>
      </c>
      <c r="N398" s="46">
        <v>0</v>
      </c>
      <c r="O398" s="98"/>
      <c r="P398" s="23" t="s">
        <v>1388</v>
      </c>
      <c r="Q398" s="24" t="s">
        <v>3091</v>
      </c>
      <c r="R398" s="25" t="s">
        <v>97</v>
      </c>
      <c r="S398" s="26"/>
      <c r="T398" s="26"/>
      <c r="U398" s="158">
        <v>280.95999999999998</v>
      </c>
      <c r="V398" s="128">
        <f t="shared" si="84"/>
        <v>380</v>
      </c>
      <c r="W398" s="26">
        <f t="shared" si="87"/>
        <v>380</v>
      </c>
      <c r="X398" s="26">
        <f t="shared" si="85"/>
        <v>106764.8</v>
      </c>
      <c r="Y398" s="26">
        <f t="shared" si="86"/>
        <v>106764.8</v>
      </c>
      <c r="Z398" s="27"/>
      <c r="AA398" s="36"/>
      <c r="AB398" s="143">
        <v>380</v>
      </c>
      <c r="AC398" s="35">
        <f t="shared" si="83"/>
        <v>106764.8</v>
      </c>
      <c r="AD398" s="181">
        <v>2</v>
      </c>
      <c r="AE398" s="181">
        <v>2</v>
      </c>
      <c r="AF398" s="101"/>
      <c r="AG398" s="190">
        <f t="shared" si="88"/>
        <v>380</v>
      </c>
      <c r="AH398" s="69">
        <f t="shared" si="89"/>
        <v>380</v>
      </c>
    </row>
    <row r="399" spans="1:34" ht="39" x14ac:dyDescent="0.3">
      <c r="A399" s="155" t="s">
        <v>3092</v>
      </c>
      <c r="B399" s="156" t="s">
        <v>3093</v>
      </c>
      <c r="C399" s="157" t="s">
        <v>97</v>
      </c>
      <c r="D399" s="158"/>
      <c r="E399" s="158"/>
      <c r="F399" s="159"/>
      <c r="G399" s="159">
        <v>660.5</v>
      </c>
      <c r="H399" s="158">
        <v>800.87</v>
      </c>
      <c r="I399" s="159">
        <v>528974.64</v>
      </c>
      <c r="J399" s="172"/>
      <c r="L399" s="46">
        <v>0</v>
      </c>
      <c r="M399" s="46">
        <v>0</v>
      </c>
      <c r="N399" s="46">
        <v>0</v>
      </c>
      <c r="O399" s="98"/>
      <c r="P399" s="23" t="s">
        <v>1389</v>
      </c>
      <c r="Q399" s="24" t="s">
        <v>3093</v>
      </c>
      <c r="R399" s="25" t="s">
        <v>97</v>
      </c>
      <c r="S399" s="26"/>
      <c r="T399" s="26"/>
      <c r="U399" s="158">
        <v>800.87</v>
      </c>
      <c r="V399" s="128">
        <f t="shared" si="84"/>
        <v>660.5</v>
      </c>
      <c r="W399" s="26">
        <f t="shared" si="87"/>
        <v>660.5</v>
      </c>
      <c r="X399" s="26">
        <f t="shared" si="85"/>
        <v>528974.64</v>
      </c>
      <c r="Y399" s="26">
        <f t="shared" si="86"/>
        <v>528974.64</v>
      </c>
      <c r="Z399" s="27"/>
      <c r="AA399" s="36"/>
      <c r="AB399" s="143">
        <v>660.5</v>
      </c>
      <c r="AC399" s="35">
        <f t="shared" si="83"/>
        <v>528974.64</v>
      </c>
      <c r="AD399" s="181">
        <v>2</v>
      </c>
      <c r="AE399" s="181">
        <v>2</v>
      </c>
      <c r="AF399" s="101"/>
      <c r="AG399" s="190">
        <f t="shared" si="88"/>
        <v>660.5</v>
      </c>
      <c r="AH399" s="69">
        <f t="shared" si="89"/>
        <v>660.5</v>
      </c>
    </row>
    <row r="400" spans="1:34" x14ac:dyDescent="0.3">
      <c r="A400" s="155" t="s">
        <v>3094</v>
      </c>
      <c r="B400" s="156" t="s">
        <v>3095</v>
      </c>
      <c r="C400" s="157" t="s">
        <v>97</v>
      </c>
      <c r="D400" s="158"/>
      <c r="E400" s="158"/>
      <c r="F400" s="159"/>
      <c r="G400" s="159">
        <v>288.5</v>
      </c>
      <c r="H400" s="158">
        <v>561.91</v>
      </c>
      <c r="I400" s="159">
        <v>162111.04000000001</v>
      </c>
      <c r="J400" s="172"/>
      <c r="L400" s="46">
        <v>0</v>
      </c>
      <c r="M400" s="46">
        <v>0</v>
      </c>
      <c r="N400" s="46">
        <v>0</v>
      </c>
      <c r="O400" s="98"/>
      <c r="P400" s="23" t="s">
        <v>1390</v>
      </c>
      <c r="Q400" s="24" t="s">
        <v>3095</v>
      </c>
      <c r="R400" s="25" t="s">
        <v>97</v>
      </c>
      <c r="S400" s="26"/>
      <c r="T400" s="26"/>
      <c r="U400" s="158">
        <v>561.91</v>
      </c>
      <c r="V400" s="128">
        <f t="shared" si="84"/>
        <v>288.5</v>
      </c>
      <c r="W400" s="26">
        <f t="shared" si="87"/>
        <v>288.5</v>
      </c>
      <c r="X400" s="26">
        <f t="shared" si="85"/>
        <v>162111.04000000001</v>
      </c>
      <c r="Y400" s="26">
        <f t="shared" si="86"/>
        <v>162111.04000000001</v>
      </c>
      <c r="Z400" s="27"/>
      <c r="AA400" s="36"/>
      <c r="AB400" s="143">
        <v>288.5</v>
      </c>
      <c r="AC400" s="35">
        <f t="shared" si="83"/>
        <v>162111.04000000001</v>
      </c>
      <c r="AD400" s="181">
        <v>2</v>
      </c>
      <c r="AE400" s="181">
        <v>2</v>
      </c>
      <c r="AF400" s="101"/>
      <c r="AG400" s="190">
        <f t="shared" si="88"/>
        <v>288.5</v>
      </c>
      <c r="AH400" s="69">
        <f t="shared" si="89"/>
        <v>288.5</v>
      </c>
    </row>
    <row r="401" spans="1:37" ht="39" x14ac:dyDescent="0.3">
      <c r="A401" s="155" t="s">
        <v>3096</v>
      </c>
      <c r="B401" s="156" t="s">
        <v>3097</v>
      </c>
      <c r="C401" s="157" t="s">
        <v>97</v>
      </c>
      <c r="D401" s="158"/>
      <c r="E401" s="158"/>
      <c r="F401" s="159"/>
      <c r="G401" s="159">
        <v>438</v>
      </c>
      <c r="H401" s="158">
        <v>519.91999999999996</v>
      </c>
      <c r="I401" s="159">
        <v>227724.96</v>
      </c>
      <c r="J401" s="172"/>
      <c r="L401" s="46">
        <v>0</v>
      </c>
      <c r="M401" s="46">
        <v>0</v>
      </c>
      <c r="N401" s="46">
        <v>0</v>
      </c>
      <c r="O401" s="98"/>
      <c r="P401" s="23" t="s">
        <v>1391</v>
      </c>
      <c r="Q401" s="24" t="s">
        <v>3097</v>
      </c>
      <c r="R401" s="25" t="s">
        <v>97</v>
      </c>
      <c r="S401" s="26"/>
      <c r="T401" s="26"/>
      <c r="U401" s="158">
        <v>519.91999999999996</v>
      </c>
      <c r="V401" s="128">
        <f t="shared" si="84"/>
        <v>438</v>
      </c>
      <c r="W401" s="26">
        <f t="shared" si="87"/>
        <v>438</v>
      </c>
      <c r="X401" s="26">
        <f t="shared" si="85"/>
        <v>227724.96</v>
      </c>
      <c r="Y401" s="26">
        <f t="shared" si="86"/>
        <v>227724.96</v>
      </c>
      <c r="Z401" s="27"/>
      <c r="AA401" s="36"/>
      <c r="AB401" s="143">
        <v>438</v>
      </c>
      <c r="AC401" s="35">
        <f t="shared" si="83"/>
        <v>227724.96</v>
      </c>
      <c r="AD401" s="181">
        <v>2</v>
      </c>
      <c r="AE401" s="181">
        <v>2</v>
      </c>
      <c r="AF401" s="101"/>
      <c r="AG401" s="190">
        <f t="shared" si="88"/>
        <v>438</v>
      </c>
      <c r="AH401" s="69">
        <f t="shared" si="89"/>
        <v>438</v>
      </c>
    </row>
    <row r="402" spans="1:37" x14ac:dyDescent="0.3">
      <c r="A402" s="155" t="s">
        <v>3098</v>
      </c>
      <c r="B402" s="156" t="s">
        <v>3099</v>
      </c>
      <c r="C402" s="157" t="s">
        <v>97</v>
      </c>
      <c r="D402" s="158"/>
      <c r="E402" s="158"/>
      <c r="F402" s="159"/>
      <c r="G402" s="159">
        <v>54</v>
      </c>
      <c r="H402" s="158">
        <v>1579.75</v>
      </c>
      <c r="I402" s="159">
        <v>85306.5</v>
      </c>
      <c r="J402" s="172"/>
      <c r="L402" s="46">
        <v>0</v>
      </c>
      <c r="M402" s="46">
        <v>0</v>
      </c>
      <c r="N402" s="46">
        <v>0</v>
      </c>
      <c r="O402" s="98"/>
      <c r="P402" s="23" t="s">
        <v>1436</v>
      </c>
      <c r="Q402" s="24" t="s">
        <v>3099</v>
      </c>
      <c r="R402" s="25" t="s">
        <v>97</v>
      </c>
      <c r="S402" s="26"/>
      <c r="T402" s="26"/>
      <c r="U402" s="158">
        <v>1579.75</v>
      </c>
      <c r="V402" s="128">
        <f t="shared" si="84"/>
        <v>54</v>
      </c>
      <c r="W402" s="26">
        <f t="shared" si="87"/>
        <v>54</v>
      </c>
      <c r="X402" s="26">
        <f t="shared" si="85"/>
        <v>85306.5</v>
      </c>
      <c r="Y402" s="26">
        <f t="shared" si="86"/>
        <v>85306.5</v>
      </c>
      <c r="Z402" s="27"/>
      <c r="AA402" s="36"/>
      <c r="AB402" s="143">
        <v>54</v>
      </c>
      <c r="AC402" s="35">
        <f t="shared" si="83"/>
        <v>85306.5</v>
      </c>
      <c r="AD402" s="181">
        <v>2</v>
      </c>
      <c r="AE402" s="181">
        <v>2</v>
      </c>
      <c r="AF402" s="101"/>
      <c r="AG402" s="190">
        <f t="shared" si="88"/>
        <v>54</v>
      </c>
      <c r="AH402" s="69">
        <f t="shared" si="89"/>
        <v>54</v>
      </c>
    </row>
    <row r="403" spans="1:37" x14ac:dyDescent="0.3">
      <c r="A403" s="155" t="s">
        <v>3100</v>
      </c>
      <c r="B403" s="156" t="s">
        <v>3101</v>
      </c>
      <c r="C403" s="157" t="s">
        <v>97</v>
      </c>
      <c r="D403" s="158"/>
      <c r="E403" s="158"/>
      <c r="F403" s="159"/>
      <c r="G403" s="159">
        <v>519.5</v>
      </c>
      <c r="H403" s="158">
        <v>209.97</v>
      </c>
      <c r="I403" s="159">
        <v>109079.42</v>
      </c>
      <c r="J403" s="172"/>
      <c r="L403" s="46">
        <v>0</v>
      </c>
      <c r="M403" s="46">
        <v>0</v>
      </c>
      <c r="N403" s="46">
        <v>0</v>
      </c>
      <c r="O403" s="98"/>
      <c r="P403" s="23" t="s">
        <v>1374</v>
      </c>
      <c r="Q403" s="24" t="s">
        <v>3101</v>
      </c>
      <c r="R403" s="25" t="s">
        <v>97</v>
      </c>
      <c r="S403" s="26"/>
      <c r="T403" s="26"/>
      <c r="U403" s="158">
        <v>209.97</v>
      </c>
      <c r="V403" s="128">
        <f t="shared" si="84"/>
        <v>519.5</v>
      </c>
      <c r="W403" s="26">
        <f t="shared" si="87"/>
        <v>519.5</v>
      </c>
      <c r="X403" s="26">
        <f t="shared" si="85"/>
        <v>109079.42</v>
      </c>
      <c r="Y403" s="26">
        <f t="shared" si="86"/>
        <v>109079.42</v>
      </c>
      <c r="Z403" s="27"/>
      <c r="AA403" s="36"/>
      <c r="AB403" s="143">
        <v>519.5</v>
      </c>
      <c r="AC403" s="35">
        <f t="shared" si="83"/>
        <v>109079.42</v>
      </c>
      <c r="AD403" s="181">
        <v>2</v>
      </c>
      <c r="AE403" s="181">
        <v>2</v>
      </c>
      <c r="AF403" s="101"/>
      <c r="AG403" s="190">
        <f t="shared" si="88"/>
        <v>519.5</v>
      </c>
      <c r="AH403" s="69">
        <f t="shared" si="89"/>
        <v>519.5</v>
      </c>
    </row>
    <row r="404" spans="1:37" ht="58.5" x14ac:dyDescent="0.3">
      <c r="A404" s="155" t="s">
        <v>3102</v>
      </c>
      <c r="B404" s="156" t="s">
        <v>3103</v>
      </c>
      <c r="C404" s="157" t="s">
        <v>66</v>
      </c>
      <c r="D404" s="158"/>
      <c r="E404" s="158"/>
      <c r="F404" s="159"/>
      <c r="G404" s="159">
        <v>5</v>
      </c>
      <c r="H404" s="158">
        <v>10798.3</v>
      </c>
      <c r="I404" s="159">
        <v>53991.5</v>
      </c>
      <c r="J404" s="172"/>
      <c r="L404" s="46">
        <v>0</v>
      </c>
      <c r="M404" s="46">
        <v>0</v>
      </c>
      <c r="N404" s="46">
        <v>0</v>
      </c>
      <c r="O404" s="98"/>
      <c r="P404" s="23" t="s">
        <v>1376</v>
      </c>
      <c r="Q404" s="24" t="s">
        <v>3103</v>
      </c>
      <c r="R404" s="25" t="s">
        <v>66</v>
      </c>
      <c r="S404" s="26"/>
      <c r="T404" s="26"/>
      <c r="U404" s="158">
        <v>10798.3</v>
      </c>
      <c r="V404" s="128">
        <f t="shared" si="84"/>
        <v>5</v>
      </c>
      <c r="W404" s="26">
        <f t="shared" si="87"/>
        <v>5</v>
      </c>
      <c r="X404" s="26">
        <f t="shared" si="85"/>
        <v>53991.5</v>
      </c>
      <c r="Y404" s="26">
        <f t="shared" si="86"/>
        <v>53991.5</v>
      </c>
      <c r="Z404" s="27"/>
      <c r="AA404" s="36"/>
      <c r="AB404" s="143">
        <v>5</v>
      </c>
      <c r="AC404" s="35">
        <f t="shared" si="83"/>
        <v>53991.5</v>
      </c>
      <c r="AD404" s="181">
        <v>2</v>
      </c>
      <c r="AE404" s="181">
        <v>2</v>
      </c>
      <c r="AF404" s="101"/>
      <c r="AG404" s="190">
        <f t="shared" si="88"/>
        <v>5</v>
      </c>
      <c r="AH404" s="69">
        <f t="shared" si="89"/>
        <v>5</v>
      </c>
    </row>
    <row r="405" spans="1:37" ht="58.5" x14ac:dyDescent="0.3">
      <c r="A405" s="155" t="s">
        <v>3104</v>
      </c>
      <c r="B405" s="156" t="s">
        <v>3105</v>
      </c>
      <c r="C405" s="157" t="s">
        <v>66</v>
      </c>
      <c r="D405" s="158"/>
      <c r="E405" s="158"/>
      <c r="F405" s="159"/>
      <c r="G405" s="159">
        <v>6</v>
      </c>
      <c r="H405" s="158">
        <v>7248.86</v>
      </c>
      <c r="I405" s="159">
        <v>43493.16</v>
      </c>
      <c r="J405" s="172"/>
      <c r="L405" s="46">
        <v>0</v>
      </c>
      <c r="M405" s="46">
        <v>0</v>
      </c>
      <c r="N405" s="46">
        <v>0</v>
      </c>
      <c r="O405" s="98"/>
      <c r="P405" s="23" t="s">
        <v>1378</v>
      </c>
      <c r="Q405" s="24" t="s">
        <v>3105</v>
      </c>
      <c r="R405" s="25" t="s">
        <v>66</v>
      </c>
      <c r="S405" s="26"/>
      <c r="T405" s="26"/>
      <c r="U405" s="158">
        <v>7248.86</v>
      </c>
      <c r="V405" s="128">
        <f t="shared" si="84"/>
        <v>6</v>
      </c>
      <c r="W405" s="26">
        <f t="shared" si="87"/>
        <v>6</v>
      </c>
      <c r="X405" s="26">
        <f t="shared" si="85"/>
        <v>43493.16</v>
      </c>
      <c r="Y405" s="26">
        <f t="shared" si="86"/>
        <v>43493.16</v>
      </c>
      <c r="Z405" s="27"/>
      <c r="AA405" s="36"/>
      <c r="AB405" s="143">
        <v>6</v>
      </c>
      <c r="AC405" s="35">
        <f t="shared" si="83"/>
        <v>43493.16</v>
      </c>
      <c r="AD405" s="181">
        <v>2</v>
      </c>
      <c r="AE405" s="181">
        <v>2</v>
      </c>
      <c r="AF405" s="101"/>
      <c r="AG405" s="190">
        <f t="shared" si="88"/>
        <v>6</v>
      </c>
      <c r="AH405" s="69">
        <f t="shared" si="89"/>
        <v>6</v>
      </c>
    </row>
    <row r="406" spans="1:37" s="69" customFormat="1" ht="33" customHeight="1" x14ac:dyDescent="0.3">
      <c r="A406" s="150" t="s">
        <v>1039</v>
      </c>
      <c r="B406" s="151" t="s">
        <v>1040</v>
      </c>
      <c r="C406" s="152" t="s">
        <v>14</v>
      </c>
      <c r="D406" s="153">
        <v>1</v>
      </c>
      <c r="E406" s="153"/>
      <c r="F406" s="153"/>
      <c r="G406" s="153"/>
      <c r="H406" s="153"/>
      <c r="I406" s="153">
        <v>3727423.71</v>
      </c>
      <c r="J406" s="154" t="s">
        <v>15</v>
      </c>
      <c r="K406" s="73"/>
      <c r="L406" s="42">
        <v>1</v>
      </c>
      <c r="M406" s="42">
        <v>216000</v>
      </c>
      <c r="N406" s="42">
        <v>1785823.71</v>
      </c>
      <c r="O406" s="98"/>
      <c r="P406" s="13" t="s">
        <v>1407</v>
      </c>
      <c r="Q406" s="14" t="s">
        <v>1040</v>
      </c>
      <c r="R406" s="15" t="s">
        <v>14</v>
      </c>
      <c r="S406" s="16">
        <v>1</v>
      </c>
      <c r="T406" s="16"/>
      <c r="U406" s="16">
        <f>SUMIFS(AC:AC,AD:AD,AD406)</f>
        <v>3727423.7099999995</v>
      </c>
      <c r="V406" s="16">
        <f t="shared" ref="V406:W406" si="90">IF(X406=0,0,1)</f>
        <v>0</v>
      </c>
      <c r="W406" s="16">
        <f t="shared" si="90"/>
        <v>1</v>
      </c>
      <c r="X406" s="16">
        <f>SUMIFS(X:X,AE:AE,AD406)</f>
        <v>0</v>
      </c>
      <c r="Y406" s="16">
        <f>SUMIFS(Y:Y,AE:AE,AD406)</f>
        <v>1785823.71</v>
      </c>
      <c r="Z406" s="17" t="s">
        <v>15</v>
      </c>
      <c r="AA406" s="40" t="s">
        <v>16</v>
      </c>
      <c r="AB406" s="35">
        <f t="shared" si="67"/>
        <v>1</v>
      </c>
      <c r="AC406" s="41"/>
      <c r="AD406" s="183">
        <v>3</v>
      </c>
      <c r="AE406" s="183"/>
      <c r="AF406" s="101" t="str">
        <f t="shared" si="68"/>
        <v/>
      </c>
      <c r="AG406" s="190">
        <v>1</v>
      </c>
      <c r="AH406" s="69">
        <f t="shared" si="89"/>
        <v>1</v>
      </c>
    </row>
    <row r="407" spans="1:37" s="69" customFormat="1" ht="49.5" x14ac:dyDescent="0.3">
      <c r="A407" s="55" t="s">
        <v>1041</v>
      </c>
      <c r="B407" s="138" t="s">
        <v>1042</v>
      </c>
      <c r="C407" s="54" t="s">
        <v>162</v>
      </c>
      <c r="D407" s="75">
        <v>340</v>
      </c>
      <c r="E407" s="75"/>
      <c r="F407" s="75"/>
      <c r="G407" s="75"/>
      <c r="H407" s="75">
        <v>300</v>
      </c>
      <c r="I407" s="75">
        <v>102000</v>
      </c>
      <c r="J407" s="91" t="s">
        <v>1043</v>
      </c>
      <c r="K407" s="73"/>
      <c r="L407" s="46">
        <v>0</v>
      </c>
      <c r="M407" s="46">
        <v>0</v>
      </c>
      <c r="N407" s="46">
        <v>0</v>
      </c>
      <c r="O407" s="98"/>
      <c r="P407" s="23" t="s">
        <v>1421</v>
      </c>
      <c r="Q407" s="24" t="s">
        <v>1042</v>
      </c>
      <c r="R407" s="25" t="s">
        <v>162</v>
      </c>
      <c r="S407" s="26">
        <v>340</v>
      </c>
      <c r="T407" s="26"/>
      <c r="U407" s="26">
        <v>300</v>
      </c>
      <c r="V407" s="26">
        <f t="shared" ref="V407:V445" si="91">AG407-L407</f>
        <v>0</v>
      </c>
      <c r="W407" s="26">
        <f t="shared" si="80"/>
        <v>0</v>
      </c>
      <c r="X407" s="26">
        <f t="shared" ref="X407:X445" si="92">Y407-N407</f>
        <v>0</v>
      </c>
      <c r="Y407" s="26">
        <f t="shared" ref="Y407:Y445" si="93">ROUND(U407*W407,2)</f>
        <v>0</v>
      </c>
      <c r="Z407" s="33" t="s">
        <v>15</v>
      </c>
      <c r="AA407" s="36" t="s">
        <v>16</v>
      </c>
      <c r="AB407" s="35">
        <f t="shared" si="67"/>
        <v>340</v>
      </c>
      <c r="AC407" s="35">
        <f t="shared" ref="AC407:AC445" si="94">ROUND(U407*AB407,2)</f>
        <v>102000</v>
      </c>
      <c r="AD407" s="181">
        <v>3</v>
      </c>
      <c r="AE407" s="181">
        <v>3</v>
      </c>
      <c r="AF407" s="101" t="str">
        <f t="shared" si="68"/>
        <v/>
      </c>
      <c r="AG407" s="190">
        <v>0</v>
      </c>
      <c r="AH407" s="69">
        <f t="shared" si="89"/>
        <v>340</v>
      </c>
      <c r="AK407" s="69">
        <v>0</v>
      </c>
    </row>
    <row r="408" spans="1:37" s="69" customFormat="1" ht="49.5" x14ac:dyDescent="0.3">
      <c r="A408" s="55" t="s">
        <v>1044</v>
      </c>
      <c r="B408" s="138" t="s">
        <v>1045</v>
      </c>
      <c r="C408" s="54" t="s">
        <v>325</v>
      </c>
      <c r="D408" s="75">
        <v>68</v>
      </c>
      <c r="E408" s="75"/>
      <c r="F408" s="75"/>
      <c r="G408" s="75"/>
      <c r="H408" s="75">
        <v>3000</v>
      </c>
      <c r="I408" s="75">
        <v>204000</v>
      </c>
      <c r="J408" s="91" t="s">
        <v>1046</v>
      </c>
      <c r="K408" s="73"/>
      <c r="L408" s="46">
        <v>0</v>
      </c>
      <c r="M408" s="46">
        <v>0</v>
      </c>
      <c r="N408" s="46">
        <v>0</v>
      </c>
      <c r="O408" s="98"/>
      <c r="P408" s="23" t="s">
        <v>1426</v>
      </c>
      <c r="Q408" s="24" t="s">
        <v>1045</v>
      </c>
      <c r="R408" s="25" t="s">
        <v>325</v>
      </c>
      <c r="S408" s="26">
        <v>68</v>
      </c>
      <c r="T408" s="26"/>
      <c r="U408" s="26">
        <v>3000</v>
      </c>
      <c r="V408" s="26">
        <f t="shared" si="91"/>
        <v>0</v>
      </c>
      <c r="W408" s="26">
        <f t="shared" si="80"/>
        <v>0</v>
      </c>
      <c r="X408" s="26">
        <f t="shared" si="92"/>
        <v>0</v>
      </c>
      <c r="Y408" s="26">
        <f t="shared" si="93"/>
        <v>0</v>
      </c>
      <c r="Z408" s="33" t="s">
        <v>15</v>
      </c>
      <c r="AA408" s="36" t="s">
        <v>16</v>
      </c>
      <c r="AB408" s="35">
        <f t="shared" si="67"/>
        <v>68</v>
      </c>
      <c r="AC408" s="35">
        <f t="shared" si="94"/>
        <v>204000</v>
      </c>
      <c r="AD408" s="181">
        <v>3</v>
      </c>
      <c r="AE408" s="181">
        <v>3</v>
      </c>
      <c r="AF408" s="101" t="str">
        <f t="shared" si="68"/>
        <v/>
      </c>
      <c r="AG408" s="190">
        <v>0</v>
      </c>
      <c r="AH408" s="69">
        <f t="shared" si="89"/>
        <v>68</v>
      </c>
      <c r="AK408" s="69">
        <v>0</v>
      </c>
    </row>
    <row r="409" spans="1:37" s="69" customFormat="1" ht="33" x14ac:dyDescent="0.3">
      <c r="A409" s="55" t="s">
        <v>1047</v>
      </c>
      <c r="B409" s="138" t="s">
        <v>1048</v>
      </c>
      <c r="C409" s="54" t="s">
        <v>325</v>
      </c>
      <c r="D409" s="75">
        <v>68</v>
      </c>
      <c r="E409" s="75"/>
      <c r="F409" s="75"/>
      <c r="G409" s="75"/>
      <c r="H409" s="75">
        <v>150</v>
      </c>
      <c r="I409" s="75">
        <v>10200</v>
      </c>
      <c r="J409" s="91" t="s">
        <v>1049</v>
      </c>
      <c r="K409" s="73"/>
      <c r="L409" s="46">
        <v>0</v>
      </c>
      <c r="M409" s="46">
        <v>0</v>
      </c>
      <c r="N409" s="46">
        <v>0</v>
      </c>
      <c r="O409" s="98"/>
      <c r="P409" s="23" t="s">
        <v>1402</v>
      </c>
      <c r="Q409" s="24" t="s">
        <v>1048</v>
      </c>
      <c r="R409" s="25" t="s">
        <v>325</v>
      </c>
      <c r="S409" s="26">
        <v>68</v>
      </c>
      <c r="T409" s="26"/>
      <c r="U409" s="26">
        <v>150</v>
      </c>
      <c r="V409" s="26">
        <f t="shared" si="91"/>
        <v>0</v>
      </c>
      <c r="W409" s="26">
        <f t="shared" si="80"/>
        <v>0</v>
      </c>
      <c r="X409" s="26">
        <f t="shared" si="92"/>
        <v>0</v>
      </c>
      <c r="Y409" s="26">
        <f t="shared" si="93"/>
        <v>0</v>
      </c>
      <c r="Z409" s="33" t="s">
        <v>15</v>
      </c>
      <c r="AA409" s="36" t="s">
        <v>16</v>
      </c>
      <c r="AB409" s="35">
        <f t="shared" si="67"/>
        <v>68</v>
      </c>
      <c r="AC409" s="35">
        <f t="shared" si="94"/>
        <v>10200</v>
      </c>
      <c r="AD409" s="181">
        <v>3</v>
      </c>
      <c r="AE409" s="181">
        <v>3</v>
      </c>
      <c r="AF409" s="101" t="str">
        <f t="shared" si="68"/>
        <v/>
      </c>
      <c r="AG409" s="190">
        <v>0</v>
      </c>
      <c r="AH409" s="69">
        <f t="shared" si="89"/>
        <v>68</v>
      </c>
      <c r="AK409" s="69">
        <v>0</v>
      </c>
    </row>
    <row r="410" spans="1:37" s="69" customFormat="1" ht="49.5" x14ac:dyDescent="0.3">
      <c r="A410" s="55" t="s">
        <v>1050</v>
      </c>
      <c r="B410" s="138" t="s">
        <v>1051</v>
      </c>
      <c r="C410" s="54" t="s">
        <v>1052</v>
      </c>
      <c r="D410" s="75">
        <v>9</v>
      </c>
      <c r="E410" s="75"/>
      <c r="F410" s="75"/>
      <c r="G410" s="75"/>
      <c r="H410" s="75">
        <v>1200</v>
      </c>
      <c r="I410" s="75">
        <v>10800</v>
      </c>
      <c r="J410" s="91" t="s">
        <v>1053</v>
      </c>
      <c r="K410" s="73"/>
      <c r="L410" s="46">
        <v>0</v>
      </c>
      <c r="M410" s="46">
        <v>0</v>
      </c>
      <c r="N410" s="46">
        <v>0</v>
      </c>
      <c r="O410" s="98"/>
      <c r="P410" s="23" t="s">
        <v>1373</v>
      </c>
      <c r="Q410" s="24" t="s">
        <v>1051</v>
      </c>
      <c r="R410" s="25" t="s">
        <v>1052</v>
      </c>
      <c r="S410" s="26">
        <v>9</v>
      </c>
      <c r="T410" s="26"/>
      <c r="U410" s="26">
        <v>1200</v>
      </c>
      <c r="V410" s="26">
        <f t="shared" si="91"/>
        <v>0</v>
      </c>
      <c r="W410" s="26">
        <f t="shared" si="80"/>
        <v>0</v>
      </c>
      <c r="X410" s="26">
        <f t="shared" si="92"/>
        <v>0</v>
      </c>
      <c r="Y410" s="26">
        <f t="shared" si="93"/>
        <v>0</v>
      </c>
      <c r="Z410" s="33" t="s">
        <v>15</v>
      </c>
      <c r="AA410" s="36" t="s">
        <v>16</v>
      </c>
      <c r="AB410" s="35">
        <f t="shared" si="67"/>
        <v>9</v>
      </c>
      <c r="AC410" s="35">
        <f t="shared" si="94"/>
        <v>10800</v>
      </c>
      <c r="AD410" s="181">
        <v>3</v>
      </c>
      <c r="AE410" s="181">
        <v>3</v>
      </c>
      <c r="AF410" s="101" t="str">
        <f t="shared" si="68"/>
        <v/>
      </c>
      <c r="AG410" s="190">
        <v>0</v>
      </c>
      <c r="AH410" s="69">
        <f t="shared" si="89"/>
        <v>9</v>
      </c>
      <c r="AK410" s="69">
        <v>0</v>
      </c>
    </row>
    <row r="411" spans="1:37" s="69" customFormat="1" ht="49.5" x14ac:dyDescent="0.3">
      <c r="A411" s="55" t="s">
        <v>1054</v>
      </c>
      <c r="B411" s="138" t="s">
        <v>1055</v>
      </c>
      <c r="C411" s="54" t="s">
        <v>325</v>
      </c>
      <c r="D411" s="75">
        <v>38</v>
      </c>
      <c r="E411" s="75"/>
      <c r="F411" s="75"/>
      <c r="G411" s="75"/>
      <c r="H411" s="75">
        <v>650</v>
      </c>
      <c r="I411" s="75">
        <v>24700</v>
      </c>
      <c r="J411" s="91" t="s">
        <v>1056</v>
      </c>
      <c r="K411" s="73"/>
      <c r="L411" s="46">
        <v>0</v>
      </c>
      <c r="M411" s="46">
        <v>0</v>
      </c>
      <c r="N411" s="46">
        <v>0</v>
      </c>
      <c r="O411" s="98"/>
      <c r="P411" s="23" t="s">
        <v>1393</v>
      </c>
      <c r="Q411" s="24" t="s">
        <v>1055</v>
      </c>
      <c r="R411" s="25" t="s">
        <v>325</v>
      </c>
      <c r="S411" s="26">
        <v>38</v>
      </c>
      <c r="T411" s="26"/>
      <c r="U411" s="26">
        <v>650</v>
      </c>
      <c r="V411" s="26">
        <f t="shared" si="91"/>
        <v>0</v>
      </c>
      <c r="W411" s="26">
        <f t="shared" si="80"/>
        <v>0</v>
      </c>
      <c r="X411" s="26">
        <f t="shared" si="92"/>
        <v>0</v>
      </c>
      <c r="Y411" s="26">
        <f t="shared" si="93"/>
        <v>0</v>
      </c>
      <c r="Z411" s="33" t="s">
        <v>15</v>
      </c>
      <c r="AA411" s="36" t="s">
        <v>16</v>
      </c>
      <c r="AB411" s="35">
        <f t="shared" si="67"/>
        <v>38</v>
      </c>
      <c r="AC411" s="35">
        <f t="shared" si="94"/>
        <v>24700</v>
      </c>
      <c r="AD411" s="181">
        <v>3</v>
      </c>
      <c r="AE411" s="181">
        <v>3</v>
      </c>
      <c r="AF411" s="101" t="str">
        <f t="shared" si="68"/>
        <v/>
      </c>
      <c r="AG411" s="190">
        <v>0</v>
      </c>
      <c r="AH411" s="69">
        <f t="shared" si="89"/>
        <v>38</v>
      </c>
      <c r="AK411" s="69">
        <v>0</v>
      </c>
    </row>
    <row r="412" spans="1:37" s="69" customFormat="1" ht="66" customHeight="1" x14ac:dyDescent="0.3">
      <c r="A412" s="55" t="s">
        <v>1057</v>
      </c>
      <c r="B412" s="138" t="s">
        <v>1058</v>
      </c>
      <c r="C412" s="54" t="s">
        <v>325</v>
      </c>
      <c r="D412" s="75">
        <v>38</v>
      </c>
      <c r="E412" s="75"/>
      <c r="F412" s="75"/>
      <c r="G412" s="75"/>
      <c r="H412" s="75">
        <v>1300</v>
      </c>
      <c r="I412" s="75">
        <v>49400</v>
      </c>
      <c r="J412" s="91" t="s">
        <v>1059</v>
      </c>
      <c r="K412" s="73"/>
      <c r="L412" s="46">
        <v>0</v>
      </c>
      <c r="M412" s="46">
        <v>0</v>
      </c>
      <c r="N412" s="46">
        <v>0</v>
      </c>
      <c r="O412" s="98"/>
      <c r="P412" s="23" t="s">
        <v>1403</v>
      </c>
      <c r="Q412" s="24" t="s">
        <v>1058</v>
      </c>
      <c r="R412" s="25" t="s">
        <v>325</v>
      </c>
      <c r="S412" s="26">
        <v>38</v>
      </c>
      <c r="T412" s="26"/>
      <c r="U412" s="26">
        <v>1300</v>
      </c>
      <c r="V412" s="26">
        <f t="shared" si="91"/>
        <v>0</v>
      </c>
      <c r="W412" s="26">
        <f t="shared" si="80"/>
        <v>0</v>
      </c>
      <c r="X412" s="26">
        <f t="shared" si="92"/>
        <v>0</v>
      </c>
      <c r="Y412" s="26">
        <f t="shared" si="93"/>
        <v>0</v>
      </c>
      <c r="Z412" s="33" t="s">
        <v>15</v>
      </c>
      <c r="AA412" s="36" t="s">
        <v>16</v>
      </c>
      <c r="AB412" s="35">
        <f t="shared" ref="AB412:AB476" si="95">IF(T412="",S412,T412)</f>
        <v>38</v>
      </c>
      <c r="AC412" s="35">
        <f t="shared" si="94"/>
        <v>49400</v>
      </c>
      <c r="AD412" s="181">
        <v>3</v>
      </c>
      <c r="AE412" s="181">
        <v>3</v>
      </c>
      <c r="AF412" s="101" t="str">
        <f t="shared" ref="AF412:AF476" si="96">IF(W412&gt;AH412,"超估","")</f>
        <v/>
      </c>
      <c r="AG412" s="190">
        <v>0</v>
      </c>
      <c r="AH412" s="69">
        <f t="shared" si="89"/>
        <v>38</v>
      </c>
      <c r="AK412" s="69">
        <v>0</v>
      </c>
    </row>
    <row r="413" spans="1:37" s="69" customFormat="1" ht="66" customHeight="1" x14ac:dyDescent="0.3">
      <c r="A413" s="55" t="s">
        <v>1060</v>
      </c>
      <c r="B413" s="138" t="s">
        <v>1061</v>
      </c>
      <c r="C413" s="54" t="s">
        <v>325</v>
      </c>
      <c r="D413" s="75">
        <v>7</v>
      </c>
      <c r="E413" s="75"/>
      <c r="F413" s="75"/>
      <c r="G413" s="75"/>
      <c r="H413" s="75">
        <v>3500</v>
      </c>
      <c r="I413" s="75">
        <v>24500</v>
      </c>
      <c r="J413" s="91" t="s">
        <v>1062</v>
      </c>
      <c r="K413" s="73"/>
      <c r="L413" s="46">
        <v>0</v>
      </c>
      <c r="M413" s="46">
        <v>0</v>
      </c>
      <c r="N413" s="46">
        <v>0</v>
      </c>
      <c r="O413" s="98"/>
      <c r="P413" s="23" t="s">
        <v>1427</v>
      </c>
      <c r="Q413" s="24" t="s">
        <v>1061</v>
      </c>
      <c r="R413" s="25" t="s">
        <v>325</v>
      </c>
      <c r="S413" s="26">
        <v>7</v>
      </c>
      <c r="T413" s="26"/>
      <c r="U413" s="26">
        <v>3500</v>
      </c>
      <c r="V413" s="26">
        <f t="shared" si="91"/>
        <v>0</v>
      </c>
      <c r="W413" s="26">
        <f t="shared" si="80"/>
        <v>0</v>
      </c>
      <c r="X413" s="26">
        <f t="shared" si="92"/>
        <v>0</v>
      </c>
      <c r="Y413" s="26">
        <f t="shared" si="93"/>
        <v>0</v>
      </c>
      <c r="Z413" s="33" t="s">
        <v>15</v>
      </c>
      <c r="AA413" s="36" t="s">
        <v>16</v>
      </c>
      <c r="AB413" s="35">
        <f t="shared" si="95"/>
        <v>7</v>
      </c>
      <c r="AC413" s="35">
        <f t="shared" si="94"/>
        <v>24500</v>
      </c>
      <c r="AD413" s="181">
        <v>3</v>
      </c>
      <c r="AE413" s="181">
        <v>3</v>
      </c>
      <c r="AF413" s="101" t="str">
        <f t="shared" si="96"/>
        <v/>
      </c>
      <c r="AG413" s="190">
        <v>0</v>
      </c>
      <c r="AH413" s="69">
        <f t="shared" si="89"/>
        <v>7</v>
      </c>
      <c r="AK413" s="69">
        <v>0</v>
      </c>
    </row>
    <row r="414" spans="1:37" s="69" customFormat="1" ht="66" customHeight="1" x14ac:dyDescent="0.3">
      <c r="A414" s="55" t="s">
        <v>1063</v>
      </c>
      <c r="B414" s="138" t="s">
        <v>1064</v>
      </c>
      <c r="C414" s="54" t="s">
        <v>325</v>
      </c>
      <c r="D414" s="75">
        <v>5</v>
      </c>
      <c r="E414" s="75"/>
      <c r="F414" s="75"/>
      <c r="G414" s="75"/>
      <c r="H414" s="75">
        <v>700</v>
      </c>
      <c r="I414" s="75">
        <v>3500</v>
      </c>
      <c r="J414" s="91" t="s">
        <v>1065</v>
      </c>
      <c r="K414" s="73"/>
      <c r="L414" s="46">
        <v>0</v>
      </c>
      <c r="M414" s="46">
        <v>0</v>
      </c>
      <c r="N414" s="46">
        <v>0</v>
      </c>
      <c r="O414" s="98"/>
      <c r="P414" s="23" t="s">
        <v>1428</v>
      </c>
      <c r="Q414" s="24" t="s">
        <v>1064</v>
      </c>
      <c r="R414" s="25" t="s">
        <v>325</v>
      </c>
      <c r="S414" s="26">
        <v>5</v>
      </c>
      <c r="T414" s="26"/>
      <c r="U414" s="26">
        <v>700</v>
      </c>
      <c r="V414" s="26">
        <f t="shared" si="91"/>
        <v>0</v>
      </c>
      <c r="W414" s="26">
        <f t="shared" si="80"/>
        <v>0</v>
      </c>
      <c r="X414" s="26">
        <f t="shared" si="92"/>
        <v>0</v>
      </c>
      <c r="Y414" s="26">
        <f t="shared" si="93"/>
        <v>0</v>
      </c>
      <c r="Z414" s="33" t="s">
        <v>15</v>
      </c>
      <c r="AA414" s="36" t="s">
        <v>16</v>
      </c>
      <c r="AB414" s="35">
        <f t="shared" si="95"/>
        <v>5</v>
      </c>
      <c r="AC414" s="35">
        <f t="shared" si="94"/>
        <v>3500</v>
      </c>
      <c r="AD414" s="181">
        <v>3</v>
      </c>
      <c r="AE414" s="181">
        <v>3</v>
      </c>
      <c r="AF414" s="101" t="str">
        <f t="shared" si="96"/>
        <v/>
      </c>
      <c r="AG414" s="190">
        <v>0</v>
      </c>
      <c r="AH414" s="69">
        <f t="shared" si="89"/>
        <v>5</v>
      </c>
      <c r="AK414" s="69">
        <v>0</v>
      </c>
    </row>
    <row r="415" spans="1:37" s="69" customFormat="1" ht="49.5" customHeight="1" x14ac:dyDescent="0.3">
      <c r="A415" s="55" t="s">
        <v>1066</v>
      </c>
      <c r="B415" s="138" t="s">
        <v>1067</v>
      </c>
      <c r="C415" s="54" t="s">
        <v>66</v>
      </c>
      <c r="D415" s="75">
        <v>1</v>
      </c>
      <c r="E415" s="75"/>
      <c r="F415" s="75"/>
      <c r="G415" s="75"/>
      <c r="H415" s="75">
        <v>15000</v>
      </c>
      <c r="I415" s="75">
        <v>15000</v>
      </c>
      <c r="J415" s="91" t="s">
        <v>1068</v>
      </c>
      <c r="K415" s="73"/>
      <c r="L415" s="46">
        <v>0</v>
      </c>
      <c r="M415" s="46">
        <v>0</v>
      </c>
      <c r="N415" s="46">
        <v>0</v>
      </c>
      <c r="O415" s="98"/>
      <c r="P415" s="23" t="s">
        <v>1387</v>
      </c>
      <c r="Q415" s="24" t="s">
        <v>1067</v>
      </c>
      <c r="R415" s="25" t="s">
        <v>66</v>
      </c>
      <c r="S415" s="26">
        <v>1</v>
      </c>
      <c r="T415" s="26"/>
      <c r="U415" s="26">
        <v>15000</v>
      </c>
      <c r="V415" s="26">
        <f t="shared" si="91"/>
        <v>0</v>
      </c>
      <c r="W415" s="26">
        <f t="shared" si="80"/>
        <v>0</v>
      </c>
      <c r="X415" s="26">
        <f t="shared" si="92"/>
        <v>0</v>
      </c>
      <c r="Y415" s="26">
        <f t="shared" si="93"/>
        <v>0</v>
      </c>
      <c r="Z415" s="33" t="s">
        <v>15</v>
      </c>
      <c r="AA415" s="36" t="s">
        <v>16</v>
      </c>
      <c r="AB415" s="35">
        <f t="shared" si="95"/>
        <v>1</v>
      </c>
      <c r="AC415" s="35">
        <f t="shared" si="94"/>
        <v>15000</v>
      </c>
      <c r="AD415" s="181">
        <v>3</v>
      </c>
      <c r="AE415" s="181">
        <v>3</v>
      </c>
      <c r="AF415" s="101" t="str">
        <f t="shared" si="96"/>
        <v/>
      </c>
      <c r="AG415" s="190">
        <v>0</v>
      </c>
      <c r="AH415" s="69">
        <f t="shared" si="89"/>
        <v>1</v>
      </c>
      <c r="AK415" s="69">
        <v>0</v>
      </c>
    </row>
    <row r="416" spans="1:37" s="69" customFormat="1" ht="49.5" customHeight="1" x14ac:dyDescent="0.3">
      <c r="A416" s="55" t="s">
        <v>1069</v>
      </c>
      <c r="B416" s="138" t="s">
        <v>1070</v>
      </c>
      <c r="C416" s="54" t="s">
        <v>325</v>
      </c>
      <c r="D416" s="75">
        <v>1</v>
      </c>
      <c r="E416" s="75"/>
      <c r="F416" s="75"/>
      <c r="G416" s="75"/>
      <c r="H416" s="75">
        <v>6000</v>
      </c>
      <c r="I416" s="75">
        <v>6000</v>
      </c>
      <c r="J416" s="91" t="s">
        <v>1071</v>
      </c>
      <c r="K416" s="73"/>
      <c r="L416" s="46">
        <v>0</v>
      </c>
      <c r="M416" s="46">
        <v>0</v>
      </c>
      <c r="N416" s="46">
        <v>0</v>
      </c>
      <c r="O416" s="98"/>
      <c r="P416" s="23" t="s">
        <v>1405</v>
      </c>
      <c r="Q416" s="24" t="s">
        <v>1070</v>
      </c>
      <c r="R416" s="25" t="s">
        <v>325</v>
      </c>
      <c r="S416" s="26">
        <v>1</v>
      </c>
      <c r="T416" s="26"/>
      <c r="U416" s="26">
        <v>6000</v>
      </c>
      <c r="V416" s="26">
        <f t="shared" si="91"/>
        <v>0</v>
      </c>
      <c r="W416" s="26">
        <f t="shared" si="80"/>
        <v>0</v>
      </c>
      <c r="X416" s="26">
        <f t="shared" si="92"/>
        <v>0</v>
      </c>
      <c r="Y416" s="26">
        <f t="shared" si="93"/>
        <v>0</v>
      </c>
      <c r="Z416" s="33" t="s">
        <v>15</v>
      </c>
      <c r="AA416" s="36" t="s">
        <v>16</v>
      </c>
      <c r="AB416" s="35">
        <f t="shared" si="95"/>
        <v>1</v>
      </c>
      <c r="AC416" s="35">
        <f t="shared" si="94"/>
        <v>6000</v>
      </c>
      <c r="AD416" s="181">
        <v>3</v>
      </c>
      <c r="AE416" s="181">
        <v>3</v>
      </c>
      <c r="AF416" s="101" t="str">
        <f t="shared" si="96"/>
        <v/>
      </c>
      <c r="AG416" s="190">
        <v>0</v>
      </c>
      <c r="AH416" s="69">
        <f t="shared" si="89"/>
        <v>1</v>
      </c>
      <c r="AK416" s="69">
        <v>0</v>
      </c>
    </row>
    <row r="417" spans="1:37" s="69" customFormat="1" ht="92.25" customHeight="1" x14ac:dyDescent="0.3">
      <c r="A417" s="55" t="s">
        <v>1072</v>
      </c>
      <c r="B417" s="138" t="s">
        <v>1073</v>
      </c>
      <c r="C417" s="54" t="s">
        <v>325</v>
      </c>
      <c r="D417" s="75">
        <v>1</v>
      </c>
      <c r="E417" s="75"/>
      <c r="F417" s="75"/>
      <c r="G417" s="75"/>
      <c r="H417" s="75">
        <v>49500</v>
      </c>
      <c r="I417" s="75">
        <v>49500</v>
      </c>
      <c r="J417" s="91" t="s">
        <v>1074</v>
      </c>
      <c r="K417" s="73"/>
      <c r="L417" s="46">
        <v>0</v>
      </c>
      <c r="M417" s="46">
        <v>0</v>
      </c>
      <c r="N417" s="46">
        <v>0</v>
      </c>
      <c r="O417" s="98"/>
      <c r="P417" s="23" t="s">
        <v>1406</v>
      </c>
      <c r="Q417" s="24" t="s">
        <v>1073</v>
      </c>
      <c r="R417" s="25" t="s">
        <v>325</v>
      </c>
      <c r="S417" s="26">
        <v>1</v>
      </c>
      <c r="T417" s="26"/>
      <c r="U417" s="26">
        <v>49500</v>
      </c>
      <c r="V417" s="26">
        <f t="shared" si="91"/>
        <v>0</v>
      </c>
      <c r="W417" s="26">
        <f t="shared" si="80"/>
        <v>0</v>
      </c>
      <c r="X417" s="26">
        <f t="shared" si="92"/>
        <v>0</v>
      </c>
      <c r="Y417" s="26">
        <f t="shared" si="93"/>
        <v>0</v>
      </c>
      <c r="Z417" s="33" t="s">
        <v>15</v>
      </c>
      <c r="AA417" s="36" t="s">
        <v>16</v>
      </c>
      <c r="AB417" s="35">
        <f t="shared" si="95"/>
        <v>1</v>
      </c>
      <c r="AC417" s="35">
        <f t="shared" si="94"/>
        <v>49500</v>
      </c>
      <c r="AD417" s="181">
        <v>3</v>
      </c>
      <c r="AE417" s="181">
        <v>3</v>
      </c>
      <c r="AF417" s="101" t="str">
        <f t="shared" si="96"/>
        <v/>
      </c>
      <c r="AG417" s="190">
        <v>0</v>
      </c>
      <c r="AH417" s="69">
        <f t="shared" si="89"/>
        <v>1</v>
      </c>
      <c r="AK417" s="69">
        <v>0</v>
      </c>
    </row>
    <row r="418" spans="1:37" s="69" customFormat="1" ht="66" customHeight="1" x14ac:dyDescent="0.3">
      <c r="A418" s="55" t="s">
        <v>1075</v>
      </c>
      <c r="B418" s="138" t="s">
        <v>1076</v>
      </c>
      <c r="C418" s="54" t="s">
        <v>325</v>
      </c>
      <c r="D418" s="75">
        <v>8</v>
      </c>
      <c r="E418" s="75"/>
      <c r="F418" s="75"/>
      <c r="G418" s="75"/>
      <c r="H418" s="75">
        <v>3000</v>
      </c>
      <c r="I418" s="75">
        <v>24000</v>
      </c>
      <c r="J418" s="91" t="s">
        <v>1077</v>
      </c>
      <c r="K418" s="73"/>
      <c r="L418" s="46">
        <v>0</v>
      </c>
      <c r="M418" s="46">
        <v>0</v>
      </c>
      <c r="N418" s="46">
        <v>0</v>
      </c>
      <c r="O418" s="98"/>
      <c r="P418" s="23" t="s">
        <v>1414</v>
      </c>
      <c r="Q418" s="24" t="s">
        <v>1076</v>
      </c>
      <c r="R418" s="25" t="s">
        <v>325</v>
      </c>
      <c r="S418" s="26">
        <v>8</v>
      </c>
      <c r="T418" s="26"/>
      <c r="U418" s="26">
        <v>3000</v>
      </c>
      <c r="V418" s="26">
        <f t="shared" si="91"/>
        <v>0</v>
      </c>
      <c r="W418" s="26">
        <f t="shared" si="80"/>
        <v>0</v>
      </c>
      <c r="X418" s="26">
        <f t="shared" si="92"/>
        <v>0</v>
      </c>
      <c r="Y418" s="26">
        <f t="shared" si="93"/>
        <v>0</v>
      </c>
      <c r="Z418" s="33" t="s">
        <v>15</v>
      </c>
      <c r="AA418" s="36" t="s">
        <v>16</v>
      </c>
      <c r="AB418" s="35">
        <f t="shared" si="95"/>
        <v>8</v>
      </c>
      <c r="AC418" s="35">
        <f t="shared" si="94"/>
        <v>24000</v>
      </c>
      <c r="AD418" s="181">
        <v>3</v>
      </c>
      <c r="AE418" s="181">
        <v>3</v>
      </c>
      <c r="AF418" s="101" t="str">
        <f t="shared" si="96"/>
        <v/>
      </c>
      <c r="AG418" s="190">
        <v>0</v>
      </c>
      <c r="AH418" s="69">
        <f t="shared" si="89"/>
        <v>8</v>
      </c>
      <c r="AK418" s="69">
        <v>0</v>
      </c>
    </row>
    <row r="419" spans="1:37" s="69" customFormat="1" ht="33" customHeight="1" x14ac:dyDescent="0.3">
      <c r="A419" s="55" t="s">
        <v>1078</v>
      </c>
      <c r="B419" s="138" t="s">
        <v>1079</v>
      </c>
      <c r="C419" s="54" t="s">
        <v>66</v>
      </c>
      <c r="D419" s="75">
        <v>75</v>
      </c>
      <c r="E419" s="75"/>
      <c r="F419" s="75"/>
      <c r="G419" s="75"/>
      <c r="H419" s="75">
        <v>12000</v>
      </c>
      <c r="I419" s="75">
        <v>900000</v>
      </c>
      <c r="J419" s="91" t="s">
        <v>1080</v>
      </c>
      <c r="K419" s="73"/>
      <c r="L419" s="46">
        <v>50</v>
      </c>
      <c r="M419" s="46">
        <v>216000</v>
      </c>
      <c r="N419" s="46">
        <v>600000</v>
      </c>
      <c r="O419" s="98"/>
      <c r="P419" s="23" t="s">
        <v>1429</v>
      </c>
      <c r="Q419" s="24" t="s">
        <v>1079</v>
      </c>
      <c r="R419" s="25" t="s">
        <v>66</v>
      </c>
      <c r="S419" s="26">
        <v>75</v>
      </c>
      <c r="T419" s="26"/>
      <c r="U419" s="26">
        <v>12000</v>
      </c>
      <c r="V419" s="128">
        <f t="shared" si="91"/>
        <v>0</v>
      </c>
      <c r="W419" s="26">
        <f t="shared" si="80"/>
        <v>50</v>
      </c>
      <c r="X419" s="26">
        <f t="shared" si="92"/>
        <v>0</v>
      </c>
      <c r="Y419" s="26">
        <f t="shared" si="93"/>
        <v>600000</v>
      </c>
      <c r="Z419" s="33" t="s">
        <v>15</v>
      </c>
      <c r="AA419" s="36" t="s">
        <v>16</v>
      </c>
      <c r="AB419" s="35">
        <f t="shared" si="95"/>
        <v>75</v>
      </c>
      <c r="AC419" s="35">
        <f t="shared" si="94"/>
        <v>900000</v>
      </c>
      <c r="AD419" s="181">
        <v>3</v>
      </c>
      <c r="AE419" s="181">
        <v>3</v>
      </c>
      <c r="AF419" s="101" t="str">
        <f t="shared" si="96"/>
        <v/>
      </c>
      <c r="AG419" s="191">
        <f>32+18</f>
        <v>50</v>
      </c>
      <c r="AH419" s="69">
        <f t="shared" si="89"/>
        <v>75</v>
      </c>
      <c r="AK419" s="69">
        <v>0</v>
      </c>
    </row>
    <row r="420" spans="1:37" s="69" customFormat="1" ht="33" customHeight="1" x14ac:dyDescent="0.3">
      <c r="A420" s="55" t="s">
        <v>1081</v>
      </c>
      <c r="B420" s="138" t="s">
        <v>1082</v>
      </c>
      <c r="C420" s="54" t="s">
        <v>1014</v>
      </c>
      <c r="D420" s="75">
        <v>75</v>
      </c>
      <c r="E420" s="75"/>
      <c r="F420" s="75"/>
      <c r="G420" s="75"/>
      <c r="H420" s="75">
        <v>1500</v>
      </c>
      <c r="I420" s="75">
        <v>112500</v>
      </c>
      <c r="J420" s="91" t="s">
        <v>1083</v>
      </c>
      <c r="K420" s="73"/>
      <c r="L420" s="46">
        <v>0</v>
      </c>
      <c r="M420" s="46">
        <v>0</v>
      </c>
      <c r="N420" s="46">
        <v>0</v>
      </c>
      <c r="O420" s="98"/>
      <c r="P420" s="23" t="s">
        <v>1430</v>
      </c>
      <c r="Q420" s="24" t="s">
        <v>1082</v>
      </c>
      <c r="R420" s="25" t="s">
        <v>1014</v>
      </c>
      <c r="S420" s="26">
        <v>75</v>
      </c>
      <c r="T420" s="26"/>
      <c r="U420" s="26">
        <v>1500</v>
      </c>
      <c r="V420" s="26">
        <f t="shared" si="91"/>
        <v>0</v>
      </c>
      <c r="W420" s="26">
        <f t="shared" si="80"/>
        <v>0</v>
      </c>
      <c r="X420" s="26">
        <f t="shared" si="92"/>
        <v>0</v>
      </c>
      <c r="Y420" s="26">
        <f t="shared" si="93"/>
        <v>0</v>
      </c>
      <c r="Z420" s="33" t="s">
        <v>15</v>
      </c>
      <c r="AA420" s="36" t="s">
        <v>16</v>
      </c>
      <c r="AB420" s="35">
        <f t="shared" si="95"/>
        <v>75</v>
      </c>
      <c r="AC420" s="35">
        <f t="shared" si="94"/>
        <v>112500</v>
      </c>
      <c r="AD420" s="181">
        <v>3</v>
      </c>
      <c r="AE420" s="181">
        <v>3</v>
      </c>
      <c r="AF420" s="101" t="str">
        <f t="shared" si="96"/>
        <v/>
      </c>
      <c r="AG420" s="190">
        <v>0</v>
      </c>
      <c r="AH420" s="69">
        <f t="shared" si="89"/>
        <v>75</v>
      </c>
      <c r="AK420" s="69">
        <v>0</v>
      </c>
    </row>
    <row r="421" spans="1:37" s="69" customFormat="1" ht="66" customHeight="1" x14ac:dyDescent="0.3">
      <c r="A421" s="55" t="s">
        <v>1084</v>
      </c>
      <c r="B421" s="138" t="s">
        <v>1085</v>
      </c>
      <c r="C421" s="54" t="s">
        <v>325</v>
      </c>
      <c r="D421" s="75">
        <v>1</v>
      </c>
      <c r="E421" s="75"/>
      <c r="F421" s="75"/>
      <c r="G421" s="75"/>
      <c r="H421" s="75">
        <v>12000</v>
      </c>
      <c r="I421" s="75">
        <v>12000</v>
      </c>
      <c r="J421" s="91" t="s">
        <v>1086</v>
      </c>
      <c r="K421" s="73"/>
      <c r="L421" s="46">
        <v>0</v>
      </c>
      <c r="M421" s="46">
        <v>0</v>
      </c>
      <c r="N421" s="46">
        <v>0</v>
      </c>
      <c r="O421" s="98"/>
      <c r="P421" s="23" t="s">
        <v>1431</v>
      </c>
      <c r="Q421" s="24" t="s">
        <v>1085</v>
      </c>
      <c r="R421" s="25" t="s">
        <v>325</v>
      </c>
      <c r="S421" s="26">
        <v>1</v>
      </c>
      <c r="T421" s="26"/>
      <c r="U421" s="26">
        <v>12000</v>
      </c>
      <c r="V421" s="26">
        <f t="shared" si="91"/>
        <v>0</v>
      </c>
      <c r="W421" s="26">
        <f t="shared" si="80"/>
        <v>0</v>
      </c>
      <c r="X421" s="26">
        <f t="shared" si="92"/>
        <v>0</v>
      </c>
      <c r="Y421" s="26">
        <f t="shared" si="93"/>
        <v>0</v>
      </c>
      <c r="Z421" s="33" t="s">
        <v>15</v>
      </c>
      <c r="AA421" s="36" t="s">
        <v>16</v>
      </c>
      <c r="AB421" s="35">
        <f t="shared" si="95"/>
        <v>1</v>
      </c>
      <c r="AC421" s="35">
        <f t="shared" si="94"/>
        <v>12000</v>
      </c>
      <c r="AD421" s="181">
        <v>3</v>
      </c>
      <c r="AE421" s="181">
        <v>3</v>
      </c>
      <c r="AF421" s="101" t="str">
        <f t="shared" si="96"/>
        <v/>
      </c>
      <c r="AG421" s="190">
        <v>0</v>
      </c>
      <c r="AH421" s="69">
        <f t="shared" si="89"/>
        <v>1</v>
      </c>
      <c r="AK421" s="69">
        <v>0</v>
      </c>
    </row>
    <row r="422" spans="1:37" s="69" customFormat="1" ht="49.5" customHeight="1" x14ac:dyDescent="0.3">
      <c r="A422" s="55" t="s">
        <v>1087</v>
      </c>
      <c r="B422" s="138" t="s">
        <v>1088</v>
      </c>
      <c r="C422" s="54" t="s">
        <v>325</v>
      </c>
      <c r="D422" s="75">
        <v>1</v>
      </c>
      <c r="E422" s="75"/>
      <c r="F422" s="75"/>
      <c r="G422" s="75"/>
      <c r="H422" s="75">
        <v>2000</v>
      </c>
      <c r="I422" s="75">
        <v>2000</v>
      </c>
      <c r="J422" s="91" t="s">
        <v>1089</v>
      </c>
      <c r="K422" s="73"/>
      <c r="L422" s="46">
        <v>0</v>
      </c>
      <c r="M422" s="46">
        <v>0</v>
      </c>
      <c r="N422" s="46">
        <v>0</v>
      </c>
      <c r="O422" s="98"/>
      <c r="P422" s="23" t="s">
        <v>1395</v>
      </c>
      <c r="Q422" s="24" t="s">
        <v>1088</v>
      </c>
      <c r="R422" s="25" t="s">
        <v>325</v>
      </c>
      <c r="S422" s="26">
        <v>1</v>
      </c>
      <c r="T422" s="26"/>
      <c r="U422" s="26">
        <v>2000</v>
      </c>
      <c r="V422" s="26">
        <f t="shared" si="91"/>
        <v>0</v>
      </c>
      <c r="W422" s="26">
        <f t="shared" si="80"/>
        <v>0</v>
      </c>
      <c r="X422" s="26">
        <f t="shared" si="92"/>
        <v>0</v>
      </c>
      <c r="Y422" s="26">
        <f t="shared" si="93"/>
        <v>0</v>
      </c>
      <c r="Z422" s="33" t="s">
        <v>15</v>
      </c>
      <c r="AA422" s="36" t="s">
        <v>16</v>
      </c>
      <c r="AB422" s="35">
        <f t="shared" si="95"/>
        <v>1</v>
      </c>
      <c r="AC422" s="35">
        <f t="shared" si="94"/>
        <v>2000</v>
      </c>
      <c r="AD422" s="181">
        <v>3</v>
      </c>
      <c r="AE422" s="181">
        <v>3</v>
      </c>
      <c r="AF422" s="101" t="str">
        <f t="shared" si="96"/>
        <v/>
      </c>
      <c r="AG422" s="190">
        <v>0</v>
      </c>
      <c r="AH422" s="69">
        <f t="shared" si="89"/>
        <v>1</v>
      </c>
      <c r="AK422" s="69">
        <v>0</v>
      </c>
    </row>
    <row r="423" spans="1:37" s="69" customFormat="1" ht="66" customHeight="1" x14ac:dyDescent="0.3">
      <c r="A423" s="55" t="s">
        <v>1090</v>
      </c>
      <c r="B423" s="138" t="s">
        <v>1091</v>
      </c>
      <c r="C423" s="54" t="s">
        <v>325</v>
      </c>
      <c r="D423" s="75">
        <v>14</v>
      </c>
      <c r="E423" s="75"/>
      <c r="F423" s="75"/>
      <c r="G423" s="75"/>
      <c r="H423" s="75">
        <v>3000</v>
      </c>
      <c r="I423" s="75">
        <v>42000</v>
      </c>
      <c r="J423" s="91" t="s">
        <v>1092</v>
      </c>
      <c r="K423" s="73"/>
      <c r="L423" s="46">
        <v>0</v>
      </c>
      <c r="M423" s="46">
        <v>0</v>
      </c>
      <c r="N423" s="46">
        <v>0</v>
      </c>
      <c r="O423" s="98"/>
      <c r="P423" s="23" t="s">
        <v>1432</v>
      </c>
      <c r="Q423" s="24" t="s">
        <v>1091</v>
      </c>
      <c r="R423" s="25" t="s">
        <v>325</v>
      </c>
      <c r="S423" s="26">
        <v>14</v>
      </c>
      <c r="T423" s="26"/>
      <c r="U423" s="26">
        <v>3000</v>
      </c>
      <c r="V423" s="26">
        <f t="shared" si="91"/>
        <v>0</v>
      </c>
      <c r="W423" s="26">
        <f t="shared" si="80"/>
        <v>0</v>
      </c>
      <c r="X423" s="26">
        <f t="shared" si="92"/>
        <v>0</v>
      </c>
      <c r="Y423" s="26">
        <f t="shared" si="93"/>
        <v>0</v>
      </c>
      <c r="Z423" s="33" t="s">
        <v>15</v>
      </c>
      <c r="AA423" s="36" t="s">
        <v>16</v>
      </c>
      <c r="AB423" s="35">
        <f t="shared" si="95"/>
        <v>14</v>
      </c>
      <c r="AC423" s="35">
        <f t="shared" si="94"/>
        <v>42000</v>
      </c>
      <c r="AD423" s="181">
        <v>3</v>
      </c>
      <c r="AE423" s="181">
        <v>3</v>
      </c>
      <c r="AF423" s="101" t="str">
        <f t="shared" si="96"/>
        <v/>
      </c>
      <c r="AG423" s="190">
        <v>0</v>
      </c>
      <c r="AH423" s="69">
        <f t="shared" si="89"/>
        <v>14</v>
      </c>
      <c r="AK423" s="69">
        <v>0</v>
      </c>
    </row>
    <row r="424" spans="1:37" s="69" customFormat="1" ht="49.5" customHeight="1" x14ac:dyDescent="0.3">
      <c r="A424" s="55" t="s">
        <v>1093</v>
      </c>
      <c r="B424" s="138" t="s">
        <v>1094</v>
      </c>
      <c r="C424" s="54" t="s">
        <v>325</v>
      </c>
      <c r="D424" s="75">
        <v>3</v>
      </c>
      <c r="E424" s="75"/>
      <c r="F424" s="75"/>
      <c r="G424" s="75"/>
      <c r="H424" s="75">
        <v>1400</v>
      </c>
      <c r="I424" s="75">
        <v>4200</v>
      </c>
      <c r="J424" s="91" t="s">
        <v>1095</v>
      </c>
      <c r="K424" s="73"/>
      <c r="L424" s="46">
        <v>0</v>
      </c>
      <c r="M424" s="46">
        <v>0</v>
      </c>
      <c r="N424" s="46">
        <v>0</v>
      </c>
      <c r="O424" s="98"/>
      <c r="P424" s="23" t="s">
        <v>1433</v>
      </c>
      <c r="Q424" s="24" t="s">
        <v>1094</v>
      </c>
      <c r="R424" s="25" t="s">
        <v>325</v>
      </c>
      <c r="S424" s="26">
        <v>3</v>
      </c>
      <c r="T424" s="26"/>
      <c r="U424" s="26">
        <v>1400</v>
      </c>
      <c r="V424" s="26">
        <f t="shared" si="91"/>
        <v>0</v>
      </c>
      <c r="W424" s="26">
        <f t="shared" si="80"/>
        <v>0</v>
      </c>
      <c r="X424" s="26">
        <f t="shared" si="92"/>
        <v>0</v>
      </c>
      <c r="Y424" s="26">
        <f t="shared" si="93"/>
        <v>0</v>
      </c>
      <c r="Z424" s="33" t="s">
        <v>15</v>
      </c>
      <c r="AA424" s="36" t="s">
        <v>16</v>
      </c>
      <c r="AB424" s="35">
        <f t="shared" si="95"/>
        <v>3</v>
      </c>
      <c r="AC424" s="35">
        <f t="shared" si="94"/>
        <v>4200</v>
      </c>
      <c r="AD424" s="181">
        <v>3</v>
      </c>
      <c r="AE424" s="181">
        <v>3</v>
      </c>
      <c r="AF424" s="101" t="str">
        <f t="shared" si="96"/>
        <v/>
      </c>
      <c r="AG424" s="190">
        <v>0</v>
      </c>
      <c r="AH424" s="69">
        <f t="shared" si="89"/>
        <v>3</v>
      </c>
      <c r="AK424" s="69">
        <v>0</v>
      </c>
    </row>
    <row r="425" spans="1:37" s="69" customFormat="1" ht="66" customHeight="1" x14ac:dyDescent="0.3">
      <c r="A425" s="55" t="s">
        <v>1096</v>
      </c>
      <c r="B425" s="138" t="s">
        <v>1097</v>
      </c>
      <c r="C425" s="54" t="s">
        <v>66</v>
      </c>
      <c r="D425" s="75">
        <v>5</v>
      </c>
      <c r="E425" s="75"/>
      <c r="F425" s="75"/>
      <c r="G425" s="75"/>
      <c r="H425" s="75">
        <v>18000</v>
      </c>
      <c r="I425" s="75">
        <v>90000</v>
      </c>
      <c r="J425" s="91" t="s">
        <v>1098</v>
      </c>
      <c r="K425" s="73"/>
      <c r="L425" s="46">
        <v>0</v>
      </c>
      <c r="M425" s="46">
        <v>0</v>
      </c>
      <c r="N425" s="46">
        <v>0</v>
      </c>
      <c r="O425" s="98"/>
      <c r="P425" s="23" t="s">
        <v>1382</v>
      </c>
      <c r="Q425" s="24" t="s">
        <v>1097</v>
      </c>
      <c r="R425" s="25" t="s">
        <v>66</v>
      </c>
      <c r="S425" s="26">
        <v>5</v>
      </c>
      <c r="T425" s="26"/>
      <c r="U425" s="26">
        <v>18000</v>
      </c>
      <c r="V425" s="26">
        <f t="shared" si="91"/>
        <v>0</v>
      </c>
      <c r="W425" s="26">
        <f t="shared" si="80"/>
        <v>0</v>
      </c>
      <c r="X425" s="26">
        <f t="shared" si="92"/>
        <v>0</v>
      </c>
      <c r="Y425" s="26">
        <f t="shared" si="93"/>
        <v>0</v>
      </c>
      <c r="Z425" s="33" t="s">
        <v>15</v>
      </c>
      <c r="AA425" s="36" t="s">
        <v>16</v>
      </c>
      <c r="AB425" s="35">
        <f t="shared" si="95"/>
        <v>5</v>
      </c>
      <c r="AC425" s="35">
        <f t="shared" si="94"/>
        <v>90000</v>
      </c>
      <c r="AD425" s="181">
        <v>3</v>
      </c>
      <c r="AE425" s="181">
        <v>3</v>
      </c>
      <c r="AF425" s="101" t="str">
        <f t="shared" si="96"/>
        <v/>
      </c>
      <c r="AG425" s="190">
        <v>0</v>
      </c>
      <c r="AH425" s="69">
        <f t="shared" si="89"/>
        <v>5</v>
      </c>
      <c r="AK425" s="69">
        <v>0</v>
      </c>
    </row>
    <row r="426" spans="1:37" s="69" customFormat="1" ht="49.5" customHeight="1" x14ac:dyDescent="0.3">
      <c r="A426" s="55" t="s">
        <v>1099</v>
      </c>
      <c r="B426" s="138" t="s">
        <v>1100</v>
      </c>
      <c r="C426" s="54" t="s">
        <v>66</v>
      </c>
      <c r="D426" s="75">
        <v>1</v>
      </c>
      <c r="E426" s="75"/>
      <c r="F426" s="75"/>
      <c r="G426" s="75"/>
      <c r="H426" s="75">
        <v>9000</v>
      </c>
      <c r="I426" s="75">
        <v>9000</v>
      </c>
      <c r="J426" s="91" t="s">
        <v>1101</v>
      </c>
      <c r="K426" s="73"/>
      <c r="L426" s="46">
        <v>0</v>
      </c>
      <c r="M426" s="46">
        <v>0</v>
      </c>
      <c r="N426" s="46">
        <v>0</v>
      </c>
      <c r="O426" s="98"/>
      <c r="P426" s="23" t="s">
        <v>1434</v>
      </c>
      <c r="Q426" s="24" t="s">
        <v>1100</v>
      </c>
      <c r="R426" s="25" t="s">
        <v>66</v>
      </c>
      <c r="S426" s="26">
        <v>1</v>
      </c>
      <c r="T426" s="26"/>
      <c r="U426" s="26">
        <v>9000</v>
      </c>
      <c r="V426" s="26">
        <f t="shared" si="91"/>
        <v>0</v>
      </c>
      <c r="W426" s="26">
        <f t="shared" si="80"/>
        <v>0</v>
      </c>
      <c r="X426" s="26">
        <f t="shared" si="92"/>
        <v>0</v>
      </c>
      <c r="Y426" s="26">
        <f t="shared" si="93"/>
        <v>0</v>
      </c>
      <c r="Z426" s="33" t="s">
        <v>15</v>
      </c>
      <c r="AA426" s="36" t="s">
        <v>16</v>
      </c>
      <c r="AB426" s="35">
        <f t="shared" si="95"/>
        <v>1</v>
      </c>
      <c r="AC426" s="35">
        <f t="shared" si="94"/>
        <v>9000</v>
      </c>
      <c r="AD426" s="181">
        <v>3</v>
      </c>
      <c r="AE426" s="181">
        <v>3</v>
      </c>
      <c r="AF426" s="101" t="str">
        <f t="shared" si="96"/>
        <v/>
      </c>
      <c r="AG426" s="190">
        <v>0</v>
      </c>
      <c r="AH426" s="69">
        <f t="shared" si="89"/>
        <v>1</v>
      </c>
      <c r="AK426" s="69">
        <v>0</v>
      </c>
    </row>
    <row r="427" spans="1:37" s="69" customFormat="1" ht="49.5" customHeight="1" x14ac:dyDescent="0.3">
      <c r="A427" s="55" t="s">
        <v>1102</v>
      </c>
      <c r="B427" s="138" t="s">
        <v>1103</v>
      </c>
      <c r="C427" s="54" t="s">
        <v>325</v>
      </c>
      <c r="D427" s="75">
        <v>3</v>
      </c>
      <c r="E427" s="75"/>
      <c r="F427" s="75"/>
      <c r="G427" s="75"/>
      <c r="H427" s="75">
        <v>6000</v>
      </c>
      <c r="I427" s="75">
        <v>18000</v>
      </c>
      <c r="J427" s="91" t="s">
        <v>1104</v>
      </c>
      <c r="K427" s="73"/>
      <c r="L427" s="46">
        <v>0</v>
      </c>
      <c r="M427" s="46">
        <v>0</v>
      </c>
      <c r="N427" s="46">
        <v>0</v>
      </c>
      <c r="O427" s="98"/>
      <c r="P427" s="23" t="s">
        <v>1388</v>
      </c>
      <c r="Q427" s="24" t="s">
        <v>1103</v>
      </c>
      <c r="R427" s="25" t="s">
        <v>325</v>
      </c>
      <c r="S427" s="26">
        <v>3</v>
      </c>
      <c r="T427" s="26"/>
      <c r="U427" s="26">
        <v>6000</v>
      </c>
      <c r="V427" s="26">
        <f t="shared" si="91"/>
        <v>0</v>
      </c>
      <c r="W427" s="26">
        <f t="shared" si="80"/>
        <v>0</v>
      </c>
      <c r="X427" s="26">
        <f t="shared" si="92"/>
        <v>0</v>
      </c>
      <c r="Y427" s="26">
        <f t="shared" si="93"/>
        <v>0</v>
      </c>
      <c r="Z427" s="33" t="s">
        <v>15</v>
      </c>
      <c r="AA427" s="36" t="s">
        <v>16</v>
      </c>
      <c r="AB427" s="35">
        <f t="shared" si="95"/>
        <v>3</v>
      </c>
      <c r="AC427" s="35">
        <f t="shared" si="94"/>
        <v>18000</v>
      </c>
      <c r="AD427" s="181">
        <v>3</v>
      </c>
      <c r="AE427" s="181">
        <v>3</v>
      </c>
      <c r="AF427" s="101" t="str">
        <f t="shared" si="96"/>
        <v/>
      </c>
      <c r="AG427" s="190">
        <v>0</v>
      </c>
      <c r="AH427" s="69">
        <f t="shared" si="89"/>
        <v>3</v>
      </c>
      <c r="AK427" s="69">
        <v>0</v>
      </c>
    </row>
    <row r="428" spans="1:37" s="69" customFormat="1" ht="49.5" customHeight="1" x14ac:dyDescent="0.3">
      <c r="A428" s="55" t="s">
        <v>1105</v>
      </c>
      <c r="B428" s="138" t="s">
        <v>1106</v>
      </c>
      <c r="C428" s="54" t="s">
        <v>66</v>
      </c>
      <c r="D428" s="75">
        <v>1</v>
      </c>
      <c r="E428" s="75"/>
      <c r="F428" s="75"/>
      <c r="G428" s="75"/>
      <c r="H428" s="75">
        <v>2500</v>
      </c>
      <c r="I428" s="75">
        <v>2500</v>
      </c>
      <c r="J428" s="91" t="s">
        <v>1107</v>
      </c>
      <c r="K428" s="73"/>
      <c r="L428" s="46">
        <v>0</v>
      </c>
      <c r="M428" s="46">
        <v>0</v>
      </c>
      <c r="N428" s="46">
        <v>0</v>
      </c>
      <c r="O428" s="98"/>
      <c r="P428" s="23" t="s">
        <v>1389</v>
      </c>
      <c r="Q428" s="24" t="s">
        <v>1106</v>
      </c>
      <c r="R428" s="25" t="s">
        <v>66</v>
      </c>
      <c r="S428" s="26">
        <v>1</v>
      </c>
      <c r="T428" s="26"/>
      <c r="U428" s="26">
        <v>2500</v>
      </c>
      <c r="V428" s="26">
        <f t="shared" si="91"/>
        <v>0</v>
      </c>
      <c r="W428" s="26">
        <f t="shared" si="80"/>
        <v>0</v>
      </c>
      <c r="X428" s="26">
        <f t="shared" si="92"/>
        <v>0</v>
      </c>
      <c r="Y428" s="26">
        <f t="shared" si="93"/>
        <v>0</v>
      </c>
      <c r="Z428" s="33" t="s">
        <v>15</v>
      </c>
      <c r="AA428" s="36" t="s">
        <v>16</v>
      </c>
      <c r="AB428" s="35">
        <f t="shared" si="95"/>
        <v>1</v>
      </c>
      <c r="AC428" s="35">
        <f t="shared" si="94"/>
        <v>2500</v>
      </c>
      <c r="AD428" s="181">
        <v>3</v>
      </c>
      <c r="AE428" s="181">
        <v>3</v>
      </c>
      <c r="AF428" s="101" t="str">
        <f t="shared" si="96"/>
        <v/>
      </c>
      <c r="AG428" s="190">
        <v>0</v>
      </c>
      <c r="AH428" s="69">
        <f t="shared" si="89"/>
        <v>1</v>
      </c>
      <c r="AK428" s="69">
        <v>0</v>
      </c>
    </row>
    <row r="429" spans="1:37" s="69" customFormat="1" ht="49.5" customHeight="1" x14ac:dyDescent="0.3">
      <c r="A429" s="55" t="s">
        <v>1108</v>
      </c>
      <c r="B429" s="138" t="s">
        <v>1109</v>
      </c>
      <c r="C429" s="54" t="s">
        <v>66</v>
      </c>
      <c r="D429" s="75">
        <v>1</v>
      </c>
      <c r="E429" s="75"/>
      <c r="F429" s="75"/>
      <c r="G429" s="75"/>
      <c r="H429" s="75">
        <v>2500</v>
      </c>
      <c r="I429" s="75">
        <v>2500</v>
      </c>
      <c r="J429" s="91" t="s">
        <v>1110</v>
      </c>
      <c r="K429" s="73"/>
      <c r="L429" s="46">
        <v>0</v>
      </c>
      <c r="M429" s="46">
        <v>0</v>
      </c>
      <c r="N429" s="46">
        <v>0</v>
      </c>
      <c r="O429" s="98"/>
      <c r="P429" s="23" t="s">
        <v>1390</v>
      </c>
      <c r="Q429" s="24" t="s">
        <v>1109</v>
      </c>
      <c r="R429" s="25" t="s">
        <v>66</v>
      </c>
      <c r="S429" s="26">
        <v>1</v>
      </c>
      <c r="T429" s="26"/>
      <c r="U429" s="26">
        <v>2500</v>
      </c>
      <c r="V429" s="26">
        <f t="shared" si="91"/>
        <v>0</v>
      </c>
      <c r="W429" s="26">
        <f t="shared" si="80"/>
        <v>0</v>
      </c>
      <c r="X429" s="26">
        <f t="shared" si="92"/>
        <v>0</v>
      </c>
      <c r="Y429" s="26">
        <f t="shared" si="93"/>
        <v>0</v>
      </c>
      <c r="Z429" s="33" t="s">
        <v>15</v>
      </c>
      <c r="AA429" s="36" t="s">
        <v>16</v>
      </c>
      <c r="AB429" s="35">
        <f t="shared" si="95"/>
        <v>1</v>
      </c>
      <c r="AC429" s="35">
        <f t="shared" si="94"/>
        <v>2500</v>
      </c>
      <c r="AD429" s="181">
        <v>3</v>
      </c>
      <c r="AE429" s="181">
        <v>3</v>
      </c>
      <c r="AF429" s="101" t="str">
        <f t="shared" si="96"/>
        <v/>
      </c>
      <c r="AG429" s="190">
        <v>0</v>
      </c>
      <c r="AH429" s="69">
        <f t="shared" si="89"/>
        <v>1</v>
      </c>
      <c r="AK429" s="69">
        <v>0</v>
      </c>
    </row>
    <row r="430" spans="1:37" s="69" customFormat="1" ht="49.5" customHeight="1" x14ac:dyDescent="0.3">
      <c r="A430" s="55" t="s">
        <v>1111</v>
      </c>
      <c r="B430" s="138" t="s">
        <v>1112</v>
      </c>
      <c r="C430" s="54" t="s">
        <v>325</v>
      </c>
      <c r="D430" s="75">
        <v>4</v>
      </c>
      <c r="E430" s="75"/>
      <c r="F430" s="75"/>
      <c r="G430" s="75"/>
      <c r="H430" s="75">
        <v>3000</v>
      </c>
      <c r="I430" s="75">
        <v>12000</v>
      </c>
      <c r="J430" s="91" t="s">
        <v>1113</v>
      </c>
      <c r="K430" s="73"/>
      <c r="L430" s="46">
        <v>0</v>
      </c>
      <c r="M430" s="46">
        <v>0</v>
      </c>
      <c r="N430" s="46">
        <v>0</v>
      </c>
      <c r="O430" s="98"/>
      <c r="P430" s="23" t="s">
        <v>1391</v>
      </c>
      <c r="Q430" s="24" t="s">
        <v>1112</v>
      </c>
      <c r="R430" s="25" t="s">
        <v>325</v>
      </c>
      <c r="S430" s="26">
        <v>4</v>
      </c>
      <c r="T430" s="26"/>
      <c r="U430" s="26">
        <v>3000</v>
      </c>
      <c r="V430" s="26">
        <f t="shared" si="91"/>
        <v>0</v>
      </c>
      <c r="W430" s="26">
        <f t="shared" si="80"/>
        <v>0</v>
      </c>
      <c r="X430" s="26">
        <f t="shared" si="92"/>
        <v>0</v>
      </c>
      <c r="Y430" s="26">
        <f t="shared" si="93"/>
        <v>0</v>
      </c>
      <c r="Z430" s="33" t="s">
        <v>15</v>
      </c>
      <c r="AA430" s="36" t="s">
        <v>16</v>
      </c>
      <c r="AB430" s="35">
        <f t="shared" si="95"/>
        <v>4</v>
      </c>
      <c r="AC430" s="35">
        <f t="shared" si="94"/>
        <v>12000</v>
      </c>
      <c r="AD430" s="181">
        <v>3</v>
      </c>
      <c r="AE430" s="181">
        <v>3</v>
      </c>
      <c r="AF430" s="101" t="str">
        <f t="shared" si="96"/>
        <v/>
      </c>
      <c r="AG430" s="190">
        <v>0</v>
      </c>
      <c r="AH430" s="69">
        <f t="shared" si="89"/>
        <v>4</v>
      </c>
      <c r="AK430" s="69">
        <v>0</v>
      </c>
    </row>
    <row r="431" spans="1:37" s="69" customFormat="1" ht="66" customHeight="1" x14ac:dyDescent="0.3">
      <c r="A431" s="55" t="s">
        <v>1114</v>
      </c>
      <c r="B431" s="138" t="s">
        <v>1115</v>
      </c>
      <c r="C431" s="54" t="s">
        <v>325</v>
      </c>
      <c r="D431" s="75">
        <v>2</v>
      </c>
      <c r="E431" s="75"/>
      <c r="F431" s="75"/>
      <c r="G431" s="75"/>
      <c r="H431" s="75">
        <v>20000</v>
      </c>
      <c r="I431" s="75">
        <v>40000</v>
      </c>
      <c r="J431" s="91" t="s">
        <v>1116</v>
      </c>
      <c r="K431" s="73"/>
      <c r="L431" s="46">
        <v>0</v>
      </c>
      <c r="M431" s="46">
        <v>0</v>
      </c>
      <c r="N431" s="46">
        <v>0</v>
      </c>
      <c r="O431" s="98"/>
      <c r="P431" s="23" t="s">
        <v>1436</v>
      </c>
      <c r="Q431" s="24" t="s">
        <v>1115</v>
      </c>
      <c r="R431" s="25" t="s">
        <v>325</v>
      </c>
      <c r="S431" s="26">
        <v>2</v>
      </c>
      <c r="T431" s="26"/>
      <c r="U431" s="26">
        <v>20000</v>
      </c>
      <c r="V431" s="26">
        <f t="shared" si="91"/>
        <v>0</v>
      </c>
      <c r="W431" s="26">
        <f t="shared" si="80"/>
        <v>0</v>
      </c>
      <c r="X431" s="26">
        <f t="shared" si="92"/>
        <v>0</v>
      </c>
      <c r="Y431" s="26">
        <f t="shared" si="93"/>
        <v>0</v>
      </c>
      <c r="Z431" s="33" t="s">
        <v>15</v>
      </c>
      <c r="AA431" s="36" t="s">
        <v>16</v>
      </c>
      <c r="AB431" s="35">
        <f t="shared" si="95"/>
        <v>2</v>
      </c>
      <c r="AC431" s="35">
        <f t="shared" si="94"/>
        <v>40000</v>
      </c>
      <c r="AD431" s="181">
        <v>3</v>
      </c>
      <c r="AE431" s="181">
        <v>3</v>
      </c>
      <c r="AF431" s="101" t="str">
        <f t="shared" si="96"/>
        <v/>
      </c>
      <c r="AG431" s="190">
        <v>0</v>
      </c>
      <c r="AH431" s="69">
        <f t="shared" si="89"/>
        <v>2</v>
      </c>
      <c r="AK431" s="69">
        <v>0</v>
      </c>
    </row>
    <row r="432" spans="1:37" s="69" customFormat="1" ht="49.5" customHeight="1" x14ac:dyDescent="0.3">
      <c r="A432" s="55" t="s">
        <v>1117</v>
      </c>
      <c r="B432" s="138" t="s">
        <v>1118</v>
      </c>
      <c r="C432" s="54" t="s">
        <v>66</v>
      </c>
      <c r="D432" s="75">
        <v>1</v>
      </c>
      <c r="E432" s="75"/>
      <c r="F432" s="75"/>
      <c r="G432" s="75"/>
      <c r="H432" s="75">
        <v>15000</v>
      </c>
      <c r="I432" s="75">
        <v>15000</v>
      </c>
      <c r="J432" s="91" t="s">
        <v>1119</v>
      </c>
      <c r="K432" s="73"/>
      <c r="L432" s="46">
        <v>0</v>
      </c>
      <c r="M432" s="46">
        <v>0</v>
      </c>
      <c r="N432" s="46">
        <v>0</v>
      </c>
      <c r="O432" s="98"/>
      <c r="P432" s="23" t="s">
        <v>1374</v>
      </c>
      <c r="Q432" s="24" t="s">
        <v>1118</v>
      </c>
      <c r="R432" s="25" t="s">
        <v>66</v>
      </c>
      <c r="S432" s="26">
        <v>1</v>
      </c>
      <c r="T432" s="26"/>
      <c r="U432" s="26">
        <v>15000</v>
      </c>
      <c r="V432" s="26">
        <f t="shared" si="91"/>
        <v>0</v>
      </c>
      <c r="W432" s="26">
        <f t="shared" si="80"/>
        <v>0</v>
      </c>
      <c r="X432" s="26">
        <f t="shared" si="92"/>
        <v>0</v>
      </c>
      <c r="Y432" s="26">
        <f t="shared" si="93"/>
        <v>0</v>
      </c>
      <c r="Z432" s="33" t="s">
        <v>15</v>
      </c>
      <c r="AA432" s="36" t="s">
        <v>16</v>
      </c>
      <c r="AB432" s="35">
        <f t="shared" si="95"/>
        <v>1</v>
      </c>
      <c r="AC432" s="35">
        <f t="shared" si="94"/>
        <v>15000</v>
      </c>
      <c r="AD432" s="181">
        <v>3</v>
      </c>
      <c r="AE432" s="181">
        <v>3</v>
      </c>
      <c r="AF432" s="101" t="str">
        <f t="shared" si="96"/>
        <v/>
      </c>
      <c r="AG432" s="190">
        <v>0</v>
      </c>
      <c r="AH432" s="69">
        <f t="shared" si="89"/>
        <v>1</v>
      </c>
      <c r="AK432" s="69">
        <v>0</v>
      </c>
    </row>
    <row r="433" spans="1:37" s="69" customFormat="1" ht="49.5" customHeight="1" x14ac:dyDescent="0.3">
      <c r="A433" s="55" t="s">
        <v>1120</v>
      </c>
      <c r="B433" s="138" t="s">
        <v>1121</v>
      </c>
      <c r="C433" s="54" t="s">
        <v>1122</v>
      </c>
      <c r="D433" s="75">
        <v>3</v>
      </c>
      <c r="E433" s="75"/>
      <c r="F433" s="75"/>
      <c r="G433" s="75"/>
      <c r="H433" s="75">
        <v>1300</v>
      </c>
      <c r="I433" s="75">
        <v>3900</v>
      </c>
      <c r="J433" s="91" t="s">
        <v>1123</v>
      </c>
      <c r="K433" s="73"/>
      <c r="L433" s="46">
        <v>0</v>
      </c>
      <c r="M433" s="46">
        <v>0</v>
      </c>
      <c r="N433" s="46">
        <v>0</v>
      </c>
      <c r="O433" s="98"/>
      <c r="P433" s="23" t="s">
        <v>1376</v>
      </c>
      <c r="Q433" s="24" t="s">
        <v>1121</v>
      </c>
      <c r="R433" s="25" t="s">
        <v>1122</v>
      </c>
      <c r="S433" s="26">
        <v>3</v>
      </c>
      <c r="T433" s="26"/>
      <c r="U433" s="26">
        <v>1300</v>
      </c>
      <c r="V433" s="26">
        <f t="shared" si="91"/>
        <v>0</v>
      </c>
      <c r="W433" s="26">
        <f t="shared" si="80"/>
        <v>0</v>
      </c>
      <c r="X433" s="26">
        <f t="shared" si="92"/>
        <v>0</v>
      </c>
      <c r="Y433" s="26">
        <f t="shared" si="93"/>
        <v>0</v>
      </c>
      <c r="Z433" s="33" t="s">
        <v>15</v>
      </c>
      <c r="AA433" s="36" t="s">
        <v>16</v>
      </c>
      <c r="AB433" s="35">
        <f t="shared" si="95"/>
        <v>3</v>
      </c>
      <c r="AC433" s="35">
        <f t="shared" si="94"/>
        <v>3900</v>
      </c>
      <c r="AD433" s="181">
        <v>3</v>
      </c>
      <c r="AE433" s="181">
        <v>3</v>
      </c>
      <c r="AF433" s="101" t="str">
        <f t="shared" si="96"/>
        <v/>
      </c>
      <c r="AG433" s="190">
        <v>0</v>
      </c>
      <c r="AH433" s="69">
        <f t="shared" si="89"/>
        <v>3</v>
      </c>
      <c r="AK433" s="69">
        <v>0</v>
      </c>
    </row>
    <row r="434" spans="1:37" s="69" customFormat="1" ht="33" customHeight="1" x14ac:dyDescent="0.3">
      <c r="A434" s="55" t="s">
        <v>1124</v>
      </c>
      <c r="B434" s="138" t="s">
        <v>1125</v>
      </c>
      <c r="C434" s="54" t="s">
        <v>1122</v>
      </c>
      <c r="D434" s="75">
        <v>6</v>
      </c>
      <c r="E434" s="75"/>
      <c r="F434" s="75"/>
      <c r="G434" s="75"/>
      <c r="H434" s="75">
        <v>1000</v>
      </c>
      <c r="I434" s="75">
        <v>6000</v>
      </c>
      <c r="J434" s="91" t="s">
        <v>1126</v>
      </c>
      <c r="K434" s="73"/>
      <c r="L434" s="46">
        <v>0</v>
      </c>
      <c r="M434" s="46">
        <v>0</v>
      </c>
      <c r="N434" s="46">
        <v>0</v>
      </c>
      <c r="O434" s="98"/>
      <c r="P434" s="23" t="s">
        <v>1378</v>
      </c>
      <c r="Q434" s="24" t="s">
        <v>1125</v>
      </c>
      <c r="R434" s="25" t="s">
        <v>1122</v>
      </c>
      <c r="S434" s="26">
        <v>6</v>
      </c>
      <c r="T434" s="26"/>
      <c r="U434" s="26">
        <v>1000</v>
      </c>
      <c r="V434" s="26">
        <f t="shared" si="91"/>
        <v>0</v>
      </c>
      <c r="W434" s="26">
        <f t="shared" si="80"/>
        <v>0</v>
      </c>
      <c r="X434" s="26">
        <f t="shared" si="92"/>
        <v>0</v>
      </c>
      <c r="Y434" s="26">
        <f t="shared" si="93"/>
        <v>0</v>
      </c>
      <c r="Z434" s="33" t="s">
        <v>15</v>
      </c>
      <c r="AA434" s="36" t="s">
        <v>16</v>
      </c>
      <c r="AB434" s="35">
        <f t="shared" si="95"/>
        <v>6</v>
      </c>
      <c r="AC434" s="35">
        <f t="shared" si="94"/>
        <v>6000</v>
      </c>
      <c r="AD434" s="181">
        <v>3</v>
      </c>
      <c r="AE434" s="181">
        <v>3</v>
      </c>
      <c r="AF434" s="101" t="str">
        <f t="shared" si="96"/>
        <v/>
      </c>
      <c r="AG434" s="190">
        <v>0</v>
      </c>
      <c r="AH434" s="69">
        <f t="shared" si="89"/>
        <v>6</v>
      </c>
      <c r="AK434" s="69">
        <v>0</v>
      </c>
    </row>
    <row r="435" spans="1:37" s="69" customFormat="1" ht="33" customHeight="1" x14ac:dyDescent="0.3">
      <c r="A435" s="55" t="s">
        <v>1127</v>
      </c>
      <c r="B435" s="138" t="s">
        <v>1128</v>
      </c>
      <c r="C435" s="54" t="s">
        <v>325</v>
      </c>
      <c r="D435" s="75">
        <v>2</v>
      </c>
      <c r="E435" s="75"/>
      <c r="F435" s="75"/>
      <c r="G435" s="75"/>
      <c r="H435" s="75">
        <v>9000</v>
      </c>
      <c r="I435" s="75">
        <v>18000</v>
      </c>
      <c r="J435" s="91" t="s">
        <v>1129</v>
      </c>
      <c r="K435" s="73"/>
      <c r="L435" s="46">
        <v>0</v>
      </c>
      <c r="M435" s="46">
        <v>0</v>
      </c>
      <c r="N435" s="46">
        <v>0</v>
      </c>
      <c r="O435" s="98"/>
      <c r="P435" s="23" t="s">
        <v>1438</v>
      </c>
      <c r="Q435" s="24" t="s">
        <v>1128</v>
      </c>
      <c r="R435" s="25" t="s">
        <v>325</v>
      </c>
      <c r="S435" s="26">
        <v>2</v>
      </c>
      <c r="T435" s="26"/>
      <c r="U435" s="26">
        <v>9000</v>
      </c>
      <c r="V435" s="26">
        <f t="shared" si="91"/>
        <v>0</v>
      </c>
      <c r="W435" s="26">
        <f t="shared" si="80"/>
        <v>0</v>
      </c>
      <c r="X435" s="26">
        <f t="shared" si="92"/>
        <v>0</v>
      </c>
      <c r="Y435" s="26">
        <f t="shared" si="93"/>
        <v>0</v>
      </c>
      <c r="Z435" s="33" t="s">
        <v>15</v>
      </c>
      <c r="AA435" s="36" t="s">
        <v>16</v>
      </c>
      <c r="AB435" s="35">
        <f t="shared" si="95"/>
        <v>2</v>
      </c>
      <c r="AC435" s="35">
        <f t="shared" si="94"/>
        <v>18000</v>
      </c>
      <c r="AD435" s="181">
        <v>3</v>
      </c>
      <c r="AE435" s="181">
        <v>3</v>
      </c>
      <c r="AF435" s="101" t="str">
        <f t="shared" si="96"/>
        <v/>
      </c>
      <c r="AG435" s="190">
        <v>0</v>
      </c>
      <c r="AH435" s="69">
        <f t="shared" si="89"/>
        <v>2</v>
      </c>
      <c r="AK435" s="69">
        <v>0</v>
      </c>
    </row>
    <row r="436" spans="1:37" s="69" customFormat="1" ht="49.5" customHeight="1" x14ac:dyDescent="0.3">
      <c r="A436" s="55" t="s">
        <v>1130</v>
      </c>
      <c r="B436" s="138" t="s">
        <v>1131</v>
      </c>
      <c r="C436" s="54" t="s">
        <v>325</v>
      </c>
      <c r="D436" s="75">
        <v>3</v>
      </c>
      <c r="E436" s="75"/>
      <c r="F436" s="75"/>
      <c r="G436" s="75"/>
      <c r="H436" s="75">
        <v>4200</v>
      </c>
      <c r="I436" s="75">
        <v>12600</v>
      </c>
      <c r="J436" s="91" t="s">
        <v>1132</v>
      </c>
      <c r="K436" s="73"/>
      <c r="L436" s="46">
        <v>0</v>
      </c>
      <c r="M436" s="46">
        <v>0</v>
      </c>
      <c r="N436" s="46">
        <v>0</v>
      </c>
      <c r="O436" s="98"/>
      <c r="P436" s="23" t="s">
        <v>1439</v>
      </c>
      <c r="Q436" s="24" t="s">
        <v>1131</v>
      </c>
      <c r="R436" s="25" t="s">
        <v>325</v>
      </c>
      <c r="S436" s="26">
        <v>3</v>
      </c>
      <c r="T436" s="26"/>
      <c r="U436" s="26">
        <v>4200</v>
      </c>
      <c r="V436" s="26">
        <f t="shared" si="91"/>
        <v>0</v>
      </c>
      <c r="W436" s="26">
        <f t="shared" si="80"/>
        <v>0</v>
      </c>
      <c r="X436" s="26">
        <f t="shared" si="92"/>
        <v>0</v>
      </c>
      <c r="Y436" s="26">
        <f t="shared" si="93"/>
        <v>0</v>
      </c>
      <c r="Z436" s="33" t="s">
        <v>15</v>
      </c>
      <c r="AA436" s="36" t="s">
        <v>16</v>
      </c>
      <c r="AB436" s="35">
        <f t="shared" si="95"/>
        <v>3</v>
      </c>
      <c r="AC436" s="35">
        <f t="shared" si="94"/>
        <v>12600</v>
      </c>
      <c r="AD436" s="181">
        <v>3</v>
      </c>
      <c r="AE436" s="181">
        <v>3</v>
      </c>
      <c r="AF436" s="101" t="str">
        <f t="shared" si="96"/>
        <v/>
      </c>
      <c r="AG436" s="190">
        <v>0</v>
      </c>
      <c r="AH436" s="69">
        <f t="shared" si="89"/>
        <v>3</v>
      </c>
    </row>
    <row r="437" spans="1:37" s="69" customFormat="1" ht="49.5" customHeight="1" x14ac:dyDescent="0.3">
      <c r="A437" s="55" t="s">
        <v>1133</v>
      </c>
      <c r="B437" s="138" t="s">
        <v>3069</v>
      </c>
      <c r="C437" s="54" t="s">
        <v>66</v>
      </c>
      <c r="D437" s="75">
        <v>4</v>
      </c>
      <c r="E437" s="75"/>
      <c r="F437" s="75"/>
      <c r="G437" s="75"/>
      <c r="H437" s="75">
        <v>1000</v>
      </c>
      <c r="I437" s="75">
        <v>4000</v>
      </c>
      <c r="J437" s="91" t="s">
        <v>1135</v>
      </c>
      <c r="K437" s="73"/>
      <c r="L437" s="46">
        <v>0</v>
      </c>
      <c r="M437" s="46">
        <v>0</v>
      </c>
      <c r="N437" s="46">
        <v>0</v>
      </c>
      <c r="O437" s="98"/>
      <c r="P437" s="23" t="s">
        <v>1440</v>
      </c>
      <c r="Q437" s="24" t="s">
        <v>1134</v>
      </c>
      <c r="R437" s="25" t="s">
        <v>66</v>
      </c>
      <c r="S437" s="26">
        <v>4</v>
      </c>
      <c r="T437" s="26"/>
      <c r="U437" s="26">
        <v>1000</v>
      </c>
      <c r="V437" s="26">
        <f t="shared" si="91"/>
        <v>0</v>
      </c>
      <c r="W437" s="26">
        <f t="shared" si="80"/>
        <v>0</v>
      </c>
      <c r="X437" s="26">
        <f t="shared" si="92"/>
        <v>0</v>
      </c>
      <c r="Y437" s="26">
        <f t="shared" si="93"/>
        <v>0</v>
      </c>
      <c r="Z437" s="33" t="s">
        <v>15</v>
      </c>
      <c r="AA437" s="36" t="s">
        <v>16</v>
      </c>
      <c r="AB437" s="35">
        <f t="shared" si="95"/>
        <v>4</v>
      </c>
      <c r="AC437" s="35">
        <f t="shared" si="94"/>
        <v>4000</v>
      </c>
      <c r="AD437" s="181">
        <v>3</v>
      </c>
      <c r="AE437" s="181">
        <v>3</v>
      </c>
      <c r="AF437" s="101" t="str">
        <f t="shared" si="96"/>
        <v/>
      </c>
      <c r="AG437" s="190">
        <v>0</v>
      </c>
      <c r="AH437" s="69">
        <f t="shared" si="89"/>
        <v>4</v>
      </c>
    </row>
    <row r="438" spans="1:37" s="69" customFormat="1" ht="49.5" customHeight="1" x14ac:dyDescent="0.3">
      <c r="A438" s="55" t="s">
        <v>1136</v>
      </c>
      <c r="B438" s="138" t="s">
        <v>1137</v>
      </c>
      <c r="C438" s="54" t="s">
        <v>325</v>
      </c>
      <c r="D438" s="75">
        <v>15</v>
      </c>
      <c r="E438" s="75"/>
      <c r="F438" s="75"/>
      <c r="G438" s="75"/>
      <c r="H438" s="75">
        <v>4500</v>
      </c>
      <c r="I438" s="75">
        <v>67500</v>
      </c>
      <c r="J438" s="91" t="s">
        <v>1138</v>
      </c>
      <c r="K438" s="73"/>
      <c r="L438" s="46">
        <v>0</v>
      </c>
      <c r="M438" s="46">
        <v>0</v>
      </c>
      <c r="N438" s="46">
        <v>0</v>
      </c>
      <c r="O438" s="98"/>
      <c r="P438" s="23" t="s">
        <v>1441</v>
      </c>
      <c r="Q438" s="24" t="s">
        <v>1137</v>
      </c>
      <c r="R438" s="25" t="s">
        <v>325</v>
      </c>
      <c r="S438" s="26">
        <v>15</v>
      </c>
      <c r="T438" s="26"/>
      <c r="U438" s="26">
        <v>4500</v>
      </c>
      <c r="V438" s="26">
        <f t="shared" si="91"/>
        <v>0</v>
      </c>
      <c r="W438" s="26">
        <f t="shared" si="80"/>
        <v>0</v>
      </c>
      <c r="X438" s="26">
        <f t="shared" si="92"/>
        <v>0</v>
      </c>
      <c r="Y438" s="26">
        <f t="shared" si="93"/>
        <v>0</v>
      </c>
      <c r="Z438" s="33" t="s">
        <v>15</v>
      </c>
      <c r="AA438" s="36" t="s">
        <v>16</v>
      </c>
      <c r="AB438" s="35">
        <f t="shared" si="95"/>
        <v>15</v>
      </c>
      <c r="AC438" s="35">
        <f t="shared" si="94"/>
        <v>67500</v>
      </c>
      <c r="AD438" s="181">
        <v>3</v>
      </c>
      <c r="AE438" s="181">
        <v>3</v>
      </c>
      <c r="AF438" s="101" t="str">
        <f t="shared" si="96"/>
        <v/>
      </c>
      <c r="AG438" s="190">
        <v>0</v>
      </c>
      <c r="AH438" s="69">
        <f t="shared" si="89"/>
        <v>15</v>
      </c>
    </row>
    <row r="439" spans="1:37" s="69" customFormat="1" ht="33" customHeight="1" x14ac:dyDescent="0.3">
      <c r="A439" s="55" t="s">
        <v>1139</v>
      </c>
      <c r="B439" s="138" t="s">
        <v>1140</v>
      </c>
      <c r="C439" s="54" t="s">
        <v>325</v>
      </c>
      <c r="D439" s="75">
        <v>2</v>
      </c>
      <c r="E439" s="75"/>
      <c r="F439" s="75"/>
      <c r="G439" s="75"/>
      <c r="H439" s="75">
        <v>636300</v>
      </c>
      <c r="I439" s="75">
        <v>1272600</v>
      </c>
      <c r="J439" s="91" t="s">
        <v>1141</v>
      </c>
      <c r="K439" s="73"/>
      <c r="L439" s="46">
        <v>1</v>
      </c>
      <c r="M439" s="46">
        <v>0</v>
      </c>
      <c r="N439" s="46">
        <v>636300</v>
      </c>
      <c r="O439" s="98"/>
      <c r="P439" s="23" t="s">
        <v>1442</v>
      </c>
      <c r="Q439" s="24" t="s">
        <v>1140</v>
      </c>
      <c r="R439" s="25" t="s">
        <v>325</v>
      </c>
      <c r="S439" s="26">
        <v>2</v>
      </c>
      <c r="T439" s="26"/>
      <c r="U439" s="26">
        <v>636300</v>
      </c>
      <c r="V439" s="26">
        <f t="shared" si="91"/>
        <v>0</v>
      </c>
      <c r="W439" s="26">
        <f t="shared" si="80"/>
        <v>1</v>
      </c>
      <c r="X439" s="26">
        <f t="shared" si="92"/>
        <v>0</v>
      </c>
      <c r="Y439" s="26">
        <f t="shared" si="93"/>
        <v>636300</v>
      </c>
      <c r="Z439" s="33" t="s">
        <v>15</v>
      </c>
      <c r="AA439" s="36" t="s">
        <v>16</v>
      </c>
      <c r="AB439" s="35">
        <f t="shared" si="95"/>
        <v>2</v>
      </c>
      <c r="AC439" s="35">
        <f t="shared" si="94"/>
        <v>1272600</v>
      </c>
      <c r="AD439" s="181">
        <v>3</v>
      </c>
      <c r="AE439" s="181">
        <v>3</v>
      </c>
      <c r="AF439" s="101" t="str">
        <f t="shared" si="96"/>
        <v/>
      </c>
      <c r="AG439" s="190">
        <v>1</v>
      </c>
      <c r="AH439" s="69">
        <f t="shared" si="89"/>
        <v>2</v>
      </c>
    </row>
    <row r="440" spans="1:37" s="69" customFormat="1" ht="49.5" customHeight="1" x14ac:dyDescent="0.3">
      <c r="A440" s="55" t="s">
        <v>1142</v>
      </c>
      <c r="B440" s="138" t="s">
        <v>1143</v>
      </c>
      <c r="C440" s="54" t="s">
        <v>1144</v>
      </c>
      <c r="D440" s="75">
        <v>4</v>
      </c>
      <c r="E440" s="75"/>
      <c r="F440" s="75"/>
      <c r="G440" s="75"/>
      <c r="H440" s="75">
        <v>2000</v>
      </c>
      <c r="I440" s="75">
        <v>8000</v>
      </c>
      <c r="J440" s="91" t="s">
        <v>1145</v>
      </c>
      <c r="K440" s="73"/>
      <c r="L440" s="46">
        <v>0</v>
      </c>
      <c r="M440" s="46">
        <v>0</v>
      </c>
      <c r="N440" s="46">
        <v>0</v>
      </c>
      <c r="O440" s="98"/>
      <c r="P440" s="23" t="s">
        <v>1443</v>
      </c>
      <c r="Q440" s="24" t="s">
        <v>1143</v>
      </c>
      <c r="R440" s="25" t="s">
        <v>1144</v>
      </c>
      <c r="S440" s="26">
        <v>4</v>
      </c>
      <c r="T440" s="26"/>
      <c r="U440" s="26">
        <v>2000</v>
      </c>
      <c r="V440" s="26">
        <f t="shared" si="91"/>
        <v>0</v>
      </c>
      <c r="W440" s="26">
        <f t="shared" si="80"/>
        <v>0</v>
      </c>
      <c r="X440" s="26">
        <f t="shared" si="92"/>
        <v>0</v>
      </c>
      <c r="Y440" s="26">
        <f t="shared" si="93"/>
        <v>0</v>
      </c>
      <c r="Z440" s="33" t="s">
        <v>15</v>
      </c>
      <c r="AA440" s="36" t="s">
        <v>16</v>
      </c>
      <c r="AB440" s="35">
        <f t="shared" si="95"/>
        <v>4</v>
      </c>
      <c r="AC440" s="35">
        <f t="shared" si="94"/>
        <v>8000</v>
      </c>
      <c r="AD440" s="181">
        <v>3</v>
      </c>
      <c r="AE440" s="181">
        <v>3</v>
      </c>
      <c r="AF440" s="101" t="str">
        <f t="shared" si="96"/>
        <v/>
      </c>
      <c r="AG440" s="190">
        <v>0</v>
      </c>
      <c r="AH440" s="69">
        <f t="shared" si="89"/>
        <v>4</v>
      </c>
    </row>
    <row r="441" spans="1:37" s="69" customFormat="1" ht="33" x14ac:dyDescent="0.3">
      <c r="A441" s="134">
        <v>3.35</v>
      </c>
      <c r="B441" s="135" t="s">
        <v>1346</v>
      </c>
      <c r="C441" s="58" t="s">
        <v>325</v>
      </c>
      <c r="D441" s="77"/>
      <c r="E441" s="59">
        <v>1</v>
      </c>
      <c r="F441" s="77"/>
      <c r="G441" s="77"/>
      <c r="H441" s="77">
        <v>119161.05</v>
      </c>
      <c r="I441" s="59">
        <v>119161.05</v>
      </c>
      <c r="J441" s="92"/>
      <c r="K441" s="73"/>
      <c r="L441" s="46">
        <v>1</v>
      </c>
      <c r="M441" s="46">
        <v>0</v>
      </c>
      <c r="N441" s="46">
        <v>119161.05</v>
      </c>
      <c r="O441" s="98"/>
      <c r="P441" s="23" t="s">
        <v>1444</v>
      </c>
      <c r="Q441" s="24" t="s">
        <v>1501</v>
      </c>
      <c r="R441" s="25" t="s">
        <v>325</v>
      </c>
      <c r="S441" s="26">
        <v>0</v>
      </c>
      <c r="T441" s="26">
        <v>1</v>
      </c>
      <c r="U441" s="26">
        <v>119161.05</v>
      </c>
      <c r="V441" s="127">
        <f t="shared" si="91"/>
        <v>0</v>
      </c>
      <c r="W441" s="127">
        <f t="shared" si="80"/>
        <v>1</v>
      </c>
      <c r="X441" s="127">
        <f t="shared" si="92"/>
        <v>0</v>
      </c>
      <c r="Y441" s="127">
        <f t="shared" si="93"/>
        <v>119161.05</v>
      </c>
      <c r="Z441" s="27"/>
      <c r="AA441" s="36" t="s">
        <v>16</v>
      </c>
      <c r="AB441" s="35">
        <f t="shared" si="95"/>
        <v>1</v>
      </c>
      <c r="AC441" s="35">
        <f t="shared" si="94"/>
        <v>119161.05</v>
      </c>
      <c r="AD441" s="181">
        <v>3</v>
      </c>
      <c r="AE441" s="181">
        <v>3</v>
      </c>
      <c r="AF441" s="101" t="str">
        <f t="shared" si="96"/>
        <v/>
      </c>
      <c r="AG441" s="190">
        <v>1</v>
      </c>
      <c r="AH441" s="69">
        <f t="shared" si="89"/>
        <v>1</v>
      </c>
    </row>
    <row r="442" spans="1:37" ht="39" x14ac:dyDescent="0.3">
      <c r="A442" s="134" t="s">
        <v>1347</v>
      </c>
      <c r="B442" s="135" t="s">
        <v>1348</v>
      </c>
      <c r="C442" s="61" t="s">
        <v>325</v>
      </c>
      <c r="D442" s="78"/>
      <c r="E442" s="78"/>
      <c r="F442" s="62">
        <v>1</v>
      </c>
      <c r="G442" s="140"/>
      <c r="H442" s="78">
        <v>74988.5</v>
      </c>
      <c r="I442" s="62">
        <v>74988.5</v>
      </c>
      <c r="J442" s="93"/>
      <c r="L442" s="46">
        <v>1</v>
      </c>
      <c r="M442" s="46">
        <v>0</v>
      </c>
      <c r="N442" s="46">
        <v>74988.5</v>
      </c>
      <c r="O442" s="98"/>
      <c r="P442" s="23" t="s">
        <v>1408</v>
      </c>
      <c r="Q442" s="24" t="s">
        <v>1348</v>
      </c>
      <c r="R442" s="25" t="s">
        <v>325</v>
      </c>
      <c r="S442" s="26">
        <v>0</v>
      </c>
      <c r="T442" s="26">
        <v>1</v>
      </c>
      <c r="U442" s="26">
        <v>74988.5</v>
      </c>
      <c r="V442" s="127">
        <f t="shared" si="91"/>
        <v>0</v>
      </c>
      <c r="W442" s="127">
        <f t="shared" si="80"/>
        <v>1</v>
      </c>
      <c r="X442" s="127">
        <f t="shared" si="92"/>
        <v>0</v>
      </c>
      <c r="Y442" s="127">
        <f t="shared" si="93"/>
        <v>74988.5</v>
      </c>
      <c r="Z442" s="27"/>
      <c r="AA442" s="36" t="s">
        <v>16</v>
      </c>
      <c r="AB442" s="35">
        <f t="shared" si="95"/>
        <v>1</v>
      </c>
      <c r="AC442" s="35">
        <f t="shared" si="94"/>
        <v>74988.5</v>
      </c>
      <c r="AD442" s="181">
        <v>3</v>
      </c>
      <c r="AE442" s="181">
        <v>3</v>
      </c>
      <c r="AF442" s="101" t="str">
        <f t="shared" si="96"/>
        <v/>
      </c>
      <c r="AG442" s="190">
        <v>1</v>
      </c>
      <c r="AH442" s="69">
        <f t="shared" si="89"/>
        <v>1</v>
      </c>
    </row>
    <row r="443" spans="1:37" ht="49.5" x14ac:dyDescent="0.3">
      <c r="A443" s="134" t="s">
        <v>1349</v>
      </c>
      <c r="B443" s="139" t="s">
        <v>1350</v>
      </c>
      <c r="C443" s="61" t="s">
        <v>325</v>
      </c>
      <c r="D443" s="78"/>
      <c r="E443" s="78"/>
      <c r="F443" s="62">
        <v>2</v>
      </c>
      <c r="G443" s="140"/>
      <c r="H443" s="78">
        <v>83493.929999999993</v>
      </c>
      <c r="I443" s="62">
        <v>166987.85999999999</v>
      </c>
      <c r="J443" s="93"/>
      <c r="L443" s="46">
        <v>2</v>
      </c>
      <c r="M443" s="46">
        <v>0</v>
      </c>
      <c r="N443" s="46">
        <v>166987.85999999999</v>
      </c>
      <c r="O443" s="98"/>
      <c r="P443" s="23" t="s">
        <v>1409</v>
      </c>
      <c r="Q443" s="24" t="s">
        <v>1350</v>
      </c>
      <c r="R443" s="25" t="s">
        <v>325</v>
      </c>
      <c r="S443" s="26">
        <v>0</v>
      </c>
      <c r="T443" s="26">
        <v>2</v>
      </c>
      <c r="U443" s="26">
        <v>83493.929999999993</v>
      </c>
      <c r="V443" s="127">
        <f t="shared" si="91"/>
        <v>0</v>
      </c>
      <c r="W443" s="127">
        <f t="shared" si="80"/>
        <v>2</v>
      </c>
      <c r="X443" s="127">
        <f t="shared" si="92"/>
        <v>0</v>
      </c>
      <c r="Y443" s="127">
        <f t="shared" si="93"/>
        <v>166987.85999999999</v>
      </c>
      <c r="Z443" s="27"/>
      <c r="AA443" s="36" t="s">
        <v>16</v>
      </c>
      <c r="AB443" s="35">
        <f t="shared" si="95"/>
        <v>2</v>
      </c>
      <c r="AC443" s="35">
        <f t="shared" si="94"/>
        <v>166987.85999999999</v>
      </c>
      <c r="AD443" s="181">
        <v>3</v>
      </c>
      <c r="AE443" s="181">
        <v>3</v>
      </c>
      <c r="AF443" s="101" t="str">
        <f t="shared" si="96"/>
        <v/>
      </c>
      <c r="AG443" s="190">
        <v>2</v>
      </c>
      <c r="AH443" s="69">
        <f t="shared" si="89"/>
        <v>2</v>
      </c>
    </row>
    <row r="444" spans="1:37" ht="49.5" x14ac:dyDescent="0.3">
      <c r="A444" s="134" t="s">
        <v>1351</v>
      </c>
      <c r="B444" s="139" t="s">
        <v>1352</v>
      </c>
      <c r="C444" s="61" t="s">
        <v>325</v>
      </c>
      <c r="D444" s="78"/>
      <c r="E444" s="78"/>
      <c r="F444" s="62">
        <v>2</v>
      </c>
      <c r="G444" s="140"/>
      <c r="H444" s="78">
        <v>76194.460000000006</v>
      </c>
      <c r="I444" s="62">
        <v>152388.92000000001</v>
      </c>
      <c r="J444" s="93"/>
      <c r="L444" s="46">
        <v>2</v>
      </c>
      <c r="M444" s="46">
        <v>0</v>
      </c>
      <c r="N444" s="46">
        <v>152388.92000000001</v>
      </c>
      <c r="O444" s="98"/>
      <c r="P444" s="23" t="s">
        <v>1410</v>
      </c>
      <c r="Q444" s="24" t="s">
        <v>1352</v>
      </c>
      <c r="R444" s="25" t="s">
        <v>325</v>
      </c>
      <c r="S444" s="26">
        <v>0</v>
      </c>
      <c r="T444" s="26">
        <v>2</v>
      </c>
      <c r="U444" s="26">
        <v>76194.460000000006</v>
      </c>
      <c r="V444" s="127">
        <f t="shared" si="91"/>
        <v>0</v>
      </c>
      <c r="W444" s="127">
        <f t="shared" si="80"/>
        <v>2</v>
      </c>
      <c r="X444" s="127">
        <f t="shared" si="92"/>
        <v>0</v>
      </c>
      <c r="Y444" s="127">
        <f t="shared" si="93"/>
        <v>152388.92000000001</v>
      </c>
      <c r="Z444" s="27"/>
      <c r="AA444" s="36" t="s">
        <v>16</v>
      </c>
      <c r="AB444" s="35">
        <f t="shared" si="95"/>
        <v>2</v>
      </c>
      <c r="AC444" s="35">
        <f t="shared" si="94"/>
        <v>152388.92000000001</v>
      </c>
      <c r="AD444" s="181">
        <v>3</v>
      </c>
      <c r="AE444" s="181">
        <v>3</v>
      </c>
      <c r="AF444" s="101" t="str">
        <f t="shared" si="96"/>
        <v/>
      </c>
      <c r="AG444" s="190">
        <v>2</v>
      </c>
      <c r="AH444" s="69">
        <f t="shared" si="89"/>
        <v>2</v>
      </c>
    </row>
    <row r="445" spans="1:37" ht="33" x14ac:dyDescent="0.3">
      <c r="A445" s="134" t="s">
        <v>1353</v>
      </c>
      <c r="B445" s="139" t="s">
        <v>1354</v>
      </c>
      <c r="C445" s="61" t="s">
        <v>325</v>
      </c>
      <c r="D445" s="78"/>
      <c r="E445" s="78"/>
      <c r="F445" s="62">
        <v>2</v>
      </c>
      <c r="G445" s="140"/>
      <c r="H445" s="78">
        <v>17998.689999999999</v>
      </c>
      <c r="I445" s="62">
        <v>35997.379999999997</v>
      </c>
      <c r="J445" s="93"/>
      <c r="L445" s="46">
        <v>2</v>
      </c>
      <c r="M445" s="46">
        <v>0</v>
      </c>
      <c r="N445" s="46">
        <v>35997.379999999997</v>
      </c>
      <c r="O445" s="98"/>
      <c r="P445" s="23" t="s">
        <v>1411</v>
      </c>
      <c r="Q445" s="24" t="s">
        <v>1354</v>
      </c>
      <c r="R445" s="25" t="s">
        <v>325</v>
      </c>
      <c r="S445" s="26">
        <v>0</v>
      </c>
      <c r="T445" s="26">
        <v>2</v>
      </c>
      <c r="U445" s="26">
        <v>17998.689999999999</v>
      </c>
      <c r="V445" s="127">
        <f t="shared" si="91"/>
        <v>0</v>
      </c>
      <c r="W445" s="127">
        <f t="shared" si="80"/>
        <v>2</v>
      </c>
      <c r="X445" s="127">
        <f t="shared" si="92"/>
        <v>0</v>
      </c>
      <c r="Y445" s="127">
        <f t="shared" si="93"/>
        <v>35997.379999999997</v>
      </c>
      <c r="Z445" s="27"/>
      <c r="AA445" s="36" t="s">
        <v>16</v>
      </c>
      <c r="AB445" s="35">
        <f t="shared" si="95"/>
        <v>2</v>
      </c>
      <c r="AC445" s="35">
        <f t="shared" si="94"/>
        <v>35997.379999999997</v>
      </c>
      <c r="AD445" s="181">
        <v>3</v>
      </c>
      <c r="AE445" s="181">
        <v>3</v>
      </c>
      <c r="AF445" s="101" t="str">
        <f t="shared" si="96"/>
        <v/>
      </c>
      <c r="AG445" s="190">
        <v>2</v>
      </c>
      <c r="AH445" s="69">
        <f t="shared" si="89"/>
        <v>2</v>
      </c>
    </row>
    <row r="446" spans="1:37" s="69" customFormat="1" ht="33" customHeight="1" x14ac:dyDescent="0.3">
      <c r="A446" s="85" t="s">
        <v>1146</v>
      </c>
      <c r="B446" s="86" t="s">
        <v>1147</v>
      </c>
      <c r="C446" s="87" t="s">
        <v>14</v>
      </c>
      <c r="D446" s="88">
        <v>1</v>
      </c>
      <c r="E446" s="88"/>
      <c r="F446" s="88"/>
      <c r="G446" s="88"/>
      <c r="H446" s="88"/>
      <c r="I446" s="88">
        <v>2798664.24</v>
      </c>
      <c r="J446" s="95" t="s">
        <v>15</v>
      </c>
      <c r="K446" s="73"/>
      <c r="L446" s="42">
        <v>1</v>
      </c>
      <c r="M446" s="42">
        <v>62919.619999999995</v>
      </c>
      <c r="N446" s="42">
        <v>856176.08</v>
      </c>
      <c r="O446" s="98"/>
      <c r="P446" s="13" t="s">
        <v>1412</v>
      </c>
      <c r="Q446" s="14" t="s">
        <v>1147</v>
      </c>
      <c r="R446" s="15" t="s">
        <v>14</v>
      </c>
      <c r="S446" s="16">
        <v>1</v>
      </c>
      <c r="T446" s="16"/>
      <c r="U446" s="16">
        <f>SUMIFS(AC:AC,AD:AD,AD446)</f>
        <v>2798664.24</v>
      </c>
      <c r="V446" s="16">
        <f t="shared" ref="V446:W446" si="97">IF(X446=0,0,1)</f>
        <v>1</v>
      </c>
      <c r="W446" s="16">
        <f t="shared" si="97"/>
        <v>1</v>
      </c>
      <c r="X446" s="16">
        <f>SUMIFS(X:X,AE:AE,AD446)</f>
        <v>69816.499999999971</v>
      </c>
      <c r="Y446" s="16">
        <f>SUMIFS(Y:Y,AE:AE,AD446)</f>
        <v>925992.58</v>
      </c>
      <c r="Z446" s="17" t="s">
        <v>15</v>
      </c>
      <c r="AA446" s="40" t="s">
        <v>16</v>
      </c>
      <c r="AB446" s="35">
        <f t="shared" si="95"/>
        <v>1</v>
      </c>
      <c r="AC446" s="41"/>
      <c r="AD446" s="183">
        <v>4</v>
      </c>
      <c r="AE446" s="183"/>
      <c r="AF446" s="101" t="str">
        <f t="shared" si="96"/>
        <v/>
      </c>
      <c r="AG446" s="190">
        <v>1</v>
      </c>
      <c r="AH446" s="69">
        <f t="shared" si="89"/>
        <v>1</v>
      </c>
    </row>
    <row r="447" spans="1:37" s="69" customFormat="1" ht="49.5" customHeight="1" x14ac:dyDescent="0.3">
      <c r="A447" s="55" t="s">
        <v>1148</v>
      </c>
      <c r="B447" s="53" t="s">
        <v>1149</v>
      </c>
      <c r="C447" s="54" t="s">
        <v>1150</v>
      </c>
      <c r="D447" s="75">
        <v>48</v>
      </c>
      <c r="E447" s="75"/>
      <c r="F447" s="75"/>
      <c r="G447" s="75"/>
      <c r="H447" s="75">
        <v>13068.13</v>
      </c>
      <c r="I447" s="75">
        <v>627270.24</v>
      </c>
      <c r="J447" s="91" t="s">
        <v>1151</v>
      </c>
      <c r="K447" s="73"/>
      <c r="L447" s="46">
        <v>20</v>
      </c>
      <c r="M447" s="46">
        <v>26136.260000000009</v>
      </c>
      <c r="N447" s="46">
        <v>261362.6</v>
      </c>
      <c r="O447" s="98"/>
      <c r="P447" s="23" t="s">
        <v>1421</v>
      </c>
      <c r="Q447" s="24" t="s">
        <v>1149</v>
      </c>
      <c r="R447" s="25" t="s">
        <v>1150</v>
      </c>
      <c r="S447" s="26">
        <v>48</v>
      </c>
      <c r="T447" s="26"/>
      <c r="U447" s="26">
        <v>13068.13</v>
      </c>
      <c r="V447" s="102">
        <f t="shared" ref="V447:V449" si="98">AG447-L447</f>
        <v>2</v>
      </c>
      <c r="W447" s="26">
        <f t="shared" si="80"/>
        <v>22</v>
      </c>
      <c r="X447" s="26">
        <f>Y447-N447</f>
        <v>26136.25999999998</v>
      </c>
      <c r="Y447" s="26">
        <f t="shared" ref="Y447:Y449" si="99">ROUND(U447*W447,2)</f>
        <v>287498.86</v>
      </c>
      <c r="Z447" s="33" t="s">
        <v>15</v>
      </c>
      <c r="AA447" s="36" t="s">
        <v>16</v>
      </c>
      <c r="AB447" s="35">
        <f t="shared" si="95"/>
        <v>48</v>
      </c>
      <c r="AC447" s="35">
        <f t="shared" ref="AC447:AC449" si="100">ROUND(U447*AB447,2)</f>
        <v>627270.24</v>
      </c>
      <c r="AD447" s="181">
        <v>4</v>
      </c>
      <c r="AE447" s="181">
        <v>4</v>
      </c>
      <c r="AF447" s="101" t="str">
        <f t="shared" si="96"/>
        <v/>
      </c>
      <c r="AG447" s="191">
        <f>16+2+2+2</f>
        <v>22</v>
      </c>
      <c r="AH447" s="69">
        <f t="shared" si="89"/>
        <v>48</v>
      </c>
    </row>
    <row r="448" spans="1:37" s="69" customFormat="1" ht="66" customHeight="1" x14ac:dyDescent="0.3">
      <c r="A448" s="55" t="s">
        <v>1152</v>
      </c>
      <c r="B448" s="53" t="s">
        <v>1153</v>
      </c>
      <c r="C448" s="54" t="s">
        <v>998</v>
      </c>
      <c r="D448" s="75">
        <v>6720</v>
      </c>
      <c r="E448" s="75"/>
      <c r="F448" s="75"/>
      <c r="G448" s="75"/>
      <c r="H448" s="75">
        <v>54.57</v>
      </c>
      <c r="I448" s="75">
        <v>366710.4</v>
      </c>
      <c r="J448" s="91" t="s">
        <v>1154</v>
      </c>
      <c r="K448" s="73"/>
      <c r="L448" s="46">
        <v>1400</v>
      </c>
      <c r="M448" s="46">
        <v>0</v>
      </c>
      <c r="N448" s="46">
        <v>76398</v>
      </c>
      <c r="O448" s="98"/>
      <c r="P448" s="23" t="s">
        <v>1426</v>
      </c>
      <c r="Q448" s="24" t="s">
        <v>1153</v>
      </c>
      <c r="R448" s="25" t="s">
        <v>998</v>
      </c>
      <c r="S448" s="26">
        <v>6720</v>
      </c>
      <c r="T448" s="26"/>
      <c r="U448" s="26">
        <v>54.57</v>
      </c>
      <c r="V448" s="102">
        <f t="shared" si="98"/>
        <v>0</v>
      </c>
      <c r="W448" s="26">
        <f t="shared" si="80"/>
        <v>1400</v>
      </c>
      <c r="X448" s="26">
        <f>Y448-N448</f>
        <v>0</v>
      </c>
      <c r="Y448" s="26">
        <f t="shared" si="99"/>
        <v>76398</v>
      </c>
      <c r="Z448" s="33" t="s">
        <v>15</v>
      </c>
      <c r="AA448" s="36" t="s">
        <v>16</v>
      </c>
      <c r="AB448" s="35">
        <f t="shared" si="95"/>
        <v>6720</v>
      </c>
      <c r="AC448" s="35">
        <f t="shared" si="100"/>
        <v>366710.4</v>
      </c>
      <c r="AD448" s="181">
        <v>4</v>
      </c>
      <c r="AE448" s="181">
        <v>4</v>
      </c>
      <c r="AF448" s="101" t="str">
        <f t="shared" si="96"/>
        <v/>
      </c>
      <c r="AG448" s="190">
        <v>1400</v>
      </c>
      <c r="AH448" s="69">
        <f t="shared" si="89"/>
        <v>6720</v>
      </c>
    </row>
    <row r="449" spans="1:34" s="69" customFormat="1" ht="33" x14ac:dyDescent="0.3">
      <c r="A449" s="66">
        <v>4.3</v>
      </c>
      <c r="B449" s="57" t="s">
        <v>1355</v>
      </c>
      <c r="C449" s="58" t="s">
        <v>1360</v>
      </c>
      <c r="D449" s="77"/>
      <c r="E449" s="117">
        <v>1570</v>
      </c>
      <c r="F449" s="59"/>
      <c r="G449" s="142"/>
      <c r="H449" s="77">
        <v>1149.48</v>
      </c>
      <c r="I449" s="59">
        <v>1804683.6</v>
      </c>
      <c r="J449" s="92"/>
      <c r="K449" s="73"/>
      <c r="L449" s="46">
        <v>451</v>
      </c>
      <c r="M449" s="46">
        <v>36783.359999999986</v>
      </c>
      <c r="N449" s="46">
        <v>518415.48</v>
      </c>
      <c r="O449" s="98"/>
      <c r="P449" s="23" t="s">
        <v>1402</v>
      </c>
      <c r="Q449" s="24" t="s">
        <v>1502</v>
      </c>
      <c r="R449" s="25" t="s">
        <v>1360</v>
      </c>
      <c r="S449" s="26">
        <v>0</v>
      </c>
      <c r="T449" s="26">
        <v>1570</v>
      </c>
      <c r="U449" s="26">
        <v>1149.48</v>
      </c>
      <c r="V449" s="102">
        <f t="shared" si="98"/>
        <v>38</v>
      </c>
      <c r="W449" s="26">
        <f t="shared" si="80"/>
        <v>489</v>
      </c>
      <c r="X449" s="26">
        <f>Y449-N449</f>
        <v>43680.239999999991</v>
      </c>
      <c r="Y449" s="26">
        <f t="shared" si="99"/>
        <v>562095.72</v>
      </c>
      <c r="Z449" s="27"/>
      <c r="AA449" s="36" t="s">
        <v>16</v>
      </c>
      <c r="AB449" s="35">
        <f t="shared" si="95"/>
        <v>1570</v>
      </c>
      <c r="AC449" s="35">
        <f t="shared" si="100"/>
        <v>1804683.6</v>
      </c>
      <c r="AD449" s="181">
        <v>4</v>
      </c>
      <c r="AE449" s="181">
        <v>4</v>
      </c>
      <c r="AF449" s="101" t="str">
        <f t="shared" si="96"/>
        <v/>
      </c>
      <c r="AG449" s="191">
        <f>384+35+32+38</f>
        <v>489</v>
      </c>
      <c r="AH449" s="69">
        <f t="shared" si="89"/>
        <v>1570</v>
      </c>
    </row>
    <row r="450" spans="1:34" s="69" customFormat="1" ht="33" customHeight="1" x14ac:dyDescent="0.3">
      <c r="A450" s="85" t="s">
        <v>1155</v>
      </c>
      <c r="B450" s="86" t="s">
        <v>1156</v>
      </c>
      <c r="C450" s="87" t="s">
        <v>14</v>
      </c>
      <c r="D450" s="88">
        <v>1</v>
      </c>
      <c r="E450" s="88"/>
      <c r="F450" s="88"/>
      <c r="G450" s="88"/>
      <c r="H450" s="88"/>
      <c r="I450" s="88">
        <v>10715306.710000001</v>
      </c>
      <c r="J450" s="95" t="s">
        <v>15</v>
      </c>
      <c r="K450" s="73"/>
      <c r="L450" s="42">
        <v>1</v>
      </c>
      <c r="M450" s="42">
        <v>126940</v>
      </c>
      <c r="N450" s="42">
        <v>8747193.5099999998</v>
      </c>
      <c r="O450" s="98"/>
      <c r="P450" s="13" t="s">
        <v>1413</v>
      </c>
      <c r="Q450" s="14" t="s">
        <v>1156</v>
      </c>
      <c r="R450" s="15" t="s">
        <v>14</v>
      </c>
      <c r="S450" s="16">
        <v>1</v>
      </c>
      <c r="T450" s="16"/>
      <c r="U450" s="16">
        <f>SUMIFS(AC:AC,AD:AD,AD450)</f>
        <v>10715306.709999999</v>
      </c>
      <c r="V450" s="16">
        <f t="shared" ref="V450:W450" si="101">IF(X450=0,0,1)</f>
        <v>1</v>
      </c>
      <c r="W450" s="16">
        <f t="shared" si="101"/>
        <v>1</v>
      </c>
      <c r="X450" s="16">
        <f>SUMIFS(X:X,AE:AE,AD450)</f>
        <v>263694.64</v>
      </c>
      <c r="Y450" s="16">
        <f>SUMIFS(Y:Y,AE:AE,AD450)</f>
        <v>9010888.1500000004</v>
      </c>
      <c r="Z450" s="17" t="s">
        <v>15</v>
      </c>
      <c r="AA450" s="40" t="s">
        <v>16</v>
      </c>
      <c r="AB450" s="35">
        <f t="shared" si="95"/>
        <v>1</v>
      </c>
      <c r="AC450" s="41"/>
      <c r="AD450" s="183">
        <v>5</v>
      </c>
      <c r="AE450" s="183"/>
      <c r="AF450" s="101" t="str">
        <f t="shared" si="96"/>
        <v/>
      </c>
      <c r="AG450" s="190">
        <v>1</v>
      </c>
      <c r="AH450" s="69">
        <f t="shared" si="89"/>
        <v>1</v>
      </c>
    </row>
    <row r="451" spans="1:34" s="69" customFormat="1" ht="49.5" customHeight="1" x14ac:dyDescent="0.3">
      <c r="A451" s="130" t="s">
        <v>1157</v>
      </c>
      <c r="B451" s="131" t="s">
        <v>1158</v>
      </c>
      <c r="C451" s="132" t="s">
        <v>30</v>
      </c>
      <c r="D451" s="133">
        <v>1698.29</v>
      </c>
      <c r="E451" s="133"/>
      <c r="F451" s="133"/>
      <c r="G451" s="133"/>
      <c r="H451" s="75">
        <v>3662.23</v>
      </c>
      <c r="I451" s="75">
        <v>6219528.5899999999</v>
      </c>
      <c r="J451" s="91" t="s">
        <v>1159</v>
      </c>
      <c r="K451" s="73"/>
      <c r="L451" s="46">
        <v>1698.29</v>
      </c>
      <c r="M451" s="46">
        <v>0</v>
      </c>
      <c r="N451" s="46">
        <v>6219528.5899999999</v>
      </c>
      <c r="O451" s="98"/>
      <c r="P451" s="23" t="s">
        <v>1421</v>
      </c>
      <c r="Q451" s="24" t="s">
        <v>1158</v>
      </c>
      <c r="R451" s="25" t="s">
        <v>30</v>
      </c>
      <c r="S451" s="26">
        <v>1698.29</v>
      </c>
      <c r="T451" s="26"/>
      <c r="U451" s="26">
        <v>3662.23</v>
      </c>
      <c r="V451" s="127">
        <f t="shared" ref="V451:V469" si="102">AG451-L451</f>
        <v>0</v>
      </c>
      <c r="W451" s="127">
        <f t="shared" si="80"/>
        <v>1698.29</v>
      </c>
      <c r="X451" s="127">
        <f t="shared" ref="X451:X469" si="103">Y451-N451</f>
        <v>0</v>
      </c>
      <c r="Y451" s="127">
        <f t="shared" ref="Y451:Y469" si="104">ROUND(U451*W451,2)</f>
        <v>6219528.5899999999</v>
      </c>
      <c r="Z451" s="33" t="s">
        <v>15</v>
      </c>
      <c r="AA451" s="36" t="s">
        <v>16</v>
      </c>
      <c r="AB451" s="35">
        <f t="shared" si="95"/>
        <v>1698.29</v>
      </c>
      <c r="AC451" s="35">
        <f t="shared" ref="AC451:AC469" si="105">ROUND(U451*AB451,2)</f>
        <v>6219528.5899999999</v>
      </c>
      <c r="AD451" s="181">
        <v>5</v>
      </c>
      <c r="AE451" s="181">
        <v>5</v>
      </c>
      <c r="AF451" s="101" t="str">
        <f t="shared" si="96"/>
        <v/>
      </c>
      <c r="AG451" s="190">
        <v>1698.29</v>
      </c>
      <c r="AH451" s="69">
        <f t="shared" si="89"/>
        <v>1698.29</v>
      </c>
    </row>
    <row r="452" spans="1:34" s="69" customFormat="1" ht="58.5" x14ac:dyDescent="0.3">
      <c r="A452" s="130" t="s">
        <v>1160</v>
      </c>
      <c r="B452" s="131" t="s">
        <v>1161</v>
      </c>
      <c r="C452" s="132" t="s">
        <v>50</v>
      </c>
      <c r="D452" s="133">
        <v>2123.4</v>
      </c>
      <c r="E452" s="133"/>
      <c r="F452" s="133"/>
      <c r="G452" s="133"/>
      <c r="H452" s="75">
        <v>353</v>
      </c>
      <c r="I452" s="75">
        <v>749560.2</v>
      </c>
      <c r="J452" s="91" t="s">
        <v>1162</v>
      </c>
      <c r="K452" s="73"/>
      <c r="L452" s="46">
        <v>2123.4</v>
      </c>
      <c r="M452" s="46">
        <v>0</v>
      </c>
      <c r="N452" s="46">
        <v>749560.2</v>
      </c>
      <c r="O452" s="98"/>
      <c r="P452" s="23" t="s">
        <v>1426</v>
      </c>
      <c r="Q452" s="24" t="s">
        <v>1161</v>
      </c>
      <c r="R452" s="25" t="s">
        <v>50</v>
      </c>
      <c r="S452" s="26">
        <v>2123.4</v>
      </c>
      <c r="T452" s="26"/>
      <c r="U452" s="26">
        <v>353</v>
      </c>
      <c r="V452" s="127">
        <f t="shared" si="102"/>
        <v>0</v>
      </c>
      <c r="W452" s="127">
        <v>2123.4</v>
      </c>
      <c r="X452" s="127">
        <f t="shared" si="103"/>
        <v>0</v>
      </c>
      <c r="Y452" s="127">
        <f t="shared" si="104"/>
        <v>749560.2</v>
      </c>
      <c r="Z452" s="33" t="s">
        <v>15</v>
      </c>
      <c r="AA452" s="36" t="s">
        <v>16</v>
      </c>
      <c r="AB452" s="35">
        <f t="shared" si="95"/>
        <v>2123.4</v>
      </c>
      <c r="AC452" s="35">
        <f t="shared" si="105"/>
        <v>749560.2</v>
      </c>
      <c r="AD452" s="181">
        <v>5</v>
      </c>
      <c r="AE452" s="181">
        <v>5</v>
      </c>
      <c r="AF452" s="101" t="str">
        <f t="shared" si="96"/>
        <v/>
      </c>
      <c r="AG452" s="190">
        <v>2123.4</v>
      </c>
      <c r="AH452" s="69">
        <f t="shared" si="89"/>
        <v>2123.4</v>
      </c>
    </row>
    <row r="453" spans="1:34" s="69" customFormat="1" ht="49.5" customHeight="1" x14ac:dyDescent="0.3">
      <c r="A453" s="55" t="s">
        <v>1163</v>
      </c>
      <c r="B453" s="53" t="s">
        <v>1164</v>
      </c>
      <c r="C453" s="54" t="s">
        <v>162</v>
      </c>
      <c r="D453" s="75">
        <v>59</v>
      </c>
      <c r="E453" s="75"/>
      <c r="F453" s="75"/>
      <c r="G453" s="75"/>
      <c r="H453" s="75">
        <v>217.02</v>
      </c>
      <c r="I453" s="75">
        <v>12804.18</v>
      </c>
      <c r="J453" s="91" t="s">
        <v>1165</v>
      </c>
      <c r="K453" s="73"/>
      <c r="L453" s="46">
        <v>30</v>
      </c>
      <c r="M453" s="46">
        <v>0</v>
      </c>
      <c r="N453" s="46">
        <v>6510.6</v>
      </c>
      <c r="O453" s="98"/>
      <c r="P453" s="23" t="s">
        <v>1402</v>
      </c>
      <c r="Q453" s="24" t="s">
        <v>1164</v>
      </c>
      <c r="R453" s="25" t="s">
        <v>162</v>
      </c>
      <c r="S453" s="26">
        <v>59</v>
      </c>
      <c r="T453" s="26"/>
      <c r="U453" s="26">
        <v>217.02</v>
      </c>
      <c r="V453" s="26">
        <f t="shared" si="102"/>
        <v>0</v>
      </c>
      <c r="W453" s="26">
        <f t="shared" si="80"/>
        <v>30</v>
      </c>
      <c r="X453" s="26">
        <f t="shared" si="103"/>
        <v>0</v>
      </c>
      <c r="Y453" s="26">
        <f t="shared" si="104"/>
        <v>6510.6</v>
      </c>
      <c r="Z453" s="33" t="s">
        <v>15</v>
      </c>
      <c r="AA453" s="36" t="s">
        <v>16</v>
      </c>
      <c r="AB453" s="35">
        <f t="shared" si="95"/>
        <v>59</v>
      </c>
      <c r="AC453" s="35">
        <f t="shared" si="105"/>
        <v>12804.18</v>
      </c>
      <c r="AD453" s="181">
        <v>5</v>
      </c>
      <c r="AE453" s="181">
        <v>5</v>
      </c>
      <c r="AF453" s="101" t="str">
        <f t="shared" si="96"/>
        <v/>
      </c>
      <c r="AG453" s="190">
        <v>30</v>
      </c>
      <c r="AH453" s="69">
        <f t="shared" si="89"/>
        <v>59</v>
      </c>
    </row>
    <row r="454" spans="1:34" s="69" customFormat="1" ht="33" customHeight="1" x14ac:dyDescent="0.3">
      <c r="A454" s="55" t="s">
        <v>1166</v>
      </c>
      <c r="B454" s="53" t="s">
        <v>1167</v>
      </c>
      <c r="C454" s="54" t="s">
        <v>559</v>
      </c>
      <c r="D454" s="75">
        <v>30</v>
      </c>
      <c r="E454" s="75"/>
      <c r="F454" s="75"/>
      <c r="G454" s="75"/>
      <c r="H454" s="75">
        <v>50</v>
      </c>
      <c r="I454" s="75">
        <v>1500</v>
      </c>
      <c r="J454" s="91" t="s">
        <v>1168</v>
      </c>
      <c r="K454" s="73"/>
      <c r="L454" s="46">
        <v>20</v>
      </c>
      <c r="M454" s="46">
        <v>0</v>
      </c>
      <c r="N454" s="46">
        <v>1000</v>
      </c>
      <c r="O454" s="98"/>
      <c r="P454" s="23" t="s">
        <v>1373</v>
      </c>
      <c r="Q454" s="24" t="s">
        <v>1167</v>
      </c>
      <c r="R454" s="25" t="s">
        <v>559</v>
      </c>
      <c r="S454" s="26">
        <v>30</v>
      </c>
      <c r="T454" s="26"/>
      <c r="U454" s="26">
        <v>50</v>
      </c>
      <c r="V454" s="26">
        <f t="shared" si="102"/>
        <v>0</v>
      </c>
      <c r="W454" s="26">
        <f t="shared" si="80"/>
        <v>20</v>
      </c>
      <c r="X454" s="26">
        <f t="shared" si="103"/>
        <v>0</v>
      </c>
      <c r="Y454" s="26">
        <f t="shared" si="104"/>
        <v>1000</v>
      </c>
      <c r="Z454" s="33" t="s">
        <v>15</v>
      </c>
      <c r="AA454" s="36" t="s">
        <v>16</v>
      </c>
      <c r="AB454" s="35">
        <f t="shared" si="95"/>
        <v>30</v>
      </c>
      <c r="AC454" s="35">
        <f t="shared" si="105"/>
        <v>1500</v>
      </c>
      <c r="AD454" s="181">
        <v>5</v>
      </c>
      <c r="AE454" s="181">
        <v>5</v>
      </c>
      <c r="AF454" s="101" t="str">
        <f t="shared" si="96"/>
        <v/>
      </c>
      <c r="AG454" s="190">
        <v>20</v>
      </c>
      <c r="AH454" s="69">
        <f t="shared" si="89"/>
        <v>30</v>
      </c>
    </row>
    <row r="455" spans="1:34" s="69" customFormat="1" ht="49.5" customHeight="1" x14ac:dyDescent="0.3">
      <c r="A455" s="130" t="s">
        <v>1169</v>
      </c>
      <c r="B455" s="131" t="s">
        <v>1170</v>
      </c>
      <c r="C455" s="132" t="s">
        <v>81</v>
      </c>
      <c r="D455" s="133">
        <v>9</v>
      </c>
      <c r="E455" s="133"/>
      <c r="F455" s="133"/>
      <c r="G455" s="133"/>
      <c r="H455" s="75">
        <v>1900.97</v>
      </c>
      <c r="I455" s="75">
        <v>17108.73</v>
      </c>
      <c r="J455" s="91" t="s">
        <v>1171</v>
      </c>
      <c r="K455" s="73"/>
      <c r="L455" s="46">
        <v>9</v>
      </c>
      <c r="M455" s="46">
        <v>0</v>
      </c>
      <c r="N455" s="46">
        <v>17108.73</v>
      </c>
      <c r="O455" s="98"/>
      <c r="P455" s="23" t="s">
        <v>1393</v>
      </c>
      <c r="Q455" s="24" t="s">
        <v>1170</v>
      </c>
      <c r="R455" s="25" t="s">
        <v>81</v>
      </c>
      <c r="S455" s="26">
        <v>9</v>
      </c>
      <c r="T455" s="26"/>
      <c r="U455" s="26">
        <v>1900.97</v>
      </c>
      <c r="V455" s="127">
        <f t="shared" si="102"/>
        <v>0</v>
      </c>
      <c r="W455" s="127">
        <f t="shared" si="80"/>
        <v>9</v>
      </c>
      <c r="X455" s="127">
        <f t="shared" si="103"/>
        <v>0</v>
      </c>
      <c r="Y455" s="127">
        <f t="shared" si="104"/>
        <v>17108.73</v>
      </c>
      <c r="Z455" s="33" t="s">
        <v>15</v>
      </c>
      <c r="AA455" s="36" t="s">
        <v>16</v>
      </c>
      <c r="AB455" s="35">
        <f t="shared" si="95"/>
        <v>9</v>
      </c>
      <c r="AC455" s="35">
        <f t="shared" si="105"/>
        <v>17108.73</v>
      </c>
      <c r="AD455" s="181">
        <v>5</v>
      </c>
      <c r="AE455" s="181">
        <v>5</v>
      </c>
      <c r="AF455" s="101" t="str">
        <f t="shared" si="96"/>
        <v/>
      </c>
      <c r="AG455" s="190">
        <v>9</v>
      </c>
      <c r="AH455" s="69">
        <f t="shared" si="89"/>
        <v>9</v>
      </c>
    </row>
    <row r="456" spans="1:34" s="69" customFormat="1" ht="49.5" customHeight="1" x14ac:dyDescent="0.3">
      <c r="A456" s="130" t="s">
        <v>1172</v>
      </c>
      <c r="B456" s="131" t="s">
        <v>1173</v>
      </c>
      <c r="C456" s="132" t="s">
        <v>81</v>
      </c>
      <c r="D456" s="133">
        <v>5</v>
      </c>
      <c r="E456" s="133"/>
      <c r="F456" s="133"/>
      <c r="G456" s="133"/>
      <c r="H456" s="75">
        <v>1230.75</v>
      </c>
      <c r="I456" s="75">
        <v>6153.75</v>
      </c>
      <c r="J456" s="91" t="s">
        <v>1174</v>
      </c>
      <c r="K456" s="73"/>
      <c r="L456" s="46">
        <v>5</v>
      </c>
      <c r="M456" s="46">
        <v>0</v>
      </c>
      <c r="N456" s="46">
        <v>6153.75</v>
      </c>
      <c r="O456" s="98"/>
      <c r="P456" s="23" t="s">
        <v>1403</v>
      </c>
      <c r="Q456" s="24" t="s">
        <v>1173</v>
      </c>
      <c r="R456" s="25" t="s">
        <v>81</v>
      </c>
      <c r="S456" s="26">
        <v>5</v>
      </c>
      <c r="T456" s="26"/>
      <c r="U456" s="26">
        <v>1230.75</v>
      </c>
      <c r="V456" s="127">
        <f t="shared" si="102"/>
        <v>0</v>
      </c>
      <c r="W456" s="127">
        <f t="shared" si="80"/>
        <v>5</v>
      </c>
      <c r="X456" s="127">
        <f t="shared" si="103"/>
        <v>0</v>
      </c>
      <c r="Y456" s="127">
        <f t="shared" si="104"/>
        <v>6153.75</v>
      </c>
      <c r="Z456" s="33" t="s">
        <v>15</v>
      </c>
      <c r="AA456" s="36" t="s">
        <v>16</v>
      </c>
      <c r="AB456" s="35">
        <f t="shared" si="95"/>
        <v>5</v>
      </c>
      <c r="AC456" s="35">
        <f t="shared" si="105"/>
        <v>6153.75</v>
      </c>
      <c r="AD456" s="181">
        <v>5</v>
      </c>
      <c r="AE456" s="181">
        <v>5</v>
      </c>
      <c r="AF456" s="101" t="str">
        <f t="shared" si="96"/>
        <v/>
      </c>
      <c r="AG456" s="190">
        <v>5</v>
      </c>
      <c r="AH456" s="69">
        <f t="shared" si="89"/>
        <v>5</v>
      </c>
    </row>
    <row r="457" spans="1:34" s="69" customFormat="1" ht="33" x14ac:dyDescent="0.3">
      <c r="A457" s="55" t="s">
        <v>1175</v>
      </c>
      <c r="B457" s="53" t="s">
        <v>1176</v>
      </c>
      <c r="C457" s="54" t="s">
        <v>81</v>
      </c>
      <c r="D457" s="75">
        <v>756</v>
      </c>
      <c r="E457" s="75"/>
      <c r="F457" s="75"/>
      <c r="G457" s="75"/>
      <c r="H457" s="75">
        <v>1666.11</v>
      </c>
      <c r="I457" s="75">
        <v>1259579.1599999999</v>
      </c>
      <c r="J457" s="91" t="s">
        <v>1177</v>
      </c>
      <c r="K457" s="73"/>
      <c r="L457" s="46">
        <v>400</v>
      </c>
      <c r="M457" s="46">
        <v>0</v>
      </c>
      <c r="N457" s="46">
        <v>666444</v>
      </c>
      <c r="O457" s="98"/>
      <c r="P457" s="23" t="s">
        <v>1427</v>
      </c>
      <c r="Q457" s="24" t="s">
        <v>1176</v>
      </c>
      <c r="R457" s="25" t="s">
        <v>81</v>
      </c>
      <c r="S457" s="26">
        <v>756</v>
      </c>
      <c r="T457" s="26"/>
      <c r="U457" s="26">
        <v>1666.11</v>
      </c>
      <c r="V457" s="26">
        <f t="shared" si="102"/>
        <v>0</v>
      </c>
      <c r="W457" s="26">
        <f t="shared" si="80"/>
        <v>400</v>
      </c>
      <c r="X457" s="26">
        <f t="shared" si="103"/>
        <v>0</v>
      </c>
      <c r="Y457" s="26">
        <f t="shared" si="104"/>
        <v>666444</v>
      </c>
      <c r="Z457" s="33" t="s">
        <v>15</v>
      </c>
      <c r="AA457" s="36" t="s">
        <v>16</v>
      </c>
      <c r="AB457" s="35">
        <f t="shared" si="95"/>
        <v>756</v>
      </c>
      <c r="AC457" s="35">
        <f t="shared" si="105"/>
        <v>1259579.1599999999</v>
      </c>
      <c r="AD457" s="181">
        <v>5</v>
      </c>
      <c r="AE457" s="181">
        <v>5</v>
      </c>
      <c r="AF457" s="101" t="str">
        <f t="shared" si="96"/>
        <v/>
      </c>
      <c r="AG457" s="190">
        <v>400</v>
      </c>
      <c r="AH457" s="69">
        <f t="shared" si="89"/>
        <v>756</v>
      </c>
    </row>
    <row r="458" spans="1:34" s="69" customFormat="1" ht="49.5" customHeight="1" x14ac:dyDescent="0.3">
      <c r="A458" s="130" t="s">
        <v>1178</v>
      </c>
      <c r="B458" s="131" t="s">
        <v>1179</v>
      </c>
      <c r="C458" s="132" t="s">
        <v>81</v>
      </c>
      <c r="D458" s="133">
        <v>2</v>
      </c>
      <c r="E458" s="133"/>
      <c r="F458" s="133"/>
      <c r="G458" s="133"/>
      <c r="H458" s="75">
        <v>48513</v>
      </c>
      <c r="I458" s="75">
        <v>97026</v>
      </c>
      <c r="J458" s="91" t="s">
        <v>1180</v>
      </c>
      <c r="K458" s="73"/>
      <c r="L458" s="46">
        <v>2</v>
      </c>
      <c r="M458" s="46">
        <v>0</v>
      </c>
      <c r="N458" s="46">
        <v>97026</v>
      </c>
      <c r="O458" s="98"/>
      <c r="P458" s="23" t="s">
        <v>1428</v>
      </c>
      <c r="Q458" s="24" t="s">
        <v>1179</v>
      </c>
      <c r="R458" s="25" t="s">
        <v>81</v>
      </c>
      <c r="S458" s="26">
        <v>2</v>
      </c>
      <c r="T458" s="26"/>
      <c r="U458" s="26">
        <v>48513</v>
      </c>
      <c r="V458" s="127">
        <f t="shared" si="102"/>
        <v>0</v>
      </c>
      <c r="W458" s="127">
        <v>2</v>
      </c>
      <c r="X458" s="127">
        <f t="shared" si="103"/>
        <v>0</v>
      </c>
      <c r="Y458" s="127">
        <f t="shared" si="104"/>
        <v>97026</v>
      </c>
      <c r="Z458" s="33" t="s">
        <v>15</v>
      </c>
      <c r="AA458" s="36" t="s">
        <v>16</v>
      </c>
      <c r="AB458" s="35">
        <f t="shared" si="95"/>
        <v>2</v>
      </c>
      <c r="AC458" s="35">
        <f t="shared" si="105"/>
        <v>97026</v>
      </c>
      <c r="AD458" s="181">
        <v>5</v>
      </c>
      <c r="AE458" s="181">
        <v>5</v>
      </c>
      <c r="AF458" s="101" t="str">
        <f t="shared" si="96"/>
        <v/>
      </c>
      <c r="AG458" s="190">
        <v>2</v>
      </c>
      <c r="AH458" s="69">
        <f t="shared" si="89"/>
        <v>2</v>
      </c>
    </row>
    <row r="459" spans="1:34" s="69" customFormat="1" ht="41.25" x14ac:dyDescent="0.3">
      <c r="A459" s="55" t="s">
        <v>1181</v>
      </c>
      <c r="B459" s="53" t="s">
        <v>1182</v>
      </c>
      <c r="C459" s="54" t="s">
        <v>1183</v>
      </c>
      <c r="D459" s="75">
        <v>18</v>
      </c>
      <c r="E459" s="75">
        <v>38</v>
      </c>
      <c r="F459" s="75"/>
      <c r="G459" s="75"/>
      <c r="H459" s="75">
        <v>587.1</v>
      </c>
      <c r="I459" s="75">
        <v>22309.8</v>
      </c>
      <c r="J459" s="91" t="s">
        <v>1184</v>
      </c>
      <c r="K459" s="73"/>
      <c r="L459" s="46">
        <v>20</v>
      </c>
      <c r="M459" s="46">
        <v>0</v>
      </c>
      <c r="N459" s="46">
        <v>11742</v>
      </c>
      <c r="O459" s="98"/>
      <c r="P459" s="23" t="s">
        <v>1387</v>
      </c>
      <c r="Q459" s="24" t="s">
        <v>1182</v>
      </c>
      <c r="R459" s="25" t="s">
        <v>1183</v>
      </c>
      <c r="S459" s="26">
        <v>18</v>
      </c>
      <c r="T459" s="26">
        <v>38</v>
      </c>
      <c r="U459" s="26">
        <v>587.1</v>
      </c>
      <c r="V459" s="26">
        <f t="shared" si="102"/>
        <v>0</v>
      </c>
      <c r="W459" s="26">
        <f t="shared" ref="W459:W493" si="106">V459+L459</f>
        <v>20</v>
      </c>
      <c r="X459" s="26">
        <f t="shared" si="103"/>
        <v>0</v>
      </c>
      <c r="Y459" s="26">
        <f t="shared" si="104"/>
        <v>11742</v>
      </c>
      <c r="Z459" s="27" t="s">
        <v>15</v>
      </c>
      <c r="AA459" s="36" t="s">
        <v>16</v>
      </c>
      <c r="AB459" s="35">
        <f t="shared" si="95"/>
        <v>38</v>
      </c>
      <c r="AC459" s="35">
        <f t="shared" si="105"/>
        <v>22309.8</v>
      </c>
      <c r="AD459" s="181">
        <v>5</v>
      </c>
      <c r="AE459" s="181">
        <v>5</v>
      </c>
      <c r="AF459" s="101" t="str">
        <f t="shared" si="96"/>
        <v/>
      </c>
      <c r="AG459" s="190">
        <v>20</v>
      </c>
      <c r="AH459" s="69">
        <f t="shared" ref="AH459:AH502" si="107">IF(G459=0,IF(F459=0,IF(E459=0,D459,E459),F459),G459)</f>
        <v>38</v>
      </c>
    </row>
    <row r="460" spans="1:34" s="69" customFormat="1" ht="49.5" customHeight="1" x14ac:dyDescent="0.3">
      <c r="A460" s="55" t="s">
        <v>1185</v>
      </c>
      <c r="B460" s="53" t="s">
        <v>1186</v>
      </c>
      <c r="C460" s="54" t="s">
        <v>162</v>
      </c>
      <c r="D460" s="75">
        <v>9</v>
      </c>
      <c r="E460" s="75"/>
      <c r="F460" s="75"/>
      <c r="G460" s="75"/>
      <c r="H460" s="75">
        <v>664.14</v>
      </c>
      <c r="I460" s="75">
        <v>5977.26</v>
      </c>
      <c r="J460" s="91" t="s">
        <v>1187</v>
      </c>
      <c r="K460" s="73"/>
      <c r="L460" s="46">
        <v>0</v>
      </c>
      <c r="M460" s="46">
        <v>0</v>
      </c>
      <c r="N460" s="46">
        <v>0</v>
      </c>
      <c r="O460" s="98"/>
      <c r="P460" s="23" t="s">
        <v>1405</v>
      </c>
      <c r="Q460" s="24" t="s">
        <v>1186</v>
      </c>
      <c r="R460" s="25" t="s">
        <v>162</v>
      </c>
      <c r="S460" s="26">
        <v>9</v>
      </c>
      <c r="T460" s="26"/>
      <c r="U460" s="26">
        <v>664.14</v>
      </c>
      <c r="V460" s="26">
        <f t="shared" si="102"/>
        <v>0</v>
      </c>
      <c r="W460" s="26">
        <f t="shared" si="106"/>
        <v>0</v>
      </c>
      <c r="X460" s="26">
        <f t="shared" si="103"/>
        <v>0</v>
      </c>
      <c r="Y460" s="26">
        <f t="shared" si="104"/>
        <v>0</v>
      </c>
      <c r="Z460" s="33" t="s">
        <v>15</v>
      </c>
      <c r="AA460" s="36" t="s">
        <v>16</v>
      </c>
      <c r="AB460" s="35">
        <f t="shared" si="95"/>
        <v>9</v>
      </c>
      <c r="AC460" s="35">
        <f t="shared" si="105"/>
        <v>5977.26</v>
      </c>
      <c r="AD460" s="181">
        <v>5</v>
      </c>
      <c r="AE460" s="181">
        <v>5</v>
      </c>
      <c r="AF460" s="101" t="str">
        <f t="shared" si="96"/>
        <v/>
      </c>
      <c r="AG460" s="190">
        <v>0</v>
      </c>
      <c r="AH460" s="69">
        <f t="shared" si="107"/>
        <v>9</v>
      </c>
    </row>
    <row r="461" spans="1:34" s="69" customFormat="1" ht="33" x14ac:dyDescent="0.3">
      <c r="A461" s="55" t="s">
        <v>1188</v>
      </c>
      <c r="B461" s="53" t="s">
        <v>1189</v>
      </c>
      <c r="C461" s="54" t="s">
        <v>81</v>
      </c>
      <c r="D461" s="75">
        <v>68</v>
      </c>
      <c r="E461" s="75"/>
      <c r="F461" s="75"/>
      <c r="G461" s="75"/>
      <c r="H461" s="75">
        <v>847.07</v>
      </c>
      <c r="I461" s="75">
        <v>57600.76</v>
      </c>
      <c r="J461" s="91" t="s">
        <v>1190</v>
      </c>
      <c r="K461" s="73"/>
      <c r="L461" s="46">
        <v>40</v>
      </c>
      <c r="M461" s="46">
        <v>0</v>
      </c>
      <c r="N461" s="46">
        <v>33882.800000000003</v>
      </c>
      <c r="O461" s="98"/>
      <c r="P461" s="23" t="s">
        <v>1406</v>
      </c>
      <c r="Q461" s="24" t="s">
        <v>1189</v>
      </c>
      <c r="R461" s="25" t="s">
        <v>81</v>
      </c>
      <c r="S461" s="26">
        <v>68</v>
      </c>
      <c r="T461" s="26"/>
      <c r="U461" s="26">
        <v>847.07</v>
      </c>
      <c r="V461" s="26">
        <f t="shared" si="102"/>
        <v>0</v>
      </c>
      <c r="W461" s="26">
        <f t="shared" si="106"/>
        <v>40</v>
      </c>
      <c r="X461" s="26">
        <f t="shared" si="103"/>
        <v>0</v>
      </c>
      <c r="Y461" s="26">
        <f t="shared" si="104"/>
        <v>33882.800000000003</v>
      </c>
      <c r="Z461" s="33" t="s">
        <v>15</v>
      </c>
      <c r="AA461" s="36" t="s">
        <v>16</v>
      </c>
      <c r="AB461" s="35">
        <f t="shared" si="95"/>
        <v>68</v>
      </c>
      <c r="AC461" s="35">
        <f t="shared" si="105"/>
        <v>57600.76</v>
      </c>
      <c r="AD461" s="181">
        <v>5</v>
      </c>
      <c r="AE461" s="181">
        <v>5</v>
      </c>
      <c r="AF461" s="101" t="str">
        <f t="shared" si="96"/>
        <v/>
      </c>
      <c r="AG461" s="190">
        <v>40</v>
      </c>
      <c r="AH461" s="69">
        <f t="shared" si="107"/>
        <v>68</v>
      </c>
    </row>
    <row r="462" spans="1:34" s="69" customFormat="1" ht="41.25" x14ac:dyDescent="0.3">
      <c r="A462" s="130" t="s">
        <v>1191</v>
      </c>
      <c r="B462" s="131" t="s">
        <v>1192</v>
      </c>
      <c r="C462" s="132" t="s">
        <v>30</v>
      </c>
      <c r="D462" s="133">
        <v>27.54</v>
      </c>
      <c r="E462" s="133"/>
      <c r="F462" s="133">
        <v>87.54</v>
      </c>
      <c r="G462" s="133"/>
      <c r="H462" s="75">
        <v>293.74</v>
      </c>
      <c r="I462" s="75">
        <v>25714</v>
      </c>
      <c r="J462" s="91" t="s">
        <v>1193</v>
      </c>
      <c r="K462" s="73"/>
      <c r="L462" s="46">
        <v>87.54</v>
      </c>
      <c r="M462" s="46">
        <v>0</v>
      </c>
      <c r="N462" s="46">
        <v>25714</v>
      </c>
      <c r="O462" s="98"/>
      <c r="P462" s="23" t="s">
        <v>1414</v>
      </c>
      <c r="Q462" s="24" t="s">
        <v>1192</v>
      </c>
      <c r="R462" s="25" t="s">
        <v>30</v>
      </c>
      <c r="S462" s="26">
        <v>27.54</v>
      </c>
      <c r="T462" s="26">
        <v>87.54</v>
      </c>
      <c r="U462" s="26">
        <v>293.74</v>
      </c>
      <c r="V462" s="127">
        <f t="shared" si="102"/>
        <v>0</v>
      </c>
      <c r="W462" s="127">
        <f t="shared" si="106"/>
        <v>87.54</v>
      </c>
      <c r="X462" s="127">
        <f t="shared" si="103"/>
        <v>0</v>
      </c>
      <c r="Y462" s="127">
        <f t="shared" si="104"/>
        <v>25714</v>
      </c>
      <c r="Z462" s="27" t="s">
        <v>15</v>
      </c>
      <c r="AA462" s="36" t="s">
        <v>16</v>
      </c>
      <c r="AB462" s="35">
        <f t="shared" si="95"/>
        <v>87.54</v>
      </c>
      <c r="AC462" s="35">
        <f t="shared" si="105"/>
        <v>25714</v>
      </c>
      <c r="AD462" s="181">
        <v>5</v>
      </c>
      <c r="AE462" s="181">
        <v>5</v>
      </c>
      <c r="AF462" s="101" t="str">
        <f t="shared" si="96"/>
        <v/>
      </c>
      <c r="AG462" s="190">
        <v>87.54</v>
      </c>
      <c r="AH462" s="69">
        <f t="shared" si="107"/>
        <v>87.54</v>
      </c>
    </row>
    <row r="463" spans="1:34" s="69" customFormat="1" ht="33" customHeight="1" x14ac:dyDescent="0.3">
      <c r="A463" s="130" t="s">
        <v>1194</v>
      </c>
      <c r="B463" s="131" t="s">
        <v>1195</v>
      </c>
      <c r="C463" s="132" t="s">
        <v>1196</v>
      </c>
      <c r="D463" s="133">
        <v>2</v>
      </c>
      <c r="E463" s="133"/>
      <c r="F463" s="133"/>
      <c r="G463" s="133"/>
      <c r="H463" s="75">
        <v>10000</v>
      </c>
      <c r="I463" s="75">
        <v>20000</v>
      </c>
      <c r="J463" s="91" t="s">
        <v>1197</v>
      </c>
      <c r="K463" s="73"/>
      <c r="L463" s="46">
        <v>2</v>
      </c>
      <c r="M463" s="46">
        <v>0</v>
      </c>
      <c r="N463" s="46">
        <v>20000</v>
      </c>
      <c r="O463" s="98"/>
      <c r="P463" s="23" t="s">
        <v>1429</v>
      </c>
      <c r="Q463" s="24" t="s">
        <v>1195</v>
      </c>
      <c r="R463" s="25" t="s">
        <v>1196</v>
      </c>
      <c r="S463" s="26">
        <v>2</v>
      </c>
      <c r="T463" s="26"/>
      <c r="U463" s="26">
        <v>10000</v>
      </c>
      <c r="V463" s="127">
        <f t="shared" si="102"/>
        <v>0</v>
      </c>
      <c r="W463" s="127">
        <f t="shared" si="106"/>
        <v>2</v>
      </c>
      <c r="X463" s="127">
        <f t="shared" si="103"/>
        <v>0</v>
      </c>
      <c r="Y463" s="127">
        <f t="shared" si="104"/>
        <v>20000</v>
      </c>
      <c r="Z463" s="33" t="s">
        <v>15</v>
      </c>
      <c r="AA463" s="36" t="s">
        <v>16</v>
      </c>
      <c r="AB463" s="35">
        <f t="shared" si="95"/>
        <v>2</v>
      </c>
      <c r="AC463" s="35">
        <f t="shared" si="105"/>
        <v>20000</v>
      </c>
      <c r="AD463" s="181">
        <v>5</v>
      </c>
      <c r="AE463" s="181">
        <v>5</v>
      </c>
      <c r="AF463" s="101" t="str">
        <f t="shared" si="96"/>
        <v/>
      </c>
      <c r="AG463" s="190">
        <v>2</v>
      </c>
      <c r="AH463" s="69">
        <f t="shared" si="107"/>
        <v>2</v>
      </c>
    </row>
    <row r="464" spans="1:34" s="69" customFormat="1" ht="33" customHeight="1" x14ac:dyDescent="0.3">
      <c r="A464" s="55" t="s">
        <v>1198</v>
      </c>
      <c r="B464" s="53" t="s">
        <v>1199</v>
      </c>
      <c r="C464" s="54" t="s">
        <v>30</v>
      </c>
      <c r="D464" s="75">
        <v>1064.31</v>
      </c>
      <c r="E464" s="75"/>
      <c r="F464" s="75"/>
      <c r="G464" s="75"/>
      <c r="H464" s="75">
        <v>210</v>
      </c>
      <c r="I464" s="75">
        <v>223505.1</v>
      </c>
      <c r="J464" s="91" t="s">
        <v>1200</v>
      </c>
      <c r="K464" s="73"/>
      <c r="L464" s="46">
        <v>600</v>
      </c>
      <c r="M464" s="46">
        <v>0</v>
      </c>
      <c r="N464" s="46">
        <v>126000</v>
      </c>
      <c r="O464" s="98"/>
      <c r="P464" s="23" t="s">
        <v>1430</v>
      </c>
      <c r="Q464" s="24" t="s">
        <v>1199</v>
      </c>
      <c r="R464" s="25" t="s">
        <v>30</v>
      </c>
      <c r="S464" s="26">
        <v>1064.31</v>
      </c>
      <c r="T464" s="26"/>
      <c r="U464" s="26">
        <v>210</v>
      </c>
      <c r="V464" s="26">
        <f t="shared" si="102"/>
        <v>0</v>
      </c>
      <c r="W464" s="26">
        <f t="shared" si="106"/>
        <v>600</v>
      </c>
      <c r="X464" s="26">
        <f t="shared" si="103"/>
        <v>0</v>
      </c>
      <c r="Y464" s="26">
        <f t="shared" si="104"/>
        <v>126000</v>
      </c>
      <c r="Z464" s="33" t="s">
        <v>15</v>
      </c>
      <c r="AA464" s="36" t="s">
        <v>16</v>
      </c>
      <c r="AB464" s="35">
        <f t="shared" si="95"/>
        <v>1064.31</v>
      </c>
      <c r="AC464" s="35">
        <f t="shared" si="105"/>
        <v>223505.1</v>
      </c>
      <c r="AD464" s="181">
        <v>5</v>
      </c>
      <c r="AE464" s="181">
        <v>5</v>
      </c>
      <c r="AF464" s="101" t="str">
        <f t="shared" si="96"/>
        <v/>
      </c>
      <c r="AG464" s="190">
        <v>600</v>
      </c>
      <c r="AH464" s="69">
        <f t="shared" si="107"/>
        <v>1064.31</v>
      </c>
    </row>
    <row r="465" spans="1:34" s="69" customFormat="1" ht="33" x14ac:dyDescent="0.3">
      <c r="A465" s="55" t="s">
        <v>1201</v>
      </c>
      <c r="B465" s="53" t="s">
        <v>1202</v>
      </c>
      <c r="C465" s="54" t="s">
        <v>30</v>
      </c>
      <c r="D465" s="75">
        <v>1910.54</v>
      </c>
      <c r="E465" s="75"/>
      <c r="F465" s="75"/>
      <c r="G465" s="75"/>
      <c r="H465" s="75">
        <v>300</v>
      </c>
      <c r="I465" s="75">
        <v>573162</v>
      </c>
      <c r="J465" s="91" t="s">
        <v>1203</v>
      </c>
      <c r="K465" s="73"/>
      <c r="L465" s="46">
        <v>335</v>
      </c>
      <c r="M465" s="46">
        <v>64500</v>
      </c>
      <c r="N465" s="46">
        <v>100500</v>
      </c>
      <c r="O465" s="98"/>
      <c r="P465" s="23" t="s">
        <v>1431</v>
      </c>
      <c r="Q465" s="24" t="s">
        <v>1202</v>
      </c>
      <c r="R465" s="25" t="s">
        <v>30</v>
      </c>
      <c r="S465" s="26">
        <v>1910.54</v>
      </c>
      <c r="T465" s="26"/>
      <c r="U465" s="26">
        <v>300</v>
      </c>
      <c r="V465" s="128">
        <f t="shared" si="102"/>
        <v>0</v>
      </c>
      <c r="W465" s="26">
        <f t="shared" si="106"/>
        <v>335</v>
      </c>
      <c r="X465" s="26">
        <f t="shared" si="103"/>
        <v>0</v>
      </c>
      <c r="Y465" s="26">
        <f t="shared" si="104"/>
        <v>100500</v>
      </c>
      <c r="Z465" s="33" t="s">
        <v>15</v>
      </c>
      <c r="AA465" s="36" t="s">
        <v>16</v>
      </c>
      <c r="AB465" s="35">
        <f t="shared" si="95"/>
        <v>1910.54</v>
      </c>
      <c r="AC465" s="35">
        <f t="shared" si="105"/>
        <v>573162</v>
      </c>
      <c r="AD465" s="181">
        <v>5</v>
      </c>
      <c r="AE465" s="181">
        <v>5</v>
      </c>
      <c r="AF465" s="101" t="str">
        <f t="shared" si="96"/>
        <v/>
      </c>
      <c r="AG465" s="191">
        <f>120+215</f>
        <v>335</v>
      </c>
      <c r="AH465" s="69">
        <f t="shared" si="107"/>
        <v>1910.54</v>
      </c>
    </row>
    <row r="466" spans="1:34" s="69" customFormat="1" ht="33" x14ac:dyDescent="0.3">
      <c r="A466" s="55" t="s">
        <v>1204</v>
      </c>
      <c r="B466" s="53" t="s">
        <v>1205</v>
      </c>
      <c r="C466" s="54" t="s">
        <v>30</v>
      </c>
      <c r="D466" s="75">
        <v>2738.45</v>
      </c>
      <c r="E466" s="75"/>
      <c r="F466" s="75"/>
      <c r="G466" s="75"/>
      <c r="H466" s="75">
        <v>200</v>
      </c>
      <c r="I466" s="75">
        <v>547690</v>
      </c>
      <c r="J466" s="91" t="s">
        <v>1206</v>
      </c>
      <c r="K466" s="73"/>
      <c r="L466" s="46">
        <v>484.7</v>
      </c>
      <c r="M466" s="46">
        <v>62440</v>
      </c>
      <c r="N466" s="46">
        <v>96940</v>
      </c>
      <c r="O466" s="98"/>
      <c r="P466" s="23" t="s">
        <v>1395</v>
      </c>
      <c r="Q466" s="24" t="s">
        <v>1205</v>
      </c>
      <c r="R466" s="25" t="s">
        <v>30</v>
      </c>
      <c r="S466" s="26">
        <v>2738.45</v>
      </c>
      <c r="T466" s="26"/>
      <c r="U466" s="26">
        <v>200</v>
      </c>
      <c r="V466" s="128">
        <f t="shared" si="102"/>
        <v>0</v>
      </c>
      <c r="W466" s="26">
        <f t="shared" si="106"/>
        <v>484.7</v>
      </c>
      <c r="X466" s="26">
        <f t="shared" si="103"/>
        <v>0</v>
      </c>
      <c r="Y466" s="26">
        <f t="shared" si="104"/>
        <v>96940</v>
      </c>
      <c r="Z466" s="33" t="s">
        <v>15</v>
      </c>
      <c r="AA466" s="36" t="s">
        <v>16</v>
      </c>
      <c r="AB466" s="35">
        <f t="shared" si="95"/>
        <v>2738.45</v>
      </c>
      <c r="AC466" s="35">
        <f t="shared" si="105"/>
        <v>547690</v>
      </c>
      <c r="AD466" s="181">
        <v>5</v>
      </c>
      <c r="AE466" s="181">
        <v>5</v>
      </c>
      <c r="AF466" s="101" t="str">
        <f t="shared" si="96"/>
        <v/>
      </c>
      <c r="AG466" s="191">
        <f>172.5+312.2</f>
        <v>484.7</v>
      </c>
      <c r="AH466" s="69">
        <f t="shared" si="107"/>
        <v>2738.45</v>
      </c>
    </row>
    <row r="467" spans="1:34" s="69" customFormat="1" ht="33" customHeight="1" x14ac:dyDescent="0.3">
      <c r="A467" s="55" t="s">
        <v>1207</v>
      </c>
      <c r="B467" s="53" t="s">
        <v>1208</v>
      </c>
      <c r="C467" s="54" t="s">
        <v>14</v>
      </c>
      <c r="D467" s="75">
        <v>1</v>
      </c>
      <c r="E467" s="75"/>
      <c r="F467" s="76"/>
      <c r="G467" s="76"/>
      <c r="H467" s="75">
        <v>21460.9</v>
      </c>
      <c r="I467" s="75">
        <v>21460.9</v>
      </c>
      <c r="J467" s="91" t="s">
        <v>1209</v>
      </c>
      <c r="K467" s="73"/>
      <c r="L467" s="46">
        <v>0</v>
      </c>
      <c r="M467" s="46">
        <v>0</v>
      </c>
      <c r="N467" s="46">
        <v>0</v>
      </c>
      <c r="O467" s="98"/>
      <c r="P467" s="23" t="s">
        <v>1432</v>
      </c>
      <c r="Q467" s="24" t="s">
        <v>1208</v>
      </c>
      <c r="R467" s="25" t="s">
        <v>14</v>
      </c>
      <c r="S467" s="26">
        <v>1</v>
      </c>
      <c r="T467" s="26"/>
      <c r="U467" s="26">
        <v>21460.9</v>
      </c>
      <c r="V467" s="26">
        <f t="shared" si="102"/>
        <v>0</v>
      </c>
      <c r="W467" s="26">
        <f t="shared" si="106"/>
        <v>0</v>
      </c>
      <c r="X467" s="26">
        <f t="shared" si="103"/>
        <v>0</v>
      </c>
      <c r="Y467" s="26">
        <f t="shared" si="104"/>
        <v>0</v>
      </c>
      <c r="Z467" s="33" t="s">
        <v>15</v>
      </c>
      <c r="AA467" s="36" t="s">
        <v>16</v>
      </c>
      <c r="AB467" s="35">
        <f t="shared" si="95"/>
        <v>1</v>
      </c>
      <c r="AC467" s="35">
        <f t="shared" si="105"/>
        <v>21460.9</v>
      </c>
      <c r="AD467" s="181">
        <v>5</v>
      </c>
      <c r="AE467" s="181">
        <v>5</v>
      </c>
      <c r="AF467" s="101" t="str">
        <f t="shared" si="96"/>
        <v/>
      </c>
      <c r="AG467" s="190">
        <v>0</v>
      </c>
      <c r="AH467" s="69">
        <f t="shared" si="107"/>
        <v>1</v>
      </c>
    </row>
    <row r="468" spans="1:34" s="69" customFormat="1" ht="39" x14ac:dyDescent="0.3">
      <c r="A468" s="66">
        <v>5.18</v>
      </c>
      <c r="B468" s="57" t="s">
        <v>1356</v>
      </c>
      <c r="C468" s="58" t="s">
        <v>97</v>
      </c>
      <c r="D468" s="65"/>
      <c r="E468" s="59">
        <v>720</v>
      </c>
      <c r="F468" s="180"/>
      <c r="G468" s="180"/>
      <c r="H468" s="178">
        <v>273.11</v>
      </c>
      <c r="I468" s="59">
        <v>196639.2</v>
      </c>
      <c r="J468" s="92"/>
      <c r="K468" s="73"/>
      <c r="L468" s="46">
        <v>640</v>
      </c>
      <c r="M468" s="46">
        <v>0</v>
      </c>
      <c r="N468" s="46">
        <v>174790.39999999999</v>
      </c>
      <c r="O468" s="98"/>
      <c r="P468" s="23" t="s">
        <v>1433</v>
      </c>
      <c r="Q468" s="24" t="s">
        <v>1503</v>
      </c>
      <c r="R468" s="25" t="s">
        <v>97</v>
      </c>
      <c r="S468" s="26">
        <v>0</v>
      </c>
      <c r="T468" s="26">
        <v>720</v>
      </c>
      <c r="U468" s="26">
        <v>273.11</v>
      </c>
      <c r="V468" s="26">
        <f t="shared" si="102"/>
        <v>0</v>
      </c>
      <c r="W468" s="26">
        <f t="shared" si="106"/>
        <v>640</v>
      </c>
      <c r="X468" s="26">
        <f t="shared" si="103"/>
        <v>0</v>
      </c>
      <c r="Y468" s="26">
        <f t="shared" si="104"/>
        <v>174790.39999999999</v>
      </c>
      <c r="Z468" s="27"/>
      <c r="AA468" s="36" t="s">
        <v>16</v>
      </c>
      <c r="AB468" s="35">
        <f t="shared" si="95"/>
        <v>720</v>
      </c>
      <c r="AC468" s="35">
        <f t="shared" si="105"/>
        <v>196639.2</v>
      </c>
      <c r="AD468" s="181">
        <v>5</v>
      </c>
      <c r="AE468" s="181">
        <v>5</v>
      </c>
      <c r="AF468" s="101" t="str">
        <f t="shared" si="96"/>
        <v/>
      </c>
      <c r="AG468" s="190">
        <v>640</v>
      </c>
      <c r="AH468" s="69">
        <f t="shared" si="107"/>
        <v>720</v>
      </c>
    </row>
    <row r="469" spans="1:34" s="69" customFormat="1" ht="39" x14ac:dyDescent="0.3">
      <c r="A469" s="144">
        <v>5.19</v>
      </c>
      <c r="B469" s="145" t="s">
        <v>1357</v>
      </c>
      <c r="C469" s="173" t="s">
        <v>30</v>
      </c>
      <c r="D469" s="174"/>
      <c r="E469" s="175">
        <v>212</v>
      </c>
      <c r="F469" s="180"/>
      <c r="G469" s="180"/>
      <c r="H469" s="179">
        <v>1859.87</v>
      </c>
      <c r="I469" s="175">
        <v>394292.44</v>
      </c>
      <c r="J469" s="176"/>
      <c r="K469" s="73"/>
      <c r="L469" s="46">
        <v>212</v>
      </c>
      <c r="M469" s="46">
        <v>0</v>
      </c>
      <c r="N469" s="46">
        <v>394292.44</v>
      </c>
      <c r="O469" s="98"/>
      <c r="P469" s="23" t="s">
        <v>1382</v>
      </c>
      <c r="Q469" s="24" t="s">
        <v>1504</v>
      </c>
      <c r="R469" s="25" t="s">
        <v>30</v>
      </c>
      <c r="S469" s="26">
        <v>0</v>
      </c>
      <c r="T469" s="26">
        <v>212</v>
      </c>
      <c r="U469" s="26">
        <v>1859.87</v>
      </c>
      <c r="V469" s="127">
        <f t="shared" si="102"/>
        <v>0</v>
      </c>
      <c r="W469" s="127">
        <f t="shared" si="106"/>
        <v>212</v>
      </c>
      <c r="X469" s="127">
        <f t="shared" si="103"/>
        <v>0</v>
      </c>
      <c r="Y469" s="127">
        <f t="shared" si="104"/>
        <v>394292.44</v>
      </c>
      <c r="Z469" s="27"/>
      <c r="AA469" s="36" t="s">
        <v>16</v>
      </c>
      <c r="AB469" s="35">
        <f t="shared" si="95"/>
        <v>212</v>
      </c>
      <c r="AC469" s="35">
        <f t="shared" si="105"/>
        <v>394292.44</v>
      </c>
      <c r="AD469" s="181">
        <v>5</v>
      </c>
      <c r="AE469" s="181">
        <v>5</v>
      </c>
      <c r="AF469" s="101" t="str">
        <f t="shared" si="96"/>
        <v/>
      </c>
      <c r="AG469" s="190">
        <v>212</v>
      </c>
      <c r="AH469" s="69">
        <f t="shared" si="107"/>
        <v>212</v>
      </c>
    </row>
    <row r="470" spans="1:34" s="69" customFormat="1" ht="39" x14ac:dyDescent="0.3">
      <c r="A470" s="177" t="s">
        <v>3106</v>
      </c>
      <c r="B470" s="156" t="s">
        <v>3107</v>
      </c>
      <c r="C470" s="157" t="s">
        <v>14</v>
      </c>
      <c r="D470" s="156"/>
      <c r="E470" s="159"/>
      <c r="F470" s="156"/>
      <c r="G470" s="156">
        <v>1</v>
      </c>
      <c r="H470" s="158"/>
      <c r="I470" s="159">
        <v>263694.64</v>
      </c>
      <c r="J470" s="160"/>
      <c r="K470" s="73"/>
      <c r="L470" s="46">
        <v>0</v>
      </c>
      <c r="M470" s="46">
        <v>0</v>
      </c>
      <c r="N470" s="46">
        <v>0</v>
      </c>
      <c r="O470" s="98"/>
      <c r="P470" s="23" t="s">
        <v>3108</v>
      </c>
      <c r="Q470" s="24" t="s">
        <v>3107</v>
      </c>
      <c r="R470" s="25" t="s">
        <v>14</v>
      </c>
      <c r="S470" s="26"/>
      <c r="T470" s="26">
        <v>1</v>
      </c>
      <c r="U470" s="26">
        <v>263694.64</v>
      </c>
      <c r="V470" s="128">
        <f t="shared" ref="V470" si="108">AG470-L470</f>
        <v>1</v>
      </c>
      <c r="W470" s="26">
        <f t="shared" ref="W470" si="109">V470+L470</f>
        <v>1</v>
      </c>
      <c r="X470" s="199">
        <f t="shared" ref="X470" si="110">Y470-N470</f>
        <v>263694.64</v>
      </c>
      <c r="Y470" s="26">
        <f t="shared" ref="Y470" si="111">ROUND(U470*W470,2)</f>
        <v>263694.64</v>
      </c>
      <c r="Z470" s="27"/>
      <c r="AA470" s="36"/>
      <c r="AB470" s="35">
        <f t="shared" ref="AB470" si="112">IF(T470="",S470,T470)</f>
        <v>1</v>
      </c>
      <c r="AC470" s="35">
        <f t="shared" ref="AC470" si="113">ROUND(U470*AB470,2)</f>
        <v>263694.64</v>
      </c>
      <c r="AD470" s="181">
        <v>5</v>
      </c>
      <c r="AE470" s="181">
        <v>5</v>
      </c>
      <c r="AF470" s="101"/>
      <c r="AG470" s="193">
        <v>1</v>
      </c>
      <c r="AH470" s="69">
        <f t="shared" si="107"/>
        <v>1</v>
      </c>
    </row>
    <row r="471" spans="1:34" s="69" customFormat="1" ht="33" x14ac:dyDescent="0.3">
      <c r="A471" s="150" t="s">
        <v>1210</v>
      </c>
      <c r="B471" s="151" t="s">
        <v>1211</v>
      </c>
      <c r="C471" s="152" t="s">
        <v>14</v>
      </c>
      <c r="D471" s="153">
        <v>1</v>
      </c>
      <c r="E471" s="153"/>
      <c r="F471" s="153"/>
      <c r="G471" s="153"/>
      <c r="H471" s="153"/>
      <c r="I471" s="153">
        <v>3143726.96</v>
      </c>
      <c r="J471" s="154" t="s">
        <v>15</v>
      </c>
      <c r="K471" s="73"/>
      <c r="L471" s="42">
        <v>1</v>
      </c>
      <c r="M471" s="42">
        <v>94936</v>
      </c>
      <c r="N471" s="42">
        <v>1853532.99</v>
      </c>
      <c r="O471" s="98"/>
      <c r="P471" s="13" t="s">
        <v>1415</v>
      </c>
      <c r="Q471" s="14" t="s">
        <v>1211</v>
      </c>
      <c r="R471" s="15" t="s">
        <v>14</v>
      </c>
      <c r="S471" s="16">
        <v>1</v>
      </c>
      <c r="T471" s="16"/>
      <c r="U471" s="16">
        <f>SUMIFS(AC:AC,AD:AD,AD471)</f>
        <v>3143726.9600000004</v>
      </c>
      <c r="V471" s="16">
        <f t="shared" ref="V471:W471" si="114">IF(X471=0,0,1)</f>
        <v>1</v>
      </c>
      <c r="W471" s="16">
        <f t="shared" si="114"/>
        <v>1</v>
      </c>
      <c r="X471" s="16">
        <f>SUMIFS(X:X,AE:AE,AD471)</f>
        <v>94936</v>
      </c>
      <c r="Y471" s="16">
        <f>SUMIFS(Y:Y,AE:AE,AD471)</f>
        <v>1948468.99</v>
      </c>
      <c r="Z471" s="17" t="s">
        <v>15</v>
      </c>
      <c r="AA471" s="40" t="s">
        <v>16</v>
      </c>
      <c r="AB471" s="35">
        <f t="shared" si="95"/>
        <v>1</v>
      </c>
      <c r="AC471" s="41"/>
      <c r="AD471" s="183">
        <v>6</v>
      </c>
      <c r="AE471" s="183"/>
      <c r="AF471" s="101" t="str">
        <f t="shared" si="96"/>
        <v/>
      </c>
      <c r="AG471" s="190">
        <v>1</v>
      </c>
      <c r="AH471" s="69">
        <f t="shared" si="107"/>
        <v>1</v>
      </c>
    </row>
    <row r="472" spans="1:34" s="69" customFormat="1" ht="33" customHeight="1" x14ac:dyDescent="0.3">
      <c r="A472" s="130" t="s">
        <v>1212</v>
      </c>
      <c r="B472" s="131" t="s">
        <v>1213</v>
      </c>
      <c r="C472" s="132" t="s">
        <v>1014</v>
      </c>
      <c r="D472" s="133">
        <v>10</v>
      </c>
      <c r="E472" s="133"/>
      <c r="F472" s="133"/>
      <c r="G472" s="133"/>
      <c r="H472" s="75">
        <v>770</v>
      </c>
      <c r="I472" s="75">
        <v>7700</v>
      </c>
      <c r="J472" s="91" t="s">
        <v>1214</v>
      </c>
      <c r="K472" s="73"/>
      <c r="L472" s="46">
        <v>10</v>
      </c>
      <c r="M472" s="46">
        <v>0</v>
      </c>
      <c r="N472" s="46">
        <v>7700</v>
      </c>
      <c r="O472" s="98"/>
      <c r="P472" s="23" t="s">
        <v>1421</v>
      </c>
      <c r="Q472" s="24" t="s">
        <v>1213</v>
      </c>
      <c r="R472" s="25" t="s">
        <v>1014</v>
      </c>
      <c r="S472" s="26">
        <v>10</v>
      </c>
      <c r="T472" s="26"/>
      <c r="U472" s="26">
        <v>770</v>
      </c>
      <c r="V472" s="127">
        <f t="shared" ref="V472:V490" si="115">AG472-L472</f>
        <v>0</v>
      </c>
      <c r="W472" s="127">
        <f t="shared" si="106"/>
        <v>10</v>
      </c>
      <c r="X472" s="127">
        <f t="shared" ref="X472:X490" si="116">Y472-N472</f>
        <v>0</v>
      </c>
      <c r="Y472" s="127">
        <f t="shared" ref="Y472:Y490" si="117">ROUND(U472*W472,2)</f>
        <v>7700</v>
      </c>
      <c r="Z472" s="33" t="s">
        <v>15</v>
      </c>
      <c r="AA472" s="36" t="s">
        <v>16</v>
      </c>
      <c r="AB472" s="35">
        <f t="shared" si="95"/>
        <v>10</v>
      </c>
      <c r="AC472" s="35">
        <f t="shared" ref="AC472:AC490" si="118">ROUND(U472*AB472,2)</f>
        <v>7700</v>
      </c>
      <c r="AD472" s="181">
        <v>6</v>
      </c>
      <c r="AE472" s="181">
        <v>6</v>
      </c>
      <c r="AF472" s="101" t="str">
        <f t="shared" si="96"/>
        <v/>
      </c>
      <c r="AG472" s="190">
        <v>10</v>
      </c>
      <c r="AH472" s="69">
        <f t="shared" si="107"/>
        <v>10</v>
      </c>
    </row>
    <row r="473" spans="1:34" s="69" customFormat="1" ht="33" customHeight="1" x14ac:dyDescent="0.3">
      <c r="A473" s="130" t="s">
        <v>1215</v>
      </c>
      <c r="B473" s="131" t="s">
        <v>1216</v>
      </c>
      <c r="C473" s="132" t="s">
        <v>1217</v>
      </c>
      <c r="D473" s="133">
        <v>100</v>
      </c>
      <c r="E473" s="133"/>
      <c r="F473" s="133"/>
      <c r="G473" s="133"/>
      <c r="H473" s="75">
        <v>201</v>
      </c>
      <c r="I473" s="75">
        <v>20100</v>
      </c>
      <c r="J473" s="91" t="s">
        <v>1218</v>
      </c>
      <c r="K473" s="73"/>
      <c r="L473" s="46">
        <v>100</v>
      </c>
      <c r="M473" s="46">
        <v>0</v>
      </c>
      <c r="N473" s="46">
        <v>20100</v>
      </c>
      <c r="O473" s="98"/>
      <c r="P473" s="23" t="s">
        <v>1426</v>
      </c>
      <c r="Q473" s="24" t="s">
        <v>1216</v>
      </c>
      <c r="R473" s="25" t="s">
        <v>1217</v>
      </c>
      <c r="S473" s="26">
        <v>100</v>
      </c>
      <c r="T473" s="26"/>
      <c r="U473" s="26">
        <v>201</v>
      </c>
      <c r="V473" s="127">
        <f t="shared" si="115"/>
        <v>0</v>
      </c>
      <c r="W473" s="127">
        <f t="shared" si="106"/>
        <v>100</v>
      </c>
      <c r="X473" s="127">
        <f t="shared" si="116"/>
        <v>0</v>
      </c>
      <c r="Y473" s="127">
        <f t="shared" si="117"/>
        <v>20100</v>
      </c>
      <c r="Z473" s="33" t="s">
        <v>15</v>
      </c>
      <c r="AA473" s="36" t="s">
        <v>16</v>
      </c>
      <c r="AB473" s="35">
        <f t="shared" si="95"/>
        <v>100</v>
      </c>
      <c r="AC473" s="35">
        <f t="shared" si="118"/>
        <v>20100</v>
      </c>
      <c r="AD473" s="181">
        <v>6</v>
      </c>
      <c r="AE473" s="181">
        <v>6</v>
      </c>
      <c r="AF473" s="101" t="str">
        <f t="shared" si="96"/>
        <v/>
      </c>
      <c r="AG473" s="190">
        <v>100</v>
      </c>
      <c r="AH473" s="69">
        <f t="shared" si="107"/>
        <v>100</v>
      </c>
    </row>
    <row r="474" spans="1:34" s="69" customFormat="1" ht="39" x14ac:dyDescent="0.3">
      <c r="A474" s="130" t="s">
        <v>1219</v>
      </c>
      <c r="B474" s="131" t="s">
        <v>1220</v>
      </c>
      <c r="C474" s="132" t="s">
        <v>1221</v>
      </c>
      <c r="D474" s="133">
        <v>50</v>
      </c>
      <c r="E474" s="133"/>
      <c r="F474" s="133"/>
      <c r="G474" s="133"/>
      <c r="H474" s="75">
        <v>300</v>
      </c>
      <c r="I474" s="75">
        <v>15000</v>
      </c>
      <c r="J474" s="91" t="s">
        <v>1222</v>
      </c>
      <c r="K474" s="73"/>
      <c r="L474" s="46">
        <v>50</v>
      </c>
      <c r="M474" s="46">
        <v>0</v>
      </c>
      <c r="N474" s="46">
        <v>15000</v>
      </c>
      <c r="O474" s="98"/>
      <c r="P474" s="23" t="s">
        <v>1402</v>
      </c>
      <c r="Q474" s="24" t="s">
        <v>1220</v>
      </c>
      <c r="R474" s="25" t="s">
        <v>1221</v>
      </c>
      <c r="S474" s="26">
        <v>50</v>
      </c>
      <c r="T474" s="26"/>
      <c r="U474" s="26">
        <v>300</v>
      </c>
      <c r="V474" s="127">
        <f t="shared" si="115"/>
        <v>0</v>
      </c>
      <c r="W474" s="127">
        <f t="shared" si="106"/>
        <v>50</v>
      </c>
      <c r="X474" s="127">
        <f t="shared" si="116"/>
        <v>0</v>
      </c>
      <c r="Y474" s="127">
        <f t="shared" si="117"/>
        <v>15000</v>
      </c>
      <c r="Z474" s="33" t="s">
        <v>15</v>
      </c>
      <c r="AA474" s="36" t="s">
        <v>16</v>
      </c>
      <c r="AB474" s="35">
        <f t="shared" si="95"/>
        <v>50</v>
      </c>
      <c r="AC474" s="35">
        <f t="shared" si="118"/>
        <v>15000</v>
      </c>
      <c r="AD474" s="181">
        <v>6</v>
      </c>
      <c r="AE474" s="181">
        <v>6</v>
      </c>
      <c r="AF474" s="101" t="str">
        <f t="shared" si="96"/>
        <v/>
      </c>
      <c r="AG474" s="190">
        <v>50</v>
      </c>
      <c r="AH474" s="69">
        <f t="shared" si="107"/>
        <v>50</v>
      </c>
    </row>
    <row r="475" spans="1:34" s="69" customFormat="1" ht="33" customHeight="1" x14ac:dyDescent="0.3">
      <c r="A475" s="130" t="s">
        <v>1223</v>
      </c>
      <c r="B475" s="131" t="s">
        <v>1224</v>
      </c>
      <c r="C475" s="132" t="s">
        <v>325</v>
      </c>
      <c r="D475" s="133">
        <v>75</v>
      </c>
      <c r="E475" s="133"/>
      <c r="F475" s="133"/>
      <c r="G475" s="133"/>
      <c r="H475" s="75">
        <v>650</v>
      </c>
      <c r="I475" s="75">
        <v>48750</v>
      </c>
      <c r="J475" s="91" t="s">
        <v>1225</v>
      </c>
      <c r="K475" s="73"/>
      <c r="L475" s="46">
        <v>75</v>
      </c>
      <c r="M475" s="46">
        <v>0</v>
      </c>
      <c r="N475" s="46">
        <v>48750</v>
      </c>
      <c r="O475" s="98"/>
      <c r="P475" s="23" t="s">
        <v>1373</v>
      </c>
      <c r="Q475" s="24" t="s">
        <v>1224</v>
      </c>
      <c r="R475" s="25" t="s">
        <v>325</v>
      </c>
      <c r="S475" s="26">
        <v>75</v>
      </c>
      <c r="T475" s="26"/>
      <c r="U475" s="26">
        <v>650</v>
      </c>
      <c r="V475" s="127">
        <f t="shared" si="115"/>
        <v>0</v>
      </c>
      <c r="W475" s="127">
        <f t="shared" si="106"/>
        <v>75</v>
      </c>
      <c r="X475" s="127">
        <f t="shared" si="116"/>
        <v>0</v>
      </c>
      <c r="Y475" s="127">
        <f t="shared" si="117"/>
        <v>48750</v>
      </c>
      <c r="Z475" s="33" t="s">
        <v>15</v>
      </c>
      <c r="AA475" s="36" t="s">
        <v>16</v>
      </c>
      <c r="AB475" s="35">
        <f t="shared" si="95"/>
        <v>75</v>
      </c>
      <c r="AC475" s="35">
        <f t="shared" si="118"/>
        <v>48750</v>
      </c>
      <c r="AD475" s="181">
        <v>6</v>
      </c>
      <c r="AE475" s="181">
        <v>6</v>
      </c>
      <c r="AF475" s="101" t="str">
        <f t="shared" si="96"/>
        <v/>
      </c>
      <c r="AG475" s="190">
        <v>75</v>
      </c>
      <c r="AH475" s="69">
        <f t="shared" si="107"/>
        <v>75</v>
      </c>
    </row>
    <row r="476" spans="1:34" s="69" customFormat="1" ht="33" customHeight="1" x14ac:dyDescent="0.3">
      <c r="A476" s="130" t="s">
        <v>1226</v>
      </c>
      <c r="B476" s="131" t="s">
        <v>1227</v>
      </c>
      <c r="C476" s="132" t="s">
        <v>1228</v>
      </c>
      <c r="D476" s="133">
        <v>200</v>
      </c>
      <c r="E476" s="133"/>
      <c r="F476" s="133"/>
      <c r="G476" s="133"/>
      <c r="H476" s="75">
        <v>28</v>
      </c>
      <c r="I476" s="75">
        <v>5600</v>
      </c>
      <c r="J476" s="91" t="s">
        <v>1229</v>
      </c>
      <c r="K476" s="73"/>
      <c r="L476" s="46">
        <v>200</v>
      </c>
      <c r="M476" s="46">
        <v>0</v>
      </c>
      <c r="N476" s="46">
        <v>5600</v>
      </c>
      <c r="O476" s="98"/>
      <c r="P476" s="23" t="s">
        <v>1393</v>
      </c>
      <c r="Q476" s="24" t="s">
        <v>1227</v>
      </c>
      <c r="R476" s="25" t="s">
        <v>1228</v>
      </c>
      <c r="S476" s="26">
        <v>200</v>
      </c>
      <c r="T476" s="26"/>
      <c r="U476" s="26">
        <v>28</v>
      </c>
      <c r="V476" s="127">
        <f t="shared" si="115"/>
        <v>0</v>
      </c>
      <c r="W476" s="127">
        <f t="shared" si="106"/>
        <v>200</v>
      </c>
      <c r="X476" s="127">
        <f t="shared" si="116"/>
        <v>0</v>
      </c>
      <c r="Y476" s="127">
        <f t="shared" si="117"/>
        <v>5600</v>
      </c>
      <c r="Z476" s="33" t="s">
        <v>15</v>
      </c>
      <c r="AA476" s="36" t="s">
        <v>16</v>
      </c>
      <c r="AB476" s="35">
        <f t="shared" si="95"/>
        <v>200</v>
      </c>
      <c r="AC476" s="35">
        <f t="shared" si="118"/>
        <v>5600</v>
      </c>
      <c r="AD476" s="181">
        <v>6</v>
      </c>
      <c r="AE476" s="181">
        <v>6</v>
      </c>
      <c r="AF476" s="101" t="str">
        <f t="shared" si="96"/>
        <v/>
      </c>
      <c r="AG476" s="190">
        <v>200</v>
      </c>
      <c r="AH476" s="69">
        <f t="shared" si="107"/>
        <v>200</v>
      </c>
    </row>
    <row r="477" spans="1:34" s="69" customFormat="1" ht="33" customHeight="1" x14ac:dyDescent="0.3">
      <c r="A477" s="55" t="s">
        <v>1230</v>
      </c>
      <c r="B477" s="53" t="s">
        <v>1231</v>
      </c>
      <c r="C477" s="54" t="s">
        <v>1228</v>
      </c>
      <c r="D477" s="75">
        <v>100</v>
      </c>
      <c r="E477" s="75"/>
      <c r="F477" s="75"/>
      <c r="G477" s="75"/>
      <c r="H477" s="75">
        <v>500</v>
      </c>
      <c r="I477" s="75">
        <v>50000</v>
      </c>
      <c r="J477" s="91" t="s">
        <v>1232</v>
      </c>
      <c r="K477" s="73"/>
      <c r="L477" s="46">
        <v>0</v>
      </c>
      <c r="M477" s="46">
        <v>0</v>
      </c>
      <c r="N477" s="46">
        <v>0</v>
      </c>
      <c r="O477" s="98"/>
      <c r="P477" s="23" t="s">
        <v>1403</v>
      </c>
      <c r="Q477" s="24" t="s">
        <v>1231</v>
      </c>
      <c r="R477" s="25" t="s">
        <v>1228</v>
      </c>
      <c r="S477" s="26">
        <v>100</v>
      </c>
      <c r="T477" s="26"/>
      <c r="U477" s="26">
        <v>500</v>
      </c>
      <c r="V477" s="26">
        <f t="shared" si="115"/>
        <v>0</v>
      </c>
      <c r="W477" s="26">
        <f t="shared" si="106"/>
        <v>0</v>
      </c>
      <c r="X477" s="26">
        <f t="shared" si="116"/>
        <v>0</v>
      </c>
      <c r="Y477" s="26">
        <f t="shared" si="117"/>
        <v>0</v>
      </c>
      <c r="Z477" s="33" t="s">
        <v>15</v>
      </c>
      <c r="AA477" s="36" t="s">
        <v>16</v>
      </c>
      <c r="AB477" s="35">
        <f t="shared" ref="AB477:AB498" si="119">IF(T477="",S477,T477)</f>
        <v>100</v>
      </c>
      <c r="AC477" s="35">
        <f t="shared" si="118"/>
        <v>50000</v>
      </c>
      <c r="AD477" s="181">
        <v>6</v>
      </c>
      <c r="AE477" s="181">
        <v>6</v>
      </c>
      <c r="AF477" s="101" t="str">
        <f t="shared" ref="AF477:AF502" si="120">IF(W477&gt;AH477,"超估","")</f>
        <v/>
      </c>
      <c r="AG477" s="190">
        <v>0</v>
      </c>
      <c r="AH477" s="69">
        <f t="shared" si="107"/>
        <v>100</v>
      </c>
    </row>
    <row r="478" spans="1:34" s="69" customFormat="1" ht="33" customHeight="1" x14ac:dyDescent="0.3">
      <c r="A478" s="55" t="s">
        <v>1233</v>
      </c>
      <c r="B478" s="53" t="s">
        <v>1234</v>
      </c>
      <c r="C478" s="54" t="s">
        <v>1235</v>
      </c>
      <c r="D478" s="75">
        <v>75</v>
      </c>
      <c r="E478" s="75"/>
      <c r="F478" s="75"/>
      <c r="G478" s="75"/>
      <c r="H478" s="75">
        <v>280</v>
      </c>
      <c r="I478" s="75">
        <v>21000</v>
      </c>
      <c r="J478" s="91" t="s">
        <v>1236</v>
      </c>
      <c r="K478" s="73"/>
      <c r="L478" s="46">
        <v>0</v>
      </c>
      <c r="M478" s="46">
        <v>0</v>
      </c>
      <c r="N478" s="46">
        <v>0</v>
      </c>
      <c r="O478" s="98"/>
      <c r="P478" s="23" t="s">
        <v>1427</v>
      </c>
      <c r="Q478" s="24" t="s">
        <v>1234</v>
      </c>
      <c r="R478" s="25" t="s">
        <v>1235</v>
      </c>
      <c r="S478" s="26">
        <v>75</v>
      </c>
      <c r="T478" s="26"/>
      <c r="U478" s="26">
        <v>280</v>
      </c>
      <c r="V478" s="26">
        <f t="shared" si="115"/>
        <v>0</v>
      </c>
      <c r="W478" s="26">
        <f t="shared" si="106"/>
        <v>0</v>
      </c>
      <c r="X478" s="26">
        <f t="shared" si="116"/>
        <v>0</v>
      </c>
      <c r="Y478" s="26">
        <f t="shared" si="117"/>
        <v>0</v>
      </c>
      <c r="Z478" s="33" t="s">
        <v>15</v>
      </c>
      <c r="AA478" s="36" t="s">
        <v>16</v>
      </c>
      <c r="AB478" s="35">
        <f t="shared" si="119"/>
        <v>75</v>
      </c>
      <c r="AC478" s="35">
        <f t="shared" si="118"/>
        <v>21000</v>
      </c>
      <c r="AD478" s="181">
        <v>6</v>
      </c>
      <c r="AE478" s="181">
        <v>6</v>
      </c>
      <c r="AF478" s="101" t="str">
        <f t="shared" si="120"/>
        <v/>
      </c>
      <c r="AG478" s="190">
        <v>0</v>
      </c>
      <c r="AH478" s="69">
        <f t="shared" si="107"/>
        <v>75</v>
      </c>
    </row>
    <row r="479" spans="1:34" s="69" customFormat="1" ht="78" x14ac:dyDescent="0.3">
      <c r="A479" s="130" t="s">
        <v>1237</v>
      </c>
      <c r="B479" s="131" t="s">
        <v>1238</v>
      </c>
      <c r="C479" s="132" t="s">
        <v>1235</v>
      </c>
      <c r="D479" s="133">
        <v>50</v>
      </c>
      <c r="E479" s="133"/>
      <c r="F479" s="133"/>
      <c r="G479" s="133"/>
      <c r="H479" s="75">
        <v>350</v>
      </c>
      <c r="I479" s="75">
        <v>17500</v>
      </c>
      <c r="J479" s="91" t="s">
        <v>1239</v>
      </c>
      <c r="K479" s="73"/>
      <c r="L479" s="46">
        <v>50</v>
      </c>
      <c r="M479" s="46">
        <v>0</v>
      </c>
      <c r="N479" s="46">
        <v>17500</v>
      </c>
      <c r="O479" s="98"/>
      <c r="P479" s="23" t="s">
        <v>1428</v>
      </c>
      <c r="Q479" s="24" t="s">
        <v>1238</v>
      </c>
      <c r="R479" s="25" t="s">
        <v>1235</v>
      </c>
      <c r="S479" s="26">
        <v>50</v>
      </c>
      <c r="T479" s="26"/>
      <c r="U479" s="26">
        <v>350</v>
      </c>
      <c r="V479" s="127">
        <f t="shared" si="115"/>
        <v>0</v>
      </c>
      <c r="W479" s="127">
        <f t="shared" si="106"/>
        <v>50</v>
      </c>
      <c r="X479" s="127">
        <f t="shared" si="116"/>
        <v>0</v>
      </c>
      <c r="Y479" s="127">
        <f t="shared" si="117"/>
        <v>17500</v>
      </c>
      <c r="Z479" s="33" t="s">
        <v>15</v>
      </c>
      <c r="AA479" s="36" t="s">
        <v>16</v>
      </c>
      <c r="AB479" s="35">
        <f t="shared" si="119"/>
        <v>50</v>
      </c>
      <c r="AC479" s="35">
        <f t="shared" si="118"/>
        <v>17500</v>
      </c>
      <c r="AD479" s="181">
        <v>6</v>
      </c>
      <c r="AE479" s="181">
        <v>6</v>
      </c>
      <c r="AF479" s="101" t="str">
        <f t="shared" si="120"/>
        <v/>
      </c>
      <c r="AG479" s="190">
        <v>50</v>
      </c>
      <c r="AH479" s="69">
        <f t="shared" si="107"/>
        <v>50</v>
      </c>
    </row>
    <row r="480" spans="1:34" s="69" customFormat="1" ht="33" customHeight="1" x14ac:dyDescent="0.3">
      <c r="A480" s="55" t="s">
        <v>1240</v>
      </c>
      <c r="B480" s="53" t="s">
        <v>1241</v>
      </c>
      <c r="C480" s="54" t="s">
        <v>325</v>
      </c>
      <c r="D480" s="75">
        <v>10</v>
      </c>
      <c r="E480" s="75"/>
      <c r="F480" s="75"/>
      <c r="G480" s="75"/>
      <c r="H480" s="75">
        <v>560</v>
      </c>
      <c r="I480" s="75">
        <v>5600</v>
      </c>
      <c r="J480" s="91" t="s">
        <v>1242</v>
      </c>
      <c r="K480" s="73"/>
      <c r="L480" s="46">
        <v>0</v>
      </c>
      <c r="M480" s="46">
        <v>0</v>
      </c>
      <c r="N480" s="46">
        <v>0</v>
      </c>
      <c r="O480" s="98"/>
      <c r="P480" s="23" t="s">
        <v>1387</v>
      </c>
      <c r="Q480" s="24" t="s">
        <v>1241</v>
      </c>
      <c r="R480" s="25" t="s">
        <v>325</v>
      </c>
      <c r="S480" s="26">
        <v>10</v>
      </c>
      <c r="T480" s="26"/>
      <c r="U480" s="26">
        <v>560</v>
      </c>
      <c r="V480" s="26">
        <f t="shared" si="115"/>
        <v>0</v>
      </c>
      <c r="W480" s="26">
        <f t="shared" si="106"/>
        <v>0</v>
      </c>
      <c r="X480" s="26">
        <f t="shared" si="116"/>
        <v>0</v>
      </c>
      <c r="Y480" s="26">
        <f t="shared" si="117"/>
        <v>0</v>
      </c>
      <c r="Z480" s="33" t="s">
        <v>15</v>
      </c>
      <c r="AA480" s="36" t="s">
        <v>16</v>
      </c>
      <c r="AB480" s="35">
        <f t="shared" si="119"/>
        <v>10</v>
      </c>
      <c r="AC480" s="35">
        <f t="shared" si="118"/>
        <v>5600</v>
      </c>
      <c r="AD480" s="181">
        <v>6</v>
      </c>
      <c r="AE480" s="181">
        <v>6</v>
      </c>
      <c r="AF480" s="101" t="str">
        <f t="shared" si="120"/>
        <v/>
      </c>
      <c r="AG480" s="190">
        <v>0</v>
      </c>
      <c r="AH480" s="69">
        <f t="shared" si="107"/>
        <v>10</v>
      </c>
    </row>
    <row r="481" spans="1:34" s="69" customFormat="1" ht="33" customHeight="1" x14ac:dyDescent="0.3">
      <c r="A481" s="130" t="s">
        <v>1243</v>
      </c>
      <c r="B481" s="131" t="s">
        <v>1244</v>
      </c>
      <c r="C481" s="132" t="s">
        <v>162</v>
      </c>
      <c r="D481" s="133">
        <v>4</v>
      </c>
      <c r="E481" s="133"/>
      <c r="F481" s="133"/>
      <c r="G481" s="133"/>
      <c r="H481" s="75">
        <v>250</v>
      </c>
      <c r="I481" s="75">
        <v>1000</v>
      </c>
      <c r="J481" s="91" t="s">
        <v>1245</v>
      </c>
      <c r="K481" s="73"/>
      <c r="L481" s="46">
        <v>4</v>
      </c>
      <c r="M481" s="46">
        <v>0</v>
      </c>
      <c r="N481" s="46">
        <v>1000</v>
      </c>
      <c r="O481" s="98"/>
      <c r="P481" s="23" t="s">
        <v>1405</v>
      </c>
      <c r="Q481" s="24" t="s">
        <v>1244</v>
      </c>
      <c r="R481" s="25" t="s">
        <v>162</v>
      </c>
      <c r="S481" s="26">
        <v>4</v>
      </c>
      <c r="T481" s="26"/>
      <c r="U481" s="26">
        <v>250</v>
      </c>
      <c r="V481" s="127">
        <f t="shared" si="115"/>
        <v>0</v>
      </c>
      <c r="W481" s="127">
        <f t="shared" si="106"/>
        <v>4</v>
      </c>
      <c r="X481" s="127">
        <f t="shared" si="116"/>
        <v>0</v>
      </c>
      <c r="Y481" s="127">
        <f t="shared" si="117"/>
        <v>1000</v>
      </c>
      <c r="Z481" s="33" t="s">
        <v>15</v>
      </c>
      <c r="AA481" s="36" t="s">
        <v>16</v>
      </c>
      <c r="AB481" s="35">
        <f t="shared" si="119"/>
        <v>4</v>
      </c>
      <c r="AC481" s="35">
        <f t="shared" si="118"/>
        <v>1000</v>
      </c>
      <c r="AD481" s="181">
        <v>6</v>
      </c>
      <c r="AE481" s="181">
        <v>6</v>
      </c>
      <c r="AF481" s="101" t="str">
        <f t="shared" si="120"/>
        <v/>
      </c>
      <c r="AG481" s="190">
        <v>4</v>
      </c>
      <c r="AH481" s="69">
        <f t="shared" si="107"/>
        <v>4</v>
      </c>
    </row>
    <row r="482" spans="1:34" s="69" customFormat="1" ht="49.5" customHeight="1" x14ac:dyDescent="0.3">
      <c r="A482" s="130" t="s">
        <v>1246</v>
      </c>
      <c r="B482" s="131" t="s">
        <v>1247</v>
      </c>
      <c r="C482" s="132" t="s">
        <v>325</v>
      </c>
      <c r="D482" s="133">
        <v>5</v>
      </c>
      <c r="E482" s="133"/>
      <c r="F482" s="133"/>
      <c r="G482" s="133"/>
      <c r="H482" s="75">
        <v>8300</v>
      </c>
      <c r="I482" s="75">
        <v>41500</v>
      </c>
      <c r="J482" s="91" t="s">
        <v>1248</v>
      </c>
      <c r="K482" s="73"/>
      <c r="L482" s="46">
        <v>5</v>
      </c>
      <c r="M482" s="46">
        <v>0</v>
      </c>
      <c r="N482" s="46">
        <v>41500</v>
      </c>
      <c r="O482" s="98"/>
      <c r="P482" s="23" t="s">
        <v>1406</v>
      </c>
      <c r="Q482" s="24" t="s">
        <v>1247</v>
      </c>
      <c r="R482" s="25" t="s">
        <v>325</v>
      </c>
      <c r="S482" s="26">
        <v>5</v>
      </c>
      <c r="T482" s="26"/>
      <c r="U482" s="26">
        <v>8300</v>
      </c>
      <c r="V482" s="127">
        <f t="shared" si="115"/>
        <v>0</v>
      </c>
      <c r="W482" s="127">
        <f t="shared" si="106"/>
        <v>5</v>
      </c>
      <c r="X482" s="127">
        <f t="shared" si="116"/>
        <v>0</v>
      </c>
      <c r="Y482" s="127">
        <f t="shared" si="117"/>
        <v>41500</v>
      </c>
      <c r="Z482" s="33" t="s">
        <v>15</v>
      </c>
      <c r="AA482" s="36" t="s">
        <v>16</v>
      </c>
      <c r="AB482" s="35">
        <f t="shared" si="119"/>
        <v>5</v>
      </c>
      <c r="AC482" s="35">
        <f t="shared" si="118"/>
        <v>41500</v>
      </c>
      <c r="AD482" s="181">
        <v>6</v>
      </c>
      <c r="AE482" s="181">
        <v>6</v>
      </c>
      <c r="AF482" s="101" t="str">
        <f t="shared" si="120"/>
        <v/>
      </c>
      <c r="AG482" s="190">
        <v>5</v>
      </c>
      <c r="AH482" s="69">
        <f t="shared" si="107"/>
        <v>5</v>
      </c>
    </row>
    <row r="483" spans="1:34" s="69" customFormat="1" ht="33" customHeight="1" x14ac:dyDescent="0.3">
      <c r="A483" s="130" t="s">
        <v>1249</v>
      </c>
      <c r="B483" s="131" t="s">
        <v>1250</v>
      </c>
      <c r="C483" s="132" t="s">
        <v>325</v>
      </c>
      <c r="D483" s="133">
        <v>5</v>
      </c>
      <c r="E483" s="133"/>
      <c r="F483" s="133"/>
      <c r="G483" s="133"/>
      <c r="H483" s="75">
        <v>1160</v>
      </c>
      <c r="I483" s="75">
        <v>5800</v>
      </c>
      <c r="J483" s="91" t="s">
        <v>1251</v>
      </c>
      <c r="K483" s="73"/>
      <c r="L483" s="46">
        <v>5</v>
      </c>
      <c r="M483" s="46">
        <v>0</v>
      </c>
      <c r="N483" s="46">
        <v>5800</v>
      </c>
      <c r="O483" s="98"/>
      <c r="P483" s="23" t="s">
        <v>1414</v>
      </c>
      <c r="Q483" s="24" t="s">
        <v>1250</v>
      </c>
      <c r="R483" s="25" t="s">
        <v>325</v>
      </c>
      <c r="S483" s="26">
        <v>5</v>
      </c>
      <c r="T483" s="26"/>
      <c r="U483" s="26">
        <v>1160</v>
      </c>
      <c r="V483" s="127">
        <f t="shared" si="115"/>
        <v>0</v>
      </c>
      <c r="W483" s="127">
        <f t="shared" si="106"/>
        <v>5</v>
      </c>
      <c r="X483" s="127">
        <f t="shared" si="116"/>
        <v>0</v>
      </c>
      <c r="Y483" s="127">
        <f t="shared" si="117"/>
        <v>5800</v>
      </c>
      <c r="Z483" s="33" t="s">
        <v>15</v>
      </c>
      <c r="AA483" s="36" t="s">
        <v>16</v>
      </c>
      <c r="AB483" s="35">
        <f t="shared" si="119"/>
        <v>5</v>
      </c>
      <c r="AC483" s="35">
        <f t="shared" si="118"/>
        <v>5800</v>
      </c>
      <c r="AD483" s="181">
        <v>6</v>
      </c>
      <c r="AE483" s="181">
        <v>6</v>
      </c>
      <c r="AF483" s="101" t="str">
        <f t="shared" si="120"/>
        <v/>
      </c>
      <c r="AG483" s="190">
        <v>5</v>
      </c>
      <c r="AH483" s="69">
        <f t="shared" si="107"/>
        <v>5</v>
      </c>
    </row>
    <row r="484" spans="1:34" s="69" customFormat="1" ht="58.5" x14ac:dyDescent="0.3">
      <c r="A484" s="130" t="s">
        <v>1252</v>
      </c>
      <c r="B484" s="131" t="s">
        <v>1253</v>
      </c>
      <c r="C484" s="132" t="s">
        <v>325</v>
      </c>
      <c r="D484" s="133">
        <v>5</v>
      </c>
      <c r="E484" s="133"/>
      <c r="F484" s="133"/>
      <c r="G484" s="133"/>
      <c r="H484" s="75">
        <v>600</v>
      </c>
      <c r="I484" s="75">
        <v>3000</v>
      </c>
      <c r="J484" s="91" t="s">
        <v>1254</v>
      </c>
      <c r="K484" s="73"/>
      <c r="L484" s="46">
        <v>5</v>
      </c>
      <c r="M484" s="46">
        <v>0</v>
      </c>
      <c r="N484" s="46">
        <v>3000</v>
      </c>
      <c r="O484" s="98"/>
      <c r="P484" s="23" t="s">
        <v>1429</v>
      </c>
      <c r="Q484" s="24" t="s">
        <v>1253</v>
      </c>
      <c r="R484" s="25" t="s">
        <v>325</v>
      </c>
      <c r="S484" s="26">
        <v>5</v>
      </c>
      <c r="T484" s="26"/>
      <c r="U484" s="26">
        <v>600</v>
      </c>
      <c r="V484" s="127">
        <f t="shared" si="115"/>
        <v>0</v>
      </c>
      <c r="W484" s="127">
        <f t="shared" si="106"/>
        <v>5</v>
      </c>
      <c r="X484" s="127">
        <f t="shared" si="116"/>
        <v>0</v>
      </c>
      <c r="Y484" s="127">
        <f t="shared" si="117"/>
        <v>3000</v>
      </c>
      <c r="Z484" s="33" t="s">
        <v>15</v>
      </c>
      <c r="AA484" s="36" t="s">
        <v>16</v>
      </c>
      <c r="AB484" s="35">
        <f t="shared" si="119"/>
        <v>5</v>
      </c>
      <c r="AC484" s="35">
        <f t="shared" si="118"/>
        <v>3000</v>
      </c>
      <c r="AD484" s="181">
        <v>6</v>
      </c>
      <c r="AE484" s="181">
        <v>6</v>
      </c>
      <c r="AF484" s="101" t="str">
        <f t="shared" si="120"/>
        <v/>
      </c>
      <c r="AG484" s="190">
        <v>5</v>
      </c>
      <c r="AH484" s="69">
        <f t="shared" si="107"/>
        <v>5</v>
      </c>
    </row>
    <row r="485" spans="1:34" s="69" customFormat="1" ht="49.5" customHeight="1" x14ac:dyDescent="0.3">
      <c r="A485" s="130" t="s">
        <v>1255</v>
      </c>
      <c r="B485" s="131" t="s">
        <v>1256</v>
      </c>
      <c r="C485" s="132" t="s">
        <v>325</v>
      </c>
      <c r="D485" s="133">
        <v>5</v>
      </c>
      <c r="E485" s="133"/>
      <c r="F485" s="133"/>
      <c r="G485" s="133"/>
      <c r="H485" s="75">
        <v>1800</v>
      </c>
      <c r="I485" s="75">
        <v>9000</v>
      </c>
      <c r="J485" s="91" t="s">
        <v>1257</v>
      </c>
      <c r="K485" s="73"/>
      <c r="L485" s="46">
        <v>5</v>
      </c>
      <c r="M485" s="46">
        <v>0</v>
      </c>
      <c r="N485" s="46">
        <v>9000</v>
      </c>
      <c r="O485" s="98"/>
      <c r="P485" s="23" t="s">
        <v>1430</v>
      </c>
      <c r="Q485" s="24" t="s">
        <v>1256</v>
      </c>
      <c r="R485" s="25" t="s">
        <v>325</v>
      </c>
      <c r="S485" s="26">
        <v>5</v>
      </c>
      <c r="T485" s="26"/>
      <c r="U485" s="26">
        <v>1800</v>
      </c>
      <c r="V485" s="127">
        <f t="shared" si="115"/>
        <v>0</v>
      </c>
      <c r="W485" s="127">
        <f t="shared" si="106"/>
        <v>5</v>
      </c>
      <c r="X485" s="127">
        <f t="shared" si="116"/>
        <v>0</v>
      </c>
      <c r="Y485" s="127">
        <f t="shared" si="117"/>
        <v>9000</v>
      </c>
      <c r="Z485" s="33" t="s">
        <v>15</v>
      </c>
      <c r="AA485" s="36" t="s">
        <v>16</v>
      </c>
      <c r="AB485" s="35">
        <f t="shared" si="119"/>
        <v>5</v>
      </c>
      <c r="AC485" s="35">
        <f t="shared" si="118"/>
        <v>9000</v>
      </c>
      <c r="AD485" s="181">
        <v>6</v>
      </c>
      <c r="AE485" s="181">
        <v>6</v>
      </c>
      <c r="AF485" s="101" t="str">
        <f t="shared" si="120"/>
        <v/>
      </c>
      <c r="AG485" s="190">
        <v>5</v>
      </c>
      <c r="AH485" s="69">
        <f t="shared" si="107"/>
        <v>5</v>
      </c>
    </row>
    <row r="486" spans="1:34" s="69" customFormat="1" ht="39" x14ac:dyDescent="0.3">
      <c r="A486" s="55" t="s">
        <v>1258</v>
      </c>
      <c r="B486" s="53" t="s">
        <v>1259</v>
      </c>
      <c r="C486" s="54" t="s">
        <v>325</v>
      </c>
      <c r="D486" s="75">
        <v>80</v>
      </c>
      <c r="E486" s="75"/>
      <c r="F486" s="75"/>
      <c r="G486" s="75"/>
      <c r="H486" s="75">
        <v>2200</v>
      </c>
      <c r="I486" s="75">
        <v>176000</v>
      </c>
      <c r="J486" s="91" t="s">
        <v>1260</v>
      </c>
      <c r="K486" s="73"/>
      <c r="L486" s="46">
        <v>40</v>
      </c>
      <c r="M486" s="46">
        <v>0</v>
      </c>
      <c r="N486" s="46">
        <v>88000</v>
      </c>
      <c r="O486" s="98"/>
      <c r="P486" s="23" t="s">
        <v>1431</v>
      </c>
      <c r="Q486" s="24" t="s">
        <v>1259</v>
      </c>
      <c r="R486" s="25" t="s">
        <v>325</v>
      </c>
      <c r="S486" s="26">
        <v>80</v>
      </c>
      <c r="T486" s="26"/>
      <c r="U486" s="26">
        <v>2200</v>
      </c>
      <c r="V486" s="26">
        <f t="shared" si="115"/>
        <v>0</v>
      </c>
      <c r="W486" s="26">
        <f t="shared" si="106"/>
        <v>40</v>
      </c>
      <c r="X486" s="26">
        <f t="shared" si="116"/>
        <v>0</v>
      </c>
      <c r="Y486" s="26">
        <f t="shared" si="117"/>
        <v>88000</v>
      </c>
      <c r="Z486" s="33" t="s">
        <v>15</v>
      </c>
      <c r="AA486" s="36" t="s">
        <v>16</v>
      </c>
      <c r="AB486" s="35">
        <f t="shared" si="119"/>
        <v>80</v>
      </c>
      <c r="AC486" s="35">
        <f t="shared" si="118"/>
        <v>176000</v>
      </c>
      <c r="AD486" s="181">
        <v>6</v>
      </c>
      <c r="AE486" s="181">
        <v>6</v>
      </c>
      <c r="AF486" s="101" t="str">
        <f t="shared" si="120"/>
        <v/>
      </c>
      <c r="AG486" s="190">
        <v>40</v>
      </c>
      <c r="AH486" s="69">
        <f t="shared" si="107"/>
        <v>80</v>
      </c>
    </row>
    <row r="487" spans="1:34" s="69" customFormat="1" ht="42" x14ac:dyDescent="0.3">
      <c r="A487" s="130" t="s">
        <v>1261</v>
      </c>
      <c r="B487" s="131" t="s">
        <v>1262</v>
      </c>
      <c r="C487" s="132" t="s">
        <v>14</v>
      </c>
      <c r="D487" s="133">
        <v>1</v>
      </c>
      <c r="E487" s="133"/>
      <c r="F487" s="133"/>
      <c r="G487" s="133"/>
      <c r="H487" s="75">
        <v>261478.99</v>
      </c>
      <c r="I487" s="75">
        <v>261478.99</v>
      </c>
      <c r="J487" s="91" t="s">
        <v>1263</v>
      </c>
      <c r="K487" s="73"/>
      <c r="L487" s="46">
        <v>1</v>
      </c>
      <c r="M487" s="46">
        <v>0</v>
      </c>
      <c r="N487" s="46">
        <v>261478.99</v>
      </c>
      <c r="O487" s="98"/>
      <c r="P487" s="23" t="s">
        <v>1395</v>
      </c>
      <c r="Q487" s="24" t="s">
        <v>1262</v>
      </c>
      <c r="R487" s="25" t="s">
        <v>14</v>
      </c>
      <c r="S487" s="26">
        <v>1</v>
      </c>
      <c r="T487" s="26"/>
      <c r="U487" s="26">
        <v>261478.99</v>
      </c>
      <c r="V487" s="127">
        <f t="shared" si="115"/>
        <v>0</v>
      </c>
      <c r="W487" s="127">
        <f t="shared" si="106"/>
        <v>1</v>
      </c>
      <c r="X487" s="127">
        <f t="shared" si="116"/>
        <v>0</v>
      </c>
      <c r="Y487" s="127">
        <f t="shared" si="117"/>
        <v>261478.99</v>
      </c>
      <c r="Z487" s="33" t="s">
        <v>1499</v>
      </c>
      <c r="AA487" s="36" t="s">
        <v>16</v>
      </c>
      <c r="AB487" s="35">
        <f t="shared" si="119"/>
        <v>1</v>
      </c>
      <c r="AC487" s="35">
        <f t="shared" si="118"/>
        <v>261478.99</v>
      </c>
      <c r="AD487" s="181">
        <v>6</v>
      </c>
      <c r="AE487" s="181">
        <v>6</v>
      </c>
      <c r="AF487" s="101" t="str">
        <f t="shared" si="120"/>
        <v/>
      </c>
      <c r="AG487" s="190">
        <v>1</v>
      </c>
      <c r="AH487" s="69">
        <f t="shared" si="107"/>
        <v>1</v>
      </c>
    </row>
    <row r="488" spans="1:34" s="69" customFormat="1" ht="33" x14ac:dyDescent="0.3">
      <c r="A488" s="55" t="s">
        <v>1264</v>
      </c>
      <c r="B488" s="53" t="s">
        <v>1265</v>
      </c>
      <c r="C488" s="54" t="s">
        <v>30</v>
      </c>
      <c r="D488" s="75">
        <v>5000</v>
      </c>
      <c r="E488" s="75"/>
      <c r="F488" s="75"/>
      <c r="G488" s="75"/>
      <c r="H488" s="75">
        <v>13</v>
      </c>
      <c r="I488" s="75">
        <v>65000</v>
      </c>
      <c r="J488" s="91" t="s">
        <v>1266</v>
      </c>
      <c r="K488" s="73"/>
      <c r="L488" s="46">
        <v>0</v>
      </c>
      <c r="M488" s="46">
        <v>0</v>
      </c>
      <c r="N488" s="46">
        <v>0</v>
      </c>
      <c r="O488" s="98"/>
      <c r="P488" s="23" t="s">
        <v>1432</v>
      </c>
      <c r="Q488" s="24" t="s">
        <v>1265</v>
      </c>
      <c r="R488" s="25" t="s">
        <v>30</v>
      </c>
      <c r="S488" s="26">
        <v>5000</v>
      </c>
      <c r="T488" s="26"/>
      <c r="U488" s="26">
        <v>13</v>
      </c>
      <c r="V488" s="26">
        <f t="shared" si="115"/>
        <v>0</v>
      </c>
      <c r="W488" s="26">
        <f t="shared" si="106"/>
        <v>0</v>
      </c>
      <c r="X488" s="26">
        <f t="shared" si="116"/>
        <v>0</v>
      </c>
      <c r="Y488" s="26">
        <f t="shared" si="117"/>
        <v>0</v>
      </c>
      <c r="Z488" s="33" t="s">
        <v>15</v>
      </c>
      <c r="AA488" s="36" t="s">
        <v>16</v>
      </c>
      <c r="AB488" s="35">
        <f t="shared" si="119"/>
        <v>5000</v>
      </c>
      <c r="AC488" s="35">
        <f t="shared" si="118"/>
        <v>65000</v>
      </c>
      <c r="AD488" s="181">
        <v>6</v>
      </c>
      <c r="AE488" s="181">
        <v>6</v>
      </c>
      <c r="AF488" s="101" t="str">
        <f t="shared" si="120"/>
        <v/>
      </c>
      <c r="AG488" s="190">
        <v>0</v>
      </c>
      <c r="AH488" s="69">
        <f t="shared" si="107"/>
        <v>5000</v>
      </c>
    </row>
    <row r="489" spans="1:34" s="69" customFormat="1" ht="39" x14ac:dyDescent="0.3">
      <c r="A489" s="55" t="s">
        <v>1267</v>
      </c>
      <c r="B489" s="53" t="s">
        <v>1268</v>
      </c>
      <c r="C489" s="54" t="s">
        <v>1269</v>
      </c>
      <c r="D489" s="75">
        <v>48</v>
      </c>
      <c r="E489" s="75"/>
      <c r="F489" s="75"/>
      <c r="G489" s="75"/>
      <c r="H489" s="75">
        <v>47468</v>
      </c>
      <c r="I489" s="75">
        <v>2278464</v>
      </c>
      <c r="J489" s="91" t="s">
        <v>1270</v>
      </c>
      <c r="K489" s="73"/>
      <c r="L489" s="46">
        <v>28</v>
      </c>
      <c r="M489" s="46">
        <v>94936</v>
      </c>
      <c r="N489" s="46">
        <v>1329104</v>
      </c>
      <c r="O489" s="98"/>
      <c r="P489" s="23" t="s">
        <v>1433</v>
      </c>
      <c r="Q489" s="24" t="s">
        <v>1268</v>
      </c>
      <c r="R489" s="25" t="s">
        <v>1269</v>
      </c>
      <c r="S489" s="26">
        <v>48</v>
      </c>
      <c r="T489" s="26"/>
      <c r="U489" s="26">
        <v>47468</v>
      </c>
      <c r="V489" s="102">
        <f t="shared" si="115"/>
        <v>2</v>
      </c>
      <c r="W489" s="26">
        <f t="shared" si="106"/>
        <v>30</v>
      </c>
      <c r="X489" s="26">
        <f t="shared" si="116"/>
        <v>94936</v>
      </c>
      <c r="Y489" s="26">
        <f t="shared" si="117"/>
        <v>1424040</v>
      </c>
      <c r="Z489" s="33" t="s">
        <v>15</v>
      </c>
      <c r="AA489" s="36" t="s">
        <v>16</v>
      </c>
      <c r="AB489" s="35">
        <f t="shared" si="119"/>
        <v>48</v>
      </c>
      <c r="AC489" s="35">
        <f t="shared" si="118"/>
        <v>2278464</v>
      </c>
      <c r="AD489" s="181">
        <v>6</v>
      </c>
      <c r="AE489" s="181">
        <v>6</v>
      </c>
      <c r="AF489" s="101" t="str">
        <f t="shared" si="120"/>
        <v/>
      </c>
      <c r="AG489" s="191">
        <f>24+2+2+2</f>
        <v>30</v>
      </c>
      <c r="AH489" s="69">
        <f t="shared" si="107"/>
        <v>48</v>
      </c>
    </row>
    <row r="490" spans="1:34" s="69" customFormat="1" ht="39" x14ac:dyDescent="0.3">
      <c r="A490" s="55" t="s">
        <v>1271</v>
      </c>
      <c r="B490" s="53" t="s">
        <v>1272</v>
      </c>
      <c r="C490" s="54" t="s">
        <v>14</v>
      </c>
      <c r="D490" s="75">
        <v>1</v>
      </c>
      <c r="E490" s="75"/>
      <c r="F490" s="75"/>
      <c r="G490" s="75"/>
      <c r="H490" s="75">
        <v>111233.97</v>
      </c>
      <c r="I490" s="75">
        <v>111233.97</v>
      </c>
      <c r="J490" s="91" t="s">
        <v>1273</v>
      </c>
      <c r="K490" s="73"/>
      <c r="L490" s="46">
        <v>0</v>
      </c>
      <c r="M490" s="46">
        <v>0</v>
      </c>
      <c r="N490" s="46">
        <v>0</v>
      </c>
      <c r="O490" s="98"/>
      <c r="P490" s="23" t="s">
        <v>1382</v>
      </c>
      <c r="Q490" s="24" t="s">
        <v>1272</v>
      </c>
      <c r="R490" s="25" t="s">
        <v>14</v>
      </c>
      <c r="S490" s="26">
        <v>1</v>
      </c>
      <c r="T490" s="26"/>
      <c r="U490" s="26">
        <v>111233.97</v>
      </c>
      <c r="V490" s="26">
        <f t="shared" si="115"/>
        <v>0</v>
      </c>
      <c r="W490" s="26">
        <f t="shared" si="106"/>
        <v>0</v>
      </c>
      <c r="X490" s="26">
        <f t="shared" si="116"/>
        <v>0</v>
      </c>
      <c r="Y490" s="26">
        <f t="shared" si="117"/>
        <v>0</v>
      </c>
      <c r="Z490" s="33" t="s">
        <v>15</v>
      </c>
      <c r="AA490" s="36" t="s">
        <v>16</v>
      </c>
      <c r="AB490" s="35">
        <f t="shared" si="119"/>
        <v>1</v>
      </c>
      <c r="AC490" s="35">
        <f t="shared" si="118"/>
        <v>111233.97</v>
      </c>
      <c r="AD490" s="181">
        <v>6</v>
      </c>
      <c r="AE490" s="181">
        <v>6</v>
      </c>
      <c r="AF490" s="101" t="str">
        <f t="shared" si="120"/>
        <v/>
      </c>
      <c r="AG490" s="190">
        <v>0</v>
      </c>
      <c r="AH490" s="69">
        <f t="shared" si="107"/>
        <v>1</v>
      </c>
    </row>
    <row r="491" spans="1:34" s="69" customFormat="1" ht="33" x14ac:dyDescent="0.3">
      <c r="A491" s="85" t="s">
        <v>1274</v>
      </c>
      <c r="B491" s="86" t="s">
        <v>1275</v>
      </c>
      <c r="C491" s="87" t="s">
        <v>14</v>
      </c>
      <c r="D491" s="88">
        <v>1</v>
      </c>
      <c r="E491" s="88"/>
      <c r="F491" s="88"/>
      <c r="G491" s="88"/>
      <c r="H491" s="88"/>
      <c r="I491" s="88">
        <v>2884379.96</v>
      </c>
      <c r="J491" s="95" t="s">
        <v>15</v>
      </c>
      <c r="K491" s="73"/>
      <c r="L491" s="42">
        <v>1</v>
      </c>
      <c r="M491" s="42">
        <v>94936</v>
      </c>
      <c r="N491" s="42">
        <v>1632061.98</v>
      </c>
      <c r="O491" s="98"/>
      <c r="P491" s="13" t="s">
        <v>1416</v>
      </c>
      <c r="Q491" s="14" t="s">
        <v>1275</v>
      </c>
      <c r="R491" s="15" t="s">
        <v>14</v>
      </c>
      <c r="S491" s="16">
        <v>1</v>
      </c>
      <c r="T491" s="16"/>
      <c r="U491" s="16">
        <f>SUMIFS(AC:AC,AD:AD,AD491)</f>
        <v>2884379.96</v>
      </c>
      <c r="V491" s="16">
        <f t="shared" ref="V491:W491" si="121">IF(X491=0,0,1)</f>
        <v>1</v>
      </c>
      <c r="W491" s="16">
        <f t="shared" si="121"/>
        <v>1</v>
      </c>
      <c r="X491" s="16">
        <f>SUMIFS(X:X,AE:AE,AD491)</f>
        <v>94936</v>
      </c>
      <c r="Y491" s="16">
        <f>SUMIFS(Y:Y,AE:AE,AD491)</f>
        <v>1726997.98</v>
      </c>
      <c r="Z491" s="17" t="s">
        <v>15</v>
      </c>
      <c r="AA491" s="40" t="s">
        <v>16</v>
      </c>
      <c r="AB491" s="35">
        <f t="shared" si="119"/>
        <v>1</v>
      </c>
      <c r="AC491" s="41"/>
      <c r="AD491" s="183">
        <v>7</v>
      </c>
      <c r="AE491" s="183"/>
      <c r="AF491" s="101" t="str">
        <f t="shared" si="120"/>
        <v/>
      </c>
      <c r="AG491" s="190">
        <v>1</v>
      </c>
      <c r="AH491" s="69">
        <f t="shared" si="107"/>
        <v>1</v>
      </c>
    </row>
    <row r="492" spans="1:34" s="69" customFormat="1" ht="39" x14ac:dyDescent="0.3">
      <c r="A492" s="55" t="s">
        <v>1276</v>
      </c>
      <c r="B492" s="53" t="s">
        <v>1277</v>
      </c>
      <c r="C492" s="54" t="s">
        <v>1269</v>
      </c>
      <c r="D492" s="75">
        <v>48</v>
      </c>
      <c r="E492" s="75"/>
      <c r="F492" s="75"/>
      <c r="G492" s="75"/>
      <c r="H492" s="75">
        <v>47468</v>
      </c>
      <c r="I492" s="75">
        <v>2278464</v>
      </c>
      <c r="J492" s="91" t="s">
        <v>1278</v>
      </c>
      <c r="K492" s="73"/>
      <c r="L492" s="46">
        <v>28</v>
      </c>
      <c r="M492" s="46">
        <v>94936</v>
      </c>
      <c r="N492" s="46">
        <v>1329104</v>
      </c>
      <c r="O492" s="98"/>
      <c r="P492" s="23" t="s">
        <v>1421</v>
      </c>
      <c r="Q492" s="24" t="s">
        <v>1277</v>
      </c>
      <c r="R492" s="25" t="s">
        <v>1269</v>
      </c>
      <c r="S492" s="26">
        <v>48</v>
      </c>
      <c r="T492" s="26"/>
      <c r="U492" s="26">
        <v>47468</v>
      </c>
      <c r="V492" s="102">
        <f t="shared" ref="V492:V493" si="122">AG492-L492</f>
        <v>2</v>
      </c>
      <c r="W492" s="26">
        <f t="shared" si="106"/>
        <v>30</v>
      </c>
      <c r="X492" s="26">
        <f>Y492-N492</f>
        <v>94936</v>
      </c>
      <c r="Y492" s="26">
        <f t="shared" ref="Y492:Y493" si="123">ROUND(U492*W492,2)</f>
        <v>1424040</v>
      </c>
      <c r="Z492" s="33" t="s">
        <v>15</v>
      </c>
      <c r="AA492" s="36" t="s">
        <v>16</v>
      </c>
      <c r="AB492" s="35">
        <f t="shared" si="119"/>
        <v>48</v>
      </c>
      <c r="AC492" s="35">
        <f t="shared" ref="AC492:AC493" si="124">ROUND(U492*AB492,2)</f>
        <v>2278464</v>
      </c>
      <c r="AD492" s="181">
        <v>7</v>
      </c>
      <c r="AE492" s="181">
        <v>7</v>
      </c>
      <c r="AF492" s="101" t="str">
        <f t="shared" si="120"/>
        <v/>
      </c>
      <c r="AG492" s="191">
        <f>24+2+2+2</f>
        <v>30</v>
      </c>
      <c r="AH492" s="69">
        <f t="shared" si="107"/>
        <v>48</v>
      </c>
    </row>
    <row r="493" spans="1:34" s="69" customFormat="1" ht="33" x14ac:dyDescent="0.3">
      <c r="A493" s="55" t="s">
        <v>1279</v>
      </c>
      <c r="B493" s="53" t="s">
        <v>1280</v>
      </c>
      <c r="C493" s="54" t="s">
        <v>14</v>
      </c>
      <c r="D493" s="75">
        <v>1</v>
      </c>
      <c r="E493" s="75"/>
      <c r="F493" s="75"/>
      <c r="G493" s="75"/>
      <c r="H493" s="75">
        <v>605915.96</v>
      </c>
      <c r="I493" s="75">
        <v>605915.96</v>
      </c>
      <c r="J493" s="91" t="s">
        <v>1281</v>
      </c>
      <c r="K493" s="73"/>
      <c r="L493" s="46">
        <v>0.5</v>
      </c>
      <c r="M493" s="46">
        <v>0</v>
      </c>
      <c r="N493" s="46">
        <v>302957.98</v>
      </c>
      <c r="O493" s="98"/>
      <c r="P493" s="23" t="s">
        <v>1426</v>
      </c>
      <c r="Q493" s="24" t="s">
        <v>1280</v>
      </c>
      <c r="R493" s="25" t="s">
        <v>14</v>
      </c>
      <c r="S493" s="26">
        <v>1</v>
      </c>
      <c r="T493" s="26"/>
      <c r="U493" s="26">
        <v>605915.96</v>
      </c>
      <c r="V493" s="128">
        <f t="shared" si="122"/>
        <v>0</v>
      </c>
      <c r="W493" s="26">
        <f t="shared" si="106"/>
        <v>0.5</v>
      </c>
      <c r="X493" s="26">
        <f>Y493-N493</f>
        <v>0</v>
      </c>
      <c r="Y493" s="26">
        <f t="shared" si="123"/>
        <v>302957.98</v>
      </c>
      <c r="Z493" s="33" t="s">
        <v>15</v>
      </c>
      <c r="AA493" s="36" t="s">
        <v>16</v>
      </c>
      <c r="AB493" s="35">
        <f t="shared" si="119"/>
        <v>1</v>
      </c>
      <c r="AC493" s="35">
        <f t="shared" si="124"/>
        <v>605915.96</v>
      </c>
      <c r="AD493" s="181">
        <v>7</v>
      </c>
      <c r="AE493" s="181">
        <v>7</v>
      </c>
      <c r="AF493" s="101" t="str">
        <f t="shared" si="120"/>
        <v/>
      </c>
      <c r="AG493" s="191">
        <f>0.5</f>
        <v>0.5</v>
      </c>
      <c r="AH493" s="69">
        <f t="shared" si="107"/>
        <v>1</v>
      </c>
    </row>
    <row r="494" spans="1:34" s="69" customFormat="1" ht="63" x14ac:dyDescent="0.3">
      <c r="A494" s="85" t="s">
        <v>1282</v>
      </c>
      <c r="B494" s="86" t="s">
        <v>1283</v>
      </c>
      <c r="C494" s="87" t="s">
        <v>14</v>
      </c>
      <c r="D494" s="88">
        <v>1</v>
      </c>
      <c r="E494" s="88"/>
      <c r="F494" s="88"/>
      <c r="G494" s="88"/>
      <c r="H494" s="88"/>
      <c r="I494" s="88">
        <v>35719969.310000002</v>
      </c>
      <c r="J494" s="95" t="s">
        <v>1284</v>
      </c>
      <c r="K494" s="73"/>
      <c r="L494" s="42">
        <v>1</v>
      </c>
      <c r="M494" s="42">
        <v>1206008.2200000063</v>
      </c>
      <c r="N494" s="42">
        <v>19141587.819999993</v>
      </c>
      <c r="O494" s="98"/>
      <c r="P494" s="28" t="s">
        <v>1417</v>
      </c>
      <c r="Q494" s="29" t="s">
        <v>1283</v>
      </c>
      <c r="R494" s="30" t="s">
        <v>14</v>
      </c>
      <c r="S494" s="31">
        <v>1</v>
      </c>
      <c r="T494" s="31"/>
      <c r="U494" s="31">
        <v>35719969.310000002</v>
      </c>
      <c r="V494" s="31">
        <f t="shared" ref="V494:W495" si="125">IF(X494=0,0,1)</f>
        <v>1</v>
      </c>
      <c r="W494" s="31">
        <f t="shared" si="125"/>
        <v>1</v>
      </c>
      <c r="X494" s="31">
        <f>Y494-N494</f>
        <v>2441124.9300000072</v>
      </c>
      <c r="Y494" s="31">
        <f>Y7-Y8-Y377-Y406-Y446-Y450-Y471-Y491-Y495-Y497</f>
        <v>21582712.75</v>
      </c>
      <c r="Z494" s="32" t="s">
        <v>1418</v>
      </c>
      <c r="AA494" s="40" t="s">
        <v>16</v>
      </c>
      <c r="AB494" s="35">
        <f t="shared" si="119"/>
        <v>1</v>
      </c>
      <c r="AC494" s="41"/>
      <c r="AD494" s="183">
        <v>8</v>
      </c>
      <c r="AE494" s="183"/>
      <c r="AF494" s="101" t="str">
        <f t="shared" si="120"/>
        <v/>
      </c>
      <c r="AG494" s="190">
        <v>1</v>
      </c>
      <c r="AH494" s="69">
        <f t="shared" si="107"/>
        <v>1</v>
      </c>
    </row>
    <row r="495" spans="1:34" s="69" customFormat="1" ht="157.5" x14ac:dyDescent="0.3">
      <c r="A495" s="85" t="s">
        <v>1285</v>
      </c>
      <c r="B495" s="86" t="s">
        <v>1286</v>
      </c>
      <c r="C495" s="87" t="s">
        <v>14</v>
      </c>
      <c r="D495" s="88">
        <v>1</v>
      </c>
      <c r="E495" s="88"/>
      <c r="F495" s="88"/>
      <c r="G495" s="88"/>
      <c r="H495" s="88"/>
      <c r="I495" s="88">
        <v>3336000</v>
      </c>
      <c r="J495" s="95" t="s">
        <v>1287</v>
      </c>
      <c r="K495" s="73"/>
      <c r="L495" s="42">
        <v>0</v>
      </c>
      <c r="M495" s="42">
        <v>0</v>
      </c>
      <c r="N495" s="42">
        <v>0</v>
      </c>
      <c r="O495" s="98"/>
      <c r="P495" s="13" t="s">
        <v>1419</v>
      </c>
      <c r="Q495" s="14" t="s">
        <v>1286</v>
      </c>
      <c r="R495" s="15" t="s">
        <v>14</v>
      </c>
      <c r="S495" s="16">
        <v>1</v>
      </c>
      <c r="T495" s="16"/>
      <c r="U495" s="16">
        <f>SUMIFS(AC:AC,AD:AD,AD495)</f>
        <v>3336000</v>
      </c>
      <c r="V495" s="16">
        <f t="shared" si="125"/>
        <v>0</v>
      </c>
      <c r="W495" s="16">
        <f t="shared" si="125"/>
        <v>0</v>
      </c>
      <c r="X495" s="16">
        <f>SUMIFS(X:X,AE:AE,AD495)</f>
        <v>0</v>
      </c>
      <c r="Y495" s="16">
        <f>SUMIFS(Y:Y,AE:AE,AD495)</f>
        <v>0</v>
      </c>
      <c r="Z495" s="17" t="s">
        <v>1287</v>
      </c>
      <c r="AA495" s="40" t="s">
        <v>16</v>
      </c>
      <c r="AB495" s="35">
        <f t="shared" si="119"/>
        <v>1</v>
      </c>
      <c r="AC495" s="41"/>
      <c r="AD495" s="183">
        <v>9</v>
      </c>
      <c r="AE495" s="183"/>
      <c r="AF495" s="101" t="str">
        <f t="shared" si="120"/>
        <v/>
      </c>
      <c r="AG495" s="190">
        <v>0</v>
      </c>
      <c r="AH495" s="69">
        <f t="shared" si="107"/>
        <v>1</v>
      </c>
    </row>
    <row r="496" spans="1:34" s="69" customFormat="1" ht="33" x14ac:dyDescent="0.3">
      <c r="A496" s="55" t="s">
        <v>1288</v>
      </c>
      <c r="B496" s="53" t="s">
        <v>1286</v>
      </c>
      <c r="C496" s="54" t="s">
        <v>23</v>
      </c>
      <c r="D496" s="75">
        <v>22240</v>
      </c>
      <c r="E496" s="75"/>
      <c r="F496" s="75"/>
      <c r="G496" s="75"/>
      <c r="H496" s="75">
        <v>150</v>
      </c>
      <c r="I496" s="75">
        <v>3336000</v>
      </c>
      <c r="J496" s="91" t="s">
        <v>1289</v>
      </c>
      <c r="K496" s="73"/>
      <c r="L496" s="46">
        <v>0</v>
      </c>
      <c r="M496" s="46">
        <v>0</v>
      </c>
      <c r="N496" s="46">
        <v>0</v>
      </c>
      <c r="O496" s="98"/>
      <c r="P496" s="23" t="s">
        <v>1421</v>
      </c>
      <c r="Q496" s="24" t="s">
        <v>1286</v>
      </c>
      <c r="R496" s="25" t="s">
        <v>23</v>
      </c>
      <c r="S496" s="26">
        <v>22240</v>
      </c>
      <c r="T496" s="26"/>
      <c r="U496" s="26">
        <v>150</v>
      </c>
      <c r="V496" s="103">
        <f t="shared" ref="V496" si="126">AG496-L496</f>
        <v>0</v>
      </c>
      <c r="W496" s="26">
        <f t="shared" ref="W496" si="127">V496+L496</f>
        <v>0</v>
      </c>
      <c r="X496" s="26">
        <v>0</v>
      </c>
      <c r="Y496" s="26">
        <f t="shared" ref="Y496" si="128">ROUND(U496*W496,2)</f>
        <v>0</v>
      </c>
      <c r="Z496" s="33" t="s">
        <v>15</v>
      </c>
      <c r="AA496" s="36" t="s">
        <v>16</v>
      </c>
      <c r="AB496" s="35">
        <f t="shared" si="119"/>
        <v>22240</v>
      </c>
      <c r="AC496" s="35">
        <f t="shared" ref="AC496" si="129">ROUND(U496*AB496,2)</f>
        <v>3336000</v>
      </c>
      <c r="AD496" s="181">
        <v>9</v>
      </c>
      <c r="AE496" s="181">
        <v>9</v>
      </c>
      <c r="AF496" s="101" t="str">
        <f t="shared" si="120"/>
        <v/>
      </c>
      <c r="AG496" s="190">
        <v>0</v>
      </c>
      <c r="AH496" s="69">
        <f t="shared" si="107"/>
        <v>22240</v>
      </c>
    </row>
    <row r="497" spans="1:34" s="69" customFormat="1" ht="178.5" x14ac:dyDescent="0.3">
      <c r="A497" s="85" t="s">
        <v>1290</v>
      </c>
      <c r="B497" s="86" t="s">
        <v>1291</v>
      </c>
      <c r="C497" s="87" t="s">
        <v>14</v>
      </c>
      <c r="D497" s="88">
        <v>1</v>
      </c>
      <c r="E497" s="88"/>
      <c r="F497" s="88"/>
      <c r="G497" s="88"/>
      <c r="H497" s="88"/>
      <c r="I497" s="88">
        <v>212800</v>
      </c>
      <c r="J497" s="95" t="s">
        <v>1292</v>
      </c>
      <c r="K497" s="73"/>
      <c r="L497" s="42">
        <v>1</v>
      </c>
      <c r="M497" s="42">
        <v>0</v>
      </c>
      <c r="N497" s="42">
        <v>212800</v>
      </c>
      <c r="O497" s="98"/>
      <c r="P497" s="13" t="s">
        <v>1420</v>
      </c>
      <c r="Q497" s="14" t="s">
        <v>1291</v>
      </c>
      <c r="R497" s="15" t="s">
        <v>14</v>
      </c>
      <c r="S497" s="16">
        <v>1</v>
      </c>
      <c r="T497" s="16"/>
      <c r="U497" s="16">
        <f>SUMIFS(AC:AC,AD:AD,AD497)</f>
        <v>212800</v>
      </c>
      <c r="V497" s="16">
        <f t="shared" ref="V497:W497" si="130">IF(X497=0,0,1)</f>
        <v>0</v>
      </c>
      <c r="W497" s="16">
        <f t="shared" si="130"/>
        <v>1</v>
      </c>
      <c r="X497" s="16">
        <f>SUMIFS(X:X,AE:AE,AD497)</f>
        <v>0</v>
      </c>
      <c r="Y497" s="16">
        <f>SUMIFS(Y:Y,AE:AE,AD497)</f>
        <v>212800</v>
      </c>
      <c r="Z497" s="17" t="s">
        <v>1292</v>
      </c>
      <c r="AA497" s="40" t="s">
        <v>16</v>
      </c>
      <c r="AB497" s="35">
        <f t="shared" si="119"/>
        <v>1</v>
      </c>
      <c r="AC497" s="41"/>
      <c r="AD497" s="183">
        <v>10</v>
      </c>
      <c r="AE497" s="183"/>
      <c r="AF497" s="101" t="str">
        <f t="shared" si="120"/>
        <v/>
      </c>
      <c r="AG497" s="190">
        <v>1</v>
      </c>
      <c r="AH497" s="69">
        <f t="shared" si="107"/>
        <v>1</v>
      </c>
    </row>
    <row r="498" spans="1:34" s="69" customFormat="1" ht="33" x14ac:dyDescent="0.3">
      <c r="A498" s="55" t="s">
        <v>1293</v>
      </c>
      <c r="B498" s="53" t="s">
        <v>1294</v>
      </c>
      <c r="C498" s="54" t="s">
        <v>50</v>
      </c>
      <c r="D498" s="75">
        <v>3800</v>
      </c>
      <c r="E498" s="75"/>
      <c r="F498" s="75"/>
      <c r="G498" s="75"/>
      <c r="H498" s="75">
        <v>56</v>
      </c>
      <c r="I498" s="75">
        <v>212800</v>
      </c>
      <c r="J498" s="91" t="s">
        <v>1295</v>
      </c>
      <c r="K498" s="73"/>
      <c r="L498" s="46">
        <v>3800</v>
      </c>
      <c r="M498" s="46">
        <v>0</v>
      </c>
      <c r="N498" s="46">
        <v>212800</v>
      </c>
      <c r="O498" s="98"/>
      <c r="P498" s="23" t="s">
        <v>1421</v>
      </c>
      <c r="Q498" s="24" t="s">
        <v>1294</v>
      </c>
      <c r="R498" s="25" t="s">
        <v>50</v>
      </c>
      <c r="S498" s="26">
        <v>3800</v>
      </c>
      <c r="T498" s="26"/>
      <c r="U498" s="26">
        <v>56</v>
      </c>
      <c r="V498" s="26">
        <f t="shared" ref="V498" si="131">AG498-L498</f>
        <v>0</v>
      </c>
      <c r="W498" s="26">
        <f t="shared" ref="W498" si="132">V498+L498</f>
        <v>3800</v>
      </c>
      <c r="X498" s="26">
        <v>0</v>
      </c>
      <c r="Y498" s="26">
        <f t="shared" ref="Y498" si="133">ROUND(U498*W498,2)</f>
        <v>212800</v>
      </c>
      <c r="Z498" s="33" t="s">
        <v>15</v>
      </c>
      <c r="AA498" s="36" t="s">
        <v>16</v>
      </c>
      <c r="AB498" s="35">
        <f t="shared" si="119"/>
        <v>3800</v>
      </c>
      <c r="AC498" s="35">
        <f t="shared" ref="AC498" si="134">ROUND(U498*AB498,2)</f>
        <v>212800</v>
      </c>
      <c r="AD498" s="181">
        <v>10</v>
      </c>
      <c r="AE498" s="181">
        <v>10</v>
      </c>
      <c r="AF498" s="101" t="str">
        <f t="shared" si="120"/>
        <v/>
      </c>
      <c r="AG498" s="190">
        <v>3800</v>
      </c>
      <c r="AH498" s="69">
        <f t="shared" si="107"/>
        <v>3800</v>
      </c>
    </row>
    <row r="499" spans="1:34" s="69" customFormat="1" ht="33" x14ac:dyDescent="0.3">
      <c r="A499" s="52"/>
      <c r="B499" s="53" t="s">
        <v>1296</v>
      </c>
      <c r="C499" s="54"/>
      <c r="D499" s="75"/>
      <c r="E499" s="75"/>
      <c r="F499" s="75"/>
      <c r="G499" s="75"/>
      <c r="H499" s="75"/>
      <c r="I499" s="75"/>
      <c r="J499" s="91"/>
      <c r="K499" s="73"/>
      <c r="L499" s="46"/>
      <c r="M499" s="46">
        <v>19708200</v>
      </c>
      <c r="N499" s="46">
        <v>168904800</v>
      </c>
      <c r="O499" s="98"/>
      <c r="P499" s="23" t="s">
        <v>1421</v>
      </c>
      <c r="Q499" s="24" t="s">
        <v>1422</v>
      </c>
      <c r="R499" s="25"/>
      <c r="S499" s="26"/>
      <c r="T499" s="26"/>
      <c r="U499" s="26"/>
      <c r="V499" s="26"/>
      <c r="W499" s="26"/>
      <c r="X499" s="26">
        <f>X8+X377+X406+X446+X450+X471+X491+X494+X495+X497</f>
        <v>24734600.000000007</v>
      </c>
      <c r="Y499" s="26">
        <f>ROUNDDOWN((Y8+Y377+Y406+Y446+Y450+Y471+Y491+Y495+Y497+(Y8+Y377+Y406+Y446+Y450+Y471+Y491)*0.1095000004)/1000,1)*1000</f>
        <v>218898800</v>
      </c>
      <c r="Z499" s="33"/>
      <c r="AA499" s="36" t="s">
        <v>16</v>
      </c>
      <c r="AB499" s="35"/>
      <c r="AC499" s="35"/>
      <c r="AD499" s="181"/>
      <c r="AE499" s="181"/>
      <c r="AF499" s="101" t="str">
        <f t="shared" si="120"/>
        <v/>
      </c>
      <c r="AG499" s="190"/>
      <c r="AH499" s="69">
        <f t="shared" si="107"/>
        <v>0</v>
      </c>
    </row>
    <row r="500" spans="1:34" s="69" customFormat="1" ht="33" x14ac:dyDescent="0.3">
      <c r="A500" s="52"/>
      <c r="B500" s="53" t="s">
        <v>1297</v>
      </c>
      <c r="C500" s="54"/>
      <c r="D500" s="75"/>
      <c r="E500" s="75"/>
      <c r="F500" s="75"/>
      <c r="G500" s="75"/>
      <c r="H500" s="75"/>
      <c r="I500" s="75"/>
      <c r="J500" s="91"/>
      <c r="K500" s="73"/>
      <c r="L500" s="39"/>
      <c r="M500" s="39">
        <v>0</v>
      </c>
      <c r="N500" s="39">
        <v>26402</v>
      </c>
      <c r="O500" s="98"/>
      <c r="P500" s="8" t="s">
        <v>1505</v>
      </c>
      <c r="Q500" s="9" t="s">
        <v>1506</v>
      </c>
      <c r="R500" s="10" t="s">
        <v>14</v>
      </c>
      <c r="S500" s="11"/>
      <c r="T500" s="11"/>
      <c r="U500" s="11"/>
      <c r="V500" s="11"/>
      <c r="W500" s="11"/>
      <c r="X500" s="11">
        <v>9675</v>
      </c>
      <c r="Y500" s="11">
        <v>19291</v>
      </c>
      <c r="Z500" s="12" t="s">
        <v>15</v>
      </c>
      <c r="AA500" s="37" t="s">
        <v>16</v>
      </c>
      <c r="AB500" s="38"/>
      <c r="AC500" s="38">
        <v>295040.74</v>
      </c>
      <c r="AD500" s="182">
        <v>12929586.060000001</v>
      </c>
      <c r="AE500" s="182"/>
      <c r="AF500" s="101" t="str">
        <f t="shared" si="120"/>
        <v/>
      </c>
      <c r="AG500" s="190"/>
      <c r="AH500" s="69">
        <f t="shared" si="107"/>
        <v>0</v>
      </c>
    </row>
    <row r="501" spans="1:34" s="69" customFormat="1" ht="33" x14ac:dyDescent="0.3">
      <c r="A501" s="382" t="s">
        <v>1298</v>
      </c>
      <c r="B501" s="383"/>
      <c r="C501" s="383"/>
      <c r="D501" s="383"/>
      <c r="E501" s="383"/>
      <c r="F501" s="383"/>
      <c r="G501" s="383"/>
      <c r="H501" s="383"/>
      <c r="I501" s="383"/>
      <c r="J501" s="384"/>
      <c r="K501" s="89"/>
      <c r="L501" s="46"/>
      <c r="M501" s="46">
        <v>19708200</v>
      </c>
      <c r="N501" s="46">
        <v>168931202</v>
      </c>
      <c r="O501" s="98"/>
      <c r="P501" s="23" t="s">
        <v>1421</v>
      </c>
      <c r="Q501" s="24" t="s">
        <v>1507</v>
      </c>
      <c r="R501" s="25"/>
      <c r="S501" s="26"/>
      <c r="T501" s="26"/>
      <c r="U501" s="26"/>
      <c r="V501" s="26"/>
      <c r="W501" s="26"/>
      <c r="X501" s="26">
        <v>2999475</v>
      </c>
      <c r="Y501" s="26">
        <v>131240691</v>
      </c>
      <c r="Z501" s="33"/>
      <c r="AA501" s="36" t="s">
        <v>16</v>
      </c>
      <c r="AB501" s="35"/>
      <c r="AC501" s="35"/>
      <c r="AD501" s="181"/>
      <c r="AE501" s="181"/>
      <c r="AF501" s="101" t="str">
        <f t="shared" si="120"/>
        <v/>
      </c>
      <c r="AG501" s="190"/>
      <c r="AH501" s="69">
        <f t="shared" si="107"/>
        <v>0</v>
      </c>
    </row>
    <row r="502" spans="1:34" s="69" customFormat="1" ht="153" customHeight="1" x14ac:dyDescent="0.3">
      <c r="A502" s="390" t="s">
        <v>1299</v>
      </c>
      <c r="B502" s="391"/>
      <c r="C502" s="391"/>
      <c r="D502" s="391"/>
      <c r="E502" s="391"/>
      <c r="F502" s="391"/>
      <c r="G502" s="391"/>
      <c r="H502" s="391"/>
      <c r="I502" s="391"/>
      <c r="J502" s="392"/>
      <c r="K502" s="90"/>
      <c r="L502" s="39"/>
      <c r="M502" s="39">
        <v>0</v>
      </c>
      <c r="N502" s="39">
        <v>737520</v>
      </c>
      <c r="O502" s="98"/>
      <c r="P502" s="8" t="s">
        <v>1508</v>
      </c>
      <c r="Q502" s="9" t="s">
        <v>1509</v>
      </c>
      <c r="R502" s="10" t="s">
        <v>14</v>
      </c>
      <c r="S502" s="11"/>
      <c r="T502" s="11"/>
      <c r="U502" s="11"/>
      <c r="V502" s="11"/>
      <c r="W502" s="11"/>
      <c r="X502" s="11">
        <v>0</v>
      </c>
      <c r="Y502" s="11">
        <f>SUM(Y503:Y505)</f>
        <v>737520</v>
      </c>
      <c r="Z502" s="12" t="s">
        <v>15</v>
      </c>
      <c r="AA502" s="37" t="s">
        <v>16</v>
      </c>
      <c r="AB502" s="38"/>
      <c r="AC502" s="38"/>
      <c r="AD502" s="182"/>
      <c r="AE502" s="182"/>
      <c r="AF502" s="101" t="str">
        <f t="shared" si="120"/>
        <v/>
      </c>
      <c r="AG502" s="190"/>
      <c r="AH502" s="69">
        <f t="shared" si="107"/>
        <v>0</v>
      </c>
    </row>
    <row r="503" spans="1:34" ht="33" x14ac:dyDescent="0.3">
      <c r="L503" s="46">
        <v>519.42999999999995</v>
      </c>
      <c r="M503" s="46">
        <v>0</v>
      </c>
      <c r="N503" s="46">
        <v>298672</v>
      </c>
      <c r="O503" s="98"/>
      <c r="P503" s="23" t="s">
        <v>1421</v>
      </c>
      <c r="Q503" s="24" t="s">
        <v>1510</v>
      </c>
      <c r="R503" s="25" t="s">
        <v>23</v>
      </c>
      <c r="S503" s="26"/>
      <c r="T503" s="26"/>
      <c r="U503" s="26">
        <v>575</v>
      </c>
      <c r="V503" s="26">
        <f>W503-L503</f>
        <v>0</v>
      </c>
      <c r="W503" s="26">
        <v>519.42999999999995</v>
      </c>
      <c r="X503" s="26">
        <f>Y503-N503</f>
        <v>0</v>
      </c>
      <c r="Y503" s="26">
        <f>ROUNDDOWN(U503*W503,0)</f>
        <v>298672</v>
      </c>
      <c r="Z503" s="33" t="s">
        <v>15</v>
      </c>
      <c r="AA503" s="36" t="s">
        <v>16</v>
      </c>
      <c r="AF503" s="101"/>
      <c r="AG503" s="185">
        <v>519.42999999999995</v>
      </c>
      <c r="AH503" s="69"/>
    </row>
    <row r="504" spans="1:34" ht="33" x14ac:dyDescent="0.3">
      <c r="L504" s="46">
        <v>0</v>
      </c>
      <c r="M504" s="46">
        <v>0</v>
      </c>
      <c r="N504" s="46">
        <v>0</v>
      </c>
      <c r="O504" s="98"/>
      <c r="P504" s="23" t="s">
        <v>1426</v>
      </c>
      <c r="Q504" s="24" t="s">
        <v>1511</v>
      </c>
      <c r="R504" s="25" t="s">
        <v>110</v>
      </c>
      <c r="S504" s="26"/>
      <c r="T504" s="26"/>
      <c r="U504" s="26">
        <v>20</v>
      </c>
      <c r="V504" s="26">
        <f>W504-L504</f>
        <v>0</v>
      </c>
      <c r="W504" s="26">
        <v>0</v>
      </c>
      <c r="X504" s="26">
        <f>Y504-N504</f>
        <v>0</v>
      </c>
      <c r="Y504" s="26">
        <f>ROUNDDOWN(U504*W504,0)</f>
        <v>0</v>
      </c>
      <c r="Z504" s="33" t="s">
        <v>15</v>
      </c>
      <c r="AA504" s="36" t="s">
        <v>16</v>
      </c>
      <c r="AF504" s="101"/>
      <c r="AG504" s="185">
        <v>0</v>
      </c>
      <c r="AH504" s="69"/>
    </row>
    <row r="505" spans="1:34" ht="33" x14ac:dyDescent="0.3">
      <c r="L505" s="46">
        <v>54856</v>
      </c>
      <c r="M505" s="46">
        <v>0</v>
      </c>
      <c r="N505" s="46">
        <v>438848</v>
      </c>
      <c r="O505" s="98"/>
      <c r="P505" s="23" t="s">
        <v>1402</v>
      </c>
      <c r="Q505" s="24" t="s">
        <v>1512</v>
      </c>
      <c r="R505" s="25" t="s">
        <v>110</v>
      </c>
      <c r="S505" s="26"/>
      <c r="T505" s="26"/>
      <c r="U505" s="26">
        <v>8</v>
      </c>
      <c r="V505" s="26">
        <f>W505-L505</f>
        <v>0</v>
      </c>
      <c r="W505" s="26">
        <v>54856</v>
      </c>
      <c r="X505" s="26">
        <f>Y505-N505</f>
        <v>0</v>
      </c>
      <c r="Y505" s="26">
        <f>ROUNDDOWN(U505*W505,0)</f>
        <v>438848</v>
      </c>
      <c r="Z505" s="33" t="s">
        <v>15</v>
      </c>
      <c r="AA505" s="36" t="s">
        <v>16</v>
      </c>
      <c r="AF505" s="101"/>
      <c r="AG505" s="185">
        <v>54856</v>
      </c>
      <c r="AH505" s="69"/>
    </row>
  </sheetData>
  <autoFilter ref="A6:J502" xr:uid="{745AA45A-1115-4D12-8076-1F56B440D015}"/>
  <mergeCells count="13">
    <mergeCell ref="A501:J501"/>
    <mergeCell ref="A502:J502"/>
    <mergeCell ref="A1:J1"/>
    <mergeCell ref="A2:J2"/>
    <mergeCell ref="A3:J3"/>
    <mergeCell ref="A4:J4"/>
    <mergeCell ref="A5:H5"/>
    <mergeCell ref="I5:J5"/>
    <mergeCell ref="P3:Z3"/>
    <mergeCell ref="P4:Z4"/>
    <mergeCell ref="P5:W5"/>
    <mergeCell ref="Y5:Z5"/>
    <mergeCell ref="L5:N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823A-9D6A-4FE2-A8AA-ECE48A50D4ED}">
  <sheetPr>
    <tabColor rgb="FFFF0000"/>
  </sheetPr>
  <dimension ref="A1:AK505"/>
  <sheetViews>
    <sheetView view="pageBreakPreview" topLeftCell="A4" zoomScale="90" zoomScaleNormal="80" zoomScaleSheetLayoutView="90" workbookViewId="0">
      <pane ySplit="2190" activePane="bottomLeft"/>
      <selection activeCell="AI7" sqref="AI7"/>
      <selection pane="bottomLeft" activeCell="L11" sqref="L11"/>
    </sheetView>
  </sheetViews>
  <sheetFormatPr defaultColWidth="8.5" defaultRowHeight="19.5" x14ac:dyDescent="0.3"/>
  <cols>
    <col min="1" max="1" width="5.25" style="72" customWidth="1"/>
    <col min="2" max="2" width="30.875" style="73" customWidth="1"/>
    <col min="3" max="3" width="5.5" style="73" customWidth="1"/>
    <col min="4" max="4" width="12.75" style="73" customWidth="1"/>
    <col min="5" max="5" width="14" style="73" customWidth="1"/>
    <col min="6" max="6" width="15.375" style="73" customWidth="1"/>
    <col min="7" max="7" width="11.625" style="73" customWidth="1"/>
    <col min="8" max="8" width="14.75" style="73" customWidth="1"/>
    <col min="9" max="9" width="23" style="73" customWidth="1"/>
    <col min="10" max="10" width="10.875" style="73" customWidth="1"/>
    <col min="11" max="11" width="1.5" style="73" customWidth="1"/>
    <col min="12" max="14" width="11.5" style="2" customWidth="1"/>
    <col min="15" max="15" width="1.25" style="96" customWidth="1"/>
    <col min="16" max="16" width="4.25" style="3" hidden="1" customWidth="1"/>
    <col min="17" max="17" width="35.25" hidden="1" customWidth="1"/>
    <col min="18" max="18" width="5.75" hidden="1" customWidth="1"/>
    <col min="19" max="19" width="9" hidden="1" customWidth="1"/>
    <col min="20" max="20" width="9.375" hidden="1" customWidth="1"/>
    <col min="21" max="21" width="12" hidden="1" customWidth="1"/>
    <col min="22" max="22" width="11.375" customWidth="1"/>
    <col min="23" max="23" width="11.75" customWidth="1"/>
    <col min="24" max="24" width="12.875" customWidth="1"/>
    <col min="25" max="25" width="12" customWidth="1"/>
    <col min="26" max="26" width="5.25" style="34" customWidth="1"/>
    <col min="27" max="27" width="0.875" customWidth="1"/>
    <col min="28" max="28" width="10.75" style="181" hidden="1" customWidth="1"/>
    <col min="29" max="29" width="11.5" style="181" hidden="1" customWidth="1"/>
    <col min="30" max="30" width="5.25" style="181" customWidth="1"/>
    <col min="31" max="31" width="5.25" style="181" hidden="1" customWidth="1"/>
    <col min="32" max="32" width="1.875" style="71" customWidth="1"/>
    <col min="33" max="33" width="16.5" style="185" customWidth="1"/>
    <col min="34" max="34" width="15.375" style="70" customWidth="1"/>
    <col min="35" max="35" width="8.375" style="70" customWidth="1"/>
    <col min="36" max="36" width="1.625" style="70" customWidth="1"/>
    <col min="37" max="37" width="15" style="70" bestFit="1" customWidth="1"/>
    <col min="38" max="223" width="8.5" style="70"/>
    <col min="224" max="224" width="5.25" style="70" customWidth="1"/>
    <col min="225" max="225" width="26.25" style="70" customWidth="1"/>
    <col min="226" max="226" width="5.5" style="70" customWidth="1"/>
    <col min="227" max="227" width="8.5" style="70"/>
    <col min="228" max="229" width="10.875" style="70" customWidth="1"/>
    <col min="230" max="230" width="15.25" style="70" customWidth="1"/>
    <col min="231" max="231" width="0.75" style="70" customWidth="1"/>
    <col min="232" max="234" width="0.625" style="70" customWidth="1"/>
    <col min="235" max="479" width="8.5" style="70"/>
    <col min="480" max="480" width="5.25" style="70" customWidth="1"/>
    <col min="481" max="481" width="26.25" style="70" customWidth="1"/>
    <col min="482" max="482" width="5.5" style="70" customWidth="1"/>
    <col min="483" max="483" width="8.5" style="70"/>
    <col min="484" max="485" width="10.875" style="70" customWidth="1"/>
    <col min="486" max="486" width="15.25" style="70" customWidth="1"/>
    <col min="487" max="487" width="0.75" style="70" customWidth="1"/>
    <col min="488" max="490" width="0.625" style="70" customWidth="1"/>
    <col min="491" max="735" width="8.5" style="70"/>
    <col min="736" max="736" width="5.25" style="70" customWidth="1"/>
    <col min="737" max="737" width="26.25" style="70" customWidth="1"/>
    <col min="738" max="738" width="5.5" style="70" customWidth="1"/>
    <col min="739" max="739" width="8.5" style="70"/>
    <col min="740" max="741" width="10.875" style="70" customWidth="1"/>
    <col min="742" max="742" width="15.25" style="70" customWidth="1"/>
    <col min="743" max="743" width="0.75" style="70" customWidth="1"/>
    <col min="744" max="746" width="0.625" style="70" customWidth="1"/>
    <col min="747" max="991" width="8.5" style="70"/>
    <col min="992" max="992" width="5.25" style="70" customWidth="1"/>
    <col min="993" max="993" width="26.25" style="70" customWidth="1"/>
    <col min="994" max="994" width="5.5" style="70" customWidth="1"/>
    <col min="995" max="995" width="8.5" style="70"/>
    <col min="996" max="997" width="10.875" style="70" customWidth="1"/>
    <col min="998" max="998" width="15.25" style="70" customWidth="1"/>
    <col min="999" max="999" width="0.75" style="70" customWidth="1"/>
    <col min="1000" max="1002" width="0.625" style="70" customWidth="1"/>
    <col min="1003" max="1247" width="8.5" style="70"/>
    <col min="1248" max="1248" width="5.25" style="70" customWidth="1"/>
    <col min="1249" max="1249" width="26.25" style="70" customWidth="1"/>
    <col min="1250" max="1250" width="5.5" style="70" customWidth="1"/>
    <col min="1251" max="1251" width="8.5" style="70"/>
    <col min="1252" max="1253" width="10.875" style="70" customWidth="1"/>
    <col min="1254" max="1254" width="15.25" style="70" customWidth="1"/>
    <col min="1255" max="1255" width="0.75" style="70" customWidth="1"/>
    <col min="1256" max="1258" width="0.625" style="70" customWidth="1"/>
    <col min="1259" max="1503" width="8.5" style="70"/>
    <col min="1504" max="1504" width="5.25" style="70" customWidth="1"/>
    <col min="1505" max="1505" width="26.25" style="70" customWidth="1"/>
    <col min="1506" max="1506" width="5.5" style="70" customWidth="1"/>
    <col min="1507" max="1507" width="8.5" style="70"/>
    <col min="1508" max="1509" width="10.875" style="70" customWidth="1"/>
    <col min="1510" max="1510" width="15.25" style="70" customWidth="1"/>
    <col min="1511" max="1511" width="0.75" style="70" customWidth="1"/>
    <col min="1512" max="1514" width="0.625" style="70" customWidth="1"/>
    <col min="1515" max="1759" width="8.5" style="70"/>
    <col min="1760" max="1760" width="5.25" style="70" customWidth="1"/>
    <col min="1761" max="1761" width="26.25" style="70" customWidth="1"/>
    <col min="1762" max="1762" width="5.5" style="70" customWidth="1"/>
    <col min="1763" max="1763" width="8.5" style="70"/>
    <col min="1764" max="1765" width="10.875" style="70" customWidth="1"/>
    <col min="1766" max="1766" width="15.25" style="70" customWidth="1"/>
    <col min="1767" max="1767" width="0.75" style="70" customWidth="1"/>
    <col min="1768" max="1770" width="0.625" style="70" customWidth="1"/>
    <col min="1771" max="2015" width="8.5" style="70"/>
    <col min="2016" max="2016" width="5.25" style="70" customWidth="1"/>
    <col min="2017" max="2017" width="26.25" style="70" customWidth="1"/>
    <col min="2018" max="2018" width="5.5" style="70" customWidth="1"/>
    <col min="2019" max="2019" width="8.5" style="70"/>
    <col min="2020" max="2021" width="10.875" style="70" customWidth="1"/>
    <col min="2022" max="2022" width="15.25" style="70" customWidth="1"/>
    <col min="2023" max="2023" width="0.75" style="70" customWidth="1"/>
    <col min="2024" max="2026" width="0.625" style="70" customWidth="1"/>
    <col min="2027" max="2271" width="8.5" style="70"/>
    <col min="2272" max="2272" width="5.25" style="70" customWidth="1"/>
    <col min="2273" max="2273" width="26.25" style="70" customWidth="1"/>
    <col min="2274" max="2274" width="5.5" style="70" customWidth="1"/>
    <col min="2275" max="2275" width="8.5" style="70"/>
    <col min="2276" max="2277" width="10.875" style="70" customWidth="1"/>
    <col min="2278" max="2278" width="15.25" style="70" customWidth="1"/>
    <col min="2279" max="2279" width="0.75" style="70" customWidth="1"/>
    <col min="2280" max="2282" width="0.625" style="70" customWidth="1"/>
    <col min="2283" max="2527" width="8.5" style="70"/>
    <col min="2528" max="2528" width="5.25" style="70" customWidth="1"/>
    <col min="2529" max="2529" width="26.25" style="70" customWidth="1"/>
    <col min="2530" max="2530" width="5.5" style="70" customWidth="1"/>
    <col min="2531" max="2531" width="8.5" style="70"/>
    <col min="2532" max="2533" width="10.875" style="70" customWidth="1"/>
    <col min="2534" max="2534" width="15.25" style="70" customWidth="1"/>
    <col min="2535" max="2535" width="0.75" style="70" customWidth="1"/>
    <col min="2536" max="2538" width="0.625" style="70" customWidth="1"/>
    <col min="2539" max="2783" width="8.5" style="70"/>
    <col min="2784" max="2784" width="5.25" style="70" customWidth="1"/>
    <col min="2785" max="2785" width="26.25" style="70" customWidth="1"/>
    <col min="2786" max="2786" width="5.5" style="70" customWidth="1"/>
    <col min="2787" max="2787" width="8.5" style="70"/>
    <col min="2788" max="2789" width="10.875" style="70" customWidth="1"/>
    <col min="2790" max="2790" width="15.25" style="70" customWidth="1"/>
    <col min="2791" max="2791" width="0.75" style="70" customWidth="1"/>
    <col min="2792" max="2794" width="0.625" style="70" customWidth="1"/>
    <col min="2795" max="3039" width="8.5" style="70"/>
    <col min="3040" max="3040" width="5.25" style="70" customWidth="1"/>
    <col min="3041" max="3041" width="26.25" style="70" customWidth="1"/>
    <col min="3042" max="3042" width="5.5" style="70" customWidth="1"/>
    <col min="3043" max="3043" width="8.5" style="70"/>
    <col min="3044" max="3045" width="10.875" style="70" customWidth="1"/>
    <col min="3046" max="3046" width="15.25" style="70" customWidth="1"/>
    <col min="3047" max="3047" width="0.75" style="70" customWidth="1"/>
    <col min="3048" max="3050" width="0.625" style="70" customWidth="1"/>
    <col min="3051" max="3295" width="8.5" style="70"/>
    <col min="3296" max="3296" width="5.25" style="70" customWidth="1"/>
    <col min="3297" max="3297" width="26.25" style="70" customWidth="1"/>
    <col min="3298" max="3298" width="5.5" style="70" customWidth="1"/>
    <col min="3299" max="3299" width="8.5" style="70"/>
    <col min="3300" max="3301" width="10.875" style="70" customWidth="1"/>
    <col min="3302" max="3302" width="15.25" style="70" customWidth="1"/>
    <col min="3303" max="3303" width="0.75" style="70" customWidth="1"/>
    <col min="3304" max="3306" width="0.625" style="70" customWidth="1"/>
    <col min="3307" max="3551" width="8.5" style="70"/>
    <col min="3552" max="3552" width="5.25" style="70" customWidth="1"/>
    <col min="3553" max="3553" width="26.25" style="70" customWidth="1"/>
    <col min="3554" max="3554" width="5.5" style="70" customWidth="1"/>
    <col min="3555" max="3555" width="8.5" style="70"/>
    <col min="3556" max="3557" width="10.875" style="70" customWidth="1"/>
    <col min="3558" max="3558" width="15.25" style="70" customWidth="1"/>
    <col min="3559" max="3559" width="0.75" style="70" customWidth="1"/>
    <col min="3560" max="3562" width="0.625" style="70" customWidth="1"/>
    <col min="3563" max="3807" width="8.5" style="70"/>
    <col min="3808" max="3808" width="5.25" style="70" customWidth="1"/>
    <col min="3809" max="3809" width="26.25" style="70" customWidth="1"/>
    <col min="3810" max="3810" width="5.5" style="70" customWidth="1"/>
    <col min="3811" max="3811" width="8.5" style="70"/>
    <col min="3812" max="3813" width="10.875" style="70" customWidth="1"/>
    <col min="3814" max="3814" width="15.25" style="70" customWidth="1"/>
    <col min="3815" max="3815" width="0.75" style="70" customWidth="1"/>
    <col min="3816" max="3818" width="0.625" style="70" customWidth="1"/>
    <col min="3819" max="4063" width="8.5" style="70"/>
    <col min="4064" max="4064" width="5.25" style="70" customWidth="1"/>
    <col min="4065" max="4065" width="26.25" style="70" customWidth="1"/>
    <col min="4066" max="4066" width="5.5" style="70" customWidth="1"/>
    <col min="4067" max="4067" width="8.5" style="70"/>
    <col min="4068" max="4069" width="10.875" style="70" customWidth="1"/>
    <col min="4070" max="4070" width="15.25" style="70" customWidth="1"/>
    <col min="4071" max="4071" width="0.75" style="70" customWidth="1"/>
    <col min="4072" max="4074" width="0.625" style="70" customWidth="1"/>
    <col min="4075" max="4319" width="8.5" style="70"/>
    <col min="4320" max="4320" width="5.25" style="70" customWidth="1"/>
    <col min="4321" max="4321" width="26.25" style="70" customWidth="1"/>
    <col min="4322" max="4322" width="5.5" style="70" customWidth="1"/>
    <col min="4323" max="4323" width="8.5" style="70"/>
    <col min="4324" max="4325" width="10.875" style="70" customWidth="1"/>
    <col min="4326" max="4326" width="15.25" style="70" customWidth="1"/>
    <col min="4327" max="4327" width="0.75" style="70" customWidth="1"/>
    <col min="4328" max="4330" width="0.625" style="70" customWidth="1"/>
    <col min="4331" max="4575" width="8.5" style="70"/>
    <col min="4576" max="4576" width="5.25" style="70" customWidth="1"/>
    <col min="4577" max="4577" width="26.25" style="70" customWidth="1"/>
    <col min="4578" max="4578" width="5.5" style="70" customWidth="1"/>
    <col min="4579" max="4579" width="8.5" style="70"/>
    <col min="4580" max="4581" width="10.875" style="70" customWidth="1"/>
    <col min="4582" max="4582" width="15.25" style="70" customWidth="1"/>
    <col min="4583" max="4583" width="0.75" style="70" customWidth="1"/>
    <col min="4584" max="4586" width="0.625" style="70" customWidth="1"/>
    <col min="4587" max="4831" width="8.5" style="70"/>
    <col min="4832" max="4832" width="5.25" style="70" customWidth="1"/>
    <col min="4833" max="4833" width="26.25" style="70" customWidth="1"/>
    <col min="4834" max="4834" width="5.5" style="70" customWidth="1"/>
    <col min="4835" max="4835" width="8.5" style="70"/>
    <col min="4836" max="4837" width="10.875" style="70" customWidth="1"/>
    <col min="4838" max="4838" width="15.25" style="70" customWidth="1"/>
    <col min="4839" max="4839" width="0.75" style="70" customWidth="1"/>
    <col min="4840" max="4842" width="0.625" style="70" customWidth="1"/>
    <col min="4843" max="5087" width="8.5" style="70"/>
    <col min="5088" max="5088" width="5.25" style="70" customWidth="1"/>
    <col min="5089" max="5089" width="26.25" style="70" customWidth="1"/>
    <col min="5090" max="5090" width="5.5" style="70" customWidth="1"/>
    <col min="5091" max="5091" width="8.5" style="70"/>
    <col min="5092" max="5093" width="10.875" style="70" customWidth="1"/>
    <col min="5094" max="5094" width="15.25" style="70" customWidth="1"/>
    <col min="5095" max="5095" width="0.75" style="70" customWidth="1"/>
    <col min="5096" max="5098" width="0.625" style="70" customWidth="1"/>
    <col min="5099" max="5343" width="8.5" style="70"/>
    <col min="5344" max="5344" width="5.25" style="70" customWidth="1"/>
    <col min="5345" max="5345" width="26.25" style="70" customWidth="1"/>
    <col min="5346" max="5346" width="5.5" style="70" customWidth="1"/>
    <col min="5347" max="5347" width="8.5" style="70"/>
    <col min="5348" max="5349" width="10.875" style="70" customWidth="1"/>
    <col min="5350" max="5350" width="15.25" style="70" customWidth="1"/>
    <col min="5351" max="5351" width="0.75" style="70" customWidth="1"/>
    <col min="5352" max="5354" width="0.625" style="70" customWidth="1"/>
    <col min="5355" max="5599" width="8.5" style="70"/>
    <col min="5600" max="5600" width="5.25" style="70" customWidth="1"/>
    <col min="5601" max="5601" width="26.25" style="70" customWidth="1"/>
    <col min="5602" max="5602" width="5.5" style="70" customWidth="1"/>
    <col min="5603" max="5603" width="8.5" style="70"/>
    <col min="5604" max="5605" width="10.875" style="70" customWidth="1"/>
    <col min="5606" max="5606" width="15.25" style="70" customWidth="1"/>
    <col min="5607" max="5607" width="0.75" style="70" customWidth="1"/>
    <col min="5608" max="5610" width="0.625" style="70" customWidth="1"/>
    <col min="5611" max="5855" width="8.5" style="70"/>
    <col min="5856" max="5856" width="5.25" style="70" customWidth="1"/>
    <col min="5857" max="5857" width="26.25" style="70" customWidth="1"/>
    <col min="5858" max="5858" width="5.5" style="70" customWidth="1"/>
    <col min="5859" max="5859" width="8.5" style="70"/>
    <col min="5860" max="5861" width="10.875" style="70" customWidth="1"/>
    <col min="5862" max="5862" width="15.25" style="70" customWidth="1"/>
    <col min="5863" max="5863" width="0.75" style="70" customWidth="1"/>
    <col min="5864" max="5866" width="0.625" style="70" customWidth="1"/>
    <col min="5867" max="6111" width="8.5" style="70"/>
    <col min="6112" max="6112" width="5.25" style="70" customWidth="1"/>
    <col min="6113" max="6113" width="26.25" style="70" customWidth="1"/>
    <col min="6114" max="6114" width="5.5" style="70" customWidth="1"/>
    <col min="6115" max="6115" width="8.5" style="70"/>
    <col min="6116" max="6117" width="10.875" style="70" customWidth="1"/>
    <col min="6118" max="6118" width="15.25" style="70" customWidth="1"/>
    <col min="6119" max="6119" width="0.75" style="70" customWidth="1"/>
    <col min="6120" max="6122" width="0.625" style="70" customWidth="1"/>
    <col min="6123" max="6367" width="8.5" style="70"/>
    <col min="6368" max="6368" width="5.25" style="70" customWidth="1"/>
    <col min="6369" max="6369" width="26.25" style="70" customWidth="1"/>
    <col min="6370" max="6370" width="5.5" style="70" customWidth="1"/>
    <col min="6371" max="6371" width="8.5" style="70"/>
    <col min="6372" max="6373" width="10.875" style="70" customWidth="1"/>
    <col min="6374" max="6374" width="15.25" style="70" customWidth="1"/>
    <col min="6375" max="6375" width="0.75" style="70" customWidth="1"/>
    <col min="6376" max="6378" width="0.625" style="70" customWidth="1"/>
    <col min="6379" max="6623" width="8.5" style="70"/>
    <col min="6624" max="6624" width="5.25" style="70" customWidth="1"/>
    <col min="6625" max="6625" width="26.25" style="70" customWidth="1"/>
    <col min="6626" max="6626" width="5.5" style="70" customWidth="1"/>
    <col min="6627" max="6627" width="8.5" style="70"/>
    <col min="6628" max="6629" width="10.875" style="70" customWidth="1"/>
    <col min="6630" max="6630" width="15.25" style="70" customWidth="1"/>
    <col min="6631" max="6631" width="0.75" style="70" customWidth="1"/>
    <col min="6632" max="6634" width="0.625" style="70" customWidth="1"/>
    <col min="6635" max="6879" width="8.5" style="70"/>
    <col min="6880" max="6880" width="5.25" style="70" customWidth="1"/>
    <col min="6881" max="6881" width="26.25" style="70" customWidth="1"/>
    <col min="6882" max="6882" width="5.5" style="70" customWidth="1"/>
    <col min="6883" max="6883" width="8.5" style="70"/>
    <col min="6884" max="6885" width="10.875" style="70" customWidth="1"/>
    <col min="6886" max="6886" width="15.25" style="70" customWidth="1"/>
    <col min="6887" max="6887" width="0.75" style="70" customWidth="1"/>
    <col min="6888" max="6890" width="0.625" style="70" customWidth="1"/>
    <col min="6891" max="7135" width="8.5" style="70"/>
    <col min="7136" max="7136" width="5.25" style="70" customWidth="1"/>
    <col min="7137" max="7137" width="26.25" style="70" customWidth="1"/>
    <col min="7138" max="7138" width="5.5" style="70" customWidth="1"/>
    <col min="7139" max="7139" width="8.5" style="70"/>
    <col min="7140" max="7141" width="10.875" style="70" customWidth="1"/>
    <col min="7142" max="7142" width="15.25" style="70" customWidth="1"/>
    <col min="7143" max="7143" width="0.75" style="70" customWidth="1"/>
    <col min="7144" max="7146" width="0.625" style="70" customWidth="1"/>
    <col min="7147" max="7391" width="8.5" style="70"/>
    <col min="7392" max="7392" width="5.25" style="70" customWidth="1"/>
    <col min="7393" max="7393" width="26.25" style="70" customWidth="1"/>
    <col min="7394" max="7394" width="5.5" style="70" customWidth="1"/>
    <col min="7395" max="7395" width="8.5" style="70"/>
    <col min="7396" max="7397" width="10.875" style="70" customWidth="1"/>
    <col min="7398" max="7398" width="15.25" style="70" customWidth="1"/>
    <col min="7399" max="7399" width="0.75" style="70" customWidth="1"/>
    <col min="7400" max="7402" width="0.625" style="70" customWidth="1"/>
    <col min="7403" max="7647" width="8.5" style="70"/>
    <col min="7648" max="7648" width="5.25" style="70" customWidth="1"/>
    <col min="7649" max="7649" width="26.25" style="70" customWidth="1"/>
    <col min="7650" max="7650" width="5.5" style="70" customWidth="1"/>
    <col min="7651" max="7651" width="8.5" style="70"/>
    <col min="7652" max="7653" width="10.875" style="70" customWidth="1"/>
    <col min="7654" max="7654" width="15.25" style="70" customWidth="1"/>
    <col min="7655" max="7655" width="0.75" style="70" customWidth="1"/>
    <col min="7656" max="7658" width="0.625" style="70" customWidth="1"/>
    <col min="7659" max="7903" width="8.5" style="70"/>
    <col min="7904" max="7904" width="5.25" style="70" customWidth="1"/>
    <col min="7905" max="7905" width="26.25" style="70" customWidth="1"/>
    <col min="7906" max="7906" width="5.5" style="70" customWidth="1"/>
    <col min="7907" max="7907" width="8.5" style="70"/>
    <col min="7908" max="7909" width="10.875" style="70" customWidth="1"/>
    <col min="7910" max="7910" width="15.25" style="70" customWidth="1"/>
    <col min="7911" max="7911" width="0.75" style="70" customWidth="1"/>
    <col min="7912" max="7914" width="0.625" style="70" customWidth="1"/>
    <col min="7915" max="8159" width="8.5" style="70"/>
    <col min="8160" max="8160" width="5.25" style="70" customWidth="1"/>
    <col min="8161" max="8161" width="26.25" style="70" customWidth="1"/>
    <col min="8162" max="8162" width="5.5" style="70" customWidth="1"/>
    <col min="8163" max="8163" width="8.5" style="70"/>
    <col min="8164" max="8165" width="10.875" style="70" customWidth="1"/>
    <col min="8166" max="8166" width="15.25" style="70" customWidth="1"/>
    <col min="8167" max="8167" width="0.75" style="70" customWidth="1"/>
    <col min="8168" max="8170" width="0.625" style="70" customWidth="1"/>
    <col min="8171" max="8415" width="8.5" style="70"/>
    <col min="8416" max="8416" width="5.25" style="70" customWidth="1"/>
    <col min="8417" max="8417" width="26.25" style="70" customWidth="1"/>
    <col min="8418" max="8418" width="5.5" style="70" customWidth="1"/>
    <col min="8419" max="8419" width="8.5" style="70"/>
    <col min="8420" max="8421" width="10.875" style="70" customWidth="1"/>
    <col min="8422" max="8422" width="15.25" style="70" customWidth="1"/>
    <col min="8423" max="8423" width="0.75" style="70" customWidth="1"/>
    <col min="8424" max="8426" width="0.625" style="70" customWidth="1"/>
    <col min="8427" max="8671" width="8.5" style="70"/>
    <col min="8672" max="8672" width="5.25" style="70" customWidth="1"/>
    <col min="8673" max="8673" width="26.25" style="70" customWidth="1"/>
    <col min="8674" max="8674" width="5.5" style="70" customWidth="1"/>
    <col min="8675" max="8675" width="8.5" style="70"/>
    <col min="8676" max="8677" width="10.875" style="70" customWidth="1"/>
    <col min="8678" max="8678" width="15.25" style="70" customWidth="1"/>
    <col min="8679" max="8679" width="0.75" style="70" customWidth="1"/>
    <col min="8680" max="8682" width="0.625" style="70" customWidth="1"/>
    <col min="8683" max="8927" width="8.5" style="70"/>
    <col min="8928" max="8928" width="5.25" style="70" customWidth="1"/>
    <col min="8929" max="8929" width="26.25" style="70" customWidth="1"/>
    <col min="8930" max="8930" width="5.5" style="70" customWidth="1"/>
    <col min="8931" max="8931" width="8.5" style="70"/>
    <col min="8932" max="8933" width="10.875" style="70" customWidth="1"/>
    <col min="8934" max="8934" width="15.25" style="70" customWidth="1"/>
    <col min="8935" max="8935" width="0.75" style="70" customWidth="1"/>
    <col min="8936" max="8938" width="0.625" style="70" customWidth="1"/>
    <col min="8939" max="9183" width="8.5" style="70"/>
    <col min="9184" max="9184" width="5.25" style="70" customWidth="1"/>
    <col min="9185" max="9185" width="26.25" style="70" customWidth="1"/>
    <col min="9186" max="9186" width="5.5" style="70" customWidth="1"/>
    <col min="9187" max="9187" width="8.5" style="70"/>
    <col min="9188" max="9189" width="10.875" style="70" customWidth="1"/>
    <col min="9190" max="9190" width="15.25" style="70" customWidth="1"/>
    <col min="9191" max="9191" width="0.75" style="70" customWidth="1"/>
    <col min="9192" max="9194" width="0.625" style="70" customWidth="1"/>
    <col min="9195" max="9439" width="8.5" style="70"/>
    <col min="9440" max="9440" width="5.25" style="70" customWidth="1"/>
    <col min="9441" max="9441" width="26.25" style="70" customWidth="1"/>
    <col min="9442" max="9442" width="5.5" style="70" customWidth="1"/>
    <col min="9443" max="9443" width="8.5" style="70"/>
    <col min="9444" max="9445" width="10.875" style="70" customWidth="1"/>
    <col min="9446" max="9446" width="15.25" style="70" customWidth="1"/>
    <col min="9447" max="9447" width="0.75" style="70" customWidth="1"/>
    <col min="9448" max="9450" width="0.625" style="70" customWidth="1"/>
    <col min="9451" max="9695" width="8.5" style="70"/>
    <col min="9696" max="9696" width="5.25" style="70" customWidth="1"/>
    <col min="9697" max="9697" width="26.25" style="70" customWidth="1"/>
    <col min="9698" max="9698" width="5.5" style="70" customWidth="1"/>
    <col min="9699" max="9699" width="8.5" style="70"/>
    <col min="9700" max="9701" width="10.875" style="70" customWidth="1"/>
    <col min="9702" max="9702" width="15.25" style="70" customWidth="1"/>
    <col min="9703" max="9703" width="0.75" style="70" customWidth="1"/>
    <col min="9704" max="9706" width="0.625" style="70" customWidth="1"/>
    <col min="9707" max="9951" width="8.5" style="70"/>
    <col min="9952" max="9952" width="5.25" style="70" customWidth="1"/>
    <col min="9953" max="9953" width="26.25" style="70" customWidth="1"/>
    <col min="9954" max="9954" width="5.5" style="70" customWidth="1"/>
    <col min="9955" max="9955" width="8.5" style="70"/>
    <col min="9956" max="9957" width="10.875" style="70" customWidth="1"/>
    <col min="9958" max="9958" width="15.25" style="70" customWidth="1"/>
    <col min="9959" max="9959" width="0.75" style="70" customWidth="1"/>
    <col min="9960" max="9962" width="0.625" style="70" customWidth="1"/>
    <col min="9963" max="10207" width="8.5" style="70"/>
    <col min="10208" max="10208" width="5.25" style="70" customWidth="1"/>
    <col min="10209" max="10209" width="26.25" style="70" customWidth="1"/>
    <col min="10210" max="10210" width="5.5" style="70" customWidth="1"/>
    <col min="10211" max="10211" width="8.5" style="70"/>
    <col min="10212" max="10213" width="10.875" style="70" customWidth="1"/>
    <col min="10214" max="10214" width="15.25" style="70" customWidth="1"/>
    <col min="10215" max="10215" width="0.75" style="70" customWidth="1"/>
    <col min="10216" max="10218" width="0.625" style="70" customWidth="1"/>
    <col min="10219" max="10463" width="8.5" style="70"/>
    <col min="10464" max="10464" width="5.25" style="70" customWidth="1"/>
    <col min="10465" max="10465" width="26.25" style="70" customWidth="1"/>
    <col min="10466" max="10466" width="5.5" style="70" customWidth="1"/>
    <col min="10467" max="10467" width="8.5" style="70"/>
    <col min="10468" max="10469" width="10.875" style="70" customWidth="1"/>
    <col min="10470" max="10470" width="15.25" style="70" customWidth="1"/>
    <col min="10471" max="10471" width="0.75" style="70" customWidth="1"/>
    <col min="10472" max="10474" width="0.625" style="70" customWidth="1"/>
    <col min="10475" max="10719" width="8.5" style="70"/>
    <col min="10720" max="10720" width="5.25" style="70" customWidth="1"/>
    <col min="10721" max="10721" width="26.25" style="70" customWidth="1"/>
    <col min="10722" max="10722" width="5.5" style="70" customWidth="1"/>
    <col min="10723" max="10723" width="8.5" style="70"/>
    <col min="10724" max="10725" width="10.875" style="70" customWidth="1"/>
    <col min="10726" max="10726" width="15.25" style="70" customWidth="1"/>
    <col min="10727" max="10727" width="0.75" style="70" customWidth="1"/>
    <col min="10728" max="10730" width="0.625" style="70" customWidth="1"/>
    <col min="10731" max="10975" width="8.5" style="70"/>
    <col min="10976" max="10976" width="5.25" style="70" customWidth="1"/>
    <col min="10977" max="10977" width="26.25" style="70" customWidth="1"/>
    <col min="10978" max="10978" width="5.5" style="70" customWidth="1"/>
    <col min="10979" max="10979" width="8.5" style="70"/>
    <col min="10980" max="10981" width="10.875" style="70" customWidth="1"/>
    <col min="10982" max="10982" width="15.25" style="70" customWidth="1"/>
    <col min="10983" max="10983" width="0.75" style="70" customWidth="1"/>
    <col min="10984" max="10986" width="0.625" style="70" customWidth="1"/>
    <col min="10987" max="11231" width="8.5" style="70"/>
    <col min="11232" max="11232" width="5.25" style="70" customWidth="1"/>
    <col min="11233" max="11233" width="26.25" style="70" customWidth="1"/>
    <col min="11234" max="11234" width="5.5" style="70" customWidth="1"/>
    <col min="11235" max="11235" width="8.5" style="70"/>
    <col min="11236" max="11237" width="10.875" style="70" customWidth="1"/>
    <col min="11238" max="11238" width="15.25" style="70" customWidth="1"/>
    <col min="11239" max="11239" width="0.75" style="70" customWidth="1"/>
    <col min="11240" max="11242" width="0.625" style="70" customWidth="1"/>
    <col min="11243" max="11487" width="8.5" style="70"/>
    <col min="11488" max="11488" width="5.25" style="70" customWidth="1"/>
    <col min="11489" max="11489" width="26.25" style="70" customWidth="1"/>
    <col min="11490" max="11490" width="5.5" style="70" customWidth="1"/>
    <col min="11491" max="11491" width="8.5" style="70"/>
    <col min="11492" max="11493" width="10.875" style="70" customWidth="1"/>
    <col min="11494" max="11494" width="15.25" style="70" customWidth="1"/>
    <col min="11495" max="11495" width="0.75" style="70" customWidth="1"/>
    <col min="11496" max="11498" width="0.625" style="70" customWidth="1"/>
    <col min="11499" max="11743" width="8.5" style="70"/>
    <col min="11744" max="11744" width="5.25" style="70" customWidth="1"/>
    <col min="11745" max="11745" width="26.25" style="70" customWidth="1"/>
    <col min="11746" max="11746" width="5.5" style="70" customWidth="1"/>
    <col min="11747" max="11747" width="8.5" style="70"/>
    <col min="11748" max="11749" width="10.875" style="70" customWidth="1"/>
    <col min="11750" max="11750" width="15.25" style="70" customWidth="1"/>
    <col min="11751" max="11751" width="0.75" style="70" customWidth="1"/>
    <col min="11752" max="11754" width="0.625" style="70" customWidth="1"/>
    <col min="11755" max="11999" width="8.5" style="70"/>
    <col min="12000" max="12000" width="5.25" style="70" customWidth="1"/>
    <col min="12001" max="12001" width="26.25" style="70" customWidth="1"/>
    <col min="12002" max="12002" width="5.5" style="70" customWidth="1"/>
    <col min="12003" max="12003" width="8.5" style="70"/>
    <col min="12004" max="12005" width="10.875" style="70" customWidth="1"/>
    <col min="12006" max="12006" width="15.25" style="70" customWidth="1"/>
    <col min="12007" max="12007" width="0.75" style="70" customWidth="1"/>
    <col min="12008" max="12010" width="0.625" style="70" customWidth="1"/>
    <col min="12011" max="12255" width="8.5" style="70"/>
    <col min="12256" max="12256" width="5.25" style="70" customWidth="1"/>
    <col min="12257" max="12257" width="26.25" style="70" customWidth="1"/>
    <col min="12258" max="12258" width="5.5" style="70" customWidth="1"/>
    <col min="12259" max="12259" width="8.5" style="70"/>
    <col min="12260" max="12261" width="10.875" style="70" customWidth="1"/>
    <col min="12262" max="12262" width="15.25" style="70" customWidth="1"/>
    <col min="12263" max="12263" width="0.75" style="70" customWidth="1"/>
    <col min="12264" max="12266" width="0.625" style="70" customWidth="1"/>
    <col min="12267" max="12511" width="8.5" style="70"/>
    <col min="12512" max="12512" width="5.25" style="70" customWidth="1"/>
    <col min="12513" max="12513" width="26.25" style="70" customWidth="1"/>
    <col min="12514" max="12514" width="5.5" style="70" customWidth="1"/>
    <col min="12515" max="12515" width="8.5" style="70"/>
    <col min="12516" max="12517" width="10.875" style="70" customWidth="1"/>
    <col min="12518" max="12518" width="15.25" style="70" customWidth="1"/>
    <col min="12519" max="12519" width="0.75" style="70" customWidth="1"/>
    <col min="12520" max="12522" width="0.625" style="70" customWidth="1"/>
    <col min="12523" max="12767" width="8.5" style="70"/>
    <col min="12768" max="12768" width="5.25" style="70" customWidth="1"/>
    <col min="12769" max="12769" width="26.25" style="70" customWidth="1"/>
    <col min="12770" max="12770" width="5.5" style="70" customWidth="1"/>
    <col min="12771" max="12771" width="8.5" style="70"/>
    <col min="12772" max="12773" width="10.875" style="70" customWidth="1"/>
    <col min="12774" max="12774" width="15.25" style="70" customWidth="1"/>
    <col min="12775" max="12775" width="0.75" style="70" customWidth="1"/>
    <col min="12776" max="12778" width="0.625" style="70" customWidth="1"/>
    <col min="12779" max="13023" width="8.5" style="70"/>
    <col min="13024" max="13024" width="5.25" style="70" customWidth="1"/>
    <col min="13025" max="13025" width="26.25" style="70" customWidth="1"/>
    <col min="13026" max="13026" width="5.5" style="70" customWidth="1"/>
    <col min="13027" max="13027" width="8.5" style="70"/>
    <col min="13028" max="13029" width="10.875" style="70" customWidth="1"/>
    <col min="13030" max="13030" width="15.25" style="70" customWidth="1"/>
    <col min="13031" max="13031" width="0.75" style="70" customWidth="1"/>
    <col min="13032" max="13034" width="0.625" style="70" customWidth="1"/>
    <col min="13035" max="13279" width="8.5" style="70"/>
    <col min="13280" max="13280" width="5.25" style="70" customWidth="1"/>
    <col min="13281" max="13281" width="26.25" style="70" customWidth="1"/>
    <col min="13282" max="13282" width="5.5" style="70" customWidth="1"/>
    <col min="13283" max="13283" width="8.5" style="70"/>
    <col min="13284" max="13285" width="10.875" style="70" customWidth="1"/>
    <col min="13286" max="13286" width="15.25" style="70" customWidth="1"/>
    <col min="13287" max="13287" width="0.75" style="70" customWidth="1"/>
    <col min="13288" max="13290" width="0.625" style="70" customWidth="1"/>
    <col min="13291" max="13535" width="8.5" style="70"/>
    <col min="13536" max="13536" width="5.25" style="70" customWidth="1"/>
    <col min="13537" max="13537" width="26.25" style="70" customWidth="1"/>
    <col min="13538" max="13538" width="5.5" style="70" customWidth="1"/>
    <col min="13539" max="13539" width="8.5" style="70"/>
    <col min="13540" max="13541" width="10.875" style="70" customWidth="1"/>
    <col min="13542" max="13542" width="15.25" style="70" customWidth="1"/>
    <col min="13543" max="13543" width="0.75" style="70" customWidth="1"/>
    <col min="13544" max="13546" width="0.625" style="70" customWidth="1"/>
    <col min="13547" max="13791" width="8.5" style="70"/>
    <col min="13792" max="13792" width="5.25" style="70" customWidth="1"/>
    <col min="13793" max="13793" width="26.25" style="70" customWidth="1"/>
    <col min="13794" max="13794" width="5.5" style="70" customWidth="1"/>
    <col min="13795" max="13795" width="8.5" style="70"/>
    <col min="13796" max="13797" width="10.875" style="70" customWidth="1"/>
    <col min="13798" max="13798" width="15.25" style="70" customWidth="1"/>
    <col min="13799" max="13799" width="0.75" style="70" customWidth="1"/>
    <col min="13800" max="13802" width="0.625" style="70" customWidth="1"/>
    <col min="13803" max="14047" width="8.5" style="70"/>
    <col min="14048" max="14048" width="5.25" style="70" customWidth="1"/>
    <col min="14049" max="14049" width="26.25" style="70" customWidth="1"/>
    <col min="14050" max="14050" width="5.5" style="70" customWidth="1"/>
    <col min="14051" max="14051" width="8.5" style="70"/>
    <col min="14052" max="14053" width="10.875" style="70" customWidth="1"/>
    <col min="14054" max="14054" width="15.25" style="70" customWidth="1"/>
    <col min="14055" max="14055" width="0.75" style="70" customWidth="1"/>
    <col min="14056" max="14058" width="0.625" style="70" customWidth="1"/>
    <col min="14059" max="14303" width="8.5" style="70"/>
    <col min="14304" max="14304" width="5.25" style="70" customWidth="1"/>
    <col min="14305" max="14305" width="26.25" style="70" customWidth="1"/>
    <col min="14306" max="14306" width="5.5" style="70" customWidth="1"/>
    <col min="14307" max="14307" width="8.5" style="70"/>
    <col min="14308" max="14309" width="10.875" style="70" customWidth="1"/>
    <col min="14310" max="14310" width="15.25" style="70" customWidth="1"/>
    <col min="14311" max="14311" width="0.75" style="70" customWidth="1"/>
    <col min="14312" max="14314" width="0.625" style="70" customWidth="1"/>
    <col min="14315" max="14559" width="8.5" style="70"/>
    <col min="14560" max="14560" width="5.25" style="70" customWidth="1"/>
    <col min="14561" max="14561" width="26.25" style="70" customWidth="1"/>
    <col min="14562" max="14562" width="5.5" style="70" customWidth="1"/>
    <col min="14563" max="14563" width="8.5" style="70"/>
    <col min="14564" max="14565" width="10.875" style="70" customWidth="1"/>
    <col min="14566" max="14566" width="15.25" style="70" customWidth="1"/>
    <col min="14567" max="14567" width="0.75" style="70" customWidth="1"/>
    <col min="14568" max="14570" width="0.625" style="70" customWidth="1"/>
    <col min="14571" max="14815" width="8.5" style="70"/>
    <col min="14816" max="14816" width="5.25" style="70" customWidth="1"/>
    <col min="14817" max="14817" width="26.25" style="70" customWidth="1"/>
    <col min="14818" max="14818" width="5.5" style="70" customWidth="1"/>
    <col min="14819" max="14819" width="8.5" style="70"/>
    <col min="14820" max="14821" width="10.875" style="70" customWidth="1"/>
    <col min="14822" max="14822" width="15.25" style="70" customWidth="1"/>
    <col min="14823" max="14823" width="0.75" style="70" customWidth="1"/>
    <col min="14824" max="14826" width="0.625" style="70" customWidth="1"/>
    <col min="14827" max="15071" width="8.5" style="70"/>
    <col min="15072" max="15072" width="5.25" style="70" customWidth="1"/>
    <col min="15073" max="15073" width="26.25" style="70" customWidth="1"/>
    <col min="15074" max="15074" width="5.5" style="70" customWidth="1"/>
    <col min="15075" max="15075" width="8.5" style="70"/>
    <col min="15076" max="15077" width="10.875" style="70" customWidth="1"/>
    <col min="15078" max="15078" width="15.25" style="70" customWidth="1"/>
    <col min="15079" max="15079" width="0.75" style="70" customWidth="1"/>
    <col min="15080" max="15082" width="0.625" style="70" customWidth="1"/>
    <col min="15083" max="15327" width="8.5" style="70"/>
    <col min="15328" max="15328" width="5.25" style="70" customWidth="1"/>
    <col min="15329" max="15329" width="26.25" style="70" customWidth="1"/>
    <col min="15330" max="15330" width="5.5" style="70" customWidth="1"/>
    <col min="15331" max="15331" width="8.5" style="70"/>
    <col min="15332" max="15333" width="10.875" style="70" customWidth="1"/>
    <col min="15334" max="15334" width="15.25" style="70" customWidth="1"/>
    <col min="15335" max="15335" width="0.75" style="70" customWidth="1"/>
    <col min="15336" max="15338" width="0.625" style="70" customWidth="1"/>
    <col min="15339" max="15583" width="8.5" style="70"/>
    <col min="15584" max="15584" width="5.25" style="70" customWidth="1"/>
    <col min="15585" max="15585" width="26.25" style="70" customWidth="1"/>
    <col min="15586" max="15586" width="5.5" style="70" customWidth="1"/>
    <col min="15587" max="15587" width="8.5" style="70"/>
    <col min="15588" max="15589" width="10.875" style="70" customWidth="1"/>
    <col min="15590" max="15590" width="15.25" style="70" customWidth="1"/>
    <col min="15591" max="15591" width="0.75" style="70" customWidth="1"/>
    <col min="15592" max="15594" width="0.625" style="70" customWidth="1"/>
    <col min="15595" max="15839" width="8.5" style="70"/>
    <col min="15840" max="15840" width="5.25" style="70" customWidth="1"/>
    <col min="15841" max="15841" width="26.25" style="70" customWidth="1"/>
    <col min="15842" max="15842" width="5.5" style="70" customWidth="1"/>
    <col min="15843" max="15843" width="8.5" style="70"/>
    <col min="15844" max="15845" width="10.875" style="70" customWidth="1"/>
    <col min="15846" max="15846" width="15.25" style="70" customWidth="1"/>
    <col min="15847" max="15847" width="0.75" style="70" customWidth="1"/>
    <col min="15848" max="15850" width="0.625" style="70" customWidth="1"/>
    <col min="15851" max="16095" width="8.5" style="70"/>
    <col min="16096" max="16096" width="5.25" style="70" customWidth="1"/>
    <col min="16097" max="16097" width="26.25" style="70" customWidth="1"/>
    <col min="16098" max="16098" width="5.5" style="70" customWidth="1"/>
    <col min="16099" max="16099" width="8.5" style="70"/>
    <col min="16100" max="16101" width="10.875" style="70" customWidth="1"/>
    <col min="16102" max="16102" width="15.25" style="70" customWidth="1"/>
    <col min="16103" max="16103" width="0.75" style="70" customWidth="1"/>
    <col min="16104" max="16106" width="0.625" style="70" customWidth="1"/>
    <col min="16107" max="16384" width="8.5" style="70"/>
  </cols>
  <sheetData>
    <row r="1" spans="1:37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47"/>
      <c r="V1" s="99"/>
      <c r="W1" s="99"/>
      <c r="X1" s="99"/>
      <c r="Y1" s="99"/>
      <c r="Z1" s="100"/>
    </row>
    <row r="2" spans="1:37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47"/>
    </row>
    <row r="3" spans="1:37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47"/>
      <c r="P3" s="386" t="s">
        <v>0</v>
      </c>
      <c r="Q3" s="387"/>
      <c r="R3" s="387"/>
      <c r="S3" s="387"/>
      <c r="T3" s="387"/>
      <c r="U3" s="387"/>
      <c r="V3" s="387"/>
      <c r="W3" s="387"/>
      <c r="X3" s="387"/>
      <c r="Y3" s="387"/>
      <c r="Z3" s="387"/>
    </row>
    <row r="4" spans="1:37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48"/>
      <c r="P4" s="389">
        <v>17</v>
      </c>
      <c r="Q4" s="387"/>
      <c r="R4" s="387"/>
      <c r="S4" s="387"/>
      <c r="T4" s="387"/>
      <c r="U4" s="387"/>
      <c r="V4" s="387"/>
      <c r="W4" s="387"/>
      <c r="X4" s="387"/>
      <c r="Y4" s="387"/>
      <c r="Z4" s="387"/>
    </row>
    <row r="5" spans="1:37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93" t="s">
        <v>4</v>
      </c>
      <c r="J5" s="393"/>
      <c r="K5" s="74"/>
      <c r="L5" s="394" t="s">
        <v>3109</v>
      </c>
      <c r="M5" s="394"/>
      <c r="N5" s="394"/>
      <c r="O5" s="96"/>
      <c r="P5" s="395" t="s">
        <v>2</v>
      </c>
      <c r="Q5" s="396"/>
      <c r="R5" s="396"/>
      <c r="S5" s="396"/>
      <c r="T5" s="396"/>
      <c r="U5" s="396"/>
      <c r="V5" s="396"/>
      <c r="W5" s="396"/>
      <c r="X5" s="4" t="s">
        <v>1361</v>
      </c>
      <c r="Y5" s="380">
        <v>45688</v>
      </c>
      <c r="Z5" s="381"/>
      <c r="AA5"/>
      <c r="AB5" s="181"/>
      <c r="AC5" s="181"/>
      <c r="AD5" s="181"/>
      <c r="AE5" s="181"/>
    </row>
    <row r="6" spans="1:37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1" t="s">
        <v>9</v>
      </c>
      <c r="I6" s="51" t="s">
        <v>3068</v>
      </c>
      <c r="J6" s="50" t="s">
        <v>11</v>
      </c>
      <c r="K6" s="47"/>
      <c r="L6" s="1" t="s">
        <v>1423</v>
      </c>
      <c r="M6" s="1" t="s">
        <v>1424</v>
      </c>
      <c r="N6" s="1" t="s">
        <v>1425</v>
      </c>
      <c r="O6" s="97"/>
      <c r="P6" s="5" t="s">
        <v>5</v>
      </c>
      <c r="Q6" s="6" t="s">
        <v>1362</v>
      </c>
      <c r="R6" s="6" t="s">
        <v>7</v>
      </c>
      <c r="S6" s="6" t="s">
        <v>1363</v>
      </c>
      <c r="T6" s="6" t="s">
        <v>1364</v>
      </c>
      <c r="U6" s="6" t="s">
        <v>1365</v>
      </c>
      <c r="V6" s="6" t="s">
        <v>1366</v>
      </c>
      <c r="W6" s="6" t="s">
        <v>1367</v>
      </c>
      <c r="X6" s="6" t="s">
        <v>1368</v>
      </c>
      <c r="Y6" s="6" t="s">
        <v>1369</v>
      </c>
      <c r="Z6" s="7" t="s">
        <v>1370</v>
      </c>
      <c r="AA6" s="36"/>
      <c r="AG6" s="186">
        <f>AI7</f>
        <v>0.63949999999999996</v>
      </c>
      <c r="AH6" s="104">
        <f>AI9</f>
        <v>4.0587883062921597E-2</v>
      </c>
      <c r="AI6" s="197" t="s">
        <v>1513</v>
      </c>
      <c r="AK6" s="68" t="s">
        <v>3110</v>
      </c>
    </row>
    <row r="7" spans="1:37" s="69" customFormat="1" ht="33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>
        <v>365478534</v>
      </c>
      <c r="J7" s="53" t="s">
        <v>15</v>
      </c>
      <c r="K7" s="73"/>
      <c r="L7" s="39">
        <v>1</v>
      </c>
      <c r="M7" s="39">
        <v>12220000.000000004</v>
      </c>
      <c r="N7" s="39">
        <v>194164200</v>
      </c>
      <c r="O7" s="98"/>
      <c r="P7" s="8" t="s">
        <v>12</v>
      </c>
      <c r="Q7" s="9" t="s">
        <v>13</v>
      </c>
      <c r="R7" s="10" t="s">
        <v>14</v>
      </c>
      <c r="S7" s="11">
        <v>1</v>
      </c>
      <c r="T7" s="11"/>
      <c r="U7" s="11">
        <f>U8+U377+U406+U446+U450+U471+U491+U494+U495+U497</f>
        <v>365478534</v>
      </c>
      <c r="V7" s="11">
        <f>IF(X7=0,0,1)</f>
        <v>1</v>
      </c>
      <c r="W7" s="11">
        <f>IF(Y7=0,0,1)</f>
        <v>1</v>
      </c>
      <c r="X7" s="11">
        <f>X8+X377+X406+X446+X450+X471+X491+X494+X495+X497</f>
        <v>14834000.000000015</v>
      </c>
      <c r="Y7" s="11">
        <f>ROUNDDOWN((Y8+Y377+Y406+Y446+Y450+Y471+Y491+Y495+Y497+(Y8+Y377+Y406+Y446+Y450+Y471+Y491)*0.1095000004)/1000,1)*1000</f>
        <v>233732800</v>
      </c>
      <c r="Z7" s="12" t="s">
        <v>15</v>
      </c>
      <c r="AA7" s="37" t="s">
        <v>16</v>
      </c>
      <c r="AB7" s="182"/>
      <c r="AC7" s="182"/>
      <c r="AD7" s="182"/>
      <c r="AE7" s="182"/>
      <c r="AF7" s="101"/>
      <c r="AG7" s="187"/>
      <c r="AH7" s="126">
        <v>365478534</v>
      </c>
      <c r="AI7" s="201">
        <f>ROUND(Y7/AH7,4)</f>
        <v>0.63949999999999996</v>
      </c>
    </row>
    <row r="8" spans="1:37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>
        <v>275489625</v>
      </c>
      <c r="J8" s="86" t="s">
        <v>15</v>
      </c>
      <c r="K8" s="73"/>
      <c r="L8" s="42">
        <v>1</v>
      </c>
      <c r="M8" s="42">
        <v>6680379.0399999982</v>
      </c>
      <c r="N8" s="42">
        <v>141593457.65000001</v>
      </c>
      <c r="O8" s="98"/>
      <c r="P8" s="13" t="s">
        <v>1371</v>
      </c>
      <c r="Q8" s="14" t="s">
        <v>18</v>
      </c>
      <c r="R8" s="15" t="s">
        <v>14</v>
      </c>
      <c r="S8" s="16">
        <v>1</v>
      </c>
      <c r="T8" s="16"/>
      <c r="U8" s="16">
        <f>U9+U38+U133+U177+U202+U220+U237+U327+U369</f>
        <v>275489625.00000006</v>
      </c>
      <c r="V8" s="16">
        <f t="shared" ref="V8:W9" si="0">IF(X8=0,0,1)</f>
        <v>1</v>
      </c>
      <c r="W8" s="16">
        <f t="shared" si="0"/>
        <v>1</v>
      </c>
      <c r="X8" s="16">
        <f>X9+X38+X133+X177+X202+X220+X237+X327+X369</f>
        <v>12490973.329999998</v>
      </c>
      <c r="Y8" s="16">
        <f>Y9+Y38+Y133+Y177+Y202+Y220+Y237+Y327+Y369</f>
        <v>172303259.54999998</v>
      </c>
      <c r="Z8" s="17" t="s">
        <v>15</v>
      </c>
      <c r="AA8" s="40" t="s">
        <v>16</v>
      </c>
      <c r="AB8" s="183"/>
      <c r="AC8" s="183"/>
      <c r="AD8" s="183"/>
      <c r="AE8" s="183"/>
      <c r="AF8" s="101"/>
      <c r="AG8" s="188"/>
      <c r="AI8" s="124" t="s">
        <v>1514</v>
      </c>
    </row>
    <row r="9" spans="1:37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>
        <v>90137193.75</v>
      </c>
      <c r="J9" s="80" t="s">
        <v>15</v>
      </c>
      <c r="K9" s="73"/>
      <c r="L9" s="45">
        <v>1</v>
      </c>
      <c r="M9" s="45">
        <v>653229.91999999969</v>
      </c>
      <c r="N9" s="45">
        <v>62749104.82</v>
      </c>
      <c r="O9" s="98"/>
      <c r="P9" s="18" t="s">
        <v>1372</v>
      </c>
      <c r="Q9" s="19" t="s">
        <v>20</v>
      </c>
      <c r="R9" s="20" t="s">
        <v>14</v>
      </c>
      <c r="S9" s="21">
        <v>1</v>
      </c>
      <c r="T9" s="21"/>
      <c r="U9" s="21">
        <f>SUMIFS(AC:AC,AD:AD,AD9)</f>
        <v>90137193.75000003</v>
      </c>
      <c r="V9" s="21">
        <f t="shared" si="0"/>
        <v>1</v>
      </c>
      <c r="W9" s="21">
        <f t="shared" si="0"/>
        <v>1</v>
      </c>
      <c r="X9" s="21">
        <f>SUMIFS(X:X,AE:AE,AD9)</f>
        <v>1092230.22</v>
      </c>
      <c r="Y9" s="21">
        <f>SUMIFS(Y:Y,AE:AE,AD9)</f>
        <v>70892644.120000005</v>
      </c>
      <c r="Z9" s="22" t="s">
        <v>15</v>
      </c>
      <c r="AA9" s="43" t="s">
        <v>16</v>
      </c>
      <c r="AB9" s="184">
        <f>IF(T9=0,S9,T9)</f>
        <v>1</v>
      </c>
      <c r="AC9" s="184"/>
      <c r="AD9" s="181">
        <v>1.1000000000000001</v>
      </c>
      <c r="AE9" s="181"/>
      <c r="AF9" s="101"/>
      <c r="AG9" s="189" t="s">
        <v>3061</v>
      </c>
      <c r="AI9" s="125">
        <f>X7/AH7</f>
        <v>4.0587883062921597E-2</v>
      </c>
      <c r="AK9" s="101" t="s">
        <v>3062</v>
      </c>
    </row>
    <row r="10" spans="1:37" s="69" customFormat="1" ht="39" x14ac:dyDescent="0.3">
      <c r="A10" s="55" t="s">
        <v>21</v>
      </c>
      <c r="B10" s="53" t="s">
        <v>22</v>
      </c>
      <c r="C10" s="54" t="s">
        <v>23</v>
      </c>
      <c r="D10" s="75">
        <v>544.66</v>
      </c>
      <c r="E10" s="75"/>
      <c r="F10" s="75"/>
      <c r="G10" s="75"/>
      <c r="H10" s="75">
        <v>193.12</v>
      </c>
      <c r="I10" s="75">
        <v>105184.74</v>
      </c>
      <c r="J10" s="91" t="s">
        <v>24</v>
      </c>
      <c r="K10" s="73"/>
      <c r="L10" s="46">
        <v>408.7</v>
      </c>
      <c r="M10" s="46">
        <v>0</v>
      </c>
      <c r="N10" s="46">
        <v>78928.14</v>
      </c>
      <c r="O10" s="98"/>
      <c r="P10" s="23" t="s">
        <v>1421</v>
      </c>
      <c r="Q10" s="24" t="s">
        <v>22</v>
      </c>
      <c r="R10" s="25" t="s">
        <v>23</v>
      </c>
      <c r="S10" s="26">
        <v>544.66</v>
      </c>
      <c r="T10" s="26"/>
      <c r="U10" s="26">
        <v>193.12</v>
      </c>
      <c r="V10" s="127">
        <f>AG10-L10</f>
        <v>0</v>
      </c>
      <c r="W10" s="127">
        <f>V10+L10</f>
        <v>408.7</v>
      </c>
      <c r="X10" s="127">
        <f t="shared" ref="X10:X37" si="1">Y10-N10</f>
        <v>0</v>
      </c>
      <c r="Y10" s="127">
        <f>ROUND(U10*W10,2)</f>
        <v>78928.14</v>
      </c>
      <c r="Z10" s="33" t="s">
        <v>15</v>
      </c>
      <c r="AA10" s="36" t="s">
        <v>16</v>
      </c>
      <c r="AB10" s="181">
        <f>IF(T10="",S10,T10)</f>
        <v>544.66</v>
      </c>
      <c r="AC10" s="181">
        <f t="shared" ref="AC10:AC37" si="2">ROUND(U10*AB10,2)</f>
        <v>105184.74</v>
      </c>
      <c r="AD10" s="181">
        <v>1.1000000000000001</v>
      </c>
      <c r="AE10" s="181">
        <v>1.1000000000000001</v>
      </c>
      <c r="AF10" s="101" t="str">
        <f>IF(W10&gt;AH10,"超估","")</f>
        <v/>
      </c>
      <c r="AG10" s="190">
        <v>408.7</v>
      </c>
      <c r="AH10" s="69">
        <f>IF(G10=0,IF(F10=0,IF(E10=0,D10,E10),F10),G10)</f>
        <v>544.66</v>
      </c>
    </row>
    <row r="11" spans="1:37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>
        <v>1046.22</v>
      </c>
      <c r="I11" s="75">
        <v>7417092.9900000002</v>
      </c>
      <c r="J11" s="91" t="s">
        <v>27</v>
      </c>
      <c r="K11" s="73"/>
      <c r="L11" s="46">
        <v>5874.11</v>
      </c>
      <c r="M11" s="46">
        <v>535664.6400000006</v>
      </c>
      <c r="N11" s="46">
        <v>6145611.3600000003</v>
      </c>
      <c r="O11" s="98"/>
      <c r="P11" s="23" t="s">
        <v>1426</v>
      </c>
      <c r="Q11" s="24" t="s">
        <v>26</v>
      </c>
      <c r="R11" s="25" t="s">
        <v>23</v>
      </c>
      <c r="S11" s="26">
        <v>7089.42</v>
      </c>
      <c r="T11" s="26"/>
      <c r="U11" s="26">
        <v>1046.22</v>
      </c>
      <c r="V11" s="128">
        <f>AG11-L11</f>
        <v>657</v>
      </c>
      <c r="W11" s="26">
        <f t="shared" ref="W11:W74" si="3">V11+L11</f>
        <v>6531.11</v>
      </c>
      <c r="X11" s="26">
        <f t="shared" si="1"/>
        <v>687366.54</v>
      </c>
      <c r="Y11" s="26">
        <f t="shared" ref="Y11:Y74" si="4">ROUND(U11*W11,2)</f>
        <v>6832977.9000000004</v>
      </c>
      <c r="Z11" s="33" t="s">
        <v>15</v>
      </c>
      <c r="AA11" s="36" t="s">
        <v>16</v>
      </c>
      <c r="AB11" s="181">
        <f t="shared" ref="AB11:AB74" si="5">IF(T11="",S11,T11)</f>
        <v>7089.42</v>
      </c>
      <c r="AC11" s="181">
        <f t="shared" si="2"/>
        <v>7417092.9900000002</v>
      </c>
      <c r="AD11" s="181">
        <v>1.1000000000000001</v>
      </c>
      <c r="AE11" s="181">
        <v>1.1000000000000001</v>
      </c>
      <c r="AF11" s="101" t="str">
        <f t="shared" ref="AF11:AF74" si="6">IF(W11&gt;AH11,"超估","")</f>
        <v/>
      </c>
      <c r="AG11" s="193">
        <f>5362.11+512+657</f>
        <v>6531.11</v>
      </c>
      <c r="AH11" s="69">
        <f t="shared" ref="AH11:AH74" si="7">IF(G11=0,IF(F11=0,IF(E11=0,D11,E11),F11),G11)</f>
        <v>7089.42</v>
      </c>
    </row>
    <row r="12" spans="1:37" s="69" customFormat="1" ht="33" x14ac:dyDescent="0.3">
      <c r="A12" s="55" t="s">
        <v>28</v>
      </c>
      <c r="B12" s="53" t="s">
        <v>29</v>
      </c>
      <c r="C12" s="54" t="s">
        <v>30</v>
      </c>
      <c r="D12" s="75">
        <v>4616</v>
      </c>
      <c r="E12" s="75"/>
      <c r="F12" s="75"/>
      <c r="G12" s="75"/>
      <c r="H12" s="75">
        <v>6200</v>
      </c>
      <c r="I12" s="75">
        <v>28619200</v>
      </c>
      <c r="J12" s="91" t="s">
        <v>31</v>
      </c>
      <c r="K12" s="73"/>
      <c r="L12" s="46">
        <v>4610.7</v>
      </c>
      <c r="M12" s="46">
        <v>6080340</v>
      </c>
      <c r="N12" s="46">
        <v>28586340</v>
      </c>
      <c r="O12" s="98"/>
      <c r="P12" s="23" t="s">
        <v>1402</v>
      </c>
      <c r="Q12" s="24" t="s">
        <v>29</v>
      </c>
      <c r="R12" s="25" t="s">
        <v>30</v>
      </c>
      <c r="S12" s="26">
        <v>4616</v>
      </c>
      <c r="T12" s="26"/>
      <c r="U12" s="26">
        <v>6200</v>
      </c>
      <c r="V12" s="127">
        <f t="shared" ref="V12:V74" si="8">AG12-L12</f>
        <v>0</v>
      </c>
      <c r="W12" s="127">
        <f t="shared" si="3"/>
        <v>4610.7</v>
      </c>
      <c r="X12" s="127">
        <f t="shared" si="1"/>
        <v>0</v>
      </c>
      <c r="Y12" s="127">
        <f t="shared" si="4"/>
        <v>28586340</v>
      </c>
      <c r="Z12" s="33" t="s">
        <v>15</v>
      </c>
      <c r="AA12" s="36" t="s">
        <v>16</v>
      </c>
      <c r="AB12" s="181">
        <f t="shared" si="5"/>
        <v>4616</v>
      </c>
      <c r="AC12" s="181">
        <f t="shared" si="2"/>
        <v>28619200</v>
      </c>
      <c r="AD12" s="181">
        <v>1.1000000000000001</v>
      </c>
      <c r="AE12" s="181">
        <v>1.1000000000000001</v>
      </c>
      <c r="AF12" s="101" t="str">
        <f t="shared" si="6"/>
        <v/>
      </c>
      <c r="AG12" s="193">
        <f>3630+980.7</f>
        <v>4610.7</v>
      </c>
      <c r="AH12" s="69">
        <f t="shared" si="7"/>
        <v>4616</v>
      </c>
    </row>
    <row r="13" spans="1:37" s="69" customFormat="1" ht="58.5" x14ac:dyDescent="0.3">
      <c r="A13" s="55" t="s">
        <v>32</v>
      </c>
      <c r="B13" s="53" t="s">
        <v>33</v>
      </c>
      <c r="C13" s="54" t="s">
        <v>34</v>
      </c>
      <c r="D13" s="75">
        <v>29759</v>
      </c>
      <c r="E13" s="75"/>
      <c r="F13" s="75">
        <v>31759</v>
      </c>
      <c r="G13" s="75"/>
      <c r="H13" s="75">
        <v>48.28</v>
      </c>
      <c r="I13" s="75">
        <v>1533324.52</v>
      </c>
      <c r="J13" s="91" t="s">
        <v>35</v>
      </c>
      <c r="K13" s="73"/>
      <c r="L13" s="46">
        <v>28290.799999999999</v>
      </c>
      <c r="M13" s="46">
        <v>0</v>
      </c>
      <c r="N13" s="46">
        <v>1365879.82</v>
      </c>
      <c r="O13" s="98"/>
      <c r="P13" s="23" t="s">
        <v>1373</v>
      </c>
      <c r="Q13" s="24" t="s">
        <v>33</v>
      </c>
      <c r="R13" s="25" t="s">
        <v>34</v>
      </c>
      <c r="S13" s="26">
        <v>29759</v>
      </c>
      <c r="T13" s="26">
        <v>31759</v>
      </c>
      <c r="U13" s="26">
        <v>48.28</v>
      </c>
      <c r="V13" s="127">
        <f t="shared" si="8"/>
        <v>0</v>
      </c>
      <c r="W13" s="127">
        <f t="shared" si="3"/>
        <v>28290.799999999999</v>
      </c>
      <c r="X13" s="127">
        <f t="shared" si="1"/>
        <v>0</v>
      </c>
      <c r="Y13" s="127">
        <f t="shared" si="4"/>
        <v>1365879.82</v>
      </c>
      <c r="Z13" s="27" t="s">
        <v>15</v>
      </c>
      <c r="AA13" s="36" t="s">
        <v>16</v>
      </c>
      <c r="AB13" s="181">
        <f t="shared" si="5"/>
        <v>31759</v>
      </c>
      <c r="AC13" s="181">
        <f t="shared" si="2"/>
        <v>1533324.52</v>
      </c>
      <c r="AD13" s="181">
        <v>1.1000000000000001</v>
      </c>
      <c r="AE13" s="181">
        <v>1.1000000000000001</v>
      </c>
      <c r="AF13" s="101" t="str">
        <f t="shared" si="6"/>
        <v/>
      </c>
      <c r="AG13" s="190">
        <v>28290.799999999999</v>
      </c>
      <c r="AH13" s="69">
        <f t="shared" si="7"/>
        <v>31759</v>
      </c>
    </row>
    <row r="14" spans="1:37" s="69" customFormat="1" ht="39" x14ac:dyDescent="0.3">
      <c r="A14" s="55" t="s">
        <v>36</v>
      </c>
      <c r="B14" s="53" t="s">
        <v>37</v>
      </c>
      <c r="C14" s="54" t="s">
        <v>23</v>
      </c>
      <c r="D14" s="75">
        <v>731.44</v>
      </c>
      <c r="E14" s="75"/>
      <c r="F14" s="75"/>
      <c r="G14" s="75"/>
      <c r="H14" s="75">
        <v>599.75</v>
      </c>
      <c r="I14" s="75">
        <v>438681.14</v>
      </c>
      <c r="J14" s="91" t="s">
        <v>38</v>
      </c>
      <c r="K14" s="73"/>
      <c r="L14" s="46">
        <v>519.42999999999995</v>
      </c>
      <c r="M14" s="46">
        <v>0</v>
      </c>
      <c r="N14" s="46">
        <v>311528.14</v>
      </c>
      <c r="O14" s="98"/>
      <c r="P14" s="23" t="s">
        <v>1393</v>
      </c>
      <c r="Q14" s="24" t="s">
        <v>37</v>
      </c>
      <c r="R14" s="25" t="s">
        <v>23</v>
      </c>
      <c r="S14" s="26">
        <v>731.44</v>
      </c>
      <c r="T14" s="26"/>
      <c r="U14" s="26">
        <v>599.75</v>
      </c>
      <c r="V14" s="127">
        <f t="shared" si="8"/>
        <v>0</v>
      </c>
      <c r="W14" s="127">
        <f t="shared" si="3"/>
        <v>519.42999999999995</v>
      </c>
      <c r="X14" s="127">
        <f t="shared" si="1"/>
        <v>0</v>
      </c>
      <c r="Y14" s="127">
        <f t="shared" si="4"/>
        <v>311528.14</v>
      </c>
      <c r="Z14" s="33" t="s">
        <v>15</v>
      </c>
      <c r="AA14" s="36" t="s">
        <v>16</v>
      </c>
      <c r="AB14" s="181">
        <f t="shared" si="5"/>
        <v>731.44</v>
      </c>
      <c r="AC14" s="181">
        <f t="shared" si="2"/>
        <v>438681.14</v>
      </c>
      <c r="AD14" s="181">
        <v>1.1000000000000001</v>
      </c>
      <c r="AE14" s="181">
        <v>1.1000000000000001</v>
      </c>
      <c r="AF14" s="101" t="str">
        <f t="shared" si="6"/>
        <v/>
      </c>
      <c r="AG14" s="190">
        <v>519.42999999999995</v>
      </c>
      <c r="AH14" s="69">
        <f t="shared" si="7"/>
        <v>731.44</v>
      </c>
    </row>
    <row r="15" spans="1:37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>
        <v>104.64</v>
      </c>
      <c r="I15" s="75">
        <v>786788.16</v>
      </c>
      <c r="J15" s="91" t="s">
        <v>41</v>
      </c>
      <c r="K15" s="73"/>
      <c r="L15" s="46">
        <v>1257</v>
      </c>
      <c r="M15" s="46">
        <v>30868.800000000017</v>
      </c>
      <c r="N15" s="46">
        <v>131532.48000000001</v>
      </c>
      <c r="O15" s="98"/>
      <c r="P15" s="23" t="s">
        <v>1403</v>
      </c>
      <c r="Q15" s="24" t="s">
        <v>40</v>
      </c>
      <c r="R15" s="25" t="s">
        <v>23</v>
      </c>
      <c r="S15" s="26">
        <v>7519</v>
      </c>
      <c r="T15" s="26"/>
      <c r="U15" s="26">
        <v>104.64</v>
      </c>
      <c r="V15" s="128">
        <f t="shared" si="8"/>
        <v>962</v>
      </c>
      <c r="W15" s="26">
        <f t="shared" si="3"/>
        <v>2219</v>
      </c>
      <c r="X15" s="26">
        <f t="shared" si="1"/>
        <v>100663.67999999999</v>
      </c>
      <c r="Y15" s="26">
        <f t="shared" si="4"/>
        <v>232196.16</v>
      </c>
      <c r="Z15" s="33" t="s">
        <v>15</v>
      </c>
      <c r="AA15" s="36" t="s">
        <v>16</v>
      </c>
      <c r="AB15" s="181">
        <f t="shared" si="5"/>
        <v>7519</v>
      </c>
      <c r="AC15" s="181">
        <f t="shared" si="2"/>
        <v>786788.16</v>
      </c>
      <c r="AD15" s="181">
        <v>1.1000000000000001</v>
      </c>
      <c r="AE15" s="181">
        <v>1.1000000000000001</v>
      </c>
      <c r="AF15" s="101" t="str">
        <f t="shared" si="6"/>
        <v/>
      </c>
      <c r="AG15" s="193">
        <f>962+295+962</f>
        <v>2219</v>
      </c>
      <c r="AH15" s="69">
        <f t="shared" si="7"/>
        <v>7519</v>
      </c>
    </row>
    <row r="16" spans="1:37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>
        <v>1027.43</v>
      </c>
      <c r="I16" s="75">
        <v>22850043.199999999</v>
      </c>
      <c r="J16" s="91" t="s">
        <v>44</v>
      </c>
      <c r="K16" s="73"/>
      <c r="L16" s="46">
        <v>16836</v>
      </c>
      <c r="M16" s="46">
        <v>0</v>
      </c>
      <c r="N16" s="46">
        <v>17297811.48</v>
      </c>
      <c r="O16" s="98"/>
      <c r="P16" s="23" t="s">
        <v>1427</v>
      </c>
      <c r="Q16" s="24" t="s">
        <v>43</v>
      </c>
      <c r="R16" s="25" t="s">
        <v>34</v>
      </c>
      <c r="S16" s="26">
        <v>22240</v>
      </c>
      <c r="T16" s="26"/>
      <c r="U16" s="26">
        <v>1027.43</v>
      </c>
      <c r="V16" s="26">
        <f t="shared" si="8"/>
        <v>0</v>
      </c>
      <c r="W16" s="121">
        <f t="shared" si="3"/>
        <v>16836</v>
      </c>
      <c r="X16" s="26">
        <f t="shared" si="1"/>
        <v>0</v>
      </c>
      <c r="Y16" s="26">
        <f t="shared" si="4"/>
        <v>17297811.48</v>
      </c>
      <c r="Z16" s="33" t="s">
        <v>15</v>
      </c>
      <c r="AA16" s="36" t="s">
        <v>16</v>
      </c>
      <c r="AB16" s="181">
        <f t="shared" si="5"/>
        <v>22240</v>
      </c>
      <c r="AC16" s="181">
        <f t="shared" si="2"/>
        <v>22850043.199999999</v>
      </c>
      <c r="AD16" s="181">
        <v>1.1000000000000001</v>
      </c>
      <c r="AE16" s="181">
        <v>1.1000000000000001</v>
      </c>
      <c r="AF16" s="101" t="str">
        <f t="shared" si="6"/>
        <v/>
      </c>
      <c r="AG16" s="190">
        <v>16836</v>
      </c>
      <c r="AH16" s="69">
        <f t="shared" si="7"/>
        <v>22240</v>
      </c>
    </row>
    <row r="17" spans="1:34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>
        <v>1085.04</v>
      </c>
      <c r="I17" s="75">
        <v>7302774.9199999999</v>
      </c>
      <c r="J17" s="91" t="s">
        <v>47</v>
      </c>
      <c r="K17" s="73"/>
      <c r="L17" s="46">
        <v>4956</v>
      </c>
      <c r="M17" s="46">
        <v>0</v>
      </c>
      <c r="N17" s="46">
        <v>5377458.2400000002</v>
      </c>
      <c r="O17" s="98"/>
      <c r="P17" s="23" t="s">
        <v>1428</v>
      </c>
      <c r="Q17" s="24" t="s">
        <v>46</v>
      </c>
      <c r="R17" s="25" t="s">
        <v>23</v>
      </c>
      <c r="S17" s="26">
        <v>6730.42</v>
      </c>
      <c r="T17" s="26"/>
      <c r="U17" s="26">
        <v>1085.04</v>
      </c>
      <c r="V17" s="26">
        <f t="shared" si="8"/>
        <v>0</v>
      </c>
      <c r="W17" s="121">
        <f t="shared" si="3"/>
        <v>4956</v>
      </c>
      <c r="X17" s="26">
        <f t="shared" si="1"/>
        <v>0</v>
      </c>
      <c r="Y17" s="26">
        <f t="shared" si="4"/>
        <v>5377458.2400000002</v>
      </c>
      <c r="Z17" s="33" t="s">
        <v>15</v>
      </c>
      <c r="AA17" s="36" t="s">
        <v>16</v>
      </c>
      <c r="AB17" s="181">
        <f t="shared" si="5"/>
        <v>6730.42</v>
      </c>
      <c r="AC17" s="181">
        <f t="shared" si="2"/>
        <v>7302774.9199999999</v>
      </c>
      <c r="AD17" s="181">
        <v>1.1000000000000001</v>
      </c>
      <c r="AE17" s="181">
        <v>1.1000000000000001</v>
      </c>
      <c r="AF17" s="101" t="str">
        <f t="shared" si="6"/>
        <v/>
      </c>
      <c r="AG17" s="190">
        <v>4956</v>
      </c>
      <c r="AH17" s="69">
        <f t="shared" si="7"/>
        <v>6730.42</v>
      </c>
    </row>
    <row r="18" spans="1:34" s="69" customFormat="1" ht="58.5" x14ac:dyDescent="0.3">
      <c r="A18" s="55" t="s">
        <v>48</v>
      </c>
      <c r="B18" s="53" t="s">
        <v>49</v>
      </c>
      <c r="C18" s="54" t="s">
        <v>50</v>
      </c>
      <c r="D18" s="75">
        <v>3735.5</v>
      </c>
      <c r="E18" s="75"/>
      <c r="F18" s="75"/>
      <c r="G18" s="75"/>
      <c r="H18" s="75">
        <v>30.45</v>
      </c>
      <c r="I18" s="75">
        <v>113745.98</v>
      </c>
      <c r="J18" s="91" t="s">
        <v>51</v>
      </c>
      <c r="K18" s="73"/>
      <c r="L18" s="46">
        <v>2100</v>
      </c>
      <c r="M18" s="46">
        <v>0</v>
      </c>
      <c r="N18" s="46">
        <v>63945</v>
      </c>
      <c r="O18" s="98"/>
      <c r="P18" s="23" t="s">
        <v>1387</v>
      </c>
      <c r="Q18" s="24" t="s">
        <v>49</v>
      </c>
      <c r="R18" s="25" t="s">
        <v>50</v>
      </c>
      <c r="S18" s="26">
        <v>3735.5</v>
      </c>
      <c r="T18" s="26"/>
      <c r="U18" s="26">
        <v>30.45</v>
      </c>
      <c r="V18" s="127">
        <f t="shared" si="8"/>
        <v>0</v>
      </c>
      <c r="W18" s="127">
        <f t="shared" si="3"/>
        <v>2100</v>
      </c>
      <c r="X18" s="127">
        <f t="shared" si="1"/>
        <v>0</v>
      </c>
      <c r="Y18" s="127">
        <f t="shared" si="4"/>
        <v>63945</v>
      </c>
      <c r="Z18" s="33" t="s">
        <v>15</v>
      </c>
      <c r="AA18" s="36" t="s">
        <v>16</v>
      </c>
      <c r="AB18" s="181">
        <f t="shared" si="5"/>
        <v>3735.5</v>
      </c>
      <c r="AC18" s="181">
        <f t="shared" si="2"/>
        <v>113745.98</v>
      </c>
      <c r="AD18" s="181">
        <v>1.1000000000000001</v>
      </c>
      <c r="AE18" s="181">
        <v>1.1000000000000001</v>
      </c>
      <c r="AF18" s="101" t="str">
        <f t="shared" si="6"/>
        <v/>
      </c>
      <c r="AG18" s="190">
        <v>2100</v>
      </c>
      <c r="AH18" s="69">
        <f t="shared" si="7"/>
        <v>3735.5</v>
      </c>
    </row>
    <row r="19" spans="1:34" s="69" customFormat="1" ht="58.5" x14ac:dyDescent="0.3">
      <c r="A19" s="55" t="s">
        <v>52</v>
      </c>
      <c r="B19" s="53" t="s">
        <v>53</v>
      </c>
      <c r="C19" s="54" t="s">
        <v>50</v>
      </c>
      <c r="D19" s="75">
        <v>10205</v>
      </c>
      <c r="E19" s="75"/>
      <c r="F19" s="75"/>
      <c r="G19" s="75"/>
      <c r="H19" s="75">
        <v>28.48</v>
      </c>
      <c r="I19" s="75">
        <v>290638.40000000002</v>
      </c>
      <c r="J19" s="91" t="s">
        <v>54</v>
      </c>
      <c r="K19" s="73"/>
      <c r="L19" s="46">
        <v>300</v>
      </c>
      <c r="M19" s="46">
        <v>0</v>
      </c>
      <c r="N19" s="46">
        <v>8544</v>
      </c>
      <c r="O19" s="98"/>
      <c r="P19" s="23" t="s">
        <v>1405</v>
      </c>
      <c r="Q19" s="24" t="s">
        <v>53</v>
      </c>
      <c r="R19" s="25" t="s">
        <v>50</v>
      </c>
      <c r="S19" s="26">
        <v>10205</v>
      </c>
      <c r="T19" s="26"/>
      <c r="U19" s="26">
        <v>28.48</v>
      </c>
      <c r="V19" s="127">
        <f t="shared" si="8"/>
        <v>0</v>
      </c>
      <c r="W19" s="127">
        <f t="shared" si="3"/>
        <v>300</v>
      </c>
      <c r="X19" s="127">
        <f t="shared" si="1"/>
        <v>0</v>
      </c>
      <c r="Y19" s="127">
        <f t="shared" si="4"/>
        <v>8544</v>
      </c>
      <c r="Z19" s="33" t="s">
        <v>15</v>
      </c>
      <c r="AA19" s="36" t="s">
        <v>16</v>
      </c>
      <c r="AB19" s="181">
        <f t="shared" si="5"/>
        <v>10205</v>
      </c>
      <c r="AC19" s="181">
        <f t="shared" si="2"/>
        <v>290638.40000000002</v>
      </c>
      <c r="AD19" s="181">
        <v>1.1000000000000001</v>
      </c>
      <c r="AE19" s="181">
        <v>1.1000000000000001</v>
      </c>
      <c r="AF19" s="101" t="str">
        <f t="shared" si="6"/>
        <v/>
      </c>
      <c r="AG19" s="190">
        <v>300</v>
      </c>
      <c r="AH19" s="69">
        <f t="shared" si="7"/>
        <v>10205</v>
      </c>
    </row>
    <row r="20" spans="1:34" s="69" customFormat="1" ht="39" x14ac:dyDescent="0.3">
      <c r="A20" s="55" t="s">
        <v>55</v>
      </c>
      <c r="B20" s="53" t="s">
        <v>56</v>
      </c>
      <c r="C20" s="54" t="s">
        <v>30</v>
      </c>
      <c r="D20" s="75">
        <v>142.6</v>
      </c>
      <c r="E20" s="75"/>
      <c r="F20" s="75"/>
      <c r="G20" s="75"/>
      <c r="H20" s="75">
        <v>65.400000000000006</v>
      </c>
      <c r="I20" s="75">
        <v>9326.0400000000009</v>
      </c>
      <c r="J20" s="91" t="s">
        <v>57</v>
      </c>
      <c r="K20" s="73"/>
      <c r="L20" s="46">
        <v>60</v>
      </c>
      <c r="M20" s="46">
        <v>0</v>
      </c>
      <c r="N20" s="46">
        <v>3924</v>
      </c>
      <c r="O20" s="98"/>
      <c r="P20" s="23" t="s">
        <v>1406</v>
      </c>
      <c r="Q20" s="24" t="s">
        <v>56</v>
      </c>
      <c r="R20" s="25" t="s">
        <v>30</v>
      </c>
      <c r="S20" s="26">
        <v>142.6</v>
      </c>
      <c r="T20" s="26"/>
      <c r="U20" s="26">
        <v>65.400000000000006</v>
      </c>
      <c r="V20" s="26">
        <f t="shared" si="8"/>
        <v>0</v>
      </c>
      <c r="W20" s="26">
        <f t="shared" si="3"/>
        <v>60</v>
      </c>
      <c r="X20" s="26">
        <f t="shared" si="1"/>
        <v>0</v>
      </c>
      <c r="Y20" s="26">
        <f t="shared" si="4"/>
        <v>3924</v>
      </c>
      <c r="Z20" s="33" t="s">
        <v>15</v>
      </c>
      <c r="AA20" s="36" t="s">
        <v>16</v>
      </c>
      <c r="AB20" s="181">
        <f t="shared" si="5"/>
        <v>142.6</v>
      </c>
      <c r="AC20" s="181">
        <f t="shared" si="2"/>
        <v>9326.0400000000009</v>
      </c>
      <c r="AD20" s="181">
        <v>1.1000000000000001</v>
      </c>
      <c r="AE20" s="181">
        <v>1.1000000000000001</v>
      </c>
      <c r="AF20" s="101" t="str">
        <f t="shared" si="6"/>
        <v/>
      </c>
      <c r="AG20" s="190">
        <v>60</v>
      </c>
      <c r="AH20" s="69">
        <f t="shared" si="7"/>
        <v>142.6</v>
      </c>
    </row>
    <row r="21" spans="1:34" s="69" customFormat="1" ht="39" x14ac:dyDescent="0.3">
      <c r="A21" s="55" t="s">
        <v>58</v>
      </c>
      <c r="B21" s="53" t="s">
        <v>59</v>
      </c>
      <c r="C21" s="54" t="s">
        <v>50</v>
      </c>
      <c r="D21" s="75">
        <v>8459.2999999999993</v>
      </c>
      <c r="E21" s="75"/>
      <c r="F21" s="75"/>
      <c r="G21" s="75"/>
      <c r="H21" s="75">
        <v>20.190000000000001</v>
      </c>
      <c r="I21" s="75">
        <v>170793.27</v>
      </c>
      <c r="J21" s="91" t="s">
        <v>60</v>
      </c>
      <c r="K21" s="73"/>
      <c r="L21" s="46">
        <v>6584</v>
      </c>
      <c r="M21" s="46">
        <v>0</v>
      </c>
      <c r="N21" s="46">
        <v>132930.96</v>
      </c>
      <c r="O21" s="98"/>
      <c r="P21" s="23" t="s">
        <v>1414</v>
      </c>
      <c r="Q21" s="24" t="s">
        <v>59</v>
      </c>
      <c r="R21" s="25" t="s">
        <v>50</v>
      </c>
      <c r="S21" s="26">
        <v>8459.2999999999993</v>
      </c>
      <c r="T21" s="26"/>
      <c r="U21" s="26">
        <v>20.190000000000001</v>
      </c>
      <c r="V21" s="26">
        <f t="shared" si="8"/>
        <v>0</v>
      </c>
      <c r="W21" s="26">
        <f t="shared" si="3"/>
        <v>6584</v>
      </c>
      <c r="X21" s="26">
        <f t="shared" si="1"/>
        <v>0</v>
      </c>
      <c r="Y21" s="26">
        <f t="shared" si="4"/>
        <v>132930.96</v>
      </c>
      <c r="Z21" s="33" t="s">
        <v>15</v>
      </c>
      <c r="AA21" s="36" t="s">
        <v>16</v>
      </c>
      <c r="AB21" s="181">
        <f t="shared" si="5"/>
        <v>8459.2999999999993</v>
      </c>
      <c r="AC21" s="181">
        <f t="shared" si="2"/>
        <v>170793.27</v>
      </c>
      <c r="AD21" s="181">
        <v>1.1000000000000001</v>
      </c>
      <c r="AE21" s="181">
        <v>1.1000000000000001</v>
      </c>
      <c r="AF21" s="101" t="str">
        <f t="shared" si="6"/>
        <v/>
      </c>
      <c r="AG21" s="190">
        <v>6584</v>
      </c>
      <c r="AH21" s="69">
        <f t="shared" si="7"/>
        <v>8459.2999999999993</v>
      </c>
    </row>
    <row r="22" spans="1:34" s="69" customFormat="1" ht="39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>
        <v>2492.81</v>
      </c>
      <c r="I22" s="75">
        <v>3163126.61</v>
      </c>
      <c r="J22" s="91" t="s">
        <v>63</v>
      </c>
      <c r="K22" s="73"/>
      <c r="L22" s="46">
        <v>108</v>
      </c>
      <c r="M22" s="46">
        <v>0</v>
      </c>
      <c r="N22" s="46">
        <v>269223.48</v>
      </c>
      <c r="O22" s="98"/>
      <c r="P22" s="23" t="s">
        <v>1429</v>
      </c>
      <c r="Q22" s="24" t="s">
        <v>62</v>
      </c>
      <c r="R22" s="25" t="s">
        <v>23</v>
      </c>
      <c r="S22" s="26">
        <v>1268.9000000000001</v>
      </c>
      <c r="T22" s="26"/>
      <c r="U22" s="26">
        <v>2492.81</v>
      </c>
      <c r="V22" s="26">
        <f t="shared" si="8"/>
        <v>0</v>
      </c>
      <c r="W22" s="121">
        <f t="shared" si="3"/>
        <v>108</v>
      </c>
      <c r="X22" s="26">
        <f t="shared" si="1"/>
        <v>0</v>
      </c>
      <c r="Y22" s="26">
        <f t="shared" si="4"/>
        <v>269223.48</v>
      </c>
      <c r="Z22" s="33" t="s">
        <v>15</v>
      </c>
      <c r="AA22" s="36" t="s">
        <v>16</v>
      </c>
      <c r="AB22" s="181">
        <f t="shared" si="5"/>
        <v>1268.9000000000001</v>
      </c>
      <c r="AC22" s="181">
        <f t="shared" si="2"/>
        <v>3163126.61</v>
      </c>
      <c r="AD22" s="181">
        <v>1.1000000000000001</v>
      </c>
      <c r="AE22" s="181">
        <v>1.1000000000000001</v>
      </c>
      <c r="AF22" s="101" t="str">
        <f t="shared" si="6"/>
        <v/>
      </c>
      <c r="AG22" s="190">
        <v>108</v>
      </c>
      <c r="AH22" s="69">
        <f t="shared" si="7"/>
        <v>1268.9000000000001</v>
      </c>
    </row>
    <row r="23" spans="1:34" s="69" customFormat="1" ht="33" x14ac:dyDescent="0.3">
      <c r="A23" s="55" t="s">
        <v>64</v>
      </c>
      <c r="B23" s="53" t="s">
        <v>65</v>
      </c>
      <c r="C23" s="54" t="s">
        <v>66</v>
      </c>
      <c r="D23" s="75">
        <v>659</v>
      </c>
      <c r="E23" s="75"/>
      <c r="F23" s="75"/>
      <c r="G23" s="75"/>
      <c r="H23" s="75">
        <v>521.17999999999995</v>
      </c>
      <c r="I23" s="75">
        <v>343457.62</v>
      </c>
      <c r="J23" s="91" t="s">
        <v>67</v>
      </c>
      <c r="K23" s="73"/>
      <c r="L23" s="46">
        <v>659</v>
      </c>
      <c r="M23" s="46">
        <v>51075.640000000014</v>
      </c>
      <c r="N23" s="46">
        <v>343457.62</v>
      </c>
      <c r="O23" s="98"/>
      <c r="P23" s="23" t="s">
        <v>1430</v>
      </c>
      <c r="Q23" s="24" t="s">
        <v>65</v>
      </c>
      <c r="R23" s="25" t="s">
        <v>66</v>
      </c>
      <c r="S23" s="26">
        <v>659</v>
      </c>
      <c r="T23" s="26"/>
      <c r="U23" s="26">
        <v>521.17999999999995</v>
      </c>
      <c r="V23" s="127">
        <f t="shared" si="8"/>
        <v>0</v>
      </c>
      <c r="W23" s="127">
        <f t="shared" si="3"/>
        <v>659</v>
      </c>
      <c r="X23" s="127">
        <f t="shared" si="1"/>
        <v>0</v>
      </c>
      <c r="Y23" s="127">
        <f t="shared" si="4"/>
        <v>343457.62</v>
      </c>
      <c r="Z23" s="33" t="s">
        <v>15</v>
      </c>
      <c r="AA23" s="36" t="s">
        <v>16</v>
      </c>
      <c r="AB23" s="181">
        <f t="shared" si="5"/>
        <v>659</v>
      </c>
      <c r="AC23" s="181">
        <f t="shared" si="2"/>
        <v>343457.62</v>
      </c>
      <c r="AD23" s="181">
        <v>1.1000000000000001</v>
      </c>
      <c r="AE23" s="181">
        <v>1.1000000000000001</v>
      </c>
      <c r="AF23" s="101" t="str">
        <f t="shared" si="6"/>
        <v/>
      </c>
      <c r="AG23" s="193">
        <f>561+98</f>
        <v>659</v>
      </c>
      <c r="AH23" s="69">
        <f t="shared" si="7"/>
        <v>659</v>
      </c>
    </row>
    <row r="24" spans="1:34" s="69" customFormat="1" ht="39" x14ac:dyDescent="0.3">
      <c r="A24" s="55" t="s">
        <v>68</v>
      </c>
      <c r="B24" s="53" t="s">
        <v>69</v>
      </c>
      <c r="C24" s="54" t="s">
        <v>30</v>
      </c>
      <c r="D24" s="75">
        <v>253.3</v>
      </c>
      <c r="E24" s="75"/>
      <c r="F24" s="75"/>
      <c r="G24" s="75"/>
      <c r="H24" s="75">
        <v>289.69</v>
      </c>
      <c r="I24" s="75">
        <v>73378.48</v>
      </c>
      <c r="J24" s="91" t="s">
        <v>70</v>
      </c>
      <c r="K24" s="73"/>
      <c r="L24" s="46">
        <v>250</v>
      </c>
      <c r="M24" s="46">
        <v>0</v>
      </c>
      <c r="N24" s="46">
        <v>72422.5</v>
      </c>
      <c r="O24" s="98"/>
      <c r="P24" s="23" t="s">
        <v>1431</v>
      </c>
      <c r="Q24" s="24" t="s">
        <v>69</v>
      </c>
      <c r="R24" s="25" t="s">
        <v>30</v>
      </c>
      <c r="S24" s="26">
        <v>253.3</v>
      </c>
      <c r="T24" s="26"/>
      <c r="U24" s="26">
        <v>289.69</v>
      </c>
      <c r="V24" s="127">
        <f t="shared" si="8"/>
        <v>0</v>
      </c>
      <c r="W24" s="127">
        <f t="shared" si="3"/>
        <v>250</v>
      </c>
      <c r="X24" s="127">
        <f t="shared" si="1"/>
        <v>0</v>
      </c>
      <c r="Y24" s="127">
        <f t="shared" si="4"/>
        <v>72422.5</v>
      </c>
      <c r="Z24" s="33" t="s">
        <v>15</v>
      </c>
      <c r="AA24" s="36" t="s">
        <v>16</v>
      </c>
      <c r="AB24" s="181">
        <f t="shared" si="5"/>
        <v>253.3</v>
      </c>
      <c r="AC24" s="181">
        <f t="shared" si="2"/>
        <v>73378.48</v>
      </c>
      <c r="AD24" s="181">
        <v>1.1000000000000001</v>
      </c>
      <c r="AE24" s="181">
        <v>1.1000000000000001</v>
      </c>
      <c r="AF24" s="101" t="str">
        <f t="shared" si="6"/>
        <v/>
      </c>
      <c r="AG24" s="190">
        <v>250</v>
      </c>
      <c r="AH24" s="69">
        <f t="shared" si="7"/>
        <v>253.3</v>
      </c>
    </row>
    <row r="25" spans="1:34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>
        <v>3311.45</v>
      </c>
      <c r="I25" s="75">
        <v>264916</v>
      </c>
      <c r="J25" s="91" t="s">
        <v>74</v>
      </c>
      <c r="K25" s="73"/>
      <c r="L25" s="46">
        <v>0</v>
      </c>
      <c r="M25" s="46">
        <v>0</v>
      </c>
      <c r="N25" s="46">
        <v>0</v>
      </c>
      <c r="O25" s="98"/>
      <c r="P25" s="23" t="s">
        <v>1395</v>
      </c>
      <c r="Q25" s="24" t="s">
        <v>72</v>
      </c>
      <c r="R25" s="25" t="s">
        <v>73</v>
      </c>
      <c r="S25" s="26">
        <v>80</v>
      </c>
      <c r="T25" s="26"/>
      <c r="U25" s="26">
        <v>3311.45</v>
      </c>
      <c r="V25" s="26">
        <f t="shared" si="8"/>
        <v>0</v>
      </c>
      <c r="W25" s="26">
        <f t="shared" si="3"/>
        <v>0</v>
      </c>
      <c r="X25" s="26">
        <f t="shared" si="1"/>
        <v>0</v>
      </c>
      <c r="Y25" s="26">
        <f t="shared" si="4"/>
        <v>0</v>
      </c>
      <c r="Z25" s="33" t="s">
        <v>15</v>
      </c>
      <c r="AA25" s="36" t="s">
        <v>16</v>
      </c>
      <c r="AB25" s="181">
        <f t="shared" si="5"/>
        <v>80</v>
      </c>
      <c r="AC25" s="181">
        <f t="shared" si="2"/>
        <v>264916</v>
      </c>
      <c r="AD25" s="181">
        <v>1.1000000000000001</v>
      </c>
      <c r="AE25" s="181">
        <v>1.1000000000000001</v>
      </c>
      <c r="AF25" s="101" t="str">
        <f t="shared" si="6"/>
        <v/>
      </c>
      <c r="AG25" s="190">
        <v>0</v>
      </c>
      <c r="AH25" s="69">
        <f t="shared" si="7"/>
        <v>80</v>
      </c>
    </row>
    <row r="26" spans="1:34" s="69" customFormat="1" ht="33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>
        <v>3082.28</v>
      </c>
      <c r="I26" s="75">
        <v>3939153.84</v>
      </c>
      <c r="J26" s="91" t="s">
        <v>78</v>
      </c>
      <c r="K26" s="73"/>
      <c r="L26" s="46">
        <v>1153</v>
      </c>
      <c r="M26" s="46">
        <v>0</v>
      </c>
      <c r="N26" s="46">
        <v>3553868.84</v>
      </c>
      <c r="O26" s="98"/>
      <c r="P26" s="23" t="s">
        <v>1432</v>
      </c>
      <c r="Q26" s="24" t="s">
        <v>76</v>
      </c>
      <c r="R26" s="25" t="s">
        <v>77</v>
      </c>
      <c r="S26" s="26">
        <v>1278</v>
      </c>
      <c r="T26" s="26"/>
      <c r="U26" s="26">
        <v>3082.28</v>
      </c>
      <c r="V26" s="128">
        <f t="shared" si="8"/>
        <v>0</v>
      </c>
      <c r="W26" s="121">
        <f t="shared" si="3"/>
        <v>1153</v>
      </c>
      <c r="X26" s="26">
        <f t="shared" si="1"/>
        <v>0</v>
      </c>
      <c r="Y26" s="26">
        <f t="shared" si="4"/>
        <v>3553868.84</v>
      </c>
      <c r="Z26" s="33" t="s">
        <v>15</v>
      </c>
      <c r="AA26" s="36" t="s">
        <v>16</v>
      </c>
      <c r="AB26" s="181">
        <f t="shared" si="5"/>
        <v>1278</v>
      </c>
      <c r="AC26" s="181">
        <f t="shared" si="2"/>
        <v>3939153.84</v>
      </c>
      <c r="AD26" s="181">
        <v>1.1000000000000001</v>
      </c>
      <c r="AE26" s="181">
        <v>1.1000000000000001</v>
      </c>
      <c r="AF26" s="101" t="str">
        <f t="shared" si="6"/>
        <v/>
      </c>
      <c r="AG26" s="192">
        <f>1045+108</f>
        <v>1153</v>
      </c>
      <c r="AH26" s="69">
        <f t="shared" si="7"/>
        <v>1278</v>
      </c>
    </row>
    <row r="27" spans="1:34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>
        <v>1200</v>
      </c>
      <c r="I27" s="75">
        <v>36000</v>
      </c>
      <c r="J27" s="91" t="s">
        <v>82</v>
      </c>
      <c r="K27" s="73"/>
      <c r="L27" s="46">
        <v>0</v>
      </c>
      <c r="M27" s="46">
        <v>0</v>
      </c>
      <c r="N27" s="46">
        <v>0</v>
      </c>
      <c r="O27" s="98"/>
      <c r="P27" s="23" t="s">
        <v>1433</v>
      </c>
      <c r="Q27" s="24" t="s">
        <v>80</v>
      </c>
      <c r="R27" s="25" t="s">
        <v>81</v>
      </c>
      <c r="S27" s="26">
        <v>30</v>
      </c>
      <c r="T27" s="26"/>
      <c r="U27" s="26">
        <v>1200</v>
      </c>
      <c r="V27" s="26">
        <f t="shared" si="8"/>
        <v>0</v>
      </c>
      <c r="W27" s="26">
        <f t="shared" si="3"/>
        <v>0</v>
      </c>
      <c r="X27" s="26">
        <f t="shared" si="1"/>
        <v>0</v>
      </c>
      <c r="Y27" s="26">
        <f t="shared" si="4"/>
        <v>0</v>
      </c>
      <c r="Z27" s="33" t="s">
        <v>15</v>
      </c>
      <c r="AA27" s="36" t="s">
        <v>16</v>
      </c>
      <c r="AB27" s="181">
        <f t="shared" si="5"/>
        <v>30</v>
      </c>
      <c r="AC27" s="181">
        <f t="shared" si="2"/>
        <v>36000</v>
      </c>
      <c r="AD27" s="181">
        <v>1.1000000000000001</v>
      </c>
      <c r="AE27" s="181">
        <v>1.1000000000000001</v>
      </c>
      <c r="AF27" s="101" t="str">
        <f t="shared" si="6"/>
        <v/>
      </c>
      <c r="AG27" s="192">
        <v>0</v>
      </c>
      <c r="AH27" s="69">
        <f t="shared" si="7"/>
        <v>30</v>
      </c>
    </row>
    <row r="28" spans="1:34" s="69" customFormat="1" ht="33" x14ac:dyDescent="0.3">
      <c r="A28" s="55" t="s">
        <v>83</v>
      </c>
      <c r="B28" s="53" t="s">
        <v>84</v>
      </c>
      <c r="C28" s="54" t="s">
        <v>81</v>
      </c>
      <c r="D28" s="75">
        <v>12</v>
      </c>
      <c r="E28" s="75"/>
      <c r="F28" s="75"/>
      <c r="G28" s="75"/>
      <c r="H28" s="75">
        <v>3000</v>
      </c>
      <c r="I28" s="75">
        <v>36000</v>
      </c>
      <c r="J28" s="91" t="s">
        <v>85</v>
      </c>
      <c r="K28" s="73"/>
      <c r="L28" s="46">
        <v>12</v>
      </c>
      <c r="M28" s="46">
        <v>0</v>
      </c>
      <c r="N28" s="46">
        <v>36000</v>
      </c>
      <c r="O28" s="98"/>
      <c r="P28" s="23" t="s">
        <v>1382</v>
      </c>
      <c r="Q28" s="24" t="s">
        <v>84</v>
      </c>
      <c r="R28" s="25" t="s">
        <v>81</v>
      </c>
      <c r="S28" s="26">
        <v>12</v>
      </c>
      <c r="T28" s="26"/>
      <c r="U28" s="26">
        <v>3000</v>
      </c>
      <c r="V28" s="127">
        <f t="shared" si="8"/>
        <v>0</v>
      </c>
      <c r="W28" s="127">
        <f t="shared" si="3"/>
        <v>12</v>
      </c>
      <c r="X28" s="127">
        <f t="shared" si="1"/>
        <v>0</v>
      </c>
      <c r="Y28" s="127">
        <f t="shared" si="4"/>
        <v>36000</v>
      </c>
      <c r="Z28" s="33" t="s">
        <v>15</v>
      </c>
      <c r="AA28" s="36" t="s">
        <v>16</v>
      </c>
      <c r="AB28" s="181">
        <f t="shared" si="5"/>
        <v>12</v>
      </c>
      <c r="AC28" s="181">
        <f t="shared" si="2"/>
        <v>36000</v>
      </c>
      <c r="AD28" s="181">
        <v>1.1000000000000001</v>
      </c>
      <c r="AE28" s="181">
        <v>1.1000000000000001</v>
      </c>
      <c r="AF28" s="101" t="str">
        <f t="shared" si="6"/>
        <v/>
      </c>
      <c r="AG28" s="192">
        <v>12</v>
      </c>
      <c r="AH28" s="69">
        <f t="shared" si="7"/>
        <v>12</v>
      </c>
    </row>
    <row r="29" spans="1:34" s="69" customFormat="1" ht="33" x14ac:dyDescent="0.3">
      <c r="A29" s="55" t="s">
        <v>86</v>
      </c>
      <c r="B29" s="53" t="s">
        <v>87</v>
      </c>
      <c r="C29" s="54" t="s">
        <v>81</v>
      </c>
      <c r="D29" s="75">
        <v>20</v>
      </c>
      <c r="E29" s="75"/>
      <c r="F29" s="75"/>
      <c r="G29" s="75"/>
      <c r="H29" s="75">
        <v>3000</v>
      </c>
      <c r="I29" s="75">
        <v>60000</v>
      </c>
      <c r="J29" s="91" t="s">
        <v>88</v>
      </c>
      <c r="K29" s="73"/>
      <c r="L29" s="46">
        <v>20</v>
      </c>
      <c r="M29" s="46">
        <v>0</v>
      </c>
      <c r="N29" s="46">
        <v>60000</v>
      </c>
      <c r="O29" s="98"/>
      <c r="P29" s="23" t="s">
        <v>1434</v>
      </c>
      <c r="Q29" s="24" t="s">
        <v>87</v>
      </c>
      <c r="R29" s="25" t="s">
        <v>81</v>
      </c>
      <c r="S29" s="26">
        <v>20</v>
      </c>
      <c r="T29" s="26"/>
      <c r="U29" s="26">
        <v>3000</v>
      </c>
      <c r="V29" s="127">
        <f t="shared" si="8"/>
        <v>0</v>
      </c>
      <c r="W29" s="127">
        <f t="shared" si="3"/>
        <v>20</v>
      </c>
      <c r="X29" s="127">
        <f t="shared" si="1"/>
        <v>0</v>
      </c>
      <c r="Y29" s="127">
        <f t="shared" si="4"/>
        <v>60000</v>
      </c>
      <c r="Z29" s="33" t="s">
        <v>15</v>
      </c>
      <c r="AA29" s="36" t="s">
        <v>16</v>
      </c>
      <c r="AB29" s="181">
        <f t="shared" si="5"/>
        <v>20</v>
      </c>
      <c r="AC29" s="181">
        <f t="shared" si="2"/>
        <v>60000</v>
      </c>
      <c r="AD29" s="181">
        <v>1.1000000000000001</v>
      </c>
      <c r="AE29" s="181">
        <v>1.1000000000000001</v>
      </c>
      <c r="AF29" s="101" t="str">
        <f t="shared" si="6"/>
        <v/>
      </c>
      <c r="AG29" s="192">
        <v>20</v>
      </c>
      <c r="AH29" s="69">
        <f t="shared" si="7"/>
        <v>20</v>
      </c>
    </row>
    <row r="30" spans="1:34" s="69" customFormat="1" ht="33" x14ac:dyDescent="0.3">
      <c r="A30" s="55" t="s">
        <v>89</v>
      </c>
      <c r="B30" s="53" t="s">
        <v>90</v>
      </c>
      <c r="C30" s="54" t="s">
        <v>81</v>
      </c>
      <c r="D30" s="75">
        <v>19</v>
      </c>
      <c r="E30" s="75"/>
      <c r="F30" s="75"/>
      <c r="G30" s="75"/>
      <c r="H30" s="75">
        <v>3000</v>
      </c>
      <c r="I30" s="75">
        <v>57000</v>
      </c>
      <c r="J30" s="91" t="s">
        <v>91</v>
      </c>
      <c r="K30" s="73"/>
      <c r="L30" s="46">
        <v>1</v>
      </c>
      <c r="M30" s="46">
        <v>0</v>
      </c>
      <c r="N30" s="46">
        <v>3000</v>
      </c>
      <c r="O30" s="98"/>
      <c r="P30" s="23" t="s">
        <v>1388</v>
      </c>
      <c r="Q30" s="24" t="s">
        <v>90</v>
      </c>
      <c r="R30" s="25" t="s">
        <v>81</v>
      </c>
      <c r="S30" s="26">
        <v>19</v>
      </c>
      <c r="T30" s="26"/>
      <c r="U30" s="26">
        <v>3000</v>
      </c>
      <c r="V30" s="26">
        <f t="shared" si="8"/>
        <v>0</v>
      </c>
      <c r="W30" s="26">
        <f t="shared" si="3"/>
        <v>1</v>
      </c>
      <c r="X30" s="26">
        <f t="shared" si="1"/>
        <v>0</v>
      </c>
      <c r="Y30" s="26">
        <f t="shared" si="4"/>
        <v>3000</v>
      </c>
      <c r="Z30" s="33" t="s">
        <v>15</v>
      </c>
      <c r="AA30" s="36" t="s">
        <v>16</v>
      </c>
      <c r="AB30" s="181">
        <f t="shared" si="5"/>
        <v>19</v>
      </c>
      <c r="AC30" s="181">
        <f t="shared" si="2"/>
        <v>57000</v>
      </c>
      <c r="AD30" s="181">
        <v>1.1000000000000001</v>
      </c>
      <c r="AE30" s="181">
        <v>1.1000000000000001</v>
      </c>
      <c r="AF30" s="101" t="str">
        <f t="shared" si="6"/>
        <v/>
      </c>
      <c r="AG30" s="192">
        <v>1</v>
      </c>
      <c r="AH30" s="69">
        <f t="shared" si="7"/>
        <v>19</v>
      </c>
    </row>
    <row r="31" spans="1:34" s="69" customFormat="1" ht="33" x14ac:dyDescent="0.3">
      <c r="A31" s="55" t="s">
        <v>92</v>
      </c>
      <c r="B31" s="53" t="s">
        <v>93</v>
      </c>
      <c r="C31" s="54" t="s">
        <v>14</v>
      </c>
      <c r="D31" s="75">
        <v>1</v>
      </c>
      <c r="E31" s="75"/>
      <c r="F31" s="75"/>
      <c r="G31" s="75"/>
      <c r="H31" s="75">
        <v>400000</v>
      </c>
      <c r="I31" s="75">
        <v>400000</v>
      </c>
      <c r="J31" s="91" t="s">
        <v>94</v>
      </c>
      <c r="K31" s="73"/>
      <c r="L31" s="46">
        <v>0.5</v>
      </c>
      <c r="M31" s="46">
        <v>0</v>
      </c>
      <c r="N31" s="46">
        <v>200000</v>
      </c>
      <c r="O31" s="98"/>
      <c r="P31" s="23" t="s">
        <v>1389</v>
      </c>
      <c r="Q31" s="24" t="s">
        <v>93</v>
      </c>
      <c r="R31" s="25" t="s">
        <v>14</v>
      </c>
      <c r="S31" s="26">
        <v>1</v>
      </c>
      <c r="T31" s="26"/>
      <c r="U31" s="26">
        <v>400000</v>
      </c>
      <c r="V31" s="128">
        <f t="shared" si="8"/>
        <v>0</v>
      </c>
      <c r="W31" s="26">
        <f t="shared" si="3"/>
        <v>0.5</v>
      </c>
      <c r="X31" s="26">
        <f t="shared" si="1"/>
        <v>0</v>
      </c>
      <c r="Y31" s="26">
        <f t="shared" si="4"/>
        <v>200000</v>
      </c>
      <c r="Z31" s="33" t="s">
        <v>15</v>
      </c>
      <c r="AA31" s="36" t="s">
        <v>16</v>
      </c>
      <c r="AB31" s="181">
        <f t="shared" si="5"/>
        <v>1</v>
      </c>
      <c r="AC31" s="181">
        <f t="shared" si="2"/>
        <v>400000</v>
      </c>
      <c r="AD31" s="181">
        <v>1.1000000000000001</v>
      </c>
      <c r="AE31" s="181">
        <v>1.1000000000000001</v>
      </c>
      <c r="AF31" s="101" t="str">
        <f t="shared" si="6"/>
        <v/>
      </c>
      <c r="AG31" s="192">
        <f>0.5</f>
        <v>0.5</v>
      </c>
      <c r="AH31" s="69">
        <f t="shared" si="7"/>
        <v>1</v>
      </c>
    </row>
    <row r="32" spans="1:34" s="69" customFormat="1" ht="39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5">
        <v>280</v>
      </c>
      <c r="I32" s="75">
        <v>8624000</v>
      </c>
      <c r="J32" s="91" t="s">
        <v>98</v>
      </c>
      <c r="K32" s="73"/>
      <c r="L32" s="46">
        <v>10698</v>
      </c>
      <c r="M32" s="46">
        <v>213360</v>
      </c>
      <c r="N32" s="46">
        <v>2995440</v>
      </c>
      <c r="O32" s="98"/>
      <c r="P32" s="23" t="s">
        <v>1390</v>
      </c>
      <c r="Q32" s="24" t="s">
        <v>96</v>
      </c>
      <c r="R32" s="25" t="s">
        <v>97</v>
      </c>
      <c r="S32" s="26">
        <v>30800</v>
      </c>
      <c r="T32" s="26"/>
      <c r="U32" s="26">
        <v>280</v>
      </c>
      <c r="V32" s="128">
        <f t="shared" si="8"/>
        <v>515</v>
      </c>
      <c r="W32" s="26">
        <f t="shared" si="3"/>
        <v>11213</v>
      </c>
      <c r="X32" s="26">
        <f t="shared" si="1"/>
        <v>144200</v>
      </c>
      <c r="Y32" s="26">
        <f t="shared" si="4"/>
        <v>3139640</v>
      </c>
      <c r="Z32" s="33" t="s">
        <v>15</v>
      </c>
      <c r="AA32" s="36" t="s">
        <v>16</v>
      </c>
      <c r="AB32" s="181">
        <f t="shared" si="5"/>
        <v>30800</v>
      </c>
      <c r="AC32" s="181">
        <f t="shared" si="2"/>
        <v>8624000</v>
      </c>
      <c r="AD32" s="181">
        <v>1.1000000000000001</v>
      </c>
      <c r="AE32" s="181">
        <v>1.1000000000000001</v>
      </c>
      <c r="AF32" s="101" t="str">
        <f t="shared" si="6"/>
        <v/>
      </c>
      <c r="AG32" s="193">
        <f>8320+1260+356+762+515</f>
        <v>11213</v>
      </c>
      <c r="AH32" s="69">
        <f t="shared" si="7"/>
        <v>30800</v>
      </c>
    </row>
    <row r="33" spans="1:34" s="69" customFormat="1" ht="39" x14ac:dyDescent="0.3">
      <c r="A33" s="66" t="s">
        <v>1302</v>
      </c>
      <c r="B33" s="57" t="s">
        <v>1303</v>
      </c>
      <c r="C33" s="58" t="s">
        <v>50</v>
      </c>
      <c r="D33" s="59"/>
      <c r="E33" s="59">
        <v>2405</v>
      </c>
      <c r="F33" s="59"/>
      <c r="G33" s="59"/>
      <c r="H33" s="58">
        <v>70.23</v>
      </c>
      <c r="I33" s="59">
        <v>168903.15</v>
      </c>
      <c r="J33" s="92"/>
      <c r="K33" s="73"/>
      <c r="L33" s="46">
        <v>2405</v>
      </c>
      <c r="M33" s="46">
        <v>0</v>
      </c>
      <c r="N33" s="46">
        <v>168903.15</v>
      </c>
      <c r="O33" s="98"/>
      <c r="P33" s="23" t="s">
        <v>1391</v>
      </c>
      <c r="Q33" s="24" t="s">
        <v>1435</v>
      </c>
      <c r="R33" s="25" t="s">
        <v>50</v>
      </c>
      <c r="S33" s="26">
        <v>0</v>
      </c>
      <c r="T33" s="26">
        <v>2405</v>
      </c>
      <c r="U33" s="26">
        <v>70.23</v>
      </c>
      <c r="V33" s="127">
        <f t="shared" si="8"/>
        <v>0</v>
      </c>
      <c r="W33" s="127">
        <f t="shared" si="3"/>
        <v>2405</v>
      </c>
      <c r="X33" s="127">
        <f t="shared" si="1"/>
        <v>0</v>
      </c>
      <c r="Y33" s="127">
        <f t="shared" si="4"/>
        <v>168903.15</v>
      </c>
      <c r="Z33" s="27" t="s">
        <v>15</v>
      </c>
      <c r="AA33" s="36" t="s">
        <v>16</v>
      </c>
      <c r="AB33" s="181">
        <f t="shared" si="5"/>
        <v>2405</v>
      </c>
      <c r="AC33" s="181">
        <f t="shared" si="2"/>
        <v>168903.15</v>
      </c>
      <c r="AD33" s="181">
        <v>1.1000000000000001</v>
      </c>
      <c r="AE33" s="181">
        <v>1.1000000000000001</v>
      </c>
      <c r="AF33" s="101" t="str">
        <f t="shared" si="6"/>
        <v/>
      </c>
      <c r="AG33" s="190">
        <v>2405</v>
      </c>
      <c r="AH33" s="69">
        <f t="shared" si="7"/>
        <v>2405</v>
      </c>
    </row>
    <row r="34" spans="1:34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1">
        <v>20000</v>
      </c>
      <c r="I34" s="62">
        <v>3000000</v>
      </c>
      <c r="J34" s="93"/>
      <c r="L34" s="46">
        <v>113</v>
      </c>
      <c r="M34" s="46">
        <v>140000</v>
      </c>
      <c r="N34" s="46">
        <v>2260000</v>
      </c>
      <c r="O34" s="98"/>
      <c r="P34" s="23" t="s">
        <v>1436</v>
      </c>
      <c r="Q34" s="24" t="s">
        <v>1437</v>
      </c>
      <c r="R34" s="25" t="s">
        <v>1358</v>
      </c>
      <c r="S34" s="26">
        <v>0</v>
      </c>
      <c r="T34" s="26">
        <v>150</v>
      </c>
      <c r="U34" s="26">
        <v>20000</v>
      </c>
      <c r="V34" s="128">
        <f t="shared" si="8"/>
        <v>8</v>
      </c>
      <c r="W34" s="26">
        <f t="shared" si="3"/>
        <v>121</v>
      </c>
      <c r="X34" s="26">
        <f t="shared" si="1"/>
        <v>160000</v>
      </c>
      <c r="Y34" s="26">
        <f t="shared" si="4"/>
        <v>2420000</v>
      </c>
      <c r="Z34" s="27"/>
      <c r="AA34" s="36" t="s">
        <v>16</v>
      </c>
      <c r="AB34" s="181">
        <f t="shared" si="5"/>
        <v>150</v>
      </c>
      <c r="AC34" s="181">
        <f t="shared" si="2"/>
        <v>3000000</v>
      </c>
      <c r="AD34" s="181">
        <v>1.1000000000000001</v>
      </c>
      <c r="AE34" s="181">
        <v>1.1000000000000001</v>
      </c>
      <c r="AF34" s="101" t="str">
        <f t="shared" si="6"/>
        <v/>
      </c>
      <c r="AG34" s="193">
        <f>100+6+7+8</f>
        <v>121</v>
      </c>
      <c r="AH34" s="69">
        <f t="shared" si="7"/>
        <v>150</v>
      </c>
    </row>
    <row r="35" spans="1:34" ht="42" customHeight="1" x14ac:dyDescent="0.3">
      <c r="A35" s="67" t="s">
        <v>1306</v>
      </c>
      <c r="B35" s="60" t="s">
        <v>1307</v>
      </c>
      <c r="C35" s="61" t="s">
        <v>50</v>
      </c>
      <c r="D35" s="62"/>
      <c r="E35" s="63"/>
      <c r="F35" s="62">
        <v>138.05000000000001</v>
      </c>
      <c r="G35" s="62"/>
      <c r="H35" s="61">
        <v>165.22</v>
      </c>
      <c r="I35" s="62">
        <v>22808.62</v>
      </c>
      <c r="J35" s="93"/>
      <c r="L35" s="46">
        <v>138.05000000000001</v>
      </c>
      <c r="M35" s="46">
        <v>0</v>
      </c>
      <c r="N35" s="46">
        <v>22808.62</v>
      </c>
      <c r="O35" s="98"/>
      <c r="P35" s="23" t="s">
        <v>1374</v>
      </c>
      <c r="Q35" s="24" t="s">
        <v>1375</v>
      </c>
      <c r="R35" s="25" t="s">
        <v>50</v>
      </c>
      <c r="S35" s="26">
        <v>0</v>
      </c>
      <c r="T35" s="26">
        <v>138.05000000000001</v>
      </c>
      <c r="U35" s="26">
        <v>165.22</v>
      </c>
      <c r="V35" s="127">
        <f t="shared" si="8"/>
        <v>0</v>
      </c>
      <c r="W35" s="127">
        <f t="shared" si="3"/>
        <v>138.05000000000001</v>
      </c>
      <c r="X35" s="127">
        <f t="shared" si="1"/>
        <v>0</v>
      </c>
      <c r="Y35" s="127">
        <f t="shared" si="4"/>
        <v>22808.62</v>
      </c>
      <c r="Z35" s="27"/>
      <c r="AA35" s="36" t="s">
        <v>16</v>
      </c>
      <c r="AB35" s="181">
        <f t="shared" si="5"/>
        <v>138.05000000000001</v>
      </c>
      <c r="AC35" s="181">
        <f t="shared" si="2"/>
        <v>22808.62</v>
      </c>
      <c r="AD35" s="181">
        <v>1.1000000000000001</v>
      </c>
      <c r="AE35" s="181">
        <v>1.1000000000000001</v>
      </c>
      <c r="AF35" s="101" t="str">
        <f t="shared" si="6"/>
        <v/>
      </c>
      <c r="AG35" s="190">
        <v>138.05000000000001</v>
      </c>
      <c r="AH35" s="69">
        <f t="shared" si="7"/>
        <v>138.05000000000001</v>
      </c>
    </row>
    <row r="36" spans="1:34" ht="39" x14ac:dyDescent="0.3">
      <c r="A36" s="67" t="s">
        <v>1308</v>
      </c>
      <c r="B36" s="60" t="s">
        <v>1309</v>
      </c>
      <c r="C36" s="61" t="s">
        <v>34</v>
      </c>
      <c r="D36" s="62"/>
      <c r="E36" s="63"/>
      <c r="F36" s="62">
        <v>2000</v>
      </c>
      <c r="G36" s="62"/>
      <c r="H36" s="61">
        <v>100</v>
      </c>
      <c r="I36" s="62">
        <v>200000</v>
      </c>
      <c r="J36" s="93"/>
      <c r="L36" s="46">
        <v>2000</v>
      </c>
      <c r="M36" s="46">
        <v>0</v>
      </c>
      <c r="N36" s="46">
        <v>200000</v>
      </c>
      <c r="O36" s="98"/>
      <c r="P36" s="23" t="s">
        <v>1376</v>
      </c>
      <c r="Q36" s="24" t="s">
        <v>1377</v>
      </c>
      <c r="R36" s="25" t="s">
        <v>34</v>
      </c>
      <c r="S36" s="26">
        <v>0</v>
      </c>
      <c r="T36" s="26">
        <v>2000</v>
      </c>
      <c r="U36" s="26">
        <v>100</v>
      </c>
      <c r="V36" s="127">
        <f t="shared" si="8"/>
        <v>0</v>
      </c>
      <c r="W36" s="127">
        <f t="shared" si="3"/>
        <v>2000</v>
      </c>
      <c r="X36" s="127">
        <f t="shared" si="1"/>
        <v>0</v>
      </c>
      <c r="Y36" s="127">
        <f t="shared" si="4"/>
        <v>200000</v>
      </c>
      <c r="Z36" s="27"/>
      <c r="AA36" s="36" t="s">
        <v>16</v>
      </c>
      <c r="AB36" s="181">
        <f t="shared" si="5"/>
        <v>2000</v>
      </c>
      <c r="AC36" s="181">
        <f t="shared" si="2"/>
        <v>200000</v>
      </c>
      <c r="AD36" s="181">
        <v>1.1000000000000001</v>
      </c>
      <c r="AE36" s="181">
        <v>1.1000000000000001</v>
      </c>
      <c r="AF36" s="101" t="str">
        <f t="shared" si="6"/>
        <v/>
      </c>
      <c r="AG36" s="190">
        <v>2000</v>
      </c>
      <c r="AH36" s="69">
        <f t="shared" si="7"/>
        <v>2000</v>
      </c>
    </row>
    <row r="37" spans="1:34" ht="33" x14ac:dyDescent="0.3">
      <c r="A37" s="67" t="s">
        <v>1310</v>
      </c>
      <c r="B37" s="60" t="s">
        <v>1311</v>
      </c>
      <c r="C37" s="61" t="s">
        <v>50</v>
      </c>
      <c r="D37" s="62"/>
      <c r="E37" s="63"/>
      <c r="F37" s="62">
        <v>3324.02</v>
      </c>
      <c r="G37" s="62"/>
      <c r="H37" s="61">
        <v>33.35</v>
      </c>
      <c r="I37" s="62">
        <v>110856.07</v>
      </c>
      <c r="J37" s="93"/>
      <c r="L37" s="46">
        <v>3324.02</v>
      </c>
      <c r="M37" s="46">
        <v>0</v>
      </c>
      <c r="N37" s="46">
        <v>110856.07</v>
      </c>
      <c r="O37" s="98"/>
      <c r="P37" s="23" t="s">
        <v>1378</v>
      </c>
      <c r="Q37" s="24" t="s">
        <v>1379</v>
      </c>
      <c r="R37" s="25" t="s">
        <v>50</v>
      </c>
      <c r="S37" s="26">
        <v>0</v>
      </c>
      <c r="T37" s="26">
        <v>3324.02</v>
      </c>
      <c r="U37" s="26">
        <v>33.35</v>
      </c>
      <c r="V37" s="127">
        <f t="shared" si="8"/>
        <v>0</v>
      </c>
      <c r="W37" s="127">
        <f t="shared" si="3"/>
        <v>3324.02</v>
      </c>
      <c r="X37" s="127">
        <f t="shared" si="1"/>
        <v>0</v>
      </c>
      <c r="Y37" s="127">
        <f t="shared" si="4"/>
        <v>110856.07</v>
      </c>
      <c r="Z37" s="27"/>
      <c r="AA37" s="36" t="s">
        <v>16</v>
      </c>
      <c r="AB37" s="181">
        <f t="shared" si="5"/>
        <v>3324.02</v>
      </c>
      <c r="AC37" s="181">
        <f t="shared" si="2"/>
        <v>110856.07</v>
      </c>
      <c r="AD37" s="181">
        <v>1.1000000000000001</v>
      </c>
      <c r="AE37" s="181">
        <v>1.1000000000000001</v>
      </c>
      <c r="AF37" s="101" t="str">
        <f t="shared" si="6"/>
        <v/>
      </c>
      <c r="AG37" s="190">
        <v>3324.02</v>
      </c>
      <c r="AH37" s="69">
        <f t="shared" si="7"/>
        <v>3324.02</v>
      </c>
    </row>
    <row r="38" spans="1:34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2"/>
      <c r="I38" s="82">
        <v>42752872.340000004</v>
      </c>
      <c r="J38" s="94" t="s">
        <v>15</v>
      </c>
      <c r="K38" s="73"/>
      <c r="L38" s="45">
        <v>1</v>
      </c>
      <c r="M38" s="45">
        <v>0</v>
      </c>
      <c r="N38" s="45">
        <v>177728.93000000002</v>
      </c>
      <c r="O38" s="98"/>
      <c r="P38" s="18" t="s">
        <v>1380</v>
      </c>
      <c r="Q38" s="19" t="s">
        <v>100</v>
      </c>
      <c r="R38" s="20" t="s">
        <v>14</v>
      </c>
      <c r="S38" s="21">
        <v>1</v>
      </c>
      <c r="T38" s="21"/>
      <c r="U38" s="21">
        <f>SUMIFS(AC:AC,AD:AD,AD38)</f>
        <v>42752872.340000033</v>
      </c>
      <c r="V38" s="21">
        <f t="shared" ref="V38:W38" si="9">IF(X38=0,0,1)</f>
        <v>1</v>
      </c>
      <c r="W38" s="21">
        <f t="shared" si="9"/>
        <v>1</v>
      </c>
      <c r="X38" s="21">
        <f>SUMIFS(X:X,AE:AE,AD38)</f>
        <v>1183513.4500000002</v>
      </c>
      <c r="Y38" s="21">
        <f>SUMIFS(Y:Y,AE:AE,AD38)</f>
        <v>1361242.3800000001</v>
      </c>
      <c r="Z38" s="22" t="s">
        <v>15</v>
      </c>
      <c r="AA38" s="43" t="s">
        <v>16</v>
      </c>
      <c r="AB38" s="181">
        <f t="shared" si="5"/>
        <v>1</v>
      </c>
      <c r="AC38" s="184"/>
      <c r="AD38" s="181">
        <v>1.2</v>
      </c>
      <c r="AE38" s="181"/>
      <c r="AF38" s="101" t="str">
        <f t="shared" si="6"/>
        <v/>
      </c>
      <c r="AG38" s="190">
        <v>1</v>
      </c>
      <c r="AH38" s="69">
        <f t="shared" si="7"/>
        <v>1</v>
      </c>
    </row>
    <row r="39" spans="1:34" s="69" customFormat="1" ht="39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>
        <v>320.74</v>
      </c>
      <c r="I39" s="75">
        <v>753030.16</v>
      </c>
      <c r="J39" s="91" t="s">
        <v>104</v>
      </c>
      <c r="K39" s="73"/>
      <c r="L39" s="46">
        <v>0</v>
      </c>
      <c r="M39" s="46">
        <v>0</v>
      </c>
      <c r="N39" s="46">
        <v>0</v>
      </c>
      <c r="O39" s="98"/>
      <c r="P39" s="23" t="s">
        <v>1421</v>
      </c>
      <c r="Q39" s="24" t="s">
        <v>102</v>
      </c>
      <c r="R39" s="25" t="s">
        <v>103</v>
      </c>
      <c r="S39" s="26">
        <v>2347.79</v>
      </c>
      <c r="T39" s="26"/>
      <c r="U39" s="26">
        <f t="shared" ref="U39:U102" si="10">H39</f>
        <v>320.74</v>
      </c>
      <c r="V39" s="26">
        <f t="shared" si="8"/>
        <v>0</v>
      </c>
      <c r="W39" s="26">
        <f t="shared" si="3"/>
        <v>0</v>
      </c>
      <c r="X39" s="26">
        <f t="shared" ref="X39:X102" si="11">Y39-N39</f>
        <v>0</v>
      </c>
      <c r="Y39" s="26">
        <f t="shared" si="4"/>
        <v>0</v>
      </c>
      <c r="Z39" s="33" t="s">
        <v>15</v>
      </c>
      <c r="AA39" s="36" t="s">
        <v>16</v>
      </c>
      <c r="AB39" s="181">
        <f t="shared" si="5"/>
        <v>2347.79</v>
      </c>
      <c r="AC39" s="181">
        <f>ROUND(U39*AB39,2)</f>
        <v>753030.16</v>
      </c>
      <c r="AD39" s="181">
        <v>1.2</v>
      </c>
      <c r="AE39" s="181">
        <v>1.2</v>
      </c>
      <c r="AF39" s="101" t="str">
        <f t="shared" si="6"/>
        <v/>
      </c>
      <c r="AG39" s="190">
        <v>0</v>
      </c>
      <c r="AH39" s="69">
        <f t="shared" si="7"/>
        <v>2347.79</v>
      </c>
    </row>
    <row r="40" spans="1:34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>
        <v>346.08</v>
      </c>
      <c r="I40" s="75">
        <v>261553.42</v>
      </c>
      <c r="J40" s="91" t="s">
        <v>107</v>
      </c>
      <c r="K40" s="73"/>
      <c r="L40" s="46">
        <v>0</v>
      </c>
      <c r="M40" s="46">
        <v>0</v>
      </c>
      <c r="N40" s="46">
        <v>0</v>
      </c>
      <c r="O40" s="98"/>
      <c r="P40" s="23" t="s">
        <v>1426</v>
      </c>
      <c r="Q40" s="24" t="s">
        <v>106</v>
      </c>
      <c r="R40" s="25" t="s">
        <v>103</v>
      </c>
      <c r="S40" s="26">
        <v>755.76</v>
      </c>
      <c r="T40" s="26"/>
      <c r="U40" s="26">
        <f t="shared" si="10"/>
        <v>346.08</v>
      </c>
      <c r="V40" s="26">
        <f t="shared" si="8"/>
        <v>0</v>
      </c>
      <c r="W40" s="26">
        <f t="shared" si="3"/>
        <v>0</v>
      </c>
      <c r="X40" s="26">
        <f t="shared" si="11"/>
        <v>0</v>
      </c>
      <c r="Y40" s="26">
        <f t="shared" si="4"/>
        <v>0</v>
      </c>
      <c r="Z40" s="33" t="s">
        <v>15</v>
      </c>
      <c r="AA40" s="36" t="s">
        <v>16</v>
      </c>
      <c r="AB40" s="181">
        <f t="shared" si="5"/>
        <v>755.76</v>
      </c>
      <c r="AC40" s="181">
        <f t="shared" ref="AC40:AC103" si="12">ROUND(U40*AB40,2)</f>
        <v>261553.42</v>
      </c>
      <c r="AD40" s="181">
        <v>1.2</v>
      </c>
      <c r="AE40" s="181">
        <v>1.2</v>
      </c>
      <c r="AF40" s="101" t="str">
        <f t="shared" si="6"/>
        <v/>
      </c>
      <c r="AG40" s="190">
        <v>0</v>
      </c>
      <c r="AH40" s="69">
        <f t="shared" si="7"/>
        <v>755.76</v>
      </c>
    </row>
    <row r="41" spans="1:34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>
        <v>36.4</v>
      </c>
      <c r="I41" s="75">
        <v>1355298.67</v>
      </c>
      <c r="J41" s="91" t="s">
        <v>111</v>
      </c>
      <c r="K41" s="73"/>
      <c r="L41" s="46">
        <v>0</v>
      </c>
      <c r="M41" s="46">
        <v>0</v>
      </c>
      <c r="N41" s="46">
        <v>0</v>
      </c>
      <c r="O41" s="98"/>
      <c r="P41" s="23" t="s">
        <v>1402</v>
      </c>
      <c r="Q41" s="24" t="s">
        <v>109</v>
      </c>
      <c r="R41" s="25" t="s">
        <v>110</v>
      </c>
      <c r="S41" s="26">
        <v>37233.480000000003</v>
      </c>
      <c r="T41" s="26"/>
      <c r="U41" s="26">
        <f t="shared" si="10"/>
        <v>36.4</v>
      </c>
      <c r="V41" s="26">
        <f t="shared" si="8"/>
        <v>0</v>
      </c>
      <c r="W41" s="26">
        <f t="shared" si="3"/>
        <v>0</v>
      </c>
      <c r="X41" s="26">
        <f t="shared" si="11"/>
        <v>0</v>
      </c>
      <c r="Y41" s="26">
        <f t="shared" si="4"/>
        <v>0</v>
      </c>
      <c r="Z41" s="33" t="s">
        <v>15</v>
      </c>
      <c r="AA41" s="36" t="s">
        <v>16</v>
      </c>
      <c r="AB41" s="181">
        <f t="shared" si="5"/>
        <v>37233.480000000003</v>
      </c>
      <c r="AC41" s="181">
        <f t="shared" si="12"/>
        <v>1355298.67</v>
      </c>
      <c r="AD41" s="181">
        <v>1.2</v>
      </c>
      <c r="AE41" s="181">
        <v>1.2</v>
      </c>
      <c r="AF41" s="101" t="str">
        <f t="shared" si="6"/>
        <v/>
      </c>
      <c r="AG41" s="190">
        <v>0</v>
      </c>
      <c r="AH41" s="69">
        <f t="shared" si="7"/>
        <v>37233.480000000003</v>
      </c>
    </row>
    <row r="42" spans="1:34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>
        <v>3115.13</v>
      </c>
      <c r="I42" s="75">
        <v>918901.05</v>
      </c>
      <c r="J42" s="91" t="s">
        <v>114</v>
      </c>
      <c r="K42" s="73"/>
      <c r="L42" s="46">
        <v>0</v>
      </c>
      <c r="M42" s="46">
        <v>0</v>
      </c>
      <c r="N42" s="46">
        <v>0</v>
      </c>
      <c r="O42" s="98"/>
      <c r="P42" s="23" t="s">
        <v>1373</v>
      </c>
      <c r="Q42" s="24" t="s">
        <v>392</v>
      </c>
      <c r="R42" s="25" t="s">
        <v>23</v>
      </c>
      <c r="S42" s="26">
        <v>294.98</v>
      </c>
      <c r="T42" s="26"/>
      <c r="U42" s="26">
        <f t="shared" si="10"/>
        <v>3115.13</v>
      </c>
      <c r="V42" s="26">
        <f t="shared" si="8"/>
        <v>0</v>
      </c>
      <c r="W42" s="26">
        <f t="shared" si="3"/>
        <v>0</v>
      </c>
      <c r="X42" s="26">
        <f t="shared" si="11"/>
        <v>0</v>
      </c>
      <c r="Y42" s="26">
        <f t="shared" si="4"/>
        <v>0</v>
      </c>
      <c r="Z42" s="33" t="s">
        <v>15</v>
      </c>
      <c r="AA42" s="36" t="s">
        <v>16</v>
      </c>
      <c r="AB42" s="181">
        <f t="shared" si="5"/>
        <v>294.98</v>
      </c>
      <c r="AC42" s="181">
        <f t="shared" si="12"/>
        <v>918901.05</v>
      </c>
      <c r="AD42" s="181">
        <v>1.2</v>
      </c>
      <c r="AE42" s="181">
        <v>1.2</v>
      </c>
      <c r="AF42" s="101" t="str">
        <f t="shared" si="6"/>
        <v/>
      </c>
      <c r="AG42" s="190">
        <v>0</v>
      </c>
      <c r="AH42" s="69">
        <f t="shared" si="7"/>
        <v>294.98</v>
      </c>
    </row>
    <row r="43" spans="1:34" s="69" customFormat="1" ht="39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>
        <v>3321.13</v>
      </c>
      <c r="I43" s="75">
        <v>2811934.35</v>
      </c>
      <c r="J43" s="91" t="s">
        <v>117</v>
      </c>
      <c r="K43" s="73"/>
      <c r="L43" s="46">
        <v>0</v>
      </c>
      <c r="M43" s="46">
        <v>0</v>
      </c>
      <c r="N43" s="46">
        <v>0</v>
      </c>
      <c r="O43" s="98"/>
      <c r="P43" s="23" t="s">
        <v>1393</v>
      </c>
      <c r="Q43" s="24" t="s">
        <v>116</v>
      </c>
      <c r="R43" s="25" t="s">
        <v>23</v>
      </c>
      <c r="S43" s="26">
        <v>846.68</v>
      </c>
      <c r="T43" s="26"/>
      <c r="U43" s="26">
        <f t="shared" si="10"/>
        <v>3321.13</v>
      </c>
      <c r="V43" s="26">
        <f t="shared" si="8"/>
        <v>0</v>
      </c>
      <c r="W43" s="26">
        <f t="shared" si="3"/>
        <v>0</v>
      </c>
      <c r="X43" s="26">
        <f t="shared" si="11"/>
        <v>0</v>
      </c>
      <c r="Y43" s="26">
        <f t="shared" si="4"/>
        <v>0</v>
      </c>
      <c r="Z43" s="33" t="s">
        <v>15</v>
      </c>
      <c r="AA43" s="36" t="s">
        <v>16</v>
      </c>
      <c r="AB43" s="181">
        <f t="shared" si="5"/>
        <v>846.68</v>
      </c>
      <c r="AC43" s="181">
        <f t="shared" si="12"/>
        <v>2811934.35</v>
      </c>
      <c r="AD43" s="181">
        <v>1.2</v>
      </c>
      <c r="AE43" s="181">
        <v>1.2</v>
      </c>
      <c r="AF43" s="101" t="str">
        <f t="shared" si="6"/>
        <v/>
      </c>
      <c r="AG43" s="190">
        <v>0</v>
      </c>
      <c r="AH43" s="69">
        <f t="shared" si="7"/>
        <v>846.68</v>
      </c>
    </row>
    <row r="44" spans="1:34" s="69" customFormat="1" ht="41.25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>
        <v>533.64</v>
      </c>
      <c r="I44" s="75">
        <v>1273974.78</v>
      </c>
      <c r="J44" s="91" t="s">
        <v>120</v>
      </c>
      <c r="K44" s="73"/>
      <c r="L44" s="46">
        <v>0</v>
      </c>
      <c r="M44" s="46">
        <v>0</v>
      </c>
      <c r="N44" s="46">
        <v>0</v>
      </c>
      <c r="O44" s="98"/>
      <c r="P44" s="23" t="s">
        <v>1403</v>
      </c>
      <c r="Q44" s="24" t="s">
        <v>119</v>
      </c>
      <c r="R44" s="25" t="s">
        <v>50</v>
      </c>
      <c r="S44" s="26">
        <v>2387.33</v>
      </c>
      <c r="T44" s="26"/>
      <c r="U44" s="26">
        <f t="shared" si="10"/>
        <v>533.64</v>
      </c>
      <c r="V44" s="26">
        <f t="shared" si="8"/>
        <v>0</v>
      </c>
      <c r="W44" s="26">
        <f t="shared" si="3"/>
        <v>0</v>
      </c>
      <c r="X44" s="26">
        <f t="shared" si="11"/>
        <v>0</v>
      </c>
      <c r="Y44" s="26">
        <f t="shared" si="4"/>
        <v>0</v>
      </c>
      <c r="Z44" s="33" t="s">
        <v>15</v>
      </c>
      <c r="AA44" s="36" t="s">
        <v>16</v>
      </c>
      <c r="AB44" s="181">
        <f t="shared" si="5"/>
        <v>2387.33</v>
      </c>
      <c r="AC44" s="181">
        <f t="shared" si="12"/>
        <v>1273974.78</v>
      </c>
      <c r="AD44" s="181">
        <v>1.2</v>
      </c>
      <c r="AE44" s="181">
        <v>1.2</v>
      </c>
      <c r="AF44" s="101" t="str">
        <f t="shared" si="6"/>
        <v/>
      </c>
      <c r="AG44" s="190">
        <v>0</v>
      </c>
      <c r="AH44" s="69">
        <f t="shared" si="7"/>
        <v>2387.33</v>
      </c>
    </row>
    <row r="45" spans="1:34" s="69" customFormat="1" ht="33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>
        <v>1299.8900000000001</v>
      </c>
      <c r="I45" s="75">
        <v>1770710.16</v>
      </c>
      <c r="J45" s="91" t="s">
        <v>123</v>
      </c>
      <c r="K45" s="73"/>
      <c r="L45" s="46">
        <v>0</v>
      </c>
      <c r="M45" s="46">
        <v>0</v>
      </c>
      <c r="N45" s="46">
        <v>0</v>
      </c>
      <c r="O45" s="98"/>
      <c r="P45" s="23" t="s">
        <v>1427</v>
      </c>
      <c r="Q45" s="24" t="s">
        <v>122</v>
      </c>
      <c r="R45" s="25" t="s">
        <v>50</v>
      </c>
      <c r="S45" s="26">
        <v>1362.2</v>
      </c>
      <c r="T45" s="26"/>
      <c r="U45" s="26">
        <f t="shared" si="10"/>
        <v>1299.8900000000001</v>
      </c>
      <c r="V45" s="26">
        <f t="shared" si="8"/>
        <v>0</v>
      </c>
      <c r="W45" s="26">
        <f t="shared" si="3"/>
        <v>0</v>
      </c>
      <c r="X45" s="26">
        <f t="shared" si="11"/>
        <v>0</v>
      </c>
      <c r="Y45" s="26">
        <f t="shared" si="4"/>
        <v>0</v>
      </c>
      <c r="Z45" s="33" t="s">
        <v>15</v>
      </c>
      <c r="AA45" s="36" t="s">
        <v>16</v>
      </c>
      <c r="AB45" s="181">
        <f t="shared" si="5"/>
        <v>1362.2</v>
      </c>
      <c r="AC45" s="181">
        <f t="shared" si="12"/>
        <v>1770710.16</v>
      </c>
      <c r="AD45" s="181">
        <v>1.2</v>
      </c>
      <c r="AE45" s="181">
        <v>1.2</v>
      </c>
      <c r="AF45" s="101" t="str">
        <f t="shared" si="6"/>
        <v/>
      </c>
      <c r="AG45" s="190">
        <v>0</v>
      </c>
      <c r="AH45" s="69">
        <f t="shared" si="7"/>
        <v>1362.2</v>
      </c>
    </row>
    <row r="46" spans="1:34" s="69" customFormat="1" ht="33" x14ac:dyDescent="0.3">
      <c r="A46" s="55" t="s">
        <v>124</v>
      </c>
      <c r="B46" s="53" t="s">
        <v>125</v>
      </c>
      <c r="C46" s="54" t="s">
        <v>110</v>
      </c>
      <c r="D46" s="75">
        <v>4781.5600000000004</v>
      </c>
      <c r="E46" s="75"/>
      <c r="F46" s="75"/>
      <c r="G46" s="75"/>
      <c r="H46" s="75">
        <v>60</v>
      </c>
      <c r="I46" s="75">
        <v>286893.59999999998</v>
      </c>
      <c r="J46" s="91" t="s">
        <v>126</v>
      </c>
      <c r="K46" s="73"/>
      <c r="L46" s="46">
        <v>0</v>
      </c>
      <c r="M46" s="46">
        <v>0</v>
      </c>
      <c r="N46" s="46">
        <v>0</v>
      </c>
      <c r="O46" s="98"/>
      <c r="P46" s="23" t="s">
        <v>1428</v>
      </c>
      <c r="Q46" s="24" t="s">
        <v>125</v>
      </c>
      <c r="R46" s="25" t="s">
        <v>110</v>
      </c>
      <c r="S46" s="26">
        <v>4781.5600000000004</v>
      </c>
      <c r="T46" s="26"/>
      <c r="U46" s="26">
        <f t="shared" si="10"/>
        <v>60</v>
      </c>
      <c r="V46" s="26">
        <f t="shared" si="8"/>
        <v>0</v>
      </c>
      <c r="W46" s="26">
        <f t="shared" si="3"/>
        <v>0</v>
      </c>
      <c r="X46" s="26">
        <f t="shared" si="11"/>
        <v>0</v>
      </c>
      <c r="Y46" s="26">
        <f t="shared" si="4"/>
        <v>0</v>
      </c>
      <c r="Z46" s="33" t="s">
        <v>15</v>
      </c>
      <c r="AA46" s="36" t="s">
        <v>16</v>
      </c>
      <c r="AB46" s="181">
        <f t="shared" si="5"/>
        <v>4781.5600000000004</v>
      </c>
      <c r="AC46" s="181">
        <f t="shared" si="12"/>
        <v>286893.59999999998</v>
      </c>
      <c r="AD46" s="181">
        <v>1.2</v>
      </c>
      <c r="AE46" s="181">
        <v>1.2</v>
      </c>
      <c r="AF46" s="101" t="str">
        <f t="shared" si="6"/>
        <v/>
      </c>
      <c r="AG46" s="190">
        <v>0</v>
      </c>
      <c r="AH46" s="69">
        <f t="shared" si="7"/>
        <v>4781.5600000000004</v>
      </c>
    </row>
    <row r="47" spans="1:34" s="69" customFormat="1" ht="39" x14ac:dyDescent="0.3">
      <c r="A47" s="55" t="s">
        <v>127</v>
      </c>
      <c r="B47" s="53" t="s">
        <v>128</v>
      </c>
      <c r="C47" s="54" t="s">
        <v>110</v>
      </c>
      <c r="D47" s="75">
        <v>4781.5600000000004</v>
      </c>
      <c r="E47" s="75"/>
      <c r="F47" s="75"/>
      <c r="G47" s="75"/>
      <c r="H47" s="75">
        <v>31.9</v>
      </c>
      <c r="I47" s="75">
        <v>152531.76</v>
      </c>
      <c r="J47" s="91" t="s">
        <v>129</v>
      </c>
      <c r="K47" s="73"/>
      <c r="L47" s="46">
        <v>0</v>
      </c>
      <c r="M47" s="46">
        <v>0</v>
      </c>
      <c r="N47" s="46">
        <v>0</v>
      </c>
      <c r="O47" s="98"/>
      <c r="P47" s="23" t="s">
        <v>1387</v>
      </c>
      <c r="Q47" s="24" t="s">
        <v>128</v>
      </c>
      <c r="R47" s="25" t="s">
        <v>110</v>
      </c>
      <c r="S47" s="26">
        <v>4781.5600000000004</v>
      </c>
      <c r="T47" s="26"/>
      <c r="U47" s="26">
        <f t="shared" si="10"/>
        <v>31.9</v>
      </c>
      <c r="V47" s="26">
        <f t="shared" si="8"/>
        <v>0</v>
      </c>
      <c r="W47" s="26">
        <f t="shared" si="3"/>
        <v>0</v>
      </c>
      <c r="X47" s="26">
        <f t="shared" si="11"/>
        <v>0</v>
      </c>
      <c r="Y47" s="26">
        <f t="shared" si="4"/>
        <v>0</v>
      </c>
      <c r="Z47" s="33" t="s">
        <v>15</v>
      </c>
      <c r="AA47" s="36" t="s">
        <v>16</v>
      </c>
      <c r="AB47" s="181">
        <f t="shared" si="5"/>
        <v>4781.5600000000004</v>
      </c>
      <c r="AC47" s="181">
        <f t="shared" si="12"/>
        <v>152531.76</v>
      </c>
      <c r="AD47" s="181">
        <v>1.2</v>
      </c>
      <c r="AE47" s="181">
        <v>1.2</v>
      </c>
      <c r="AF47" s="101" t="str">
        <f t="shared" si="6"/>
        <v/>
      </c>
      <c r="AG47" s="190">
        <v>0</v>
      </c>
      <c r="AH47" s="69">
        <f t="shared" si="7"/>
        <v>4781.5600000000004</v>
      </c>
    </row>
    <row r="48" spans="1:34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>
        <v>107.31</v>
      </c>
      <c r="I48" s="75">
        <v>246905.29</v>
      </c>
      <c r="J48" s="91" t="s">
        <v>132</v>
      </c>
      <c r="K48" s="73"/>
      <c r="L48" s="46">
        <v>0</v>
      </c>
      <c r="M48" s="46">
        <v>0</v>
      </c>
      <c r="N48" s="46">
        <v>0</v>
      </c>
      <c r="O48" s="98"/>
      <c r="P48" s="23" t="s">
        <v>1405</v>
      </c>
      <c r="Q48" s="24" t="s">
        <v>131</v>
      </c>
      <c r="R48" s="25" t="s">
        <v>110</v>
      </c>
      <c r="S48" s="26">
        <v>2300.86</v>
      </c>
      <c r="T48" s="26"/>
      <c r="U48" s="26">
        <f t="shared" si="10"/>
        <v>107.31</v>
      </c>
      <c r="V48" s="26">
        <f t="shared" si="8"/>
        <v>0</v>
      </c>
      <c r="W48" s="26">
        <f t="shared" si="3"/>
        <v>0</v>
      </c>
      <c r="X48" s="26">
        <f t="shared" si="11"/>
        <v>0</v>
      </c>
      <c r="Y48" s="26">
        <f t="shared" si="4"/>
        <v>0</v>
      </c>
      <c r="Z48" s="33" t="s">
        <v>15</v>
      </c>
      <c r="AA48" s="36" t="s">
        <v>16</v>
      </c>
      <c r="AB48" s="181">
        <f t="shared" si="5"/>
        <v>2300.86</v>
      </c>
      <c r="AC48" s="181">
        <f t="shared" si="12"/>
        <v>246905.29</v>
      </c>
      <c r="AD48" s="181">
        <v>1.2</v>
      </c>
      <c r="AE48" s="181">
        <v>1.2</v>
      </c>
      <c r="AF48" s="101" t="str">
        <f t="shared" si="6"/>
        <v/>
      </c>
      <c r="AG48" s="190">
        <v>0</v>
      </c>
      <c r="AH48" s="69">
        <f t="shared" si="7"/>
        <v>2300.86</v>
      </c>
    </row>
    <row r="49" spans="1:34" s="69" customFormat="1" ht="33" x14ac:dyDescent="0.3">
      <c r="A49" s="55" t="s">
        <v>133</v>
      </c>
      <c r="B49" s="53" t="s">
        <v>134</v>
      </c>
      <c r="C49" s="54" t="s">
        <v>50</v>
      </c>
      <c r="D49" s="75">
        <v>5207.01</v>
      </c>
      <c r="E49" s="75"/>
      <c r="F49" s="75"/>
      <c r="G49" s="75"/>
      <c r="H49" s="75">
        <v>2964</v>
      </c>
      <c r="I49" s="75">
        <v>15433577.640000001</v>
      </c>
      <c r="J49" s="137" t="s">
        <v>135</v>
      </c>
      <c r="K49" s="73"/>
      <c r="L49" s="46">
        <v>0</v>
      </c>
      <c r="M49" s="46">
        <v>0</v>
      </c>
      <c r="N49" s="46">
        <v>0</v>
      </c>
      <c r="O49" s="98"/>
      <c r="P49" s="23" t="s">
        <v>1406</v>
      </c>
      <c r="Q49" s="24" t="s">
        <v>134</v>
      </c>
      <c r="R49" s="25" t="s">
        <v>50</v>
      </c>
      <c r="S49" s="26">
        <v>5207.01</v>
      </c>
      <c r="T49" s="26"/>
      <c r="U49" s="26">
        <f t="shared" si="10"/>
        <v>2964</v>
      </c>
      <c r="V49" s="26">
        <f t="shared" si="8"/>
        <v>0</v>
      </c>
      <c r="W49" s="26">
        <f t="shared" si="3"/>
        <v>0</v>
      </c>
      <c r="X49" s="26">
        <f t="shared" si="11"/>
        <v>0</v>
      </c>
      <c r="Y49" s="26">
        <f t="shared" si="4"/>
        <v>0</v>
      </c>
      <c r="Z49" s="33" t="s">
        <v>15</v>
      </c>
      <c r="AA49" s="36" t="s">
        <v>16</v>
      </c>
      <c r="AB49" s="181">
        <f t="shared" si="5"/>
        <v>5207.01</v>
      </c>
      <c r="AC49" s="181">
        <f t="shared" si="12"/>
        <v>15433577.640000001</v>
      </c>
      <c r="AD49" s="181">
        <v>1.2</v>
      </c>
      <c r="AE49" s="181">
        <v>1.2</v>
      </c>
      <c r="AF49" s="101" t="str">
        <f t="shared" si="6"/>
        <v/>
      </c>
      <c r="AG49" s="190">
        <v>0</v>
      </c>
      <c r="AH49" s="69">
        <f t="shared" si="7"/>
        <v>5207.01</v>
      </c>
    </row>
    <row r="50" spans="1:34" s="69" customFormat="1" ht="39" x14ac:dyDescent="0.3">
      <c r="A50" s="55" t="s">
        <v>136</v>
      </c>
      <c r="B50" s="53" t="s">
        <v>137</v>
      </c>
      <c r="C50" s="54" t="s">
        <v>50</v>
      </c>
      <c r="D50" s="75">
        <v>693.8</v>
      </c>
      <c r="E50" s="75"/>
      <c r="F50" s="75"/>
      <c r="G50" s="75"/>
      <c r="H50" s="75">
        <v>3961.57</v>
      </c>
      <c r="I50" s="75">
        <v>2748537.27</v>
      </c>
      <c r="J50" s="137" t="s">
        <v>138</v>
      </c>
      <c r="K50" s="73"/>
      <c r="L50" s="46">
        <v>0</v>
      </c>
      <c r="M50" s="46">
        <v>0</v>
      </c>
      <c r="N50" s="46">
        <v>0</v>
      </c>
      <c r="O50" s="98"/>
      <c r="P50" s="23" t="s">
        <v>1414</v>
      </c>
      <c r="Q50" s="24" t="s">
        <v>137</v>
      </c>
      <c r="R50" s="25" t="s">
        <v>50</v>
      </c>
      <c r="S50" s="26">
        <v>693.8</v>
      </c>
      <c r="T50" s="26"/>
      <c r="U50" s="26">
        <f t="shared" si="10"/>
        <v>3961.57</v>
      </c>
      <c r="V50" s="26">
        <f t="shared" si="8"/>
        <v>0</v>
      </c>
      <c r="W50" s="26">
        <f t="shared" si="3"/>
        <v>0</v>
      </c>
      <c r="X50" s="26">
        <f t="shared" si="11"/>
        <v>0</v>
      </c>
      <c r="Y50" s="26">
        <f t="shared" si="4"/>
        <v>0</v>
      </c>
      <c r="Z50" s="33" t="s">
        <v>15</v>
      </c>
      <c r="AA50" s="36" t="s">
        <v>16</v>
      </c>
      <c r="AB50" s="181">
        <f t="shared" si="5"/>
        <v>693.8</v>
      </c>
      <c r="AC50" s="181">
        <f t="shared" si="12"/>
        <v>2748537.27</v>
      </c>
      <c r="AD50" s="181">
        <v>1.2</v>
      </c>
      <c r="AE50" s="181">
        <v>1.2</v>
      </c>
      <c r="AF50" s="101" t="str">
        <f t="shared" si="6"/>
        <v/>
      </c>
      <c r="AG50" s="190">
        <v>0</v>
      </c>
      <c r="AH50" s="69">
        <f t="shared" si="7"/>
        <v>693.8</v>
      </c>
    </row>
    <row r="51" spans="1:34" s="69" customFormat="1" ht="33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>
        <v>3965.81</v>
      </c>
      <c r="I51" s="75">
        <v>1488090.89</v>
      </c>
      <c r="J51" s="137" t="s">
        <v>141</v>
      </c>
      <c r="K51" s="73"/>
      <c r="L51" s="46">
        <v>0</v>
      </c>
      <c r="M51" s="46">
        <v>0</v>
      </c>
      <c r="N51" s="46">
        <v>0</v>
      </c>
      <c r="O51" s="98"/>
      <c r="P51" s="23" t="s">
        <v>1429</v>
      </c>
      <c r="Q51" s="24" t="s">
        <v>140</v>
      </c>
      <c r="R51" s="25" t="s">
        <v>50</v>
      </c>
      <c r="S51" s="26">
        <v>375.23</v>
      </c>
      <c r="T51" s="26"/>
      <c r="U51" s="26">
        <f t="shared" si="10"/>
        <v>3965.81</v>
      </c>
      <c r="V51" s="26">
        <f t="shared" si="8"/>
        <v>0</v>
      </c>
      <c r="W51" s="26">
        <f t="shared" si="3"/>
        <v>0</v>
      </c>
      <c r="X51" s="26">
        <f t="shared" si="11"/>
        <v>0</v>
      </c>
      <c r="Y51" s="26">
        <f t="shared" si="4"/>
        <v>0</v>
      </c>
      <c r="Z51" s="33" t="s">
        <v>15</v>
      </c>
      <c r="AA51" s="36" t="s">
        <v>16</v>
      </c>
      <c r="AB51" s="181">
        <f t="shared" si="5"/>
        <v>375.23</v>
      </c>
      <c r="AC51" s="181">
        <f t="shared" si="12"/>
        <v>1488090.89</v>
      </c>
      <c r="AD51" s="181">
        <v>1.2</v>
      </c>
      <c r="AE51" s="181">
        <v>1.2</v>
      </c>
      <c r="AF51" s="101" t="str">
        <f t="shared" si="6"/>
        <v/>
      </c>
      <c r="AG51" s="190">
        <v>0</v>
      </c>
      <c r="AH51" s="69">
        <f t="shared" si="7"/>
        <v>375.23</v>
      </c>
    </row>
    <row r="52" spans="1:34" s="69" customFormat="1" ht="33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>
        <v>773.88</v>
      </c>
      <c r="I52" s="75">
        <v>26931.02</v>
      </c>
      <c r="J52" s="91" t="s">
        <v>144</v>
      </c>
      <c r="K52" s="73"/>
      <c r="L52" s="46">
        <v>0</v>
      </c>
      <c r="M52" s="46">
        <v>0</v>
      </c>
      <c r="N52" s="46">
        <v>0</v>
      </c>
      <c r="O52" s="98"/>
      <c r="P52" s="23" t="s">
        <v>1430</v>
      </c>
      <c r="Q52" s="24" t="s">
        <v>143</v>
      </c>
      <c r="R52" s="25" t="s">
        <v>50</v>
      </c>
      <c r="S52" s="26">
        <v>34.799999999999997</v>
      </c>
      <c r="T52" s="26"/>
      <c r="U52" s="26">
        <f t="shared" si="10"/>
        <v>773.88</v>
      </c>
      <c r="V52" s="26">
        <f t="shared" si="8"/>
        <v>0</v>
      </c>
      <c r="W52" s="26">
        <f t="shared" si="3"/>
        <v>0</v>
      </c>
      <c r="X52" s="26">
        <f t="shared" si="11"/>
        <v>0</v>
      </c>
      <c r="Y52" s="26">
        <f t="shared" si="4"/>
        <v>0</v>
      </c>
      <c r="Z52" s="33" t="s">
        <v>15</v>
      </c>
      <c r="AA52" s="36" t="s">
        <v>16</v>
      </c>
      <c r="AB52" s="181">
        <f t="shared" si="5"/>
        <v>34.799999999999997</v>
      </c>
      <c r="AC52" s="181">
        <f t="shared" si="12"/>
        <v>26931.02</v>
      </c>
      <c r="AD52" s="181">
        <v>1.2</v>
      </c>
      <c r="AE52" s="181">
        <v>1.2</v>
      </c>
      <c r="AF52" s="101" t="str">
        <f t="shared" si="6"/>
        <v/>
      </c>
      <c r="AG52" s="190">
        <v>0</v>
      </c>
      <c r="AH52" s="69">
        <f t="shared" si="7"/>
        <v>34.799999999999997</v>
      </c>
    </row>
    <row r="53" spans="1:34" s="69" customFormat="1" ht="33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>
        <v>948.4</v>
      </c>
      <c r="I53" s="75">
        <v>11361.83</v>
      </c>
      <c r="J53" s="91" t="s">
        <v>147</v>
      </c>
      <c r="K53" s="73"/>
      <c r="L53" s="46">
        <v>0</v>
      </c>
      <c r="M53" s="46">
        <v>0</v>
      </c>
      <c r="N53" s="46">
        <v>0</v>
      </c>
      <c r="O53" s="98"/>
      <c r="P53" s="23" t="s">
        <v>1431</v>
      </c>
      <c r="Q53" s="24" t="s">
        <v>146</v>
      </c>
      <c r="R53" s="25" t="s">
        <v>50</v>
      </c>
      <c r="S53" s="26">
        <v>11.98</v>
      </c>
      <c r="T53" s="26"/>
      <c r="U53" s="26">
        <f t="shared" si="10"/>
        <v>948.4</v>
      </c>
      <c r="V53" s="26">
        <f t="shared" si="8"/>
        <v>0</v>
      </c>
      <c r="W53" s="26">
        <f t="shared" si="3"/>
        <v>0</v>
      </c>
      <c r="X53" s="26">
        <f t="shared" si="11"/>
        <v>0</v>
      </c>
      <c r="Y53" s="26">
        <f t="shared" si="4"/>
        <v>0</v>
      </c>
      <c r="Z53" s="33" t="s">
        <v>15</v>
      </c>
      <c r="AA53" s="36" t="s">
        <v>16</v>
      </c>
      <c r="AB53" s="181">
        <f t="shared" si="5"/>
        <v>11.98</v>
      </c>
      <c r="AC53" s="181">
        <f t="shared" si="12"/>
        <v>11361.83</v>
      </c>
      <c r="AD53" s="181">
        <v>1.2</v>
      </c>
      <c r="AE53" s="181">
        <v>1.2</v>
      </c>
      <c r="AF53" s="101" t="str">
        <f t="shared" si="6"/>
        <v/>
      </c>
      <c r="AG53" s="190">
        <v>0</v>
      </c>
      <c r="AH53" s="69">
        <f t="shared" si="7"/>
        <v>11.98</v>
      </c>
    </row>
    <row r="54" spans="1:34" s="69" customFormat="1" ht="33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>
        <v>6163.46</v>
      </c>
      <c r="I54" s="75">
        <v>870650.36</v>
      </c>
      <c r="J54" s="91" t="s">
        <v>150</v>
      </c>
      <c r="K54" s="73"/>
      <c r="L54" s="46">
        <v>0</v>
      </c>
      <c r="M54" s="46">
        <v>0</v>
      </c>
      <c r="N54" s="46">
        <v>0</v>
      </c>
      <c r="O54" s="98"/>
      <c r="P54" s="23" t="s">
        <v>1395</v>
      </c>
      <c r="Q54" s="24" t="s">
        <v>149</v>
      </c>
      <c r="R54" s="25" t="s">
        <v>50</v>
      </c>
      <c r="S54" s="26">
        <v>141.26</v>
      </c>
      <c r="T54" s="26"/>
      <c r="U54" s="26">
        <f t="shared" si="10"/>
        <v>6163.46</v>
      </c>
      <c r="V54" s="26">
        <f t="shared" si="8"/>
        <v>0</v>
      </c>
      <c r="W54" s="26">
        <f t="shared" si="3"/>
        <v>0</v>
      </c>
      <c r="X54" s="26">
        <f t="shared" si="11"/>
        <v>0</v>
      </c>
      <c r="Y54" s="26">
        <f t="shared" si="4"/>
        <v>0</v>
      </c>
      <c r="Z54" s="33" t="s">
        <v>15</v>
      </c>
      <c r="AA54" s="36" t="s">
        <v>16</v>
      </c>
      <c r="AB54" s="181">
        <f t="shared" si="5"/>
        <v>141.26</v>
      </c>
      <c r="AC54" s="181">
        <f t="shared" si="12"/>
        <v>870650.36</v>
      </c>
      <c r="AD54" s="181">
        <v>1.2</v>
      </c>
      <c r="AE54" s="181">
        <v>1.2</v>
      </c>
      <c r="AF54" s="101" t="str">
        <f t="shared" si="6"/>
        <v/>
      </c>
      <c r="AG54" s="190">
        <v>0</v>
      </c>
      <c r="AH54" s="69">
        <f t="shared" si="7"/>
        <v>141.26</v>
      </c>
    </row>
    <row r="55" spans="1:34" s="69" customFormat="1" ht="33" x14ac:dyDescent="0.3">
      <c r="A55" s="55" t="s">
        <v>151</v>
      </c>
      <c r="B55" s="53" t="s">
        <v>152</v>
      </c>
      <c r="C55" s="54" t="s">
        <v>81</v>
      </c>
      <c r="D55" s="75">
        <v>1</v>
      </c>
      <c r="E55" s="75"/>
      <c r="F55" s="75"/>
      <c r="G55" s="75"/>
      <c r="H55" s="75">
        <v>169519.61</v>
      </c>
      <c r="I55" s="75">
        <v>169519.61</v>
      </c>
      <c r="J55" s="91" t="s">
        <v>153</v>
      </c>
      <c r="K55" s="73"/>
      <c r="L55" s="46">
        <v>0</v>
      </c>
      <c r="M55" s="46">
        <v>0</v>
      </c>
      <c r="N55" s="46">
        <v>0</v>
      </c>
      <c r="O55" s="98"/>
      <c r="P55" s="23" t="s">
        <v>1432</v>
      </c>
      <c r="Q55" s="24" t="s">
        <v>152</v>
      </c>
      <c r="R55" s="25" t="s">
        <v>81</v>
      </c>
      <c r="S55" s="26">
        <v>1</v>
      </c>
      <c r="T55" s="26"/>
      <c r="U55" s="26">
        <f t="shared" si="10"/>
        <v>169519.61</v>
      </c>
      <c r="V55" s="26">
        <f t="shared" si="8"/>
        <v>0</v>
      </c>
      <c r="W55" s="26">
        <f t="shared" si="3"/>
        <v>0</v>
      </c>
      <c r="X55" s="26">
        <f t="shared" si="11"/>
        <v>0</v>
      </c>
      <c r="Y55" s="26">
        <f t="shared" si="4"/>
        <v>0</v>
      </c>
      <c r="Z55" s="33" t="s">
        <v>15</v>
      </c>
      <c r="AA55" s="36" t="s">
        <v>16</v>
      </c>
      <c r="AB55" s="181">
        <f t="shared" si="5"/>
        <v>1</v>
      </c>
      <c r="AC55" s="181">
        <f t="shared" si="12"/>
        <v>169519.61</v>
      </c>
      <c r="AD55" s="181">
        <v>1.2</v>
      </c>
      <c r="AE55" s="181">
        <v>1.2</v>
      </c>
      <c r="AF55" s="101" t="str">
        <f t="shared" si="6"/>
        <v/>
      </c>
      <c r="AG55" s="190">
        <v>0</v>
      </c>
      <c r="AH55" s="69">
        <f t="shared" si="7"/>
        <v>1</v>
      </c>
    </row>
    <row r="56" spans="1:34" s="69" customFormat="1" ht="33" x14ac:dyDescent="0.3">
      <c r="A56" s="55" t="s">
        <v>154</v>
      </c>
      <c r="B56" s="53" t="s">
        <v>155</v>
      </c>
      <c r="C56" s="54" t="s">
        <v>81</v>
      </c>
      <c r="D56" s="75">
        <v>1</v>
      </c>
      <c r="E56" s="75"/>
      <c r="F56" s="75"/>
      <c r="G56" s="75"/>
      <c r="H56" s="75">
        <v>350211.64</v>
      </c>
      <c r="I56" s="75">
        <v>350211.64</v>
      </c>
      <c r="J56" s="91" t="s">
        <v>156</v>
      </c>
      <c r="K56" s="73"/>
      <c r="L56" s="46">
        <v>0</v>
      </c>
      <c r="M56" s="46">
        <v>0</v>
      </c>
      <c r="N56" s="46">
        <v>0</v>
      </c>
      <c r="O56" s="98"/>
      <c r="P56" s="23" t="s">
        <v>1433</v>
      </c>
      <c r="Q56" s="24" t="s">
        <v>155</v>
      </c>
      <c r="R56" s="25" t="s">
        <v>81</v>
      </c>
      <c r="S56" s="26">
        <v>1</v>
      </c>
      <c r="T56" s="26"/>
      <c r="U56" s="26">
        <f t="shared" si="10"/>
        <v>350211.64</v>
      </c>
      <c r="V56" s="26">
        <f t="shared" si="8"/>
        <v>0</v>
      </c>
      <c r="W56" s="26">
        <f t="shared" si="3"/>
        <v>0</v>
      </c>
      <c r="X56" s="26">
        <f t="shared" si="11"/>
        <v>0</v>
      </c>
      <c r="Y56" s="26">
        <f t="shared" si="4"/>
        <v>0</v>
      </c>
      <c r="Z56" s="33" t="s">
        <v>15</v>
      </c>
      <c r="AA56" s="36" t="s">
        <v>16</v>
      </c>
      <c r="AB56" s="181">
        <f t="shared" si="5"/>
        <v>1</v>
      </c>
      <c r="AC56" s="181">
        <f t="shared" si="12"/>
        <v>350211.64</v>
      </c>
      <c r="AD56" s="181">
        <v>1.2</v>
      </c>
      <c r="AE56" s="181">
        <v>1.2</v>
      </c>
      <c r="AF56" s="101" t="str">
        <f t="shared" si="6"/>
        <v/>
      </c>
      <c r="AG56" s="190">
        <v>0</v>
      </c>
      <c r="AH56" s="69">
        <f t="shared" si="7"/>
        <v>1</v>
      </c>
    </row>
    <row r="57" spans="1:34" s="69" customFormat="1" ht="33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>
        <v>309726.87</v>
      </c>
      <c r="I57" s="75">
        <v>309726.87</v>
      </c>
      <c r="J57" s="91" t="s">
        <v>159</v>
      </c>
      <c r="K57" s="73"/>
      <c r="L57" s="46">
        <v>0</v>
      </c>
      <c r="M57" s="46">
        <v>0</v>
      </c>
      <c r="N57" s="46">
        <v>0</v>
      </c>
      <c r="O57" s="98"/>
      <c r="P57" s="23" t="s">
        <v>1382</v>
      </c>
      <c r="Q57" s="24" t="s">
        <v>158</v>
      </c>
      <c r="R57" s="25" t="s">
        <v>81</v>
      </c>
      <c r="S57" s="26">
        <v>1</v>
      </c>
      <c r="T57" s="26"/>
      <c r="U57" s="26">
        <f t="shared" si="10"/>
        <v>309726.87</v>
      </c>
      <c r="V57" s="26">
        <f t="shared" si="8"/>
        <v>0</v>
      </c>
      <c r="W57" s="26">
        <f t="shared" si="3"/>
        <v>0</v>
      </c>
      <c r="X57" s="26">
        <f t="shared" si="11"/>
        <v>0</v>
      </c>
      <c r="Y57" s="26">
        <f t="shared" si="4"/>
        <v>0</v>
      </c>
      <c r="Z57" s="33" t="s">
        <v>15</v>
      </c>
      <c r="AA57" s="36" t="s">
        <v>16</v>
      </c>
      <c r="AB57" s="181">
        <f t="shared" si="5"/>
        <v>1</v>
      </c>
      <c r="AC57" s="181">
        <f t="shared" si="12"/>
        <v>309726.87</v>
      </c>
      <c r="AD57" s="181">
        <v>1.2</v>
      </c>
      <c r="AE57" s="181">
        <v>1.2</v>
      </c>
      <c r="AF57" s="101" t="str">
        <f t="shared" si="6"/>
        <v/>
      </c>
      <c r="AG57" s="190">
        <v>0</v>
      </c>
      <c r="AH57" s="69">
        <f t="shared" si="7"/>
        <v>1</v>
      </c>
    </row>
    <row r="58" spans="1:34" s="69" customFormat="1" ht="33" x14ac:dyDescent="0.3">
      <c r="A58" s="55" t="s">
        <v>160</v>
      </c>
      <c r="B58" s="53" t="s">
        <v>161</v>
      </c>
      <c r="C58" s="54" t="s">
        <v>162</v>
      </c>
      <c r="D58" s="75">
        <v>19</v>
      </c>
      <c r="E58" s="75"/>
      <c r="F58" s="75"/>
      <c r="G58" s="75"/>
      <c r="H58" s="75">
        <v>1134.56</v>
      </c>
      <c r="I58" s="75">
        <v>21556.639999999999</v>
      </c>
      <c r="J58" s="91" t="s">
        <v>163</v>
      </c>
      <c r="K58" s="73"/>
      <c r="L58" s="46">
        <v>0</v>
      </c>
      <c r="M58" s="46">
        <v>0</v>
      </c>
      <c r="N58" s="46">
        <v>0</v>
      </c>
      <c r="O58" s="98"/>
      <c r="P58" s="23" t="s">
        <v>1434</v>
      </c>
      <c r="Q58" s="24" t="s">
        <v>161</v>
      </c>
      <c r="R58" s="25" t="s">
        <v>162</v>
      </c>
      <c r="S58" s="26">
        <v>19</v>
      </c>
      <c r="T58" s="26"/>
      <c r="U58" s="26">
        <f t="shared" si="10"/>
        <v>1134.56</v>
      </c>
      <c r="V58" s="26">
        <f t="shared" si="8"/>
        <v>0</v>
      </c>
      <c r="W58" s="26">
        <f t="shared" si="3"/>
        <v>0</v>
      </c>
      <c r="X58" s="26">
        <f t="shared" si="11"/>
        <v>0</v>
      </c>
      <c r="Y58" s="26">
        <f t="shared" si="4"/>
        <v>0</v>
      </c>
      <c r="Z58" s="33" t="s">
        <v>15</v>
      </c>
      <c r="AA58" s="36" t="s">
        <v>16</v>
      </c>
      <c r="AB58" s="181">
        <f t="shared" si="5"/>
        <v>19</v>
      </c>
      <c r="AC58" s="181">
        <f t="shared" si="12"/>
        <v>21556.639999999999</v>
      </c>
      <c r="AD58" s="181">
        <v>1.2</v>
      </c>
      <c r="AE58" s="181">
        <v>1.2</v>
      </c>
      <c r="AF58" s="101" t="str">
        <f t="shared" si="6"/>
        <v/>
      </c>
      <c r="AG58" s="190">
        <v>0</v>
      </c>
      <c r="AH58" s="69">
        <f t="shared" si="7"/>
        <v>19</v>
      </c>
    </row>
    <row r="59" spans="1:34" s="69" customFormat="1" ht="39" x14ac:dyDescent="0.3">
      <c r="A59" s="55" t="s">
        <v>164</v>
      </c>
      <c r="B59" s="118" t="s">
        <v>165</v>
      </c>
      <c r="C59" s="54" t="s">
        <v>103</v>
      </c>
      <c r="D59" s="75">
        <v>179.11</v>
      </c>
      <c r="E59" s="75"/>
      <c r="F59" s="75"/>
      <c r="G59" s="75"/>
      <c r="H59" s="120">
        <v>145.21</v>
      </c>
      <c r="I59" s="75">
        <v>26008.560000000001</v>
      </c>
      <c r="J59" s="91" t="s">
        <v>166</v>
      </c>
      <c r="K59" s="73"/>
      <c r="L59" s="46">
        <v>0</v>
      </c>
      <c r="M59" s="46">
        <v>0</v>
      </c>
      <c r="N59" s="46">
        <v>0</v>
      </c>
      <c r="O59" s="98"/>
      <c r="P59" s="23" t="s">
        <v>1388</v>
      </c>
      <c r="Q59" s="24" t="s">
        <v>165</v>
      </c>
      <c r="R59" s="25" t="s">
        <v>103</v>
      </c>
      <c r="S59" s="26">
        <v>179.11</v>
      </c>
      <c r="T59" s="26"/>
      <c r="U59" s="26">
        <f t="shared" si="10"/>
        <v>145.21</v>
      </c>
      <c r="V59" s="26">
        <f t="shared" si="8"/>
        <v>0</v>
      </c>
      <c r="W59" s="26">
        <f t="shared" si="3"/>
        <v>0</v>
      </c>
      <c r="X59" s="26">
        <f t="shared" si="11"/>
        <v>0</v>
      </c>
      <c r="Y59" s="26">
        <f t="shared" si="4"/>
        <v>0</v>
      </c>
      <c r="Z59" s="33" t="s">
        <v>15</v>
      </c>
      <c r="AA59" s="36" t="s">
        <v>16</v>
      </c>
      <c r="AB59" s="181">
        <f t="shared" si="5"/>
        <v>179.11</v>
      </c>
      <c r="AC59" s="181">
        <f t="shared" si="12"/>
        <v>26008.560000000001</v>
      </c>
      <c r="AD59" s="181">
        <v>1.2</v>
      </c>
      <c r="AE59" s="181">
        <v>1.2</v>
      </c>
      <c r="AF59" s="101" t="str">
        <f t="shared" si="6"/>
        <v/>
      </c>
      <c r="AG59" s="190">
        <v>0</v>
      </c>
      <c r="AH59" s="69">
        <f t="shared" si="7"/>
        <v>179.11</v>
      </c>
    </row>
    <row r="60" spans="1:34" s="69" customFormat="1" ht="33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>
        <v>2755.97</v>
      </c>
      <c r="I60" s="75">
        <v>2176665.11</v>
      </c>
      <c r="J60" s="91" t="s">
        <v>169</v>
      </c>
      <c r="K60" s="73"/>
      <c r="L60" s="46">
        <v>0</v>
      </c>
      <c r="M60" s="46">
        <v>0</v>
      </c>
      <c r="N60" s="46">
        <v>0</v>
      </c>
      <c r="O60" s="98"/>
      <c r="P60" s="23" t="s">
        <v>1389</v>
      </c>
      <c r="Q60" s="24" t="s">
        <v>168</v>
      </c>
      <c r="R60" s="25" t="s">
        <v>30</v>
      </c>
      <c r="S60" s="26">
        <v>789.8</v>
      </c>
      <c r="T60" s="26"/>
      <c r="U60" s="26">
        <f t="shared" si="10"/>
        <v>2755.97</v>
      </c>
      <c r="V60" s="26">
        <f t="shared" si="8"/>
        <v>0</v>
      </c>
      <c r="W60" s="26">
        <f t="shared" si="3"/>
        <v>0</v>
      </c>
      <c r="X60" s="26">
        <f t="shared" si="11"/>
        <v>0</v>
      </c>
      <c r="Y60" s="26">
        <f t="shared" si="4"/>
        <v>0</v>
      </c>
      <c r="Z60" s="33" t="s">
        <v>15</v>
      </c>
      <c r="AA60" s="36" t="s">
        <v>16</v>
      </c>
      <c r="AB60" s="181">
        <f t="shared" si="5"/>
        <v>789.8</v>
      </c>
      <c r="AC60" s="181">
        <f t="shared" si="12"/>
        <v>2176665.11</v>
      </c>
      <c r="AD60" s="181">
        <v>1.2</v>
      </c>
      <c r="AE60" s="181">
        <v>1.2</v>
      </c>
      <c r="AF60" s="101" t="str">
        <f t="shared" si="6"/>
        <v/>
      </c>
      <c r="AG60" s="190">
        <v>0</v>
      </c>
      <c r="AH60" s="69">
        <f t="shared" si="7"/>
        <v>789.8</v>
      </c>
    </row>
    <row r="61" spans="1:34" s="69" customFormat="1" ht="33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>
        <v>576.79999999999995</v>
      </c>
      <c r="I61" s="75">
        <v>18053.84</v>
      </c>
      <c r="J61" s="91" t="s">
        <v>172</v>
      </c>
      <c r="K61" s="73"/>
      <c r="L61" s="46">
        <v>0</v>
      </c>
      <c r="M61" s="46">
        <v>0</v>
      </c>
      <c r="N61" s="46">
        <v>0</v>
      </c>
      <c r="O61" s="98"/>
      <c r="P61" s="23" t="s">
        <v>1390</v>
      </c>
      <c r="Q61" s="24" t="s">
        <v>171</v>
      </c>
      <c r="R61" s="25" t="s">
        <v>30</v>
      </c>
      <c r="S61" s="26">
        <v>31.3</v>
      </c>
      <c r="T61" s="26"/>
      <c r="U61" s="26">
        <f t="shared" si="10"/>
        <v>576.79999999999995</v>
      </c>
      <c r="V61" s="26">
        <f t="shared" si="8"/>
        <v>0</v>
      </c>
      <c r="W61" s="26">
        <f t="shared" si="3"/>
        <v>0</v>
      </c>
      <c r="X61" s="26">
        <f t="shared" si="11"/>
        <v>0</v>
      </c>
      <c r="Y61" s="26">
        <f t="shared" si="4"/>
        <v>0</v>
      </c>
      <c r="Z61" s="33" t="s">
        <v>15</v>
      </c>
      <c r="AA61" s="36" t="s">
        <v>16</v>
      </c>
      <c r="AB61" s="181">
        <f t="shared" si="5"/>
        <v>31.3</v>
      </c>
      <c r="AC61" s="181">
        <f t="shared" si="12"/>
        <v>18053.84</v>
      </c>
      <c r="AD61" s="181">
        <v>1.2</v>
      </c>
      <c r="AE61" s="181">
        <v>1.2</v>
      </c>
      <c r="AF61" s="101" t="str">
        <f t="shared" si="6"/>
        <v/>
      </c>
      <c r="AG61" s="190">
        <v>0</v>
      </c>
      <c r="AH61" s="69">
        <f t="shared" si="7"/>
        <v>31.3</v>
      </c>
    </row>
    <row r="62" spans="1:34" s="69" customFormat="1" ht="33" x14ac:dyDescent="0.3">
      <c r="A62" s="55" t="s">
        <v>173</v>
      </c>
      <c r="B62" s="53" t="s">
        <v>174</v>
      </c>
      <c r="C62" s="54" t="s">
        <v>30</v>
      </c>
      <c r="D62" s="75">
        <v>360.35</v>
      </c>
      <c r="E62" s="75"/>
      <c r="F62" s="75"/>
      <c r="G62" s="75"/>
      <c r="H62" s="75">
        <v>615.34</v>
      </c>
      <c r="I62" s="75">
        <v>221737.77</v>
      </c>
      <c r="J62" s="91" t="s">
        <v>175</v>
      </c>
      <c r="K62" s="73"/>
      <c r="L62" s="46">
        <v>0</v>
      </c>
      <c r="M62" s="46">
        <v>0</v>
      </c>
      <c r="N62" s="46">
        <v>0</v>
      </c>
      <c r="O62" s="98"/>
      <c r="P62" s="23" t="s">
        <v>1391</v>
      </c>
      <c r="Q62" s="24" t="s">
        <v>174</v>
      </c>
      <c r="R62" s="25" t="s">
        <v>30</v>
      </c>
      <c r="S62" s="26">
        <v>360.35</v>
      </c>
      <c r="T62" s="26"/>
      <c r="U62" s="26">
        <f t="shared" si="10"/>
        <v>615.34</v>
      </c>
      <c r="V62" s="26">
        <f t="shared" si="8"/>
        <v>0</v>
      </c>
      <c r="W62" s="26">
        <f t="shared" si="3"/>
        <v>0</v>
      </c>
      <c r="X62" s="26">
        <f t="shared" si="11"/>
        <v>0</v>
      </c>
      <c r="Y62" s="26">
        <f t="shared" si="4"/>
        <v>0</v>
      </c>
      <c r="Z62" s="33" t="s">
        <v>15</v>
      </c>
      <c r="AA62" s="36" t="s">
        <v>16</v>
      </c>
      <c r="AB62" s="181">
        <f t="shared" si="5"/>
        <v>360.35</v>
      </c>
      <c r="AC62" s="181">
        <f t="shared" si="12"/>
        <v>221737.77</v>
      </c>
      <c r="AD62" s="181">
        <v>1.2</v>
      </c>
      <c r="AE62" s="181">
        <v>1.2</v>
      </c>
      <c r="AF62" s="101" t="str">
        <f t="shared" si="6"/>
        <v/>
      </c>
      <c r="AG62" s="190">
        <v>0</v>
      </c>
      <c r="AH62" s="69">
        <f t="shared" si="7"/>
        <v>360.35</v>
      </c>
    </row>
    <row r="63" spans="1:34" s="69" customFormat="1" ht="33" x14ac:dyDescent="0.3">
      <c r="A63" s="55" t="s">
        <v>176</v>
      </c>
      <c r="B63" s="53" t="s">
        <v>177</v>
      </c>
      <c r="C63" s="54" t="s">
        <v>30</v>
      </c>
      <c r="D63" s="75">
        <v>691.14</v>
      </c>
      <c r="E63" s="75"/>
      <c r="F63" s="75"/>
      <c r="G63" s="75"/>
      <c r="H63" s="75">
        <v>685.3</v>
      </c>
      <c r="I63" s="75">
        <v>473638.24</v>
      </c>
      <c r="J63" s="91" t="s">
        <v>178</v>
      </c>
      <c r="K63" s="73"/>
      <c r="L63" s="46">
        <v>0</v>
      </c>
      <c r="M63" s="46">
        <v>0</v>
      </c>
      <c r="N63" s="46">
        <v>0</v>
      </c>
      <c r="O63" s="98"/>
      <c r="P63" s="23" t="s">
        <v>1436</v>
      </c>
      <c r="Q63" s="24" t="s">
        <v>177</v>
      </c>
      <c r="R63" s="25" t="s">
        <v>30</v>
      </c>
      <c r="S63" s="26">
        <v>691.14</v>
      </c>
      <c r="T63" s="26"/>
      <c r="U63" s="26">
        <f t="shared" si="10"/>
        <v>685.3</v>
      </c>
      <c r="V63" s="128">
        <f t="shared" si="8"/>
        <v>185</v>
      </c>
      <c r="W63" s="26">
        <f t="shared" si="3"/>
        <v>185</v>
      </c>
      <c r="X63" s="26">
        <f t="shared" si="11"/>
        <v>126780.5</v>
      </c>
      <c r="Y63" s="26">
        <f t="shared" si="4"/>
        <v>126780.5</v>
      </c>
      <c r="Z63" s="33" t="s">
        <v>15</v>
      </c>
      <c r="AA63" s="36" t="s">
        <v>16</v>
      </c>
      <c r="AB63" s="181">
        <f t="shared" si="5"/>
        <v>691.14</v>
      </c>
      <c r="AC63" s="181">
        <f t="shared" si="12"/>
        <v>473638.24</v>
      </c>
      <c r="AD63" s="181">
        <v>1.2</v>
      </c>
      <c r="AE63" s="181">
        <v>1.2</v>
      </c>
      <c r="AF63" s="101" t="str">
        <f t="shared" si="6"/>
        <v/>
      </c>
      <c r="AG63" s="190">
        <v>185</v>
      </c>
      <c r="AH63" s="69">
        <f t="shared" si="7"/>
        <v>691.14</v>
      </c>
    </row>
    <row r="64" spans="1:34" s="69" customFormat="1" ht="33" x14ac:dyDescent="0.3">
      <c r="A64" s="55" t="s">
        <v>179</v>
      </c>
      <c r="B64" s="53" t="s">
        <v>180</v>
      </c>
      <c r="C64" s="54" t="s">
        <v>30</v>
      </c>
      <c r="D64" s="75">
        <v>890.62</v>
      </c>
      <c r="E64" s="75"/>
      <c r="F64" s="75"/>
      <c r="G64" s="75"/>
      <c r="H64" s="75">
        <v>699.72</v>
      </c>
      <c r="I64" s="75">
        <v>623184.63</v>
      </c>
      <c r="J64" s="91" t="s">
        <v>181</v>
      </c>
      <c r="K64" s="73"/>
      <c r="L64" s="46">
        <v>32</v>
      </c>
      <c r="M64" s="46">
        <v>0</v>
      </c>
      <c r="N64" s="46">
        <v>22391.040000000001</v>
      </c>
      <c r="O64" s="98"/>
      <c r="P64" s="23" t="s">
        <v>1374</v>
      </c>
      <c r="Q64" s="24" t="s">
        <v>180</v>
      </c>
      <c r="R64" s="25" t="s">
        <v>30</v>
      </c>
      <c r="S64" s="26">
        <v>890.62</v>
      </c>
      <c r="T64" s="26"/>
      <c r="U64" s="26">
        <f t="shared" si="10"/>
        <v>699.72</v>
      </c>
      <c r="V64" s="128">
        <f t="shared" si="8"/>
        <v>0</v>
      </c>
      <c r="W64" s="26">
        <f t="shared" si="3"/>
        <v>32</v>
      </c>
      <c r="X64" s="26">
        <f t="shared" si="11"/>
        <v>0</v>
      </c>
      <c r="Y64" s="26">
        <f t="shared" si="4"/>
        <v>22391.040000000001</v>
      </c>
      <c r="Z64" s="33" t="s">
        <v>15</v>
      </c>
      <c r="AA64" s="36" t="s">
        <v>16</v>
      </c>
      <c r="AB64" s="181">
        <f t="shared" si="5"/>
        <v>890.62</v>
      </c>
      <c r="AC64" s="181">
        <f t="shared" si="12"/>
        <v>623184.63</v>
      </c>
      <c r="AD64" s="181">
        <v>1.2</v>
      </c>
      <c r="AE64" s="181">
        <v>1.2</v>
      </c>
      <c r="AF64" s="101" t="str">
        <f t="shared" si="6"/>
        <v/>
      </c>
      <c r="AG64" s="192">
        <f>32</f>
        <v>32</v>
      </c>
      <c r="AH64" s="69">
        <f t="shared" si="7"/>
        <v>890.62</v>
      </c>
    </row>
    <row r="65" spans="1:34" s="69" customFormat="1" ht="33" x14ac:dyDescent="0.3">
      <c r="A65" s="55" t="s">
        <v>182</v>
      </c>
      <c r="B65" s="53" t="s">
        <v>183</v>
      </c>
      <c r="C65" s="54" t="s">
        <v>30</v>
      </c>
      <c r="D65" s="75">
        <v>85.77</v>
      </c>
      <c r="E65" s="75"/>
      <c r="F65" s="75"/>
      <c r="G65" s="75"/>
      <c r="H65" s="75">
        <v>1199.33</v>
      </c>
      <c r="I65" s="75">
        <v>102866.53</v>
      </c>
      <c r="J65" s="91" t="s">
        <v>184</v>
      </c>
      <c r="K65" s="73"/>
      <c r="L65" s="46">
        <v>0</v>
      </c>
      <c r="M65" s="46">
        <v>0</v>
      </c>
      <c r="N65" s="46">
        <v>0</v>
      </c>
      <c r="O65" s="98"/>
      <c r="P65" s="23" t="s">
        <v>1376</v>
      </c>
      <c r="Q65" s="24" t="s">
        <v>183</v>
      </c>
      <c r="R65" s="25" t="s">
        <v>30</v>
      </c>
      <c r="S65" s="26">
        <v>85.77</v>
      </c>
      <c r="T65" s="26"/>
      <c r="U65" s="26">
        <f t="shared" si="10"/>
        <v>1199.33</v>
      </c>
      <c r="V65" s="26">
        <f t="shared" si="8"/>
        <v>0</v>
      </c>
      <c r="W65" s="26">
        <f t="shared" si="3"/>
        <v>0</v>
      </c>
      <c r="X65" s="26">
        <f t="shared" si="11"/>
        <v>0</v>
      </c>
      <c r="Y65" s="26">
        <f t="shared" si="4"/>
        <v>0</v>
      </c>
      <c r="Z65" s="33" t="s">
        <v>15</v>
      </c>
      <c r="AA65" s="36" t="s">
        <v>16</v>
      </c>
      <c r="AB65" s="181">
        <f t="shared" si="5"/>
        <v>85.77</v>
      </c>
      <c r="AC65" s="181">
        <f t="shared" si="12"/>
        <v>102866.53</v>
      </c>
      <c r="AD65" s="181">
        <v>1.2</v>
      </c>
      <c r="AE65" s="181">
        <v>1.2</v>
      </c>
      <c r="AF65" s="101" t="str">
        <f t="shared" si="6"/>
        <v/>
      </c>
      <c r="AG65" s="190">
        <v>0</v>
      </c>
      <c r="AH65" s="69">
        <f t="shared" si="7"/>
        <v>85.77</v>
      </c>
    </row>
    <row r="66" spans="1:34" s="69" customFormat="1" ht="33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>
        <v>57.68</v>
      </c>
      <c r="I66" s="75">
        <v>10833.46</v>
      </c>
      <c r="J66" s="91" t="s">
        <v>187</v>
      </c>
      <c r="K66" s="73"/>
      <c r="L66" s="46">
        <v>0</v>
      </c>
      <c r="M66" s="46">
        <v>0</v>
      </c>
      <c r="N66" s="46">
        <v>0</v>
      </c>
      <c r="O66" s="98"/>
      <c r="P66" s="23" t="s">
        <v>1378</v>
      </c>
      <c r="Q66" s="24" t="s">
        <v>186</v>
      </c>
      <c r="R66" s="25" t="s">
        <v>30</v>
      </c>
      <c r="S66" s="26">
        <v>187.82</v>
      </c>
      <c r="T66" s="26"/>
      <c r="U66" s="26">
        <f t="shared" si="10"/>
        <v>57.68</v>
      </c>
      <c r="V66" s="26">
        <f t="shared" si="8"/>
        <v>0</v>
      </c>
      <c r="W66" s="26">
        <f t="shared" si="3"/>
        <v>0</v>
      </c>
      <c r="X66" s="26">
        <f t="shared" si="11"/>
        <v>0</v>
      </c>
      <c r="Y66" s="26">
        <f t="shared" si="4"/>
        <v>0</v>
      </c>
      <c r="Z66" s="33" t="s">
        <v>15</v>
      </c>
      <c r="AA66" s="36" t="s">
        <v>16</v>
      </c>
      <c r="AB66" s="181">
        <f t="shared" si="5"/>
        <v>187.82</v>
      </c>
      <c r="AC66" s="181">
        <f t="shared" si="12"/>
        <v>10833.46</v>
      </c>
      <c r="AD66" s="181">
        <v>1.2</v>
      </c>
      <c r="AE66" s="181">
        <v>1.2</v>
      </c>
      <c r="AF66" s="101" t="str">
        <f t="shared" si="6"/>
        <v/>
      </c>
      <c r="AG66" s="190">
        <v>0</v>
      </c>
      <c r="AH66" s="69">
        <f t="shared" si="7"/>
        <v>187.82</v>
      </c>
    </row>
    <row r="67" spans="1:34" s="69" customFormat="1" ht="33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>
        <v>138.84</v>
      </c>
      <c r="I67" s="75">
        <v>2611.58</v>
      </c>
      <c r="J67" s="91" t="s">
        <v>190</v>
      </c>
      <c r="K67" s="73"/>
      <c r="L67" s="46">
        <v>0</v>
      </c>
      <c r="M67" s="46">
        <v>0</v>
      </c>
      <c r="N67" s="46">
        <v>0</v>
      </c>
      <c r="O67" s="98"/>
      <c r="P67" s="23" t="s">
        <v>1438</v>
      </c>
      <c r="Q67" s="24" t="s">
        <v>189</v>
      </c>
      <c r="R67" s="25" t="s">
        <v>30</v>
      </c>
      <c r="S67" s="26">
        <v>18.809999999999999</v>
      </c>
      <c r="T67" s="26"/>
      <c r="U67" s="26">
        <f t="shared" si="10"/>
        <v>138.84</v>
      </c>
      <c r="V67" s="26">
        <f t="shared" si="8"/>
        <v>0</v>
      </c>
      <c r="W67" s="26">
        <f t="shared" si="3"/>
        <v>0</v>
      </c>
      <c r="X67" s="26">
        <f t="shared" si="11"/>
        <v>0</v>
      </c>
      <c r="Y67" s="26">
        <f t="shared" si="4"/>
        <v>0</v>
      </c>
      <c r="Z67" s="33" t="s">
        <v>15</v>
      </c>
      <c r="AA67" s="36" t="s">
        <v>16</v>
      </c>
      <c r="AB67" s="181">
        <f t="shared" si="5"/>
        <v>18.809999999999999</v>
      </c>
      <c r="AC67" s="181">
        <f t="shared" si="12"/>
        <v>2611.58</v>
      </c>
      <c r="AD67" s="181">
        <v>1.2</v>
      </c>
      <c r="AE67" s="181">
        <v>1.2</v>
      </c>
      <c r="AF67" s="101" t="str">
        <f t="shared" si="6"/>
        <v/>
      </c>
      <c r="AG67" s="190">
        <v>0</v>
      </c>
      <c r="AH67" s="69">
        <f t="shared" si="7"/>
        <v>18.809999999999999</v>
      </c>
    </row>
    <row r="68" spans="1:34" s="69" customFormat="1" ht="33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>
        <v>2145.42</v>
      </c>
      <c r="I68" s="75">
        <v>43938.2</v>
      </c>
      <c r="J68" s="91" t="s">
        <v>193</v>
      </c>
      <c r="K68" s="73"/>
      <c r="L68" s="46">
        <v>0</v>
      </c>
      <c r="M68" s="46">
        <v>0</v>
      </c>
      <c r="N68" s="46">
        <v>0</v>
      </c>
      <c r="O68" s="98"/>
      <c r="P68" s="23" t="s">
        <v>1439</v>
      </c>
      <c r="Q68" s="24" t="s">
        <v>192</v>
      </c>
      <c r="R68" s="25" t="s">
        <v>50</v>
      </c>
      <c r="S68" s="26">
        <v>20.48</v>
      </c>
      <c r="T68" s="26"/>
      <c r="U68" s="26">
        <f t="shared" si="10"/>
        <v>2145.42</v>
      </c>
      <c r="V68" s="26">
        <f t="shared" si="8"/>
        <v>0</v>
      </c>
      <c r="W68" s="26">
        <f t="shared" si="3"/>
        <v>0</v>
      </c>
      <c r="X68" s="26">
        <f t="shared" si="11"/>
        <v>0</v>
      </c>
      <c r="Y68" s="26">
        <f t="shared" si="4"/>
        <v>0</v>
      </c>
      <c r="Z68" s="33" t="s">
        <v>15</v>
      </c>
      <c r="AA68" s="36" t="s">
        <v>16</v>
      </c>
      <c r="AB68" s="181">
        <f t="shared" si="5"/>
        <v>20.48</v>
      </c>
      <c r="AC68" s="181">
        <f t="shared" si="12"/>
        <v>43938.2</v>
      </c>
      <c r="AD68" s="181">
        <v>1.2</v>
      </c>
      <c r="AE68" s="181">
        <v>1.2</v>
      </c>
      <c r="AF68" s="101" t="str">
        <f t="shared" si="6"/>
        <v/>
      </c>
      <c r="AG68" s="190">
        <v>0</v>
      </c>
      <c r="AH68" s="69">
        <f t="shared" si="7"/>
        <v>20.48</v>
      </c>
    </row>
    <row r="69" spans="1:34" s="69" customFormat="1" ht="33" x14ac:dyDescent="0.3">
      <c r="A69" s="55" t="s">
        <v>194</v>
      </c>
      <c r="B69" s="53" t="s">
        <v>195</v>
      </c>
      <c r="C69" s="54" t="s">
        <v>30</v>
      </c>
      <c r="D69" s="75">
        <v>354.7</v>
      </c>
      <c r="E69" s="75"/>
      <c r="F69" s="75"/>
      <c r="G69" s="75"/>
      <c r="H69" s="75">
        <v>511.4</v>
      </c>
      <c r="I69" s="75">
        <v>181393.58</v>
      </c>
      <c r="J69" s="91" t="s">
        <v>196</v>
      </c>
      <c r="K69" s="73"/>
      <c r="L69" s="46">
        <v>0</v>
      </c>
      <c r="M69" s="46">
        <v>0</v>
      </c>
      <c r="N69" s="46">
        <v>0</v>
      </c>
      <c r="O69" s="98"/>
      <c r="P69" s="23" t="s">
        <v>1440</v>
      </c>
      <c r="Q69" s="24" t="s">
        <v>195</v>
      </c>
      <c r="R69" s="25" t="s">
        <v>30</v>
      </c>
      <c r="S69" s="26">
        <v>354.7</v>
      </c>
      <c r="T69" s="26"/>
      <c r="U69" s="26">
        <f t="shared" si="10"/>
        <v>511.4</v>
      </c>
      <c r="V69" s="26">
        <f t="shared" si="8"/>
        <v>0</v>
      </c>
      <c r="W69" s="26">
        <f t="shared" si="3"/>
        <v>0</v>
      </c>
      <c r="X69" s="26">
        <f t="shared" si="11"/>
        <v>0</v>
      </c>
      <c r="Y69" s="26">
        <f t="shared" si="4"/>
        <v>0</v>
      </c>
      <c r="Z69" s="33" t="s">
        <v>15</v>
      </c>
      <c r="AA69" s="36" t="s">
        <v>16</v>
      </c>
      <c r="AB69" s="181">
        <f t="shared" si="5"/>
        <v>354.7</v>
      </c>
      <c r="AC69" s="181">
        <f t="shared" si="12"/>
        <v>181393.58</v>
      </c>
      <c r="AD69" s="181">
        <v>1.2</v>
      </c>
      <c r="AE69" s="181">
        <v>1.2</v>
      </c>
      <c r="AF69" s="101" t="str">
        <f t="shared" si="6"/>
        <v/>
      </c>
      <c r="AG69" s="190">
        <v>0</v>
      </c>
      <c r="AH69" s="69">
        <f t="shared" si="7"/>
        <v>354.7</v>
      </c>
    </row>
    <row r="70" spans="1:34" s="69" customFormat="1" ht="33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>
        <v>578.86</v>
      </c>
      <c r="I70" s="75">
        <v>25875.040000000001</v>
      </c>
      <c r="J70" s="91" t="s">
        <v>199</v>
      </c>
      <c r="K70" s="73"/>
      <c r="L70" s="46">
        <v>0</v>
      </c>
      <c r="M70" s="46">
        <v>0</v>
      </c>
      <c r="N70" s="46">
        <v>0</v>
      </c>
      <c r="O70" s="98"/>
      <c r="P70" s="23" t="s">
        <v>1441</v>
      </c>
      <c r="Q70" s="24" t="s">
        <v>198</v>
      </c>
      <c r="R70" s="25" t="s">
        <v>30</v>
      </c>
      <c r="S70" s="26">
        <v>44.7</v>
      </c>
      <c r="T70" s="26"/>
      <c r="U70" s="26">
        <f t="shared" si="10"/>
        <v>578.86</v>
      </c>
      <c r="V70" s="26">
        <f t="shared" si="8"/>
        <v>0</v>
      </c>
      <c r="W70" s="26">
        <f t="shared" si="3"/>
        <v>0</v>
      </c>
      <c r="X70" s="26">
        <f t="shared" si="11"/>
        <v>0</v>
      </c>
      <c r="Y70" s="26">
        <f t="shared" si="4"/>
        <v>0</v>
      </c>
      <c r="Z70" s="33" t="s">
        <v>15</v>
      </c>
      <c r="AA70" s="36" t="s">
        <v>16</v>
      </c>
      <c r="AB70" s="181">
        <f t="shared" si="5"/>
        <v>44.7</v>
      </c>
      <c r="AC70" s="181">
        <f t="shared" si="12"/>
        <v>25875.040000000001</v>
      </c>
      <c r="AD70" s="181">
        <v>1.2</v>
      </c>
      <c r="AE70" s="181">
        <v>1.2</v>
      </c>
      <c r="AF70" s="101" t="str">
        <f t="shared" si="6"/>
        <v/>
      </c>
      <c r="AG70" s="190">
        <v>0</v>
      </c>
      <c r="AH70" s="69">
        <f t="shared" si="7"/>
        <v>44.7</v>
      </c>
    </row>
    <row r="71" spans="1:34" s="69" customFormat="1" ht="33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>
        <v>723.06</v>
      </c>
      <c r="I71" s="75">
        <v>22414.86</v>
      </c>
      <c r="J71" s="91" t="s">
        <v>202</v>
      </c>
      <c r="K71" s="73"/>
      <c r="L71" s="46">
        <v>0</v>
      </c>
      <c r="M71" s="46">
        <v>0</v>
      </c>
      <c r="N71" s="46">
        <v>0</v>
      </c>
      <c r="O71" s="98"/>
      <c r="P71" s="23" t="s">
        <v>1442</v>
      </c>
      <c r="Q71" s="24" t="s">
        <v>201</v>
      </c>
      <c r="R71" s="25" t="s">
        <v>30</v>
      </c>
      <c r="S71" s="26">
        <v>31</v>
      </c>
      <c r="T71" s="26"/>
      <c r="U71" s="26">
        <f t="shared" si="10"/>
        <v>723.06</v>
      </c>
      <c r="V71" s="26">
        <f t="shared" si="8"/>
        <v>0</v>
      </c>
      <c r="W71" s="26">
        <f t="shared" si="3"/>
        <v>0</v>
      </c>
      <c r="X71" s="26">
        <f t="shared" si="11"/>
        <v>0</v>
      </c>
      <c r="Y71" s="26">
        <f t="shared" si="4"/>
        <v>0</v>
      </c>
      <c r="Z71" s="33" t="s">
        <v>15</v>
      </c>
      <c r="AA71" s="36" t="s">
        <v>16</v>
      </c>
      <c r="AB71" s="181">
        <f t="shared" si="5"/>
        <v>31</v>
      </c>
      <c r="AC71" s="181">
        <f t="shared" si="12"/>
        <v>22414.86</v>
      </c>
      <c r="AD71" s="181">
        <v>1.2</v>
      </c>
      <c r="AE71" s="181">
        <v>1.2</v>
      </c>
      <c r="AF71" s="101" t="str">
        <f t="shared" si="6"/>
        <v/>
      </c>
      <c r="AG71" s="190">
        <v>0</v>
      </c>
      <c r="AH71" s="69">
        <f t="shared" si="7"/>
        <v>31</v>
      </c>
    </row>
    <row r="72" spans="1:34" s="69" customFormat="1" ht="33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>
        <v>829.15</v>
      </c>
      <c r="I72" s="75">
        <v>15007.62</v>
      </c>
      <c r="J72" s="91" t="s">
        <v>205</v>
      </c>
      <c r="K72" s="73"/>
      <c r="L72" s="46">
        <v>0</v>
      </c>
      <c r="M72" s="46">
        <v>0</v>
      </c>
      <c r="N72" s="46">
        <v>0</v>
      </c>
      <c r="O72" s="98"/>
      <c r="P72" s="23" t="s">
        <v>1443</v>
      </c>
      <c r="Q72" s="24" t="s">
        <v>204</v>
      </c>
      <c r="R72" s="25" t="s">
        <v>30</v>
      </c>
      <c r="S72" s="26">
        <v>18.100000000000001</v>
      </c>
      <c r="T72" s="26"/>
      <c r="U72" s="26">
        <f t="shared" si="10"/>
        <v>829.15</v>
      </c>
      <c r="V72" s="26">
        <f t="shared" si="8"/>
        <v>0</v>
      </c>
      <c r="W72" s="26">
        <f t="shared" si="3"/>
        <v>0</v>
      </c>
      <c r="X72" s="26">
        <f t="shared" si="11"/>
        <v>0</v>
      </c>
      <c r="Y72" s="26">
        <f t="shared" si="4"/>
        <v>0</v>
      </c>
      <c r="Z72" s="33" t="s">
        <v>15</v>
      </c>
      <c r="AA72" s="36" t="s">
        <v>16</v>
      </c>
      <c r="AB72" s="181">
        <f t="shared" si="5"/>
        <v>18.100000000000001</v>
      </c>
      <c r="AC72" s="181">
        <f t="shared" si="12"/>
        <v>15007.62</v>
      </c>
      <c r="AD72" s="181">
        <v>1.2</v>
      </c>
      <c r="AE72" s="181">
        <v>1.2</v>
      </c>
      <c r="AF72" s="101" t="str">
        <f t="shared" si="6"/>
        <v/>
      </c>
      <c r="AG72" s="190">
        <v>0</v>
      </c>
      <c r="AH72" s="69">
        <f t="shared" si="7"/>
        <v>18.100000000000001</v>
      </c>
    </row>
    <row r="73" spans="1:34" s="69" customFormat="1" ht="33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>
        <v>443.93</v>
      </c>
      <c r="I73" s="75">
        <v>80084.97</v>
      </c>
      <c r="J73" s="91" t="s">
        <v>208</v>
      </c>
      <c r="K73" s="73"/>
      <c r="L73" s="46">
        <v>0</v>
      </c>
      <c r="M73" s="46">
        <v>0</v>
      </c>
      <c r="N73" s="46">
        <v>0</v>
      </c>
      <c r="O73" s="98"/>
      <c r="P73" s="23" t="s">
        <v>1444</v>
      </c>
      <c r="Q73" s="24" t="s">
        <v>207</v>
      </c>
      <c r="R73" s="25" t="s">
        <v>30</v>
      </c>
      <c r="S73" s="26">
        <v>180.4</v>
      </c>
      <c r="T73" s="26"/>
      <c r="U73" s="26">
        <f t="shared" si="10"/>
        <v>443.93</v>
      </c>
      <c r="V73" s="26">
        <f t="shared" si="8"/>
        <v>0</v>
      </c>
      <c r="W73" s="26">
        <f t="shared" si="3"/>
        <v>0</v>
      </c>
      <c r="X73" s="26">
        <f t="shared" si="11"/>
        <v>0</v>
      </c>
      <c r="Y73" s="26">
        <f t="shared" si="4"/>
        <v>0</v>
      </c>
      <c r="Z73" s="33" t="s">
        <v>15</v>
      </c>
      <c r="AA73" s="36" t="s">
        <v>16</v>
      </c>
      <c r="AB73" s="181">
        <f t="shared" si="5"/>
        <v>180.4</v>
      </c>
      <c r="AC73" s="181">
        <f t="shared" si="12"/>
        <v>80084.97</v>
      </c>
      <c r="AD73" s="181">
        <v>1.2</v>
      </c>
      <c r="AE73" s="181">
        <v>1.2</v>
      </c>
      <c r="AF73" s="101" t="str">
        <f t="shared" si="6"/>
        <v/>
      </c>
      <c r="AG73" s="190">
        <v>0</v>
      </c>
      <c r="AH73" s="69">
        <f t="shared" si="7"/>
        <v>180.4</v>
      </c>
    </row>
    <row r="74" spans="1:34" s="69" customFormat="1" ht="33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>
        <v>578.86</v>
      </c>
      <c r="I74" s="75">
        <v>14818.82</v>
      </c>
      <c r="J74" s="91" t="s">
        <v>211</v>
      </c>
      <c r="K74" s="73"/>
      <c r="L74" s="46">
        <v>0</v>
      </c>
      <c r="M74" s="46">
        <v>0</v>
      </c>
      <c r="N74" s="46">
        <v>0</v>
      </c>
      <c r="O74" s="98"/>
      <c r="P74" s="23" t="s">
        <v>1408</v>
      </c>
      <c r="Q74" s="24" t="s">
        <v>210</v>
      </c>
      <c r="R74" s="25" t="s">
        <v>30</v>
      </c>
      <c r="S74" s="26">
        <v>25.6</v>
      </c>
      <c r="T74" s="26"/>
      <c r="U74" s="26">
        <f t="shared" si="10"/>
        <v>578.86</v>
      </c>
      <c r="V74" s="26">
        <f t="shared" si="8"/>
        <v>0</v>
      </c>
      <c r="W74" s="26">
        <f t="shared" si="3"/>
        <v>0</v>
      </c>
      <c r="X74" s="26">
        <f t="shared" si="11"/>
        <v>0</v>
      </c>
      <c r="Y74" s="26">
        <f t="shared" si="4"/>
        <v>0</v>
      </c>
      <c r="Z74" s="33" t="s">
        <v>15</v>
      </c>
      <c r="AA74" s="36" t="s">
        <v>16</v>
      </c>
      <c r="AB74" s="181">
        <f t="shared" si="5"/>
        <v>25.6</v>
      </c>
      <c r="AC74" s="181">
        <f t="shared" si="12"/>
        <v>14818.82</v>
      </c>
      <c r="AD74" s="181">
        <v>1.2</v>
      </c>
      <c r="AE74" s="181">
        <v>1.2</v>
      </c>
      <c r="AF74" s="101" t="str">
        <f t="shared" si="6"/>
        <v/>
      </c>
      <c r="AG74" s="190">
        <v>0</v>
      </c>
      <c r="AH74" s="69">
        <f t="shared" si="7"/>
        <v>25.6</v>
      </c>
    </row>
    <row r="75" spans="1:34" s="69" customFormat="1" ht="33" x14ac:dyDescent="0.3">
      <c r="A75" s="55" t="s">
        <v>212</v>
      </c>
      <c r="B75" s="53" t="s">
        <v>213</v>
      </c>
      <c r="C75" s="54" t="s">
        <v>81</v>
      </c>
      <c r="D75" s="75">
        <v>7</v>
      </c>
      <c r="E75" s="75"/>
      <c r="F75" s="75"/>
      <c r="G75" s="75"/>
      <c r="H75" s="75">
        <v>17307.09</v>
      </c>
      <c r="I75" s="75">
        <v>121149.63</v>
      </c>
      <c r="J75" s="91" t="s">
        <v>214</v>
      </c>
      <c r="K75" s="73"/>
      <c r="L75" s="46">
        <v>0</v>
      </c>
      <c r="M75" s="46">
        <v>0</v>
      </c>
      <c r="N75" s="46">
        <v>0</v>
      </c>
      <c r="O75" s="98"/>
      <c r="P75" s="23" t="s">
        <v>1409</v>
      </c>
      <c r="Q75" s="24" t="s">
        <v>213</v>
      </c>
      <c r="R75" s="25" t="s">
        <v>81</v>
      </c>
      <c r="S75" s="26">
        <v>7</v>
      </c>
      <c r="T75" s="26"/>
      <c r="U75" s="26">
        <f t="shared" si="10"/>
        <v>17307.09</v>
      </c>
      <c r="V75" s="26">
        <f t="shared" ref="V75:V132" si="13">AG75-L75</f>
        <v>0</v>
      </c>
      <c r="W75" s="26">
        <f t="shared" ref="W75:W132" si="14">V75+L75</f>
        <v>0</v>
      </c>
      <c r="X75" s="26">
        <f t="shared" si="11"/>
        <v>0</v>
      </c>
      <c r="Y75" s="26">
        <f t="shared" ref="Y75:Y138" si="15">ROUND(U75*W75,2)</f>
        <v>0</v>
      </c>
      <c r="Z75" s="33" t="s">
        <v>15</v>
      </c>
      <c r="AA75" s="36" t="s">
        <v>16</v>
      </c>
      <c r="AB75" s="181">
        <f t="shared" ref="AB75:AB138" si="16">IF(T75="",S75,T75)</f>
        <v>7</v>
      </c>
      <c r="AC75" s="181">
        <f t="shared" si="12"/>
        <v>121149.63</v>
      </c>
      <c r="AD75" s="181">
        <v>1.2</v>
      </c>
      <c r="AE75" s="181">
        <v>1.2</v>
      </c>
      <c r="AF75" s="101" t="str">
        <f t="shared" ref="AF75:AF138" si="17">IF(W75&gt;AH75,"超估","")</f>
        <v/>
      </c>
      <c r="AG75" s="190">
        <v>0</v>
      </c>
      <c r="AH75" s="69">
        <f t="shared" ref="AH75:AH138" si="18">IF(G75=0,IF(F75=0,IF(E75=0,D75,E75),F75),G75)</f>
        <v>7</v>
      </c>
    </row>
    <row r="76" spans="1:34" s="69" customFormat="1" ht="33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>
        <v>443.93</v>
      </c>
      <c r="I76" s="75">
        <v>3462.65</v>
      </c>
      <c r="J76" s="91" t="s">
        <v>217</v>
      </c>
      <c r="K76" s="73"/>
      <c r="L76" s="46">
        <v>0</v>
      </c>
      <c r="M76" s="46">
        <v>0</v>
      </c>
      <c r="N76" s="46">
        <v>0</v>
      </c>
      <c r="O76" s="98"/>
      <c r="P76" s="23" t="s">
        <v>1410</v>
      </c>
      <c r="Q76" s="24" t="s">
        <v>216</v>
      </c>
      <c r="R76" s="25" t="s">
        <v>30</v>
      </c>
      <c r="S76" s="26">
        <v>7.8</v>
      </c>
      <c r="T76" s="26"/>
      <c r="U76" s="26">
        <f t="shared" si="10"/>
        <v>443.93</v>
      </c>
      <c r="V76" s="26">
        <f t="shared" si="13"/>
        <v>0</v>
      </c>
      <c r="W76" s="26">
        <f t="shared" si="14"/>
        <v>0</v>
      </c>
      <c r="X76" s="26">
        <f t="shared" si="11"/>
        <v>0</v>
      </c>
      <c r="Y76" s="26">
        <f t="shared" si="15"/>
        <v>0</v>
      </c>
      <c r="Z76" s="33" t="s">
        <v>15</v>
      </c>
      <c r="AA76" s="36" t="s">
        <v>16</v>
      </c>
      <c r="AB76" s="181">
        <f t="shared" si="16"/>
        <v>7.8</v>
      </c>
      <c r="AC76" s="181">
        <f t="shared" si="12"/>
        <v>3462.65</v>
      </c>
      <c r="AD76" s="181">
        <v>1.2</v>
      </c>
      <c r="AE76" s="181">
        <v>1.2</v>
      </c>
      <c r="AF76" s="101" t="str">
        <f t="shared" si="17"/>
        <v/>
      </c>
      <c r="AG76" s="190">
        <v>0</v>
      </c>
      <c r="AH76" s="69">
        <f t="shared" si="18"/>
        <v>7.8</v>
      </c>
    </row>
    <row r="77" spans="1:34" s="69" customFormat="1" ht="33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>
        <v>13705.7</v>
      </c>
      <c r="I77" s="75">
        <v>27411.4</v>
      </c>
      <c r="J77" s="91" t="s">
        <v>220</v>
      </c>
      <c r="K77" s="73"/>
      <c r="L77" s="46">
        <v>0</v>
      </c>
      <c r="M77" s="46">
        <v>0</v>
      </c>
      <c r="N77" s="46">
        <v>0</v>
      </c>
      <c r="O77" s="98"/>
      <c r="P77" s="23" t="s">
        <v>1411</v>
      </c>
      <c r="Q77" s="24" t="s">
        <v>219</v>
      </c>
      <c r="R77" s="25" t="s">
        <v>81</v>
      </c>
      <c r="S77" s="26">
        <v>2</v>
      </c>
      <c r="T77" s="26"/>
      <c r="U77" s="26">
        <f t="shared" si="10"/>
        <v>13705.7</v>
      </c>
      <c r="V77" s="26">
        <f t="shared" si="13"/>
        <v>0</v>
      </c>
      <c r="W77" s="26">
        <f t="shared" si="14"/>
        <v>0</v>
      </c>
      <c r="X77" s="26">
        <f t="shared" si="11"/>
        <v>0</v>
      </c>
      <c r="Y77" s="26">
        <f t="shared" si="15"/>
        <v>0</v>
      </c>
      <c r="Z77" s="33" t="s">
        <v>15</v>
      </c>
      <c r="AA77" s="36" t="s">
        <v>16</v>
      </c>
      <c r="AB77" s="181">
        <f t="shared" si="16"/>
        <v>2</v>
      </c>
      <c r="AC77" s="181">
        <f t="shared" si="12"/>
        <v>27411.4</v>
      </c>
      <c r="AD77" s="181">
        <v>1.2</v>
      </c>
      <c r="AE77" s="181">
        <v>1.2</v>
      </c>
      <c r="AF77" s="101" t="str">
        <f t="shared" si="17"/>
        <v/>
      </c>
      <c r="AG77" s="190">
        <v>0</v>
      </c>
      <c r="AH77" s="69">
        <f t="shared" si="18"/>
        <v>2</v>
      </c>
    </row>
    <row r="78" spans="1:34" s="69" customFormat="1" ht="33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>
        <v>25126.95</v>
      </c>
      <c r="I78" s="75">
        <v>75380.850000000006</v>
      </c>
      <c r="J78" s="91" t="s">
        <v>223</v>
      </c>
      <c r="K78" s="73"/>
      <c r="L78" s="46">
        <v>0</v>
      </c>
      <c r="M78" s="46">
        <v>0</v>
      </c>
      <c r="N78" s="46">
        <v>0</v>
      </c>
      <c r="O78" s="98"/>
      <c r="P78" s="23" t="s">
        <v>1445</v>
      </c>
      <c r="Q78" s="24" t="s">
        <v>222</v>
      </c>
      <c r="R78" s="25" t="s">
        <v>81</v>
      </c>
      <c r="S78" s="26">
        <v>3</v>
      </c>
      <c r="T78" s="26"/>
      <c r="U78" s="26">
        <f t="shared" si="10"/>
        <v>25126.95</v>
      </c>
      <c r="V78" s="26">
        <f t="shared" si="13"/>
        <v>0</v>
      </c>
      <c r="W78" s="26">
        <f t="shared" si="14"/>
        <v>0</v>
      </c>
      <c r="X78" s="26">
        <f t="shared" si="11"/>
        <v>0</v>
      </c>
      <c r="Y78" s="26">
        <f t="shared" si="15"/>
        <v>0</v>
      </c>
      <c r="Z78" s="33" t="s">
        <v>15</v>
      </c>
      <c r="AA78" s="36" t="s">
        <v>16</v>
      </c>
      <c r="AB78" s="181">
        <f t="shared" si="16"/>
        <v>3</v>
      </c>
      <c r="AC78" s="181">
        <f t="shared" si="12"/>
        <v>75380.850000000006</v>
      </c>
      <c r="AD78" s="181">
        <v>1.2</v>
      </c>
      <c r="AE78" s="181">
        <v>1.2</v>
      </c>
      <c r="AF78" s="101" t="str">
        <f t="shared" si="17"/>
        <v/>
      </c>
      <c r="AG78" s="190">
        <v>0</v>
      </c>
      <c r="AH78" s="69">
        <f t="shared" si="18"/>
        <v>3</v>
      </c>
    </row>
    <row r="79" spans="1:34" s="69" customFormat="1" ht="33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>
        <v>2901.57</v>
      </c>
      <c r="I79" s="75">
        <v>52228.26</v>
      </c>
      <c r="J79" s="91" t="s">
        <v>226</v>
      </c>
      <c r="K79" s="73"/>
      <c r="L79" s="46">
        <v>0</v>
      </c>
      <c r="M79" s="46">
        <v>0</v>
      </c>
      <c r="N79" s="46">
        <v>0</v>
      </c>
      <c r="O79" s="98"/>
      <c r="P79" s="23" t="s">
        <v>1383</v>
      </c>
      <c r="Q79" s="24" t="s">
        <v>225</v>
      </c>
      <c r="R79" s="25" t="s">
        <v>30</v>
      </c>
      <c r="S79" s="26">
        <v>18</v>
      </c>
      <c r="T79" s="26"/>
      <c r="U79" s="26">
        <f t="shared" si="10"/>
        <v>2901.57</v>
      </c>
      <c r="V79" s="26">
        <f t="shared" si="13"/>
        <v>0</v>
      </c>
      <c r="W79" s="26">
        <f t="shared" si="14"/>
        <v>0</v>
      </c>
      <c r="X79" s="26">
        <f t="shared" si="11"/>
        <v>0</v>
      </c>
      <c r="Y79" s="26">
        <f t="shared" si="15"/>
        <v>0</v>
      </c>
      <c r="Z79" s="33" t="s">
        <v>15</v>
      </c>
      <c r="AA79" s="36" t="s">
        <v>16</v>
      </c>
      <c r="AB79" s="181">
        <f t="shared" si="16"/>
        <v>18</v>
      </c>
      <c r="AC79" s="181">
        <f t="shared" si="12"/>
        <v>52228.26</v>
      </c>
      <c r="AD79" s="181">
        <v>1.2</v>
      </c>
      <c r="AE79" s="181">
        <v>1.2</v>
      </c>
      <c r="AF79" s="101" t="str">
        <f t="shared" si="17"/>
        <v/>
      </c>
      <c r="AG79" s="190">
        <v>0</v>
      </c>
      <c r="AH79" s="69">
        <f t="shared" si="18"/>
        <v>18</v>
      </c>
    </row>
    <row r="80" spans="1:34" s="69" customFormat="1" ht="33" x14ac:dyDescent="0.3">
      <c r="A80" s="55" t="s">
        <v>227</v>
      </c>
      <c r="B80" s="53" t="s">
        <v>228</v>
      </c>
      <c r="C80" s="54" t="s">
        <v>30</v>
      </c>
      <c r="D80" s="75">
        <v>17.100000000000001</v>
      </c>
      <c r="E80" s="75"/>
      <c r="F80" s="75"/>
      <c r="G80" s="75"/>
      <c r="H80" s="75">
        <v>1762.96</v>
      </c>
      <c r="I80" s="75">
        <v>30146.62</v>
      </c>
      <c r="J80" s="91" t="s">
        <v>229</v>
      </c>
      <c r="K80" s="73"/>
      <c r="L80" s="46">
        <v>0</v>
      </c>
      <c r="M80" s="46">
        <v>0</v>
      </c>
      <c r="N80" s="46">
        <v>0</v>
      </c>
      <c r="O80" s="98"/>
      <c r="P80" s="23" t="s">
        <v>1384</v>
      </c>
      <c r="Q80" s="24" t="s">
        <v>228</v>
      </c>
      <c r="R80" s="25" t="s">
        <v>30</v>
      </c>
      <c r="S80" s="26">
        <v>17.100000000000001</v>
      </c>
      <c r="T80" s="26"/>
      <c r="U80" s="26">
        <f t="shared" si="10"/>
        <v>1762.96</v>
      </c>
      <c r="V80" s="26">
        <f t="shared" si="13"/>
        <v>0</v>
      </c>
      <c r="W80" s="26">
        <f t="shared" si="14"/>
        <v>0</v>
      </c>
      <c r="X80" s="26">
        <f t="shared" si="11"/>
        <v>0</v>
      </c>
      <c r="Y80" s="26">
        <f t="shared" si="15"/>
        <v>0</v>
      </c>
      <c r="Z80" s="33" t="s">
        <v>15</v>
      </c>
      <c r="AA80" s="36" t="s">
        <v>16</v>
      </c>
      <c r="AB80" s="181">
        <f t="shared" si="16"/>
        <v>17.100000000000001</v>
      </c>
      <c r="AC80" s="181">
        <f t="shared" si="12"/>
        <v>30146.62</v>
      </c>
      <c r="AD80" s="181">
        <v>1.2</v>
      </c>
      <c r="AE80" s="181">
        <v>1.2</v>
      </c>
      <c r="AF80" s="101" t="str">
        <f t="shared" si="17"/>
        <v/>
      </c>
      <c r="AG80" s="190">
        <v>0</v>
      </c>
      <c r="AH80" s="69">
        <f t="shared" si="18"/>
        <v>17.100000000000001</v>
      </c>
    </row>
    <row r="81" spans="1:34" s="69" customFormat="1" ht="33" x14ac:dyDescent="0.3">
      <c r="A81" s="55" t="s">
        <v>230</v>
      </c>
      <c r="B81" s="53" t="s">
        <v>231</v>
      </c>
      <c r="C81" s="54" t="s">
        <v>30</v>
      </c>
      <c r="D81" s="75">
        <v>77.400000000000006</v>
      </c>
      <c r="E81" s="75"/>
      <c r="F81" s="75"/>
      <c r="G81" s="75"/>
      <c r="H81" s="75">
        <v>1224.3</v>
      </c>
      <c r="I81" s="75">
        <v>94760.82</v>
      </c>
      <c r="J81" s="91" t="s">
        <v>232</v>
      </c>
      <c r="K81" s="73"/>
      <c r="L81" s="46">
        <v>0</v>
      </c>
      <c r="M81" s="46">
        <v>0</v>
      </c>
      <c r="N81" s="46">
        <v>0</v>
      </c>
      <c r="O81" s="98"/>
      <c r="P81" s="23" t="s">
        <v>1385</v>
      </c>
      <c r="Q81" s="24" t="s">
        <v>231</v>
      </c>
      <c r="R81" s="25" t="s">
        <v>30</v>
      </c>
      <c r="S81" s="26">
        <v>77.400000000000006</v>
      </c>
      <c r="T81" s="26"/>
      <c r="U81" s="26">
        <f t="shared" si="10"/>
        <v>1224.3</v>
      </c>
      <c r="V81" s="26">
        <f t="shared" si="13"/>
        <v>0</v>
      </c>
      <c r="W81" s="26">
        <f t="shared" si="14"/>
        <v>0</v>
      </c>
      <c r="X81" s="26">
        <f t="shared" si="11"/>
        <v>0</v>
      </c>
      <c r="Y81" s="26">
        <f t="shared" si="15"/>
        <v>0</v>
      </c>
      <c r="Z81" s="33" t="s">
        <v>15</v>
      </c>
      <c r="AA81" s="36" t="s">
        <v>16</v>
      </c>
      <c r="AB81" s="181">
        <f t="shared" si="16"/>
        <v>77.400000000000006</v>
      </c>
      <c r="AC81" s="181">
        <f t="shared" si="12"/>
        <v>94760.82</v>
      </c>
      <c r="AD81" s="181">
        <v>1.2</v>
      </c>
      <c r="AE81" s="181">
        <v>1.2</v>
      </c>
      <c r="AF81" s="101" t="str">
        <f t="shared" si="17"/>
        <v/>
      </c>
      <c r="AG81" s="190">
        <v>0</v>
      </c>
      <c r="AH81" s="69">
        <f t="shared" si="18"/>
        <v>77.400000000000006</v>
      </c>
    </row>
    <row r="82" spans="1:34" s="69" customFormat="1" ht="33" x14ac:dyDescent="0.3">
      <c r="A82" s="55" t="s">
        <v>233</v>
      </c>
      <c r="B82" s="53" t="s">
        <v>234</v>
      </c>
      <c r="C82" s="54" t="s">
        <v>30</v>
      </c>
      <c r="D82" s="75">
        <v>32.5</v>
      </c>
      <c r="E82" s="75"/>
      <c r="F82" s="75"/>
      <c r="G82" s="75"/>
      <c r="H82" s="75">
        <v>1148.7</v>
      </c>
      <c r="I82" s="75">
        <v>37332.75</v>
      </c>
      <c r="J82" s="91" t="s">
        <v>235</v>
      </c>
      <c r="K82" s="73"/>
      <c r="L82" s="46">
        <v>0</v>
      </c>
      <c r="M82" s="46">
        <v>0</v>
      </c>
      <c r="N82" s="46">
        <v>0</v>
      </c>
      <c r="O82" s="98"/>
      <c r="P82" s="23" t="s">
        <v>1446</v>
      </c>
      <c r="Q82" s="24" t="s">
        <v>234</v>
      </c>
      <c r="R82" s="25" t="s">
        <v>30</v>
      </c>
      <c r="S82" s="26">
        <v>32.5</v>
      </c>
      <c r="T82" s="26"/>
      <c r="U82" s="26">
        <f t="shared" si="10"/>
        <v>1148.7</v>
      </c>
      <c r="V82" s="26">
        <f t="shared" si="13"/>
        <v>0</v>
      </c>
      <c r="W82" s="26">
        <f t="shared" si="14"/>
        <v>0</v>
      </c>
      <c r="X82" s="26">
        <f t="shared" si="11"/>
        <v>0</v>
      </c>
      <c r="Y82" s="26">
        <f t="shared" si="15"/>
        <v>0</v>
      </c>
      <c r="Z82" s="33" t="s">
        <v>15</v>
      </c>
      <c r="AA82" s="36" t="s">
        <v>16</v>
      </c>
      <c r="AB82" s="181">
        <f t="shared" si="16"/>
        <v>32.5</v>
      </c>
      <c r="AC82" s="181">
        <f t="shared" si="12"/>
        <v>37332.75</v>
      </c>
      <c r="AD82" s="181">
        <v>1.2</v>
      </c>
      <c r="AE82" s="181">
        <v>1.2</v>
      </c>
      <c r="AF82" s="101" t="str">
        <f t="shared" si="17"/>
        <v/>
      </c>
      <c r="AG82" s="190">
        <v>0</v>
      </c>
      <c r="AH82" s="69">
        <f t="shared" si="18"/>
        <v>32.5</v>
      </c>
    </row>
    <row r="83" spans="1:34" s="69" customFormat="1" ht="33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>
        <v>19780.169999999998</v>
      </c>
      <c r="I83" s="75">
        <v>19780.169999999998</v>
      </c>
      <c r="J83" s="91" t="s">
        <v>238</v>
      </c>
      <c r="K83" s="73"/>
      <c r="L83" s="46">
        <v>0</v>
      </c>
      <c r="M83" s="46">
        <v>0</v>
      </c>
      <c r="N83" s="46">
        <v>0</v>
      </c>
      <c r="O83" s="98"/>
      <c r="P83" s="23" t="s">
        <v>1447</v>
      </c>
      <c r="Q83" s="24" t="s">
        <v>237</v>
      </c>
      <c r="R83" s="25" t="s">
        <v>81</v>
      </c>
      <c r="S83" s="26">
        <v>1</v>
      </c>
      <c r="T83" s="26"/>
      <c r="U83" s="26">
        <f t="shared" si="10"/>
        <v>19780.169999999998</v>
      </c>
      <c r="V83" s="26">
        <f t="shared" si="13"/>
        <v>0</v>
      </c>
      <c r="W83" s="26">
        <f t="shared" si="14"/>
        <v>0</v>
      </c>
      <c r="X83" s="26">
        <f t="shared" si="11"/>
        <v>0</v>
      </c>
      <c r="Y83" s="26">
        <f t="shared" si="15"/>
        <v>0</v>
      </c>
      <c r="Z83" s="33" t="s">
        <v>15</v>
      </c>
      <c r="AA83" s="36" t="s">
        <v>16</v>
      </c>
      <c r="AB83" s="181">
        <f t="shared" si="16"/>
        <v>1</v>
      </c>
      <c r="AC83" s="181">
        <f t="shared" si="12"/>
        <v>19780.169999999998</v>
      </c>
      <c r="AD83" s="181">
        <v>1.2</v>
      </c>
      <c r="AE83" s="181">
        <v>1.2</v>
      </c>
      <c r="AF83" s="101" t="str">
        <f t="shared" si="17"/>
        <v/>
      </c>
      <c r="AG83" s="190">
        <v>0</v>
      </c>
      <c r="AH83" s="69">
        <f t="shared" si="18"/>
        <v>1</v>
      </c>
    </row>
    <row r="84" spans="1:34" s="69" customFormat="1" ht="33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>
        <v>1218.03</v>
      </c>
      <c r="I84" s="75">
        <v>1218.03</v>
      </c>
      <c r="J84" s="91" t="s">
        <v>241</v>
      </c>
      <c r="K84" s="73"/>
      <c r="L84" s="46">
        <v>0</v>
      </c>
      <c r="M84" s="46">
        <v>0</v>
      </c>
      <c r="N84" s="46">
        <v>0</v>
      </c>
      <c r="O84" s="98"/>
      <c r="P84" s="23" t="s">
        <v>1448</v>
      </c>
      <c r="Q84" s="24" t="s">
        <v>240</v>
      </c>
      <c r="R84" s="25" t="s">
        <v>81</v>
      </c>
      <c r="S84" s="26">
        <v>1</v>
      </c>
      <c r="T84" s="26"/>
      <c r="U84" s="26">
        <f t="shared" si="10"/>
        <v>1218.03</v>
      </c>
      <c r="V84" s="26">
        <f t="shared" si="13"/>
        <v>0</v>
      </c>
      <c r="W84" s="26">
        <f t="shared" si="14"/>
        <v>0</v>
      </c>
      <c r="X84" s="26">
        <f t="shared" si="11"/>
        <v>0</v>
      </c>
      <c r="Y84" s="26">
        <f t="shared" si="15"/>
        <v>0</v>
      </c>
      <c r="Z84" s="33" t="s">
        <v>15</v>
      </c>
      <c r="AA84" s="36" t="s">
        <v>16</v>
      </c>
      <c r="AB84" s="181">
        <f t="shared" si="16"/>
        <v>1</v>
      </c>
      <c r="AC84" s="181">
        <f t="shared" si="12"/>
        <v>1218.03</v>
      </c>
      <c r="AD84" s="181">
        <v>1.2</v>
      </c>
      <c r="AE84" s="181">
        <v>1.2</v>
      </c>
      <c r="AF84" s="101" t="str">
        <f t="shared" si="17"/>
        <v/>
      </c>
      <c r="AG84" s="190">
        <v>0</v>
      </c>
      <c r="AH84" s="69">
        <f t="shared" si="18"/>
        <v>1</v>
      </c>
    </row>
    <row r="85" spans="1:34" s="69" customFormat="1" ht="33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>
        <v>3110.7</v>
      </c>
      <c r="I85" s="75">
        <v>3110.7</v>
      </c>
      <c r="J85" s="91" t="s">
        <v>244</v>
      </c>
      <c r="K85" s="73"/>
      <c r="L85" s="46">
        <v>0</v>
      </c>
      <c r="M85" s="46">
        <v>0</v>
      </c>
      <c r="N85" s="46">
        <v>0</v>
      </c>
      <c r="O85" s="98"/>
      <c r="P85" s="23" t="s">
        <v>1449</v>
      </c>
      <c r="Q85" s="24" t="s">
        <v>243</v>
      </c>
      <c r="R85" s="25" t="s">
        <v>81</v>
      </c>
      <c r="S85" s="26">
        <v>1</v>
      </c>
      <c r="T85" s="26"/>
      <c r="U85" s="26">
        <f t="shared" si="10"/>
        <v>3110.7</v>
      </c>
      <c r="V85" s="26">
        <f t="shared" si="13"/>
        <v>0</v>
      </c>
      <c r="W85" s="26">
        <f t="shared" si="14"/>
        <v>0</v>
      </c>
      <c r="X85" s="26">
        <f t="shared" si="11"/>
        <v>0</v>
      </c>
      <c r="Y85" s="26">
        <f t="shared" si="15"/>
        <v>0</v>
      </c>
      <c r="Z85" s="33" t="s">
        <v>15</v>
      </c>
      <c r="AA85" s="36" t="s">
        <v>16</v>
      </c>
      <c r="AB85" s="181">
        <f t="shared" si="16"/>
        <v>1</v>
      </c>
      <c r="AC85" s="181">
        <f t="shared" si="12"/>
        <v>3110.7</v>
      </c>
      <c r="AD85" s="181">
        <v>1.2</v>
      </c>
      <c r="AE85" s="181">
        <v>1.2</v>
      </c>
      <c r="AF85" s="101" t="str">
        <f t="shared" si="17"/>
        <v/>
      </c>
      <c r="AG85" s="190">
        <v>0</v>
      </c>
      <c r="AH85" s="69">
        <f t="shared" si="18"/>
        <v>1</v>
      </c>
    </row>
    <row r="86" spans="1:34" s="69" customFormat="1" ht="33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>
        <v>1251.0999999999999</v>
      </c>
      <c r="I86" s="75">
        <v>1251.0999999999999</v>
      </c>
      <c r="J86" s="91" t="s">
        <v>247</v>
      </c>
      <c r="K86" s="73"/>
      <c r="L86" s="46">
        <v>0</v>
      </c>
      <c r="M86" s="46">
        <v>0</v>
      </c>
      <c r="N86" s="46">
        <v>0</v>
      </c>
      <c r="O86" s="98"/>
      <c r="P86" s="23" t="s">
        <v>1450</v>
      </c>
      <c r="Q86" s="24" t="s">
        <v>246</v>
      </c>
      <c r="R86" s="25" t="s">
        <v>81</v>
      </c>
      <c r="S86" s="26">
        <v>1</v>
      </c>
      <c r="T86" s="26"/>
      <c r="U86" s="26">
        <f t="shared" si="10"/>
        <v>1251.0999999999999</v>
      </c>
      <c r="V86" s="26">
        <f t="shared" si="13"/>
        <v>0</v>
      </c>
      <c r="W86" s="26">
        <f t="shared" si="14"/>
        <v>0</v>
      </c>
      <c r="X86" s="26">
        <f t="shared" si="11"/>
        <v>0</v>
      </c>
      <c r="Y86" s="26">
        <f t="shared" si="15"/>
        <v>0</v>
      </c>
      <c r="Z86" s="33" t="s">
        <v>15</v>
      </c>
      <c r="AA86" s="36" t="s">
        <v>16</v>
      </c>
      <c r="AB86" s="181">
        <f t="shared" si="16"/>
        <v>1</v>
      </c>
      <c r="AC86" s="181">
        <f t="shared" si="12"/>
        <v>1251.0999999999999</v>
      </c>
      <c r="AD86" s="181">
        <v>1.2</v>
      </c>
      <c r="AE86" s="181">
        <v>1.2</v>
      </c>
      <c r="AF86" s="101" t="str">
        <f t="shared" si="17"/>
        <v/>
      </c>
      <c r="AG86" s="190">
        <v>0</v>
      </c>
      <c r="AH86" s="69">
        <f t="shared" si="18"/>
        <v>1</v>
      </c>
    </row>
    <row r="87" spans="1:34" s="69" customFormat="1" ht="33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>
        <v>9500.58</v>
      </c>
      <c r="I87" s="75">
        <v>9500.58</v>
      </c>
      <c r="J87" s="91" t="s">
        <v>250</v>
      </c>
      <c r="K87" s="73"/>
      <c r="L87" s="46">
        <v>0</v>
      </c>
      <c r="M87" s="46">
        <v>0</v>
      </c>
      <c r="N87" s="46">
        <v>0</v>
      </c>
      <c r="O87" s="98"/>
      <c r="P87" s="23" t="s">
        <v>1451</v>
      </c>
      <c r="Q87" s="24" t="s">
        <v>249</v>
      </c>
      <c r="R87" s="25" t="s">
        <v>81</v>
      </c>
      <c r="S87" s="26">
        <v>1</v>
      </c>
      <c r="T87" s="26"/>
      <c r="U87" s="26">
        <f t="shared" si="10"/>
        <v>9500.58</v>
      </c>
      <c r="V87" s="26">
        <f t="shared" si="13"/>
        <v>0</v>
      </c>
      <c r="W87" s="26">
        <f t="shared" si="14"/>
        <v>0</v>
      </c>
      <c r="X87" s="26">
        <f t="shared" si="11"/>
        <v>0</v>
      </c>
      <c r="Y87" s="26">
        <f t="shared" si="15"/>
        <v>0</v>
      </c>
      <c r="Z87" s="33" t="s">
        <v>15</v>
      </c>
      <c r="AA87" s="36" t="s">
        <v>16</v>
      </c>
      <c r="AB87" s="181">
        <f t="shared" si="16"/>
        <v>1</v>
      </c>
      <c r="AC87" s="181">
        <f t="shared" si="12"/>
        <v>9500.58</v>
      </c>
      <c r="AD87" s="181">
        <v>1.2</v>
      </c>
      <c r="AE87" s="181">
        <v>1.2</v>
      </c>
      <c r="AF87" s="101" t="str">
        <f t="shared" si="17"/>
        <v/>
      </c>
      <c r="AG87" s="190">
        <v>0</v>
      </c>
      <c r="AH87" s="69">
        <f t="shared" si="18"/>
        <v>1</v>
      </c>
    </row>
    <row r="88" spans="1:34" s="69" customFormat="1" ht="33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>
        <v>3871.43</v>
      </c>
      <c r="I88" s="75">
        <v>3871.43</v>
      </c>
      <c r="J88" s="91" t="s">
        <v>253</v>
      </c>
      <c r="K88" s="73"/>
      <c r="L88" s="46">
        <v>0</v>
      </c>
      <c r="M88" s="46">
        <v>0</v>
      </c>
      <c r="N88" s="46">
        <v>0</v>
      </c>
      <c r="O88" s="98"/>
      <c r="P88" s="23" t="s">
        <v>1452</v>
      </c>
      <c r="Q88" s="24" t="s">
        <v>252</v>
      </c>
      <c r="R88" s="25" t="s">
        <v>81</v>
      </c>
      <c r="S88" s="26">
        <v>1</v>
      </c>
      <c r="T88" s="26"/>
      <c r="U88" s="26">
        <f t="shared" si="10"/>
        <v>3871.43</v>
      </c>
      <c r="V88" s="26">
        <f t="shared" si="13"/>
        <v>0</v>
      </c>
      <c r="W88" s="26">
        <f t="shared" si="14"/>
        <v>0</v>
      </c>
      <c r="X88" s="26">
        <f t="shared" si="11"/>
        <v>0</v>
      </c>
      <c r="Y88" s="26">
        <f t="shared" si="15"/>
        <v>0</v>
      </c>
      <c r="Z88" s="33" t="s">
        <v>15</v>
      </c>
      <c r="AA88" s="36" t="s">
        <v>16</v>
      </c>
      <c r="AB88" s="181">
        <f t="shared" si="16"/>
        <v>1</v>
      </c>
      <c r="AC88" s="181">
        <f t="shared" si="12"/>
        <v>3871.43</v>
      </c>
      <c r="AD88" s="181">
        <v>1.2</v>
      </c>
      <c r="AE88" s="181">
        <v>1.2</v>
      </c>
      <c r="AF88" s="101" t="str">
        <f t="shared" si="17"/>
        <v/>
      </c>
      <c r="AG88" s="190">
        <v>0</v>
      </c>
      <c r="AH88" s="69">
        <f t="shared" si="18"/>
        <v>1</v>
      </c>
    </row>
    <row r="89" spans="1:34" s="69" customFormat="1" ht="33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>
        <v>25380.34</v>
      </c>
      <c r="I89" s="75">
        <v>25380.34</v>
      </c>
      <c r="J89" s="91" t="s">
        <v>256</v>
      </c>
      <c r="K89" s="73"/>
      <c r="L89" s="46">
        <v>0</v>
      </c>
      <c r="M89" s="46">
        <v>0</v>
      </c>
      <c r="N89" s="46">
        <v>0</v>
      </c>
      <c r="O89" s="98"/>
      <c r="P89" s="23" t="s">
        <v>1453</v>
      </c>
      <c r="Q89" s="24" t="s">
        <v>255</v>
      </c>
      <c r="R89" s="25" t="s">
        <v>81</v>
      </c>
      <c r="S89" s="26">
        <v>1</v>
      </c>
      <c r="T89" s="26"/>
      <c r="U89" s="26">
        <f t="shared" si="10"/>
        <v>25380.34</v>
      </c>
      <c r="V89" s="26">
        <f t="shared" si="13"/>
        <v>0</v>
      </c>
      <c r="W89" s="26">
        <f t="shared" si="14"/>
        <v>0</v>
      </c>
      <c r="X89" s="26">
        <f t="shared" si="11"/>
        <v>0</v>
      </c>
      <c r="Y89" s="26">
        <f t="shared" si="15"/>
        <v>0</v>
      </c>
      <c r="Z89" s="33" t="s">
        <v>15</v>
      </c>
      <c r="AA89" s="36" t="s">
        <v>16</v>
      </c>
      <c r="AB89" s="181">
        <f t="shared" si="16"/>
        <v>1</v>
      </c>
      <c r="AC89" s="181">
        <f t="shared" si="12"/>
        <v>25380.34</v>
      </c>
      <c r="AD89" s="181">
        <v>1.2</v>
      </c>
      <c r="AE89" s="181">
        <v>1.2</v>
      </c>
      <c r="AF89" s="101" t="str">
        <f t="shared" si="17"/>
        <v/>
      </c>
      <c r="AG89" s="190">
        <v>0</v>
      </c>
      <c r="AH89" s="69">
        <f t="shared" si="18"/>
        <v>1</v>
      </c>
    </row>
    <row r="90" spans="1:34" s="69" customFormat="1" ht="33" x14ac:dyDescent="0.3">
      <c r="A90" s="55" t="s">
        <v>257</v>
      </c>
      <c r="B90" s="53" t="s">
        <v>258</v>
      </c>
      <c r="C90" s="54" t="s">
        <v>30</v>
      </c>
      <c r="D90" s="75">
        <v>13.9</v>
      </c>
      <c r="E90" s="75"/>
      <c r="F90" s="75"/>
      <c r="G90" s="75"/>
      <c r="H90" s="75">
        <v>1285.31</v>
      </c>
      <c r="I90" s="75">
        <v>17865.810000000001</v>
      </c>
      <c r="J90" s="91" t="s">
        <v>259</v>
      </c>
      <c r="K90" s="73"/>
      <c r="L90" s="46">
        <v>0</v>
      </c>
      <c r="M90" s="46">
        <v>0</v>
      </c>
      <c r="N90" s="46">
        <v>0</v>
      </c>
      <c r="O90" s="98"/>
      <c r="P90" s="23" t="s">
        <v>1454</v>
      </c>
      <c r="Q90" s="24" t="s">
        <v>258</v>
      </c>
      <c r="R90" s="25" t="s">
        <v>30</v>
      </c>
      <c r="S90" s="26">
        <v>13.9</v>
      </c>
      <c r="T90" s="26"/>
      <c r="U90" s="26">
        <f t="shared" si="10"/>
        <v>1285.31</v>
      </c>
      <c r="V90" s="26">
        <f t="shared" si="13"/>
        <v>0</v>
      </c>
      <c r="W90" s="26">
        <f t="shared" si="14"/>
        <v>0</v>
      </c>
      <c r="X90" s="26">
        <f t="shared" si="11"/>
        <v>0</v>
      </c>
      <c r="Y90" s="26">
        <f t="shared" si="15"/>
        <v>0</v>
      </c>
      <c r="Z90" s="33" t="s">
        <v>15</v>
      </c>
      <c r="AA90" s="36" t="s">
        <v>16</v>
      </c>
      <c r="AB90" s="181">
        <f t="shared" si="16"/>
        <v>13.9</v>
      </c>
      <c r="AC90" s="181">
        <f t="shared" si="12"/>
        <v>17865.810000000001</v>
      </c>
      <c r="AD90" s="181">
        <v>1.2</v>
      </c>
      <c r="AE90" s="181">
        <v>1.2</v>
      </c>
      <c r="AF90" s="101" t="str">
        <f t="shared" si="17"/>
        <v/>
      </c>
      <c r="AG90" s="190">
        <v>0</v>
      </c>
      <c r="AH90" s="69">
        <f t="shared" si="18"/>
        <v>13.9</v>
      </c>
    </row>
    <row r="91" spans="1:34" s="69" customFormat="1" ht="33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>
        <v>1976.06</v>
      </c>
      <c r="I91" s="75">
        <v>186046.05</v>
      </c>
      <c r="J91" s="91" t="s">
        <v>262</v>
      </c>
      <c r="K91" s="73"/>
      <c r="L91" s="46">
        <v>0</v>
      </c>
      <c r="M91" s="46">
        <v>0</v>
      </c>
      <c r="N91" s="46">
        <v>0</v>
      </c>
      <c r="O91" s="98"/>
      <c r="P91" s="23" t="s">
        <v>1455</v>
      </c>
      <c r="Q91" s="24" t="s">
        <v>261</v>
      </c>
      <c r="R91" s="25" t="s">
        <v>30</v>
      </c>
      <c r="S91" s="26">
        <v>94.15</v>
      </c>
      <c r="T91" s="26"/>
      <c r="U91" s="26">
        <f t="shared" si="10"/>
        <v>1976.06</v>
      </c>
      <c r="V91" s="26">
        <f t="shared" si="13"/>
        <v>0</v>
      </c>
      <c r="W91" s="26">
        <f t="shared" si="14"/>
        <v>0</v>
      </c>
      <c r="X91" s="26">
        <f t="shared" si="11"/>
        <v>0</v>
      </c>
      <c r="Y91" s="26">
        <f t="shared" si="15"/>
        <v>0</v>
      </c>
      <c r="Z91" s="33" t="s">
        <v>15</v>
      </c>
      <c r="AA91" s="36" t="s">
        <v>16</v>
      </c>
      <c r="AB91" s="181">
        <f t="shared" si="16"/>
        <v>94.15</v>
      </c>
      <c r="AC91" s="181">
        <f t="shared" si="12"/>
        <v>186046.05</v>
      </c>
      <c r="AD91" s="181">
        <v>1.2</v>
      </c>
      <c r="AE91" s="181">
        <v>1.2</v>
      </c>
      <c r="AF91" s="101" t="str">
        <f t="shared" si="17"/>
        <v/>
      </c>
      <c r="AG91" s="190">
        <v>0</v>
      </c>
      <c r="AH91" s="69">
        <f t="shared" si="18"/>
        <v>94.15</v>
      </c>
    </row>
    <row r="92" spans="1:34" s="69" customFormat="1" ht="33" x14ac:dyDescent="0.3">
      <c r="A92" s="55" t="s">
        <v>263</v>
      </c>
      <c r="B92" s="53" t="s">
        <v>264</v>
      </c>
      <c r="C92" s="54" t="s">
        <v>30</v>
      </c>
      <c r="D92" s="75">
        <v>13.5</v>
      </c>
      <c r="E92" s="75"/>
      <c r="F92" s="75"/>
      <c r="G92" s="75"/>
      <c r="H92" s="75">
        <v>1889.54</v>
      </c>
      <c r="I92" s="75">
        <v>25508.79</v>
      </c>
      <c r="J92" s="91" t="s">
        <v>265</v>
      </c>
      <c r="K92" s="73"/>
      <c r="L92" s="46">
        <v>0</v>
      </c>
      <c r="M92" s="46">
        <v>0</v>
      </c>
      <c r="N92" s="46">
        <v>0</v>
      </c>
      <c r="O92" s="98"/>
      <c r="P92" s="23" t="s">
        <v>1456</v>
      </c>
      <c r="Q92" s="24" t="s">
        <v>264</v>
      </c>
      <c r="R92" s="25" t="s">
        <v>30</v>
      </c>
      <c r="S92" s="26">
        <v>13.5</v>
      </c>
      <c r="T92" s="26"/>
      <c r="U92" s="26">
        <f t="shared" si="10"/>
        <v>1889.54</v>
      </c>
      <c r="V92" s="26">
        <f t="shared" si="13"/>
        <v>0</v>
      </c>
      <c r="W92" s="26">
        <f t="shared" si="14"/>
        <v>0</v>
      </c>
      <c r="X92" s="26">
        <f t="shared" si="11"/>
        <v>0</v>
      </c>
      <c r="Y92" s="26">
        <f t="shared" si="15"/>
        <v>0</v>
      </c>
      <c r="Z92" s="33" t="s">
        <v>15</v>
      </c>
      <c r="AA92" s="36" t="s">
        <v>16</v>
      </c>
      <c r="AB92" s="181">
        <f t="shared" si="16"/>
        <v>13.5</v>
      </c>
      <c r="AC92" s="181">
        <f t="shared" si="12"/>
        <v>25508.79</v>
      </c>
      <c r="AD92" s="181">
        <v>1.2</v>
      </c>
      <c r="AE92" s="181">
        <v>1.2</v>
      </c>
      <c r="AF92" s="101" t="str">
        <f t="shared" si="17"/>
        <v/>
      </c>
      <c r="AG92" s="190">
        <v>0</v>
      </c>
      <c r="AH92" s="69">
        <f t="shared" si="18"/>
        <v>13.5</v>
      </c>
    </row>
    <row r="93" spans="1:34" s="69" customFormat="1" ht="33" x14ac:dyDescent="0.3">
      <c r="A93" s="55" t="s">
        <v>266</v>
      </c>
      <c r="B93" s="53" t="s">
        <v>267</v>
      </c>
      <c r="C93" s="54" t="s">
        <v>30</v>
      </c>
      <c r="D93" s="75">
        <v>13.7</v>
      </c>
      <c r="E93" s="75"/>
      <c r="F93" s="75"/>
      <c r="G93" s="75"/>
      <c r="H93" s="75">
        <v>1778.66</v>
      </c>
      <c r="I93" s="75">
        <v>24367.64</v>
      </c>
      <c r="J93" s="91" t="s">
        <v>268</v>
      </c>
      <c r="K93" s="73"/>
      <c r="L93" s="46">
        <v>0</v>
      </c>
      <c r="M93" s="46">
        <v>0</v>
      </c>
      <c r="N93" s="46">
        <v>0</v>
      </c>
      <c r="O93" s="98"/>
      <c r="P93" s="23" t="s">
        <v>1457</v>
      </c>
      <c r="Q93" s="24" t="s">
        <v>267</v>
      </c>
      <c r="R93" s="25" t="s">
        <v>30</v>
      </c>
      <c r="S93" s="26">
        <v>13.7</v>
      </c>
      <c r="T93" s="26"/>
      <c r="U93" s="26">
        <f t="shared" si="10"/>
        <v>1778.66</v>
      </c>
      <c r="V93" s="26">
        <f t="shared" si="13"/>
        <v>0</v>
      </c>
      <c r="W93" s="26">
        <f t="shared" si="14"/>
        <v>0</v>
      </c>
      <c r="X93" s="26">
        <f t="shared" si="11"/>
        <v>0</v>
      </c>
      <c r="Y93" s="26">
        <f t="shared" si="15"/>
        <v>0</v>
      </c>
      <c r="Z93" s="33" t="s">
        <v>15</v>
      </c>
      <c r="AA93" s="36" t="s">
        <v>16</v>
      </c>
      <c r="AB93" s="181">
        <f t="shared" si="16"/>
        <v>13.7</v>
      </c>
      <c r="AC93" s="181">
        <f t="shared" si="12"/>
        <v>24367.64</v>
      </c>
      <c r="AD93" s="181">
        <v>1.2</v>
      </c>
      <c r="AE93" s="181">
        <v>1.2</v>
      </c>
      <c r="AF93" s="101" t="str">
        <f t="shared" si="17"/>
        <v/>
      </c>
      <c r="AG93" s="190">
        <v>0</v>
      </c>
      <c r="AH93" s="69">
        <f t="shared" si="18"/>
        <v>13.7</v>
      </c>
    </row>
    <row r="94" spans="1:34" s="69" customFormat="1" ht="33" x14ac:dyDescent="0.3">
      <c r="A94" s="55" t="s">
        <v>269</v>
      </c>
      <c r="B94" s="53" t="s">
        <v>270</v>
      </c>
      <c r="C94" s="54" t="s">
        <v>30</v>
      </c>
      <c r="D94" s="75">
        <v>17.920000000000002</v>
      </c>
      <c r="E94" s="75"/>
      <c r="F94" s="75"/>
      <c r="G94" s="75"/>
      <c r="H94" s="75">
        <v>2939.14</v>
      </c>
      <c r="I94" s="75">
        <v>52669.39</v>
      </c>
      <c r="J94" s="91" t="s">
        <v>271</v>
      </c>
      <c r="K94" s="73"/>
      <c r="L94" s="46">
        <v>0</v>
      </c>
      <c r="M94" s="46">
        <v>0</v>
      </c>
      <c r="N94" s="46">
        <v>0</v>
      </c>
      <c r="O94" s="98"/>
      <c r="P94" s="23" t="s">
        <v>1458</v>
      </c>
      <c r="Q94" s="24" t="s">
        <v>270</v>
      </c>
      <c r="R94" s="25" t="s">
        <v>30</v>
      </c>
      <c r="S94" s="26">
        <v>17.920000000000002</v>
      </c>
      <c r="T94" s="26"/>
      <c r="U94" s="26">
        <f t="shared" si="10"/>
        <v>2939.14</v>
      </c>
      <c r="V94" s="26">
        <f t="shared" si="13"/>
        <v>0</v>
      </c>
      <c r="W94" s="26">
        <f t="shared" si="14"/>
        <v>0</v>
      </c>
      <c r="X94" s="26">
        <f t="shared" si="11"/>
        <v>0</v>
      </c>
      <c r="Y94" s="26">
        <f t="shared" si="15"/>
        <v>0</v>
      </c>
      <c r="Z94" s="33" t="s">
        <v>15</v>
      </c>
      <c r="AA94" s="36" t="s">
        <v>16</v>
      </c>
      <c r="AB94" s="181">
        <f t="shared" si="16"/>
        <v>17.920000000000002</v>
      </c>
      <c r="AC94" s="181">
        <f t="shared" si="12"/>
        <v>52669.39</v>
      </c>
      <c r="AD94" s="181">
        <v>1.2</v>
      </c>
      <c r="AE94" s="181">
        <v>1.2</v>
      </c>
      <c r="AF94" s="101" t="str">
        <f t="shared" si="17"/>
        <v/>
      </c>
      <c r="AG94" s="190">
        <v>0</v>
      </c>
      <c r="AH94" s="69">
        <f t="shared" si="18"/>
        <v>17.920000000000002</v>
      </c>
    </row>
    <row r="95" spans="1:34" s="69" customFormat="1" ht="33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>
        <v>23030.799999999999</v>
      </c>
      <c r="I95" s="75">
        <v>23030.799999999999</v>
      </c>
      <c r="J95" s="91" t="s">
        <v>274</v>
      </c>
      <c r="K95" s="73"/>
      <c r="L95" s="46">
        <v>0</v>
      </c>
      <c r="M95" s="46">
        <v>0</v>
      </c>
      <c r="N95" s="46">
        <v>0</v>
      </c>
      <c r="O95" s="98"/>
      <c r="P95" s="23" t="s">
        <v>1459</v>
      </c>
      <c r="Q95" s="24" t="s">
        <v>273</v>
      </c>
      <c r="R95" s="25" t="s">
        <v>81</v>
      </c>
      <c r="S95" s="26">
        <v>1</v>
      </c>
      <c r="T95" s="26"/>
      <c r="U95" s="26">
        <f t="shared" si="10"/>
        <v>23030.799999999999</v>
      </c>
      <c r="V95" s="26">
        <f t="shared" si="13"/>
        <v>0</v>
      </c>
      <c r="W95" s="26">
        <f t="shared" si="14"/>
        <v>0</v>
      </c>
      <c r="X95" s="26">
        <f t="shared" si="11"/>
        <v>0</v>
      </c>
      <c r="Y95" s="26">
        <f t="shared" si="15"/>
        <v>0</v>
      </c>
      <c r="Z95" s="33" t="s">
        <v>15</v>
      </c>
      <c r="AA95" s="36" t="s">
        <v>16</v>
      </c>
      <c r="AB95" s="181">
        <f t="shared" si="16"/>
        <v>1</v>
      </c>
      <c r="AC95" s="181">
        <f t="shared" si="12"/>
        <v>23030.799999999999</v>
      </c>
      <c r="AD95" s="181">
        <v>1.2</v>
      </c>
      <c r="AE95" s="181">
        <v>1.2</v>
      </c>
      <c r="AF95" s="101" t="str">
        <f t="shared" si="17"/>
        <v/>
      </c>
      <c r="AG95" s="190">
        <v>0</v>
      </c>
      <c r="AH95" s="69">
        <f t="shared" si="18"/>
        <v>1</v>
      </c>
    </row>
    <row r="96" spans="1:34" s="69" customFormat="1" ht="33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>
        <v>18605.919999999998</v>
      </c>
      <c r="I96" s="75">
        <v>37211.839999999997</v>
      </c>
      <c r="J96" s="91" t="s">
        <v>277</v>
      </c>
      <c r="K96" s="73"/>
      <c r="L96" s="46">
        <v>0</v>
      </c>
      <c r="M96" s="46">
        <v>0</v>
      </c>
      <c r="N96" s="46">
        <v>0</v>
      </c>
      <c r="O96" s="98"/>
      <c r="P96" s="23" t="s">
        <v>1460</v>
      </c>
      <c r="Q96" s="24" t="s">
        <v>276</v>
      </c>
      <c r="R96" s="25" t="s">
        <v>81</v>
      </c>
      <c r="S96" s="26">
        <v>2</v>
      </c>
      <c r="T96" s="26"/>
      <c r="U96" s="26">
        <f t="shared" si="10"/>
        <v>18605.919999999998</v>
      </c>
      <c r="V96" s="26">
        <f t="shared" si="13"/>
        <v>0</v>
      </c>
      <c r="W96" s="26">
        <f t="shared" si="14"/>
        <v>0</v>
      </c>
      <c r="X96" s="26">
        <f t="shared" si="11"/>
        <v>0</v>
      </c>
      <c r="Y96" s="26">
        <f t="shared" si="15"/>
        <v>0</v>
      </c>
      <c r="Z96" s="33" t="s">
        <v>15</v>
      </c>
      <c r="AA96" s="36" t="s">
        <v>16</v>
      </c>
      <c r="AB96" s="181">
        <f t="shared" si="16"/>
        <v>2</v>
      </c>
      <c r="AC96" s="181">
        <f t="shared" si="12"/>
        <v>37211.839999999997</v>
      </c>
      <c r="AD96" s="181">
        <v>1.2</v>
      </c>
      <c r="AE96" s="181">
        <v>1.2</v>
      </c>
      <c r="AF96" s="101" t="str">
        <f t="shared" si="17"/>
        <v/>
      </c>
      <c r="AG96" s="190">
        <v>0</v>
      </c>
      <c r="AH96" s="69">
        <f t="shared" si="18"/>
        <v>2</v>
      </c>
    </row>
    <row r="97" spans="1:34" s="69" customFormat="1" ht="33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>
        <v>18605.919999999998</v>
      </c>
      <c r="I97" s="75">
        <v>18605.919999999998</v>
      </c>
      <c r="J97" s="91" t="s">
        <v>280</v>
      </c>
      <c r="K97" s="73"/>
      <c r="L97" s="46">
        <v>0</v>
      </c>
      <c r="M97" s="46">
        <v>0</v>
      </c>
      <c r="N97" s="46">
        <v>0</v>
      </c>
      <c r="O97" s="98"/>
      <c r="P97" s="23" t="s">
        <v>1461</v>
      </c>
      <c r="Q97" s="24" t="s">
        <v>279</v>
      </c>
      <c r="R97" s="25" t="s">
        <v>81</v>
      </c>
      <c r="S97" s="26">
        <v>1</v>
      </c>
      <c r="T97" s="26"/>
      <c r="U97" s="26">
        <f t="shared" si="10"/>
        <v>18605.919999999998</v>
      </c>
      <c r="V97" s="26">
        <f t="shared" si="13"/>
        <v>0</v>
      </c>
      <c r="W97" s="26">
        <f t="shared" si="14"/>
        <v>0</v>
      </c>
      <c r="X97" s="26">
        <f t="shared" si="11"/>
        <v>0</v>
      </c>
      <c r="Y97" s="26">
        <f t="shared" si="15"/>
        <v>0</v>
      </c>
      <c r="Z97" s="33" t="s">
        <v>15</v>
      </c>
      <c r="AA97" s="36" t="s">
        <v>16</v>
      </c>
      <c r="AB97" s="181">
        <f t="shared" si="16"/>
        <v>1</v>
      </c>
      <c r="AC97" s="181">
        <f t="shared" si="12"/>
        <v>18605.919999999998</v>
      </c>
      <c r="AD97" s="181">
        <v>1.2</v>
      </c>
      <c r="AE97" s="181">
        <v>1.2</v>
      </c>
      <c r="AF97" s="101" t="str">
        <f t="shared" si="17"/>
        <v/>
      </c>
      <c r="AG97" s="190">
        <v>0</v>
      </c>
      <c r="AH97" s="69">
        <f t="shared" si="18"/>
        <v>1</v>
      </c>
    </row>
    <row r="98" spans="1:34" s="69" customFormat="1" ht="33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>
        <v>11655.48</v>
      </c>
      <c r="I98" s="75">
        <v>34966.44</v>
      </c>
      <c r="J98" s="91" t="s">
        <v>283</v>
      </c>
      <c r="K98" s="73"/>
      <c r="L98" s="46">
        <v>0</v>
      </c>
      <c r="M98" s="46">
        <v>0</v>
      </c>
      <c r="N98" s="46">
        <v>0</v>
      </c>
      <c r="O98" s="98"/>
      <c r="P98" s="23" t="s">
        <v>1462</v>
      </c>
      <c r="Q98" s="24" t="s">
        <v>282</v>
      </c>
      <c r="R98" s="25" t="s">
        <v>81</v>
      </c>
      <c r="S98" s="26">
        <v>3</v>
      </c>
      <c r="T98" s="26"/>
      <c r="U98" s="26">
        <f t="shared" si="10"/>
        <v>11655.48</v>
      </c>
      <c r="V98" s="26">
        <f t="shared" si="13"/>
        <v>0</v>
      </c>
      <c r="W98" s="26">
        <f t="shared" si="14"/>
        <v>0</v>
      </c>
      <c r="X98" s="26">
        <f t="shared" si="11"/>
        <v>0</v>
      </c>
      <c r="Y98" s="26">
        <f t="shared" si="15"/>
        <v>0</v>
      </c>
      <c r="Z98" s="33" t="s">
        <v>15</v>
      </c>
      <c r="AA98" s="36" t="s">
        <v>16</v>
      </c>
      <c r="AB98" s="181">
        <f t="shared" si="16"/>
        <v>3</v>
      </c>
      <c r="AC98" s="181">
        <f t="shared" si="12"/>
        <v>34966.44</v>
      </c>
      <c r="AD98" s="181">
        <v>1.2</v>
      </c>
      <c r="AE98" s="181">
        <v>1.2</v>
      </c>
      <c r="AF98" s="101" t="str">
        <f t="shared" si="17"/>
        <v/>
      </c>
      <c r="AG98" s="190">
        <v>0</v>
      </c>
      <c r="AH98" s="69">
        <f t="shared" si="18"/>
        <v>3</v>
      </c>
    </row>
    <row r="99" spans="1:34" s="69" customFormat="1" ht="33" x14ac:dyDescent="0.3">
      <c r="A99" s="55" t="s">
        <v>284</v>
      </c>
      <c r="B99" s="53" t="s">
        <v>285</v>
      </c>
      <c r="C99" s="54" t="s">
        <v>81</v>
      </c>
      <c r="D99" s="75">
        <v>4</v>
      </c>
      <c r="E99" s="75"/>
      <c r="F99" s="75"/>
      <c r="G99" s="75"/>
      <c r="H99" s="75">
        <v>25108.91</v>
      </c>
      <c r="I99" s="75">
        <v>100435.64</v>
      </c>
      <c r="J99" s="91" t="s">
        <v>286</v>
      </c>
      <c r="K99" s="73"/>
      <c r="L99" s="46">
        <v>0</v>
      </c>
      <c r="M99" s="46">
        <v>0</v>
      </c>
      <c r="N99" s="46">
        <v>0</v>
      </c>
      <c r="O99" s="98"/>
      <c r="P99" s="23" t="s">
        <v>1463</v>
      </c>
      <c r="Q99" s="24" t="s">
        <v>285</v>
      </c>
      <c r="R99" s="25" t="s">
        <v>81</v>
      </c>
      <c r="S99" s="26">
        <v>4</v>
      </c>
      <c r="T99" s="26"/>
      <c r="U99" s="26">
        <f t="shared" si="10"/>
        <v>25108.91</v>
      </c>
      <c r="V99" s="26">
        <f t="shared" si="13"/>
        <v>0</v>
      </c>
      <c r="W99" s="26">
        <f t="shared" si="14"/>
        <v>0</v>
      </c>
      <c r="X99" s="26">
        <f t="shared" si="11"/>
        <v>0</v>
      </c>
      <c r="Y99" s="26">
        <f t="shared" si="15"/>
        <v>0</v>
      </c>
      <c r="Z99" s="33" t="s">
        <v>15</v>
      </c>
      <c r="AA99" s="36" t="s">
        <v>16</v>
      </c>
      <c r="AB99" s="181">
        <f t="shared" si="16"/>
        <v>4</v>
      </c>
      <c r="AC99" s="181">
        <f t="shared" si="12"/>
        <v>100435.64</v>
      </c>
      <c r="AD99" s="181">
        <v>1.2</v>
      </c>
      <c r="AE99" s="181">
        <v>1.2</v>
      </c>
      <c r="AF99" s="101" t="str">
        <f t="shared" si="17"/>
        <v/>
      </c>
      <c r="AG99" s="190">
        <v>0</v>
      </c>
      <c r="AH99" s="69">
        <f t="shared" si="18"/>
        <v>4</v>
      </c>
    </row>
    <row r="100" spans="1:34" s="69" customFormat="1" ht="33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>
        <v>22416.92</v>
      </c>
      <c r="I100" s="75">
        <v>112084.6</v>
      </c>
      <c r="J100" s="91" t="s">
        <v>289</v>
      </c>
      <c r="K100" s="73"/>
      <c r="L100" s="46">
        <v>0</v>
      </c>
      <c r="M100" s="46">
        <v>0</v>
      </c>
      <c r="N100" s="46">
        <v>0</v>
      </c>
      <c r="O100" s="98"/>
      <c r="P100" s="23" t="s">
        <v>1464</v>
      </c>
      <c r="Q100" s="24" t="s">
        <v>288</v>
      </c>
      <c r="R100" s="25" t="s">
        <v>81</v>
      </c>
      <c r="S100" s="26">
        <v>5</v>
      </c>
      <c r="T100" s="26"/>
      <c r="U100" s="26">
        <f t="shared" si="10"/>
        <v>22416.92</v>
      </c>
      <c r="V100" s="26">
        <f t="shared" si="13"/>
        <v>0</v>
      </c>
      <c r="W100" s="26">
        <f t="shared" si="14"/>
        <v>0</v>
      </c>
      <c r="X100" s="26">
        <f t="shared" si="11"/>
        <v>0</v>
      </c>
      <c r="Y100" s="26">
        <f t="shared" si="15"/>
        <v>0</v>
      </c>
      <c r="Z100" s="33" t="s">
        <v>15</v>
      </c>
      <c r="AA100" s="36" t="s">
        <v>16</v>
      </c>
      <c r="AB100" s="181">
        <f t="shared" si="16"/>
        <v>5</v>
      </c>
      <c r="AC100" s="181">
        <f t="shared" si="12"/>
        <v>112084.6</v>
      </c>
      <c r="AD100" s="181">
        <v>1.2</v>
      </c>
      <c r="AE100" s="181">
        <v>1.2</v>
      </c>
      <c r="AF100" s="101" t="str">
        <f t="shared" si="17"/>
        <v/>
      </c>
      <c r="AG100" s="190">
        <v>0</v>
      </c>
      <c r="AH100" s="69">
        <f t="shared" si="18"/>
        <v>5</v>
      </c>
    </row>
    <row r="101" spans="1:34" s="69" customFormat="1" ht="33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>
        <v>21724.76</v>
      </c>
      <c r="I101" s="75">
        <v>21724.76</v>
      </c>
      <c r="J101" s="91" t="s">
        <v>292</v>
      </c>
      <c r="K101" s="73"/>
      <c r="L101" s="46">
        <v>0</v>
      </c>
      <c r="M101" s="46">
        <v>0</v>
      </c>
      <c r="N101" s="46">
        <v>0</v>
      </c>
      <c r="O101" s="98"/>
      <c r="P101" s="23" t="s">
        <v>1465</v>
      </c>
      <c r="Q101" s="24" t="s">
        <v>291</v>
      </c>
      <c r="R101" s="25" t="s">
        <v>81</v>
      </c>
      <c r="S101" s="26">
        <v>1</v>
      </c>
      <c r="T101" s="26"/>
      <c r="U101" s="26">
        <f t="shared" si="10"/>
        <v>21724.76</v>
      </c>
      <c r="V101" s="26">
        <f t="shared" si="13"/>
        <v>0</v>
      </c>
      <c r="W101" s="26">
        <f t="shared" si="14"/>
        <v>0</v>
      </c>
      <c r="X101" s="26">
        <f t="shared" si="11"/>
        <v>0</v>
      </c>
      <c r="Y101" s="26">
        <f t="shared" si="15"/>
        <v>0</v>
      </c>
      <c r="Z101" s="33" t="s">
        <v>15</v>
      </c>
      <c r="AA101" s="36" t="s">
        <v>16</v>
      </c>
      <c r="AB101" s="181">
        <f t="shared" si="16"/>
        <v>1</v>
      </c>
      <c r="AC101" s="181">
        <f t="shared" si="12"/>
        <v>21724.76</v>
      </c>
      <c r="AD101" s="181">
        <v>1.2</v>
      </c>
      <c r="AE101" s="181">
        <v>1.2</v>
      </c>
      <c r="AF101" s="101" t="str">
        <f t="shared" si="17"/>
        <v/>
      </c>
      <c r="AG101" s="190">
        <v>0</v>
      </c>
      <c r="AH101" s="69">
        <f t="shared" si="18"/>
        <v>1</v>
      </c>
    </row>
    <row r="102" spans="1:34" s="69" customFormat="1" ht="33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>
        <v>17341.04</v>
      </c>
      <c r="I102" s="75">
        <v>34682.080000000002</v>
      </c>
      <c r="J102" s="91" t="s">
        <v>295</v>
      </c>
      <c r="K102" s="73"/>
      <c r="L102" s="46">
        <v>0</v>
      </c>
      <c r="M102" s="46">
        <v>0</v>
      </c>
      <c r="N102" s="46">
        <v>0</v>
      </c>
      <c r="O102" s="98"/>
      <c r="P102" s="23" t="s">
        <v>1466</v>
      </c>
      <c r="Q102" s="24" t="s">
        <v>294</v>
      </c>
      <c r="R102" s="25" t="s">
        <v>81</v>
      </c>
      <c r="S102" s="26">
        <v>2</v>
      </c>
      <c r="T102" s="26"/>
      <c r="U102" s="26">
        <f t="shared" si="10"/>
        <v>17341.04</v>
      </c>
      <c r="V102" s="26">
        <f t="shared" si="13"/>
        <v>0</v>
      </c>
      <c r="W102" s="26">
        <f t="shared" si="14"/>
        <v>0</v>
      </c>
      <c r="X102" s="26">
        <f t="shared" si="11"/>
        <v>0</v>
      </c>
      <c r="Y102" s="26">
        <f t="shared" si="15"/>
        <v>0</v>
      </c>
      <c r="Z102" s="33" t="s">
        <v>15</v>
      </c>
      <c r="AA102" s="36" t="s">
        <v>16</v>
      </c>
      <c r="AB102" s="181">
        <f t="shared" si="16"/>
        <v>2</v>
      </c>
      <c r="AC102" s="181">
        <f t="shared" si="12"/>
        <v>34682.080000000002</v>
      </c>
      <c r="AD102" s="181">
        <v>1.2</v>
      </c>
      <c r="AE102" s="181">
        <v>1.2</v>
      </c>
      <c r="AF102" s="101" t="str">
        <f t="shared" si="17"/>
        <v/>
      </c>
      <c r="AG102" s="190">
        <v>0</v>
      </c>
      <c r="AH102" s="69">
        <f t="shared" si="18"/>
        <v>2</v>
      </c>
    </row>
    <row r="103" spans="1:34" s="69" customFormat="1" ht="33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>
        <v>17341.04</v>
      </c>
      <c r="I103" s="75">
        <v>17341.04</v>
      </c>
      <c r="J103" s="91" t="s">
        <v>298</v>
      </c>
      <c r="K103" s="73"/>
      <c r="L103" s="46">
        <v>0</v>
      </c>
      <c r="M103" s="46">
        <v>0</v>
      </c>
      <c r="N103" s="46">
        <v>0</v>
      </c>
      <c r="O103" s="98"/>
      <c r="P103" s="23" t="s">
        <v>1467</v>
      </c>
      <c r="Q103" s="24" t="s">
        <v>297</v>
      </c>
      <c r="R103" s="25" t="s">
        <v>81</v>
      </c>
      <c r="S103" s="26">
        <v>1</v>
      </c>
      <c r="T103" s="26"/>
      <c r="U103" s="26">
        <f t="shared" ref="U103:U166" si="19">H103</f>
        <v>17341.04</v>
      </c>
      <c r="V103" s="26">
        <f t="shared" si="13"/>
        <v>0</v>
      </c>
      <c r="W103" s="26">
        <f t="shared" si="14"/>
        <v>0</v>
      </c>
      <c r="X103" s="26">
        <f t="shared" ref="X103:X132" si="20">Y103-N103</f>
        <v>0</v>
      </c>
      <c r="Y103" s="26">
        <f t="shared" si="15"/>
        <v>0</v>
      </c>
      <c r="Z103" s="33" t="s">
        <v>15</v>
      </c>
      <c r="AA103" s="36" t="s">
        <v>16</v>
      </c>
      <c r="AB103" s="181">
        <f t="shared" si="16"/>
        <v>1</v>
      </c>
      <c r="AC103" s="181">
        <f t="shared" si="12"/>
        <v>17341.04</v>
      </c>
      <c r="AD103" s="181">
        <v>1.2</v>
      </c>
      <c r="AE103" s="181">
        <v>1.2</v>
      </c>
      <c r="AF103" s="101" t="str">
        <f t="shared" si="17"/>
        <v/>
      </c>
      <c r="AG103" s="190">
        <v>0</v>
      </c>
      <c r="AH103" s="69">
        <f t="shared" si="18"/>
        <v>1</v>
      </c>
    </row>
    <row r="104" spans="1:34" s="69" customFormat="1" ht="33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>
        <v>17341.04</v>
      </c>
      <c r="I104" s="75">
        <v>104046.24</v>
      </c>
      <c r="J104" s="91" t="s">
        <v>301</v>
      </c>
      <c r="K104" s="73"/>
      <c r="L104" s="46">
        <v>0</v>
      </c>
      <c r="M104" s="46">
        <v>0</v>
      </c>
      <c r="N104" s="46">
        <v>0</v>
      </c>
      <c r="O104" s="98"/>
      <c r="P104" s="23" t="s">
        <v>1468</v>
      </c>
      <c r="Q104" s="24" t="s">
        <v>300</v>
      </c>
      <c r="R104" s="25" t="s">
        <v>81</v>
      </c>
      <c r="S104" s="26">
        <v>6</v>
      </c>
      <c r="T104" s="26"/>
      <c r="U104" s="26">
        <f t="shared" si="19"/>
        <v>17341.04</v>
      </c>
      <c r="V104" s="26">
        <f t="shared" si="13"/>
        <v>0</v>
      </c>
      <c r="W104" s="26">
        <f t="shared" si="14"/>
        <v>0</v>
      </c>
      <c r="X104" s="26">
        <f t="shared" si="20"/>
        <v>0</v>
      </c>
      <c r="Y104" s="26">
        <f t="shared" si="15"/>
        <v>0</v>
      </c>
      <c r="Z104" s="33" t="s">
        <v>15</v>
      </c>
      <c r="AA104" s="36" t="s">
        <v>16</v>
      </c>
      <c r="AB104" s="181">
        <f t="shared" si="16"/>
        <v>6</v>
      </c>
      <c r="AC104" s="181">
        <f t="shared" ref="AC104:AC132" si="21">ROUND(U104*AB104,2)</f>
        <v>104046.24</v>
      </c>
      <c r="AD104" s="181">
        <v>1.2</v>
      </c>
      <c r="AE104" s="181">
        <v>1.2</v>
      </c>
      <c r="AF104" s="101" t="str">
        <f t="shared" si="17"/>
        <v/>
      </c>
      <c r="AG104" s="190">
        <v>0</v>
      </c>
      <c r="AH104" s="69">
        <f t="shared" si="18"/>
        <v>6</v>
      </c>
    </row>
    <row r="105" spans="1:34" s="69" customFormat="1" ht="33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>
        <v>17497.64</v>
      </c>
      <c r="I105" s="75">
        <v>34995.279999999999</v>
      </c>
      <c r="J105" s="91" t="s">
        <v>304</v>
      </c>
      <c r="K105" s="73"/>
      <c r="L105" s="46">
        <v>0</v>
      </c>
      <c r="M105" s="46">
        <v>0</v>
      </c>
      <c r="N105" s="46">
        <v>0</v>
      </c>
      <c r="O105" s="98"/>
      <c r="P105" s="23" t="s">
        <v>1469</v>
      </c>
      <c r="Q105" s="24" t="s">
        <v>303</v>
      </c>
      <c r="R105" s="25" t="s">
        <v>81</v>
      </c>
      <c r="S105" s="26">
        <v>2</v>
      </c>
      <c r="T105" s="26"/>
      <c r="U105" s="26">
        <f t="shared" si="19"/>
        <v>17497.64</v>
      </c>
      <c r="V105" s="26">
        <f t="shared" si="13"/>
        <v>0</v>
      </c>
      <c r="W105" s="26">
        <f t="shared" si="14"/>
        <v>0</v>
      </c>
      <c r="X105" s="26">
        <f t="shared" si="20"/>
        <v>0</v>
      </c>
      <c r="Y105" s="26">
        <f t="shared" si="15"/>
        <v>0</v>
      </c>
      <c r="Z105" s="33" t="s">
        <v>15</v>
      </c>
      <c r="AA105" s="36" t="s">
        <v>16</v>
      </c>
      <c r="AB105" s="181">
        <f t="shared" si="16"/>
        <v>2</v>
      </c>
      <c r="AC105" s="181">
        <f t="shared" si="21"/>
        <v>34995.279999999999</v>
      </c>
      <c r="AD105" s="181">
        <v>1.2</v>
      </c>
      <c r="AE105" s="181">
        <v>1.2</v>
      </c>
      <c r="AF105" s="101" t="str">
        <f t="shared" si="17"/>
        <v/>
      </c>
      <c r="AG105" s="190">
        <v>0</v>
      </c>
      <c r="AH105" s="69">
        <f t="shared" si="18"/>
        <v>2</v>
      </c>
    </row>
    <row r="106" spans="1:34" s="69" customFormat="1" ht="33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>
        <v>1501.74</v>
      </c>
      <c r="I106" s="75">
        <v>3003.48</v>
      </c>
      <c r="J106" s="91" t="s">
        <v>307</v>
      </c>
      <c r="K106" s="73"/>
      <c r="L106" s="46">
        <v>0</v>
      </c>
      <c r="M106" s="46">
        <v>0</v>
      </c>
      <c r="N106" s="46">
        <v>0</v>
      </c>
      <c r="O106" s="98"/>
      <c r="P106" s="23" t="s">
        <v>1470</v>
      </c>
      <c r="Q106" s="24" t="s">
        <v>306</v>
      </c>
      <c r="R106" s="25" t="s">
        <v>81</v>
      </c>
      <c r="S106" s="26">
        <v>2</v>
      </c>
      <c r="T106" s="26"/>
      <c r="U106" s="26">
        <f t="shared" si="19"/>
        <v>1501.74</v>
      </c>
      <c r="V106" s="26">
        <f t="shared" si="13"/>
        <v>0</v>
      </c>
      <c r="W106" s="26">
        <f t="shared" si="14"/>
        <v>0</v>
      </c>
      <c r="X106" s="26">
        <f t="shared" si="20"/>
        <v>0</v>
      </c>
      <c r="Y106" s="26">
        <f t="shared" si="15"/>
        <v>0</v>
      </c>
      <c r="Z106" s="33" t="s">
        <v>15</v>
      </c>
      <c r="AA106" s="36" t="s">
        <v>16</v>
      </c>
      <c r="AB106" s="181">
        <f t="shared" si="16"/>
        <v>2</v>
      </c>
      <c r="AC106" s="181">
        <f t="shared" si="21"/>
        <v>3003.48</v>
      </c>
      <c r="AD106" s="181">
        <v>1.2</v>
      </c>
      <c r="AE106" s="181">
        <v>1.2</v>
      </c>
      <c r="AF106" s="101" t="str">
        <f t="shared" si="17"/>
        <v/>
      </c>
      <c r="AG106" s="190">
        <v>0</v>
      </c>
      <c r="AH106" s="69">
        <f t="shared" si="18"/>
        <v>2</v>
      </c>
    </row>
    <row r="107" spans="1:34" s="69" customFormat="1" ht="33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>
        <v>994.98</v>
      </c>
      <c r="I107" s="75">
        <v>994.98</v>
      </c>
      <c r="J107" s="91" t="s">
        <v>310</v>
      </c>
      <c r="K107" s="73"/>
      <c r="L107" s="46">
        <v>0</v>
      </c>
      <c r="M107" s="46">
        <v>0</v>
      </c>
      <c r="N107" s="46">
        <v>0</v>
      </c>
      <c r="O107" s="98"/>
      <c r="P107" s="23" t="s">
        <v>1471</v>
      </c>
      <c r="Q107" s="24" t="s">
        <v>309</v>
      </c>
      <c r="R107" s="25" t="s">
        <v>81</v>
      </c>
      <c r="S107" s="26">
        <v>1</v>
      </c>
      <c r="T107" s="26"/>
      <c r="U107" s="26">
        <f t="shared" si="19"/>
        <v>994.98</v>
      </c>
      <c r="V107" s="26">
        <f t="shared" si="13"/>
        <v>0</v>
      </c>
      <c r="W107" s="26">
        <f t="shared" si="14"/>
        <v>0</v>
      </c>
      <c r="X107" s="26">
        <f t="shared" si="20"/>
        <v>0</v>
      </c>
      <c r="Y107" s="26">
        <f t="shared" si="15"/>
        <v>0</v>
      </c>
      <c r="Z107" s="33" t="s">
        <v>15</v>
      </c>
      <c r="AA107" s="36" t="s">
        <v>16</v>
      </c>
      <c r="AB107" s="181">
        <f t="shared" si="16"/>
        <v>1</v>
      </c>
      <c r="AC107" s="181">
        <f t="shared" si="21"/>
        <v>994.98</v>
      </c>
      <c r="AD107" s="181">
        <v>1.2</v>
      </c>
      <c r="AE107" s="181">
        <v>1.2</v>
      </c>
      <c r="AF107" s="101" t="str">
        <f t="shared" si="17"/>
        <v/>
      </c>
      <c r="AG107" s="190">
        <v>0</v>
      </c>
      <c r="AH107" s="69">
        <f t="shared" si="18"/>
        <v>1</v>
      </c>
    </row>
    <row r="108" spans="1:34" s="69" customFormat="1" ht="33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>
        <v>331.66</v>
      </c>
      <c r="I108" s="75">
        <v>3979.92</v>
      </c>
      <c r="J108" s="91" t="s">
        <v>313</v>
      </c>
      <c r="K108" s="73"/>
      <c r="L108" s="46">
        <v>0</v>
      </c>
      <c r="M108" s="46">
        <v>0</v>
      </c>
      <c r="N108" s="46">
        <v>0</v>
      </c>
      <c r="O108" s="98"/>
      <c r="P108" s="23" t="s">
        <v>1472</v>
      </c>
      <c r="Q108" s="24" t="s">
        <v>312</v>
      </c>
      <c r="R108" s="25" t="s">
        <v>81</v>
      </c>
      <c r="S108" s="26">
        <v>12</v>
      </c>
      <c r="T108" s="26"/>
      <c r="U108" s="26">
        <f t="shared" si="19"/>
        <v>331.66</v>
      </c>
      <c r="V108" s="26">
        <f t="shared" si="13"/>
        <v>0</v>
      </c>
      <c r="W108" s="26">
        <f t="shared" si="14"/>
        <v>0</v>
      </c>
      <c r="X108" s="26">
        <f t="shared" si="20"/>
        <v>0</v>
      </c>
      <c r="Y108" s="26">
        <f t="shared" si="15"/>
        <v>0</v>
      </c>
      <c r="Z108" s="33" t="s">
        <v>15</v>
      </c>
      <c r="AA108" s="36" t="s">
        <v>16</v>
      </c>
      <c r="AB108" s="181">
        <f t="shared" si="16"/>
        <v>12</v>
      </c>
      <c r="AC108" s="181">
        <f t="shared" si="21"/>
        <v>3979.92</v>
      </c>
      <c r="AD108" s="181">
        <v>1.2</v>
      </c>
      <c r="AE108" s="181">
        <v>1.2</v>
      </c>
      <c r="AF108" s="101" t="str">
        <f t="shared" si="17"/>
        <v/>
      </c>
      <c r="AG108" s="190">
        <v>0</v>
      </c>
      <c r="AH108" s="69">
        <f t="shared" si="18"/>
        <v>12</v>
      </c>
    </row>
    <row r="109" spans="1:34" s="69" customFormat="1" ht="33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>
        <v>1096.44</v>
      </c>
      <c r="I109" s="75">
        <v>2192.88</v>
      </c>
      <c r="J109" s="91" t="s">
        <v>316</v>
      </c>
      <c r="K109" s="73"/>
      <c r="L109" s="46">
        <v>0</v>
      </c>
      <c r="M109" s="46">
        <v>0</v>
      </c>
      <c r="N109" s="46">
        <v>0</v>
      </c>
      <c r="O109" s="98"/>
      <c r="P109" s="23" t="s">
        <v>1473</v>
      </c>
      <c r="Q109" s="24" t="s">
        <v>315</v>
      </c>
      <c r="R109" s="25" t="s">
        <v>81</v>
      </c>
      <c r="S109" s="26">
        <v>2</v>
      </c>
      <c r="T109" s="26"/>
      <c r="U109" s="26">
        <f t="shared" si="19"/>
        <v>1096.44</v>
      </c>
      <c r="V109" s="26">
        <f t="shared" si="13"/>
        <v>0</v>
      </c>
      <c r="W109" s="26">
        <f t="shared" si="14"/>
        <v>0</v>
      </c>
      <c r="X109" s="26">
        <f t="shared" si="20"/>
        <v>0</v>
      </c>
      <c r="Y109" s="26">
        <f t="shared" si="15"/>
        <v>0</v>
      </c>
      <c r="Z109" s="33" t="s">
        <v>15</v>
      </c>
      <c r="AA109" s="36" t="s">
        <v>16</v>
      </c>
      <c r="AB109" s="181">
        <f t="shared" si="16"/>
        <v>2</v>
      </c>
      <c r="AC109" s="181">
        <f t="shared" si="21"/>
        <v>2192.88</v>
      </c>
      <c r="AD109" s="181">
        <v>1.2</v>
      </c>
      <c r="AE109" s="181">
        <v>1.2</v>
      </c>
      <c r="AF109" s="101" t="str">
        <f t="shared" si="17"/>
        <v/>
      </c>
      <c r="AG109" s="190">
        <v>0</v>
      </c>
      <c r="AH109" s="69">
        <f t="shared" si="18"/>
        <v>2</v>
      </c>
    </row>
    <row r="110" spans="1:34" s="69" customFormat="1" ht="33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>
        <v>952.24</v>
      </c>
      <c r="I110" s="75">
        <v>3808.96</v>
      </c>
      <c r="J110" s="91" t="s">
        <v>319</v>
      </c>
      <c r="K110" s="73"/>
      <c r="L110" s="46">
        <v>0</v>
      </c>
      <c r="M110" s="46">
        <v>0</v>
      </c>
      <c r="N110" s="46">
        <v>0</v>
      </c>
      <c r="O110" s="98"/>
      <c r="P110" s="23" t="s">
        <v>1474</v>
      </c>
      <c r="Q110" s="24" t="s">
        <v>318</v>
      </c>
      <c r="R110" s="25" t="s">
        <v>81</v>
      </c>
      <c r="S110" s="26">
        <v>4</v>
      </c>
      <c r="T110" s="26"/>
      <c r="U110" s="26">
        <f t="shared" si="19"/>
        <v>952.24</v>
      </c>
      <c r="V110" s="26">
        <f t="shared" si="13"/>
        <v>0</v>
      </c>
      <c r="W110" s="26">
        <f t="shared" si="14"/>
        <v>0</v>
      </c>
      <c r="X110" s="26">
        <f t="shared" si="20"/>
        <v>0</v>
      </c>
      <c r="Y110" s="26">
        <f t="shared" si="15"/>
        <v>0</v>
      </c>
      <c r="Z110" s="33" t="s">
        <v>15</v>
      </c>
      <c r="AA110" s="36" t="s">
        <v>16</v>
      </c>
      <c r="AB110" s="181">
        <f t="shared" si="16"/>
        <v>4</v>
      </c>
      <c r="AC110" s="181">
        <f t="shared" si="21"/>
        <v>3808.96</v>
      </c>
      <c r="AD110" s="181">
        <v>1.2</v>
      </c>
      <c r="AE110" s="181">
        <v>1.2</v>
      </c>
      <c r="AF110" s="101" t="str">
        <f t="shared" si="17"/>
        <v/>
      </c>
      <c r="AG110" s="190">
        <v>0</v>
      </c>
      <c r="AH110" s="69">
        <f t="shared" si="18"/>
        <v>4</v>
      </c>
    </row>
    <row r="111" spans="1:34" s="69" customFormat="1" ht="58.5" x14ac:dyDescent="0.3">
      <c r="A111" s="55" t="s">
        <v>320</v>
      </c>
      <c r="B111" s="53" t="s">
        <v>321</v>
      </c>
      <c r="C111" s="54" t="s">
        <v>50</v>
      </c>
      <c r="D111" s="75">
        <v>676.98</v>
      </c>
      <c r="E111" s="75">
        <v>773.78</v>
      </c>
      <c r="F111" s="75"/>
      <c r="G111" s="75"/>
      <c r="H111" s="75">
        <v>647.70000000000005</v>
      </c>
      <c r="I111" s="75">
        <v>501177.31</v>
      </c>
      <c r="J111" s="91" t="s">
        <v>322</v>
      </c>
      <c r="K111" s="73"/>
      <c r="L111" s="46">
        <v>239.83</v>
      </c>
      <c r="M111" s="46">
        <v>0</v>
      </c>
      <c r="N111" s="46">
        <v>155337.89000000001</v>
      </c>
      <c r="O111" s="98"/>
      <c r="P111" s="23" t="s">
        <v>1475</v>
      </c>
      <c r="Q111" s="24" t="s">
        <v>321</v>
      </c>
      <c r="R111" s="25" t="s">
        <v>50</v>
      </c>
      <c r="S111" s="26">
        <v>676.98</v>
      </c>
      <c r="T111" s="26">
        <v>773.78</v>
      </c>
      <c r="U111" s="26">
        <f t="shared" si="19"/>
        <v>647.70000000000005</v>
      </c>
      <c r="V111" s="127">
        <f t="shared" si="13"/>
        <v>0</v>
      </c>
      <c r="W111" s="127">
        <f t="shared" si="14"/>
        <v>239.83</v>
      </c>
      <c r="X111" s="127">
        <f t="shared" si="20"/>
        <v>0</v>
      </c>
      <c r="Y111" s="127">
        <f t="shared" si="15"/>
        <v>155337.89000000001</v>
      </c>
      <c r="Z111" s="27" t="s">
        <v>15</v>
      </c>
      <c r="AA111" s="36" t="s">
        <v>16</v>
      </c>
      <c r="AB111" s="181">
        <f t="shared" si="16"/>
        <v>773.78</v>
      </c>
      <c r="AC111" s="181">
        <f t="shared" si="21"/>
        <v>501177.31</v>
      </c>
      <c r="AD111" s="181">
        <v>1.2</v>
      </c>
      <c r="AE111" s="181">
        <v>1.2</v>
      </c>
      <c r="AF111" s="101" t="str">
        <f t="shared" si="17"/>
        <v/>
      </c>
      <c r="AG111" s="190">
        <v>239.83</v>
      </c>
      <c r="AH111" s="69">
        <f t="shared" si="18"/>
        <v>773.78</v>
      </c>
    </row>
    <row r="112" spans="1:34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>
        <v>10413.299999999999</v>
      </c>
      <c r="I112" s="75">
        <v>20826.599999999999</v>
      </c>
      <c r="J112" s="91" t="s">
        <v>326</v>
      </c>
      <c r="K112" s="73"/>
      <c r="L112" s="46">
        <v>0</v>
      </c>
      <c r="M112" s="46">
        <v>0</v>
      </c>
      <c r="N112" s="46">
        <v>0</v>
      </c>
      <c r="O112" s="98"/>
      <c r="P112" s="23" t="s">
        <v>1476</v>
      </c>
      <c r="Q112" s="24" t="s">
        <v>324</v>
      </c>
      <c r="R112" s="25" t="s">
        <v>325</v>
      </c>
      <c r="S112" s="26">
        <v>2</v>
      </c>
      <c r="T112" s="26"/>
      <c r="U112" s="26">
        <f t="shared" si="19"/>
        <v>10413.299999999999</v>
      </c>
      <c r="V112" s="26">
        <f t="shared" si="13"/>
        <v>0</v>
      </c>
      <c r="W112" s="26">
        <f t="shared" si="14"/>
        <v>0</v>
      </c>
      <c r="X112" s="26">
        <f t="shared" si="20"/>
        <v>0</v>
      </c>
      <c r="Y112" s="26">
        <f t="shared" si="15"/>
        <v>0</v>
      </c>
      <c r="Z112" s="33" t="s">
        <v>15</v>
      </c>
      <c r="AA112" s="36" t="s">
        <v>16</v>
      </c>
      <c r="AB112" s="181">
        <f t="shared" si="16"/>
        <v>2</v>
      </c>
      <c r="AC112" s="181">
        <f t="shared" si="21"/>
        <v>20826.599999999999</v>
      </c>
      <c r="AD112" s="181">
        <v>1.2</v>
      </c>
      <c r="AE112" s="181">
        <v>1.2</v>
      </c>
      <c r="AF112" s="101" t="str">
        <f t="shared" si="17"/>
        <v/>
      </c>
      <c r="AG112" s="190">
        <v>0</v>
      </c>
      <c r="AH112" s="69">
        <f t="shared" si="18"/>
        <v>2</v>
      </c>
    </row>
    <row r="113" spans="1:34" s="69" customFormat="1" ht="33" x14ac:dyDescent="0.3">
      <c r="A113" s="55" t="s">
        <v>327</v>
      </c>
      <c r="B113" s="53" t="s">
        <v>328</v>
      </c>
      <c r="C113" s="54" t="s">
        <v>81</v>
      </c>
      <c r="D113" s="75">
        <v>1</v>
      </c>
      <c r="E113" s="75"/>
      <c r="F113" s="75"/>
      <c r="G113" s="75"/>
      <c r="H113" s="75">
        <v>101421.35</v>
      </c>
      <c r="I113" s="75">
        <v>101421.35</v>
      </c>
      <c r="J113" s="91" t="s">
        <v>329</v>
      </c>
      <c r="K113" s="73"/>
      <c r="L113" s="46">
        <v>0</v>
      </c>
      <c r="M113" s="46">
        <v>0</v>
      </c>
      <c r="N113" s="46">
        <v>0</v>
      </c>
      <c r="O113" s="98"/>
      <c r="P113" s="23" t="s">
        <v>1477</v>
      </c>
      <c r="Q113" s="24" t="s">
        <v>328</v>
      </c>
      <c r="R113" s="25" t="s">
        <v>81</v>
      </c>
      <c r="S113" s="26">
        <v>1</v>
      </c>
      <c r="T113" s="26"/>
      <c r="U113" s="26">
        <f t="shared" si="19"/>
        <v>101421.35</v>
      </c>
      <c r="V113" s="26">
        <f t="shared" si="13"/>
        <v>0</v>
      </c>
      <c r="W113" s="26">
        <f t="shared" si="14"/>
        <v>0</v>
      </c>
      <c r="X113" s="26">
        <f t="shared" si="20"/>
        <v>0</v>
      </c>
      <c r="Y113" s="26">
        <f t="shared" si="15"/>
        <v>0</v>
      </c>
      <c r="Z113" s="33" t="s">
        <v>15</v>
      </c>
      <c r="AA113" s="36" t="s">
        <v>16</v>
      </c>
      <c r="AB113" s="181">
        <f t="shared" si="16"/>
        <v>1</v>
      </c>
      <c r="AC113" s="181">
        <f t="shared" si="21"/>
        <v>101421.35</v>
      </c>
      <c r="AD113" s="181">
        <v>1.2</v>
      </c>
      <c r="AE113" s="181">
        <v>1.2</v>
      </c>
      <c r="AF113" s="101" t="str">
        <f t="shared" si="17"/>
        <v/>
      </c>
      <c r="AG113" s="190">
        <v>0</v>
      </c>
      <c r="AH113" s="69">
        <f t="shared" si="18"/>
        <v>1</v>
      </c>
    </row>
    <row r="114" spans="1:34" s="69" customFormat="1" ht="33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>
        <v>4575.26</v>
      </c>
      <c r="I114" s="75">
        <v>13725.78</v>
      </c>
      <c r="J114" s="91" t="s">
        <v>332</v>
      </c>
      <c r="K114" s="73"/>
      <c r="L114" s="46">
        <v>0</v>
      </c>
      <c r="M114" s="46">
        <v>0</v>
      </c>
      <c r="N114" s="46">
        <v>0</v>
      </c>
      <c r="O114" s="98"/>
      <c r="P114" s="23" t="s">
        <v>1478</v>
      </c>
      <c r="Q114" s="24" t="s">
        <v>331</v>
      </c>
      <c r="R114" s="25" t="s">
        <v>325</v>
      </c>
      <c r="S114" s="26">
        <v>3</v>
      </c>
      <c r="T114" s="26"/>
      <c r="U114" s="26">
        <f t="shared" si="19"/>
        <v>4575.26</v>
      </c>
      <c r="V114" s="26">
        <f t="shared" si="13"/>
        <v>0</v>
      </c>
      <c r="W114" s="26">
        <f t="shared" si="14"/>
        <v>0</v>
      </c>
      <c r="X114" s="26">
        <f t="shared" si="20"/>
        <v>0</v>
      </c>
      <c r="Y114" s="26">
        <f t="shared" si="15"/>
        <v>0</v>
      </c>
      <c r="Z114" s="33" t="s">
        <v>15</v>
      </c>
      <c r="AA114" s="36" t="s">
        <v>16</v>
      </c>
      <c r="AB114" s="181">
        <f t="shared" si="16"/>
        <v>3</v>
      </c>
      <c r="AC114" s="181">
        <f t="shared" si="21"/>
        <v>13725.78</v>
      </c>
      <c r="AD114" s="181">
        <v>1.2</v>
      </c>
      <c r="AE114" s="181">
        <v>1.2</v>
      </c>
      <c r="AF114" s="101" t="str">
        <f t="shared" si="17"/>
        <v/>
      </c>
      <c r="AG114" s="190">
        <v>0</v>
      </c>
      <c r="AH114" s="69">
        <f t="shared" si="18"/>
        <v>3</v>
      </c>
    </row>
    <row r="115" spans="1:34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>
        <v>12634.43</v>
      </c>
      <c r="I115" s="75">
        <v>12634.43</v>
      </c>
      <c r="J115" s="91" t="s">
        <v>335</v>
      </c>
      <c r="K115" s="73"/>
      <c r="L115" s="46">
        <v>0</v>
      </c>
      <c r="M115" s="46">
        <v>0</v>
      </c>
      <c r="N115" s="46">
        <v>0</v>
      </c>
      <c r="O115" s="98"/>
      <c r="P115" s="23" t="s">
        <v>1479</v>
      </c>
      <c r="Q115" s="24" t="s">
        <v>334</v>
      </c>
      <c r="R115" s="25" t="s">
        <v>81</v>
      </c>
      <c r="S115" s="26">
        <v>1</v>
      </c>
      <c r="T115" s="26"/>
      <c r="U115" s="26">
        <f t="shared" si="19"/>
        <v>12634.43</v>
      </c>
      <c r="V115" s="26">
        <f t="shared" si="13"/>
        <v>0</v>
      </c>
      <c r="W115" s="26">
        <f t="shared" si="14"/>
        <v>0</v>
      </c>
      <c r="X115" s="26">
        <f t="shared" si="20"/>
        <v>0</v>
      </c>
      <c r="Y115" s="26">
        <f t="shared" si="15"/>
        <v>0</v>
      </c>
      <c r="Z115" s="33" t="s">
        <v>15</v>
      </c>
      <c r="AA115" s="36" t="s">
        <v>16</v>
      </c>
      <c r="AB115" s="181">
        <f t="shared" si="16"/>
        <v>1</v>
      </c>
      <c r="AC115" s="181">
        <f t="shared" si="21"/>
        <v>12634.43</v>
      </c>
      <c r="AD115" s="181">
        <v>1.2</v>
      </c>
      <c r="AE115" s="181">
        <v>1.2</v>
      </c>
      <c r="AF115" s="101" t="str">
        <f t="shared" si="17"/>
        <v/>
      </c>
      <c r="AG115" s="190">
        <v>0</v>
      </c>
      <c r="AH115" s="69">
        <f t="shared" si="18"/>
        <v>1</v>
      </c>
    </row>
    <row r="116" spans="1:34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>
        <v>15300</v>
      </c>
      <c r="I116" s="75">
        <v>974304</v>
      </c>
      <c r="J116" s="91" t="s">
        <v>339</v>
      </c>
      <c r="K116" s="73"/>
      <c r="L116" s="46">
        <v>0</v>
      </c>
      <c r="M116" s="46">
        <v>0</v>
      </c>
      <c r="N116" s="46">
        <v>0</v>
      </c>
      <c r="O116" s="98"/>
      <c r="P116" s="23" t="s">
        <v>1480</v>
      </c>
      <c r="Q116" s="24" t="s">
        <v>337</v>
      </c>
      <c r="R116" s="25" t="s">
        <v>338</v>
      </c>
      <c r="S116" s="26">
        <v>63.68</v>
      </c>
      <c r="T116" s="26"/>
      <c r="U116" s="26">
        <f t="shared" si="19"/>
        <v>15300</v>
      </c>
      <c r="V116" s="26">
        <f t="shared" si="13"/>
        <v>0</v>
      </c>
      <c r="W116" s="26">
        <f t="shared" si="14"/>
        <v>0</v>
      </c>
      <c r="X116" s="26">
        <f t="shared" si="20"/>
        <v>0</v>
      </c>
      <c r="Y116" s="26">
        <f t="shared" si="15"/>
        <v>0</v>
      </c>
      <c r="Z116" s="33" t="s">
        <v>15</v>
      </c>
      <c r="AA116" s="36" t="s">
        <v>16</v>
      </c>
      <c r="AB116" s="181">
        <f t="shared" si="16"/>
        <v>63.68</v>
      </c>
      <c r="AC116" s="181">
        <f t="shared" si="21"/>
        <v>974304</v>
      </c>
      <c r="AD116" s="181">
        <v>1.2</v>
      </c>
      <c r="AE116" s="181">
        <v>1.2</v>
      </c>
      <c r="AF116" s="101" t="str">
        <f t="shared" si="17"/>
        <v/>
      </c>
      <c r="AG116" s="190">
        <v>0</v>
      </c>
      <c r="AH116" s="69">
        <f t="shared" si="18"/>
        <v>63.68</v>
      </c>
    </row>
    <row r="117" spans="1:34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>
        <v>4498.58</v>
      </c>
      <c r="I117" s="75">
        <v>278911.96000000002</v>
      </c>
      <c r="J117" s="91" t="s">
        <v>342</v>
      </c>
      <c r="K117" s="73"/>
      <c r="L117" s="46">
        <v>0</v>
      </c>
      <c r="M117" s="46">
        <v>0</v>
      </c>
      <c r="N117" s="46">
        <v>0</v>
      </c>
      <c r="O117" s="98"/>
      <c r="P117" s="23" t="s">
        <v>1481</v>
      </c>
      <c r="Q117" s="24" t="s">
        <v>341</v>
      </c>
      <c r="R117" s="25" t="s">
        <v>81</v>
      </c>
      <c r="S117" s="26">
        <v>62</v>
      </c>
      <c r="T117" s="26"/>
      <c r="U117" s="26">
        <f t="shared" si="19"/>
        <v>4498.58</v>
      </c>
      <c r="V117" s="128">
        <f t="shared" si="13"/>
        <v>8</v>
      </c>
      <c r="W117" s="26">
        <f t="shared" si="14"/>
        <v>8</v>
      </c>
      <c r="X117" s="26">
        <f t="shared" si="20"/>
        <v>35988.639999999999</v>
      </c>
      <c r="Y117" s="26">
        <f t="shared" si="15"/>
        <v>35988.639999999999</v>
      </c>
      <c r="Z117" s="33" t="s">
        <v>15</v>
      </c>
      <c r="AA117" s="36" t="s">
        <v>16</v>
      </c>
      <c r="AB117" s="181">
        <f t="shared" si="16"/>
        <v>62</v>
      </c>
      <c r="AC117" s="181">
        <f t="shared" si="21"/>
        <v>278911.96000000002</v>
      </c>
      <c r="AD117" s="181">
        <v>1.2</v>
      </c>
      <c r="AE117" s="181">
        <v>1.2</v>
      </c>
      <c r="AF117" s="101" t="str">
        <f t="shared" si="17"/>
        <v/>
      </c>
      <c r="AG117" s="190">
        <v>8</v>
      </c>
      <c r="AH117" s="69">
        <f t="shared" si="18"/>
        <v>62</v>
      </c>
    </row>
    <row r="118" spans="1:34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>
        <v>3353.68</v>
      </c>
      <c r="I118" s="75">
        <v>50305.2</v>
      </c>
      <c r="J118" s="91" t="s">
        <v>345</v>
      </c>
      <c r="K118" s="73"/>
      <c r="L118" s="46">
        <v>0</v>
      </c>
      <c r="M118" s="46">
        <v>0</v>
      </c>
      <c r="N118" s="46">
        <v>0</v>
      </c>
      <c r="O118" s="98"/>
      <c r="P118" s="23" t="s">
        <v>1482</v>
      </c>
      <c r="Q118" s="24" t="s">
        <v>344</v>
      </c>
      <c r="R118" s="25" t="s">
        <v>81</v>
      </c>
      <c r="S118" s="26">
        <v>15</v>
      </c>
      <c r="T118" s="26"/>
      <c r="U118" s="26">
        <f t="shared" si="19"/>
        <v>3353.68</v>
      </c>
      <c r="V118" s="26">
        <f t="shared" si="13"/>
        <v>0</v>
      </c>
      <c r="W118" s="26">
        <f t="shared" si="14"/>
        <v>0</v>
      </c>
      <c r="X118" s="26">
        <f t="shared" si="20"/>
        <v>0</v>
      </c>
      <c r="Y118" s="26">
        <f t="shared" si="15"/>
        <v>0</v>
      </c>
      <c r="Z118" s="33" t="s">
        <v>15</v>
      </c>
      <c r="AA118" s="36" t="s">
        <v>16</v>
      </c>
      <c r="AB118" s="181">
        <f t="shared" si="16"/>
        <v>15</v>
      </c>
      <c r="AC118" s="181">
        <f t="shared" si="21"/>
        <v>50305.2</v>
      </c>
      <c r="AD118" s="181">
        <v>1.2</v>
      </c>
      <c r="AE118" s="181">
        <v>1.2</v>
      </c>
      <c r="AF118" s="101" t="str">
        <f t="shared" si="17"/>
        <v/>
      </c>
      <c r="AG118" s="190">
        <v>0</v>
      </c>
      <c r="AH118" s="69">
        <f t="shared" si="18"/>
        <v>15</v>
      </c>
    </row>
    <row r="119" spans="1:34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>
        <v>9874.4</v>
      </c>
      <c r="I119" s="75">
        <v>128367.2</v>
      </c>
      <c r="J119" s="91" t="s">
        <v>348</v>
      </c>
      <c r="K119" s="73"/>
      <c r="L119" s="46">
        <v>0</v>
      </c>
      <c r="M119" s="46">
        <v>0</v>
      </c>
      <c r="N119" s="46">
        <v>0</v>
      </c>
      <c r="O119" s="98"/>
      <c r="P119" s="23" t="s">
        <v>1483</v>
      </c>
      <c r="Q119" s="24" t="s">
        <v>347</v>
      </c>
      <c r="R119" s="25" t="s">
        <v>30</v>
      </c>
      <c r="S119" s="26">
        <v>13</v>
      </c>
      <c r="T119" s="26"/>
      <c r="U119" s="26">
        <f t="shared" si="19"/>
        <v>9874.4</v>
      </c>
      <c r="V119" s="26">
        <f t="shared" si="13"/>
        <v>0</v>
      </c>
      <c r="W119" s="26">
        <f t="shared" si="14"/>
        <v>0</v>
      </c>
      <c r="X119" s="26">
        <f t="shared" si="20"/>
        <v>0</v>
      </c>
      <c r="Y119" s="26">
        <f t="shared" si="15"/>
        <v>0</v>
      </c>
      <c r="Z119" s="33" t="s">
        <v>15</v>
      </c>
      <c r="AA119" s="36" t="s">
        <v>16</v>
      </c>
      <c r="AB119" s="181">
        <f t="shared" si="16"/>
        <v>13</v>
      </c>
      <c r="AC119" s="181">
        <f t="shared" si="21"/>
        <v>128367.2</v>
      </c>
      <c r="AD119" s="181">
        <v>1.2</v>
      </c>
      <c r="AE119" s="181">
        <v>1.2</v>
      </c>
      <c r="AF119" s="101" t="str">
        <f t="shared" si="17"/>
        <v/>
      </c>
      <c r="AG119" s="190">
        <v>0</v>
      </c>
      <c r="AH119" s="69">
        <f t="shared" si="18"/>
        <v>13</v>
      </c>
    </row>
    <row r="120" spans="1:34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>
        <v>6554.37</v>
      </c>
      <c r="I120" s="75">
        <v>273317.23</v>
      </c>
      <c r="J120" s="91" t="s">
        <v>351</v>
      </c>
      <c r="K120" s="73"/>
      <c r="L120" s="46">
        <v>0</v>
      </c>
      <c r="M120" s="46">
        <v>0</v>
      </c>
      <c r="N120" s="46">
        <v>0</v>
      </c>
      <c r="O120" s="98"/>
      <c r="P120" s="23" t="s">
        <v>1484</v>
      </c>
      <c r="Q120" s="24" t="s">
        <v>350</v>
      </c>
      <c r="R120" s="25" t="s">
        <v>30</v>
      </c>
      <c r="S120" s="26">
        <v>41.7</v>
      </c>
      <c r="T120" s="26"/>
      <c r="U120" s="26">
        <f t="shared" si="19"/>
        <v>6554.37</v>
      </c>
      <c r="V120" s="26">
        <f t="shared" si="13"/>
        <v>0</v>
      </c>
      <c r="W120" s="26">
        <f t="shared" si="14"/>
        <v>0</v>
      </c>
      <c r="X120" s="26">
        <f t="shared" si="20"/>
        <v>0</v>
      </c>
      <c r="Y120" s="26">
        <f t="shared" si="15"/>
        <v>0</v>
      </c>
      <c r="Z120" s="33" t="s">
        <v>15</v>
      </c>
      <c r="AA120" s="36" t="s">
        <v>16</v>
      </c>
      <c r="AB120" s="181">
        <f t="shared" si="16"/>
        <v>41.7</v>
      </c>
      <c r="AC120" s="181">
        <f t="shared" si="21"/>
        <v>273317.23</v>
      </c>
      <c r="AD120" s="181">
        <v>1.2</v>
      </c>
      <c r="AE120" s="181">
        <v>1.2</v>
      </c>
      <c r="AF120" s="101" t="str">
        <f t="shared" si="17"/>
        <v/>
      </c>
      <c r="AG120" s="190">
        <v>0</v>
      </c>
      <c r="AH120" s="69">
        <f t="shared" si="18"/>
        <v>41.7</v>
      </c>
    </row>
    <row r="121" spans="1:34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>
        <v>8390.73</v>
      </c>
      <c r="I121" s="75">
        <v>10907.95</v>
      </c>
      <c r="J121" s="91" t="s">
        <v>354</v>
      </c>
      <c r="K121" s="73"/>
      <c r="L121" s="46">
        <v>0</v>
      </c>
      <c r="M121" s="46">
        <v>0</v>
      </c>
      <c r="N121" s="46">
        <v>0</v>
      </c>
      <c r="O121" s="98"/>
      <c r="P121" s="23" t="s">
        <v>1485</v>
      </c>
      <c r="Q121" s="24" t="s">
        <v>353</v>
      </c>
      <c r="R121" s="25" t="s">
        <v>30</v>
      </c>
      <c r="S121" s="26">
        <v>1.3</v>
      </c>
      <c r="T121" s="26"/>
      <c r="U121" s="26">
        <f t="shared" si="19"/>
        <v>8390.73</v>
      </c>
      <c r="V121" s="26">
        <f t="shared" si="13"/>
        <v>0</v>
      </c>
      <c r="W121" s="26">
        <f t="shared" si="14"/>
        <v>0</v>
      </c>
      <c r="X121" s="26">
        <f t="shared" si="20"/>
        <v>0</v>
      </c>
      <c r="Y121" s="26">
        <f t="shared" si="15"/>
        <v>0</v>
      </c>
      <c r="Z121" s="33" t="s">
        <v>15</v>
      </c>
      <c r="AA121" s="36" t="s">
        <v>16</v>
      </c>
      <c r="AB121" s="181">
        <f t="shared" si="16"/>
        <v>1.3</v>
      </c>
      <c r="AC121" s="181">
        <f t="shared" si="21"/>
        <v>10907.95</v>
      </c>
      <c r="AD121" s="181">
        <v>1.2</v>
      </c>
      <c r="AE121" s="181">
        <v>1.2</v>
      </c>
      <c r="AF121" s="101" t="str">
        <f t="shared" si="17"/>
        <v/>
      </c>
      <c r="AG121" s="190">
        <v>0</v>
      </c>
      <c r="AH121" s="69">
        <f t="shared" si="18"/>
        <v>1.3</v>
      </c>
    </row>
    <row r="122" spans="1:34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>
        <v>671.99</v>
      </c>
      <c r="I122" s="75">
        <v>82184.38</v>
      </c>
      <c r="J122" s="91" t="s">
        <v>357</v>
      </c>
      <c r="K122" s="73"/>
      <c r="L122" s="46">
        <v>0</v>
      </c>
      <c r="M122" s="46">
        <v>0</v>
      </c>
      <c r="N122" s="46">
        <v>0</v>
      </c>
      <c r="O122" s="98"/>
      <c r="P122" s="23" t="s">
        <v>1486</v>
      </c>
      <c r="Q122" s="24" t="s">
        <v>356</v>
      </c>
      <c r="R122" s="25" t="s">
        <v>30</v>
      </c>
      <c r="S122" s="26">
        <v>122.3</v>
      </c>
      <c r="T122" s="26"/>
      <c r="U122" s="26">
        <f t="shared" si="19"/>
        <v>671.99</v>
      </c>
      <c r="V122" s="26">
        <f t="shared" si="13"/>
        <v>0</v>
      </c>
      <c r="W122" s="26">
        <f t="shared" si="14"/>
        <v>0</v>
      </c>
      <c r="X122" s="26">
        <f t="shared" si="20"/>
        <v>0</v>
      </c>
      <c r="Y122" s="26">
        <f t="shared" si="15"/>
        <v>0</v>
      </c>
      <c r="Z122" s="33" t="s">
        <v>15</v>
      </c>
      <c r="AA122" s="36" t="s">
        <v>16</v>
      </c>
      <c r="AB122" s="181">
        <f t="shared" si="16"/>
        <v>122.3</v>
      </c>
      <c r="AC122" s="181">
        <f t="shared" si="21"/>
        <v>82184.38</v>
      </c>
      <c r="AD122" s="181">
        <v>1.2</v>
      </c>
      <c r="AE122" s="181">
        <v>1.2</v>
      </c>
      <c r="AF122" s="101" t="str">
        <f t="shared" si="17"/>
        <v/>
      </c>
      <c r="AG122" s="190">
        <v>0</v>
      </c>
      <c r="AH122" s="69">
        <f t="shared" si="18"/>
        <v>122.3</v>
      </c>
    </row>
    <row r="123" spans="1:34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>
        <v>935.67</v>
      </c>
      <c r="I123" s="75">
        <v>94512.03</v>
      </c>
      <c r="J123" s="91" t="s">
        <v>360</v>
      </c>
      <c r="K123" s="73"/>
      <c r="L123" s="46">
        <v>0</v>
      </c>
      <c r="M123" s="46">
        <v>0</v>
      </c>
      <c r="N123" s="46">
        <v>0</v>
      </c>
      <c r="O123" s="98"/>
      <c r="P123" s="23" t="s">
        <v>1487</v>
      </c>
      <c r="Q123" s="24" t="s">
        <v>359</v>
      </c>
      <c r="R123" s="25" t="s">
        <v>30</v>
      </c>
      <c r="S123" s="26">
        <v>101.01</v>
      </c>
      <c r="T123" s="26"/>
      <c r="U123" s="26">
        <f t="shared" si="19"/>
        <v>935.67</v>
      </c>
      <c r="V123" s="26">
        <f t="shared" si="13"/>
        <v>0</v>
      </c>
      <c r="W123" s="26">
        <f t="shared" si="14"/>
        <v>0</v>
      </c>
      <c r="X123" s="26">
        <f t="shared" si="20"/>
        <v>0</v>
      </c>
      <c r="Y123" s="26">
        <f t="shared" si="15"/>
        <v>0</v>
      </c>
      <c r="Z123" s="33" t="s">
        <v>15</v>
      </c>
      <c r="AA123" s="36" t="s">
        <v>16</v>
      </c>
      <c r="AB123" s="181">
        <f t="shared" si="16"/>
        <v>101.01</v>
      </c>
      <c r="AC123" s="181">
        <f t="shared" si="21"/>
        <v>94512.03</v>
      </c>
      <c r="AD123" s="181">
        <v>1.2</v>
      </c>
      <c r="AE123" s="181">
        <v>1.2</v>
      </c>
      <c r="AF123" s="101" t="str">
        <f t="shared" si="17"/>
        <v/>
      </c>
      <c r="AG123" s="190">
        <v>0</v>
      </c>
      <c r="AH123" s="69">
        <f t="shared" si="18"/>
        <v>101.01</v>
      </c>
    </row>
    <row r="124" spans="1:34" s="69" customFormat="1" ht="33" x14ac:dyDescent="0.3">
      <c r="A124" s="55" t="s">
        <v>361</v>
      </c>
      <c r="B124" s="53" t="s">
        <v>362</v>
      </c>
      <c r="C124" s="54" t="s">
        <v>30</v>
      </c>
      <c r="D124" s="75">
        <v>489</v>
      </c>
      <c r="E124" s="75"/>
      <c r="F124" s="75"/>
      <c r="G124" s="75"/>
      <c r="H124" s="75">
        <v>658.31</v>
      </c>
      <c r="I124" s="75">
        <v>321913.59000000003</v>
      </c>
      <c r="J124" s="91" t="s">
        <v>363</v>
      </c>
      <c r="K124" s="73"/>
      <c r="L124" s="46">
        <v>0</v>
      </c>
      <c r="M124" s="46">
        <v>0</v>
      </c>
      <c r="N124" s="46">
        <v>0</v>
      </c>
      <c r="O124" s="98"/>
      <c r="P124" s="23" t="s">
        <v>1488</v>
      </c>
      <c r="Q124" s="24" t="s">
        <v>362</v>
      </c>
      <c r="R124" s="25" t="s">
        <v>30</v>
      </c>
      <c r="S124" s="26">
        <v>489</v>
      </c>
      <c r="T124" s="26"/>
      <c r="U124" s="26">
        <f t="shared" si="19"/>
        <v>658.31</v>
      </c>
      <c r="V124" s="128">
        <f t="shared" si="13"/>
        <v>30</v>
      </c>
      <c r="W124" s="26">
        <f t="shared" si="14"/>
        <v>30</v>
      </c>
      <c r="X124" s="26">
        <f t="shared" si="20"/>
        <v>19749.3</v>
      </c>
      <c r="Y124" s="26">
        <f t="shared" si="15"/>
        <v>19749.3</v>
      </c>
      <c r="Z124" s="33" t="s">
        <v>15</v>
      </c>
      <c r="AA124" s="36" t="s">
        <v>16</v>
      </c>
      <c r="AB124" s="181">
        <f t="shared" si="16"/>
        <v>489</v>
      </c>
      <c r="AC124" s="181">
        <f t="shared" si="21"/>
        <v>321913.59000000003</v>
      </c>
      <c r="AD124" s="181">
        <v>1.2</v>
      </c>
      <c r="AE124" s="181">
        <v>1.2</v>
      </c>
      <c r="AF124" s="101" t="str">
        <f t="shared" si="17"/>
        <v/>
      </c>
      <c r="AG124" s="190">
        <v>30</v>
      </c>
      <c r="AH124" s="69">
        <f t="shared" si="18"/>
        <v>489</v>
      </c>
    </row>
    <row r="125" spans="1:34" s="69" customFormat="1" ht="33" x14ac:dyDescent="0.3">
      <c r="A125" s="55" t="s">
        <v>364</v>
      </c>
      <c r="B125" s="53" t="s">
        <v>3111</v>
      </c>
      <c r="C125" s="54" t="s">
        <v>30</v>
      </c>
      <c r="D125" s="75">
        <v>216</v>
      </c>
      <c r="E125" s="75"/>
      <c r="F125" s="75"/>
      <c r="G125" s="75"/>
      <c r="H125" s="75">
        <v>730.41</v>
      </c>
      <c r="I125" s="75">
        <v>157768.56</v>
      </c>
      <c r="J125" s="91" t="s">
        <v>366</v>
      </c>
      <c r="K125" s="73"/>
      <c r="L125" s="46">
        <v>0</v>
      </c>
      <c r="M125" s="46">
        <v>0</v>
      </c>
      <c r="N125" s="46">
        <v>0</v>
      </c>
      <c r="O125" s="98"/>
      <c r="P125" s="23" t="s">
        <v>1489</v>
      </c>
      <c r="Q125" s="24" t="s">
        <v>365</v>
      </c>
      <c r="R125" s="25" t="s">
        <v>30</v>
      </c>
      <c r="S125" s="26">
        <v>216</v>
      </c>
      <c r="T125" s="26"/>
      <c r="U125" s="26">
        <f t="shared" si="19"/>
        <v>730.41</v>
      </c>
      <c r="V125" s="128">
        <f t="shared" si="13"/>
        <v>120</v>
      </c>
      <c r="W125" s="26">
        <f t="shared" si="14"/>
        <v>120</v>
      </c>
      <c r="X125" s="26">
        <f t="shared" si="20"/>
        <v>87649.2</v>
      </c>
      <c r="Y125" s="26">
        <f t="shared" si="15"/>
        <v>87649.2</v>
      </c>
      <c r="Z125" s="33" t="s">
        <v>15</v>
      </c>
      <c r="AA125" s="36" t="s">
        <v>16</v>
      </c>
      <c r="AB125" s="181">
        <f t="shared" si="16"/>
        <v>216</v>
      </c>
      <c r="AC125" s="181">
        <f t="shared" si="21"/>
        <v>157768.56</v>
      </c>
      <c r="AD125" s="181">
        <v>1.2</v>
      </c>
      <c r="AE125" s="181">
        <v>1.2</v>
      </c>
      <c r="AF125" s="101" t="str">
        <f t="shared" si="17"/>
        <v/>
      </c>
      <c r="AG125" s="190">
        <v>120</v>
      </c>
      <c r="AH125" s="69">
        <f t="shared" si="18"/>
        <v>216</v>
      </c>
    </row>
    <row r="126" spans="1:34" s="69" customFormat="1" ht="33" x14ac:dyDescent="0.3">
      <c r="A126" s="55" t="s">
        <v>367</v>
      </c>
      <c r="B126" s="53" t="s">
        <v>368</v>
      </c>
      <c r="C126" s="54" t="s">
        <v>30</v>
      </c>
      <c r="D126" s="75">
        <v>45.16</v>
      </c>
      <c r="E126" s="75"/>
      <c r="F126" s="75"/>
      <c r="G126" s="75"/>
      <c r="H126" s="75">
        <v>406.4</v>
      </c>
      <c r="I126" s="75">
        <v>18353.02</v>
      </c>
      <c r="J126" s="91" t="s">
        <v>369</v>
      </c>
      <c r="K126" s="73"/>
      <c r="L126" s="46">
        <v>0</v>
      </c>
      <c r="M126" s="46">
        <v>0</v>
      </c>
      <c r="N126" s="46">
        <v>0</v>
      </c>
      <c r="O126" s="98"/>
      <c r="P126" s="23" t="s">
        <v>1398</v>
      </c>
      <c r="Q126" s="24" t="s">
        <v>368</v>
      </c>
      <c r="R126" s="25" t="s">
        <v>30</v>
      </c>
      <c r="S126" s="26">
        <v>45.16</v>
      </c>
      <c r="T126" s="26"/>
      <c r="U126" s="26">
        <f t="shared" si="19"/>
        <v>406.4</v>
      </c>
      <c r="V126" s="26">
        <f t="shared" si="13"/>
        <v>0</v>
      </c>
      <c r="W126" s="26">
        <f t="shared" si="14"/>
        <v>0</v>
      </c>
      <c r="X126" s="26">
        <f t="shared" si="20"/>
        <v>0</v>
      </c>
      <c r="Y126" s="26">
        <f t="shared" si="15"/>
        <v>0</v>
      </c>
      <c r="Z126" s="33" t="s">
        <v>15</v>
      </c>
      <c r="AA126" s="36" t="s">
        <v>16</v>
      </c>
      <c r="AB126" s="181">
        <f t="shared" si="16"/>
        <v>45.16</v>
      </c>
      <c r="AC126" s="181">
        <f t="shared" si="21"/>
        <v>18353.02</v>
      </c>
      <c r="AD126" s="181">
        <v>1.2</v>
      </c>
      <c r="AE126" s="181">
        <v>1.2</v>
      </c>
      <c r="AF126" s="101" t="str">
        <f t="shared" si="17"/>
        <v/>
      </c>
      <c r="AG126" s="190">
        <v>0</v>
      </c>
      <c r="AH126" s="69">
        <f t="shared" si="18"/>
        <v>45.16</v>
      </c>
    </row>
    <row r="127" spans="1:34" s="69" customFormat="1" ht="33" x14ac:dyDescent="0.3">
      <c r="A127" s="55" t="s">
        <v>370</v>
      </c>
      <c r="B127" s="53" t="s">
        <v>371</v>
      </c>
      <c r="C127" s="54" t="s">
        <v>30</v>
      </c>
      <c r="D127" s="75">
        <v>116.8</v>
      </c>
      <c r="E127" s="75"/>
      <c r="F127" s="75"/>
      <c r="G127" s="75"/>
      <c r="H127" s="75">
        <v>457.9</v>
      </c>
      <c r="I127" s="75">
        <v>53482.720000000001</v>
      </c>
      <c r="J127" s="91" t="s">
        <v>372</v>
      </c>
      <c r="K127" s="73"/>
      <c r="L127" s="46">
        <v>0</v>
      </c>
      <c r="M127" s="46">
        <v>0</v>
      </c>
      <c r="N127" s="46">
        <v>0</v>
      </c>
      <c r="O127" s="98"/>
      <c r="P127" s="23" t="s">
        <v>1399</v>
      </c>
      <c r="Q127" s="24" t="s">
        <v>371</v>
      </c>
      <c r="R127" s="25" t="s">
        <v>30</v>
      </c>
      <c r="S127" s="26">
        <v>116.8</v>
      </c>
      <c r="T127" s="26"/>
      <c r="U127" s="26">
        <f t="shared" si="19"/>
        <v>457.9</v>
      </c>
      <c r="V127" s="26">
        <f t="shared" si="13"/>
        <v>0</v>
      </c>
      <c r="W127" s="26">
        <f t="shared" si="14"/>
        <v>0</v>
      </c>
      <c r="X127" s="26">
        <f t="shared" si="20"/>
        <v>0</v>
      </c>
      <c r="Y127" s="26">
        <f t="shared" si="15"/>
        <v>0</v>
      </c>
      <c r="Z127" s="33" t="s">
        <v>15</v>
      </c>
      <c r="AA127" s="36" t="s">
        <v>16</v>
      </c>
      <c r="AB127" s="181">
        <f t="shared" si="16"/>
        <v>116.8</v>
      </c>
      <c r="AC127" s="181">
        <f t="shared" si="21"/>
        <v>53482.720000000001</v>
      </c>
      <c r="AD127" s="181">
        <v>1.2</v>
      </c>
      <c r="AE127" s="181">
        <v>1.2</v>
      </c>
      <c r="AF127" s="101" t="str">
        <f t="shared" si="17"/>
        <v/>
      </c>
      <c r="AG127" s="190">
        <v>0</v>
      </c>
      <c r="AH127" s="69">
        <f t="shared" si="18"/>
        <v>116.8</v>
      </c>
    </row>
    <row r="128" spans="1:34" s="69" customFormat="1" ht="33" x14ac:dyDescent="0.3">
      <c r="A128" s="55" t="s">
        <v>373</v>
      </c>
      <c r="B128" s="53" t="s">
        <v>374</v>
      </c>
      <c r="C128" s="54" t="s">
        <v>30</v>
      </c>
      <c r="D128" s="75">
        <v>25.8</v>
      </c>
      <c r="E128" s="75"/>
      <c r="F128" s="75"/>
      <c r="G128" s="75"/>
      <c r="H128" s="75">
        <v>499.1</v>
      </c>
      <c r="I128" s="75">
        <v>12876.78</v>
      </c>
      <c r="J128" s="91" t="s">
        <v>375</v>
      </c>
      <c r="K128" s="73"/>
      <c r="L128" s="46">
        <v>0</v>
      </c>
      <c r="M128" s="46">
        <v>0</v>
      </c>
      <c r="N128" s="46">
        <v>0</v>
      </c>
      <c r="O128" s="98"/>
      <c r="P128" s="23" t="s">
        <v>1490</v>
      </c>
      <c r="Q128" s="24" t="s">
        <v>374</v>
      </c>
      <c r="R128" s="25" t="s">
        <v>30</v>
      </c>
      <c r="S128" s="26">
        <v>25.8</v>
      </c>
      <c r="T128" s="26"/>
      <c r="U128" s="26">
        <f t="shared" si="19"/>
        <v>499.1</v>
      </c>
      <c r="V128" s="26">
        <f t="shared" si="13"/>
        <v>0</v>
      </c>
      <c r="W128" s="26">
        <f t="shared" si="14"/>
        <v>0</v>
      </c>
      <c r="X128" s="26">
        <f t="shared" si="20"/>
        <v>0</v>
      </c>
      <c r="Y128" s="26">
        <f t="shared" si="15"/>
        <v>0</v>
      </c>
      <c r="Z128" s="33" t="s">
        <v>15</v>
      </c>
      <c r="AA128" s="36" t="s">
        <v>16</v>
      </c>
      <c r="AB128" s="181">
        <f t="shared" si="16"/>
        <v>25.8</v>
      </c>
      <c r="AC128" s="181">
        <f t="shared" si="21"/>
        <v>12876.78</v>
      </c>
      <c r="AD128" s="181">
        <v>1.2</v>
      </c>
      <c r="AE128" s="181">
        <v>1.2</v>
      </c>
      <c r="AF128" s="101" t="str">
        <f t="shared" si="17"/>
        <v/>
      </c>
      <c r="AG128" s="190">
        <v>0</v>
      </c>
      <c r="AH128" s="69">
        <f t="shared" si="18"/>
        <v>25.8</v>
      </c>
    </row>
    <row r="129" spans="1:37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>
        <v>545.85</v>
      </c>
      <c r="I129" s="75">
        <v>29415.86</v>
      </c>
      <c r="J129" s="91" t="s">
        <v>378</v>
      </c>
      <c r="K129" s="73"/>
      <c r="L129" s="46">
        <v>0</v>
      </c>
      <c r="M129" s="46">
        <v>0</v>
      </c>
      <c r="N129" s="46">
        <v>0</v>
      </c>
      <c r="O129" s="98"/>
      <c r="P129" s="23" t="s">
        <v>1491</v>
      </c>
      <c r="Q129" s="24" t="s">
        <v>377</v>
      </c>
      <c r="R129" s="25" t="s">
        <v>30</v>
      </c>
      <c r="S129" s="26">
        <v>53.89</v>
      </c>
      <c r="T129" s="26"/>
      <c r="U129" s="26">
        <f t="shared" si="19"/>
        <v>545.85</v>
      </c>
      <c r="V129" s="26">
        <f t="shared" si="13"/>
        <v>0</v>
      </c>
      <c r="W129" s="26">
        <f t="shared" si="14"/>
        <v>0</v>
      </c>
      <c r="X129" s="26">
        <f t="shared" si="20"/>
        <v>0</v>
      </c>
      <c r="Y129" s="26">
        <f t="shared" si="15"/>
        <v>0</v>
      </c>
      <c r="Z129" s="33" t="s">
        <v>15</v>
      </c>
      <c r="AA129" s="36" t="s">
        <v>16</v>
      </c>
      <c r="AB129" s="181">
        <f t="shared" si="16"/>
        <v>53.89</v>
      </c>
      <c r="AC129" s="181">
        <f t="shared" si="21"/>
        <v>29415.86</v>
      </c>
      <c r="AD129" s="181">
        <v>1.2</v>
      </c>
      <c r="AE129" s="181">
        <v>1.2</v>
      </c>
      <c r="AF129" s="101" t="str">
        <f t="shared" si="17"/>
        <v/>
      </c>
      <c r="AG129" s="190">
        <v>0</v>
      </c>
      <c r="AH129" s="69">
        <f t="shared" si="18"/>
        <v>53.89</v>
      </c>
    </row>
    <row r="130" spans="1:37" s="69" customFormat="1" ht="33" x14ac:dyDescent="0.3">
      <c r="A130" s="55" t="s">
        <v>379</v>
      </c>
      <c r="B130" s="53" t="s">
        <v>380</v>
      </c>
      <c r="C130" s="54" t="s">
        <v>30</v>
      </c>
      <c r="D130" s="75">
        <v>21</v>
      </c>
      <c r="E130" s="75"/>
      <c r="F130" s="75"/>
      <c r="G130" s="75"/>
      <c r="H130" s="75">
        <v>644.09</v>
      </c>
      <c r="I130" s="75">
        <v>13525.89</v>
      </c>
      <c r="J130" s="91" t="s">
        <v>381</v>
      </c>
      <c r="K130" s="73"/>
      <c r="L130" s="46">
        <v>0</v>
      </c>
      <c r="M130" s="46">
        <v>0</v>
      </c>
      <c r="N130" s="46">
        <v>0</v>
      </c>
      <c r="O130" s="98"/>
      <c r="P130" s="23" t="s">
        <v>1492</v>
      </c>
      <c r="Q130" s="24" t="s">
        <v>380</v>
      </c>
      <c r="R130" s="25" t="s">
        <v>30</v>
      </c>
      <c r="S130" s="26">
        <v>21</v>
      </c>
      <c r="T130" s="26"/>
      <c r="U130" s="26">
        <f t="shared" si="19"/>
        <v>644.09</v>
      </c>
      <c r="V130" s="26">
        <f t="shared" si="13"/>
        <v>0</v>
      </c>
      <c r="W130" s="26">
        <f t="shared" si="14"/>
        <v>0</v>
      </c>
      <c r="X130" s="26">
        <f t="shared" si="20"/>
        <v>0</v>
      </c>
      <c r="Y130" s="26">
        <f t="shared" si="15"/>
        <v>0</v>
      </c>
      <c r="Z130" s="33" t="s">
        <v>15</v>
      </c>
      <c r="AA130" s="36" t="s">
        <v>16</v>
      </c>
      <c r="AB130" s="181">
        <f t="shared" si="16"/>
        <v>21</v>
      </c>
      <c r="AC130" s="181">
        <f t="shared" si="21"/>
        <v>13525.89</v>
      </c>
      <c r="AD130" s="181">
        <v>1.2</v>
      </c>
      <c r="AE130" s="181">
        <v>1.2</v>
      </c>
      <c r="AF130" s="101" t="str">
        <f t="shared" si="17"/>
        <v/>
      </c>
      <c r="AG130" s="190">
        <v>0</v>
      </c>
      <c r="AH130" s="69">
        <f t="shared" si="18"/>
        <v>21</v>
      </c>
    </row>
    <row r="131" spans="1:37" s="69" customFormat="1" ht="33" x14ac:dyDescent="0.3">
      <c r="A131" s="55" t="s">
        <v>382</v>
      </c>
      <c r="B131" s="53" t="s">
        <v>383</v>
      </c>
      <c r="C131" s="54" t="s">
        <v>30</v>
      </c>
      <c r="D131" s="75">
        <v>275.60000000000002</v>
      </c>
      <c r="E131" s="75"/>
      <c r="F131" s="75"/>
      <c r="G131" s="75"/>
      <c r="H131" s="75">
        <v>7340.41</v>
      </c>
      <c r="I131" s="75">
        <v>2023017</v>
      </c>
      <c r="J131" s="91" t="s">
        <v>384</v>
      </c>
      <c r="K131" s="73"/>
      <c r="L131" s="46">
        <v>0</v>
      </c>
      <c r="M131" s="46">
        <v>0</v>
      </c>
      <c r="N131" s="46">
        <v>0</v>
      </c>
      <c r="O131" s="98"/>
      <c r="P131" s="23" t="s">
        <v>1493</v>
      </c>
      <c r="Q131" s="24" t="s">
        <v>383</v>
      </c>
      <c r="R131" s="25" t="s">
        <v>30</v>
      </c>
      <c r="S131" s="26">
        <v>275.60000000000002</v>
      </c>
      <c r="T131" s="26"/>
      <c r="U131" s="26">
        <f t="shared" si="19"/>
        <v>7340.41</v>
      </c>
      <c r="V131" s="26">
        <f t="shared" si="13"/>
        <v>0</v>
      </c>
      <c r="W131" s="26">
        <f t="shared" si="14"/>
        <v>0</v>
      </c>
      <c r="X131" s="26">
        <f t="shared" si="20"/>
        <v>0</v>
      </c>
      <c r="Y131" s="26">
        <f t="shared" si="15"/>
        <v>0</v>
      </c>
      <c r="Z131" s="33" t="s">
        <v>15</v>
      </c>
      <c r="AA131" s="36" t="s">
        <v>16</v>
      </c>
      <c r="AB131" s="181">
        <f t="shared" si="16"/>
        <v>275.60000000000002</v>
      </c>
      <c r="AC131" s="181">
        <f t="shared" si="21"/>
        <v>2023017</v>
      </c>
      <c r="AD131" s="181">
        <v>1.2</v>
      </c>
      <c r="AE131" s="181">
        <v>1.2</v>
      </c>
      <c r="AF131" s="101" t="str">
        <f t="shared" si="17"/>
        <v/>
      </c>
      <c r="AG131" s="190">
        <v>0</v>
      </c>
      <c r="AH131" s="69">
        <f t="shared" si="18"/>
        <v>275.60000000000002</v>
      </c>
    </row>
    <row r="132" spans="1:37" s="69" customFormat="1" ht="33" x14ac:dyDescent="0.3">
      <c r="A132" s="55" t="s">
        <v>385</v>
      </c>
      <c r="B132" s="53" t="s">
        <v>386</v>
      </c>
      <c r="C132" s="54" t="s">
        <v>81</v>
      </c>
      <c r="D132" s="75">
        <v>1</v>
      </c>
      <c r="E132" s="75"/>
      <c r="F132" s="75"/>
      <c r="G132" s="75"/>
      <c r="H132" s="75">
        <v>913345.81</v>
      </c>
      <c r="I132" s="75">
        <v>913345.81</v>
      </c>
      <c r="J132" s="91" t="s">
        <v>387</v>
      </c>
      <c r="K132" s="73"/>
      <c r="L132" s="46">
        <v>0</v>
      </c>
      <c r="M132" s="46">
        <v>0</v>
      </c>
      <c r="N132" s="46">
        <v>0</v>
      </c>
      <c r="O132" s="98"/>
      <c r="P132" s="23" t="s">
        <v>1494</v>
      </c>
      <c r="Q132" s="24" t="s">
        <v>386</v>
      </c>
      <c r="R132" s="25" t="s">
        <v>81</v>
      </c>
      <c r="S132" s="26">
        <v>1</v>
      </c>
      <c r="T132" s="26"/>
      <c r="U132" s="26">
        <f t="shared" si="19"/>
        <v>913345.81</v>
      </c>
      <c r="V132" s="128">
        <f t="shared" si="13"/>
        <v>1</v>
      </c>
      <c r="W132" s="26">
        <f t="shared" si="14"/>
        <v>1</v>
      </c>
      <c r="X132" s="26">
        <f t="shared" si="20"/>
        <v>913345.81</v>
      </c>
      <c r="Y132" s="26">
        <f t="shared" si="15"/>
        <v>913345.81</v>
      </c>
      <c r="Z132" s="33" t="s">
        <v>15</v>
      </c>
      <c r="AA132" s="36" t="s">
        <v>16</v>
      </c>
      <c r="AB132" s="181">
        <f t="shared" si="16"/>
        <v>1</v>
      </c>
      <c r="AC132" s="181">
        <f t="shared" si="21"/>
        <v>913345.81</v>
      </c>
      <c r="AD132" s="181">
        <v>1.2</v>
      </c>
      <c r="AE132" s="181">
        <v>1.2</v>
      </c>
      <c r="AF132" s="101" t="str">
        <f t="shared" si="17"/>
        <v/>
      </c>
      <c r="AG132" s="191">
        <v>1</v>
      </c>
      <c r="AH132" s="69">
        <f t="shared" si="18"/>
        <v>1</v>
      </c>
    </row>
    <row r="133" spans="1:37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/>
      <c r="I133" s="82">
        <v>63133198.189999998</v>
      </c>
      <c r="J133" s="94" t="s">
        <v>15</v>
      </c>
      <c r="K133" s="73"/>
      <c r="L133" s="45">
        <v>1</v>
      </c>
      <c r="M133" s="45">
        <v>5899179.2699999996</v>
      </c>
      <c r="N133" s="45">
        <v>38457935.660000004</v>
      </c>
      <c r="O133" s="98"/>
      <c r="P133" s="18" t="s">
        <v>1381</v>
      </c>
      <c r="Q133" s="19" t="s">
        <v>389</v>
      </c>
      <c r="R133" s="20" t="s">
        <v>14</v>
      </c>
      <c r="S133" s="21">
        <v>1</v>
      </c>
      <c r="T133" s="21"/>
      <c r="U133" s="21">
        <f>SUMIFS(AC:AC,AD:AD,AD133)</f>
        <v>63133198.190000005</v>
      </c>
      <c r="V133" s="21">
        <f t="shared" ref="V133:W133" si="22">IF(X133=0,0,1)</f>
        <v>1</v>
      </c>
      <c r="W133" s="21">
        <f t="shared" si="22"/>
        <v>1</v>
      </c>
      <c r="X133" s="21">
        <f>SUMIFS(X:X,AE:AE,AD133)</f>
        <v>8871165.9299999997</v>
      </c>
      <c r="Y133" s="21">
        <f>SUMIFS(Y:Y,AE:AE,AD133)</f>
        <v>47329101.590000004</v>
      </c>
      <c r="Z133" s="22" t="s">
        <v>15</v>
      </c>
      <c r="AA133" s="43" t="s">
        <v>16</v>
      </c>
      <c r="AB133" s="181">
        <f t="shared" si="16"/>
        <v>1</v>
      </c>
      <c r="AC133" s="184"/>
      <c r="AD133" s="184">
        <v>1.3</v>
      </c>
      <c r="AE133" s="184"/>
      <c r="AF133" s="101" t="str">
        <f t="shared" si="17"/>
        <v/>
      </c>
      <c r="AG133" s="190">
        <v>1</v>
      </c>
      <c r="AH133" s="69">
        <f t="shared" si="18"/>
        <v>1</v>
      </c>
    </row>
    <row r="134" spans="1:37" s="69" customFormat="1" ht="39" x14ac:dyDescent="0.3">
      <c r="A134" s="55" t="s">
        <v>390</v>
      </c>
      <c r="B134" s="53" t="s">
        <v>102</v>
      </c>
      <c r="C134" s="54" t="s">
        <v>103</v>
      </c>
      <c r="D134" s="75">
        <v>274.45</v>
      </c>
      <c r="E134" s="75"/>
      <c r="F134" s="75"/>
      <c r="G134" s="75"/>
      <c r="H134" s="75">
        <v>320.74</v>
      </c>
      <c r="I134" s="75">
        <v>88027.09</v>
      </c>
      <c r="J134" s="91" t="s">
        <v>104</v>
      </c>
      <c r="K134" s="73"/>
      <c r="L134" s="46">
        <v>0</v>
      </c>
      <c r="M134" s="46">
        <v>0</v>
      </c>
      <c r="N134" s="46">
        <v>0</v>
      </c>
      <c r="O134" s="98"/>
      <c r="P134" s="23" t="s">
        <v>1421</v>
      </c>
      <c r="Q134" s="24" t="s">
        <v>102</v>
      </c>
      <c r="R134" s="25" t="s">
        <v>103</v>
      </c>
      <c r="S134" s="26">
        <v>274.45</v>
      </c>
      <c r="T134" s="26"/>
      <c r="U134" s="26">
        <f t="shared" si="19"/>
        <v>320.74</v>
      </c>
      <c r="V134" s="128">
        <f t="shared" ref="V134:V176" si="23">AG134-L134</f>
        <v>225</v>
      </c>
      <c r="W134" s="127">
        <f t="shared" ref="W134:W176" si="24">V134+L134</f>
        <v>225</v>
      </c>
      <c r="X134" s="127">
        <f t="shared" ref="X134:X176" si="25">Y134-N134</f>
        <v>72166.5</v>
      </c>
      <c r="Y134" s="127">
        <f t="shared" si="15"/>
        <v>72166.5</v>
      </c>
      <c r="Z134" s="33" t="s">
        <v>15</v>
      </c>
      <c r="AA134" s="36" t="s">
        <v>16</v>
      </c>
      <c r="AB134" s="181">
        <f t="shared" si="16"/>
        <v>274.45</v>
      </c>
      <c r="AC134" s="181">
        <f t="shared" ref="AC134:AC176" si="26">ROUND(U134*AB134,2)</f>
        <v>88027.09</v>
      </c>
      <c r="AD134" s="181">
        <v>1.3</v>
      </c>
      <c r="AE134" s="181">
        <v>1.3</v>
      </c>
      <c r="AF134" s="101" t="str">
        <f t="shared" si="17"/>
        <v/>
      </c>
      <c r="AG134" s="190">
        <v>225</v>
      </c>
      <c r="AH134" s="69">
        <f t="shared" si="18"/>
        <v>274.45</v>
      </c>
    </row>
    <row r="135" spans="1:37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>
        <v>3115.13</v>
      </c>
      <c r="I135" s="75">
        <v>137751.04999999999</v>
      </c>
      <c r="J135" s="91" t="s">
        <v>114</v>
      </c>
      <c r="K135" s="73"/>
      <c r="L135" s="46">
        <v>16.79</v>
      </c>
      <c r="M135" s="46">
        <v>0</v>
      </c>
      <c r="N135" s="46">
        <v>52303.03</v>
      </c>
      <c r="O135" s="98"/>
      <c r="P135" s="23" t="s">
        <v>1426</v>
      </c>
      <c r="Q135" s="24" t="s">
        <v>392</v>
      </c>
      <c r="R135" s="25" t="s">
        <v>23</v>
      </c>
      <c r="S135" s="26">
        <v>44.22</v>
      </c>
      <c r="T135" s="26"/>
      <c r="U135" s="26">
        <f t="shared" si="19"/>
        <v>3115.13</v>
      </c>
      <c r="V135" s="26">
        <f t="shared" si="23"/>
        <v>0</v>
      </c>
      <c r="W135" s="26">
        <f t="shared" si="24"/>
        <v>16.79</v>
      </c>
      <c r="X135" s="26">
        <f t="shared" si="25"/>
        <v>0</v>
      </c>
      <c r="Y135" s="26">
        <f t="shared" si="15"/>
        <v>52303.03</v>
      </c>
      <c r="Z135" s="33" t="s">
        <v>15</v>
      </c>
      <c r="AA135" s="36" t="s">
        <v>16</v>
      </c>
      <c r="AB135" s="181">
        <f t="shared" si="16"/>
        <v>44.22</v>
      </c>
      <c r="AC135" s="181">
        <f t="shared" si="26"/>
        <v>137751.04999999999</v>
      </c>
      <c r="AD135" s="181">
        <v>1.3</v>
      </c>
      <c r="AE135" s="181">
        <v>1.3</v>
      </c>
      <c r="AF135" s="101" t="str">
        <f t="shared" si="17"/>
        <v/>
      </c>
      <c r="AG135" s="190">
        <v>16.79</v>
      </c>
      <c r="AH135" s="69">
        <f t="shared" si="18"/>
        <v>44.22</v>
      </c>
    </row>
    <row r="136" spans="1:37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>
        <v>3321.13</v>
      </c>
      <c r="I136" s="75">
        <v>318728.84999999998</v>
      </c>
      <c r="J136" s="91" t="s">
        <v>117</v>
      </c>
      <c r="K136" s="73"/>
      <c r="L136" s="46">
        <v>0</v>
      </c>
      <c r="M136" s="46">
        <v>0</v>
      </c>
      <c r="N136" s="46">
        <v>0</v>
      </c>
      <c r="O136" s="98"/>
      <c r="P136" s="23" t="s">
        <v>1402</v>
      </c>
      <c r="Q136" s="24" t="s">
        <v>116</v>
      </c>
      <c r="R136" s="25" t="s">
        <v>23</v>
      </c>
      <c r="S136" s="26">
        <v>95.97</v>
      </c>
      <c r="T136" s="26"/>
      <c r="U136" s="26">
        <f t="shared" si="19"/>
        <v>3321.13</v>
      </c>
      <c r="V136" s="26">
        <f t="shared" si="23"/>
        <v>0</v>
      </c>
      <c r="W136" s="26">
        <f t="shared" si="24"/>
        <v>0</v>
      </c>
      <c r="X136" s="26">
        <f t="shared" si="25"/>
        <v>0</v>
      </c>
      <c r="Y136" s="26">
        <f t="shared" si="15"/>
        <v>0</v>
      </c>
      <c r="Z136" s="33" t="s">
        <v>15</v>
      </c>
      <c r="AA136" s="36" t="s">
        <v>16</v>
      </c>
      <c r="AB136" s="181">
        <f t="shared" si="16"/>
        <v>95.97</v>
      </c>
      <c r="AC136" s="181">
        <f t="shared" si="26"/>
        <v>318728.84999999998</v>
      </c>
      <c r="AD136" s="181">
        <v>1.3</v>
      </c>
      <c r="AE136" s="181">
        <v>1.3</v>
      </c>
      <c r="AF136" s="101" t="str">
        <f t="shared" si="17"/>
        <v/>
      </c>
      <c r="AG136" s="190">
        <v>0</v>
      </c>
      <c r="AH136" s="69">
        <f t="shared" si="18"/>
        <v>95.97</v>
      </c>
    </row>
    <row r="137" spans="1:37" s="69" customFormat="1" ht="39" x14ac:dyDescent="0.3">
      <c r="A137" s="55" t="s">
        <v>394</v>
      </c>
      <c r="B137" s="53" t="s">
        <v>395</v>
      </c>
      <c r="C137" s="54" t="s">
        <v>23</v>
      </c>
      <c r="D137" s="75">
        <v>1216.8</v>
      </c>
      <c r="E137" s="75"/>
      <c r="F137" s="75"/>
      <c r="G137" s="75"/>
      <c r="H137" s="75">
        <v>3643.73</v>
      </c>
      <c r="I137" s="75">
        <v>4433690.66</v>
      </c>
      <c r="J137" s="91" t="s">
        <v>396</v>
      </c>
      <c r="K137" s="73"/>
      <c r="L137" s="46">
        <v>385.38</v>
      </c>
      <c r="M137" s="46">
        <v>555668.82999999996</v>
      </c>
      <c r="N137" s="46">
        <v>1404220.67</v>
      </c>
      <c r="O137" s="98"/>
      <c r="P137" s="23" t="s">
        <v>1373</v>
      </c>
      <c r="Q137" s="24" t="s">
        <v>395</v>
      </c>
      <c r="R137" s="25" t="s">
        <v>23</v>
      </c>
      <c r="S137" s="26">
        <v>1216.8</v>
      </c>
      <c r="T137" s="26"/>
      <c r="U137" s="26">
        <f t="shared" si="19"/>
        <v>3643.73</v>
      </c>
      <c r="V137" s="128">
        <f t="shared" si="23"/>
        <v>165</v>
      </c>
      <c r="W137" s="127">
        <f t="shared" si="24"/>
        <v>550.38</v>
      </c>
      <c r="X137" s="127">
        <f t="shared" si="25"/>
        <v>601215.45000000019</v>
      </c>
      <c r="Y137" s="127">
        <f t="shared" si="15"/>
        <v>2005436.12</v>
      </c>
      <c r="Z137" s="33" t="s">
        <v>15</v>
      </c>
      <c r="AA137" s="36" t="s">
        <v>16</v>
      </c>
      <c r="AB137" s="181">
        <f t="shared" si="16"/>
        <v>1216.8</v>
      </c>
      <c r="AC137" s="181">
        <f t="shared" si="26"/>
        <v>4433690.66</v>
      </c>
      <c r="AD137" s="181">
        <v>1.3</v>
      </c>
      <c r="AE137" s="181">
        <v>1.3</v>
      </c>
      <c r="AF137" s="101" t="str">
        <f t="shared" si="17"/>
        <v/>
      </c>
      <c r="AG137" s="191">
        <f>68+115+49.88+152.5+165</f>
        <v>550.38</v>
      </c>
      <c r="AH137" s="69">
        <f t="shared" si="18"/>
        <v>1216.8</v>
      </c>
      <c r="AK137" s="195">
        <v>388.56</v>
      </c>
    </row>
    <row r="138" spans="1:37" s="69" customFormat="1" ht="33" x14ac:dyDescent="0.3">
      <c r="A138" s="55" t="s">
        <v>397</v>
      </c>
      <c r="B138" s="122" t="s">
        <v>109</v>
      </c>
      <c r="C138" s="54" t="s">
        <v>110</v>
      </c>
      <c r="D138" s="75">
        <v>4788.7700000000004</v>
      </c>
      <c r="E138" s="75"/>
      <c r="F138" s="75"/>
      <c r="G138" s="75"/>
      <c r="H138" s="75">
        <v>36.4</v>
      </c>
      <c r="I138" s="75">
        <v>174311.23</v>
      </c>
      <c r="J138" s="91" t="s">
        <v>111</v>
      </c>
      <c r="K138" s="73"/>
      <c r="L138" s="46">
        <v>4166</v>
      </c>
      <c r="M138" s="46">
        <v>77386.399999999994</v>
      </c>
      <c r="N138" s="46">
        <v>151642.4</v>
      </c>
      <c r="O138" s="98"/>
      <c r="P138" s="23" t="s">
        <v>1393</v>
      </c>
      <c r="Q138" s="24" t="s">
        <v>109</v>
      </c>
      <c r="R138" s="25" t="s">
        <v>110</v>
      </c>
      <c r="S138" s="26">
        <v>4788.7700000000004</v>
      </c>
      <c r="T138" s="26"/>
      <c r="U138" s="26">
        <f t="shared" si="19"/>
        <v>36.4</v>
      </c>
      <c r="V138" s="128">
        <f t="shared" si="23"/>
        <v>612</v>
      </c>
      <c r="W138" s="127">
        <f t="shared" si="24"/>
        <v>4778</v>
      </c>
      <c r="X138" s="127">
        <f t="shared" si="25"/>
        <v>22276.800000000017</v>
      </c>
      <c r="Y138" s="127">
        <f t="shared" si="15"/>
        <v>173919.2</v>
      </c>
      <c r="Z138" s="33" t="s">
        <v>15</v>
      </c>
      <c r="AA138" s="36" t="s">
        <v>16</v>
      </c>
      <c r="AB138" s="181">
        <f t="shared" si="16"/>
        <v>4788.7700000000004</v>
      </c>
      <c r="AC138" s="181">
        <f t="shared" si="26"/>
        <v>174311.23</v>
      </c>
      <c r="AD138" s="181">
        <v>1.3</v>
      </c>
      <c r="AE138" s="181">
        <v>1.3</v>
      </c>
      <c r="AF138" s="101" t="str">
        <f t="shared" si="17"/>
        <v/>
      </c>
      <c r="AG138" s="193">
        <f>2040+2126+612</f>
        <v>4778</v>
      </c>
      <c r="AH138" s="69">
        <f t="shared" si="18"/>
        <v>4788.7700000000004</v>
      </c>
      <c r="AK138" s="195">
        <v>4788.7700000000004</v>
      </c>
    </row>
    <row r="139" spans="1:37" s="69" customFormat="1" ht="33" x14ac:dyDescent="0.3">
      <c r="A139" s="55" t="s">
        <v>398</v>
      </c>
      <c r="B139" s="122" t="s">
        <v>399</v>
      </c>
      <c r="C139" s="54" t="s">
        <v>110</v>
      </c>
      <c r="D139" s="75">
        <v>205535.32</v>
      </c>
      <c r="E139" s="75"/>
      <c r="F139" s="75"/>
      <c r="G139" s="75"/>
      <c r="H139" s="75">
        <v>38.71</v>
      </c>
      <c r="I139" s="75">
        <v>7956272.2400000002</v>
      </c>
      <c r="J139" s="91" t="s">
        <v>400</v>
      </c>
      <c r="K139" s="73"/>
      <c r="L139" s="46">
        <v>82006.52</v>
      </c>
      <c r="M139" s="46">
        <v>0</v>
      </c>
      <c r="N139" s="46">
        <v>3174472.39</v>
      </c>
      <c r="O139" s="98"/>
      <c r="P139" s="23" t="s">
        <v>1403</v>
      </c>
      <c r="Q139" s="24" t="s">
        <v>399</v>
      </c>
      <c r="R139" s="25" t="s">
        <v>110</v>
      </c>
      <c r="S139" s="26">
        <v>205535.32</v>
      </c>
      <c r="T139" s="26"/>
      <c r="U139" s="26">
        <f t="shared" si="19"/>
        <v>38.71</v>
      </c>
      <c r="V139" s="128">
        <f t="shared" si="23"/>
        <v>120258.00000000001</v>
      </c>
      <c r="W139" s="127">
        <f t="shared" si="24"/>
        <v>202264.52000000002</v>
      </c>
      <c r="X139" s="127">
        <f t="shared" si="25"/>
        <v>4655187.18</v>
      </c>
      <c r="Y139" s="127">
        <f t="shared" ref="Y139:Y203" si="27">ROUND(U139*W139,2)</f>
        <v>7829659.5700000003</v>
      </c>
      <c r="Z139" s="33" t="s">
        <v>15</v>
      </c>
      <c r="AA139" s="36" t="s">
        <v>16</v>
      </c>
      <c r="AB139" s="181">
        <f t="shared" ref="AB139:AB202" si="28">IF(T139="",S139,T139)</f>
        <v>205535.32</v>
      </c>
      <c r="AC139" s="181">
        <f t="shared" si="26"/>
        <v>7956272.2400000002</v>
      </c>
      <c r="AD139" s="181">
        <v>1.3</v>
      </c>
      <c r="AE139" s="181">
        <v>1.3</v>
      </c>
      <c r="AF139" s="101" t="str">
        <f t="shared" ref="AF139:AF202" si="29">IF(W139&gt;AH139,"超估","")</f>
        <v/>
      </c>
      <c r="AG139" s="190">
        <f>82006.52+120258</f>
        <v>202264.52000000002</v>
      </c>
      <c r="AH139" s="69">
        <f t="shared" ref="AH139:AH202" si="30">IF(G139=0,IF(F139=0,IF(E139=0,D139,E139),F139),G139)</f>
        <v>205535.32</v>
      </c>
      <c r="AK139" s="195">
        <v>72641</v>
      </c>
    </row>
    <row r="140" spans="1:37" s="69" customFormat="1" ht="33" x14ac:dyDescent="0.3">
      <c r="A140" s="55" t="s">
        <v>401</v>
      </c>
      <c r="B140" s="53" t="s">
        <v>402</v>
      </c>
      <c r="C140" s="54" t="s">
        <v>50</v>
      </c>
      <c r="D140" s="75">
        <v>320.89999999999998</v>
      </c>
      <c r="E140" s="75"/>
      <c r="F140" s="75"/>
      <c r="G140" s="75"/>
      <c r="H140" s="75">
        <v>1154.98</v>
      </c>
      <c r="I140" s="75">
        <v>370633.08</v>
      </c>
      <c r="J140" s="91" t="s">
        <v>403</v>
      </c>
      <c r="K140" s="73"/>
      <c r="L140" s="46">
        <v>236.19</v>
      </c>
      <c r="M140" s="46">
        <v>0</v>
      </c>
      <c r="N140" s="46">
        <v>272794.73</v>
      </c>
      <c r="O140" s="98"/>
      <c r="P140" s="23" t="s">
        <v>1427</v>
      </c>
      <c r="Q140" s="24" t="s">
        <v>402</v>
      </c>
      <c r="R140" s="25" t="s">
        <v>50</v>
      </c>
      <c r="S140" s="26">
        <v>320.89999999999998</v>
      </c>
      <c r="T140" s="26"/>
      <c r="U140" s="26">
        <f t="shared" si="19"/>
        <v>1154.98</v>
      </c>
      <c r="V140" s="128">
        <f t="shared" si="23"/>
        <v>0</v>
      </c>
      <c r="W140" s="26">
        <f t="shared" si="24"/>
        <v>236.19</v>
      </c>
      <c r="X140" s="26">
        <f t="shared" si="25"/>
        <v>0</v>
      </c>
      <c r="Y140" s="26">
        <f t="shared" si="27"/>
        <v>272794.73</v>
      </c>
      <c r="Z140" s="33" t="s">
        <v>15</v>
      </c>
      <c r="AA140" s="36" t="s">
        <v>16</v>
      </c>
      <c r="AB140" s="181">
        <f t="shared" si="28"/>
        <v>320.89999999999998</v>
      </c>
      <c r="AC140" s="181">
        <f t="shared" si="26"/>
        <v>370633.08</v>
      </c>
      <c r="AD140" s="181">
        <v>1.3</v>
      </c>
      <c r="AE140" s="181">
        <v>1.3</v>
      </c>
      <c r="AF140" s="101" t="str">
        <f t="shared" si="29"/>
        <v/>
      </c>
      <c r="AG140" s="191">
        <f>50.19+186</f>
        <v>236.19</v>
      </c>
      <c r="AH140" s="69">
        <f t="shared" si="30"/>
        <v>320.89999999999998</v>
      </c>
      <c r="AK140" s="195">
        <v>351.34</v>
      </c>
    </row>
    <row r="141" spans="1:37" s="69" customFormat="1" ht="57.75" x14ac:dyDescent="0.3">
      <c r="A141" s="130" t="s">
        <v>404</v>
      </c>
      <c r="B141" s="131" t="s">
        <v>405</v>
      </c>
      <c r="C141" s="132" t="s">
        <v>50</v>
      </c>
      <c r="D141" s="203">
        <v>493.85</v>
      </c>
      <c r="E141" s="203"/>
      <c r="F141" s="203"/>
      <c r="G141" s="203"/>
      <c r="H141" s="75">
        <v>982.98</v>
      </c>
      <c r="I141" s="75">
        <v>485444.67</v>
      </c>
      <c r="J141" s="91" t="s">
        <v>406</v>
      </c>
      <c r="K141" s="73"/>
      <c r="L141" s="46">
        <v>493.84999999999997</v>
      </c>
      <c r="M141" s="46">
        <v>99104.039999999979</v>
      </c>
      <c r="N141" s="46">
        <v>485444.67</v>
      </c>
      <c r="O141" s="98"/>
      <c r="P141" s="23" t="s">
        <v>1428</v>
      </c>
      <c r="Q141" s="24" t="s">
        <v>405</v>
      </c>
      <c r="R141" s="25" t="s">
        <v>50</v>
      </c>
      <c r="S141" s="26">
        <v>493.85</v>
      </c>
      <c r="T141" s="26"/>
      <c r="U141" s="26">
        <f t="shared" si="19"/>
        <v>982.98</v>
      </c>
      <c r="V141" s="127">
        <f t="shared" si="23"/>
        <v>0</v>
      </c>
      <c r="W141" s="127">
        <f t="shared" si="24"/>
        <v>493.84999999999997</v>
      </c>
      <c r="X141" s="127">
        <f t="shared" si="25"/>
        <v>0</v>
      </c>
      <c r="Y141" s="127">
        <f t="shared" si="27"/>
        <v>485444.67</v>
      </c>
      <c r="Z141" s="33" t="s">
        <v>15</v>
      </c>
      <c r="AA141" s="36" t="s">
        <v>16</v>
      </c>
      <c r="AB141" s="181">
        <f t="shared" si="28"/>
        <v>493.85</v>
      </c>
      <c r="AC141" s="181">
        <f t="shared" si="26"/>
        <v>485444.67</v>
      </c>
      <c r="AD141" s="181">
        <v>1.3</v>
      </c>
      <c r="AE141" s="181">
        <v>1.3</v>
      </c>
      <c r="AF141" s="101" t="str">
        <f t="shared" si="29"/>
        <v/>
      </c>
      <c r="AG141" s="191">
        <f>393.03+100.82</f>
        <v>493.84999999999997</v>
      </c>
      <c r="AH141" s="69">
        <f t="shared" si="30"/>
        <v>493.85</v>
      </c>
      <c r="AK141" s="195">
        <v>574.89200000000017</v>
      </c>
    </row>
    <row r="142" spans="1:37" s="69" customFormat="1" ht="41.25" x14ac:dyDescent="0.3">
      <c r="A142" s="130" t="s">
        <v>407</v>
      </c>
      <c r="B142" s="131" t="s">
        <v>408</v>
      </c>
      <c r="C142" s="132" t="s">
        <v>50</v>
      </c>
      <c r="D142" s="203">
        <v>126.48</v>
      </c>
      <c r="E142" s="203"/>
      <c r="F142" s="203"/>
      <c r="G142" s="203"/>
      <c r="H142" s="75">
        <v>804.79</v>
      </c>
      <c r="I142" s="75">
        <v>101789.84</v>
      </c>
      <c r="J142" s="91" t="s">
        <v>409</v>
      </c>
      <c r="K142" s="73"/>
      <c r="L142" s="46">
        <v>126.48</v>
      </c>
      <c r="M142" s="46">
        <v>0</v>
      </c>
      <c r="N142" s="46">
        <v>101789.84</v>
      </c>
      <c r="O142" s="98"/>
      <c r="P142" s="23" t="s">
        <v>1387</v>
      </c>
      <c r="Q142" s="24" t="s">
        <v>408</v>
      </c>
      <c r="R142" s="25" t="s">
        <v>50</v>
      </c>
      <c r="S142" s="26">
        <v>126.48</v>
      </c>
      <c r="T142" s="26"/>
      <c r="U142" s="26">
        <f t="shared" si="19"/>
        <v>804.79</v>
      </c>
      <c r="V142" s="127">
        <f t="shared" si="23"/>
        <v>0</v>
      </c>
      <c r="W142" s="127">
        <f t="shared" si="24"/>
        <v>126.48</v>
      </c>
      <c r="X142" s="127">
        <f t="shared" si="25"/>
        <v>0</v>
      </c>
      <c r="Y142" s="127">
        <f t="shared" si="27"/>
        <v>101789.84</v>
      </c>
      <c r="Z142" s="33" t="s">
        <v>15</v>
      </c>
      <c r="AA142" s="36" t="s">
        <v>16</v>
      </c>
      <c r="AB142" s="181">
        <f t="shared" si="28"/>
        <v>126.48</v>
      </c>
      <c r="AC142" s="181">
        <f t="shared" si="26"/>
        <v>101789.84</v>
      </c>
      <c r="AD142" s="181">
        <v>1.3</v>
      </c>
      <c r="AE142" s="181">
        <v>1.3</v>
      </c>
      <c r="AF142" s="101" t="str">
        <f t="shared" si="29"/>
        <v/>
      </c>
      <c r="AG142" s="192">
        <v>126.48</v>
      </c>
      <c r="AH142" s="69">
        <f t="shared" si="30"/>
        <v>126.48</v>
      </c>
      <c r="AK142" s="195">
        <v>120</v>
      </c>
    </row>
    <row r="143" spans="1:37" s="69" customFormat="1" ht="33" x14ac:dyDescent="0.3">
      <c r="A143" s="55" t="s">
        <v>410</v>
      </c>
      <c r="B143" s="53" t="s">
        <v>411</v>
      </c>
      <c r="C143" s="54" t="s">
        <v>412</v>
      </c>
      <c r="D143" s="75">
        <v>12205</v>
      </c>
      <c r="E143" s="75"/>
      <c r="F143" s="75"/>
      <c r="G143" s="75"/>
      <c r="H143" s="75">
        <v>75</v>
      </c>
      <c r="I143" s="75">
        <v>915375</v>
      </c>
      <c r="J143" s="91" t="s">
        <v>413</v>
      </c>
      <c r="K143" s="73"/>
      <c r="L143" s="46">
        <v>0</v>
      </c>
      <c r="M143" s="46">
        <v>0</v>
      </c>
      <c r="N143" s="46">
        <v>0</v>
      </c>
      <c r="O143" s="98"/>
      <c r="P143" s="23" t="s">
        <v>1405</v>
      </c>
      <c r="Q143" s="24" t="s">
        <v>411</v>
      </c>
      <c r="R143" s="25" t="s">
        <v>412</v>
      </c>
      <c r="S143" s="26">
        <v>12205</v>
      </c>
      <c r="T143" s="26"/>
      <c r="U143" s="26">
        <f t="shared" si="19"/>
        <v>75</v>
      </c>
      <c r="V143" s="26">
        <f t="shared" si="23"/>
        <v>0</v>
      </c>
      <c r="W143" s="26">
        <f t="shared" si="24"/>
        <v>0</v>
      </c>
      <c r="X143" s="26">
        <f t="shared" si="25"/>
        <v>0</v>
      </c>
      <c r="Y143" s="26">
        <f t="shared" si="27"/>
        <v>0</v>
      </c>
      <c r="Z143" s="33" t="s">
        <v>15</v>
      </c>
      <c r="AA143" s="36" t="s">
        <v>16</v>
      </c>
      <c r="AB143" s="181">
        <f t="shared" si="28"/>
        <v>12205</v>
      </c>
      <c r="AC143" s="181">
        <f t="shared" si="26"/>
        <v>915375</v>
      </c>
      <c r="AD143" s="181">
        <v>1.3</v>
      </c>
      <c r="AE143" s="181">
        <v>1.3</v>
      </c>
      <c r="AF143" s="101" t="str">
        <f t="shared" si="29"/>
        <v/>
      </c>
      <c r="AG143" s="190">
        <v>0</v>
      </c>
      <c r="AH143" s="69">
        <f t="shared" si="30"/>
        <v>12205</v>
      </c>
    </row>
    <row r="144" spans="1:37" s="69" customFormat="1" ht="33" x14ac:dyDescent="0.3">
      <c r="A144" s="55" t="s">
        <v>414</v>
      </c>
      <c r="B144" s="53" t="s">
        <v>125</v>
      </c>
      <c r="C144" s="54" t="s">
        <v>110</v>
      </c>
      <c r="D144" s="75">
        <v>8317</v>
      </c>
      <c r="E144" s="75"/>
      <c r="F144" s="75"/>
      <c r="G144" s="75"/>
      <c r="H144" s="75">
        <v>60</v>
      </c>
      <c r="I144" s="75">
        <v>499020</v>
      </c>
      <c r="J144" s="91" t="s">
        <v>126</v>
      </c>
      <c r="K144" s="73"/>
      <c r="L144" s="46">
        <v>0</v>
      </c>
      <c r="M144" s="46">
        <v>0</v>
      </c>
      <c r="N144" s="46">
        <v>0</v>
      </c>
      <c r="O144" s="98"/>
      <c r="P144" s="23" t="s">
        <v>1406</v>
      </c>
      <c r="Q144" s="24" t="s">
        <v>125</v>
      </c>
      <c r="R144" s="25" t="s">
        <v>110</v>
      </c>
      <c r="S144" s="26">
        <v>8317</v>
      </c>
      <c r="T144" s="26"/>
      <c r="U144" s="26">
        <f t="shared" si="19"/>
        <v>60</v>
      </c>
      <c r="V144" s="26">
        <f t="shared" si="23"/>
        <v>0</v>
      </c>
      <c r="W144" s="26">
        <f t="shared" si="24"/>
        <v>0</v>
      </c>
      <c r="X144" s="26">
        <f t="shared" si="25"/>
        <v>0</v>
      </c>
      <c r="Y144" s="26">
        <f t="shared" si="27"/>
        <v>0</v>
      </c>
      <c r="Z144" s="33" t="s">
        <v>15</v>
      </c>
      <c r="AA144" s="36" t="s">
        <v>16</v>
      </c>
      <c r="AB144" s="181">
        <f t="shared" si="28"/>
        <v>8317</v>
      </c>
      <c r="AC144" s="181">
        <f t="shared" si="26"/>
        <v>499020</v>
      </c>
      <c r="AD144" s="181">
        <v>1.3</v>
      </c>
      <c r="AE144" s="181">
        <v>1.3</v>
      </c>
      <c r="AF144" s="101" t="str">
        <f t="shared" si="29"/>
        <v/>
      </c>
      <c r="AG144" s="190">
        <v>0</v>
      </c>
      <c r="AH144" s="69">
        <f t="shared" si="30"/>
        <v>8317</v>
      </c>
    </row>
    <row r="145" spans="1:34" s="69" customFormat="1" ht="39" x14ac:dyDescent="0.3">
      <c r="A145" s="55" t="s">
        <v>415</v>
      </c>
      <c r="B145" s="53" t="s">
        <v>128</v>
      </c>
      <c r="C145" s="54" t="s">
        <v>110</v>
      </c>
      <c r="D145" s="75">
        <v>8317</v>
      </c>
      <c r="E145" s="75"/>
      <c r="F145" s="75"/>
      <c r="G145" s="75"/>
      <c r="H145" s="75">
        <v>31.9</v>
      </c>
      <c r="I145" s="75">
        <v>265312.3</v>
      </c>
      <c r="J145" s="91" t="s">
        <v>129</v>
      </c>
      <c r="K145" s="73"/>
      <c r="L145" s="46">
        <v>0</v>
      </c>
      <c r="M145" s="46">
        <v>0</v>
      </c>
      <c r="N145" s="46">
        <v>0</v>
      </c>
      <c r="O145" s="98"/>
      <c r="P145" s="23" t="s">
        <v>1414</v>
      </c>
      <c r="Q145" s="24" t="s">
        <v>128</v>
      </c>
      <c r="R145" s="25" t="s">
        <v>110</v>
      </c>
      <c r="S145" s="26">
        <v>8317</v>
      </c>
      <c r="T145" s="26"/>
      <c r="U145" s="26">
        <f t="shared" si="19"/>
        <v>31.9</v>
      </c>
      <c r="V145" s="26">
        <f t="shared" si="23"/>
        <v>0</v>
      </c>
      <c r="W145" s="26">
        <f t="shared" si="24"/>
        <v>0</v>
      </c>
      <c r="X145" s="26">
        <f t="shared" si="25"/>
        <v>0</v>
      </c>
      <c r="Y145" s="26">
        <f t="shared" si="27"/>
        <v>0</v>
      </c>
      <c r="Z145" s="33" t="s">
        <v>15</v>
      </c>
      <c r="AA145" s="36" t="s">
        <v>16</v>
      </c>
      <c r="AB145" s="181">
        <f t="shared" si="28"/>
        <v>8317</v>
      </c>
      <c r="AC145" s="181">
        <f t="shared" si="26"/>
        <v>265312.3</v>
      </c>
      <c r="AD145" s="181">
        <v>1.3</v>
      </c>
      <c r="AE145" s="181">
        <v>1.3</v>
      </c>
      <c r="AF145" s="101" t="str">
        <f t="shared" si="29"/>
        <v/>
      </c>
      <c r="AG145" s="190">
        <v>0</v>
      </c>
      <c r="AH145" s="69">
        <f t="shared" si="30"/>
        <v>8317</v>
      </c>
    </row>
    <row r="146" spans="1:34" s="69" customFormat="1" ht="39" x14ac:dyDescent="0.3">
      <c r="A146" s="55" t="s">
        <v>416</v>
      </c>
      <c r="B146" s="53" t="s">
        <v>417</v>
      </c>
      <c r="C146" s="54" t="s">
        <v>110</v>
      </c>
      <c r="D146" s="75">
        <v>1087</v>
      </c>
      <c r="E146" s="75"/>
      <c r="F146" s="75"/>
      <c r="G146" s="75"/>
      <c r="H146" s="75">
        <v>278.10000000000002</v>
      </c>
      <c r="I146" s="75">
        <v>302294.7</v>
      </c>
      <c r="J146" s="91" t="s">
        <v>418</v>
      </c>
      <c r="K146" s="73"/>
      <c r="L146" s="46">
        <v>0</v>
      </c>
      <c r="M146" s="46">
        <v>0</v>
      </c>
      <c r="N146" s="46">
        <v>0</v>
      </c>
      <c r="O146" s="98"/>
      <c r="P146" s="23" t="s">
        <v>1429</v>
      </c>
      <c r="Q146" s="24" t="s">
        <v>417</v>
      </c>
      <c r="R146" s="25" t="s">
        <v>110</v>
      </c>
      <c r="S146" s="26">
        <v>1087</v>
      </c>
      <c r="T146" s="26"/>
      <c r="U146" s="26">
        <f t="shared" si="19"/>
        <v>278.10000000000002</v>
      </c>
      <c r="V146" s="26">
        <f t="shared" si="23"/>
        <v>0</v>
      </c>
      <c r="W146" s="26">
        <f t="shared" si="24"/>
        <v>0</v>
      </c>
      <c r="X146" s="26">
        <f t="shared" si="25"/>
        <v>0</v>
      </c>
      <c r="Y146" s="26">
        <f t="shared" si="27"/>
        <v>0</v>
      </c>
      <c r="Z146" s="33" t="s">
        <v>15</v>
      </c>
      <c r="AA146" s="36" t="s">
        <v>16</v>
      </c>
      <c r="AB146" s="181">
        <f t="shared" si="28"/>
        <v>1087</v>
      </c>
      <c r="AC146" s="181">
        <f t="shared" si="26"/>
        <v>302294.7</v>
      </c>
      <c r="AD146" s="181">
        <v>1.3</v>
      </c>
      <c r="AE146" s="181">
        <v>1.3</v>
      </c>
      <c r="AF146" s="101" t="str">
        <f t="shared" si="29"/>
        <v/>
      </c>
      <c r="AG146" s="190">
        <v>0</v>
      </c>
      <c r="AH146" s="69">
        <f t="shared" si="30"/>
        <v>1087</v>
      </c>
    </row>
    <row r="147" spans="1:34" s="69" customFormat="1" ht="39" x14ac:dyDescent="0.3">
      <c r="A147" s="55" t="s">
        <v>419</v>
      </c>
      <c r="B147" s="53" t="s">
        <v>420</v>
      </c>
      <c r="C147" s="54" t="s">
        <v>50</v>
      </c>
      <c r="D147" s="75">
        <v>172</v>
      </c>
      <c r="E147" s="75"/>
      <c r="F147" s="75"/>
      <c r="G147" s="75"/>
      <c r="H147" s="75">
        <v>1400</v>
      </c>
      <c r="I147" s="75">
        <v>240800</v>
      </c>
      <c r="J147" s="91" t="s">
        <v>421</v>
      </c>
      <c r="K147" s="73"/>
      <c r="L147" s="46">
        <v>0</v>
      </c>
      <c r="M147" s="46">
        <v>0</v>
      </c>
      <c r="N147" s="46">
        <v>0</v>
      </c>
      <c r="O147" s="98"/>
      <c r="P147" s="23" t="s">
        <v>1430</v>
      </c>
      <c r="Q147" s="24" t="s">
        <v>420</v>
      </c>
      <c r="R147" s="25" t="s">
        <v>50</v>
      </c>
      <c r="S147" s="26">
        <v>172</v>
      </c>
      <c r="T147" s="26"/>
      <c r="U147" s="26">
        <f t="shared" si="19"/>
        <v>1400</v>
      </c>
      <c r="V147" s="26">
        <f t="shared" si="23"/>
        <v>0</v>
      </c>
      <c r="W147" s="26">
        <f t="shared" si="24"/>
        <v>0</v>
      </c>
      <c r="X147" s="26">
        <f t="shared" si="25"/>
        <v>0</v>
      </c>
      <c r="Y147" s="26">
        <f t="shared" si="27"/>
        <v>0</v>
      </c>
      <c r="Z147" s="33" t="s">
        <v>15</v>
      </c>
      <c r="AA147" s="36" t="s">
        <v>16</v>
      </c>
      <c r="AB147" s="181">
        <f t="shared" si="28"/>
        <v>172</v>
      </c>
      <c r="AC147" s="181">
        <f t="shared" si="26"/>
        <v>240800</v>
      </c>
      <c r="AD147" s="181">
        <v>1.3</v>
      </c>
      <c r="AE147" s="181">
        <v>1.3</v>
      </c>
      <c r="AF147" s="101" t="str">
        <f t="shared" si="29"/>
        <v/>
      </c>
      <c r="AG147" s="190">
        <v>0</v>
      </c>
      <c r="AH147" s="69">
        <f t="shared" si="30"/>
        <v>172</v>
      </c>
    </row>
    <row r="148" spans="1:34" s="69" customFormat="1" ht="97.5" x14ac:dyDescent="0.3">
      <c r="A148" s="55" t="s">
        <v>422</v>
      </c>
      <c r="B148" s="53" t="s">
        <v>3070</v>
      </c>
      <c r="C148" s="54" t="s">
        <v>110</v>
      </c>
      <c r="D148" s="75">
        <v>150400</v>
      </c>
      <c r="E148" s="75"/>
      <c r="F148" s="75"/>
      <c r="G148" s="75"/>
      <c r="H148" s="75">
        <v>107.31</v>
      </c>
      <c r="I148" s="75">
        <v>16139424</v>
      </c>
      <c r="J148" s="91" t="s">
        <v>132</v>
      </c>
      <c r="K148" s="73"/>
      <c r="L148" s="46">
        <v>108539.58</v>
      </c>
      <c r="M148" s="46">
        <v>4426537.5</v>
      </c>
      <c r="N148" s="46">
        <v>11647382.33</v>
      </c>
      <c r="O148" s="98"/>
      <c r="P148" s="23" t="s">
        <v>1431</v>
      </c>
      <c r="Q148" s="24" t="s">
        <v>131</v>
      </c>
      <c r="R148" s="25" t="s">
        <v>110</v>
      </c>
      <c r="S148" s="26">
        <v>150400</v>
      </c>
      <c r="T148" s="26"/>
      <c r="U148" s="26">
        <f t="shared" si="19"/>
        <v>107.31</v>
      </c>
      <c r="V148" s="128">
        <f t="shared" si="23"/>
        <v>28500.000000000015</v>
      </c>
      <c r="W148" s="26">
        <f t="shared" si="24"/>
        <v>137039.58000000002</v>
      </c>
      <c r="X148" s="26">
        <f t="shared" si="25"/>
        <v>3058335</v>
      </c>
      <c r="Y148" s="26">
        <f t="shared" si="27"/>
        <v>14705717.33</v>
      </c>
      <c r="Z148" s="33" t="s">
        <v>15</v>
      </c>
      <c r="AA148" s="36" t="s">
        <v>16</v>
      </c>
      <c r="AB148" s="181">
        <f t="shared" si="28"/>
        <v>150400</v>
      </c>
      <c r="AC148" s="181">
        <f t="shared" si="26"/>
        <v>16139424</v>
      </c>
      <c r="AD148" s="181">
        <v>1.3</v>
      </c>
      <c r="AE148" s="181">
        <v>1.3</v>
      </c>
      <c r="AF148" s="101" t="str">
        <f t="shared" si="29"/>
        <v/>
      </c>
      <c r="AG148" s="193">
        <f>67289.58+8250*5+28500</f>
        <v>137039.58000000002</v>
      </c>
      <c r="AH148" s="69">
        <f t="shared" si="30"/>
        <v>150400</v>
      </c>
    </row>
    <row r="149" spans="1:34" s="69" customFormat="1" ht="39" x14ac:dyDescent="0.3">
      <c r="A149" s="55" t="s">
        <v>423</v>
      </c>
      <c r="B149" s="53" t="s">
        <v>424</v>
      </c>
      <c r="C149" s="54" t="s">
        <v>50</v>
      </c>
      <c r="D149" s="75">
        <v>1140.1600000000001</v>
      </c>
      <c r="E149" s="75"/>
      <c r="F149" s="75"/>
      <c r="G149" s="75"/>
      <c r="H149" s="75">
        <v>692.16</v>
      </c>
      <c r="I149" s="75">
        <v>789173.15</v>
      </c>
      <c r="J149" s="91" t="s">
        <v>425</v>
      </c>
      <c r="K149" s="73"/>
      <c r="L149" s="46">
        <v>843.39</v>
      </c>
      <c r="M149" s="46">
        <v>0</v>
      </c>
      <c r="N149" s="46">
        <v>583760.81999999995</v>
      </c>
      <c r="O149" s="98"/>
      <c r="P149" s="23" t="s">
        <v>1395</v>
      </c>
      <c r="Q149" s="24" t="s">
        <v>424</v>
      </c>
      <c r="R149" s="25" t="s">
        <v>50</v>
      </c>
      <c r="S149" s="26">
        <v>1140.1600000000001</v>
      </c>
      <c r="T149" s="26"/>
      <c r="U149" s="26">
        <f t="shared" si="19"/>
        <v>692.16</v>
      </c>
      <c r="V149" s="128">
        <f t="shared" si="23"/>
        <v>0</v>
      </c>
      <c r="W149" s="26">
        <f t="shared" si="24"/>
        <v>843.39</v>
      </c>
      <c r="X149" s="26">
        <f t="shared" si="25"/>
        <v>0</v>
      </c>
      <c r="Y149" s="26">
        <f t="shared" si="27"/>
        <v>583760.81999999995</v>
      </c>
      <c r="Z149" s="33" t="s">
        <v>15</v>
      </c>
      <c r="AA149" s="36" t="s">
        <v>16</v>
      </c>
      <c r="AB149" s="181">
        <f t="shared" si="28"/>
        <v>1140.1600000000001</v>
      </c>
      <c r="AC149" s="181">
        <f t="shared" si="26"/>
        <v>789173.15</v>
      </c>
      <c r="AD149" s="181">
        <v>1.3</v>
      </c>
      <c r="AE149" s="181">
        <v>1.3</v>
      </c>
      <c r="AF149" s="101" t="str">
        <f t="shared" si="29"/>
        <v/>
      </c>
      <c r="AG149" s="192">
        <f>506.39+225+112</f>
        <v>843.39</v>
      </c>
      <c r="AH149" s="69">
        <f t="shared" si="30"/>
        <v>1140.1600000000001</v>
      </c>
    </row>
    <row r="150" spans="1:34" s="69" customFormat="1" ht="58.5" x14ac:dyDescent="0.3">
      <c r="A150" s="130" t="s">
        <v>426</v>
      </c>
      <c r="B150" s="131" t="s">
        <v>33</v>
      </c>
      <c r="C150" s="132" t="s">
        <v>34</v>
      </c>
      <c r="D150" s="203">
        <v>527.59</v>
      </c>
      <c r="E150" s="203"/>
      <c r="F150" s="203"/>
      <c r="G150" s="203"/>
      <c r="H150" s="75">
        <v>48.28</v>
      </c>
      <c r="I150" s="75">
        <v>25472.05</v>
      </c>
      <c r="J150" s="91" t="s">
        <v>35</v>
      </c>
      <c r="K150" s="73"/>
      <c r="L150" s="46">
        <v>527.59</v>
      </c>
      <c r="M150" s="46">
        <v>0</v>
      </c>
      <c r="N150" s="46">
        <v>25472.05</v>
      </c>
      <c r="O150" s="98"/>
      <c r="P150" s="23" t="s">
        <v>1432</v>
      </c>
      <c r="Q150" s="24" t="s">
        <v>33</v>
      </c>
      <c r="R150" s="25" t="s">
        <v>34</v>
      </c>
      <c r="S150" s="26">
        <v>527.59</v>
      </c>
      <c r="T150" s="26"/>
      <c r="U150" s="26">
        <f t="shared" si="19"/>
        <v>48.28</v>
      </c>
      <c r="V150" s="127">
        <f t="shared" si="23"/>
        <v>0</v>
      </c>
      <c r="W150" s="127">
        <f t="shared" si="24"/>
        <v>527.59</v>
      </c>
      <c r="X150" s="127">
        <f t="shared" si="25"/>
        <v>0</v>
      </c>
      <c r="Y150" s="127">
        <f t="shared" si="27"/>
        <v>25472.05</v>
      </c>
      <c r="Z150" s="33" t="s">
        <v>15</v>
      </c>
      <c r="AA150" s="36" t="s">
        <v>16</v>
      </c>
      <c r="AB150" s="181">
        <f t="shared" si="28"/>
        <v>527.59</v>
      </c>
      <c r="AC150" s="181">
        <f t="shared" si="26"/>
        <v>25472.05</v>
      </c>
      <c r="AD150" s="181">
        <v>1.3</v>
      </c>
      <c r="AE150" s="181">
        <v>1.3</v>
      </c>
      <c r="AF150" s="101" t="str">
        <f t="shared" si="29"/>
        <v/>
      </c>
      <c r="AG150" s="190">
        <v>527.59</v>
      </c>
      <c r="AH150" s="69">
        <f t="shared" si="30"/>
        <v>527.59</v>
      </c>
    </row>
    <row r="151" spans="1:34" s="69" customFormat="1" ht="39" x14ac:dyDescent="0.3">
      <c r="A151" s="130" t="s">
        <v>427</v>
      </c>
      <c r="B151" s="131" t="s">
        <v>428</v>
      </c>
      <c r="C151" s="132" t="s">
        <v>34</v>
      </c>
      <c r="D151" s="203">
        <v>355.42</v>
      </c>
      <c r="E151" s="203"/>
      <c r="F151" s="203"/>
      <c r="G151" s="203"/>
      <c r="H151" s="75">
        <v>721.06</v>
      </c>
      <c r="I151" s="75">
        <v>256279.15</v>
      </c>
      <c r="J151" s="91" t="s">
        <v>429</v>
      </c>
      <c r="K151" s="73"/>
      <c r="L151" s="46">
        <v>0</v>
      </c>
      <c r="M151" s="46">
        <v>0</v>
      </c>
      <c r="N151" s="46">
        <v>0</v>
      </c>
      <c r="O151" s="98"/>
      <c r="P151" s="23" t="s">
        <v>1433</v>
      </c>
      <c r="Q151" s="24" t="s">
        <v>428</v>
      </c>
      <c r="R151" s="25" t="s">
        <v>34</v>
      </c>
      <c r="S151" s="26">
        <v>355.42</v>
      </c>
      <c r="T151" s="26"/>
      <c r="U151" s="26">
        <f t="shared" si="19"/>
        <v>721.06</v>
      </c>
      <c r="V151" s="127">
        <f t="shared" si="23"/>
        <v>0</v>
      </c>
      <c r="W151" s="127">
        <f t="shared" si="24"/>
        <v>0</v>
      </c>
      <c r="X151" s="127">
        <f t="shared" si="25"/>
        <v>0</v>
      </c>
      <c r="Y151" s="127">
        <f t="shared" si="27"/>
        <v>0</v>
      </c>
      <c r="Z151" s="33" t="s">
        <v>15</v>
      </c>
      <c r="AA151" s="36" t="s">
        <v>16</v>
      </c>
      <c r="AB151" s="181">
        <f t="shared" si="28"/>
        <v>355.42</v>
      </c>
      <c r="AC151" s="181">
        <f t="shared" si="26"/>
        <v>256279.15</v>
      </c>
      <c r="AD151" s="181">
        <v>1.3</v>
      </c>
      <c r="AE151" s="181">
        <v>1.3</v>
      </c>
      <c r="AF151" s="101" t="str">
        <f t="shared" si="29"/>
        <v/>
      </c>
      <c r="AG151" s="190">
        <v>0</v>
      </c>
      <c r="AH151" s="69">
        <f t="shared" si="30"/>
        <v>355.42</v>
      </c>
    </row>
    <row r="152" spans="1:34" s="69" customFormat="1" ht="33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75">
        <v>28</v>
      </c>
      <c r="I152" s="75">
        <v>914900</v>
      </c>
      <c r="J152" s="91" t="s">
        <v>432</v>
      </c>
      <c r="K152" s="73"/>
      <c r="L152" s="46">
        <v>18902</v>
      </c>
      <c r="M152" s="46">
        <v>71820</v>
      </c>
      <c r="N152" s="46">
        <v>529256</v>
      </c>
      <c r="O152" s="98"/>
      <c r="P152" s="23" t="s">
        <v>1382</v>
      </c>
      <c r="Q152" s="24" t="s">
        <v>431</v>
      </c>
      <c r="R152" s="25" t="s">
        <v>50</v>
      </c>
      <c r="S152" s="26">
        <v>272</v>
      </c>
      <c r="T152" s="26">
        <v>32675</v>
      </c>
      <c r="U152" s="26">
        <f t="shared" si="19"/>
        <v>28</v>
      </c>
      <c r="V152" s="128">
        <f t="shared" si="23"/>
        <v>0</v>
      </c>
      <c r="W152" s="26">
        <f t="shared" si="24"/>
        <v>18902</v>
      </c>
      <c r="X152" s="26">
        <f t="shared" si="25"/>
        <v>0</v>
      </c>
      <c r="Y152" s="26">
        <f t="shared" si="27"/>
        <v>529256</v>
      </c>
      <c r="Z152" s="27" t="s">
        <v>15</v>
      </c>
      <c r="AA152" s="36" t="s">
        <v>16</v>
      </c>
      <c r="AB152" s="181">
        <f t="shared" si="28"/>
        <v>32675</v>
      </c>
      <c r="AC152" s="181">
        <f t="shared" si="26"/>
        <v>914900</v>
      </c>
      <c r="AD152" s="181">
        <v>1.3</v>
      </c>
      <c r="AE152" s="181">
        <v>1.3</v>
      </c>
      <c r="AF152" s="101" t="str">
        <f t="shared" si="29"/>
        <v/>
      </c>
      <c r="AG152" s="191">
        <f>14772+1565+2565</f>
        <v>18902</v>
      </c>
      <c r="AH152" s="69">
        <f t="shared" si="30"/>
        <v>32675</v>
      </c>
    </row>
    <row r="153" spans="1:34" s="69" customFormat="1" ht="39" x14ac:dyDescent="0.3">
      <c r="A153" s="130" t="s">
        <v>433</v>
      </c>
      <c r="B153" s="131" t="s">
        <v>434</v>
      </c>
      <c r="C153" s="132" t="s">
        <v>30</v>
      </c>
      <c r="D153" s="203">
        <v>744</v>
      </c>
      <c r="E153" s="203"/>
      <c r="F153" s="203"/>
      <c r="G153" s="203"/>
      <c r="H153" s="75">
        <v>19012.060000000001</v>
      </c>
      <c r="I153" s="75">
        <v>14144972.640000001</v>
      </c>
      <c r="J153" s="91" t="s">
        <v>435</v>
      </c>
      <c r="K153" s="73"/>
      <c r="L153" s="46">
        <v>744</v>
      </c>
      <c r="M153" s="46">
        <v>0</v>
      </c>
      <c r="N153" s="46">
        <v>14144972.640000001</v>
      </c>
      <c r="O153" s="98"/>
      <c r="P153" s="23" t="s">
        <v>1434</v>
      </c>
      <c r="Q153" s="24" t="s">
        <v>434</v>
      </c>
      <c r="R153" s="25" t="s">
        <v>30</v>
      </c>
      <c r="S153" s="26">
        <v>744</v>
      </c>
      <c r="T153" s="26"/>
      <c r="U153" s="26">
        <f t="shared" si="19"/>
        <v>19012.060000000001</v>
      </c>
      <c r="V153" s="127">
        <f t="shared" si="23"/>
        <v>0</v>
      </c>
      <c r="W153" s="127">
        <f t="shared" si="24"/>
        <v>744</v>
      </c>
      <c r="X153" s="127">
        <f t="shared" si="25"/>
        <v>0</v>
      </c>
      <c r="Y153" s="127">
        <f t="shared" si="27"/>
        <v>14144972.640000001</v>
      </c>
      <c r="Z153" s="33" t="s">
        <v>15</v>
      </c>
      <c r="AA153" s="36" t="s">
        <v>16</v>
      </c>
      <c r="AB153" s="181">
        <f t="shared" si="28"/>
        <v>744</v>
      </c>
      <c r="AC153" s="181">
        <f t="shared" si="26"/>
        <v>14144972.640000001</v>
      </c>
      <c r="AD153" s="181">
        <v>1.3</v>
      </c>
      <c r="AE153" s="181">
        <v>1.3</v>
      </c>
      <c r="AF153" s="101" t="str">
        <f t="shared" si="29"/>
        <v/>
      </c>
      <c r="AG153" s="190">
        <v>744</v>
      </c>
      <c r="AH153" s="69">
        <f t="shared" si="30"/>
        <v>744</v>
      </c>
    </row>
    <row r="154" spans="1:34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>
        <v>373.1</v>
      </c>
      <c r="I154" s="75">
        <v>50741.599999999999</v>
      </c>
      <c r="J154" s="91" t="s">
        <v>438</v>
      </c>
      <c r="K154" s="73"/>
      <c r="L154" s="46">
        <v>0</v>
      </c>
      <c r="M154" s="46">
        <v>0</v>
      </c>
      <c r="N154" s="46">
        <v>0</v>
      </c>
      <c r="O154" s="98"/>
      <c r="P154" s="23" t="s">
        <v>1388</v>
      </c>
      <c r="Q154" s="24" t="s">
        <v>437</v>
      </c>
      <c r="R154" s="25" t="s">
        <v>50</v>
      </c>
      <c r="S154" s="26">
        <v>136</v>
      </c>
      <c r="T154" s="26"/>
      <c r="U154" s="26">
        <f t="shared" si="19"/>
        <v>373.1</v>
      </c>
      <c r="V154" s="26">
        <f t="shared" si="23"/>
        <v>0</v>
      </c>
      <c r="W154" s="26">
        <f t="shared" si="24"/>
        <v>0</v>
      </c>
      <c r="X154" s="26">
        <f t="shared" si="25"/>
        <v>0</v>
      </c>
      <c r="Y154" s="26">
        <f t="shared" si="27"/>
        <v>0</v>
      </c>
      <c r="Z154" s="33" t="s">
        <v>15</v>
      </c>
      <c r="AA154" s="36" t="s">
        <v>16</v>
      </c>
      <c r="AB154" s="181">
        <f t="shared" si="28"/>
        <v>136</v>
      </c>
      <c r="AC154" s="181">
        <f t="shared" si="26"/>
        <v>50741.599999999999</v>
      </c>
      <c r="AD154" s="181">
        <v>1.3</v>
      </c>
      <c r="AE154" s="181">
        <v>1.3</v>
      </c>
      <c r="AF154" s="101" t="str">
        <f t="shared" si="29"/>
        <v/>
      </c>
      <c r="AG154" s="190">
        <v>0</v>
      </c>
      <c r="AH154" s="69">
        <f t="shared" si="30"/>
        <v>136</v>
      </c>
    </row>
    <row r="155" spans="1:34" s="69" customFormat="1" ht="39" x14ac:dyDescent="0.3">
      <c r="A155" s="55" t="s">
        <v>439</v>
      </c>
      <c r="B155" s="53" t="s">
        <v>440</v>
      </c>
      <c r="C155" s="54" t="s">
        <v>50</v>
      </c>
      <c r="D155" s="75">
        <v>136</v>
      </c>
      <c r="E155" s="75"/>
      <c r="F155" s="75"/>
      <c r="G155" s="75"/>
      <c r="H155" s="75">
        <v>616.53</v>
      </c>
      <c r="I155" s="75">
        <v>83848.08</v>
      </c>
      <c r="J155" s="91" t="s">
        <v>441</v>
      </c>
      <c r="K155" s="73"/>
      <c r="L155" s="46">
        <v>0</v>
      </c>
      <c r="M155" s="46">
        <v>0</v>
      </c>
      <c r="N155" s="46">
        <v>0</v>
      </c>
      <c r="O155" s="98"/>
      <c r="P155" s="23" t="s">
        <v>1389</v>
      </c>
      <c r="Q155" s="24" t="s">
        <v>440</v>
      </c>
      <c r="R155" s="25" t="s">
        <v>50</v>
      </c>
      <c r="S155" s="26">
        <v>136</v>
      </c>
      <c r="T155" s="26"/>
      <c r="U155" s="26">
        <f t="shared" si="19"/>
        <v>616.53</v>
      </c>
      <c r="V155" s="26">
        <f t="shared" si="23"/>
        <v>0</v>
      </c>
      <c r="W155" s="26">
        <f t="shared" si="24"/>
        <v>0</v>
      </c>
      <c r="X155" s="26">
        <f t="shared" si="25"/>
        <v>0</v>
      </c>
      <c r="Y155" s="26">
        <f t="shared" si="27"/>
        <v>0</v>
      </c>
      <c r="Z155" s="33" t="s">
        <v>15</v>
      </c>
      <c r="AA155" s="36" t="s">
        <v>16</v>
      </c>
      <c r="AB155" s="181">
        <f t="shared" si="28"/>
        <v>136</v>
      </c>
      <c r="AC155" s="181">
        <f t="shared" si="26"/>
        <v>83848.08</v>
      </c>
      <c r="AD155" s="181">
        <v>1.3</v>
      </c>
      <c r="AE155" s="181">
        <v>1.3</v>
      </c>
      <c r="AF155" s="101" t="str">
        <f t="shared" si="29"/>
        <v/>
      </c>
      <c r="AG155" s="190">
        <v>0</v>
      </c>
      <c r="AH155" s="69">
        <f t="shared" si="30"/>
        <v>136</v>
      </c>
    </row>
    <row r="156" spans="1:34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>
        <v>2664.06</v>
      </c>
      <c r="I156" s="75">
        <v>9590.6200000000008</v>
      </c>
      <c r="J156" s="91" t="s">
        <v>444</v>
      </c>
      <c r="K156" s="73"/>
      <c r="L156" s="46">
        <v>0</v>
      </c>
      <c r="M156" s="46">
        <v>0</v>
      </c>
      <c r="N156" s="46">
        <v>0</v>
      </c>
      <c r="O156" s="98"/>
      <c r="P156" s="23" t="s">
        <v>1390</v>
      </c>
      <c r="Q156" s="24" t="s">
        <v>443</v>
      </c>
      <c r="R156" s="25" t="s">
        <v>50</v>
      </c>
      <c r="S156" s="26">
        <v>3.6</v>
      </c>
      <c r="T156" s="26"/>
      <c r="U156" s="26">
        <f t="shared" si="19"/>
        <v>2664.06</v>
      </c>
      <c r="V156" s="26">
        <f t="shared" si="23"/>
        <v>0</v>
      </c>
      <c r="W156" s="26">
        <f t="shared" si="24"/>
        <v>0</v>
      </c>
      <c r="X156" s="26">
        <f t="shared" si="25"/>
        <v>0</v>
      </c>
      <c r="Y156" s="26">
        <f t="shared" si="27"/>
        <v>0</v>
      </c>
      <c r="Z156" s="33" t="s">
        <v>15</v>
      </c>
      <c r="AA156" s="36" t="s">
        <v>16</v>
      </c>
      <c r="AB156" s="181">
        <f t="shared" si="28"/>
        <v>3.6</v>
      </c>
      <c r="AC156" s="181">
        <f t="shared" si="26"/>
        <v>9590.6200000000008</v>
      </c>
      <c r="AD156" s="181">
        <v>1.3</v>
      </c>
      <c r="AE156" s="181">
        <v>1.3</v>
      </c>
      <c r="AF156" s="101" t="str">
        <f t="shared" si="29"/>
        <v/>
      </c>
      <c r="AG156" s="190">
        <v>0</v>
      </c>
      <c r="AH156" s="69">
        <f t="shared" si="30"/>
        <v>3.6</v>
      </c>
    </row>
    <row r="157" spans="1:34" s="69" customFormat="1" ht="39" x14ac:dyDescent="0.3">
      <c r="A157" s="55" t="s">
        <v>445</v>
      </c>
      <c r="B157" s="53" t="s">
        <v>446</v>
      </c>
      <c r="C157" s="54" t="s">
        <v>30</v>
      </c>
      <c r="D157" s="75">
        <v>44</v>
      </c>
      <c r="E157" s="75"/>
      <c r="F157" s="75"/>
      <c r="G157" s="75"/>
      <c r="H157" s="75">
        <v>5183.22</v>
      </c>
      <c r="I157" s="75">
        <v>228061.68</v>
      </c>
      <c r="J157" s="137" t="s">
        <v>447</v>
      </c>
      <c r="K157" s="73"/>
      <c r="L157" s="46">
        <v>0</v>
      </c>
      <c r="M157" s="46">
        <v>0</v>
      </c>
      <c r="N157" s="46">
        <v>0</v>
      </c>
      <c r="O157" s="98"/>
      <c r="P157" s="23" t="s">
        <v>1391</v>
      </c>
      <c r="Q157" s="24" t="s">
        <v>446</v>
      </c>
      <c r="R157" s="25" t="s">
        <v>30</v>
      </c>
      <c r="S157" s="26">
        <v>44</v>
      </c>
      <c r="T157" s="26"/>
      <c r="U157" s="26">
        <f t="shared" si="19"/>
        <v>5183.22</v>
      </c>
      <c r="V157" s="26">
        <f t="shared" si="23"/>
        <v>0</v>
      </c>
      <c r="W157" s="26">
        <f t="shared" si="24"/>
        <v>0</v>
      </c>
      <c r="X157" s="26">
        <f t="shared" si="25"/>
        <v>0</v>
      </c>
      <c r="Y157" s="26">
        <f t="shared" si="27"/>
        <v>0</v>
      </c>
      <c r="Z157" s="33" t="s">
        <v>15</v>
      </c>
      <c r="AA157" s="36" t="s">
        <v>16</v>
      </c>
      <c r="AB157" s="181">
        <f t="shared" si="28"/>
        <v>44</v>
      </c>
      <c r="AC157" s="181">
        <f t="shared" si="26"/>
        <v>228061.68</v>
      </c>
      <c r="AD157" s="181">
        <v>1.3</v>
      </c>
      <c r="AE157" s="181">
        <v>1.3</v>
      </c>
      <c r="AF157" s="101" t="str">
        <f t="shared" si="29"/>
        <v/>
      </c>
      <c r="AG157" s="190">
        <v>0</v>
      </c>
      <c r="AH157" s="69">
        <f t="shared" si="30"/>
        <v>44</v>
      </c>
    </row>
    <row r="158" spans="1:34" s="69" customFormat="1" ht="39" x14ac:dyDescent="0.3">
      <c r="A158" s="55" t="s">
        <v>448</v>
      </c>
      <c r="B158" s="53" t="s">
        <v>449</v>
      </c>
      <c r="C158" s="54" t="s">
        <v>30</v>
      </c>
      <c r="D158" s="75">
        <v>94.14</v>
      </c>
      <c r="E158" s="75"/>
      <c r="F158" s="75"/>
      <c r="G158" s="75"/>
      <c r="H158" s="75">
        <v>9392.57</v>
      </c>
      <c r="I158" s="75">
        <v>884216.54</v>
      </c>
      <c r="J158" s="137" t="s">
        <v>450</v>
      </c>
      <c r="K158" s="73"/>
      <c r="L158" s="46">
        <v>0</v>
      </c>
      <c r="M158" s="46">
        <v>0</v>
      </c>
      <c r="N158" s="46">
        <v>0</v>
      </c>
      <c r="O158" s="98"/>
      <c r="P158" s="23" t="s">
        <v>1436</v>
      </c>
      <c r="Q158" s="24" t="s">
        <v>449</v>
      </c>
      <c r="R158" s="25" t="s">
        <v>30</v>
      </c>
      <c r="S158" s="26">
        <v>94.14</v>
      </c>
      <c r="T158" s="26"/>
      <c r="U158" s="26">
        <f t="shared" si="19"/>
        <v>9392.57</v>
      </c>
      <c r="V158" s="26">
        <f t="shared" si="23"/>
        <v>0</v>
      </c>
      <c r="W158" s="26">
        <f t="shared" si="24"/>
        <v>0</v>
      </c>
      <c r="X158" s="26">
        <f t="shared" si="25"/>
        <v>0</v>
      </c>
      <c r="Y158" s="26">
        <f t="shared" si="27"/>
        <v>0</v>
      </c>
      <c r="Z158" s="33" t="s">
        <v>15</v>
      </c>
      <c r="AA158" s="36" t="s">
        <v>16</v>
      </c>
      <c r="AB158" s="181">
        <f t="shared" si="28"/>
        <v>94.14</v>
      </c>
      <c r="AC158" s="181">
        <f t="shared" si="26"/>
        <v>884216.54</v>
      </c>
      <c r="AD158" s="181">
        <v>1.3</v>
      </c>
      <c r="AE158" s="181">
        <v>1.3</v>
      </c>
      <c r="AF158" s="101" t="str">
        <f t="shared" si="29"/>
        <v/>
      </c>
      <c r="AG158" s="190">
        <v>0</v>
      </c>
      <c r="AH158" s="69">
        <f t="shared" si="30"/>
        <v>94.14</v>
      </c>
    </row>
    <row r="159" spans="1:34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>
        <v>2388.5700000000002</v>
      </c>
      <c r="I159" s="75">
        <v>272296.98</v>
      </c>
      <c r="J159" s="137" t="s">
        <v>453</v>
      </c>
      <c r="K159" s="73"/>
      <c r="L159" s="46">
        <v>0</v>
      </c>
      <c r="M159" s="46">
        <v>0</v>
      </c>
      <c r="N159" s="46">
        <v>0</v>
      </c>
      <c r="O159" s="98"/>
      <c r="P159" s="23" t="s">
        <v>1374</v>
      </c>
      <c r="Q159" s="24" t="s">
        <v>452</v>
      </c>
      <c r="R159" s="25" t="s">
        <v>30</v>
      </c>
      <c r="S159" s="26">
        <v>114</v>
      </c>
      <c r="T159" s="26"/>
      <c r="U159" s="26">
        <f t="shared" si="19"/>
        <v>2388.5700000000002</v>
      </c>
      <c r="V159" s="26">
        <f t="shared" si="23"/>
        <v>0</v>
      </c>
      <c r="W159" s="26">
        <f t="shared" si="24"/>
        <v>0</v>
      </c>
      <c r="X159" s="26">
        <f t="shared" si="25"/>
        <v>0</v>
      </c>
      <c r="Y159" s="26">
        <f t="shared" si="27"/>
        <v>0</v>
      </c>
      <c r="Z159" s="33" t="s">
        <v>15</v>
      </c>
      <c r="AA159" s="36" t="s">
        <v>16</v>
      </c>
      <c r="AB159" s="181">
        <f t="shared" si="28"/>
        <v>114</v>
      </c>
      <c r="AC159" s="181">
        <f t="shared" si="26"/>
        <v>272296.98</v>
      </c>
      <c r="AD159" s="181">
        <v>1.3</v>
      </c>
      <c r="AE159" s="181">
        <v>1.3</v>
      </c>
      <c r="AF159" s="101" t="str">
        <f t="shared" si="29"/>
        <v/>
      </c>
      <c r="AG159" s="190">
        <v>0</v>
      </c>
      <c r="AH159" s="69">
        <f t="shared" si="30"/>
        <v>114</v>
      </c>
    </row>
    <row r="160" spans="1:34" s="69" customFormat="1" ht="39" x14ac:dyDescent="0.3">
      <c r="A160" s="55" t="s">
        <v>454</v>
      </c>
      <c r="B160" s="53" t="s">
        <v>455</v>
      </c>
      <c r="C160" s="54" t="s">
        <v>30</v>
      </c>
      <c r="D160" s="75">
        <v>44</v>
      </c>
      <c r="E160" s="75"/>
      <c r="F160" s="75"/>
      <c r="G160" s="75"/>
      <c r="H160" s="75">
        <v>80192.710000000006</v>
      </c>
      <c r="I160" s="75">
        <v>3528479.24</v>
      </c>
      <c r="J160" s="137" t="s">
        <v>456</v>
      </c>
      <c r="K160" s="73"/>
      <c r="L160" s="46">
        <v>0</v>
      </c>
      <c r="M160" s="46">
        <v>0</v>
      </c>
      <c r="N160" s="46">
        <v>0</v>
      </c>
      <c r="O160" s="98"/>
      <c r="P160" s="23" t="s">
        <v>1376</v>
      </c>
      <c r="Q160" s="24" t="s">
        <v>455</v>
      </c>
      <c r="R160" s="25" t="s">
        <v>30</v>
      </c>
      <c r="S160" s="26">
        <v>44</v>
      </c>
      <c r="T160" s="26"/>
      <c r="U160" s="26">
        <f t="shared" si="19"/>
        <v>80192.710000000006</v>
      </c>
      <c r="V160" s="26">
        <f t="shared" si="23"/>
        <v>0</v>
      </c>
      <c r="W160" s="26">
        <f t="shared" si="24"/>
        <v>0</v>
      </c>
      <c r="X160" s="26">
        <f t="shared" si="25"/>
        <v>0</v>
      </c>
      <c r="Y160" s="26">
        <f t="shared" si="27"/>
        <v>0</v>
      </c>
      <c r="Z160" s="33" t="s">
        <v>15</v>
      </c>
      <c r="AA160" s="36" t="s">
        <v>16</v>
      </c>
      <c r="AB160" s="181">
        <f t="shared" si="28"/>
        <v>44</v>
      </c>
      <c r="AC160" s="181">
        <f t="shared" si="26"/>
        <v>3528479.24</v>
      </c>
      <c r="AD160" s="181">
        <v>1.3</v>
      </c>
      <c r="AE160" s="181">
        <v>1.3</v>
      </c>
      <c r="AF160" s="101" t="str">
        <f t="shared" si="29"/>
        <v/>
      </c>
      <c r="AG160" s="190">
        <v>0</v>
      </c>
      <c r="AH160" s="69">
        <f t="shared" si="30"/>
        <v>44</v>
      </c>
    </row>
    <row r="161" spans="1:34" s="69" customFormat="1" ht="58.5" x14ac:dyDescent="0.3">
      <c r="A161" s="55" t="s">
        <v>457</v>
      </c>
      <c r="B161" s="53" t="s">
        <v>458</v>
      </c>
      <c r="C161" s="54" t="s">
        <v>30</v>
      </c>
      <c r="D161" s="75">
        <v>90</v>
      </c>
      <c r="E161" s="75"/>
      <c r="F161" s="75"/>
      <c r="G161" s="75"/>
      <c r="H161" s="75">
        <v>9257.1299999999992</v>
      </c>
      <c r="I161" s="75">
        <v>833141.7</v>
      </c>
      <c r="J161" s="137" t="s">
        <v>459</v>
      </c>
      <c r="K161" s="73"/>
      <c r="L161" s="46">
        <v>0</v>
      </c>
      <c r="M161" s="46">
        <v>0</v>
      </c>
      <c r="N161" s="46">
        <v>0</v>
      </c>
      <c r="O161" s="98"/>
      <c r="P161" s="23" t="s">
        <v>1378</v>
      </c>
      <c r="Q161" s="24" t="s">
        <v>458</v>
      </c>
      <c r="R161" s="25" t="s">
        <v>30</v>
      </c>
      <c r="S161" s="26">
        <v>90</v>
      </c>
      <c r="T161" s="26"/>
      <c r="U161" s="26">
        <f t="shared" si="19"/>
        <v>9257.1299999999992</v>
      </c>
      <c r="V161" s="26">
        <f t="shared" si="23"/>
        <v>0</v>
      </c>
      <c r="W161" s="26">
        <f t="shared" si="24"/>
        <v>0</v>
      </c>
      <c r="X161" s="26">
        <f t="shared" si="25"/>
        <v>0</v>
      </c>
      <c r="Y161" s="26">
        <f t="shared" si="27"/>
        <v>0</v>
      </c>
      <c r="Z161" s="33" t="s">
        <v>15</v>
      </c>
      <c r="AA161" s="36" t="s">
        <v>16</v>
      </c>
      <c r="AB161" s="181">
        <f t="shared" si="28"/>
        <v>90</v>
      </c>
      <c r="AC161" s="181">
        <f t="shared" si="26"/>
        <v>833141.7</v>
      </c>
      <c r="AD161" s="181">
        <v>1.3</v>
      </c>
      <c r="AE161" s="181">
        <v>1.3</v>
      </c>
      <c r="AF161" s="101" t="str">
        <f t="shared" si="29"/>
        <v/>
      </c>
      <c r="AG161" s="190">
        <v>0</v>
      </c>
      <c r="AH161" s="69">
        <f t="shared" si="30"/>
        <v>90</v>
      </c>
    </row>
    <row r="162" spans="1:34" s="69" customFormat="1" ht="33" x14ac:dyDescent="0.3">
      <c r="A162" s="55" t="s">
        <v>460</v>
      </c>
      <c r="B162" s="53" t="s">
        <v>461</v>
      </c>
      <c r="C162" s="54" t="s">
        <v>81</v>
      </c>
      <c r="D162" s="75">
        <v>1</v>
      </c>
      <c r="E162" s="75"/>
      <c r="F162" s="75"/>
      <c r="G162" s="75"/>
      <c r="H162" s="75">
        <v>58649</v>
      </c>
      <c r="I162" s="75">
        <v>58649</v>
      </c>
      <c r="J162" s="137" t="s">
        <v>462</v>
      </c>
      <c r="K162" s="73"/>
      <c r="L162" s="46">
        <v>0</v>
      </c>
      <c r="M162" s="46">
        <v>0</v>
      </c>
      <c r="N162" s="46">
        <v>0</v>
      </c>
      <c r="O162" s="98"/>
      <c r="P162" s="23" t="s">
        <v>1438</v>
      </c>
      <c r="Q162" s="24" t="s">
        <v>461</v>
      </c>
      <c r="R162" s="25" t="s">
        <v>81</v>
      </c>
      <c r="S162" s="26">
        <v>1</v>
      </c>
      <c r="T162" s="26"/>
      <c r="U162" s="26">
        <f t="shared" si="19"/>
        <v>58649</v>
      </c>
      <c r="V162" s="26">
        <f t="shared" si="23"/>
        <v>0</v>
      </c>
      <c r="W162" s="26">
        <f t="shared" si="24"/>
        <v>0</v>
      </c>
      <c r="X162" s="26">
        <f t="shared" si="25"/>
        <v>0</v>
      </c>
      <c r="Y162" s="26">
        <f t="shared" si="27"/>
        <v>0</v>
      </c>
      <c r="Z162" s="33" t="s">
        <v>15</v>
      </c>
      <c r="AA162" s="36" t="s">
        <v>16</v>
      </c>
      <c r="AB162" s="181">
        <f t="shared" si="28"/>
        <v>1</v>
      </c>
      <c r="AC162" s="181">
        <f t="shared" si="26"/>
        <v>58649</v>
      </c>
      <c r="AD162" s="181">
        <v>1.3</v>
      </c>
      <c r="AE162" s="181">
        <v>1.3</v>
      </c>
      <c r="AF162" s="101" t="str">
        <f t="shared" si="29"/>
        <v/>
      </c>
      <c r="AG162" s="190">
        <v>0</v>
      </c>
      <c r="AH162" s="69">
        <f t="shared" si="30"/>
        <v>1</v>
      </c>
    </row>
    <row r="163" spans="1:34" s="69" customFormat="1" ht="33" x14ac:dyDescent="0.3">
      <c r="A163" s="55" t="s">
        <v>463</v>
      </c>
      <c r="B163" s="53" t="s">
        <v>464</v>
      </c>
      <c r="C163" s="54" t="s">
        <v>81</v>
      </c>
      <c r="D163" s="75">
        <v>1</v>
      </c>
      <c r="E163" s="75"/>
      <c r="F163" s="75"/>
      <c r="G163" s="75"/>
      <c r="H163" s="75">
        <v>107614.5</v>
      </c>
      <c r="I163" s="75">
        <v>107614.5</v>
      </c>
      <c r="J163" s="137" t="s">
        <v>465</v>
      </c>
      <c r="K163" s="73"/>
      <c r="L163" s="46">
        <v>0</v>
      </c>
      <c r="M163" s="46">
        <v>0</v>
      </c>
      <c r="N163" s="46">
        <v>0</v>
      </c>
      <c r="O163" s="98"/>
      <c r="P163" s="23" t="s">
        <v>1439</v>
      </c>
      <c r="Q163" s="24" t="s">
        <v>464</v>
      </c>
      <c r="R163" s="25" t="s">
        <v>81</v>
      </c>
      <c r="S163" s="26">
        <v>1</v>
      </c>
      <c r="T163" s="26"/>
      <c r="U163" s="26">
        <f t="shared" si="19"/>
        <v>107614.5</v>
      </c>
      <c r="V163" s="26">
        <f t="shared" si="23"/>
        <v>0</v>
      </c>
      <c r="W163" s="26">
        <f t="shared" si="24"/>
        <v>0</v>
      </c>
      <c r="X163" s="26">
        <f t="shared" si="25"/>
        <v>0</v>
      </c>
      <c r="Y163" s="26">
        <f t="shared" si="27"/>
        <v>0</v>
      </c>
      <c r="Z163" s="33" t="s">
        <v>15</v>
      </c>
      <c r="AA163" s="36" t="s">
        <v>16</v>
      </c>
      <c r="AB163" s="181">
        <f t="shared" si="28"/>
        <v>1</v>
      </c>
      <c r="AC163" s="181">
        <f t="shared" si="26"/>
        <v>107614.5</v>
      </c>
      <c r="AD163" s="181">
        <v>1.3</v>
      </c>
      <c r="AE163" s="181">
        <v>1.3</v>
      </c>
      <c r="AF163" s="101" t="str">
        <f t="shared" si="29"/>
        <v/>
      </c>
      <c r="AG163" s="190">
        <v>0</v>
      </c>
      <c r="AH163" s="69">
        <f t="shared" si="30"/>
        <v>1</v>
      </c>
    </row>
    <row r="164" spans="1:34" s="69" customFormat="1" ht="33" x14ac:dyDescent="0.3">
      <c r="A164" s="55" t="s">
        <v>466</v>
      </c>
      <c r="B164" s="53" t="s">
        <v>467</v>
      </c>
      <c r="C164" s="54" t="s">
        <v>30</v>
      </c>
      <c r="D164" s="75">
        <v>13.2</v>
      </c>
      <c r="E164" s="75"/>
      <c r="F164" s="75"/>
      <c r="G164" s="75"/>
      <c r="H164" s="75">
        <v>2809.33</v>
      </c>
      <c r="I164" s="75">
        <v>37083.160000000003</v>
      </c>
      <c r="J164" s="137" t="s">
        <v>468</v>
      </c>
      <c r="K164" s="73"/>
      <c r="L164" s="46">
        <v>0</v>
      </c>
      <c r="M164" s="46">
        <v>0</v>
      </c>
      <c r="N164" s="46">
        <v>0</v>
      </c>
      <c r="O164" s="98"/>
      <c r="P164" s="23" t="s">
        <v>1440</v>
      </c>
      <c r="Q164" s="24" t="s">
        <v>467</v>
      </c>
      <c r="R164" s="25" t="s">
        <v>30</v>
      </c>
      <c r="S164" s="26">
        <v>13.2</v>
      </c>
      <c r="T164" s="26"/>
      <c r="U164" s="26">
        <f t="shared" si="19"/>
        <v>2809.33</v>
      </c>
      <c r="V164" s="26">
        <f t="shared" si="23"/>
        <v>0</v>
      </c>
      <c r="W164" s="26">
        <f t="shared" si="24"/>
        <v>0</v>
      </c>
      <c r="X164" s="26">
        <f t="shared" si="25"/>
        <v>0</v>
      </c>
      <c r="Y164" s="26">
        <f t="shared" si="27"/>
        <v>0</v>
      </c>
      <c r="Z164" s="33" t="s">
        <v>15</v>
      </c>
      <c r="AA164" s="36" t="s">
        <v>16</v>
      </c>
      <c r="AB164" s="181">
        <f t="shared" si="28"/>
        <v>13.2</v>
      </c>
      <c r="AC164" s="181">
        <f t="shared" si="26"/>
        <v>37083.160000000003</v>
      </c>
      <c r="AD164" s="181">
        <v>1.3</v>
      </c>
      <c r="AE164" s="181">
        <v>1.3</v>
      </c>
      <c r="AF164" s="101" t="str">
        <f t="shared" si="29"/>
        <v/>
      </c>
      <c r="AG164" s="190">
        <v>0</v>
      </c>
      <c r="AH164" s="69">
        <f t="shared" si="30"/>
        <v>13.2</v>
      </c>
    </row>
    <row r="165" spans="1:34" s="69" customFormat="1" ht="33" x14ac:dyDescent="0.3">
      <c r="A165" s="55" t="s">
        <v>469</v>
      </c>
      <c r="B165" s="53" t="s">
        <v>470</v>
      </c>
      <c r="C165" s="54" t="s">
        <v>30</v>
      </c>
      <c r="D165" s="75">
        <v>3</v>
      </c>
      <c r="E165" s="75"/>
      <c r="F165" s="75"/>
      <c r="G165" s="75"/>
      <c r="H165" s="75">
        <v>2433.89</v>
      </c>
      <c r="I165" s="75">
        <v>7301.67</v>
      </c>
      <c r="J165" s="137" t="s">
        <v>471</v>
      </c>
      <c r="K165" s="73"/>
      <c r="L165" s="46">
        <v>0</v>
      </c>
      <c r="M165" s="46">
        <v>0</v>
      </c>
      <c r="N165" s="46">
        <v>0</v>
      </c>
      <c r="O165" s="98"/>
      <c r="P165" s="23" t="s">
        <v>1441</v>
      </c>
      <c r="Q165" s="24" t="s">
        <v>470</v>
      </c>
      <c r="R165" s="25" t="s">
        <v>30</v>
      </c>
      <c r="S165" s="26">
        <v>3</v>
      </c>
      <c r="T165" s="26"/>
      <c r="U165" s="26">
        <f t="shared" si="19"/>
        <v>2433.89</v>
      </c>
      <c r="V165" s="26">
        <f t="shared" si="23"/>
        <v>0</v>
      </c>
      <c r="W165" s="26">
        <f t="shared" si="24"/>
        <v>0</v>
      </c>
      <c r="X165" s="26">
        <f t="shared" si="25"/>
        <v>0</v>
      </c>
      <c r="Y165" s="26">
        <f t="shared" si="27"/>
        <v>0</v>
      </c>
      <c r="Z165" s="33" t="s">
        <v>15</v>
      </c>
      <c r="AA165" s="36" t="s">
        <v>16</v>
      </c>
      <c r="AB165" s="181">
        <f t="shared" si="28"/>
        <v>3</v>
      </c>
      <c r="AC165" s="181">
        <f t="shared" si="26"/>
        <v>7301.67</v>
      </c>
      <c r="AD165" s="181">
        <v>1.3</v>
      </c>
      <c r="AE165" s="181">
        <v>1.3</v>
      </c>
      <c r="AF165" s="101" t="str">
        <f t="shared" si="29"/>
        <v/>
      </c>
      <c r="AG165" s="190">
        <v>0</v>
      </c>
      <c r="AH165" s="69">
        <f t="shared" si="30"/>
        <v>3</v>
      </c>
    </row>
    <row r="166" spans="1:34" s="69" customFormat="1" ht="33" x14ac:dyDescent="0.3">
      <c r="A166" s="55" t="s">
        <v>472</v>
      </c>
      <c r="B166" s="53" t="s">
        <v>473</v>
      </c>
      <c r="C166" s="54" t="s">
        <v>30</v>
      </c>
      <c r="D166" s="75">
        <v>6</v>
      </c>
      <c r="E166" s="75"/>
      <c r="F166" s="75"/>
      <c r="G166" s="75"/>
      <c r="H166" s="75">
        <v>2888.64</v>
      </c>
      <c r="I166" s="75">
        <v>17331.84</v>
      </c>
      <c r="J166" s="137" t="s">
        <v>474</v>
      </c>
      <c r="K166" s="73"/>
      <c r="L166" s="46">
        <v>0</v>
      </c>
      <c r="M166" s="46">
        <v>0</v>
      </c>
      <c r="N166" s="46">
        <v>0</v>
      </c>
      <c r="O166" s="98"/>
      <c r="P166" s="23" t="s">
        <v>1442</v>
      </c>
      <c r="Q166" s="24" t="s">
        <v>473</v>
      </c>
      <c r="R166" s="25" t="s">
        <v>30</v>
      </c>
      <c r="S166" s="26">
        <v>6</v>
      </c>
      <c r="T166" s="26"/>
      <c r="U166" s="26">
        <f t="shared" si="19"/>
        <v>2888.64</v>
      </c>
      <c r="V166" s="26">
        <f t="shared" si="23"/>
        <v>0</v>
      </c>
      <c r="W166" s="26">
        <f t="shared" si="24"/>
        <v>0</v>
      </c>
      <c r="X166" s="26">
        <f t="shared" si="25"/>
        <v>0</v>
      </c>
      <c r="Y166" s="26">
        <f t="shared" si="27"/>
        <v>0</v>
      </c>
      <c r="Z166" s="33" t="s">
        <v>15</v>
      </c>
      <c r="AA166" s="36" t="s">
        <v>16</v>
      </c>
      <c r="AB166" s="181">
        <f t="shared" si="28"/>
        <v>6</v>
      </c>
      <c r="AC166" s="181">
        <f t="shared" si="26"/>
        <v>17331.84</v>
      </c>
      <c r="AD166" s="181">
        <v>1.3</v>
      </c>
      <c r="AE166" s="181">
        <v>1.3</v>
      </c>
      <c r="AF166" s="101" t="str">
        <f t="shared" si="29"/>
        <v/>
      </c>
      <c r="AG166" s="190">
        <v>0</v>
      </c>
      <c r="AH166" s="69">
        <f t="shared" si="30"/>
        <v>6</v>
      </c>
    </row>
    <row r="167" spans="1:34" s="69" customFormat="1" ht="39" x14ac:dyDescent="0.3">
      <c r="A167" s="55" t="s">
        <v>475</v>
      </c>
      <c r="B167" s="53" t="s">
        <v>476</v>
      </c>
      <c r="C167" s="54" t="s">
        <v>14</v>
      </c>
      <c r="D167" s="75">
        <v>1</v>
      </c>
      <c r="E167" s="75"/>
      <c r="F167" s="75"/>
      <c r="G167" s="75"/>
      <c r="H167" s="75">
        <v>430876.81</v>
      </c>
      <c r="I167" s="75">
        <v>430876.81</v>
      </c>
      <c r="J167" s="137" t="s">
        <v>477</v>
      </c>
      <c r="K167" s="73"/>
      <c r="L167" s="46">
        <v>0</v>
      </c>
      <c r="M167" s="46">
        <v>0</v>
      </c>
      <c r="N167" s="46">
        <v>0</v>
      </c>
      <c r="O167" s="98"/>
      <c r="P167" s="23" t="s">
        <v>1443</v>
      </c>
      <c r="Q167" s="24" t="s">
        <v>476</v>
      </c>
      <c r="R167" s="25" t="s">
        <v>14</v>
      </c>
      <c r="S167" s="26">
        <v>1</v>
      </c>
      <c r="T167" s="26"/>
      <c r="U167" s="26">
        <f t="shared" ref="U167:U176" si="31">H167</f>
        <v>430876.81</v>
      </c>
      <c r="V167" s="26">
        <f t="shared" si="23"/>
        <v>0</v>
      </c>
      <c r="W167" s="26">
        <f t="shared" si="24"/>
        <v>0</v>
      </c>
      <c r="X167" s="26">
        <f t="shared" si="25"/>
        <v>0</v>
      </c>
      <c r="Y167" s="26">
        <f t="shared" si="27"/>
        <v>0</v>
      </c>
      <c r="Z167" s="33" t="s">
        <v>15</v>
      </c>
      <c r="AA167" s="36" t="s">
        <v>16</v>
      </c>
      <c r="AB167" s="181">
        <f t="shared" si="28"/>
        <v>1</v>
      </c>
      <c r="AC167" s="181">
        <f t="shared" si="26"/>
        <v>430876.81</v>
      </c>
      <c r="AD167" s="181">
        <v>1.3</v>
      </c>
      <c r="AE167" s="181">
        <v>1.3</v>
      </c>
      <c r="AF167" s="101" t="str">
        <f t="shared" si="29"/>
        <v/>
      </c>
      <c r="AG167" s="190">
        <v>0</v>
      </c>
      <c r="AH167" s="69">
        <f t="shared" si="30"/>
        <v>1</v>
      </c>
    </row>
    <row r="168" spans="1:34" s="69" customFormat="1" ht="33" x14ac:dyDescent="0.3">
      <c r="A168" s="130" t="s">
        <v>478</v>
      </c>
      <c r="B168" s="131" t="s">
        <v>479</v>
      </c>
      <c r="C168" s="132" t="s">
        <v>81</v>
      </c>
      <c r="D168" s="75">
        <v>1</v>
      </c>
      <c r="E168" s="75"/>
      <c r="F168" s="75"/>
      <c r="G168" s="75"/>
      <c r="H168" s="75">
        <v>29563.21</v>
      </c>
      <c r="I168" s="75">
        <v>29563.21</v>
      </c>
      <c r="J168" s="137" t="s">
        <v>480</v>
      </c>
      <c r="K168" s="73"/>
      <c r="L168" s="46">
        <v>1</v>
      </c>
      <c r="M168" s="46">
        <v>0</v>
      </c>
      <c r="N168" s="46">
        <v>29563.21</v>
      </c>
      <c r="O168" s="98"/>
      <c r="P168" s="23" t="s">
        <v>1444</v>
      </c>
      <c r="Q168" s="24" t="s">
        <v>479</v>
      </c>
      <c r="R168" s="25" t="s">
        <v>81</v>
      </c>
      <c r="S168" s="26">
        <v>1</v>
      </c>
      <c r="T168" s="26"/>
      <c r="U168" s="26">
        <f t="shared" si="31"/>
        <v>29563.21</v>
      </c>
      <c r="V168" s="127">
        <f t="shared" si="23"/>
        <v>0</v>
      </c>
      <c r="W168" s="127">
        <f t="shared" si="24"/>
        <v>1</v>
      </c>
      <c r="X168" s="127">
        <f t="shared" si="25"/>
        <v>0</v>
      </c>
      <c r="Y168" s="127">
        <f t="shared" si="27"/>
        <v>29563.21</v>
      </c>
      <c r="Z168" s="33" t="s">
        <v>15</v>
      </c>
      <c r="AA168" s="36" t="s">
        <v>16</v>
      </c>
      <c r="AB168" s="181">
        <f t="shared" si="28"/>
        <v>1</v>
      </c>
      <c r="AC168" s="181">
        <f t="shared" si="26"/>
        <v>29563.21</v>
      </c>
      <c r="AD168" s="181">
        <v>1.3</v>
      </c>
      <c r="AE168" s="181">
        <v>1.3</v>
      </c>
      <c r="AF168" s="101" t="str">
        <f t="shared" si="29"/>
        <v/>
      </c>
      <c r="AG168" s="194">
        <f>1</f>
        <v>1</v>
      </c>
      <c r="AH168" s="69">
        <f t="shared" si="30"/>
        <v>1</v>
      </c>
    </row>
    <row r="169" spans="1:34" s="69" customFormat="1" ht="33" x14ac:dyDescent="0.3">
      <c r="A169" s="55" t="s">
        <v>481</v>
      </c>
      <c r="B169" s="53" t="s">
        <v>482</v>
      </c>
      <c r="C169" s="54" t="s">
        <v>81</v>
      </c>
      <c r="D169" s="75">
        <v>1</v>
      </c>
      <c r="E169" s="75"/>
      <c r="F169" s="75"/>
      <c r="G169" s="75"/>
      <c r="H169" s="75">
        <v>1061152.75</v>
      </c>
      <c r="I169" s="75">
        <v>1061152.75</v>
      </c>
      <c r="J169" s="137" t="s">
        <v>483</v>
      </c>
      <c r="K169" s="73"/>
      <c r="L169" s="46">
        <v>0</v>
      </c>
      <c r="M169" s="46">
        <v>0</v>
      </c>
      <c r="N169" s="46">
        <v>0</v>
      </c>
      <c r="O169" s="98"/>
      <c r="P169" s="23" t="s">
        <v>1408</v>
      </c>
      <c r="Q169" s="24" t="s">
        <v>482</v>
      </c>
      <c r="R169" s="25" t="s">
        <v>81</v>
      </c>
      <c r="S169" s="26">
        <v>1</v>
      </c>
      <c r="T169" s="26"/>
      <c r="U169" s="26">
        <f t="shared" si="31"/>
        <v>1061152.75</v>
      </c>
      <c r="V169" s="26">
        <f t="shared" si="23"/>
        <v>0</v>
      </c>
      <c r="W169" s="26">
        <f t="shared" si="24"/>
        <v>0</v>
      </c>
      <c r="X169" s="26">
        <f t="shared" si="25"/>
        <v>0</v>
      </c>
      <c r="Y169" s="26">
        <f t="shared" si="27"/>
        <v>0</v>
      </c>
      <c r="Z169" s="33" t="s">
        <v>15</v>
      </c>
      <c r="AA169" s="36" t="s">
        <v>16</v>
      </c>
      <c r="AB169" s="181">
        <f t="shared" si="28"/>
        <v>1</v>
      </c>
      <c r="AC169" s="181">
        <f t="shared" si="26"/>
        <v>1061152.75</v>
      </c>
      <c r="AD169" s="181">
        <v>1.3</v>
      </c>
      <c r="AE169" s="181">
        <v>1.3</v>
      </c>
      <c r="AF169" s="101" t="str">
        <f t="shared" si="29"/>
        <v/>
      </c>
      <c r="AG169" s="192">
        <v>0</v>
      </c>
      <c r="AH169" s="69">
        <f t="shared" si="30"/>
        <v>1</v>
      </c>
    </row>
    <row r="170" spans="1:34" s="69" customFormat="1" ht="33" x14ac:dyDescent="0.3">
      <c r="A170" s="130" t="s">
        <v>484</v>
      </c>
      <c r="B170" s="131" t="s">
        <v>485</v>
      </c>
      <c r="C170" s="132" t="s">
        <v>81</v>
      </c>
      <c r="D170" s="75">
        <v>1</v>
      </c>
      <c r="E170" s="75"/>
      <c r="F170" s="75"/>
      <c r="G170" s="75"/>
      <c r="H170" s="75">
        <v>2431046.88</v>
      </c>
      <c r="I170" s="75">
        <v>2431046.88</v>
      </c>
      <c r="J170" s="137" t="s">
        <v>486</v>
      </c>
      <c r="K170" s="73"/>
      <c r="L170" s="46">
        <v>1</v>
      </c>
      <c r="M170" s="46">
        <v>0</v>
      </c>
      <c r="N170" s="46">
        <v>2431046.88</v>
      </c>
      <c r="O170" s="98"/>
      <c r="P170" s="23" t="s">
        <v>1409</v>
      </c>
      <c r="Q170" s="24" t="s">
        <v>485</v>
      </c>
      <c r="R170" s="25" t="s">
        <v>81</v>
      </c>
      <c r="S170" s="26">
        <v>1</v>
      </c>
      <c r="T170" s="26"/>
      <c r="U170" s="26">
        <f t="shared" si="31"/>
        <v>2431046.88</v>
      </c>
      <c r="V170" s="127">
        <f t="shared" si="23"/>
        <v>0</v>
      </c>
      <c r="W170" s="127">
        <f t="shared" si="24"/>
        <v>1</v>
      </c>
      <c r="X170" s="127">
        <f t="shared" si="25"/>
        <v>0</v>
      </c>
      <c r="Y170" s="127">
        <f t="shared" si="27"/>
        <v>2431046.88</v>
      </c>
      <c r="Z170" s="33" t="s">
        <v>15</v>
      </c>
      <c r="AA170" s="36" t="s">
        <v>16</v>
      </c>
      <c r="AB170" s="181">
        <f t="shared" si="28"/>
        <v>1</v>
      </c>
      <c r="AC170" s="181">
        <f t="shared" si="26"/>
        <v>2431046.88</v>
      </c>
      <c r="AD170" s="181">
        <v>1.3</v>
      </c>
      <c r="AE170" s="181">
        <v>1.3</v>
      </c>
      <c r="AF170" s="101" t="str">
        <f t="shared" si="29"/>
        <v/>
      </c>
      <c r="AG170" s="194">
        <f>0.8+0.2</f>
        <v>1</v>
      </c>
      <c r="AH170" s="69">
        <f t="shared" si="30"/>
        <v>1</v>
      </c>
    </row>
    <row r="171" spans="1:34" s="69" customFormat="1" ht="33" x14ac:dyDescent="0.3">
      <c r="A171" s="134" t="s">
        <v>1312</v>
      </c>
      <c r="B171" s="135" t="s">
        <v>1313</v>
      </c>
      <c r="C171" s="204" t="s">
        <v>14</v>
      </c>
      <c r="D171" s="77"/>
      <c r="E171" s="59">
        <v>1</v>
      </c>
      <c r="F171" s="77"/>
      <c r="G171" s="77"/>
      <c r="H171" s="77">
        <v>87950.62</v>
      </c>
      <c r="I171" s="59">
        <v>87950.62</v>
      </c>
      <c r="J171" s="92"/>
      <c r="K171" s="73"/>
      <c r="L171" s="46">
        <v>1</v>
      </c>
      <c r="M171" s="46">
        <v>0</v>
      </c>
      <c r="N171" s="46">
        <v>87950.62</v>
      </c>
      <c r="O171" s="98"/>
      <c r="P171" s="23" t="s">
        <v>1410</v>
      </c>
      <c r="Q171" s="24" t="s">
        <v>1495</v>
      </c>
      <c r="R171" s="25" t="s">
        <v>14</v>
      </c>
      <c r="S171" s="26">
        <v>0</v>
      </c>
      <c r="T171" s="26">
        <v>1</v>
      </c>
      <c r="U171" s="26">
        <f t="shared" si="31"/>
        <v>87950.62</v>
      </c>
      <c r="V171" s="127">
        <f t="shared" si="23"/>
        <v>0</v>
      </c>
      <c r="W171" s="127">
        <f t="shared" si="24"/>
        <v>1</v>
      </c>
      <c r="X171" s="127">
        <f t="shared" si="25"/>
        <v>0</v>
      </c>
      <c r="Y171" s="127">
        <f t="shared" si="27"/>
        <v>87950.62</v>
      </c>
      <c r="Z171" s="27"/>
      <c r="AA171" s="36" t="s">
        <v>16</v>
      </c>
      <c r="AB171" s="181">
        <f t="shared" si="28"/>
        <v>1</v>
      </c>
      <c r="AC171" s="181">
        <f t="shared" si="26"/>
        <v>87950.62</v>
      </c>
      <c r="AD171" s="181">
        <v>1.3</v>
      </c>
      <c r="AE171" s="181">
        <v>1.3</v>
      </c>
      <c r="AF171" s="101" t="str">
        <f t="shared" si="29"/>
        <v/>
      </c>
      <c r="AG171" s="190">
        <v>1</v>
      </c>
      <c r="AH171" s="69">
        <f t="shared" si="30"/>
        <v>1</v>
      </c>
    </row>
    <row r="172" spans="1:34" s="69" customFormat="1" ht="33" x14ac:dyDescent="0.3">
      <c r="A172" s="134" t="s">
        <v>1314</v>
      </c>
      <c r="B172" s="135" t="s">
        <v>1315</v>
      </c>
      <c r="C172" s="204" t="s">
        <v>30</v>
      </c>
      <c r="D172" s="77"/>
      <c r="E172" s="59">
        <v>24</v>
      </c>
      <c r="F172" s="77"/>
      <c r="G172" s="77"/>
      <c r="H172" s="77">
        <v>4257.93</v>
      </c>
      <c r="I172" s="59">
        <v>102190.32</v>
      </c>
      <c r="J172" s="92"/>
      <c r="K172" s="73"/>
      <c r="L172" s="46">
        <v>24</v>
      </c>
      <c r="M172" s="46">
        <v>0</v>
      </c>
      <c r="N172" s="46">
        <v>102190.32</v>
      </c>
      <c r="O172" s="98"/>
      <c r="P172" s="23" t="s">
        <v>1411</v>
      </c>
      <c r="Q172" s="24" t="s">
        <v>1496</v>
      </c>
      <c r="R172" s="25" t="s">
        <v>30</v>
      </c>
      <c r="S172" s="26">
        <v>0</v>
      </c>
      <c r="T172" s="26">
        <v>24</v>
      </c>
      <c r="U172" s="26">
        <f t="shared" si="31"/>
        <v>4257.93</v>
      </c>
      <c r="V172" s="127">
        <f t="shared" si="23"/>
        <v>0</v>
      </c>
      <c r="W172" s="127">
        <f t="shared" si="24"/>
        <v>24</v>
      </c>
      <c r="X172" s="127">
        <f t="shared" si="25"/>
        <v>0</v>
      </c>
      <c r="Y172" s="127">
        <f t="shared" si="27"/>
        <v>102190.32</v>
      </c>
      <c r="Z172" s="27"/>
      <c r="AA172" s="36" t="s">
        <v>16</v>
      </c>
      <c r="AB172" s="181">
        <f t="shared" si="28"/>
        <v>24</v>
      </c>
      <c r="AC172" s="181">
        <f t="shared" si="26"/>
        <v>102190.32</v>
      </c>
      <c r="AD172" s="181">
        <v>1.3</v>
      </c>
      <c r="AE172" s="181">
        <v>1.3</v>
      </c>
      <c r="AF172" s="101" t="str">
        <f t="shared" si="29"/>
        <v/>
      </c>
      <c r="AG172" s="190">
        <v>24</v>
      </c>
      <c r="AH172" s="69">
        <f t="shared" si="30"/>
        <v>24</v>
      </c>
    </row>
    <row r="173" spans="1:34" s="69" customFormat="1" ht="33" x14ac:dyDescent="0.3">
      <c r="A173" s="134" t="s">
        <v>1316</v>
      </c>
      <c r="B173" s="135" t="s">
        <v>1317</v>
      </c>
      <c r="C173" s="204" t="s">
        <v>513</v>
      </c>
      <c r="D173" s="77"/>
      <c r="E173" s="59">
        <v>1</v>
      </c>
      <c r="F173" s="77"/>
      <c r="G173" s="77"/>
      <c r="H173" s="77">
        <v>200835.11</v>
      </c>
      <c r="I173" s="59">
        <v>200835.11</v>
      </c>
      <c r="J173" s="92"/>
      <c r="K173" s="73"/>
      <c r="L173" s="46">
        <v>1</v>
      </c>
      <c r="M173" s="46">
        <v>0</v>
      </c>
      <c r="N173" s="46">
        <v>200835.11</v>
      </c>
      <c r="O173" s="98"/>
      <c r="P173" s="23" t="s">
        <v>1445</v>
      </c>
      <c r="Q173" s="24" t="s">
        <v>1497</v>
      </c>
      <c r="R173" s="25" t="s">
        <v>513</v>
      </c>
      <c r="S173" s="26">
        <v>0</v>
      </c>
      <c r="T173" s="26">
        <v>1</v>
      </c>
      <c r="U173" s="26">
        <f t="shared" si="31"/>
        <v>200835.11</v>
      </c>
      <c r="V173" s="127">
        <f t="shared" si="23"/>
        <v>0</v>
      </c>
      <c r="W173" s="127">
        <f t="shared" si="24"/>
        <v>1</v>
      </c>
      <c r="X173" s="127">
        <f t="shared" si="25"/>
        <v>0</v>
      </c>
      <c r="Y173" s="127">
        <f t="shared" si="27"/>
        <v>200835.11</v>
      </c>
      <c r="Z173" s="27"/>
      <c r="AA173" s="36" t="s">
        <v>16</v>
      </c>
      <c r="AB173" s="181">
        <f t="shared" si="28"/>
        <v>1</v>
      </c>
      <c r="AC173" s="181">
        <f t="shared" si="26"/>
        <v>200835.11</v>
      </c>
      <c r="AD173" s="181">
        <v>1.3</v>
      </c>
      <c r="AE173" s="181">
        <v>1.3</v>
      </c>
      <c r="AF173" s="101" t="str">
        <f t="shared" si="29"/>
        <v/>
      </c>
      <c r="AG173" s="190">
        <v>1</v>
      </c>
      <c r="AH173" s="69">
        <f t="shared" si="30"/>
        <v>1</v>
      </c>
    </row>
    <row r="174" spans="1:34" ht="33" x14ac:dyDescent="0.3">
      <c r="A174" s="67" t="s">
        <v>1318</v>
      </c>
      <c r="B174" s="64" t="s">
        <v>1319</v>
      </c>
      <c r="C174" s="61" t="s">
        <v>412</v>
      </c>
      <c r="D174" s="78"/>
      <c r="E174" s="78"/>
      <c r="F174" s="116">
        <v>150400</v>
      </c>
      <c r="G174" s="141"/>
      <c r="H174" s="78">
        <v>16.21</v>
      </c>
      <c r="I174" s="62">
        <v>2437984</v>
      </c>
      <c r="J174" s="93"/>
      <c r="L174" s="46">
        <v>108539.58</v>
      </c>
      <c r="M174" s="46">
        <v>668662.5</v>
      </c>
      <c r="N174" s="46">
        <v>1759426.59</v>
      </c>
      <c r="O174" s="98"/>
      <c r="P174" s="23" t="s">
        <v>1383</v>
      </c>
      <c r="Q174" s="24" t="s">
        <v>1319</v>
      </c>
      <c r="R174" s="25" t="s">
        <v>412</v>
      </c>
      <c r="S174" s="26">
        <v>0</v>
      </c>
      <c r="T174" s="26">
        <v>150400</v>
      </c>
      <c r="U174" s="26">
        <f t="shared" si="31"/>
        <v>16.21</v>
      </c>
      <c r="V174" s="128">
        <f t="shared" si="23"/>
        <v>28500.000000000015</v>
      </c>
      <c r="W174" s="26">
        <f t="shared" si="24"/>
        <v>137039.58000000002</v>
      </c>
      <c r="X174" s="26">
        <f t="shared" si="25"/>
        <v>461984.99999999977</v>
      </c>
      <c r="Y174" s="26">
        <f t="shared" si="27"/>
        <v>2221411.59</v>
      </c>
      <c r="Z174" s="27"/>
      <c r="AA174" s="36" t="s">
        <v>16</v>
      </c>
      <c r="AB174" s="181">
        <f t="shared" si="28"/>
        <v>150400</v>
      </c>
      <c r="AC174" s="181">
        <f t="shared" si="26"/>
        <v>2437984</v>
      </c>
      <c r="AD174" s="181">
        <v>1.3</v>
      </c>
      <c r="AE174" s="181">
        <v>1.3</v>
      </c>
      <c r="AF174" s="101" t="str">
        <f t="shared" si="29"/>
        <v/>
      </c>
      <c r="AG174" s="193">
        <f>AG148</f>
        <v>137039.58000000002</v>
      </c>
      <c r="AH174" s="69">
        <f t="shared" si="30"/>
        <v>150400</v>
      </c>
    </row>
    <row r="175" spans="1:34" ht="33" x14ac:dyDescent="0.3">
      <c r="A175" s="67" t="s">
        <v>1320</v>
      </c>
      <c r="B175" s="64" t="s">
        <v>1321</v>
      </c>
      <c r="C175" s="61" t="s">
        <v>325</v>
      </c>
      <c r="D175" s="78"/>
      <c r="E175" s="78"/>
      <c r="F175" s="62">
        <v>18</v>
      </c>
      <c r="G175" s="62"/>
      <c r="H175" s="167">
        <v>79588.210000000006</v>
      </c>
      <c r="I175" s="62">
        <v>1432587.78</v>
      </c>
      <c r="J175" s="93"/>
      <c r="L175" s="46">
        <v>16</v>
      </c>
      <c r="M175" s="46">
        <v>0</v>
      </c>
      <c r="N175" s="46">
        <v>1273411.3600000001</v>
      </c>
      <c r="O175" s="98"/>
      <c r="P175" s="23" t="s">
        <v>1384</v>
      </c>
      <c r="Q175" s="24" t="s">
        <v>1321</v>
      </c>
      <c r="R175" s="25" t="s">
        <v>325</v>
      </c>
      <c r="S175" s="26">
        <v>0</v>
      </c>
      <c r="T175" s="26">
        <v>18</v>
      </c>
      <c r="U175" s="26">
        <f t="shared" si="31"/>
        <v>79588.210000000006</v>
      </c>
      <c r="V175" s="128">
        <f t="shared" si="23"/>
        <v>0</v>
      </c>
      <c r="W175" s="26">
        <f t="shared" si="24"/>
        <v>16</v>
      </c>
      <c r="X175" s="26">
        <f t="shared" si="25"/>
        <v>0</v>
      </c>
      <c r="Y175" s="26">
        <f t="shared" si="27"/>
        <v>1273411.3600000001</v>
      </c>
      <c r="Z175" s="27"/>
      <c r="AA175" s="36" t="s">
        <v>16</v>
      </c>
      <c r="AB175" s="181">
        <f t="shared" si="28"/>
        <v>18</v>
      </c>
      <c r="AC175" s="181">
        <f t="shared" si="26"/>
        <v>1432587.78</v>
      </c>
      <c r="AD175" s="181">
        <v>1.3</v>
      </c>
      <c r="AE175" s="181">
        <v>1.3</v>
      </c>
      <c r="AF175" s="101" t="str">
        <f t="shared" si="29"/>
        <v/>
      </c>
      <c r="AG175" s="194">
        <f>12+4</f>
        <v>16</v>
      </c>
      <c r="AH175" s="69">
        <f t="shared" si="30"/>
        <v>18</v>
      </c>
    </row>
    <row r="176" spans="1:34" ht="33" x14ac:dyDescent="0.3">
      <c r="A176" s="67" t="s">
        <v>1322</v>
      </c>
      <c r="B176" s="64" t="s">
        <v>1323</v>
      </c>
      <c r="C176" s="61" t="s">
        <v>325</v>
      </c>
      <c r="D176" s="78"/>
      <c r="E176" s="78"/>
      <c r="F176" s="62">
        <v>2</v>
      </c>
      <c r="G176" s="140"/>
      <c r="H176" s="78">
        <v>120491.2</v>
      </c>
      <c r="I176" s="62">
        <v>240982.39999999999</v>
      </c>
      <c r="J176" s="93"/>
      <c r="L176" s="46">
        <v>0</v>
      </c>
      <c r="M176" s="46">
        <v>0</v>
      </c>
      <c r="N176" s="46">
        <v>0</v>
      </c>
      <c r="O176" s="98"/>
      <c r="P176" s="23" t="s">
        <v>1385</v>
      </c>
      <c r="Q176" s="24" t="s">
        <v>1323</v>
      </c>
      <c r="R176" s="25" t="s">
        <v>325</v>
      </c>
      <c r="S176" s="26">
        <v>0</v>
      </c>
      <c r="T176" s="26">
        <v>2</v>
      </c>
      <c r="U176" s="26">
        <f t="shared" si="31"/>
        <v>120491.2</v>
      </c>
      <c r="V176" s="26">
        <f t="shared" si="23"/>
        <v>0</v>
      </c>
      <c r="W176" s="26">
        <f t="shared" si="24"/>
        <v>0</v>
      </c>
      <c r="X176" s="26">
        <f t="shared" si="25"/>
        <v>0</v>
      </c>
      <c r="Y176" s="26">
        <f t="shared" si="27"/>
        <v>0</v>
      </c>
      <c r="Z176" s="27"/>
      <c r="AA176" s="36" t="s">
        <v>16</v>
      </c>
      <c r="AB176" s="181">
        <f t="shared" si="28"/>
        <v>2</v>
      </c>
      <c r="AC176" s="181">
        <f t="shared" si="26"/>
        <v>240982.39999999999</v>
      </c>
      <c r="AD176" s="181">
        <v>1.3</v>
      </c>
      <c r="AE176" s="181">
        <v>1.3</v>
      </c>
      <c r="AF176" s="101" t="str">
        <f t="shared" si="29"/>
        <v/>
      </c>
      <c r="AG176" s="190">
        <v>0</v>
      </c>
      <c r="AH176" s="69">
        <f t="shared" si="30"/>
        <v>2</v>
      </c>
    </row>
    <row r="177" spans="1:34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2"/>
      <c r="H177" s="82"/>
      <c r="I177" s="82">
        <v>18130103.780000001</v>
      </c>
      <c r="J177" s="94" t="s">
        <v>15</v>
      </c>
      <c r="K177" s="73"/>
      <c r="L177" s="45">
        <v>1</v>
      </c>
      <c r="M177" s="45">
        <v>0</v>
      </c>
      <c r="N177" s="45">
        <v>15670999.640000001</v>
      </c>
      <c r="O177" s="98"/>
      <c r="P177" s="18" t="s">
        <v>1386</v>
      </c>
      <c r="Q177" s="19" t="s">
        <v>488</v>
      </c>
      <c r="R177" s="20" t="s">
        <v>14</v>
      </c>
      <c r="S177" s="21">
        <v>1</v>
      </c>
      <c r="T177" s="21"/>
      <c r="U177" s="21">
        <f>SUMIFS(AC:AC,AD:AD,AD177)</f>
        <v>18130103.780000001</v>
      </c>
      <c r="V177" s="21">
        <f t="shared" ref="V177:W177" si="32">IF(X177=0,0,1)</f>
        <v>1</v>
      </c>
      <c r="W177" s="21">
        <f t="shared" si="32"/>
        <v>1</v>
      </c>
      <c r="X177" s="21">
        <f>SUMIFS(X:X,AE:AE,AD177)</f>
        <v>299806.20999999996</v>
      </c>
      <c r="Y177" s="21">
        <f>SUMIFS(Y:Y,AE:AE,AD177)</f>
        <v>15970805.850000001</v>
      </c>
      <c r="Z177" s="22" t="s">
        <v>15</v>
      </c>
      <c r="AA177" s="43" t="s">
        <v>16</v>
      </c>
      <c r="AB177" s="181">
        <f t="shared" si="28"/>
        <v>1</v>
      </c>
      <c r="AC177" s="184"/>
      <c r="AD177" s="184">
        <v>1.4</v>
      </c>
      <c r="AE177" s="184"/>
      <c r="AF177" s="101" t="str">
        <f t="shared" si="29"/>
        <v/>
      </c>
      <c r="AG177" s="190">
        <v>1</v>
      </c>
      <c r="AH177" s="69">
        <f t="shared" si="30"/>
        <v>1</v>
      </c>
    </row>
    <row r="178" spans="1:34" s="69" customFormat="1" ht="39" x14ac:dyDescent="0.3">
      <c r="A178" s="55" t="s">
        <v>489</v>
      </c>
      <c r="B178" s="53" t="s">
        <v>392</v>
      </c>
      <c r="C178" s="54" t="s">
        <v>23</v>
      </c>
      <c r="D178" s="75">
        <v>20</v>
      </c>
      <c r="E178" s="75"/>
      <c r="F178" s="75"/>
      <c r="G178" s="75"/>
      <c r="H178" s="75">
        <v>3115.13</v>
      </c>
      <c r="I178" s="75">
        <v>62302.6</v>
      </c>
      <c r="J178" s="91" t="s">
        <v>114</v>
      </c>
      <c r="K178" s="73"/>
      <c r="L178" s="46">
        <v>12.15</v>
      </c>
      <c r="M178" s="46">
        <v>0</v>
      </c>
      <c r="N178" s="46">
        <v>37848.83</v>
      </c>
      <c r="O178" s="98"/>
      <c r="P178" s="23" t="s">
        <v>1421</v>
      </c>
      <c r="Q178" s="24" t="s">
        <v>392</v>
      </c>
      <c r="R178" s="25" t="s">
        <v>23</v>
      </c>
      <c r="S178" s="26">
        <v>20</v>
      </c>
      <c r="T178" s="26"/>
      <c r="U178" s="26">
        <f t="shared" ref="U178:U201" si="33">H178</f>
        <v>3115.13</v>
      </c>
      <c r="V178" s="26">
        <f t="shared" ref="V178:V201" si="34">AG178-L178</f>
        <v>0</v>
      </c>
      <c r="W178" s="26">
        <f t="shared" ref="W178:W241" si="35">V178+L178</f>
        <v>12.15</v>
      </c>
      <c r="X178" s="26">
        <f t="shared" ref="X178:X201" si="36">Y178-N178</f>
        <v>0</v>
      </c>
      <c r="Y178" s="26">
        <f t="shared" si="27"/>
        <v>37848.83</v>
      </c>
      <c r="Z178" s="33" t="s">
        <v>15</v>
      </c>
      <c r="AA178" s="36" t="s">
        <v>16</v>
      </c>
      <c r="AB178" s="181">
        <f t="shared" si="28"/>
        <v>20</v>
      </c>
      <c r="AC178" s="181">
        <f t="shared" ref="AC178:AC219" si="37">ROUND(U178*AB178,2)</f>
        <v>62302.6</v>
      </c>
      <c r="AD178" s="181">
        <v>1.4</v>
      </c>
      <c r="AE178" s="181">
        <v>1.4</v>
      </c>
      <c r="AF178" s="101" t="str">
        <f t="shared" si="29"/>
        <v/>
      </c>
      <c r="AG178" s="190">
        <v>12.15</v>
      </c>
      <c r="AH178" s="69">
        <f t="shared" si="30"/>
        <v>20</v>
      </c>
    </row>
    <row r="179" spans="1:34" s="69" customFormat="1" ht="39" x14ac:dyDescent="0.3">
      <c r="A179" s="55" t="s">
        <v>490</v>
      </c>
      <c r="B179" s="53" t="s">
        <v>116</v>
      </c>
      <c r="C179" s="54" t="s">
        <v>23</v>
      </c>
      <c r="D179" s="75">
        <v>354</v>
      </c>
      <c r="E179" s="75"/>
      <c r="F179" s="75"/>
      <c r="G179" s="75"/>
      <c r="H179" s="75">
        <v>3321.13</v>
      </c>
      <c r="I179" s="75">
        <v>1175680.02</v>
      </c>
      <c r="J179" s="91" t="s">
        <v>117</v>
      </c>
      <c r="K179" s="73"/>
      <c r="L179" s="46">
        <v>0</v>
      </c>
      <c r="M179" s="46">
        <v>0</v>
      </c>
      <c r="N179" s="46">
        <v>0</v>
      </c>
      <c r="O179" s="98"/>
      <c r="P179" s="23" t="s">
        <v>1426</v>
      </c>
      <c r="Q179" s="24" t="s">
        <v>116</v>
      </c>
      <c r="R179" s="25" t="s">
        <v>23</v>
      </c>
      <c r="S179" s="26">
        <v>354</v>
      </c>
      <c r="T179" s="26"/>
      <c r="U179" s="26">
        <f t="shared" si="33"/>
        <v>3321.13</v>
      </c>
      <c r="V179" s="26">
        <f t="shared" si="34"/>
        <v>0</v>
      </c>
      <c r="W179" s="26">
        <f t="shared" si="35"/>
        <v>0</v>
      </c>
      <c r="X179" s="26">
        <f t="shared" si="36"/>
        <v>0</v>
      </c>
      <c r="Y179" s="26">
        <f t="shared" si="27"/>
        <v>0</v>
      </c>
      <c r="Z179" s="33" t="s">
        <v>15</v>
      </c>
      <c r="AA179" s="36" t="s">
        <v>16</v>
      </c>
      <c r="AB179" s="181">
        <f t="shared" si="28"/>
        <v>354</v>
      </c>
      <c r="AC179" s="181">
        <f t="shared" si="37"/>
        <v>1175680.02</v>
      </c>
      <c r="AD179" s="181">
        <v>1.4</v>
      </c>
      <c r="AE179" s="181">
        <v>1.4</v>
      </c>
      <c r="AF179" s="101" t="str">
        <f t="shared" si="29"/>
        <v/>
      </c>
      <c r="AG179" s="190">
        <v>0</v>
      </c>
      <c r="AH179" s="69">
        <f t="shared" si="30"/>
        <v>354</v>
      </c>
    </row>
    <row r="180" spans="1:34" s="69" customFormat="1" ht="39" x14ac:dyDescent="0.3">
      <c r="A180" s="130" t="s">
        <v>491</v>
      </c>
      <c r="B180" s="131" t="s">
        <v>395</v>
      </c>
      <c r="C180" s="132" t="s">
        <v>23</v>
      </c>
      <c r="D180" s="203">
        <v>690</v>
      </c>
      <c r="E180" s="203"/>
      <c r="F180" s="203"/>
      <c r="G180" s="203"/>
      <c r="H180" s="75">
        <v>3643.73</v>
      </c>
      <c r="I180" s="75">
        <v>0</v>
      </c>
      <c r="J180" s="91" t="s">
        <v>396</v>
      </c>
      <c r="K180" s="73"/>
      <c r="L180" s="46">
        <v>0</v>
      </c>
      <c r="M180" s="46">
        <v>0</v>
      </c>
      <c r="N180" s="46">
        <v>0</v>
      </c>
      <c r="O180" s="98"/>
      <c r="P180" s="23" t="s">
        <v>1402</v>
      </c>
      <c r="Q180" s="24" t="s">
        <v>395</v>
      </c>
      <c r="R180" s="25" t="s">
        <v>23</v>
      </c>
      <c r="S180" s="26">
        <v>690</v>
      </c>
      <c r="T180" s="26">
        <v>0</v>
      </c>
      <c r="U180" s="26">
        <f t="shared" si="33"/>
        <v>3643.73</v>
      </c>
      <c r="V180" s="127">
        <f t="shared" si="34"/>
        <v>0</v>
      </c>
      <c r="W180" s="127">
        <f t="shared" si="35"/>
        <v>0</v>
      </c>
      <c r="X180" s="127">
        <f t="shared" si="36"/>
        <v>0</v>
      </c>
      <c r="Y180" s="127">
        <f t="shared" si="27"/>
        <v>0</v>
      </c>
      <c r="Z180" s="33" t="s">
        <v>15</v>
      </c>
      <c r="AA180" s="36" t="s">
        <v>16</v>
      </c>
      <c r="AB180" s="181">
        <f t="shared" si="28"/>
        <v>0</v>
      </c>
      <c r="AC180" s="181">
        <f t="shared" si="37"/>
        <v>0</v>
      </c>
      <c r="AD180" s="181">
        <v>1.4</v>
      </c>
      <c r="AE180" s="181">
        <v>1.4</v>
      </c>
      <c r="AF180" s="101" t="str">
        <f t="shared" si="29"/>
        <v/>
      </c>
      <c r="AG180" s="191">
        <v>0</v>
      </c>
      <c r="AH180" s="69">
        <f t="shared" si="30"/>
        <v>690</v>
      </c>
    </row>
    <row r="181" spans="1:34" s="69" customFormat="1" ht="33" customHeight="1" x14ac:dyDescent="0.3">
      <c r="A181" s="55" t="s">
        <v>492</v>
      </c>
      <c r="B181" s="53" t="s">
        <v>493</v>
      </c>
      <c r="C181" s="54" t="s">
        <v>23</v>
      </c>
      <c r="D181" s="203">
        <v>1065</v>
      </c>
      <c r="E181" s="203"/>
      <c r="F181" s="203"/>
      <c r="G181" s="203"/>
      <c r="H181" s="75">
        <v>200</v>
      </c>
      <c r="I181" s="75">
        <v>213000</v>
      </c>
      <c r="J181" s="91" t="s">
        <v>494</v>
      </c>
      <c r="K181" s="73"/>
      <c r="L181" s="46">
        <v>694.31</v>
      </c>
      <c r="M181" s="46">
        <v>0</v>
      </c>
      <c r="N181" s="46">
        <v>138862</v>
      </c>
      <c r="O181" s="98"/>
      <c r="P181" s="23" t="s">
        <v>1373</v>
      </c>
      <c r="Q181" s="24" t="s">
        <v>493</v>
      </c>
      <c r="R181" s="25" t="s">
        <v>23</v>
      </c>
      <c r="S181" s="26">
        <v>1065</v>
      </c>
      <c r="T181" s="26"/>
      <c r="U181" s="26">
        <f t="shared" si="33"/>
        <v>200</v>
      </c>
      <c r="V181" s="136">
        <f t="shared" si="34"/>
        <v>0</v>
      </c>
      <c r="W181" s="26">
        <f t="shared" si="35"/>
        <v>694.31</v>
      </c>
      <c r="X181" s="26">
        <f t="shared" si="36"/>
        <v>0</v>
      </c>
      <c r="Y181" s="26">
        <f t="shared" si="27"/>
        <v>138862</v>
      </c>
      <c r="Z181" s="33" t="s">
        <v>15</v>
      </c>
      <c r="AA181" s="36" t="s">
        <v>16</v>
      </c>
      <c r="AB181" s="181">
        <f t="shared" si="28"/>
        <v>1065</v>
      </c>
      <c r="AC181" s="181">
        <f t="shared" si="37"/>
        <v>213000</v>
      </c>
      <c r="AD181" s="181">
        <v>1.4</v>
      </c>
      <c r="AE181" s="181">
        <v>1.4</v>
      </c>
      <c r="AF181" s="101" t="str">
        <f t="shared" si="29"/>
        <v/>
      </c>
      <c r="AG181" s="191">
        <f>AG178+AG180+AG200</f>
        <v>694.31</v>
      </c>
      <c r="AH181" s="69">
        <f t="shared" si="30"/>
        <v>1065</v>
      </c>
    </row>
    <row r="182" spans="1:34" s="69" customFormat="1" ht="57.75" x14ac:dyDescent="0.3">
      <c r="A182" s="130" t="s">
        <v>495</v>
      </c>
      <c r="B182" s="131" t="s">
        <v>405</v>
      </c>
      <c r="C182" s="132" t="s">
        <v>50</v>
      </c>
      <c r="D182" s="203">
        <v>1229</v>
      </c>
      <c r="E182" s="203"/>
      <c r="F182" s="203"/>
      <c r="G182" s="203"/>
      <c r="H182" s="75">
        <v>982.98</v>
      </c>
      <c r="I182" s="75">
        <v>1208082.42</v>
      </c>
      <c r="J182" s="91" t="s">
        <v>406</v>
      </c>
      <c r="K182" s="73"/>
      <c r="L182" s="46">
        <v>1229</v>
      </c>
      <c r="M182" s="46">
        <v>0</v>
      </c>
      <c r="N182" s="46">
        <v>1208082.42</v>
      </c>
      <c r="O182" s="98"/>
      <c r="P182" s="23" t="s">
        <v>1393</v>
      </c>
      <c r="Q182" s="24" t="s">
        <v>405</v>
      </c>
      <c r="R182" s="25" t="s">
        <v>50</v>
      </c>
      <c r="S182" s="26">
        <v>1229</v>
      </c>
      <c r="T182" s="26"/>
      <c r="U182" s="26">
        <f t="shared" si="33"/>
        <v>982.98</v>
      </c>
      <c r="V182" s="127">
        <f t="shared" si="34"/>
        <v>0</v>
      </c>
      <c r="W182" s="127">
        <f t="shared" si="35"/>
        <v>1229</v>
      </c>
      <c r="X182" s="127">
        <f t="shared" si="36"/>
        <v>0</v>
      </c>
      <c r="Y182" s="127">
        <f t="shared" si="27"/>
        <v>1208082.42</v>
      </c>
      <c r="Z182" s="33" t="s">
        <v>15</v>
      </c>
      <c r="AA182" s="36" t="s">
        <v>16</v>
      </c>
      <c r="AB182" s="181">
        <f t="shared" si="28"/>
        <v>1229</v>
      </c>
      <c r="AC182" s="181">
        <f t="shared" si="37"/>
        <v>1208082.42</v>
      </c>
      <c r="AD182" s="181">
        <v>1.4</v>
      </c>
      <c r="AE182" s="181">
        <v>1.4</v>
      </c>
      <c r="AF182" s="101" t="str">
        <f t="shared" si="29"/>
        <v/>
      </c>
      <c r="AG182" s="191">
        <f>1032+197</f>
        <v>1229</v>
      </c>
      <c r="AH182" s="69">
        <f t="shared" si="30"/>
        <v>1229</v>
      </c>
    </row>
    <row r="183" spans="1:34" s="69" customFormat="1" ht="41.25" x14ac:dyDescent="0.3">
      <c r="A183" s="130" t="s">
        <v>496</v>
      </c>
      <c r="B183" s="131" t="s">
        <v>408</v>
      </c>
      <c r="C183" s="132" t="s">
        <v>50</v>
      </c>
      <c r="D183" s="203">
        <v>285</v>
      </c>
      <c r="E183" s="203"/>
      <c r="F183" s="203"/>
      <c r="G183" s="203"/>
      <c r="H183" s="75">
        <v>804.79</v>
      </c>
      <c r="I183" s="75">
        <v>229365.15</v>
      </c>
      <c r="J183" s="91" t="s">
        <v>409</v>
      </c>
      <c r="K183" s="73"/>
      <c r="L183" s="46">
        <v>285</v>
      </c>
      <c r="M183" s="46">
        <v>0</v>
      </c>
      <c r="N183" s="46">
        <v>229365.15</v>
      </c>
      <c r="O183" s="98"/>
      <c r="P183" s="23" t="s">
        <v>1403</v>
      </c>
      <c r="Q183" s="24" t="s">
        <v>408</v>
      </c>
      <c r="R183" s="25" t="s">
        <v>50</v>
      </c>
      <c r="S183" s="26">
        <v>285</v>
      </c>
      <c r="T183" s="26"/>
      <c r="U183" s="26">
        <f t="shared" si="33"/>
        <v>804.79</v>
      </c>
      <c r="V183" s="127">
        <f t="shared" si="34"/>
        <v>0</v>
      </c>
      <c r="W183" s="127">
        <f t="shared" si="35"/>
        <v>285</v>
      </c>
      <c r="X183" s="127">
        <f t="shared" si="36"/>
        <v>0</v>
      </c>
      <c r="Y183" s="127">
        <f t="shared" si="27"/>
        <v>229365.15</v>
      </c>
      <c r="Z183" s="33" t="s">
        <v>15</v>
      </c>
      <c r="AA183" s="36" t="s">
        <v>16</v>
      </c>
      <c r="AB183" s="181">
        <f t="shared" si="28"/>
        <v>285</v>
      </c>
      <c r="AC183" s="181">
        <f t="shared" si="37"/>
        <v>229365.15</v>
      </c>
      <c r="AD183" s="181">
        <v>1.4</v>
      </c>
      <c r="AE183" s="181">
        <v>1.4</v>
      </c>
      <c r="AF183" s="101" t="str">
        <f t="shared" si="29"/>
        <v/>
      </c>
      <c r="AG183" s="191">
        <f>220+65</f>
        <v>285</v>
      </c>
      <c r="AH183" s="69">
        <f t="shared" si="30"/>
        <v>285</v>
      </c>
    </row>
    <row r="184" spans="1:34" s="69" customFormat="1" ht="33" x14ac:dyDescent="0.3">
      <c r="A184" s="130" t="s">
        <v>497</v>
      </c>
      <c r="B184" s="131" t="s">
        <v>109</v>
      </c>
      <c r="C184" s="132" t="s">
        <v>110</v>
      </c>
      <c r="D184" s="203">
        <v>13716</v>
      </c>
      <c r="E184" s="203"/>
      <c r="F184" s="203"/>
      <c r="G184" s="203"/>
      <c r="H184" s="75">
        <v>36.4</v>
      </c>
      <c r="I184" s="75">
        <v>499262.4</v>
      </c>
      <c r="J184" s="91" t="s">
        <v>111</v>
      </c>
      <c r="K184" s="73"/>
      <c r="L184" s="46">
        <v>13110.94</v>
      </c>
      <c r="M184" s="46">
        <v>0</v>
      </c>
      <c r="N184" s="46">
        <v>477238.22</v>
      </c>
      <c r="O184" s="98"/>
      <c r="P184" s="23" t="s">
        <v>1427</v>
      </c>
      <c r="Q184" s="24" t="s">
        <v>109</v>
      </c>
      <c r="R184" s="25" t="s">
        <v>110</v>
      </c>
      <c r="S184" s="26">
        <v>13716</v>
      </c>
      <c r="T184" s="26"/>
      <c r="U184" s="26">
        <f t="shared" si="33"/>
        <v>36.4</v>
      </c>
      <c r="V184" s="127">
        <f t="shared" si="34"/>
        <v>0</v>
      </c>
      <c r="W184" s="127">
        <f t="shared" si="35"/>
        <v>13110.94</v>
      </c>
      <c r="X184" s="127">
        <f t="shared" si="36"/>
        <v>0</v>
      </c>
      <c r="Y184" s="127">
        <f t="shared" si="27"/>
        <v>477238.22</v>
      </c>
      <c r="Z184" s="33" t="s">
        <v>15</v>
      </c>
      <c r="AA184" s="36" t="s">
        <v>16</v>
      </c>
      <c r="AB184" s="181">
        <f t="shared" si="28"/>
        <v>13716</v>
      </c>
      <c r="AC184" s="181">
        <f t="shared" si="37"/>
        <v>499262.4</v>
      </c>
      <c r="AD184" s="181">
        <v>1.4</v>
      </c>
      <c r="AE184" s="181">
        <v>1.4</v>
      </c>
      <c r="AF184" s="101" t="str">
        <f t="shared" si="29"/>
        <v/>
      </c>
      <c r="AG184" s="190">
        <v>13110.94</v>
      </c>
      <c r="AH184" s="69">
        <f t="shared" si="30"/>
        <v>13716</v>
      </c>
    </row>
    <row r="185" spans="1:34" s="69" customFormat="1" ht="33" x14ac:dyDescent="0.3">
      <c r="A185" s="130" t="s">
        <v>498</v>
      </c>
      <c r="B185" s="131" t="s">
        <v>399</v>
      </c>
      <c r="C185" s="132" t="s">
        <v>110</v>
      </c>
      <c r="D185" s="203">
        <v>13810</v>
      </c>
      <c r="E185" s="203"/>
      <c r="F185" s="203"/>
      <c r="G185" s="203"/>
      <c r="H185" s="75">
        <v>38.71</v>
      </c>
      <c r="I185" s="75">
        <v>534585.1</v>
      </c>
      <c r="J185" s="91" t="s">
        <v>400</v>
      </c>
      <c r="K185" s="73"/>
      <c r="L185" s="46">
        <v>13810</v>
      </c>
      <c r="M185" s="46">
        <v>0</v>
      </c>
      <c r="N185" s="46">
        <v>534585.1</v>
      </c>
      <c r="O185" s="98"/>
      <c r="P185" s="23" t="s">
        <v>1428</v>
      </c>
      <c r="Q185" s="24" t="s">
        <v>399</v>
      </c>
      <c r="R185" s="25" t="s">
        <v>110</v>
      </c>
      <c r="S185" s="26">
        <v>13810</v>
      </c>
      <c r="T185" s="26"/>
      <c r="U185" s="26">
        <f t="shared" si="33"/>
        <v>38.71</v>
      </c>
      <c r="V185" s="127">
        <f t="shared" si="34"/>
        <v>0</v>
      </c>
      <c r="W185" s="127">
        <f t="shared" si="35"/>
        <v>13810</v>
      </c>
      <c r="X185" s="127">
        <f t="shared" si="36"/>
        <v>0</v>
      </c>
      <c r="Y185" s="127">
        <f t="shared" si="27"/>
        <v>534585.1</v>
      </c>
      <c r="Z185" s="33" t="s">
        <v>15</v>
      </c>
      <c r="AA185" s="36" t="s">
        <v>16</v>
      </c>
      <c r="AB185" s="181">
        <f t="shared" si="28"/>
        <v>13810</v>
      </c>
      <c r="AC185" s="181">
        <f t="shared" si="37"/>
        <v>534585.1</v>
      </c>
      <c r="AD185" s="181">
        <v>1.4</v>
      </c>
      <c r="AE185" s="181">
        <v>1.4</v>
      </c>
      <c r="AF185" s="101" t="str">
        <f t="shared" si="29"/>
        <v/>
      </c>
      <c r="AG185" s="191">
        <f>13810</f>
        <v>13810</v>
      </c>
      <c r="AH185" s="69">
        <f t="shared" si="30"/>
        <v>13810</v>
      </c>
    </row>
    <row r="186" spans="1:34" s="69" customFormat="1" ht="33" x14ac:dyDescent="0.3">
      <c r="A186" s="130" t="s">
        <v>499</v>
      </c>
      <c r="B186" s="131" t="s">
        <v>500</v>
      </c>
      <c r="C186" s="132" t="s">
        <v>50</v>
      </c>
      <c r="D186" s="203">
        <v>699</v>
      </c>
      <c r="E186" s="203"/>
      <c r="F186" s="203">
        <v>754.47</v>
      </c>
      <c r="G186" s="203"/>
      <c r="H186" s="75">
        <v>2510.79</v>
      </c>
      <c r="I186" s="75">
        <v>1894315.73</v>
      </c>
      <c r="J186" s="91" t="s">
        <v>501</v>
      </c>
      <c r="K186" s="73"/>
      <c r="L186" s="46">
        <v>754.3</v>
      </c>
      <c r="M186" s="46">
        <v>0</v>
      </c>
      <c r="N186" s="46">
        <v>1893888.9</v>
      </c>
      <c r="O186" s="98"/>
      <c r="P186" s="23" t="s">
        <v>1387</v>
      </c>
      <c r="Q186" s="24" t="s">
        <v>500</v>
      </c>
      <c r="R186" s="25" t="s">
        <v>50</v>
      </c>
      <c r="S186" s="26">
        <v>699</v>
      </c>
      <c r="T186" s="26">
        <v>754.47</v>
      </c>
      <c r="U186" s="26">
        <f t="shared" si="33"/>
        <v>2510.79</v>
      </c>
      <c r="V186" s="127">
        <f t="shared" si="34"/>
        <v>0</v>
      </c>
      <c r="W186" s="127">
        <f t="shared" si="35"/>
        <v>754.3</v>
      </c>
      <c r="X186" s="127">
        <f t="shared" si="36"/>
        <v>0</v>
      </c>
      <c r="Y186" s="127">
        <f t="shared" si="27"/>
        <v>1893888.9</v>
      </c>
      <c r="Z186" s="27"/>
      <c r="AA186" s="36" t="s">
        <v>16</v>
      </c>
      <c r="AB186" s="181">
        <f t="shared" si="28"/>
        <v>754.47</v>
      </c>
      <c r="AC186" s="181">
        <f t="shared" si="37"/>
        <v>1894315.73</v>
      </c>
      <c r="AD186" s="181">
        <v>1.4</v>
      </c>
      <c r="AE186" s="181">
        <v>1.4</v>
      </c>
      <c r="AF186" s="101" t="str">
        <f t="shared" si="29"/>
        <v/>
      </c>
      <c r="AG186" s="191">
        <f>664.5+89.8</f>
        <v>754.3</v>
      </c>
      <c r="AH186" s="69">
        <f t="shared" si="30"/>
        <v>754.47</v>
      </c>
    </row>
    <row r="187" spans="1:34" s="69" customFormat="1" ht="39" x14ac:dyDescent="0.3">
      <c r="A187" s="130" t="s">
        <v>502</v>
      </c>
      <c r="B187" s="131" t="s">
        <v>503</v>
      </c>
      <c r="C187" s="132" t="s">
        <v>103</v>
      </c>
      <c r="D187" s="203">
        <v>275</v>
      </c>
      <c r="E187" s="203"/>
      <c r="F187" s="203"/>
      <c r="G187" s="203"/>
      <c r="H187" s="75">
        <v>3298.06</v>
      </c>
      <c r="I187" s="75">
        <v>906966.5</v>
      </c>
      <c r="J187" s="91" t="s">
        <v>504</v>
      </c>
      <c r="K187" s="73"/>
      <c r="L187" s="46">
        <v>275</v>
      </c>
      <c r="M187" s="46">
        <v>0</v>
      </c>
      <c r="N187" s="46">
        <v>906966.5</v>
      </c>
      <c r="O187" s="98"/>
      <c r="P187" s="23" t="s">
        <v>1405</v>
      </c>
      <c r="Q187" s="24" t="s">
        <v>503</v>
      </c>
      <c r="R187" s="25" t="s">
        <v>103</v>
      </c>
      <c r="S187" s="26">
        <v>275</v>
      </c>
      <c r="T187" s="26"/>
      <c r="U187" s="26">
        <f t="shared" si="33"/>
        <v>3298.06</v>
      </c>
      <c r="V187" s="127">
        <f t="shared" si="34"/>
        <v>0</v>
      </c>
      <c r="W187" s="127">
        <f t="shared" si="35"/>
        <v>275</v>
      </c>
      <c r="X187" s="127">
        <f t="shared" si="36"/>
        <v>0</v>
      </c>
      <c r="Y187" s="127">
        <f t="shared" si="27"/>
        <v>906966.5</v>
      </c>
      <c r="Z187" s="33"/>
      <c r="AA187" s="36" t="s">
        <v>16</v>
      </c>
      <c r="AB187" s="181">
        <f t="shared" si="28"/>
        <v>275</v>
      </c>
      <c r="AC187" s="181">
        <f t="shared" si="37"/>
        <v>906966.5</v>
      </c>
      <c r="AD187" s="181">
        <v>1.4</v>
      </c>
      <c r="AE187" s="181">
        <v>1.4</v>
      </c>
      <c r="AF187" s="101" t="str">
        <f t="shared" si="29"/>
        <v/>
      </c>
      <c r="AG187" s="190">
        <v>275</v>
      </c>
      <c r="AH187" s="69">
        <f t="shared" si="30"/>
        <v>275</v>
      </c>
    </row>
    <row r="188" spans="1:34" s="69" customFormat="1" ht="39" x14ac:dyDescent="0.3">
      <c r="A188" s="130" t="s">
        <v>505</v>
      </c>
      <c r="B188" s="131" t="s">
        <v>506</v>
      </c>
      <c r="C188" s="132" t="s">
        <v>50</v>
      </c>
      <c r="D188" s="75">
        <v>203</v>
      </c>
      <c r="E188" s="75"/>
      <c r="F188" s="75"/>
      <c r="G188" s="75"/>
      <c r="H188" s="75">
        <v>2952.19</v>
      </c>
      <c r="I188" s="75">
        <v>599294.56999999995</v>
      </c>
      <c r="J188" s="91" t="s">
        <v>507</v>
      </c>
      <c r="K188" s="73"/>
      <c r="L188" s="46">
        <v>129.80000000000001</v>
      </c>
      <c r="M188" s="46">
        <v>0</v>
      </c>
      <c r="N188" s="46">
        <v>383194.26</v>
      </c>
      <c r="O188" s="98"/>
      <c r="P188" s="23" t="s">
        <v>1406</v>
      </c>
      <c r="Q188" s="24" t="s">
        <v>506</v>
      </c>
      <c r="R188" s="25" t="s">
        <v>50</v>
      </c>
      <c r="S188" s="26">
        <v>203</v>
      </c>
      <c r="T188" s="26"/>
      <c r="U188" s="26">
        <f t="shared" si="33"/>
        <v>2952.19</v>
      </c>
      <c r="V188" s="128">
        <f t="shared" si="34"/>
        <v>73.199999999999989</v>
      </c>
      <c r="W188" s="127">
        <f t="shared" si="35"/>
        <v>203</v>
      </c>
      <c r="X188" s="127">
        <f t="shared" si="36"/>
        <v>216100.30999999994</v>
      </c>
      <c r="Y188" s="127">
        <f t="shared" si="27"/>
        <v>599294.56999999995</v>
      </c>
      <c r="Z188" s="33" t="s">
        <v>15</v>
      </c>
      <c r="AA188" s="36" t="s">
        <v>16</v>
      </c>
      <c r="AB188" s="181">
        <f t="shared" si="28"/>
        <v>203</v>
      </c>
      <c r="AC188" s="181">
        <f t="shared" si="37"/>
        <v>599294.56999999995</v>
      </c>
      <c r="AD188" s="181">
        <v>1.4</v>
      </c>
      <c r="AE188" s="181">
        <v>1.4</v>
      </c>
      <c r="AF188" s="101" t="str">
        <f t="shared" si="29"/>
        <v/>
      </c>
      <c r="AG188" s="190">
        <f>129.8+73.2</f>
        <v>203</v>
      </c>
      <c r="AH188" s="69">
        <f t="shared" si="30"/>
        <v>203</v>
      </c>
    </row>
    <row r="189" spans="1:34" s="69" customFormat="1" ht="33" x14ac:dyDescent="0.3">
      <c r="A189" s="55" t="s">
        <v>508</v>
      </c>
      <c r="B189" s="53" t="s">
        <v>509</v>
      </c>
      <c r="C189" s="54" t="s">
        <v>50</v>
      </c>
      <c r="D189" s="75">
        <v>405</v>
      </c>
      <c r="E189" s="75"/>
      <c r="F189" s="75"/>
      <c r="G189" s="75"/>
      <c r="H189" s="75">
        <v>1454.57</v>
      </c>
      <c r="I189" s="75">
        <v>589100.85</v>
      </c>
      <c r="J189" s="91" t="s">
        <v>510</v>
      </c>
      <c r="K189" s="73"/>
      <c r="L189" s="46">
        <v>0</v>
      </c>
      <c r="M189" s="46">
        <v>0</v>
      </c>
      <c r="N189" s="46">
        <v>0</v>
      </c>
      <c r="O189" s="98"/>
      <c r="P189" s="23" t="s">
        <v>1414</v>
      </c>
      <c r="Q189" s="24" t="s">
        <v>509</v>
      </c>
      <c r="R189" s="25" t="s">
        <v>50</v>
      </c>
      <c r="S189" s="26">
        <v>405</v>
      </c>
      <c r="T189" s="26"/>
      <c r="U189" s="26">
        <f t="shared" si="33"/>
        <v>1454.57</v>
      </c>
      <c r="V189" s="26">
        <f t="shared" si="34"/>
        <v>0</v>
      </c>
      <c r="W189" s="26">
        <f t="shared" si="35"/>
        <v>0</v>
      </c>
      <c r="X189" s="26">
        <f t="shared" si="36"/>
        <v>0</v>
      </c>
      <c r="Y189" s="26">
        <f t="shared" si="27"/>
        <v>0</v>
      </c>
      <c r="Z189" s="33" t="s">
        <v>15</v>
      </c>
      <c r="AA189" s="36" t="s">
        <v>16</v>
      </c>
      <c r="AB189" s="181">
        <f t="shared" si="28"/>
        <v>405</v>
      </c>
      <c r="AC189" s="181">
        <f t="shared" si="37"/>
        <v>589100.85</v>
      </c>
      <c r="AD189" s="181">
        <v>1.4</v>
      </c>
      <c r="AE189" s="181">
        <v>1.4</v>
      </c>
      <c r="AF189" s="101" t="str">
        <f t="shared" si="29"/>
        <v/>
      </c>
      <c r="AG189" s="190">
        <v>0</v>
      </c>
      <c r="AH189" s="69">
        <f t="shared" si="30"/>
        <v>405</v>
      </c>
    </row>
    <row r="190" spans="1:34" s="69" customFormat="1" ht="39" x14ac:dyDescent="0.3">
      <c r="A190" s="130" t="s">
        <v>511</v>
      </c>
      <c r="B190" s="131" t="s">
        <v>512</v>
      </c>
      <c r="C190" s="132" t="s">
        <v>513</v>
      </c>
      <c r="D190" s="75">
        <v>372</v>
      </c>
      <c r="E190" s="75"/>
      <c r="F190" s="75"/>
      <c r="G190" s="75"/>
      <c r="H190" s="75">
        <v>435</v>
      </c>
      <c r="I190" s="75">
        <v>161820</v>
      </c>
      <c r="J190" s="91" t="s">
        <v>514</v>
      </c>
      <c r="K190" s="73"/>
      <c r="L190" s="46">
        <v>210</v>
      </c>
      <c r="M190" s="46">
        <v>0</v>
      </c>
      <c r="N190" s="46">
        <v>91350</v>
      </c>
      <c r="O190" s="98"/>
      <c r="P190" s="23" t="s">
        <v>1429</v>
      </c>
      <c r="Q190" s="24" t="s">
        <v>512</v>
      </c>
      <c r="R190" s="25" t="s">
        <v>513</v>
      </c>
      <c r="S190" s="26">
        <v>372</v>
      </c>
      <c r="T190" s="26"/>
      <c r="U190" s="26">
        <f t="shared" si="33"/>
        <v>435</v>
      </c>
      <c r="V190" s="128">
        <f t="shared" si="34"/>
        <v>82</v>
      </c>
      <c r="W190" s="127">
        <f t="shared" si="35"/>
        <v>292</v>
      </c>
      <c r="X190" s="127">
        <f t="shared" si="36"/>
        <v>35670</v>
      </c>
      <c r="Y190" s="127">
        <f t="shared" si="27"/>
        <v>127020</v>
      </c>
      <c r="Z190" s="33" t="s">
        <v>15</v>
      </c>
      <c r="AA190" s="36" t="s">
        <v>16</v>
      </c>
      <c r="AB190" s="181">
        <f t="shared" si="28"/>
        <v>372</v>
      </c>
      <c r="AC190" s="181">
        <f t="shared" si="37"/>
        <v>161820</v>
      </c>
      <c r="AD190" s="181">
        <v>1.4</v>
      </c>
      <c r="AE190" s="181">
        <v>1.4</v>
      </c>
      <c r="AF190" s="101" t="str">
        <f t="shared" si="29"/>
        <v/>
      </c>
      <c r="AG190" s="191">
        <f>210+82</f>
        <v>292</v>
      </c>
      <c r="AH190" s="69">
        <f t="shared" si="30"/>
        <v>372</v>
      </c>
    </row>
    <row r="191" spans="1:34" s="69" customFormat="1" ht="33" x14ac:dyDescent="0.3">
      <c r="A191" s="55" t="s">
        <v>515</v>
      </c>
      <c r="B191" s="53" t="s">
        <v>516</v>
      </c>
      <c r="C191" s="54" t="s">
        <v>50</v>
      </c>
      <c r="D191" s="75">
        <v>1984</v>
      </c>
      <c r="E191" s="75"/>
      <c r="F191" s="75"/>
      <c r="G191" s="75"/>
      <c r="H191" s="75">
        <v>885.8</v>
      </c>
      <c r="I191" s="75">
        <v>1757427.2</v>
      </c>
      <c r="J191" s="91" t="s">
        <v>517</v>
      </c>
      <c r="K191" s="73"/>
      <c r="L191" s="46">
        <v>1796.5</v>
      </c>
      <c r="M191" s="46">
        <v>0</v>
      </c>
      <c r="N191" s="46">
        <v>1591339.7</v>
      </c>
      <c r="O191" s="98"/>
      <c r="P191" s="23" t="s">
        <v>1430</v>
      </c>
      <c r="Q191" s="24" t="s">
        <v>516</v>
      </c>
      <c r="R191" s="25" t="s">
        <v>50</v>
      </c>
      <c r="S191" s="26">
        <v>1984</v>
      </c>
      <c r="T191" s="26"/>
      <c r="U191" s="26">
        <f t="shared" si="33"/>
        <v>885.8</v>
      </c>
      <c r="V191" s="26">
        <f t="shared" si="34"/>
        <v>0</v>
      </c>
      <c r="W191" s="26">
        <f t="shared" si="35"/>
        <v>1796.5</v>
      </c>
      <c r="X191" s="26">
        <f t="shared" si="36"/>
        <v>0</v>
      </c>
      <c r="Y191" s="26">
        <f t="shared" si="27"/>
        <v>1591339.7</v>
      </c>
      <c r="Z191" s="33" t="s">
        <v>15</v>
      </c>
      <c r="AA191" s="36" t="s">
        <v>16</v>
      </c>
      <c r="AB191" s="181">
        <f t="shared" si="28"/>
        <v>1984</v>
      </c>
      <c r="AC191" s="181">
        <f t="shared" si="37"/>
        <v>1757427.2</v>
      </c>
      <c r="AD191" s="181">
        <v>1.4</v>
      </c>
      <c r="AE191" s="181">
        <v>1.4</v>
      </c>
      <c r="AF191" s="101" t="str">
        <f t="shared" si="29"/>
        <v/>
      </c>
      <c r="AG191" s="190">
        <v>1796.5</v>
      </c>
      <c r="AH191" s="69">
        <f t="shared" si="30"/>
        <v>1984</v>
      </c>
    </row>
    <row r="192" spans="1:34" s="69" customFormat="1" ht="33" x14ac:dyDescent="0.3">
      <c r="A192" s="55" t="s">
        <v>518</v>
      </c>
      <c r="B192" s="53" t="s">
        <v>189</v>
      </c>
      <c r="C192" s="54" t="s">
        <v>30</v>
      </c>
      <c r="D192" s="75">
        <v>45</v>
      </c>
      <c r="E192" s="75"/>
      <c r="F192" s="75"/>
      <c r="G192" s="75"/>
      <c r="H192" s="75">
        <v>138.84</v>
      </c>
      <c r="I192" s="75">
        <v>6247.8</v>
      </c>
      <c r="J192" s="91" t="s">
        <v>190</v>
      </c>
      <c r="K192" s="73"/>
      <c r="L192" s="46">
        <v>24.96</v>
      </c>
      <c r="M192" s="46">
        <v>0</v>
      </c>
      <c r="N192" s="46">
        <v>3465.45</v>
      </c>
      <c r="O192" s="98"/>
      <c r="P192" s="23" t="s">
        <v>1431</v>
      </c>
      <c r="Q192" s="24" t="s">
        <v>189</v>
      </c>
      <c r="R192" s="25" t="s">
        <v>30</v>
      </c>
      <c r="S192" s="26">
        <v>45</v>
      </c>
      <c r="T192" s="26"/>
      <c r="U192" s="26">
        <f t="shared" si="33"/>
        <v>138.84</v>
      </c>
      <c r="V192" s="26">
        <f t="shared" si="34"/>
        <v>0</v>
      </c>
      <c r="W192" s="26">
        <f t="shared" si="35"/>
        <v>24.96</v>
      </c>
      <c r="X192" s="26">
        <f t="shared" si="36"/>
        <v>0</v>
      </c>
      <c r="Y192" s="26">
        <f t="shared" si="27"/>
        <v>3465.45</v>
      </c>
      <c r="Z192" s="33" t="s">
        <v>15</v>
      </c>
      <c r="AA192" s="36" t="s">
        <v>16</v>
      </c>
      <c r="AB192" s="181">
        <f t="shared" si="28"/>
        <v>45</v>
      </c>
      <c r="AC192" s="181">
        <f t="shared" si="37"/>
        <v>6247.8</v>
      </c>
      <c r="AD192" s="181">
        <v>1.4</v>
      </c>
      <c r="AE192" s="181">
        <v>1.4</v>
      </c>
      <c r="AF192" s="101" t="str">
        <f t="shared" si="29"/>
        <v/>
      </c>
      <c r="AG192" s="190">
        <v>24.96</v>
      </c>
      <c r="AH192" s="69">
        <f t="shared" si="30"/>
        <v>45</v>
      </c>
    </row>
    <row r="193" spans="1:37" s="69" customFormat="1" ht="33" x14ac:dyDescent="0.3">
      <c r="A193" s="55" t="s">
        <v>519</v>
      </c>
      <c r="B193" s="53" t="s">
        <v>520</v>
      </c>
      <c r="C193" s="54" t="s">
        <v>30</v>
      </c>
      <c r="D193" s="75">
        <v>62</v>
      </c>
      <c r="E193" s="75"/>
      <c r="F193" s="75"/>
      <c r="G193" s="75"/>
      <c r="H193" s="75">
        <v>326.3</v>
      </c>
      <c r="I193" s="75">
        <v>20230.599999999999</v>
      </c>
      <c r="J193" s="91" t="s">
        <v>521</v>
      </c>
      <c r="K193" s="73"/>
      <c r="L193" s="46">
        <v>0</v>
      </c>
      <c r="M193" s="46">
        <v>0</v>
      </c>
      <c r="N193" s="46">
        <v>0</v>
      </c>
      <c r="O193" s="98"/>
      <c r="P193" s="23" t="s">
        <v>1395</v>
      </c>
      <c r="Q193" s="24" t="s">
        <v>520</v>
      </c>
      <c r="R193" s="25" t="s">
        <v>30</v>
      </c>
      <c r="S193" s="26">
        <v>62</v>
      </c>
      <c r="T193" s="26"/>
      <c r="U193" s="26">
        <f t="shared" si="33"/>
        <v>326.3</v>
      </c>
      <c r="V193" s="26">
        <f t="shared" si="34"/>
        <v>0</v>
      </c>
      <c r="W193" s="26">
        <f t="shared" si="35"/>
        <v>0</v>
      </c>
      <c r="X193" s="26">
        <f t="shared" si="36"/>
        <v>0</v>
      </c>
      <c r="Y193" s="26">
        <f t="shared" si="27"/>
        <v>0</v>
      </c>
      <c r="Z193" s="33" t="s">
        <v>15</v>
      </c>
      <c r="AA193" s="36" t="s">
        <v>16</v>
      </c>
      <c r="AB193" s="181">
        <f t="shared" si="28"/>
        <v>62</v>
      </c>
      <c r="AC193" s="181">
        <f t="shared" si="37"/>
        <v>20230.599999999999</v>
      </c>
      <c r="AD193" s="181">
        <v>1.4</v>
      </c>
      <c r="AE193" s="181">
        <v>1.4</v>
      </c>
      <c r="AF193" s="101" t="str">
        <f t="shared" si="29"/>
        <v/>
      </c>
      <c r="AG193" s="190">
        <v>0</v>
      </c>
      <c r="AH193" s="69">
        <f t="shared" si="30"/>
        <v>62</v>
      </c>
    </row>
    <row r="194" spans="1:37" s="69" customFormat="1" ht="39" x14ac:dyDescent="0.3">
      <c r="A194" s="130" t="s">
        <v>522</v>
      </c>
      <c r="B194" s="131" t="s">
        <v>424</v>
      </c>
      <c r="C194" s="132" t="s">
        <v>50</v>
      </c>
      <c r="D194" s="75">
        <v>275</v>
      </c>
      <c r="E194" s="75"/>
      <c r="F194" s="75"/>
      <c r="G194" s="75"/>
      <c r="H194" s="75">
        <v>692.16</v>
      </c>
      <c r="I194" s="75">
        <v>190344</v>
      </c>
      <c r="J194" s="91" t="s">
        <v>425</v>
      </c>
      <c r="K194" s="73"/>
      <c r="L194" s="46">
        <v>205.6</v>
      </c>
      <c r="M194" s="46">
        <v>0</v>
      </c>
      <c r="N194" s="46">
        <v>142308.1</v>
      </c>
      <c r="O194" s="98"/>
      <c r="P194" s="23" t="s">
        <v>1432</v>
      </c>
      <c r="Q194" s="24" t="s">
        <v>424</v>
      </c>
      <c r="R194" s="25" t="s">
        <v>50</v>
      </c>
      <c r="S194" s="26">
        <v>275</v>
      </c>
      <c r="T194" s="26"/>
      <c r="U194" s="26">
        <f t="shared" si="33"/>
        <v>692.16</v>
      </c>
      <c r="V194" s="128">
        <f t="shared" si="34"/>
        <v>69.400000000000006</v>
      </c>
      <c r="W194" s="127">
        <f t="shared" si="35"/>
        <v>275</v>
      </c>
      <c r="X194" s="127">
        <f t="shared" si="36"/>
        <v>48035.899999999994</v>
      </c>
      <c r="Y194" s="127">
        <f t="shared" si="27"/>
        <v>190344</v>
      </c>
      <c r="Z194" s="33" t="s">
        <v>15</v>
      </c>
      <c r="AA194" s="36" t="s">
        <v>16</v>
      </c>
      <c r="AB194" s="181">
        <f t="shared" si="28"/>
        <v>275</v>
      </c>
      <c r="AC194" s="181">
        <f t="shared" si="37"/>
        <v>190344</v>
      </c>
      <c r="AD194" s="181">
        <v>1.4</v>
      </c>
      <c r="AE194" s="181">
        <v>1.4</v>
      </c>
      <c r="AF194" s="101" t="str">
        <f t="shared" si="29"/>
        <v/>
      </c>
      <c r="AG194" s="191">
        <f>93.6+112+69.4</f>
        <v>275</v>
      </c>
      <c r="AH194" s="69">
        <f t="shared" si="30"/>
        <v>275</v>
      </c>
    </row>
    <row r="195" spans="1:37" s="69" customFormat="1" ht="41.25" x14ac:dyDescent="0.3">
      <c r="A195" s="130" t="s">
        <v>523</v>
      </c>
      <c r="B195" s="131" t="s">
        <v>524</v>
      </c>
      <c r="C195" s="132" t="s">
        <v>30</v>
      </c>
      <c r="D195" s="75">
        <v>429</v>
      </c>
      <c r="E195" s="75"/>
      <c r="F195" s="75"/>
      <c r="G195" s="75"/>
      <c r="H195" s="75">
        <v>1707.13</v>
      </c>
      <c r="I195" s="75">
        <v>0</v>
      </c>
      <c r="J195" s="91" t="s">
        <v>525</v>
      </c>
      <c r="K195" s="73"/>
      <c r="L195" s="46">
        <v>0</v>
      </c>
      <c r="M195" s="46">
        <v>0</v>
      </c>
      <c r="N195" s="46">
        <v>0</v>
      </c>
      <c r="O195" s="98"/>
      <c r="P195" s="23" t="s">
        <v>1433</v>
      </c>
      <c r="Q195" s="24" t="s">
        <v>524</v>
      </c>
      <c r="R195" s="25" t="s">
        <v>30</v>
      </c>
      <c r="S195" s="26">
        <v>429</v>
      </c>
      <c r="T195" s="26">
        <v>0</v>
      </c>
      <c r="U195" s="26">
        <f t="shared" si="33"/>
        <v>1707.13</v>
      </c>
      <c r="V195" s="127">
        <f t="shared" si="34"/>
        <v>0</v>
      </c>
      <c r="W195" s="127">
        <f t="shared" si="35"/>
        <v>0</v>
      </c>
      <c r="X195" s="127">
        <f t="shared" si="36"/>
        <v>0</v>
      </c>
      <c r="Y195" s="127">
        <f t="shared" si="27"/>
        <v>0</v>
      </c>
      <c r="Z195" s="33" t="s">
        <v>15</v>
      </c>
      <c r="AA195" s="36" t="s">
        <v>16</v>
      </c>
      <c r="AB195" s="181">
        <f t="shared" si="28"/>
        <v>0</v>
      </c>
      <c r="AC195" s="181">
        <f t="shared" si="37"/>
        <v>0</v>
      </c>
      <c r="AD195" s="181">
        <v>1.4</v>
      </c>
      <c r="AE195" s="181">
        <v>1.4</v>
      </c>
      <c r="AF195" s="101" t="str">
        <f t="shared" si="29"/>
        <v/>
      </c>
      <c r="AG195" s="190">
        <v>0</v>
      </c>
      <c r="AH195" s="69">
        <f t="shared" si="30"/>
        <v>429</v>
      </c>
    </row>
    <row r="196" spans="1:37" s="69" customFormat="1" ht="39" x14ac:dyDescent="0.3">
      <c r="A196" s="130" t="s">
        <v>526</v>
      </c>
      <c r="B196" s="131" t="s">
        <v>527</v>
      </c>
      <c r="C196" s="132" t="s">
        <v>34</v>
      </c>
      <c r="D196" s="75">
        <v>1597.5</v>
      </c>
      <c r="E196" s="75"/>
      <c r="F196" s="75"/>
      <c r="G196" s="75"/>
      <c r="H196" s="75">
        <v>49</v>
      </c>
      <c r="I196" s="75">
        <v>78277.5</v>
      </c>
      <c r="J196" s="91" t="s">
        <v>528</v>
      </c>
      <c r="K196" s="73"/>
      <c r="L196" s="46">
        <v>1530</v>
      </c>
      <c r="M196" s="46">
        <v>0</v>
      </c>
      <c r="N196" s="46">
        <v>74970</v>
      </c>
      <c r="O196" s="98"/>
      <c r="P196" s="23" t="s">
        <v>1382</v>
      </c>
      <c r="Q196" s="24" t="s">
        <v>527</v>
      </c>
      <c r="R196" s="25" t="s">
        <v>34</v>
      </c>
      <c r="S196" s="26">
        <v>1597.5</v>
      </c>
      <c r="T196" s="26"/>
      <c r="U196" s="26">
        <f t="shared" si="33"/>
        <v>49</v>
      </c>
      <c r="V196" s="127">
        <f t="shared" si="34"/>
        <v>0</v>
      </c>
      <c r="W196" s="127">
        <f t="shared" si="35"/>
        <v>1530</v>
      </c>
      <c r="X196" s="127">
        <f t="shared" si="36"/>
        <v>0</v>
      </c>
      <c r="Y196" s="127">
        <f t="shared" si="27"/>
        <v>74970</v>
      </c>
      <c r="Z196" s="33" t="s">
        <v>15</v>
      </c>
      <c r="AA196" s="36" t="s">
        <v>16</v>
      </c>
      <c r="AB196" s="181">
        <f t="shared" si="28"/>
        <v>1597.5</v>
      </c>
      <c r="AC196" s="181">
        <f t="shared" si="37"/>
        <v>78277.5</v>
      </c>
      <c r="AD196" s="181">
        <v>1.4</v>
      </c>
      <c r="AE196" s="181">
        <v>1.4</v>
      </c>
      <c r="AF196" s="101" t="str">
        <f t="shared" si="29"/>
        <v/>
      </c>
      <c r="AG196" s="190">
        <v>1530</v>
      </c>
      <c r="AH196" s="69">
        <f t="shared" si="30"/>
        <v>1597.5</v>
      </c>
    </row>
    <row r="197" spans="1:37" s="69" customFormat="1" ht="39" x14ac:dyDescent="0.3">
      <c r="A197" s="66" t="s">
        <v>1324</v>
      </c>
      <c r="B197" s="57" t="s">
        <v>1325</v>
      </c>
      <c r="C197" s="58" t="s">
        <v>23</v>
      </c>
      <c r="D197" s="59"/>
      <c r="E197" s="117">
        <v>1362.5</v>
      </c>
      <c r="F197" s="77"/>
      <c r="G197" s="205"/>
      <c r="H197" s="77">
        <v>926.62</v>
      </c>
      <c r="I197" s="59">
        <v>1262519.75</v>
      </c>
      <c r="J197" s="92"/>
      <c r="K197" s="73"/>
      <c r="L197" s="46">
        <v>1345</v>
      </c>
      <c r="M197" s="46">
        <v>0</v>
      </c>
      <c r="N197" s="46">
        <v>1246303.8999999999</v>
      </c>
      <c r="O197" s="98"/>
      <c r="P197" s="23" t="s">
        <v>1434</v>
      </c>
      <c r="Q197" s="24" t="s">
        <v>1498</v>
      </c>
      <c r="R197" s="25" t="s">
        <v>23</v>
      </c>
      <c r="S197" s="26">
        <v>0</v>
      </c>
      <c r="T197" s="26">
        <v>1362.5</v>
      </c>
      <c r="U197" s="26">
        <f t="shared" si="33"/>
        <v>926.62</v>
      </c>
      <c r="V197" s="127">
        <f t="shared" si="34"/>
        <v>0</v>
      </c>
      <c r="W197" s="127">
        <f t="shared" si="35"/>
        <v>1345</v>
      </c>
      <c r="X197" s="127">
        <f t="shared" si="36"/>
        <v>0</v>
      </c>
      <c r="Y197" s="127">
        <f t="shared" si="27"/>
        <v>1246303.8999999999</v>
      </c>
      <c r="Z197" s="27"/>
      <c r="AA197" s="36" t="s">
        <v>16</v>
      </c>
      <c r="AB197" s="181">
        <f t="shared" si="28"/>
        <v>1362.5</v>
      </c>
      <c r="AC197" s="181">
        <f t="shared" si="37"/>
        <v>1262519.75</v>
      </c>
      <c r="AD197" s="181">
        <v>1.4</v>
      </c>
      <c r="AE197" s="181">
        <v>1.4</v>
      </c>
      <c r="AF197" s="101" t="str">
        <f t="shared" si="29"/>
        <v/>
      </c>
      <c r="AG197" s="191">
        <f>525+820</f>
        <v>1345</v>
      </c>
      <c r="AH197" s="69">
        <f t="shared" si="30"/>
        <v>1362.5</v>
      </c>
    </row>
    <row r="198" spans="1:37" ht="39" x14ac:dyDescent="0.3">
      <c r="A198" s="134" t="s">
        <v>1326</v>
      </c>
      <c r="B198" s="135" t="s">
        <v>1327</v>
      </c>
      <c r="C198" s="204" t="s">
        <v>50</v>
      </c>
      <c r="D198" s="62"/>
      <c r="E198" s="78"/>
      <c r="F198" s="62">
        <v>548.70000000000005</v>
      </c>
      <c r="G198" s="62"/>
      <c r="H198" s="167">
        <v>3120.78</v>
      </c>
      <c r="I198" s="62">
        <v>1712371.99</v>
      </c>
      <c r="J198" s="93"/>
      <c r="L198" s="46">
        <v>548.70000000000005</v>
      </c>
      <c r="M198" s="46">
        <v>0</v>
      </c>
      <c r="N198" s="46">
        <v>1712371.99</v>
      </c>
      <c r="O198" s="98"/>
      <c r="P198" s="23" t="s">
        <v>1388</v>
      </c>
      <c r="Q198" s="24" t="s">
        <v>1327</v>
      </c>
      <c r="R198" s="25" t="s">
        <v>50</v>
      </c>
      <c r="S198" s="26">
        <v>0</v>
      </c>
      <c r="T198" s="26">
        <v>548.70000000000005</v>
      </c>
      <c r="U198" s="26">
        <f t="shared" si="33"/>
        <v>3120.78</v>
      </c>
      <c r="V198" s="127">
        <f t="shared" si="34"/>
        <v>0</v>
      </c>
      <c r="W198" s="127">
        <f t="shared" si="35"/>
        <v>548.70000000000005</v>
      </c>
      <c r="X198" s="127">
        <f t="shared" si="36"/>
        <v>0</v>
      </c>
      <c r="Y198" s="127">
        <f>ROUND(U198*W198,2)</f>
        <v>1712371.99</v>
      </c>
      <c r="Z198" s="27"/>
      <c r="AA198" s="36" t="s">
        <v>16</v>
      </c>
      <c r="AB198" s="181">
        <f t="shared" si="28"/>
        <v>548.70000000000005</v>
      </c>
      <c r="AC198" s="181">
        <f t="shared" si="37"/>
        <v>1712371.99</v>
      </c>
      <c r="AD198" s="181">
        <v>1.4</v>
      </c>
      <c r="AE198" s="181">
        <v>1.4</v>
      </c>
      <c r="AF198" s="101" t="str">
        <f t="shared" si="29"/>
        <v/>
      </c>
      <c r="AG198" s="190">
        <v>548.70000000000005</v>
      </c>
      <c r="AH198" s="69">
        <f t="shared" si="30"/>
        <v>548.70000000000005</v>
      </c>
    </row>
    <row r="199" spans="1:37" ht="58.5" x14ac:dyDescent="0.3">
      <c r="A199" s="134" t="s">
        <v>1328</v>
      </c>
      <c r="B199" s="135" t="s">
        <v>1329</v>
      </c>
      <c r="C199" s="204" t="s">
        <v>30</v>
      </c>
      <c r="D199" s="62"/>
      <c r="E199" s="78"/>
      <c r="F199" s="62">
        <v>410</v>
      </c>
      <c r="G199" s="62"/>
      <c r="H199" s="167">
        <v>5733.63</v>
      </c>
      <c r="I199" s="62">
        <v>2350788.2999999998</v>
      </c>
      <c r="J199" s="93"/>
      <c r="L199" s="46">
        <v>410</v>
      </c>
      <c r="M199" s="46">
        <v>0</v>
      </c>
      <c r="N199" s="46">
        <v>2350788.2999999998</v>
      </c>
      <c r="O199" s="98"/>
      <c r="P199" s="23" t="s">
        <v>1389</v>
      </c>
      <c r="Q199" s="24" t="s">
        <v>1329</v>
      </c>
      <c r="R199" s="25" t="s">
        <v>30</v>
      </c>
      <c r="S199" s="26">
        <v>0</v>
      </c>
      <c r="T199" s="26">
        <v>410</v>
      </c>
      <c r="U199" s="26">
        <f t="shared" si="33"/>
        <v>5733.63</v>
      </c>
      <c r="V199" s="127">
        <f t="shared" si="34"/>
        <v>0</v>
      </c>
      <c r="W199" s="127">
        <f t="shared" si="35"/>
        <v>410</v>
      </c>
      <c r="X199" s="127">
        <f t="shared" si="36"/>
        <v>0</v>
      </c>
      <c r="Y199" s="127">
        <f t="shared" si="27"/>
        <v>2350788.2999999998</v>
      </c>
      <c r="Z199" s="27"/>
      <c r="AA199" s="36" t="s">
        <v>16</v>
      </c>
      <c r="AB199" s="181">
        <f t="shared" si="28"/>
        <v>410</v>
      </c>
      <c r="AC199" s="181">
        <f t="shared" si="37"/>
        <v>2350788.2999999998</v>
      </c>
      <c r="AD199" s="181">
        <v>1.4</v>
      </c>
      <c r="AE199" s="181">
        <v>1.4</v>
      </c>
      <c r="AF199" s="101" t="str">
        <f t="shared" si="29"/>
        <v/>
      </c>
      <c r="AG199" s="190">
        <v>410</v>
      </c>
      <c r="AH199" s="69">
        <f t="shared" si="30"/>
        <v>410</v>
      </c>
    </row>
    <row r="200" spans="1:37" ht="39" x14ac:dyDescent="0.3">
      <c r="A200" s="134" t="s">
        <v>1330</v>
      </c>
      <c r="B200" s="135" t="s">
        <v>1331</v>
      </c>
      <c r="C200" s="204" t="s">
        <v>23</v>
      </c>
      <c r="D200" s="62"/>
      <c r="E200" s="78"/>
      <c r="F200" s="62">
        <v>690</v>
      </c>
      <c r="G200" s="62"/>
      <c r="H200" s="167">
        <v>3832.97</v>
      </c>
      <c r="I200" s="62">
        <v>2644749.2999999998</v>
      </c>
      <c r="J200" s="93"/>
      <c r="L200" s="46">
        <v>682.16</v>
      </c>
      <c r="M200" s="46">
        <v>0</v>
      </c>
      <c r="N200" s="46">
        <v>2614698.8199999998</v>
      </c>
      <c r="O200" s="98"/>
      <c r="P200" s="23" t="s">
        <v>1390</v>
      </c>
      <c r="Q200" s="24" t="s">
        <v>1331</v>
      </c>
      <c r="R200" s="25" t="s">
        <v>23</v>
      </c>
      <c r="S200" s="26">
        <v>0</v>
      </c>
      <c r="T200" s="26">
        <v>690</v>
      </c>
      <c r="U200" s="26">
        <f t="shared" si="33"/>
        <v>3832.97</v>
      </c>
      <c r="V200" s="127">
        <f t="shared" si="34"/>
        <v>0</v>
      </c>
      <c r="W200" s="127">
        <f t="shared" si="35"/>
        <v>682.16</v>
      </c>
      <c r="X200" s="127">
        <f t="shared" si="36"/>
        <v>0</v>
      </c>
      <c r="Y200" s="127">
        <f t="shared" si="27"/>
        <v>2614698.8199999998</v>
      </c>
      <c r="Z200" s="27"/>
      <c r="AA200" s="36" t="s">
        <v>16</v>
      </c>
      <c r="AB200" s="181">
        <f t="shared" si="28"/>
        <v>690</v>
      </c>
      <c r="AC200" s="181">
        <f t="shared" si="37"/>
        <v>2644749.2999999998</v>
      </c>
      <c r="AD200" s="181">
        <v>1.4</v>
      </c>
      <c r="AE200" s="181">
        <v>1.4</v>
      </c>
      <c r="AF200" s="101" t="str">
        <f t="shared" si="29"/>
        <v/>
      </c>
      <c r="AG200" s="190">
        <v>682.16</v>
      </c>
      <c r="AH200" s="69">
        <f t="shared" si="30"/>
        <v>690</v>
      </c>
    </row>
    <row r="201" spans="1:37" ht="33" x14ac:dyDescent="0.3">
      <c r="A201" s="134" t="s">
        <v>1332</v>
      </c>
      <c r="B201" s="135" t="s">
        <v>1333</v>
      </c>
      <c r="C201" s="204" t="s">
        <v>50</v>
      </c>
      <c r="D201" s="62"/>
      <c r="E201" s="78"/>
      <c r="F201" s="62">
        <v>48</v>
      </c>
      <c r="G201" s="62"/>
      <c r="H201" s="167">
        <v>695.25</v>
      </c>
      <c r="I201" s="62">
        <v>33372</v>
      </c>
      <c r="J201" s="93"/>
      <c r="L201" s="46">
        <v>48</v>
      </c>
      <c r="M201" s="46">
        <v>0</v>
      </c>
      <c r="N201" s="46">
        <v>33372</v>
      </c>
      <c r="O201" s="98"/>
      <c r="P201" s="23" t="s">
        <v>1391</v>
      </c>
      <c r="Q201" s="24" t="s">
        <v>1333</v>
      </c>
      <c r="R201" s="25" t="s">
        <v>50</v>
      </c>
      <c r="S201" s="26">
        <v>0</v>
      </c>
      <c r="T201" s="26">
        <v>48</v>
      </c>
      <c r="U201" s="26">
        <f t="shared" si="33"/>
        <v>695.25</v>
      </c>
      <c r="V201" s="127">
        <f t="shared" si="34"/>
        <v>0</v>
      </c>
      <c r="W201" s="127">
        <f t="shared" si="35"/>
        <v>48</v>
      </c>
      <c r="X201" s="127">
        <f t="shared" si="36"/>
        <v>0</v>
      </c>
      <c r="Y201" s="127">
        <f t="shared" si="27"/>
        <v>33372</v>
      </c>
      <c r="Z201" s="27"/>
      <c r="AA201" s="36" t="s">
        <v>16</v>
      </c>
      <c r="AB201" s="181">
        <f t="shared" si="28"/>
        <v>48</v>
      </c>
      <c r="AC201" s="181">
        <f t="shared" si="37"/>
        <v>33372</v>
      </c>
      <c r="AD201" s="181">
        <v>1.4</v>
      </c>
      <c r="AE201" s="181">
        <v>1.4</v>
      </c>
      <c r="AF201" s="101" t="str">
        <f t="shared" si="29"/>
        <v/>
      </c>
      <c r="AG201" s="190">
        <v>48</v>
      </c>
      <c r="AH201" s="69">
        <f t="shared" si="30"/>
        <v>48</v>
      </c>
    </row>
    <row r="202" spans="1:37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84"/>
      <c r="H202" s="82"/>
      <c r="I202" s="82">
        <v>28425744.34</v>
      </c>
      <c r="J202" s="94" t="s">
        <v>15</v>
      </c>
      <c r="K202" s="73"/>
      <c r="L202" s="45">
        <v>1</v>
      </c>
      <c r="M202" s="45">
        <v>5156605.82</v>
      </c>
      <c r="N202" s="45">
        <v>25649262.370000001</v>
      </c>
      <c r="O202" s="98"/>
      <c r="P202" s="18" t="s">
        <v>1392</v>
      </c>
      <c r="Q202" s="19" t="s">
        <v>530</v>
      </c>
      <c r="R202" s="20" t="s">
        <v>14</v>
      </c>
      <c r="S202" s="21">
        <v>1</v>
      </c>
      <c r="T202" s="21"/>
      <c r="U202" s="21">
        <f>SUMIFS(AC:AC,AD:AD,AD202)</f>
        <v>28425744.340000007</v>
      </c>
      <c r="V202" s="21">
        <f t="shared" ref="V202:W202" si="38">IF(X202=0,0,1)</f>
        <v>1</v>
      </c>
      <c r="W202" s="21">
        <f t="shared" si="38"/>
        <v>1</v>
      </c>
      <c r="X202" s="21">
        <f>SUMIFS(X:X,AE:AE,AD202)</f>
        <v>845776.52</v>
      </c>
      <c r="Y202" s="21">
        <f>SUMIFS(Y:Y,AE:AE,AD202)</f>
        <v>26495038.889999997</v>
      </c>
      <c r="Z202" s="22" t="s">
        <v>15</v>
      </c>
      <c r="AA202" s="43" t="s">
        <v>16</v>
      </c>
      <c r="AB202" s="181">
        <f t="shared" si="28"/>
        <v>1</v>
      </c>
      <c r="AC202" s="181"/>
      <c r="AD202" s="184">
        <v>1.5</v>
      </c>
      <c r="AE202" s="184"/>
      <c r="AF202" s="101" t="str">
        <f t="shared" si="29"/>
        <v/>
      </c>
      <c r="AG202" s="190">
        <v>1</v>
      </c>
      <c r="AH202" s="69">
        <f t="shared" si="30"/>
        <v>1</v>
      </c>
    </row>
    <row r="203" spans="1:37" s="69" customFormat="1" ht="49.5" customHeight="1" x14ac:dyDescent="0.3">
      <c r="A203" s="55" t="s">
        <v>531</v>
      </c>
      <c r="B203" s="53" t="s">
        <v>392</v>
      </c>
      <c r="C203" s="54" t="s">
        <v>23</v>
      </c>
      <c r="D203" s="75">
        <v>250</v>
      </c>
      <c r="E203" s="75"/>
      <c r="F203" s="75"/>
      <c r="G203" s="75"/>
      <c r="H203" s="75">
        <v>3115.13</v>
      </c>
      <c r="I203" s="75">
        <v>778782.5</v>
      </c>
      <c r="J203" s="91" t="s">
        <v>114</v>
      </c>
      <c r="K203" s="73"/>
      <c r="L203" s="46">
        <v>0</v>
      </c>
      <c r="M203" s="46">
        <v>0</v>
      </c>
      <c r="N203" s="46">
        <v>0</v>
      </c>
      <c r="O203" s="98"/>
      <c r="P203" s="23" t="s">
        <v>1421</v>
      </c>
      <c r="Q203" s="24" t="s">
        <v>392</v>
      </c>
      <c r="R203" s="25" t="s">
        <v>23</v>
      </c>
      <c r="S203" s="26">
        <v>250</v>
      </c>
      <c r="T203" s="26"/>
      <c r="U203" s="26">
        <v>3115.13</v>
      </c>
      <c r="V203" s="128">
        <f t="shared" ref="V203:V219" si="39">AG203-L203</f>
        <v>11.7</v>
      </c>
      <c r="W203" s="26">
        <f t="shared" si="35"/>
        <v>11.7</v>
      </c>
      <c r="X203" s="26">
        <f t="shared" ref="X203:X219" si="40">Y203-N203</f>
        <v>36447.019999999997</v>
      </c>
      <c r="Y203" s="26">
        <f t="shared" si="27"/>
        <v>36447.019999999997</v>
      </c>
      <c r="Z203" s="33" t="s">
        <v>15</v>
      </c>
      <c r="AA203" s="36" t="s">
        <v>16</v>
      </c>
      <c r="AB203" s="181">
        <f t="shared" ref="AB203:AB266" si="41">IF(T203="",S203,T203)</f>
        <v>250</v>
      </c>
      <c r="AC203" s="181">
        <f t="shared" si="37"/>
        <v>778782.5</v>
      </c>
      <c r="AD203" s="181">
        <v>1.5</v>
      </c>
      <c r="AE203" s="181">
        <v>1.5</v>
      </c>
      <c r="AF203" s="101" t="str">
        <f t="shared" ref="AF203:AF266" si="42">IF(W203&gt;AH203,"超估","")</f>
        <v/>
      </c>
      <c r="AG203" s="190">
        <f>11.7</f>
        <v>11.7</v>
      </c>
      <c r="AH203" s="69">
        <f t="shared" ref="AH203:AH266" si="43">IF(G203=0,IF(F203=0,IF(E203=0,D203,E203),F203),G203)</f>
        <v>250</v>
      </c>
    </row>
    <row r="204" spans="1:37" s="69" customFormat="1" ht="49.5" customHeight="1" x14ac:dyDescent="0.3">
      <c r="A204" s="130" t="s">
        <v>532</v>
      </c>
      <c r="B204" s="131" t="s">
        <v>116</v>
      </c>
      <c r="C204" s="132" t="s">
        <v>23</v>
      </c>
      <c r="D204" s="75">
        <v>2474</v>
      </c>
      <c r="E204" s="75"/>
      <c r="F204" s="75"/>
      <c r="G204" s="75"/>
      <c r="H204" s="75">
        <v>3321.13</v>
      </c>
      <c r="I204" s="75">
        <v>8216475.6200000001</v>
      </c>
      <c r="J204" s="91" t="s">
        <v>117</v>
      </c>
      <c r="K204" s="73"/>
      <c r="L204" s="46">
        <v>2473.35</v>
      </c>
      <c r="M204" s="46">
        <v>2185303.54</v>
      </c>
      <c r="N204" s="46">
        <v>8214316.8899999997</v>
      </c>
      <c r="O204" s="98"/>
      <c r="P204" s="23" t="s">
        <v>1426</v>
      </c>
      <c r="Q204" s="24" t="s">
        <v>116</v>
      </c>
      <c r="R204" s="25" t="s">
        <v>23</v>
      </c>
      <c r="S204" s="26">
        <v>2474</v>
      </c>
      <c r="T204" s="26"/>
      <c r="U204" s="26">
        <v>3321.13</v>
      </c>
      <c r="V204" s="127">
        <f t="shared" si="39"/>
        <v>0</v>
      </c>
      <c r="W204" s="127">
        <f t="shared" si="35"/>
        <v>2473.35</v>
      </c>
      <c r="X204" s="127">
        <f t="shared" si="40"/>
        <v>0</v>
      </c>
      <c r="Y204" s="127">
        <f t="shared" ref="Y204:Y267" si="44">ROUND(U204*W204,2)</f>
        <v>8214316.8899999997</v>
      </c>
      <c r="Z204" s="33" t="s">
        <v>15</v>
      </c>
      <c r="AA204" s="36" t="s">
        <v>16</v>
      </c>
      <c r="AB204" s="181">
        <f t="shared" si="41"/>
        <v>2474</v>
      </c>
      <c r="AC204" s="181">
        <f t="shared" si="37"/>
        <v>8216475.6200000001</v>
      </c>
      <c r="AD204" s="181">
        <v>1.5</v>
      </c>
      <c r="AE204" s="181">
        <v>1.5</v>
      </c>
      <c r="AF204" s="101" t="str">
        <f t="shared" si="42"/>
        <v/>
      </c>
      <c r="AG204" s="191">
        <f>1233.35+582+658</f>
        <v>2473.35</v>
      </c>
      <c r="AH204" s="69">
        <f t="shared" si="43"/>
        <v>2474</v>
      </c>
      <c r="AK204" s="196">
        <v>2782.2855</v>
      </c>
    </row>
    <row r="205" spans="1:37" s="69" customFormat="1" ht="49.5" customHeight="1" x14ac:dyDescent="0.3">
      <c r="A205" s="130" t="s">
        <v>533</v>
      </c>
      <c r="B205" s="131" t="s">
        <v>534</v>
      </c>
      <c r="C205" s="132" t="s">
        <v>23</v>
      </c>
      <c r="D205" s="75">
        <v>1187</v>
      </c>
      <c r="E205" s="75"/>
      <c r="F205" s="75"/>
      <c r="G205" s="75"/>
      <c r="H205" s="75">
        <v>1749.25</v>
      </c>
      <c r="I205" s="75">
        <v>2076359.75</v>
      </c>
      <c r="J205" s="91" t="s">
        <v>535</v>
      </c>
      <c r="K205" s="73"/>
      <c r="L205" s="46">
        <v>773</v>
      </c>
      <c r="M205" s="46">
        <v>923604</v>
      </c>
      <c r="N205" s="46">
        <v>1352170.25</v>
      </c>
      <c r="O205" s="98"/>
      <c r="P205" s="23" t="s">
        <v>1402</v>
      </c>
      <c r="Q205" s="24" t="s">
        <v>534</v>
      </c>
      <c r="R205" s="25" t="s">
        <v>23</v>
      </c>
      <c r="S205" s="26">
        <v>1187</v>
      </c>
      <c r="T205" s="26"/>
      <c r="U205" s="26">
        <v>1749.25</v>
      </c>
      <c r="V205" s="128">
        <f t="shared" si="39"/>
        <v>414</v>
      </c>
      <c r="W205" s="127">
        <f t="shared" si="35"/>
        <v>1187</v>
      </c>
      <c r="X205" s="127">
        <f t="shared" si="40"/>
        <v>724189.5</v>
      </c>
      <c r="Y205" s="127">
        <f t="shared" si="44"/>
        <v>2076359.75</v>
      </c>
      <c r="Z205" s="33" t="s">
        <v>15</v>
      </c>
      <c r="AA205" s="36" t="s">
        <v>16</v>
      </c>
      <c r="AB205" s="181">
        <f t="shared" si="41"/>
        <v>1187</v>
      </c>
      <c r="AC205" s="181">
        <f t="shared" si="37"/>
        <v>2076359.75</v>
      </c>
      <c r="AD205" s="181">
        <v>1.5</v>
      </c>
      <c r="AE205" s="181">
        <v>1.5</v>
      </c>
      <c r="AF205" s="101" t="str">
        <f t="shared" si="42"/>
        <v/>
      </c>
      <c r="AG205" s="191">
        <f>93+95+57+528+414</f>
        <v>1187</v>
      </c>
      <c r="AH205" s="69">
        <f t="shared" si="43"/>
        <v>1187</v>
      </c>
      <c r="AK205" s="195">
        <v>1161.5828000000001</v>
      </c>
    </row>
    <row r="206" spans="1:37" s="69" customFormat="1" ht="39" x14ac:dyDescent="0.3">
      <c r="A206" s="55" t="s">
        <v>536</v>
      </c>
      <c r="B206" s="53" t="s">
        <v>493</v>
      </c>
      <c r="C206" s="54" t="s">
        <v>23</v>
      </c>
      <c r="D206" s="75">
        <v>3911</v>
      </c>
      <c r="E206" s="75"/>
      <c r="F206" s="75"/>
      <c r="G206" s="75"/>
      <c r="H206" s="75">
        <v>200</v>
      </c>
      <c r="I206" s="75">
        <v>782200</v>
      </c>
      <c r="J206" s="91" t="s">
        <v>494</v>
      </c>
      <c r="K206" s="73"/>
      <c r="L206" s="46">
        <v>3246.35</v>
      </c>
      <c r="M206" s="46">
        <v>237200</v>
      </c>
      <c r="N206" s="46">
        <v>649270</v>
      </c>
      <c r="O206" s="98"/>
      <c r="P206" s="23" t="s">
        <v>1373</v>
      </c>
      <c r="Q206" s="24" t="s">
        <v>493</v>
      </c>
      <c r="R206" s="25" t="s">
        <v>23</v>
      </c>
      <c r="S206" s="26">
        <v>3911</v>
      </c>
      <c r="T206" s="26"/>
      <c r="U206" s="26">
        <v>200</v>
      </c>
      <c r="V206" s="128">
        <f t="shared" si="39"/>
        <v>425.69999999999982</v>
      </c>
      <c r="W206" s="26">
        <f t="shared" si="35"/>
        <v>3672.0499999999997</v>
      </c>
      <c r="X206" s="26">
        <f t="shared" si="40"/>
        <v>85140</v>
      </c>
      <c r="Y206" s="26">
        <f t="shared" si="44"/>
        <v>734410</v>
      </c>
      <c r="Z206" s="33" t="s">
        <v>15</v>
      </c>
      <c r="AA206" s="36" t="s">
        <v>16</v>
      </c>
      <c r="AB206" s="181">
        <f t="shared" si="41"/>
        <v>3911</v>
      </c>
      <c r="AC206" s="181">
        <f t="shared" si="37"/>
        <v>782200</v>
      </c>
      <c r="AD206" s="181">
        <v>1.5</v>
      </c>
      <c r="AE206" s="181">
        <v>1.5</v>
      </c>
      <c r="AF206" s="101" t="str">
        <f t="shared" si="42"/>
        <v/>
      </c>
      <c r="AG206" s="191">
        <f>AG203+AG204+AG205</f>
        <v>3672.0499999999997</v>
      </c>
      <c r="AH206" s="69">
        <f t="shared" si="43"/>
        <v>3911</v>
      </c>
      <c r="AK206" s="198">
        <f>AK203+AK204+AK205</f>
        <v>3943.8683000000001</v>
      </c>
    </row>
    <row r="207" spans="1:37" s="69" customFormat="1" ht="57.75" x14ac:dyDescent="0.3">
      <c r="A207" s="130" t="s">
        <v>537</v>
      </c>
      <c r="B207" s="131" t="s">
        <v>405</v>
      </c>
      <c r="C207" s="132" t="s">
        <v>50</v>
      </c>
      <c r="D207" s="75">
        <v>3820</v>
      </c>
      <c r="E207" s="75"/>
      <c r="F207" s="75">
        <v>4730</v>
      </c>
      <c r="G207" s="75"/>
      <c r="H207" s="75">
        <v>982.98</v>
      </c>
      <c r="I207" s="75">
        <v>4649495.4000000004</v>
      </c>
      <c r="J207" s="91" t="s">
        <v>406</v>
      </c>
      <c r="K207" s="73"/>
      <c r="L207" s="46">
        <v>4730</v>
      </c>
      <c r="M207" s="46">
        <v>310818.28000000026</v>
      </c>
      <c r="N207" s="46">
        <v>4649495.4000000004</v>
      </c>
      <c r="O207" s="98"/>
      <c r="P207" s="23" t="s">
        <v>1393</v>
      </c>
      <c r="Q207" s="24" t="s">
        <v>405</v>
      </c>
      <c r="R207" s="25" t="s">
        <v>50</v>
      </c>
      <c r="S207" s="26">
        <v>3820</v>
      </c>
      <c r="T207" s="26">
        <v>4730</v>
      </c>
      <c r="U207" s="26">
        <v>982.98</v>
      </c>
      <c r="V207" s="127">
        <f t="shared" si="39"/>
        <v>0</v>
      </c>
      <c r="W207" s="127">
        <f t="shared" si="35"/>
        <v>4730</v>
      </c>
      <c r="X207" s="127">
        <f t="shared" si="40"/>
        <v>0</v>
      </c>
      <c r="Y207" s="127">
        <f t="shared" si="44"/>
        <v>4649495.4000000004</v>
      </c>
      <c r="Z207" s="27" t="s">
        <v>15</v>
      </c>
      <c r="AA207" s="36" t="s">
        <v>16</v>
      </c>
      <c r="AB207" s="181">
        <f t="shared" si="41"/>
        <v>4730</v>
      </c>
      <c r="AC207" s="181">
        <f t="shared" si="37"/>
        <v>4649495.4000000004</v>
      </c>
      <c r="AD207" s="181">
        <v>1.5</v>
      </c>
      <c r="AE207" s="181">
        <v>1.5</v>
      </c>
      <c r="AF207" s="101" t="str">
        <f t="shared" si="42"/>
        <v/>
      </c>
      <c r="AG207" s="191">
        <f>3454.8+959+316.2</f>
        <v>4730</v>
      </c>
      <c r="AH207" s="69">
        <f t="shared" si="43"/>
        <v>4730</v>
      </c>
      <c r="AK207" s="195">
        <v>5411.06</v>
      </c>
    </row>
    <row r="208" spans="1:37" s="69" customFormat="1" ht="41.25" x14ac:dyDescent="0.3">
      <c r="A208" s="130" t="s">
        <v>538</v>
      </c>
      <c r="B208" s="131" t="s">
        <v>408</v>
      </c>
      <c r="C208" s="132" t="s">
        <v>50</v>
      </c>
      <c r="D208" s="203">
        <v>800</v>
      </c>
      <c r="E208" s="203"/>
      <c r="F208" s="203"/>
      <c r="G208" s="203"/>
      <c r="H208" s="75">
        <v>804.79</v>
      </c>
      <c r="I208" s="75">
        <v>643832</v>
      </c>
      <c r="J208" s="91" t="s">
        <v>409</v>
      </c>
      <c r="K208" s="73"/>
      <c r="L208" s="46">
        <v>800</v>
      </c>
      <c r="M208" s="46">
        <v>0</v>
      </c>
      <c r="N208" s="46">
        <v>643832</v>
      </c>
      <c r="O208" s="98"/>
      <c r="P208" s="23" t="s">
        <v>1403</v>
      </c>
      <c r="Q208" s="24" t="s">
        <v>408</v>
      </c>
      <c r="R208" s="25" t="s">
        <v>50</v>
      </c>
      <c r="S208" s="26">
        <v>800</v>
      </c>
      <c r="T208" s="26"/>
      <c r="U208" s="26">
        <v>804.79</v>
      </c>
      <c r="V208" s="127">
        <f t="shared" si="39"/>
        <v>0</v>
      </c>
      <c r="W208" s="127">
        <f t="shared" si="35"/>
        <v>800</v>
      </c>
      <c r="X208" s="127">
        <f t="shared" si="40"/>
        <v>0</v>
      </c>
      <c r="Y208" s="127">
        <f t="shared" si="44"/>
        <v>643832</v>
      </c>
      <c r="Z208" s="33" t="s">
        <v>15</v>
      </c>
      <c r="AA208" s="36" t="s">
        <v>16</v>
      </c>
      <c r="AB208" s="181">
        <f t="shared" si="41"/>
        <v>800</v>
      </c>
      <c r="AC208" s="181">
        <f t="shared" si="37"/>
        <v>643832</v>
      </c>
      <c r="AD208" s="181">
        <v>1.5</v>
      </c>
      <c r="AE208" s="181">
        <v>1.5</v>
      </c>
      <c r="AF208" s="101" t="str">
        <f t="shared" si="42"/>
        <v/>
      </c>
      <c r="AG208" s="190">
        <v>800</v>
      </c>
      <c r="AH208" s="69">
        <f t="shared" si="43"/>
        <v>800</v>
      </c>
    </row>
    <row r="209" spans="1:34" s="69" customFormat="1" ht="41.25" x14ac:dyDescent="0.3">
      <c r="A209" s="130" t="s">
        <v>539</v>
      </c>
      <c r="B209" s="131" t="s">
        <v>119</v>
      </c>
      <c r="C209" s="132" t="s">
        <v>50</v>
      </c>
      <c r="D209" s="203">
        <v>258</v>
      </c>
      <c r="E209" s="203"/>
      <c r="F209" s="203"/>
      <c r="G209" s="203"/>
      <c r="H209" s="75">
        <v>533.64</v>
      </c>
      <c r="I209" s="75">
        <v>137679.12</v>
      </c>
      <c r="J209" s="91" t="s">
        <v>120</v>
      </c>
      <c r="K209" s="73"/>
      <c r="L209" s="46">
        <v>258</v>
      </c>
      <c r="M209" s="46">
        <v>0</v>
      </c>
      <c r="N209" s="46">
        <v>137679.12</v>
      </c>
      <c r="O209" s="98"/>
      <c r="P209" s="23" t="s">
        <v>1427</v>
      </c>
      <c r="Q209" s="24" t="s">
        <v>119</v>
      </c>
      <c r="R209" s="25" t="s">
        <v>50</v>
      </c>
      <c r="S209" s="26">
        <v>258</v>
      </c>
      <c r="T209" s="26"/>
      <c r="U209" s="26">
        <v>533.64</v>
      </c>
      <c r="V209" s="127">
        <f t="shared" si="39"/>
        <v>0</v>
      </c>
      <c r="W209" s="127">
        <f t="shared" si="35"/>
        <v>258</v>
      </c>
      <c r="X209" s="127">
        <f t="shared" si="40"/>
        <v>0</v>
      </c>
      <c r="Y209" s="127">
        <f t="shared" si="44"/>
        <v>137679.12</v>
      </c>
      <c r="Z209" s="33" t="s">
        <v>15</v>
      </c>
      <c r="AA209" s="36" t="s">
        <v>16</v>
      </c>
      <c r="AB209" s="181">
        <f t="shared" si="41"/>
        <v>258</v>
      </c>
      <c r="AC209" s="181">
        <f t="shared" si="37"/>
        <v>137679.12</v>
      </c>
      <c r="AD209" s="181">
        <v>1.5</v>
      </c>
      <c r="AE209" s="181">
        <v>1.5</v>
      </c>
      <c r="AF209" s="101" t="str">
        <f t="shared" si="42"/>
        <v/>
      </c>
      <c r="AG209" s="190">
        <v>258</v>
      </c>
      <c r="AH209" s="69">
        <f t="shared" si="43"/>
        <v>258</v>
      </c>
    </row>
    <row r="210" spans="1:34" s="69" customFormat="1" ht="33" x14ac:dyDescent="0.3">
      <c r="A210" s="130" t="s">
        <v>540</v>
      </c>
      <c r="B210" s="131" t="s">
        <v>109</v>
      </c>
      <c r="C210" s="132" t="s">
        <v>110</v>
      </c>
      <c r="D210" s="203">
        <v>133401</v>
      </c>
      <c r="E210" s="203"/>
      <c r="F210" s="203"/>
      <c r="G210" s="203"/>
      <c r="H210" s="75">
        <v>36.4</v>
      </c>
      <c r="I210" s="75">
        <v>4855796.4000000004</v>
      </c>
      <c r="J210" s="91" t="s">
        <v>111</v>
      </c>
      <c r="K210" s="73"/>
      <c r="L210" s="46">
        <v>132794.91999999998</v>
      </c>
      <c r="M210" s="46">
        <v>1499680</v>
      </c>
      <c r="N210" s="46">
        <v>4833735.09</v>
      </c>
      <c r="O210" s="98"/>
      <c r="P210" s="23" t="s">
        <v>1428</v>
      </c>
      <c r="Q210" s="24" t="s">
        <v>109</v>
      </c>
      <c r="R210" s="25" t="s">
        <v>110</v>
      </c>
      <c r="S210" s="26">
        <v>133401</v>
      </c>
      <c r="T210" s="26"/>
      <c r="U210" s="26">
        <v>36.4</v>
      </c>
      <c r="V210" s="127">
        <f t="shared" si="39"/>
        <v>0</v>
      </c>
      <c r="W210" s="127">
        <f t="shared" si="35"/>
        <v>132794.91999999998</v>
      </c>
      <c r="X210" s="127">
        <f t="shared" si="40"/>
        <v>0</v>
      </c>
      <c r="Y210" s="127">
        <f t="shared" si="44"/>
        <v>4833735.09</v>
      </c>
      <c r="Z210" s="33" t="s">
        <v>15</v>
      </c>
      <c r="AA210" s="36" t="s">
        <v>16</v>
      </c>
      <c r="AB210" s="181">
        <f t="shared" si="41"/>
        <v>133401</v>
      </c>
      <c r="AC210" s="181">
        <f t="shared" si="37"/>
        <v>4855796.4000000004</v>
      </c>
      <c r="AD210" s="181">
        <v>1.5</v>
      </c>
      <c r="AE210" s="181">
        <v>1.5</v>
      </c>
      <c r="AF210" s="101" t="str">
        <f t="shared" si="42"/>
        <v/>
      </c>
      <c r="AG210" s="191">
        <f>46044.92+32000+13550+41200</f>
        <v>132794.91999999998</v>
      </c>
      <c r="AH210" s="69">
        <f t="shared" si="43"/>
        <v>133401</v>
      </c>
    </row>
    <row r="211" spans="1:34" s="69" customFormat="1" ht="33" x14ac:dyDescent="0.3">
      <c r="A211" s="130" t="s">
        <v>541</v>
      </c>
      <c r="B211" s="131" t="s">
        <v>399</v>
      </c>
      <c r="C211" s="132" t="s">
        <v>110</v>
      </c>
      <c r="D211" s="203">
        <v>118802</v>
      </c>
      <c r="E211" s="203"/>
      <c r="F211" s="203"/>
      <c r="G211" s="203"/>
      <c r="H211" s="75">
        <v>38.71</v>
      </c>
      <c r="I211" s="75">
        <v>4598825.42</v>
      </c>
      <c r="J211" s="91" t="s">
        <v>400</v>
      </c>
      <c r="K211" s="73"/>
      <c r="L211" s="46">
        <v>118802</v>
      </c>
      <c r="M211" s="46">
        <v>0</v>
      </c>
      <c r="N211" s="46">
        <v>4598825.42</v>
      </c>
      <c r="O211" s="98"/>
      <c r="P211" s="23" t="s">
        <v>1387</v>
      </c>
      <c r="Q211" s="24" t="s">
        <v>399</v>
      </c>
      <c r="R211" s="25" t="s">
        <v>110</v>
      </c>
      <c r="S211" s="26">
        <v>118802</v>
      </c>
      <c r="T211" s="26"/>
      <c r="U211" s="26">
        <v>38.71</v>
      </c>
      <c r="V211" s="127">
        <f t="shared" si="39"/>
        <v>0</v>
      </c>
      <c r="W211" s="127">
        <f t="shared" si="35"/>
        <v>118802</v>
      </c>
      <c r="X211" s="127">
        <f t="shared" si="40"/>
        <v>0</v>
      </c>
      <c r="Y211" s="127">
        <f t="shared" si="44"/>
        <v>4598825.42</v>
      </c>
      <c r="Z211" s="33" t="s">
        <v>15</v>
      </c>
      <c r="AA211" s="36" t="s">
        <v>16</v>
      </c>
      <c r="AB211" s="181">
        <f t="shared" si="41"/>
        <v>118802</v>
      </c>
      <c r="AC211" s="181">
        <f t="shared" si="37"/>
        <v>4598825.42</v>
      </c>
      <c r="AD211" s="181">
        <v>1.5</v>
      </c>
      <c r="AE211" s="181">
        <v>1.5</v>
      </c>
      <c r="AF211" s="101" t="str">
        <f t="shared" si="42"/>
        <v/>
      </c>
      <c r="AG211" s="191">
        <f>41802+77000</f>
        <v>118802</v>
      </c>
      <c r="AH211" s="69">
        <f t="shared" si="43"/>
        <v>118802</v>
      </c>
    </row>
    <row r="212" spans="1:34" s="69" customFormat="1" ht="58.5" x14ac:dyDescent="0.3">
      <c r="A212" s="55" t="s">
        <v>542</v>
      </c>
      <c r="B212" s="53" t="s">
        <v>543</v>
      </c>
      <c r="C212" s="54" t="s">
        <v>30</v>
      </c>
      <c r="D212" s="75">
        <v>129</v>
      </c>
      <c r="E212" s="75"/>
      <c r="F212" s="75"/>
      <c r="G212" s="75"/>
      <c r="H212" s="75">
        <v>2865.95</v>
      </c>
      <c r="I212" s="75">
        <v>369707.55</v>
      </c>
      <c r="J212" s="91" t="s">
        <v>544</v>
      </c>
      <c r="K212" s="73"/>
      <c r="L212" s="46">
        <v>0</v>
      </c>
      <c r="M212" s="46">
        <v>0</v>
      </c>
      <c r="N212" s="46">
        <v>0</v>
      </c>
      <c r="O212" s="98"/>
      <c r="P212" s="23" t="s">
        <v>1405</v>
      </c>
      <c r="Q212" s="24" t="s">
        <v>543</v>
      </c>
      <c r="R212" s="25" t="s">
        <v>30</v>
      </c>
      <c r="S212" s="26">
        <v>129</v>
      </c>
      <c r="T212" s="26"/>
      <c r="U212" s="26">
        <v>2865.95</v>
      </c>
      <c r="V212" s="26">
        <f t="shared" si="39"/>
        <v>0</v>
      </c>
      <c r="W212" s="26">
        <f t="shared" si="35"/>
        <v>0</v>
      </c>
      <c r="X212" s="26">
        <f t="shared" si="40"/>
        <v>0</v>
      </c>
      <c r="Y212" s="26">
        <f t="shared" si="44"/>
        <v>0</v>
      </c>
      <c r="Z212" s="33" t="s">
        <v>15</v>
      </c>
      <c r="AA212" s="36" t="s">
        <v>16</v>
      </c>
      <c r="AB212" s="181">
        <f t="shared" si="41"/>
        <v>129</v>
      </c>
      <c r="AC212" s="181">
        <f t="shared" si="37"/>
        <v>369707.55</v>
      </c>
      <c r="AD212" s="181">
        <v>1.5</v>
      </c>
      <c r="AE212" s="181">
        <v>1.5</v>
      </c>
      <c r="AF212" s="101" t="str">
        <f t="shared" si="42"/>
        <v/>
      </c>
      <c r="AG212" s="190">
        <v>0</v>
      </c>
      <c r="AH212" s="69">
        <f t="shared" si="43"/>
        <v>129</v>
      </c>
    </row>
    <row r="213" spans="1:34" s="69" customFormat="1" ht="39" x14ac:dyDescent="0.3">
      <c r="A213" s="55" t="s">
        <v>545</v>
      </c>
      <c r="B213" s="53" t="s">
        <v>546</v>
      </c>
      <c r="C213" s="54" t="s">
        <v>81</v>
      </c>
      <c r="D213" s="75">
        <v>54</v>
      </c>
      <c r="E213" s="75"/>
      <c r="F213" s="75"/>
      <c r="G213" s="75"/>
      <c r="H213" s="75">
        <v>1478.05</v>
      </c>
      <c r="I213" s="75">
        <v>79814.7</v>
      </c>
      <c r="J213" s="91" t="s">
        <v>547</v>
      </c>
      <c r="K213" s="73"/>
      <c r="L213" s="46">
        <v>0</v>
      </c>
      <c r="M213" s="46">
        <v>0</v>
      </c>
      <c r="N213" s="46">
        <v>0</v>
      </c>
      <c r="O213" s="98"/>
      <c r="P213" s="23" t="s">
        <v>1406</v>
      </c>
      <c r="Q213" s="24" t="s">
        <v>546</v>
      </c>
      <c r="R213" s="25" t="s">
        <v>81</v>
      </c>
      <c r="S213" s="26">
        <v>54</v>
      </c>
      <c r="T213" s="26"/>
      <c r="U213" s="26">
        <v>1478.05</v>
      </c>
      <c r="V213" s="26">
        <f t="shared" si="39"/>
        <v>0</v>
      </c>
      <c r="W213" s="26">
        <f t="shared" si="35"/>
        <v>0</v>
      </c>
      <c r="X213" s="26">
        <f t="shared" si="40"/>
        <v>0</v>
      </c>
      <c r="Y213" s="26">
        <f t="shared" si="44"/>
        <v>0</v>
      </c>
      <c r="Z213" s="33" t="s">
        <v>15</v>
      </c>
      <c r="AA213" s="36" t="s">
        <v>16</v>
      </c>
      <c r="AB213" s="181">
        <f t="shared" si="41"/>
        <v>54</v>
      </c>
      <c r="AC213" s="181">
        <f t="shared" si="37"/>
        <v>79814.7</v>
      </c>
      <c r="AD213" s="181">
        <v>1.5</v>
      </c>
      <c r="AE213" s="181">
        <v>1.5</v>
      </c>
      <c r="AF213" s="101" t="str">
        <f t="shared" si="42"/>
        <v/>
      </c>
      <c r="AG213" s="190">
        <v>0</v>
      </c>
      <c r="AH213" s="69">
        <f t="shared" si="43"/>
        <v>54</v>
      </c>
    </row>
    <row r="214" spans="1:34" s="69" customFormat="1" ht="58.5" x14ac:dyDescent="0.3">
      <c r="A214" s="55" t="s">
        <v>548</v>
      </c>
      <c r="B214" s="53" t="s">
        <v>549</v>
      </c>
      <c r="C214" s="54" t="s">
        <v>30</v>
      </c>
      <c r="D214" s="75">
        <v>170</v>
      </c>
      <c r="E214" s="75"/>
      <c r="F214" s="75"/>
      <c r="G214" s="75"/>
      <c r="H214" s="75">
        <v>151.72</v>
      </c>
      <c r="I214" s="75">
        <v>25792.400000000001</v>
      </c>
      <c r="J214" s="91" t="s">
        <v>550</v>
      </c>
      <c r="K214" s="73"/>
      <c r="L214" s="46">
        <v>0</v>
      </c>
      <c r="M214" s="46">
        <v>0</v>
      </c>
      <c r="N214" s="46">
        <v>0</v>
      </c>
      <c r="O214" s="98"/>
      <c r="P214" s="23" t="s">
        <v>1414</v>
      </c>
      <c r="Q214" s="24" t="s">
        <v>549</v>
      </c>
      <c r="R214" s="25" t="s">
        <v>30</v>
      </c>
      <c r="S214" s="26">
        <v>170</v>
      </c>
      <c r="T214" s="26"/>
      <c r="U214" s="26">
        <v>151.72</v>
      </c>
      <c r="V214" s="26">
        <f t="shared" si="39"/>
        <v>0</v>
      </c>
      <c r="W214" s="26">
        <f t="shared" si="35"/>
        <v>0</v>
      </c>
      <c r="X214" s="26">
        <f t="shared" si="40"/>
        <v>0</v>
      </c>
      <c r="Y214" s="26">
        <f t="shared" si="44"/>
        <v>0</v>
      </c>
      <c r="Z214" s="33" t="s">
        <v>15</v>
      </c>
      <c r="AA214" s="36" t="s">
        <v>16</v>
      </c>
      <c r="AB214" s="181">
        <f t="shared" si="41"/>
        <v>170</v>
      </c>
      <c r="AC214" s="181">
        <f t="shared" si="37"/>
        <v>25792.400000000001</v>
      </c>
      <c r="AD214" s="181">
        <v>1.5</v>
      </c>
      <c r="AE214" s="181">
        <v>1.5</v>
      </c>
      <c r="AF214" s="101" t="str">
        <f t="shared" si="42"/>
        <v/>
      </c>
      <c r="AG214" s="190">
        <v>0</v>
      </c>
      <c r="AH214" s="69">
        <f t="shared" si="43"/>
        <v>170</v>
      </c>
    </row>
    <row r="215" spans="1:34" s="69" customFormat="1" ht="39" x14ac:dyDescent="0.3">
      <c r="A215" s="55" t="s">
        <v>551</v>
      </c>
      <c r="B215" s="53" t="s">
        <v>552</v>
      </c>
      <c r="C215" s="54" t="s">
        <v>325</v>
      </c>
      <c r="D215" s="75">
        <v>4</v>
      </c>
      <c r="E215" s="75"/>
      <c r="F215" s="75"/>
      <c r="G215" s="75"/>
      <c r="H215" s="75">
        <v>15779.6</v>
      </c>
      <c r="I215" s="75">
        <v>63118.400000000001</v>
      </c>
      <c r="J215" s="91" t="s">
        <v>553</v>
      </c>
      <c r="K215" s="73"/>
      <c r="L215" s="46">
        <v>0</v>
      </c>
      <c r="M215" s="46">
        <v>0</v>
      </c>
      <c r="N215" s="46">
        <v>0</v>
      </c>
      <c r="O215" s="98"/>
      <c r="P215" s="23" t="s">
        <v>1429</v>
      </c>
      <c r="Q215" s="24" t="s">
        <v>552</v>
      </c>
      <c r="R215" s="25" t="s">
        <v>325</v>
      </c>
      <c r="S215" s="26">
        <v>4</v>
      </c>
      <c r="T215" s="26"/>
      <c r="U215" s="26">
        <v>15779.6</v>
      </c>
      <c r="V215" s="26">
        <f t="shared" si="39"/>
        <v>0</v>
      </c>
      <c r="W215" s="26">
        <f t="shared" si="35"/>
        <v>0</v>
      </c>
      <c r="X215" s="26">
        <f t="shared" si="40"/>
        <v>0</v>
      </c>
      <c r="Y215" s="26">
        <f t="shared" si="44"/>
        <v>0</v>
      </c>
      <c r="Z215" s="33" t="s">
        <v>15</v>
      </c>
      <c r="AA215" s="36" t="s">
        <v>16</v>
      </c>
      <c r="AB215" s="181">
        <f t="shared" si="41"/>
        <v>4</v>
      </c>
      <c r="AC215" s="181">
        <f t="shared" si="37"/>
        <v>63118.400000000001</v>
      </c>
      <c r="AD215" s="181">
        <v>1.5</v>
      </c>
      <c r="AE215" s="181">
        <v>1.5</v>
      </c>
      <c r="AF215" s="101" t="str">
        <f t="shared" si="42"/>
        <v/>
      </c>
      <c r="AG215" s="190">
        <v>0</v>
      </c>
      <c r="AH215" s="69">
        <f t="shared" si="43"/>
        <v>4</v>
      </c>
    </row>
    <row r="216" spans="1:34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>
        <v>138.84</v>
      </c>
      <c r="I216" s="75">
        <v>62894.52</v>
      </c>
      <c r="J216" s="91" t="s">
        <v>190</v>
      </c>
      <c r="K216" s="73"/>
      <c r="L216" s="46">
        <v>285</v>
      </c>
      <c r="M216" s="46">
        <v>0</v>
      </c>
      <c r="N216" s="46">
        <v>39569.4</v>
      </c>
      <c r="O216" s="98"/>
      <c r="P216" s="23" t="s">
        <v>1430</v>
      </c>
      <c r="Q216" s="24" t="s">
        <v>189</v>
      </c>
      <c r="R216" s="25" t="s">
        <v>30</v>
      </c>
      <c r="S216" s="26">
        <v>453</v>
      </c>
      <c r="T216" s="26"/>
      <c r="U216" s="26">
        <v>138.84</v>
      </c>
      <c r="V216" s="128">
        <f t="shared" si="39"/>
        <v>0</v>
      </c>
      <c r="W216" s="26">
        <f t="shared" si="35"/>
        <v>285</v>
      </c>
      <c r="X216" s="26">
        <f t="shared" si="40"/>
        <v>0</v>
      </c>
      <c r="Y216" s="26">
        <f t="shared" si="44"/>
        <v>39569.4</v>
      </c>
      <c r="Z216" s="33" t="s">
        <v>15</v>
      </c>
      <c r="AA216" s="36" t="s">
        <v>16</v>
      </c>
      <c r="AB216" s="181">
        <f t="shared" si="41"/>
        <v>453</v>
      </c>
      <c r="AC216" s="181">
        <f t="shared" si="37"/>
        <v>62894.52</v>
      </c>
      <c r="AD216" s="181">
        <v>1.5</v>
      </c>
      <c r="AE216" s="181">
        <v>1.5</v>
      </c>
      <c r="AF216" s="101" t="str">
        <f t="shared" si="42"/>
        <v/>
      </c>
      <c r="AG216" s="191">
        <f>19*15</f>
        <v>285</v>
      </c>
      <c r="AH216" s="69">
        <f t="shared" si="43"/>
        <v>453</v>
      </c>
    </row>
    <row r="217" spans="1:34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>
        <v>326.3</v>
      </c>
      <c r="I217" s="75">
        <v>548184</v>
      </c>
      <c r="J217" s="91" t="s">
        <v>521</v>
      </c>
      <c r="K217" s="73"/>
      <c r="L217" s="46">
        <v>936</v>
      </c>
      <c r="M217" s="46">
        <v>0</v>
      </c>
      <c r="N217" s="46">
        <v>305416.8</v>
      </c>
      <c r="O217" s="98"/>
      <c r="P217" s="23" t="s">
        <v>1431</v>
      </c>
      <c r="Q217" s="24" t="s">
        <v>520</v>
      </c>
      <c r="R217" s="25" t="s">
        <v>30</v>
      </c>
      <c r="S217" s="26">
        <v>1680</v>
      </c>
      <c r="T217" s="26"/>
      <c r="U217" s="26">
        <v>326.3</v>
      </c>
      <c r="V217" s="128">
        <f t="shared" si="39"/>
        <v>0</v>
      </c>
      <c r="W217" s="26">
        <f t="shared" si="35"/>
        <v>936</v>
      </c>
      <c r="X217" s="26">
        <f t="shared" si="40"/>
        <v>0</v>
      </c>
      <c r="Y217" s="26">
        <f t="shared" si="44"/>
        <v>305416.8</v>
      </c>
      <c r="Z217" s="33" t="s">
        <v>15</v>
      </c>
      <c r="AA217" s="36" t="s">
        <v>16</v>
      </c>
      <c r="AB217" s="181">
        <f t="shared" si="41"/>
        <v>1680</v>
      </c>
      <c r="AC217" s="181">
        <f t="shared" si="37"/>
        <v>548184</v>
      </c>
      <c r="AD217" s="181">
        <v>1.5</v>
      </c>
      <c r="AE217" s="181">
        <v>1.5</v>
      </c>
      <c r="AF217" s="101" t="str">
        <f t="shared" si="42"/>
        <v/>
      </c>
      <c r="AG217" s="191">
        <f>312*3</f>
        <v>936</v>
      </c>
      <c r="AH217" s="69">
        <f t="shared" si="43"/>
        <v>1680</v>
      </c>
    </row>
    <row r="218" spans="1:34" s="69" customFormat="1" ht="39" x14ac:dyDescent="0.3">
      <c r="A218" s="55" t="s">
        <v>556</v>
      </c>
      <c r="B218" s="53" t="s">
        <v>424</v>
      </c>
      <c r="C218" s="54" t="s">
        <v>50</v>
      </c>
      <c r="D218" s="75">
        <v>756</v>
      </c>
      <c r="E218" s="75"/>
      <c r="F218" s="75"/>
      <c r="G218" s="75"/>
      <c r="H218" s="75">
        <v>692.16</v>
      </c>
      <c r="I218" s="75">
        <v>523272.96000000002</v>
      </c>
      <c r="J218" s="91" t="s">
        <v>425</v>
      </c>
      <c r="K218" s="73"/>
      <c r="L218" s="46">
        <v>325</v>
      </c>
      <c r="M218" s="46">
        <v>0</v>
      </c>
      <c r="N218" s="46">
        <v>224952</v>
      </c>
      <c r="O218" s="98"/>
      <c r="P218" s="23" t="s">
        <v>1395</v>
      </c>
      <c r="Q218" s="24" t="s">
        <v>424</v>
      </c>
      <c r="R218" s="25" t="s">
        <v>50</v>
      </c>
      <c r="S218" s="26">
        <v>756</v>
      </c>
      <c r="T218" s="26"/>
      <c r="U218" s="26">
        <v>692.16</v>
      </c>
      <c r="V218" s="128">
        <f t="shared" si="39"/>
        <v>0</v>
      </c>
      <c r="W218" s="26">
        <f t="shared" si="35"/>
        <v>325</v>
      </c>
      <c r="X218" s="26">
        <f t="shared" si="40"/>
        <v>0</v>
      </c>
      <c r="Y218" s="26">
        <f t="shared" si="44"/>
        <v>224952</v>
      </c>
      <c r="Z218" s="33" t="s">
        <v>15</v>
      </c>
      <c r="AA218" s="36" t="s">
        <v>16</v>
      </c>
      <c r="AB218" s="181">
        <f t="shared" si="41"/>
        <v>756</v>
      </c>
      <c r="AC218" s="181">
        <f t="shared" si="37"/>
        <v>523272.96000000002</v>
      </c>
      <c r="AD218" s="181">
        <v>1.5</v>
      </c>
      <c r="AE218" s="181">
        <v>1.5</v>
      </c>
      <c r="AF218" s="101" t="str">
        <f t="shared" si="42"/>
        <v/>
      </c>
      <c r="AG218" s="191">
        <f>325</f>
        <v>325</v>
      </c>
      <c r="AH218" s="69">
        <f t="shared" si="43"/>
        <v>756</v>
      </c>
    </row>
    <row r="219" spans="1:34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>
        <v>422.3</v>
      </c>
      <c r="I219" s="75">
        <v>13513.6</v>
      </c>
      <c r="J219" s="91" t="s">
        <v>560</v>
      </c>
      <c r="K219" s="73"/>
      <c r="L219" s="46">
        <v>0</v>
      </c>
      <c r="M219" s="46">
        <v>0</v>
      </c>
      <c r="N219" s="46">
        <v>0</v>
      </c>
      <c r="O219" s="98"/>
      <c r="P219" s="23" t="s">
        <v>1432</v>
      </c>
      <c r="Q219" s="24" t="s">
        <v>558</v>
      </c>
      <c r="R219" s="25" t="s">
        <v>559</v>
      </c>
      <c r="S219" s="26">
        <v>32</v>
      </c>
      <c r="T219" s="26"/>
      <c r="U219" s="26">
        <v>422.3</v>
      </c>
      <c r="V219" s="26">
        <f t="shared" si="39"/>
        <v>0</v>
      </c>
      <c r="W219" s="26">
        <f t="shared" si="35"/>
        <v>0</v>
      </c>
      <c r="X219" s="26">
        <f t="shared" si="40"/>
        <v>0</v>
      </c>
      <c r="Y219" s="26">
        <f t="shared" si="44"/>
        <v>0</v>
      </c>
      <c r="Z219" s="33" t="s">
        <v>15</v>
      </c>
      <c r="AA219" s="36" t="s">
        <v>16</v>
      </c>
      <c r="AB219" s="181">
        <f t="shared" si="41"/>
        <v>32</v>
      </c>
      <c r="AC219" s="181">
        <f t="shared" si="37"/>
        <v>13513.6</v>
      </c>
      <c r="AD219" s="181">
        <v>1.5</v>
      </c>
      <c r="AE219" s="181">
        <v>1.5</v>
      </c>
      <c r="AF219" s="101" t="str">
        <f t="shared" si="42"/>
        <v/>
      </c>
      <c r="AG219" s="190">
        <v>0</v>
      </c>
      <c r="AH219" s="69">
        <f t="shared" si="43"/>
        <v>32</v>
      </c>
    </row>
    <row r="220" spans="1:34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/>
      <c r="I220" s="82">
        <v>11661827.369999999</v>
      </c>
      <c r="J220" s="94" t="s">
        <v>15</v>
      </c>
      <c r="K220" s="73"/>
      <c r="L220" s="45">
        <v>1</v>
      </c>
      <c r="M220" s="45">
        <v>0</v>
      </c>
      <c r="N220" s="45">
        <v>1263733.5900000001</v>
      </c>
      <c r="O220" s="98"/>
      <c r="P220" s="18" t="s">
        <v>1394</v>
      </c>
      <c r="Q220" s="19" t="s">
        <v>562</v>
      </c>
      <c r="R220" s="20" t="s">
        <v>14</v>
      </c>
      <c r="S220" s="21">
        <v>1</v>
      </c>
      <c r="T220" s="21"/>
      <c r="U220" s="21">
        <f>SUMIFS(AC:AC,AD:AD,AD220)</f>
        <v>11661827.369999999</v>
      </c>
      <c r="V220" s="21">
        <f t="shared" ref="V220:W220" si="45">IF(X220=0,0,1)</f>
        <v>0</v>
      </c>
      <c r="W220" s="21">
        <f t="shared" si="45"/>
        <v>1</v>
      </c>
      <c r="X220" s="21">
        <f>SUMIFS(X:X,AE:AE,AD220)</f>
        <v>0</v>
      </c>
      <c r="Y220" s="21">
        <f>SUMIFS(Y:Y,AE:AE,AD220)</f>
        <v>1263733.5900000001</v>
      </c>
      <c r="Z220" s="22" t="s">
        <v>15</v>
      </c>
      <c r="AA220" s="43" t="s">
        <v>16</v>
      </c>
      <c r="AB220" s="181">
        <f t="shared" si="41"/>
        <v>1</v>
      </c>
      <c r="AC220" s="184"/>
      <c r="AD220" s="184">
        <v>1.6</v>
      </c>
      <c r="AE220" s="184"/>
      <c r="AF220" s="101" t="str">
        <f t="shared" si="42"/>
        <v/>
      </c>
      <c r="AG220" s="190">
        <v>1</v>
      </c>
      <c r="AH220" s="69">
        <f t="shared" si="43"/>
        <v>1</v>
      </c>
    </row>
    <row r="221" spans="1:34" s="69" customFormat="1" ht="39" x14ac:dyDescent="0.3">
      <c r="A221" s="55" t="s">
        <v>563</v>
      </c>
      <c r="B221" s="53" t="s">
        <v>564</v>
      </c>
      <c r="C221" s="54" t="s">
        <v>23</v>
      </c>
      <c r="D221" s="75">
        <v>256</v>
      </c>
      <c r="E221" s="75"/>
      <c r="F221" s="75"/>
      <c r="G221" s="75"/>
      <c r="H221" s="75">
        <v>7517.56</v>
      </c>
      <c r="I221" s="75">
        <v>1924495.3600000001</v>
      </c>
      <c r="J221" s="91" t="s">
        <v>565</v>
      </c>
      <c r="K221" s="73"/>
      <c r="L221" s="46">
        <v>99.1</v>
      </c>
      <c r="M221" s="46">
        <v>0</v>
      </c>
      <c r="N221" s="46">
        <v>744990.2</v>
      </c>
      <c r="O221" s="98"/>
      <c r="P221" s="23" t="s">
        <v>1421</v>
      </c>
      <c r="Q221" s="24" t="s">
        <v>564</v>
      </c>
      <c r="R221" s="25" t="s">
        <v>23</v>
      </c>
      <c r="S221" s="26">
        <v>256</v>
      </c>
      <c r="T221" s="26"/>
      <c r="U221" s="26">
        <v>7517.56</v>
      </c>
      <c r="V221" s="128">
        <f t="shared" ref="V221:V236" si="46">AG221-L221</f>
        <v>0</v>
      </c>
      <c r="W221" s="26">
        <f t="shared" si="35"/>
        <v>99.1</v>
      </c>
      <c r="X221" s="26">
        <f t="shared" ref="X221:X236" si="47">Y221-N221</f>
        <v>0</v>
      </c>
      <c r="Y221" s="26">
        <f t="shared" si="44"/>
        <v>744990.2</v>
      </c>
      <c r="Z221" s="33" t="s">
        <v>15</v>
      </c>
      <c r="AA221" s="36" t="s">
        <v>16</v>
      </c>
      <c r="AB221" s="181">
        <f t="shared" si="41"/>
        <v>256</v>
      </c>
      <c r="AC221" s="181">
        <f t="shared" ref="AC221:AC236" si="48">ROUND(U221*AB221,2)</f>
        <v>1924495.3600000001</v>
      </c>
      <c r="AD221" s="181">
        <v>1.6</v>
      </c>
      <c r="AE221" s="181">
        <v>1.6</v>
      </c>
      <c r="AF221" s="101" t="str">
        <f t="shared" si="42"/>
        <v/>
      </c>
      <c r="AG221" s="191">
        <f>69.6+29.5</f>
        <v>99.1</v>
      </c>
      <c r="AH221" s="69">
        <f t="shared" si="43"/>
        <v>256</v>
      </c>
    </row>
    <row r="222" spans="1:34" s="69" customFormat="1" ht="39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7496.96</v>
      </c>
      <c r="I222" s="75">
        <v>5742671.3600000003</v>
      </c>
      <c r="J222" s="91" t="s">
        <v>568</v>
      </c>
      <c r="K222" s="73"/>
      <c r="L222" s="46">
        <v>62.3</v>
      </c>
      <c r="M222" s="46">
        <v>0</v>
      </c>
      <c r="N222" s="46">
        <v>467060.61</v>
      </c>
      <c r="O222" s="98"/>
      <c r="P222" s="23" t="s">
        <v>1426</v>
      </c>
      <c r="Q222" s="24" t="s">
        <v>567</v>
      </c>
      <c r="R222" s="25" t="s">
        <v>23</v>
      </c>
      <c r="S222" s="26">
        <v>766</v>
      </c>
      <c r="T222" s="26"/>
      <c r="U222" s="26">
        <v>7496.96</v>
      </c>
      <c r="V222" s="128">
        <f t="shared" si="46"/>
        <v>0</v>
      </c>
      <c r="W222" s="26">
        <f t="shared" si="35"/>
        <v>62.3</v>
      </c>
      <c r="X222" s="26">
        <f t="shared" si="47"/>
        <v>0</v>
      </c>
      <c r="Y222" s="26">
        <f t="shared" si="44"/>
        <v>467060.61</v>
      </c>
      <c r="Z222" s="33" t="s">
        <v>15</v>
      </c>
      <c r="AA222" s="36" t="s">
        <v>16</v>
      </c>
      <c r="AB222" s="181">
        <f t="shared" si="41"/>
        <v>766</v>
      </c>
      <c r="AC222" s="181">
        <f t="shared" si="48"/>
        <v>5742671.3600000003</v>
      </c>
      <c r="AD222" s="181">
        <v>1.6</v>
      </c>
      <c r="AE222" s="181">
        <v>1.6</v>
      </c>
      <c r="AF222" s="101" t="str">
        <f t="shared" si="42"/>
        <v/>
      </c>
      <c r="AG222" s="191">
        <f>23.2+39.1</f>
        <v>62.3</v>
      </c>
      <c r="AH222" s="69">
        <f t="shared" si="43"/>
        <v>766</v>
      </c>
    </row>
    <row r="223" spans="1:34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>
        <v>11.6</v>
      </c>
      <c r="I223" s="75">
        <v>59194.8</v>
      </c>
      <c r="J223" s="91" t="s">
        <v>571</v>
      </c>
      <c r="K223" s="73"/>
      <c r="L223" s="46">
        <v>0</v>
      </c>
      <c r="M223" s="46">
        <v>0</v>
      </c>
      <c r="N223" s="46">
        <v>0</v>
      </c>
      <c r="O223" s="98"/>
      <c r="P223" s="23" t="s">
        <v>1402</v>
      </c>
      <c r="Q223" s="24" t="s">
        <v>570</v>
      </c>
      <c r="R223" s="25" t="s">
        <v>50</v>
      </c>
      <c r="S223" s="26">
        <v>5103</v>
      </c>
      <c r="T223" s="26"/>
      <c r="U223" s="26">
        <v>11.6</v>
      </c>
      <c r="V223" s="26">
        <f t="shared" si="46"/>
        <v>0</v>
      </c>
      <c r="W223" s="26">
        <f t="shared" si="35"/>
        <v>0</v>
      </c>
      <c r="X223" s="26">
        <f t="shared" si="47"/>
        <v>0</v>
      </c>
      <c r="Y223" s="26">
        <f t="shared" si="44"/>
        <v>0</v>
      </c>
      <c r="Z223" s="33" t="s">
        <v>15</v>
      </c>
      <c r="AA223" s="36" t="s">
        <v>16</v>
      </c>
      <c r="AB223" s="181">
        <f t="shared" si="41"/>
        <v>5103</v>
      </c>
      <c r="AC223" s="181">
        <f t="shared" si="48"/>
        <v>59194.8</v>
      </c>
      <c r="AD223" s="181">
        <v>1.6</v>
      </c>
      <c r="AE223" s="181">
        <v>1.6</v>
      </c>
      <c r="AF223" s="101" t="str">
        <f t="shared" si="42"/>
        <v/>
      </c>
      <c r="AG223" s="190">
        <v>0</v>
      </c>
      <c r="AH223" s="69">
        <f t="shared" si="43"/>
        <v>5103</v>
      </c>
    </row>
    <row r="224" spans="1:34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42.46</v>
      </c>
      <c r="I224" s="75">
        <v>216673.38</v>
      </c>
      <c r="J224" s="91" t="s">
        <v>574</v>
      </c>
      <c r="K224" s="73"/>
      <c r="L224" s="46">
        <v>1021</v>
      </c>
      <c r="M224" s="46">
        <v>0</v>
      </c>
      <c r="N224" s="46">
        <v>43351.66</v>
      </c>
      <c r="O224" s="98"/>
      <c r="P224" s="23" t="s">
        <v>1373</v>
      </c>
      <c r="Q224" s="24" t="s">
        <v>573</v>
      </c>
      <c r="R224" s="25" t="s">
        <v>50</v>
      </c>
      <c r="S224" s="26">
        <v>5103</v>
      </c>
      <c r="T224" s="26"/>
      <c r="U224" s="26">
        <v>42.46</v>
      </c>
      <c r="V224" s="128">
        <f t="shared" si="46"/>
        <v>0</v>
      </c>
      <c r="W224" s="26">
        <f t="shared" si="35"/>
        <v>1021</v>
      </c>
      <c r="X224" s="26">
        <f t="shared" si="47"/>
        <v>0</v>
      </c>
      <c r="Y224" s="26">
        <f t="shared" si="44"/>
        <v>43351.66</v>
      </c>
      <c r="Z224" s="33" t="s">
        <v>15</v>
      </c>
      <c r="AA224" s="36" t="s">
        <v>16</v>
      </c>
      <c r="AB224" s="181">
        <f t="shared" si="41"/>
        <v>5103</v>
      </c>
      <c r="AC224" s="181">
        <f t="shared" si="48"/>
        <v>216673.38</v>
      </c>
      <c r="AD224" s="181">
        <v>1.6</v>
      </c>
      <c r="AE224" s="181">
        <v>1.6</v>
      </c>
      <c r="AF224" s="101" t="str">
        <f t="shared" si="42"/>
        <v/>
      </c>
      <c r="AG224" s="191">
        <f>696+325</f>
        <v>1021</v>
      </c>
      <c r="AH224" s="69">
        <f t="shared" si="43"/>
        <v>5103</v>
      </c>
    </row>
    <row r="225" spans="1:34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15.96</v>
      </c>
      <c r="I225" s="75">
        <v>244299.72</v>
      </c>
      <c r="J225" s="91" t="s">
        <v>577</v>
      </c>
      <c r="K225" s="73"/>
      <c r="L225" s="46">
        <v>522</v>
      </c>
      <c r="M225" s="46">
        <v>0</v>
      </c>
      <c r="N225" s="46">
        <v>8331.1200000000008</v>
      </c>
      <c r="O225" s="98"/>
      <c r="P225" s="23" t="s">
        <v>1393</v>
      </c>
      <c r="Q225" s="24" t="s">
        <v>576</v>
      </c>
      <c r="R225" s="25" t="s">
        <v>50</v>
      </c>
      <c r="S225" s="26">
        <v>15307</v>
      </c>
      <c r="T225" s="26"/>
      <c r="U225" s="26">
        <v>15.96</v>
      </c>
      <c r="V225" s="128">
        <f t="shared" si="46"/>
        <v>0</v>
      </c>
      <c r="W225" s="26">
        <f t="shared" si="35"/>
        <v>522</v>
      </c>
      <c r="X225" s="26">
        <f t="shared" si="47"/>
        <v>0</v>
      </c>
      <c r="Y225" s="26">
        <f t="shared" si="44"/>
        <v>8331.1200000000008</v>
      </c>
      <c r="Z225" s="33" t="s">
        <v>15</v>
      </c>
      <c r="AA225" s="36" t="s">
        <v>16</v>
      </c>
      <c r="AB225" s="181">
        <f t="shared" si="41"/>
        <v>15307</v>
      </c>
      <c r="AC225" s="181">
        <f t="shared" si="48"/>
        <v>244299.72</v>
      </c>
      <c r="AD225" s="181">
        <v>1.6</v>
      </c>
      <c r="AE225" s="181">
        <v>1.6</v>
      </c>
      <c r="AF225" s="101" t="str">
        <f t="shared" si="42"/>
        <v/>
      </c>
      <c r="AG225" s="191">
        <f>522</f>
        <v>522</v>
      </c>
      <c r="AH225" s="69">
        <f t="shared" si="43"/>
        <v>15307</v>
      </c>
    </row>
    <row r="226" spans="1:34" s="69" customFormat="1" ht="39" x14ac:dyDescent="0.3">
      <c r="A226" s="55" t="s">
        <v>578</v>
      </c>
      <c r="B226" s="53" t="s">
        <v>392</v>
      </c>
      <c r="C226" s="54" t="s">
        <v>23</v>
      </c>
      <c r="D226" s="75">
        <v>24</v>
      </c>
      <c r="E226" s="75"/>
      <c r="F226" s="75"/>
      <c r="G226" s="75"/>
      <c r="H226" s="75">
        <v>3115.13</v>
      </c>
      <c r="I226" s="75">
        <v>74763.12</v>
      </c>
      <c r="J226" s="91" t="s">
        <v>114</v>
      </c>
      <c r="K226" s="73"/>
      <c r="L226" s="46">
        <v>0</v>
      </c>
      <c r="M226" s="46">
        <v>0</v>
      </c>
      <c r="N226" s="46">
        <v>0</v>
      </c>
      <c r="O226" s="98"/>
      <c r="P226" s="23" t="s">
        <v>1403</v>
      </c>
      <c r="Q226" s="24" t="s">
        <v>392</v>
      </c>
      <c r="R226" s="25" t="s">
        <v>23</v>
      </c>
      <c r="S226" s="26">
        <v>24</v>
      </c>
      <c r="T226" s="26"/>
      <c r="U226" s="26">
        <v>3115.13</v>
      </c>
      <c r="V226" s="26">
        <f t="shared" si="46"/>
        <v>0</v>
      </c>
      <c r="W226" s="26">
        <f t="shared" si="35"/>
        <v>0</v>
      </c>
      <c r="X226" s="26">
        <f t="shared" si="47"/>
        <v>0</v>
      </c>
      <c r="Y226" s="26">
        <f t="shared" si="44"/>
        <v>0</v>
      </c>
      <c r="Z226" s="33" t="s">
        <v>15</v>
      </c>
      <c r="AA226" s="36" t="s">
        <v>16</v>
      </c>
      <c r="AB226" s="181">
        <f t="shared" si="41"/>
        <v>24</v>
      </c>
      <c r="AC226" s="181">
        <f t="shared" si="48"/>
        <v>74763.12</v>
      </c>
      <c r="AD226" s="181">
        <v>1.6</v>
      </c>
      <c r="AE226" s="181">
        <v>1.6</v>
      </c>
      <c r="AF226" s="101" t="str">
        <f t="shared" si="42"/>
        <v/>
      </c>
      <c r="AG226" s="190">
        <v>0</v>
      </c>
      <c r="AH226" s="69">
        <f t="shared" si="43"/>
        <v>24</v>
      </c>
    </row>
    <row r="227" spans="1:34" s="69" customFormat="1" ht="39" x14ac:dyDescent="0.3">
      <c r="A227" s="55" t="s">
        <v>579</v>
      </c>
      <c r="B227" s="53" t="s">
        <v>116</v>
      </c>
      <c r="C227" s="54" t="s">
        <v>23</v>
      </c>
      <c r="D227" s="75">
        <v>237</v>
      </c>
      <c r="E227" s="75"/>
      <c r="F227" s="75"/>
      <c r="G227" s="75"/>
      <c r="H227" s="75">
        <v>3321.13</v>
      </c>
      <c r="I227" s="75">
        <v>787107.81</v>
      </c>
      <c r="J227" s="91" t="s">
        <v>117</v>
      </c>
      <c r="K227" s="73"/>
      <c r="L227" s="46">
        <v>0</v>
      </c>
      <c r="M227" s="46">
        <v>0</v>
      </c>
      <c r="N227" s="46">
        <v>0</v>
      </c>
      <c r="O227" s="98"/>
      <c r="P227" s="23" t="s">
        <v>1427</v>
      </c>
      <c r="Q227" s="24" t="s">
        <v>116</v>
      </c>
      <c r="R227" s="25" t="s">
        <v>23</v>
      </c>
      <c r="S227" s="26">
        <v>237</v>
      </c>
      <c r="T227" s="26"/>
      <c r="U227" s="26">
        <v>3321.13</v>
      </c>
      <c r="V227" s="26">
        <f t="shared" si="46"/>
        <v>0</v>
      </c>
      <c r="W227" s="26">
        <f t="shared" si="35"/>
        <v>0</v>
      </c>
      <c r="X227" s="26">
        <f t="shared" si="47"/>
        <v>0</v>
      </c>
      <c r="Y227" s="26">
        <f t="shared" si="44"/>
        <v>0</v>
      </c>
      <c r="Z227" s="33" t="s">
        <v>15</v>
      </c>
      <c r="AA227" s="36" t="s">
        <v>16</v>
      </c>
      <c r="AB227" s="181">
        <f t="shared" si="41"/>
        <v>237</v>
      </c>
      <c r="AC227" s="181">
        <f t="shared" si="48"/>
        <v>787107.81</v>
      </c>
      <c r="AD227" s="181">
        <v>1.6</v>
      </c>
      <c r="AE227" s="181">
        <v>1.6</v>
      </c>
      <c r="AF227" s="101" t="str">
        <f t="shared" si="42"/>
        <v/>
      </c>
      <c r="AG227" s="190">
        <v>0</v>
      </c>
      <c r="AH227" s="69">
        <f t="shared" si="43"/>
        <v>237</v>
      </c>
    </row>
    <row r="228" spans="1:34" s="69" customFormat="1" ht="39" x14ac:dyDescent="0.3">
      <c r="A228" s="55" t="s">
        <v>580</v>
      </c>
      <c r="B228" s="53" t="s">
        <v>493</v>
      </c>
      <c r="C228" s="54" t="s">
        <v>23</v>
      </c>
      <c r="D228" s="75">
        <v>261</v>
      </c>
      <c r="E228" s="75"/>
      <c r="F228" s="75"/>
      <c r="G228" s="75"/>
      <c r="H228" s="75">
        <v>200</v>
      </c>
      <c r="I228" s="75">
        <v>52200</v>
      </c>
      <c r="J228" s="91" t="s">
        <v>494</v>
      </c>
      <c r="K228" s="73"/>
      <c r="L228" s="46">
        <v>0</v>
      </c>
      <c r="M228" s="46">
        <v>0</v>
      </c>
      <c r="N228" s="46">
        <v>0</v>
      </c>
      <c r="O228" s="98"/>
      <c r="P228" s="23" t="s">
        <v>1428</v>
      </c>
      <c r="Q228" s="24" t="s">
        <v>493</v>
      </c>
      <c r="R228" s="25" t="s">
        <v>23</v>
      </c>
      <c r="S228" s="26">
        <v>261</v>
      </c>
      <c r="T228" s="26"/>
      <c r="U228" s="26">
        <v>200</v>
      </c>
      <c r="V228" s="26">
        <f t="shared" si="46"/>
        <v>0</v>
      </c>
      <c r="W228" s="26">
        <f t="shared" si="35"/>
        <v>0</v>
      </c>
      <c r="X228" s="26">
        <f t="shared" si="47"/>
        <v>0</v>
      </c>
      <c r="Y228" s="26">
        <f t="shared" si="44"/>
        <v>0</v>
      </c>
      <c r="Z228" s="33" t="s">
        <v>15</v>
      </c>
      <c r="AA228" s="36" t="s">
        <v>16</v>
      </c>
      <c r="AB228" s="181">
        <f t="shared" si="41"/>
        <v>261</v>
      </c>
      <c r="AC228" s="181">
        <f t="shared" si="48"/>
        <v>52200</v>
      </c>
      <c r="AD228" s="181">
        <v>1.6</v>
      </c>
      <c r="AE228" s="181">
        <v>1.6</v>
      </c>
      <c r="AF228" s="101" t="str">
        <f t="shared" si="42"/>
        <v/>
      </c>
      <c r="AG228" s="190">
        <v>0</v>
      </c>
      <c r="AH228" s="69">
        <f t="shared" si="43"/>
        <v>261</v>
      </c>
    </row>
    <row r="229" spans="1:34" s="69" customFormat="1" ht="33" x14ac:dyDescent="0.3">
      <c r="A229" s="55" t="s">
        <v>581</v>
      </c>
      <c r="B229" s="53" t="s">
        <v>582</v>
      </c>
      <c r="C229" s="54" t="s">
        <v>50</v>
      </c>
      <c r="D229" s="75">
        <v>745</v>
      </c>
      <c r="E229" s="75"/>
      <c r="F229" s="75"/>
      <c r="G229" s="75"/>
      <c r="H229" s="75">
        <v>698.31</v>
      </c>
      <c r="I229" s="75">
        <v>520240.95</v>
      </c>
      <c r="J229" s="91" t="s">
        <v>583</v>
      </c>
      <c r="K229" s="73"/>
      <c r="L229" s="46">
        <v>0</v>
      </c>
      <c r="M229" s="46">
        <v>0</v>
      </c>
      <c r="N229" s="46">
        <v>0</v>
      </c>
      <c r="O229" s="98"/>
      <c r="P229" s="23" t="s">
        <v>1387</v>
      </c>
      <c r="Q229" s="24" t="s">
        <v>582</v>
      </c>
      <c r="R229" s="25" t="s">
        <v>50</v>
      </c>
      <c r="S229" s="26">
        <v>745</v>
      </c>
      <c r="T229" s="26"/>
      <c r="U229" s="26">
        <v>698.31</v>
      </c>
      <c r="V229" s="26">
        <f t="shared" si="46"/>
        <v>0</v>
      </c>
      <c r="W229" s="26">
        <f t="shared" si="35"/>
        <v>0</v>
      </c>
      <c r="X229" s="26">
        <f t="shared" si="47"/>
        <v>0</v>
      </c>
      <c r="Y229" s="26">
        <f t="shared" si="44"/>
        <v>0</v>
      </c>
      <c r="Z229" s="33" t="s">
        <v>15</v>
      </c>
      <c r="AA229" s="36" t="s">
        <v>16</v>
      </c>
      <c r="AB229" s="181">
        <f t="shared" si="41"/>
        <v>745</v>
      </c>
      <c r="AC229" s="181">
        <f t="shared" si="48"/>
        <v>520240.95</v>
      </c>
      <c r="AD229" s="181">
        <v>1.6</v>
      </c>
      <c r="AE229" s="181">
        <v>1.6</v>
      </c>
      <c r="AF229" s="101" t="str">
        <f t="shared" si="42"/>
        <v/>
      </c>
      <c r="AG229" s="190">
        <v>0</v>
      </c>
      <c r="AH229" s="69">
        <f t="shared" si="43"/>
        <v>745</v>
      </c>
    </row>
    <row r="230" spans="1:34" s="69" customFormat="1" ht="41.25" x14ac:dyDescent="0.3">
      <c r="A230" s="55" t="s">
        <v>584</v>
      </c>
      <c r="B230" s="53" t="s">
        <v>119</v>
      </c>
      <c r="C230" s="54" t="s">
        <v>50</v>
      </c>
      <c r="D230" s="75">
        <v>915</v>
      </c>
      <c r="E230" s="75"/>
      <c r="F230" s="75"/>
      <c r="G230" s="75"/>
      <c r="H230" s="75">
        <v>533.64</v>
      </c>
      <c r="I230" s="75">
        <v>488280.6</v>
      </c>
      <c r="J230" s="91" t="s">
        <v>120</v>
      </c>
      <c r="K230" s="73"/>
      <c r="L230" s="46">
        <v>0</v>
      </c>
      <c r="M230" s="46">
        <v>0</v>
      </c>
      <c r="N230" s="46">
        <v>0</v>
      </c>
      <c r="O230" s="98"/>
      <c r="P230" s="23" t="s">
        <v>1405</v>
      </c>
      <c r="Q230" s="24" t="s">
        <v>119</v>
      </c>
      <c r="R230" s="25" t="s">
        <v>50</v>
      </c>
      <c r="S230" s="26">
        <v>915</v>
      </c>
      <c r="T230" s="26"/>
      <c r="U230" s="26">
        <v>533.64</v>
      </c>
      <c r="V230" s="26">
        <f t="shared" si="46"/>
        <v>0</v>
      </c>
      <c r="W230" s="26">
        <f t="shared" si="35"/>
        <v>0</v>
      </c>
      <c r="X230" s="26">
        <f t="shared" si="47"/>
        <v>0</v>
      </c>
      <c r="Y230" s="26">
        <f t="shared" si="44"/>
        <v>0</v>
      </c>
      <c r="Z230" s="33" t="s">
        <v>15</v>
      </c>
      <c r="AA230" s="36" t="s">
        <v>16</v>
      </c>
      <c r="AB230" s="181">
        <f t="shared" si="41"/>
        <v>915</v>
      </c>
      <c r="AC230" s="181">
        <f t="shared" si="48"/>
        <v>488280.6</v>
      </c>
      <c r="AD230" s="181">
        <v>1.6</v>
      </c>
      <c r="AE230" s="181">
        <v>1.6</v>
      </c>
      <c r="AF230" s="101" t="str">
        <f t="shared" si="42"/>
        <v/>
      </c>
      <c r="AG230" s="190">
        <v>0</v>
      </c>
      <c r="AH230" s="69">
        <f t="shared" si="43"/>
        <v>915</v>
      </c>
    </row>
    <row r="231" spans="1:34" s="69" customFormat="1" ht="33" x14ac:dyDescent="0.3">
      <c r="A231" s="55" t="s">
        <v>585</v>
      </c>
      <c r="B231" s="53" t="s">
        <v>109</v>
      </c>
      <c r="C231" s="54" t="s">
        <v>110</v>
      </c>
      <c r="D231" s="75">
        <v>9227</v>
      </c>
      <c r="E231" s="75"/>
      <c r="F231" s="75"/>
      <c r="G231" s="75"/>
      <c r="H231" s="75">
        <v>36.4</v>
      </c>
      <c r="I231" s="75">
        <v>335862.8</v>
      </c>
      <c r="J231" s="91" t="s">
        <v>111</v>
      </c>
      <c r="K231" s="73"/>
      <c r="L231" s="46">
        <v>0</v>
      </c>
      <c r="M231" s="46">
        <v>0</v>
      </c>
      <c r="N231" s="46">
        <v>0</v>
      </c>
      <c r="O231" s="98"/>
      <c r="P231" s="23" t="s">
        <v>1406</v>
      </c>
      <c r="Q231" s="24" t="s">
        <v>109</v>
      </c>
      <c r="R231" s="25" t="s">
        <v>110</v>
      </c>
      <c r="S231" s="26">
        <v>9227</v>
      </c>
      <c r="T231" s="26"/>
      <c r="U231" s="26">
        <v>36.4</v>
      </c>
      <c r="V231" s="26">
        <f t="shared" si="46"/>
        <v>0</v>
      </c>
      <c r="W231" s="26">
        <f t="shared" si="35"/>
        <v>0</v>
      </c>
      <c r="X231" s="26">
        <f t="shared" si="47"/>
        <v>0</v>
      </c>
      <c r="Y231" s="26">
        <f t="shared" si="44"/>
        <v>0</v>
      </c>
      <c r="Z231" s="33" t="s">
        <v>15</v>
      </c>
      <c r="AA231" s="36" t="s">
        <v>16</v>
      </c>
      <c r="AB231" s="181">
        <f t="shared" si="41"/>
        <v>9227</v>
      </c>
      <c r="AC231" s="181">
        <f t="shared" si="48"/>
        <v>335862.8</v>
      </c>
      <c r="AD231" s="181">
        <v>1.6</v>
      </c>
      <c r="AE231" s="181">
        <v>1.6</v>
      </c>
      <c r="AF231" s="101" t="str">
        <f t="shared" si="42"/>
        <v/>
      </c>
      <c r="AG231" s="190">
        <v>0</v>
      </c>
      <c r="AH231" s="69">
        <f t="shared" si="43"/>
        <v>9227</v>
      </c>
    </row>
    <row r="232" spans="1:34" s="69" customFormat="1" ht="39" x14ac:dyDescent="0.3">
      <c r="A232" s="55" t="s">
        <v>586</v>
      </c>
      <c r="B232" s="53" t="s">
        <v>587</v>
      </c>
      <c r="C232" s="54" t="s">
        <v>513</v>
      </c>
      <c r="D232" s="75">
        <v>189</v>
      </c>
      <c r="E232" s="75"/>
      <c r="F232" s="75"/>
      <c r="G232" s="75"/>
      <c r="H232" s="75">
        <v>40</v>
      </c>
      <c r="I232" s="75">
        <v>7560</v>
      </c>
      <c r="J232" s="91" t="s">
        <v>588</v>
      </c>
      <c r="K232" s="73"/>
      <c r="L232" s="46">
        <v>0</v>
      </c>
      <c r="M232" s="46">
        <v>0</v>
      </c>
      <c r="N232" s="46">
        <v>0</v>
      </c>
      <c r="O232" s="98"/>
      <c r="P232" s="23" t="s">
        <v>1414</v>
      </c>
      <c r="Q232" s="24" t="s">
        <v>587</v>
      </c>
      <c r="R232" s="25" t="s">
        <v>513</v>
      </c>
      <c r="S232" s="26">
        <v>189</v>
      </c>
      <c r="T232" s="26"/>
      <c r="U232" s="26">
        <v>40</v>
      </c>
      <c r="V232" s="26">
        <f t="shared" si="46"/>
        <v>0</v>
      </c>
      <c r="W232" s="26">
        <f t="shared" si="35"/>
        <v>0</v>
      </c>
      <c r="X232" s="26">
        <f t="shared" si="47"/>
        <v>0</v>
      </c>
      <c r="Y232" s="26">
        <f t="shared" si="44"/>
        <v>0</v>
      </c>
      <c r="Z232" s="33" t="s">
        <v>15</v>
      </c>
      <c r="AA232" s="36" t="s">
        <v>16</v>
      </c>
      <c r="AB232" s="181">
        <f t="shared" si="41"/>
        <v>189</v>
      </c>
      <c r="AC232" s="181">
        <f t="shared" si="48"/>
        <v>7560</v>
      </c>
      <c r="AD232" s="181">
        <v>1.6</v>
      </c>
      <c r="AE232" s="181">
        <v>1.6</v>
      </c>
      <c r="AF232" s="101" t="str">
        <f t="shared" si="42"/>
        <v/>
      </c>
      <c r="AG232" s="190">
        <v>0</v>
      </c>
      <c r="AH232" s="69">
        <f t="shared" si="43"/>
        <v>189</v>
      </c>
    </row>
    <row r="233" spans="1:34" s="69" customFormat="1" ht="39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>
        <v>3615.3</v>
      </c>
      <c r="I233" s="75">
        <v>426605.4</v>
      </c>
      <c r="J233" s="91" t="s">
        <v>591</v>
      </c>
      <c r="K233" s="73"/>
      <c r="L233" s="46">
        <v>0</v>
      </c>
      <c r="M233" s="46">
        <v>0</v>
      </c>
      <c r="N233" s="46">
        <v>0</v>
      </c>
      <c r="O233" s="98"/>
      <c r="P233" s="23" t="s">
        <v>1429</v>
      </c>
      <c r="Q233" s="24" t="s">
        <v>590</v>
      </c>
      <c r="R233" s="25" t="s">
        <v>325</v>
      </c>
      <c r="S233" s="26">
        <v>118</v>
      </c>
      <c r="T233" s="26"/>
      <c r="U233" s="26">
        <v>3615.3</v>
      </c>
      <c r="V233" s="26">
        <f t="shared" si="46"/>
        <v>0</v>
      </c>
      <c r="W233" s="26">
        <f t="shared" si="35"/>
        <v>0</v>
      </c>
      <c r="X233" s="26">
        <f t="shared" si="47"/>
        <v>0</v>
      </c>
      <c r="Y233" s="26">
        <f t="shared" si="44"/>
        <v>0</v>
      </c>
      <c r="Z233" s="33" t="s">
        <v>15</v>
      </c>
      <c r="AA233" s="36" t="s">
        <v>16</v>
      </c>
      <c r="AB233" s="181">
        <f t="shared" si="41"/>
        <v>118</v>
      </c>
      <c r="AC233" s="181">
        <f t="shared" si="48"/>
        <v>426605.4</v>
      </c>
      <c r="AD233" s="181">
        <v>1.6</v>
      </c>
      <c r="AE233" s="181">
        <v>1.6</v>
      </c>
      <c r="AF233" s="101" t="str">
        <f t="shared" si="42"/>
        <v/>
      </c>
      <c r="AG233" s="190">
        <v>0</v>
      </c>
      <c r="AH233" s="69">
        <f t="shared" si="43"/>
        <v>118</v>
      </c>
    </row>
    <row r="234" spans="1:34" s="69" customFormat="1" ht="39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>
        <v>113.98</v>
      </c>
      <c r="I234" s="75">
        <v>316066.53999999998</v>
      </c>
      <c r="J234" s="91" t="s">
        <v>594</v>
      </c>
      <c r="K234" s="73"/>
      <c r="L234" s="46">
        <v>0</v>
      </c>
      <c r="M234" s="46">
        <v>0</v>
      </c>
      <c r="N234" s="46">
        <v>0</v>
      </c>
      <c r="O234" s="98"/>
      <c r="P234" s="23" t="s">
        <v>1430</v>
      </c>
      <c r="Q234" s="24" t="s">
        <v>593</v>
      </c>
      <c r="R234" s="25" t="s">
        <v>110</v>
      </c>
      <c r="S234" s="26">
        <v>2773</v>
      </c>
      <c r="T234" s="26"/>
      <c r="U234" s="26">
        <v>113.98</v>
      </c>
      <c r="V234" s="26">
        <f t="shared" si="46"/>
        <v>0</v>
      </c>
      <c r="W234" s="26">
        <f t="shared" si="35"/>
        <v>0</v>
      </c>
      <c r="X234" s="26">
        <f t="shared" si="47"/>
        <v>0</v>
      </c>
      <c r="Y234" s="26">
        <f t="shared" si="44"/>
        <v>0</v>
      </c>
      <c r="Z234" s="33" t="s">
        <v>15</v>
      </c>
      <c r="AA234" s="36" t="s">
        <v>16</v>
      </c>
      <c r="AB234" s="181">
        <f t="shared" si="41"/>
        <v>2773</v>
      </c>
      <c r="AC234" s="181">
        <f t="shared" si="48"/>
        <v>316066.53999999998</v>
      </c>
      <c r="AD234" s="181">
        <v>1.6</v>
      </c>
      <c r="AE234" s="181">
        <v>1.6</v>
      </c>
      <c r="AF234" s="101" t="str">
        <f t="shared" si="42"/>
        <v/>
      </c>
      <c r="AG234" s="190">
        <v>0</v>
      </c>
      <c r="AH234" s="69">
        <f t="shared" si="43"/>
        <v>2773</v>
      </c>
    </row>
    <row r="235" spans="1:34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5">
        <v>138.84</v>
      </c>
      <c r="I235" s="75">
        <v>15550.08</v>
      </c>
      <c r="J235" s="91" t="s">
        <v>190</v>
      </c>
      <c r="K235" s="73"/>
      <c r="L235" s="46">
        <v>0</v>
      </c>
      <c r="M235" s="46">
        <v>0</v>
      </c>
      <c r="N235" s="46">
        <v>0</v>
      </c>
      <c r="O235" s="98"/>
      <c r="P235" s="23" t="s">
        <v>1431</v>
      </c>
      <c r="Q235" s="24" t="s">
        <v>189</v>
      </c>
      <c r="R235" s="25" t="s">
        <v>30</v>
      </c>
      <c r="S235" s="26">
        <v>112</v>
      </c>
      <c r="T235" s="26"/>
      <c r="U235" s="26">
        <v>138.84</v>
      </c>
      <c r="V235" s="26">
        <f t="shared" si="46"/>
        <v>0</v>
      </c>
      <c r="W235" s="26">
        <f t="shared" si="35"/>
        <v>0</v>
      </c>
      <c r="X235" s="26">
        <f t="shared" si="47"/>
        <v>0</v>
      </c>
      <c r="Y235" s="26">
        <f t="shared" si="44"/>
        <v>0</v>
      </c>
      <c r="Z235" s="33" t="s">
        <v>15</v>
      </c>
      <c r="AA235" s="36" t="s">
        <v>16</v>
      </c>
      <c r="AB235" s="181">
        <f t="shared" si="41"/>
        <v>112</v>
      </c>
      <c r="AC235" s="181">
        <f t="shared" si="48"/>
        <v>15550.08</v>
      </c>
      <c r="AD235" s="181">
        <v>1.6</v>
      </c>
      <c r="AE235" s="181">
        <v>1.6</v>
      </c>
      <c r="AF235" s="101" t="str">
        <f t="shared" si="42"/>
        <v/>
      </c>
      <c r="AG235" s="190">
        <v>0</v>
      </c>
      <c r="AH235" s="69">
        <f t="shared" si="43"/>
        <v>112</v>
      </c>
    </row>
    <row r="236" spans="1:34" ht="39" x14ac:dyDescent="0.3">
      <c r="A236" s="67" t="s">
        <v>1334</v>
      </c>
      <c r="B236" s="64" t="s">
        <v>1335</v>
      </c>
      <c r="C236" s="61" t="s">
        <v>50</v>
      </c>
      <c r="D236" s="78"/>
      <c r="E236" s="78"/>
      <c r="F236" s="62">
        <v>518.22</v>
      </c>
      <c r="G236" s="140"/>
      <c r="H236" s="78">
        <v>868.85</v>
      </c>
      <c r="I236" s="62">
        <v>450255.45</v>
      </c>
      <c r="J236" s="93"/>
      <c r="L236" s="46">
        <v>0</v>
      </c>
      <c r="M236" s="46">
        <v>0</v>
      </c>
      <c r="N236" s="46">
        <v>0</v>
      </c>
      <c r="O236" s="98"/>
      <c r="P236" s="23" t="s">
        <v>1395</v>
      </c>
      <c r="Q236" s="24" t="s">
        <v>1396</v>
      </c>
      <c r="R236" s="25" t="s">
        <v>50</v>
      </c>
      <c r="S236" s="26">
        <v>0</v>
      </c>
      <c r="T236" s="26">
        <v>518.22</v>
      </c>
      <c r="U236" s="26">
        <v>868.85</v>
      </c>
      <c r="V236" s="26">
        <f t="shared" si="46"/>
        <v>0</v>
      </c>
      <c r="W236" s="26">
        <f t="shared" si="35"/>
        <v>0</v>
      </c>
      <c r="X236" s="26">
        <f t="shared" si="47"/>
        <v>0</v>
      </c>
      <c r="Y236" s="26">
        <f t="shared" si="44"/>
        <v>0</v>
      </c>
      <c r="Z236" s="27"/>
      <c r="AA236" s="36" t="s">
        <v>16</v>
      </c>
      <c r="AB236" s="181">
        <f t="shared" si="41"/>
        <v>518.22</v>
      </c>
      <c r="AC236" s="181">
        <f t="shared" si="48"/>
        <v>450255.45</v>
      </c>
      <c r="AD236" s="181">
        <v>1.6</v>
      </c>
      <c r="AE236" s="181">
        <v>1.6</v>
      </c>
      <c r="AF236" s="101" t="str">
        <f t="shared" si="42"/>
        <v/>
      </c>
      <c r="AG236" s="190">
        <v>0</v>
      </c>
      <c r="AH236" s="69">
        <f t="shared" si="43"/>
        <v>518.22</v>
      </c>
    </row>
    <row r="237" spans="1:34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2"/>
      <c r="I237" s="82">
        <v>7832216.5700000003</v>
      </c>
      <c r="J237" s="94" t="s">
        <v>15</v>
      </c>
      <c r="K237" s="73"/>
      <c r="L237" s="45">
        <v>1</v>
      </c>
      <c r="M237" s="45">
        <v>0</v>
      </c>
      <c r="N237" s="45">
        <v>2457617.2000000002</v>
      </c>
      <c r="O237" s="98"/>
      <c r="P237" s="18" t="s">
        <v>1397</v>
      </c>
      <c r="Q237" s="19" t="s">
        <v>597</v>
      </c>
      <c r="R237" s="20" t="s">
        <v>14</v>
      </c>
      <c r="S237" s="21">
        <v>1</v>
      </c>
      <c r="T237" s="21"/>
      <c r="U237" s="21">
        <f>SUMIFS(AC:AC,AD:AD,AD237)</f>
        <v>7832216.5699999994</v>
      </c>
      <c r="V237" s="21">
        <f t="shared" ref="V237:W237" si="49">IF(X237=0,0,1)</f>
        <v>0</v>
      </c>
      <c r="W237" s="21">
        <f t="shared" si="49"/>
        <v>1</v>
      </c>
      <c r="X237" s="21">
        <f>SUMIFS(X:X,AE:AE,AD237)</f>
        <v>0</v>
      </c>
      <c r="Y237" s="21">
        <f>SUMIFS(Y:Y,AE:AE,AD237)</f>
        <v>2457617.2000000002</v>
      </c>
      <c r="Z237" s="22" t="s">
        <v>15</v>
      </c>
      <c r="AA237" s="43" t="s">
        <v>16</v>
      </c>
      <c r="AB237" s="181">
        <f t="shared" si="41"/>
        <v>1</v>
      </c>
      <c r="AC237" s="184"/>
      <c r="AD237" s="184">
        <v>1.7</v>
      </c>
      <c r="AE237" s="184"/>
      <c r="AF237" s="101" t="str">
        <f t="shared" si="42"/>
        <v/>
      </c>
      <c r="AG237" s="190">
        <v>1</v>
      </c>
      <c r="AH237" s="69">
        <f t="shared" si="43"/>
        <v>1</v>
      </c>
    </row>
    <row r="238" spans="1:34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>
        <v>704.52</v>
      </c>
      <c r="I238" s="75">
        <v>1829427.08</v>
      </c>
      <c r="J238" s="91" t="s">
        <v>600</v>
      </c>
      <c r="K238" s="73"/>
      <c r="L238" s="46">
        <v>0</v>
      </c>
      <c r="M238" s="46">
        <v>0</v>
      </c>
      <c r="N238" s="46">
        <v>0</v>
      </c>
      <c r="O238" s="98"/>
      <c r="P238" s="23" t="s">
        <v>1421</v>
      </c>
      <c r="Q238" s="24" t="s">
        <v>599</v>
      </c>
      <c r="R238" s="25" t="s">
        <v>103</v>
      </c>
      <c r="S238" s="26">
        <v>2596.6999999999998</v>
      </c>
      <c r="T238" s="26"/>
      <c r="U238" s="26">
        <v>704.52</v>
      </c>
      <c r="V238" s="26">
        <f t="shared" ref="V238:V301" si="50">AG238-L238</f>
        <v>0</v>
      </c>
      <c r="W238" s="26">
        <f t="shared" si="35"/>
        <v>0</v>
      </c>
      <c r="X238" s="26">
        <f t="shared" ref="X238:X301" si="51">Y238-N238</f>
        <v>0</v>
      </c>
      <c r="Y238" s="26">
        <f t="shared" si="44"/>
        <v>0</v>
      </c>
      <c r="Z238" s="33" t="s">
        <v>15</v>
      </c>
      <c r="AA238" s="36" t="s">
        <v>16</v>
      </c>
      <c r="AB238" s="181">
        <f t="shared" si="41"/>
        <v>2596.6999999999998</v>
      </c>
      <c r="AC238" s="181">
        <f t="shared" ref="AC238:AC301" si="52">ROUND(U238*AB238,2)</f>
        <v>1829427.08</v>
      </c>
      <c r="AD238" s="181">
        <v>1.7</v>
      </c>
      <c r="AE238" s="181">
        <v>1.7</v>
      </c>
      <c r="AF238" s="101" t="str">
        <f t="shared" si="42"/>
        <v/>
      </c>
      <c r="AG238" s="190">
        <v>0</v>
      </c>
      <c r="AH238" s="69">
        <f t="shared" si="43"/>
        <v>2596.6999999999998</v>
      </c>
    </row>
    <row r="239" spans="1:34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>
        <v>400</v>
      </c>
      <c r="I239" s="75">
        <v>50400</v>
      </c>
      <c r="J239" s="91" t="s">
        <v>603</v>
      </c>
      <c r="K239" s="73"/>
      <c r="L239" s="46">
        <v>0</v>
      </c>
      <c r="M239" s="46">
        <v>0</v>
      </c>
      <c r="N239" s="46">
        <v>0</v>
      </c>
      <c r="O239" s="98"/>
      <c r="P239" s="23" t="s">
        <v>1426</v>
      </c>
      <c r="Q239" s="24" t="s">
        <v>602</v>
      </c>
      <c r="R239" s="25" t="s">
        <v>559</v>
      </c>
      <c r="S239" s="26">
        <v>126</v>
      </c>
      <c r="T239" s="26"/>
      <c r="U239" s="26">
        <v>400</v>
      </c>
      <c r="V239" s="26">
        <f t="shared" si="50"/>
        <v>0</v>
      </c>
      <c r="W239" s="26">
        <f t="shared" si="35"/>
        <v>0</v>
      </c>
      <c r="X239" s="26">
        <f t="shared" si="51"/>
        <v>0</v>
      </c>
      <c r="Y239" s="26">
        <f t="shared" si="44"/>
        <v>0</v>
      </c>
      <c r="Z239" s="33" t="s">
        <v>15</v>
      </c>
      <c r="AA239" s="36" t="s">
        <v>16</v>
      </c>
      <c r="AB239" s="181">
        <f t="shared" si="41"/>
        <v>126</v>
      </c>
      <c r="AC239" s="181">
        <f t="shared" si="52"/>
        <v>50400</v>
      </c>
      <c r="AD239" s="181">
        <v>1.7</v>
      </c>
      <c r="AE239" s="181">
        <v>1.7</v>
      </c>
      <c r="AF239" s="101" t="str">
        <f t="shared" si="42"/>
        <v/>
      </c>
      <c r="AG239" s="190">
        <v>0</v>
      </c>
      <c r="AH239" s="69">
        <f t="shared" si="43"/>
        <v>126</v>
      </c>
    </row>
    <row r="240" spans="1:34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>
        <v>3569.95</v>
      </c>
      <c r="I240" s="75">
        <v>42839.4</v>
      </c>
      <c r="J240" s="91" t="s">
        <v>607</v>
      </c>
      <c r="K240" s="73"/>
      <c r="L240" s="46">
        <v>0</v>
      </c>
      <c r="M240" s="46">
        <v>0</v>
      </c>
      <c r="N240" s="46">
        <v>0</v>
      </c>
      <c r="O240" s="98"/>
      <c r="P240" s="23" t="s">
        <v>1402</v>
      </c>
      <c r="Q240" s="24" t="s">
        <v>605</v>
      </c>
      <c r="R240" s="25" t="s">
        <v>606</v>
      </c>
      <c r="S240" s="26">
        <v>12</v>
      </c>
      <c r="T240" s="26"/>
      <c r="U240" s="26">
        <v>3569.95</v>
      </c>
      <c r="V240" s="26">
        <f t="shared" si="50"/>
        <v>0</v>
      </c>
      <c r="W240" s="26">
        <f t="shared" si="35"/>
        <v>0</v>
      </c>
      <c r="X240" s="26">
        <f t="shared" si="51"/>
        <v>0</v>
      </c>
      <c r="Y240" s="26">
        <f t="shared" si="44"/>
        <v>0</v>
      </c>
      <c r="Z240" s="33" t="s">
        <v>15</v>
      </c>
      <c r="AA240" s="36" t="s">
        <v>16</v>
      </c>
      <c r="AB240" s="181">
        <f t="shared" si="41"/>
        <v>12</v>
      </c>
      <c r="AC240" s="181">
        <f t="shared" si="52"/>
        <v>42839.4</v>
      </c>
      <c r="AD240" s="181">
        <v>1.7</v>
      </c>
      <c r="AE240" s="181">
        <v>1.7</v>
      </c>
      <c r="AF240" s="101" t="str">
        <f t="shared" si="42"/>
        <v/>
      </c>
      <c r="AG240" s="190">
        <v>0</v>
      </c>
      <c r="AH240" s="69">
        <f t="shared" si="43"/>
        <v>12</v>
      </c>
    </row>
    <row r="241" spans="1:34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>
        <v>4083.1</v>
      </c>
      <c r="I241" s="75">
        <v>73495.8</v>
      </c>
      <c r="J241" s="91" t="s">
        <v>610</v>
      </c>
      <c r="K241" s="73"/>
      <c r="L241" s="46">
        <v>5</v>
      </c>
      <c r="M241" s="46">
        <v>0</v>
      </c>
      <c r="N241" s="46">
        <v>20415.5</v>
      </c>
      <c r="O241" s="98"/>
      <c r="P241" s="23" t="s">
        <v>1373</v>
      </c>
      <c r="Q241" s="24" t="s">
        <v>609</v>
      </c>
      <c r="R241" s="25" t="s">
        <v>606</v>
      </c>
      <c r="S241" s="26">
        <v>18</v>
      </c>
      <c r="T241" s="26"/>
      <c r="U241" s="26">
        <v>4083.1</v>
      </c>
      <c r="V241" s="26">
        <f t="shared" si="50"/>
        <v>0</v>
      </c>
      <c r="W241" s="26">
        <f t="shared" si="35"/>
        <v>5</v>
      </c>
      <c r="X241" s="26">
        <f t="shared" si="51"/>
        <v>0</v>
      </c>
      <c r="Y241" s="26">
        <f t="shared" si="44"/>
        <v>20415.5</v>
      </c>
      <c r="Z241" s="33" t="s">
        <v>15</v>
      </c>
      <c r="AA241" s="36" t="s">
        <v>16</v>
      </c>
      <c r="AB241" s="181">
        <f t="shared" si="41"/>
        <v>18</v>
      </c>
      <c r="AC241" s="181">
        <f t="shared" si="52"/>
        <v>73495.8</v>
      </c>
      <c r="AD241" s="181">
        <v>1.7</v>
      </c>
      <c r="AE241" s="181">
        <v>1.7</v>
      </c>
      <c r="AF241" s="101" t="str">
        <f t="shared" si="42"/>
        <v/>
      </c>
      <c r="AG241" s="190">
        <v>5</v>
      </c>
      <c r="AH241" s="69">
        <f t="shared" si="43"/>
        <v>18</v>
      </c>
    </row>
    <row r="242" spans="1:34" s="69" customFormat="1" ht="39" x14ac:dyDescent="0.3">
      <c r="A242" s="130" t="s">
        <v>611</v>
      </c>
      <c r="B242" s="131" t="s">
        <v>612</v>
      </c>
      <c r="C242" s="132" t="s">
        <v>606</v>
      </c>
      <c r="D242" s="203">
        <v>5</v>
      </c>
      <c r="E242" s="203"/>
      <c r="F242" s="203"/>
      <c r="G242" s="203"/>
      <c r="H242" s="75">
        <v>7408.5</v>
      </c>
      <c r="I242" s="75">
        <v>37042.5</v>
      </c>
      <c r="J242" s="91" t="s">
        <v>613</v>
      </c>
      <c r="K242" s="73"/>
      <c r="L242" s="46">
        <v>5</v>
      </c>
      <c r="M242" s="46">
        <v>0</v>
      </c>
      <c r="N242" s="46">
        <v>37042.5</v>
      </c>
      <c r="O242" s="98"/>
      <c r="P242" s="23" t="s">
        <v>1393</v>
      </c>
      <c r="Q242" s="24" t="s">
        <v>612</v>
      </c>
      <c r="R242" s="25" t="s">
        <v>606</v>
      </c>
      <c r="S242" s="26">
        <v>5</v>
      </c>
      <c r="T242" s="26"/>
      <c r="U242" s="26">
        <v>7408.5</v>
      </c>
      <c r="V242" s="127">
        <f t="shared" si="50"/>
        <v>0</v>
      </c>
      <c r="W242" s="127">
        <f t="shared" ref="W242:W305" si="53">V242+L242</f>
        <v>5</v>
      </c>
      <c r="X242" s="127">
        <f t="shared" si="51"/>
        <v>0</v>
      </c>
      <c r="Y242" s="127">
        <f t="shared" si="44"/>
        <v>37042.5</v>
      </c>
      <c r="Z242" s="33" t="s">
        <v>15</v>
      </c>
      <c r="AA242" s="36" t="s">
        <v>16</v>
      </c>
      <c r="AB242" s="181">
        <f t="shared" si="41"/>
        <v>5</v>
      </c>
      <c r="AC242" s="181">
        <f t="shared" si="52"/>
        <v>37042.5</v>
      </c>
      <c r="AD242" s="181">
        <v>1.7</v>
      </c>
      <c r="AE242" s="181">
        <v>1.7</v>
      </c>
      <c r="AF242" s="101" t="str">
        <f t="shared" si="42"/>
        <v/>
      </c>
      <c r="AG242" s="190">
        <v>5</v>
      </c>
      <c r="AH242" s="69">
        <f t="shared" si="43"/>
        <v>5</v>
      </c>
    </row>
    <row r="243" spans="1:34" s="69" customFormat="1" ht="39" x14ac:dyDescent="0.3">
      <c r="A243" s="130" t="s">
        <v>614</v>
      </c>
      <c r="B243" s="131" t="s">
        <v>615</v>
      </c>
      <c r="C243" s="132" t="s">
        <v>606</v>
      </c>
      <c r="D243" s="203">
        <v>5</v>
      </c>
      <c r="E243" s="203"/>
      <c r="F243" s="203"/>
      <c r="G243" s="203"/>
      <c r="H243" s="75">
        <v>10319.280000000001</v>
      </c>
      <c r="I243" s="75">
        <v>51596.4</v>
      </c>
      <c r="J243" s="91" t="s">
        <v>616</v>
      </c>
      <c r="K243" s="73"/>
      <c r="L243" s="46">
        <v>5</v>
      </c>
      <c r="M243" s="46">
        <v>0</v>
      </c>
      <c r="N243" s="46">
        <v>51596.4</v>
      </c>
      <c r="O243" s="98"/>
      <c r="P243" s="23" t="s">
        <v>1403</v>
      </c>
      <c r="Q243" s="24" t="s">
        <v>615</v>
      </c>
      <c r="R243" s="25" t="s">
        <v>606</v>
      </c>
      <c r="S243" s="26">
        <v>5</v>
      </c>
      <c r="T243" s="26"/>
      <c r="U243" s="26">
        <v>10319.280000000001</v>
      </c>
      <c r="V243" s="127">
        <f t="shared" si="50"/>
        <v>0</v>
      </c>
      <c r="W243" s="127">
        <f t="shared" si="53"/>
        <v>5</v>
      </c>
      <c r="X243" s="127">
        <f t="shared" si="51"/>
        <v>0</v>
      </c>
      <c r="Y243" s="127">
        <f t="shared" si="44"/>
        <v>51596.4</v>
      </c>
      <c r="Z243" s="33" t="s">
        <v>15</v>
      </c>
      <c r="AA243" s="36" t="s">
        <v>16</v>
      </c>
      <c r="AB243" s="181">
        <f t="shared" si="41"/>
        <v>5</v>
      </c>
      <c r="AC243" s="181">
        <f t="shared" si="52"/>
        <v>51596.4</v>
      </c>
      <c r="AD243" s="181">
        <v>1.7</v>
      </c>
      <c r="AE243" s="181">
        <v>1.7</v>
      </c>
      <c r="AF243" s="101" t="str">
        <f t="shared" si="42"/>
        <v/>
      </c>
      <c r="AG243" s="190">
        <v>5</v>
      </c>
      <c r="AH243" s="69">
        <f t="shared" si="43"/>
        <v>5</v>
      </c>
    </row>
    <row r="244" spans="1:34" s="69" customFormat="1" ht="39" x14ac:dyDescent="0.3">
      <c r="A244" s="130" t="s">
        <v>617</v>
      </c>
      <c r="B244" s="131" t="s">
        <v>618</v>
      </c>
      <c r="C244" s="132" t="s">
        <v>606</v>
      </c>
      <c r="D244" s="203">
        <v>2</v>
      </c>
      <c r="E244" s="203"/>
      <c r="F244" s="203"/>
      <c r="G244" s="203"/>
      <c r="H244" s="75">
        <v>15164.14</v>
      </c>
      <c r="I244" s="75">
        <v>30328.28</v>
      </c>
      <c r="J244" s="91" t="s">
        <v>619</v>
      </c>
      <c r="K244" s="73"/>
      <c r="L244" s="46">
        <v>2</v>
      </c>
      <c r="M244" s="46">
        <v>0</v>
      </c>
      <c r="N244" s="46">
        <v>30328.28</v>
      </c>
      <c r="O244" s="98"/>
      <c r="P244" s="23" t="s">
        <v>1427</v>
      </c>
      <c r="Q244" s="24" t="s">
        <v>618</v>
      </c>
      <c r="R244" s="25" t="s">
        <v>606</v>
      </c>
      <c r="S244" s="26">
        <v>2</v>
      </c>
      <c r="T244" s="26"/>
      <c r="U244" s="26">
        <v>15164.14</v>
      </c>
      <c r="V244" s="127">
        <f t="shared" si="50"/>
        <v>0</v>
      </c>
      <c r="W244" s="127">
        <f t="shared" si="53"/>
        <v>2</v>
      </c>
      <c r="X244" s="127">
        <f t="shared" si="51"/>
        <v>0</v>
      </c>
      <c r="Y244" s="127">
        <f t="shared" si="44"/>
        <v>30328.28</v>
      </c>
      <c r="Z244" s="33" t="s">
        <v>15</v>
      </c>
      <c r="AA244" s="36" t="s">
        <v>16</v>
      </c>
      <c r="AB244" s="181">
        <f t="shared" si="41"/>
        <v>2</v>
      </c>
      <c r="AC244" s="181">
        <f t="shared" si="52"/>
        <v>30328.28</v>
      </c>
      <c r="AD244" s="181">
        <v>1.7</v>
      </c>
      <c r="AE244" s="181">
        <v>1.7</v>
      </c>
      <c r="AF244" s="101" t="str">
        <f t="shared" si="42"/>
        <v/>
      </c>
      <c r="AG244" s="190">
        <v>2</v>
      </c>
      <c r="AH244" s="69">
        <f t="shared" si="43"/>
        <v>2</v>
      </c>
    </row>
    <row r="245" spans="1:34" s="69" customFormat="1" ht="39" x14ac:dyDescent="0.3">
      <c r="A245" s="130" t="s">
        <v>620</v>
      </c>
      <c r="B245" s="131" t="s">
        <v>621</v>
      </c>
      <c r="C245" s="132" t="s">
        <v>606</v>
      </c>
      <c r="D245" s="203">
        <v>6</v>
      </c>
      <c r="E245" s="203"/>
      <c r="F245" s="203"/>
      <c r="G245" s="203"/>
      <c r="H245" s="75">
        <v>21803.06</v>
      </c>
      <c r="I245" s="75">
        <v>130818.36</v>
      </c>
      <c r="J245" s="91" t="s">
        <v>622</v>
      </c>
      <c r="K245" s="73"/>
      <c r="L245" s="46">
        <v>6</v>
      </c>
      <c r="M245" s="46">
        <v>0</v>
      </c>
      <c r="N245" s="46">
        <v>130818.36</v>
      </c>
      <c r="O245" s="98"/>
      <c r="P245" s="23" t="s">
        <v>1428</v>
      </c>
      <c r="Q245" s="24" t="s">
        <v>621</v>
      </c>
      <c r="R245" s="25" t="s">
        <v>606</v>
      </c>
      <c r="S245" s="26">
        <v>6</v>
      </c>
      <c r="T245" s="26"/>
      <c r="U245" s="26">
        <v>21803.06</v>
      </c>
      <c r="V245" s="127">
        <f t="shared" si="50"/>
        <v>0</v>
      </c>
      <c r="W245" s="127">
        <f t="shared" si="53"/>
        <v>6</v>
      </c>
      <c r="X245" s="127">
        <f t="shared" si="51"/>
        <v>0</v>
      </c>
      <c r="Y245" s="127">
        <f t="shared" si="44"/>
        <v>130818.36</v>
      </c>
      <c r="Z245" s="33" t="s">
        <v>15</v>
      </c>
      <c r="AA245" s="36" t="s">
        <v>16</v>
      </c>
      <c r="AB245" s="181">
        <f t="shared" si="41"/>
        <v>6</v>
      </c>
      <c r="AC245" s="181">
        <f t="shared" si="52"/>
        <v>130818.36</v>
      </c>
      <c r="AD245" s="181">
        <v>1.7</v>
      </c>
      <c r="AE245" s="181">
        <v>1.7</v>
      </c>
      <c r="AF245" s="101" t="str">
        <f t="shared" si="42"/>
        <v/>
      </c>
      <c r="AG245" s="190">
        <v>6</v>
      </c>
      <c r="AH245" s="69">
        <f t="shared" si="43"/>
        <v>6</v>
      </c>
    </row>
    <row r="246" spans="1:34" s="69" customFormat="1" ht="39" x14ac:dyDescent="0.3">
      <c r="A246" s="130" t="s">
        <v>623</v>
      </c>
      <c r="B246" s="131" t="s">
        <v>624</v>
      </c>
      <c r="C246" s="132" t="s">
        <v>606</v>
      </c>
      <c r="D246" s="203">
        <v>3</v>
      </c>
      <c r="E246" s="203"/>
      <c r="F246" s="203"/>
      <c r="G246" s="203"/>
      <c r="H246" s="75">
        <v>26196.51</v>
      </c>
      <c r="I246" s="75">
        <v>78589.53</v>
      </c>
      <c r="J246" s="91" t="s">
        <v>625</v>
      </c>
      <c r="K246" s="73"/>
      <c r="L246" s="46">
        <v>3</v>
      </c>
      <c r="M246" s="46">
        <v>0</v>
      </c>
      <c r="N246" s="46">
        <v>78589.53</v>
      </c>
      <c r="O246" s="98"/>
      <c r="P246" s="23" t="s">
        <v>1387</v>
      </c>
      <c r="Q246" s="24" t="s">
        <v>624</v>
      </c>
      <c r="R246" s="25" t="s">
        <v>606</v>
      </c>
      <c r="S246" s="26">
        <v>3</v>
      </c>
      <c r="T246" s="26"/>
      <c r="U246" s="26">
        <v>26196.51</v>
      </c>
      <c r="V246" s="127">
        <f t="shared" si="50"/>
        <v>0</v>
      </c>
      <c r="W246" s="127">
        <f t="shared" si="53"/>
        <v>3</v>
      </c>
      <c r="X246" s="127">
        <f t="shared" si="51"/>
        <v>0</v>
      </c>
      <c r="Y246" s="127">
        <f t="shared" si="44"/>
        <v>78589.53</v>
      </c>
      <c r="Z246" s="33" t="s">
        <v>15</v>
      </c>
      <c r="AA246" s="36" t="s">
        <v>16</v>
      </c>
      <c r="AB246" s="181">
        <f t="shared" si="41"/>
        <v>3</v>
      </c>
      <c r="AC246" s="181">
        <f t="shared" si="52"/>
        <v>78589.53</v>
      </c>
      <c r="AD246" s="181">
        <v>1.7</v>
      </c>
      <c r="AE246" s="181">
        <v>1.7</v>
      </c>
      <c r="AF246" s="101" t="str">
        <f t="shared" si="42"/>
        <v/>
      </c>
      <c r="AG246" s="190">
        <v>3</v>
      </c>
      <c r="AH246" s="69">
        <f t="shared" si="43"/>
        <v>3</v>
      </c>
    </row>
    <row r="247" spans="1:34" s="69" customFormat="1" ht="39" x14ac:dyDescent="0.3">
      <c r="A247" s="130" t="s">
        <v>626</v>
      </c>
      <c r="B247" s="131" t="s">
        <v>627</v>
      </c>
      <c r="C247" s="132" t="s">
        <v>606</v>
      </c>
      <c r="D247" s="203">
        <v>2</v>
      </c>
      <c r="E247" s="203"/>
      <c r="F247" s="203"/>
      <c r="G247" s="203"/>
      <c r="H247" s="75">
        <v>29984.85</v>
      </c>
      <c r="I247" s="75">
        <v>59969.7</v>
      </c>
      <c r="J247" s="91" t="s">
        <v>628</v>
      </c>
      <c r="K247" s="73"/>
      <c r="L247" s="46">
        <v>2</v>
      </c>
      <c r="M247" s="46">
        <v>0</v>
      </c>
      <c r="N247" s="46">
        <v>59969.7</v>
      </c>
      <c r="O247" s="98"/>
      <c r="P247" s="23" t="s">
        <v>1405</v>
      </c>
      <c r="Q247" s="24" t="s">
        <v>627</v>
      </c>
      <c r="R247" s="25" t="s">
        <v>606</v>
      </c>
      <c r="S247" s="26">
        <v>2</v>
      </c>
      <c r="T247" s="26"/>
      <c r="U247" s="26">
        <v>29984.85</v>
      </c>
      <c r="V247" s="127">
        <f t="shared" si="50"/>
        <v>0</v>
      </c>
      <c r="W247" s="127">
        <f t="shared" si="53"/>
        <v>2</v>
      </c>
      <c r="X247" s="127">
        <f t="shared" si="51"/>
        <v>0</v>
      </c>
      <c r="Y247" s="127">
        <f t="shared" si="44"/>
        <v>59969.7</v>
      </c>
      <c r="Z247" s="33" t="s">
        <v>15</v>
      </c>
      <c r="AA247" s="36" t="s">
        <v>16</v>
      </c>
      <c r="AB247" s="181">
        <f t="shared" si="41"/>
        <v>2</v>
      </c>
      <c r="AC247" s="181">
        <f t="shared" si="52"/>
        <v>59969.7</v>
      </c>
      <c r="AD247" s="181">
        <v>1.7</v>
      </c>
      <c r="AE247" s="181">
        <v>1.7</v>
      </c>
      <c r="AF247" s="101" t="str">
        <f t="shared" si="42"/>
        <v/>
      </c>
      <c r="AG247" s="190">
        <v>2</v>
      </c>
      <c r="AH247" s="69">
        <f t="shared" si="43"/>
        <v>2</v>
      </c>
    </row>
    <row r="248" spans="1:34" s="69" customFormat="1" ht="39" x14ac:dyDescent="0.3">
      <c r="A248" s="130" t="s">
        <v>629</v>
      </c>
      <c r="B248" s="131" t="s">
        <v>630</v>
      </c>
      <c r="C248" s="132" t="s">
        <v>606</v>
      </c>
      <c r="D248" s="203">
        <v>3</v>
      </c>
      <c r="E248" s="203"/>
      <c r="F248" s="203"/>
      <c r="G248" s="203"/>
      <c r="H248" s="75">
        <v>38914.949999999997</v>
      </c>
      <c r="I248" s="75">
        <v>116744.85</v>
      </c>
      <c r="J248" s="91" t="s">
        <v>631</v>
      </c>
      <c r="K248" s="73"/>
      <c r="L248" s="46">
        <v>3</v>
      </c>
      <c r="M248" s="46">
        <v>0</v>
      </c>
      <c r="N248" s="46">
        <v>116744.85</v>
      </c>
      <c r="O248" s="98"/>
      <c r="P248" s="23" t="s">
        <v>1406</v>
      </c>
      <c r="Q248" s="24" t="s">
        <v>630</v>
      </c>
      <c r="R248" s="25" t="s">
        <v>606</v>
      </c>
      <c r="S248" s="26">
        <v>3</v>
      </c>
      <c r="T248" s="26"/>
      <c r="U248" s="26">
        <v>38914.949999999997</v>
      </c>
      <c r="V248" s="127">
        <f t="shared" si="50"/>
        <v>0</v>
      </c>
      <c r="W248" s="127">
        <f t="shared" si="53"/>
        <v>3</v>
      </c>
      <c r="X248" s="127">
        <f t="shared" si="51"/>
        <v>0</v>
      </c>
      <c r="Y248" s="127">
        <f t="shared" si="44"/>
        <v>116744.85</v>
      </c>
      <c r="Z248" s="33" t="s">
        <v>15</v>
      </c>
      <c r="AA248" s="36" t="s">
        <v>16</v>
      </c>
      <c r="AB248" s="181">
        <f t="shared" si="41"/>
        <v>3</v>
      </c>
      <c r="AC248" s="181">
        <f t="shared" si="52"/>
        <v>116744.85</v>
      </c>
      <c r="AD248" s="181">
        <v>1.7</v>
      </c>
      <c r="AE248" s="181">
        <v>1.7</v>
      </c>
      <c r="AF248" s="101" t="str">
        <f t="shared" si="42"/>
        <v/>
      </c>
      <c r="AG248" s="190">
        <v>3</v>
      </c>
      <c r="AH248" s="69">
        <f t="shared" si="43"/>
        <v>3</v>
      </c>
    </row>
    <row r="249" spans="1:34" s="69" customFormat="1" ht="39" x14ac:dyDescent="0.3">
      <c r="A249" s="130" t="s">
        <v>632</v>
      </c>
      <c r="B249" s="131" t="s">
        <v>633</v>
      </c>
      <c r="C249" s="132" t="s">
        <v>606</v>
      </c>
      <c r="D249" s="203">
        <v>3</v>
      </c>
      <c r="E249" s="203"/>
      <c r="F249" s="203"/>
      <c r="G249" s="203"/>
      <c r="H249" s="75">
        <v>43624.88</v>
      </c>
      <c r="I249" s="75">
        <v>130874.64</v>
      </c>
      <c r="J249" s="91" t="s">
        <v>634</v>
      </c>
      <c r="K249" s="73"/>
      <c r="L249" s="46">
        <v>3</v>
      </c>
      <c r="M249" s="46">
        <v>0</v>
      </c>
      <c r="N249" s="46">
        <v>130874.64</v>
      </c>
      <c r="O249" s="98"/>
      <c r="P249" s="23" t="s">
        <v>1414</v>
      </c>
      <c r="Q249" s="24" t="s">
        <v>633</v>
      </c>
      <c r="R249" s="25" t="s">
        <v>606</v>
      </c>
      <c r="S249" s="26">
        <v>3</v>
      </c>
      <c r="T249" s="26"/>
      <c r="U249" s="26">
        <v>43624.88</v>
      </c>
      <c r="V249" s="127">
        <f t="shared" si="50"/>
        <v>0</v>
      </c>
      <c r="W249" s="127">
        <f t="shared" si="53"/>
        <v>3</v>
      </c>
      <c r="X249" s="127">
        <f t="shared" si="51"/>
        <v>0</v>
      </c>
      <c r="Y249" s="127">
        <f t="shared" si="44"/>
        <v>130874.64</v>
      </c>
      <c r="Z249" s="33" t="s">
        <v>15</v>
      </c>
      <c r="AA249" s="36" t="s">
        <v>16</v>
      </c>
      <c r="AB249" s="181">
        <f t="shared" si="41"/>
        <v>3</v>
      </c>
      <c r="AC249" s="181">
        <f t="shared" si="52"/>
        <v>130874.64</v>
      </c>
      <c r="AD249" s="181">
        <v>1.7</v>
      </c>
      <c r="AE249" s="181">
        <v>1.7</v>
      </c>
      <c r="AF249" s="101" t="str">
        <f t="shared" si="42"/>
        <v/>
      </c>
      <c r="AG249" s="190">
        <v>3</v>
      </c>
      <c r="AH249" s="69">
        <f t="shared" si="43"/>
        <v>3</v>
      </c>
    </row>
    <row r="250" spans="1:34" s="69" customFormat="1" ht="39" x14ac:dyDescent="0.3">
      <c r="A250" s="130" t="s">
        <v>635</v>
      </c>
      <c r="B250" s="131" t="s">
        <v>636</v>
      </c>
      <c r="C250" s="132" t="s">
        <v>606</v>
      </c>
      <c r="D250" s="203">
        <v>1</v>
      </c>
      <c r="E250" s="203"/>
      <c r="F250" s="203"/>
      <c r="G250" s="203"/>
      <c r="H250" s="75">
        <v>73088.800000000003</v>
      </c>
      <c r="I250" s="75">
        <v>73088.800000000003</v>
      </c>
      <c r="J250" s="91" t="s">
        <v>637</v>
      </c>
      <c r="K250" s="73"/>
      <c r="L250" s="46">
        <v>1</v>
      </c>
      <c r="M250" s="46">
        <v>0</v>
      </c>
      <c r="N250" s="46">
        <v>73088.800000000003</v>
      </c>
      <c r="O250" s="98"/>
      <c r="P250" s="23" t="s">
        <v>1429</v>
      </c>
      <c r="Q250" s="24" t="s">
        <v>636</v>
      </c>
      <c r="R250" s="25" t="s">
        <v>606</v>
      </c>
      <c r="S250" s="26">
        <v>1</v>
      </c>
      <c r="T250" s="26"/>
      <c r="U250" s="26">
        <v>73088.800000000003</v>
      </c>
      <c r="V250" s="127">
        <f t="shared" si="50"/>
        <v>0</v>
      </c>
      <c r="W250" s="127">
        <f t="shared" si="53"/>
        <v>1</v>
      </c>
      <c r="X250" s="127">
        <f t="shared" si="51"/>
        <v>0</v>
      </c>
      <c r="Y250" s="127">
        <f t="shared" si="44"/>
        <v>73088.800000000003</v>
      </c>
      <c r="Z250" s="33" t="s">
        <v>15</v>
      </c>
      <c r="AA250" s="36" t="s">
        <v>16</v>
      </c>
      <c r="AB250" s="181">
        <f t="shared" si="41"/>
        <v>1</v>
      </c>
      <c r="AC250" s="181">
        <f t="shared" si="52"/>
        <v>73088.800000000003</v>
      </c>
      <c r="AD250" s="181">
        <v>1.7</v>
      </c>
      <c r="AE250" s="181">
        <v>1.7</v>
      </c>
      <c r="AF250" s="101" t="str">
        <f t="shared" si="42"/>
        <v/>
      </c>
      <c r="AG250" s="190">
        <v>1</v>
      </c>
      <c r="AH250" s="69">
        <f t="shared" si="43"/>
        <v>1</v>
      </c>
    </row>
    <row r="251" spans="1:34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>
        <v>22814.5</v>
      </c>
      <c r="I251" s="75">
        <v>136887</v>
      </c>
      <c r="J251" s="91" t="s">
        <v>640</v>
      </c>
      <c r="K251" s="73"/>
      <c r="L251" s="46">
        <v>0</v>
      </c>
      <c r="M251" s="46">
        <v>0</v>
      </c>
      <c r="N251" s="46">
        <v>0</v>
      </c>
      <c r="O251" s="98"/>
      <c r="P251" s="23" t="s">
        <v>1430</v>
      </c>
      <c r="Q251" s="24" t="s">
        <v>639</v>
      </c>
      <c r="R251" s="25" t="s">
        <v>606</v>
      </c>
      <c r="S251" s="26">
        <v>6</v>
      </c>
      <c r="T251" s="26"/>
      <c r="U251" s="26">
        <v>22814.5</v>
      </c>
      <c r="V251" s="26">
        <f t="shared" si="50"/>
        <v>0</v>
      </c>
      <c r="W251" s="26">
        <f t="shared" si="53"/>
        <v>0</v>
      </c>
      <c r="X251" s="26">
        <f t="shared" si="51"/>
        <v>0</v>
      </c>
      <c r="Y251" s="26">
        <f t="shared" si="44"/>
        <v>0</v>
      </c>
      <c r="Z251" s="33" t="s">
        <v>15</v>
      </c>
      <c r="AA251" s="36" t="s">
        <v>16</v>
      </c>
      <c r="AB251" s="181">
        <f t="shared" si="41"/>
        <v>6</v>
      </c>
      <c r="AC251" s="181">
        <f t="shared" si="52"/>
        <v>136887</v>
      </c>
      <c r="AD251" s="181">
        <v>1.7</v>
      </c>
      <c r="AE251" s="181">
        <v>1.7</v>
      </c>
      <c r="AF251" s="101" t="str">
        <f t="shared" si="42"/>
        <v/>
      </c>
      <c r="AG251" s="190">
        <v>0</v>
      </c>
      <c r="AH251" s="69">
        <f t="shared" si="43"/>
        <v>6</v>
      </c>
    </row>
    <row r="252" spans="1:34" s="69" customFormat="1" ht="58.5" x14ac:dyDescent="0.3">
      <c r="A252" s="130" t="s">
        <v>641</v>
      </c>
      <c r="B252" s="131" t="s">
        <v>642</v>
      </c>
      <c r="C252" s="132" t="s">
        <v>606</v>
      </c>
      <c r="D252" s="203">
        <v>3</v>
      </c>
      <c r="E252" s="203"/>
      <c r="F252" s="203"/>
      <c r="G252" s="203"/>
      <c r="H252" s="75">
        <v>1963.3</v>
      </c>
      <c r="I252" s="75">
        <v>5889.9</v>
      </c>
      <c r="J252" s="91" t="s">
        <v>643</v>
      </c>
      <c r="K252" s="73"/>
      <c r="L252" s="46">
        <v>3</v>
      </c>
      <c r="M252" s="46">
        <v>0</v>
      </c>
      <c r="N252" s="46">
        <v>5889.9</v>
      </c>
      <c r="O252" s="98"/>
      <c r="P252" s="23" t="s">
        <v>1431</v>
      </c>
      <c r="Q252" s="24" t="s">
        <v>642</v>
      </c>
      <c r="R252" s="25" t="s">
        <v>606</v>
      </c>
      <c r="S252" s="26">
        <v>3</v>
      </c>
      <c r="T252" s="26"/>
      <c r="U252" s="26">
        <v>1963.3</v>
      </c>
      <c r="V252" s="127">
        <f t="shared" si="50"/>
        <v>0</v>
      </c>
      <c r="W252" s="127">
        <f t="shared" si="53"/>
        <v>3</v>
      </c>
      <c r="X252" s="127">
        <f t="shared" si="51"/>
        <v>0</v>
      </c>
      <c r="Y252" s="127">
        <f t="shared" si="44"/>
        <v>5889.9</v>
      </c>
      <c r="Z252" s="33" t="s">
        <v>15</v>
      </c>
      <c r="AA252" s="36" t="s">
        <v>16</v>
      </c>
      <c r="AB252" s="181">
        <f t="shared" si="41"/>
        <v>3</v>
      </c>
      <c r="AC252" s="181">
        <f t="shared" si="52"/>
        <v>5889.9</v>
      </c>
      <c r="AD252" s="181">
        <v>1.7</v>
      </c>
      <c r="AE252" s="181">
        <v>1.7</v>
      </c>
      <c r="AF252" s="101" t="str">
        <f t="shared" si="42"/>
        <v/>
      </c>
      <c r="AG252" s="190">
        <v>3</v>
      </c>
      <c r="AH252" s="69">
        <f t="shared" si="43"/>
        <v>3</v>
      </c>
    </row>
    <row r="253" spans="1:34" s="69" customFormat="1" ht="58.5" x14ac:dyDescent="0.3">
      <c r="A253" s="130" t="s">
        <v>644</v>
      </c>
      <c r="B253" s="131" t="s">
        <v>645</v>
      </c>
      <c r="C253" s="132" t="s">
        <v>606</v>
      </c>
      <c r="D253" s="203">
        <v>5</v>
      </c>
      <c r="E253" s="203"/>
      <c r="F253" s="203"/>
      <c r="G253" s="203"/>
      <c r="H253" s="75">
        <v>2216.6</v>
      </c>
      <c r="I253" s="75">
        <v>11083</v>
      </c>
      <c r="J253" s="91" t="s">
        <v>646</v>
      </c>
      <c r="K253" s="73"/>
      <c r="L253" s="46">
        <v>5</v>
      </c>
      <c r="M253" s="46">
        <v>0</v>
      </c>
      <c r="N253" s="46">
        <v>11083</v>
      </c>
      <c r="O253" s="98"/>
      <c r="P253" s="23" t="s">
        <v>1395</v>
      </c>
      <c r="Q253" s="24" t="s">
        <v>645</v>
      </c>
      <c r="R253" s="25" t="s">
        <v>606</v>
      </c>
      <c r="S253" s="26">
        <v>5</v>
      </c>
      <c r="T253" s="26"/>
      <c r="U253" s="26">
        <v>2216.6</v>
      </c>
      <c r="V253" s="127">
        <f t="shared" si="50"/>
        <v>0</v>
      </c>
      <c r="W253" s="127">
        <f t="shared" si="53"/>
        <v>5</v>
      </c>
      <c r="X253" s="127">
        <f t="shared" si="51"/>
        <v>0</v>
      </c>
      <c r="Y253" s="127">
        <f t="shared" si="44"/>
        <v>11083</v>
      </c>
      <c r="Z253" s="33" t="s">
        <v>15</v>
      </c>
      <c r="AA253" s="36" t="s">
        <v>16</v>
      </c>
      <c r="AB253" s="181">
        <f t="shared" si="41"/>
        <v>5</v>
      </c>
      <c r="AC253" s="181">
        <f t="shared" si="52"/>
        <v>11083</v>
      </c>
      <c r="AD253" s="181">
        <v>1.7</v>
      </c>
      <c r="AE253" s="181">
        <v>1.7</v>
      </c>
      <c r="AF253" s="101" t="str">
        <f t="shared" si="42"/>
        <v/>
      </c>
      <c r="AG253" s="190">
        <v>5</v>
      </c>
      <c r="AH253" s="69">
        <f t="shared" si="43"/>
        <v>5</v>
      </c>
    </row>
    <row r="254" spans="1:34" s="69" customFormat="1" ht="58.5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75">
        <v>2999.02</v>
      </c>
      <c r="I254" s="75">
        <v>50983.34</v>
      </c>
      <c r="J254" s="91" t="s">
        <v>649</v>
      </c>
      <c r="K254" s="73"/>
      <c r="L254" s="46">
        <v>7</v>
      </c>
      <c r="M254" s="46">
        <v>0</v>
      </c>
      <c r="N254" s="46">
        <v>20993.14</v>
      </c>
      <c r="O254" s="98"/>
      <c r="P254" s="23" t="s">
        <v>1432</v>
      </c>
      <c r="Q254" s="24" t="s">
        <v>648</v>
      </c>
      <c r="R254" s="25" t="s">
        <v>606</v>
      </c>
      <c r="S254" s="26">
        <v>7</v>
      </c>
      <c r="T254" s="26">
        <v>17</v>
      </c>
      <c r="U254" s="26">
        <v>2999.02</v>
      </c>
      <c r="V254" s="26">
        <f t="shared" si="50"/>
        <v>0</v>
      </c>
      <c r="W254" s="26">
        <f t="shared" si="53"/>
        <v>7</v>
      </c>
      <c r="X254" s="26">
        <f t="shared" si="51"/>
        <v>0</v>
      </c>
      <c r="Y254" s="26">
        <f t="shared" si="44"/>
        <v>20993.14</v>
      </c>
      <c r="Z254" s="27" t="s">
        <v>15</v>
      </c>
      <c r="AA254" s="36" t="s">
        <v>16</v>
      </c>
      <c r="AB254" s="181">
        <f t="shared" si="41"/>
        <v>17</v>
      </c>
      <c r="AC254" s="181">
        <f t="shared" si="52"/>
        <v>50983.34</v>
      </c>
      <c r="AD254" s="181">
        <v>1.7</v>
      </c>
      <c r="AE254" s="181">
        <v>1.7</v>
      </c>
      <c r="AF254" s="101" t="str">
        <f t="shared" si="42"/>
        <v/>
      </c>
      <c r="AG254" s="190">
        <v>7</v>
      </c>
      <c r="AH254" s="69">
        <f t="shared" si="43"/>
        <v>17</v>
      </c>
    </row>
    <row r="255" spans="1:34" s="69" customFormat="1" ht="58.5" x14ac:dyDescent="0.3">
      <c r="A255" s="130" t="s">
        <v>650</v>
      </c>
      <c r="B255" s="131" t="s">
        <v>651</v>
      </c>
      <c r="C255" s="132" t="s">
        <v>606</v>
      </c>
      <c r="D255" s="203">
        <v>3</v>
      </c>
      <c r="E255" s="203"/>
      <c r="F255" s="203"/>
      <c r="G255" s="203"/>
      <c r="H255" s="75">
        <v>4720.5600000000004</v>
      </c>
      <c r="I255" s="75">
        <v>14161.68</v>
      </c>
      <c r="J255" s="91" t="s">
        <v>652</v>
      </c>
      <c r="K255" s="73"/>
      <c r="L255" s="46">
        <v>3</v>
      </c>
      <c r="M255" s="46">
        <v>0</v>
      </c>
      <c r="N255" s="46">
        <v>14161.68</v>
      </c>
      <c r="O255" s="98"/>
      <c r="P255" s="23" t="s">
        <v>1433</v>
      </c>
      <c r="Q255" s="24" t="s">
        <v>651</v>
      </c>
      <c r="R255" s="25" t="s">
        <v>606</v>
      </c>
      <c r="S255" s="26">
        <v>3</v>
      </c>
      <c r="T255" s="26"/>
      <c r="U255" s="26">
        <v>4720.5600000000004</v>
      </c>
      <c r="V255" s="127">
        <f t="shared" si="50"/>
        <v>0</v>
      </c>
      <c r="W255" s="127">
        <f t="shared" si="53"/>
        <v>3</v>
      </c>
      <c r="X255" s="127">
        <f t="shared" si="51"/>
        <v>0</v>
      </c>
      <c r="Y255" s="127">
        <f t="shared" si="44"/>
        <v>14161.68</v>
      </c>
      <c r="Z255" s="33" t="s">
        <v>15</v>
      </c>
      <c r="AA255" s="36" t="s">
        <v>16</v>
      </c>
      <c r="AB255" s="181">
        <f t="shared" si="41"/>
        <v>3</v>
      </c>
      <c r="AC255" s="181">
        <f t="shared" si="52"/>
        <v>14161.68</v>
      </c>
      <c r="AD255" s="181">
        <v>1.7</v>
      </c>
      <c r="AE255" s="181">
        <v>1.7</v>
      </c>
      <c r="AF255" s="101" t="str">
        <f t="shared" si="42"/>
        <v/>
      </c>
      <c r="AG255" s="190">
        <v>3</v>
      </c>
      <c r="AH255" s="69">
        <f t="shared" si="43"/>
        <v>3</v>
      </c>
    </row>
    <row r="256" spans="1:34" s="69" customFormat="1" ht="58.5" x14ac:dyDescent="0.3">
      <c r="A256" s="130" t="s">
        <v>653</v>
      </c>
      <c r="B256" s="131" t="s">
        <v>654</v>
      </c>
      <c r="C256" s="132" t="s">
        <v>606</v>
      </c>
      <c r="D256" s="203">
        <v>4</v>
      </c>
      <c r="E256" s="203"/>
      <c r="F256" s="203"/>
      <c r="G256" s="203"/>
      <c r="H256" s="75">
        <v>5897.9</v>
      </c>
      <c r="I256" s="75">
        <v>23591.599999999999</v>
      </c>
      <c r="J256" s="91" t="s">
        <v>655</v>
      </c>
      <c r="K256" s="73"/>
      <c r="L256" s="46">
        <v>4</v>
      </c>
      <c r="M256" s="46">
        <v>0</v>
      </c>
      <c r="N256" s="46">
        <v>23591.599999999999</v>
      </c>
      <c r="O256" s="98"/>
      <c r="P256" s="23" t="s">
        <v>1382</v>
      </c>
      <c r="Q256" s="24" t="s">
        <v>654</v>
      </c>
      <c r="R256" s="25" t="s">
        <v>606</v>
      </c>
      <c r="S256" s="26">
        <v>4</v>
      </c>
      <c r="T256" s="26"/>
      <c r="U256" s="26">
        <v>5897.9</v>
      </c>
      <c r="V256" s="127">
        <f t="shared" si="50"/>
        <v>0</v>
      </c>
      <c r="W256" s="127">
        <f t="shared" si="53"/>
        <v>4</v>
      </c>
      <c r="X256" s="127">
        <f t="shared" si="51"/>
        <v>0</v>
      </c>
      <c r="Y256" s="127">
        <f t="shared" si="44"/>
        <v>23591.599999999999</v>
      </c>
      <c r="Z256" s="33" t="s">
        <v>15</v>
      </c>
      <c r="AA256" s="36" t="s">
        <v>16</v>
      </c>
      <c r="AB256" s="181">
        <f t="shared" si="41"/>
        <v>4</v>
      </c>
      <c r="AC256" s="181">
        <f t="shared" si="52"/>
        <v>23591.599999999999</v>
      </c>
      <c r="AD256" s="181">
        <v>1.7</v>
      </c>
      <c r="AE256" s="181">
        <v>1.7</v>
      </c>
      <c r="AF256" s="101" t="str">
        <f t="shared" si="42"/>
        <v/>
      </c>
      <c r="AG256" s="190">
        <v>4</v>
      </c>
      <c r="AH256" s="69">
        <f t="shared" si="43"/>
        <v>4</v>
      </c>
    </row>
    <row r="257" spans="1:34" s="69" customFormat="1" ht="39" x14ac:dyDescent="0.3">
      <c r="A257" s="130" t="s">
        <v>656</v>
      </c>
      <c r="B257" s="131" t="s">
        <v>657</v>
      </c>
      <c r="C257" s="132" t="s">
        <v>606</v>
      </c>
      <c r="D257" s="203">
        <v>1</v>
      </c>
      <c r="E257" s="203"/>
      <c r="F257" s="203"/>
      <c r="G257" s="203"/>
      <c r="H257" s="75">
        <v>9356.16</v>
      </c>
      <c r="I257" s="75">
        <v>9356.16</v>
      </c>
      <c r="J257" s="91" t="s">
        <v>658</v>
      </c>
      <c r="K257" s="73"/>
      <c r="L257" s="46">
        <v>1</v>
      </c>
      <c r="M257" s="46">
        <v>0</v>
      </c>
      <c r="N257" s="46">
        <v>9356.16</v>
      </c>
      <c r="O257" s="98"/>
      <c r="P257" s="23" t="s">
        <v>1434</v>
      </c>
      <c r="Q257" s="24" t="s">
        <v>657</v>
      </c>
      <c r="R257" s="25" t="s">
        <v>606</v>
      </c>
      <c r="S257" s="26">
        <v>1</v>
      </c>
      <c r="T257" s="26"/>
      <c r="U257" s="26">
        <v>9356.16</v>
      </c>
      <c r="V257" s="127">
        <f t="shared" si="50"/>
        <v>0</v>
      </c>
      <c r="W257" s="127">
        <f t="shared" si="53"/>
        <v>1</v>
      </c>
      <c r="X257" s="127">
        <f t="shared" si="51"/>
        <v>0</v>
      </c>
      <c r="Y257" s="127">
        <f t="shared" si="44"/>
        <v>9356.16</v>
      </c>
      <c r="Z257" s="33" t="s">
        <v>15</v>
      </c>
      <c r="AA257" s="36" t="s">
        <v>16</v>
      </c>
      <c r="AB257" s="181">
        <f t="shared" si="41"/>
        <v>1</v>
      </c>
      <c r="AC257" s="181">
        <f t="shared" si="52"/>
        <v>9356.16</v>
      </c>
      <c r="AD257" s="181">
        <v>1.7</v>
      </c>
      <c r="AE257" s="181">
        <v>1.7</v>
      </c>
      <c r="AF257" s="101" t="str">
        <f t="shared" si="42"/>
        <v/>
      </c>
      <c r="AG257" s="190">
        <v>1</v>
      </c>
      <c r="AH257" s="69">
        <f t="shared" si="43"/>
        <v>1</v>
      </c>
    </row>
    <row r="258" spans="1:34" s="69" customFormat="1" ht="39" x14ac:dyDescent="0.3">
      <c r="A258" s="130" t="s">
        <v>659</v>
      </c>
      <c r="B258" s="131" t="s">
        <v>660</v>
      </c>
      <c r="C258" s="132" t="s">
        <v>606</v>
      </c>
      <c r="D258" s="203">
        <v>1</v>
      </c>
      <c r="E258" s="203"/>
      <c r="F258" s="203"/>
      <c r="G258" s="203"/>
      <c r="H258" s="75">
        <v>13184.01</v>
      </c>
      <c r="I258" s="75">
        <v>13184.01</v>
      </c>
      <c r="J258" s="91" t="s">
        <v>661</v>
      </c>
      <c r="K258" s="73"/>
      <c r="L258" s="46">
        <v>1</v>
      </c>
      <c r="M258" s="46">
        <v>0</v>
      </c>
      <c r="N258" s="46">
        <v>13184.01</v>
      </c>
      <c r="O258" s="98"/>
      <c r="P258" s="23" t="s">
        <v>1388</v>
      </c>
      <c r="Q258" s="24" t="s">
        <v>660</v>
      </c>
      <c r="R258" s="25" t="s">
        <v>606</v>
      </c>
      <c r="S258" s="26">
        <v>1</v>
      </c>
      <c r="T258" s="26"/>
      <c r="U258" s="26">
        <v>13184.01</v>
      </c>
      <c r="V258" s="127">
        <f t="shared" si="50"/>
        <v>0</v>
      </c>
      <c r="W258" s="127">
        <f t="shared" si="53"/>
        <v>1</v>
      </c>
      <c r="X258" s="127">
        <f t="shared" si="51"/>
        <v>0</v>
      </c>
      <c r="Y258" s="127">
        <f t="shared" si="44"/>
        <v>13184.01</v>
      </c>
      <c r="Z258" s="33" t="s">
        <v>15</v>
      </c>
      <c r="AA258" s="36" t="s">
        <v>16</v>
      </c>
      <c r="AB258" s="181">
        <f t="shared" si="41"/>
        <v>1</v>
      </c>
      <c r="AC258" s="181">
        <f t="shared" si="52"/>
        <v>13184.01</v>
      </c>
      <c r="AD258" s="181">
        <v>1.7</v>
      </c>
      <c r="AE258" s="181">
        <v>1.7</v>
      </c>
      <c r="AF258" s="101" t="str">
        <f t="shared" si="42"/>
        <v/>
      </c>
      <c r="AG258" s="190">
        <v>1</v>
      </c>
      <c r="AH258" s="69">
        <f t="shared" si="43"/>
        <v>1</v>
      </c>
    </row>
    <row r="259" spans="1:34" s="69" customFormat="1" ht="39" x14ac:dyDescent="0.3">
      <c r="A259" s="130" t="s">
        <v>662</v>
      </c>
      <c r="B259" s="131" t="s">
        <v>663</v>
      </c>
      <c r="C259" s="132" t="s">
        <v>30</v>
      </c>
      <c r="D259" s="203">
        <v>47.01</v>
      </c>
      <c r="E259" s="203"/>
      <c r="F259" s="203"/>
      <c r="G259" s="203"/>
      <c r="H259" s="75">
        <v>1859.87</v>
      </c>
      <c r="I259" s="75">
        <v>87432.49</v>
      </c>
      <c r="J259" s="91" t="s">
        <v>664</v>
      </c>
      <c r="K259" s="73"/>
      <c r="L259" s="46">
        <v>47.01</v>
      </c>
      <c r="M259" s="46">
        <v>0</v>
      </c>
      <c r="N259" s="46">
        <v>87432.49</v>
      </c>
      <c r="O259" s="98"/>
      <c r="P259" s="23" t="s">
        <v>1389</v>
      </c>
      <c r="Q259" s="24" t="s">
        <v>663</v>
      </c>
      <c r="R259" s="25" t="s">
        <v>30</v>
      </c>
      <c r="S259" s="26">
        <v>47.01</v>
      </c>
      <c r="T259" s="26"/>
      <c r="U259" s="26">
        <v>1859.87</v>
      </c>
      <c r="V259" s="127">
        <f t="shared" si="50"/>
        <v>0</v>
      </c>
      <c r="W259" s="127">
        <f t="shared" si="53"/>
        <v>47.01</v>
      </c>
      <c r="X259" s="127">
        <f t="shared" si="51"/>
        <v>0</v>
      </c>
      <c r="Y259" s="127">
        <f t="shared" si="44"/>
        <v>87432.49</v>
      </c>
      <c r="Z259" s="33" t="s">
        <v>15</v>
      </c>
      <c r="AA259" s="36" t="s">
        <v>16</v>
      </c>
      <c r="AB259" s="181">
        <f t="shared" si="41"/>
        <v>47.01</v>
      </c>
      <c r="AC259" s="181">
        <f t="shared" si="52"/>
        <v>87432.49</v>
      </c>
      <c r="AD259" s="181">
        <v>1.7</v>
      </c>
      <c r="AE259" s="181">
        <v>1.7</v>
      </c>
      <c r="AF259" s="101" t="str">
        <f t="shared" si="42"/>
        <v/>
      </c>
      <c r="AG259" s="190">
        <v>47.01</v>
      </c>
      <c r="AH259" s="69">
        <f t="shared" si="43"/>
        <v>47.01</v>
      </c>
    </row>
    <row r="260" spans="1:34" s="69" customFormat="1" ht="39" x14ac:dyDescent="0.3">
      <c r="A260" s="130" t="s">
        <v>665</v>
      </c>
      <c r="B260" s="131" t="s">
        <v>666</v>
      </c>
      <c r="C260" s="132" t="s">
        <v>325</v>
      </c>
      <c r="D260" s="203">
        <v>63</v>
      </c>
      <c r="E260" s="203"/>
      <c r="F260" s="203"/>
      <c r="G260" s="203"/>
      <c r="H260" s="75">
        <v>40</v>
      </c>
      <c r="I260" s="75">
        <v>2520</v>
      </c>
      <c r="J260" s="91" t="s">
        <v>667</v>
      </c>
      <c r="K260" s="73"/>
      <c r="L260" s="46">
        <v>63</v>
      </c>
      <c r="M260" s="46">
        <v>0</v>
      </c>
      <c r="N260" s="46">
        <v>2520</v>
      </c>
      <c r="O260" s="98"/>
      <c r="P260" s="23" t="s">
        <v>1390</v>
      </c>
      <c r="Q260" s="24" t="s">
        <v>666</v>
      </c>
      <c r="R260" s="25" t="s">
        <v>325</v>
      </c>
      <c r="S260" s="26">
        <v>63</v>
      </c>
      <c r="T260" s="26"/>
      <c r="U260" s="26">
        <v>40</v>
      </c>
      <c r="V260" s="127">
        <f t="shared" si="50"/>
        <v>0</v>
      </c>
      <c r="W260" s="127">
        <f t="shared" si="53"/>
        <v>63</v>
      </c>
      <c r="X260" s="127">
        <f t="shared" si="51"/>
        <v>0</v>
      </c>
      <c r="Y260" s="127">
        <f t="shared" si="44"/>
        <v>2520</v>
      </c>
      <c r="Z260" s="33" t="s">
        <v>15</v>
      </c>
      <c r="AA260" s="36" t="s">
        <v>16</v>
      </c>
      <c r="AB260" s="181">
        <f t="shared" si="41"/>
        <v>63</v>
      </c>
      <c r="AC260" s="181">
        <f t="shared" si="52"/>
        <v>2520</v>
      </c>
      <c r="AD260" s="181">
        <v>1.7</v>
      </c>
      <c r="AE260" s="181">
        <v>1.7</v>
      </c>
      <c r="AF260" s="101" t="str">
        <f t="shared" si="42"/>
        <v/>
      </c>
      <c r="AG260" s="190">
        <v>63</v>
      </c>
      <c r="AH260" s="69">
        <f t="shared" si="43"/>
        <v>63</v>
      </c>
    </row>
    <row r="261" spans="1:34" s="69" customFormat="1" ht="58.5" x14ac:dyDescent="0.3">
      <c r="A261" s="130" t="s">
        <v>668</v>
      </c>
      <c r="B261" s="131" t="s">
        <v>669</v>
      </c>
      <c r="C261" s="132" t="s">
        <v>162</v>
      </c>
      <c r="D261" s="203">
        <v>315</v>
      </c>
      <c r="E261" s="203"/>
      <c r="F261" s="203"/>
      <c r="G261" s="203"/>
      <c r="H261" s="75">
        <v>35</v>
      </c>
      <c r="I261" s="75">
        <v>11025</v>
      </c>
      <c r="J261" s="91" t="s">
        <v>670</v>
      </c>
      <c r="K261" s="73"/>
      <c r="L261" s="46">
        <v>315</v>
      </c>
      <c r="M261" s="46">
        <v>0</v>
      </c>
      <c r="N261" s="46">
        <v>11025</v>
      </c>
      <c r="O261" s="98"/>
      <c r="P261" s="23" t="s">
        <v>1391</v>
      </c>
      <c r="Q261" s="24" t="s">
        <v>669</v>
      </c>
      <c r="R261" s="25" t="s">
        <v>162</v>
      </c>
      <c r="S261" s="26">
        <v>315</v>
      </c>
      <c r="T261" s="26"/>
      <c r="U261" s="26">
        <v>35</v>
      </c>
      <c r="V261" s="127">
        <f t="shared" si="50"/>
        <v>0</v>
      </c>
      <c r="W261" s="127">
        <f t="shared" si="53"/>
        <v>315</v>
      </c>
      <c r="X261" s="127">
        <f t="shared" si="51"/>
        <v>0</v>
      </c>
      <c r="Y261" s="127">
        <f t="shared" si="44"/>
        <v>11025</v>
      </c>
      <c r="Z261" s="33" t="s">
        <v>15</v>
      </c>
      <c r="AA261" s="36" t="s">
        <v>16</v>
      </c>
      <c r="AB261" s="181">
        <f t="shared" si="41"/>
        <v>315</v>
      </c>
      <c r="AC261" s="181">
        <f t="shared" si="52"/>
        <v>11025</v>
      </c>
      <c r="AD261" s="181">
        <v>1.7</v>
      </c>
      <c r="AE261" s="181">
        <v>1.7</v>
      </c>
      <c r="AF261" s="101" t="str">
        <f t="shared" si="42"/>
        <v/>
      </c>
      <c r="AG261" s="190">
        <v>315</v>
      </c>
      <c r="AH261" s="69">
        <f t="shared" si="43"/>
        <v>315</v>
      </c>
    </row>
    <row r="262" spans="1:34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>
        <v>10</v>
      </c>
      <c r="I262" s="75">
        <v>12000</v>
      </c>
      <c r="J262" s="91" t="s">
        <v>673</v>
      </c>
      <c r="K262" s="73"/>
      <c r="L262" s="46">
        <v>0</v>
      </c>
      <c r="M262" s="46">
        <v>0</v>
      </c>
      <c r="N262" s="46">
        <v>0</v>
      </c>
      <c r="O262" s="98"/>
      <c r="P262" s="23" t="s">
        <v>1436</v>
      </c>
      <c r="Q262" s="24" t="s">
        <v>672</v>
      </c>
      <c r="R262" s="25" t="s">
        <v>30</v>
      </c>
      <c r="S262" s="26">
        <v>1200</v>
      </c>
      <c r="T262" s="26"/>
      <c r="U262" s="26">
        <v>10</v>
      </c>
      <c r="V262" s="26">
        <f t="shared" si="50"/>
        <v>0</v>
      </c>
      <c r="W262" s="26">
        <f t="shared" si="53"/>
        <v>0</v>
      </c>
      <c r="X262" s="26">
        <f t="shared" si="51"/>
        <v>0</v>
      </c>
      <c r="Y262" s="26">
        <f t="shared" si="44"/>
        <v>0</v>
      </c>
      <c r="Z262" s="33" t="s">
        <v>15</v>
      </c>
      <c r="AA262" s="36" t="s">
        <v>16</v>
      </c>
      <c r="AB262" s="181">
        <f t="shared" si="41"/>
        <v>1200</v>
      </c>
      <c r="AC262" s="181">
        <f t="shared" si="52"/>
        <v>12000</v>
      </c>
      <c r="AD262" s="181">
        <v>1.7</v>
      </c>
      <c r="AE262" s="181">
        <v>1.7</v>
      </c>
      <c r="AF262" s="101" t="str">
        <f t="shared" si="42"/>
        <v/>
      </c>
      <c r="AG262" s="190">
        <v>0</v>
      </c>
      <c r="AH262" s="69">
        <f t="shared" si="43"/>
        <v>1200</v>
      </c>
    </row>
    <row r="263" spans="1:34" s="69" customFormat="1" ht="33" x14ac:dyDescent="0.3">
      <c r="A263" s="130" t="s">
        <v>674</v>
      </c>
      <c r="B263" s="131" t="s">
        <v>675</v>
      </c>
      <c r="C263" s="132" t="s">
        <v>50</v>
      </c>
      <c r="D263" s="203">
        <v>30.85</v>
      </c>
      <c r="E263" s="203"/>
      <c r="F263" s="203"/>
      <c r="G263" s="203"/>
      <c r="H263" s="75">
        <v>531</v>
      </c>
      <c r="I263" s="75">
        <v>16381.35</v>
      </c>
      <c r="J263" s="91" t="s">
        <v>676</v>
      </c>
      <c r="K263" s="73"/>
      <c r="L263" s="46">
        <v>30.85</v>
      </c>
      <c r="M263" s="46">
        <v>0</v>
      </c>
      <c r="N263" s="46">
        <v>16381.35</v>
      </c>
      <c r="O263" s="98"/>
      <c r="P263" s="23" t="s">
        <v>1374</v>
      </c>
      <c r="Q263" s="24" t="s">
        <v>675</v>
      </c>
      <c r="R263" s="25" t="s">
        <v>50</v>
      </c>
      <c r="S263" s="26">
        <v>30.85</v>
      </c>
      <c r="T263" s="26"/>
      <c r="U263" s="26">
        <v>531</v>
      </c>
      <c r="V263" s="127">
        <f t="shared" si="50"/>
        <v>0</v>
      </c>
      <c r="W263" s="127">
        <f t="shared" si="53"/>
        <v>30.85</v>
      </c>
      <c r="X263" s="127">
        <f t="shared" si="51"/>
        <v>0</v>
      </c>
      <c r="Y263" s="127">
        <f t="shared" si="44"/>
        <v>16381.35</v>
      </c>
      <c r="Z263" s="33" t="s">
        <v>15</v>
      </c>
      <c r="AA263" s="36" t="s">
        <v>16</v>
      </c>
      <c r="AB263" s="181">
        <f t="shared" si="41"/>
        <v>30.85</v>
      </c>
      <c r="AC263" s="181">
        <f t="shared" si="52"/>
        <v>16381.35</v>
      </c>
      <c r="AD263" s="181">
        <v>1.7</v>
      </c>
      <c r="AE263" s="181">
        <v>1.7</v>
      </c>
      <c r="AF263" s="101" t="str">
        <f t="shared" si="42"/>
        <v/>
      </c>
      <c r="AG263" s="190">
        <v>30.85</v>
      </c>
      <c r="AH263" s="69">
        <f t="shared" si="43"/>
        <v>30.85</v>
      </c>
    </row>
    <row r="264" spans="1:34" s="69" customFormat="1" ht="33" x14ac:dyDescent="0.3">
      <c r="A264" s="130" t="s">
        <v>677</v>
      </c>
      <c r="B264" s="131" t="s">
        <v>678</v>
      </c>
      <c r="C264" s="132" t="s">
        <v>23</v>
      </c>
      <c r="D264" s="203">
        <v>3.7</v>
      </c>
      <c r="E264" s="203"/>
      <c r="F264" s="203"/>
      <c r="G264" s="203"/>
      <c r="H264" s="75">
        <v>3386.57</v>
      </c>
      <c r="I264" s="75">
        <v>12530.31</v>
      </c>
      <c r="J264" s="91" t="s">
        <v>679</v>
      </c>
      <c r="K264" s="73"/>
      <c r="L264" s="46">
        <v>3.7</v>
      </c>
      <c r="M264" s="46">
        <v>0</v>
      </c>
      <c r="N264" s="46">
        <v>12530.31</v>
      </c>
      <c r="O264" s="98"/>
      <c r="P264" s="23" t="s">
        <v>1376</v>
      </c>
      <c r="Q264" s="24" t="s">
        <v>678</v>
      </c>
      <c r="R264" s="25" t="s">
        <v>23</v>
      </c>
      <c r="S264" s="26">
        <v>3.7</v>
      </c>
      <c r="T264" s="26"/>
      <c r="U264" s="26">
        <v>3386.57</v>
      </c>
      <c r="V264" s="127">
        <f t="shared" si="50"/>
        <v>0</v>
      </c>
      <c r="W264" s="127">
        <f t="shared" si="53"/>
        <v>3.7</v>
      </c>
      <c r="X264" s="127">
        <f t="shared" si="51"/>
        <v>0</v>
      </c>
      <c r="Y264" s="127">
        <f t="shared" si="44"/>
        <v>12530.31</v>
      </c>
      <c r="Z264" s="33" t="s">
        <v>15</v>
      </c>
      <c r="AA264" s="36" t="s">
        <v>16</v>
      </c>
      <c r="AB264" s="181">
        <f t="shared" si="41"/>
        <v>3.7</v>
      </c>
      <c r="AC264" s="181">
        <f t="shared" si="52"/>
        <v>12530.31</v>
      </c>
      <c r="AD264" s="181">
        <v>1.7</v>
      </c>
      <c r="AE264" s="181">
        <v>1.7</v>
      </c>
      <c r="AF264" s="101" t="str">
        <f t="shared" si="42"/>
        <v/>
      </c>
      <c r="AG264" s="190">
        <v>3.7</v>
      </c>
      <c r="AH264" s="69">
        <f t="shared" si="43"/>
        <v>3.7</v>
      </c>
    </row>
    <row r="265" spans="1:34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75"/>
      <c r="H265" s="75">
        <v>108000</v>
      </c>
      <c r="I265" s="75">
        <v>108000</v>
      </c>
      <c r="J265" s="91" t="s">
        <v>682</v>
      </c>
      <c r="K265" s="73"/>
      <c r="L265" s="46">
        <v>0</v>
      </c>
      <c r="M265" s="46">
        <v>0</v>
      </c>
      <c r="N265" s="46">
        <v>0</v>
      </c>
      <c r="O265" s="98"/>
      <c r="P265" s="23" t="s">
        <v>1378</v>
      </c>
      <c r="Q265" s="24" t="s">
        <v>681</v>
      </c>
      <c r="R265" s="25" t="s">
        <v>14</v>
      </c>
      <c r="S265" s="26">
        <v>1</v>
      </c>
      <c r="T265" s="26"/>
      <c r="U265" s="26">
        <v>108000</v>
      </c>
      <c r="V265" s="26">
        <f t="shared" si="50"/>
        <v>0</v>
      </c>
      <c r="W265" s="26">
        <f t="shared" si="53"/>
        <v>0</v>
      </c>
      <c r="X265" s="26">
        <f t="shared" si="51"/>
        <v>0</v>
      </c>
      <c r="Y265" s="26">
        <f t="shared" si="44"/>
        <v>0</v>
      </c>
      <c r="Z265" s="33" t="s">
        <v>15</v>
      </c>
      <c r="AA265" s="36" t="s">
        <v>16</v>
      </c>
      <c r="AB265" s="181">
        <f t="shared" si="41"/>
        <v>1</v>
      </c>
      <c r="AC265" s="181">
        <f t="shared" si="52"/>
        <v>108000</v>
      </c>
      <c r="AD265" s="181">
        <v>1.7</v>
      </c>
      <c r="AE265" s="181">
        <v>1.7</v>
      </c>
      <c r="AF265" s="101" t="str">
        <f t="shared" si="42"/>
        <v/>
      </c>
      <c r="AG265" s="190">
        <v>0</v>
      </c>
      <c r="AH265" s="69">
        <f t="shared" si="43"/>
        <v>1</v>
      </c>
    </row>
    <row r="266" spans="1:34" s="69" customFormat="1" ht="33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75"/>
      <c r="H266" s="75">
        <v>500</v>
      </c>
      <c r="I266" s="75">
        <v>724160</v>
      </c>
      <c r="J266" s="91" t="s">
        <v>685</v>
      </c>
      <c r="K266" s="73"/>
      <c r="L266" s="46">
        <v>0</v>
      </c>
      <c r="M266" s="46">
        <v>0</v>
      </c>
      <c r="N266" s="46">
        <v>0</v>
      </c>
      <c r="O266" s="98"/>
      <c r="P266" s="23" t="s">
        <v>1438</v>
      </c>
      <c r="Q266" s="24" t="s">
        <v>684</v>
      </c>
      <c r="R266" s="25" t="s">
        <v>50</v>
      </c>
      <c r="S266" s="26">
        <v>1448.32</v>
      </c>
      <c r="T266" s="26"/>
      <c r="U266" s="26">
        <v>500</v>
      </c>
      <c r="V266" s="26">
        <f t="shared" si="50"/>
        <v>0</v>
      </c>
      <c r="W266" s="26">
        <f t="shared" si="53"/>
        <v>0</v>
      </c>
      <c r="X266" s="26">
        <f t="shared" si="51"/>
        <v>0</v>
      </c>
      <c r="Y266" s="26">
        <f t="shared" si="44"/>
        <v>0</v>
      </c>
      <c r="Z266" s="33" t="s">
        <v>15</v>
      </c>
      <c r="AA266" s="36" t="s">
        <v>16</v>
      </c>
      <c r="AB266" s="181">
        <f t="shared" si="41"/>
        <v>1448.32</v>
      </c>
      <c r="AC266" s="181">
        <f t="shared" si="52"/>
        <v>724160</v>
      </c>
      <c r="AD266" s="181">
        <v>1.7</v>
      </c>
      <c r="AE266" s="181">
        <v>1.7</v>
      </c>
      <c r="AF266" s="101" t="str">
        <f t="shared" si="42"/>
        <v/>
      </c>
      <c r="AG266" s="190">
        <v>0</v>
      </c>
      <c r="AH266" s="69">
        <f t="shared" si="43"/>
        <v>1448.32</v>
      </c>
    </row>
    <row r="267" spans="1:34" s="69" customFormat="1" ht="58.5" hidden="1" x14ac:dyDescent="0.3">
      <c r="A267" s="55" t="s">
        <v>686</v>
      </c>
      <c r="B267" s="53" t="s">
        <v>687</v>
      </c>
      <c r="C267" s="54" t="s">
        <v>606</v>
      </c>
      <c r="D267" s="75">
        <v>42</v>
      </c>
      <c r="E267" s="75"/>
      <c r="F267" s="75"/>
      <c r="G267" s="75"/>
      <c r="H267" s="75">
        <v>10176.969999999999</v>
      </c>
      <c r="I267" s="75">
        <v>427432.74</v>
      </c>
      <c r="J267" s="91" t="s">
        <v>688</v>
      </c>
      <c r="K267" s="73"/>
      <c r="L267" s="46">
        <v>0</v>
      </c>
      <c r="M267" s="46">
        <v>0</v>
      </c>
      <c r="N267" s="46">
        <v>0</v>
      </c>
      <c r="O267" s="98"/>
      <c r="P267" s="23" t="s">
        <v>1439</v>
      </c>
      <c r="Q267" s="24" t="s">
        <v>687</v>
      </c>
      <c r="R267" s="25" t="s">
        <v>606</v>
      </c>
      <c r="S267" s="26">
        <v>42</v>
      </c>
      <c r="T267" s="26"/>
      <c r="U267" s="26">
        <v>10176.969999999999</v>
      </c>
      <c r="V267" s="26">
        <f t="shared" si="50"/>
        <v>0</v>
      </c>
      <c r="W267" s="26">
        <f t="shared" si="53"/>
        <v>0</v>
      </c>
      <c r="X267" s="26">
        <f t="shared" si="51"/>
        <v>0</v>
      </c>
      <c r="Y267" s="26">
        <f t="shared" si="44"/>
        <v>0</v>
      </c>
      <c r="Z267" s="33" t="s">
        <v>15</v>
      </c>
      <c r="AA267" s="36" t="s">
        <v>16</v>
      </c>
      <c r="AB267" s="181">
        <f t="shared" ref="AB267:AB330" si="54">IF(T267="",S267,T267)</f>
        <v>42</v>
      </c>
      <c r="AC267" s="181">
        <f t="shared" si="52"/>
        <v>427432.74</v>
      </c>
      <c r="AD267" s="181">
        <v>1.7</v>
      </c>
      <c r="AE267" s="181">
        <v>1.7</v>
      </c>
      <c r="AF267" s="101" t="str">
        <f t="shared" ref="AF267:AF330" si="55">IF(W267&gt;AH267,"超估","")</f>
        <v/>
      </c>
      <c r="AG267" s="190">
        <v>0</v>
      </c>
      <c r="AH267" s="69">
        <f t="shared" ref="AH267:AH330" si="56">IF(G267=0,IF(F267=0,IF(E267=0,D267,E267),F267),G267)</f>
        <v>42</v>
      </c>
    </row>
    <row r="268" spans="1:34" s="69" customFormat="1" ht="58.5" hidden="1" x14ac:dyDescent="0.3">
      <c r="A268" s="55" t="s">
        <v>689</v>
      </c>
      <c r="B268" s="53" t="s">
        <v>690</v>
      </c>
      <c r="C268" s="54" t="s">
        <v>606</v>
      </c>
      <c r="D268" s="75">
        <v>19</v>
      </c>
      <c r="E268" s="75"/>
      <c r="F268" s="75"/>
      <c r="G268" s="75"/>
      <c r="H268" s="75">
        <v>13526.18</v>
      </c>
      <c r="I268" s="75">
        <v>256997.42</v>
      </c>
      <c r="J268" s="91" t="s">
        <v>691</v>
      </c>
      <c r="K268" s="73"/>
      <c r="L268" s="46">
        <v>0</v>
      </c>
      <c r="M268" s="46">
        <v>0</v>
      </c>
      <c r="N268" s="46">
        <v>0</v>
      </c>
      <c r="O268" s="98"/>
      <c r="P268" s="23" t="s">
        <v>1440</v>
      </c>
      <c r="Q268" s="24" t="s">
        <v>690</v>
      </c>
      <c r="R268" s="25" t="s">
        <v>606</v>
      </c>
      <c r="S268" s="26">
        <v>19</v>
      </c>
      <c r="T268" s="26"/>
      <c r="U268" s="26">
        <v>13526.18</v>
      </c>
      <c r="V268" s="26">
        <f t="shared" si="50"/>
        <v>0</v>
      </c>
      <c r="W268" s="26">
        <f t="shared" si="53"/>
        <v>0</v>
      </c>
      <c r="X268" s="26">
        <f t="shared" si="51"/>
        <v>0</v>
      </c>
      <c r="Y268" s="26">
        <f t="shared" ref="Y268:Y331" si="57">ROUND(U268*W268,2)</f>
        <v>0</v>
      </c>
      <c r="Z268" s="33" t="s">
        <v>15</v>
      </c>
      <c r="AA268" s="36" t="s">
        <v>16</v>
      </c>
      <c r="AB268" s="181">
        <f t="shared" si="54"/>
        <v>19</v>
      </c>
      <c r="AC268" s="181">
        <f t="shared" si="52"/>
        <v>256997.42</v>
      </c>
      <c r="AD268" s="181">
        <v>1.7</v>
      </c>
      <c r="AE268" s="181">
        <v>1.7</v>
      </c>
      <c r="AF268" s="101" t="str">
        <f t="shared" si="55"/>
        <v/>
      </c>
      <c r="AG268" s="190">
        <v>0</v>
      </c>
      <c r="AH268" s="69">
        <f t="shared" si="56"/>
        <v>19</v>
      </c>
    </row>
    <row r="269" spans="1:34" s="69" customFormat="1" ht="58.5" hidden="1" x14ac:dyDescent="0.3">
      <c r="A269" s="55" t="s">
        <v>692</v>
      </c>
      <c r="B269" s="53" t="s">
        <v>693</v>
      </c>
      <c r="C269" s="54" t="s">
        <v>606</v>
      </c>
      <c r="D269" s="75">
        <v>8</v>
      </c>
      <c r="E269" s="75"/>
      <c r="F269" s="75"/>
      <c r="G269" s="75"/>
      <c r="H269" s="75">
        <v>8660.64</v>
      </c>
      <c r="I269" s="75">
        <v>69285.119999999995</v>
      </c>
      <c r="J269" s="91" t="s">
        <v>694</v>
      </c>
      <c r="K269" s="73"/>
      <c r="L269" s="46">
        <v>0</v>
      </c>
      <c r="M269" s="46">
        <v>0</v>
      </c>
      <c r="N269" s="46">
        <v>0</v>
      </c>
      <c r="O269" s="98"/>
      <c r="P269" s="23" t="s">
        <v>1441</v>
      </c>
      <c r="Q269" s="24" t="s">
        <v>693</v>
      </c>
      <c r="R269" s="25" t="s">
        <v>606</v>
      </c>
      <c r="S269" s="26">
        <v>8</v>
      </c>
      <c r="T269" s="26"/>
      <c r="U269" s="26">
        <v>8660.64</v>
      </c>
      <c r="V269" s="26">
        <f t="shared" si="50"/>
        <v>0</v>
      </c>
      <c r="W269" s="26">
        <f t="shared" si="53"/>
        <v>0</v>
      </c>
      <c r="X269" s="26">
        <f t="shared" si="51"/>
        <v>0</v>
      </c>
      <c r="Y269" s="26">
        <f t="shared" si="57"/>
        <v>0</v>
      </c>
      <c r="Z269" s="33" t="s">
        <v>15</v>
      </c>
      <c r="AA269" s="36" t="s">
        <v>16</v>
      </c>
      <c r="AB269" s="181">
        <f t="shared" si="54"/>
        <v>8</v>
      </c>
      <c r="AC269" s="181">
        <f t="shared" si="52"/>
        <v>69285.119999999995</v>
      </c>
      <c r="AD269" s="181">
        <v>1.7</v>
      </c>
      <c r="AE269" s="181">
        <v>1.7</v>
      </c>
      <c r="AF269" s="101" t="str">
        <f t="shared" si="55"/>
        <v/>
      </c>
      <c r="AG269" s="190">
        <v>0</v>
      </c>
      <c r="AH269" s="69">
        <f t="shared" si="56"/>
        <v>8</v>
      </c>
    </row>
    <row r="270" spans="1:34" s="69" customFormat="1" ht="58.5" hidden="1" x14ac:dyDescent="0.3">
      <c r="A270" s="55" t="s">
        <v>695</v>
      </c>
      <c r="B270" s="53" t="s">
        <v>696</v>
      </c>
      <c r="C270" s="54" t="s">
        <v>606</v>
      </c>
      <c r="D270" s="75">
        <v>8</v>
      </c>
      <c r="E270" s="75"/>
      <c r="F270" s="75"/>
      <c r="G270" s="75"/>
      <c r="H270" s="75">
        <v>17930.64</v>
      </c>
      <c r="I270" s="75">
        <v>143445.12</v>
      </c>
      <c r="J270" s="91" t="s">
        <v>697</v>
      </c>
      <c r="K270" s="73"/>
      <c r="L270" s="46">
        <v>0</v>
      </c>
      <c r="M270" s="46">
        <v>0</v>
      </c>
      <c r="N270" s="46">
        <v>0</v>
      </c>
      <c r="O270" s="98"/>
      <c r="P270" s="23" t="s">
        <v>1442</v>
      </c>
      <c r="Q270" s="24" t="s">
        <v>696</v>
      </c>
      <c r="R270" s="25" t="s">
        <v>606</v>
      </c>
      <c r="S270" s="26">
        <v>8</v>
      </c>
      <c r="T270" s="26"/>
      <c r="U270" s="26">
        <v>17930.64</v>
      </c>
      <c r="V270" s="26">
        <f t="shared" si="50"/>
        <v>0</v>
      </c>
      <c r="W270" s="26">
        <f t="shared" si="53"/>
        <v>0</v>
      </c>
      <c r="X270" s="26">
        <f t="shared" si="51"/>
        <v>0</v>
      </c>
      <c r="Y270" s="26">
        <f t="shared" si="57"/>
        <v>0</v>
      </c>
      <c r="Z270" s="33" t="s">
        <v>15</v>
      </c>
      <c r="AA270" s="36" t="s">
        <v>16</v>
      </c>
      <c r="AB270" s="181">
        <f t="shared" si="54"/>
        <v>8</v>
      </c>
      <c r="AC270" s="181">
        <f t="shared" si="52"/>
        <v>143445.12</v>
      </c>
      <c r="AD270" s="181">
        <v>1.7</v>
      </c>
      <c r="AE270" s="181">
        <v>1.7</v>
      </c>
      <c r="AF270" s="101" t="str">
        <f t="shared" si="55"/>
        <v/>
      </c>
      <c r="AG270" s="190">
        <v>0</v>
      </c>
      <c r="AH270" s="69">
        <f t="shared" si="56"/>
        <v>8</v>
      </c>
    </row>
    <row r="271" spans="1:34" s="69" customFormat="1" ht="58.5" hidden="1" x14ac:dyDescent="0.3">
      <c r="A271" s="55" t="s">
        <v>698</v>
      </c>
      <c r="B271" s="53" t="s">
        <v>699</v>
      </c>
      <c r="C271" s="54" t="s">
        <v>606</v>
      </c>
      <c r="D271" s="75">
        <v>14</v>
      </c>
      <c r="E271" s="75"/>
      <c r="F271" s="75"/>
      <c r="G271" s="75"/>
      <c r="H271" s="75">
        <v>5272.95</v>
      </c>
      <c r="I271" s="75">
        <v>73821.3</v>
      </c>
      <c r="J271" s="91" t="s">
        <v>700</v>
      </c>
      <c r="K271" s="73"/>
      <c r="L271" s="46">
        <v>0</v>
      </c>
      <c r="M271" s="46">
        <v>0</v>
      </c>
      <c r="N271" s="46">
        <v>0</v>
      </c>
      <c r="O271" s="98"/>
      <c r="P271" s="23" t="s">
        <v>1443</v>
      </c>
      <c r="Q271" s="24" t="s">
        <v>699</v>
      </c>
      <c r="R271" s="25" t="s">
        <v>606</v>
      </c>
      <c r="S271" s="26">
        <v>14</v>
      </c>
      <c r="T271" s="26"/>
      <c r="U271" s="26">
        <v>5272.95</v>
      </c>
      <c r="V271" s="26">
        <f t="shared" si="50"/>
        <v>0</v>
      </c>
      <c r="W271" s="26">
        <f t="shared" si="53"/>
        <v>0</v>
      </c>
      <c r="X271" s="26">
        <f t="shared" si="51"/>
        <v>0</v>
      </c>
      <c r="Y271" s="26">
        <f t="shared" si="57"/>
        <v>0</v>
      </c>
      <c r="Z271" s="33" t="s">
        <v>15</v>
      </c>
      <c r="AA271" s="36" t="s">
        <v>16</v>
      </c>
      <c r="AB271" s="181">
        <f t="shared" si="54"/>
        <v>14</v>
      </c>
      <c r="AC271" s="181">
        <f t="shared" si="52"/>
        <v>73821.3</v>
      </c>
      <c r="AD271" s="181">
        <v>1.7</v>
      </c>
      <c r="AE271" s="181">
        <v>1.7</v>
      </c>
      <c r="AF271" s="101" t="str">
        <f t="shared" si="55"/>
        <v/>
      </c>
      <c r="AG271" s="190">
        <v>0</v>
      </c>
      <c r="AH271" s="69">
        <f t="shared" si="56"/>
        <v>14</v>
      </c>
    </row>
    <row r="272" spans="1:34" s="69" customFormat="1" ht="58.5" hidden="1" x14ac:dyDescent="0.3">
      <c r="A272" s="55" t="s">
        <v>701</v>
      </c>
      <c r="B272" s="53" t="s">
        <v>702</v>
      </c>
      <c r="C272" s="54" t="s">
        <v>606</v>
      </c>
      <c r="D272" s="75">
        <v>15</v>
      </c>
      <c r="E272" s="75"/>
      <c r="F272" s="75"/>
      <c r="G272" s="75"/>
      <c r="H272" s="75">
        <v>5272.95</v>
      </c>
      <c r="I272" s="75">
        <v>79094.25</v>
      </c>
      <c r="J272" s="91" t="s">
        <v>703</v>
      </c>
      <c r="K272" s="73"/>
      <c r="L272" s="46">
        <v>0</v>
      </c>
      <c r="M272" s="46">
        <v>0</v>
      </c>
      <c r="N272" s="46">
        <v>0</v>
      </c>
      <c r="O272" s="98"/>
      <c r="P272" s="23" t="s">
        <v>1444</v>
      </c>
      <c r="Q272" s="24" t="s">
        <v>702</v>
      </c>
      <c r="R272" s="25" t="s">
        <v>606</v>
      </c>
      <c r="S272" s="26">
        <v>15</v>
      </c>
      <c r="T272" s="26"/>
      <c r="U272" s="26">
        <v>5272.95</v>
      </c>
      <c r="V272" s="26">
        <f t="shared" si="50"/>
        <v>0</v>
      </c>
      <c r="W272" s="26">
        <f t="shared" si="53"/>
        <v>0</v>
      </c>
      <c r="X272" s="26">
        <f t="shared" si="51"/>
        <v>0</v>
      </c>
      <c r="Y272" s="26">
        <f t="shared" si="57"/>
        <v>0</v>
      </c>
      <c r="Z272" s="33" t="s">
        <v>15</v>
      </c>
      <c r="AA272" s="36" t="s">
        <v>16</v>
      </c>
      <c r="AB272" s="181">
        <f t="shared" si="54"/>
        <v>15</v>
      </c>
      <c r="AC272" s="181">
        <f t="shared" si="52"/>
        <v>79094.25</v>
      </c>
      <c r="AD272" s="181">
        <v>1.7</v>
      </c>
      <c r="AE272" s="181">
        <v>1.7</v>
      </c>
      <c r="AF272" s="101" t="str">
        <f t="shared" si="55"/>
        <v/>
      </c>
      <c r="AG272" s="190">
        <v>0</v>
      </c>
      <c r="AH272" s="69">
        <f t="shared" si="56"/>
        <v>15</v>
      </c>
    </row>
    <row r="273" spans="1:34" s="69" customFormat="1" ht="58.5" hidden="1" x14ac:dyDescent="0.3">
      <c r="A273" s="55" t="s">
        <v>704</v>
      </c>
      <c r="B273" s="53" t="s">
        <v>705</v>
      </c>
      <c r="C273" s="54" t="s">
        <v>606</v>
      </c>
      <c r="D273" s="75">
        <v>1</v>
      </c>
      <c r="E273" s="75"/>
      <c r="F273" s="75"/>
      <c r="G273" s="75"/>
      <c r="H273" s="75">
        <v>7859.47</v>
      </c>
      <c r="I273" s="75">
        <v>7859.47</v>
      </c>
      <c r="J273" s="91" t="s">
        <v>706</v>
      </c>
      <c r="K273" s="73"/>
      <c r="L273" s="46">
        <v>0</v>
      </c>
      <c r="M273" s="46">
        <v>0</v>
      </c>
      <c r="N273" s="46">
        <v>0</v>
      </c>
      <c r="O273" s="98"/>
      <c r="P273" s="23" t="s">
        <v>1408</v>
      </c>
      <c r="Q273" s="24" t="s">
        <v>705</v>
      </c>
      <c r="R273" s="25" t="s">
        <v>606</v>
      </c>
      <c r="S273" s="26">
        <v>1</v>
      </c>
      <c r="T273" s="26"/>
      <c r="U273" s="26">
        <v>7859.47</v>
      </c>
      <c r="V273" s="26">
        <f t="shared" si="50"/>
        <v>0</v>
      </c>
      <c r="W273" s="26">
        <f t="shared" si="53"/>
        <v>0</v>
      </c>
      <c r="X273" s="26">
        <f t="shared" si="51"/>
        <v>0</v>
      </c>
      <c r="Y273" s="26">
        <f t="shared" si="57"/>
        <v>0</v>
      </c>
      <c r="Z273" s="33" t="s">
        <v>15</v>
      </c>
      <c r="AA273" s="36" t="s">
        <v>16</v>
      </c>
      <c r="AB273" s="181">
        <f t="shared" si="54"/>
        <v>1</v>
      </c>
      <c r="AC273" s="181">
        <f t="shared" si="52"/>
        <v>7859.47</v>
      </c>
      <c r="AD273" s="181">
        <v>1.7</v>
      </c>
      <c r="AE273" s="181">
        <v>1.7</v>
      </c>
      <c r="AF273" s="101" t="str">
        <f t="shared" si="55"/>
        <v/>
      </c>
      <c r="AG273" s="190">
        <v>0</v>
      </c>
      <c r="AH273" s="69">
        <f t="shared" si="56"/>
        <v>1</v>
      </c>
    </row>
    <row r="274" spans="1:34" s="69" customFormat="1" ht="58.5" hidden="1" x14ac:dyDescent="0.3">
      <c r="A274" s="55" t="s">
        <v>707</v>
      </c>
      <c r="B274" s="53" t="s">
        <v>708</v>
      </c>
      <c r="C274" s="54" t="s">
        <v>606</v>
      </c>
      <c r="D274" s="75">
        <v>1</v>
      </c>
      <c r="E274" s="75"/>
      <c r="F274" s="75"/>
      <c r="G274" s="75"/>
      <c r="H274" s="75">
        <v>5839.45</v>
      </c>
      <c r="I274" s="75">
        <v>5839.45</v>
      </c>
      <c r="J274" s="91" t="s">
        <v>709</v>
      </c>
      <c r="K274" s="73"/>
      <c r="L274" s="46">
        <v>0</v>
      </c>
      <c r="M274" s="46">
        <v>0</v>
      </c>
      <c r="N274" s="46">
        <v>0</v>
      </c>
      <c r="O274" s="98"/>
      <c r="P274" s="23" t="s">
        <v>1409</v>
      </c>
      <c r="Q274" s="24" t="s">
        <v>708</v>
      </c>
      <c r="R274" s="25" t="s">
        <v>606</v>
      </c>
      <c r="S274" s="26">
        <v>1</v>
      </c>
      <c r="T274" s="26"/>
      <c r="U274" s="26">
        <v>5839.45</v>
      </c>
      <c r="V274" s="26">
        <f t="shared" si="50"/>
        <v>0</v>
      </c>
      <c r="W274" s="26">
        <f t="shared" si="53"/>
        <v>0</v>
      </c>
      <c r="X274" s="26">
        <f t="shared" si="51"/>
        <v>0</v>
      </c>
      <c r="Y274" s="26">
        <f t="shared" si="57"/>
        <v>0</v>
      </c>
      <c r="Z274" s="33" t="s">
        <v>15</v>
      </c>
      <c r="AA274" s="36" t="s">
        <v>16</v>
      </c>
      <c r="AB274" s="181">
        <f t="shared" si="54"/>
        <v>1</v>
      </c>
      <c r="AC274" s="181">
        <f t="shared" si="52"/>
        <v>5839.45</v>
      </c>
      <c r="AD274" s="181">
        <v>1.7</v>
      </c>
      <c r="AE274" s="181">
        <v>1.7</v>
      </c>
      <c r="AF274" s="101" t="str">
        <f t="shared" si="55"/>
        <v/>
      </c>
      <c r="AG274" s="190">
        <v>0</v>
      </c>
      <c r="AH274" s="69">
        <f t="shared" si="56"/>
        <v>1</v>
      </c>
    </row>
    <row r="275" spans="1:34" s="69" customFormat="1" ht="58.5" hidden="1" x14ac:dyDescent="0.3">
      <c r="A275" s="55" t="s">
        <v>710</v>
      </c>
      <c r="B275" s="53" t="s">
        <v>711</v>
      </c>
      <c r="C275" s="54" t="s">
        <v>606</v>
      </c>
      <c r="D275" s="75">
        <v>1</v>
      </c>
      <c r="E275" s="75"/>
      <c r="F275" s="75"/>
      <c r="G275" s="75"/>
      <c r="H275" s="75">
        <v>7189.97</v>
      </c>
      <c r="I275" s="75">
        <v>7189.97</v>
      </c>
      <c r="J275" s="91" t="s">
        <v>712</v>
      </c>
      <c r="K275" s="73"/>
      <c r="L275" s="46">
        <v>0</v>
      </c>
      <c r="M275" s="46">
        <v>0</v>
      </c>
      <c r="N275" s="46">
        <v>0</v>
      </c>
      <c r="O275" s="98"/>
      <c r="P275" s="23" t="s">
        <v>1410</v>
      </c>
      <c r="Q275" s="24" t="s">
        <v>711</v>
      </c>
      <c r="R275" s="25" t="s">
        <v>606</v>
      </c>
      <c r="S275" s="26">
        <v>1</v>
      </c>
      <c r="T275" s="26"/>
      <c r="U275" s="26">
        <v>7189.97</v>
      </c>
      <c r="V275" s="26">
        <f t="shared" si="50"/>
        <v>0</v>
      </c>
      <c r="W275" s="26">
        <f t="shared" si="53"/>
        <v>0</v>
      </c>
      <c r="X275" s="26">
        <f t="shared" si="51"/>
        <v>0</v>
      </c>
      <c r="Y275" s="26">
        <f t="shared" si="57"/>
        <v>0</v>
      </c>
      <c r="Z275" s="33" t="s">
        <v>15</v>
      </c>
      <c r="AA275" s="36" t="s">
        <v>16</v>
      </c>
      <c r="AB275" s="181">
        <f t="shared" si="54"/>
        <v>1</v>
      </c>
      <c r="AC275" s="181">
        <f t="shared" si="52"/>
        <v>7189.97</v>
      </c>
      <c r="AD275" s="181">
        <v>1.7</v>
      </c>
      <c r="AE275" s="181">
        <v>1.7</v>
      </c>
      <c r="AF275" s="101" t="str">
        <f t="shared" si="55"/>
        <v/>
      </c>
      <c r="AG275" s="190">
        <v>0</v>
      </c>
      <c r="AH275" s="69">
        <f t="shared" si="56"/>
        <v>1</v>
      </c>
    </row>
    <row r="276" spans="1:34" s="69" customFormat="1" ht="58.5" hidden="1" x14ac:dyDescent="0.3">
      <c r="A276" s="55" t="s">
        <v>713</v>
      </c>
      <c r="B276" s="53" t="s">
        <v>714</v>
      </c>
      <c r="C276" s="54" t="s">
        <v>606</v>
      </c>
      <c r="D276" s="75">
        <v>4</v>
      </c>
      <c r="E276" s="75"/>
      <c r="F276" s="75"/>
      <c r="G276" s="75"/>
      <c r="H276" s="75">
        <v>4860.95</v>
      </c>
      <c r="I276" s="75">
        <v>19443.8</v>
      </c>
      <c r="J276" s="91" t="s">
        <v>715</v>
      </c>
      <c r="K276" s="73"/>
      <c r="L276" s="46">
        <v>0</v>
      </c>
      <c r="M276" s="46">
        <v>0</v>
      </c>
      <c r="N276" s="46">
        <v>0</v>
      </c>
      <c r="O276" s="98"/>
      <c r="P276" s="23" t="s">
        <v>1411</v>
      </c>
      <c r="Q276" s="24" t="s">
        <v>714</v>
      </c>
      <c r="R276" s="25" t="s">
        <v>606</v>
      </c>
      <c r="S276" s="26">
        <v>4</v>
      </c>
      <c r="T276" s="26"/>
      <c r="U276" s="26">
        <v>4860.95</v>
      </c>
      <c r="V276" s="26">
        <f t="shared" si="50"/>
        <v>0</v>
      </c>
      <c r="W276" s="26">
        <f t="shared" si="53"/>
        <v>0</v>
      </c>
      <c r="X276" s="26">
        <f t="shared" si="51"/>
        <v>0</v>
      </c>
      <c r="Y276" s="26">
        <f t="shared" si="57"/>
        <v>0</v>
      </c>
      <c r="Z276" s="33" t="s">
        <v>15</v>
      </c>
      <c r="AA276" s="36" t="s">
        <v>16</v>
      </c>
      <c r="AB276" s="181">
        <f t="shared" si="54"/>
        <v>4</v>
      </c>
      <c r="AC276" s="181">
        <f t="shared" si="52"/>
        <v>19443.8</v>
      </c>
      <c r="AD276" s="181">
        <v>1.7</v>
      </c>
      <c r="AE276" s="181">
        <v>1.7</v>
      </c>
      <c r="AF276" s="101" t="str">
        <f t="shared" si="55"/>
        <v/>
      </c>
      <c r="AG276" s="190">
        <v>0</v>
      </c>
      <c r="AH276" s="69">
        <f t="shared" si="56"/>
        <v>4</v>
      </c>
    </row>
    <row r="277" spans="1:34" s="69" customFormat="1" ht="58.5" hidden="1" x14ac:dyDescent="0.3">
      <c r="A277" s="55" t="s">
        <v>716</v>
      </c>
      <c r="B277" s="53" t="s">
        <v>717</v>
      </c>
      <c r="C277" s="54" t="s">
        <v>606</v>
      </c>
      <c r="D277" s="75">
        <v>1</v>
      </c>
      <c r="E277" s="75"/>
      <c r="F277" s="75"/>
      <c r="G277" s="75"/>
      <c r="H277" s="75">
        <v>14800.45</v>
      </c>
      <c r="I277" s="75">
        <v>14800.45</v>
      </c>
      <c r="J277" s="91" t="s">
        <v>718</v>
      </c>
      <c r="K277" s="73"/>
      <c r="L277" s="46">
        <v>0</v>
      </c>
      <c r="M277" s="46">
        <v>0</v>
      </c>
      <c r="N277" s="46">
        <v>0</v>
      </c>
      <c r="O277" s="98"/>
      <c r="P277" s="23" t="s">
        <v>1445</v>
      </c>
      <c r="Q277" s="24" t="s">
        <v>717</v>
      </c>
      <c r="R277" s="25" t="s">
        <v>606</v>
      </c>
      <c r="S277" s="26">
        <v>1</v>
      </c>
      <c r="T277" s="26"/>
      <c r="U277" s="26">
        <v>14800.45</v>
      </c>
      <c r="V277" s="26">
        <f t="shared" si="50"/>
        <v>0</v>
      </c>
      <c r="W277" s="26">
        <f t="shared" si="53"/>
        <v>0</v>
      </c>
      <c r="X277" s="26">
        <f t="shared" si="51"/>
        <v>0</v>
      </c>
      <c r="Y277" s="26">
        <f t="shared" si="57"/>
        <v>0</v>
      </c>
      <c r="Z277" s="33" t="s">
        <v>15</v>
      </c>
      <c r="AA277" s="36" t="s">
        <v>16</v>
      </c>
      <c r="AB277" s="181">
        <f t="shared" si="54"/>
        <v>1</v>
      </c>
      <c r="AC277" s="181">
        <f t="shared" si="52"/>
        <v>14800.45</v>
      </c>
      <c r="AD277" s="181">
        <v>1.7</v>
      </c>
      <c r="AE277" s="181">
        <v>1.7</v>
      </c>
      <c r="AF277" s="101" t="str">
        <f t="shared" si="55"/>
        <v/>
      </c>
      <c r="AG277" s="190">
        <v>0</v>
      </c>
      <c r="AH277" s="69">
        <f t="shared" si="56"/>
        <v>1</v>
      </c>
    </row>
    <row r="278" spans="1:34" s="69" customFormat="1" ht="58.5" hidden="1" x14ac:dyDescent="0.3">
      <c r="A278" s="55" t="s">
        <v>719</v>
      </c>
      <c r="B278" s="53" t="s">
        <v>720</v>
      </c>
      <c r="C278" s="54" t="s">
        <v>606</v>
      </c>
      <c r="D278" s="75">
        <v>1</v>
      </c>
      <c r="E278" s="75"/>
      <c r="F278" s="75"/>
      <c r="G278" s="75"/>
      <c r="H278" s="75">
        <v>6661.47</v>
      </c>
      <c r="I278" s="75">
        <v>6661.47</v>
      </c>
      <c r="J278" s="91" t="s">
        <v>721</v>
      </c>
      <c r="K278" s="73"/>
      <c r="L278" s="46">
        <v>0</v>
      </c>
      <c r="M278" s="46">
        <v>0</v>
      </c>
      <c r="N278" s="46">
        <v>0</v>
      </c>
      <c r="O278" s="98"/>
      <c r="P278" s="23" t="s">
        <v>1383</v>
      </c>
      <c r="Q278" s="24" t="s">
        <v>720</v>
      </c>
      <c r="R278" s="25" t="s">
        <v>606</v>
      </c>
      <c r="S278" s="26">
        <v>1</v>
      </c>
      <c r="T278" s="26"/>
      <c r="U278" s="26">
        <v>6661.47</v>
      </c>
      <c r="V278" s="26">
        <f t="shared" si="50"/>
        <v>0</v>
      </c>
      <c r="W278" s="26">
        <f t="shared" si="53"/>
        <v>0</v>
      </c>
      <c r="X278" s="26">
        <f t="shared" si="51"/>
        <v>0</v>
      </c>
      <c r="Y278" s="26">
        <f t="shared" si="57"/>
        <v>0</v>
      </c>
      <c r="Z278" s="33" t="s">
        <v>15</v>
      </c>
      <c r="AA278" s="36" t="s">
        <v>16</v>
      </c>
      <c r="AB278" s="181">
        <f t="shared" si="54"/>
        <v>1</v>
      </c>
      <c r="AC278" s="181">
        <f t="shared" si="52"/>
        <v>6661.47</v>
      </c>
      <c r="AD278" s="181">
        <v>1.7</v>
      </c>
      <c r="AE278" s="181">
        <v>1.7</v>
      </c>
      <c r="AF278" s="101" t="str">
        <f t="shared" si="55"/>
        <v/>
      </c>
      <c r="AG278" s="190">
        <v>0</v>
      </c>
      <c r="AH278" s="69">
        <f t="shared" si="56"/>
        <v>1</v>
      </c>
    </row>
    <row r="279" spans="1:34" s="69" customFormat="1" ht="58.5" hidden="1" x14ac:dyDescent="0.3">
      <c r="A279" s="55" t="s">
        <v>722</v>
      </c>
      <c r="B279" s="53" t="s">
        <v>723</v>
      </c>
      <c r="C279" s="54" t="s">
        <v>606</v>
      </c>
      <c r="D279" s="75">
        <v>1</v>
      </c>
      <c r="E279" s="75"/>
      <c r="F279" s="75"/>
      <c r="G279" s="75"/>
      <c r="H279" s="75">
        <v>15584.47</v>
      </c>
      <c r="I279" s="75">
        <v>15584.47</v>
      </c>
      <c r="J279" s="91" t="s">
        <v>724</v>
      </c>
      <c r="K279" s="73"/>
      <c r="L279" s="46">
        <v>0</v>
      </c>
      <c r="M279" s="46">
        <v>0</v>
      </c>
      <c r="N279" s="46">
        <v>0</v>
      </c>
      <c r="O279" s="98"/>
      <c r="P279" s="23" t="s">
        <v>1384</v>
      </c>
      <c r="Q279" s="24" t="s">
        <v>723</v>
      </c>
      <c r="R279" s="25" t="s">
        <v>606</v>
      </c>
      <c r="S279" s="26">
        <v>1</v>
      </c>
      <c r="T279" s="26"/>
      <c r="U279" s="26">
        <v>15584.47</v>
      </c>
      <c r="V279" s="26">
        <f t="shared" si="50"/>
        <v>0</v>
      </c>
      <c r="W279" s="26">
        <f t="shared" si="53"/>
        <v>0</v>
      </c>
      <c r="X279" s="26">
        <f t="shared" si="51"/>
        <v>0</v>
      </c>
      <c r="Y279" s="26">
        <f t="shared" si="57"/>
        <v>0</v>
      </c>
      <c r="Z279" s="33" t="s">
        <v>15</v>
      </c>
      <c r="AA279" s="36" t="s">
        <v>16</v>
      </c>
      <c r="AB279" s="181">
        <f t="shared" si="54"/>
        <v>1</v>
      </c>
      <c r="AC279" s="181">
        <f t="shared" si="52"/>
        <v>15584.47</v>
      </c>
      <c r="AD279" s="181">
        <v>1.7</v>
      </c>
      <c r="AE279" s="181">
        <v>1.7</v>
      </c>
      <c r="AF279" s="101" t="str">
        <f t="shared" si="55"/>
        <v/>
      </c>
      <c r="AG279" s="190">
        <v>0</v>
      </c>
      <c r="AH279" s="69">
        <f t="shared" si="56"/>
        <v>1</v>
      </c>
    </row>
    <row r="280" spans="1:34" s="69" customFormat="1" ht="58.5" hidden="1" x14ac:dyDescent="0.3">
      <c r="A280" s="55" t="s">
        <v>725</v>
      </c>
      <c r="B280" s="53" t="s">
        <v>726</v>
      </c>
      <c r="C280" s="54" t="s">
        <v>606</v>
      </c>
      <c r="D280" s="75">
        <v>4</v>
      </c>
      <c r="E280" s="75"/>
      <c r="F280" s="75"/>
      <c r="G280" s="75"/>
      <c r="H280" s="75">
        <v>3949.4</v>
      </c>
      <c r="I280" s="75">
        <v>15797.6</v>
      </c>
      <c r="J280" s="91" t="s">
        <v>727</v>
      </c>
      <c r="K280" s="73"/>
      <c r="L280" s="46">
        <v>0</v>
      </c>
      <c r="M280" s="46">
        <v>0</v>
      </c>
      <c r="N280" s="46">
        <v>0</v>
      </c>
      <c r="O280" s="98"/>
      <c r="P280" s="23" t="s">
        <v>1385</v>
      </c>
      <c r="Q280" s="24" t="s">
        <v>726</v>
      </c>
      <c r="R280" s="25" t="s">
        <v>606</v>
      </c>
      <c r="S280" s="26">
        <v>4</v>
      </c>
      <c r="T280" s="26"/>
      <c r="U280" s="26">
        <v>3949.4</v>
      </c>
      <c r="V280" s="26">
        <f t="shared" si="50"/>
        <v>0</v>
      </c>
      <c r="W280" s="26">
        <f t="shared" si="53"/>
        <v>0</v>
      </c>
      <c r="X280" s="26">
        <f t="shared" si="51"/>
        <v>0</v>
      </c>
      <c r="Y280" s="26">
        <f t="shared" si="57"/>
        <v>0</v>
      </c>
      <c r="Z280" s="33" t="s">
        <v>15</v>
      </c>
      <c r="AA280" s="36" t="s">
        <v>16</v>
      </c>
      <c r="AB280" s="181">
        <f t="shared" si="54"/>
        <v>4</v>
      </c>
      <c r="AC280" s="181">
        <f t="shared" si="52"/>
        <v>15797.6</v>
      </c>
      <c r="AD280" s="181">
        <v>1.7</v>
      </c>
      <c r="AE280" s="181">
        <v>1.7</v>
      </c>
      <c r="AF280" s="101" t="str">
        <f t="shared" si="55"/>
        <v/>
      </c>
      <c r="AG280" s="190">
        <v>0</v>
      </c>
      <c r="AH280" s="69">
        <f t="shared" si="56"/>
        <v>4</v>
      </c>
    </row>
    <row r="281" spans="1:34" s="69" customFormat="1" ht="39" hidden="1" x14ac:dyDescent="0.3">
      <c r="A281" s="55" t="s">
        <v>728</v>
      </c>
      <c r="B281" s="53" t="s">
        <v>729</v>
      </c>
      <c r="C281" s="54" t="s">
        <v>606</v>
      </c>
      <c r="D281" s="75">
        <v>1</v>
      </c>
      <c r="E281" s="75"/>
      <c r="F281" s="75"/>
      <c r="G281" s="75"/>
      <c r="H281" s="75">
        <v>227.07</v>
      </c>
      <c r="I281" s="75">
        <v>227.07</v>
      </c>
      <c r="J281" s="91" t="s">
        <v>730</v>
      </c>
      <c r="K281" s="73"/>
      <c r="L281" s="46">
        <v>0</v>
      </c>
      <c r="M281" s="46">
        <v>0</v>
      </c>
      <c r="N281" s="46">
        <v>0</v>
      </c>
      <c r="O281" s="98"/>
      <c r="P281" s="23" t="s">
        <v>1446</v>
      </c>
      <c r="Q281" s="24" t="s">
        <v>729</v>
      </c>
      <c r="R281" s="25" t="s">
        <v>606</v>
      </c>
      <c r="S281" s="26">
        <v>1</v>
      </c>
      <c r="T281" s="26"/>
      <c r="U281" s="26">
        <v>227.07</v>
      </c>
      <c r="V281" s="26">
        <f t="shared" si="50"/>
        <v>0</v>
      </c>
      <c r="W281" s="26">
        <f t="shared" si="53"/>
        <v>0</v>
      </c>
      <c r="X281" s="26">
        <f t="shared" si="51"/>
        <v>0</v>
      </c>
      <c r="Y281" s="26">
        <f t="shared" si="57"/>
        <v>0</v>
      </c>
      <c r="Z281" s="33" t="s">
        <v>15</v>
      </c>
      <c r="AA281" s="36" t="s">
        <v>16</v>
      </c>
      <c r="AB281" s="181">
        <f t="shared" si="54"/>
        <v>1</v>
      </c>
      <c r="AC281" s="181">
        <f t="shared" si="52"/>
        <v>227.07</v>
      </c>
      <c r="AD281" s="181">
        <v>1.7</v>
      </c>
      <c r="AE281" s="181">
        <v>1.7</v>
      </c>
      <c r="AF281" s="101" t="str">
        <f t="shared" si="55"/>
        <v/>
      </c>
      <c r="AG281" s="190">
        <v>0</v>
      </c>
      <c r="AH281" s="69">
        <f t="shared" si="56"/>
        <v>1</v>
      </c>
    </row>
    <row r="282" spans="1:34" s="69" customFormat="1" ht="39" hidden="1" x14ac:dyDescent="0.3">
      <c r="A282" s="55" t="s">
        <v>731</v>
      </c>
      <c r="B282" s="53" t="s">
        <v>732</v>
      </c>
      <c r="C282" s="54" t="s">
        <v>606</v>
      </c>
      <c r="D282" s="75">
        <v>1</v>
      </c>
      <c r="E282" s="75"/>
      <c r="F282" s="75"/>
      <c r="G282" s="75"/>
      <c r="H282" s="75">
        <v>277.02999999999997</v>
      </c>
      <c r="I282" s="75">
        <v>277.02999999999997</v>
      </c>
      <c r="J282" s="91" t="s">
        <v>733</v>
      </c>
      <c r="K282" s="73"/>
      <c r="L282" s="46">
        <v>0</v>
      </c>
      <c r="M282" s="46">
        <v>0</v>
      </c>
      <c r="N282" s="46">
        <v>0</v>
      </c>
      <c r="O282" s="98"/>
      <c r="P282" s="23" t="s">
        <v>1447</v>
      </c>
      <c r="Q282" s="24" t="s">
        <v>732</v>
      </c>
      <c r="R282" s="25" t="s">
        <v>606</v>
      </c>
      <c r="S282" s="26">
        <v>1</v>
      </c>
      <c r="T282" s="26"/>
      <c r="U282" s="26">
        <v>277.02999999999997</v>
      </c>
      <c r="V282" s="26">
        <f t="shared" si="50"/>
        <v>0</v>
      </c>
      <c r="W282" s="26">
        <f t="shared" si="53"/>
        <v>0</v>
      </c>
      <c r="X282" s="26">
        <f t="shared" si="51"/>
        <v>0</v>
      </c>
      <c r="Y282" s="26">
        <f t="shared" si="57"/>
        <v>0</v>
      </c>
      <c r="Z282" s="33" t="s">
        <v>15</v>
      </c>
      <c r="AA282" s="36" t="s">
        <v>16</v>
      </c>
      <c r="AB282" s="181">
        <f t="shared" si="54"/>
        <v>1</v>
      </c>
      <c r="AC282" s="181">
        <f t="shared" si="52"/>
        <v>277.02999999999997</v>
      </c>
      <c r="AD282" s="181">
        <v>1.7</v>
      </c>
      <c r="AE282" s="181">
        <v>1.7</v>
      </c>
      <c r="AF282" s="101" t="str">
        <f t="shared" si="55"/>
        <v/>
      </c>
      <c r="AG282" s="190">
        <v>0</v>
      </c>
      <c r="AH282" s="69">
        <f t="shared" si="56"/>
        <v>1</v>
      </c>
    </row>
    <row r="283" spans="1:34" s="69" customFormat="1" ht="39" hidden="1" x14ac:dyDescent="0.3">
      <c r="A283" s="55" t="s">
        <v>734</v>
      </c>
      <c r="B283" s="53" t="s">
        <v>735</v>
      </c>
      <c r="C283" s="54" t="s">
        <v>606</v>
      </c>
      <c r="D283" s="75">
        <v>1</v>
      </c>
      <c r="E283" s="75"/>
      <c r="F283" s="75"/>
      <c r="G283" s="75"/>
      <c r="H283" s="75">
        <v>286.3</v>
      </c>
      <c r="I283" s="75">
        <v>286.3</v>
      </c>
      <c r="J283" s="91" t="s">
        <v>736</v>
      </c>
      <c r="K283" s="73"/>
      <c r="L283" s="46">
        <v>0</v>
      </c>
      <c r="M283" s="46">
        <v>0</v>
      </c>
      <c r="N283" s="46">
        <v>0</v>
      </c>
      <c r="O283" s="98"/>
      <c r="P283" s="23" t="s">
        <v>1448</v>
      </c>
      <c r="Q283" s="24" t="s">
        <v>735</v>
      </c>
      <c r="R283" s="25" t="s">
        <v>606</v>
      </c>
      <c r="S283" s="26">
        <v>1</v>
      </c>
      <c r="T283" s="26"/>
      <c r="U283" s="26">
        <v>286.3</v>
      </c>
      <c r="V283" s="26">
        <f t="shared" si="50"/>
        <v>0</v>
      </c>
      <c r="W283" s="26">
        <f t="shared" si="53"/>
        <v>0</v>
      </c>
      <c r="X283" s="26">
        <f t="shared" si="51"/>
        <v>0</v>
      </c>
      <c r="Y283" s="26">
        <f t="shared" si="57"/>
        <v>0</v>
      </c>
      <c r="Z283" s="33" t="s">
        <v>15</v>
      </c>
      <c r="AA283" s="36" t="s">
        <v>16</v>
      </c>
      <c r="AB283" s="181">
        <f t="shared" si="54"/>
        <v>1</v>
      </c>
      <c r="AC283" s="181">
        <f t="shared" si="52"/>
        <v>286.3</v>
      </c>
      <c r="AD283" s="181">
        <v>1.7</v>
      </c>
      <c r="AE283" s="181">
        <v>1.7</v>
      </c>
      <c r="AF283" s="101" t="str">
        <f t="shared" si="55"/>
        <v/>
      </c>
      <c r="AG283" s="190">
        <v>0</v>
      </c>
      <c r="AH283" s="69">
        <f t="shared" si="56"/>
        <v>1</v>
      </c>
    </row>
    <row r="284" spans="1:34" s="69" customFormat="1" ht="39" hidden="1" x14ac:dyDescent="0.3">
      <c r="A284" s="55" t="s">
        <v>737</v>
      </c>
      <c r="B284" s="53" t="s">
        <v>738</v>
      </c>
      <c r="C284" s="54" t="s">
        <v>606</v>
      </c>
      <c r="D284" s="75">
        <v>1</v>
      </c>
      <c r="E284" s="75"/>
      <c r="F284" s="75"/>
      <c r="G284" s="75"/>
      <c r="H284" s="75">
        <v>134.37</v>
      </c>
      <c r="I284" s="75">
        <v>134.37</v>
      </c>
      <c r="J284" s="91" t="s">
        <v>739</v>
      </c>
      <c r="K284" s="73"/>
      <c r="L284" s="46">
        <v>0</v>
      </c>
      <c r="M284" s="46">
        <v>0</v>
      </c>
      <c r="N284" s="46">
        <v>0</v>
      </c>
      <c r="O284" s="98"/>
      <c r="P284" s="23" t="s">
        <v>1449</v>
      </c>
      <c r="Q284" s="24" t="s">
        <v>738</v>
      </c>
      <c r="R284" s="25" t="s">
        <v>606</v>
      </c>
      <c r="S284" s="26">
        <v>1</v>
      </c>
      <c r="T284" s="26"/>
      <c r="U284" s="26">
        <v>134.37</v>
      </c>
      <c r="V284" s="26">
        <f t="shared" si="50"/>
        <v>0</v>
      </c>
      <c r="W284" s="26">
        <f t="shared" si="53"/>
        <v>0</v>
      </c>
      <c r="X284" s="26">
        <f t="shared" si="51"/>
        <v>0</v>
      </c>
      <c r="Y284" s="26">
        <f t="shared" si="57"/>
        <v>0</v>
      </c>
      <c r="Z284" s="33" t="s">
        <v>15</v>
      </c>
      <c r="AA284" s="36" t="s">
        <v>16</v>
      </c>
      <c r="AB284" s="181">
        <f t="shared" si="54"/>
        <v>1</v>
      </c>
      <c r="AC284" s="181">
        <f t="shared" si="52"/>
        <v>134.37</v>
      </c>
      <c r="AD284" s="181">
        <v>1.7</v>
      </c>
      <c r="AE284" s="181">
        <v>1.7</v>
      </c>
      <c r="AF284" s="101" t="str">
        <f t="shared" si="55"/>
        <v/>
      </c>
      <c r="AG284" s="190">
        <v>0</v>
      </c>
      <c r="AH284" s="69">
        <f t="shared" si="56"/>
        <v>1</v>
      </c>
    </row>
    <row r="285" spans="1:34" s="69" customFormat="1" ht="39" hidden="1" x14ac:dyDescent="0.3">
      <c r="A285" s="55" t="s">
        <v>740</v>
      </c>
      <c r="B285" s="53" t="s">
        <v>741</v>
      </c>
      <c r="C285" s="54" t="s">
        <v>606</v>
      </c>
      <c r="D285" s="75">
        <v>1</v>
      </c>
      <c r="E285" s="75"/>
      <c r="F285" s="75"/>
      <c r="G285" s="75"/>
      <c r="H285" s="75">
        <v>142.1</v>
      </c>
      <c r="I285" s="75">
        <v>142.1</v>
      </c>
      <c r="J285" s="91" t="s">
        <v>742</v>
      </c>
      <c r="K285" s="73"/>
      <c r="L285" s="46">
        <v>0</v>
      </c>
      <c r="M285" s="46">
        <v>0</v>
      </c>
      <c r="N285" s="46">
        <v>0</v>
      </c>
      <c r="O285" s="98"/>
      <c r="P285" s="23" t="s">
        <v>1450</v>
      </c>
      <c r="Q285" s="24" t="s">
        <v>741</v>
      </c>
      <c r="R285" s="25" t="s">
        <v>606</v>
      </c>
      <c r="S285" s="26">
        <v>1</v>
      </c>
      <c r="T285" s="26"/>
      <c r="U285" s="26">
        <v>142.1</v>
      </c>
      <c r="V285" s="26">
        <f t="shared" si="50"/>
        <v>0</v>
      </c>
      <c r="W285" s="26">
        <f t="shared" si="53"/>
        <v>0</v>
      </c>
      <c r="X285" s="26">
        <f t="shared" si="51"/>
        <v>0</v>
      </c>
      <c r="Y285" s="26">
        <f t="shared" si="57"/>
        <v>0</v>
      </c>
      <c r="Z285" s="33" t="s">
        <v>15</v>
      </c>
      <c r="AA285" s="36" t="s">
        <v>16</v>
      </c>
      <c r="AB285" s="181">
        <f t="shared" si="54"/>
        <v>1</v>
      </c>
      <c r="AC285" s="181">
        <f t="shared" si="52"/>
        <v>142.1</v>
      </c>
      <c r="AD285" s="181">
        <v>1.7</v>
      </c>
      <c r="AE285" s="181">
        <v>1.7</v>
      </c>
      <c r="AF285" s="101" t="str">
        <f t="shared" si="55"/>
        <v/>
      </c>
      <c r="AG285" s="190">
        <v>0</v>
      </c>
      <c r="AH285" s="69">
        <f t="shared" si="56"/>
        <v>1</v>
      </c>
    </row>
    <row r="286" spans="1:34" s="69" customFormat="1" ht="39" hidden="1" x14ac:dyDescent="0.3">
      <c r="A286" s="55" t="s">
        <v>743</v>
      </c>
      <c r="B286" s="53" t="s">
        <v>744</v>
      </c>
      <c r="C286" s="54" t="s">
        <v>606</v>
      </c>
      <c r="D286" s="75">
        <v>1</v>
      </c>
      <c r="E286" s="75"/>
      <c r="F286" s="75"/>
      <c r="G286" s="75"/>
      <c r="H286" s="75">
        <v>90.32</v>
      </c>
      <c r="I286" s="75">
        <v>90.32</v>
      </c>
      <c r="J286" s="91" t="s">
        <v>745</v>
      </c>
      <c r="K286" s="73"/>
      <c r="L286" s="46">
        <v>0</v>
      </c>
      <c r="M286" s="46">
        <v>0</v>
      </c>
      <c r="N286" s="46">
        <v>0</v>
      </c>
      <c r="O286" s="98"/>
      <c r="P286" s="23" t="s">
        <v>1451</v>
      </c>
      <c r="Q286" s="24" t="s">
        <v>744</v>
      </c>
      <c r="R286" s="25" t="s">
        <v>606</v>
      </c>
      <c r="S286" s="26">
        <v>1</v>
      </c>
      <c r="T286" s="26"/>
      <c r="U286" s="26">
        <v>90.32</v>
      </c>
      <c r="V286" s="26">
        <f t="shared" si="50"/>
        <v>0</v>
      </c>
      <c r="W286" s="26">
        <f t="shared" si="53"/>
        <v>0</v>
      </c>
      <c r="X286" s="26">
        <f t="shared" si="51"/>
        <v>0</v>
      </c>
      <c r="Y286" s="26">
        <f t="shared" si="57"/>
        <v>0</v>
      </c>
      <c r="Z286" s="33" t="s">
        <v>15</v>
      </c>
      <c r="AA286" s="36" t="s">
        <v>16</v>
      </c>
      <c r="AB286" s="181">
        <f t="shared" si="54"/>
        <v>1</v>
      </c>
      <c r="AC286" s="181">
        <f t="shared" si="52"/>
        <v>90.32</v>
      </c>
      <c r="AD286" s="181">
        <v>1.7</v>
      </c>
      <c r="AE286" s="181">
        <v>1.7</v>
      </c>
      <c r="AF286" s="101" t="str">
        <f t="shared" si="55"/>
        <v/>
      </c>
      <c r="AG286" s="190">
        <v>0</v>
      </c>
      <c r="AH286" s="69">
        <f t="shared" si="56"/>
        <v>1</v>
      </c>
    </row>
    <row r="287" spans="1:34" s="69" customFormat="1" ht="39" hidden="1" x14ac:dyDescent="0.3">
      <c r="A287" s="55" t="s">
        <v>746</v>
      </c>
      <c r="B287" s="53" t="s">
        <v>747</v>
      </c>
      <c r="C287" s="54" t="s">
        <v>606</v>
      </c>
      <c r="D287" s="75">
        <v>1</v>
      </c>
      <c r="E287" s="75"/>
      <c r="F287" s="75"/>
      <c r="G287" s="75"/>
      <c r="H287" s="75">
        <v>125.1</v>
      </c>
      <c r="I287" s="75">
        <v>125.1</v>
      </c>
      <c r="J287" s="91" t="s">
        <v>748</v>
      </c>
      <c r="K287" s="73"/>
      <c r="L287" s="46">
        <v>0</v>
      </c>
      <c r="M287" s="46">
        <v>0</v>
      </c>
      <c r="N287" s="46">
        <v>0</v>
      </c>
      <c r="O287" s="98"/>
      <c r="P287" s="23" t="s">
        <v>1452</v>
      </c>
      <c r="Q287" s="24" t="s">
        <v>747</v>
      </c>
      <c r="R287" s="25" t="s">
        <v>606</v>
      </c>
      <c r="S287" s="26">
        <v>1</v>
      </c>
      <c r="T287" s="26"/>
      <c r="U287" s="26">
        <v>125.1</v>
      </c>
      <c r="V287" s="26">
        <f t="shared" si="50"/>
        <v>0</v>
      </c>
      <c r="W287" s="26">
        <f t="shared" si="53"/>
        <v>0</v>
      </c>
      <c r="X287" s="26">
        <f t="shared" si="51"/>
        <v>0</v>
      </c>
      <c r="Y287" s="26">
        <f t="shared" si="57"/>
        <v>0</v>
      </c>
      <c r="Z287" s="33" t="s">
        <v>15</v>
      </c>
      <c r="AA287" s="36" t="s">
        <v>16</v>
      </c>
      <c r="AB287" s="181">
        <f t="shared" si="54"/>
        <v>1</v>
      </c>
      <c r="AC287" s="181">
        <f t="shared" si="52"/>
        <v>125.1</v>
      </c>
      <c r="AD287" s="181">
        <v>1.7</v>
      </c>
      <c r="AE287" s="181">
        <v>1.7</v>
      </c>
      <c r="AF287" s="101" t="str">
        <f t="shared" si="55"/>
        <v/>
      </c>
      <c r="AG287" s="190">
        <v>0</v>
      </c>
      <c r="AH287" s="69">
        <f t="shared" si="56"/>
        <v>1</v>
      </c>
    </row>
    <row r="288" spans="1:34" s="69" customFormat="1" ht="39" hidden="1" x14ac:dyDescent="0.3">
      <c r="A288" s="55" t="s">
        <v>749</v>
      </c>
      <c r="B288" s="53" t="s">
        <v>750</v>
      </c>
      <c r="C288" s="54" t="s">
        <v>606</v>
      </c>
      <c r="D288" s="75">
        <v>1</v>
      </c>
      <c r="E288" s="75"/>
      <c r="F288" s="75"/>
      <c r="G288" s="75"/>
      <c r="H288" s="75">
        <v>137.04</v>
      </c>
      <c r="I288" s="75">
        <v>137.04</v>
      </c>
      <c r="J288" s="91" t="s">
        <v>751</v>
      </c>
      <c r="K288" s="73"/>
      <c r="L288" s="46">
        <v>0</v>
      </c>
      <c r="M288" s="46">
        <v>0</v>
      </c>
      <c r="N288" s="46">
        <v>0</v>
      </c>
      <c r="O288" s="98"/>
      <c r="P288" s="23" t="s">
        <v>1453</v>
      </c>
      <c r="Q288" s="24" t="s">
        <v>750</v>
      </c>
      <c r="R288" s="25" t="s">
        <v>606</v>
      </c>
      <c r="S288" s="26">
        <v>1</v>
      </c>
      <c r="T288" s="26"/>
      <c r="U288" s="26">
        <v>137.04</v>
      </c>
      <c r="V288" s="26">
        <f t="shared" si="50"/>
        <v>0</v>
      </c>
      <c r="W288" s="26">
        <f t="shared" si="53"/>
        <v>0</v>
      </c>
      <c r="X288" s="26">
        <f t="shared" si="51"/>
        <v>0</v>
      </c>
      <c r="Y288" s="26">
        <f t="shared" si="57"/>
        <v>0</v>
      </c>
      <c r="Z288" s="33" t="s">
        <v>15</v>
      </c>
      <c r="AA288" s="36" t="s">
        <v>16</v>
      </c>
      <c r="AB288" s="181">
        <f t="shared" si="54"/>
        <v>1</v>
      </c>
      <c r="AC288" s="181">
        <f t="shared" si="52"/>
        <v>137.04</v>
      </c>
      <c r="AD288" s="181">
        <v>1.7</v>
      </c>
      <c r="AE288" s="181">
        <v>1.7</v>
      </c>
      <c r="AF288" s="101" t="str">
        <f t="shared" si="55"/>
        <v/>
      </c>
      <c r="AG288" s="190">
        <v>0</v>
      </c>
      <c r="AH288" s="69">
        <f t="shared" si="56"/>
        <v>1</v>
      </c>
    </row>
    <row r="289" spans="1:34" s="69" customFormat="1" ht="39" hidden="1" x14ac:dyDescent="0.3">
      <c r="A289" s="55" t="s">
        <v>752</v>
      </c>
      <c r="B289" s="53" t="s">
        <v>753</v>
      </c>
      <c r="C289" s="54" t="s">
        <v>606</v>
      </c>
      <c r="D289" s="75">
        <v>1</v>
      </c>
      <c r="E289" s="75"/>
      <c r="F289" s="75"/>
      <c r="G289" s="75"/>
      <c r="H289" s="75">
        <v>107.12</v>
      </c>
      <c r="I289" s="75">
        <v>107.12</v>
      </c>
      <c r="J289" s="91" t="s">
        <v>754</v>
      </c>
      <c r="K289" s="73"/>
      <c r="L289" s="46">
        <v>0</v>
      </c>
      <c r="M289" s="46">
        <v>0</v>
      </c>
      <c r="N289" s="46">
        <v>0</v>
      </c>
      <c r="O289" s="98"/>
      <c r="P289" s="23" t="s">
        <v>1454</v>
      </c>
      <c r="Q289" s="24" t="s">
        <v>753</v>
      </c>
      <c r="R289" s="25" t="s">
        <v>606</v>
      </c>
      <c r="S289" s="26">
        <v>1</v>
      </c>
      <c r="T289" s="26"/>
      <c r="U289" s="26">
        <v>107.12</v>
      </c>
      <c r="V289" s="26">
        <f t="shared" si="50"/>
        <v>0</v>
      </c>
      <c r="W289" s="26">
        <f t="shared" si="53"/>
        <v>0</v>
      </c>
      <c r="X289" s="26">
        <f t="shared" si="51"/>
        <v>0</v>
      </c>
      <c r="Y289" s="26">
        <f t="shared" si="57"/>
        <v>0</v>
      </c>
      <c r="Z289" s="33" t="s">
        <v>15</v>
      </c>
      <c r="AA289" s="36" t="s">
        <v>16</v>
      </c>
      <c r="AB289" s="181">
        <f t="shared" si="54"/>
        <v>1</v>
      </c>
      <c r="AC289" s="181">
        <f t="shared" si="52"/>
        <v>107.12</v>
      </c>
      <c r="AD289" s="181">
        <v>1.7</v>
      </c>
      <c r="AE289" s="181">
        <v>1.7</v>
      </c>
      <c r="AF289" s="101" t="str">
        <f t="shared" si="55"/>
        <v/>
      </c>
      <c r="AG289" s="190">
        <v>0</v>
      </c>
      <c r="AH289" s="69">
        <f t="shared" si="56"/>
        <v>1</v>
      </c>
    </row>
    <row r="290" spans="1:34" s="69" customFormat="1" ht="39" hidden="1" x14ac:dyDescent="0.3">
      <c r="A290" s="55" t="s">
        <v>755</v>
      </c>
      <c r="B290" s="53" t="s">
        <v>756</v>
      </c>
      <c r="C290" s="54" t="s">
        <v>606</v>
      </c>
      <c r="D290" s="75">
        <v>1</v>
      </c>
      <c r="E290" s="75"/>
      <c r="F290" s="75"/>
      <c r="G290" s="75"/>
      <c r="H290" s="75">
        <v>124.17</v>
      </c>
      <c r="I290" s="75">
        <v>124.17</v>
      </c>
      <c r="J290" s="91" t="s">
        <v>757</v>
      </c>
      <c r="K290" s="73"/>
      <c r="L290" s="46">
        <v>0</v>
      </c>
      <c r="M290" s="46">
        <v>0</v>
      </c>
      <c r="N290" s="46">
        <v>0</v>
      </c>
      <c r="O290" s="98"/>
      <c r="P290" s="23" t="s">
        <v>1455</v>
      </c>
      <c r="Q290" s="24" t="s">
        <v>756</v>
      </c>
      <c r="R290" s="25" t="s">
        <v>606</v>
      </c>
      <c r="S290" s="26">
        <v>1</v>
      </c>
      <c r="T290" s="26"/>
      <c r="U290" s="26">
        <v>124.17</v>
      </c>
      <c r="V290" s="26">
        <f t="shared" si="50"/>
        <v>0</v>
      </c>
      <c r="W290" s="26">
        <f t="shared" si="53"/>
        <v>0</v>
      </c>
      <c r="X290" s="26">
        <f t="shared" si="51"/>
        <v>0</v>
      </c>
      <c r="Y290" s="26">
        <f t="shared" si="57"/>
        <v>0</v>
      </c>
      <c r="Z290" s="33" t="s">
        <v>15</v>
      </c>
      <c r="AA290" s="36" t="s">
        <v>16</v>
      </c>
      <c r="AB290" s="181">
        <f t="shared" si="54"/>
        <v>1</v>
      </c>
      <c r="AC290" s="181">
        <f t="shared" si="52"/>
        <v>124.17</v>
      </c>
      <c r="AD290" s="181">
        <v>1.7</v>
      </c>
      <c r="AE290" s="181">
        <v>1.7</v>
      </c>
      <c r="AF290" s="101" t="str">
        <f t="shared" si="55"/>
        <v/>
      </c>
      <c r="AG290" s="190">
        <v>0</v>
      </c>
      <c r="AH290" s="69">
        <f t="shared" si="56"/>
        <v>1</v>
      </c>
    </row>
    <row r="291" spans="1:34" s="69" customFormat="1" ht="39" hidden="1" x14ac:dyDescent="0.3">
      <c r="A291" s="55" t="s">
        <v>758</v>
      </c>
      <c r="B291" s="53" t="s">
        <v>759</v>
      </c>
      <c r="C291" s="54" t="s">
        <v>606</v>
      </c>
      <c r="D291" s="75">
        <v>1</v>
      </c>
      <c r="E291" s="75"/>
      <c r="F291" s="75"/>
      <c r="G291" s="75"/>
      <c r="H291" s="75">
        <v>121.59</v>
      </c>
      <c r="I291" s="75">
        <v>121.59</v>
      </c>
      <c r="J291" s="91" t="s">
        <v>760</v>
      </c>
      <c r="K291" s="73"/>
      <c r="L291" s="46">
        <v>0</v>
      </c>
      <c r="M291" s="46">
        <v>0</v>
      </c>
      <c r="N291" s="46">
        <v>0</v>
      </c>
      <c r="O291" s="98"/>
      <c r="P291" s="23" t="s">
        <v>1456</v>
      </c>
      <c r="Q291" s="24" t="s">
        <v>759</v>
      </c>
      <c r="R291" s="25" t="s">
        <v>606</v>
      </c>
      <c r="S291" s="26">
        <v>1</v>
      </c>
      <c r="T291" s="26"/>
      <c r="U291" s="26">
        <v>121.59</v>
      </c>
      <c r="V291" s="26">
        <f t="shared" si="50"/>
        <v>0</v>
      </c>
      <c r="W291" s="26">
        <f t="shared" si="53"/>
        <v>0</v>
      </c>
      <c r="X291" s="26">
        <f t="shared" si="51"/>
        <v>0</v>
      </c>
      <c r="Y291" s="26">
        <f t="shared" si="57"/>
        <v>0</v>
      </c>
      <c r="Z291" s="33" t="s">
        <v>15</v>
      </c>
      <c r="AA291" s="36" t="s">
        <v>16</v>
      </c>
      <c r="AB291" s="181">
        <f t="shared" si="54"/>
        <v>1</v>
      </c>
      <c r="AC291" s="181">
        <f t="shared" si="52"/>
        <v>121.59</v>
      </c>
      <c r="AD291" s="181">
        <v>1.7</v>
      </c>
      <c r="AE291" s="181">
        <v>1.7</v>
      </c>
      <c r="AF291" s="101" t="str">
        <f t="shared" si="55"/>
        <v/>
      </c>
      <c r="AG291" s="190">
        <v>0</v>
      </c>
      <c r="AH291" s="69">
        <f t="shared" si="56"/>
        <v>1</v>
      </c>
    </row>
    <row r="292" spans="1:34" s="69" customFormat="1" ht="39" hidden="1" x14ac:dyDescent="0.3">
      <c r="A292" s="55" t="s">
        <v>761</v>
      </c>
      <c r="B292" s="53" t="s">
        <v>762</v>
      </c>
      <c r="C292" s="54" t="s">
        <v>606</v>
      </c>
      <c r="D292" s="75">
        <v>1</v>
      </c>
      <c r="E292" s="75"/>
      <c r="F292" s="75"/>
      <c r="G292" s="75"/>
      <c r="H292" s="75">
        <v>154.51</v>
      </c>
      <c r="I292" s="75">
        <v>154.51</v>
      </c>
      <c r="J292" s="91" t="s">
        <v>763</v>
      </c>
      <c r="K292" s="73"/>
      <c r="L292" s="46">
        <v>0</v>
      </c>
      <c r="M292" s="46">
        <v>0</v>
      </c>
      <c r="N292" s="46">
        <v>0</v>
      </c>
      <c r="O292" s="98"/>
      <c r="P292" s="23" t="s">
        <v>1457</v>
      </c>
      <c r="Q292" s="24" t="s">
        <v>762</v>
      </c>
      <c r="R292" s="25" t="s">
        <v>606</v>
      </c>
      <c r="S292" s="26">
        <v>1</v>
      </c>
      <c r="T292" s="26"/>
      <c r="U292" s="26">
        <v>154.51</v>
      </c>
      <c r="V292" s="26">
        <f t="shared" si="50"/>
        <v>0</v>
      </c>
      <c r="W292" s="26">
        <f t="shared" si="53"/>
        <v>0</v>
      </c>
      <c r="X292" s="26">
        <f t="shared" si="51"/>
        <v>0</v>
      </c>
      <c r="Y292" s="26">
        <f t="shared" si="57"/>
        <v>0</v>
      </c>
      <c r="Z292" s="33" t="s">
        <v>15</v>
      </c>
      <c r="AA292" s="36" t="s">
        <v>16</v>
      </c>
      <c r="AB292" s="181">
        <f t="shared" si="54"/>
        <v>1</v>
      </c>
      <c r="AC292" s="181">
        <f t="shared" si="52"/>
        <v>154.51</v>
      </c>
      <c r="AD292" s="181">
        <v>1.7</v>
      </c>
      <c r="AE292" s="181">
        <v>1.7</v>
      </c>
      <c r="AF292" s="101" t="str">
        <f t="shared" si="55"/>
        <v/>
      </c>
      <c r="AG292" s="190">
        <v>0</v>
      </c>
      <c r="AH292" s="69">
        <f t="shared" si="56"/>
        <v>1</v>
      </c>
    </row>
    <row r="293" spans="1:34" s="69" customFormat="1" ht="39" hidden="1" x14ac:dyDescent="0.3">
      <c r="A293" s="55" t="s">
        <v>764</v>
      </c>
      <c r="B293" s="53" t="s">
        <v>765</v>
      </c>
      <c r="C293" s="54" t="s">
        <v>606</v>
      </c>
      <c r="D293" s="75">
        <v>1</v>
      </c>
      <c r="E293" s="75"/>
      <c r="F293" s="75"/>
      <c r="G293" s="75"/>
      <c r="H293" s="75">
        <v>36.549999999999997</v>
      </c>
      <c r="I293" s="75">
        <v>36.549999999999997</v>
      </c>
      <c r="J293" s="91" t="s">
        <v>766</v>
      </c>
      <c r="K293" s="73"/>
      <c r="L293" s="46">
        <v>0</v>
      </c>
      <c r="M293" s="46">
        <v>0</v>
      </c>
      <c r="N293" s="46">
        <v>0</v>
      </c>
      <c r="O293" s="98"/>
      <c r="P293" s="23" t="s">
        <v>1458</v>
      </c>
      <c r="Q293" s="24" t="s">
        <v>765</v>
      </c>
      <c r="R293" s="25" t="s">
        <v>606</v>
      </c>
      <c r="S293" s="26">
        <v>1</v>
      </c>
      <c r="T293" s="26"/>
      <c r="U293" s="26">
        <v>36.549999999999997</v>
      </c>
      <c r="V293" s="26">
        <f t="shared" si="50"/>
        <v>0</v>
      </c>
      <c r="W293" s="26">
        <f t="shared" si="53"/>
        <v>0</v>
      </c>
      <c r="X293" s="26">
        <f t="shared" si="51"/>
        <v>0</v>
      </c>
      <c r="Y293" s="26">
        <f t="shared" si="57"/>
        <v>0</v>
      </c>
      <c r="Z293" s="33" t="s">
        <v>15</v>
      </c>
      <c r="AA293" s="36" t="s">
        <v>16</v>
      </c>
      <c r="AB293" s="181">
        <f t="shared" si="54"/>
        <v>1</v>
      </c>
      <c r="AC293" s="181">
        <f t="shared" si="52"/>
        <v>36.549999999999997</v>
      </c>
      <c r="AD293" s="181">
        <v>1.7</v>
      </c>
      <c r="AE293" s="181">
        <v>1.7</v>
      </c>
      <c r="AF293" s="101" t="str">
        <f t="shared" si="55"/>
        <v/>
      </c>
      <c r="AG293" s="190">
        <v>0</v>
      </c>
      <c r="AH293" s="69">
        <f t="shared" si="56"/>
        <v>1</v>
      </c>
    </row>
    <row r="294" spans="1:34" s="69" customFormat="1" ht="39" hidden="1" x14ac:dyDescent="0.3">
      <c r="A294" s="55" t="s">
        <v>767</v>
      </c>
      <c r="B294" s="53" t="s">
        <v>768</v>
      </c>
      <c r="C294" s="54" t="s">
        <v>606</v>
      </c>
      <c r="D294" s="75">
        <v>1</v>
      </c>
      <c r="E294" s="75"/>
      <c r="F294" s="75"/>
      <c r="G294" s="75"/>
      <c r="H294" s="75">
        <v>27.8</v>
      </c>
      <c r="I294" s="75">
        <v>27.8</v>
      </c>
      <c r="J294" s="91" t="s">
        <v>769</v>
      </c>
      <c r="K294" s="73"/>
      <c r="L294" s="46">
        <v>0</v>
      </c>
      <c r="M294" s="46">
        <v>0</v>
      </c>
      <c r="N294" s="46">
        <v>0</v>
      </c>
      <c r="O294" s="98"/>
      <c r="P294" s="23" t="s">
        <v>1459</v>
      </c>
      <c r="Q294" s="24" t="s">
        <v>768</v>
      </c>
      <c r="R294" s="25" t="s">
        <v>606</v>
      </c>
      <c r="S294" s="26">
        <v>1</v>
      </c>
      <c r="T294" s="26"/>
      <c r="U294" s="26">
        <v>27.8</v>
      </c>
      <c r="V294" s="26">
        <f t="shared" si="50"/>
        <v>0</v>
      </c>
      <c r="W294" s="26">
        <f t="shared" si="53"/>
        <v>0</v>
      </c>
      <c r="X294" s="26">
        <f t="shared" si="51"/>
        <v>0</v>
      </c>
      <c r="Y294" s="26">
        <f t="shared" si="57"/>
        <v>0</v>
      </c>
      <c r="Z294" s="33" t="s">
        <v>15</v>
      </c>
      <c r="AA294" s="36" t="s">
        <v>16</v>
      </c>
      <c r="AB294" s="181">
        <f t="shared" si="54"/>
        <v>1</v>
      </c>
      <c r="AC294" s="181">
        <f t="shared" si="52"/>
        <v>27.8</v>
      </c>
      <c r="AD294" s="181">
        <v>1.7</v>
      </c>
      <c r="AE294" s="181">
        <v>1.7</v>
      </c>
      <c r="AF294" s="101" t="str">
        <f t="shared" si="55"/>
        <v/>
      </c>
      <c r="AG294" s="190">
        <v>0</v>
      </c>
      <c r="AH294" s="69">
        <f t="shared" si="56"/>
        <v>1</v>
      </c>
    </row>
    <row r="295" spans="1:34" s="69" customFormat="1" ht="39" hidden="1" x14ac:dyDescent="0.3">
      <c r="A295" s="55" t="s">
        <v>770</v>
      </c>
      <c r="B295" s="53" t="s">
        <v>771</v>
      </c>
      <c r="C295" s="54" t="s">
        <v>606</v>
      </c>
      <c r="D295" s="75">
        <v>1</v>
      </c>
      <c r="E295" s="75"/>
      <c r="F295" s="75"/>
      <c r="G295" s="75"/>
      <c r="H295" s="75">
        <v>105.13</v>
      </c>
      <c r="I295" s="75">
        <v>105.13</v>
      </c>
      <c r="J295" s="91" t="s">
        <v>772</v>
      </c>
      <c r="K295" s="73"/>
      <c r="L295" s="46">
        <v>0</v>
      </c>
      <c r="M295" s="46">
        <v>0</v>
      </c>
      <c r="N295" s="46">
        <v>0</v>
      </c>
      <c r="O295" s="98"/>
      <c r="P295" s="23" t="s">
        <v>1460</v>
      </c>
      <c r="Q295" s="24" t="s">
        <v>771</v>
      </c>
      <c r="R295" s="25" t="s">
        <v>606</v>
      </c>
      <c r="S295" s="26">
        <v>1</v>
      </c>
      <c r="T295" s="26"/>
      <c r="U295" s="26">
        <v>105.13</v>
      </c>
      <c r="V295" s="26">
        <f t="shared" si="50"/>
        <v>0</v>
      </c>
      <c r="W295" s="26">
        <f t="shared" si="53"/>
        <v>0</v>
      </c>
      <c r="X295" s="26">
        <f t="shared" si="51"/>
        <v>0</v>
      </c>
      <c r="Y295" s="26">
        <f t="shared" si="57"/>
        <v>0</v>
      </c>
      <c r="Z295" s="33" t="s">
        <v>15</v>
      </c>
      <c r="AA295" s="36" t="s">
        <v>16</v>
      </c>
      <c r="AB295" s="181">
        <f t="shared" si="54"/>
        <v>1</v>
      </c>
      <c r="AC295" s="181">
        <f t="shared" si="52"/>
        <v>105.13</v>
      </c>
      <c r="AD295" s="181">
        <v>1.7</v>
      </c>
      <c r="AE295" s="181">
        <v>1.7</v>
      </c>
      <c r="AF295" s="101" t="str">
        <f t="shared" si="55"/>
        <v/>
      </c>
      <c r="AG295" s="190">
        <v>0</v>
      </c>
      <c r="AH295" s="69">
        <f t="shared" si="56"/>
        <v>1</v>
      </c>
    </row>
    <row r="296" spans="1:34" s="69" customFormat="1" ht="39" hidden="1" x14ac:dyDescent="0.3">
      <c r="A296" s="55" t="s">
        <v>773</v>
      </c>
      <c r="B296" s="53" t="s">
        <v>774</v>
      </c>
      <c r="C296" s="54" t="s">
        <v>606</v>
      </c>
      <c r="D296" s="75">
        <v>1</v>
      </c>
      <c r="E296" s="75"/>
      <c r="F296" s="75"/>
      <c r="G296" s="75"/>
      <c r="H296" s="75">
        <v>53.12</v>
      </c>
      <c r="I296" s="75">
        <v>53.12</v>
      </c>
      <c r="J296" s="91" t="s">
        <v>775</v>
      </c>
      <c r="K296" s="73"/>
      <c r="L296" s="46">
        <v>0</v>
      </c>
      <c r="M296" s="46">
        <v>0</v>
      </c>
      <c r="N296" s="46">
        <v>0</v>
      </c>
      <c r="O296" s="98"/>
      <c r="P296" s="23" t="s">
        <v>1461</v>
      </c>
      <c r="Q296" s="24" t="s">
        <v>774</v>
      </c>
      <c r="R296" s="25" t="s">
        <v>606</v>
      </c>
      <c r="S296" s="26">
        <v>1</v>
      </c>
      <c r="T296" s="26"/>
      <c r="U296" s="26">
        <v>53.12</v>
      </c>
      <c r="V296" s="26">
        <f t="shared" si="50"/>
        <v>0</v>
      </c>
      <c r="W296" s="26">
        <f t="shared" si="53"/>
        <v>0</v>
      </c>
      <c r="X296" s="26">
        <f t="shared" si="51"/>
        <v>0</v>
      </c>
      <c r="Y296" s="26">
        <f t="shared" si="57"/>
        <v>0</v>
      </c>
      <c r="Z296" s="33" t="s">
        <v>15</v>
      </c>
      <c r="AA296" s="36" t="s">
        <v>16</v>
      </c>
      <c r="AB296" s="181">
        <f t="shared" si="54"/>
        <v>1</v>
      </c>
      <c r="AC296" s="181">
        <f t="shared" si="52"/>
        <v>53.12</v>
      </c>
      <c r="AD296" s="181">
        <v>1.7</v>
      </c>
      <c r="AE296" s="181">
        <v>1.7</v>
      </c>
      <c r="AF296" s="101" t="str">
        <f t="shared" si="55"/>
        <v/>
      </c>
      <c r="AG296" s="190">
        <v>0</v>
      </c>
      <c r="AH296" s="69">
        <f t="shared" si="56"/>
        <v>1</v>
      </c>
    </row>
    <row r="297" spans="1:34" s="69" customFormat="1" ht="39" hidden="1" x14ac:dyDescent="0.3">
      <c r="A297" s="55" t="s">
        <v>776</v>
      </c>
      <c r="B297" s="53" t="s">
        <v>777</v>
      </c>
      <c r="C297" s="54" t="s">
        <v>606</v>
      </c>
      <c r="D297" s="75">
        <v>1</v>
      </c>
      <c r="E297" s="75"/>
      <c r="F297" s="75"/>
      <c r="G297" s="75"/>
      <c r="H297" s="75">
        <v>36.380000000000003</v>
      </c>
      <c r="I297" s="75">
        <v>36.380000000000003</v>
      </c>
      <c r="J297" s="91" t="s">
        <v>778</v>
      </c>
      <c r="K297" s="73"/>
      <c r="L297" s="46">
        <v>0</v>
      </c>
      <c r="M297" s="46">
        <v>0</v>
      </c>
      <c r="N297" s="46">
        <v>0</v>
      </c>
      <c r="O297" s="98"/>
      <c r="P297" s="23" t="s">
        <v>1462</v>
      </c>
      <c r="Q297" s="24" t="s">
        <v>777</v>
      </c>
      <c r="R297" s="25" t="s">
        <v>606</v>
      </c>
      <c r="S297" s="26">
        <v>1</v>
      </c>
      <c r="T297" s="26"/>
      <c r="U297" s="26">
        <v>36.380000000000003</v>
      </c>
      <c r="V297" s="26">
        <f t="shared" si="50"/>
        <v>0</v>
      </c>
      <c r="W297" s="26">
        <f t="shared" si="53"/>
        <v>0</v>
      </c>
      <c r="X297" s="26">
        <f t="shared" si="51"/>
        <v>0</v>
      </c>
      <c r="Y297" s="26">
        <f t="shared" si="57"/>
        <v>0</v>
      </c>
      <c r="Z297" s="33" t="s">
        <v>15</v>
      </c>
      <c r="AA297" s="36" t="s">
        <v>16</v>
      </c>
      <c r="AB297" s="181">
        <f t="shared" si="54"/>
        <v>1</v>
      </c>
      <c r="AC297" s="181">
        <f t="shared" si="52"/>
        <v>36.380000000000003</v>
      </c>
      <c r="AD297" s="181">
        <v>1.7</v>
      </c>
      <c r="AE297" s="181">
        <v>1.7</v>
      </c>
      <c r="AF297" s="101" t="str">
        <f t="shared" si="55"/>
        <v/>
      </c>
      <c r="AG297" s="190">
        <v>0</v>
      </c>
      <c r="AH297" s="69">
        <f t="shared" si="56"/>
        <v>1</v>
      </c>
    </row>
    <row r="298" spans="1:34" s="69" customFormat="1" ht="39" hidden="1" x14ac:dyDescent="0.3">
      <c r="A298" s="55" t="s">
        <v>779</v>
      </c>
      <c r="B298" s="53" t="s">
        <v>780</v>
      </c>
      <c r="C298" s="54" t="s">
        <v>606</v>
      </c>
      <c r="D298" s="75">
        <v>1</v>
      </c>
      <c r="E298" s="75"/>
      <c r="F298" s="75"/>
      <c r="G298" s="75"/>
      <c r="H298" s="75">
        <v>59.74</v>
      </c>
      <c r="I298" s="75">
        <v>59.74</v>
      </c>
      <c r="J298" s="91" t="s">
        <v>781</v>
      </c>
      <c r="K298" s="73"/>
      <c r="L298" s="46">
        <v>0</v>
      </c>
      <c r="M298" s="46">
        <v>0</v>
      </c>
      <c r="N298" s="46">
        <v>0</v>
      </c>
      <c r="O298" s="98"/>
      <c r="P298" s="23" t="s">
        <v>1463</v>
      </c>
      <c r="Q298" s="24" t="s">
        <v>780</v>
      </c>
      <c r="R298" s="25" t="s">
        <v>606</v>
      </c>
      <c r="S298" s="26">
        <v>1</v>
      </c>
      <c r="T298" s="26"/>
      <c r="U298" s="26">
        <v>59.74</v>
      </c>
      <c r="V298" s="26">
        <f t="shared" si="50"/>
        <v>0</v>
      </c>
      <c r="W298" s="26">
        <f t="shared" si="53"/>
        <v>0</v>
      </c>
      <c r="X298" s="26">
        <f t="shared" si="51"/>
        <v>0</v>
      </c>
      <c r="Y298" s="26">
        <f t="shared" si="57"/>
        <v>0</v>
      </c>
      <c r="Z298" s="33" t="s">
        <v>15</v>
      </c>
      <c r="AA298" s="36" t="s">
        <v>16</v>
      </c>
      <c r="AB298" s="181">
        <f t="shared" si="54"/>
        <v>1</v>
      </c>
      <c r="AC298" s="181">
        <f t="shared" si="52"/>
        <v>59.74</v>
      </c>
      <c r="AD298" s="181">
        <v>1.7</v>
      </c>
      <c r="AE298" s="181">
        <v>1.7</v>
      </c>
      <c r="AF298" s="101" t="str">
        <f t="shared" si="55"/>
        <v/>
      </c>
      <c r="AG298" s="190">
        <v>0</v>
      </c>
      <c r="AH298" s="69">
        <f t="shared" si="56"/>
        <v>1</v>
      </c>
    </row>
    <row r="299" spans="1:34" s="69" customFormat="1" ht="39" hidden="1" x14ac:dyDescent="0.3">
      <c r="A299" s="55" t="s">
        <v>782</v>
      </c>
      <c r="B299" s="53" t="s">
        <v>783</v>
      </c>
      <c r="C299" s="54" t="s">
        <v>606</v>
      </c>
      <c r="D299" s="75">
        <v>1</v>
      </c>
      <c r="E299" s="75"/>
      <c r="F299" s="75"/>
      <c r="G299" s="75"/>
      <c r="H299" s="75">
        <v>80.41</v>
      </c>
      <c r="I299" s="75">
        <v>80.41</v>
      </c>
      <c r="J299" s="91" t="s">
        <v>784</v>
      </c>
      <c r="K299" s="73"/>
      <c r="L299" s="46">
        <v>0</v>
      </c>
      <c r="M299" s="46">
        <v>0</v>
      </c>
      <c r="N299" s="46">
        <v>0</v>
      </c>
      <c r="O299" s="98"/>
      <c r="P299" s="23" t="s">
        <v>1464</v>
      </c>
      <c r="Q299" s="24" t="s">
        <v>783</v>
      </c>
      <c r="R299" s="25" t="s">
        <v>606</v>
      </c>
      <c r="S299" s="26">
        <v>1</v>
      </c>
      <c r="T299" s="26"/>
      <c r="U299" s="26">
        <v>80.41</v>
      </c>
      <c r="V299" s="26">
        <f t="shared" si="50"/>
        <v>0</v>
      </c>
      <c r="W299" s="26">
        <f t="shared" si="53"/>
        <v>0</v>
      </c>
      <c r="X299" s="26">
        <f t="shared" si="51"/>
        <v>0</v>
      </c>
      <c r="Y299" s="26">
        <f t="shared" si="57"/>
        <v>0</v>
      </c>
      <c r="Z299" s="33" t="s">
        <v>15</v>
      </c>
      <c r="AA299" s="36" t="s">
        <v>16</v>
      </c>
      <c r="AB299" s="181">
        <f t="shared" si="54"/>
        <v>1</v>
      </c>
      <c r="AC299" s="181">
        <f t="shared" si="52"/>
        <v>80.41</v>
      </c>
      <c r="AD299" s="181">
        <v>1.7</v>
      </c>
      <c r="AE299" s="181">
        <v>1.7</v>
      </c>
      <c r="AF299" s="101" t="str">
        <f t="shared" si="55"/>
        <v/>
      </c>
      <c r="AG299" s="190">
        <v>0</v>
      </c>
      <c r="AH299" s="69">
        <f t="shared" si="56"/>
        <v>1</v>
      </c>
    </row>
    <row r="300" spans="1:34" s="69" customFormat="1" ht="39" hidden="1" x14ac:dyDescent="0.3">
      <c r="A300" s="55" t="s">
        <v>785</v>
      </c>
      <c r="B300" s="53" t="s">
        <v>786</v>
      </c>
      <c r="C300" s="54" t="s">
        <v>606</v>
      </c>
      <c r="D300" s="75">
        <v>1</v>
      </c>
      <c r="E300" s="75"/>
      <c r="F300" s="75"/>
      <c r="G300" s="75"/>
      <c r="H300" s="75">
        <v>64.959999999999994</v>
      </c>
      <c r="I300" s="75">
        <v>64.959999999999994</v>
      </c>
      <c r="J300" s="91" t="s">
        <v>787</v>
      </c>
      <c r="K300" s="73"/>
      <c r="L300" s="46">
        <v>0</v>
      </c>
      <c r="M300" s="46">
        <v>0</v>
      </c>
      <c r="N300" s="46">
        <v>0</v>
      </c>
      <c r="O300" s="98"/>
      <c r="P300" s="23" t="s">
        <v>1465</v>
      </c>
      <c r="Q300" s="24" t="s">
        <v>786</v>
      </c>
      <c r="R300" s="25" t="s">
        <v>606</v>
      </c>
      <c r="S300" s="26">
        <v>1</v>
      </c>
      <c r="T300" s="26"/>
      <c r="U300" s="26">
        <v>64.959999999999994</v>
      </c>
      <c r="V300" s="26">
        <f t="shared" si="50"/>
        <v>0</v>
      </c>
      <c r="W300" s="26">
        <f t="shared" si="53"/>
        <v>0</v>
      </c>
      <c r="X300" s="26">
        <f t="shared" si="51"/>
        <v>0</v>
      </c>
      <c r="Y300" s="26">
        <f t="shared" si="57"/>
        <v>0</v>
      </c>
      <c r="Z300" s="33" t="s">
        <v>15</v>
      </c>
      <c r="AA300" s="36" t="s">
        <v>16</v>
      </c>
      <c r="AB300" s="181">
        <f t="shared" si="54"/>
        <v>1</v>
      </c>
      <c r="AC300" s="181">
        <f t="shared" si="52"/>
        <v>64.959999999999994</v>
      </c>
      <c r="AD300" s="181">
        <v>1.7</v>
      </c>
      <c r="AE300" s="181">
        <v>1.7</v>
      </c>
      <c r="AF300" s="101" t="str">
        <f t="shared" si="55"/>
        <v/>
      </c>
      <c r="AG300" s="190">
        <v>0</v>
      </c>
      <c r="AH300" s="69">
        <f t="shared" si="56"/>
        <v>1</v>
      </c>
    </row>
    <row r="301" spans="1:34" s="69" customFormat="1" ht="39" hidden="1" x14ac:dyDescent="0.3">
      <c r="A301" s="55" t="s">
        <v>788</v>
      </c>
      <c r="B301" s="53" t="s">
        <v>789</v>
      </c>
      <c r="C301" s="54" t="s">
        <v>606</v>
      </c>
      <c r="D301" s="75">
        <v>1</v>
      </c>
      <c r="E301" s="75"/>
      <c r="F301" s="75"/>
      <c r="G301" s="75"/>
      <c r="H301" s="75">
        <v>95.86</v>
      </c>
      <c r="I301" s="75">
        <v>95.86</v>
      </c>
      <c r="J301" s="91" t="s">
        <v>790</v>
      </c>
      <c r="K301" s="73"/>
      <c r="L301" s="46">
        <v>0</v>
      </c>
      <c r="M301" s="46">
        <v>0</v>
      </c>
      <c r="N301" s="46">
        <v>0</v>
      </c>
      <c r="O301" s="98"/>
      <c r="P301" s="23" t="s">
        <v>1466</v>
      </c>
      <c r="Q301" s="24" t="s">
        <v>789</v>
      </c>
      <c r="R301" s="25" t="s">
        <v>606</v>
      </c>
      <c r="S301" s="26">
        <v>1</v>
      </c>
      <c r="T301" s="26"/>
      <c r="U301" s="26">
        <v>95.86</v>
      </c>
      <c r="V301" s="26">
        <f t="shared" si="50"/>
        <v>0</v>
      </c>
      <c r="W301" s="26">
        <f t="shared" si="53"/>
        <v>0</v>
      </c>
      <c r="X301" s="26">
        <f t="shared" si="51"/>
        <v>0</v>
      </c>
      <c r="Y301" s="26">
        <f t="shared" si="57"/>
        <v>0</v>
      </c>
      <c r="Z301" s="33" t="s">
        <v>15</v>
      </c>
      <c r="AA301" s="36" t="s">
        <v>16</v>
      </c>
      <c r="AB301" s="181">
        <f t="shared" si="54"/>
        <v>1</v>
      </c>
      <c r="AC301" s="181">
        <f t="shared" si="52"/>
        <v>95.86</v>
      </c>
      <c r="AD301" s="181">
        <v>1.7</v>
      </c>
      <c r="AE301" s="181">
        <v>1.7</v>
      </c>
      <c r="AF301" s="101" t="str">
        <f t="shared" si="55"/>
        <v/>
      </c>
      <c r="AG301" s="190">
        <v>0</v>
      </c>
      <c r="AH301" s="69">
        <f t="shared" si="56"/>
        <v>1</v>
      </c>
    </row>
    <row r="302" spans="1:34" s="69" customFormat="1" ht="39" hidden="1" x14ac:dyDescent="0.3">
      <c r="A302" s="55" t="s">
        <v>791</v>
      </c>
      <c r="B302" s="53" t="s">
        <v>792</v>
      </c>
      <c r="C302" s="54" t="s">
        <v>606</v>
      </c>
      <c r="D302" s="75">
        <v>1</v>
      </c>
      <c r="E302" s="75"/>
      <c r="F302" s="75"/>
      <c r="G302" s="75"/>
      <c r="H302" s="75">
        <v>93.29</v>
      </c>
      <c r="I302" s="75">
        <v>93.29</v>
      </c>
      <c r="J302" s="91" t="s">
        <v>793</v>
      </c>
      <c r="K302" s="73"/>
      <c r="L302" s="46">
        <v>0</v>
      </c>
      <c r="M302" s="46">
        <v>0</v>
      </c>
      <c r="N302" s="46">
        <v>0</v>
      </c>
      <c r="O302" s="98"/>
      <c r="P302" s="23" t="s">
        <v>1467</v>
      </c>
      <c r="Q302" s="24" t="s">
        <v>792</v>
      </c>
      <c r="R302" s="25" t="s">
        <v>606</v>
      </c>
      <c r="S302" s="26">
        <v>1</v>
      </c>
      <c r="T302" s="26"/>
      <c r="U302" s="26">
        <v>93.29</v>
      </c>
      <c r="V302" s="26">
        <f t="shared" ref="V302:V326" si="58">AG302-L302</f>
        <v>0</v>
      </c>
      <c r="W302" s="26">
        <f t="shared" si="53"/>
        <v>0</v>
      </c>
      <c r="X302" s="26">
        <f t="shared" ref="X302:X326" si="59">Y302-N302</f>
        <v>0</v>
      </c>
      <c r="Y302" s="26">
        <f t="shared" si="57"/>
        <v>0</v>
      </c>
      <c r="Z302" s="33" t="s">
        <v>15</v>
      </c>
      <c r="AA302" s="36" t="s">
        <v>16</v>
      </c>
      <c r="AB302" s="181">
        <f t="shared" si="54"/>
        <v>1</v>
      </c>
      <c r="AC302" s="181">
        <f t="shared" ref="AC302:AC365" si="60">ROUND(U302*AB302,2)</f>
        <v>93.29</v>
      </c>
      <c r="AD302" s="181">
        <v>1.7</v>
      </c>
      <c r="AE302" s="181">
        <v>1.7</v>
      </c>
      <c r="AF302" s="101" t="str">
        <f t="shared" si="55"/>
        <v/>
      </c>
      <c r="AG302" s="190">
        <v>0</v>
      </c>
      <c r="AH302" s="69">
        <f t="shared" si="56"/>
        <v>1</v>
      </c>
    </row>
    <row r="303" spans="1:34" s="69" customFormat="1" ht="39" hidden="1" x14ac:dyDescent="0.3">
      <c r="A303" s="55" t="s">
        <v>794</v>
      </c>
      <c r="B303" s="53" t="s">
        <v>795</v>
      </c>
      <c r="C303" s="54" t="s">
        <v>606</v>
      </c>
      <c r="D303" s="75">
        <v>1</v>
      </c>
      <c r="E303" s="75"/>
      <c r="F303" s="75"/>
      <c r="G303" s="75"/>
      <c r="H303" s="75">
        <v>93.8</v>
      </c>
      <c r="I303" s="75">
        <v>93.8</v>
      </c>
      <c r="J303" s="91" t="s">
        <v>796</v>
      </c>
      <c r="K303" s="73"/>
      <c r="L303" s="46">
        <v>0</v>
      </c>
      <c r="M303" s="46">
        <v>0</v>
      </c>
      <c r="N303" s="46">
        <v>0</v>
      </c>
      <c r="O303" s="98"/>
      <c r="P303" s="23" t="s">
        <v>1468</v>
      </c>
      <c r="Q303" s="24" t="s">
        <v>795</v>
      </c>
      <c r="R303" s="25" t="s">
        <v>606</v>
      </c>
      <c r="S303" s="26">
        <v>1</v>
      </c>
      <c r="T303" s="26"/>
      <c r="U303" s="26">
        <v>93.8</v>
      </c>
      <c r="V303" s="26">
        <f t="shared" si="58"/>
        <v>0</v>
      </c>
      <c r="W303" s="26">
        <f t="shared" si="53"/>
        <v>0</v>
      </c>
      <c r="X303" s="26">
        <f t="shared" si="59"/>
        <v>0</v>
      </c>
      <c r="Y303" s="26">
        <f t="shared" si="57"/>
        <v>0</v>
      </c>
      <c r="Z303" s="33" t="s">
        <v>15</v>
      </c>
      <c r="AA303" s="36" t="s">
        <v>16</v>
      </c>
      <c r="AB303" s="181">
        <f t="shared" si="54"/>
        <v>1</v>
      </c>
      <c r="AC303" s="181">
        <f t="shared" si="60"/>
        <v>93.8</v>
      </c>
      <c r="AD303" s="181">
        <v>1.7</v>
      </c>
      <c r="AE303" s="181">
        <v>1.7</v>
      </c>
      <c r="AF303" s="101" t="str">
        <f t="shared" si="55"/>
        <v/>
      </c>
      <c r="AG303" s="190">
        <v>0</v>
      </c>
      <c r="AH303" s="69">
        <f t="shared" si="56"/>
        <v>1</v>
      </c>
    </row>
    <row r="304" spans="1:34" s="69" customFormat="1" ht="39" hidden="1" x14ac:dyDescent="0.3">
      <c r="A304" s="55" t="s">
        <v>797</v>
      </c>
      <c r="B304" s="53" t="s">
        <v>798</v>
      </c>
      <c r="C304" s="54" t="s">
        <v>606</v>
      </c>
      <c r="D304" s="75">
        <v>1</v>
      </c>
      <c r="E304" s="75"/>
      <c r="F304" s="75"/>
      <c r="G304" s="75"/>
      <c r="H304" s="75">
        <v>63.35</v>
      </c>
      <c r="I304" s="75">
        <v>63.35</v>
      </c>
      <c r="J304" s="91" t="s">
        <v>799</v>
      </c>
      <c r="K304" s="73"/>
      <c r="L304" s="46">
        <v>0</v>
      </c>
      <c r="M304" s="46">
        <v>0</v>
      </c>
      <c r="N304" s="46">
        <v>0</v>
      </c>
      <c r="O304" s="98"/>
      <c r="P304" s="23" t="s">
        <v>1469</v>
      </c>
      <c r="Q304" s="24" t="s">
        <v>798</v>
      </c>
      <c r="R304" s="25" t="s">
        <v>606</v>
      </c>
      <c r="S304" s="26">
        <v>1</v>
      </c>
      <c r="T304" s="26"/>
      <c r="U304" s="26">
        <v>63.35</v>
      </c>
      <c r="V304" s="26">
        <f t="shared" si="58"/>
        <v>0</v>
      </c>
      <c r="W304" s="26">
        <f t="shared" si="53"/>
        <v>0</v>
      </c>
      <c r="X304" s="26">
        <f t="shared" si="59"/>
        <v>0</v>
      </c>
      <c r="Y304" s="26">
        <f t="shared" si="57"/>
        <v>0</v>
      </c>
      <c r="Z304" s="33" t="s">
        <v>15</v>
      </c>
      <c r="AA304" s="36" t="s">
        <v>16</v>
      </c>
      <c r="AB304" s="181">
        <f t="shared" si="54"/>
        <v>1</v>
      </c>
      <c r="AC304" s="181">
        <f t="shared" si="60"/>
        <v>63.35</v>
      </c>
      <c r="AD304" s="181">
        <v>1.7</v>
      </c>
      <c r="AE304" s="181">
        <v>1.7</v>
      </c>
      <c r="AF304" s="101" t="str">
        <f t="shared" si="55"/>
        <v/>
      </c>
      <c r="AG304" s="190">
        <v>0</v>
      </c>
      <c r="AH304" s="69">
        <f t="shared" si="56"/>
        <v>1</v>
      </c>
    </row>
    <row r="305" spans="1:34" s="69" customFormat="1" ht="39" hidden="1" x14ac:dyDescent="0.3">
      <c r="A305" s="55" t="s">
        <v>800</v>
      </c>
      <c r="B305" s="53" t="s">
        <v>801</v>
      </c>
      <c r="C305" s="54" t="s">
        <v>606</v>
      </c>
      <c r="D305" s="75">
        <v>1</v>
      </c>
      <c r="E305" s="75"/>
      <c r="F305" s="75"/>
      <c r="G305" s="75"/>
      <c r="H305" s="75">
        <v>156.05000000000001</v>
      </c>
      <c r="I305" s="75">
        <v>156.05000000000001</v>
      </c>
      <c r="J305" s="91" t="s">
        <v>802</v>
      </c>
      <c r="K305" s="73"/>
      <c r="L305" s="46">
        <v>0</v>
      </c>
      <c r="M305" s="46">
        <v>0</v>
      </c>
      <c r="N305" s="46">
        <v>0</v>
      </c>
      <c r="O305" s="98"/>
      <c r="P305" s="23" t="s">
        <v>1470</v>
      </c>
      <c r="Q305" s="24" t="s">
        <v>801</v>
      </c>
      <c r="R305" s="25" t="s">
        <v>606</v>
      </c>
      <c r="S305" s="26">
        <v>1</v>
      </c>
      <c r="T305" s="26"/>
      <c r="U305" s="26">
        <v>156.05000000000001</v>
      </c>
      <c r="V305" s="26">
        <f t="shared" si="58"/>
        <v>0</v>
      </c>
      <c r="W305" s="26">
        <f t="shared" si="53"/>
        <v>0</v>
      </c>
      <c r="X305" s="26">
        <f t="shared" si="59"/>
        <v>0</v>
      </c>
      <c r="Y305" s="26">
        <f t="shared" si="57"/>
        <v>0</v>
      </c>
      <c r="Z305" s="33" t="s">
        <v>15</v>
      </c>
      <c r="AA305" s="36" t="s">
        <v>16</v>
      </c>
      <c r="AB305" s="181">
        <f t="shared" si="54"/>
        <v>1</v>
      </c>
      <c r="AC305" s="181">
        <f t="shared" si="60"/>
        <v>156.05000000000001</v>
      </c>
      <c r="AD305" s="181">
        <v>1.7</v>
      </c>
      <c r="AE305" s="181">
        <v>1.7</v>
      </c>
      <c r="AF305" s="101" t="str">
        <f t="shared" si="55"/>
        <v/>
      </c>
      <c r="AG305" s="190">
        <v>0</v>
      </c>
      <c r="AH305" s="69">
        <f t="shared" si="56"/>
        <v>1</v>
      </c>
    </row>
    <row r="306" spans="1:34" s="69" customFormat="1" ht="39" hidden="1" x14ac:dyDescent="0.3">
      <c r="A306" s="55" t="s">
        <v>803</v>
      </c>
      <c r="B306" s="53" t="s">
        <v>804</v>
      </c>
      <c r="C306" s="54" t="s">
        <v>606</v>
      </c>
      <c r="D306" s="75">
        <v>1</v>
      </c>
      <c r="E306" s="75"/>
      <c r="F306" s="75"/>
      <c r="G306" s="75"/>
      <c r="H306" s="75">
        <v>69.08</v>
      </c>
      <c r="I306" s="75">
        <v>69.08</v>
      </c>
      <c r="J306" s="91" t="s">
        <v>805</v>
      </c>
      <c r="K306" s="73"/>
      <c r="L306" s="46">
        <v>0</v>
      </c>
      <c r="M306" s="46">
        <v>0</v>
      </c>
      <c r="N306" s="46">
        <v>0</v>
      </c>
      <c r="O306" s="98"/>
      <c r="P306" s="23" t="s">
        <v>1471</v>
      </c>
      <c r="Q306" s="24" t="s">
        <v>804</v>
      </c>
      <c r="R306" s="25" t="s">
        <v>606</v>
      </c>
      <c r="S306" s="26">
        <v>1</v>
      </c>
      <c r="T306" s="26"/>
      <c r="U306" s="26">
        <v>69.08</v>
      </c>
      <c r="V306" s="26">
        <f t="shared" si="58"/>
        <v>0</v>
      </c>
      <c r="W306" s="26">
        <f t="shared" ref="W306:W370" si="61">V306+L306</f>
        <v>0</v>
      </c>
      <c r="X306" s="26">
        <f t="shared" si="59"/>
        <v>0</v>
      </c>
      <c r="Y306" s="26">
        <f t="shared" si="57"/>
        <v>0</v>
      </c>
      <c r="Z306" s="33" t="s">
        <v>15</v>
      </c>
      <c r="AA306" s="36" t="s">
        <v>16</v>
      </c>
      <c r="AB306" s="181">
        <f t="shared" si="54"/>
        <v>1</v>
      </c>
      <c r="AC306" s="181">
        <f t="shared" si="60"/>
        <v>69.08</v>
      </c>
      <c r="AD306" s="181">
        <v>1.7</v>
      </c>
      <c r="AE306" s="181">
        <v>1.7</v>
      </c>
      <c r="AF306" s="101" t="str">
        <f t="shared" si="55"/>
        <v/>
      </c>
      <c r="AG306" s="190">
        <v>0</v>
      </c>
      <c r="AH306" s="69">
        <f t="shared" si="56"/>
        <v>1</v>
      </c>
    </row>
    <row r="307" spans="1:34" s="69" customFormat="1" ht="39" hidden="1" x14ac:dyDescent="0.3">
      <c r="A307" s="55" t="s">
        <v>806</v>
      </c>
      <c r="B307" s="53" t="s">
        <v>807</v>
      </c>
      <c r="C307" s="54" t="s">
        <v>606</v>
      </c>
      <c r="D307" s="75">
        <v>1</v>
      </c>
      <c r="E307" s="75"/>
      <c r="F307" s="75"/>
      <c r="G307" s="75"/>
      <c r="H307" s="75">
        <v>55.62</v>
      </c>
      <c r="I307" s="75">
        <v>55.62</v>
      </c>
      <c r="J307" s="91" t="s">
        <v>808</v>
      </c>
      <c r="K307" s="73"/>
      <c r="L307" s="46">
        <v>0</v>
      </c>
      <c r="M307" s="46">
        <v>0</v>
      </c>
      <c r="N307" s="46">
        <v>0</v>
      </c>
      <c r="O307" s="98"/>
      <c r="P307" s="23" t="s">
        <v>1472</v>
      </c>
      <c r="Q307" s="24" t="s">
        <v>807</v>
      </c>
      <c r="R307" s="25" t="s">
        <v>606</v>
      </c>
      <c r="S307" s="26">
        <v>1</v>
      </c>
      <c r="T307" s="26"/>
      <c r="U307" s="26">
        <v>55.62</v>
      </c>
      <c r="V307" s="26">
        <f t="shared" si="58"/>
        <v>0</v>
      </c>
      <c r="W307" s="26">
        <f t="shared" si="61"/>
        <v>0</v>
      </c>
      <c r="X307" s="26">
        <f t="shared" si="59"/>
        <v>0</v>
      </c>
      <c r="Y307" s="26">
        <f t="shared" si="57"/>
        <v>0</v>
      </c>
      <c r="Z307" s="33" t="s">
        <v>15</v>
      </c>
      <c r="AA307" s="36" t="s">
        <v>16</v>
      </c>
      <c r="AB307" s="181">
        <f t="shared" si="54"/>
        <v>1</v>
      </c>
      <c r="AC307" s="181">
        <f t="shared" si="60"/>
        <v>55.62</v>
      </c>
      <c r="AD307" s="181">
        <v>1.7</v>
      </c>
      <c r="AE307" s="181">
        <v>1.7</v>
      </c>
      <c r="AF307" s="101" t="str">
        <f t="shared" si="55"/>
        <v/>
      </c>
      <c r="AG307" s="190">
        <v>0</v>
      </c>
      <c r="AH307" s="69">
        <f t="shared" si="56"/>
        <v>1</v>
      </c>
    </row>
    <row r="308" spans="1:34" s="69" customFormat="1" ht="39" hidden="1" x14ac:dyDescent="0.3">
      <c r="A308" s="55" t="s">
        <v>809</v>
      </c>
      <c r="B308" s="53" t="s">
        <v>810</v>
      </c>
      <c r="C308" s="54" t="s">
        <v>606</v>
      </c>
      <c r="D308" s="75">
        <v>1</v>
      </c>
      <c r="E308" s="75"/>
      <c r="F308" s="75"/>
      <c r="G308" s="75"/>
      <c r="H308" s="75">
        <v>91.67</v>
      </c>
      <c r="I308" s="75">
        <v>91.67</v>
      </c>
      <c r="J308" s="91" t="s">
        <v>811</v>
      </c>
      <c r="K308" s="73"/>
      <c r="L308" s="46">
        <v>0</v>
      </c>
      <c r="M308" s="46">
        <v>0</v>
      </c>
      <c r="N308" s="46">
        <v>0</v>
      </c>
      <c r="O308" s="98"/>
      <c r="P308" s="23" t="s">
        <v>1473</v>
      </c>
      <c r="Q308" s="24" t="s">
        <v>810</v>
      </c>
      <c r="R308" s="25" t="s">
        <v>606</v>
      </c>
      <c r="S308" s="26">
        <v>1</v>
      </c>
      <c r="T308" s="26"/>
      <c r="U308" s="26">
        <v>91.67</v>
      </c>
      <c r="V308" s="26">
        <f t="shared" si="58"/>
        <v>0</v>
      </c>
      <c r="W308" s="26">
        <f t="shared" si="61"/>
        <v>0</v>
      </c>
      <c r="X308" s="26">
        <f t="shared" si="59"/>
        <v>0</v>
      </c>
      <c r="Y308" s="26">
        <f t="shared" si="57"/>
        <v>0</v>
      </c>
      <c r="Z308" s="33" t="s">
        <v>15</v>
      </c>
      <c r="AA308" s="36" t="s">
        <v>16</v>
      </c>
      <c r="AB308" s="181">
        <f t="shared" si="54"/>
        <v>1</v>
      </c>
      <c r="AC308" s="181">
        <f t="shared" si="60"/>
        <v>91.67</v>
      </c>
      <c r="AD308" s="181">
        <v>1.7</v>
      </c>
      <c r="AE308" s="181">
        <v>1.7</v>
      </c>
      <c r="AF308" s="101" t="str">
        <f t="shared" si="55"/>
        <v/>
      </c>
      <c r="AG308" s="190">
        <v>0</v>
      </c>
      <c r="AH308" s="69">
        <f t="shared" si="56"/>
        <v>1</v>
      </c>
    </row>
    <row r="309" spans="1:34" s="69" customFormat="1" ht="39" hidden="1" x14ac:dyDescent="0.3">
      <c r="A309" s="55" t="s">
        <v>812</v>
      </c>
      <c r="B309" s="53" t="s">
        <v>813</v>
      </c>
      <c r="C309" s="54" t="s">
        <v>606</v>
      </c>
      <c r="D309" s="75">
        <v>1</v>
      </c>
      <c r="E309" s="75"/>
      <c r="F309" s="75"/>
      <c r="G309" s="75"/>
      <c r="H309" s="75">
        <v>68.5</v>
      </c>
      <c r="I309" s="75">
        <v>68.5</v>
      </c>
      <c r="J309" s="91" t="s">
        <v>814</v>
      </c>
      <c r="K309" s="73"/>
      <c r="L309" s="46">
        <v>0</v>
      </c>
      <c r="M309" s="46">
        <v>0</v>
      </c>
      <c r="N309" s="46">
        <v>0</v>
      </c>
      <c r="O309" s="98"/>
      <c r="P309" s="23" t="s">
        <v>1474</v>
      </c>
      <c r="Q309" s="24" t="s">
        <v>813</v>
      </c>
      <c r="R309" s="25" t="s">
        <v>606</v>
      </c>
      <c r="S309" s="26">
        <v>1</v>
      </c>
      <c r="T309" s="26"/>
      <c r="U309" s="26">
        <v>68.5</v>
      </c>
      <c r="V309" s="26">
        <f t="shared" si="58"/>
        <v>0</v>
      </c>
      <c r="W309" s="26">
        <f t="shared" si="61"/>
        <v>0</v>
      </c>
      <c r="X309" s="26">
        <f t="shared" si="59"/>
        <v>0</v>
      </c>
      <c r="Y309" s="26">
        <f t="shared" si="57"/>
        <v>0</v>
      </c>
      <c r="Z309" s="33" t="s">
        <v>15</v>
      </c>
      <c r="AA309" s="36" t="s">
        <v>16</v>
      </c>
      <c r="AB309" s="181">
        <f t="shared" si="54"/>
        <v>1</v>
      </c>
      <c r="AC309" s="181">
        <f t="shared" si="60"/>
        <v>68.5</v>
      </c>
      <c r="AD309" s="181">
        <v>1.7</v>
      </c>
      <c r="AE309" s="181">
        <v>1.7</v>
      </c>
      <c r="AF309" s="101" t="str">
        <f t="shared" si="55"/>
        <v/>
      </c>
      <c r="AG309" s="190">
        <v>0</v>
      </c>
      <c r="AH309" s="69">
        <f t="shared" si="56"/>
        <v>1</v>
      </c>
    </row>
    <row r="310" spans="1:34" s="69" customFormat="1" ht="39" hidden="1" x14ac:dyDescent="0.3">
      <c r="A310" s="55" t="s">
        <v>815</v>
      </c>
      <c r="B310" s="53" t="s">
        <v>816</v>
      </c>
      <c r="C310" s="54" t="s">
        <v>606</v>
      </c>
      <c r="D310" s="75">
        <v>1</v>
      </c>
      <c r="E310" s="75"/>
      <c r="F310" s="75"/>
      <c r="G310" s="75"/>
      <c r="H310" s="75">
        <v>58.2</v>
      </c>
      <c r="I310" s="75">
        <v>58.2</v>
      </c>
      <c r="J310" s="91" t="s">
        <v>817</v>
      </c>
      <c r="K310" s="73"/>
      <c r="L310" s="46">
        <v>0</v>
      </c>
      <c r="M310" s="46">
        <v>0</v>
      </c>
      <c r="N310" s="46">
        <v>0</v>
      </c>
      <c r="O310" s="98"/>
      <c r="P310" s="23" t="s">
        <v>1475</v>
      </c>
      <c r="Q310" s="24" t="s">
        <v>816</v>
      </c>
      <c r="R310" s="25" t="s">
        <v>606</v>
      </c>
      <c r="S310" s="26">
        <v>1</v>
      </c>
      <c r="T310" s="26"/>
      <c r="U310" s="26">
        <v>58.2</v>
      </c>
      <c r="V310" s="26">
        <f t="shared" si="58"/>
        <v>0</v>
      </c>
      <c r="W310" s="26">
        <f t="shared" si="61"/>
        <v>0</v>
      </c>
      <c r="X310" s="26">
        <f t="shared" si="59"/>
        <v>0</v>
      </c>
      <c r="Y310" s="26">
        <f t="shared" si="57"/>
        <v>0</v>
      </c>
      <c r="Z310" s="33" t="s">
        <v>15</v>
      </c>
      <c r="AA310" s="36" t="s">
        <v>16</v>
      </c>
      <c r="AB310" s="181">
        <f t="shared" si="54"/>
        <v>1</v>
      </c>
      <c r="AC310" s="181">
        <f t="shared" si="60"/>
        <v>58.2</v>
      </c>
      <c r="AD310" s="181">
        <v>1.7</v>
      </c>
      <c r="AE310" s="181">
        <v>1.7</v>
      </c>
      <c r="AF310" s="101" t="str">
        <f t="shared" si="55"/>
        <v/>
      </c>
      <c r="AG310" s="190">
        <v>0</v>
      </c>
      <c r="AH310" s="69">
        <f t="shared" si="56"/>
        <v>1</v>
      </c>
    </row>
    <row r="311" spans="1:34" s="69" customFormat="1" ht="39" hidden="1" x14ac:dyDescent="0.3">
      <c r="A311" s="55" t="s">
        <v>818</v>
      </c>
      <c r="B311" s="53" t="s">
        <v>819</v>
      </c>
      <c r="C311" s="54" t="s">
        <v>606</v>
      </c>
      <c r="D311" s="75">
        <v>1</v>
      </c>
      <c r="E311" s="75"/>
      <c r="F311" s="75"/>
      <c r="G311" s="75"/>
      <c r="H311" s="75">
        <v>70.040000000000006</v>
      </c>
      <c r="I311" s="75">
        <v>70.040000000000006</v>
      </c>
      <c r="J311" s="91" t="s">
        <v>820</v>
      </c>
      <c r="K311" s="73"/>
      <c r="L311" s="46">
        <v>0</v>
      </c>
      <c r="M311" s="46">
        <v>0</v>
      </c>
      <c r="N311" s="46">
        <v>0</v>
      </c>
      <c r="O311" s="98"/>
      <c r="P311" s="23" t="s">
        <v>1476</v>
      </c>
      <c r="Q311" s="24" t="s">
        <v>819</v>
      </c>
      <c r="R311" s="25" t="s">
        <v>606</v>
      </c>
      <c r="S311" s="26">
        <v>1</v>
      </c>
      <c r="T311" s="26"/>
      <c r="U311" s="26">
        <v>70.040000000000006</v>
      </c>
      <c r="V311" s="26">
        <f t="shared" si="58"/>
        <v>0</v>
      </c>
      <c r="W311" s="26">
        <f t="shared" si="61"/>
        <v>0</v>
      </c>
      <c r="X311" s="26">
        <f t="shared" si="59"/>
        <v>0</v>
      </c>
      <c r="Y311" s="26">
        <f t="shared" si="57"/>
        <v>0</v>
      </c>
      <c r="Z311" s="33" t="s">
        <v>15</v>
      </c>
      <c r="AA311" s="36" t="s">
        <v>16</v>
      </c>
      <c r="AB311" s="181">
        <f t="shared" si="54"/>
        <v>1</v>
      </c>
      <c r="AC311" s="181">
        <f t="shared" si="60"/>
        <v>70.040000000000006</v>
      </c>
      <c r="AD311" s="181">
        <v>1.7</v>
      </c>
      <c r="AE311" s="181">
        <v>1.7</v>
      </c>
      <c r="AF311" s="101" t="str">
        <f t="shared" si="55"/>
        <v/>
      </c>
      <c r="AG311" s="190">
        <v>0</v>
      </c>
      <c r="AH311" s="69">
        <f t="shared" si="56"/>
        <v>1</v>
      </c>
    </row>
    <row r="312" spans="1:34" s="69" customFormat="1" ht="39" hidden="1" x14ac:dyDescent="0.3">
      <c r="A312" s="55" t="s">
        <v>821</v>
      </c>
      <c r="B312" s="53" t="s">
        <v>822</v>
      </c>
      <c r="C312" s="54" t="s">
        <v>606</v>
      </c>
      <c r="D312" s="75">
        <v>1</v>
      </c>
      <c r="E312" s="75"/>
      <c r="F312" s="75"/>
      <c r="G312" s="75"/>
      <c r="H312" s="75">
        <v>61.29</v>
      </c>
      <c r="I312" s="75">
        <v>61.29</v>
      </c>
      <c r="J312" s="91" t="s">
        <v>823</v>
      </c>
      <c r="K312" s="73"/>
      <c r="L312" s="46">
        <v>0</v>
      </c>
      <c r="M312" s="46">
        <v>0</v>
      </c>
      <c r="N312" s="46">
        <v>0</v>
      </c>
      <c r="O312" s="98"/>
      <c r="P312" s="23" t="s">
        <v>1477</v>
      </c>
      <c r="Q312" s="24" t="s">
        <v>822</v>
      </c>
      <c r="R312" s="25" t="s">
        <v>606</v>
      </c>
      <c r="S312" s="26">
        <v>1</v>
      </c>
      <c r="T312" s="26"/>
      <c r="U312" s="26">
        <v>61.29</v>
      </c>
      <c r="V312" s="26">
        <f t="shared" si="58"/>
        <v>0</v>
      </c>
      <c r="W312" s="26">
        <f t="shared" si="61"/>
        <v>0</v>
      </c>
      <c r="X312" s="26">
        <f t="shared" si="59"/>
        <v>0</v>
      </c>
      <c r="Y312" s="26">
        <f t="shared" si="57"/>
        <v>0</v>
      </c>
      <c r="Z312" s="33" t="s">
        <v>15</v>
      </c>
      <c r="AA312" s="36" t="s">
        <v>16</v>
      </c>
      <c r="AB312" s="181">
        <f t="shared" si="54"/>
        <v>1</v>
      </c>
      <c r="AC312" s="181">
        <f t="shared" si="60"/>
        <v>61.29</v>
      </c>
      <c r="AD312" s="181">
        <v>1.7</v>
      </c>
      <c r="AE312" s="181">
        <v>1.7</v>
      </c>
      <c r="AF312" s="101" t="str">
        <f t="shared" si="55"/>
        <v/>
      </c>
      <c r="AG312" s="190">
        <v>0</v>
      </c>
      <c r="AH312" s="69">
        <f t="shared" si="56"/>
        <v>1</v>
      </c>
    </row>
    <row r="313" spans="1:34" s="69" customFormat="1" ht="39" hidden="1" x14ac:dyDescent="0.3">
      <c r="A313" s="55" t="s">
        <v>824</v>
      </c>
      <c r="B313" s="53" t="s">
        <v>825</v>
      </c>
      <c r="C313" s="54" t="s">
        <v>606</v>
      </c>
      <c r="D313" s="75">
        <v>1</v>
      </c>
      <c r="E313" s="75"/>
      <c r="F313" s="75"/>
      <c r="G313" s="75"/>
      <c r="H313" s="75">
        <v>59.74</v>
      </c>
      <c r="I313" s="75">
        <v>59.74</v>
      </c>
      <c r="J313" s="91" t="s">
        <v>826</v>
      </c>
      <c r="K313" s="73"/>
      <c r="L313" s="46">
        <v>0</v>
      </c>
      <c r="M313" s="46">
        <v>0</v>
      </c>
      <c r="N313" s="46">
        <v>0</v>
      </c>
      <c r="O313" s="98"/>
      <c r="P313" s="23" t="s">
        <v>1478</v>
      </c>
      <c r="Q313" s="24" t="s">
        <v>825</v>
      </c>
      <c r="R313" s="25" t="s">
        <v>606</v>
      </c>
      <c r="S313" s="26">
        <v>1</v>
      </c>
      <c r="T313" s="26"/>
      <c r="U313" s="26">
        <v>59.74</v>
      </c>
      <c r="V313" s="26">
        <f t="shared" si="58"/>
        <v>0</v>
      </c>
      <c r="W313" s="26">
        <f t="shared" si="61"/>
        <v>0</v>
      </c>
      <c r="X313" s="26">
        <f t="shared" si="59"/>
        <v>0</v>
      </c>
      <c r="Y313" s="26">
        <f t="shared" si="57"/>
        <v>0</v>
      </c>
      <c r="Z313" s="33" t="s">
        <v>15</v>
      </c>
      <c r="AA313" s="36" t="s">
        <v>16</v>
      </c>
      <c r="AB313" s="181">
        <f t="shared" si="54"/>
        <v>1</v>
      </c>
      <c r="AC313" s="181">
        <f t="shared" si="60"/>
        <v>59.74</v>
      </c>
      <c r="AD313" s="181">
        <v>1.7</v>
      </c>
      <c r="AE313" s="181">
        <v>1.7</v>
      </c>
      <c r="AF313" s="101" t="str">
        <f t="shared" si="55"/>
        <v/>
      </c>
      <c r="AG313" s="190">
        <v>0</v>
      </c>
      <c r="AH313" s="69">
        <f t="shared" si="56"/>
        <v>1</v>
      </c>
    </row>
    <row r="314" spans="1:34" s="69" customFormat="1" ht="39" hidden="1" x14ac:dyDescent="0.3">
      <c r="A314" s="55" t="s">
        <v>827</v>
      </c>
      <c r="B314" s="53" t="s">
        <v>828</v>
      </c>
      <c r="C314" s="54" t="s">
        <v>606</v>
      </c>
      <c r="D314" s="75">
        <v>1</v>
      </c>
      <c r="E314" s="75"/>
      <c r="F314" s="75"/>
      <c r="G314" s="75"/>
      <c r="H314" s="75">
        <v>69.58</v>
      </c>
      <c r="I314" s="75">
        <v>69.58</v>
      </c>
      <c r="J314" s="91" t="s">
        <v>829</v>
      </c>
      <c r="K314" s="73"/>
      <c r="L314" s="46">
        <v>0</v>
      </c>
      <c r="M314" s="46">
        <v>0</v>
      </c>
      <c r="N314" s="46">
        <v>0</v>
      </c>
      <c r="O314" s="98"/>
      <c r="P314" s="23" t="s">
        <v>1479</v>
      </c>
      <c r="Q314" s="24" t="s">
        <v>828</v>
      </c>
      <c r="R314" s="25" t="s">
        <v>606</v>
      </c>
      <c r="S314" s="26">
        <v>1</v>
      </c>
      <c r="T314" s="26"/>
      <c r="U314" s="26">
        <v>69.58</v>
      </c>
      <c r="V314" s="26">
        <f t="shared" si="58"/>
        <v>0</v>
      </c>
      <c r="W314" s="26">
        <f t="shared" si="61"/>
        <v>0</v>
      </c>
      <c r="X314" s="26">
        <f t="shared" si="59"/>
        <v>0</v>
      </c>
      <c r="Y314" s="26">
        <f t="shared" si="57"/>
        <v>0</v>
      </c>
      <c r="Z314" s="33" t="s">
        <v>15</v>
      </c>
      <c r="AA314" s="36" t="s">
        <v>16</v>
      </c>
      <c r="AB314" s="181">
        <f t="shared" si="54"/>
        <v>1</v>
      </c>
      <c r="AC314" s="181">
        <f t="shared" si="60"/>
        <v>69.58</v>
      </c>
      <c r="AD314" s="181">
        <v>1.7</v>
      </c>
      <c r="AE314" s="181">
        <v>1.7</v>
      </c>
      <c r="AF314" s="101" t="str">
        <f t="shared" si="55"/>
        <v/>
      </c>
      <c r="AG314" s="190">
        <v>0</v>
      </c>
      <c r="AH314" s="69">
        <f t="shared" si="56"/>
        <v>1</v>
      </c>
    </row>
    <row r="315" spans="1:34" s="69" customFormat="1" ht="39" hidden="1" x14ac:dyDescent="0.3">
      <c r="A315" s="55" t="s">
        <v>830</v>
      </c>
      <c r="B315" s="53" t="s">
        <v>831</v>
      </c>
      <c r="C315" s="54" t="s">
        <v>606</v>
      </c>
      <c r="D315" s="75">
        <v>1</v>
      </c>
      <c r="E315" s="75"/>
      <c r="F315" s="75"/>
      <c r="G315" s="75"/>
      <c r="H315" s="75">
        <v>112.84</v>
      </c>
      <c r="I315" s="75">
        <v>112.84</v>
      </c>
      <c r="J315" s="91" t="s">
        <v>832</v>
      </c>
      <c r="K315" s="73"/>
      <c r="L315" s="46">
        <v>0</v>
      </c>
      <c r="M315" s="46">
        <v>0</v>
      </c>
      <c r="N315" s="46">
        <v>0</v>
      </c>
      <c r="O315" s="98"/>
      <c r="P315" s="23" t="s">
        <v>1480</v>
      </c>
      <c r="Q315" s="24" t="s">
        <v>831</v>
      </c>
      <c r="R315" s="25" t="s">
        <v>606</v>
      </c>
      <c r="S315" s="26">
        <v>1</v>
      </c>
      <c r="T315" s="26"/>
      <c r="U315" s="26">
        <v>112.84</v>
      </c>
      <c r="V315" s="26">
        <f t="shared" si="58"/>
        <v>0</v>
      </c>
      <c r="W315" s="26">
        <f t="shared" si="61"/>
        <v>0</v>
      </c>
      <c r="X315" s="26">
        <f t="shared" si="59"/>
        <v>0</v>
      </c>
      <c r="Y315" s="26">
        <f t="shared" si="57"/>
        <v>0</v>
      </c>
      <c r="Z315" s="33" t="s">
        <v>15</v>
      </c>
      <c r="AA315" s="36" t="s">
        <v>16</v>
      </c>
      <c r="AB315" s="181">
        <f t="shared" si="54"/>
        <v>1</v>
      </c>
      <c r="AC315" s="181">
        <f t="shared" si="60"/>
        <v>112.84</v>
      </c>
      <c r="AD315" s="181">
        <v>1.7</v>
      </c>
      <c r="AE315" s="181">
        <v>1.7</v>
      </c>
      <c r="AF315" s="101" t="str">
        <f t="shared" si="55"/>
        <v/>
      </c>
      <c r="AG315" s="190">
        <v>0</v>
      </c>
      <c r="AH315" s="69">
        <f t="shared" si="56"/>
        <v>1</v>
      </c>
    </row>
    <row r="316" spans="1:34" s="69" customFormat="1" ht="39" hidden="1" x14ac:dyDescent="0.3">
      <c r="A316" s="55" t="s">
        <v>833</v>
      </c>
      <c r="B316" s="53" t="s">
        <v>834</v>
      </c>
      <c r="C316" s="54" t="s">
        <v>606</v>
      </c>
      <c r="D316" s="75">
        <v>1</v>
      </c>
      <c r="E316" s="75"/>
      <c r="F316" s="75"/>
      <c r="G316" s="75"/>
      <c r="H316" s="75">
        <v>102.54</v>
      </c>
      <c r="I316" s="75">
        <v>102.54</v>
      </c>
      <c r="J316" s="91" t="s">
        <v>835</v>
      </c>
      <c r="K316" s="73"/>
      <c r="L316" s="46">
        <v>0</v>
      </c>
      <c r="M316" s="46">
        <v>0</v>
      </c>
      <c r="N316" s="46">
        <v>0</v>
      </c>
      <c r="O316" s="98"/>
      <c r="P316" s="23" t="s">
        <v>1481</v>
      </c>
      <c r="Q316" s="24" t="s">
        <v>834</v>
      </c>
      <c r="R316" s="25" t="s">
        <v>606</v>
      </c>
      <c r="S316" s="26">
        <v>1</v>
      </c>
      <c r="T316" s="26"/>
      <c r="U316" s="26">
        <v>102.54</v>
      </c>
      <c r="V316" s="26">
        <f t="shared" si="58"/>
        <v>0</v>
      </c>
      <c r="W316" s="26">
        <f t="shared" si="61"/>
        <v>0</v>
      </c>
      <c r="X316" s="26">
        <f t="shared" si="59"/>
        <v>0</v>
      </c>
      <c r="Y316" s="26">
        <f t="shared" si="57"/>
        <v>0</v>
      </c>
      <c r="Z316" s="33" t="s">
        <v>15</v>
      </c>
      <c r="AA316" s="36" t="s">
        <v>16</v>
      </c>
      <c r="AB316" s="181">
        <f t="shared" si="54"/>
        <v>1</v>
      </c>
      <c r="AC316" s="181">
        <f t="shared" si="60"/>
        <v>102.54</v>
      </c>
      <c r="AD316" s="181">
        <v>1.7</v>
      </c>
      <c r="AE316" s="181">
        <v>1.7</v>
      </c>
      <c r="AF316" s="101" t="str">
        <f t="shared" si="55"/>
        <v/>
      </c>
      <c r="AG316" s="190">
        <v>0</v>
      </c>
      <c r="AH316" s="69">
        <f t="shared" si="56"/>
        <v>1</v>
      </c>
    </row>
    <row r="317" spans="1:34" s="69" customFormat="1" ht="39" hidden="1" x14ac:dyDescent="0.3">
      <c r="A317" s="55" t="s">
        <v>836</v>
      </c>
      <c r="B317" s="53" t="s">
        <v>837</v>
      </c>
      <c r="C317" s="54" t="s">
        <v>606</v>
      </c>
      <c r="D317" s="75">
        <v>1</v>
      </c>
      <c r="E317" s="75"/>
      <c r="F317" s="75"/>
      <c r="G317" s="75"/>
      <c r="H317" s="75">
        <v>82.99</v>
      </c>
      <c r="I317" s="75">
        <v>82.99</v>
      </c>
      <c r="J317" s="91" t="s">
        <v>838</v>
      </c>
      <c r="K317" s="73"/>
      <c r="L317" s="46">
        <v>0</v>
      </c>
      <c r="M317" s="46">
        <v>0</v>
      </c>
      <c r="N317" s="46">
        <v>0</v>
      </c>
      <c r="O317" s="98"/>
      <c r="P317" s="23" t="s">
        <v>1482</v>
      </c>
      <c r="Q317" s="24" t="s">
        <v>837</v>
      </c>
      <c r="R317" s="25" t="s">
        <v>606</v>
      </c>
      <c r="S317" s="26">
        <v>1</v>
      </c>
      <c r="T317" s="26"/>
      <c r="U317" s="26">
        <v>82.99</v>
      </c>
      <c r="V317" s="26">
        <f t="shared" si="58"/>
        <v>0</v>
      </c>
      <c r="W317" s="26">
        <f t="shared" si="61"/>
        <v>0</v>
      </c>
      <c r="X317" s="26">
        <f t="shared" si="59"/>
        <v>0</v>
      </c>
      <c r="Y317" s="26">
        <f t="shared" si="57"/>
        <v>0</v>
      </c>
      <c r="Z317" s="33" t="s">
        <v>15</v>
      </c>
      <c r="AA317" s="36" t="s">
        <v>16</v>
      </c>
      <c r="AB317" s="181">
        <f t="shared" si="54"/>
        <v>1</v>
      </c>
      <c r="AC317" s="181">
        <f t="shared" si="60"/>
        <v>82.99</v>
      </c>
      <c r="AD317" s="181">
        <v>1.7</v>
      </c>
      <c r="AE317" s="181">
        <v>1.7</v>
      </c>
      <c r="AF317" s="101" t="str">
        <f t="shared" si="55"/>
        <v/>
      </c>
      <c r="AG317" s="190">
        <v>0</v>
      </c>
      <c r="AH317" s="69">
        <f t="shared" si="56"/>
        <v>1</v>
      </c>
    </row>
    <row r="318" spans="1:34" s="69" customFormat="1" ht="39" hidden="1" x14ac:dyDescent="0.3">
      <c r="A318" s="55" t="s">
        <v>839</v>
      </c>
      <c r="B318" s="53" t="s">
        <v>840</v>
      </c>
      <c r="C318" s="54" t="s">
        <v>606</v>
      </c>
      <c r="D318" s="75">
        <v>1</v>
      </c>
      <c r="E318" s="75"/>
      <c r="F318" s="75"/>
      <c r="G318" s="75"/>
      <c r="H318" s="75">
        <v>80.41</v>
      </c>
      <c r="I318" s="75">
        <v>80.41</v>
      </c>
      <c r="J318" s="91" t="s">
        <v>841</v>
      </c>
      <c r="K318" s="73"/>
      <c r="L318" s="46">
        <v>0</v>
      </c>
      <c r="M318" s="46">
        <v>0</v>
      </c>
      <c r="N318" s="46">
        <v>0</v>
      </c>
      <c r="O318" s="98"/>
      <c r="P318" s="23" t="s">
        <v>1483</v>
      </c>
      <c r="Q318" s="24" t="s">
        <v>840</v>
      </c>
      <c r="R318" s="25" t="s">
        <v>606</v>
      </c>
      <c r="S318" s="26">
        <v>1</v>
      </c>
      <c r="T318" s="26"/>
      <c r="U318" s="26">
        <v>80.41</v>
      </c>
      <c r="V318" s="26">
        <f t="shared" si="58"/>
        <v>0</v>
      </c>
      <c r="W318" s="26">
        <f t="shared" si="61"/>
        <v>0</v>
      </c>
      <c r="X318" s="26">
        <f t="shared" si="59"/>
        <v>0</v>
      </c>
      <c r="Y318" s="26">
        <f t="shared" si="57"/>
        <v>0</v>
      </c>
      <c r="Z318" s="33" t="s">
        <v>15</v>
      </c>
      <c r="AA318" s="36" t="s">
        <v>16</v>
      </c>
      <c r="AB318" s="181">
        <f t="shared" si="54"/>
        <v>1</v>
      </c>
      <c r="AC318" s="181">
        <f t="shared" si="60"/>
        <v>80.41</v>
      </c>
      <c r="AD318" s="181">
        <v>1.7</v>
      </c>
      <c r="AE318" s="181">
        <v>1.7</v>
      </c>
      <c r="AF318" s="101" t="str">
        <f t="shared" si="55"/>
        <v/>
      </c>
      <c r="AG318" s="190">
        <v>0</v>
      </c>
      <c r="AH318" s="69">
        <f t="shared" si="56"/>
        <v>1</v>
      </c>
    </row>
    <row r="319" spans="1:34" s="69" customFormat="1" ht="39" hidden="1" x14ac:dyDescent="0.3">
      <c r="A319" s="55" t="s">
        <v>842</v>
      </c>
      <c r="B319" s="53" t="s">
        <v>843</v>
      </c>
      <c r="C319" s="54" t="s">
        <v>606</v>
      </c>
      <c r="D319" s="75">
        <v>1</v>
      </c>
      <c r="E319" s="75"/>
      <c r="F319" s="75"/>
      <c r="G319" s="75"/>
      <c r="H319" s="75">
        <v>101.01</v>
      </c>
      <c r="I319" s="75">
        <v>101.01</v>
      </c>
      <c r="J319" s="91" t="s">
        <v>844</v>
      </c>
      <c r="K319" s="73"/>
      <c r="L319" s="46">
        <v>0</v>
      </c>
      <c r="M319" s="46">
        <v>0</v>
      </c>
      <c r="N319" s="46">
        <v>0</v>
      </c>
      <c r="O319" s="98"/>
      <c r="P319" s="23" t="s">
        <v>1484</v>
      </c>
      <c r="Q319" s="24" t="s">
        <v>843</v>
      </c>
      <c r="R319" s="25" t="s">
        <v>606</v>
      </c>
      <c r="S319" s="26">
        <v>1</v>
      </c>
      <c r="T319" s="26"/>
      <c r="U319" s="26">
        <v>101.01</v>
      </c>
      <c r="V319" s="26">
        <f t="shared" si="58"/>
        <v>0</v>
      </c>
      <c r="W319" s="26">
        <f t="shared" si="61"/>
        <v>0</v>
      </c>
      <c r="X319" s="26">
        <f t="shared" si="59"/>
        <v>0</v>
      </c>
      <c r="Y319" s="26">
        <f t="shared" si="57"/>
        <v>0</v>
      </c>
      <c r="Z319" s="33" t="s">
        <v>15</v>
      </c>
      <c r="AA319" s="36" t="s">
        <v>16</v>
      </c>
      <c r="AB319" s="181">
        <f t="shared" si="54"/>
        <v>1</v>
      </c>
      <c r="AC319" s="181">
        <f t="shared" si="60"/>
        <v>101.01</v>
      </c>
      <c r="AD319" s="181">
        <v>1.7</v>
      </c>
      <c r="AE319" s="181">
        <v>1.7</v>
      </c>
      <c r="AF319" s="101" t="str">
        <f t="shared" si="55"/>
        <v/>
      </c>
      <c r="AG319" s="190">
        <v>0</v>
      </c>
      <c r="AH319" s="69">
        <f t="shared" si="56"/>
        <v>1</v>
      </c>
    </row>
    <row r="320" spans="1:34" s="69" customFormat="1" ht="39" hidden="1" x14ac:dyDescent="0.3">
      <c r="A320" s="55" t="s">
        <v>845</v>
      </c>
      <c r="B320" s="53" t="s">
        <v>846</v>
      </c>
      <c r="C320" s="54" t="s">
        <v>606</v>
      </c>
      <c r="D320" s="75">
        <v>1</v>
      </c>
      <c r="E320" s="75"/>
      <c r="F320" s="75"/>
      <c r="G320" s="75"/>
      <c r="H320" s="75">
        <v>76.290000000000006</v>
      </c>
      <c r="I320" s="75">
        <v>76.290000000000006</v>
      </c>
      <c r="J320" s="91" t="s">
        <v>847</v>
      </c>
      <c r="K320" s="73"/>
      <c r="L320" s="46">
        <v>0</v>
      </c>
      <c r="M320" s="46">
        <v>0</v>
      </c>
      <c r="N320" s="46">
        <v>0</v>
      </c>
      <c r="O320" s="98"/>
      <c r="P320" s="23" t="s">
        <v>1485</v>
      </c>
      <c r="Q320" s="24" t="s">
        <v>846</v>
      </c>
      <c r="R320" s="25" t="s">
        <v>606</v>
      </c>
      <c r="S320" s="26">
        <v>1</v>
      </c>
      <c r="T320" s="26"/>
      <c r="U320" s="26">
        <v>76.290000000000006</v>
      </c>
      <c r="V320" s="26">
        <f t="shared" si="58"/>
        <v>0</v>
      </c>
      <c r="W320" s="26">
        <f t="shared" si="61"/>
        <v>0</v>
      </c>
      <c r="X320" s="26">
        <f t="shared" si="59"/>
        <v>0</v>
      </c>
      <c r="Y320" s="26">
        <f t="shared" si="57"/>
        <v>0</v>
      </c>
      <c r="Z320" s="33" t="s">
        <v>15</v>
      </c>
      <c r="AA320" s="36" t="s">
        <v>16</v>
      </c>
      <c r="AB320" s="181">
        <f t="shared" si="54"/>
        <v>1</v>
      </c>
      <c r="AC320" s="181">
        <f t="shared" si="60"/>
        <v>76.290000000000006</v>
      </c>
      <c r="AD320" s="181">
        <v>1.7</v>
      </c>
      <c r="AE320" s="181">
        <v>1.7</v>
      </c>
      <c r="AF320" s="101" t="str">
        <f t="shared" si="55"/>
        <v/>
      </c>
      <c r="AG320" s="190">
        <v>0</v>
      </c>
      <c r="AH320" s="69">
        <f t="shared" si="56"/>
        <v>1</v>
      </c>
    </row>
    <row r="321" spans="1:34" s="69" customFormat="1" ht="39" hidden="1" x14ac:dyDescent="0.3">
      <c r="A321" s="55" t="s">
        <v>848</v>
      </c>
      <c r="B321" s="53" t="s">
        <v>849</v>
      </c>
      <c r="C321" s="54" t="s">
        <v>606</v>
      </c>
      <c r="D321" s="75">
        <v>1</v>
      </c>
      <c r="E321" s="75"/>
      <c r="F321" s="75"/>
      <c r="G321" s="75"/>
      <c r="H321" s="75">
        <v>73.650000000000006</v>
      </c>
      <c r="I321" s="75">
        <v>73.650000000000006</v>
      </c>
      <c r="J321" s="91" t="s">
        <v>850</v>
      </c>
      <c r="K321" s="73"/>
      <c r="L321" s="46">
        <v>0</v>
      </c>
      <c r="M321" s="46">
        <v>0</v>
      </c>
      <c r="N321" s="46">
        <v>0</v>
      </c>
      <c r="O321" s="98"/>
      <c r="P321" s="23" t="s">
        <v>1486</v>
      </c>
      <c r="Q321" s="24" t="s">
        <v>849</v>
      </c>
      <c r="R321" s="25" t="s">
        <v>606</v>
      </c>
      <c r="S321" s="26">
        <v>1</v>
      </c>
      <c r="T321" s="26"/>
      <c r="U321" s="26">
        <v>73.650000000000006</v>
      </c>
      <c r="V321" s="26">
        <f t="shared" si="58"/>
        <v>0</v>
      </c>
      <c r="W321" s="26">
        <f t="shared" si="61"/>
        <v>0</v>
      </c>
      <c r="X321" s="26">
        <f t="shared" si="59"/>
        <v>0</v>
      </c>
      <c r="Y321" s="26">
        <f t="shared" si="57"/>
        <v>0</v>
      </c>
      <c r="Z321" s="33" t="s">
        <v>15</v>
      </c>
      <c r="AA321" s="36" t="s">
        <v>16</v>
      </c>
      <c r="AB321" s="181">
        <f t="shared" si="54"/>
        <v>1</v>
      </c>
      <c r="AC321" s="181">
        <f t="shared" si="60"/>
        <v>73.650000000000006</v>
      </c>
      <c r="AD321" s="181">
        <v>1.7</v>
      </c>
      <c r="AE321" s="181">
        <v>1.7</v>
      </c>
      <c r="AF321" s="101" t="str">
        <f t="shared" si="55"/>
        <v/>
      </c>
      <c r="AG321" s="190">
        <v>0</v>
      </c>
      <c r="AH321" s="69">
        <f t="shared" si="56"/>
        <v>1</v>
      </c>
    </row>
    <row r="322" spans="1:34" s="69" customFormat="1" ht="39" hidden="1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75"/>
      <c r="H322" s="75">
        <v>43.78</v>
      </c>
      <c r="I322" s="75">
        <v>43.78</v>
      </c>
      <c r="J322" s="91" t="s">
        <v>853</v>
      </c>
      <c r="K322" s="73"/>
      <c r="L322" s="46">
        <v>0</v>
      </c>
      <c r="M322" s="46">
        <v>0</v>
      </c>
      <c r="N322" s="46">
        <v>0</v>
      </c>
      <c r="O322" s="98"/>
      <c r="P322" s="23" t="s">
        <v>1487</v>
      </c>
      <c r="Q322" s="24" t="s">
        <v>852</v>
      </c>
      <c r="R322" s="25" t="s">
        <v>50</v>
      </c>
      <c r="S322" s="26">
        <v>1</v>
      </c>
      <c r="T322" s="26"/>
      <c r="U322" s="26">
        <v>43.78</v>
      </c>
      <c r="V322" s="26">
        <f t="shared" si="58"/>
        <v>0</v>
      </c>
      <c r="W322" s="26">
        <f t="shared" si="61"/>
        <v>0</v>
      </c>
      <c r="X322" s="26">
        <f t="shared" si="59"/>
        <v>0</v>
      </c>
      <c r="Y322" s="26">
        <f t="shared" si="57"/>
        <v>0</v>
      </c>
      <c r="Z322" s="33" t="s">
        <v>15</v>
      </c>
      <c r="AA322" s="36" t="s">
        <v>16</v>
      </c>
      <c r="AB322" s="181">
        <f t="shared" si="54"/>
        <v>1</v>
      </c>
      <c r="AC322" s="181">
        <f t="shared" si="60"/>
        <v>43.78</v>
      </c>
      <c r="AD322" s="181">
        <v>1.7</v>
      </c>
      <c r="AE322" s="181">
        <v>1.7</v>
      </c>
      <c r="AF322" s="101" t="str">
        <f t="shared" si="55"/>
        <v/>
      </c>
      <c r="AG322" s="190">
        <v>0</v>
      </c>
      <c r="AH322" s="69">
        <f t="shared" si="56"/>
        <v>1</v>
      </c>
    </row>
    <row r="323" spans="1:34" s="69" customFormat="1" ht="39" hidden="1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75"/>
      <c r="H323" s="75">
        <v>28.11</v>
      </c>
      <c r="I323" s="75">
        <v>28.11</v>
      </c>
      <c r="J323" s="91" t="s">
        <v>857</v>
      </c>
      <c r="K323" s="73"/>
      <c r="L323" s="46">
        <v>0</v>
      </c>
      <c r="M323" s="46">
        <v>0</v>
      </c>
      <c r="N323" s="46">
        <v>0</v>
      </c>
      <c r="O323" s="98"/>
      <c r="P323" s="23" t="s">
        <v>1488</v>
      </c>
      <c r="Q323" s="24" t="s">
        <v>855</v>
      </c>
      <c r="R323" s="25" t="s">
        <v>856</v>
      </c>
      <c r="S323" s="26">
        <v>1</v>
      </c>
      <c r="T323" s="26"/>
      <c r="U323" s="26">
        <v>28.11</v>
      </c>
      <c r="V323" s="26">
        <f t="shared" si="58"/>
        <v>0</v>
      </c>
      <c r="W323" s="26">
        <f t="shared" si="61"/>
        <v>0</v>
      </c>
      <c r="X323" s="26">
        <f t="shared" si="59"/>
        <v>0</v>
      </c>
      <c r="Y323" s="26">
        <f t="shared" si="57"/>
        <v>0</v>
      </c>
      <c r="Z323" s="33" t="s">
        <v>15</v>
      </c>
      <c r="AA323" s="36" t="s">
        <v>16</v>
      </c>
      <c r="AB323" s="181">
        <f t="shared" si="54"/>
        <v>1</v>
      </c>
      <c r="AC323" s="181">
        <f t="shared" si="60"/>
        <v>28.11</v>
      </c>
      <c r="AD323" s="181">
        <v>1.7</v>
      </c>
      <c r="AE323" s="181">
        <v>1.7</v>
      </c>
      <c r="AF323" s="101" t="str">
        <f t="shared" si="55"/>
        <v/>
      </c>
      <c r="AG323" s="190">
        <v>0</v>
      </c>
      <c r="AH323" s="69">
        <f t="shared" si="56"/>
        <v>1</v>
      </c>
    </row>
    <row r="324" spans="1:34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76"/>
      <c r="H324" s="75">
        <v>245.47</v>
      </c>
      <c r="I324" s="75">
        <v>245.47</v>
      </c>
      <c r="J324" s="91" t="s">
        <v>860</v>
      </c>
      <c r="K324" s="73"/>
      <c r="L324" s="46">
        <v>0</v>
      </c>
      <c r="M324" s="46">
        <v>0</v>
      </c>
      <c r="N324" s="46">
        <v>0</v>
      </c>
      <c r="O324" s="98"/>
      <c r="P324" s="23" t="s">
        <v>1489</v>
      </c>
      <c r="Q324" s="24" t="s">
        <v>859</v>
      </c>
      <c r="R324" s="25" t="s">
        <v>50</v>
      </c>
      <c r="S324" s="26">
        <v>1</v>
      </c>
      <c r="T324" s="26"/>
      <c r="U324" s="26">
        <v>245.47</v>
      </c>
      <c r="V324" s="26">
        <f t="shared" si="58"/>
        <v>0</v>
      </c>
      <c r="W324" s="26">
        <f t="shared" si="61"/>
        <v>0</v>
      </c>
      <c r="X324" s="26">
        <f t="shared" si="59"/>
        <v>0</v>
      </c>
      <c r="Y324" s="26">
        <f t="shared" si="57"/>
        <v>0</v>
      </c>
      <c r="Z324" s="33" t="s">
        <v>15</v>
      </c>
      <c r="AA324" s="36" t="s">
        <v>16</v>
      </c>
      <c r="AB324" s="181">
        <f t="shared" si="54"/>
        <v>1</v>
      </c>
      <c r="AC324" s="181">
        <f t="shared" si="60"/>
        <v>245.47</v>
      </c>
      <c r="AD324" s="181">
        <v>1.7</v>
      </c>
      <c r="AE324" s="181">
        <v>1.7</v>
      </c>
      <c r="AF324" s="101" t="str">
        <f t="shared" si="55"/>
        <v/>
      </c>
      <c r="AG324" s="190">
        <v>0</v>
      </c>
      <c r="AH324" s="69">
        <f t="shared" si="56"/>
        <v>1</v>
      </c>
    </row>
    <row r="325" spans="1:34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62"/>
      <c r="H325" s="167">
        <v>839.94</v>
      </c>
      <c r="I325" s="62">
        <v>61718.79</v>
      </c>
      <c r="J325" s="93"/>
      <c r="L325" s="46">
        <v>0</v>
      </c>
      <c r="M325" s="46">
        <v>0</v>
      </c>
      <c r="N325" s="46">
        <v>0</v>
      </c>
      <c r="O325" s="98"/>
      <c r="P325" s="23" t="s">
        <v>1398</v>
      </c>
      <c r="Q325" s="24" t="s">
        <v>1337</v>
      </c>
      <c r="R325" s="25" t="s">
        <v>30</v>
      </c>
      <c r="S325" s="26">
        <v>0</v>
      </c>
      <c r="T325" s="26">
        <v>73.48</v>
      </c>
      <c r="U325" s="26">
        <v>839.94</v>
      </c>
      <c r="V325" s="26">
        <f t="shared" si="58"/>
        <v>0</v>
      </c>
      <c r="W325" s="26">
        <f t="shared" si="61"/>
        <v>0</v>
      </c>
      <c r="X325" s="26">
        <f t="shared" si="59"/>
        <v>0</v>
      </c>
      <c r="Y325" s="26">
        <f>ROUND(U325*W325,2)</f>
        <v>0</v>
      </c>
      <c r="Z325" s="27"/>
      <c r="AA325" s="36" t="s">
        <v>16</v>
      </c>
      <c r="AB325" s="181">
        <f t="shared" si="54"/>
        <v>73.48</v>
      </c>
      <c r="AC325" s="181">
        <f t="shared" si="60"/>
        <v>61718.79</v>
      </c>
      <c r="AD325" s="181">
        <v>1.7</v>
      </c>
      <c r="AE325" s="181">
        <v>1.7</v>
      </c>
      <c r="AF325" s="101" t="str">
        <f t="shared" si="55"/>
        <v/>
      </c>
      <c r="AG325" s="190">
        <v>0</v>
      </c>
      <c r="AH325" s="69">
        <f t="shared" si="56"/>
        <v>73.48</v>
      </c>
    </row>
    <row r="326" spans="1:34" ht="33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62"/>
      <c r="H326" s="167">
        <v>150</v>
      </c>
      <c r="I326" s="62">
        <v>2678400</v>
      </c>
      <c r="J326" s="93"/>
      <c r="L326" s="46">
        <v>10000</v>
      </c>
      <c r="M326" s="46">
        <v>0</v>
      </c>
      <c r="N326" s="46">
        <v>1500000</v>
      </c>
      <c r="O326" s="98"/>
      <c r="P326" s="23" t="s">
        <v>1399</v>
      </c>
      <c r="Q326" s="24" t="s">
        <v>1339</v>
      </c>
      <c r="R326" s="25" t="s">
        <v>1359</v>
      </c>
      <c r="S326" s="26">
        <v>0</v>
      </c>
      <c r="T326" s="26">
        <v>17856</v>
      </c>
      <c r="U326" s="26">
        <v>150</v>
      </c>
      <c r="V326" s="26">
        <f t="shared" si="58"/>
        <v>0</v>
      </c>
      <c r="W326" s="26">
        <f t="shared" si="61"/>
        <v>10000</v>
      </c>
      <c r="X326" s="26">
        <f t="shared" si="59"/>
        <v>0</v>
      </c>
      <c r="Y326" s="26">
        <f t="shared" si="57"/>
        <v>1500000</v>
      </c>
      <c r="Z326" s="27"/>
      <c r="AA326" s="36" t="s">
        <v>16</v>
      </c>
      <c r="AB326" s="181">
        <f t="shared" si="54"/>
        <v>17856</v>
      </c>
      <c r="AC326" s="181">
        <f t="shared" si="60"/>
        <v>2678400</v>
      </c>
      <c r="AD326" s="181">
        <v>1.7</v>
      </c>
      <c r="AE326" s="181">
        <v>1.7</v>
      </c>
      <c r="AF326" s="101" t="str">
        <f t="shared" si="55"/>
        <v/>
      </c>
      <c r="AG326" s="190">
        <v>10000</v>
      </c>
      <c r="AH326" s="69">
        <f t="shared" si="56"/>
        <v>17856</v>
      </c>
    </row>
    <row r="327" spans="1:34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2"/>
      <c r="I327" s="82">
        <v>5831452.4900000002</v>
      </c>
      <c r="J327" s="94" t="s">
        <v>15</v>
      </c>
      <c r="K327" s="73"/>
      <c r="L327" s="45">
        <v>0</v>
      </c>
      <c r="M327" s="45">
        <v>0</v>
      </c>
      <c r="N327" s="45">
        <v>0</v>
      </c>
      <c r="O327" s="98"/>
      <c r="P327" s="18" t="s">
        <v>1400</v>
      </c>
      <c r="Q327" s="19" t="s">
        <v>862</v>
      </c>
      <c r="R327" s="20" t="s">
        <v>14</v>
      </c>
      <c r="S327" s="21">
        <v>1</v>
      </c>
      <c r="T327" s="21"/>
      <c r="U327" s="21">
        <f>SUMIFS(AC:AC,AD:AD,AD327)</f>
        <v>5831452.4899999993</v>
      </c>
      <c r="V327" s="21">
        <f t="shared" ref="V327:W327" si="62">IF(X327=0,0,1)</f>
        <v>0</v>
      </c>
      <c r="W327" s="21">
        <f t="shared" si="62"/>
        <v>0</v>
      </c>
      <c r="X327" s="21">
        <f>SUMIFS(X:X,AE:AE,AD327)</f>
        <v>0</v>
      </c>
      <c r="Y327" s="21">
        <f>SUMIFS(Y:Y,AE:AE,AD327)</f>
        <v>0</v>
      </c>
      <c r="Z327" s="22" t="s">
        <v>15</v>
      </c>
      <c r="AA327" s="43" t="s">
        <v>16</v>
      </c>
      <c r="AB327" s="181">
        <f t="shared" si="54"/>
        <v>1</v>
      </c>
      <c r="AC327" s="184"/>
      <c r="AD327" s="184">
        <v>1.8</v>
      </c>
      <c r="AE327" s="184"/>
      <c r="AF327" s="101" t="str">
        <f t="shared" si="55"/>
        <v/>
      </c>
      <c r="AG327" s="190">
        <v>0</v>
      </c>
      <c r="AH327" s="69">
        <f t="shared" si="56"/>
        <v>1</v>
      </c>
    </row>
    <row r="328" spans="1:34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>
        <v>69458</v>
      </c>
      <c r="I328" s="75">
        <v>69458</v>
      </c>
      <c r="J328" s="91" t="s">
        <v>865</v>
      </c>
      <c r="K328" s="73"/>
      <c r="L328" s="46">
        <v>0</v>
      </c>
      <c r="M328" s="46">
        <v>0</v>
      </c>
      <c r="N328" s="46">
        <v>0</v>
      </c>
      <c r="O328" s="98"/>
      <c r="P328" s="23" t="s">
        <v>1421</v>
      </c>
      <c r="Q328" s="24" t="s">
        <v>864</v>
      </c>
      <c r="R328" s="25" t="s">
        <v>14</v>
      </c>
      <c r="S328" s="26">
        <v>1</v>
      </c>
      <c r="T328" s="26"/>
      <c r="U328" s="26">
        <v>69458</v>
      </c>
      <c r="V328" s="26">
        <f t="shared" ref="V328:V368" si="63">AG328-L328</f>
        <v>0</v>
      </c>
      <c r="W328" s="26">
        <f t="shared" si="61"/>
        <v>0</v>
      </c>
      <c r="X328" s="26">
        <f t="shared" ref="X328:X368" si="64">Y328-N328</f>
        <v>0</v>
      </c>
      <c r="Y328" s="26">
        <f t="shared" si="57"/>
        <v>0</v>
      </c>
      <c r="Z328" s="33" t="s">
        <v>15</v>
      </c>
      <c r="AA328" s="36" t="s">
        <v>16</v>
      </c>
      <c r="AB328" s="181">
        <f t="shared" si="54"/>
        <v>1</v>
      </c>
      <c r="AC328" s="181">
        <f t="shared" si="60"/>
        <v>69458</v>
      </c>
      <c r="AD328" s="181">
        <v>1.8</v>
      </c>
      <c r="AE328" s="181">
        <v>1.8</v>
      </c>
      <c r="AF328" s="101" t="str">
        <f t="shared" si="55"/>
        <v/>
      </c>
      <c r="AG328" s="190">
        <v>0</v>
      </c>
      <c r="AH328" s="69">
        <f t="shared" si="56"/>
        <v>1</v>
      </c>
    </row>
    <row r="329" spans="1:34" s="69" customFormat="1" ht="33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>
        <v>94852.479999999996</v>
      </c>
      <c r="I329" s="75">
        <v>94852.479999999996</v>
      </c>
      <c r="J329" s="91" t="s">
        <v>868</v>
      </c>
      <c r="K329" s="73"/>
      <c r="L329" s="46">
        <v>0</v>
      </c>
      <c r="M329" s="46">
        <v>0</v>
      </c>
      <c r="N329" s="46">
        <v>0</v>
      </c>
      <c r="O329" s="98"/>
      <c r="P329" s="23" t="s">
        <v>1426</v>
      </c>
      <c r="Q329" s="24" t="s">
        <v>867</v>
      </c>
      <c r="R329" s="25" t="s">
        <v>14</v>
      </c>
      <c r="S329" s="26">
        <v>1</v>
      </c>
      <c r="T329" s="26"/>
      <c r="U329" s="26">
        <v>94852.479999999996</v>
      </c>
      <c r="V329" s="26">
        <f t="shared" si="63"/>
        <v>0</v>
      </c>
      <c r="W329" s="26">
        <f t="shared" si="61"/>
        <v>0</v>
      </c>
      <c r="X329" s="26">
        <f t="shared" si="64"/>
        <v>0</v>
      </c>
      <c r="Y329" s="26">
        <f t="shared" si="57"/>
        <v>0</v>
      </c>
      <c r="Z329" s="33" t="s">
        <v>15</v>
      </c>
      <c r="AA329" s="36" t="s">
        <v>16</v>
      </c>
      <c r="AB329" s="181">
        <f t="shared" si="54"/>
        <v>1</v>
      </c>
      <c r="AC329" s="181">
        <f t="shared" si="60"/>
        <v>94852.479999999996</v>
      </c>
      <c r="AD329" s="181">
        <v>1.8</v>
      </c>
      <c r="AE329" s="181">
        <v>1.8</v>
      </c>
      <c r="AF329" s="101" t="str">
        <f t="shared" si="55"/>
        <v/>
      </c>
      <c r="AG329" s="190">
        <v>0</v>
      </c>
      <c r="AH329" s="69">
        <f t="shared" si="56"/>
        <v>1</v>
      </c>
    </row>
    <row r="330" spans="1:34" s="69" customFormat="1" ht="39" x14ac:dyDescent="0.3">
      <c r="A330" s="55" t="s">
        <v>869</v>
      </c>
      <c r="B330" s="53" t="s">
        <v>870</v>
      </c>
      <c r="C330" s="54" t="s">
        <v>14</v>
      </c>
      <c r="D330" s="75">
        <v>1</v>
      </c>
      <c r="E330" s="75"/>
      <c r="F330" s="75"/>
      <c r="G330" s="75"/>
      <c r="H330" s="75">
        <v>251510</v>
      </c>
      <c r="I330" s="75">
        <v>251510</v>
      </c>
      <c r="J330" s="91" t="s">
        <v>871</v>
      </c>
      <c r="K330" s="73"/>
      <c r="L330" s="46">
        <v>0</v>
      </c>
      <c r="M330" s="46">
        <v>0</v>
      </c>
      <c r="N330" s="46">
        <v>0</v>
      </c>
      <c r="O330" s="98"/>
      <c r="P330" s="23" t="s">
        <v>1402</v>
      </c>
      <c r="Q330" s="24" t="s">
        <v>870</v>
      </c>
      <c r="R330" s="25" t="s">
        <v>14</v>
      </c>
      <c r="S330" s="26">
        <v>1</v>
      </c>
      <c r="T330" s="26"/>
      <c r="U330" s="26">
        <v>251510</v>
      </c>
      <c r="V330" s="26">
        <f t="shared" si="63"/>
        <v>0</v>
      </c>
      <c r="W330" s="26">
        <f t="shared" si="61"/>
        <v>0</v>
      </c>
      <c r="X330" s="26">
        <f t="shared" si="64"/>
        <v>0</v>
      </c>
      <c r="Y330" s="26">
        <f t="shared" si="57"/>
        <v>0</v>
      </c>
      <c r="Z330" s="33" t="s">
        <v>15</v>
      </c>
      <c r="AA330" s="36" t="s">
        <v>16</v>
      </c>
      <c r="AB330" s="181">
        <f t="shared" si="54"/>
        <v>1</v>
      </c>
      <c r="AC330" s="181">
        <f t="shared" si="60"/>
        <v>251510</v>
      </c>
      <c r="AD330" s="181">
        <v>1.8</v>
      </c>
      <c r="AE330" s="181">
        <v>1.8</v>
      </c>
      <c r="AF330" s="101" t="str">
        <f t="shared" si="55"/>
        <v/>
      </c>
      <c r="AG330" s="190">
        <v>0</v>
      </c>
      <c r="AH330" s="69">
        <f t="shared" si="56"/>
        <v>1</v>
      </c>
    </row>
    <row r="331" spans="1:34" s="69" customFormat="1" ht="33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>
        <v>174688.22</v>
      </c>
      <c r="I331" s="75">
        <v>174688.22</v>
      </c>
      <c r="J331" s="91" t="s">
        <v>874</v>
      </c>
      <c r="K331" s="73"/>
      <c r="L331" s="46">
        <v>0</v>
      </c>
      <c r="M331" s="46">
        <v>0</v>
      </c>
      <c r="N331" s="46">
        <v>0</v>
      </c>
      <c r="O331" s="98"/>
      <c r="P331" s="23" t="s">
        <v>1373</v>
      </c>
      <c r="Q331" s="24" t="s">
        <v>873</v>
      </c>
      <c r="R331" s="25" t="s">
        <v>14</v>
      </c>
      <c r="S331" s="26">
        <v>1</v>
      </c>
      <c r="T331" s="26"/>
      <c r="U331" s="26">
        <v>174688.22</v>
      </c>
      <c r="V331" s="26">
        <f t="shared" si="63"/>
        <v>0</v>
      </c>
      <c r="W331" s="26">
        <f t="shared" si="61"/>
        <v>0</v>
      </c>
      <c r="X331" s="26">
        <f t="shared" si="64"/>
        <v>0</v>
      </c>
      <c r="Y331" s="26">
        <f t="shared" si="57"/>
        <v>0</v>
      </c>
      <c r="Z331" s="33" t="s">
        <v>15</v>
      </c>
      <c r="AA331" s="36" t="s">
        <v>16</v>
      </c>
      <c r="AB331" s="181">
        <f t="shared" ref="AB331:AB411" si="65">IF(T331="",S331,T331)</f>
        <v>1</v>
      </c>
      <c r="AC331" s="181">
        <f t="shared" si="60"/>
        <v>174688.22</v>
      </c>
      <c r="AD331" s="181">
        <v>1.8</v>
      </c>
      <c r="AE331" s="181">
        <v>1.8</v>
      </c>
      <c r="AF331" s="101" t="str">
        <f t="shared" ref="AF331:AF411" si="66">IF(W331&gt;AH331,"超估","")</f>
        <v/>
      </c>
      <c r="AG331" s="190">
        <v>0</v>
      </c>
      <c r="AH331" s="69">
        <f t="shared" ref="AH331:AH394" si="67">IF(G331=0,IF(F331=0,IF(E331=0,D331,E331),F331),G331)</f>
        <v>1</v>
      </c>
    </row>
    <row r="332" spans="1:34" s="69" customFormat="1" ht="33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>
        <v>21221.84</v>
      </c>
      <c r="I332" s="75">
        <v>21221.84</v>
      </c>
      <c r="J332" s="91" t="s">
        <v>877</v>
      </c>
      <c r="K332" s="73"/>
      <c r="L332" s="46">
        <v>0</v>
      </c>
      <c r="M332" s="46">
        <v>0</v>
      </c>
      <c r="N332" s="46">
        <v>0</v>
      </c>
      <c r="O332" s="98"/>
      <c r="P332" s="23" t="s">
        <v>1393</v>
      </c>
      <c r="Q332" s="24" t="s">
        <v>876</v>
      </c>
      <c r="R332" s="25" t="s">
        <v>14</v>
      </c>
      <c r="S332" s="26">
        <v>1</v>
      </c>
      <c r="T332" s="26"/>
      <c r="U332" s="26">
        <v>21221.84</v>
      </c>
      <c r="V332" s="26">
        <f t="shared" si="63"/>
        <v>0</v>
      </c>
      <c r="W332" s="26">
        <f t="shared" si="61"/>
        <v>0</v>
      </c>
      <c r="X332" s="26">
        <f t="shared" si="64"/>
        <v>0</v>
      </c>
      <c r="Y332" s="26">
        <f t="shared" ref="Y332:Y368" si="68">ROUND(U332*W332,2)</f>
        <v>0</v>
      </c>
      <c r="Z332" s="33" t="s">
        <v>15</v>
      </c>
      <c r="AA332" s="36" t="s">
        <v>16</v>
      </c>
      <c r="AB332" s="181">
        <f t="shared" si="65"/>
        <v>1</v>
      </c>
      <c r="AC332" s="181">
        <f t="shared" si="60"/>
        <v>21221.84</v>
      </c>
      <c r="AD332" s="181">
        <v>1.8</v>
      </c>
      <c r="AE332" s="181">
        <v>1.8</v>
      </c>
      <c r="AF332" s="101" t="str">
        <f t="shared" si="66"/>
        <v/>
      </c>
      <c r="AG332" s="190">
        <v>0</v>
      </c>
      <c r="AH332" s="69">
        <f t="shared" si="67"/>
        <v>1</v>
      </c>
    </row>
    <row r="333" spans="1:34" s="69" customFormat="1" ht="58.5" x14ac:dyDescent="0.3">
      <c r="A333" s="55" t="s">
        <v>878</v>
      </c>
      <c r="B333" s="53" t="s">
        <v>879</v>
      </c>
      <c r="C333" s="54" t="s">
        <v>81</v>
      </c>
      <c r="D333" s="75">
        <v>12</v>
      </c>
      <c r="E333" s="75"/>
      <c r="F333" s="75"/>
      <c r="G333" s="75"/>
      <c r="H333" s="75">
        <v>42800</v>
      </c>
      <c r="I333" s="75">
        <v>513600</v>
      </c>
      <c r="J333" s="91" t="s">
        <v>880</v>
      </c>
      <c r="K333" s="73"/>
      <c r="L333" s="46">
        <v>0</v>
      </c>
      <c r="M333" s="46">
        <v>0</v>
      </c>
      <c r="N333" s="46">
        <v>0</v>
      </c>
      <c r="O333" s="98"/>
      <c r="P333" s="23" t="s">
        <v>1403</v>
      </c>
      <c r="Q333" s="24" t="s">
        <v>879</v>
      </c>
      <c r="R333" s="25" t="s">
        <v>81</v>
      </c>
      <c r="S333" s="26">
        <v>12</v>
      </c>
      <c r="T333" s="26"/>
      <c r="U333" s="26">
        <v>42800</v>
      </c>
      <c r="V333" s="26">
        <f t="shared" si="63"/>
        <v>0</v>
      </c>
      <c r="W333" s="26">
        <f t="shared" si="61"/>
        <v>0</v>
      </c>
      <c r="X333" s="26">
        <f t="shared" si="64"/>
        <v>0</v>
      </c>
      <c r="Y333" s="26">
        <f t="shared" si="68"/>
        <v>0</v>
      </c>
      <c r="Z333" s="33" t="s">
        <v>15</v>
      </c>
      <c r="AA333" s="36" t="s">
        <v>16</v>
      </c>
      <c r="AB333" s="181">
        <f t="shared" si="65"/>
        <v>12</v>
      </c>
      <c r="AC333" s="181">
        <f t="shared" si="60"/>
        <v>513600</v>
      </c>
      <c r="AD333" s="181">
        <v>1.8</v>
      </c>
      <c r="AE333" s="181">
        <v>1.8</v>
      </c>
      <c r="AF333" s="101" t="str">
        <f t="shared" si="66"/>
        <v/>
      </c>
      <c r="AG333" s="190">
        <v>0</v>
      </c>
      <c r="AH333" s="69">
        <f t="shared" si="67"/>
        <v>12</v>
      </c>
    </row>
    <row r="334" spans="1:34" s="69" customFormat="1" ht="58.5" x14ac:dyDescent="0.3">
      <c r="A334" s="55" t="s">
        <v>881</v>
      </c>
      <c r="B334" s="53" t="s">
        <v>882</v>
      </c>
      <c r="C334" s="54" t="s">
        <v>81</v>
      </c>
      <c r="D334" s="75">
        <v>7</v>
      </c>
      <c r="E334" s="75"/>
      <c r="F334" s="75"/>
      <c r="G334" s="75"/>
      <c r="H334" s="75">
        <v>60400</v>
      </c>
      <c r="I334" s="75">
        <v>422800</v>
      </c>
      <c r="J334" s="91" t="s">
        <v>883</v>
      </c>
      <c r="K334" s="73"/>
      <c r="L334" s="46">
        <v>0</v>
      </c>
      <c r="M334" s="46">
        <v>0</v>
      </c>
      <c r="N334" s="46">
        <v>0</v>
      </c>
      <c r="O334" s="98"/>
      <c r="P334" s="23" t="s">
        <v>1427</v>
      </c>
      <c r="Q334" s="24" t="s">
        <v>882</v>
      </c>
      <c r="R334" s="25" t="s">
        <v>81</v>
      </c>
      <c r="S334" s="26">
        <v>7</v>
      </c>
      <c r="T334" s="26"/>
      <c r="U334" s="26">
        <v>60400</v>
      </c>
      <c r="V334" s="26">
        <f t="shared" si="63"/>
        <v>0</v>
      </c>
      <c r="W334" s="26">
        <f t="shared" si="61"/>
        <v>0</v>
      </c>
      <c r="X334" s="26">
        <f t="shared" si="64"/>
        <v>0</v>
      </c>
      <c r="Y334" s="26">
        <f t="shared" si="68"/>
        <v>0</v>
      </c>
      <c r="Z334" s="33" t="s">
        <v>15</v>
      </c>
      <c r="AA334" s="36" t="s">
        <v>16</v>
      </c>
      <c r="AB334" s="181">
        <f t="shared" si="65"/>
        <v>7</v>
      </c>
      <c r="AC334" s="181">
        <f t="shared" si="60"/>
        <v>422800</v>
      </c>
      <c r="AD334" s="181">
        <v>1.8</v>
      </c>
      <c r="AE334" s="181">
        <v>1.8</v>
      </c>
      <c r="AF334" s="101" t="str">
        <f t="shared" si="66"/>
        <v/>
      </c>
      <c r="AG334" s="190">
        <v>0</v>
      </c>
      <c r="AH334" s="69">
        <f t="shared" si="67"/>
        <v>7</v>
      </c>
    </row>
    <row r="335" spans="1:34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>
        <v>35000</v>
      </c>
      <c r="I335" s="75">
        <v>455000</v>
      </c>
      <c r="J335" s="91" t="s">
        <v>886</v>
      </c>
      <c r="K335" s="73"/>
      <c r="L335" s="46">
        <v>0</v>
      </c>
      <c r="M335" s="46">
        <v>0</v>
      </c>
      <c r="N335" s="46">
        <v>0</v>
      </c>
      <c r="O335" s="98"/>
      <c r="P335" s="23" t="s">
        <v>1428</v>
      </c>
      <c r="Q335" s="24" t="s">
        <v>885</v>
      </c>
      <c r="R335" s="25" t="s">
        <v>81</v>
      </c>
      <c r="S335" s="26">
        <v>13</v>
      </c>
      <c r="T335" s="26"/>
      <c r="U335" s="26">
        <v>35000</v>
      </c>
      <c r="V335" s="26">
        <f t="shared" si="63"/>
        <v>0</v>
      </c>
      <c r="W335" s="26">
        <f t="shared" si="61"/>
        <v>0</v>
      </c>
      <c r="X335" s="26">
        <f t="shared" si="64"/>
        <v>0</v>
      </c>
      <c r="Y335" s="26">
        <f t="shared" si="68"/>
        <v>0</v>
      </c>
      <c r="Z335" s="33" t="s">
        <v>15</v>
      </c>
      <c r="AA335" s="36" t="s">
        <v>16</v>
      </c>
      <c r="AB335" s="181">
        <f t="shared" si="65"/>
        <v>13</v>
      </c>
      <c r="AC335" s="181">
        <f t="shared" si="60"/>
        <v>455000</v>
      </c>
      <c r="AD335" s="181">
        <v>1.8</v>
      </c>
      <c r="AE335" s="181">
        <v>1.8</v>
      </c>
      <c r="AF335" s="101" t="str">
        <f t="shared" si="66"/>
        <v/>
      </c>
      <c r="AG335" s="190">
        <v>0</v>
      </c>
      <c r="AH335" s="69">
        <f t="shared" si="67"/>
        <v>13</v>
      </c>
    </row>
    <row r="336" spans="1:34" s="69" customFormat="1" ht="39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>
        <v>10000</v>
      </c>
      <c r="I336" s="75">
        <v>130000</v>
      </c>
      <c r="J336" s="91" t="s">
        <v>889</v>
      </c>
      <c r="K336" s="73"/>
      <c r="L336" s="46">
        <v>0</v>
      </c>
      <c r="M336" s="46">
        <v>0</v>
      </c>
      <c r="N336" s="46">
        <v>0</v>
      </c>
      <c r="O336" s="98"/>
      <c r="P336" s="23" t="s">
        <v>1387</v>
      </c>
      <c r="Q336" s="24" t="s">
        <v>888</v>
      </c>
      <c r="R336" s="25" t="s">
        <v>81</v>
      </c>
      <c r="S336" s="26">
        <v>13</v>
      </c>
      <c r="T336" s="26"/>
      <c r="U336" s="26">
        <v>10000</v>
      </c>
      <c r="V336" s="26">
        <f t="shared" si="63"/>
        <v>0</v>
      </c>
      <c r="W336" s="26">
        <f t="shared" si="61"/>
        <v>0</v>
      </c>
      <c r="X336" s="26">
        <f t="shared" si="64"/>
        <v>0</v>
      </c>
      <c r="Y336" s="26">
        <f t="shared" si="68"/>
        <v>0</v>
      </c>
      <c r="Z336" s="33" t="s">
        <v>15</v>
      </c>
      <c r="AA336" s="36" t="s">
        <v>16</v>
      </c>
      <c r="AB336" s="181">
        <f t="shared" si="65"/>
        <v>13</v>
      </c>
      <c r="AC336" s="181">
        <f t="shared" si="60"/>
        <v>130000</v>
      </c>
      <c r="AD336" s="181">
        <v>1.8</v>
      </c>
      <c r="AE336" s="181">
        <v>1.8</v>
      </c>
      <c r="AF336" s="101" t="str">
        <f t="shared" si="66"/>
        <v/>
      </c>
      <c r="AG336" s="190">
        <v>0</v>
      </c>
      <c r="AH336" s="69">
        <f t="shared" si="67"/>
        <v>13</v>
      </c>
    </row>
    <row r="337" spans="1:34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>
        <v>1500</v>
      </c>
      <c r="I337" s="75">
        <v>3000</v>
      </c>
      <c r="J337" s="91" t="s">
        <v>892</v>
      </c>
      <c r="K337" s="73"/>
      <c r="L337" s="46">
        <v>0</v>
      </c>
      <c r="M337" s="46">
        <v>0</v>
      </c>
      <c r="N337" s="46">
        <v>0</v>
      </c>
      <c r="O337" s="98"/>
      <c r="P337" s="23" t="s">
        <v>1405</v>
      </c>
      <c r="Q337" s="24" t="s">
        <v>891</v>
      </c>
      <c r="R337" s="25" t="s">
        <v>325</v>
      </c>
      <c r="S337" s="26">
        <v>2</v>
      </c>
      <c r="T337" s="26"/>
      <c r="U337" s="26">
        <v>1500</v>
      </c>
      <c r="V337" s="26">
        <f t="shared" si="63"/>
        <v>0</v>
      </c>
      <c r="W337" s="26">
        <f t="shared" si="61"/>
        <v>0</v>
      </c>
      <c r="X337" s="26">
        <f t="shared" si="64"/>
        <v>0</v>
      </c>
      <c r="Y337" s="26">
        <f t="shared" si="68"/>
        <v>0</v>
      </c>
      <c r="Z337" s="33" t="s">
        <v>15</v>
      </c>
      <c r="AA337" s="36" t="s">
        <v>16</v>
      </c>
      <c r="AB337" s="181">
        <f t="shared" si="65"/>
        <v>2</v>
      </c>
      <c r="AC337" s="181">
        <f t="shared" si="60"/>
        <v>3000</v>
      </c>
      <c r="AD337" s="181">
        <v>1.8</v>
      </c>
      <c r="AE337" s="181">
        <v>1.8</v>
      </c>
      <c r="AF337" s="101" t="str">
        <f t="shared" si="66"/>
        <v/>
      </c>
      <c r="AG337" s="190">
        <v>0</v>
      </c>
      <c r="AH337" s="69">
        <f t="shared" si="67"/>
        <v>2</v>
      </c>
    </row>
    <row r="338" spans="1:34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>
        <v>4000</v>
      </c>
      <c r="I338" s="75">
        <v>8000</v>
      </c>
      <c r="J338" s="91" t="s">
        <v>895</v>
      </c>
      <c r="K338" s="73"/>
      <c r="L338" s="46">
        <v>0</v>
      </c>
      <c r="M338" s="46">
        <v>0</v>
      </c>
      <c r="N338" s="46">
        <v>0</v>
      </c>
      <c r="O338" s="98"/>
      <c r="P338" s="23" t="s">
        <v>1406</v>
      </c>
      <c r="Q338" s="24" t="s">
        <v>894</v>
      </c>
      <c r="R338" s="25" t="s">
        <v>325</v>
      </c>
      <c r="S338" s="26">
        <v>2</v>
      </c>
      <c r="T338" s="26"/>
      <c r="U338" s="26">
        <v>4000</v>
      </c>
      <c r="V338" s="26">
        <f t="shared" si="63"/>
        <v>0</v>
      </c>
      <c r="W338" s="26">
        <f t="shared" si="61"/>
        <v>0</v>
      </c>
      <c r="X338" s="26">
        <f t="shared" si="64"/>
        <v>0</v>
      </c>
      <c r="Y338" s="26">
        <f t="shared" si="68"/>
        <v>0</v>
      </c>
      <c r="Z338" s="33" t="s">
        <v>15</v>
      </c>
      <c r="AA338" s="36" t="s">
        <v>16</v>
      </c>
      <c r="AB338" s="181">
        <f t="shared" si="65"/>
        <v>2</v>
      </c>
      <c r="AC338" s="181">
        <f t="shared" si="60"/>
        <v>8000</v>
      </c>
      <c r="AD338" s="181">
        <v>1.8</v>
      </c>
      <c r="AE338" s="181">
        <v>1.8</v>
      </c>
      <c r="AF338" s="101" t="str">
        <f t="shared" si="66"/>
        <v/>
      </c>
      <c r="AG338" s="190">
        <v>0</v>
      </c>
      <c r="AH338" s="69">
        <f t="shared" si="67"/>
        <v>2</v>
      </c>
    </row>
    <row r="339" spans="1:34" s="69" customFormat="1" ht="33" x14ac:dyDescent="0.3">
      <c r="A339" s="55" t="s">
        <v>896</v>
      </c>
      <c r="B339" s="53" t="s">
        <v>897</v>
      </c>
      <c r="C339" s="54" t="s">
        <v>30</v>
      </c>
      <c r="D339" s="75">
        <v>216.55</v>
      </c>
      <c r="E339" s="75"/>
      <c r="F339" s="75"/>
      <c r="G339" s="75"/>
      <c r="H339" s="75">
        <v>800</v>
      </c>
      <c r="I339" s="75">
        <v>173240</v>
      </c>
      <c r="J339" s="91" t="s">
        <v>898</v>
      </c>
      <c r="K339" s="73"/>
      <c r="L339" s="46">
        <v>0</v>
      </c>
      <c r="M339" s="46">
        <v>0</v>
      </c>
      <c r="N339" s="46">
        <v>0</v>
      </c>
      <c r="O339" s="98"/>
      <c r="P339" s="23" t="s">
        <v>1414</v>
      </c>
      <c r="Q339" s="24" t="s">
        <v>897</v>
      </c>
      <c r="R339" s="25" t="s">
        <v>30</v>
      </c>
      <c r="S339" s="26">
        <v>216.55</v>
      </c>
      <c r="T339" s="26"/>
      <c r="U339" s="26">
        <v>800</v>
      </c>
      <c r="V339" s="26">
        <f t="shared" si="63"/>
        <v>0</v>
      </c>
      <c r="W339" s="26">
        <f t="shared" si="61"/>
        <v>0</v>
      </c>
      <c r="X339" s="26">
        <f t="shared" si="64"/>
        <v>0</v>
      </c>
      <c r="Y339" s="26">
        <f t="shared" si="68"/>
        <v>0</v>
      </c>
      <c r="Z339" s="33" t="s">
        <v>15</v>
      </c>
      <c r="AA339" s="36" t="s">
        <v>16</v>
      </c>
      <c r="AB339" s="181">
        <f t="shared" si="65"/>
        <v>216.55</v>
      </c>
      <c r="AC339" s="181">
        <f t="shared" si="60"/>
        <v>173240</v>
      </c>
      <c r="AD339" s="181">
        <v>1.8</v>
      </c>
      <c r="AE339" s="181">
        <v>1.8</v>
      </c>
      <c r="AF339" s="101" t="str">
        <f t="shared" si="66"/>
        <v/>
      </c>
      <c r="AG339" s="190">
        <v>0</v>
      </c>
      <c r="AH339" s="69">
        <f t="shared" si="67"/>
        <v>216.55</v>
      </c>
    </row>
    <row r="340" spans="1:34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>
        <v>11300</v>
      </c>
      <c r="I340" s="75">
        <v>56500</v>
      </c>
      <c r="J340" s="91" t="s">
        <v>901</v>
      </c>
      <c r="K340" s="73"/>
      <c r="L340" s="46">
        <v>0</v>
      </c>
      <c r="M340" s="46">
        <v>0</v>
      </c>
      <c r="N340" s="46">
        <v>0</v>
      </c>
      <c r="O340" s="98"/>
      <c r="P340" s="23" t="s">
        <v>1429</v>
      </c>
      <c r="Q340" s="24" t="s">
        <v>900</v>
      </c>
      <c r="R340" s="25" t="s">
        <v>325</v>
      </c>
      <c r="S340" s="26">
        <v>5</v>
      </c>
      <c r="T340" s="26"/>
      <c r="U340" s="26">
        <v>11300</v>
      </c>
      <c r="V340" s="26">
        <f t="shared" si="63"/>
        <v>0</v>
      </c>
      <c r="W340" s="26">
        <f t="shared" si="61"/>
        <v>0</v>
      </c>
      <c r="X340" s="26">
        <f t="shared" si="64"/>
        <v>0</v>
      </c>
      <c r="Y340" s="26">
        <f t="shared" si="68"/>
        <v>0</v>
      </c>
      <c r="Z340" s="33" t="s">
        <v>15</v>
      </c>
      <c r="AA340" s="36" t="s">
        <v>16</v>
      </c>
      <c r="AB340" s="181">
        <f t="shared" si="65"/>
        <v>5</v>
      </c>
      <c r="AC340" s="181">
        <f t="shared" si="60"/>
        <v>56500</v>
      </c>
      <c r="AD340" s="181">
        <v>1.8</v>
      </c>
      <c r="AE340" s="181">
        <v>1.8</v>
      </c>
      <c r="AF340" s="101" t="str">
        <f t="shared" si="66"/>
        <v/>
      </c>
      <c r="AG340" s="190">
        <v>0</v>
      </c>
      <c r="AH340" s="69">
        <f t="shared" si="67"/>
        <v>5</v>
      </c>
    </row>
    <row r="341" spans="1:34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>
        <v>13500</v>
      </c>
      <c r="I341" s="75">
        <v>108000</v>
      </c>
      <c r="J341" s="91" t="s">
        <v>904</v>
      </c>
      <c r="K341" s="73"/>
      <c r="L341" s="46">
        <v>0</v>
      </c>
      <c r="M341" s="46">
        <v>0</v>
      </c>
      <c r="N341" s="46">
        <v>0</v>
      </c>
      <c r="O341" s="98"/>
      <c r="P341" s="23" t="s">
        <v>1430</v>
      </c>
      <c r="Q341" s="24" t="s">
        <v>903</v>
      </c>
      <c r="R341" s="25" t="s">
        <v>325</v>
      </c>
      <c r="S341" s="26">
        <v>8</v>
      </c>
      <c r="T341" s="26"/>
      <c r="U341" s="26">
        <v>13500</v>
      </c>
      <c r="V341" s="26">
        <f t="shared" si="63"/>
        <v>0</v>
      </c>
      <c r="W341" s="26">
        <f t="shared" si="61"/>
        <v>0</v>
      </c>
      <c r="X341" s="26">
        <f t="shared" si="64"/>
        <v>0</v>
      </c>
      <c r="Y341" s="26">
        <f t="shared" si="68"/>
        <v>0</v>
      </c>
      <c r="Z341" s="33" t="s">
        <v>15</v>
      </c>
      <c r="AA341" s="36" t="s">
        <v>16</v>
      </c>
      <c r="AB341" s="181">
        <f t="shared" si="65"/>
        <v>8</v>
      </c>
      <c r="AC341" s="181">
        <f t="shared" si="60"/>
        <v>108000</v>
      </c>
      <c r="AD341" s="181">
        <v>1.8</v>
      </c>
      <c r="AE341" s="181">
        <v>1.8</v>
      </c>
      <c r="AF341" s="101" t="str">
        <f t="shared" si="66"/>
        <v/>
      </c>
      <c r="AG341" s="190">
        <v>0</v>
      </c>
      <c r="AH341" s="69">
        <f t="shared" si="67"/>
        <v>8</v>
      </c>
    </row>
    <row r="342" spans="1:34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>
        <v>112963.49</v>
      </c>
      <c r="I342" s="75">
        <v>112963.49</v>
      </c>
      <c r="J342" s="91" t="s">
        <v>907</v>
      </c>
      <c r="K342" s="73"/>
      <c r="L342" s="46">
        <v>0</v>
      </c>
      <c r="M342" s="46">
        <v>0</v>
      </c>
      <c r="N342" s="46">
        <v>0</v>
      </c>
      <c r="O342" s="98"/>
      <c r="P342" s="23" t="s">
        <v>1431</v>
      </c>
      <c r="Q342" s="24" t="s">
        <v>906</v>
      </c>
      <c r="R342" s="25" t="s">
        <v>73</v>
      </c>
      <c r="S342" s="26">
        <v>1</v>
      </c>
      <c r="T342" s="26"/>
      <c r="U342" s="26">
        <v>112963.49</v>
      </c>
      <c r="V342" s="26">
        <f t="shared" si="63"/>
        <v>0</v>
      </c>
      <c r="W342" s="26">
        <f t="shared" si="61"/>
        <v>0</v>
      </c>
      <c r="X342" s="26">
        <f t="shared" si="64"/>
        <v>0</v>
      </c>
      <c r="Y342" s="26">
        <f t="shared" si="68"/>
        <v>0</v>
      </c>
      <c r="Z342" s="33" t="s">
        <v>15</v>
      </c>
      <c r="AA342" s="36" t="s">
        <v>16</v>
      </c>
      <c r="AB342" s="181">
        <f t="shared" si="65"/>
        <v>1</v>
      </c>
      <c r="AC342" s="181">
        <f t="shared" si="60"/>
        <v>112963.49</v>
      </c>
      <c r="AD342" s="181">
        <v>1.8</v>
      </c>
      <c r="AE342" s="181">
        <v>1.8</v>
      </c>
      <c r="AF342" s="101" t="str">
        <f t="shared" si="66"/>
        <v/>
      </c>
      <c r="AG342" s="190">
        <v>0</v>
      </c>
      <c r="AH342" s="69">
        <f t="shared" si="67"/>
        <v>1</v>
      </c>
    </row>
    <row r="343" spans="1:34" s="69" customFormat="1" ht="33" x14ac:dyDescent="0.3">
      <c r="A343" s="55" t="s">
        <v>908</v>
      </c>
      <c r="B343" s="211" t="s">
        <v>909</v>
      </c>
      <c r="C343" s="212" t="s">
        <v>14</v>
      </c>
      <c r="D343" s="213">
        <v>1</v>
      </c>
      <c r="E343" s="75"/>
      <c r="F343" s="75"/>
      <c r="G343" s="75"/>
      <c r="H343" s="75">
        <v>322500</v>
      </c>
      <c r="I343" s="75">
        <v>322500</v>
      </c>
      <c r="J343" s="91" t="s">
        <v>910</v>
      </c>
      <c r="K343" s="73"/>
      <c r="L343" s="46">
        <v>0</v>
      </c>
      <c r="M343" s="46">
        <v>0</v>
      </c>
      <c r="N343" s="46">
        <v>0</v>
      </c>
      <c r="O343" s="98"/>
      <c r="P343" s="23" t="s">
        <v>1395</v>
      </c>
      <c r="Q343" s="24" t="s">
        <v>909</v>
      </c>
      <c r="R343" s="25" t="s">
        <v>14</v>
      </c>
      <c r="S343" s="26">
        <v>1</v>
      </c>
      <c r="T343" s="26"/>
      <c r="U343" s="26">
        <v>322500</v>
      </c>
      <c r="V343" s="26">
        <f t="shared" si="63"/>
        <v>0</v>
      </c>
      <c r="W343" s="26">
        <f t="shared" si="61"/>
        <v>0</v>
      </c>
      <c r="X343" s="26">
        <f t="shared" si="64"/>
        <v>0</v>
      </c>
      <c r="Y343" s="26">
        <f t="shared" si="68"/>
        <v>0</v>
      </c>
      <c r="Z343" s="33" t="s">
        <v>15</v>
      </c>
      <c r="AA343" s="36" t="s">
        <v>16</v>
      </c>
      <c r="AB343" s="181">
        <f t="shared" si="65"/>
        <v>1</v>
      </c>
      <c r="AC343" s="181">
        <f t="shared" si="60"/>
        <v>322500</v>
      </c>
      <c r="AD343" s="181">
        <v>1.8</v>
      </c>
      <c r="AE343" s="181">
        <v>1.8</v>
      </c>
      <c r="AF343" s="101" t="str">
        <f t="shared" si="66"/>
        <v/>
      </c>
      <c r="AG343" s="190">
        <v>0</v>
      </c>
      <c r="AH343" s="69">
        <f t="shared" si="67"/>
        <v>1</v>
      </c>
    </row>
    <row r="344" spans="1:34" s="69" customFormat="1" ht="33" x14ac:dyDescent="0.3">
      <c r="A344" s="55" t="s">
        <v>911</v>
      </c>
      <c r="B344" s="211" t="s">
        <v>912</v>
      </c>
      <c r="C344" s="212" t="s">
        <v>325</v>
      </c>
      <c r="D344" s="213">
        <v>7</v>
      </c>
      <c r="E344" s="75"/>
      <c r="F344" s="75"/>
      <c r="G344" s="75"/>
      <c r="H344" s="75">
        <v>15500</v>
      </c>
      <c r="I344" s="75">
        <v>108500</v>
      </c>
      <c r="J344" s="91" t="s">
        <v>913</v>
      </c>
      <c r="K344" s="73"/>
      <c r="L344" s="46">
        <v>0</v>
      </c>
      <c r="M344" s="46">
        <v>0</v>
      </c>
      <c r="N344" s="46">
        <v>0</v>
      </c>
      <c r="O344" s="98"/>
      <c r="P344" s="23" t="s">
        <v>1432</v>
      </c>
      <c r="Q344" s="24" t="s">
        <v>912</v>
      </c>
      <c r="R344" s="25" t="s">
        <v>325</v>
      </c>
      <c r="S344" s="26">
        <v>7</v>
      </c>
      <c r="T344" s="26"/>
      <c r="U344" s="26">
        <v>15500</v>
      </c>
      <c r="V344" s="26">
        <f t="shared" si="63"/>
        <v>0</v>
      </c>
      <c r="W344" s="26">
        <f t="shared" si="61"/>
        <v>0</v>
      </c>
      <c r="X344" s="26">
        <f t="shared" si="64"/>
        <v>0</v>
      </c>
      <c r="Y344" s="26">
        <f t="shared" si="68"/>
        <v>0</v>
      </c>
      <c r="Z344" s="33" t="s">
        <v>15</v>
      </c>
      <c r="AA344" s="36" t="s">
        <v>16</v>
      </c>
      <c r="AB344" s="181">
        <f t="shared" si="65"/>
        <v>7</v>
      </c>
      <c r="AC344" s="181">
        <f t="shared" si="60"/>
        <v>108500</v>
      </c>
      <c r="AD344" s="181">
        <v>1.8</v>
      </c>
      <c r="AE344" s="181">
        <v>1.8</v>
      </c>
      <c r="AF344" s="101" t="str">
        <f t="shared" si="66"/>
        <v/>
      </c>
      <c r="AG344" s="190">
        <v>0</v>
      </c>
      <c r="AH344" s="69">
        <f t="shared" si="67"/>
        <v>7</v>
      </c>
    </row>
    <row r="345" spans="1:34" s="69" customFormat="1" ht="33" x14ac:dyDescent="0.3">
      <c r="A345" s="55" t="s">
        <v>914</v>
      </c>
      <c r="B345" s="211" t="s">
        <v>915</v>
      </c>
      <c r="C345" s="212" t="s">
        <v>325</v>
      </c>
      <c r="D345" s="213">
        <v>2</v>
      </c>
      <c r="E345" s="75"/>
      <c r="F345" s="75"/>
      <c r="G345" s="75"/>
      <c r="H345" s="75">
        <v>113300</v>
      </c>
      <c r="I345" s="75">
        <v>226600</v>
      </c>
      <c r="J345" s="91" t="s">
        <v>916</v>
      </c>
      <c r="K345" s="73"/>
      <c r="L345" s="46">
        <v>0</v>
      </c>
      <c r="M345" s="46">
        <v>0</v>
      </c>
      <c r="N345" s="46">
        <v>0</v>
      </c>
      <c r="O345" s="98"/>
      <c r="P345" s="23" t="s">
        <v>1433</v>
      </c>
      <c r="Q345" s="24" t="s">
        <v>915</v>
      </c>
      <c r="R345" s="25" t="s">
        <v>325</v>
      </c>
      <c r="S345" s="26">
        <v>2</v>
      </c>
      <c r="T345" s="26"/>
      <c r="U345" s="26">
        <v>113300</v>
      </c>
      <c r="V345" s="26">
        <f t="shared" si="63"/>
        <v>0</v>
      </c>
      <c r="W345" s="26">
        <f t="shared" si="61"/>
        <v>0</v>
      </c>
      <c r="X345" s="26">
        <f t="shared" si="64"/>
        <v>0</v>
      </c>
      <c r="Y345" s="26">
        <f t="shared" si="68"/>
        <v>0</v>
      </c>
      <c r="Z345" s="33" t="s">
        <v>15</v>
      </c>
      <c r="AA345" s="36" t="s">
        <v>16</v>
      </c>
      <c r="AB345" s="181">
        <f t="shared" si="65"/>
        <v>2</v>
      </c>
      <c r="AC345" s="181">
        <f t="shared" si="60"/>
        <v>226600</v>
      </c>
      <c r="AD345" s="181">
        <v>1.8</v>
      </c>
      <c r="AE345" s="181">
        <v>1.8</v>
      </c>
      <c r="AF345" s="101" t="str">
        <f t="shared" si="66"/>
        <v/>
      </c>
      <c r="AG345" s="190">
        <v>0</v>
      </c>
      <c r="AH345" s="69">
        <f t="shared" si="67"/>
        <v>2</v>
      </c>
    </row>
    <row r="346" spans="1:34" s="69" customFormat="1" ht="33" x14ac:dyDescent="0.3">
      <c r="A346" s="55" t="s">
        <v>917</v>
      </c>
      <c r="B346" s="53" t="s">
        <v>918</v>
      </c>
      <c r="C346" s="54" t="s">
        <v>325</v>
      </c>
      <c r="D346" s="75">
        <v>9</v>
      </c>
      <c r="E346" s="75"/>
      <c r="F346" s="75"/>
      <c r="G346" s="75"/>
      <c r="H346" s="75">
        <v>100000</v>
      </c>
      <c r="I346" s="75">
        <v>900000</v>
      </c>
      <c r="J346" s="91" t="s">
        <v>919</v>
      </c>
      <c r="K346" s="73"/>
      <c r="L346" s="46">
        <v>0</v>
      </c>
      <c r="M346" s="46">
        <v>0</v>
      </c>
      <c r="N346" s="46">
        <v>0</v>
      </c>
      <c r="O346" s="98"/>
      <c r="P346" s="23" t="s">
        <v>1382</v>
      </c>
      <c r="Q346" s="24" t="s">
        <v>918</v>
      </c>
      <c r="R346" s="25" t="s">
        <v>325</v>
      </c>
      <c r="S346" s="26">
        <v>9</v>
      </c>
      <c r="T346" s="26"/>
      <c r="U346" s="26">
        <v>100000</v>
      </c>
      <c r="V346" s="26">
        <f t="shared" si="63"/>
        <v>0</v>
      </c>
      <c r="W346" s="26">
        <f t="shared" si="61"/>
        <v>0</v>
      </c>
      <c r="X346" s="26">
        <f t="shared" si="64"/>
        <v>0</v>
      </c>
      <c r="Y346" s="26">
        <f t="shared" si="68"/>
        <v>0</v>
      </c>
      <c r="Z346" s="33" t="s">
        <v>15</v>
      </c>
      <c r="AA346" s="36" t="s">
        <v>16</v>
      </c>
      <c r="AB346" s="181">
        <f t="shared" si="65"/>
        <v>9</v>
      </c>
      <c r="AC346" s="181">
        <f t="shared" si="60"/>
        <v>900000</v>
      </c>
      <c r="AD346" s="181">
        <v>1.8</v>
      </c>
      <c r="AE346" s="181">
        <v>1.8</v>
      </c>
      <c r="AF346" s="101" t="str">
        <f t="shared" si="66"/>
        <v/>
      </c>
      <c r="AG346" s="190">
        <v>0</v>
      </c>
      <c r="AH346" s="69">
        <f t="shared" si="67"/>
        <v>9</v>
      </c>
    </row>
    <row r="347" spans="1:34" s="69" customFormat="1" ht="33" x14ac:dyDescent="0.3">
      <c r="A347" s="55" t="s">
        <v>920</v>
      </c>
      <c r="B347" s="53" t="s">
        <v>921</v>
      </c>
      <c r="C347" s="54" t="s">
        <v>81</v>
      </c>
      <c r="D347" s="75">
        <v>2</v>
      </c>
      <c r="E347" s="75"/>
      <c r="F347" s="75"/>
      <c r="G347" s="75"/>
      <c r="H347" s="75">
        <v>15000</v>
      </c>
      <c r="I347" s="75">
        <v>30000</v>
      </c>
      <c r="J347" s="91" t="s">
        <v>922</v>
      </c>
      <c r="K347" s="73"/>
      <c r="L347" s="46">
        <v>0</v>
      </c>
      <c r="M347" s="46">
        <v>0</v>
      </c>
      <c r="N347" s="46">
        <v>0</v>
      </c>
      <c r="O347" s="98"/>
      <c r="P347" s="23" t="s">
        <v>1434</v>
      </c>
      <c r="Q347" s="24" t="s">
        <v>921</v>
      </c>
      <c r="R347" s="25" t="s">
        <v>81</v>
      </c>
      <c r="S347" s="26">
        <v>2</v>
      </c>
      <c r="T347" s="26"/>
      <c r="U347" s="26">
        <v>15000</v>
      </c>
      <c r="V347" s="26">
        <f t="shared" si="63"/>
        <v>0</v>
      </c>
      <c r="W347" s="26">
        <f t="shared" si="61"/>
        <v>0</v>
      </c>
      <c r="X347" s="26">
        <f t="shared" si="64"/>
        <v>0</v>
      </c>
      <c r="Y347" s="26">
        <f t="shared" si="68"/>
        <v>0</v>
      </c>
      <c r="Z347" s="33" t="s">
        <v>15</v>
      </c>
      <c r="AA347" s="36" t="s">
        <v>16</v>
      </c>
      <c r="AB347" s="181">
        <f t="shared" si="65"/>
        <v>2</v>
      </c>
      <c r="AC347" s="181">
        <f t="shared" si="60"/>
        <v>30000</v>
      </c>
      <c r="AD347" s="181">
        <v>1.8</v>
      </c>
      <c r="AE347" s="181">
        <v>1.8</v>
      </c>
      <c r="AF347" s="101" t="str">
        <f t="shared" si="66"/>
        <v/>
      </c>
      <c r="AG347" s="190">
        <v>0</v>
      </c>
      <c r="AH347" s="69">
        <f t="shared" si="67"/>
        <v>2</v>
      </c>
    </row>
    <row r="348" spans="1:34" s="69" customFormat="1" ht="33" x14ac:dyDescent="0.3">
      <c r="A348" s="55" t="s">
        <v>923</v>
      </c>
      <c r="B348" s="53" t="s">
        <v>924</v>
      </c>
      <c r="C348" s="54" t="s">
        <v>925</v>
      </c>
      <c r="D348" s="75">
        <v>1</v>
      </c>
      <c r="E348" s="75"/>
      <c r="F348" s="75"/>
      <c r="G348" s="75"/>
      <c r="H348" s="75">
        <v>15000</v>
      </c>
      <c r="I348" s="75">
        <v>15000</v>
      </c>
      <c r="J348" s="91" t="s">
        <v>926</v>
      </c>
      <c r="K348" s="73"/>
      <c r="L348" s="46">
        <v>0</v>
      </c>
      <c r="M348" s="46">
        <v>0</v>
      </c>
      <c r="N348" s="46">
        <v>0</v>
      </c>
      <c r="O348" s="98"/>
      <c r="P348" s="23" t="s">
        <v>1388</v>
      </c>
      <c r="Q348" s="24" t="s">
        <v>924</v>
      </c>
      <c r="R348" s="25" t="s">
        <v>925</v>
      </c>
      <c r="S348" s="26">
        <v>1</v>
      </c>
      <c r="T348" s="26"/>
      <c r="U348" s="26">
        <v>15000</v>
      </c>
      <c r="V348" s="26">
        <f t="shared" si="63"/>
        <v>0</v>
      </c>
      <c r="W348" s="26">
        <f t="shared" si="61"/>
        <v>0</v>
      </c>
      <c r="X348" s="26">
        <f t="shared" si="64"/>
        <v>0</v>
      </c>
      <c r="Y348" s="26">
        <f t="shared" si="68"/>
        <v>0</v>
      </c>
      <c r="Z348" s="33" t="s">
        <v>15</v>
      </c>
      <c r="AA348" s="36" t="s">
        <v>16</v>
      </c>
      <c r="AB348" s="181">
        <f t="shared" si="65"/>
        <v>1</v>
      </c>
      <c r="AC348" s="181">
        <f t="shared" si="60"/>
        <v>15000</v>
      </c>
      <c r="AD348" s="181">
        <v>1.8</v>
      </c>
      <c r="AE348" s="181">
        <v>1.8</v>
      </c>
      <c r="AF348" s="101" t="str">
        <f t="shared" si="66"/>
        <v/>
      </c>
      <c r="AG348" s="190">
        <v>0</v>
      </c>
      <c r="AH348" s="69">
        <f t="shared" si="67"/>
        <v>1</v>
      </c>
    </row>
    <row r="349" spans="1:34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>
        <v>1500</v>
      </c>
      <c r="I349" s="75">
        <v>1500</v>
      </c>
      <c r="J349" s="91" t="s">
        <v>929</v>
      </c>
      <c r="K349" s="73"/>
      <c r="L349" s="46">
        <v>0</v>
      </c>
      <c r="M349" s="46">
        <v>0</v>
      </c>
      <c r="N349" s="46">
        <v>0</v>
      </c>
      <c r="O349" s="98"/>
      <c r="P349" s="23" t="s">
        <v>1389</v>
      </c>
      <c r="Q349" s="24" t="s">
        <v>928</v>
      </c>
      <c r="R349" s="25" t="s">
        <v>325</v>
      </c>
      <c r="S349" s="26">
        <v>1</v>
      </c>
      <c r="T349" s="26"/>
      <c r="U349" s="26">
        <v>1500</v>
      </c>
      <c r="V349" s="26">
        <f t="shared" si="63"/>
        <v>0</v>
      </c>
      <c r="W349" s="26">
        <f t="shared" si="61"/>
        <v>0</v>
      </c>
      <c r="X349" s="26">
        <f t="shared" si="64"/>
        <v>0</v>
      </c>
      <c r="Y349" s="26">
        <f t="shared" si="68"/>
        <v>0</v>
      </c>
      <c r="Z349" s="33" t="s">
        <v>15</v>
      </c>
      <c r="AA349" s="36" t="s">
        <v>16</v>
      </c>
      <c r="AB349" s="181">
        <f t="shared" si="65"/>
        <v>1</v>
      </c>
      <c r="AC349" s="181">
        <f t="shared" si="60"/>
        <v>1500</v>
      </c>
      <c r="AD349" s="181">
        <v>1.8</v>
      </c>
      <c r="AE349" s="181">
        <v>1.8</v>
      </c>
      <c r="AF349" s="101" t="str">
        <f t="shared" si="66"/>
        <v/>
      </c>
      <c r="AG349" s="190">
        <v>0</v>
      </c>
      <c r="AH349" s="69">
        <f t="shared" si="67"/>
        <v>1</v>
      </c>
    </row>
    <row r="350" spans="1:34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>
        <v>2600</v>
      </c>
      <c r="I350" s="75">
        <v>7800</v>
      </c>
      <c r="J350" s="91" t="s">
        <v>933</v>
      </c>
      <c r="K350" s="73"/>
      <c r="L350" s="46">
        <v>0</v>
      </c>
      <c r="M350" s="46">
        <v>0</v>
      </c>
      <c r="N350" s="46">
        <v>0</v>
      </c>
      <c r="O350" s="98"/>
      <c r="P350" s="23" t="s">
        <v>1390</v>
      </c>
      <c r="Q350" s="24" t="s">
        <v>931</v>
      </c>
      <c r="R350" s="25" t="s">
        <v>932</v>
      </c>
      <c r="S350" s="26">
        <v>3</v>
      </c>
      <c r="T350" s="26"/>
      <c r="U350" s="26">
        <v>2600</v>
      </c>
      <c r="V350" s="26">
        <f t="shared" si="63"/>
        <v>0</v>
      </c>
      <c r="W350" s="26">
        <f t="shared" si="61"/>
        <v>0</v>
      </c>
      <c r="X350" s="26">
        <f t="shared" si="64"/>
        <v>0</v>
      </c>
      <c r="Y350" s="26">
        <f t="shared" si="68"/>
        <v>0</v>
      </c>
      <c r="Z350" s="33" t="s">
        <v>15</v>
      </c>
      <c r="AA350" s="36" t="s">
        <v>16</v>
      </c>
      <c r="AB350" s="181">
        <f t="shared" si="65"/>
        <v>3</v>
      </c>
      <c r="AC350" s="181">
        <f t="shared" si="60"/>
        <v>7800</v>
      </c>
      <c r="AD350" s="181">
        <v>1.8</v>
      </c>
      <c r="AE350" s="181">
        <v>1.8</v>
      </c>
      <c r="AF350" s="101" t="str">
        <f t="shared" si="66"/>
        <v/>
      </c>
      <c r="AG350" s="190">
        <v>0</v>
      </c>
      <c r="AH350" s="69">
        <f t="shared" si="67"/>
        <v>3</v>
      </c>
    </row>
    <row r="351" spans="1:34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>
        <v>4460</v>
      </c>
      <c r="I351" s="75">
        <v>169480</v>
      </c>
      <c r="J351" s="91" t="s">
        <v>936</v>
      </c>
      <c r="K351" s="73"/>
      <c r="L351" s="46">
        <v>0</v>
      </c>
      <c r="M351" s="46">
        <v>0</v>
      </c>
      <c r="N351" s="46">
        <v>0</v>
      </c>
      <c r="O351" s="98"/>
      <c r="P351" s="23" t="s">
        <v>1391</v>
      </c>
      <c r="Q351" s="24" t="s">
        <v>935</v>
      </c>
      <c r="R351" s="25" t="s">
        <v>932</v>
      </c>
      <c r="S351" s="26">
        <v>38</v>
      </c>
      <c r="T351" s="26"/>
      <c r="U351" s="26">
        <v>4460</v>
      </c>
      <c r="V351" s="26">
        <f t="shared" si="63"/>
        <v>0</v>
      </c>
      <c r="W351" s="26">
        <f t="shared" si="61"/>
        <v>0</v>
      </c>
      <c r="X351" s="26">
        <f t="shared" si="64"/>
        <v>0</v>
      </c>
      <c r="Y351" s="26">
        <f t="shared" si="68"/>
        <v>0</v>
      </c>
      <c r="Z351" s="33" t="s">
        <v>15</v>
      </c>
      <c r="AA351" s="36" t="s">
        <v>16</v>
      </c>
      <c r="AB351" s="181">
        <f t="shared" si="65"/>
        <v>38</v>
      </c>
      <c r="AC351" s="181">
        <f t="shared" si="60"/>
        <v>169480</v>
      </c>
      <c r="AD351" s="181">
        <v>1.8</v>
      </c>
      <c r="AE351" s="181">
        <v>1.8</v>
      </c>
      <c r="AF351" s="101" t="str">
        <f t="shared" si="66"/>
        <v/>
      </c>
      <c r="AG351" s="190">
        <v>0</v>
      </c>
      <c r="AH351" s="69">
        <f t="shared" si="67"/>
        <v>38</v>
      </c>
    </row>
    <row r="352" spans="1:34" s="69" customFormat="1" ht="39" x14ac:dyDescent="0.3">
      <c r="A352" s="55" t="s">
        <v>937</v>
      </c>
      <c r="B352" s="53" t="s">
        <v>938</v>
      </c>
      <c r="C352" s="54" t="s">
        <v>30</v>
      </c>
      <c r="D352" s="75">
        <v>1352</v>
      </c>
      <c r="E352" s="75"/>
      <c r="F352" s="75"/>
      <c r="G352" s="75"/>
      <c r="H352" s="75">
        <v>30.59</v>
      </c>
      <c r="I352" s="75">
        <v>41357.68</v>
      </c>
      <c r="J352" s="91" t="s">
        <v>939</v>
      </c>
      <c r="K352" s="73"/>
      <c r="L352" s="46">
        <v>0</v>
      </c>
      <c r="M352" s="46">
        <v>0</v>
      </c>
      <c r="N352" s="46">
        <v>0</v>
      </c>
      <c r="O352" s="98"/>
      <c r="P352" s="23" t="s">
        <v>1436</v>
      </c>
      <c r="Q352" s="24" t="s">
        <v>938</v>
      </c>
      <c r="R352" s="25" t="s">
        <v>30</v>
      </c>
      <c r="S352" s="26">
        <v>1352</v>
      </c>
      <c r="T352" s="26"/>
      <c r="U352" s="26">
        <v>30.59</v>
      </c>
      <c r="V352" s="26">
        <f t="shared" si="63"/>
        <v>0</v>
      </c>
      <c r="W352" s="26">
        <f t="shared" si="61"/>
        <v>0</v>
      </c>
      <c r="X352" s="26">
        <f t="shared" si="64"/>
        <v>0</v>
      </c>
      <c r="Y352" s="26">
        <f t="shared" si="68"/>
        <v>0</v>
      </c>
      <c r="Z352" s="33" t="s">
        <v>15</v>
      </c>
      <c r="AA352" s="36" t="s">
        <v>16</v>
      </c>
      <c r="AB352" s="181">
        <f t="shared" si="65"/>
        <v>1352</v>
      </c>
      <c r="AC352" s="181">
        <f t="shared" si="60"/>
        <v>41357.68</v>
      </c>
      <c r="AD352" s="181">
        <v>1.8</v>
      </c>
      <c r="AE352" s="181">
        <v>1.8</v>
      </c>
      <c r="AF352" s="101" t="str">
        <f t="shared" si="66"/>
        <v/>
      </c>
      <c r="AG352" s="190">
        <v>0</v>
      </c>
      <c r="AH352" s="69">
        <f t="shared" si="67"/>
        <v>1352</v>
      </c>
    </row>
    <row r="353" spans="1:34" s="69" customFormat="1" ht="39" x14ac:dyDescent="0.3">
      <c r="A353" s="55" t="s">
        <v>940</v>
      </c>
      <c r="B353" s="53" t="s">
        <v>941</v>
      </c>
      <c r="C353" s="54" t="s">
        <v>30</v>
      </c>
      <c r="D353" s="75">
        <v>300</v>
      </c>
      <c r="E353" s="75"/>
      <c r="F353" s="75"/>
      <c r="G353" s="75"/>
      <c r="H353" s="75">
        <v>972.45</v>
      </c>
      <c r="I353" s="75">
        <v>291735</v>
      </c>
      <c r="J353" s="91" t="s">
        <v>942</v>
      </c>
      <c r="K353" s="73"/>
      <c r="L353" s="46">
        <v>0</v>
      </c>
      <c r="M353" s="46">
        <v>0</v>
      </c>
      <c r="N353" s="46">
        <v>0</v>
      </c>
      <c r="O353" s="98"/>
      <c r="P353" s="23" t="s">
        <v>1374</v>
      </c>
      <c r="Q353" s="24" t="s">
        <v>941</v>
      </c>
      <c r="R353" s="25" t="s">
        <v>30</v>
      </c>
      <c r="S353" s="26">
        <v>300</v>
      </c>
      <c r="T353" s="26"/>
      <c r="U353" s="26">
        <v>972.45</v>
      </c>
      <c r="V353" s="26">
        <f t="shared" si="63"/>
        <v>0</v>
      </c>
      <c r="W353" s="26">
        <f t="shared" si="61"/>
        <v>0</v>
      </c>
      <c r="X353" s="26">
        <f t="shared" si="64"/>
        <v>0</v>
      </c>
      <c r="Y353" s="26">
        <f t="shared" si="68"/>
        <v>0</v>
      </c>
      <c r="Z353" s="33" t="s">
        <v>15</v>
      </c>
      <c r="AA353" s="36" t="s">
        <v>16</v>
      </c>
      <c r="AB353" s="181">
        <f t="shared" si="65"/>
        <v>300</v>
      </c>
      <c r="AC353" s="181">
        <f t="shared" si="60"/>
        <v>291735</v>
      </c>
      <c r="AD353" s="181">
        <v>1.8</v>
      </c>
      <c r="AE353" s="181">
        <v>1.8</v>
      </c>
      <c r="AF353" s="101" t="str">
        <f t="shared" si="66"/>
        <v/>
      </c>
      <c r="AG353" s="190">
        <v>0</v>
      </c>
      <c r="AH353" s="69">
        <f t="shared" si="67"/>
        <v>300</v>
      </c>
    </row>
    <row r="354" spans="1:34" s="69" customFormat="1" ht="39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>
        <v>628.34</v>
      </c>
      <c r="I354" s="75">
        <v>158341.68</v>
      </c>
      <c r="J354" s="91" t="s">
        <v>945</v>
      </c>
      <c r="K354" s="73"/>
      <c r="L354" s="46">
        <v>0</v>
      </c>
      <c r="M354" s="46">
        <v>0</v>
      </c>
      <c r="N354" s="46">
        <v>0</v>
      </c>
      <c r="O354" s="98"/>
      <c r="P354" s="23" t="s">
        <v>1376</v>
      </c>
      <c r="Q354" s="24" t="s">
        <v>944</v>
      </c>
      <c r="R354" s="25" t="s">
        <v>30</v>
      </c>
      <c r="S354" s="26">
        <v>252</v>
      </c>
      <c r="T354" s="26"/>
      <c r="U354" s="26">
        <v>628.34</v>
      </c>
      <c r="V354" s="26">
        <f t="shared" si="63"/>
        <v>0</v>
      </c>
      <c r="W354" s="26">
        <f t="shared" si="61"/>
        <v>0</v>
      </c>
      <c r="X354" s="26">
        <f t="shared" si="64"/>
        <v>0</v>
      </c>
      <c r="Y354" s="26">
        <f t="shared" si="68"/>
        <v>0</v>
      </c>
      <c r="Z354" s="33" t="s">
        <v>15</v>
      </c>
      <c r="AA354" s="36" t="s">
        <v>16</v>
      </c>
      <c r="AB354" s="181">
        <f t="shared" si="65"/>
        <v>252</v>
      </c>
      <c r="AC354" s="181">
        <f t="shared" si="60"/>
        <v>158341.68</v>
      </c>
      <c r="AD354" s="181">
        <v>1.8</v>
      </c>
      <c r="AE354" s="181">
        <v>1.8</v>
      </c>
      <c r="AF354" s="101" t="str">
        <f t="shared" si="66"/>
        <v/>
      </c>
      <c r="AG354" s="190">
        <v>0</v>
      </c>
      <c r="AH354" s="69">
        <f t="shared" si="67"/>
        <v>252</v>
      </c>
    </row>
    <row r="355" spans="1:34" s="69" customFormat="1" ht="39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>
        <v>497.09</v>
      </c>
      <c r="I355" s="75">
        <v>17895.240000000002</v>
      </c>
      <c r="J355" s="91" t="s">
        <v>948</v>
      </c>
      <c r="K355" s="73"/>
      <c r="L355" s="46">
        <v>0</v>
      </c>
      <c r="M355" s="46">
        <v>0</v>
      </c>
      <c r="N355" s="46">
        <v>0</v>
      </c>
      <c r="O355" s="98"/>
      <c r="P355" s="23" t="s">
        <v>1378</v>
      </c>
      <c r="Q355" s="24" t="s">
        <v>947</v>
      </c>
      <c r="R355" s="25" t="s">
        <v>30</v>
      </c>
      <c r="S355" s="26">
        <v>36</v>
      </c>
      <c r="T355" s="26"/>
      <c r="U355" s="26">
        <v>497.09</v>
      </c>
      <c r="V355" s="26">
        <f t="shared" si="63"/>
        <v>0</v>
      </c>
      <c r="W355" s="26">
        <f t="shared" si="61"/>
        <v>0</v>
      </c>
      <c r="X355" s="26">
        <f t="shared" si="64"/>
        <v>0</v>
      </c>
      <c r="Y355" s="26">
        <f t="shared" si="68"/>
        <v>0</v>
      </c>
      <c r="Z355" s="33" t="s">
        <v>15</v>
      </c>
      <c r="AA355" s="36" t="s">
        <v>16</v>
      </c>
      <c r="AB355" s="181">
        <f t="shared" si="65"/>
        <v>36</v>
      </c>
      <c r="AC355" s="181">
        <f t="shared" si="60"/>
        <v>17895.240000000002</v>
      </c>
      <c r="AD355" s="181">
        <v>1.8</v>
      </c>
      <c r="AE355" s="181">
        <v>1.8</v>
      </c>
      <c r="AF355" s="101" t="str">
        <f t="shared" si="66"/>
        <v/>
      </c>
      <c r="AG355" s="190">
        <v>0</v>
      </c>
      <c r="AH355" s="69">
        <f t="shared" si="67"/>
        <v>36</v>
      </c>
    </row>
    <row r="356" spans="1:34" s="69" customFormat="1" ht="39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>
        <v>270.2</v>
      </c>
      <c r="I356" s="75">
        <v>42961.8</v>
      </c>
      <c r="J356" s="91" t="s">
        <v>951</v>
      </c>
      <c r="K356" s="73"/>
      <c r="L356" s="46">
        <v>0</v>
      </c>
      <c r="M356" s="46">
        <v>0</v>
      </c>
      <c r="N356" s="46">
        <v>0</v>
      </c>
      <c r="O356" s="98"/>
      <c r="P356" s="23" t="s">
        <v>1438</v>
      </c>
      <c r="Q356" s="24" t="s">
        <v>950</v>
      </c>
      <c r="R356" s="25" t="s">
        <v>30</v>
      </c>
      <c r="S356" s="26">
        <v>159</v>
      </c>
      <c r="T356" s="26"/>
      <c r="U356" s="26">
        <v>270.2</v>
      </c>
      <c r="V356" s="26">
        <f t="shared" si="63"/>
        <v>0</v>
      </c>
      <c r="W356" s="26">
        <f t="shared" si="61"/>
        <v>0</v>
      </c>
      <c r="X356" s="26">
        <f t="shared" si="64"/>
        <v>0</v>
      </c>
      <c r="Y356" s="26">
        <f t="shared" si="68"/>
        <v>0</v>
      </c>
      <c r="Z356" s="33" t="s">
        <v>15</v>
      </c>
      <c r="AA356" s="36" t="s">
        <v>16</v>
      </c>
      <c r="AB356" s="181">
        <f t="shared" si="65"/>
        <v>159</v>
      </c>
      <c r="AC356" s="181">
        <f t="shared" si="60"/>
        <v>42961.8</v>
      </c>
      <c r="AD356" s="181">
        <v>1.8</v>
      </c>
      <c r="AE356" s="181">
        <v>1.8</v>
      </c>
      <c r="AF356" s="101" t="str">
        <f t="shared" si="66"/>
        <v/>
      </c>
      <c r="AG356" s="190">
        <v>0</v>
      </c>
      <c r="AH356" s="69">
        <f t="shared" si="67"/>
        <v>159</v>
      </c>
    </row>
    <row r="357" spans="1:34" s="69" customFormat="1" ht="39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>
        <v>152.94</v>
      </c>
      <c r="I357" s="75">
        <v>183375.06</v>
      </c>
      <c r="J357" s="91" t="s">
        <v>954</v>
      </c>
      <c r="K357" s="73"/>
      <c r="L357" s="46">
        <v>0</v>
      </c>
      <c r="M357" s="46">
        <v>0</v>
      </c>
      <c r="N357" s="46">
        <v>0</v>
      </c>
      <c r="O357" s="98"/>
      <c r="P357" s="23" t="s">
        <v>1439</v>
      </c>
      <c r="Q357" s="24" t="s">
        <v>953</v>
      </c>
      <c r="R357" s="25" t="s">
        <v>30</v>
      </c>
      <c r="S357" s="26">
        <v>1199</v>
      </c>
      <c r="T357" s="26"/>
      <c r="U357" s="26">
        <v>152.94</v>
      </c>
      <c r="V357" s="26">
        <f t="shared" si="63"/>
        <v>0</v>
      </c>
      <c r="W357" s="26">
        <f t="shared" si="61"/>
        <v>0</v>
      </c>
      <c r="X357" s="26">
        <f t="shared" si="64"/>
        <v>0</v>
      </c>
      <c r="Y357" s="26">
        <f t="shared" si="68"/>
        <v>0</v>
      </c>
      <c r="Z357" s="33" t="s">
        <v>15</v>
      </c>
      <c r="AA357" s="36" t="s">
        <v>16</v>
      </c>
      <c r="AB357" s="181">
        <f t="shared" si="65"/>
        <v>1199</v>
      </c>
      <c r="AC357" s="181">
        <f t="shared" si="60"/>
        <v>183375.06</v>
      </c>
      <c r="AD357" s="181">
        <v>1.8</v>
      </c>
      <c r="AE357" s="181">
        <v>1.8</v>
      </c>
      <c r="AF357" s="101" t="str">
        <f t="shared" si="66"/>
        <v/>
      </c>
      <c r="AG357" s="190">
        <v>0</v>
      </c>
      <c r="AH357" s="69">
        <f t="shared" si="67"/>
        <v>1199</v>
      </c>
    </row>
    <row r="358" spans="1:34" s="69" customFormat="1" ht="39" x14ac:dyDescent="0.3">
      <c r="A358" s="55" t="s">
        <v>955</v>
      </c>
      <c r="B358" s="53" t="s">
        <v>956</v>
      </c>
      <c r="C358" s="54" t="s">
        <v>30</v>
      </c>
      <c r="D358" s="75">
        <v>144</v>
      </c>
      <c r="E358" s="75"/>
      <c r="F358" s="75"/>
      <c r="G358" s="75"/>
      <c r="H358" s="75">
        <v>228.14</v>
      </c>
      <c r="I358" s="75">
        <v>32852.160000000003</v>
      </c>
      <c r="J358" s="91" t="s">
        <v>957</v>
      </c>
      <c r="K358" s="73"/>
      <c r="L358" s="46">
        <v>0</v>
      </c>
      <c r="M358" s="46">
        <v>0</v>
      </c>
      <c r="N358" s="46">
        <v>0</v>
      </c>
      <c r="O358" s="98"/>
      <c r="P358" s="23" t="s">
        <v>1440</v>
      </c>
      <c r="Q358" s="24" t="s">
        <v>956</v>
      </c>
      <c r="R358" s="25" t="s">
        <v>30</v>
      </c>
      <c r="S358" s="26">
        <v>144</v>
      </c>
      <c r="T358" s="26"/>
      <c r="U358" s="26">
        <v>228.14</v>
      </c>
      <c r="V358" s="26">
        <f t="shared" si="63"/>
        <v>0</v>
      </c>
      <c r="W358" s="26">
        <f t="shared" si="61"/>
        <v>0</v>
      </c>
      <c r="X358" s="26">
        <f t="shared" si="64"/>
        <v>0</v>
      </c>
      <c r="Y358" s="26">
        <f t="shared" si="68"/>
        <v>0</v>
      </c>
      <c r="Z358" s="33" t="s">
        <v>15</v>
      </c>
      <c r="AA358" s="36" t="s">
        <v>16</v>
      </c>
      <c r="AB358" s="181">
        <f t="shared" si="65"/>
        <v>144</v>
      </c>
      <c r="AC358" s="181">
        <f t="shared" si="60"/>
        <v>32852.160000000003</v>
      </c>
      <c r="AD358" s="181">
        <v>1.8</v>
      </c>
      <c r="AE358" s="181">
        <v>1.8</v>
      </c>
      <c r="AF358" s="101" t="str">
        <f t="shared" si="66"/>
        <v/>
      </c>
      <c r="AG358" s="190">
        <v>0</v>
      </c>
      <c r="AH358" s="69">
        <f t="shared" si="67"/>
        <v>144</v>
      </c>
    </row>
    <row r="359" spans="1:34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>
        <v>90448.13</v>
      </c>
      <c r="I359" s="75">
        <v>90448.13</v>
      </c>
      <c r="J359" s="91" t="s">
        <v>960</v>
      </c>
      <c r="K359" s="73"/>
      <c r="L359" s="46">
        <v>0</v>
      </c>
      <c r="M359" s="46">
        <v>0</v>
      </c>
      <c r="N359" s="46">
        <v>0</v>
      </c>
      <c r="O359" s="98"/>
      <c r="P359" s="23" t="s">
        <v>1441</v>
      </c>
      <c r="Q359" s="24" t="s">
        <v>959</v>
      </c>
      <c r="R359" s="25" t="s">
        <v>14</v>
      </c>
      <c r="S359" s="26">
        <v>1</v>
      </c>
      <c r="T359" s="26"/>
      <c r="U359" s="26">
        <v>90448.13</v>
      </c>
      <c r="V359" s="26">
        <f t="shared" si="63"/>
        <v>0</v>
      </c>
      <c r="W359" s="26">
        <f t="shared" si="61"/>
        <v>0</v>
      </c>
      <c r="X359" s="26">
        <f t="shared" si="64"/>
        <v>0</v>
      </c>
      <c r="Y359" s="26">
        <f t="shared" si="68"/>
        <v>0</v>
      </c>
      <c r="Z359" s="33" t="s">
        <v>15</v>
      </c>
      <c r="AA359" s="36" t="s">
        <v>16</v>
      </c>
      <c r="AB359" s="181">
        <f t="shared" si="65"/>
        <v>1</v>
      </c>
      <c r="AC359" s="181">
        <f t="shared" si="60"/>
        <v>90448.13</v>
      </c>
      <c r="AD359" s="181">
        <v>1.8</v>
      </c>
      <c r="AE359" s="181">
        <v>1.8</v>
      </c>
      <c r="AF359" s="101" t="str">
        <f t="shared" si="66"/>
        <v/>
      </c>
      <c r="AG359" s="190">
        <v>0</v>
      </c>
      <c r="AH359" s="69">
        <f t="shared" si="67"/>
        <v>1</v>
      </c>
    </row>
    <row r="360" spans="1:34" s="69" customFormat="1" ht="58.5" x14ac:dyDescent="0.3">
      <c r="A360" s="55" t="s">
        <v>961</v>
      </c>
      <c r="B360" s="53" t="s">
        <v>962</v>
      </c>
      <c r="C360" s="54" t="s">
        <v>30</v>
      </c>
      <c r="D360" s="75">
        <v>2702</v>
      </c>
      <c r="E360" s="75"/>
      <c r="F360" s="75"/>
      <c r="G360" s="75"/>
      <c r="H360" s="75">
        <v>81.569999999999993</v>
      </c>
      <c r="I360" s="75">
        <v>220402.14</v>
      </c>
      <c r="J360" s="91" t="s">
        <v>963</v>
      </c>
      <c r="K360" s="73"/>
      <c r="L360" s="46">
        <v>0</v>
      </c>
      <c r="M360" s="46">
        <v>0</v>
      </c>
      <c r="N360" s="46">
        <v>0</v>
      </c>
      <c r="O360" s="98"/>
      <c r="P360" s="23" t="s">
        <v>1442</v>
      </c>
      <c r="Q360" s="24" t="s">
        <v>962</v>
      </c>
      <c r="R360" s="25" t="s">
        <v>30</v>
      </c>
      <c r="S360" s="26">
        <v>2702</v>
      </c>
      <c r="T360" s="26"/>
      <c r="U360" s="26">
        <v>81.569999999999993</v>
      </c>
      <c r="V360" s="26">
        <f t="shared" si="63"/>
        <v>0</v>
      </c>
      <c r="W360" s="26">
        <f t="shared" si="61"/>
        <v>0</v>
      </c>
      <c r="X360" s="26">
        <f t="shared" si="64"/>
        <v>0</v>
      </c>
      <c r="Y360" s="26">
        <f t="shared" si="68"/>
        <v>0</v>
      </c>
      <c r="Z360" s="33" t="s">
        <v>15</v>
      </c>
      <c r="AA360" s="36" t="s">
        <v>16</v>
      </c>
      <c r="AB360" s="181">
        <f t="shared" si="65"/>
        <v>2702</v>
      </c>
      <c r="AC360" s="181">
        <f t="shared" si="60"/>
        <v>220402.14</v>
      </c>
      <c r="AD360" s="181">
        <v>1.8</v>
      </c>
      <c r="AE360" s="181">
        <v>1.8</v>
      </c>
      <c r="AF360" s="101" t="str">
        <f t="shared" si="66"/>
        <v/>
      </c>
      <c r="AG360" s="190">
        <v>0</v>
      </c>
      <c r="AH360" s="69">
        <f t="shared" si="67"/>
        <v>2702</v>
      </c>
    </row>
    <row r="361" spans="1:34" s="69" customFormat="1" ht="39" x14ac:dyDescent="0.3">
      <c r="A361" s="55" t="s">
        <v>964</v>
      </c>
      <c r="B361" s="53" t="s">
        <v>965</v>
      </c>
      <c r="C361" s="54" t="s">
        <v>14</v>
      </c>
      <c r="D361" s="75">
        <v>1</v>
      </c>
      <c r="E361" s="75"/>
      <c r="F361" s="75"/>
      <c r="G361" s="75"/>
      <c r="H361" s="75">
        <v>25939</v>
      </c>
      <c r="I361" s="75">
        <v>25939</v>
      </c>
      <c r="J361" s="91" t="s">
        <v>966</v>
      </c>
      <c r="K361" s="73"/>
      <c r="L361" s="46">
        <v>0</v>
      </c>
      <c r="M361" s="46">
        <v>0</v>
      </c>
      <c r="N361" s="46">
        <v>0</v>
      </c>
      <c r="O361" s="98"/>
      <c r="P361" s="23" t="s">
        <v>1443</v>
      </c>
      <c r="Q361" s="24" t="s">
        <v>965</v>
      </c>
      <c r="R361" s="25" t="s">
        <v>14</v>
      </c>
      <c r="S361" s="26">
        <v>1</v>
      </c>
      <c r="T361" s="26"/>
      <c r="U361" s="26">
        <v>25939</v>
      </c>
      <c r="V361" s="26">
        <f t="shared" si="63"/>
        <v>0</v>
      </c>
      <c r="W361" s="26">
        <f t="shared" si="61"/>
        <v>0</v>
      </c>
      <c r="X361" s="26">
        <f t="shared" si="64"/>
        <v>0</v>
      </c>
      <c r="Y361" s="26">
        <f t="shared" si="68"/>
        <v>0</v>
      </c>
      <c r="Z361" s="33" t="s">
        <v>15</v>
      </c>
      <c r="AA361" s="36" t="s">
        <v>16</v>
      </c>
      <c r="AB361" s="181">
        <f t="shared" si="65"/>
        <v>1</v>
      </c>
      <c r="AC361" s="181">
        <f t="shared" si="60"/>
        <v>25939</v>
      </c>
      <c r="AD361" s="181">
        <v>1.8</v>
      </c>
      <c r="AE361" s="181">
        <v>1.8</v>
      </c>
      <c r="AF361" s="101" t="str">
        <f t="shared" si="66"/>
        <v/>
      </c>
      <c r="AG361" s="190">
        <v>0</v>
      </c>
      <c r="AH361" s="69">
        <f t="shared" si="67"/>
        <v>1</v>
      </c>
    </row>
    <row r="362" spans="1:34" s="69" customFormat="1" ht="39" x14ac:dyDescent="0.3">
      <c r="A362" s="55" t="s">
        <v>967</v>
      </c>
      <c r="B362" s="53" t="s">
        <v>968</v>
      </c>
      <c r="C362" s="54" t="s">
        <v>30</v>
      </c>
      <c r="D362" s="75">
        <v>1272</v>
      </c>
      <c r="E362" s="75"/>
      <c r="F362" s="75"/>
      <c r="G362" s="75"/>
      <c r="H362" s="75">
        <v>36.96</v>
      </c>
      <c r="I362" s="75">
        <v>47013.120000000003</v>
      </c>
      <c r="J362" s="91" t="s">
        <v>969</v>
      </c>
      <c r="K362" s="73"/>
      <c r="L362" s="46">
        <v>0</v>
      </c>
      <c r="M362" s="46">
        <v>0</v>
      </c>
      <c r="N362" s="46">
        <v>0</v>
      </c>
      <c r="O362" s="98"/>
      <c r="P362" s="23" t="s">
        <v>1444</v>
      </c>
      <c r="Q362" s="24" t="s">
        <v>968</v>
      </c>
      <c r="R362" s="25" t="s">
        <v>30</v>
      </c>
      <c r="S362" s="26">
        <v>1272</v>
      </c>
      <c r="T362" s="26"/>
      <c r="U362" s="26">
        <v>36.96</v>
      </c>
      <c r="V362" s="26">
        <f t="shared" si="63"/>
        <v>0</v>
      </c>
      <c r="W362" s="26">
        <f t="shared" si="61"/>
        <v>0</v>
      </c>
      <c r="X362" s="26">
        <f t="shared" si="64"/>
        <v>0</v>
      </c>
      <c r="Y362" s="26">
        <f t="shared" si="68"/>
        <v>0</v>
      </c>
      <c r="Z362" s="33" t="s">
        <v>15</v>
      </c>
      <c r="AA362" s="36" t="s">
        <v>16</v>
      </c>
      <c r="AB362" s="181">
        <f t="shared" si="65"/>
        <v>1272</v>
      </c>
      <c r="AC362" s="181">
        <f t="shared" si="60"/>
        <v>47013.120000000003</v>
      </c>
      <c r="AD362" s="181">
        <v>1.8</v>
      </c>
      <c r="AE362" s="181">
        <v>1.8</v>
      </c>
      <c r="AF362" s="101" t="str">
        <f t="shared" si="66"/>
        <v/>
      </c>
      <c r="AG362" s="190">
        <v>0</v>
      </c>
      <c r="AH362" s="69">
        <f t="shared" si="67"/>
        <v>1272</v>
      </c>
    </row>
    <row r="363" spans="1:34" s="69" customFormat="1" ht="39" x14ac:dyDescent="0.3">
      <c r="A363" s="55" t="s">
        <v>970</v>
      </c>
      <c r="B363" s="53" t="s">
        <v>971</v>
      </c>
      <c r="C363" s="54" t="s">
        <v>30</v>
      </c>
      <c r="D363" s="75">
        <v>1470</v>
      </c>
      <c r="E363" s="75"/>
      <c r="F363" s="75"/>
      <c r="G363" s="75"/>
      <c r="H363" s="75">
        <v>62.45</v>
      </c>
      <c r="I363" s="75">
        <v>91801.5</v>
      </c>
      <c r="J363" s="91" t="s">
        <v>972</v>
      </c>
      <c r="K363" s="73"/>
      <c r="L363" s="46">
        <v>0</v>
      </c>
      <c r="M363" s="46">
        <v>0</v>
      </c>
      <c r="N363" s="46">
        <v>0</v>
      </c>
      <c r="O363" s="98"/>
      <c r="P363" s="23" t="s">
        <v>1408</v>
      </c>
      <c r="Q363" s="24" t="s">
        <v>971</v>
      </c>
      <c r="R363" s="25" t="s">
        <v>30</v>
      </c>
      <c r="S363" s="26">
        <v>1470</v>
      </c>
      <c r="T363" s="26"/>
      <c r="U363" s="26">
        <v>62.45</v>
      </c>
      <c r="V363" s="26">
        <f t="shared" si="63"/>
        <v>0</v>
      </c>
      <c r="W363" s="26">
        <f t="shared" si="61"/>
        <v>0</v>
      </c>
      <c r="X363" s="26">
        <f t="shared" si="64"/>
        <v>0</v>
      </c>
      <c r="Y363" s="26">
        <f t="shared" si="68"/>
        <v>0</v>
      </c>
      <c r="Z363" s="33" t="s">
        <v>15</v>
      </c>
      <c r="AA363" s="36" t="s">
        <v>16</v>
      </c>
      <c r="AB363" s="181">
        <f t="shared" si="65"/>
        <v>1470</v>
      </c>
      <c r="AC363" s="181">
        <f t="shared" si="60"/>
        <v>91801.5</v>
      </c>
      <c r="AD363" s="181">
        <v>1.8</v>
      </c>
      <c r="AE363" s="181">
        <v>1.8</v>
      </c>
      <c r="AF363" s="101" t="str">
        <f t="shared" si="66"/>
        <v/>
      </c>
      <c r="AG363" s="190">
        <v>0</v>
      </c>
      <c r="AH363" s="69">
        <f t="shared" si="67"/>
        <v>1470</v>
      </c>
    </row>
    <row r="364" spans="1:34" s="69" customFormat="1" ht="39" x14ac:dyDescent="0.3">
      <c r="A364" s="55" t="s">
        <v>973</v>
      </c>
      <c r="B364" s="53" t="s">
        <v>974</v>
      </c>
      <c r="C364" s="54" t="s">
        <v>30</v>
      </c>
      <c r="D364" s="75">
        <v>407</v>
      </c>
      <c r="E364" s="75"/>
      <c r="F364" s="75"/>
      <c r="G364" s="75"/>
      <c r="H364" s="75">
        <v>90.49</v>
      </c>
      <c r="I364" s="75">
        <v>36829.43</v>
      </c>
      <c r="J364" s="91" t="s">
        <v>975</v>
      </c>
      <c r="K364" s="73"/>
      <c r="L364" s="46">
        <v>0</v>
      </c>
      <c r="M364" s="46">
        <v>0</v>
      </c>
      <c r="N364" s="46">
        <v>0</v>
      </c>
      <c r="O364" s="98"/>
      <c r="P364" s="23" t="s">
        <v>1409</v>
      </c>
      <c r="Q364" s="24" t="s">
        <v>974</v>
      </c>
      <c r="R364" s="25" t="s">
        <v>30</v>
      </c>
      <c r="S364" s="26">
        <v>407</v>
      </c>
      <c r="T364" s="26"/>
      <c r="U364" s="26">
        <v>90.49</v>
      </c>
      <c r="V364" s="26">
        <f t="shared" si="63"/>
        <v>0</v>
      </c>
      <c r="W364" s="26">
        <f t="shared" si="61"/>
        <v>0</v>
      </c>
      <c r="X364" s="26">
        <f t="shared" si="64"/>
        <v>0</v>
      </c>
      <c r="Y364" s="26">
        <f t="shared" si="68"/>
        <v>0</v>
      </c>
      <c r="Z364" s="33" t="s">
        <v>15</v>
      </c>
      <c r="AA364" s="36" t="s">
        <v>16</v>
      </c>
      <c r="AB364" s="181">
        <f t="shared" si="65"/>
        <v>407</v>
      </c>
      <c r="AC364" s="181">
        <f t="shared" si="60"/>
        <v>36829.43</v>
      </c>
      <c r="AD364" s="181">
        <v>1.8</v>
      </c>
      <c r="AE364" s="181">
        <v>1.8</v>
      </c>
      <c r="AF364" s="101" t="str">
        <f t="shared" si="66"/>
        <v/>
      </c>
      <c r="AG364" s="190">
        <v>0</v>
      </c>
      <c r="AH364" s="69">
        <f t="shared" si="67"/>
        <v>407</v>
      </c>
    </row>
    <row r="365" spans="1:34" s="69" customFormat="1" ht="39" x14ac:dyDescent="0.3">
      <c r="A365" s="55" t="s">
        <v>976</v>
      </c>
      <c r="B365" s="53" t="s">
        <v>977</v>
      </c>
      <c r="C365" s="54" t="s">
        <v>30</v>
      </c>
      <c r="D365" s="75">
        <v>55</v>
      </c>
      <c r="E365" s="75"/>
      <c r="F365" s="75"/>
      <c r="G365" s="75"/>
      <c r="H365" s="75">
        <v>186.08</v>
      </c>
      <c r="I365" s="75">
        <v>10234.4</v>
      </c>
      <c r="J365" s="91" t="s">
        <v>978</v>
      </c>
      <c r="K365" s="73"/>
      <c r="L365" s="46">
        <v>0</v>
      </c>
      <c r="M365" s="46">
        <v>0</v>
      </c>
      <c r="N365" s="46">
        <v>0</v>
      </c>
      <c r="O365" s="98"/>
      <c r="P365" s="23" t="s">
        <v>1410</v>
      </c>
      <c r="Q365" s="24" t="s">
        <v>977</v>
      </c>
      <c r="R365" s="25" t="s">
        <v>30</v>
      </c>
      <c r="S365" s="26">
        <v>55</v>
      </c>
      <c r="T365" s="26"/>
      <c r="U365" s="26">
        <v>186.08</v>
      </c>
      <c r="V365" s="26">
        <f t="shared" si="63"/>
        <v>0</v>
      </c>
      <c r="W365" s="26">
        <f t="shared" si="61"/>
        <v>0</v>
      </c>
      <c r="X365" s="26">
        <f t="shared" si="64"/>
        <v>0</v>
      </c>
      <c r="Y365" s="26">
        <f t="shared" si="68"/>
        <v>0</v>
      </c>
      <c r="Z365" s="33" t="s">
        <v>15</v>
      </c>
      <c r="AA365" s="36" t="s">
        <v>16</v>
      </c>
      <c r="AB365" s="181">
        <f t="shared" si="65"/>
        <v>55</v>
      </c>
      <c r="AC365" s="181">
        <f t="shared" si="60"/>
        <v>10234.4</v>
      </c>
      <c r="AD365" s="181">
        <v>1.8</v>
      </c>
      <c r="AE365" s="181">
        <v>1.8</v>
      </c>
      <c r="AF365" s="101" t="str">
        <f t="shared" si="66"/>
        <v/>
      </c>
      <c r="AG365" s="190">
        <v>0</v>
      </c>
      <c r="AH365" s="69">
        <f t="shared" si="67"/>
        <v>55</v>
      </c>
    </row>
    <row r="366" spans="1:34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>
        <v>51046</v>
      </c>
      <c r="I366" s="75">
        <v>51046</v>
      </c>
      <c r="J366" s="91" t="s">
        <v>981</v>
      </c>
      <c r="K366" s="73"/>
      <c r="L366" s="46">
        <v>0</v>
      </c>
      <c r="M366" s="46">
        <v>0</v>
      </c>
      <c r="N366" s="46">
        <v>0</v>
      </c>
      <c r="O366" s="98"/>
      <c r="P366" s="23" t="s">
        <v>1411</v>
      </c>
      <c r="Q366" s="24" t="s">
        <v>980</v>
      </c>
      <c r="R366" s="25" t="s">
        <v>14</v>
      </c>
      <c r="S366" s="26">
        <v>1</v>
      </c>
      <c r="T366" s="26"/>
      <c r="U366" s="26">
        <v>51046</v>
      </c>
      <c r="V366" s="26">
        <f t="shared" si="63"/>
        <v>0</v>
      </c>
      <c r="W366" s="26">
        <f t="shared" si="61"/>
        <v>0</v>
      </c>
      <c r="X366" s="26">
        <f t="shared" si="64"/>
        <v>0</v>
      </c>
      <c r="Y366" s="26">
        <f t="shared" si="68"/>
        <v>0</v>
      </c>
      <c r="Z366" s="33" t="s">
        <v>15</v>
      </c>
      <c r="AA366" s="36" t="s">
        <v>16</v>
      </c>
      <c r="AB366" s="181">
        <f t="shared" si="65"/>
        <v>1</v>
      </c>
      <c r="AC366" s="181">
        <f t="shared" ref="AC366:AC368" si="69">ROUND(U366*AB366,2)</f>
        <v>51046</v>
      </c>
      <c r="AD366" s="181">
        <v>1.8</v>
      </c>
      <c r="AE366" s="181">
        <v>1.8</v>
      </c>
      <c r="AF366" s="101" t="str">
        <f t="shared" si="66"/>
        <v/>
      </c>
      <c r="AG366" s="190">
        <v>0</v>
      </c>
      <c r="AH366" s="69">
        <f t="shared" si="67"/>
        <v>1</v>
      </c>
    </row>
    <row r="367" spans="1:34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>
        <v>671.66</v>
      </c>
      <c r="I367" s="75">
        <v>88659.12</v>
      </c>
      <c r="J367" s="91" t="s">
        <v>984</v>
      </c>
      <c r="K367" s="73"/>
      <c r="L367" s="46">
        <v>0</v>
      </c>
      <c r="M367" s="46">
        <v>0</v>
      </c>
      <c r="N367" s="46">
        <v>0</v>
      </c>
      <c r="O367" s="98"/>
      <c r="P367" s="23" t="s">
        <v>1445</v>
      </c>
      <c r="Q367" s="24" t="s">
        <v>983</v>
      </c>
      <c r="R367" s="25" t="s">
        <v>30</v>
      </c>
      <c r="S367" s="26">
        <v>132</v>
      </c>
      <c r="T367" s="26"/>
      <c r="U367" s="26">
        <v>671.66</v>
      </c>
      <c r="V367" s="26">
        <f t="shared" si="63"/>
        <v>0</v>
      </c>
      <c r="W367" s="26">
        <f t="shared" si="61"/>
        <v>0</v>
      </c>
      <c r="X367" s="26">
        <f t="shared" si="64"/>
        <v>0</v>
      </c>
      <c r="Y367" s="26">
        <f t="shared" si="68"/>
        <v>0</v>
      </c>
      <c r="Z367" s="33" t="s">
        <v>15</v>
      </c>
      <c r="AA367" s="36" t="s">
        <v>16</v>
      </c>
      <c r="AB367" s="181">
        <f t="shared" si="65"/>
        <v>132</v>
      </c>
      <c r="AC367" s="181">
        <f t="shared" si="69"/>
        <v>88659.12</v>
      </c>
      <c r="AD367" s="181">
        <v>1.8</v>
      </c>
      <c r="AE367" s="181">
        <v>1.8</v>
      </c>
      <c r="AF367" s="101" t="str">
        <f t="shared" si="66"/>
        <v/>
      </c>
      <c r="AG367" s="190">
        <v>0</v>
      </c>
      <c r="AH367" s="69">
        <f t="shared" si="67"/>
        <v>132</v>
      </c>
    </row>
    <row r="368" spans="1:34" s="69" customFormat="1" ht="33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>
        <v>24347</v>
      </c>
      <c r="I368" s="75">
        <v>24347</v>
      </c>
      <c r="J368" s="91" t="s">
        <v>987</v>
      </c>
      <c r="K368" s="73"/>
      <c r="L368" s="46">
        <v>0</v>
      </c>
      <c r="M368" s="46">
        <v>0</v>
      </c>
      <c r="N368" s="46">
        <v>0</v>
      </c>
      <c r="O368" s="98"/>
      <c r="P368" s="23" t="s">
        <v>1383</v>
      </c>
      <c r="Q368" s="24" t="s">
        <v>986</v>
      </c>
      <c r="R368" s="25" t="s">
        <v>14</v>
      </c>
      <c r="S368" s="26">
        <v>1</v>
      </c>
      <c r="T368" s="26"/>
      <c r="U368" s="26">
        <v>24347</v>
      </c>
      <c r="V368" s="26">
        <f t="shared" si="63"/>
        <v>0</v>
      </c>
      <c r="W368" s="26">
        <f t="shared" si="61"/>
        <v>0</v>
      </c>
      <c r="X368" s="26">
        <f t="shared" si="64"/>
        <v>0</v>
      </c>
      <c r="Y368" s="26">
        <f t="shared" si="68"/>
        <v>0</v>
      </c>
      <c r="Z368" s="33" t="s">
        <v>15</v>
      </c>
      <c r="AA368" s="36" t="s">
        <v>16</v>
      </c>
      <c r="AB368" s="181">
        <f t="shared" si="65"/>
        <v>1</v>
      </c>
      <c r="AC368" s="181">
        <f t="shared" si="69"/>
        <v>24347</v>
      </c>
      <c r="AD368" s="181">
        <v>1.8</v>
      </c>
      <c r="AE368" s="181">
        <v>1.8</v>
      </c>
      <c r="AF368" s="101" t="str">
        <f t="shared" si="66"/>
        <v/>
      </c>
      <c r="AG368" s="190">
        <v>0</v>
      </c>
      <c r="AH368" s="69">
        <f t="shared" si="67"/>
        <v>1</v>
      </c>
    </row>
    <row r="369" spans="1:34" s="69" customFormat="1" ht="33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/>
      <c r="I369" s="82">
        <v>7585016.1699999999</v>
      </c>
      <c r="J369" s="94" t="s">
        <v>15</v>
      </c>
      <c r="K369" s="73"/>
      <c r="L369" s="45">
        <v>1</v>
      </c>
      <c r="M369" s="45">
        <v>111734.40000000014</v>
      </c>
      <c r="N369" s="45">
        <v>6334594.9299999997</v>
      </c>
      <c r="O369" s="98"/>
      <c r="P369" s="18" t="s">
        <v>1401</v>
      </c>
      <c r="Q369" s="19" t="s">
        <v>989</v>
      </c>
      <c r="R369" s="20" t="s">
        <v>14</v>
      </c>
      <c r="S369" s="21">
        <v>1</v>
      </c>
      <c r="T369" s="21"/>
      <c r="U369" s="21">
        <f>SUMIFS(AC:AC,AD:AD,AD369)</f>
        <v>7585016.1699999999</v>
      </c>
      <c r="V369" s="21">
        <f t="shared" ref="V369:W369" si="70">IF(X369=0,0,1)</f>
        <v>1</v>
      </c>
      <c r="W369" s="21">
        <f t="shared" si="70"/>
        <v>1</v>
      </c>
      <c r="X369" s="21">
        <f>SUMIFS(X:X,AE:AE,AD369)</f>
        <v>198481</v>
      </c>
      <c r="Y369" s="21">
        <f>SUMIFS(Y:Y,AE:AE,AD369)</f>
        <v>6533075.9299999997</v>
      </c>
      <c r="Z369" s="22" t="s">
        <v>15</v>
      </c>
      <c r="AA369" s="43" t="s">
        <v>16</v>
      </c>
      <c r="AB369" s="181">
        <f t="shared" si="65"/>
        <v>1</v>
      </c>
      <c r="AC369" s="184"/>
      <c r="AD369" s="184">
        <v>1.9</v>
      </c>
      <c r="AE369" s="184"/>
      <c r="AF369" s="101" t="str">
        <f t="shared" si="66"/>
        <v/>
      </c>
      <c r="AG369" s="190">
        <v>1</v>
      </c>
      <c r="AH369" s="69">
        <f t="shared" si="67"/>
        <v>1</v>
      </c>
    </row>
    <row r="370" spans="1:34" s="69" customFormat="1" ht="39" x14ac:dyDescent="0.3">
      <c r="A370" s="130" t="s">
        <v>990</v>
      </c>
      <c r="B370" s="131" t="s">
        <v>991</v>
      </c>
      <c r="C370" s="132" t="s">
        <v>30</v>
      </c>
      <c r="D370" s="75">
        <v>1088</v>
      </c>
      <c r="E370" s="75">
        <v>975</v>
      </c>
      <c r="F370" s="75"/>
      <c r="G370" s="75"/>
      <c r="H370" s="75">
        <v>247.2</v>
      </c>
      <c r="I370" s="75">
        <v>241020</v>
      </c>
      <c r="J370" s="91" t="s">
        <v>992</v>
      </c>
      <c r="K370" s="73"/>
      <c r="L370" s="46">
        <v>565</v>
      </c>
      <c r="M370" s="46">
        <v>0</v>
      </c>
      <c r="N370" s="46">
        <v>139668</v>
      </c>
      <c r="O370" s="98"/>
      <c r="P370" s="23" t="s">
        <v>1421</v>
      </c>
      <c r="Q370" s="24" t="s">
        <v>991</v>
      </c>
      <c r="R370" s="25" t="s">
        <v>30</v>
      </c>
      <c r="S370" s="26">
        <v>1088</v>
      </c>
      <c r="T370" s="26">
        <v>975</v>
      </c>
      <c r="U370" s="26">
        <v>247.2</v>
      </c>
      <c r="V370" s="128">
        <f t="shared" ref="V370:V376" si="71">AG370-L370</f>
        <v>410</v>
      </c>
      <c r="W370" s="127">
        <f t="shared" si="61"/>
        <v>975</v>
      </c>
      <c r="X370" s="127">
        <f t="shared" ref="X370:X376" si="72">Y370-N370</f>
        <v>101352</v>
      </c>
      <c r="Y370" s="127">
        <f t="shared" ref="Y370:Y376" si="73">ROUND(U370*W370,2)</f>
        <v>241020</v>
      </c>
      <c r="Z370" s="27" t="s">
        <v>15</v>
      </c>
      <c r="AA370" s="36" t="s">
        <v>16</v>
      </c>
      <c r="AB370" s="181">
        <f t="shared" si="65"/>
        <v>975</v>
      </c>
      <c r="AC370" s="181">
        <f t="shared" ref="AC370:AC376" si="74">ROUND(U370*AB370,2)</f>
        <v>241020</v>
      </c>
      <c r="AD370" s="181">
        <v>1.9</v>
      </c>
      <c r="AE370" s="181">
        <v>1.9</v>
      </c>
      <c r="AF370" s="101" t="str">
        <f t="shared" si="66"/>
        <v/>
      </c>
      <c r="AG370" s="191">
        <f>360+205+410</f>
        <v>975</v>
      </c>
      <c r="AH370" s="69">
        <f t="shared" si="67"/>
        <v>975</v>
      </c>
    </row>
    <row r="371" spans="1:34" s="69" customFormat="1" ht="39" x14ac:dyDescent="0.3">
      <c r="A371" s="130" t="s">
        <v>993</v>
      </c>
      <c r="B371" s="131" t="s">
        <v>994</v>
      </c>
      <c r="C371" s="132" t="s">
        <v>30</v>
      </c>
      <c r="D371" s="75">
        <v>1088</v>
      </c>
      <c r="E371" s="75">
        <v>975</v>
      </c>
      <c r="F371" s="75"/>
      <c r="G371" s="75"/>
      <c r="H371" s="75">
        <v>236.9</v>
      </c>
      <c r="I371" s="75">
        <v>230977.5</v>
      </c>
      <c r="J371" s="91" t="s">
        <v>995</v>
      </c>
      <c r="K371" s="73"/>
      <c r="L371" s="46">
        <v>565</v>
      </c>
      <c r="M371" s="46">
        <v>0</v>
      </c>
      <c r="N371" s="46">
        <v>133848.5</v>
      </c>
      <c r="O371" s="98"/>
      <c r="P371" s="23" t="s">
        <v>1426</v>
      </c>
      <c r="Q371" s="24" t="s">
        <v>994</v>
      </c>
      <c r="R371" s="25" t="s">
        <v>30</v>
      </c>
      <c r="S371" s="26">
        <v>1088</v>
      </c>
      <c r="T371" s="26">
        <v>975</v>
      </c>
      <c r="U371" s="26">
        <v>236.9</v>
      </c>
      <c r="V371" s="128">
        <f t="shared" si="71"/>
        <v>410</v>
      </c>
      <c r="W371" s="127">
        <f t="shared" ref="W371:W376" si="75">V371+L371</f>
        <v>975</v>
      </c>
      <c r="X371" s="127">
        <f>Y371-N371</f>
        <v>97129</v>
      </c>
      <c r="Y371" s="127">
        <f t="shared" si="73"/>
        <v>230977.5</v>
      </c>
      <c r="Z371" s="27" t="s">
        <v>15</v>
      </c>
      <c r="AA371" s="36" t="s">
        <v>16</v>
      </c>
      <c r="AB371" s="181">
        <f t="shared" si="65"/>
        <v>975</v>
      </c>
      <c r="AC371" s="181">
        <f t="shared" si="74"/>
        <v>230977.5</v>
      </c>
      <c r="AD371" s="181">
        <v>1.9</v>
      </c>
      <c r="AE371" s="181">
        <v>1.9</v>
      </c>
      <c r="AF371" s="101" t="str">
        <f t="shared" si="66"/>
        <v/>
      </c>
      <c r="AG371" s="191">
        <f>AG370</f>
        <v>975</v>
      </c>
      <c r="AH371" s="69">
        <f t="shared" si="67"/>
        <v>975</v>
      </c>
    </row>
    <row r="372" spans="1:34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252.35</v>
      </c>
      <c r="I372" s="75">
        <v>2206548.4</v>
      </c>
      <c r="J372" s="91" t="s">
        <v>999</v>
      </c>
      <c r="K372" s="73"/>
      <c r="L372" s="46">
        <v>7744</v>
      </c>
      <c r="M372" s="46">
        <v>0</v>
      </c>
      <c r="N372" s="46">
        <v>1954198.4</v>
      </c>
      <c r="O372" s="98"/>
      <c r="P372" s="23" t="s">
        <v>1402</v>
      </c>
      <c r="Q372" s="24" t="s">
        <v>997</v>
      </c>
      <c r="R372" s="25" t="s">
        <v>998</v>
      </c>
      <c r="S372" s="26">
        <v>6984</v>
      </c>
      <c r="T372" s="26">
        <v>8744</v>
      </c>
      <c r="U372" s="26">
        <v>252.35</v>
      </c>
      <c r="V372" s="26">
        <f t="shared" si="71"/>
        <v>0</v>
      </c>
      <c r="W372" s="26">
        <f t="shared" si="75"/>
        <v>7744</v>
      </c>
      <c r="X372" s="26">
        <f t="shared" si="72"/>
        <v>0</v>
      </c>
      <c r="Y372" s="26">
        <f t="shared" si="73"/>
        <v>1954198.4</v>
      </c>
      <c r="Z372" s="27" t="s">
        <v>15</v>
      </c>
      <c r="AA372" s="36" t="s">
        <v>16</v>
      </c>
      <c r="AB372" s="181">
        <f t="shared" si="65"/>
        <v>8744</v>
      </c>
      <c r="AC372" s="181">
        <f t="shared" si="74"/>
        <v>2206548.4</v>
      </c>
      <c r="AD372" s="181">
        <v>1.9</v>
      </c>
      <c r="AE372" s="181">
        <v>1.9</v>
      </c>
      <c r="AF372" s="101" t="str">
        <f t="shared" si="66"/>
        <v/>
      </c>
      <c r="AG372" s="190">
        <v>7744</v>
      </c>
      <c r="AH372" s="69">
        <f t="shared" si="67"/>
        <v>8744</v>
      </c>
    </row>
    <row r="373" spans="1:34" s="69" customFormat="1" ht="58.5" x14ac:dyDescent="0.3">
      <c r="A373" s="55" t="s">
        <v>1000</v>
      </c>
      <c r="B373" s="53" t="s">
        <v>1001</v>
      </c>
      <c r="C373" s="54" t="s">
        <v>14</v>
      </c>
      <c r="D373" s="75">
        <v>1</v>
      </c>
      <c r="E373" s="75"/>
      <c r="F373" s="75"/>
      <c r="G373" s="75"/>
      <c r="H373" s="75">
        <v>350000</v>
      </c>
      <c r="I373" s="75">
        <v>350000</v>
      </c>
      <c r="J373" s="91" t="s">
        <v>1002</v>
      </c>
      <c r="K373" s="73"/>
      <c r="L373" s="46">
        <v>1</v>
      </c>
      <c r="M373" s="46">
        <v>0</v>
      </c>
      <c r="N373" s="46">
        <v>157500</v>
      </c>
      <c r="O373" s="98"/>
      <c r="P373" s="23" t="s">
        <v>1373</v>
      </c>
      <c r="Q373" s="24" t="s">
        <v>1001</v>
      </c>
      <c r="R373" s="25" t="s">
        <v>14</v>
      </c>
      <c r="S373" s="26">
        <v>1</v>
      </c>
      <c r="T373" s="26"/>
      <c r="U373" s="26">
        <v>350000</v>
      </c>
      <c r="V373" s="26">
        <f>IF(X373=0,0,1)</f>
        <v>0</v>
      </c>
      <c r="W373" s="26">
        <f>IF(Y373=0,0,1)</f>
        <v>1</v>
      </c>
      <c r="X373" s="26">
        <f t="shared" si="72"/>
        <v>0</v>
      </c>
      <c r="Y373" s="26">
        <v>157500</v>
      </c>
      <c r="Z373" s="123">
        <f>Y373/I373</f>
        <v>0.45</v>
      </c>
      <c r="AA373" s="36" t="s">
        <v>16</v>
      </c>
      <c r="AB373" s="181">
        <f t="shared" si="65"/>
        <v>1</v>
      </c>
      <c r="AC373" s="181">
        <f t="shared" si="74"/>
        <v>350000</v>
      </c>
      <c r="AD373" s="181">
        <v>1.9</v>
      </c>
      <c r="AE373" s="181">
        <v>1.9</v>
      </c>
      <c r="AF373" s="101" t="str">
        <f t="shared" si="66"/>
        <v/>
      </c>
      <c r="AG373" s="190">
        <v>1</v>
      </c>
      <c r="AH373" s="69">
        <f t="shared" si="67"/>
        <v>1</v>
      </c>
    </row>
    <row r="374" spans="1:34" s="69" customFormat="1" ht="39" x14ac:dyDescent="0.3">
      <c r="A374" s="55" t="s">
        <v>1003</v>
      </c>
      <c r="B374" s="53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931.12</v>
      </c>
      <c r="I374" s="75">
        <v>2309177.6</v>
      </c>
      <c r="J374" s="91" t="s">
        <v>1005</v>
      </c>
      <c r="K374" s="73"/>
      <c r="L374" s="46">
        <v>1828</v>
      </c>
      <c r="M374" s="46">
        <v>111734.40000000014</v>
      </c>
      <c r="N374" s="46">
        <v>1702087.36</v>
      </c>
      <c r="O374" s="98"/>
      <c r="P374" s="23" t="s">
        <v>1393</v>
      </c>
      <c r="Q374" s="24" t="s">
        <v>1004</v>
      </c>
      <c r="R374" s="25" t="s">
        <v>97</v>
      </c>
      <c r="S374" s="26">
        <v>1</v>
      </c>
      <c r="T374" s="26">
        <v>2480</v>
      </c>
      <c r="U374" s="26">
        <v>931.12</v>
      </c>
      <c r="V374" s="128">
        <f t="shared" si="71"/>
        <v>0</v>
      </c>
      <c r="W374" s="26">
        <f t="shared" si="75"/>
        <v>1828</v>
      </c>
      <c r="X374" s="26">
        <f t="shared" si="72"/>
        <v>0</v>
      </c>
      <c r="Y374" s="26">
        <f t="shared" si="73"/>
        <v>1702087.36</v>
      </c>
      <c r="Z374" s="27" t="s">
        <v>15</v>
      </c>
      <c r="AA374" s="36" t="s">
        <v>16</v>
      </c>
      <c r="AB374" s="181">
        <f t="shared" si="65"/>
        <v>2480</v>
      </c>
      <c r="AC374" s="181">
        <f t="shared" si="74"/>
        <v>2309177.6</v>
      </c>
      <c r="AD374" s="181">
        <v>1.9</v>
      </c>
      <c r="AE374" s="181">
        <v>1.9</v>
      </c>
      <c r="AF374" s="101" t="str">
        <f t="shared" si="66"/>
        <v/>
      </c>
      <c r="AG374" s="191">
        <f>1500+8*3*7+8*5+8*15</f>
        <v>1828</v>
      </c>
      <c r="AH374" s="69">
        <f t="shared" si="67"/>
        <v>2480</v>
      </c>
    </row>
    <row r="375" spans="1:34" s="69" customFormat="1" ht="33" x14ac:dyDescent="0.3">
      <c r="A375" s="130" t="s">
        <v>1006</v>
      </c>
      <c r="B375" s="131" t="s">
        <v>678</v>
      </c>
      <c r="C375" s="132" t="s">
        <v>23</v>
      </c>
      <c r="D375" s="203">
        <v>1</v>
      </c>
      <c r="E375" s="203">
        <v>91</v>
      </c>
      <c r="F375" s="203">
        <v>291</v>
      </c>
      <c r="G375" s="203"/>
      <c r="H375" s="75">
        <v>3386.57</v>
      </c>
      <c r="I375" s="75">
        <v>985491.87</v>
      </c>
      <c r="J375" s="91" t="s">
        <v>679</v>
      </c>
      <c r="K375" s="73"/>
      <c r="L375" s="46">
        <v>291</v>
      </c>
      <c r="M375" s="46">
        <v>0</v>
      </c>
      <c r="N375" s="46">
        <v>985491.87</v>
      </c>
      <c r="O375" s="98"/>
      <c r="P375" s="23" t="s">
        <v>1403</v>
      </c>
      <c r="Q375" s="24" t="s">
        <v>678</v>
      </c>
      <c r="R375" s="25" t="s">
        <v>23</v>
      </c>
      <c r="S375" s="26">
        <v>1</v>
      </c>
      <c r="T375" s="26">
        <v>291</v>
      </c>
      <c r="U375" s="26">
        <v>3386.57</v>
      </c>
      <c r="V375" s="127">
        <f t="shared" si="71"/>
        <v>0</v>
      </c>
      <c r="W375" s="127">
        <f t="shared" si="75"/>
        <v>291</v>
      </c>
      <c r="X375" s="127">
        <f t="shared" si="72"/>
        <v>0</v>
      </c>
      <c r="Y375" s="127">
        <f t="shared" si="73"/>
        <v>985491.87</v>
      </c>
      <c r="Z375" s="27" t="s">
        <v>15</v>
      </c>
      <c r="AA375" s="36" t="s">
        <v>16</v>
      </c>
      <c r="AB375" s="181">
        <f t="shared" si="65"/>
        <v>291</v>
      </c>
      <c r="AC375" s="181">
        <f t="shared" si="74"/>
        <v>985491.87</v>
      </c>
      <c r="AD375" s="181">
        <v>1.9</v>
      </c>
      <c r="AE375" s="181">
        <v>1.9</v>
      </c>
      <c r="AF375" s="101" t="str">
        <f t="shared" si="66"/>
        <v/>
      </c>
      <c r="AG375" s="190">
        <v>291</v>
      </c>
      <c r="AH375" s="69">
        <f t="shared" si="67"/>
        <v>291</v>
      </c>
    </row>
    <row r="376" spans="1:34" s="69" customFormat="1" ht="58.5" x14ac:dyDescent="0.3">
      <c r="A376" s="134" t="s">
        <v>1340</v>
      </c>
      <c r="B376" s="135" t="s">
        <v>1341</v>
      </c>
      <c r="C376" s="204" t="s">
        <v>30</v>
      </c>
      <c r="D376" s="77"/>
      <c r="E376" s="59">
        <v>130</v>
      </c>
      <c r="F376" s="77"/>
      <c r="G376" s="77"/>
      <c r="H376" s="77">
        <v>9706.16</v>
      </c>
      <c r="I376" s="59">
        <v>1261800.8</v>
      </c>
      <c r="J376" s="92"/>
      <c r="K376" s="73"/>
      <c r="L376" s="46">
        <v>130</v>
      </c>
      <c r="M376" s="46">
        <v>0</v>
      </c>
      <c r="N376" s="46">
        <v>1261800.8</v>
      </c>
      <c r="O376" s="98"/>
      <c r="P376" s="23" t="s">
        <v>1427</v>
      </c>
      <c r="Q376" s="24" t="s">
        <v>1500</v>
      </c>
      <c r="R376" s="25" t="s">
        <v>30</v>
      </c>
      <c r="S376" s="26">
        <v>0</v>
      </c>
      <c r="T376" s="26">
        <v>130</v>
      </c>
      <c r="U376" s="26">
        <v>9706.16</v>
      </c>
      <c r="V376" s="127">
        <f t="shared" si="71"/>
        <v>0</v>
      </c>
      <c r="W376" s="127">
        <f t="shared" si="75"/>
        <v>130</v>
      </c>
      <c r="X376" s="127">
        <f t="shared" si="72"/>
        <v>0</v>
      </c>
      <c r="Y376" s="127">
        <f t="shared" si="73"/>
        <v>1261800.8</v>
      </c>
      <c r="Z376" s="27"/>
      <c r="AA376" s="36" t="s">
        <v>16</v>
      </c>
      <c r="AB376" s="181">
        <f t="shared" si="65"/>
        <v>130</v>
      </c>
      <c r="AC376" s="181">
        <f t="shared" si="74"/>
        <v>1261800.8</v>
      </c>
      <c r="AD376" s="181">
        <v>1.9</v>
      </c>
      <c r="AE376" s="181">
        <v>1.9</v>
      </c>
      <c r="AF376" s="101" t="str">
        <f t="shared" si="66"/>
        <v/>
      </c>
      <c r="AG376" s="191">
        <f>74+56</f>
        <v>130</v>
      </c>
      <c r="AH376" s="69">
        <f t="shared" si="67"/>
        <v>130</v>
      </c>
    </row>
    <row r="377" spans="1:34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/>
      <c r="I377" s="88">
        <v>27450638.109999999</v>
      </c>
      <c r="J377" s="95" t="s">
        <v>15</v>
      </c>
      <c r="K377" s="73"/>
      <c r="L377" s="42">
        <v>1</v>
      </c>
      <c r="M377" s="42">
        <v>3551263.3600000003</v>
      </c>
      <c r="N377" s="42">
        <v>21892829.620000005</v>
      </c>
      <c r="O377" s="98"/>
      <c r="P377" s="13" t="s">
        <v>1404</v>
      </c>
      <c r="Q377" s="14" t="s">
        <v>1008</v>
      </c>
      <c r="R377" s="15" t="s">
        <v>14</v>
      </c>
      <c r="S377" s="16">
        <v>1</v>
      </c>
      <c r="T377" s="16"/>
      <c r="U377" s="16">
        <f>SUMIFS(AC:AC,AD:AD,AD377)</f>
        <v>27450638.110000003</v>
      </c>
      <c r="V377" s="16">
        <f t="shared" ref="V377:W377" si="76">IF(X377=0,0,1)</f>
        <v>1</v>
      </c>
      <c r="W377" s="16">
        <f t="shared" si="76"/>
        <v>1</v>
      </c>
      <c r="X377" s="16">
        <f>SUMIFS(X:X,AE:AE,AD377)</f>
        <v>254958</v>
      </c>
      <c r="Y377" s="16">
        <f>SUMIFS(Y:Y,AE:AE,AD377)</f>
        <v>22147787.620000005</v>
      </c>
      <c r="Z377" s="17" t="s">
        <v>15</v>
      </c>
      <c r="AA377" s="40" t="s">
        <v>16</v>
      </c>
      <c r="AB377" s="181">
        <f t="shared" si="65"/>
        <v>1</v>
      </c>
      <c r="AC377" s="183"/>
      <c r="AD377" s="183">
        <v>2</v>
      </c>
      <c r="AE377" s="183"/>
      <c r="AF377" s="101" t="str">
        <f t="shared" si="66"/>
        <v/>
      </c>
      <c r="AG377" s="190">
        <v>1</v>
      </c>
      <c r="AH377" s="69">
        <f t="shared" si="67"/>
        <v>1</v>
      </c>
    </row>
    <row r="378" spans="1:34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>
        <v>711302</v>
      </c>
      <c r="I378" s="75">
        <v>711302</v>
      </c>
      <c r="J378" s="91" t="s">
        <v>1011</v>
      </c>
      <c r="K378" s="73"/>
      <c r="L378" s="46">
        <v>0</v>
      </c>
      <c r="M378" s="46">
        <v>0</v>
      </c>
      <c r="N378" s="46">
        <v>0</v>
      </c>
      <c r="O378" s="98"/>
      <c r="P378" s="23" t="s">
        <v>1421</v>
      </c>
      <c r="Q378" s="24" t="s">
        <v>1010</v>
      </c>
      <c r="R378" s="25" t="s">
        <v>14</v>
      </c>
      <c r="S378" s="26">
        <v>1</v>
      </c>
      <c r="T378" s="26"/>
      <c r="U378" s="26">
        <v>711302</v>
      </c>
      <c r="V378" s="26">
        <f t="shared" ref="V378:V405" si="77">AG378-L378</f>
        <v>0</v>
      </c>
      <c r="W378" s="26">
        <f t="shared" ref="W378:W457" si="78">V378+L378</f>
        <v>0</v>
      </c>
      <c r="X378" s="26">
        <f t="shared" ref="X378:X405" si="79">Y378-N378</f>
        <v>0</v>
      </c>
      <c r="Y378" s="26">
        <f t="shared" ref="Y378:Y405" si="80">ROUND(U378*W378,2)</f>
        <v>0</v>
      </c>
      <c r="Z378" s="33" t="s">
        <v>15</v>
      </c>
      <c r="AA378" s="36" t="s">
        <v>16</v>
      </c>
      <c r="AB378" s="181">
        <f t="shared" si="65"/>
        <v>1</v>
      </c>
      <c r="AC378" s="181">
        <f t="shared" ref="AC378:AC405" si="81">ROUND(U378*AB378,2)</f>
        <v>711302</v>
      </c>
      <c r="AD378" s="181">
        <v>2</v>
      </c>
      <c r="AE378" s="181">
        <v>2</v>
      </c>
      <c r="AF378" s="101" t="str">
        <f t="shared" si="66"/>
        <v/>
      </c>
      <c r="AG378" s="190">
        <v>0</v>
      </c>
      <c r="AH378" s="69">
        <f t="shared" si="67"/>
        <v>1</v>
      </c>
    </row>
    <row r="379" spans="1:34" s="69" customFormat="1" ht="33" customHeight="1" x14ac:dyDescent="0.3">
      <c r="A379" s="55" t="s">
        <v>1012</v>
      </c>
      <c r="B379" s="53" t="s">
        <v>1013</v>
      </c>
      <c r="C379" s="54" t="s">
        <v>1014</v>
      </c>
      <c r="D379" s="75">
        <v>7</v>
      </c>
      <c r="E379" s="75"/>
      <c r="F379" s="75"/>
      <c r="G379" s="75"/>
      <c r="H379" s="75">
        <v>50000</v>
      </c>
      <c r="I379" s="75">
        <v>350000</v>
      </c>
      <c r="J379" s="91" t="s">
        <v>1015</v>
      </c>
      <c r="K379" s="73"/>
      <c r="L379" s="46">
        <v>0</v>
      </c>
      <c r="M379" s="46">
        <v>0</v>
      </c>
      <c r="N379" s="46">
        <v>0</v>
      </c>
      <c r="O379" s="98"/>
      <c r="P379" s="23" t="s">
        <v>1426</v>
      </c>
      <c r="Q379" s="24" t="s">
        <v>1013</v>
      </c>
      <c r="R379" s="25" t="s">
        <v>1014</v>
      </c>
      <c r="S379" s="26">
        <v>7</v>
      </c>
      <c r="T379" s="26"/>
      <c r="U379" s="26">
        <v>50000</v>
      </c>
      <c r="V379" s="26">
        <f t="shared" si="77"/>
        <v>0</v>
      </c>
      <c r="W379" s="26">
        <f t="shared" si="78"/>
        <v>0</v>
      </c>
      <c r="X379" s="26">
        <f t="shared" si="79"/>
        <v>0</v>
      </c>
      <c r="Y379" s="26">
        <f t="shared" si="80"/>
        <v>0</v>
      </c>
      <c r="Z379" s="33" t="s">
        <v>15</v>
      </c>
      <c r="AA379" s="36" t="s">
        <v>16</v>
      </c>
      <c r="AB379" s="181">
        <f t="shared" si="65"/>
        <v>7</v>
      </c>
      <c r="AC379" s="181">
        <f t="shared" si="81"/>
        <v>350000</v>
      </c>
      <c r="AD379" s="181">
        <v>2</v>
      </c>
      <c r="AE379" s="181">
        <v>2</v>
      </c>
      <c r="AF379" s="101" t="str">
        <f t="shared" si="66"/>
        <v/>
      </c>
      <c r="AG379" s="190">
        <v>0</v>
      </c>
      <c r="AH379" s="69">
        <f t="shared" si="67"/>
        <v>7</v>
      </c>
    </row>
    <row r="380" spans="1:34" s="69" customFormat="1" ht="33" x14ac:dyDescent="0.3">
      <c r="A380" s="130" t="s">
        <v>1016</v>
      </c>
      <c r="B380" s="131" t="s">
        <v>1017</v>
      </c>
      <c r="C380" s="132" t="s">
        <v>50</v>
      </c>
      <c r="D380" s="75">
        <v>360</v>
      </c>
      <c r="E380" s="75"/>
      <c r="F380" s="75">
        <v>400</v>
      </c>
      <c r="G380" s="76"/>
      <c r="H380" s="75">
        <v>22500</v>
      </c>
      <c r="I380" s="75">
        <v>9000000</v>
      </c>
      <c r="J380" s="91" t="s">
        <v>1018</v>
      </c>
      <c r="K380" s="73"/>
      <c r="L380" s="46">
        <v>400</v>
      </c>
      <c r="M380" s="46">
        <v>0</v>
      </c>
      <c r="N380" s="46">
        <v>9000000</v>
      </c>
      <c r="O380" s="98"/>
      <c r="P380" s="23" t="s">
        <v>1402</v>
      </c>
      <c r="Q380" s="24" t="s">
        <v>1017</v>
      </c>
      <c r="R380" s="25" t="s">
        <v>50</v>
      </c>
      <c r="S380" s="26">
        <v>360</v>
      </c>
      <c r="T380" s="26">
        <v>400</v>
      </c>
      <c r="U380" s="26">
        <v>22500</v>
      </c>
      <c r="V380" s="127">
        <f t="shared" si="77"/>
        <v>0</v>
      </c>
      <c r="W380" s="127">
        <f t="shared" si="78"/>
        <v>400</v>
      </c>
      <c r="X380" s="127">
        <f t="shared" si="79"/>
        <v>0</v>
      </c>
      <c r="Y380" s="127">
        <f t="shared" si="80"/>
        <v>9000000</v>
      </c>
      <c r="Z380" s="27" t="s">
        <v>15</v>
      </c>
      <c r="AA380" s="36" t="s">
        <v>16</v>
      </c>
      <c r="AB380" s="181">
        <f t="shared" si="65"/>
        <v>400</v>
      </c>
      <c r="AC380" s="181">
        <f t="shared" si="81"/>
        <v>9000000</v>
      </c>
      <c r="AD380" s="181">
        <v>2</v>
      </c>
      <c r="AE380" s="181">
        <v>2</v>
      </c>
      <c r="AF380" s="101" t="str">
        <f t="shared" si="66"/>
        <v/>
      </c>
      <c r="AG380" s="190">
        <v>400</v>
      </c>
      <c r="AH380" s="69">
        <f t="shared" si="67"/>
        <v>400</v>
      </c>
    </row>
    <row r="381" spans="1:34" s="69" customFormat="1" ht="78" x14ac:dyDescent="0.3">
      <c r="A381" s="55" t="s">
        <v>1019</v>
      </c>
      <c r="B381" s="53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158"/>
      <c r="H381" s="166">
        <v>806</v>
      </c>
      <c r="I381" s="75">
        <v>2941900</v>
      </c>
      <c r="J381" s="91" t="s">
        <v>1022</v>
      </c>
      <c r="K381" s="73"/>
      <c r="L381" s="46">
        <v>1432</v>
      </c>
      <c r="M381" s="46">
        <v>74958</v>
      </c>
      <c r="N381" s="46">
        <v>1154192</v>
      </c>
      <c r="O381" s="98"/>
      <c r="P381" s="23" t="s">
        <v>1373</v>
      </c>
      <c r="Q381" s="24" t="s">
        <v>1020</v>
      </c>
      <c r="R381" s="25" t="s">
        <v>1021</v>
      </c>
      <c r="S381" s="26">
        <v>730</v>
      </c>
      <c r="T381" s="26">
        <v>3650</v>
      </c>
      <c r="U381" s="26">
        <v>806</v>
      </c>
      <c r="V381" s="102">
        <f t="shared" si="77"/>
        <v>93</v>
      </c>
      <c r="W381" s="26">
        <f t="shared" si="78"/>
        <v>1525</v>
      </c>
      <c r="X381" s="26">
        <f t="shared" si="79"/>
        <v>74958</v>
      </c>
      <c r="Y381" s="26">
        <f t="shared" si="80"/>
        <v>1229150</v>
      </c>
      <c r="Z381" s="27" t="s">
        <v>15</v>
      </c>
      <c r="AA381" s="36" t="s">
        <v>16</v>
      </c>
      <c r="AB381" s="181">
        <f t="shared" si="65"/>
        <v>3650</v>
      </c>
      <c r="AC381" s="181">
        <f t="shared" si="81"/>
        <v>2941900</v>
      </c>
      <c r="AD381" s="181">
        <v>2</v>
      </c>
      <c r="AE381" s="181">
        <v>2</v>
      </c>
      <c r="AF381" s="101" t="str">
        <f t="shared" si="66"/>
        <v/>
      </c>
      <c r="AG381" s="191">
        <f>1156+93+90+93+93</f>
        <v>1525</v>
      </c>
      <c r="AH381" s="69">
        <f t="shared" si="67"/>
        <v>3650</v>
      </c>
    </row>
    <row r="382" spans="1:34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75">
        <v>2</v>
      </c>
      <c r="E382" s="75">
        <v>4</v>
      </c>
      <c r="F382" s="161">
        <v>5</v>
      </c>
      <c r="G382" s="158"/>
      <c r="H382" s="166">
        <v>50000</v>
      </c>
      <c r="I382" s="75">
        <v>250000</v>
      </c>
      <c r="J382" s="91" t="s">
        <v>1025</v>
      </c>
      <c r="K382" s="73"/>
      <c r="L382" s="46">
        <v>5</v>
      </c>
      <c r="M382" s="46">
        <v>0</v>
      </c>
      <c r="N382" s="46">
        <v>250000</v>
      </c>
      <c r="O382" s="98"/>
      <c r="P382" s="23" t="s">
        <v>1393</v>
      </c>
      <c r="Q382" s="24" t="s">
        <v>1024</v>
      </c>
      <c r="R382" s="25" t="s">
        <v>1014</v>
      </c>
      <c r="S382" s="26">
        <v>2</v>
      </c>
      <c r="T382" s="26">
        <v>5</v>
      </c>
      <c r="U382" s="26">
        <v>50000</v>
      </c>
      <c r="V382" s="127">
        <f t="shared" si="77"/>
        <v>0</v>
      </c>
      <c r="W382" s="127">
        <f t="shared" si="78"/>
        <v>5</v>
      </c>
      <c r="X382" s="127">
        <f t="shared" si="79"/>
        <v>0</v>
      </c>
      <c r="Y382" s="127">
        <f t="shared" si="80"/>
        <v>250000</v>
      </c>
      <c r="Z382" s="27" t="s">
        <v>15</v>
      </c>
      <c r="AA382" s="36" t="s">
        <v>16</v>
      </c>
      <c r="AB382" s="181">
        <f t="shared" si="65"/>
        <v>5</v>
      </c>
      <c r="AC382" s="181">
        <f t="shared" si="81"/>
        <v>250000</v>
      </c>
      <c r="AD382" s="181">
        <v>2</v>
      </c>
      <c r="AE382" s="181">
        <v>2</v>
      </c>
      <c r="AF382" s="101" t="str">
        <f t="shared" si="66"/>
        <v/>
      </c>
      <c r="AG382" s="190">
        <v>5</v>
      </c>
      <c r="AH382" s="69">
        <f t="shared" si="67"/>
        <v>5</v>
      </c>
    </row>
    <row r="383" spans="1:34" s="69" customFormat="1" ht="33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158"/>
      <c r="H383" s="166">
        <v>180000</v>
      </c>
      <c r="I383" s="75">
        <v>4320000</v>
      </c>
      <c r="J383" s="91" t="s">
        <v>1029</v>
      </c>
      <c r="K383" s="73"/>
      <c r="L383" s="46">
        <v>13</v>
      </c>
      <c r="M383" s="46">
        <v>180000</v>
      </c>
      <c r="N383" s="46">
        <v>2340000</v>
      </c>
      <c r="O383" s="98"/>
      <c r="P383" s="23" t="s">
        <v>1403</v>
      </c>
      <c r="Q383" s="24" t="s">
        <v>1027</v>
      </c>
      <c r="R383" s="25" t="s">
        <v>1028</v>
      </c>
      <c r="S383" s="26">
        <v>24</v>
      </c>
      <c r="T383" s="26"/>
      <c r="U383" s="26">
        <v>180000</v>
      </c>
      <c r="V383" s="102">
        <f t="shared" si="77"/>
        <v>1</v>
      </c>
      <c r="W383" s="26">
        <f t="shared" si="78"/>
        <v>14</v>
      </c>
      <c r="X383" s="26">
        <f t="shared" si="79"/>
        <v>180000</v>
      </c>
      <c r="Y383" s="26">
        <f t="shared" si="80"/>
        <v>2520000</v>
      </c>
      <c r="Z383" s="33" t="s">
        <v>15</v>
      </c>
      <c r="AA383" s="36" t="s">
        <v>16</v>
      </c>
      <c r="AB383" s="181">
        <f t="shared" si="65"/>
        <v>24</v>
      </c>
      <c r="AC383" s="181">
        <f t="shared" si="81"/>
        <v>4320000</v>
      </c>
      <c r="AD383" s="181">
        <v>2</v>
      </c>
      <c r="AE383" s="181">
        <v>2</v>
      </c>
      <c r="AF383" s="101" t="str">
        <f t="shared" si="66"/>
        <v/>
      </c>
      <c r="AG383" s="191">
        <f>8+1+1+2+1+1</f>
        <v>14</v>
      </c>
      <c r="AH383" s="69">
        <f t="shared" si="67"/>
        <v>24</v>
      </c>
    </row>
    <row r="384" spans="1:34" s="69" customFormat="1" ht="49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158"/>
      <c r="H384" s="166">
        <v>205982.81</v>
      </c>
      <c r="I384" s="75">
        <v>205982.81</v>
      </c>
      <c r="J384" s="91" t="s">
        <v>1032</v>
      </c>
      <c r="K384" s="73"/>
      <c r="L384" s="46">
        <v>0</v>
      </c>
      <c r="M384" s="46">
        <v>0</v>
      </c>
      <c r="N384" s="46">
        <v>0</v>
      </c>
      <c r="O384" s="98"/>
      <c r="P384" s="23" t="s">
        <v>1427</v>
      </c>
      <c r="Q384" s="24" t="s">
        <v>1031</v>
      </c>
      <c r="R384" s="25" t="s">
        <v>14</v>
      </c>
      <c r="S384" s="26">
        <v>1</v>
      </c>
      <c r="T384" s="26"/>
      <c r="U384" s="26">
        <v>205982.81</v>
      </c>
      <c r="V384" s="26">
        <f t="shared" si="77"/>
        <v>0</v>
      </c>
      <c r="W384" s="26">
        <f t="shared" si="78"/>
        <v>0</v>
      </c>
      <c r="X384" s="26">
        <f t="shared" si="79"/>
        <v>0</v>
      </c>
      <c r="Y384" s="26">
        <f t="shared" si="80"/>
        <v>0</v>
      </c>
      <c r="Z384" s="33" t="s">
        <v>15</v>
      </c>
      <c r="AA384" s="36" t="s">
        <v>16</v>
      </c>
      <c r="AB384" s="181">
        <f t="shared" si="65"/>
        <v>1</v>
      </c>
      <c r="AC384" s="181">
        <f t="shared" si="81"/>
        <v>205982.81</v>
      </c>
      <c r="AD384" s="181">
        <v>2</v>
      </c>
      <c r="AE384" s="181">
        <v>2</v>
      </c>
      <c r="AF384" s="101" t="str">
        <f t="shared" si="66"/>
        <v/>
      </c>
      <c r="AG384" s="190">
        <v>0</v>
      </c>
      <c r="AH384" s="69">
        <f t="shared" si="67"/>
        <v>1</v>
      </c>
    </row>
    <row r="385" spans="1:34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75">
        <v>1</v>
      </c>
      <c r="E385" s="75"/>
      <c r="F385" s="161"/>
      <c r="G385" s="158"/>
      <c r="H385" s="166">
        <v>2425000</v>
      </c>
      <c r="I385" s="75">
        <v>2425000</v>
      </c>
      <c r="J385" s="91" t="s">
        <v>1035</v>
      </c>
      <c r="K385" s="73"/>
      <c r="L385" s="46">
        <v>1</v>
      </c>
      <c r="M385" s="46">
        <v>0</v>
      </c>
      <c r="N385" s="46">
        <v>2425000</v>
      </c>
      <c r="O385" s="98"/>
      <c r="P385" s="23" t="s">
        <v>1428</v>
      </c>
      <c r="Q385" s="24" t="s">
        <v>1034</v>
      </c>
      <c r="R385" s="25" t="s">
        <v>14</v>
      </c>
      <c r="S385" s="26">
        <v>1</v>
      </c>
      <c r="T385" s="26"/>
      <c r="U385" s="26">
        <v>2425000</v>
      </c>
      <c r="V385" s="127">
        <f t="shared" si="77"/>
        <v>0</v>
      </c>
      <c r="W385" s="127">
        <f t="shared" si="78"/>
        <v>1</v>
      </c>
      <c r="X385" s="127">
        <f t="shared" si="79"/>
        <v>0</v>
      </c>
      <c r="Y385" s="127">
        <f t="shared" si="80"/>
        <v>2425000</v>
      </c>
      <c r="Z385" s="33" t="s">
        <v>1499</v>
      </c>
      <c r="AA385" s="36" t="s">
        <v>16</v>
      </c>
      <c r="AB385" s="181">
        <f t="shared" si="65"/>
        <v>1</v>
      </c>
      <c r="AC385" s="181">
        <f t="shared" si="81"/>
        <v>2425000</v>
      </c>
      <c r="AD385" s="181">
        <v>2</v>
      </c>
      <c r="AE385" s="181">
        <v>2</v>
      </c>
      <c r="AF385" s="101" t="str">
        <f t="shared" si="66"/>
        <v/>
      </c>
      <c r="AG385" s="190">
        <v>1</v>
      </c>
      <c r="AH385" s="69">
        <f t="shared" si="67"/>
        <v>1</v>
      </c>
    </row>
    <row r="386" spans="1:34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158"/>
      <c r="H386" s="166">
        <v>350000</v>
      </c>
      <c r="I386" s="75">
        <v>350000</v>
      </c>
      <c r="J386" s="91" t="s">
        <v>1038</v>
      </c>
      <c r="K386" s="73"/>
      <c r="L386" s="46">
        <v>0.5</v>
      </c>
      <c r="M386" s="46">
        <v>0</v>
      </c>
      <c r="N386" s="46">
        <v>175000</v>
      </c>
      <c r="O386" s="98"/>
      <c r="P386" s="23" t="s">
        <v>1387</v>
      </c>
      <c r="Q386" s="24" t="s">
        <v>1037</v>
      </c>
      <c r="R386" s="25" t="s">
        <v>14</v>
      </c>
      <c r="S386" s="26">
        <v>1</v>
      </c>
      <c r="T386" s="26"/>
      <c r="U386" s="26">
        <v>350000</v>
      </c>
      <c r="V386" s="128">
        <f t="shared" si="77"/>
        <v>0</v>
      </c>
      <c r="W386" s="26">
        <f t="shared" si="78"/>
        <v>0.5</v>
      </c>
      <c r="X386" s="26">
        <f t="shared" si="79"/>
        <v>0</v>
      </c>
      <c r="Y386" s="26">
        <f t="shared" si="80"/>
        <v>175000</v>
      </c>
      <c r="Z386" s="33" t="s">
        <v>15</v>
      </c>
      <c r="AA386" s="36" t="s">
        <v>16</v>
      </c>
      <c r="AB386" s="181">
        <f t="shared" si="65"/>
        <v>1</v>
      </c>
      <c r="AC386" s="181">
        <f t="shared" si="81"/>
        <v>350000</v>
      </c>
      <c r="AD386" s="181">
        <v>2</v>
      </c>
      <c r="AE386" s="181">
        <v>2</v>
      </c>
      <c r="AF386" s="101" t="str">
        <f t="shared" si="66"/>
        <v/>
      </c>
      <c r="AG386" s="191">
        <f>0.5</f>
        <v>0.5</v>
      </c>
      <c r="AH386" s="69">
        <f t="shared" si="67"/>
        <v>1</v>
      </c>
    </row>
    <row r="387" spans="1:34" ht="33" x14ac:dyDescent="0.3">
      <c r="A387" s="67" t="s">
        <v>1342</v>
      </c>
      <c r="B387" s="64" t="s">
        <v>1343</v>
      </c>
      <c r="C387" s="61" t="s">
        <v>50</v>
      </c>
      <c r="D387" s="78"/>
      <c r="E387" s="78"/>
      <c r="F387" s="163">
        <v>320</v>
      </c>
      <c r="G387" s="62"/>
      <c r="H387" s="167">
        <v>10869.24</v>
      </c>
      <c r="I387" s="62">
        <v>3478156.8</v>
      </c>
      <c r="J387" s="93"/>
      <c r="L387" s="46">
        <v>288</v>
      </c>
      <c r="M387" s="46">
        <v>0</v>
      </c>
      <c r="N387" s="46">
        <v>3130341.12</v>
      </c>
      <c r="O387" s="98"/>
      <c r="P387" s="23" t="s">
        <v>1405</v>
      </c>
      <c r="Q387" s="24" t="s">
        <v>1343</v>
      </c>
      <c r="R387" s="25" t="s">
        <v>50</v>
      </c>
      <c r="S387" s="26">
        <v>0</v>
      </c>
      <c r="T387" s="26">
        <v>320</v>
      </c>
      <c r="U387" s="26">
        <v>10869.24</v>
      </c>
      <c r="V387" s="128">
        <f t="shared" si="77"/>
        <v>0</v>
      </c>
      <c r="W387" s="26">
        <f t="shared" si="78"/>
        <v>288</v>
      </c>
      <c r="X387" s="26">
        <f t="shared" si="79"/>
        <v>0</v>
      </c>
      <c r="Y387" s="26">
        <f t="shared" si="80"/>
        <v>3130341.12</v>
      </c>
      <c r="Z387" s="27"/>
      <c r="AA387" s="36" t="s">
        <v>16</v>
      </c>
      <c r="AB387" s="181">
        <f t="shared" si="65"/>
        <v>320</v>
      </c>
      <c r="AC387" s="181">
        <f t="shared" si="81"/>
        <v>3478156.8</v>
      </c>
      <c r="AD387" s="181">
        <v>2</v>
      </c>
      <c r="AE387" s="181">
        <v>2</v>
      </c>
      <c r="AF387" s="101" t="str">
        <f t="shared" si="66"/>
        <v/>
      </c>
      <c r="AG387" s="191">
        <f>320*0.9</f>
        <v>288</v>
      </c>
      <c r="AH387" s="69">
        <f t="shared" si="67"/>
        <v>320</v>
      </c>
    </row>
    <row r="388" spans="1:34" ht="33" x14ac:dyDescent="0.3">
      <c r="A388" s="144" t="s">
        <v>1344</v>
      </c>
      <c r="B388" s="145" t="s">
        <v>1345</v>
      </c>
      <c r="C388" s="206" t="s">
        <v>325</v>
      </c>
      <c r="D388" s="147"/>
      <c r="E388" s="147"/>
      <c r="F388" s="164">
        <v>2</v>
      </c>
      <c r="G388" s="62"/>
      <c r="H388" s="168">
        <v>60995.57</v>
      </c>
      <c r="I388" s="148">
        <v>121991.14</v>
      </c>
      <c r="J388" s="149"/>
      <c r="L388" s="46">
        <v>2</v>
      </c>
      <c r="M388" s="46">
        <v>0</v>
      </c>
      <c r="N388" s="46">
        <v>121991.14</v>
      </c>
      <c r="O388" s="98"/>
      <c r="P388" s="23" t="s">
        <v>1406</v>
      </c>
      <c r="Q388" s="24" t="s">
        <v>1345</v>
      </c>
      <c r="R388" s="25" t="s">
        <v>325</v>
      </c>
      <c r="S388" s="26">
        <v>0</v>
      </c>
      <c r="T388" s="26">
        <v>2</v>
      </c>
      <c r="U388" s="26">
        <v>60995.57</v>
      </c>
      <c r="V388" s="127">
        <f t="shared" si="77"/>
        <v>0</v>
      </c>
      <c r="W388" s="127">
        <f t="shared" si="78"/>
        <v>2</v>
      </c>
      <c r="X388" s="127">
        <f t="shared" si="79"/>
        <v>0</v>
      </c>
      <c r="Y388" s="127">
        <f t="shared" si="80"/>
        <v>121991.14</v>
      </c>
      <c r="Z388" s="27"/>
      <c r="AA388" s="36" t="s">
        <v>16</v>
      </c>
      <c r="AB388" s="181">
        <f t="shared" si="65"/>
        <v>2</v>
      </c>
      <c r="AC388" s="181">
        <f t="shared" si="81"/>
        <v>121991.14</v>
      </c>
      <c r="AD388" s="181">
        <v>2</v>
      </c>
      <c r="AE388" s="181">
        <v>2</v>
      </c>
      <c r="AF388" s="101" t="str">
        <f t="shared" si="66"/>
        <v/>
      </c>
      <c r="AG388" s="190">
        <v>2</v>
      </c>
      <c r="AH388" s="69">
        <f t="shared" si="67"/>
        <v>2</v>
      </c>
    </row>
    <row r="389" spans="1:34" ht="39" x14ac:dyDescent="0.3">
      <c r="A389" s="207" t="s">
        <v>3072</v>
      </c>
      <c r="B389" s="208" t="s">
        <v>3073</v>
      </c>
      <c r="C389" s="204" t="s">
        <v>97</v>
      </c>
      <c r="D389" s="158"/>
      <c r="E389" s="158"/>
      <c r="F389" s="165"/>
      <c r="G389" s="159">
        <v>220</v>
      </c>
      <c r="H389" s="169">
        <v>1159.82</v>
      </c>
      <c r="I389" s="159">
        <v>255160.4</v>
      </c>
      <c r="J389" s="172"/>
      <c r="L389" s="46">
        <v>220</v>
      </c>
      <c r="M389" s="46">
        <v>255160.4</v>
      </c>
      <c r="N389" s="46">
        <v>255160.4</v>
      </c>
      <c r="O389" s="98"/>
      <c r="P389" s="23" t="s">
        <v>1414</v>
      </c>
      <c r="Q389" s="24" t="s">
        <v>3073</v>
      </c>
      <c r="R389" s="25" t="s">
        <v>97</v>
      </c>
      <c r="S389" s="26"/>
      <c r="T389" s="26"/>
      <c r="U389" s="169">
        <v>1159.82</v>
      </c>
      <c r="V389" s="127">
        <f t="shared" si="77"/>
        <v>0</v>
      </c>
      <c r="W389" s="127">
        <f>V389+L389</f>
        <v>220</v>
      </c>
      <c r="X389" s="127">
        <f t="shared" si="79"/>
        <v>0</v>
      </c>
      <c r="Y389" s="127">
        <f t="shared" si="80"/>
        <v>255160.4</v>
      </c>
      <c r="Z389" s="27"/>
      <c r="AA389" s="36"/>
      <c r="AB389" s="200">
        <v>220</v>
      </c>
      <c r="AC389" s="181">
        <f t="shared" si="81"/>
        <v>255160.4</v>
      </c>
      <c r="AD389" s="181">
        <v>2</v>
      </c>
      <c r="AE389" s="181">
        <v>2</v>
      </c>
      <c r="AF389" s="101"/>
      <c r="AG389" s="190">
        <f>G389</f>
        <v>220</v>
      </c>
      <c r="AH389" s="69">
        <f t="shared" si="67"/>
        <v>220</v>
      </c>
    </row>
    <row r="390" spans="1:34" ht="39" x14ac:dyDescent="0.3">
      <c r="A390" s="207" t="s">
        <v>3074</v>
      </c>
      <c r="B390" s="208" t="s">
        <v>3075</v>
      </c>
      <c r="C390" s="204" t="s">
        <v>97</v>
      </c>
      <c r="D390" s="158"/>
      <c r="E390" s="158"/>
      <c r="F390" s="165"/>
      <c r="G390" s="159">
        <v>264.5</v>
      </c>
      <c r="H390" s="169">
        <v>689.89</v>
      </c>
      <c r="I390" s="159">
        <v>182475.91</v>
      </c>
      <c r="J390" s="172"/>
      <c r="L390" s="46">
        <v>264.5</v>
      </c>
      <c r="M390" s="46">
        <v>182475.91</v>
      </c>
      <c r="N390" s="46">
        <v>182475.91</v>
      </c>
      <c r="O390" s="98"/>
      <c r="P390" s="23" t="s">
        <v>1429</v>
      </c>
      <c r="Q390" s="24" t="s">
        <v>3075</v>
      </c>
      <c r="R390" s="25" t="s">
        <v>97</v>
      </c>
      <c r="S390" s="26"/>
      <c r="T390" s="26"/>
      <c r="U390" s="169">
        <v>689.89</v>
      </c>
      <c r="V390" s="127">
        <f t="shared" si="77"/>
        <v>0</v>
      </c>
      <c r="W390" s="127">
        <f t="shared" ref="W390:W405" si="82">V390+L390</f>
        <v>264.5</v>
      </c>
      <c r="X390" s="127">
        <f t="shared" si="79"/>
        <v>0</v>
      </c>
      <c r="Y390" s="127">
        <f t="shared" si="80"/>
        <v>182475.91</v>
      </c>
      <c r="Z390" s="27"/>
      <c r="AA390" s="36"/>
      <c r="AB390" s="200">
        <v>264.5</v>
      </c>
      <c r="AC390" s="181">
        <f t="shared" si="81"/>
        <v>182475.91</v>
      </c>
      <c r="AD390" s="181">
        <v>2</v>
      </c>
      <c r="AE390" s="181">
        <v>2</v>
      </c>
      <c r="AF390" s="101"/>
      <c r="AG390" s="190">
        <f t="shared" ref="AG390:AG405" si="83">G390</f>
        <v>264.5</v>
      </c>
      <c r="AH390" s="69">
        <f t="shared" si="67"/>
        <v>264.5</v>
      </c>
    </row>
    <row r="391" spans="1:34" ht="58.5" x14ac:dyDescent="0.3">
      <c r="A391" s="207" t="s">
        <v>3076</v>
      </c>
      <c r="B391" s="208" t="s">
        <v>3077</v>
      </c>
      <c r="C391" s="204" t="s">
        <v>97</v>
      </c>
      <c r="D391" s="158"/>
      <c r="E391" s="158"/>
      <c r="F391" s="165"/>
      <c r="G391" s="159">
        <v>218.5</v>
      </c>
      <c r="H391" s="169">
        <v>899.86</v>
      </c>
      <c r="I391" s="159">
        <v>196619.41</v>
      </c>
      <c r="J391" s="172"/>
      <c r="L391" s="46">
        <v>218.5</v>
      </c>
      <c r="M391" s="46">
        <v>196619.41</v>
      </c>
      <c r="N391" s="46">
        <v>196619.41</v>
      </c>
      <c r="O391" s="98"/>
      <c r="P391" s="23" t="s">
        <v>1430</v>
      </c>
      <c r="Q391" s="24" t="s">
        <v>3077</v>
      </c>
      <c r="R391" s="25" t="s">
        <v>97</v>
      </c>
      <c r="S391" s="26"/>
      <c r="T391" s="26"/>
      <c r="U391" s="169">
        <v>899.86</v>
      </c>
      <c r="V391" s="127">
        <f t="shared" si="77"/>
        <v>0</v>
      </c>
      <c r="W391" s="127">
        <f t="shared" si="82"/>
        <v>218.5</v>
      </c>
      <c r="X391" s="127">
        <f t="shared" si="79"/>
        <v>0</v>
      </c>
      <c r="Y391" s="127">
        <f t="shared" si="80"/>
        <v>196619.41</v>
      </c>
      <c r="Z391" s="27"/>
      <c r="AA391" s="36"/>
      <c r="AB391" s="200">
        <v>218.5</v>
      </c>
      <c r="AC391" s="181">
        <f t="shared" si="81"/>
        <v>196619.41</v>
      </c>
      <c r="AD391" s="181">
        <v>2</v>
      </c>
      <c r="AE391" s="181">
        <v>2</v>
      </c>
      <c r="AF391" s="101"/>
      <c r="AG391" s="190">
        <f t="shared" si="83"/>
        <v>218.5</v>
      </c>
      <c r="AH391" s="69">
        <f t="shared" si="67"/>
        <v>218.5</v>
      </c>
    </row>
    <row r="392" spans="1:34" ht="39" x14ac:dyDescent="0.3">
      <c r="A392" s="207" t="s">
        <v>3078</v>
      </c>
      <c r="B392" s="208" t="s">
        <v>3079</v>
      </c>
      <c r="C392" s="204" t="s">
        <v>97</v>
      </c>
      <c r="D392" s="158"/>
      <c r="E392" s="158"/>
      <c r="F392" s="165"/>
      <c r="G392" s="159">
        <v>87.5</v>
      </c>
      <c r="H392" s="169">
        <v>1499.76</v>
      </c>
      <c r="I392" s="159">
        <v>131229</v>
      </c>
      <c r="J392" s="172"/>
      <c r="L392" s="46">
        <v>87.5</v>
      </c>
      <c r="M392" s="46">
        <v>131229</v>
      </c>
      <c r="N392" s="46">
        <v>131229</v>
      </c>
      <c r="O392" s="98"/>
      <c r="P392" s="23" t="s">
        <v>1431</v>
      </c>
      <c r="Q392" s="24" t="s">
        <v>3079</v>
      </c>
      <c r="R392" s="25" t="s">
        <v>97</v>
      </c>
      <c r="S392" s="26"/>
      <c r="T392" s="26"/>
      <c r="U392" s="169">
        <v>1499.76</v>
      </c>
      <c r="V392" s="127">
        <f t="shared" si="77"/>
        <v>0</v>
      </c>
      <c r="W392" s="127">
        <f t="shared" si="82"/>
        <v>87.5</v>
      </c>
      <c r="X392" s="127">
        <f t="shared" si="79"/>
        <v>0</v>
      </c>
      <c r="Y392" s="127">
        <f t="shared" si="80"/>
        <v>131229</v>
      </c>
      <c r="Z392" s="27"/>
      <c r="AA392" s="36"/>
      <c r="AB392" s="200">
        <v>87.5</v>
      </c>
      <c r="AC392" s="181">
        <f t="shared" si="81"/>
        <v>131229</v>
      </c>
      <c r="AD392" s="181">
        <v>2</v>
      </c>
      <c r="AE392" s="181">
        <v>2</v>
      </c>
      <c r="AF392" s="101"/>
      <c r="AG392" s="190">
        <f t="shared" si="83"/>
        <v>87.5</v>
      </c>
      <c r="AH392" s="69">
        <f t="shared" si="67"/>
        <v>87.5</v>
      </c>
    </row>
    <row r="393" spans="1:34" x14ac:dyDescent="0.3">
      <c r="A393" s="207" t="s">
        <v>3080</v>
      </c>
      <c r="B393" s="208" t="s">
        <v>3081</v>
      </c>
      <c r="C393" s="204" t="s">
        <v>97</v>
      </c>
      <c r="D393" s="158"/>
      <c r="E393" s="158"/>
      <c r="F393" s="159"/>
      <c r="G393" s="159">
        <v>144.5</v>
      </c>
      <c r="H393" s="158">
        <v>1419.78</v>
      </c>
      <c r="I393" s="159">
        <v>205158.21</v>
      </c>
      <c r="J393" s="172"/>
      <c r="L393" s="46">
        <v>144.5</v>
      </c>
      <c r="M393" s="46">
        <v>205158.21</v>
      </c>
      <c r="N393" s="46">
        <v>205158.21</v>
      </c>
      <c r="O393" s="98"/>
      <c r="P393" s="23" t="s">
        <v>1395</v>
      </c>
      <c r="Q393" s="24" t="s">
        <v>3081</v>
      </c>
      <c r="R393" s="25" t="s">
        <v>97</v>
      </c>
      <c r="S393" s="26"/>
      <c r="T393" s="26"/>
      <c r="U393" s="158">
        <v>1419.78</v>
      </c>
      <c r="V393" s="127">
        <f t="shared" si="77"/>
        <v>0</v>
      </c>
      <c r="W393" s="127">
        <f t="shared" si="82"/>
        <v>144.5</v>
      </c>
      <c r="X393" s="127">
        <f t="shared" si="79"/>
        <v>0</v>
      </c>
      <c r="Y393" s="127">
        <f t="shared" si="80"/>
        <v>205158.21</v>
      </c>
      <c r="Z393" s="27"/>
      <c r="AA393" s="36"/>
      <c r="AB393" s="200">
        <v>144.5</v>
      </c>
      <c r="AC393" s="181">
        <f t="shared" si="81"/>
        <v>205158.21</v>
      </c>
      <c r="AD393" s="181">
        <v>2</v>
      </c>
      <c r="AE393" s="181">
        <v>2</v>
      </c>
      <c r="AF393" s="101"/>
      <c r="AG393" s="190">
        <f t="shared" si="83"/>
        <v>144.5</v>
      </c>
      <c r="AH393" s="69">
        <f t="shared" si="67"/>
        <v>144.5</v>
      </c>
    </row>
    <row r="394" spans="1:34" x14ac:dyDescent="0.3">
      <c r="A394" s="207" t="s">
        <v>3082</v>
      </c>
      <c r="B394" s="208" t="s">
        <v>3083</v>
      </c>
      <c r="C394" s="204" t="s">
        <v>97</v>
      </c>
      <c r="D394" s="158"/>
      <c r="E394" s="158"/>
      <c r="F394" s="159"/>
      <c r="G394" s="159">
        <v>27</v>
      </c>
      <c r="H394" s="158">
        <v>2999.53</v>
      </c>
      <c r="I394" s="159">
        <v>80987.31</v>
      </c>
      <c r="J394" s="172"/>
      <c r="L394" s="46">
        <v>27</v>
      </c>
      <c r="M394" s="46">
        <v>80987.31</v>
      </c>
      <c r="N394" s="46">
        <v>80987.31</v>
      </c>
      <c r="O394" s="98"/>
      <c r="P394" s="23" t="s">
        <v>1432</v>
      </c>
      <c r="Q394" s="24" t="s">
        <v>3083</v>
      </c>
      <c r="R394" s="25" t="s">
        <v>97</v>
      </c>
      <c r="S394" s="26"/>
      <c r="T394" s="26"/>
      <c r="U394" s="158">
        <v>2999.53</v>
      </c>
      <c r="V394" s="127">
        <f t="shared" si="77"/>
        <v>0</v>
      </c>
      <c r="W394" s="127">
        <f t="shared" si="82"/>
        <v>27</v>
      </c>
      <c r="X394" s="127">
        <f t="shared" si="79"/>
        <v>0</v>
      </c>
      <c r="Y394" s="127">
        <f t="shared" si="80"/>
        <v>80987.31</v>
      </c>
      <c r="Z394" s="27"/>
      <c r="AA394" s="36"/>
      <c r="AB394" s="200">
        <v>27</v>
      </c>
      <c r="AC394" s="181">
        <f t="shared" si="81"/>
        <v>80987.31</v>
      </c>
      <c r="AD394" s="181">
        <v>2</v>
      </c>
      <c r="AE394" s="181">
        <v>2</v>
      </c>
      <c r="AF394" s="101"/>
      <c r="AG394" s="190">
        <f t="shared" si="83"/>
        <v>27</v>
      </c>
      <c r="AH394" s="69">
        <f t="shared" si="67"/>
        <v>27</v>
      </c>
    </row>
    <row r="395" spans="1:34" x14ac:dyDescent="0.3">
      <c r="A395" s="207" t="s">
        <v>3084</v>
      </c>
      <c r="B395" s="208" t="s">
        <v>3085</v>
      </c>
      <c r="C395" s="204" t="s">
        <v>97</v>
      </c>
      <c r="D395" s="158"/>
      <c r="E395" s="158"/>
      <c r="F395" s="159"/>
      <c r="G395" s="159">
        <v>28</v>
      </c>
      <c r="H395" s="158">
        <v>1364.78</v>
      </c>
      <c r="I395" s="159">
        <v>38213.839999999997</v>
      </c>
      <c r="J395" s="172"/>
      <c r="L395" s="46">
        <v>28</v>
      </c>
      <c r="M395" s="46">
        <v>38213.839999999997</v>
      </c>
      <c r="N395" s="46">
        <v>38213.839999999997</v>
      </c>
      <c r="O395" s="98"/>
      <c r="P395" s="23" t="s">
        <v>1433</v>
      </c>
      <c r="Q395" s="24" t="s">
        <v>3085</v>
      </c>
      <c r="R395" s="25" t="s">
        <v>97</v>
      </c>
      <c r="S395" s="26"/>
      <c r="T395" s="26"/>
      <c r="U395" s="158">
        <v>1364.78</v>
      </c>
      <c r="V395" s="127">
        <f t="shared" si="77"/>
        <v>0</v>
      </c>
      <c r="W395" s="127">
        <f t="shared" si="82"/>
        <v>28</v>
      </c>
      <c r="X395" s="127">
        <f t="shared" si="79"/>
        <v>0</v>
      </c>
      <c r="Y395" s="127">
        <f t="shared" si="80"/>
        <v>38213.839999999997</v>
      </c>
      <c r="Z395" s="27"/>
      <c r="AA395" s="36"/>
      <c r="AB395" s="200">
        <v>28</v>
      </c>
      <c r="AC395" s="181">
        <f t="shared" si="81"/>
        <v>38213.839999999997</v>
      </c>
      <c r="AD395" s="181">
        <v>2</v>
      </c>
      <c r="AE395" s="181">
        <v>2</v>
      </c>
      <c r="AF395" s="101"/>
      <c r="AG395" s="190">
        <f t="shared" si="83"/>
        <v>28</v>
      </c>
      <c r="AH395" s="69">
        <f t="shared" ref="AH395:AH458" si="84">IF(G395=0,IF(F395=0,IF(E395=0,D395,E395),F395),G395)</f>
        <v>28</v>
      </c>
    </row>
    <row r="396" spans="1:34" x14ac:dyDescent="0.3">
      <c r="A396" s="207" t="s">
        <v>3086</v>
      </c>
      <c r="B396" s="208" t="s">
        <v>3087</v>
      </c>
      <c r="C396" s="204" t="s">
        <v>97</v>
      </c>
      <c r="D396" s="158"/>
      <c r="E396" s="158"/>
      <c r="F396" s="159"/>
      <c r="G396" s="159">
        <v>156</v>
      </c>
      <c r="H396" s="158">
        <v>771.88</v>
      </c>
      <c r="I396" s="159">
        <v>120413.28</v>
      </c>
      <c r="J396" s="172"/>
      <c r="L396" s="46">
        <v>156</v>
      </c>
      <c r="M396" s="46">
        <v>120413.28</v>
      </c>
      <c r="N396" s="46">
        <v>120413.28</v>
      </c>
      <c r="O396" s="98"/>
      <c r="P396" s="23" t="s">
        <v>1382</v>
      </c>
      <c r="Q396" s="24" t="s">
        <v>3087</v>
      </c>
      <c r="R396" s="25" t="s">
        <v>97</v>
      </c>
      <c r="S396" s="26"/>
      <c r="T396" s="26"/>
      <c r="U396" s="158">
        <v>771.88</v>
      </c>
      <c r="V396" s="127">
        <f t="shared" si="77"/>
        <v>0</v>
      </c>
      <c r="W396" s="127">
        <f t="shared" si="82"/>
        <v>156</v>
      </c>
      <c r="X396" s="127">
        <f t="shared" si="79"/>
        <v>0</v>
      </c>
      <c r="Y396" s="127">
        <f t="shared" si="80"/>
        <v>120413.28</v>
      </c>
      <c r="Z396" s="27"/>
      <c r="AA396" s="36"/>
      <c r="AB396" s="200">
        <v>156</v>
      </c>
      <c r="AC396" s="181">
        <f t="shared" si="81"/>
        <v>120413.28</v>
      </c>
      <c r="AD396" s="181">
        <v>2</v>
      </c>
      <c r="AE396" s="181">
        <v>2</v>
      </c>
      <c r="AF396" s="101"/>
      <c r="AG396" s="190">
        <f t="shared" si="83"/>
        <v>156</v>
      </c>
      <c r="AH396" s="69">
        <f t="shared" si="84"/>
        <v>156</v>
      </c>
    </row>
    <row r="397" spans="1:34" ht="39" x14ac:dyDescent="0.3">
      <c r="A397" s="207" t="s">
        <v>3088</v>
      </c>
      <c r="B397" s="208" t="s">
        <v>3089</v>
      </c>
      <c r="C397" s="204" t="s">
        <v>97</v>
      </c>
      <c r="D397" s="158"/>
      <c r="E397" s="158"/>
      <c r="F397" s="159"/>
      <c r="G397" s="159">
        <v>1917</v>
      </c>
      <c r="H397" s="158">
        <v>400.94</v>
      </c>
      <c r="I397" s="159">
        <v>768601.98</v>
      </c>
      <c r="J397" s="172"/>
      <c r="L397" s="46">
        <v>1917</v>
      </c>
      <c r="M397" s="46">
        <v>768601.98</v>
      </c>
      <c r="N397" s="46">
        <v>768601.98</v>
      </c>
      <c r="O397" s="98"/>
      <c r="P397" s="23" t="s">
        <v>1434</v>
      </c>
      <c r="Q397" s="24" t="s">
        <v>3089</v>
      </c>
      <c r="R397" s="25" t="s">
        <v>97</v>
      </c>
      <c r="S397" s="26"/>
      <c r="T397" s="26"/>
      <c r="U397" s="158">
        <v>400.94</v>
      </c>
      <c r="V397" s="127">
        <f t="shared" si="77"/>
        <v>0</v>
      </c>
      <c r="W397" s="127">
        <f t="shared" si="82"/>
        <v>1917</v>
      </c>
      <c r="X397" s="127">
        <f t="shared" si="79"/>
        <v>0</v>
      </c>
      <c r="Y397" s="127">
        <f t="shared" si="80"/>
        <v>768601.98</v>
      </c>
      <c r="Z397" s="27"/>
      <c r="AA397" s="36"/>
      <c r="AB397" s="200">
        <v>1917</v>
      </c>
      <c r="AC397" s="181">
        <f t="shared" si="81"/>
        <v>768601.98</v>
      </c>
      <c r="AD397" s="181">
        <v>2</v>
      </c>
      <c r="AE397" s="181">
        <v>2</v>
      </c>
      <c r="AF397" s="101"/>
      <c r="AG397" s="190">
        <f t="shared" si="83"/>
        <v>1917</v>
      </c>
      <c r="AH397" s="69">
        <f t="shared" si="84"/>
        <v>1917</v>
      </c>
    </row>
    <row r="398" spans="1:34" x14ac:dyDescent="0.3">
      <c r="A398" s="207" t="s">
        <v>3090</v>
      </c>
      <c r="B398" s="208" t="s">
        <v>3091</v>
      </c>
      <c r="C398" s="204" t="s">
        <v>97</v>
      </c>
      <c r="D398" s="158"/>
      <c r="E398" s="158"/>
      <c r="F398" s="159"/>
      <c r="G398" s="159">
        <v>380</v>
      </c>
      <c r="H398" s="158">
        <v>280.95999999999998</v>
      </c>
      <c r="I398" s="159">
        <v>106764.8</v>
      </c>
      <c r="J398" s="172"/>
      <c r="L398" s="46">
        <v>380</v>
      </c>
      <c r="M398" s="46">
        <v>106764.8</v>
      </c>
      <c r="N398" s="46">
        <v>106764.8</v>
      </c>
      <c r="O398" s="98"/>
      <c r="P398" s="23" t="s">
        <v>1388</v>
      </c>
      <c r="Q398" s="24" t="s">
        <v>3091</v>
      </c>
      <c r="R398" s="25" t="s">
        <v>97</v>
      </c>
      <c r="S398" s="26"/>
      <c r="T398" s="26"/>
      <c r="U398" s="158">
        <v>280.95999999999998</v>
      </c>
      <c r="V398" s="127">
        <f t="shared" si="77"/>
        <v>0</v>
      </c>
      <c r="W398" s="127">
        <f t="shared" si="82"/>
        <v>380</v>
      </c>
      <c r="X398" s="127">
        <f t="shared" si="79"/>
        <v>0</v>
      </c>
      <c r="Y398" s="127">
        <f t="shared" si="80"/>
        <v>106764.8</v>
      </c>
      <c r="Z398" s="27"/>
      <c r="AA398" s="36"/>
      <c r="AB398" s="200">
        <v>380</v>
      </c>
      <c r="AC398" s="181">
        <f t="shared" si="81"/>
        <v>106764.8</v>
      </c>
      <c r="AD398" s="181">
        <v>2</v>
      </c>
      <c r="AE398" s="181">
        <v>2</v>
      </c>
      <c r="AF398" s="101"/>
      <c r="AG398" s="190">
        <f t="shared" si="83"/>
        <v>380</v>
      </c>
      <c r="AH398" s="69">
        <f t="shared" si="84"/>
        <v>380</v>
      </c>
    </row>
    <row r="399" spans="1:34" ht="39" x14ac:dyDescent="0.3">
      <c r="A399" s="207" t="s">
        <v>3092</v>
      </c>
      <c r="B399" s="208" t="s">
        <v>3093</v>
      </c>
      <c r="C399" s="204" t="s">
        <v>97</v>
      </c>
      <c r="D399" s="158"/>
      <c r="E399" s="158"/>
      <c r="F399" s="159"/>
      <c r="G399" s="159">
        <v>660.5</v>
      </c>
      <c r="H399" s="158">
        <v>800.87</v>
      </c>
      <c r="I399" s="159">
        <v>528974.64</v>
      </c>
      <c r="J399" s="172"/>
      <c r="L399" s="46">
        <v>660.5</v>
      </c>
      <c r="M399" s="46">
        <v>528974.64</v>
      </c>
      <c r="N399" s="46">
        <v>528974.64</v>
      </c>
      <c r="O399" s="98"/>
      <c r="P399" s="23" t="s">
        <v>1389</v>
      </c>
      <c r="Q399" s="24" t="s">
        <v>3093</v>
      </c>
      <c r="R399" s="25" t="s">
        <v>97</v>
      </c>
      <c r="S399" s="26"/>
      <c r="T399" s="26"/>
      <c r="U399" s="158">
        <v>800.87</v>
      </c>
      <c r="V399" s="127">
        <f t="shared" si="77"/>
        <v>0</v>
      </c>
      <c r="W399" s="127">
        <f t="shared" si="82"/>
        <v>660.5</v>
      </c>
      <c r="X399" s="127">
        <f t="shared" si="79"/>
        <v>0</v>
      </c>
      <c r="Y399" s="127">
        <f t="shared" si="80"/>
        <v>528974.64</v>
      </c>
      <c r="Z399" s="27"/>
      <c r="AA399" s="36"/>
      <c r="AB399" s="200">
        <v>660.5</v>
      </c>
      <c r="AC399" s="181">
        <f t="shared" si="81"/>
        <v>528974.64</v>
      </c>
      <c r="AD399" s="181">
        <v>2</v>
      </c>
      <c r="AE399" s="181">
        <v>2</v>
      </c>
      <c r="AF399" s="101"/>
      <c r="AG399" s="190">
        <f t="shared" si="83"/>
        <v>660.5</v>
      </c>
      <c r="AH399" s="69">
        <f t="shared" si="84"/>
        <v>660.5</v>
      </c>
    </row>
    <row r="400" spans="1:34" x14ac:dyDescent="0.3">
      <c r="A400" s="207" t="s">
        <v>3094</v>
      </c>
      <c r="B400" s="208" t="s">
        <v>3095</v>
      </c>
      <c r="C400" s="204" t="s">
        <v>97</v>
      </c>
      <c r="D400" s="158"/>
      <c r="E400" s="158"/>
      <c r="F400" s="159"/>
      <c r="G400" s="159">
        <v>288.5</v>
      </c>
      <c r="H400" s="158">
        <v>561.91</v>
      </c>
      <c r="I400" s="159">
        <v>162111.04000000001</v>
      </c>
      <c r="J400" s="172"/>
      <c r="L400" s="46">
        <v>288.5</v>
      </c>
      <c r="M400" s="46">
        <v>162111.04000000001</v>
      </c>
      <c r="N400" s="46">
        <v>162111.04000000001</v>
      </c>
      <c r="O400" s="98"/>
      <c r="P400" s="23" t="s">
        <v>1390</v>
      </c>
      <c r="Q400" s="24" t="s">
        <v>3095</v>
      </c>
      <c r="R400" s="25" t="s">
        <v>97</v>
      </c>
      <c r="S400" s="26"/>
      <c r="T400" s="26"/>
      <c r="U400" s="158">
        <v>561.91</v>
      </c>
      <c r="V400" s="127">
        <f t="shared" si="77"/>
        <v>0</v>
      </c>
      <c r="W400" s="127">
        <f t="shared" si="82"/>
        <v>288.5</v>
      </c>
      <c r="X400" s="127">
        <f t="shared" si="79"/>
        <v>0</v>
      </c>
      <c r="Y400" s="127">
        <f t="shared" si="80"/>
        <v>162111.04000000001</v>
      </c>
      <c r="Z400" s="27"/>
      <c r="AA400" s="36"/>
      <c r="AB400" s="200">
        <v>288.5</v>
      </c>
      <c r="AC400" s="181">
        <f t="shared" si="81"/>
        <v>162111.04000000001</v>
      </c>
      <c r="AD400" s="181">
        <v>2</v>
      </c>
      <c r="AE400" s="181">
        <v>2</v>
      </c>
      <c r="AF400" s="101"/>
      <c r="AG400" s="190">
        <f t="shared" si="83"/>
        <v>288.5</v>
      </c>
      <c r="AH400" s="69">
        <f t="shared" si="84"/>
        <v>288.5</v>
      </c>
    </row>
    <row r="401" spans="1:37" ht="39" x14ac:dyDescent="0.3">
      <c r="A401" s="207" t="s">
        <v>3096</v>
      </c>
      <c r="B401" s="208" t="s">
        <v>3097</v>
      </c>
      <c r="C401" s="204" t="s">
        <v>97</v>
      </c>
      <c r="D401" s="158"/>
      <c r="E401" s="158"/>
      <c r="F401" s="159"/>
      <c r="G401" s="159">
        <v>438</v>
      </c>
      <c r="H401" s="158">
        <v>519.91999999999996</v>
      </c>
      <c r="I401" s="159">
        <v>227724.96</v>
      </c>
      <c r="J401" s="172"/>
      <c r="L401" s="46">
        <v>438</v>
      </c>
      <c r="M401" s="46">
        <v>227724.96</v>
      </c>
      <c r="N401" s="46">
        <v>227724.96</v>
      </c>
      <c r="O401" s="98"/>
      <c r="P401" s="23" t="s">
        <v>1391</v>
      </c>
      <c r="Q401" s="24" t="s">
        <v>3097</v>
      </c>
      <c r="R401" s="25" t="s">
        <v>97</v>
      </c>
      <c r="S401" s="26"/>
      <c r="T401" s="26"/>
      <c r="U401" s="158">
        <v>519.91999999999996</v>
      </c>
      <c r="V401" s="127">
        <f t="shared" si="77"/>
        <v>0</v>
      </c>
      <c r="W401" s="127">
        <f t="shared" si="82"/>
        <v>438</v>
      </c>
      <c r="X401" s="127">
        <f t="shared" si="79"/>
        <v>0</v>
      </c>
      <c r="Y401" s="127">
        <f t="shared" si="80"/>
        <v>227724.96</v>
      </c>
      <c r="Z401" s="27"/>
      <c r="AA401" s="36"/>
      <c r="AB401" s="200">
        <v>438</v>
      </c>
      <c r="AC401" s="181">
        <f t="shared" si="81"/>
        <v>227724.96</v>
      </c>
      <c r="AD401" s="181">
        <v>2</v>
      </c>
      <c r="AE401" s="181">
        <v>2</v>
      </c>
      <c r="AF401" s="101"/>
      <c r="AG401" s="190">
        <f t="shared" si="83"/>
        <v>438</v>
      </c>
      <c r="AH401" s="69">
        <f t="shared" si="84"/>
        <v>438</v>
      </c>
    </row>
    <row r="402" spans="1:37" x14ac:dyDescent="0.3">
      <c r="A402" s="207" t="s">
        <v>3098</v>
      </c>
      <c r="B402" s="208" t="s">
        <v>3099</v>
      </c>
      <c r="C402" s="204" t="s">
        <v>97</v>
      </c>
      <c r="D402" s="158"/>
      <c r="E402" s="158"/>
      <c r="F402" s="159"/>
      <c r="G402" s="159">
        <v>54</v>
      </c>
      <c r="H402" s="158">
        <v>1579.75</v>
      </c>
      <c r="I402" s="159">
        <v>85306.5</v>
      </c>
      <c r="J402" s="172"/>
      <c r="L402" s="46">
        <v>54</v>
      </c>
      <c r="M402" s="46">
        <v>85306.5</v>
      </c>
      <c r="N402" s="46">
        <v>85306.5</v>
      </c>
      <c r="O402" s="98"/>
      <c r="P402" s="23" t="s">
        <v>1436</v>
      </c>
      <c r="Q402" s="24" t="s">
        <v>3099</v>
      </c>
      <c r="R402" s="25" t="s">
        <v>97</v>
      </c>
      <c r="S402" s="26"/>
      <c r="T402" s="26"/>
      <c r="U402" s="158">
        <v>1579.75</v>
      </c>
      <c r="V402" s="127">
        <f t="shared" si="77"/>
        <v>0</v>
      </c>
      <c r="W402" s="127">
        <f t="shared" si="82"/>
        <v>54</v>
      </c>
      <c r="X402" s="127">
        <f t="shared" si="79"/>
        <v>0</v>
      </c>
      <c r="Y402" s="127">
        <f t="shared" si="80"/>
        <v>85306.5</v>
      </c>
      <c r="Z402" s="27"/>
      <c r="AA402" s="36"/>
      <c r="AB402" s="200">
        <v>54</v>
      </c>
      <c r="AC402" s="181">
        <f t="shared" si="81"/>
        <v>85306.5</v>
      </c>
      <c r="AD402" s="181">
        <v>2</v>
      </c>
      <c r="AE402" s="181">
        <v>2</v>
      </c>
      <c r="AF402" s="101"/>
      <c r="AG402" s="190">
        <f t="shared" si="83"/>
        <v>54</v>
      </c>
      <c r="AH402" s="69">
        <f t="shared" si="84"/>
        <v>54</v>
      </c>
    </row>
    <row r="403" spans="1:37" x14ac:dyDescent="0.3">
      <c r="A403" s="207" t="s">
        <v>3100</v>
      </c>
      <c r="B403" s="208" t="s">
        <v>3101</v>
      </c>
      <c r="C403" s="204" t="s">
        <v>97</v>
      </c>
      <c r="D403" s="158"/>
      <c r="E403" s="158"/>
      <c r="F403" s="159"/>
      <c r="G403" s="159">
        <v>519.5</v>
      </c>
      <c r="H403" s="158">
        <v>209.97</v>
      </c>
      <c r="I403" s="159">
        <v>109079.42</v>
      </c>
      <c r="J403" s="172"/>
      <c r="L403" s="46">
        <v>519.5</v>
      </c>
      <c r="M403" s="46">
        <v>109079.42</v>
      </c>
      <c r="N403" s="46">
        <v>109079.42</v>
      </c>
      <c r="O403" s="98"/>
      <c r="P403" s="23" t="s">
        <v>1374</v>
      </c>
      <c r="Q403" s="24" t="s">
        <v>3101</v>
      </c>
      <c r="R403" s="25" t="s">
        <v>97</v>
      </c>
      <c r="S403" s="26"/>
      <c r="T403" s="26"/>
      <c r="U403" s="158">
        <v>209.97</v>
      </c>
      <c r="V403" s="127">
        <f t="shared" si="77"/>
        <v>0</v>
      </c>
      <c r="W403" s="127">
        <f t="shared" si="82"/>
        <v>519.5</v>
      </c>
      <c r="X403" s="127">
        <f t="shared" si="79"/>
        <v>0</v>
      </c>
      <c r="Y403" s="127">
        <f t="shared" si="80"/>
        <v>109079.42</v>
      </c>
      <c r="Z403" s="27"/>
      <c r="AA403" s="36"/>
      <c r="AB403" s="200">
        <v>519.5</v>
      </c>
      <c r="AC403" s="181">
        <f t="shared" si="81"/>
        <v>109079.42</v>
      </c>
      <c r="AD403" s="181">
        <v>2</v>
      </c>
      <c r="AE403" s="181">
        <v>2</v>
      </c>
      <c r="AF403" s="101"/>
      <c r="AG403" s="190">
        <f t="shared" si="83"/>
        <v>519.5</v>
      </c>
      <c r="AH403" s="69">
        <f t="shared" si="84"/>
        <v>519.5</v>
      </c>
    </row>
    <row r="404" spans="1:37" ht="58.5" x14ac:dyDescent="0.3">
      <c r="A404" s="207" t="s">
        <v>3102</v>
      </c>
      <c r="B404" s="208" t="s">
        <v>3103</v>
      </c>
      <c r="C404" s="204" t="s">
        <v>66</v>
      </c>
      <c r="D404" s="158"/>
      <c r="E404" s="158"/>
      <c r="F404" s="159"/>
      <c r="G404" s="159">
        <v>5</v>
      </c>
      <c r="H404" s="158">
        <v>10798.3</v>
      </c>
      <c r="I404" s="159">
        <v>53991.5</v>
      </c>
      <c r="J404" s="172"/>
      <c r="L404" s="46">
        <v>5</v>
      </c>
      <c r="M404" s="46">
        <v>53991.5</v>
      </c>
      <c r="N404" s="46">
        <v>53991.5</v>
      </c>
      <c r="O404" s="98"/>
      <c r="P404" s="23" t="s">
        <v>1376</v>
      </c>
      <c r="Q404" s="24" t="s">
        <v>3103</v>
      </c>
      <c r="R404" s="25" t="s">
        <v>66</v>
      </c>
      <c r="S404" s="26"/>
      <c r="T404" s="26"/>
      <c r="U404" s="158">
        <v>10798.3</v>
      </c>
      <c r="V404" s="127">
        <f t="shared" si="77"/>
        <v>0</v>
      </c>
      <c r="W404" s="127">
        <f t="shared" si="82"/>
        <v>5</v>
      </c>
      <c r="X404" s="127">
        <f t="shared" si="79"/>
        <v>0</v>
      </c>
      <c r="Y404" s="127">
        <f t="shared" si="80"/>
        <v>53991.5</v>
      </c>
      <c r="Z404" s="27"/>
      <c r="AA404" s="36"/>
      <c r="AB404" s="200">
        <v>5</v>
      </c>
      <c r="AC404" s="181">
        <f t="shared" si="81"/>
        <v>53991.5</v>
      </c>
      <c r="AD404" s="181">
        <v>2</v>
      </c>
      <c r="AE404" s="181">
        <v>2</v>
      </c>
      <c r="AF404" s="101"/>
      <c r="AG404" s="190">
        <f t="shared" si="83"/>
        <v>5</v>
      </c>
      <c r="AH404" s="69">
        <f t="shared" si="84"/>
        <v>5</v>
      </c>
    </row>
    <row r="405" spans="1:37" ht="58.5" x14ac:dyDescent="0.3">
      <c r="A405" s="207" t="s">
        <v>3104</v>
      </c>
      <c r="B405" s="208" t="s">
        <v>3105</v>
      </c>
      <c r="C405" s="204" t="s">
        <v>66</v>
      </c>
      <c r="D405" s="158"/>
      <c r="E405" s="158"/>
      <c r="F405" s="159"/>
      <c r="G405" s="159">
        <v>6</v>
      </c>
      <c r="H405" s="158">
        <v>7248.86</v>
      </c>
      <c r="I405" s="159">
        <v>43493.16</v>
      </c>
      <c r="J405" s="172"/>
      <c r="L405" s="46">
        <v>6</v>
      </c>
      <c r="M405" s="46">
        <v>43493.16</v>
      </c>
      <c r="N405" s="46">
        <v>43493.16</v>
      </c>
      <c r="O405" s="98"/>
      <c r="P405" s="23" t="s">
        <v>1378</v>
      </c>
      <c r="Q405" s="24" t="s">
        <v>3105</v>
      </c>
      <c r="R405" s="25" t="s">
        <v>66</v>
      </c>
      <c r="S405" s="26"/>
      <c r="T405" s="26"/>
      <c r="U405" s="158">
        <v>7248.86</v>
      </c>
      <c r="V405" s="127">
        <f t="shared" si="77"/>
        <v>0</v>
      </c>
      <c r="W405" s="127">
        <f t="shared" si="82"/>
        <v>6</v>
      </c>
      <c r="X405" s="127">
        <f t="shared" si="79"/>
        <v>0</v>
      </c>
      <c r="Y405" s="127">
        <f t="shared" si="80"/>
        <v>43493.16</v>
      </c>
      <c r="Z405" s="27"/>
      <c r="AA405" s="36"/>
      <c r="AB405" s="200">
        <v>6</v>
      </c>
      <c r="AC405" s="181">
        <f t="shared" si="81"/>
        <v>43493.16</v>
      </c>
      <c r="AD405" s="181">
        <v>2</v>
      </c>
      <c r="AE405" s="181">
        <v>2</v>
      </c>
      <c r="AF405" s="101"/>
      <c r="AG405" s="190">
        <f t="shared" si="83"/>
        <v>6</v>
      </c>
      <c r="AH405" s="69">
        <f t="shared" si="84"/>
        <v>6</v>
      </c>
    </row>
    <row r="406" spans="1:37" s="69" customFormat="1" ht="33" customHeight="1" x14ac:dyDescent="0.3">
      <c r="A406" s="150" t="s">
        <v>1039</v>
      </c>
      <c r="B406" s="151" t="s">
        <v>1040</v>
      </c>
      <c r="C406" s="152" t="s">
        <v>14</v>
      </c>
      <c r="D406" s="153">
        <v>1</v>
      </c>
      <c r="E406" s="153"/>
      <c r="F406" s="153"/>
      <c r="G406" s="153"/>
      <c r="H406" s="153"/>
      <c r="I406" s="153">
        <v>3727423.71</v>
      </c>
      <c r="J406" s="154" t="s">
        <v>15</v>
      </c>
      <c r="K406" s="73"/>
      <c r="L406" s="42">
        <v>1</v>
      </c>
      <c r="M406" s="42">
        <v>0</v>
      </c>
      <c r="N406" s="42">
        <v>1785823.71</v>
      </c>
      <c r="O406" s="98"/>
      <c r="P406" s="13" t="s">
        <v>1407</v>
      </c>
      <c r="Q406" s="14" t="s">
        <v>1040</v>
      </c>
      <c r="R406" s="15" t="s">
        <v>14</v>
      </c>
      <c r="S406" s="16">
        <v>1</v>
      </c>
      <c r="T406" s="16"/>
      <c r="U406" s="16">
        <f>SUMIFS(AC:AC,AD:AD,AD406)</f>
        <v>3727423.7099999995</v>
      </c>
      <c r="V406" s="16">
        <f t="shared" ref="V406:W406" si="85">IF(X406=0,0,1)</f>
        <v>1</v>
      </c>
      <c r="W406" s="16">
        <f t="shared" si="85"/>
        <v>1</v>
      </c>
      <c r="X406" s="16">
        <f>SUMIFS(X:X,AE:AE,AD406)</f>
        <v>252900</v>
      </c>
      <c r="Y406" s="16">
        <f>SUMIFS(Y:Y,AE:AE,AD406)</f>
        <v>2038723.71</v>
      </c>
      <c r="Z406" s="17" t="s">
        <v>15</v>
      </c>
      <c r="AA406" s="40" t="s">
        <v>16</v>
      </c>
      <c r="AB406" s="181">
        <f t="shared" si="65"/>
        <v>1</v>
      </c>
      <c r="AC406" s="183"/>
      <c r="AD406" s="183">
        <v>3</v>
      </c>
      <c r="AE406" s="183"/>
      <c r="AF406" s="101" t="str">
        <f t="shared" si="66"/>
        <v/>
      </c>
      <c r="AG406" s="190">
        <v>1</v>
      </c>
      <c r="AH406" s="69">
        <f t="shared" si="84"/>
        <v>1</v>
      </c>
    </row>
    <row r="407" spans="1:37" s="69" customFormat="1" ht="49.5" x14ac:dyDescent="0.3">
      <c r="A407" s="55" t="s">
        <v>1041</v>
      </c>
      <c r="B407" s="138" t="s">
        <v>1042</v>
      </c>
      <c r="C407" s="54" t="s">
        <v>162</v>
      </c>
      <c r="D407" s="75">
        <v>340</v>
      </c>
      <c r="E407" s="75"/>
      <c r="F407" s="75"/>
      <c r="G407" s="75"/>
      <c r="H407" s="75">
        <v>300</v>
      </c>
      <c r="I407" s="75">
        <v>102000</v>
      </c>
      <c r="J407" s="91" t="s">
        <v>1043</v>
      </c>
      <c r="K407" s="73"/>
      <c r="L407" s="46">
        <v>0</v>
      </c>
      <c r="M407" s="46">
        <v>0</v>
      </c>
      <c r="N407" s="46">
        <v>0</v>
      </c>
      <c r="O407" s="98"/>
      <c r="P407" s="23" t="s">
        <v>1421</v>
      </c>
      <c r="Q407" s="24" t="s">
        <v>1042</v>
      </c>
      <c r="R407" s="25" t="s">
        <v>162</v>
      </c>
      <c r="S407" s="26">
        <v>340</v>
      </c>
      <c r="T407" s="26"/>
      <c r="U407" s="26">
        <v>300</v>
      </c>
      <c r="V407" s="128">
        <f t="shared" ref="V407:V445" si="86">AG407-L407</f>
        <v>219</v>
      </c>
      <c r="W407" s="26">
        <f t="shared" si="78"/>
        <v>219</v>
      </c>
      <c r="X407" s="26">
        <f t="shared" ref="X407:X445" si="87">Y407-N407</f>
        <v>65700</v>
      </c>
      <c r="Y407" s="26">
        <f t="shared" ref="Y407:Y445" si="88">ROUND(U407*W407,2)</f>
        <v>65700</v>
      </c>
      <c r="Z407" s="33" t="s">
        <v>15</v>
      </c>
      <c r="AA407" s="36" t="s">
        <v>16</v>
      </c>
      <c r="AB407" s="181">
        <f t="shared" si="65"/>
        <v>340</v>
      </c>
      <c r="AC407" s="181">
        <f t="shared" ref="AC407:AC445" si="89">ROUND(U407*AB407,2)</f>
        <v>102000</v>
      </c>
      <c r="AD407" s="181">
        <v>3</v>
      </c>
      <c r="AE407" s="181">
        <v>3</v>
      </c>
      <c r="AF407" s="101" t="str">
        <f t="shared" si="66"/>
        <v/>
      </c>
      <c r="AG407" s="190">
        <f>219</f>
        <v>219</v>
      </c>
      <c r="AH407" s="69">
        <f t="shared" si="84"/>
        <v>340</v>
      </c>
      <c r="AK407" s="69">
        <v>0</v>
      </c>
    </row>
    <row r="408" spans="1:37" s="69" customFormat="1" ht="49.5" x14ac:dyDescent="0.3">
      <c r="A408" s="55" t="s">
        <v>1044</v>
      </c>
      <c r="B408" s="138" t="s">
        <v>1045</v>
      </c>
      <c r="C408" s="54" t="s">
        <v>325</v>
      </c>
      <c r="D408" s="75">
        <v>68</v>
      </c>
      <c r="E408" s="75"/>
      <c r="F408" s="75"/>
      <c r="G408" s="75"/>
      <c r="H408" s="75">
        <v>3000</v>
      </c>
      <c r="I408" s="75">
        <v>204000</v>
      </c>
      <c r="J408" s="91" t="s">
        <v>1046</v>
      </c>
      <c r="K408" s="73"/>
      <c r="L408" s="46">
        <v>0</v>
      </c>
      <c r="M408" s="46">
        <v>0</v>
      </c>
      <c r="N408" s="46">
        <v>0</v>
      </c>
      <c r="O408" s="98"/>
      <c r="P408" s="23" t="s">
        <v>1426</v>
      </c>
      <c r="Q408" s="24" t="s">
        <v>1045</v>
      </c>
      <c r="R408" s="25" t="s">
        <v>325</v>
      </c>
      <c r="S408" s="26">
        <v>68</v>
      </c>
      <c r="T408" s="26"/>
      <c r="U408" s="26">
        <v>3000</v>
      </c>
      <c r="V408" s="128">
        <f t="shared" si="86"/>
        <v>52</v>
      </c>
      <c r="W408" s="26">
        <f t="shared" si="78"/>
        <v>52</v>
      </c>
      <c r="X408" s="26">
        <f t="shared" si="87"/>
        <v>156000</v>
      </c>
      <c r="Y408" s="26">
        <f t="shared" si="88"/>
        <v>156000</v>
      </c>
      <c r="Z408" s="33" t="s">
        <v>15</v>
      </c>
      <c r="AA408" s="36" t="s">
        <v>16</v>
      </c>
      <c r="AB408" s="181">
        <f t="shared" si="65"/>
        <v>68</v>
      </c>
      <c r="AC408" s="181">
        <f t="shared" si="89"/>
        <v>204000</v>
      </c>
      <c r="AD408" s="181">
        <v>3</v>
      </c>
      <c r="AE408" s="181">
        <v>3</v>
      </c>
      <c r="AF408" s="101" t="str">
        <f t="shared" si="66"/>
        <v/>
      </c>
      <c r="AG408" s="190">
        <v>52</v>
      </c>
      <c r="AH408" s="69">
        <f t="shared" si="84"/>
        <v>68</v>
      </c>
      <c r="AK408" s="69">
        <v>0</v>
      </c>
    </row>
    <row r="409" spans="1:37" s="69" customFormat="1" ht="33" x14ac:dyDescent="0.3">
      <c r="A409" s="55" t="s">
        <v>1047</v>
      </c>
      <c r="B409" s="138" t="s">
        <v>1048</v>
      </c>
      <c r="C409" s="54" t="s">
        <v>325</v>
      </c>
      <c r="D409" s="75">
        <v>68</v>
      </c>
      <c r="E409" s="75"/>
      <c r="F409" s="75"/>
      <c r="G409" s="75"/>
      <c r="H409" s="75">
        <v>150</v>
      </c>
      <c r="I409" s="75">
        <v>10200</v>
      </c>
      <c r="J409" s="91" t="s">
        <v>1049</v>
      </c>
      <c r="K409" s="73"/>
      <c r="L409" s="46">
        <v>0</v>
      </c>
      <c r="M409" s="46">
        <v>0</v>
      </c>
      <c r="N409" s="46">
        <v>0</v>
      </c>
      <c r="O409" s="98"/>
      <c r="P409" s="23" t="s">
        <v>1402</v>
      </c>
      <c r="Q409" s="24" t="s">
        <v>1048</v>
      </c>
      <c r="R409" s="25" t="s">
        <v>325</v>
      </c>
      <c r="S409" s="26">
        <v>68</v>
      </c>
      <c r="T409" s="26"/>
      <c r="U409" s="26">
        <v>150</v>
      </c>
      <c r="V409" s="128">
        <f t="shared" si="86"/>
        <v>52</v>
      </c>
      <c r="W409" s="26">
        <f t="shared" si="78"/>
        <v>52</v>
      </c>
      <c r="X409" s="26">
        <f t="shared" si="87"/>
        <v>7800</v>
      </c>
      <c r="Y409" s="26">
        <f t="shared" si="88"/>
        <v>7800</v>
      </c>
      <c r="Z409" s="33" t="s">
        <v>15</v>
      </c>
      <c r="AA409" s="36" t="s">
        <v>16</v>
      </c>
      <c r="AB409" s="181">
        <f t="shared" si="65"/>
        <v>68</v>
      </c>
      <c r="AC409" s="181">
        <f t="shared" si="89"/>
        <v>10200</v>
      </c>
      <c r="AD409" s="181">
        <v>3</v>
      </c>
      <c r="AE409" s="181">
        <v>3</v>
      </c>
      <c r="AF409" s="101" t="str">
        <f t="shared" si="66"/>
        <v/>
      </c>
      <c r="AG409" s="190">
        <v>52</v>
      </c>
      <c r="AH409" s="69">
        <f t="shared" si="84"/>
        <v>68</v>
      </c>
      <c r="AK409" s="69">
        <v>0</v>
      </c>
    </row>
    <row r="410" spans="1:37" s="69" customFormat="1" ht="49.5" x14ac:dyDescent="0.3">
      <c r="A410" s="55" t="s">
        <v>1050</v>
      </c>
      <c r="B410" s="138" t="s">
        <v>1051</v>
      </c>
      <c r="C410" s="54" t="s">
        <v>1052</v>
      </c>
      <c r="D410" s="75">
        <v>9</v>
      </c>
      <c r="E410" s="75"/>
      <c r="F410" s="75"/>
      <c r="G410" s="75"/>
      <c r="H410" s="75">
        <v>1200</v>
      </c>
      <c r="I410" s="75">
        <v>10800</v>
      </c>
      <c r="J410" s="91" t="s">
        <v>1053</v>
      </c>
      <c r="K410" s="73"/>
      <c r="L410" s="46">
        <v>0</v>
      </c>
      <c r="M410" s="46">
        <v>0</v>
      </c>
      <c r="N410" s="46">
        <v>0</v>
      </c>
      <c r="O410" s="98"/>
      <c r="P410" s="23" t="s">
        <v>1373</v>
      </c>
      <c r="Q410" s="24" t="s">
        <v>1051</v>
      </c>
      <c r="R410" s="25" t="s">
        <v>1052</v>
      </c>
      <c r="S410" s="26">
        <v>9</v>
      </c>
      <c r="T410" s="26"/>
      <c r="U410" s="26">
        <v>1200</v>
      </c>
      <c r="V410" s="26">
        <f t="shared" si="86"/>
        <v>0</v>
      </c>
      <c r="W410" s="26">
        <f t="shared" si="78"/>
        <v>0</v>
      </c>
      <c r="X410" s="26">
        <f t="shared" si="87"/>
        <v>0</v>
      </c>
      <c r="Y410" s="26">
        <f t="shared" si="88"/>
        <v>0</v>
      </c>
      <c r="Z410" s="33" t="s">
        <v>15</v>
      </c>
      <c r="AA410" s="36" t="s">
        <v>16</v>
      </c>
      <c r="AB410" s="181">
        <f t="shared" si="65"/>
        <v>9</v>
      </c>
      <c r="AC410" s="181">
        <f t="shared" si="89"/>
        <v>10800</v>
      </c>
      <c r="AD410" s="181">
        <v>3</v>
      </c>
      <c r="AE410" s="181">
        <v>3</v>
      </c>
      <c r="AF410" s="101" t="str">
        <f t="shared" si="66"/>
        <v/>
      </c>
      <c r="AG410" s="190">
        <v>0</v>
      </c>
      <c r="AH410" s="69">
        <f t="shared" si="84"/>
        <v>9</v>
      </c>
      <c r="AK410" s="69">
        <v>0</v>
      </c>
    </row>
    <row r="411" spans="1:37" s="69" customFormat="1" ht="49.5" x14ac:dyDescent="0.3">
      <c r="A411" s="55" t="s">
        <v>1054</v>
      </c>
      <c r="B411" s="138" t="s">
        <v>3114</v>
      </c>
      <c r="C411" s="54" t="s">
        <v>325</v>
      </c>
      <c r="D411" s="75">
        <v>38</v>
      </c>
      <c r="E411" s="75"/>
      <c r="F411" s="75"/>
      <c r="G411" s="75"/>
      <c r="H411" s="75">
        <v>650</v>
      </c>
      <c r="I411" s="75">
        <v>24700</v>
      </c>
      <c r="J411" s="91" t="s">
        <v>1056</v>
      </c>
      <c r="K411" s="73"/>
      <c r="L411" s="46">
        <v>0</v>
      </c>
      <c r="M411" s="46">
        <v>0</v>
      </c>
      <c r="N411" s="46">
        <v>0</v>
      </c>
      <c r="O411" s="98"/>
      <c r="P411" s="23" t="s">
        <v>1393</v>
      </c>
      <c r="Q411" s="24" t="s">
        <v>1055</v>
      </c>
      <c r="R411" s="25" t="s">
        <v>325</v>
      </c>
      <c r="S411" s="26">
        <v>38</v>
      </c>
      <c r="T411" s="26"/>
      <c r="U411" s="26">
        <v>650</v>
      </c>
      <c r="V411" s="128">
        <f t="shared" si="86"/>
        <v>12</v>
      </c>
      <c r="W411" s="26">
        <f t="shared" si="78"/>
        <v>12</v>
      </c>
      <c r="X411" s="26">
        <f t="shared" si="87"/>
        <v>7800</v>
      </c>
      <c r="Y411" s="26">
        <f t="shared" si="88"/>
        <v>7800</v>
      </c>
      <c r="Z411" s="33" t="s">
        <v>15</v>
      </c>
      <c r="AA411" s="36" t="s">
        <v>16</v>
      </c>
      <c r="AB411" s="181">
        <f t="shared" si="65"/>
        <v>38</v>
      </c>
      <c r="AC411" s="181">
        <f t="shared" si="89"/>
        <v>24700</v>
      </c>
      <c r="AD411" s="181">
        <v>3</v>
      </c>
      <c r="AE411" s="181">
        <v>3</v>
      </c>
      <c r="AF411" s="101" t="str">
        <f t="shared" si="66"/>
        <v/>
      </c>
      <c r="AG411" s="190">
        <v>12</v>
      </c>
      <c r="AH411" s="69">
        <f t="shared" si="84"/>
        <v>38</v>
      </c>
      <c r="AK411" s="69">
        <v>0</v>
      </c>
    </row>
    <row r="412" spans="1:37" s="69" customFormat="1" ht="66" customHeight="1" x14ac:dyDescent="0.3">
      <c r="A412" s="55" t="s">
        <v>1057</v>
      </c>
      <c r="B412" s="138" t="s">
        <v>3115</v>
      </c>
      <c r="C412" s="54" t="s">
        <v>325</v>
      </c>
      <c r="D412" s="75">
        <v>38</v>
      </c>
      <c r="E412" s="75"/>
      <c r="F412" s="75"/>
      <c r="G412" s="75"/>
      <c r="H412" s="75">
        <v>1300</v>
      </c>
      <c r="I412" s="75">
        <v>49400</v>
      </c>
      <c r="J412" s="91" t="s">
        <v>1059</v>
      </c>
      <c r="K412" s="73"/>
      <c r="L412" s="46">
        <v>0</v>
      </c>
      <c r="M412" s="46">
        <v>0</v>
      </c>
      <c r="N412" s="46">
        <v>0</v>
      </c>
      <c r="O412" s="98"/>
      <c r="P412" s="23" t="s">
        <v>1403</v>
      </c>
      <c r="Q412" s="24" t="s">
        <v>1058</v>
      </c>
      <c r="R412" s="25" t="s">
        <v>325</v>
      </c>
      <c r="S412" s="26">
        <v>38</v>
      </c>
      <c r="T412" s="26"/>
      <c r="U412" s="26">
        <v>1300</v>
      </c>
      <c r="V412" s="128">
        <f t="shared" si="86"/>
        <v>12</v>
      </c>
      <c r="W412" s="26">
        <f t="shared" si="78"/>
        <v>12</v>
      </c>
      <c r="X412" s="26">
        <f t="shared" si="87"/>
        <v>15600</v>
      </c>
      <c r="Y412" s="26">
        <f t="shared" si="88"/>
        <v>15600</v>
      </c>
      <c r="Z412" s="33" t="s">
        <v>15</v>
      </c>
      <c r="AA412" s="36" t="s">
        <v>16</v>
      </c>
      <c r="AB412" s="181">
        <f t="shared" ref="AB412:AB476" si="90">IF(T412="",S412,T412)</f>
        <v>38</v>
      </c>
      <c r="AC412" s="181">
        <f t="shared" si="89"/>
        <v>49400</v>
      </c>
      <c r="AD412" s="181">
        <v>3</v>
      </c>
      <c r="AE412" s="181">
        <v>3</v>
      </c>
      <c r="AF412" s="101" t="str">
        <f t="shared" ref="AF412:AF476" si="91">IF(W412&gt;AH412,"超估","")</f>
        <v/>
      </c>
      <c r="AG412" s="190">
        <v>12</v>
      </c>
      <c r="AH412" s="69">
        <f t="shared" si="84"/>
        <v>38</v>
      </c>
      <c r="AK412" s="69">
        <v>0</v>
      </c>
    </row>
    <row r="413" spans="1:37" s="69" customFormat="1" ht="66" customHeight="1" x14ac:dyDescent="0.3">
      <c r="A413" s="55" t="s">
        <v>1060</v>
      </c>
      <c r="B413" s="138" t="s">
        <v>3116</v>
      </c>
      <c r="C413" s="54" t="s">
        <v>325</v>
      </c>
      <c r="D413" s="75">
        <v>7</v>
      </c>
      <c r="E413" s="75"/>
      <c r="F413" s="75"/>
      <c r="G413" s="75"/>
      <c r="H413" s="75">
        <v>3500</v>
      </c>
      <c r="I413" s="75">
        <v>24500</v>
      </c>
      <c r="J413" s="91" t="s">
        <v>1062</v>
      </c>
      <c r="K413" s="73"/>
      <c r="L413" s="46">
        <v>0</v>
      </c>
      <c r="M413" s="46">
        <v>0</v>
      </c>
      <c r="N413" s="46">
        <v>0</v>
      </c>
      <c r="O413" s="98"/>
      <c r="P413" s="23" t="s">
        <v>1427</v>
      </c>
      <c r="Q413" s="24" t="s">
        <v>1061</v>
      </c>
      <c r="R413" s="25" t="s">
        <v>325</v>
      </c>
      <c r="S413" s="26">
        <v>7</v>
      </c>
      <c r="T413" s="26"/>
      <c r="U413" s="26">
        <v>3500</v>
      </c>
      <c r="V413" s="26">
        <f t="shared" si="86"/>
        <v>0</v>
      </c>
      <c r="W413" s="26">
        <f t="shared" si="78"/>
        <v>0</v>
      </c>
      <c r="X413" s="26">
        <f t="shared" si="87"/>
        <v>0</v>
      </c>
      <c r="Y413" s="26">
        <f t="shared" si="88"/>
        <v>0</v>
      </c>
      <c r="Z413" s="33" t="s">
        <v>15</v>
      </c>
      <c r="AA413" s="36" t="s">
        <v>16</v>
      </c>
      <c r="AB413" s="181">
        <f t="shared" si="90"/>
        <v>7</v>
      </c>
      <c r="AC413" s="181">
        <f t="shared" si="89"/>
        <v>24500</v>
      </c>
      <c r="AD413" s="181">
        <v>3</v>
      </c>
      <c r="AE413" s="181">
        <v>3</v>
      </c>
      <c r="AF413" s="101" t="str">
        <f t="shared" si="91"/>
        <v/>
      </c>
      <c r="AG413" s="190">
        <v>0</v>
      </c>
      <c r="AH413" s="69">
        <f t="shared" si="84"/>
        <v>7</v>
      </c>
      <c r="AK413" s="69">
        <v>0</v>
      </c>
    </row>
    <row r="414" spans="1:37" s="69" customFormat="1" ht="66" customHeight="1" x14ac:dyDescent="0.3">
      <c r="A414" s="55" t="s">
        <v>1063</v>
      </c>
      <c r="B414" s="138" t="s">
        <v>1064</v>
      </c>
      <c r="C414" s="54" t="s">
        <v>325</v>
      </c>
      <c r="D414" s="75">
        <v>5</v>
      </c>
      <c r="E414" s="75"/>
      <c r="F414" s="75"/>
      <c r="G414" s="75"/>
      <c r="H414" s="75">
        <v>700</v>
      </c>
      <c r="I414" s="75">
        <v>3500</v>
      </c>
      <c r="J414" s="91" t="s">
        <v>1065</v>
      </c>
      <c r="K414" s="73"/>
      <c r="L414" s="46">
        <v>0</v>
      </c>
      <c r="M414" s="46">
        <v>0</v>
      </c>
      <c r="N414" s="46">
        <v>0</v>
      </c>
      <c r="O414" s="98"/>
      <c r="P414" s="23" t="s">
        <v>1428</v>
      </c>
      <c r="Q414" s="24" t="s">
        <v>1064</v>
      </c>
      <c r="R414" s="25" t="s">
        <v>325</v>
      </c>
      <c r="S414" s="26">
        <v>5</v>
      </c>
      <c r="T414" s="26"/>
      <c r="U414" s="26">
        <v>700</v>
      </c>
      <c r="V414" s="26">
        <f t="shared" si="86"/>
        <v>0</v>
      </c>
      <c r="W414" s="26">
        <f t="shared" si="78"/>
        <v>0</v>
      </c>
      <c r="X414" s="26">
        <f t="shared" si="87"/>
        <v>0</v>
      </c>
      <c r="Y414" s="26">
        <f t="shared" si="88"/>
        <v>0</v>
      </c>
      <c r="Z414" s="33" t="s">
        <v>15</v>
      </c>
      <c r="AA414" s="36" t="s">
        <v>16</v>
      </c>
      <c r="AB414" s="181">
        <f t="shared" si="90"/>
        <v>5</v>
      </c>
      <c r="AC414" s="181">
        <f t="shared" si="89"/>
        <v>3500</v>
      </c>
      <c r="AD414" s="181">
        <v>3</v>
      </c>
      <c r="AE414" s="181">
        <v>3</v>
      </c>
      <c r="AF414" s="101" t="str">
        <f t="shared" si="91"/>
        <v/>
      </c>
      <c r="AG414" s="190">
        <v>0</v>
      </c>
      <c r="AH414" s="69">
        <f t="shared" si="84"/>
        <v>5</v>
      </c>
      <c r="AK414" s="69">
        <v>0</v>
      </c>
    </row>
    <row r="415" spans="1:37" s="69" customFormat="1" ht="49.5" customHeight="1" x14ac:dyDescent="0.3">
      <c r="A415" s="55" t="s">
        <v>1066</v>
      </c>
      <c r="B415" s="138" t="s">
        <v>1067</v>
      </c>
      <c r="C415" s="54" t="s">
        <v>66</v>
      </c>
      <c r="D415" s="75">
        <v>1</v>
      </c>
      <c r="E415" s="75"/>
      <c r="F415" s="75"/>
      <c r="G415" s="75"/>
      <c r="H415" s="75">
        <v>15000</v>
      </c>
      <c r="I415" s="75">
        <v>15000</v>
      </c>
      <c r="J415" s="91" t="s">
        <v>1068</v>
      </c>
      <c r="K415" s="73"/>
      <c r="L415" s="46">
        <v>0</v>
      </c>
      <c r="M415" s="46">
        <v>0</v>
      </c>
      <c r="N415" s="46">
        <v>0</v>
      </c>
      <c r="O415" s="98"/>
      <c r="P415" s="23" t="s">
        <v>1387</v>
      </c>
      <c r="Q415" s="24" t="s">
        <v>1067</v>
      </c>
      <c r="R415" s="25" t="s">
        <v>66</v>
      </c>
      <c r="S415" s="26">
        <v>1</v>
      </c>
      <c r="T415" s="26"/>
      <c r="U415" s="26">
        <v>15000</v>
      </c>
      <c r="V415" s="26">
        <f t="shared" si="86"/>
        <v>0</v>
      </c>
      <c r="W415" s="26">
        <f t="shared" si="78"/>
        <v>0</v>
      </c>
      <c r="X415" s="26">
        <f t="shared" si="87"/>
        <v>0</v>
      </c>
      <c r="Y415" s="26">
        <f t="shared" si="88"/>
        <v>0</v>
      </c>
      <c r="Z415" s="33" t="s">
        <v>15</v>
      </c>
      <c r="AA415" s="36" t="s">
        <v>16</v>
      </c>
      <c r="AB415" s="181">
        <f t="shared" si="90"/>
        <v>1</v>
      </c>
      <c r="AC415" s="181">
        <f t="shared" si="89"/>
        <v>15000</v>
      </c>
      <c r="AD415" s="181">
        <v>3</v>
      </c>
      <c r="AE415" s="181">
        <v>3</v>
      </c>
      <c r="AF415" s="101" t="str">
        <f t="shared" si="91"/>
        <v/>
      </c>
      <c r="AG415" s="190">
        <v>0</v>
      </c>
      <c r="AH415" s="69">
        <f t="shared" si="84"/>
        <v>1</v>
      </c>
      <c r="AK415" s="69">
        <v>0</v>
      </c>
    </row>
    <row r="416" spans="1:37" s="69" customFormat="1" ht="49.5" customHeight="1" x14ac:dyDescent="0.3">
      <c r="A416" s="55" t="s">
        <v>1069</v>
      </c>
      <c r="B416" s="138" t="s">
        <v>1070</v>
      </c>
      <c r="C416" s="54" t="s">
        <v>325</v>
      </c>
      <c r="D416" s="75">
        <v>1</v>
      </c>
      <c r="E416" s="75"/>
      <c r="F416" s="75"/>
      <c r="G416" s="75"/>
      <c r="H416" s="75">
        <v>6000</v>
      </c>
      <c r="I416" s="75">
        <v>6000</v>
      </c>
      <c r="J416" s="91" t="s">
        <v>1071</v>
      </c>
      <c r="K416" s="73"/>
      <c r="L416" s="46">
        <v>0</v>
      </c>
      <c r="M416" s="46">
        <v>0</v>
      </c>
      <c r="N416" s="46">
        <v>0</v>
      </c>
      <c r="O416" s="98"/>
      <c r="P416" s="23" t="s">
        <v>1405</v>
      </c>
      <c r="Q416" s="24" t="s">
        <v>1070</v>
      </c>
      <c r="R416" s="25" t="s">
        <v>325</v>
      </c>
      <c r="S416" s="26">
        <v>1</v>
      </c>
      <c r="T416" s="26"/>
      <c r="U416" s="26">
        <v>6000</v>
      </c>
      <c r="V416" s="26">
        <f t="shared" si="86"/>
        <v>0</v>
      </c>
      <c r="W416" s="26">
        <f t="shared" si="78"/>
        <v>0</v>
      </c>
      <c r="X416" s="26">
        <f t="shared" si="87"/>
        <v>0</v>
      </c>
      <c r="Y416" s="26">
        <f t="shared" si="88"/>
        <v>0</v>
      </c>
      <c r="Z416" s="33" t="s">
        <v>15</v>
      </c>
      <c r="AA416" s="36" t="s">
        <v>16</v>
      </c>
      <c r="AB416" s="181">
        <f t="shared" si="90"/>
        <v>1</v>
      </c>
      <c r="AC416" s="181">
        <f t="shared" si="89"/>
        <v>6000</v>
      </c>
      <c r="AD416" s="181">
        <v>3</v>
      </c>
      <c r="AE416" s="181">
        <v>3</v>
      </c>
      <c r="AF416" s="101" t="str">
        <f t="shared" si="91"/>
        <v/>
      </c>
      <c r="AG416" s="190">
        <v>0</v>
      </c>
      <c r="AH416" s="69">
        <f t="shared" si="84"/>
        <v>1</v>
      </c>
      <c r="AK416" s="69">
        <v>0</v>
      </c>
    </row>
    <row r="417" spans="1:37" s="69" customFormat="1" ht="92.25" customHeight="1" x14ac:dyDescent="0.3">
      <c r="A417" s="55" t="s">
        <v>1072</v>
      </c>
      <c r="B417" s="138" t="s">
        <v>3117</v>
      </c>
      <c r="C417" s="54" t="s">
        <v>325</v>
      </c>
      <c r="D417" s="75">
        <v>1</v>
      </c>
      <c r="E417" s="75"/>
      <c r="F417" s="75"/>
      <c r="G417" s="75"/>
      <c r="H417" s="75">
        <v>49500</v>
      </c>
      <c r="I417" s="75">
        <v>49500</v>
      </c>
      <c r="J417" s="91" t="s">
        <v>1074</v>
      </c>
      <c r="K417" s="73"/>
      <c r="L417" s="46">
        <v>0</v>
      </c>
      <c r="M417" s="46">
        <v>0</v>
      </c>
      <c r="N417" s="46">
        <v>0</v>
      </c>
      <c r="O417" s="98"/>
      <c r="P417" s="23" t="s">
        <v>1406</v>
      </c>
      <c r="Q417" s="24" t="s">
        <v>1073</v>
      </c>
      <c r="R417" s="25" t="s">
        <v>325</v>
      </c>
      <c r="S417" s="26">
        <v>1</v>
      </c>
      <c r="T417" s="26"/>
      <c r="U417" s="26">
        <v>49500</v>
      </c>
      <c r="V417" s="26">
        <f t="shared" si="86"/>
        <v>0</v>
      </c>
      <c r="W417" s="26">
        <f t="shared" si="78"/>
        <v>0</v>
      </c>
      <c r="X417" s="26">
        <f t="shared" si="87"/>
        <v>0</v>
      </c>
      <c r="Y417" s="26">
        <f t="shared" si="88"/>
        <v>0</v>
      </c>
      <c r="Z417" s="33" t="s">
        <v>15</v>
      </c>
      <c r="AA417" s="36" t="s">
        <v>16</v>
      </c>
      <c r="AB417" s="181">
        <f t="shared" si="90"/>
        <v>1</v>
      </c>
      <c r="AC417" s="181">
        <f t="shared" si="89"/>
        <v>49500</v>
      </c>
      <c r="AD417" s="181">
        <v>3</v>
      </c>
      <c r="AE417" s="181">
        <v>3</v>
      </c>
      <c r="AF417" s="101" t="str">
        <f t="shared" si="91"/>
        <v/>
      </c>
      <c r="AG417" s="190">
        <v>0</v>
      </c>
      <c r="AH417" s="69">
        <f t="shared" si="84"/>
        <v>1</v>
      </c>
      <c r="AK417" s="69">
        <v>0</v>
      </c>
    </row>
    <row r="418" spans="1:37" s="69" customFormat="1" ht="66" customHeight="1" x14ac:dyDescent="0.3">
      <c r="A418" s="55" t="s">
        <v>1075</v>
      </c>
      <c r="B418" s="138" t="s">
        <v>3118</v>
      </c>
      <c r="C418" s="54" t="s">
        <v>325</v>
      </c>
      <c r="D418" s="75">
        <v>8</v>
      </c>
      <c r="E418" s="75"/>
      <c r="F418" s="75"/>
      <c r="G418" s="75"/>
      <c r="H418" s="75">
        <v>3000</v>
      </c>
      <c r="I418" s="75">
        <v>24000</v>
      </c>
      <c r="J418" s="91" t="s">
        <v>1077</v>
      </c>
      <c r="K418" s="73"/>
      <c r="L418" s="46">
        <v>0</v>
      </c>
      <c r="M418" s="46">
        <v>0</v>
      </c>
      <c r="N418" s="46">
        <v>0</v>
      </c>
      <c r="O418" s="98"/>
      <c r="P418" s="23" t="s">
        <v>1414</v>
      </c>
      <c r="Q418" s="24" t="s">
        <v>1076</v>
      </c>
      <c r="R418" s="25" t="s">
        <v>325</v>
      </c>
      <c r="S418" s="26">
        <v>8</v>
      </c>
      <c r="T418" s="26"/>
      <c r="U418" s="26">
        <v>3000</v>
      </c>
      <c r="V418" s="26">
        <f t="shared" si="86"/>
        <v>0</v>
      </c>
      <c r="W418" s="26">
        <f t="shared" si="78"/>
        <v>0</v>
      </c>
      <c r="X418" s="26">
        <f t="shared" si="87"/>
        <v>0</v>
      </c>
      <c r="Y418" s="26">
        <f t="shared" si="88"/>
        <v>0</v>
      </c>
      <c r="Z418" s="33" t="s">
        <v>15</v>
      </c>
      <c r="AA418" s="36" t="s">
        <v>16</v>
      </c>
      <c r="AB418" s="181">
        <f t="shared" si="90"/>
        <v>8</v>
      </c>
      <c r="AC418" s="181">
        <f t="shared" si="89"/>
        <v>24000</v>
      </c>
      <c r="AD418" s="181">
        <v>3</v>
      </c>
      <c r="AE418" s="181">
        <v>3</v>
      </c>
      <c r="AF418" s="101" t="str">
        <f t="shared" si="91"/>
        <v/>
      </c>
      <c r="AG418" s="190">
        <v>0</v>
      </c>
      <c r="AH418" s="69">
        <f t="shared" si="84"/>
        <v>8</v>
      </c>
      <c r="AK418" s="69">
        <v>0</v>
      </c>
    </row>
    <row r="419" spans="1:37" s="69" customFormat="1" ht="33" customHeight="1" x14ac:dyDescent="0.3">
      <c r="A419" s="55" t="s">
        <v>1078</v>
      </c>
      <c r="B419" s="138" t="s">
        <v>1079</v>
      </c>
      <c r="C419" s="54" t="s">
        <v>66</v>
      </c>
      <c r="D419" s="75">
        <v>75</v>
      </c>
      <c r="E419" s="75"/>
      <c r="F419" s="75"/>
      <c r="G419" s="75"/>
      <c r="H419" s="75">
        <v>12000</v>
      </c>
      <c r="I419" s="75">
        <v>900000</v>
      </c>
      <c r="J419" s="91" t="s">
        <v>1080</v>
      </c>
      <c r="K419" s="73"/>
      <c r="L419" s="46">
        <v>50</v>
      </c>
      <c r="M419" s="46">
        <v>0</v>
      </c>
      <c r="N419" s="46">
        <v>600000</v>
      </c>
      <c r="O419" s="98"/>
      <c r="P419" s="23" t="s">
        <v>1429</v>
      </c>
      <c r="Q419" s="24" t="s">
        <v>1079</v>
      </c>
      <c r="R419" s="25" t="s">
        <v>66</v>
      </c>
      <c r="S419" s="26">
        <v>75</v>
      </c>
      <c r="T419" s="26"/>
      <c r="U419" s="26">
        <v>12000</v>
      </c>
      <c r="V419" s="128">
        <f t="shared" si="86"/>
        <v>0</v>
      </c>
      <c r="W419" s="26">
        <f t="shared" si="78"/>
        <v>50</v>
      </c>
      <c r="X419" s="26">
        <f t="shared" si="87"/>
        <v>0</v>
      </c>
      <c r="Y419" s="26">
        <f t="shared" si="88"/>
        <v>600000</v>
      </c>
      <c r="Z419" s="33" t="s">
        <v>15</v>
      </c>
      <c r="AA419" s="36" t="s">
        <v>16</v>
      </c>
      <c r="AB419" s="181">
        <f t="shared" si="90"/>
        <v>75</v>
      </c>
      <c r="AC419" s="181">
        <f t="shared" si="89"/>
        <v>900000</v>
      </c>
      <c r="AD419" s="181">
        <v>3</v>
      </c>
      <c r="AE419" s="181">
        <v>3</v>
      </c>
      <c r="AF419" s="101" t="str">
        <f t="shared" si="91"/>
        <v/>
      </c>
      <c r="AG419" s="191">
        <f>32+18</f>
        <v>50</v>
      </c>
      <c r="AH419" s="69">
        <f t="shared" si="84"/>
        <v>75</v>
      </c>
      <c r="AK419" s="69">
        <v>0</v>
      </c>
    </row>
    <row r="420" spans="1:37" s="69" customFormat="1" ht="33" customHeight="1" x14ac:dyDescent="0.3">
      <c r="A420" s="55" t="s">
        <v>1081</v>
      </c>
      <c r="B420" s="138" t="s">
        <v>1082</v>
      </c>
      <c r="C420" s="54" t="s">
        <v>1014</v>
      </c>
      <c r="D420" s="75">
        <v>75</v>
      </c>
      <c r="E420" s="75"/>
      <c r="F420" s="75"/>
      <c r="G420" s="75"/>
      <c r="H420" s="75">
        <v>1500</v>
      </c>
      <c r="I420" s="75">
        <v>112500</v>
      </c>
      <c r="J420" s="91" t="s">
        <v>1083</v>
      </c>
      <c r="K420" s="73"/>
      <c r="L420" s="46">
        <v>0</v>
      </c>
      <c r="M420" s="46">
        <v>0</v>
      </c>
      <c r="N420" s="46">
        <v>0</v>
      </c>
      <c r="O420" s="98"/>
      <c r="P420" s="23" t="s">
        <v>1430</v>
      </c>
      <c r="Q420" s="24" t="s">
        <v>1082</v>
      </c>
      <c r="R420" s="25" t="s">
        <v>1014</v>
      </c>
      <c r="S420" s="26">
        <v>75</v>
      </c>
      <c r="T420" s="26"/>
      <c r="U420" s="26">
        <v>1500</v>
      </c>
      <c r="V420" s="26">
        <f t="shared" si="86"/>
        <v>0</v>
      </c>
      <c r="W420" s="26">
        <f t="shared" si="78"/>
        <v>0</v>
      </c>
      <c r="X420" s="26">
        <f t="shared" si="87"/>
        <v>0</v>
      </c>
      <c r="Y420" s="26">
        <f t="shared" si="88"/>
        <v>0</v>
      </c>
      <c r="Z420" s="33" t="s">
        <v>15</v>
      </c>
      <c r="AA420" s="36" t="s">
        <v>16</v>
      </c>
      <c r="AB420" s="181">
        <f t="shared" si="90"/>
        <v>75</v>
      </c>
      <c r="AC420" s="181">
        <f t="shared" si="89"/>
        <v>112500</v>
      </c>
      <c r="AD420" s="181">
        <v>3</v>
      </c>
      <c r="AE420" s="181">
        <v>3</v>
      </c>
      <c r="AF420" s="101" t="str">
        <f t="shared" si="91"/>
        <v/>
      </c>
      <c r="AG420" s="190">
        <v>0</v>
      </c>
      <c r="AH420" s="69">
        <f t="shared" si="84"/>
        <v>75</v>
      </c>
      <c r="AK420" s="69">
        <v>0</v>
      </c>
    </row>
    <row r="421" spans="1:37" s="69" customFormat="1" ht="66" customHeight="1" x14ac:dyDescent="0.3">
      <c r="A421" s="55" t="s">
        <v>1084</v>
      </c>
      <c r="B421" s="138" t="s">
        <v>1085</v>
      </c>
      <c r="C421" s="54" t="s">
        <v>325</v>
      </c>
      <c r="D421" s="75">
        <v>1</v>
      </c>
      <c r="E421" s="75"/>
      <c r="F421" s="75"/>
      <c r="G421" s="75"/>
      <c r="H421" s="75">
        <v>12000</v>
      </c>
      <c r="I421" s="75">
        <v>12000</v>
      </c>
      <c r="J421" s="91" t="s">
        <v>1086</v>
      </c>
      <c r="K421" s="73"/>
      <c r="L421" s="46">
        <v>0</v>
      </c>
      <c r="M421" s="46">
        <v>0</v>
      </c>
      <c r="N421" s="46">
        <v>0</v>
      </c>
      <c r="O421" s="98"/>
      <c r="P421" s="23" t="s">
        <v>1431</v>
      </c>
      <c r="Q421" s="24" t="s">
        <v>1085</v>
      </c>
      <c r="R421" s="25" t="s">
        <v>325</v>
      </c>
      <c r="S421" s="26">
        <v>1</v>
      </c>
      <c r="T421" s="26"/>
      <c r="U421" s="26">
        <v>12000</v>
      </c>
      <c r="V421" s="26">
        <f t="shared" si="86"/>
        <v>0</v>
      </c>
      <c r="W421" s="26">
        <f t="shared" si="78"/>
        <v>0</v>
      </c>
      <c r="X421" s="26">
        <f t="shared" si="87"/>
        <v>0</v>
      </c>
      <c r="Y421" s="26">
        <f t="shared" si="88"/>
        <v>0</v>
      </c>
      <c r="Z421" s="33" t="s">
        <v>15</v>
      </c>
      <c r="AA421" s="36" t="s">
        <v>16</v>
      </c>
      <c r="AB421" s="181">
        <f t="shared" si="90"/>
        <v>1</v>
      </c>
      <c r="AC421" s="181">
        <f t="shared" si="89"/>
        <v>12000</v>
      </c>
      <c r="AD421" s="181">
        <v>3</v>
      </c>
      <c r="AE421" s="181">
        <v>3</v>
      </c>
      <c r="AF421" s="101" t="str">
        <f t="shared" si="91"/>
        <v/>
      </c>
      <c r="AG421" s="190">
        <v>0</v>
      </c>
      <c r="AH421" s="69">
        <f t="shared" si="84"/>
        <v>1</v>
      </c>
      <c r="AK421" s="69">
        <v>0</v>
      </c>
    </row>
    <row r="422" spans="1:37" s="69" customFormat="1" ht="49.5" customHeight="1" x14ac:dyDescent="0.3">
      <c r="A422" s="55" t="s">
        <v>1087</v>
      </c>
      <c r="B422" s="138" t="s">
        <v>1088</v>
      </c>
      <c r="C422" s="54" t="s">
        <v>325</v>
      </c>
      <c r="D422" s="75">
        <v>1</v>
      </c>
      <c r="E422" s="75"/>
      <c r="F422" s="75"/>
      <c r="G422" s="75"/>
      <c r="H422" s="75">
        <v>2000</v>
      </c>
      <c r="I422" s="75">
        <v>2000</v>
      </c>
      <c r="J422" s="91" t="s">
        <v>1089</v>
      </c>
      <c r="K422" s="73"/>
      <c r="L422" s="46">
        <v>0</v>
      </c>
      <c r="M422" s="46">
        <v>0</v>
      </c>
      <c r="N422" s="46">
        <v>0</v>
      </c>
      <c r="O422" s="98"/>
      <c r="P422" s="23" t="s">
        <v>1395</v>
      </c>
      <c r="Q422" s="24" t="s">
        <v>1088</v>
      </c>
      <c r="R422" s="25" t="s">
        <v>325</v>
      </c>
      <c r="S422" s="26">
        <v>1</v>
      </c>
      <c r="T422" s="26"/>
      <c r="U422" s="26">
        <v>2000</v>
      </c>
      <c r="V422" s="26">
        <f t="shared" si="86"/>
        <v>0</v>
      </c>
      <c r="W422" s="26">
        <f t="shared" si="78"/>
        <v>0</v>
      </c>
      <c r="X422" s="26">
        <f t="shared" si="87"/>
        <v>0</v>
      </c>
      <c r="Y422" s="26">
        <f t="shared" si="88"/>
        <v>0</v>
      </c>
      <c r="Z422" s="33" t="s">
        <v>15</v>
      </c>
      <c r="AA422" s="36" t="s">
        <v>16</v>
      </c>
      <c r="AB422" s="181">
        <f t="shared" si="90"/>
        <v>1</v>
      </c>
      <c r="AC422" s="181">
        <f t="shared" si="89"/>
        <v>2000</v>
      </c>
      <c r="AD422" s="181">
        <v>3</v>
      </c>
      <c r="AE422" s="181">
        <v>3</v>
      </c>
      <c r="AF422" s="101" t="str">
        <f t="shared" si="91"/>
        <v/>
      </c>
      <c r="AG422" s="190">
        <v>0</v>
      </c>
      <c r="AH422" s="69">
        <f t="shared" si="84"/>
        <v>1</v>
      </c>
      <c r="AK422" s="69">
        <v>0</v>
      </c>
    </row>
    <row r="423" spans="1:37" s="69" customFormat="1" ht="66" customHeight="1" x14ac:dyDescent="0.3">
      <c r="A423" s="55" t="s">
        <v>1090</v>
      </c>
      <c r="B423" s="138" t="s">
        <v>3119</v>
      </c>
      <c r="C423" s="54" t="s">
        <v>325</v>
      </c>
      <c r="D423" s="75">
        <v>14</v>
      </c>
      <c r="E423" s="75"/>
      <c r="F423" s="75"/>
      <c r="G423" s="75"/>
      <c r="H423" s="75">
        <v>3000</v>
      </c>
      <c r="I423" s="75">
        <v>42000</v>
      </c>
      <c r="J423" s="91" t="s">
        <v>1092</v>
      </c>
      <c r="K423" s="73"/>
      <c r="L423" s="46">
        <v>0</v>
      </c>
      <c r="M423" s="46">
        <v>0</v>
      </c>
      <c r="N423" s="46">
        <v>0</v>
      </c>
      <c r="O423" s="98"/>
      <c r="P423" s="23" t="s">
        <v>1432</v>
      </c>
      <c r="Q423" s="24" t="s">
        <v>1091</v>
      </c>
      <c r="R423" s="25" t="s">
        <v>325</v>
      </c>
      <c r="S423" s="26">
        <v>14</v>
      </c>
      <c r="T423" s="26"/>
      <c r="U423" s="26">
        <v>3000</v>
      </c>
      <c r="V423" s="26">
        <f t="shared" si="86"/>
        <v>0</v>
      </c>
      <c r="W423" s="26">
        <f t="shared" si="78"/>
        <v>0</v>
      </c>
      <c r="X423" s="26">
        <f t="shared" si="87"/>
        <v>0</v>
      </c>
      <c r="Y423" s="26">
        <f t="shared" si="88"/>
        <v>0</v>
      </c>
      <c r="Z423" s="33" t="s">
        <v>15</v>
      </c>
      <c r="AA423" s="36" t="s">
        <v>16</v>
      </c>
      <c r="AB423" s="181">
        <f t="shared" si="90"/>
        <v>14</v>
      </c>
      <c r="AC423" s="181">
        <f t="shared" si="89"/>
        <v>42000</v>
      </c>
      <c r="AD423" s="181">
        <v>3</v>
      </c>
      <c r="AE423" s="181">
        <v>3</v>
      </c>
      <c r="AF423" s="101" t="str">
        <f t="shared" si="91"/>
        <v/>
      </c>
      <c r="AG423" s="190">
        <v>0</v>
      </c>
      <c r="AH423" s="69">
        <f t="shared" si="84"/>
        <v>14</v>
      </c>
      <c r="AK423" s="69">
        <v>0</v>
      </c>
    </row>
    <row r="424" spans="1:37" s="69" customFormat="1" ht="49.5" customHeight="1" x14ac:dyDescent="0.3">
      <c r="A424" s="55" t="s">
        <v>1093</v>
      </c>
      <c r="B424" s="138" t="s">
        <v>1094</v>
      </c>
      <c r="C424" s="54" t="s">
        <v>325</v>
      </c>
      <c r="D424" s="75">
        <v>3</v>
      </c>
      <c r="E424" s="75"/>
      <c r="F424" s="75"/>
      <c r="G424" s="75"/>
      <c r="H424" s="75">
        <v>1400</v>
      </c>
      <c r="I424" s="75">
        <v>4200</v>
      </c>
      <c r="J424" s="91" t="s">
        <v>1095</v>
      </c>
      <c r="K424" s="73"/>
      <c r="L424" s="46">
        <v>0</v>
      </c>
      <c r="M424" s="46">
        <v>0</v>
      </c>
      <c r="N424" s="46">
        <v>0</v>
      </c>
      <c r="O424" s="98"/>
      <c r="P424" s="23" t="s">
        <v>1433</v>
      </c>
      <c r="Q424" s="24" t="s">
        <v>1094</v>
      </c>
      <c r="R424" s="25" t="s">
        <v>325</v>
      </c>
      <c r="S424" s="26">
        <v>3</v>
      </c>
      <c r="T424" s="26"/>
      <c r="U424" s="26">
        <v>1400</v>
      </c>
      <c r="V424" s="26">
        <f t="shared" si="86"/>
        <v>0</v>
      </c>
      <c r="W424" s="26">
        <f t="shared" si="78"/>
        <v>0</v>
      </c>
      <c r="X424" s="26">
        <f t="shared" si="87"/>
        <v>0</v>
      </c>
      <c r="Y424" s="26">
        <f t="shared" si="88"/>
        <v>0</v>
      </c>
      <c r="Z424" s="33" t="s">
        <v>15</v>
      </c>
      <c r="AA424" s="36" t="s">
        <v>16</v>
      </c>
      <c r="AB424" s="181">
        <f t="shared" si="90"/>
        <v>3</v>
      </c>
      <c r="AC424" s="181">
        <f t="shared" si="89"/>
        <v>4200</v>
      </c>
      <c r="AD424" s="181">
        <v>3</v>
      </c>
      <c r="AE424" s="181">
        <v>3</v>
      </c>
      <c r="AF424" s="101" t="str">
        <f t="shared" si="91"/>
        <v/>
      </c>
      <c r="AG424" s="190">
        <v>0</v>
      </c>
      <c r="AH424" s="69">
        <f t="shared" si="84"/>
        <v>3</v>
      </c>
      <c r="AK424" s="69">
        <v>0</v>
      </c>
    </row>
    <row r="425" spans="1:37" s="69" customFormat="1" ht="66" customHeight="1" x14ac:dyDescent="0.3">
      <c r="A425" s="55" t="s">
        <v>1096</v>
      </c>
      <c r="B425" s="138" t="s">
        <v>1097</v>
      </c>
      <c r="C425" s="54" t="s">
        <v>66</v>
      </c>
      <c r="D425" s="75">
        <v>5</v>
      </c>
      <c r="E425" s="75"/>
      <c r="F425" s="75"/>
      <c r="G425" s="75"/>
      <c r="H425" s="75">
        <v>18000</v>
      </c>
      <c r="I425" s="75">
        <v>90000</v>
      </c>
      <c r="J425" s="91" t="s">
        <v>1098</v>
      </c>
      <c r="K425" s="73"/>
      <c r="L425" s="46">
        <v>0</v>
      </c>
      <c r="M425" s="46">
        <v>0</v>
      </c>
      <c r="N425" s="46">
        <v>0</v>
      </c>
      <c r="O425" s="98"/>
      <c r="P425" s="23" t="s">
        <v>1382</v>
      </c>
      <c r="Q425" s="24" t="s">
        <v>1097</v>
      </c>
      <c r="R425" s="25" t="s">
        <v>66</v>
      </c>
      <c r="S425" s="26">
        <v>5</v>
      </c>
      <c r="T425" s="26"/>
      <c r="U425" s="26">
        <v>18000</v>
      </c>
      <c r="V425" s="26">
        <f t="shared" si="86"/>
        <v>0</v>
      </c>
      <c r="W425" s="26">
        <f t="shared" si="78"/>
        <v>0</v>
      </c>
      <c r="X425" s="26">
        <f t="shared" si="87"/>
        <v>0</v>
      </c>
      <c r="Y425" s="26">
        <f t="shared" si="88"/>
        <v>0</v>
      </c>
      <c r="Z425" s="33" t="s">
        <v>15</v>
      </c>
      <c r="AA425" s="36" t="s">
        <v>16</v>
      </c>
      <c r="AB425" s="181">
        <f t="shared" si="90"/>
        <v>5</v>
      </c>
      <c r="AC425" s="181">
        <f t="shared" si="89"/>
        <v>90000</v>
      </c>
      <c r="AD425" s="181">
        <v>3</v>
      </c>
      <c r="AE425" s="181">
        <v>3</v>
      </c>
      <c r="AF425" s="101" t="str">
        <f t="shared" si="91"/>
        <v/>
      </c>
      <c r="AG425" s="190">
        <v>0</v>
      </c>
      <c r="AH425" s="69">
        <f t="shared" si="84"/>
        <v>5</v>
      </c>
      <c r="AK425" s="69">
        <v>0</v>
      </c>
    </row>
    <row r="426" spans="1:37" s="69" customFormat="1" ht="49.5" customHeight="1" x14ac:dyDescent="0.3">
      <c r="A426" s="55" t="s">
        <v>1099</v>
      </c>
      <c r="B426" s="138" t="s">
        <v>1100</v>
      </c>
      <c r="C426" s="54" t="s">
        <v>66</v>
      </c>
      <c r="D426" s="75">
        <v>1</v>
      </c>
      <c r="E426" s="75"/>
      <c r="F426" s="75"/>
      <c r="G426" s="75"/>
      <c r="H426" s="75">
        <v>9000</v>
      </c>
      <c r="I426" s="75">
        <v>9000</v>
      </c>
      <c r="J426" s="91" t="s">
        <v>1101</v>
      </c>
      <c r="K426" s="73"/>
      <c r="L426" s="46">
        <v>0</v>
      </c>
      <c r="M426" s="46">
        <v>0</v>
      </c>
      <c r="N426" s="46">
        <v>0</v>
      </c>
      <c r="O426" s="98"/>
      <c r="P426" s="23" t="s">
        <v>1434</v>
      </c>
      <c r="Q426" s="24" t="s">
        <v>1100</v>
      </c>
      <c r="R426" s="25" t="s">
        <v>66</v>
      </c>
      <c r="S426" s="26">
        <v>1</v>
      </c>
      <c r="T426" s="26"/>
      <c r="U426" s="26">
        <v>9000</v>
      </c>
      <c r="V426" s="26">
        <f t="shared" si="86"/>
        <v>0</v>
      </c>
      <c r="W426" s="26">
        <f t="shared" si="78"/>
        <v>0</v>
      </c>
      <c r="X426" s="26">
        <f t="shared" si="87"/>
        <v>0</v>
      </c>
      <c r="Y426" s="26">
        <f t="shared" si="88"/>
        <v>0</v>
      </c>
      <c r="Z426" s="33" t="s">
        <v>15</v>
      </c>
      <c r="AA426" s="36" t="s">
        <v>16</v>
      </c>
      <c r="AB426" s="181">
        <f t="shared" si="90"/>
        <v>1</v>
      </c>
      <c r="AC426" s="181">
        <f t="shared" si="89"/>
        <v>9000</v>
      </c>
      <c r="AD426" s="181">
        <v>3</v>
      </c>
      <c r="AE426" s="181">
        <v>3</v>
      </c>
      <c r="AF426" s="101" t="str">
        <f t="shared" si="91"/>
        <v/>
      </c>
      <c r="AG426" s="190">
        <v>0</v>
      </c>
      <c r="AH426" s="69">
        <f t="shared" si="84"/>
        <v>1</v>
      </c>
      <c r="AK426" s="69">
        <v>0</v>
      </c>
    </row>
    <row r="427" spans="1:37" s="69" customFormat="1" ht="49.5" customHeight="1" x14ac:dyDescent="0.3">
      <c r="A427" s="55" t="s">
        <v>1102</v>
      </c>
      <c r="B427" s="138" t="s">
        <v>3120</v>
      </c>
      <c r="C427" s="54" t="s">
        <v>325</v>
      </c>
      <c r="D427" s="75">
        <v>3</v>
      </c>
      <c r="E427" s="75"/>
      <c r="F427" s="75"/>
      <c r="G427" s="75"/>
      <c r="H427" s="75">
        <v>6000</v>
      </c>
      <c r="I427" s="75">
        <v>18000</v>
      </c>
      <c r="J427" s="91" t="s">
        <v>1104</v>
      </c>
      <c r="K427" s="73"/>
      <c r="L427" s="46">
        <v>0</v>
      </c>
      <c r="M427" s="46">
        <v>0</v>
      </c>
      <c r="N427" s="46">
        <v>0</v>
      </c>
      <c r="O427" s="98"/>
      <c r="P427" s="23" t="s">
        <v>1388</v>
      </c>
      <c r="Q427" s="24" t="s">
        <v>1103</v>
      </c>
      <c r="R427" s="25" t="s">
        <v>325</v>
      </c>
      <c r="S427" s="26">
        <v>3</v>
      </c>
      <c r="T427" s="26"/>
      <c r="U427" s="26">
        <v>6000</v>
      </c>
      <c r="V427" s="26">
        <f t="shared" si="86"/>
        <v>0</v>
      </c>
      <c r="W427" s="26">
        <f t="shared" si="78"/>
        <v>0</v>
      </c>
      <c r="X427" s="26">
        <f t="shared" si="87"/>
        <v>0</v>
      </c>
      <c r="Y427" s="26">
        <f t="shared" si="88"/>
        <v>0</v>
      </c>
      <c r="Z427" s="33" t="s">
        <v>15</v>
      </c>
      <c r="AA427" s="36" t="s">
        <v>16</v>
      </c>
      <c r="AB427" s="181">
        <f t="shared" si="90"/>
        <v>3</v>
      </c>
      <c r="AC427" s="181">
        <f t="shared" si="89"/>
        <v>18000</v>
      </c>
      <c r="AD427" s="181">
        <v>3</v>
      </c>
      <c r="AE427" s="181">
        <v>3</v>
      </c>
      <c r="AF427" s="101" t="str">
        <f t="shared" si="91"/>
        <v/>
      </c>
      <c r="AG427" s="190">
        <v>0</v>
      </c>
      <c r="AH427" s="69">
        <f t="shared" si="84"/>
        <v>3</v>
      </c>
      <c r="AK427" s="69">
        <v>0</v>
      </c>
    </row>
    <row r="428" spans="1:37" s="69" customFormat="1" ht="49.5" customHeight="1" x14ac:dyDescent="0.3">
      <c r="A428" s="55" t="s">
        <v>1105</v>
      </c>
      <c r="B428" s="138" t="s">
        <v>3121</v>
      </c>
      <c r="C428" s="54" t="s">
        <v>66</v>
      </c>
      <c r="D428" s="75">
        <v>1</v>
      </c>
      <c r="E428" s="75"/>
      <c r="F428" s="75"/>
      <c r="G428" s="75"/>
      <c r="H428" s="75">
        <v>2500</v>
      </c>
      <c r="I428" s="75">
        <v>2500</v>
      </c>
      <c r="J428" s="91" t="s">
        <v>1107</v>
      </c>
      <c r="K428" s="73"/>
      <c r="L428" s="46">
        <v>0</v>
      </c>
      <c r="M428" s="46">
        <v>0</v>
      </c>
      <c r="N428" s="46">
        <v>0</v>
      </c>
      <c r="O428" s="98"/>
      <c r="P428" s="23" t="s">
        <v>1389</v>
      </c>
      <c r="Q428" s="24" t="s">
        <v>1106</v>
      </c>
      <c r="R428" s="25" t="s">
        <v>66</v>
      </c>
      <c r="S428" s="26">
        <v>1</v>
      </c>
      <c r="T428" s="26"/>
      <c r="U428" s="26">
        <v>2500</v>
      </c>
      <c r="V428" s="26">
        <f t="shared" si="86"/>
        <v>0</v>
      </c>
      <c r="W428" s="26">
        <f t="shared" si="78"/>
        <v>0</v>
      </c>
      <c r="X428" s="26">
        <f t="shared" si="87"/>
        <v>0</v>
      </c>
      <c r="Y428" s="26">
        <f t="shared" si="88"/>
        <v>0</v>
      </c>
      <c r="Z428" s="33" t="s">
        <v>15</v>
      </c>
      <c r="AA428" s="36" t="s">
        <v>16</v>
      </c>
      <c r="AB428" s="181">
        <f t="shared" si="90"/>
        <v>1</v>
      </c>
      <c r="AC428" s="181">
        <f t="shared" si="89"/>
        <v>2500</v>
      </c>
      <c r="AD428" s="181">
        <v>3</v>
      </c>
      <c r="AE428" s="181">
        <v>3</v>
      </c>
      <c r="AF428" s="101" t="str">
        <f t="shared" si="91"/>
        <v/>
      </c>
      <c r="AG428" s="190">
        <v>0</v>
      </c>
      <c r="AH428" s="69">
        <f t="shared" si="84"/>
        <v>1</v>
      </c>
      <c r="AK428" s="69">
        <v>0</v>
      </c>
    </row>
    <row r="429" spans="1:37" s="69" customFormat="1" ht="49.5" customHeight="1" x14ac:dyDescent="0.3">
      <c r="A429" s="55" t="s">
        <v>1108</v>
      </c>
      <c r="B429" s="138" t="s">
        <v>1109</v>
      </c>
      <c r="C429" s="54" t="s">
        <v>66</v>
      </c>
      <c r="D429" s="75">
        <v>1</v>
      </c>
      <c r="E429" s="75"/>
      <c r="F429" s="75"/>
      <c r="G429" s="75"/>
      <c r="H429" s="75">
        <v>2500</v>
      </c>
      <c r="I429" s="75">
        <v>2500</v>
      </c>
      <c r="J429" s="91" t="s">
        <v>1110</v>
      </c>
      <c r="K429" s="73"/>
      <c r="L429" s="46">
        <v>0</v>
      </c>
      <c r="M429" s="46">
        <v>0</v>
      </c>
      <c r="N429" s="46">
        <v>0</v>
      </c>
      <c r="O429" s="98"/>
      <c r="P429" s="23" t="s">
        <v>1390</v>
      </c>
      <c r="Q429" s="24" t="s">
        <v>1109</v>
      </c>
      <c r="R429" s="25" t="s">
        <v>66</v>
      </c>
      <c r="S429" s="26">
        <v>1</v>
      </c>
      <c r="T429" s="26"/>
      <c r="U429" s="26">
        <v>2500</v>
      </c>
      <c r="V429" s="26">
        <f t="shared" si="86"/>
        <v>0</v>
      </c>
      <c r="W429" s="26">
        <f t="shared" si="78"/>
        <v>0</v>
      </c>
      <c r="X429" s="26">
        <f t="shared" si="87"/>
        <v>0</v>
      </c>
      <c r="Y429" s="26">
        <f t="shared" si="88"/>
        <v>0</v>
      </c>
      <c r="Z429" s="33" t="s">
        <v>15</v>
      </c>
      <c r="AA429" s="36" t="s">
        <v>16</v>
      </c>
      <c r="AB429" s="181">
        <f t="shared" si="90"/>
        <v>1</v>
      </c>
      <c r="AC429" s="181">
        <f t="shared" si="89"/>
        <v>2500</v>
      </c>
      <c r="AD429" s="181">
        <v>3</v>
      </c>
      <c r="AE429" s="181">
        <v>3</v>
      </c>
      <c r="AF429" s="101" t="str">
        <f t="shared" si="91"/>
        <v/>
      </c>
      <c r="AG429" s="190">
        <v>0</v>
      </c>
      <c r="AH429" s="69">
        <f t="shared" si="84"/>
        <v>1</v>
      </c>
      <c r="AK429" s="69">
        <v>0</v>
      </c>
    </row>
    <row r="430" spans="1:37" s="69" customFormat="1" ht="49.5" customHeight="1" x14ac:dyDescent="0.3">
      <c r="A430" s="55" t="s">
        <v>1111</v>
      </c>
      <c r="B430" s="138" t="s">
        <v>3122</v>
      </c>
      <c r="C430" s="54" t="s">
        <v>325</v>
      </c>
      <c r="D430" s="75">
        <v>4</v>
      </c>
      <c r="E430" s="75"/>
      <c r="F430" s="75"/>
      <c r="G430" s="75"/>
      <c r="H430" s="75">
        <v>3000</v>
      </c>
      <c r="I430" s="75">
        <v>12000</v>
      </c>
      <c r="J430" s="91" t="s">
        <v>1113</v>
      </c>
      <c r="K430" s="73"/>
      <c r="L430" s="46">
        <v>0</v>
      </c>
      <c r="M430" s="46">
        <v>0</v>
      </c>
      <c r="N430" s="46">
        <v>0</v>
      </c>
      <c r="O430" s="98"/>
      <c r="P430" s="23" t="s">
        <v>1391</v>
      </c>
      <c r="Q430" s="24" t="s">
        <v>1112</v>
      </c>
      <c r="R430" s="25" t="s">
        <v>325</v>
      </c>
      <c r="S430" s="26">
        <v>4</v>
      </c>
      <c r="T430" s="26"/>
      <c r="U430" s="26">
        <v>3000</v>
      </c>
      <c r="V430" s="26">
        <f t="shared" si="86"/>
        <v>0</v>
      </c>
      <c r="W430" s="26">
        <f t="shared" si="78"/>
        <v>0</v>
      </c>
      <c r="X430" s="26">
        <f t="shared" si="87"/>
        <v>0</v>
      </c>
      <c r="Y430" s="26">
        <f t="shared" si="88"/>
        <v>0</v>
      </c>
      <c r="Z430" s="33" t="s">
        <v>15</v>
      </c>
      <c r="AA430" s="36" t="s">
        <v>16</v>
      </c>
      <c r="AB430" s="181">
        <f t="shared" si="90"/>
        <v>4</v>
      </c>
      <c r="AC430" s="181">
        <f t="shared" si="89"/>
        <v>12000</v>
      </c>
      <c r="AD430" s="181">
        <v>3</v>
      </c>
      <c r="AE430" s="181">
        <v>3</v>
      </c>
      <c r="AF430" s="101" t="str">
        <f t="shared" si="91"/>
        <v/>
      </c>
      <c r="AG430" s="190">
        <v>0</v>
      </c>
      <c r="AH430" s="69">
        <f t="shared" si="84"/>
        <v>4</v>
      </c>
      <c r="AK430" s="69">
        <v>0</v>
      </c>
    </row>
    <row r="431" spans="1:37" s="69" customFormat="1" ht="66" customHeight="1" x14ac:dyDescent="0.3">
      <c r="A431" s="55" t="s">
        <v>1114</v>
      </c>
      <c r="B431" s="138" t="s">
        <v>3123</v>
      </c>
      <c r="C431" s="54" t="s">
        <v>325</v>
      </c>
      <c r="D431" s="75">
        <v>2</v>
      </c>
      <c r="E431" s="75"/>
      <c r="F431" s="75"/>
      <c r="G431" s="75"/>
      <c r="H431" s="75">
        <v>20000</v>
      </c>
      <c r="I431" s="75">
        <v>40000</v>
      </c>
      <c r="J431" s="91" t="s">
        <v>1116</v>
      </c>
      <c r="K431" s="73"/>
      <c r="L431" s="46">
        <v>0</v>
      </c>
      <c r="M431" s="46">
        <v>0</v>
      </c>
      <c r="N431" s="46">
        <v>0</v>
      </c>
      <c r="O431" s="98"/>
      <c r="P431" s="23" t="s">
        <v>1436</v>
      </c>
      <c r="Q431" s="24" t="s">
        <v>1115</v>
      </c>
      <c r="R431" s="25" t="s">
        <v>325</v>
      </c>
      <c r="S431" s="26">
        <v>2</v>
      </c>
      <c r="T431" s="26"/>
      <c r="U431" s="26">
        <v>20000</v>
      </c>
      <c r="V431" s="26">
        <f t="shared" si="86"/>
        <v>0</v>
      </c>
      <c r="W431" s="26">
        <f t="shared" si="78"/>
        <v>0</v>
      </c>
      <c r="X431" s="26">
        <f t="shared" si="87"/>
        <v>0</v>
      </c>
      <c r="Y431" s="26">
        <f t="shared" si="88"/>
        <v>0</v>
      </c>
      <c r="Z431" s="33" t="s">
        <v>15</v>
      </c>
      <c r="AA431" s="36" t="s">
        <v>16</v>
      </c>
      <c r="AB431" s="181">
        <f t="shared" si="90"/>
        <v>2</v>
      </c>
      <c r="AC431" s="181">
        <f t="shared" si="89"/>
        <v>40000</v>
      </c>
      <c r="AD431" s="181">
        <v>3</v>
      </c>
      <c r="AE431" s="181">
        <v>3</v>
      </c>
      <c r="AF431" s="101" t="str">
        <f t="shared" si="91"/>
        <v/>
      </c>
      <c r="AG431" s="190">
        <v>0</v>
      </c>
      <c r="AH431" s="69">
        <f t="shared" si="84"/>
        <v>2</v>
      </c>
      <c r="AK431" s="69">
        <v>0</v>
      </c>
    </row>
    <row r="432" spans="1:37" s="69" customFormat="1" ht="49.5" customHeight="1" x14ac:dyDescent="0.3">
      <c r="A432" s="55" t="s">
        <v>1117</v>
      </c>
      <c r="B432" s="138" t="s">
        <v>1118</v>
      </c>
      <c r="C432" s="54" t="s">
        <v>66</v>
      </c>
      <c r="D432" s="75">
        <v>1</v>
      </c>
      <c r="E432" s="75"/>
      <c r="F432" s="75"/>
      <c r="G432" s="75"/>
      <c r="H432" s="75">
        <v>15000</v>
      </c>
      <c r="I432" s="75">
        <v>15000</v>
      </c>
      <c r="J432" s="91" t="s">
        <v>1119</v>
      </c>
      <c r="K432" s="73"/>
      <c r="L432" s="46">
        <v>0</v>
      </c>
      <c r="M432" s="46">
        <v>0</v>
      </c>
      <c r="N432" s="46">
        <v>0</v>
      </c>
      <c r="O432" s="98"/>
      <c r="P432" s="23" t="s">
        <v>1374</v>
      </c>
      <c r="Q432" s="24" t="s">
        <v>1118</v>
      </c>
      <c r="R432" s="25" t="s">
        <v>66</v>
      </c>
      <c r="S432" s="26">
        <v>1</v>
      </c>
      <c r="T432" s="26"/>
      <c r="U432" s="26">
        <v>15000</v>
      </c>
      <c r="V432" s="26">
        <f t="shared" si="86"/>
        <v>0</v>
      </c>
      <c r="W432" s="26">
        <f t="shared" si="78"/>
        <v>0</v>
      </c>
      <c r="X432" s="26">
        <f t="shared" si="87"/>
        <v>0</v>
      </c>
      <c r="Y432" s="26">
        <f t="shared" si="88"/>
        <v>0</v>
      </c>
      <c r="Z432" s="33" t="s">
        <v>15</v>
      </c>
      <c r="AA432" s="36" t="s">
        <v>16</v>
      </c>
      <c r="AB432" s="181">
        <f t="shared" si="90"/>
        <v>1</v>
      </c>
      <c r="AC432" s="181">
        <f t="shared" si="89"/>
        <v>15000</v>
      </c>
      <c r="AD432" s="181">
        <v>3</v>
      </c>
      <c r="AE432" s="181">
        <v>3</v>
      </c>
      <c r="AF432" s="101" t="str">
        <f t="shared" si="91"/>
        <v/>
      </c>
      <c r="AG432" s="190">
        <v>0</v>
      </c>
      <c r="AH432" s="69">
        <f t="shared" si="84"/>
        <v>1</v>
      </c>
      <c r="AK432" s="69">
        <v>0</v>
      </c>
    </row>
    <row r="433" spans="1:37" s="69" customFormat="1" ht="49.5" customHeight="1" x14ac:dyDescent="0.3">
      <c r="A433" s="55" t="s">
        <v>1120</v>
      </c>
      <c r="B433" s="138" t="s">
        <v>1121</v>
      </c>
      <c r="C433" s="54" t="s">
        <v>1122</v>
      </c>
      <c r="D433" s="75">
        <v>3</v>
      </c>
      <c r="E433" s="75"/>
      <c r="F433" s="75"/>
      <c r="G433" s="75"/>
      <c r="H433" s="75">
        <v>1300</v>
      </c>
      <c r="I433" s="75">
        <v>3900</v>
      </c>
      <c r="J433" s="91" t="s">
        <v>1123</v>
      </c>
      <c r="K433" s="73"/>
      <c r="L433" s="46">
        <v>0</v>
      </c>
      <c r="M433" s="46">
        <v>0</v>
      </c>
      <c r="N433" s="46">
        <v>0</v>
      </c>
      <c r="O433" s="98"/>
      <c r="P433" s="23" t="s">
        <v>1376</v>
      </c>
      <c r="Q433" s="24" t="s">
        <v>1121</v>
      </c>
      <c r="R433" s="25" t="s">
        <v>1122</v>
      </c>
      <c r="S433" s="26">
        <v>3</v>
      </c>
      <c r="T433" s="26"/>
      <c r="U433" s="26">
        <v>1300</v>
      </c>
      <c r="V433" s="26">
        <f t="shared" si="86"/>
        <v>0</v>
      </c>
      <c r="W433" s="26">
        <f t="shared" si="78"/>
        <v>0</v>
      </c>
      <c r="X433" s="26">
        <f t="shared" si="87"/>
        <v>0</v>
      </c>
      <c r="Y433" s="26">
        <f t="shared" si="88"/>
        <v>0</v>
      </c>
      <c r="Z433" s="33" t="s">
        <v>15</v>
      </c>
      <c r="AA433" s="36" t="s">
        <v>16</v>
      </c>
      <c r="AB433" s="181">
        <f t="shared" si="90"/>
        <v>3</v>
      </c>
      <c r="AC433" s="181">
        <f t="shared" si="89"/>
        <v>3900</v>
      </c>
      <c r="AD433" s="181">
        <v>3</v>
      </c>
      <c r="AE433" s="181">
        <v>3</v>
      </c>
      <c r="AF433" s="101" t="str">
        <f t="shared" si="91"/>
        <v/>
      </c>
      <c r="AG433" s="190">
        <v>0</v>
      </c>
      <c r="AH433" s="69">
        <f t="shared" si="84"/>
        <v>3</v>
      </c>
      <c r="AK433" s="69">
        <v>0</v>
      </c>
    </row>
    <row r="434" spans="1:37" s="69" customFormat="1" ht="33" customHeight="1" x14ac:dyDescent="0.3">
      <c r="A434" s="55" t="s">
        <v>1124</v>
      </c>
      <c r="B434" s="138" t="s">
        <v>3124</v>
      </c>
      <c r="C434" s="54" t="s">
        <v>1122</v>
      </c>
      <c r="D434" s="75">
        <v>6</v>
      </c>
      <c r="E434" s="75"/>
      <c r="F434" s="75"/>
      <c r="G434" s="75"/>
      <c r="H434" s="75">
        <v>1000</v>
      </c>
      <c r="I434" s="75">
        <v>6000</v>
      </c>
      <c r="J434" s="91" t="s">
        <v>1126</v>
      </c>
      <c r="K434" s="73"/>
      <c r="L434" s="46">
        <v>0</v>
      </c>
      <c r="M434" s="46">
        <v>0</v>
      </c>
      <c r="N434" s="46">
        <v>0</v>
      </c>
      <c r="O434" s="98"/>
      <c r="P434" s="23" t="s">
        <v>1378</v>
      </c>
      <c r="Q434" s="24" t="s">
        <v>1125</v>
      </c>
      <c r="R434" s="25" t="s">
        <v>1122</v>
      </c>
      <c r="S434" s="26">
        <v>6</v>
      </c>
      <c r="T434" s="26"/>
      <c r="U434" s="26">
        <v>1000</v>
      </c>
      <c r="V434" s="26">
        <f t="shared" si="86"/>
        <v>0</v>
      </c>
      <c r="W434" s="26">
        <f t="shared" si="78"/>
        <v>0</v>
      </c>
      <c r="X434" s="26">
        <f t="shared" si="87"/>
        <v>0</v>
      </c>
      <c r="Y434" s="26">
        <f t="shared" si="88"/>
        <v>0</v>
      </c>
      <c r="Z434" s="33" t="s">
        <v>15</v>
      </c>
      <c r="AA434" s="36" t="s">
        <v>16</v>
      </c>
      <c r="AB434" s="181">
        <f t="shared" si="90"/>
        <v>6</v>
      </c>
      <c r="AC434" s="181">
        <f t="shared" si="89"/>
        <v>6000</v>
      </c>
      <c r="AD434" s="181">
        <v>3</v>
      </c>
      <c r="AE434" s="181">
        <v>3</v>
      </c>
      <c r="AF434" s="101" t="str">
        <f t="shared" si="91"/>
        <v/>
      </c>
      <c r="AG434" s="190">
        <v>0</v>
      </c>
      <c r="AH434" s="69">
        <f t="shared" si="84"/>
        <v>6</v>
      </c>
      <c r="AK434" s="69">
        <v>0</v>
      </c>
    </row>
    <row r="435" spans="1:37" s="69" customFormat="1" ht="33" customHeight="1" x14ac:dyDescent="0.3">
      <c r="A435" s="55" t="s">
        <v>1127</v>
      </c>
      <c r="B435" s="138" t="s">
        <v>1128</v>
      </c>
      <c r="C435" s="54" t="s">
        <v>325</v>
      </c>
      <c r="D435" s="75">
        <v>2</v>
      </c>
      <c r="E435" s="75"/>
      <c r="F435" s="75"/>
      <c r="G435" s="75"/>
      <c r="H435" s="75">
        <v>9000</v>
      </c>
      <c r="I435" s="75">
        <v>18000</v>
      </c>
      <c r="J435" s="91" t="s">
        <v>1129</v>
      </c>
      <c r="K435" s="73"/>
      <c r="L435" s="46">
        <v>0</v>
      </c>
      <c r="M435" s="46">
        <v>0</v>
      </c>
      <c r="N435" s="46">
        <v>0</v>
      </c>
      <c r="O435" s="98"/>
      <c r="P435" s="23" t="s">
        <v>1438</v>
      </c>
      <c r="Q435" s="24" t="s">
        <v>1128</v>
      </c>
      <c r="R435" s="25" t="s">
        <v>325</v>
      </c>
      <c r="S435" s="26">
        <v>2</v>
      </c>
      <c r="T435" s="26"/>
      <c r="U435" s="26">
        <v>9000</v>
      </c>
      <c r="V435" s="26">
        <f t="shared" si="86"/>
        <v>0</v>
      </c>
      <c r="W435" s="26">
        <f t="shared" si="78"/>
        <v>0</v>
      </c>
      <c r="X435" s="26">
        <f t="shared" si="87"/>
        <v>0</v>
      </c>
      <c r="Y435" s="26">
        <f t="shared" si="88"/>
        <v>0</v>
      </c>
      <c r="Z435" s="33" t="s">
        <v>15</v>
      </c>
      <c r="AA435" s="36" t="s">
        <v>16</v>
      </c>
      <c r="AB435" s="181">
        <f t="shared" si="90"/>
        <v>2</v>
      </c>
      <c r="AC435" s="181">
        <f t="shared" si="89"/>
        <v>18000</v>
      </c>
      <c r="AD435" s="181">
        <v>3</v>
      </c>
      <c r="AE435" s="181">
        <v>3</v>
      </c>
      <c r="AF435" s="101" t="str">
        <f t="shared" si="91"/>
        <v/>
      </c>
      <c r="AG435" s="190">
        <v>0</v>
      </c>
      <c r="AH435" s="69">
        <f t="shared" si="84"/>
        <v>2</v>
      </c>
      <c r="AK435" s="69">
        <v>0</v>
      </c>
    </row>
    <row r="436" spans="1:37" s="69" customFormat="1" ht="49.5" customHeight="1" x14ac:dyDescent="0.3">
      <c r="A436" s="55" t="s">
        <v>1130</v>
      </c>
      <c r="B436" s="138" t="s">
        <v>3127</v>
      </c>
      <c r="C436" s="54" t="s">
        <v>325</v>
      </c>
      <c r="D436" s="75">
        <v>3</v>
      </c>
      <c r="E436" s="75"/>
      <c r="F436" s="75"/>
      <c r="G436" s="75"/>
      <c r="H436" s="75">
        <v>4200</v>
      </c>
      <c r="I436" s="75">
        <v>12600</v>
      </c>
      <c r="J436" s="91" t="s">
        <v>1132</v>
      </c>
      <c r="K436" s="73"/>
      <c r="L436" s="46">
        <v>0</v>
      </c>
      <c r="M436" s="46">
        <v>0</v>
      </c>
      <c r="N436" s="46">
        <v>0</v>
      </c>
      <c r="O436" s="98"/>
      <c r="P436" s="23" t="s">
        <v>1439</v>
      </c>
      <c r="Q436" s="24" t="s">
        <v>1131</v>
      </c>
      <c r="R436" s="25" t="s">
        <v>325</v>
      </c>
      <c r="S436" s="26">
        <v>3</v>
      </c>
      <c r="T436" s="26"/>
      <c r="U436" s="26">
        <v>4200</v>
      </c>
      <c r="V436" s="26">
        <f t="shared" si="86"/>
        <v>0</v>
      </c>
      <c r="W436" s="26">
        <f t="shared" si="78"/>
        <v>0</v>
      </c>
      <c r="X436" s="26">
        <f t="shared" si="87"/>
        <v>0</v>
      </c>
      <c r="Y436" s="26">
        <f t="shared" si="88"/>
        <v>0</v>
      </c>
      <c r="Z436" s="33" t="s">
        <v>15</v>
      </c>
      <c r="AA436" s="36" t="s">
        <v>16</v>
      </c>
      <c r="AB436" s="181">
        <f t="shared" si="90"/>
        <v>3</v>
      </c>
      <c r="AC436" s="181">
        <f t="shared" si="89"/>
        <v>12600</v>
      </c>
      <c r="AD436" s="181">
        <v>3</v>
      </c>
      <c r="AE436" s="181">
        <v>3</v>
      </c>
      <c r="AF436" s="101" t="str">
        <f t="shared" si="91"/>
        <v/>
      </c>
      <c r="AG436" s="190">
        <v>0</v>
      </c>
      <c r="AH436" s="69">
        <f t="shared" si="84"/>
        <v>3</v>
      </c>
    </row>
    <row r="437" spans="1:37" s="69" customFormat="1" ht="49.5" customHeight="1" x14ac:dyDescent="0.3">
      <c r="A437" s="55" t="s">
        <v>1133</v>
      </c>
      <c r="B437" s="138" t="s">
        <v>3126</v>
      </c>
      <c r="C437" s="54" t="s">
        <v>66</v>
      </c>
      <c r="D437" s="75">
        <v>4</v>
      </c>
      <c r="E437" s="75"/>
      <c r="F437" s="75"/>
      <c r="G437" s="75"/>
      <c r="H437" s="75">
        <v>1000</v>
      </c>
      <c r="I437" s="75">
        <v>4000</v>
      </c>
      <c r="J437" s="91" t="s">
        <v>1135</v>
      </c>
      <c r="K437" s="73"/>
      <c r="L437" s="46">
        <v>0</v>
      </c>
      <c r="M437" s="46">
        <v>0</v>
      </c>
      <c r="N437" s="46">
        <v>0</v>
      </c>
      <c r="O437" s="98"/>
      <c r="P437" s="23" t="s">
        <v>1440</v>
      </c>
      <c r="Q437" s="24" t="s">
        <v>1134</v>
      </c>
      <c r="R437" s="25" t="s">
        <v>66</v>
      </c>
      <c r="S437" s="26">
        <v>4</v>
      </c>
      <c r="T437" s="26"/>
      <c r="U437" s="26">
        <v>1000</v>
      </c>
      <c r="V437" s="26">
        <f t="shared" si="86"/>
        <v>0</v>
      </c>
      <c r="W437" s="26">
        <f t="shared" si="78"/>
        <v>0</v>
      </c>
      <c r="X437" s="26">
        <f t="shared" si="87"/>
        <v>0</v>
      </c>
      <c r="Y437" s="26">
        <f t="shared" si="88"/>
        <v>0</v>
      </c>
      <c r="Z437" s="33" t="s">
        <v>15</v>
      </c>
      <c r="AA437" s="36" t="s">
        <v>16</v>
      </c>
      <c r="AB437" s="181">
        <f t="shared" si="90"/>
        <v>4</v>
      </c>
      <c r="AC437" s="181">
        <f t="shared" si="89"/>
        <v>4000</v>
      </c>
      <c r="AD437" s="181">
        <v>3</v>
      </c>
      <c r="AE437" s="181">
        <v>3</v>
      </c>
      <c r="AF437" s="101" t="str">
        <f t="shared" si="91"/>
        <v/>
      </c>
      <c r="AG437" s="190">
        <v>0</v>
      </c>
      <c r="AH437" s="69">
        <f t="shared" si="84"/>
        <v>4</v>
      </c>
    </row>
    <row r="438" spans="1:37" s="69" customFormat="1" ht="49.5" customHeight="1" x14ac:dyDescent="0.3">
      <c r="A438" s="55" t="s">
        <v>1136</v>
      </c>
      <c r="B438" s="138" t="s">
        <v>3125</v>
      </c>
      <c r="C438" s="54" t="s">
        <v>325</v>
      </c>
      <c r="D438" s="75">
        <v>15</v>
      </c>
      <c r="E438" s="75"/>
      <c r="F438" s="75"/>
      <c r="G438" s="75"/>
      <c r="H438" s="75">
        <v>4500</v>
      </c>
      <c r="I438" s="75">
        <v>67500</v>
      </c>
      <c r="J438" s="91" t="s">
        <v>1138</v>
      </c>
      <c r="K438" s="73"/>
      <c r="L438" s="46">
        <v>0</v>
      </c>
      <c r="M438" s="46">
        <v>0</v>
      </c>
      <c r="N438" s="46">
        <v>0</v>
      </c>
      <c r="O438" s="98"/>
      <c r="P438" s="23" t="s">
        <v>1441</v>
      </c>
      <c r="Q438" s="24" t="s">
        <v>1137</v>
      </c>
      <c r="R438" s="25" t="s">
        <v>325</v>
      </c>
      <c r="S438" s="26">
        <v>15</v>
      </c>
      <c r="T438" s="26"/>
      <c r="U438" s="26">
        <v>4500</v>
      </c>
      <c r="V438" s="26">
        <f t="shared" si="86"/>
        <v>0</v>
      </c>
      <c r="W438" s="26">
        <f t="shared" si="78"/>
        <v>0</v>
      </c>
      <c r="X438" s="26">
        <f t="shared" si="87"/>
        <v>0</v>
      </c>
      <c r="Y438" s="26">
        <f t="shared" si="88"/>
        <v>0</v>
      </c>
      <c r="Z438" s="33" t="s">
        <v>15</v>
      </c>
      <c r="AA438" s="36" t="s">
        <v>16</v>
      </c>
      <c r="AB438" s="181">
        <f t="shared" si="90"/>
        <v>15</v>
      </c>
      <c r="AC438" s="181">
        <f t="shared" si="89"/>
        <v>67500</v>
      </c>
      <c r="AD438" s="181">
        <v>3</v>
      </c>
      <c r="AE438" s="181">
        <v>3</v>
      </c>
      <c r="AF438" s="101" t="str">
        <f t="shared" si="91"/>
        <v/>
      </c>
      <c r="AG438" s="190">
        <v>0</v>
      </c>
      <c r="AH438" s="69">
        <f t="shared" si="84"/>
        <v>15</v>
      </c>
    </row>
    <row r="439" spans="1:37" s="69" customFormat="1" ht="33" customHeight="1" x14ac:dyDescent="0.3">
      <c r="A439" s="55" t="s">
        <v>1139</v>
      </c>
      <c r="B439" s="138" t="s">
        <v>3128</v>
      </c>
      <c r="C439" s="54" t="s">
        <v>325</v>
      </c>
      <c r="D439" s="75">
        <v>2</v>
      </c>
      <c r="E439" s="75"/>
      <c r="F439" s="75"/>
      <c r="G439" s="75"/>
      <c r="H439" s="75">
        <v>636300</v>
      </c>
      <c r="I439" s="75">
        <v>1272600</v>
      </c>
      <c r="J439" s="91" t="s">
        <v>1141</v>
      </c>
      <c r="K439" s="73"/>
      <c r="L439" s="46">
        <v>1</v>
      </c>
      <c r="M439" s="46">
        <v>0</v>
      </c>
      <c r="N439" s="46">
        <v>636300</v>
      </c>
      <c r="O439" s="98"/>
      <c r="P439" s="23" t="s">
        <v>1442</v>
      </c>
      <c r="Q439" s="24" t="s">
        <v>1140</v>
      </c>
      <c r="R439" s="25" t="s">
        <v>325</v>
      </c>
      <c r="S439" s="26">
        <v>2</v>
      </c>
      <c r="T439" s="26"/>
      <c r="U439" s="26">
        <v>636300</v>
      </c>
      <c r="V439" s="26">
        <f t="shared" si="86"/>
        <v>0</v>
      </c>
      <c r="W439" s="26">
        <f t="shared" si="78"/>
        <v>1</v>
      </c>
      <c r="X439" s="26">
        <f t="shared" si="87"/>
        <v>0</v>
      </c>
      <c r="Y439" s="26">
        <f t="shared" si="88"/>
        <v>636300</v>
      </c>
      <c r="Z439" s="33" t="s">
        <v>15</v>
      </c>
      <c r="AA439" s="36" t="s">
        <v>16</v>
      </c>
      <c r="AB439" s="181">
        <f t="shared" si="90"/>
        <v>2</v>
      </c>
      <c r="AC439" s="181">
        <f t="shared" si="89"/>
        <v>1272600</v>
      </c>
      <c r="AD439" s="181">
        <v>3</v>
      </c>
      <c r="AE439" s="181">
        <v>3</v>
      </c>
      <c r="AF439" s="101" t="str">
        <f t="shared" si="91"/>
        <v/>
      </c>
      <c r="AG439" s="190">
        <v>1</v>
      </c>
      <c r="AH439" s="69">
        <f t="shared" si="84"/>
        <v>2</v>
      </c>
    </row>
    <row r="440" spans="1:37" s="69" customFormat="1" ht="49.5" customHeight="1" x14ac:dyDescent="0.3">
      <c r="A440" s="55" t="s">
        <v>1142</v>
      </c>
      <c r="B440" s="138" t="s">
        <v>1143</v>
      </c>
      <c r="C440" s="54" t="s">
        <v>1144</v>
      </c>
      <c r="D440" s="75">
        <v>4</v>
      </c>
      <c r="E440" s="75"/>
      <c r="F440" s="75"/>
      <c r="G440" s="75"/>
      <c r="H440" s="75">
        <v>2000</v>
      </c>
      <c r="I440" s="75">
        <v>8000</v>
      </c>
      <c r="J440" s="91" t="s">
        <v>1145</v>
      </c>
      <c r="K440" s="73"/>
      <c r="L440" s="46">
        <v>0</v>
      </c>
      <c r="M440" s="46">
        <v>0</v>
      </c>
      <c r="N440" s="46">
        <v>0</v>
      </c>
      <c r="O440" s="98"/>
      <c r="P440" s="23" t="s">
        <v>1443</v>
      </c>
      <c r="Q440" s="24" t="s">
        <v>1143</v>
      </c>
      <c r="R440" s="25" t="s">
        <v>1144</v>
      </c>
      <c r="S440" s="26">
        <v>4</v>
      </c>
      <c r="T440" s="26"/>
      <c r="U440" s="26">
        <v>2000</v>
      </c>
      <c r="V440" s="26">
        <f t="shared" si="86"/>
        <v>0</v>
      </c>
      <c r="W440" s="26">
        <f t="shared" si="78"/>
        <v>0</v>
      </c>
      <c r="X440" s="26">
        <f t="shared" si="87"/>
        <v>0</v>
      </c>
      <c r="Y440" s="26">
        <f t="shared" si="88"/>
        <v>0</v>
      </c>
      <c r="Z440" s="33" t="s">
        <v>15</v>
      </c>
      <c r="AA440" s="36" t="s">
        <v>16</v>
      </c>
      <c r="AB440" s="181">
        <f t="shared" si="90"/>
        <v>4</v>
      </c>
      <c r="AC440" s="181">
        <f t="shared" si="89"/>
        <v>8000</v>
      </c>
      <c r="AD440" s="181">
        <v>3</v>
      </c>
      <c r="AE440" s="181">
        <v>3</v>
      </c>
      <c r="AF440" s="101" t="str">
        <f t="shared" si="91"/>
        <v/>
      </c>
      <c r="AG440" s="190">
        <v>0</v>
      </c>
      <c r="AH440" s="69">
        <f t="shared" si="84"/>
        <v>4</v>
      </c>
    </row>
    <row r="441" spans="1:37" s="69" customFormat="1" ht="33" x14ac:dyDescent="0.3">
      <c r="A441" s="134">
        <v>3.35</v>
      </c>
      <c r="B441" s="135" t="s">
        <v>1346</v>
      </c>
      <c r="C441" s="204" t="s">
        <v>325</v>
      </c>
      <c r="D441" s="77"/>
      <c r="E441" s="59">
        <v>1</v>
      </c>
      <c r="F441" s="77"/>
      <c r="G441" s="77"/>
      <c r="H441" s="77">
        <v>119161.05</v>
      </c>
      <c r="I441" s="59">
        <v>119161.05</v>
      </c>
      <c r="J441" s="92"/>
      <c r="K441" s="73"/>
      <c r="L441" s="46">
        <v>1</v>
      </c>
      <c r="M441" s="46">
        <v>0</v>
      </c>
      <c r="N441" s="46">
        <v>119161.05</v>
      </c>
      <c r="O441" s="98"/>
      <c r="P441" s="23" t="s">
        <v>1444</v>
      </c>
      <c r="Q441" s="24" t="s">
        <v>1501</v>
      </c>
      <c r="R441" s="25" t="s">
        <v>325</v>
      </c>
      <c r="S441" s="26">
        <v>0</v>
      </c>
      <c r="T441" s="26">
        <v>1</v>
      </c>
      <c r="U441" s="26">
        <v>119161.05</v>
      </c>
      <c r="V441" s="127">
        <f t="shared" si="86"/>
        <v>0</v>
      </c>
      <c r="W441" s="127">
        <f t="shared" si="78"/>
        <v>1</v>
      </c>
      <c r="X441" s="127">
        <f t="shared" si="87"/>
        <v>0</v>
      </c>
      <c r="Y441" s="127">
        <f t="shared" si="88"/>
        <v>119161.05</v>
      </c>
      <c r="Z441" s="27"/>
      <c r="AA441" s="36" t="s">
        <v>16</v>
      </c>
      <c r="AB441" s="181">
        <f t="shared" si="90"/>
        <v>1</v>
      </c>
      <c r="AC441" s="181">
        <f t="shared" si="89"/>
        <v>119161.05</v>
      </c>
      <c r="AD441" s="181">
        <v>3</v>
      </c>
      <c r="AE441" s="181">
        <v>3</v>
      </c>
      <c r="AF441" s="101" t="str">
        <f t="shared" si="91"/>
        <v/>
      </c>
      <c r="AG441" s="190">
        <v>1</v>
      </c>
      <c r="AH441" s="69">
        <f t="shared" si="84"/>
        <v>1</v>
      </c>
    </row>
    <row r="442" spans="1:37" ht="39" x14ac:dyDescent="0.3">
      <c r="A442" s="134" t="s">
        <v>1347</v>
      </c>
      <c r="B442" s="135" t="s">
        <v>1348</v>
      </c>
      <c r="C442" s="204" t="s">
        <v>325</v>
      </c>
      <c r="D442" s="78"/>
      <c r="E442" s="78"/>
      <c r="F442" s="62">
        <v>1</v>
      </c>
      <c r="G442" s="140"/>
      <c r="H442" s="78">
        <v>74988.5</v>
      </c>
      <c r="I442" s="62">
        <v>74988.5</v>
      </c>
      <c r="J442" s="93"/>
      <c r="L442" s="46">
        <v>1</v>
      </c>
      <c r="M442" s="46">
        <v>0</v>
      </c>
      <c r="N442" s="46">
        <v>74988.5</v>
      </c>
      <c r="O442" s="98"/>
      <c r="P442" s="23" t="s">
        <v>1408</v>
      </c>
      <c r="Q442" s="24" t="s">
        <v>1348</v>
      </c>
      <c r="R442" s="25" t="s">
        <v>325</v>
      </c>
      <c r="S442" s="26">
        <v>0</v>
      </c>
      <c r="T442" s="26">
        <v>1</v>
      </c>
      <c r="U442" s="26">
        <v>74988.5</v>
      </c>
      <c r="V442" s="127">
        <f t="shared" si="86"/>
        <v>0</v>
      </c>
      <c r="W442" s="127">
        <f t="shared" si="78"/>
        <v>1</v>
      </c>
      <c r="X442" s="127">
        <f t="shared" si="87"/>
        <v>0</v>
      </c>
      <c r="Y442" s="127">
        <f t="shared" si="88"/>
        <v>74988.5</v>
      </c>
      <c r="Z442" s="27"/>
      <c r="AA442" s="36" t="s">
        <v>16</v>
      </c>
      <c r="AB442" s="181">
        <f t="shared" si="90"/>
        <v>1</v>
      </c>
      <c r="AC442" s="181">
        <f t="shared" si="89"/>
        <v>74988.5</v>
      </c>
      <c r="AD442" s="181">
        <v>3</v>
      </c>
      <c r="AE442" s="181">
        <v>3</v>
      </c>
      <c r="AF442" s="101" t="str">
        <f t="shared" si="91"/>
        <v/>
      </c>
      <c r="AG442" s="190">
        <v>1</v>
      </c>
      <c r="AH442" s="69">
        <f t="shared" si="84"/>
        <v>1</v>
      </c>
    </row>
    <row r="443" spans="1:37" ht="49.5" x14ac:dyDescent="0.3">
      <c r="A443" s="134" t="s">
        <v>1349</v>
      </c>
      <c r="B443" s="139" t="s">
        <v>1350</v>
      </c>
      <c r="C443" s="204" t="s">
        <v>325</v>
      </c>
      <c r="D443" s="78"/>
      <c r="E443" s="78"/>
      <c r="F443" s="62">
        <v>2</v>
      </c>
      <c r="G443" s="140"/>
      <c r="H443" s="78">
        <v>83493.929999999993</v>
      </c>
      <c r="I443" s="62">
        <v>166987.85999999999</v>
      </c>
      <c r="J443" s="93"/>
      <c r="L443" s="46">
        <v>2</v>
      </c>
      <c r="M443" s="46">
        <v>0</v>
      </c>
      <c r="N443" s="46">
        <v>166987.85999999999</v>
      </c>
      <c r="O443" s="98"/>
      <c r="P443" s="23" t="s">
        <v>1409</v>
      </c>
      <c r="Q443" s="24" t="s">
        <v>1350</v>
      </c>
      <c r="R443" s="25" t="s">
        <v>325</v>
      </c>
      <c r="S443" s="26">
        <v>0</v>
      </c>
      <c r="T443" s="26">
        <v>2</v>
      </c>
      <c r="U443" s="26">
        <v>83493.929999999993</v>
      </c>
      <c r="V443" s="127">
        <f t="shared" si="86"/>
        <v>0</v>
      </c>
      <c r="W443" s="127">
        <f t="shared" si="78"/>
        <v>2</v>
      </c>
      <c r="X443" s="127">
        <f t="shared" si="87"/>
        <v>0</v>
      </c>
      <c r="Y443" s="127">
        <f t="shared" si="88"/>
        <v>166987.85999999999</v>
      </c>
      <c r="Z443" s="27"/>
      <c r="AA443" s="36" t="s">
        <v>16</v>
      </c>
      <c r="AB443" s="181">
        <f t="shared" si="90"/>
        <v>2</v>
      </c>
      <c r="AC443" s="181">
        <f t="shared" si="89"/>
        <v>166987.85999999999</v>
      </c>
      <c r="AD443" s="181">
        <v>3</v>
      </c>
      <c r="AE443" s="181">
        <v>3</v>
      </c>
      <c r="AF443" s="101" t="str">
        <f t="shared" si="91"/>
        <v/>
      </c>
      <c r="AG443" s="190">
        <v>2</v>
      </c>
      <c r="AH443" s="69">
        <f t="shared" si="84"/>
        <v>2</v>
      </c>
    </row>
    <row r="444" spans="1:37" ht="49.5" x14ac:dyDescent="0.3">
      <c r="A444" s="134" t="s">
        <v>1351</v>
      </c>
      <c r="B444" s="139" t="s">
        <v>1352</v>
      </c>
      <c r="C444" s="204" t="s">
        <v>325</v>
      </c>
      <c r="D444" s="78"/>
      <c r="E444" s="78"/>
      <c r="F444" s="62">
        <v>2</v>
      </c>
      <c r="G444" s="140"/>
      <c r="H444" s="78">
        <v>76194.460000000006</v>
      </c>
      <c r="I444" s="62">
        <v>152388.92000000001</v>
      </c>
      <c r="J444" s="93"/>
      <c r="L444" s="46">
        <v>2</v>
      </c>
      <c r="M444" s="46">
        <v>0</v>
      </c>
      <c r="N444" s="46">
        <v>152388.92000000001</v>
      </c>
      <c r="O444" s="98"/>
      <c r="P444" s="23" t="s">
        <v>1410</v>
      </c>
      <c r="Q444" s="24" t="s">
        <v>1352</v>
      </c>
      <c r="R444" s="25" t="s">
        <v>325</v>
      </c>
      <c r="S444" s="26">
        <v>0</v>
      </c>
      <c r="T444" s="26">
        <v>2</v>
      </c>
      <c r="U444" s="26">
        <v>76194.460000000006</v>
      </c>
      <c r="V444" s="127">
        <f t="shared" si="86"/>
        <v>0</v>
      </c>
      <c r="W444" s="127">
        <f t="shared" si="78"/>
        <v>2</v>
      </c>
      <c r="X444" s="127">
        <f t="shared" si="87"/>
        <v>0</v>
      </c>
      <c r="Y444" s="127">
        <f t="shared" si="88"/>
        <v>152388.92000000001</v>
      </c>
      <c r="Z444" s="27"/>
      <c r="AA444" s="36" t="s">
        <v>16</v>
      </c>
      <c r="AB444" s="181">
        <f t="shared" si="90"/>
        <v>2</v>
      </c>
      <c r="AC444" s="181">
        <f t="shared" si="89"/>
        <v>152388.92000000001</v>
      </c>
      <c r="AD444" s="181">
        <v>3</v>
      </c>
      <c r="AE444" s="181">
        <v>3</v>
      </c>
      <c r="AF444" s="101" t="str">
        <f t="shared" si="91"/>
        <v/>
      </c>
      <c r="AG444" s="190">
        <v>2</v>
      </c>
      <c r="AH444" s="69">
        <f t="shared" si="84"/>
        <v>2</v>
      </c>
    </row>
    <row r="445" spans="1:37" ht="33" x14ac:dyDescent="0.3">
      <c r="A445" s="134" t="s">
        <v>1353</v>
      </c>
      <c r="B445" s="139" t="s">
        <v>1354</v>
      </c>
      <c r="C445" s="204" t="s">
        <v>325</v>
      </c>
      <c r="D445" s="78"/>
      <c r="E445" s="78"/>
      <c r="F445" s="62">
        <v>2</v>
      </c>
      <c r="G445" s="140"/>
      <c r="H445" s="78">
        <v>17998.689999999999</v>
      </c>
      <c r="I445" s="62">
        <v>35997.379999999997</v>
      </c>
      <c r="J445" s="93"/>
      <c r="L445" s="46">
        <v>2</v>
      </c>
      <c r="M445" s="46">
        <v>0</v>
      </c>
      <c r="N445" s="46">
        <v>35997.379999999997</v>
      </c>
      <c r="O445" s="98"/>
      <c r="P445" s="23" t="s">
        <v>1411</v>
      </c>
      <c r="Q445" s="24" t="s">
        <v>1354</v>
      </c>
      <c r="R445" s="25" t="s">
        <v>325</v>
      </c>
      <c r="S445" s="26">
        <v>0</v>
      </c>
      <c r="T445" s="26">
        <v>2</v>
      </c>
      <c r="U445" s="26">
        <v>17998.689999999999</v>
      </c>
      <c r="V445" s="127">
        <f t="shared" si="86"/>
        <v>0</v>
      </c>
      <c r="W445" s="127">
        <f t="shared" si="78"/>
        <v>2</v>
      </c>
      <c r="X445" s="127">
        <f t="shared" si="87"/>
        <v>0</v>
      </c>
      <c r="Y445" s="127">
        <f t="shared" si="88"/>
        <v>35997.379999999997</v>
      </c>
      <c r="Z445" s="27"/>
      <c r="AA445" s="36" t="s">
        <v>16</v>
      </c>
      <c r="AB445" s="181">
        <f t="shared" si="90"/>
        <v>2</v>
      </c>
      <c r="AC445" s="181">
        <f t="shared" si="89"/>
        <v>35997.379999999997</v>
      </c>
      <c r="AD445" s="181">
        <v>3</v>
      </c>
      <c r="AE445" s="181">
        <v>3</v>
      </c>
      <c r="AF445" s="101" t="str">
        <f t="shared" si="91"/>
        <v/>
      </c>
      <c r="AG445" s="190">
        <v>2</v>
      </c>
      <c r="AH445" s="69">
        <f t="shared" si="84"/>
        <v>2</v>
      </c>
    </row>
    <row r="446" spans="1:37" s="69" customFormat="1" ht="33" customHeight="1" x14ac:dyDescent="0.3">
      <c r="A446" s="85" t="s">
        <v>1146</v>
      </c>
      <c r="B446" s="86" t="s">
        <v>1147</v>
      </c>
      <c r="C446" s="87" t="s">
        <v>14</v>
      </c>
      <c r="D446" s="88">
        <v>1</v>
      </c>
      <c r="E446" s="88"/>
      <c r="F446" s="88"/>
      <c r="G446" s="88"/>
      <c r="H446" s="88"/>
      <c r="I446" s="88">
        <v>2798664.24</v>
      </c>
      <c r="J446" s="95" t="s">
        <v>15</v>
      </c>
      <c r="K446" s="73"/>
      <c r="L446" s="42">
        <v>1</v>
      </c>
      <c r="M446" s="42">
        <v>69816.499999999971</v>
      </c>
      <c r="N446" s="42">
        <v>925992.58</v>
      </c>
      <c r="O446" s="98"/>
      <c r="P446" s="13" t="s">
        <v>1412</v>
      </c>
      <c r="Q446" s="14" t="s">
        <v>1147</v>
      </c>
      <c r="R446" s="15" t="s">
        <v>14</v>
      </c>
      <c r="S446" s="16">
        <v>1</v>
      </c>
      <c r="T446" s="16"/>
      <c r="U446" s="16">
        <f>SUMIFS(AC:AC,AD:AD,AD446)</f>
        <v>2798664.24</v>
      </c>
      <c r="V446" s="16">
        <f t="shared" ref="V446:W446" si="92">IF(X446=0,0,1)</f>
        <v>1</v>
      </c>
      <c r="W446" s="16">
        <f t="shared" si="92"/>
        <v>1</v>
      </c>
      <c r="X446" s="16">
        <f>SUMIFS(X:X,AE:AE,AD446)</f>
        <v>41415.860000000015</v>
      </c>
      <c r="Y446" s="16">
        <f>SUMIFS(Y:Y,AE:AE,AD446)</f>
        <v>967408.44</v>
      </c>
      <c r="Z446" s="17" t="s">
        <v>15</v>
      </c>
      <c r="AA446" s="40" t="s">
        <v>16</v>
      </c>
      <c r="AB446" s="181">
        <f t="shared" si="90"/>
        <v>1</v>
      </c>
      <c r="AC446" s="183"/>
      <c r="AD446" s="183">
        <v>4</v>
      </c>
      <c r="AE446" s="183"/>
      <c r="AF446" s="101" t="str">
        <f t="shared" si="91"/>
        <v/>
      </c>
      <c r="AG446" s="190">
        <v>1</v>
      </c>
      <c r="AH446" s="69">
        <f t="shared" si="84"/>
        <v>1</v>
      </c>
    </row>
    <row r="447" spans="1:37" s="69" customFormat="1" ht="49.5" customHeight="1" x14ac:dyDescent="0.3">
      <c r="A447" s="55" t="s">
        <v>1148</v>
      </c>
      <c r="B447" s="53" t="s">
        <v>1149</v>
      </c>
      <c r="C447" s="54" t="s">
        <v>1150</v>
      </c>
      <c r="D447" s="75">
        <v>48</v>
      </c>
      <c r="E447" s="75"/>
      <c r="F447" s="75"/>
      <c r="G447" s="75"/>
      <c r="H447" s="75">
        <v>13068.13</v>
      </c>
      <c r="I447" s="75">
        <v>627270.24</v>
      </c>
      <c r="J447" s="91" t="s">
        <v>1151</v>
      </c>
      <c r="K447" s="73"/>
      <c r="L447" s="46">
        <v>22</v>
      </c>
      <c r="M447" s="46">
        <v>26136.25999999998</v>
      </c>
      <c r="N447" s="46">
        <v>287498.86</v>
      </c>
      <c r="O447" s="98"/>
      <c r="P447" s="23" t="s">
        <v>1421</v>
      </c>
      <c r="Q447" s="24" t="s">
        <v>1149</v>
      </c>
      <c r="R447" s="25" t="s">
        <v>1150</v>
      </c>
      <c r="S447" s="26">
        <v>48</v>
      </c>
      <c r="T447" s="26"/>
      <c r="U447" s="26">
        <v>13068.13</v>
      </c>
      <c r="V447" s="102">
        <f t="shared" ref="V447:V449" si="93">AG447-L447</f>
        <v>2</v>
      </c>
      <c r="W447" s="26">
        <f t="shared" si="78"/>
        <v>24</v>
      </c>
      <c r="X447" s="26">
        <f>Y447-N447</f>
        <v>26136.260000000009</v>
      </c>
      <c r="Y447" s="26">
        <f t="shared" ref="Y447:Y449" si="94">ROUND(U447*W447,2)</f>
        <v>313635.12</v>
      </c>
      <c r="Z447" s="33" t="s">
        <v>15</v>
      </c>
      <c r="AA447" s="36" t="s">
        <v>16</v>
      </c>
      <c r="AB447" s="181">
        <f t="shared" si="90"/>
        <v>48</v>
      </c>
      <c r="AC447" s="181">
        <f t="shared" ref="AC447:AC449" si="95">ROUND(U447*AB447,2)</f>
        <v>627270.24</v>
      </c>
      <c r="AD447" s="181">
        <v>4</v>
      </c>
      <c r="AE447" s="181">
        <v>4</v>
      </c>
      <c r="AF447" s="101" t="str">
        <f t="shared" si="91"/>
        <v/>
      </c>
      <c r="AG447" s="191">
        <f>16+2+2+2+2</f>
        <v>24</v>
      </c>
      <c r="AH447" s="69">
        <f t="shared" si="84"/>
        <v>48</v>
      </c>
    </row>
    <row r="448" spans="1:37" s="69" customFormat="1" ht="66" customHeight="1" x14ac:dyDescent="0.3">
      <c r="A448" s="55" t="s">
        <v>1152</v>
      </c>
      <c r="B448" s="53" t="s">
        <v>1153</v>
      </c>
      <c r="C448" s="54" t="s">
        <v>998</v>
      </c>
      <c r="D448" s="75">
        <v>6720</v>
      </c>
      <c r="E448" s="75"/>
      <c r="F448" s="75"/>
      <c r="G448" s="75"/>
      <c r="H448" s="75">
        <v>54.57</v>
      </c>
      <c r="I448" s="75">
        <v>366710.4</v>
      </c>
      <c r="J448" s="91" t="s">
        <v>1154</v>
      </c>
      <c r="K448" s="73"/>
      <c r="L448" s="46">
        <v>1400</v>
      </c>
      <c r="M448" s="46">
        <v>0</v>
      </c>
      <c r="N448" s="46">
        <v>76398</v>
      </c>
      <c r="O448" s="98"/>
      <c r="P448" s="23" t="s">
        <v>1426</v>
      </c>
      <c r="Q448" s="24" t="s">
        <v>1153</v>
      </c>
      <c r="R448" s="25" t="s">
        <v>998</v>
      </c>
      <c r="S448" s="26">
        <v>6720</v>
      </c>
      <c r="T448" s="26"/>
      <c r="U448" s="26">
        <v>54.57</v>
      </c>
      <c r="V448" s="102">
        <f t="shared" si="93"/>
        <v>280</v>
      </c>
      <c r="W448" s="26">
        <f t="shared" si="78"/>
        <v>1680</v>
      </c>
      <c r="X448" s="26">
        <f>Y448-N448</f>
        <v>15279.600000000006</v>
      </c>
      <c r="Y448" s="26">
        <f t="shared" si="94"/>
        <v>91677.6</v>
      </c>
      <c r="Z448" s="33" t="s">
        <v>15</v>
      </c>
      <c r="AA448" s="36" t="s">
        <v>16</v>
      </c>
      <c r="AB448" s="181">
        <f t="shared" si="90"/>
        <v>6720</v>
      </c>
      <c r="AC448" s="181">
        <f t="shared" si="95"/>
        <v>366710.4</v>
      </c>
      <c r="AD448" s="181">
        <v>4</v>
      </c>
      <c r="AE448" s="181">
        <v>4</v>
      </c>
      <c r="AF448" s="101" t="str">
        <f t="shared" si="91"/>
        <v/>
      </c>
      <c r="AG448" s="190">
        <f>1400+280</f>
        <v>1680</v>
      </c>
      <c r="AH448" s="69">
        <f t="shared" si="84"/>
        <v>6720</v>
      </c>
    </row>
    <row r="449" spans="1:34" s="69" customFormat="1" ht="33" x14ac:dyDescent="0.3">
      <c r="A449" s="66">
        <v>4.3</v>
      </c>
      <c r="B449" s="57" t="s">
        <v>1355</v>
      </c>
      <c r="C449" s="58" t="s">
        <v>1360</v>
      </c>
      <c r="D449" s="77"/>
      <c r="E449" s="117">
        <v>1570</v>
      </c>
      <c r="F449" s="59"/>
      <c r="G449" s="142"/>
      <c r="H449" s="77">
        <v>1149.48</v>
      </c>
      <c r="I449" s="59">
        <v>1804683.6</v>
      </c>
      <c r="J449" s="92"/>
      <c r="K449" s="73"/>
      <c r="L449" s="46">
        <v>489</v>
      </c>
      <c r="M449" s="46">
        <v>43680.239999999991</v>
      </c>
      <c r="N449" s="46">
        <v>562095.72</v>
      </c>
      <c r="O449" s="98"/>
      <c r="P449" s="23" t="s">
        <v>1402</v>
      </c>
      <c r="Q449" s="24" t="s">
        <v>1502</v>
      </c>
      <c r="R449" s="25" t="s">
        <v>1360</v>
      </c>
      <c r="S449" s="26">
        <v>0</v>
      </c>
      <c r="T449" s="26">
        <v>1570</v>
      </c>
      <c r="U449" s="26">
        <v>1149.48</v>
      </c>
      <c r="V449" s="102">
        <f t="shared" si="93"/>
        <v>0</v>
      </c>
      <c r="W449" s="26">
        <f t="shared" si="78"/>
        <v>489</v>
      </c>
      <c r="X449" s="26">
        <f>Y449-N449</f>
        <v>0</v>
      </c>
      <c r="Y449" s="26">
        <f t="shared" si="94"/>
        <v>562095.72</v>
      </c>
      <c r="Z449" s="27"/>
      <c r="AA449" s="36" t="s">
        <v>16</v>
      </c>
      <c r="AB449" s="181">
        <f t="shared" si="90"/>
        <v>1570</v>
      </c>
      <c r="AC449" s="181">
        <f t="shared" si="95"/>
        <v>1804683.6</v>
      </c>
      <c r="AD449" s="181">
        <v>4</v>
      </c>
      <c r="AE449" s="181">
        <v>4</v>
      </c>
      <c r="AF449" s="101" t="str">
        <f t="shared" si="91"/>
        <v/>
      </c>
      <c r="AG449" s="191">
        <f>384+35+32+38</f>
        <v>489</v>
      </c>
      <c r="AH449" s="69">
        <f t="shared" si="84"/>
        <v>1570</v>
      </c>
    </row>
    <row r="450" spans="1:34" s="69" customFormat="1" ht="33" customHeight="1" x14ac:dyDescent="0.3">
      <c r="A450" s="85" t="s">
        <v>1155</v>
      </c>
      <c r="B450" s="86" t="s">
        <v>1156</v>
      </c>
      <c r="C450" s="87" t="s">
        <v>14</v>
      </c>
      <c r="D450" s="88">
        <v>1</v>
      </c>
      <c r="E450" s="88"/>
      <c r="F450" s="88"/>
      <c r="G450" s="88"/>
      <c r="H450" s="88"/>
      <c r="I450" s="88">
        <v>10715306.710000001</v>
      </c>
      <c r="J450" s="95" t="s">
        <v>15</v>
      </c>
      <c r="K450" s="73"/>
      <c r="L450" s="42">
        <v>1</v>
      </c>
      <c r="M450" s="42">
        <v>263694.64</v>
      </c>
      <c r="N450" s="42">
        <v>9010888.1500000004</v>
      </c>
      <c r="O450" s="98"/>
      <c r="P450" s="13" t="s">
        <v>1413</v>
      </c>
      <c r="Q450" s="14" t="s">
        <v>1156</v>
      </c>
      <c r="R450" s="15" t="s">
        <v>14</v>
      </c>
      <c r="S450" s="16">
        <v>1</v>
      </c>
      <c r="T450" s="16"/>
      <c r="U450" s="16">
        <f>SUMIFS(AC:AC,AD:AD,AD450)</f>
        <v>10715306.709999999</v>
      </c>
      <c r="V450" s="16">
        <f t="shared" ref="V450:W450" si="96">IF(X450=0,0,1)</f>
        <v>1</v>
      </c>
      <c r="W450" s="16">
        <f t="shared" si="96"/>
        <v>1</v>
      </c>
      <c r="X450" s="16">
        <f>SUMIFS(X:X,AE:AE,AD450)</f>
        <v>139800</v>
      </c>
      <c r="Y450" s="16">
        <f>SUMIFS(Y:Y,AE:AE,AD450)</f>
        <v>9150688.1500000004</v>
      </c>
      <c r="Z450" s="17" t="s">
        <v>15</v>
      </c>
      <c r="AA450" s="40" t="s">
        <v>16</v>
      </c>
      <c r="AB450" s="181">
        <f t="shared" si="90"/>
        <v>1</v>
      </c>
      <c r="AC450" s="183"/>
      <c r="AD450" s="183">
        <v>5</v>
      </c>
      <c r="AE450" s="183"/>
      <c r="AF450" s="101" t="str">
        <f t="shared" si="91"/>
        <v/>
      </c>
      <c r="AG450" s="190">
        <v>1</v>
      </c>
      <c r="AH450" s="69">
        <f t="shared" si="84"/>
        <v>1</v>
      </c>
    </row>
    <row r="451" spans="1:34" s="69" customFormat="1" ht="49.5" customHeight="1" x14ac:dyDescent="0.3">
      <c r="A451" s="130" t="s">
        <v>1157</v>
      </c>
      <c r="B451" s="131" t="s">
        <v>1158</v>
      </c>
      <c r="C451" s="132" t="s">
        <v>30</v>
      </c>
      <c r="D451" s="75">
        <v>1698.29</v>
      </c>
      <c r="E451" s="75"/>
      <c r="F451" s="75"/>
      <c r="G451" s="75"/>
      <c r="H451" s="75">
        <v>3662.23</v>
      </c>
      <c r="I451" s="75">
        <v>6219528.5899999999</v>
      </c>
      <c r="J451" s="91" t="s">
        <v>1159</v>
      </c>
      <c r="K451" s="73"/>
      <c r="L451" s="46">
        <v>1698.29</v>
      </c>
      <c r="M451" s="46">
        <v>0</v>
      </c>
      <c r="N451" s="46">
        <v>6219528.5899999999</v>
      </c>
      <c r="O451" s="98"/>
      <c r="P451" s="23" t="s">
        <v>1421</v>
      </c>
      <c r="Q451" s="24" t="s">
        <v>1158</v>
      </c>
      <c r="R451" s="25" t="s">
        <v>30</v>
      </c>
      <c r="S451" s="26">
        <v>1698.29</v>
      </c>
      <c r="T451" s="26"/>
      <c r="U451" s="26">
        <v>3662.23</v>
      </c>
      <c r="V451" s="127">
        <f t="shared" ref="V451:V470" si="97">AG451-L451</f>
        <v>0</v>
      </c>
      <c r="W451" s="127">
        <f t="shared" si="78"/>
        <v>1698.29</v>
      </c>
      <c r="X451" s="127">
        <f t="shared" ref="X451:X470" si="98">Y451-N451</f>
        <v>0</v>
      </c>
      <c r="Y451" s="127">
        <f t="shared" ref="Y451:Y470" si="99">ROUND(U451*W451,2)</f>
        <v>6219528.5899999999</v>
      </c>
      <c r="Z451" s="33" t="s">
        <v>15</v>
      </c>
      <c r="AA451" s="36" t="s">
        <v>16</v>
      </c>
      <c r="AB451" s="181">
        <f t="shared" si="90"/>
        <v>1698.29</v>
      </c>
      <c r="AC451" s="181">
        <f t="shared" ref="AC451:AC470" si="100">ROUND(U451*AB451,2)</f>
        <v>6219528.5899999999</v>
      </c>
      <c r="AD451" s="181">
        <v>5</v>
      </c>
      <c r="AE451" s="181">
        <v>5</v>
      </c>
      <c r="AF451" s="101" t="str">
        <f t="shared" si="91"/>
        <v/>
      </c>
      <c r="AG451" s="190">
        <v>1698.29</v>
      </c>
      <c r="AH451" s="69">
        <f t="shared" si="84"/>
        <v>1698.29</v>
      </c>
    </row>
    <row r="452" spans="1:34" s="69" customFormat="1" ht="58.5" x14ac:dyDescent="0.3">
      <c r="A452" s="130" t="s">
        <v>1160</v>
      </c>
      <c r="B452" s="131" t="s">
        <v>1161</v>
      </c>
      <c r="C452" s="132" t="s">
        <v>50</v>
      </c>
      <c r="D452" s="75">
        <v>2123.4</v>
      </c>
      <c r="E452" s="75"/>
      <c r="F452" s="75"/>
      <c r="G452" s="75"/>
      <c r="H452" s="75">
        <v>353</v>
      </c>
      <c r="I452" s="75">
        <v>749560.2</v>
      </c>
      <c r="J452" s="91" t="s">
        <v>1162</v>
      </c>
      <c r="K452" s="73"/>
      <c r="L452" s="46">
        <v>2123.4</v>
      </c>
      <c r="M452" s="46">
        <v>0</v>
      </c>
      <c r="N452" s="46">
        <v>749560.2</v>
      </c>
      <c r="O452" s="98"/>
      <c r="P452" s="23" t="s">
        <v>1426</v>
      </c>
      <c r="Q452" s="24" t="s">
        <v>1161</v>
      </c>
      <c r="R452" s="25" t="s">
        <v>50</v>
      </c>
      <c r="S452" s="26">
        <v>2123.4</v>
      </c>
      <c r="T452" s="26"/>
      <c r="U452" s="26">
        <v>353</v>
      </c>
      <c r="V452" s="127">
        <f t="shared" si="97"/>
        <v>0</v>
      </c>
      <c r="W452" s="127">
        <v>2123.4</v>
      </c>
      <c r="X452" s="127">
        <f t="shared" si="98"/>
        <v>0</v>
      </c>
      <c r="Y452" s="127">
        <f t="shared" si="99"/>
        <v>749560.2</v>
      </c>
      <c r="Z452" s="33" t="s">
        <v>15</v>
      </c>
      <c r="AA452" s="36" t="s">
        <v>16</v>
      </c>
      <c r="AB452" s="181">
        <f t="shared" si="90"/>
        <v>2123.4</v>
      </c>
      <c r="AC452" s="181">
        <f t="shared" si="100"/>
        <v>749560.2</v>
      </c>
      <c r="AD452" s="181">
        <v>5</v>
      </c>
      <c r="AE452" s="181">
        <v>5</v>
      </c>
      <c r="AF452" s="101" t="str">
        <f t="shared" si="91"/>
        <v/>
      </c>
      <c r="AG452" s="190">
        <v>2123.4</v>
      </c>
      <c r="AH452" s="69">
        <f t="shared" si="84"/>
        <v>2123.4</v>
      </c>
    </row>
    <row r="453" spans="1:34" s="69" customFormat="1" ht="49.5" customHeight="1" x14ac:dyDescent="0.3">
      <c r="A453" s="55" t="s">
        <v>1163</v>
      </c>
      <c r="B453" s="53" t="s">
        <v>1164</v>
      </c>
      <c r="C453" s="54" t="s">
        <v>162</v>
      </c>
      <c r="D453" s="75">
        <v>59</v>
      </c>
      <c r="E453" s="75"/>
      <c r="F453" s="75"/>
      <c r="G453" s="75"/>
      <c r="H453" s="75">
        <v>217.02</v>
      </c>
      <c r="I453" s="75">
        <v>12804.18</v>
      </c>
      <c r="J453" s="91" t="s">
        <v>1165</v>
      </c>
      <c r="K453" s="73"/>
      <c r="L453" s="46">
        <v>30</v>
      </c>
      <c r="M453" s="46">
        <v>0</v>
      </c>
      <c r="N453" s="46">
        <v>6510.6</v>
      </c>
      <c r="O453" s="98"/>
      <c r="P453" s="23" t="s">
        <v>1402</v>
      </c>
      <c r="Q453" s="24" t="s">
        <v>1164</v>
      </c>
      <c r="R453" s="25" t="s">
        <v>162</v>
      </c>
      <c r="S453" s="26">
        <v>59</v>
      </c>
      <c r="T453" s="26"/>
      <c r="U453" s="26">
        <v>217.02</v>
      </c>
      <c r="V453" s="26">
        <f t="shared" si="97"/>
        <v>0</v>
      </c>
      <c r="W453" s="26">
        <f t="shared" si="78"/>
        <v>30</v>
      </c>
      <c r="X453" s="26">
        <f t="shared" si="98"/>
        <v>0</v>
      </c>
      <c r="Y453" s="26">
        <f t="shared" si="99"/>
        <v>6510.6</v>
      </c>
      <c r="Z453" s="33" t="s">
        <v>15</v>
      </c>
      <c r="AA453" s="36" t="s">
        <v>16</v>
      </c>
      <c r="AB453" s="181">
        <f t="shared" si="90"/>
        <v>59</v>
      </c>
      <c r="AC453" s="181">
        <f t="shared" si="100"/>
        <v>12804.18</v>
      </c>
      <c r="AD453" s="181">
        <v>5</v>
      </c>
      <c r="AE453" s="181">
        <v>5</v>
      </c>
      <c r="AF453" s="101" t="str">
        <f t="shared" si="91"/>
        <v/>
      </c>
      <c r="AG453" s="190">
        <v>30</v>
      </c>
      <c r="AH453" s="69">
        <f t="shared" si="84"/>
        <v>59</v>
      </c>
    </row>
    <row r="454" spans="1:34" s="69" customFormat="1" ht="33" customHeight="1" x14ac:dyDescent="0.3">
      <c r="A454" s="55" t="s">
        <v>1166</v>
      </c>
      <c r="B454" s="53" t="s">
        <v>1167</v>
      </c>
      <c r="C454" s="54" t="s">
        <v>559</v>
      </c>
      <c r="D454" s="75">
        <v>30</v>
      </c>
      <c r="E454" s="75"/>
      <c r="F454" s="75"/>
      <c r="G454" s="75"/>
      <c r="H454" s="75">
        <v>50</v>
      </c>
      <c r="I454" s="75">
        <v>1500</v>
      </c>
      <c r="J454" s="91" t="s">
        <v>1168</v>
      </c>
      <c r="K454" s="73"/>
      <c r="L454" s="46">
        <v>20</v>
      </c>
      <c r="M454" s="46">
        <v>0</v>
      </c>
      <c r="N454" s="46">
        <v>1000</v>
      </c>
      <c r="O454" s="98"/>
      <c r="P454" s="23" t="s">
        <v>1373</v>
      </c>
      <c r="Q454" s="24" t="s">
        <v>1167</v>
      </c>
      <c r="R454" s="25" t="s">
        <v>559</v>
      </c>
      <c r="S454" s="26">
        <v>30</v>
      </c>
      <c r="T454" s="26"/>
      <c r="U454" s="26">
        <v>50</v>
      </c>
      <c r="V454" s="26">
        <f t="shared" si="97"/>
        <v>0</v>
      </c>
      <c r="W454" s="26">
        <f t="shared" si="78"/>
        <v>20</v>
      </c>
      <c r="X454" s="26">
        <f t="shared" si="98"/>
        <v>0</v>
      </c>
      <c r="Y454" s="26">
        <f t="shared" si="99"/>
        <v>1000</v>
      </c>
      <c r="Z454" s="33" t="s">
        <v>15</v>
      </c>
      <c r="AA454" s="36" t="s">
        <v>16</v>
      </c>
      <c r="AB454" s="181">
        <f t="shared" si="90"/>
        <v>30</v>
      </c>
      <c r="AC454" s="181">
        <f t="shared" si="100"/>
        <v>1500</v>
      </c>
      <c r="AD454" s="181">
        <v>5</v>
      </c>
      <c r="AE454" s="181">
        <v>5</v>
      </c>
      <c r="AF454" s="101" t="str">
        <f t="shared" si="91"/>
        <v/>
      </c>
      <c r="AG454" s="190">
        <v>20</v>
      </c>
      <c r="AH454" s="69">
        <f t="shared" si="84"/>
        <v>30</v>
      </c>
    </row>
    <row r="455" spans="1:34" s="69" customFormat="1" ht="49.5" customHeight="1" x14ac:dyDescent="0.3">
      <c r="A455" s="130" t="s">
        <v>1169</v>
      </c>
      <c r="B455" s="131" t="s">
        <v>1170</v>
      </c>
      <c r="C455" s="132" t="s">
        <v>81</v>
      </c>
      <c r="D455" s="75">
        <v>9</v>
      </c>
      <c r="E455" s="75"/>
      <c r="F455" s="75"/>
      <c r="G455" s="75"/>
      <c r="H455" s="75">
        <v>1900.97</v>
      </c>
      <c r="I455" s="75">
        <v>17108.73</v>
      </c>
      <c r="J455" s="91" t="s">
        <v>1171</v>
      </c>
      <c r="K455" s="73"/>
      <c r="L455" s="46">
        <v>9</v>
      </c>
      <c r="M455" s="46">
        <v>0</v>
      </c>
      <c r="N455" s="46">
        <v>17108.73</v>
      </c>
      <c r="O455" s="98"/>
      <c r="P455" s="23" t="s">
        <v>1393</v>
      </c>
      <c r="Q455" s="24" t="s">
        <v>1170</v>
      </c>
      <c r="R455" s="25" t="s">
        <v>81</v>
      </c>
      <c r="S455" s="26">
        <v>9</v>
      </c>
      <c r="T455" s="26"/>
      <c r="U455" s="26">
        <v>1900.97</v>
      </c>
      <c r="V455" s="127">
        <f t="shared" si="97"/>
        <v>0</v>
      </c>
      <c r="W455" s="127">
        <f t="shared" si="78"/>
        <v>9</v>
      </c>
      <c r="X455" s="127">
        <f t="shared" si="98"/>
        <v>0</v>
      </c>
      <c r="Y455" s="127">
        <f t="shared" si="99"/>
        <v>17108.73</v>
      </c>
      <c r="Z455" s="33" t="s">
        <v>15</v>
      </c>
      <c r="AA455" s="36" t="s">
        <v>16</v>
      </c>
      <c r="AB455" s="181">
        <f t="shared" si="90"/>
        <v>9</v>
      </c>
      <c r="AC455" s="181">
        <f t="shared" si="100"/>
        <v>17108.73</v>
      </c>
      <c r="AD455" s="181">
        <v>5</v>
      </c>
      <c r="AE455" s="181">
        <v>5</v>
      </c>
      <c r="AF455" s="101" t="str">
        <f t="shared" si="91"/>
        <v/>
      </c>
      <c r="AG455" s="190">
        <v>9</v>
      </c>
      <c r="AH455" s="69">
        <f t="shared" si="84"/>
        <v>9</v>
      </c>
    </row>
    <row r="456" spans="1:34" s="69" customFormat="1" ht="49.5" customHeight="1" x14ac:dyDescent="0.3">
      <c r="A456" s="130" t="s">
        <v>1172</v>
      </c>
      <c r="B456" s="131" t="s">
        <v>1173</v>
      </c>
      <c r="C456" s="132" t="s">
        <v>81</v>
      </c>
      <c r="D456" s="75">
        <v>5</v>
      </c>
      <c r="E456" s="75"/>
      <c r="F456" s="75"/>
      <c r="G456" s="75"/>
      <c r="H456" s="75">
        <v>1230.75</v>
      </c>
      <c r="I456" s="75">
        <v>6153.75</v>
      </c>
      <c r="J456" s="91" t="s">
        <v>1174</v>
      </c>
      <c r="K456" s="73"/>
      <c r="L456" s="46">
        <v>5</v>
      </c>
      <c r="M456" s="46">
        <v>0</v>
      </c>
      <c r="N456" s="46">
        <v>6153.75</v>
      </c>
      <c r="O456" s="98"/>
      <c r="P456" s="23" t="s">
        <v>1403</v>
      </c>
      <c r="Q456" s="24" t="s">
        <v>1173</v>
      </c>
      <c r="R456" s="25" t="s">
        <v>81</v>
      </c>
      <c r="S456" s="26">
        <v>5</v>
      </c>
      <c r="T456" s="26"/>
      <c r="U456" s="26">
        <v>1230.75</v>
      </c>
      <c r="V456" s="127">
        <f t="shared" si="97"/>
        <v>0</v>
      </c>
      <c r="W456" s="127">
        <f t="shared" si="78"/>
        <v>5</v>
      </c>
      <c r="X456" s="127">
        <f t="shared" si="98"/>
        <v>0</v>
      </c>
      <c r="Y456" s="127">
        <f t="shared" si="99"/>
        <v>6153.75</v>
      </c>
      <c r="Z456" s="33" t="s">
        <v>15</v>
      </c>
      <c r="AA456" s="36" t="s">
        <v>16</v>
      </c>
      <c r="AB456" s="181">
        <f t="shared" si="90"/>
        <v>5</v>
      </c>
      <c r="AC456" s="181">
        <f t="shared" si="100"/>
        <v>6153.75</v>
      </c>
      <c r="AD456" s="181">
        <v>5</v>
      </c>
      <c r="AE456" s="181">
        <v>5</v>
      </c>
      <c r="AF456" s="101" t="str">
        <f t="shared" si="91"/>
        <v/>
      </c>
      <c r="AG456" s="190">
        <v>5</v>
      </c>
      <c r="AH456" s="69">
        <f t="shared" si="84"/>
        <v>5</v>
      </c>
    </row>
    <row r="457" spans="1:34" s="69" customFormat="1" ht="33" x14ac:dyDescent="0.3">
      <c r="A457" s="55" t="s">
        <v>1175</v>
      </c>
      <c r="B457" s="53" t="s">
        <v>1176</v>
      </c>
      <c r="C457" s="54" t="s">
        <v>81</v>
      </c>
      <c r="D457" s="75">
        <v>756</v>
      </c>
      <c r="E457" s="75"/>
      <c r="F457" s="75"/>
      <c r="G457" s="75"/>
      <c r="H457" s="75">
        <v>1666.11</v>
      </c>
      <c r="I457" s="75">
        <v>1259579.1599999999</v>
      </c>
      <c r="J457" s="91" t="s">
        <v>1177</v>
      </c>
      <c r="K457" s="73"/>
      <c r="L457" s="46">
        <v>400</v>
      </c>
      <c r="M457" s="46">
        <v>0</v>
      </c>
      <c r="N457" s="46">
        <v>666444</v>
      </c>
      <c r="O457" s="98"/>
      <c r="P457" s="23" t="s">
        <v>1427</v>
      </c>
      <c r="Q457" s="24" t="s">
        <v>1176</v>
      </c>
      <c r="R457" s="25" t="s">
        <v>81</v>
      </c>
      <c r="S457" s="26">
        <v>756</v>
      </c>
      <c r="T457" s="26"/>
      <c r="U457" s="26">
        <v>1666.11</v>
      </c>
      <c r="V457" s="26">
        <f t="shared" si="97"/>
        <v>0</v>
      </c>
      <c r="W457" s="26">
        <f t="shared" si="78"/>
        <v>400</v>
      </c>
      <c r="X457" s="26">
        <f t="shared" si="98"/>
        <v>0</v>
      </c>
      <c r="Y457" s="26">
        <f t="shared" si="99"/>
        <v>666444</v>
      </c>
      <c r="Z457" s="33" t="s">
        <v>15</v>
      </c>
      <c r="AA457" s="36" t="s">
        <v>16</v>
      </c>
      <c r="AB457" s="181">
        <f t="shared" si="90"/>
        <v>756</v>
      </c>
      <c r="AC457" s="181">
        <f t="shared" si="100"/>
        <v>1259579.1599999999</v>
      </c>
      <c r="AD457" s="181">
        <v>5</v>
      </c>
      <c r="AE457" s="181">
        <v>5</v>
      </c>
      <c r="AF457" s="101" t="str">
        <f t="shared" si="91"/>
        <v/>
      </c>
      <c r="AG457" s="190">
        <v>400</v>
      </c>
      <c r="AH457" s="69">
        <f t="shared" si="84"/>
        <v>756</v>
      </c>
    </row>
    <row r="458" spans="1:34" s="69" customFormat="1" ht="49.5" customHeight="1" x14ac:dyDescent="0.3">
      <c r="A458" s="130" t="s">
        <v>1178</v>
      </c>
      <c r="B458" s="131" t="s">
        <v>1179</v>
      </c>
      <c r="C458" s="132" t="s">
        <v>81</v>
      </c>
      <c r="D458" s="75">
        <v>2</v>
      </c>
      <c r="E458" s="75"/>
      <c r="F458" s="75"/>
      <c r="G458" s="75"/>
      <c r="H458" s="75">
        <v>48513</v>
      </c>
      <c r="I458" s="75">
        <v>97026</v>
      </c>
      <c r="J458" s="91" t="s">
        <v>1180</v>
      </c>
      <c r="K458" s="73"/>
      <c r="L458" s="46">
        <v>2</v>
      </c>
      <c r="M458" s="46">
        <v>0</v>
      </c>
      <c r="N458" s="46">
        <v>97026</v>
      </c>
      <c r="O458" s="98"/>
      <c r="P458" s="23" t="s">
        <v>1428</v>
      </c>
      <c r="Q458" s="24" t="s">
        <v>1179</v>
      </c>
      <c r="R458" s="25" t="s">
        <v>81</v>
      </c>
      <c r="S458" s="26">
        <v>2</v>
      </c>
      <c r="T458" s="26"/>
      <c r="U458" s="26">
        <v>48513</v>
      </c>
      <c r="V458" s="127">
        <f t="shared" si="97"/>
        <v>0</v>
      </c>
      <c r="W458" s="127">
        <v>2</v>
      </c>
      <c r="X458" s="127">
        <f t="shared" si="98"/>
        <v>0</v>
      </c>
      <c r="Y458" s="127">
        <f t="shared" si="99"/>
        <v>97026</v>
      </c>
      <c r="Z458" s="33" t="s">
        <v>15</v>
      </c>
      <c r="AA458" s="36" t="s">
        <v>16</v>
      </c>
      <c r="AB458" s="181">
        <f t="shared" si="90"/>
        <v>2</v>
      </c>
      <c r="AC458" s="181">
        <f t="shared" si="100"/>
        <v>97026</v>
      </c>
      <c r="AD458" s="181">
        <v>5</v>
      </c>
      <c r="AE458" s="181">
        <v>5</v>
      </c>
      <c r="AF458" s="101" t="str">
        <f t="shared" si="91"/>
        <v/>
      </c>
      <c r="AG458" s="190">
        <v>2</v>
      </c>
      <c r="AH458" s="69">
        <f t="shared" si="84"/>
        <v>2</v>
      </c>
    </row>
    <row r="459" spans="1:34" s="69" customFormat="1" ht="41.25" x14ac:dyDescent="0.3">
      <c r="A459" s="55" t="s">
        <v>1181</v>
      </c>
      <c r="B459" s="53" t="s">
        <v>1182</v>
      </c>
      <c r="C459" s="54" t="s">
        <v>1183</v>
      </c>
      <c r="D459" s="75">
        <v>18</v>
      </c>
      <c r="E459" s="75">
        <v>38</v>
      </c>
      <c r="F459" s="75"/>
      <c r="G459" s="75"/>
      <c r="H459" s="75">
        <v>587.1</v>
      </c>
      <c r="I459" s="75">
        <v>22309.8</v>
      </c>
      <c r="J459" s="91" t="s">
        <v>1184</v>
      </c>
      <c r="K459" s="73"/>
      <c r="L459" s="46">
        <v>20</v>
      </c>
      <c r="M459" s="46">
        <v>0</v>
      </c>
      <c r="N459" s="46">
        <v>11742</v>
      </c>
      <c r="O459" s="98"/>
      <c r="P459" s="23" t="s">
        <v>1387</v>
      </c>
      <c r="Q459" s="24" t="s">
        <v>1182</v>
      </c>
      <c r="R459" s="25" t="s">
        <v>1183</v>
      </c>
      <c r="S459" s="26">
        <v>18</v>
      </c>
      <c r="T459" s="26">
        <v>38</v>
      </c>
      <c r="U459" s="26">
        <v>587.1</v>
      </c>
      <c r="V459" s="26">
        <f t="shared" si="97"/>
        <v>0</v>
      </c>
      <c r="W459" s="26">
        <f t="shared" ref="W459:W493" si="101">V459+L459</f>
        <v>20</v>
      </c>
      <c r="X459" s="26">
        <f t="shared" si="98"/>
        <v>0</v>
      </c>
      <c r="Y459" s="26">
        <f t="shared" si="99"/>
        <v>11742</v>
      </c>
      <c r="Z459" s="27" t="s">
        <v>15</v>
      </c>
      <c r="AA459" s="36" t="s">
        <v>16</v>
      </c>
      <c r="AB459" s="181">
        <f t="shared" si="90"/>
        <v>38</v>
      </c>
      <c r="AC459" s="181">
        <f t="shared" si="100"/>
        <v>22309.8</v>
      </c>
      <c r="AD459" s="181">
        <v>5</v>
      </c>
      <c r="AE459" s="181">
        <v>5</v>
      </c>
      <c r="AF459" s="101" t="str">
        <f t="shared" si="91"/>
        <v/>
      </c>
      <c r="AG459" s="190">
        <v>20</v>
      </c>
      <c r="AH459" s="69">
        <f t="shared" ref="AH459:AH502" si="102">IF(G459=0,IF(F459=0,IF(E459=0,D459,E459),F459),G459)</f>
        <v>38</v>
      </c>
    </row>
    <row r="460" spans="1:34" s="69" customFormat="1" ht="49.5" customHeight="1" x14ac:dyDescent="0.3">
      <c r="A460" s="55" t="s">
        <v>1185</v>
      </c>
      <c r="B460" s="53" t="s">
        <v>1186</v>
      </c>
      <c r="C460" s="54" t="s">
        <v>162</v>
      </c>
      <c r="D460" s="75">
        <v>9</v>
      </c>
      <c r="E460" s="75"/>
      <c r="F460" s="75"/>
      <c r="G460" s="75"/>
      <c r="H460" s="75">
        <v>664.14</v>
      </c>
      <c r="I460" s="75">
        <v>5977.26</v>
      </c>
      <c r="J460" s="91" t="s">
        <v>1187</v>
      </c>
      <c r="K460" s="73"/>
      <c r="L460" s="46">
        <v>0</v>
      </c>
      <c r="M460" s="46">
        <v>0</v>
      </c>
      <c r="N460" s="46">
        <v>0</v>
      </c>
      <c r="O460" s="98"/>
      <c r="P460" s="23" t="s">
        <v>1405</v>
      </c>
      <c r="Q460" s="24" t="s">
        <v>1186</v>
      </c>
      <c r="R460" s="25" t="s">
        <v>162</v>
      </c>
      <c r="S460" s="26">
        <v>9</v>
      </c>
      <c r="T460" s="26"/>
      <c r="U460" s="26">
        <v>664.14</v>
      </c>
      <c r="V460" s="26">
        <f t="shared" si="97"/>
        <v>0</v>
      </c>
      <c r="W460" s="26">
        <f t="shared" si="101"/>
        <v>0</v>
      </c>
      <c r="X460" s="26">
        <f t="shared" si="98"/>
        <v>0</v>
      </c>
      <c r="Y460" s="26">
        <f t="shared" si="99"/>
        <v>0</v>
      </c>
      <c r="Z460" s="33" t="s">
        <v>15</v>
      </c>
      <c r="AA460" s="36" t="s">
        <v>16</v>
      </c>
      <c r="AB460" s="181">
        <f t="shared" si="90"/>
        <v>9</v>
      </c>
      <c r="AC460" s="181">
        <f t="shared" si="100"/>
        <v>5977.26</v>
      </c>
      <c r="AD460" s="181">
        <v>5</v>
      </c>
      <c r="AE460" s="181">
        <v>5</v>
      </c>
      <c r="AF460" s="101" t="str">
        <f t="shared" si="91"/>
        <v/>
      </c>
      <c r="AG460" s="190">
        <v>0</v>
      </c>
      <c r="AH460" s="69">
        <f t="shared" si="102"/>
        <v>9</v>
      </c>
    </row>
    <row r="461" spans="1:34" s="69" customFormat="1" ht="33" x14ac:dyDescent="0.3">
      <c r="A461" s="55" t="s">
        <v>1188</v>
      </c>
      <c r="B461" s="53" t="s">
        <v>1189</v>
      </c>
      <c r="C461" s="54" t="s">
        <v>81</v>
      </c>
      <c r="D461" s="75">
        <v>68</v>
      </c>
      <c r="E461" s="75"/>
      <c r="F461" s="75"/>
      <c r="G461" s="75"/>
      <c r="H461" s="75">
        <v>847.07</v>
      </c>
      <c r="I461" s="75">
        <v>57600.76</v>
      </c>
      <c r="J461" s="91" t="s">
        <v>1190</v>
      </c>
      <c r="K461" s="73"/>
      <c r="L461" s="46">
        <v>40</v>
      </c>
      <c r="M461" s="46">
        <v>0</v>
      </c>
      <c r="N461" s="46">
        <v>33882.800000000003</v>
      </c>
      <c r="O461" s="98"/>
      <c r="P461" s="23" t="s">
        <v>1406</v>
      </c>
      <c r="Q461" s="24" t="s">
        <v>1189</v>
      </c>
      <c r="R461" s="25" t="s">
        <v>81</v>
      </c>
      <c r="S461" s="26">
        <v>68</v>
      </c>
      <c r="T461" s="26"/>
      <c r="U461" s="26">
        <v>847.07</v>
      </c>
      <c r="V461" s="26">
        <f t="shared" si="97"/>
        <v>0</v>
      </c>
      <c r="W461" s="26">
        <f t="shared" si="101"/>
        <v>40</v>
      </c>
      <c r="X461" s="26">
        <f t="shared" si="98"/>
        <v>0</v>
      </c>
      <c r="Y461" s="26">
        <f t="shared" si="99"/>
        <v>33882.800000000003</v>
      </c>
      <c r="Z461" s="33" t="s">
        <v>15</v>
      </c>
      <c r="AA461" s="36" t="s">
        <v>16</v>
      </c>
      <c r="AB461" s="181">
        <f t="shared" si="90"/>
        <v>68</v>
      </c>
      <c r="AC461" s="181">
        <f t="shared" si="100"/>
        <v>57600.76</v>
      </c>
      <c r="AD461" s="181">
        <v>5</v>
      </c>
      <c r="AE461" s="181">
        <v>5</v>
      </c>
      <c r="AF461" s="101" t="str">
        <f t="shared" si="91"/>
        <v/>
      </c>
      <c r="AG461" s="190">
        <v>40</v>
      </c>
      <c r="AH461" s="69">
        <f t="shared" si="102"/>
        <v>68</v>
      </c>
    </row>
    <row r="462" spans="1:34" s="69" customFormat="1" ht="41.25" x14ac:dyDescent="0.3">
      <c r="A462" s="130" t="s">
        <v>1191</v>
      </c>
      <c r="B462" s="131" t="s">
        <v>1192</v>
      </c>
      <c r="C462" s="132" t="s">
        <v>30</v>
      </c>
      <c r="D462" s="75">
        <v>27.54</v>
      </c>
      <c r="E462" s="75"/>
      <c r="F462" s="75">
        <v>87.54</v>
      </c>
      <c r="G462" s="75"/>
      <c r="H462" s="75">
        <v>293.74</v>
      </c>
      <c r="I462" s="75">
        <v>25714</v>
      </c>
      <c r="J462" s="91" t="s">
        <v>1193</v>
      </c>
      <c r="K462" s="73"/>
      <c r="L462" s="46">
        <v>87.54</v>
      </c>
      <c r="M462" s="46">
        <v>0</v>
      </c>
      <c r="N462" s="46">
        <v>25714</v>
      </c>
      <c r="O462" s="98"/>
      <c r="P462" s="23" t="s">
        <v>1414</v>
      </c>
      <c r="Q462" s="24" t="s">
        <v>1192</v>
      </c>
      <c r="R462" s="25" t="s">
        <v>30</v>
      </c>
      <c r="S462" s="26">
        <v>27.54</v>
      </c>
      <c r="T462" s="26">
        <v>87.54</v>
      </c>
      <c r="U462" s="26">
        <v>293.74</v>
      </c>
      <c r="V462" s="127">
        <f t="shared" si="97"/>
        <v>0</v>
      </c>
      <c r="W462" s="127">
        <f t="shared" si="101"/>
        <v>87.54</v>
      </c>
      <c r="X462" s="127">
        <f t="shared" si="98"/>
        <v>0</v>
      </c>
      <c r="Y462" s="127">
        <f t="shared" si="99"/>
        <v>25714</v>
      </c>
      <c r="Z462" s="27" t="s">
        <v>15</v>
      </c>
      <c r="AA462" s="36" t="s">
        <v>16</v>
      </c>
      <c r="AB462" s="181">
        <f t="shared" si="90"/>
        <v>87.54</v>
      </c>
      <c r="AC462" s="181">
        <f t="shared" si="100"/>
        <v>25714</v>
      </c>
      <c r="AD462" s="181">
        <v>5</v>
      </c>
      <c r="AE462" s="181">
        <v>5</v>
      </c>
      <c r="AF462" s="101" t="str">
        <f t="shared" si="91"/>
        <v/>
      </c>
      <c r="AG462" s="190">
        <v>87.54</v>
      </c>
      <c r="AH462" s="69">
        <f t="shared" si="102"/>
        <v>87.54</v>
      </c>
    </row>
    <row r="463" spans="1:34" s="69" customFormat="1" ht="33" customHeight="1" x14ac:dyDescent="0.3">
      <c r="A463" s="130" t="s">
        <v>1194</v>
      </c>
      <c r="B463" s="131" t="s">
        <v>1195</v>
      </c>
      <c r="C463" s="132" t="s">
        <v>1196</v>
      </c>
      <c r="D463" s="75">
        <v>2</v>
      </c>
      <c r="E463" s="75"/>
      <c r="F463" s="75"/>
      <c r="G463" s="75"/>
      <c r="H463" s="75">
        <v>10000</v>
      </c>
      <c r="I463" s="75">
        <v>20000</v>
      </c>
      <c r="J463" s="91" t="s">
        <v>1197</v>
      </c>
      <c r="K463" s="73"/>
      <c r="L463" s="46">
        <v>2</v>
      </c>
      <c r="M463" s="46">
        <v>0</v>
      </c>
      <c r="N463" s="46">
        <v>20000</v>
      </c>
      <c r="O463" s="98"/>
      <c r="P463" s="23" t="s">
        <v>1429</v>
      </c>
      <c r="Q463" s="24" t="s">
        <v>1195</v>
      </c>
      <c r="R463" s="25" t="s">
        <v>1196</v>
      </c>
      <c r="S463" s="26">
        <v>2</v>
      </c>
      <c r="T463" s="26"/>
      <c r="U463" s="26">
        <v>10000</v>
      </c>
      <c r="V463" s="127">
        <f t="shared" si="97"/>
        <v>0</v>
      </c>
      <c r="W463" s="127">
        <f t="shared" si="101"/>
        <v>2</v>
      </c>
      <c r="X463" s="127">
        <f t="shared" si="98"/>
        <v>0</v>
      </c>
      <c r="Y463" s="127">
        <f t="shared" si="99"/>
        <v>20000</v>
      </c>
      <c r="Z463" s="33" t="s">
        <v>15</v>
      </c>
      <c r="AA463" s="36" t="s">
        <v>16</v>
      </c>
      <c r="AB463" s="181">
        <f t="shared" si="90"/>
        <v>2</v>
      </c>
      <c r="AC463" s="181">
        <f t="shared" si="100"/>
        <v>20000</v>
      </c>
      <c r="AD463" s="181">
        <v>5</v>
      </c>
      <c r="AE463" s="181">
        <v>5</v>
      </c>
      <c r="AF463" s="101" t="str">
        <f t="shared" si="91"/>
        <v/>
      </c>
      <c r="AG463" s="190">
        <v>2</v>
      </c>
      <c r="AH463" s="69">
        <f t="shared" si="102"/>
        <v>2</v>
      </c>
    </row>
    <row r="464" spans="1:34" s="69" customFormat="1" ht="33" customHeight="1" x14ac:dyDescent="0.3">
      <c r="A464" s="55" t="s">
        <v>1198</v>
      </c>
      <c r="B464" s="53" t="s">
        <v>1199</v>
      </c>
      <c r="C464" s="54" t="s">
        <v>30</v>
      </c>
      <c r="D464" s="75">
        <v>1064.31</v>
      </c>
      <c r="E464" s="75"/>
      <c r="F464" s="75"/>
      <c r="G464" s="75"/>
      <c r="H464" s="75">
        <v>210</v>
      </c>
      <c r="I464" s="75">
        <v>223505.1</v>
      </c>
      <c r="J464" s="91" t="s">
        <v>1200</v>
      </c>
      <c r="K464" s="73"/>
      <c r="L464" s="46">
        <v>600</v>
      </c>
      <c r="M464" s="46">
        <v>0</v>
      </c>
      <c r="N464" s="46">
        <v>126000</v>
      </c>
      <c r="O464" s="98"/>
      <c r="P464" s="23" t="s">
        <v>1430</v>
      </c>
      <c r="Q464" s="24" t="s">
        <v>1199</v>
      </c>
      <c r="R464" s="25" t="s">
        <v>30</v>
      </c>
      <c r="S464" s="26">
        <v>1064.31</v>
      </c>
      <c r="T464" s="26"/>
      <c r="U464" s="26">
        <v>210</v>
      </c>
      <c r="V464" s="26">
        <f t="shared" si="97"/>
        <v>0</v>
      </c>
      <c r="W464" s="26">
        <f t="shared" si="101"/>
        <v>600</v>
      </c>
      <c r="X464" s="26">
        <f t="shared" si="98"/>
        <v>0</v>
      </c>
      <c r="Y464" s="26">
        <f t="shared" si="99"/>
        <v>126000</v>
      </c>
      <c r="Z464" s="33" t="s">
        <v>15</v>
      </c>
      <c r="AA464" s="36" t="s">
        <v>16</v>
      </c>
      <c r="AB464" s="181">
        <f t="shared" si="90"/>
        <v>1064.31</v>
      </c>
      <c r="AC464" s="181">
        <f t="shared" si="100"/>
        <v>223505.1</v>
      </c>
      <c r="AD464" s="181">
        <v>5</v>
      </c>
      <c r="AE464" s="181">
        <v>5</v>
      </c>
      <c r="AF464" s="101" t="str">
        <f t="shared" si="91"/>
        <v/>
      </c>
      <c r="AG464" s="190">
        <v>600</v>
      </c>
      <c r="AH464" s="69">
        <f t="shared" si="102"/>
        <v>1064.31</v>
      </c>
    </row>
    <row r="465" spans="1:34" s="69" customFormat="1" ht="33" x14ac:dyDescent="0.3">
      <c r="A465" s="55" t="s">
        <v>1201</v>
      </c>
      <c r="B465" s="53" t="s">
        <v>1202</v>
      </c>
      <c r="C465" s="54" t="s">
        <v>30</v>
      </c>
      <c r="D465" s="75">
        <v>1910.54</v>
      </c>
      <c r="E465" s="75"/>
      <c r="F465" s="75"/>
      <c r="G465" s="75"/>
      <c r="H465" s="75">
        <v>300</v>
      </c>
      <c r="I465" s="75">
        <v>573162</v>
      </c>
      <c r="J465" s="91" t="s">
        <v>1203</v>
      </c>
      <c r="K465" s="73"/>
      <c r="L465" s="46">
        <v>335</v>
      </c>
      <c r="M465" s="46">
        <v>0</v>
      </c>
      <c r="N465" s="46">
        <v>100500</v>
      </c>
      <c r="O465" s="98"/>
      <c r="P465" s="23" t="s">
        <v>1431</v>
      </c>
      <c r="Q465" s="24" t="s">
        <v>1202</v>
      </c>
      <c r="R465" s="25" t="s">
        <v>30</v>
      </c>
      <c r="S465" s="26">
        <v>1910.54</v>
      </c>
      <c r="T465" s="26"/>
      <c r="U465" s="26">
        <v>300</v>
      </c>
      <c r="V465" s="128">
        <f t="shared" si="97"/>
        <v>322</v>
      </c>
      <c r="W465" s="26">
        <f t="shared" si="101"/>
        <v>657</v>
      </c>
      <c r="X465" s="26">
        <f t="shared" si="98"/>
        <v>96600</v>
      </c>
      <c r="Y465" s="26">
        <f t="shared" si="99"/>
        <v>197100</v>
      </c>
      <c r="Z465" s="33" t="s">
        <v>15</v>
      </c>
      <c r="AA465" s="36" t="s">
        <v>16</v>
      </c>
      <c r="AB465" s="181">
        <f t="shared" si="90"/>
        <v>1910.54</v>
      </c>
      <c r="AC465" s="181">
        <f t="shared" si="100"/>
        <v>573162</v>
      </c>
      <c r="AD465" s="181">
        <v>5</v>
      </c>
      <c r="AE465" s="181">
        <v>5</v>
      </c>
      <c r="AF465" s="101" t="str">
        <f t="shared" si="91"/>
        <v/>
      </c>
      <c r="AG465" s="191">
        <f>120+215+322</f>
        <v>657</v>
      </c>
      <c r="AH465" s="69">
        <f t="shared" si="102"/>
        <v>1910.54</v>
      </c>
    </row>
    <row r="466" spans="1:34" s="69" customFormat="1" ht="33" x14ac:dyDescent="0.3">
      <c r="A466" s="55" t="s">
        <v>1204</v>
      </c>
      <c r="B466" s="53" t="s">
        <v>1205</v>
      </c>
      <c r="C466" s="54" t="s">
        <v>30</v>
      </c>
      <c r="D466" s="75">
        <v>2738.45</v>
      </c>
      <c r="E466" s="75"/>
      <c r="F466" s="75"/>
      <c r="G466" s="75"/>
      <c r="H466" s="75">
        <v>200</v>
      </c>
      <c r="I466" s="75">
        <v>547690</v>
      </c>
      <c r="J466" s="91" t="s">
        <v>1206</v>
      </c>
      <c r="K466" s="73"/>
      <c r="L466" s="46">
        <v>484.7</v>
      </c>
      <c r="M466" s="46">
        <v>0</v>
      </c>
      <c r="N466" s="46">
        <v>96940</v>
      </c>
      <c r="O466" s="98"/>
      <c r="P466" s="23" t="s">
        <v>1395</v>
      </c>
      <c r="Q466" s="24" t="s">
        <v>1205</v>
      </c>
      <c r="R466" s="25" t="s">
        <v>30</v>
      </c>
      <c r="S466" s="26">
        <v>2738.45</v>
      </c>
      <c r="T466" s="26"/>
      <c r="U466" s="26">
        <v>200</v>
      </c>
      <c r="V466" s="128">
        <f t="shared" si="97"/>
        <v>216.00000000000006</v>
      </c>
      <c r="W466" s="26">
        <f t="shared" si="101"/>
        <v>700.7</v>
      </c>
      <c r="X466" s="26">
        <f t="shared" si="98"/>
        <v>43200</v>
      </c>
      <c r="Y466" s="26">
        <f t="shared" si="99"/>
        <v>140140</v>
      </c>
      <c r="Z466" s="33" t="s">
        <v>15</v>
      </c>
      <c r="AA466" s="36" t="s">
        <v>16</v>
      </c>
      <c r="AB466" s="181">
        <f t="shared" si="90"/>
        <v>2738.45</v>
      </c>
      <c r="AC466" s="181">
        <f t="shared" si="100"/>
        <v>547690</v>
      </c>
      <c r="AD466" s="181">
        <v>5</v>
      </c>
      <c r="AE466" s="181">
        <v>5</v>
      </c>
      <c r="AF466" s="101" t="str">
        <f t="shared" si="91"/>
        <v/>
      </c>
      <c r="AG466" s="191">
        <f>172.5+312.2+216</f>
        <v>700.7</v>
      </c>
      <c r="AH466" s="69">
        <f t="shared" si="102"/>
        <v>2738.45</v>
      </c>
    </row>
    <row r="467" spans="1:34" s="69" customFormat="1" ht="33" customHeight="1" x14ac:dyDescent="0.3">
      <c r="A467" s="55" t="s">
        <v>1207</v>
      </c>
      <c r="B467" s="53" t="s">
        <v>1208</v>
      </c>
      <c r="C467" s="54" t="s">
        <v>14</v>
      </c>
      <c r="D467" s="75">
        <v>1</v>
      </c>
      <c r="E467" s="75"/>
      <c r="F467" s="76"/>
      <c r="G467" s="76"/>
      <c r="H467" s="75">
        <v>21460.9</v>
      </c>
      <c r="I467" s="75">
        <v>21460.9</v>
      </c>
      <c r="J467" s="91" t="s">
        <v>1209</v>
      </c>
      <c r="K467" s="73"/>
      <c r="L467" s="46">
        <v>0</v>
      </c>
      <c r="M467" s="46">
        <v>0</v>
      </c>
      <c r="N467" s="46">
        <v>0</v>
      </c>
      <c r="O467" s="98"/>
      <c r="P467" s="23" t="s">
        <v>1432</v>
      </c>
      <c r="Q467" s="24" t="s">
        <v>1208</v>
      </c>
      <c r="R467" s="25" t="s">
        <v>14</v>
      </c>
      <c r="S467" s="26">
        <v>1</v>
      </c>
      <c r="T467" s="26"/>
      <c r="U467" s="26">
        <v>21460.9</v>
      </c>
      <c r="V467" s="26">
        <f t="shared" si="97"/>
        <v>0</v>
      </c>
      <c r="W467" s="26">
        <f t="shared" si="101"/>
        <v>0</v>
      </c>
      <c r="X467" s="26">
        <f t="shared" si="98"/>
        <v>0</v>
      </c>
      <c r="Y467" s="26">
        <f t="shared" si="99"/>
        <v>0</v>
      </c>
      <c r="Z467" s="33" t="s">
        <v>15</v>
      </c>
      <c r="AA467" s="36" t="s">
        <v>16</v>
      </c>
      <c r="AB467" s="181">
        <f t="shared" si="90"/>
        <v>1</v>
      </c>
      <c r="AC467" s="181">
        <f t="shared" si="100"/>
        <v>21460.9</v>
      </c>
      <c r="AD467" s="181">
        <v>5</v>
      </c>
      <c r="AE467" s="181">
        <v>5</v>
      </c>
      <c r="AF467" s="101" t="str">
        <f t="shared" si="91"/>
        <v/>
      </c>
      <c r="AG467" s="190">
        <v>0</v>
      </c>
      <c r="AH467" s="69">
        <f t="shared" si="102"/>
        <v>1</v>
      </c>
    </row>
    <row r="468" spans="1:34" s="69" customFormat="1" ht="39" x14ac:dyDescent="0.3">
      <c r="A468" s="66">
        <v>5.18</v>
      </c>
      <c r="B468" s="57" t="s">
        <v>1356</v>
      </c>
      <c r="C468" s="58" t="s">
        <v>97</v>
      </c>
      <c r="D468" s="65"/>
      <c r="E468" s="59">
        <v>720</v>
      </c>
      <c r="F468" s="180"/>
      <c r="G468" s="180"/>
      <c r="H468" s="178">
        <v>273.11</v>
      </c>
      <c r="I468" s="59">
        <v>196639.2</v>
      </c>
      <c r="J468" s="92"/>
      <c r="K468" s="73"/>
      <c r="L468" s="46">
        <v>640</v>
      </c>
      <c r="M468" s="46">
        <v>0</v>
      </c>
      <c r="N468" s="46">
        <v>174790.39999999999</v>
      </c>
      <c r="O468" s="98"/>
      <c r="P468" s="23" t="s">
        <v>1433</v>
      </c>
      <c r="Q468" s="24" t="s">
        <v>1503</v>
      </c>
      <c r="R468" s="25" t="s">
        <v>97</v>
      </c>
      <c r="S468" s="26">
        <v>0</v>
      </c>
      <c r="T468" s="26">
        <v>720</v>
      </c>
      <c r="U468" s="26">
        <v>273.11</v>
      </c>
      <c r="V468" s="26">
        <f t="shared" si="97"/>
        <v>0</v>
      </c>
      <c r="W468" s="26">
        <f t="shared" si="101"/>
        <v>640</v>
      </c>
      <c r="X468" s="26">
        <f t="shared" si="98"/>
        <v>0</v>
      </c>
      <c r="Y468" s="26">
        <f t="shared" si="99"/>
        <v>174790.39999999999</v>
      </c>
      <c r="Z468" s="27"/>
      <c r="AA468" s="36" t="s">
        <v>16</v>
      </c>
      <c r="AB468" s="181">
        <f t="shared" si="90"/>
        <v>720</v>
      </c>
      <c r="AC468" s="181">
        <f t="shared" si="100"/>
        <v>196639.2</v>
      </c>
      <c r="AD468" s="181">
        <v>5</v>
      </c>
      <c r="AE468" s="181">
        <v>5</v>
      </c>
      <c r="AF468" s="101" t="str">
        <f t="shared" si="91"/>
        <v/>
      </c>
      <c r="AG468" s="190">
        <v>640</v>
      </c>
      <c r="AH468" s="69">
        <f t="shared" si="102"/>
        <v>720</v>
      </c>
    </row>
    <row r="469" spans="1:34" s="69" customFormat="1" ht="39" x14ac:dyDescent="0.3">
      <c r="A469" s="144">
        <v>5.19</v>
      </c>
      <c r="B469" s="145" t="s">
        <v>1357</v>
      </c>
      <c r="C469" s="206" t="s">
        <v>30</v>
      </c>
      <c r="D469" s="174"/>
      <c r="E469" s="175">
        <v>212</v>
      </c>
      <c r="F469" s="180"/>
      <c r="G469" s="180"/>
      <c r="H469" s="179">
        <v>1859.87</v>
      </c>
      <c r="I469" s="175">
        <v>394292.44</v>
      </c>
      <c r="J469" s="176"/>
      <c r="K469" s="73"/>
      <c r="L469" s="46">
        <v>212</v>
      </c>
      <c r="M469" s="46">
        <v>0</v>
      </c>
      <c r="N469" s="46">
        <v>394292.44</v>
      </c>
      <c r="O469" s="98"/>
      <c r="P469" s="23" t="s">
        <v>1382</v>
      </c>
      <c r="Q469" s="24" t="s">
        <v>1504</v>
      </c>
      <c r="R469" s="25" t="s">
        <v>30</v>
      </c>
      <c r="S469" s="26">
        <v>0</v>
      </c>
      <c r="T469" s="26">
        <v>212</v>
      </c>
      <c r="U469" s="26">
        <v>1859.87</v>
      </c>
      <c r="V469" s="127">
        <f t="shared" si="97"/>
        <v>0</v>
      </c>
      <c r="W469" s="127">
        <f t="shared" si="101"/>
        <v>212</v>
      </c>
      <c r="X469" s="127">
        <f t="shared" si="98"/>
        <v>0</v>
      </c>
      <c r="Y469" s="127">
        <f t="shared" si="99"/>
        <v>394292.44</v>
      </c>
      <c r="Z469" s="27"/>
      <c r="AA469" s="36" t="s">
        <v>16</v>
      </c>
      <c r="AB469" s="181">
        <f t="shared" si="90"/>
        <v>212</v>
      </c>
      <c r="AC469" s="181">
        <f t="shared" si="100"/>
        <v>394292.44</v>
      </c>
      <c r="AD469" s="181">
        <v>5</v>
      </c>
      <c r="AE469" s="181">
        <v>5</v>
      </c>
      <c r="AF469" s="101" t="str">
        <f t="shared" si="91"/>
        <v/>
      </c>
      <c r="AG469" s="190">
        <v>212</v>
      </c>
      <c r="AH469" s="69">
        <f t="shared" si="102"/>
        <v>212</v>
      </c>
    </row>
    <row r="470" spans="1:34" s="69" customFormat="1" ht="39" x14ac:dyDescent="0.3">
      <c r="A470" s="210" t="s">
        <v>3106</v>
      </c>
      <c r="B470" s="208" t="s">
        <v>3107</v>
      </c>
      <c r="C470" s="204" t="s">
        <v>14</v>
      </c>
      <c r="D470" s="156"/>
      <c r="E470" s="159"/>
      <c r="F470" s="156"/>
      <c r="G470" s="156">
        <v>1</v>
      </c>
      <c r="H470" s="158"/>
      <c r="I470" s="159">
        <v>263694.64</v>
      </c>
      <c r="J470" s="160"/>
      <c r="K470" s="73"/>
      <c r="L470" s="46">
        <v>1</v>
      </c>
      <c r="M470" s="46">
        <v>263694.64</v>
      </c>
      <c r="N470" s="46">
        <v>263694.64</v>
      </c>
      <c r="O470" s="98"/>
      <c r="P470" s="23" t="s">
        <v>3108</v>
      </c>
      <c r="Q470" s="24" t="s">
        <v>3107</v>
      </c>
      <c r="R470" s="25" t="s">
        <v>14</v>
      </c>
      <c r="S470" s="26"/>
      <c r="T470" s="26">
        <v>1</v>
      </c>
      <c r="U470" s="26">
        <v>263694.64</v>
      </c>
      <c r="V470" s="127">
        <f t="shared" si="97"/>
        <v>0</v>
      </c>
      <c r="W470" s="127">
        <f t="shared" si="101"/>
        <v>1</v>
      </c>
      <c r="X470" s="209">
        <f t="shared" si="98"/>
        <v>0</v>
      </c>
      <c r="Y470" s="127">
        <f t="shared" si="99"/>
        <v>263694.64</v>
      </c>
      <c r="Z470" s="27"/>
      <c r="AA470" s="36"/>
      <c r="AB470" s="181">
        <f t="shared" si="90"/>
        <v>1</v>
      </c>
      <c r="AC470" s="181">
        <f t="shared" si="100"/>
        <v>263694.64</v>
      </c>
      <c r="AD470" s="181">
        <v>5</v>
      </c>
      <c r="AE470" s="181">
        <v>5</v>
      </c>
      <c r="AF470" s="101"/>
      <c r="AG470" s="193">
        <v>1</v>
      </c>
      <c r="AH470" s="69">
        <f t="shared" si="102"/>
        <v>1</v>
      </c>
    </row>
    <row r="471" spans="1:34" s="69" customFormat="1" ht="33" x14ac:dyDescent="0.3">
      <c r="A471" s="150" t="s">
        <v>1210</v>
      </c>
      <c r="B471" s="151" t="s">
        <v>1211</v>
      </c>
      <c r="C471" s="152" t="s">
        <v>14</v>
      </c>
      <c r="D471" s="153">
        <v>1</v>
      </c>
      <c r="E471" s="153"/>
      <c r="F471" s="153"/>
      <c r="G471" s="153"/>
      <c r="H471" s="153"/>
      <c r="I471" s="153">
        <v>3143726.96</v>
      </c>
      <c r="J471" s="154" t="s">
        <v>15</v>
      </c>
      <c r="K471" s="73"/>
      <c r="L471" s="42">
        <v>1</v>
      </c>
      <c r="M471" s="42">
        <v>94936</v>
      </c>
      <c r="N471" s="42">
        <v>1948468.99</v>
      </c>
      <c r="O471" s="98"/>
      <c r="P471" s="13" t="s">
        <v>1415</v>
      </c>
      <c r="Q471" s="14" t="s">
        <v>1211</v>
      </c>
      <c r="R471" s="15" t="s">
        <v>14</v>
      </c>
      <c r="S471" s="16">
        <v>1</v>
      </c>
      <c r="T471" s="16"/>
      <c r="U471" s="16">
        <f>SUMIFS(AC:AC,AD:AD,AD471)</f>
        <v>3143726.9600000004</v>
      </c>
      <c r="V471" s="16">
        <f t="shared" ref="V471:W471" si="103">IF(X471=0,0,1)</f>
        <v>1</v>
      </c>
      <c r="W471" s="16">
        <f t="shared" si="103"/>
        <v>1</v>
      </c>
      <c r="X471" s="16">
        <f>SUMIFS(X:X,AE:AE,AD471)</f>
        <v>94936</v>
      </c>
      <c r="Y471" s="16">
        <f>SUMIFS(Y:Y,AE:AE,AD471)</f>
        <v>2043404.99</v>
      </c>
      <c r="Z471" s="17" t="s">
        <v>15</v>
      </c>
      <c r="AA471" s="40" t="s">
        <v>16</v>
      </c>
      <c r="AB471" s="181">
        <f t="shared" si="90"/>
        <v>1</v>
      </c>
      <c r="AC471" s="183"/>
      <c r="AD471" s="183">
        <v>6</v>
      </c>
      <c r="AE471" s="183"/>
      <c r="AF471" s="101" t="str">
        <f t="shared" si="91"/>
        <v/>
      </c>
      <c r="AG471" s="190">
        <v>1</v>
      </c>
      <c r="AH471" s="69">
        <f t="shared" si="102"/>
        <v>1</v>
      </c>
    </row>
    <row r="472" spans="1:34" s="69" customFormat="1" ht="33" customHeight="1" x14ac:dyDescent="0.3">
      <c r="A472" s="130" t="s">
        <v>1212</v>
      </c>
      <c r="B472" s="131" t="s">
        <v>1213</v>
      </c>
      <c r="C472" s="132" t="s">
        <v>1014</v>
      </c>
      <c r="D472" s="75">
        <v>10</v>
      </c>
      <c r="E472" s="75"/>
      <c r="F472" s="75"/>
      <c r="G472" s="75"/>
      <c r="H472" s="75">
        <v>770</v>
      </c>
      <c r="I472" s="75">
        <v>7700</v>
      </c>
      <c r="J472" s="91" t="s">
        <v>1214</v>
      </c>
      <c r="K472" s="73"/>
      <c r="L472" s="46">
        <v>10</v>
      </c>
      <c r="M472" s="46">
        <v>0</v>
      </c>
      <c r="N472" s="46">
        <v>7700</v>
      </c>
      <c r="O472" s="98"/>
      <c r="P472" s="23" t="s">
        <v>1421</v>
      </c>
      <c r="Q472" s="24" t="s">
        <v>1213</v>
      </c>
      <c r="R472" s="25" t="s">
        <v>1014</v>
      </c>
      <c r="S472" s="26">
        <v>10</v>
      </c>
      <c r="T472" s="26"/>
      <c r="U472" s="26">
        <v>770</v>
      </c>
      <c r="V472" s="127">
        <f t="shared" ref="V472:V490" si="104">AG472-L472</f>
        <v>0</v>
      </c>
      <c r="W472" s="127">
        <f t="shared" si="101"/>
        <v>10</v>
      </c>
      <c r="X472" s="127">
        <f t="shared" ref="X472:X490" si="105">Y472-N472</f>
        <v>0</v>
      </c>
      <c r="Y472" s="127">
        <f t="shared" ref="Y472:Y490" si="106">ROUND(U472*W472,2)</f>
        <v>7700</v>
      </c>
      <c r="Z472" s="33" t="s">
        <v>15</v>
      </c>
      <c r="AA472" s="36" t="s">
        <v>16</v>
      </c>
      <c r="AB472" s="181">
        <f t="shared" si="90"/>
        <v>10</v>
      </c>
      <c r="AC472" s="181">
        <f t="shared" ref="AC472:AC490" si="107">ROUND(U472*AB472,2)</f>
        <v>7700</v>
      </c>
      <c r="AD472" s="181">
        <v>6</v>
      </c>
      <c r="AE472" s="181">
        <v>6</v>
      </c>
      <c r="AF472" s="101" t="str">
        <f t="shared" si="91"/>
        <v/>
      </c>
      <c r="AG472" s="190">
        <v>10</v>
      </c>
      <c r="AH472" s="69">
        <f t="shared" si="102"/>
        <v>10</v>
      </c>
    </row>
    <row r="473" spans="1:34" s="69" customFormat="1" ht="33" customHeight="1" x14ac:dyDescent="0.3">
      <c r="A473" s="130" t="s">
        <v>1215</v>
      </c>
      <c r="B473" s="131" t="s">
        <v>1216</v>
      </c>
      <c r="C473" s="132" t="s">
        <v>1217</v>
      </c>
      <c r="D473" s="75">
        <v>100</v>
      </c>
      <c r="E473" s="75"/>
      <c r="F473" s="75"/>
      <c r="G473" s="75"/>
      <c r="H473" s="75">
        <v>201</v>
      </c>
      <c r="I473" s="75">
        <v>20100</v>
      </c>
      <c r="J473" s="91" t="s">
        <v>1218</v>
      </c>
      <c r="K473" s="73"/>
      <c r="L473" s="46">
        <v>100</v>
      </c>
      <c r="M473" s="46">
        <v>0</v>
      </c>
      <c r="N473" s="46">
        <v>20100</v>
      </c>
      <c r="O473" s="98"/>
      <c r="P473" s="23" t="s">
        <v>1426</v>
      </c>
      <c r="Q473" s="24" t="s">
        <v>1216</v>
      </c>
      <c r="R473" s="25" t="s">
        <v>1217</v>
      </c>
      <c r="S473" s="26">
        <v>100</v>
      </c>
      <c r="T473" s="26"/>
      <c r="U473" s="26">
        <v>201</v>
      </c>
      <c r="V473" s="127">
        <f t="shared" si="104"/>
        <v>0</v>
      </c>
      <c r="W473" s="127">
        <f t="shared" si="101"/>
        <v>100</v>
      </c>
      <c r="X473" s="127">
        <f t="shared" si="105"/>
        <v>0</v>
      </c>
      <c r="Y473" s="127">
        <f t="shared" si="106"/>
        <v>20100</v>
      </c>
      <c r="Z473" s="33" t="s">
        <v>15</v>
      </c>
      <c r="AA473" s="36" t="s">
        <v>16</v>
      </c>
      <c r="AB473" s="181">
        <f t="shared" si="90"/>
        <v>100</v>
      </c>
      <c r="AC473" s="181">
        <f t="shared" si="107"/>
        <v>20100</v>
      </c>
      <c r="AD473" s="181">
        <v>6</v>
      </c>
      <c r="AE473" s="181">
        <v>6</v>
      </c>
      <c r="AF473" s="101" t="str">
        <f t="shared" si="91"/>
        <v/>
      </c>
      <c r="AG473" s="190">
        <v>100</v>
      </c>
      <c r="AH473" s="69">
        <f t="shared" si="102"/>
        <v>100</v>
      </c>
    </row>
    <row r="474" spans="1:34" s="69" customFormat="1" ht="39" x14ac:dyDescent="0.3">
      <c r="A474" s="130" t="s">
        <v>1219</v>
      </c>
      <c r="B474" s="131" t="s">
        <v>1220</v>
      </c>
      <c r="C474" s="132" t="s">
        <v>1221</v>
      </c>
      <c r="D474" s="75">
        <v>50</v>
      </c>
      <c r="E474" s="75"/>
      <c r="F474" s="75"/>
      <c r="G474" s="75"/>
      <c r="H474" s="75">
        <v>300</v>
      </c>
      <c r="I474" s="75">
        <v>15000</v>
      </c>
      <c r="J474" s="91" t="s">
        <v>1222</v>
      </c>
      <c r="K474" s="73"/>
      <c r="L474" s="46">
        <v>50</v>
      </c>
      <c r="M474" s="46">
        <v>0</v>
      </c>
      <c r="N474" s="46">
        <v>15000</v>
      </c>
      <c r="O474" s="98"/>
      <c r="P474" s="23" t="s">
        <v>1402</v>
      </c>
      <c r="Q474" s="24" t="s">
        <v>1220</v>
      </c>
      <c r="R474" s="25" t="s">
        <v>1221</v>
      </c>
      <c r="S474" s="26">
        <v>50</v>
      </c>
      <c r="T474" s="26"/>
      <c r="U474" s="26">
        <v>300</v>
      </c>
      <c r="V474" s="127">
        <f t="shared" si="104"/>
        <v>0</v>
      </c>
      <c r="W474" s="127">
        <f t="shared" si="101"/>
        <v>50</v>
      </c>
      <c r="X474" s="127">
        <f t="shared" si="105"/>
        <v>0</v>
      </c>
      <c r="Y474" s="127">
        <f t="shared" si="106"/>
        <v>15000</v>
      </c>
      <c r="Z474" s="33" t="s">
        <v>15</v>
      </c>
      <c r="AA474" s="36" t="s">
        <v>16</v>
      </c>
      <c r="AB474" s="181">
        <f t="shared" si="90"/>
        <v>50</v>
      </c>
      <c r="AC474" s="181">
        <f t="shared" si="107"/>
        <v>15000</v>
      </c>
      <c r="AD474" s="181">
        <v>6</v>
      </c>
      <c r="AE474" s="181">
        <v>6</v>
      </c>
      <c r="AF474" s="101" t="str">
        <f t="shared" si="91"/>
        <v/>
      </c>
      <c r="AG474" s="190">
        <v>50</v>
      </c>
      <c r="AH474" s="69">
        <f t="shared" si="102"/>
        <v>50</v>
      </c>
    </row>
    <row r="475" spans="1:34" s="69" customFormat="1" ht="33" customHeight="1" x14ac:dyDescent="0.3">
      <c r="A475" s="130" t="s">
        <v>1223</v>
      </c>
      <c r="B475" s="131" t="s">
        <v>1224</v>
      </c>
      <c r="C475" s="132" t="s">
        <v>325</v>
      </c>
      <c r="D475" s="75">
        <v>75</v>
      </c>
      <c r="E475" s="75"/>
      <c r="F475" s="75"/>
      <c r="G475" s="75"/>
      <c r="H475" s="75">
        <v>650</v>
      </c>
      <c r="I475" s="75">
        <v>48750</v>
      </c>
      <c r="J475" s="91" t="s">
        <v>1225</v>
      </c>
      <c r="K475" s="73"/>
      <c r="L475" s="46">
        <v>75</v>
      </c>
      <c r="M475" s="46">
        <v>0</v>
      </c>
      <c r="N475" s="46">
        <v>48750</v>
      </c>
      <c r="O475" s="98"/>
      <c r="P475" s="23" t="s">
        <v>1373</v>
      </c>
      <c r="Q475" s="24" t="s">
        <v>1224</v>
      </c>
      <c r="R475" s="25" t="s">
        <v>325</v>
      </c>
      <c r="S475" s="26">
        <v>75</v>
      </c>
      <c r="T475" s="26"/>
      <c r="U475" s="26">
        <v>650</v>
      </c>
      <c r="V475" s="127">
        <f t="shared" si="104"/>
        <v>0</v>
      </c>
      <c r="W475" s="127">
        <f t="shared" si="101"/>
        <v>75</v>
      </c>
      <c r="X475" s="127">
        <f t="shared" si="105"/>
        <v>0</v>
      </c>
      <c r="Y475" s="127">
        <f t="shared" si="106"/>
        <v>48750</v>
      </c>
      <c r="Z475" s="33" t="s">
        <v>15</v>
      </c>
      <c r="AA475" s="36" t="s">
        <v>16</v>
      </c>
      <c r="AB475" s="181">
        <f t="shared" si="90"/>
        <v>75</v>
      </c>
      <c r="AC475" s="181">
        <f t="shared" si="107"/>
        <v>48750</v>
      </c>
      <c r="AD475" s="181">
        <v>6</v>
      </c>
      <c r="AE475" s="181">
        <v>6</v>
      </c>
      <c r="AF475" s="101" t="str">
        <f t="shared" si="91"/>
        <v/>
      </c>
      <c r="AG475" s="190">
        <v>75</v>
      </c>
      <c r="AH475" s="69">
        <f t="shared" si="102"/>
        <v>75</v>
      </c>
    </row>
    <row r="476" spans="1:34" s="69" customFormat="1" ht="33" customHeight="1" x14ac:dyDescent="0.3">
      <c r="A476" s="130" t="s">
        <v>1226</v>
      </c>
      <c r="B476" s="131" t="s">
        <v>1227</v>
      </c>
      <c r="C476" s="132" t="s">
        <v>1228</v>
      </c>
      <c r="D476" s="75">
        <v>200</v>
      </c>
      <c r="E476" s="75"/>
      <c r="F476" s="75"/>
      <c r="G476" s="75"/>
      <c r="H476" s="75">
        <v>28</v>
      </c>
      <c r="I476" s="75">
        <v>5600</v>
      </c>
      <c r="J476" s="91" t="s">
        <v>1229</v>
      </c>
      <c r="K476" s="73"/>
      <c r="L476" s="46">
        <v>200</v>
      </c>
      <c r="M476" s="46">
        <v>0</v>
      </c>
      <c r="N476" s="46">
        <v>5600</v>
      </c>
      <c r="O476" s="98"/>
      <c r="P476" s="23" t="s">
        <v>1393</v>
      </c>
      <c r="Q476" s="24" t="s">
        <v>1227</v>
      </c>
      <c r="R476" s="25" t="s">
        <v>1228</v>
      </c>
      <c r="S476" s="26">
        <v>200</v>
      </c>
      <c r="T476" s="26"/>
      <c r="U476" s="26">
        <v>28</v>
      </c>
      <c r="V476" s="127">
        <f t="shared" si="104"/>
        <v>0</v>
      </c>
      <c r="W476" s="127">
        <f t="shared" si="101"/>
        <v>200</v>
      </c>
      <c r="X476" s="127">
        <f t="shared" si="105"/>
        <v>0</v>
      </c>
      <c r="Y476" s="127">
        <f t="shared" si="106"/>
        <v>5600</v>
      </c>
      <c r="Z476" s="33" t="s">
        <v>15</v>
      </c>
      <c r="AA476" s="36" t="s">
        <v>16</v>
      </c>
      <c r="AB476" s="181">
        <f t="shared" si="90"/>
        <v>200</v>
      </c>
      <c r="AC476" s="181">
        <f t="shared" si="107"/>
        <v>5600</v>
      </c>
      <c r="AD476" s="181">
        <v>6</v>
      </c>
      <c r="AE476" s="181">
        <v>6</v>
      </c>
      <c r="AF476" s="101" t="str">
        <f t="shared" si="91"/>
        <v/>
      </c>
      <c r="AG476" s="190">
        <v>200</v>
      </c>
      <c r="AH476" s="69">
        <f t="shared" si="102"/>
        <v>200</v>
      </c>
    </row>
    <row r="477" spans="1:34" s="69" customFormat="1" ht="33" customHeight="1" x14ac:dyDescent="0.3">
      <c r="A477" s="55" t="s">
        <v>1230</v>
      </c>
      <c r="B477" s="53" t="s">
        <v>1231</v>
      </c>
      <c r="C477" s="54" t="s">
        <v>1228</v>
      </c>
      <c r="D477" s="75">
        <v>100</v>
      </c>
      <c r="E477" s="75"/>
      <c r="F477" s="75"/>
      <c r="G477" s="75"/>
      <c r="H477" s="75">
        <v>500</v>
      </c>
      <c r="I477" s="75">
        <v>50000</v>
      </c>
      <c r="J477" s="91" t="s">
        <v>1232</v>
      </c>
      <c r="K477" s="73"/>
      <c r="L477" s="46">
        <v>0</v>
      </c>
      <c r="M477" s="46">
        <v>0</v>
      </c>
      <c r="N477" s="46">
        <v>0</v>
      </c>
      <c r="O477" s="98"/>
      <c r="P477" s="23" t="s">
        <v>1403</v>
      </c>
      <c r="Q477" s="24" t="s">
        <v>1231</v>
      </c>
      <c r="R477" s="25" t="s">
        <v>1228</v>
      </c>
      <c r="S477" s="26">
        <v>100</v>
      </c>
      <c r="T477" s="26"/>
      <c r="U477" s="26">
        <v>500</v>
      </c>
      <c r="V477" s="26">
        <f t="shared" si="104"/>
        <v>0</v>
      </c>
      <c r="W477" s="26">
        <f t="shared" si="101"/>
        <v>0</v>
      </c>
      <c r="X477" s="26">
        <f t="shared" si="105"/>
        <v>0</v>
      </c>
      <c r="Y477" s="26">
        <f t="shared" si="106"/>
        <v>0</v>
      </c>
      <c r="Z477" s="33" t="s">
        <v>15</v>
      </c>
      <c r="AA477" s="36" t="s">
        <v>16</v>
      </c>
      <c r="AB477" s="181">
        <f t="shared" ref="AB477:AB498" si="108">IF(T477="",S477,T477)</f>
        <v>100</v>
      </c>
      <c r="AC477" s="181">
        <f t="shared" si="107"/>
        <v>50000</v>
      </c>
      <c r="AD477" s="181">
        <v>6</v>
      </c>
      <c r="AE477" s="181">
        <v>6</v>
      </c>
      <c r="AF477" s="101" t="str">
        <f t="shared" ref="AF477:AF502" si="109">IF(W477&gt;AH477,"超估","")</f>
        <v/>
      </c>
      <c r="AG477" s="190">
        <v>0</v>
      </c>
      <c r="AH477" s="69">
        <f t="shared" si="102"/>
        <v>100</v>
      </c>
    </row>
    <row r="478" spans="1:34" s="69" customFormat="1" ht="33" customHeight="1" x14ac:dyDescent="0.3">
      <c r="A478" s="55" t="s">
        <v>1233</v>
      </c>
      <c r="B478" s="53" t="s">
        <v>1234</v>
      </c>
      <c r="C478" s="54" t="s">
        <v>1235</v>
      </c>
      <c r="D478" s="75">
        <v>75</v>
      </c>
      <c r="E478" s="75"/>
      <c r="F478" s="75"/>
      <c r="G478" s="75"/>
      <c r="H478" s="75">
        <v>280</v>
      </c>
      <c r="I478" s="75">
        <v>21000</v>
      </c>
      <c r="J478" s="91" t="s">
        <v>1236</v>
      </c>
      <c r="K478" s="73"/>
      <c r="L478" s="46">
        <v>0</v>
      </c>
      <c r="M478" s="46">
        <v>0</v>
      </c>
      <c r="N478" s="46">
        <v>0</v>
      </c>
      <c r="O478" s="98"/>
      <c r="P478" s="23" t="s">
        <v>1427</v>
      </c>
      <c r="Q478" s="24" t="s">
        <v>1234</v>
      </c>
      <c r="R478" s="25" t="s">
        <v>1235</v>
      </c>
      <c r="S478" s="26">
        <v>75</v>
      </c>
      <c r="T478" s="26"/>
      <c r="U478" s="26">
        <v>280</v>
      </c>
      <c r="V478" s="26">
        <f t="shared" si="104"/>
        <v>0</v>
      </c>
      <c r="W478" s="26">
        <f t="shared" si="101"/>
        <v>0</v>
      </c>
      <c r="X478" s="26">
        <f t="shared" si="105"/>
        <v>0</v>
      </c>
      <c r="Y478" s="26">
        <f t="shared" si="106"/>
        <v>0</v>
      </c>
      <c r="Z478" s="33" t="s">
        <v>15</v>
      </c>
      <c r="AA478" s="36" t="s">
        <v>16</v>
      </c>
      <c r="AB478" s="181">
        <f t="shared" si="108"/>
        <v>75</v>
      </c>
      <c r="AC478" s="181">
        <f t="shared" si="107"/>
        <v>21000</v>
      </c>
      <c r="AD478" s="181">
        <v>6</v>
      </c>
      <c r="AE478" s="181">
        <v>6</v>
      </c>
      <c r="AF478" s="101" t="str">
        <f t="shared" si="109"/>
        <v/>
      </c>
      <c r="AG478" s="190">
        <v>0</v>
      </c>
      <c r="AH478" s="69">
        <f t="shared" si="102"/>
        <v>75</v>
      </c>
    </row>
    <row r="479" spans="1:34" s="69" customFormat="1" ht="78" x14ac:dyDescent="0.3">
      <c r="A479" s="130" t="s">
        <v>1237</v>
      </c>
      <c r="B479" s="131" t="s">
        <v>1238</v>
      </c>
      <c r="C479" s="132" t="s">
        <v>1235</v>
      </c>
      <c r="D479" s="75">
        <v>50</v>
      </c>
      <c r="E479" s="75"/>
      <c r="F479" s="75"/>
      <c r="G479" s="75"/>
      <c r="H479" s="75">
        <v>350</v>
      </c>
      <c r="I479" s="75">
        <v>17500</v>
      </c>
      <c r="J479" s="91" t="s">
        <v>1239</v>
      </c>
      <c r="K479" s="73"/>
      <c r="L479" s="46">
        <v>50</v>
      </c>
      <c r="M479" s="46">
        <v>0</v>
      </c>
      <c r="N479" s="46">
        <v>17500</v>
      </c>
      <c r="O479" s="98"/>
      <c r="P479" s="23" t="s">
        <v>1428</v>
      </c>
      <c r="Q479" s="24" t="s">
        <v>1238</v>
      </c>
      <c r="R479" s="25" t="s">
        <v>1235</v>
      </c>
      <c r="S479" s="26">
        <v>50</v>
      </c>
      <c r="T479" s="26"/>
      <c r="U479" s="26">
        <v>350</v>
      </c>
      <c r="V479" s="127">
        <f t="shared" si="104"/>
        <v>0</v>
      </c>
      <c r="W479" s="127">
        <f t="shared" si="101"/>
        <v>50</v>
      </c>
      <c r="X479" s="127">
        <f t="shared" si="105"/>
        <v>0</v>
      </c>
      <c r="Y479" s="127">
        <f t="shared" si="106"/>
        <v>17500</v>
      </c>
      <c r="Z479" s="33" t="s">
        <v>15</v>
      </c>
      <c r="AA479" s="36" t="s">
        <v>16</v>
      </c>
      <c r="AB479" s="181">
        <f t="shared" si="108"/>
        <v>50</v>
      </c>
      <c r="AC479" s="181">
        <f t="shared" si="107"/>
        <v>17500</v>
      </c>
      <c r="AD479" s="181">
        <v>6</v>
      </c>
      <c r="AE479" s="181">
        <v>6</v>
      </c>
      <c r="AF479" s="101" t="str">
        <f t="shared" si="109"/>
        <v/>
      </c>
      <c r="AG479" s="190">
        <v>50</v>
      </c>
      <c r="AH479" s="69">
        <f t="shared" si="102"/>
        <v>50</v>
      </c>
    </row>
    <row r="480" spans="1:34" s="69" customFormat="1" ht="33" customHeight="1" x14ac:dyDescent="0.3">
      <c r="A480" s="55" t="s">
        <v>1240</v>
      </c>
      <c r="B480" s="53" t="s">
        <v>1241</v>
      </c>
      <c r="C480" s="54" t="s">
        <v>325</v>
      </c>
      <c r="D480" s="75">
        <v>10</v>
      </c>
      <c r="E480" s="75"/>
      <c r="F480" s="75"/>
      <c r="G480" s="75"/>
      <c r="H480" s="75">
        <v>560</v>
      </c>
      <c r="I480" s="75">
        <v>5600</v>
      </c>
      <c r="J480" s="91" t="s">
        <v>1242</v>
      </c>
      <c r="K480" s="73"/>
      <c r="L480" s="46">
        <v>0</v>
      </c>
      <c r="M480" s="46">
        <v>0</v>
      </c>
      <c r="N480" s="46">
        <v>0</v>
      </c>
      <c r="O480" s="98"/>
      <c r="P480" s="23" t="s">
        <v>1387</v>
      </c>
      <c r="Q480" s="24" t="s">
        <v>1241</v>
      </c>
      <c r="R480" s="25" t="s">
        <v>325</v>
      </c>
      <c r="S480" s="26">
        <v>10</v>
      </c>
      <c r="T480" s="26"/>
      <c r="U480" s="26">
        <v>560</v>
      </c>
      <c r="V480" s="26">
        <f t="shared" si="104"/>
        <v>0</v>
      </c>
      <c r="W480" s="26">
        <f t="shared" si="101"/>
        <v>0</v>
      </c>
      <c r="X480" s="26">
        <f t="shared" si="105"/>
        <v>0</v>
      </c>
      <c r="Y480" s="26">
        <f t="shared" si="106"/>
        <v>0</v>
      </c>
      <c r="Z480" s="33" t="s">
        <v>15</v>
      </c>
      <c r="AA480" s="36" t="s">
        <v>16</v>
      </c>
      <c r="AB480" s="181">
        <f t="shared" si="108"/>
        <v>10</v>
      </c>
      <c r="AC480" s="181">
        <f t="shared" si="107"/>
        <v>5600</v>
      </c>
      <c r="AD480" s="181">
        <v>6</v>
      </c>
      <c r="AE480" s="181">
        <v>6</v>
      </c>
      <c r="AF480" s="101" t="str">
        <f t="shared" si="109"/>
        <v/>
      </c>
      <c r="AG480" s="190">
        <v>0</v>
      </c>
      <c r="AH480" s="69">
        <f t="shared" si="102"/>
        <v>10</v>
      </c>
    </row>
    <row r="481" spans="1:34" s="69" customFormat="1" ht="33" customHeight="1" x14ac:dyDescent="0.3">
      <c r="A481" s="130" t="s">
        <v>1243</v>
      </c>
      <c r="B481" s="131" t="s">
        <v>1244</v>
      </c>
      <c r="C481" s="132" t="s">
        <v>162</v>
      </c>
      <c r="D481" s="75">
        <v>4</v>
      </c>
      <c r="E481" s="75"/>
      <c r="F481" s="75"/>
      <c r="G481" s="75"/>
      <c r="H481" s="75">
        <v>250</v>
      </c>
      <c r="I481" s="75">
        <v>1000</v>
      </c>
      <c r="J481" s="91" t="s">
        <v>1245</v>
      </c>
      <c r="K481" s="73"/>
      <c r="L481" s="46">
        <v>4</v>
      </c>
      <c r="M481" s="46">
        <v>0</v>
      </c>
      <c r="N481" s="46">
        <v>1000</v>
      </c>
      <c r="O481" s="98"/>
      <c r="P481" s="23" t="s">
        <v>1405</v>
      </c>
      <c r="Q481" s="24" t="s">
        <v>1244</v>
      </c>
      <c r="R481" s="25" t="s">
        <v>162</v>
      </c>
      <c r="S481" s="26">
        <v>4</v>
      </c>
      <c r="T481" s="26"/>
      <c r="U481" s="26">
        <v>250</v>
      </c>
      <c r="V481" s="127">
        <f t="shared" si="104"/>
        <v>0</v>
      </c>
      <c r="W481" s="127">
        <f t="shared" si="101"/>
        <v>4</v>
      </c>
      <c r="X481" s="127">
        <f t="shared" si="105"/>
        <v>0</v>
      </c>
      <c r="Y481" s="127">
        <f t="shared" si="106"/>
        <v>1000</v>
      </c>
      <c r="Z481" s="33" t="s">
        <v>15</v>
      </c>
      <c r="AA481" s="36" t="s">
        <v>16</v>
      </c>
      <c r="AB481" s="181">
        <f t="shared" si="108"/>
        <v>4</v>
      </c>
      <c r="AC481" s="181">
        <f t="shared" si="107"/>
        <v>1000</v>
      </c>
      <c r="AD481" s="181">
        <v>6</v>
      </c>
      <c r="AE481" s="181">
        <v>6</v>
      </c>
      <c r="AF481" s="101" t="str">
        <f t="shared" si="109"/>
        <v/>
      </c>
      <c r="AG481" s="190">
        <v>4</v>
      </c>
      <c r="AH481" s="69">
        <f t="shared" si="102"/>
        <v>4</v>
      </c>
    </row>
    <row r="482" spans="1:34" s="69" customFormat="1" ht="49.5" customHeight="1" x14ac:dyDescent="0.3">
      <c r="A482" s="130" t="s">
        <v>1246</v>
      </c>
      <c r="B482" s="131" t="s">
        <v>1247</v>
      </c>
      <c r="C482" s="132" t="s">
        <v>325</v>
      </c>
      <c r="D482" s="75">
        <v>5</v>
      </c>
      <c r="E482" s="75"/>
      <c r="F482" s="75"/>
      <c r="G482" s="75"/>
      <c r="H482" s="75">
        <v>8300</v>
      </c>
      <c r="I482" s="75">
        <v>41500</v>
      </c>
      <c r="J482" s="91" t="s">
        <v>1248</v>
      </c>
      <c r="K482" s="73"/>
      <c r="L482" s="46">
        <v>5</v>
      </c>
      <c r="M482" s="46">
        <v>0</v>
      </c>
      <c r="N482" s="46">
        <v>41500</v>
      </c>
      <c r="O482" s="98"/>
      <c r="P482" s="23" t="s">
        <v>1406</v>
      </c>
      <c r="Q482" s="24" t="s">
        <v>1247</v>
      </c>
      <c r="R482" s="25" t="s">
        <v>325</v>
      </c>
      <c r="S482" s="26">
        <v>5</v>
      </c>
      <c r="T482" s="26"/>
      <c r="U482" s="26">
        <v>8300</v>
      </c>
      <c r="V482" s="127">
        <f t="shared" si="104"/>
        <v>0</v>
      </c>
      <c r="W482" s="127">
        <f t="shared" si="101"/>
        <v>5</v>
      </c>
      <c r="X482" s="127">
        <f t="shared" si="105"/>
        <v>0</v>
      </c>
      <c r="Y482" s="127">
        <f t="shared" si="106"/>
        <v>41500</v>
      </c>
      <c r="Z482" s="33" t="s">
        <v>15</v>
      </c>
      <c r="AA482" s="36" t="s">
        <v>16</v>
      </c>
      <c r="AB482" s="181">
        <f t="shared" si="108"/>
        <v>5</v>
      </c>
      <c r="AC482" s="181">
        <f t="shared" si="107"/>
        <v>41500</v>
      </c>
      <c r="AD482" s="181">
        <v>6</v>
      </c>
      <c r="AE482" s="181">
        <v>6</v>
      </c>
      <c r="AF482" s="101" t="str">
        <f t="shared" si="109"/>
        <v/>
      </c>
      <c r="AG482" s="190">
        <v>5</v>
      </c>
      <c r="AH482" s="69">
        <f t="shared" si="102"/>
        <v>5</v>
      </c>
    </row>
    <row r="483" spans="1:34" s="69" customFormat="1" ht="33" customHeight="1" x14ac:dyDescent="0.3">
      <c r="A483" s="130" t="s">
        <v>1249</v>
      </c>
      <c r="B483" s="131" t="s">
        <v>1250</v>
      </c>
      <c r="C483" s="132" t="s">
        <v>325</v>
      </c>
      <c r="D483" s="75">
        <v>5</v>
      </c>
      <c r="E483" s="75"/>
      <c r="F483" s="75"/>
      <c r="G483" s="75"/>
      <c r="H483" s="75">
        <v>1160</v>
      </c>
      <c r="I483" s="75">
        <v>5800</v>
      </c>
      <c r="J483" s="91" t="s">
        <v>1251</v>
      </c>
      <c r="K483" s="73"/>
      <c r="L483" s="46">
        <v>5</v>
      </c>
      <c r="M483" s="46">
        <v>0</v>
      </c>
      <c r="N483" s="46">
        <v>5800</v>
      </c>
      <c r="O483" s="98"/>
      <c r="P483" s="23" t="s">
        <v>1414</v>
      </c>
      <c r="Q483" s="24" t="s">
        <v>1250</v>
      </c>
      <c r="R483" s="25" t="s">
        <v>325</v>
      </c>
      <c r="S483" s="26">
        <v>5</v>
      </c>
      <c r="T483" s="26"/>
      <c r="U483" s="26">
        <v>1160</v>
      </c>
      <c r="V483" s="127">
        <f t="shared" si="104"/>
        <v>0</v>
      </c>
      <c r="W483" s="127">
        <f t="shared" si="101"/>
        <v>5</v>
      </c>
      <c r="X483" s="127">
        <f t="shared" si="105"/>
        <v>0</v>
      </c>
      <c r="Y483" s="127">
        <f t="shared" si="106"/>
        <v>5800</v>
      </c>
      <c r="Z483" s="33" t="s">
        <v>15</v>
      </c>
      <c r="AA483" s="36" t="s">
        <v>16</v>
      </c>
      <c r="AB483" s="181">
        <f t="shared" si="108"/>
        <v>5</v>
      </c>
      <c r="AC483" s="181">
        <f t="shared" si="107"/>
        <v>5800</v>
      </c>
      <c r="AD483" s="181">
        <v>6</v>
      </c>
      <c r="AE483" s="181">
        <v>6</v>
      </c>
      <c r="AF483" s="101" t="str">
        <f t="shared" si="109"/>
        <v/>
      </c>
      <c r="AG483" s="190">
        <v>5</v>
      </c>
      <c r="AH483" s="69">
        <f t="shared" si="102"/>
        <v>5</v>
      </c>
    </row>
    <row r="484" spans="1:34" s="69" customFormat="1" ht="58.5" x14ac:dyDescent="0.3">
      <c r="A484" s="130" t="s">
        <v>1252</v>
      </c>
      <c r="B484" s="131" t="s">
        <v>1253</v>
      </c>
      <c r="C484" s="132" t="s">
        <v>325</v>
      </c>
      <c r="D484" s="75">
        <v>5</v>
      </c>
      <c r="E484" s="75"/>
      <c r="F484" s="75"/>
      <c r="G484" s="75"/>
      <c r="H484" s="75">
        <v>600</v>
      </c>
      <c r="I484" s="75">
        <v>3000</v>
      </c>
      <c r="J484" s="91" t="s">
        <v>1254</v>
      </c>
      <c r="K484" s="73"/>
      <c r="L484" s="46">
        <v>5</v>
      </c>
      <c r="M484" s="46">
        <v>0</v>
      </c>
      <c r="N484" s="46">
        <v>3000</v>
      </c>
      <c r="O484" s="98"/>
      <c r="P484" s="23" t="s">
        <v>1429</v>
      </c>
      <c r="Q484" s="24" t="s">
        <v>1253</v>
      </c>
      <c r="R484" s="25" t="s">
        <v>325</v>
      </c>
      <c r="S484" s="26">
        <v>5</v>
      </c>
      <c r="T484" s="26"/>
      <c r="U484" s="26">
        <v>600</v>
      </c>
      <c r="V484" s="127">
        <f t="shared" si="104"/>
        <v>0</v>
      </c>
      <c r="W484" s="127">
        <f t="shared" si="101"/>
        <v>5</v>
      </c>
      <c r="X484" s="127">
        <f t="shared" si="105"/>
        <v>0</v>
      </c>
      <c r="Y484" s="127">
        <f t="shared" si="106"/>
        <v>3000</v>
      </c>
      <c r="Z484" s="33" t="s">
        <v>15</v>
      </c>
      <c r="AA484" s="36" t="s">
        <v>16</v>
      </c>
      <c r="AB484" s="181">
        <f t="shared" si="108"/>
        <v>5</v>
      </c>
      <c r="AC484" s="181">
        <f t="shared" si="107"/>
        <v>3000</v>
      </c>
      <c r="AD484" s="181">
        <v>6</v>
      </c>
      <c r="AE484" s="181">
        <v>6</v>
      </c>
      <c r="AF484" s="101" t="str">
        <f t="shared" si="109"/>
        <v/>
      </c>
      <c r="AG484" s="190">
        <v>5</v>
      </c>
      <c r="AH484" s="69">
        <f t="shared" si="102"/>
        <v>5</v>
      </c>
    </row>
    <row r="485" spans="1:34" s="69" customFormat="1" ht="49.5" customHeight="1" x14ac:dyDescent="0.3">
      <c r="A485" s="130" t="s">
        <v>1255</v>
      </c>
      <c r="B485" s="131" t="s">
        <v>1256</v>
      </c>
      <c r="C485" s="132" t="s">
        <v>325</v>
      </c>
      <c r="D485" s="75">
        <v>5</v>
      </c>
      <c r="E485" s="75"/>
      <c r="F485" s="75"/>
      <c r="G485" s="75"/>
      <c r="H485" s="75">
        <v>1800</v>
      </c>
      <c r="I485" s="75">
        <v>9000</v>
      </c>
      <c r="J485" s="91" t="s">
        <v>1257</v>
      </c>
      <c r="K485" s="73"/>
      <c r="L485" s="46">
        <v>5</v>
      </c>
      <c r="M485" s="46">
        <v>0</v>
      </c>
      <c r="N485" s="46">
        <v>9000</v>
      </c>
      <c r="O485" s="98"/>
      <c r="P485" s="23" t="s">
        <v>1430</v>
      </c>
      <c r="Q485" s="24" t="s">
        <v>1256</v>
      </c>
      <c r="R485" s="25" t="s">
        <v>325</v>
      </c>
      <c r="S485" s="26">
        <v>5</v>
      </c>
      <c r="T485" s="26"/>
      <c r="U485" s="26">
        <v>1800</v>
      </c>
      <c r="V485" s="127">
        <f t="shared" si="104"/>
        <v>0</v>
      </c>
      <c r="W485" s="127">
        <f t="shared" si="101"/>
        <v>5</v>
      </c>
      <c r="X485" s="127">
        <f t="shared" si="105"/>
        <v>0</v>
      </c>
      <c r="Y485" s="127">
        <f t="shared" si="106"/>
        <v>9000</v>
      </c>
      <c r="Z485" s="33" t="s">
        <v>15</v>
      </c>
      <c r="AA485" s="36" t="s">
        <v>16</v>
      </c>
      <c r="AB485" s="181">
        <f t="shared" si="108"/>
        <v>5</v>
      </c>
      <c r="AC485" s="181">
        <f t="shared" si="107"/>
        <v>9000</v>
      </c>
      <c r="AD485" s="181">
        <v>6</v>
      </c>
      <c r="AE485" s="181">
        <v>6</v>
      </c>
      <c r="AF485" s="101" t="str">
        <f t="shared" si="109"/>
        <v/>
      </c>
      <c r="AG485" s="190">
        <v>5</v>
      </c>
      <c r="AH485" s="69">
        <f t="shared" si="102"/>
        <v>5</v>
      </c>
    </row>
    <row r="486" spans="1:34" s="69" customFormat="1" ht="39" x14ac:dyDescent="0.3">
      <c r="A486" s="55" t="s">
        <v>1258</v>
      </c>
      <c r="B486" s="53" t="s">
        <v>1259</v>
      </c>
      <c r="C486" s="54" t="s">
        <v>325</v>
      </c>
      <c r="D486" s="75">
        <v>80</v>
      </c>
      <c r="E486" s="75"/>
      <c r="F486" s="75"/>
      <c r="G486" s="75"/>
      <c r="H486" s="75">
        <v>2200</v>
      </c>
      <c r="I486" s="75">
        <v>176000</v>
      </c>
      <c r="J486" s="91" t="s">
        <v>1260</v>
      </c>
      <c r="K486" s="73"/>
      <c r="L486" s="46">
        <v>40</v>
      </c>
      <c r="M486" s="46">
        <v>0</v>
      </c>
      <c r="N486" s="46">
        <v>88000</v>
      </c>
      <c r="O486" s="98"/>
      <c r="P486" s="23" t="s">
        <v>1431</v>
      </c>
      <c r="Q486" s="24" t="s">
        <v>1259</v>
      </c>
      <c r="R486" s="25" t="s">
        <v>325</v>
      </c>
      <c r="S486" s="26">
        <v>80</v>
      </c>
      <c r="T486" s="26"/>
      <c r="U486" s="26">
        <v>2200</v>
      </c>
      <c r="V486" s="26">
        <f t="shared" si="104"/>
        <v>0</v>
      </c>
      <c r="W486" s="26">
        <f t="shared" si="101"/>
        <v>40</v>
      </c>
      <c r="X486" s="26">
        <f t="shared" si="105"/>
        <v>0</v>
      </c>
      <c r="Y486" s="26">
        <f t="shared" si="106"/>
        <v>88000</v>
      </c>
      <c r="Z486" s="33" t="s">
        <v>15</v>
      </c>
      <c r="AA486" s="36" t="s">
        <v>16</v>
      </c>
      <c r="AB486" s="181">
        <f t="shared" si="108"/>
        <v>80</v>
      </c>
      <c r="AC486" s="181">
        <f t="shared" si="107"/>
        <v>176000</v>
      </c>
      <c r="AD486" s="181">
        <v>6</v>
      </c>
      <c r="AE486" s="181">
        <v>6</v>
      </c>
      <c r="AF486" s="101" t="str">
        <f t="shared" si="109"/>
        <v/>
      </c>
      <c r="AG486" s="190">
        <v>40</v>
      </c>
      <c r="AH486" s="69">
        <f t="shared" si="102"/>
        <v>80</v>
      </c>
    </row>
    <row r="487" spans="1:34" s="69" customFormat="1" ht="42" x14ac:dyDescent="0.3">
      <c r="A487" s="130" t="s">
        <v>1261</v>
      </c>
      <c r="B487" s="131" t="s">
        <v>1262</v>
      </c>
      <c r="C487" s="132" t="s">
        <v>14</v>
      </c>
      <c r="D487" s="75">
        <v>1</v>
      </c>
      <c r="E487" s="75"/>
      <c r="F487" s="75"/>
      <c r="G487" s="75"/>
      <c r="H487" s="75">
        <v>261478.99</v>
      </c>
      <c r="I487" s="75">
        <v>261478.99</v>
      </c>
      <c r="J487" s="91" t="s">
        <v>1263</v>
      </c>
      <c r="K487" s="73"/>
      <c r="L487" s="46">
        <v>1</v>
      </c>
      <c r="M487" s="46">
        <v>0</v>
      </c>
      <c r="N487" s="46">
        <v>261478.99</v>
      </c>
      <c r="O487" s="98"/>
      <c r="P487" s="23" t="s">
        <v>1395</v>
      </c>
      <c r="Q487" s="24" t="s">
        <v>1262</v>
      </c>
      <c r="R487" s="25" t="s">
        <v>14</v>
      </c>
      <c r="S487" s="26">
        <v>1</v>
      </c>
      <c r="T487" s="26"/>
      <c r="U487" s="26">
        <v>261478.99</v>
      </c>
      <c r="V487" s="127">
        <f t="shared" si="104"/>
        <v>0</v>
      </c>
      <c r="W487" s="127">
        <f t="shared" si="101"/>
        <v>1</v>
      </c>
      <c r="X487" s="127">
        <f t="shared" si="105"/>
        <v>0</v>
      </c>
      <c r="Y487" s="127">
        <f t="shared" si="106"/>
        <v>261478.99</v>
      </c>
      <c r="Z487" s="33" t="s">
        <v>1499</v>
      </c>
      <c r="AA487" s="36" t="s">
        <v>16</v>
      </c>
      <c r="AB487" s="181">
        <f t="shared" si="108"/>
        <v>1</v>
      </c>
      <c r="AC487" s="181">
        <f t="shared" si="107"/>
        <v>261478.99</v>
      </c>
      <c r="AD487" s="181">
        <v>6</v>
      </c>
      <c r="AE487" s="181">
        <v>6</v>
      </c>
      <c r="AF487" s="101" t="str">
        <f t="shared" si="109"/>
        <v/>
      </c>
      <c r="AG487" s="190">
        <v>1</v>
      </c>
      <c r="AH487" s="69">
        <f t="shared" si="102"/>
        <v>1</v>
      </c>
    </row>
    <row r="488" spans="1:34" s="69" customFormat="1" ht="33" x14ac:dyDescent="0.3">
      <c r="A488" s="55" t="s">
        <v>1264</v>
      </c>
      <c r="B488" s="53" t="s">
        <v>1265</v>
      </c>
      <c r="C488" s="54" t="s">
        <v>30</v>
      </c>
      <c r="D488" s="75">
        <v>5000</v>
      </c>
      <c r="E488" s="75"/>
      <c r="F488" s="75"/>
      <c r="G488" s="75"/>
      <c r="H488" s="75">
        <v>13</v>
      </c>
      <c r="I488" s="75">
        <v>65000</v>
      </c>
      <c r="J488" s="91" t="s">
        <v>1266</v>
      </c>
      <c r="K488" s="73"/>
      <c r="L488" s="46">
        <v>0</v>
      </c>
      <c r="M488" s="46">
        <v>0</v>
      </c>
      <c r="N488" s="46">
        <v>0</v>
      </c>
      <c r="O488" s="98"/>
      <c r="P488" s="23" t="s">
        <v>1432</v>
      </c>
      <c r="Q488" s="24" t="s">
        <v>1265</v>
      </c>
      <c r="R488" s="25" t="s">
        <v>30</v>
      </c>
      <c r="S488" s="26">
        <v>5000</v>
      </c>
      <c r="T488" s="26"/>
      <c r="U488" s="26">
        <v>13</v>
      </c>
      <c r="V488" s="26">
        <f t="shared" si="104"/>
        <v>0</v>
      </c>
      <c r="W488" s="26">
        <f t="shared" si="101"/>
        <v>0</v>
      </c>
      <c r="X488" s="26">
        <f t="shared" si="105"/>
        <v>0</v>
      </c>
      <c r="Y488" s="26">
        <f t="shared" si="106"/>
        <v>0</v>
      </c>
      <c r="Z488" s="33" t="s">
        <v>15</v>
      </c>
      <c r="AA488" s="36" t="s">
        <v>16</v>
      </c>
      <c r="AB488" s="181">
        <f t="shared" si="108"/>
        <v>5000</v>
      </c>
      <c r="AC488" s="181">
        <f t="shared" si="107"/>
        <v>65000</v>
      </c>
      <c r="AD488" s="181">
        <v>6</v>
      </c>
      <c r="AE488" s="181">
        <v>6</v>
      </c>
      <c r="AF488" s="101" t="str">
        <f t="shared" si="109"/>
        <v/>
      </c>
      <c r="AG488" s="190">
        <v>0</v>
      </c>
      <c r="AH488" s="69">
        <f t="shared" si="102"/>
        <v>5000</v>
      </c>
    </row>
    <row r="489" spans="1:34" s="69" customFormat="1" ht="39" x14ac:dyDescent="0.3">
      <c r="A489" s="55" t="s">
        <v>1267</v>
      </c>
      <c r="B489" s="53" t="s">
        <v>1268</v>
      </c>
      <c r="C489" s="54" t="s">
        <v>1269</v>
      </c>
      <c r="D489" s="75">
        <v>48</v>
      </c>
      <c r="E489" s="75"/>
      <c r="F489" s="75"/>
      <c r="G489" s="75"/>
      <c r="H489" s="75">
        <v>47468</v>
      </c>
      <c r="I489" s="75">
        <v>2278464</v>
      </c>
      <c r="J489" s="91" t="s">
        <v>1270</v>
      </c>
      <c r="K489" s="73"/>
      <c r="L489" s="46">
        <v>30</v>
      </c>
      <c r="M489" s="46">
        <v>94936</v>
      </c>
      <c r="N489" s="46">
        <v>1424040</v>
      </c>
      <c r="O489" s="98"/>
      <c r="P489" s="23" t="s">
        <v>1433</v>
      </c>
      <c r="Q489" s="24" t="s">
        <v>1268</v>
      </c>
      <c r="R489" s="25" t="s">
        <v>1269</v>
      </c>
      <c r="S489" s="26">
        <v>48</v>
      </c>
      <c r="T489" s="26"/>
      <c r="U489" s="26">
        <v>47468</v>
      </c>
      <c r="V489" s="102">
        <f t="shared" si="104"/>
        <v>2</v>
      </c>
      <c r="W489" s="26">
        <f t="shared" si="101"/>
        <v>32</v>
      </c>
      <c r="X489" s="26">
        <f t="shared" si="105"/>
        <v>94936</v>
      </c>
      <c r="Y489" s="26">
        <f t="shared" si="106"/>
        <v>1518976</v>
      </c>
      <c r="Z489" s="33" t="s">
        <v>15</v>
      </c>
      <c r="AA489" s="36" t="s">
        <v>16</v>
      </c>
      <c r="AB489" s="181">
        <f t="shared" si="108"/>
        <v>48</v>
      </c>
      <c r="AC489" s="181">
        <f t="shared" si="107"/>
        <v>2278464</v>
      </c>
      <c r="AD489" s="181">
        <v>6</v>
      </c>
      <c r="AE489" s="181">
        <v>6</v>
      </c>
      <c r="AF489" s="101" t="str">
        <f t="shared" si="109"/>
        <v/>
      </c>
      <c r="AG489" s="191">
        <f>24+2+2+2+2</f>
        <v>32</v>
      </c>
      <c r="AH489" s="69">
        <f t="shared" si="102"/>
        <v>48</v>
      </c>
    </row>
    <row r="490" spans="1:34" s="69" customFormat="1" ht="39" x14ac:dyDescent="0.3">
      <c r="A490" s="55" t="s">
        <v>1271</v>
      </c>
      <c r="B490" s="53" t="s">
        <v>1272</v>
      </c>
      <c r="C490" s="54" t="s">
        <v>14</v>
      </c>
      <c r="D490" s="75">
        <v>1</v>
      </c>
      <c r="E490" s="75"/>
      <c r="F490" s="75"/>
      <c r="G490" s="75"/>
      <c r="H490" s="75">
        <v>111233.97</v>
      </c>
      <c r="I490" s="75">
        <v>111233.97</v>
      </c>
      <c r="J490" s="91" t="s">
        <v>1273</v>
      </c>
      <c r="K490" s="73"/>
      <c r="L490" s="46">
        <v>0</v>
      </c>
      <c r="M490" s="46">
        <v>0</v>
      </c>
      <c r="N490" s="46">
        <v>0</v>
      </c>
      <c r="O490" s="98"/>
      <c r="P490" s="23" t="s">
        <v>1382</v>
      </c>
      <c r="Q490" s="24" t="s">
        <v>1272</v>
      </c>
      <c r="R490" s="25" t="s">
        <v>14</v>
      </c>
      <c r="S490" s="26">
        <v>1</v>
      </c>
      <c r="T490" s="26"/>
      <c r="U490" s="26">
        <v>111233.97</v>
      </c>
      <c r="V490" s="26">
        <f t="shared" si="104"/>
        <v>0</v>
      </c>
      <c r="W490" s="26">
        <f t="shared" si="101"/>
        <v>0</v>
      </c>
      <c r="X490" s="26">
        <f t="shared" si="105"/>
        <v>0</v>
      </c>
      <c r="Y490" s="26">
        <f t="shared" si="106"/>
        <v>0</v>
      </c>
      <c r="Z490" s="33" t="s">
        <v>15</v>
      </c>
      <c r="AA490" s="36" t="s">
        <v>16</v>
      </c>
      <c r="AB490" s="181">
        <f t="shared" si="108"/>
        <v>1</v>
      </c>
      <c r="AC490" s="181">
        <f t="shared" si="107"/>
        <v>111233.97</v>
      </c>
      <c r="AD490" s="181">
        <v>6</v>
      </c>
      <c r="AE490" s="181">
        <v>6</v>
      </c>
      <c r="AF490" s="101" t="str">
        <f t="shared" si="109"/>
        <v/>
      </c>
      <c r="AG490" s="190">
        <v>0</v>
      </c>
      <c r="AH490" s="69">
        <f t="shared" si="102"/>
        <v>1</v>
      </c>
    </row>
    <row r="491" spans="1:34" s="69" customFormat="1" ht="33" x14ac:dyDescent="0.3">
      <c r="A491" s="85" t="s">
        <v>1274</v>
      </c>
      <c r="B491" s="86" t="s">
        <v>1275</v>
      </c>
      <c r="C491" s="87" t="s">
        <v>14</v>
      </c>
      <c r="D491" s="88">
        <v>1</v>
      </c>
      <c r="E491" s="88"/>
      <c r="F491" s="88"/>
      <c r="G491" s="88"/>
      <c r="H491" s="88"/>
      <c r="I491" s="88">
        <v>2884379.96</v>
      </c>
      <c r="J491" s="95" t="s">
        <v>15</v>
      </c>
      <c r="K491" s="73"/>
      <c r="L491" s="42">
        <v>1</v>
      </c>
      <c r="M491" s="42">
        <v>94936</v>
      </c>
      <c r="N491" s="42">
        <v>1726997.98</v>
      </c>
      <c r="O491" s="98"/>
      <c r="P491" s="13" t="s">
        <v>1416</v>
      </c>
      <c r="Q491" s="14" t="s">
        <v>1275</v>
      </c>
      <c r="R491" s="15" t="s">
        <v>14</v>
      </c>
      <c r="S491" s="16">
        <v>1</v>
      </c>
      <c r="T491" s="16"/>
      <c r="U491" s="16">
        <f>SUMIFS(AC:AC,AD:AD,AD491)</f>
        <v>2884379.96</v>
      </c>
      <c r="V491" s="16">
        <f t="shared" ref="V491:W491" si="110">IF(X491=0,0,1)</f>
        <v>1</v>
      </c>
      <c r="W491" s="16">
        <f t="shared" si="110"/>
        <v>1</v>
      </c>
      <c r="X491" s="16">
        <f>SUMIFS(X:X,AE:AE,AD491)</f>
        <v>94936</v>
      </c>
      <c r="Y491" s="16">
        <f>SUMIFS(Y:Y,AE:AE,AD491)</f>
        <v>1821933.98</v>
      </c>
      <c r="Z491" s="17" t="s">
        <v>15</v>
      </c>
      <c r="AA491" s="40" t="s">
        <v>16</v>
      </c>
      <c r="AB491" s="181">
        <f t="shared" si="108"/>
        <v>1</v>
      </c>
      <c r="AC491" s="183"/>
      <c r="AD491" s="183">
        <v>7</v>
      </c>
      <c r="AE491" s="183"/>
      <c r="AF491" s="101" t="str">
        <f t="shared" si="109"/>
        <v/>
      </c>
      <c r="AG491" s="190">
        <v>1</v>
      </c>
      <c r="AH491" s="69">
        <f t="shared" si="102"/>
        <v>1</v>
      </c>
    </row>
    <row r="492" spans="1:34" s="69" customFormat="1" ht="39" x14ac:dyDescent="0.3">
      <c r="A492" s="55" t="s">
        <v>1276</v>
      </c>
      <c r="B492" s="53" t="s">
        <v>1277</v>
      </c>
      <c r="C492" s="54" t="s">
        <v>1269</v>
      </c>
      <c r="D492" s="75">
        <v>48</v>
      </c>
      <c r="E492" s="75"/>
      <c r="F492" s="75"/>
      <c r="G492" s="75"/>
      <c r="H492" s="75">
        <v>47468</v>
      </c>
      <c r="I492" s="75">
        <v>2278464</v>
      </c>
      <c r="J492" s="91" t="s">
        <v>1278</v>
      </c>
      <c r="K492" s="73"/>
      <c r="L492" s="46">
        <v>30</v>
      </c>
      <c r="M492" s="46">
        <v>94936</v>
      </c>
      <c r="N492" s="46">
        <v>1424040</v>
      </c>
      <c r="O492" s="98"/>
      <c r="P492" s="23" t="s">
        <v>1421</v>
      </c>
      <c r="Q492" s="24" t="s">
        <v>1277</v>
      </c>
      <c r="R492" s="25" t="s">
        <v>1269</v>
      </c>
      <c r="S492" s="26">
        <v>48</v>
      </c>
      <c r="T492" s="26"/>
      <c r="U492" s="26">
        <v>47468</v>
      </c>
      <c r="V492" s="102">
        <f t="shared" ref="V492:V493" si="111">AG492-L492</f>
        <v>2</v>
      </c>
      <c r="W492" s="26">
        <f t="shared" si="101"/>
        <v>32</v>
      </c>
      <c r="X492" s="26">
        <f>Y492-N492</f>
        <v>94936</v>
      </c>
      <c r="Y492" s="26">
        <f t="shared" ref="Y492:Y493" si="112">ROUND(U492*W492,2)</f>
        <v>1518976</v>
      </c>
      <c r="Z492" s="33" t="s">
        <v>15</v>
      </c>
      <c r="AA492" s="36" t="s">
        <v>16</v>
      </c>
      <c r="AB492" s="181">
        <f t="shared" si="108"/>
        <v>48</v>
      </c>
      <c r="AC492" s="181">
        <f t="shared" ref="AC492:AC493" si="113">ROUND(U492*AB492,2)</f>
        <v>2278464</v>
      </c>
      <c r="AD492" s="181">
        <v>7</v>
      </c>
      <c r="AE492" s="181">
        <v>7</v>
      </c>
      <c r="AF492" s="101" t="str">
        <f t="shared" si="109"/>
        <v/>
      </c>
      <c r="AG492" s="191">
        <f>24+2+2+2+2</f>
        <v>32</v>
      </c>
      <c r="AH492" s="69">
        <f t="shared" si="102"/>
        <v>48</v>
      </c>
    </row>
    <row r="493" spans="1:34" s="69" customFormat="1" ht="33" x14ac:dyDescent="0.3">
      <c r="A493" s="55" t="s">
        <v>1279</v>
      </c>
      <c r="B493" s="53" t="s">
        <v>1280</v>
      </c>
      <c r="C493" s="54" t="s">
        <v>14</v>
      </c>
      <c r="D493" s="75">
        <v>1</v>
      </c>
      <c r="E493" s="75"/>
      <c r="F493" s="75"/>
      <c r="G493" s="75"/>
      <c r="H493" s="75">
        <v>605915.96</v>
      </c>
      <c r="I493" s="75">
        <v>605915.96</v>
      </c>
      <c r="J493" s="91" t="s">
        <v>1281</v>
      </c>
      <c r="K493" s="73"/>
      <c r="L493" s="46">
        <v>0.5</v>
      </c>
      <c r="M493" s="46">
        <v>0</v>
      </c>
      <c r="N493" s="46">
        <v>302957.98</v>
      </c>
      <c r="O493" s="98"/>
      <c r="P493" s="23" t="s">
        <v>1426</v>
      </c>
      <c r="Q493" s="24" t="s">
        <v>1280</v>
      </c>
      <c r="R493" s="25" t="s">
        <v>14</v>
      </c>
      <c r="S493" s="26">
        <v>1</v>
      </c>
      <c r="T493" s="26"/>
      <c r="U493" s="26">
        <v>605915.96</v>
      </c>
      <c r="V493" s="128">
        <f t="shared" si="111"/>
        <v>0</v>
      </c>
      <c r="W493" s="26">
        <f t="shared" si="101"/>
        <v>0.5</v>
      </c>
      <c r="X493" s="26">
        <f>Y493-N493</f>
        <v>0</v>
      </c>
      <c r="Y493" s="26">
        <f t="shared" si="112"/>
        <v>302957.98</v>
      </c>
      <c r="Z493" s="33" t="s">
        <v>15</v>
      </c>
      <c r="AA493" s="36" t="s">
        <v>16</v>
      </c>
      <c r="AB493" s="181">
        <f t="shared" si="108"/>
        <v>1</v>
      </c>
      <c r="AC493" s="181">
        <f t="shared" si="113"/>
        <v>605915.96</v>
      </c>
      <c r="AD493" s="181">
        <v>7</v>
      </c>
      <c r="AE493" s="181">
        <v>7</v>
      </c>
      <c r="AF493" s="101" t="str">
        <f t="shared" si="109"/>
        <v/>
      </c>
      <c r="AG493" s="191">
        <f>0.5</f>
        <v>0.5</v>
      </c>
      <c r="AH493" s="69">
        <f t="shared" si="102"/>
        <v>1</v>
      </c>
    </row>
    <row r="494" spans="1:34" s="69" customFormat="1" ht="63" x14ac:dyDescent="0.3">
      <c r="A494" s="85" t="s">
        <v>1282</v>
      </c>
      <c r="B494" s="86" t="s">
        <v>1283</v>
      </c>
      <c r="C494" s="87" t="s">
        <v>14</v>
      </c>
      <c r="D494" s="88">
        <v>1</v>
      </c>
      <c r="E494" s="88"/>
      <c r="F494" s="88"/>
      <c r="G494" s="88"/>
      <c r="H494" s="88"/>
      <c r="I494" s="88">
        <v>35719969.310000002</v>
      </c>
      <c r="J494" s="95" t="s">
        <v>1284</v>
      </c>
      <c r="K494" s="73"/>
      <c r="L494" s="42">
        <v>1</v>
      </c>
      <c r="M494" s="42">
        <v>2441124.9300000072</v>
      </c>
      <c r="N494" s="42">
        <v>21582712.75</v>
      </c>
      <c r="O494" s="98"/>
      <c r="P494" s="28" t="s">
        <v>1417</v>
      </c>
      <c r="Q494" s="29" t="s">
        <v>1283</v>
      </c>
      <c r="R494" s="30" t="s">
        <v>14</v>
      </c>
      <c r="S494" s="31">
        <v>1</v>
      </c>
      <c r="T494" s="31"/>
      <c r="U494" s="31">
        <v>35719969.310000002</v>
      </c>
      <c r="V494" s="31">
        <f t="shared" ref="V494:W495" si="114">IF(X494=0,0,1)</f>
        <v>1</v>
      </c>
      <c r="W494" s="31">
        <f t="shared" si="114"/>
        <v>1</v>
      </c>
      <c r="X494" s="31">
        <f>Y494-N494</f>
        <v>1464080.8100000173</v>
      </c>
      <c r="Y494" s="31">
        <f>Y7-Y8-Y377-Y406-Y446-Y450-Y471-Y491-Y495-Y497</f>
        <v>23046793.560000017</v>
      </c>
      <c r="Z494" s="32" t="s">
        <v>1418</v>
      </c>
      <c r="AA494" s="40" t="s">
        <v>16</v>
      </c>
      <c r="AB494" s="181">
        <f t="shared" si="108"/>
        <v>1</v>
      </c>
      <c r="AC494" s="183"/>
      <c r="AD494" s="183">
        <v>8</v>
      </c>
      <c r="AE494" s="183"/>
      <c r="AF494" s="101" t="str">
        <f t="shared" si="109"/>
        <v/>
      </c>
      <c r="AG494" s="190">
        <v>1</v>
      </c>
      <c r="AH494" s="69">
        <f t="shared" si="102"/>
        <v>1</v>
      </c>
    </row>
    <row r="495" spans="1:34" s="69" customFormat="1" ht="157.5" x14ac:dyDescent="0.3">
      <c r="A495" s="85" t="s">
        <v>1285</v>
      </c>
      <c r="B495" s="86" t="s">
        <v>1286</v>
      </c>
      <c r="C495" s="87" t="s">
        <v>14</v>
      </c>
      <c r="D495" s="88">
        <v>1</v>
      </c>
      <c r="E495" s="88"/>
      <c r="F495" s="88"/>
      <c r="G495" s="88"/>
      <c r="H495" s="88"/>
      <c r="I495" s="88">
        <v>3336000</v>
      </c>
      <c r="J495" s="95" t="s">
        <v>1287</v>
      </c>
      <c r="K495" s="73"/>
      <c r="L495" s="42">
        <v>0</v>
      </c>
      <c r="M495" s="42">
        <v>0</v>
      </c>
      <c r="N495" s="42">
        <v>0</v>
      </c>
      <c r="O495" s="98"/>
      <c r="P495" s="13" t="s">
        <v>1419</v>
      </c>
      <c r="Q495" s="14" t="s">
        <v>1286</v>
      </c>
      <c r="R495" s="15" t="s">
        <v>14</v>
      </c>
      <c r="S495" s="16">
        <v>1</v>
      </c>
      <c r="T495" s="16"/>
      <c r="U495" s="16">
        <f>SUMIFS(AC:AC,AD:AD,AD495)</f>
        <v>3336000</v>
      </c>
      <c r="V495" s="16">
        <f t="shared" si="114"/>
        <v>0</v>
      </c>
      <c r="W495" s="16">
        <f t="shared" si="114"/>
        <v>0</v>
      </c>
      <c r="X495" s="16">
        <f>SUMIFS(X:X,AE:AE,AD495)</f>
        <v>0</v>
      </c>
      <c r="Y495" s="16">
        <f>SUMIFS(Y:Y,AE:AE,AD495)</f>
        <v>0</v>
      </c>
      <c r="Z495" s="17" t="s">
        <v>1287</v>
      </c>
      <c r="AA495" s="40" t="s">
        <v>16</v>
      </c>
      <c r="AB495" s="181">
        <f t="shared" si="108"/>
        <v>1</v>
      </c>
      <c r="AC495" s="183"/>
      <c r="AD495" s="183">
        <v>9</v>
      </c>
      <c r="AE495" s="183"/>
      <c r="AF495" s="101" t="str">
        <f t="shared" si="109"/>
        <v/>
      </c>
      <c r="AG495" s="190">
        <v>0</v>
      </c>
      <c r="AH495" s="69">
        <f t="shared" si="102"/>
        <v>1</v>
      </c>
    </row>
    <row r="496" spans="1:34" s="69" customFormat="1" ht="33" x14ac:dyDescent="0.3">
      <c r="A496" s="55" t="s">
        <v>1288</v>
      </c>
      <c r="B496" s="53" t="s">
        <v>1286</v>
      </c>
      <c r="C496" s="54" t="s">
        <v>23</v>
      </c>
      <c r="D496" s="75">
        <v>22240</v>
      </c>
      <c r="E496" s="75"/>
      <c r="F496" s="75"/>
      <c r="G496" s="75"/>
      <c r="H496" s="75">
        <v>150</v>
      </c>
      <c r="I496" s="75">
        <v>3336000</v>
      </c>
      <c r="J496" s="91" t="s">
        <v>1289</v>
      </c>
      <c r="K496" s="73"/>
      <c r="L496" s="46">
        <v>0</v>
      </c>
      <c r="M496" s="46">
        <v>0</v>
      </c>
      <c r="N496" s="46">
        <v>0</v>
      </c>
      <c r="O496" s="98"/>
      <c r="P496" s="23" t="s">
        <v>1421</v>
      </c>
      <c r="Q496" s="24" t="s">
        <v>1286</v>
      </c>
      <c r="R496" s="25" t="s">
        <v>23</v>
      </c>
      <c r="S496" s="26">
        <v>22240</v>
      </c>
      <c r="T496" s="26"/>
      <c r="U496" s="26">
        <v>150</v>
      </c>
      <c r="V496" s="103">
        <f t="shared" ref="V496" si="115">AG496-L496</f>
        <v>0</v>
      </c>
      <c r="W496" s="26">
        <f t="shared" ref="W496" si="116">V496+L496</f>
        <v>0</v>
      </c>
      <c r="X496" s="26">
        <v>0</v>
      </c>
      <c r="Y496" s="26">
        <f t="shared" ref="Y496" si="117">ROUND(U496*W496,2)</f>
        <v>0</v>
      </c>
      <c r="Z496" s="33" t="s">
        <v>15</v>
      </c>
      <c r="AA496" s="36" t="s">
        <v>16</v>
      </c>
      <c r="AB496" s="181">
        <f t="shared" si="108"/>
        <v>22240</v>
      </c>
      <c r="AC496" s="181">
        <f t="shared" ref="AC496" si="118">ROUND(U496*AB496,2)</f>
        <v>3336000</v>
      </c>
      <c r="AD496" s="181">
        <v>9</v>
      </c>
      <c r="AE496" s="181">
        <v>9</v>
      </c>
      <c r="AF496" s="101" t="str">
        <f t="shared" si="109"/>
        <v/>
      </c>
      <c r="AG496" s="190">
        <v>0</v>
      </c>
      <c r="AH496" s="69">
        <f t="shared" si="102"/>
        <v>22240</v>
      </c>
    </row>
    <row r="497" spans="1:34" s="69" customFormat="1" ht="178.5" x14ac:dyDescent="0.3">
      <c r="A497" s="85" t="s">
        <v>1290</v>
      </c>
      <c r="B497" s="86" t="s">
        <v>1291</v>
      </c>
      <c r="C497" s="87" t="s">
        <v>14</v>
      </c>
      <c r="D497" s="88">
        <v>1</v>
      </c>
      <c r="E497" s="88"/>
      <c r="F497" s="88"/>
      <c r="G497" s="88"/>
      <c r="H497" s="88"/>
      <c r="I497" s="88">
        <v>212800</v>
      </c>
      <c r="J497" s="95" t="s">
        <v>1292</v>
      </c>
      <c r="K497" s="73"/>
      <c r="L497" s="42">
        <v>1</v>
      </c>
      <c r="M497" s="42">
        <v>0</v>
      </c>
      <c r="N497" s="42">
        <v>212800</v>
      </c>
      <c r="O497" s="98"/>
      <c r="P497" s="13" t="s">
        <v>1420</v>
      </c>
      <c r="Q497" s="14" t="s">
        <v>1291</v>
      </c>
      <c r="R497" s="15" t="s">
        <v>14</v>
      </c>
      <c r="S497" s="16">
        <v>1</v>
      </c>
      <c r="T497" s="16"/>
      <c r="U497" s="16">
        <f>SUMIFS(AC:AC,AD:AD,AD497)</f>
        <v>212800</v>
      </c>
      <c r="V497" s="16">
        <f t="shared" ref="V497:W497" si="119">IF(X497=0,0,1)</f>
        <v>0</v>
      </c>
      <c r="W497" s="16">
        <f t="shared" si="119"/>
        <v>1</v>
      </c>
      <c r="X497" s="16">
        <f>SUMIFS(X:X,AE:AE,AD497)</f>
        <v>0</v>
      </c>
      <c r="Y497" s="16">
        <f>SUMIFS(Y:Y,AE:AE,AD497)</f>
        <v>212800</v>
      </c>
      <c r="Z497" s="17" t="s">
        <v>1292</v>
      </c>
      <c r="AA497" s="40" t="s">
        <v>16</v>
      </c>
      <c r="AB497" s="181">
        <f t="shared" si="108"/>
        <v>1</v>
      </c>
      <c r="AC497" s="183"/>
      <c r="AD497" s="183">
        <v>10</v>
      </c>
      <c r="AE497" s="183"/>
      <c r="AF497" s="101" t="str">
        <f t="shared" si="109"/>
        <v/>
      </c>
      <c r="AG497" s="190">
        <v>1</v>
      </c>
      <c r="AH497" s="69">
        <f t="shared" si="102"/>
        <v>1</v>
      </c>
    </row>
    <row r="498" spans="1:34" s="69" customFormat="1" ht="33" x14ac:dyDescent="0.3">
      <c r="A498" s="55" t="s">
        <v>1293</v>
      </c>
      <c r="B498" s="53" t="s">
        <v>1294</v>
      </c>
      <c r="C498" s="54" t="s">
        <v>50</v>
      </c>
      <c r="D498" s="75">
        <v>3800</v>
      </c>
      <c r="E498" s="75"/>
      <c r="F498" s="75"/>
      <c r="G498" s="75"/>
      <c r="H498" s="75">
        <v>56</v>
      </c>
      <c r="I498" s="75">
        <v>212800</v>
      </c>
      <c r="J498" s="91" t="s">
        <v>1295</v>
      </c>
      <c r="K498" s="73"/>
      <c r="L498" s="46">
        <v>3800</v>
      </c>
      <c r="M498" s="46">
        <v>0</v>
      </c>
      <c r="N498" s="46">
        <v>212800</v>
      </c>
      <c r="O498" s="98"/>
      <c r="P498" s="23" t="s">
        <v>1421</v>
      </c>
      <c r="Q498" s="24" t="s">
        <v>1294</v>
      </c>
      <c r="R498" s="25" t="s">
        <v>50</v>
      </c>
      <c r="S498" s="26">
        <v>3800</v>
      </c>
      <c r="T498" s="26"/>
      <c r="U498" s="26">
        <v>56</v>
      </c>
      <c r="V498" s="26">
        <f t="shared" ref="V498" si="120">AG498-L498</f>
        <v>0</v>
      </c>
      <c r="W498" s="26">
        <f t="shared" ref="W498" si="121">V498+L498</f>
        <v>3800</v>
      </c>
      <c r="X498" s="26">
        <v>0</v>
      </c>
      <c r="Y498" s="26">
        <f t="shared" ref="Y498" si="122">ROUND(U498*W498,2)</f>
        <v>212800</v>
      </c>
      <c r="Z498" s="33" t="s">
        <v>15</v>
      </c>
      <c r="AA498" s="36" t="s">
        <v>16</v>
      </c>
      <c r="AB498" s="181">
        <f t="shared" si="108"/>
        <v>3800</v>
      </c>
      <c r="AC498" s="181">
        <f t="shared" ref="AC498" si="123">ROUND(U498*AB498,2)</f>
        <v>212800</v>
      </c>
      <c r="AD498" s="181">
        <v>10</v>
      </c>
      <c r="AE498" s="181">
        <v>10</v>
      </c>
      <c r="AF498" s="101" t="str">
        <f t="shared" si="109"/>
        <v/>
      </c>
      <c r="AG498" s="190">
        <v>3800</v>
      </c>
      <c r="AH498" s="69">
        <f t="shared" si="102"/>
        <v>3800</v>
      </c>
    </row>
    <row r="499" spans="1:34" s="69" customFormat="1" ht="33" x14ac:dyDescent="0.3">
      <c r="A499" s="52"/>
      <c r="B499" s="53" t="s">
        <v>1296</v>
      </c>
      <c r="C499" s="54"/>
      <c r="D499" s="75"/>
      <c r="E499" s="75"/>
      <c r="F499" s="75"/>
      <c r="G499" s="75"/>
      <c r="H499" s="75"/>
      <c r="I499" s="75"/>
      <c r="J499" s="91"/>
      <c r="K499" s="73"/>
      <c r="L499" s="46"/>
      <c r="M499" s="46">
        <v>24734600.000000007</v>
      </c>
      <c r="N499" s="46">
        <v>218898800</v>
      </c>
      <c r="O499" s="98"/>
      <c r="P499" s="23" t="s">
        <v>1421</v>
      </c>
      <c r="Q499" s="24" t="s">
        <v>1422</v>
      </c>
      <c r="R499" s="25"/>
      <c r="S499" s="26"/>
      <c r="T499" s="26"/>
      <c r="U499" s="26"/>
      <c r="V499" s="26"/>
      <c r="W499" s="26"/>
      <c r="X499" s="26">
        <f>X8+X377+X406+X446+X450+X471+X491+X494+X495+X497</f>
        <v>14834000.000000015</v>
      </c>
      <c r="Y499" s="26">
        <f>ROUNDDOWN((Y8+Y377+Y406+Y446+Y450+Y471+Y491+Y495+Y497+(Y8+Y377+Y406+Y446+Y450+Y471+Y491)*0.1095000004)/1000,1)*1000</f>
        <v>233732800</v>
      </c>
      <c r="Z499" s="33"/>
      <c r="AA499" s="36" t="s">
        <v>16</v>
      </c>
      <c r="AB499" s="181"/>
      <c r="AC499" s="181"/>
      <c r="AD499" s="181"/>
      <c r="AE499" s="181"/>
      <c r="AF499" s="101" t="str">
        <f t="shared" si="109"/>
        <v/>
      </c>
      <c r="AG499" s="190"/>
      <c r="AH499" s="69">
        <f t="shared" si="102"/>
        <v>0</v>
      </c>
    </row>
    <row r="500" spans="1:34" s="69" customFormat="1" ht="33" x14ac:dyDescent="0.3">
      <c r="A500" s="52"/>
      <c r="B500" s="53" t="s">
        <v>1297</v>
      </c>
      <c r="C500" s="54"/>
      <c r="D500" s="75"/>
      <c r="E500" s="75"/>
      <c r="F500" s="75"/>
      <c r="G500" s="75"/>
      <c r="H500" s="75"/>
      <c r="I500" s="75"/>
      <c r="J500" s="91"/>
      <c r="K500" s="73"/>
      <c r="L500" s="39"/>
      <c r="M500" s="39">
        <v>9675</v>
      </c>
      <c r="N500" s="39">
        <v>19291</v>
      </c>
      <c r="O500" s="98"/>
      <c r="P500" s="8" t="s">
        <v>1505</v>
      </c>
      <c r="Q500" s="9" t="s">
        <v>1506</v>
      </c>
      <c r="R500" s="10" t="s">
        <v>14</v>
      </c>
      <c r="S500" s="11"/>
      <c r="T500" s="11"/>
      <c r="U500" s="11"/>
      <c r="V500" s="11"/>
      <c r="W500" s="11"/>
      <c r="X500" s="11">
        <v>9675</v>
      </c>
      <c r="Y500" s="11">
        <v>19291</v>
      </c>
      <c r="Z500" s="12" t="s">
        <v>15</v>
      </c>
      <c r="AA500" s="37" t="s">
        <v>16</v>
      </c>
      <c r="AB500" s="182"/>
      <c r="AC500" s="182">
        <v>295040.74</v>
      </c>
      <c r="AD500" s="182">
        <v>12929586.060000001</v>
      </c>
      <c r="AE500" s="182"/>
      <c r="AF500" s="101" t="str">
        <f t="shared" si="109"/>
        <v/>
      </c>
      <c r="AG500" s="190"/>
      <c r="AH500" s="69">
        <f t="shared" si="102"/>
        <v>0</v>
      </c>
    </row>
    <row r="501" spans="1:34" s="69" customFormat="1" ht="33" x14ac:dyDescent="0.3">
      <c r="A501" s="382" t="s">
        <v>1298</v>
      </c>
      <c r="B501" s="383"/>
      <c r="C501" s="383"/>
      <c r="D501" s="383"/>
      <c r="E501" s="383"/>
      <c r="F501" s="383"/>
      <c r="G501" s="383"/>
      <c r="H501" s="383"/>
      <c r="I501" s="383"/>
      <c r="J501" s="384"/>
      <c r="K501" s="89"/>
      <c r="L501" s="46"/>
      <c r="M501" s="46">
        <v>2999475</v>
      </c>
      <c r="N501" s="46">
        <v>131240691</v>
      </c>
      <c r="O501" s="98"/>
      <c r="P501" s="23" t="s">
        <v>1421</v>
      </c>
      <c r="Q501" s="24" t="s">
        <v>1507</v>
      </c>
      <c r="R501" s="25"/>
      <c r="S501" s="26"/>
      <c r="T501" s="26"/>
      <c r="U501" s="26"/>
      <c r="V501" s="26"/>
      <c r="W501" s="26"/>
      <c r="X501" s="26">
        <v>2999475</v>
      </c>
      <c r="Y501" s="26">
        <v>131240691</v>
      </c>
      <c r="Z501" s="33"/>
      <c r="AA501" s="36" t="s">
        <v>16</v>
      </c>
      <c r="AB501" s="181"/>
      <c r="AC501" s="181"/>
      <c r="AD501" s="181"/>
      <c r="AE501" s="181"/>
      <c r="AF501" s="101" t="str">
        <f t="shared" si="109"/>
        <v/>
      </c>
      <c r="AG501" s="190"/>
      <c r="AH501" s="69">
        <f t="shared" si="102"/>
        <v>0</v>
      </c>
    </row>
    <row r="502" spans="1:34" s="69" customFormat="1" ht="153" customHeight="1" x14ac:dyDescent="0.3">
      <c r="A502" s="390" t="s">
        <v>1299</v>
      </c>
      <c r="B502" s="391"/>
      <c r="C502" s="391"/>
      <c r="D502" s="391"/>
      <c r="E502" s="391"/>
      <c r="F502" s="391"/>
      <c r="G502" s="391"/>
      <c r="H502" s="391"/>
      <c r="I502" s="391"/>
      <c r="J502" s="392"/>
      <c r="K502" s="90"/>
      <c r="L502" s="39"/>
      <c r="M502" s="39">
        <v>0</v>
      </c>
      <c r="N502" s="39">
        <v>737520</v>
      </c>
      <c r="O502" s="98"/>
      <c r="P502" s="8" t="s">
        <v>1508</v>
      </c>
      <c r="Q502" s="9" t="s">
        <v>1509</v>
      </c>
      <c r="R502" s="10" t="s">
        <v>14</v>
      </c>
      <c r="S502" s="11"/>
      <c r="T502" s="11"/>
      <c r="U502" s="11"/>
      <c r="V502" s="11"/>
      <c r="W502" s="11"/>
      <c r="X502" s="11">
        <v>0</v>
      </c>
      <c r="Y502" s="11">
        <f>SUM(Y503:Y505)</f>
        <v>737520</v>
      </c>
      <c r="Z502" s="12" t="s">
        <v>15</v>
      </c>
      <c r="AA502" s="37" t="s">
        <v>16</v>
      </c>
      <c r="AB502" s="182"/>
      <c r="AC502" s="182"/>
      <c r="AD502" s="182"/>
      <c r="AE502" s="182"/>
      <c r="AF502" s="101" t="str">
        <f t="shared" si="109"/>
        <v/>
      </c>
      <c r="AG502" s="190"/>
      <c r="AH502" s="69">
        <f t="shared" si="102"/>
        <v>0</v>
      </c>
    </row>
    <row r="503" spans="1:34" ht="33" x14ac:dyDescent="0.3">
      <c r="L503" s="46">
        <v>519.42999999999995</v>
      </c>
      <c r="M503" s="46">
        <v>0</v>
      </c>
      <c r="N503" s="46">
        <v>298672</v>
      </c>
      <c r="O503" s="98"/>
      <c r="P503" s="23" t="s">
        <v>1421</v>
      </c>
      <c r="Q503" s="24" t="s">
        <v>1510</v>
      </c>
      <c r="R503" s="25" t="s">
        <v>23</v>
      </c>
      <c r="S503" s="26"/>
      <c r="T503" s="26"/>
      <c r="U503" s="26">
        <v>575</v>
      </c>
      <c r="V503" s="26">
        <f>W503-L503</f>
        <v>0</v>
      </c>
      <c r="W503" s="26">
        <v>519.42999999999995</v>
      </c>
      <c r="X503" s="26">
        <f>Y503-N503</f>
        <v>0</v>
      </c>
      <c r="Y503" s="26">
        <f>ROUNDDOWN(U503*W503,0)</f>
        <v>298672</v>
      </c>
      <c r="Z503" s="33" t="s">
        <v>15</v>
      </c>
      <c r="AA503" s="36" t="s">
        <v>16</v>
      </c>
      <c r="AF503" s="101"/>
      <c r="AG503" s="185">
        <v>519.42999999999995</v>
      </c>
      <c r="AH503" s="69"/>
    </row>
    <row r="504" spans="1:34" ht="33" x14ac:dyDescent="0.3">
      <c r="L504" s="46">
        <v>0</v>
      </c>
      <c r="M504" s="46">
        <v>0</v>
      </c>
      <c r="N504" s="46">
        <v>0</v>
      </c>
      <c r="O504" s="98"/>
      <c r="P504" s="23" t="s">
        <v>1426</v>
      </c>
      <c r="Q504" s="24" t="s">
        <v>1511</v>
      </c>
      <c r="R504" s="25" t="s">
        <v>110</v>
      </c>
      <c r="S504" s="26"/>
      <c r="T504" s="26"/>
      <c r="U504" s="26">
        <v>20</v>
      </c>
      <c r="V504" s="26">
        <f>W504-L504</f>
        <v>0</v>
      </c>
      <c r="W504" s="26">
        <v>0</v>
      </c>
      <c r="X504" s="26">
        <f>Y504-N504</f>
        <v>0</v>
      </c>
      <c r="Y504" s="26">
        <f>ROUNDDOWN(U504*W504,0)</f>
        <v>0</v>
      </c>
      <c r="Z504" s="33" t="s">
        <v>15</v>
      </c>
      <c r="AA504" s="36" t="s">
        <v>16</v>
      </c>
      <c r="AF504" s="101"/>
      <c r="AG504" s="185">
        <v>0</v>
      </c>
      <c r="AH504" s="69"/>
    </row>
    <row r="505" spans="1:34" ht="33" x14ac:dyDescent="0.3">
      <c r="L505" s="46">
        <v>54856</v>
      </c>
      <c r="M505" s="46">
        <v>0</v>
      </c>
      <c r="N505" s="46">
        <v>438848</v>
      </c>
      <c r="O505" s="98"/>
      <c r="P505" s="23" t="s">
        <v>1402</v>
      </c>
      <c r="Q505" s="24" t="s">
        <v>1512</v>
      </c>
      <c r="R505" s="25" t="s">
        <v>110</v>
      </c>
      <c r="S505" s="26"/>
      <c r="T505" s="26"/>
      <c r="U505" s="26">
        <v>8</v>
      </c>
      <c r="V505" s="26">
        <f>W505-L505</f>
        <v>0</v>
      </c>
      <c r="W505" s="26">
        <v>54856</v>
      </c>
      <c r="X505" s="26">
        <f>Y505-N505</f>
        <v>0</v>
      </c>
      <c r="Y505" s="26">
        <f>ROUNDDOWN(U505*W505,0)</f>
        <v>438848</v>
      </c>
      <c r="Z505" s="33" t="s">
        <v>15</v>
      </c>
      <c r="AA505" s="36" t="s">
        <v>16</v>
      </c>
      <c r="AF505" s="101"/>
      <c r="AG505" s="185">
        <v>54856</v>
      </c>
      <c r="AH505" s="69"/>
    </row>
  </sheetData>
  <autoFilter ref="A6:J502" xr:uid="{745AA45A-1115-4D12-8076-1F56B440D015}"/>
  <mergeCells count="13">
    <mergeCell ref="A502:J502"/>
    <mergeCell ref="A5:H5"/>
    <mergeCell ref="I5:J5"/>
    <mergeCell ref="L5:N5"/>
    <mergeCell ref="P5:W5"/>
    <mergeCell ref="Y5:Z5"/>
    <mergeCell ref="A501:J501"/>
    <mergeCell ref="A1:J1"/>
    <mergeCell ref="A2:J2"/>
    <mergeCell ref="A3:J3"/>
    <mergeCell ref="P3:Z3"/>
    <mergeCell ref="A4:J4"/>
    <mergeCell ref="P4:Z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BA24-8139-4B44-A077-F703F92BC79B}">
  <sheetPr>
    <tabColor rgb="FFFF0000"/>
  </sheetPr>
  <dimension ref="A1:AK505"/>
  <sheetViews>
    <sheetView view="pageBreakPreview" topLeftCell="A4" zoomScale="80" zoomScaleNormal="80" zoomScaleSheetLayoutView="80" workbookViewId="0">
      <pane ySplit="1950" activePane="bottomLeft"/>
      <selection activeCell="X7" sqref="X7"/>
      <selection pane="bottomLeft" activeCell="X10" sqref="X10"/>
    </sheetView>
  </sheetViews>
  <sheetFormatPr defaultColWidth="8.5" defaultRowHeight="19.5" x14ac:dyDescent="0.3"/>
  <cols>
    <col min="1" max="1" width="5.25" style="72" customWidth="1"/>
    <col min="2" max="2" width="30.875" style="73" customWidth="1"/>
    <col min="3" max="3" width="5.5" style="73" customWidth="1"/>
    <col min="4" max="4" width="12.75" style="73" customWidth="1"/>
    <col min="5" max="5" width="14" style="73" customWidth="1"/>
    <col min="6" max="6" width="14.375" style="73" customWidth="1"/>
    <col min="7" max="7" width="12.375" style="73" customWidth="1"/>
    <col min="8" max="8" width="14.75" style="73" customWidth="1"/>
    <col min="9" max="9" width="23" style="73" customWidth="1"/>
    <col min="10" max="10" width="10.875" style="73" customWidth="1"/>
    <col min="11" max="11" width="1.5" style="73" customWidth="1"/>
    <col min="12" max="14" width="11.5" style="2" customWidth="1"/>
    <col min="15" max="15" width="1.25" style="96" customWidth="1"/>
    <col min="16" max="16" width="4.25" style="3" hidden="1" customWidth="1"/>
    <col min="17" max="17" width="35.25" hidden="1" customWidth="1"/>
    <col min="18" max="18" width="5.75" hidden="1" customWidth="1"/>
    <col min="19" max="19" width="9" hidden="1" customWidth="1"/>
    <col min="20" max="20" width="9.375" hidden="1" customWidth="1"/>
    <col min="21" max="21" width="12" hidden="1" customWidth="1"/>
    <col min="22" max="22" width="11.375" customWidth="1"/>
    <col min="23" max="23" width="11.75" customWidth="1"/>
    <col min="24" max="24" width="12.875" customWidth="1"/>
    <col min="25" max="25" width="12" customWidth="1"/>
    <col min="26" max="26" width="5.25" style="34" customWidth="1"/>
    <col min="27" max="27" width="0.875" customWidth="1"/>
    <col min="28" max="28" width="10.75" style="181" hidden="1" customWidth="1"/>
    <col min="29" max="29" width="11.5" style="181" hidden="1" customWidth="1"/>
    <col min="30" max="30" width="5.25" style="181" customWidth="1"/>
    <col min="31" max="31" width="5.25" style="181" hidden="1" customWidth="1"/>
    <col min="32" max="32" width="1.875" style="71" customWidth="1"/>
    <col min="33" max="33" width="16.5" style="185" customWidth="1"/>
    <col min="34" max="34" width="15.375" style="70" customWidth="1"/>
    <col min="35" max="35" width="8.375" style="70" customWidth="1"/>
    <col min="36" max="36" width="1.625" style="70" customWidth="1"/>
    <col min="37" max="37" width="15" style="70" bestFit="1" customWidth="1"/>
    <col min="38" max="223" width="8.5" style="70"/>
    <col min="224" max="224" width="5.25" style="70" customWidth="1"/>
    <col min="225" max="225" width="26.25" style="70" customWidth="1"/>
    <col min="226" max="226" width="5.5" style="70" customWidth="1"/>
    <col min="227" max="227" width="8.5" style="70"/>
    <col min="228" max="229" width="10.875" style="70" customWidth="1"/>
    <col min="230" max="230" width="15.25" style="70" customWidth="1"/>
    <col min="231" max="231" width="0.75" style="70" customWidth="1"/>
    <col min="232" max="234" width="0.625" style="70" customWidth="1"/>
    <col min="235" max="479" width="8.5" style="70"/>
    <col min="480" max="480" width="5.25" style="70" customWidth="1"/>
    <col min="481" max="481" width="26.25" style="70" customWidth="1"/>
    <col min="482" max="482" width="5.5" style="70" customWidth="1"/>
    <col min="483" max="483" width="8.5" style="70"/>
    <col min="484" max="485" width="10.875" style="70" customWidth="1"/>
    <col min="486" max="486" width="15.25" style="70" customWidth="1"/>
    <col min="487" max="487" width="0.75" style="70" customWidth="1"/>
    <col min="488" max="490" width="0.625" style="70" customWidth="1"/>
    <col min="491" max="735" width="8.5" style="70"/>
    <col min="736" max="736" width="5.25" style="70" customWidth="1"/>
    <col min="737" max="737" width="26.25" style="70" customWidth="1"/>
    <col min="738" max="738" width="5.5" style="70" customWidth="1"/>
    <col min="739" max="739" width="8.5" style="70"/>
    <col min="740" max="741" width="10.875" style="70" customWidth="1"/>
    <col min="742" max="742" width="15.25" style="70" customWidth="1"/>
    <col min="743" max="743" width="0.75" style="70" customWidth="1"/>
    <col min="744" max="746" width="0.625" style="70" customWidth="1"/>
    <col min="747" max="991" width="8.5" style="70"/>
    <col min="992" max="992" width="5.25" style="70" customWidth="1"/>
    <col min="993" max="993" width="26.25" style="70" customWidth="1"/>
    <col min="994" max="994" width="5.5" style="70" customWidth="1"/>
    <col min="995" max="995" width="8.5" style="70"/>
    <col min="996" max="997" width="10.875" style="70" customWidth="1"/>
    <col min="998" max="998" width="15.25" style="70" customWidth="1"/>
    <col min="999" max="999" width="0.75" style="70" customWidth="1"/>
    <col min="1000" max="1002" width="0.625" style="70" customWidth="1"/>
    <col min="1003" max="1247" width="8.5" style="70"/>
    <col min="1248" max="1248" width="5.25" style="70" customWidth="1"/>
    <col min="1249" max="1249" width="26.25" style="70" customWidth="1"/>
    <col min="1250" max="1250" width="5.5" style="70" customWidth="1"/>
    <col min="1251" max="1251" width="8.5" style="70"/>
    <col min="1252" max="1253" width="10.875" style="70" customWidth="1"/>
    <col min="1254" max="1254" width="15.25" style="70" customWidth="1"/>
    <col min="1255" max="1255" width="0.75" style="70" customWidth="1"/>
    <col min="1256" max="1258" width="0.625" style="70" customWidth="1"/>
    <col min="1259" max="1503" width="8.5" style="70"/>
    <col min="1504" max="1504" width="5.25" style="70" customWidth="1"/>
    <col min="1505" max="1505" width="26.25" style="70" customWidth="1"/>
    <col min="1506" max="1506" width="5.5" style="70" customWidth="1"/>
    <col min="1507" max="1507" width="8.5" style="70"/>
    <col min="1508" max="1509" width="10.875" style="70" customWidth="1"/>
    <col min="1510" max="1510" width="15.25" style="70" customWidth="1"/>
    <col min="1511" max="1511" width="0.75" style="70" customWidth="1"/>
    <col min="1512" max="1514" width="0.625" style="70" customWidth="1"/>
    <col min="1515" max="1759" width="8.5" style="70"/>
    <col min="1760" max="1760" width="5.25" style="70" customWidth="1"/>
    <col min="1761" max="1761" width="26.25" style="70" customWidth="1"/>
    <col min="1762" max="1762" width="5.5" style="70" customWidth="1"/>
    <col min="1763" max="1763" width="8.5" style="70"/>
    <col min="1764" max="1765" width="10.875" style="70" customWidth="1"/>
    <col min="1766" max="1766" width="15.25" style="70" customWidth="1"/>
    <col min="1767" max="1767" width="0.75" style="70" customWidth="1"/>
    <col min="1768" max="1770" width="0.625" style="70" customWidth="1"/>
    <col min="1771" max="2015" width="8.5" style="70"/>
    <col min="2016" max="2016" width="5.25" style="70" customWidth="1"/>
    <col min="2017" max="2017" width="26.25" style="70" customWidth="1"/>
    <col min="2018" max="2018" width="5.5" style="70" customWidth="1"/>
    <col min="2019" max="2019" width="8.5" style="70"/>
    <col min="2020" max="2021" width="10.875" style="70" customWidth="1"/>
    <col min="2022" max="2022" width="15.25" style="70" customWidth="1"/>
    <col min="2023" max="2023" width="0.75" style="70" customWidth="1"/>
    <col min="2024" max="2026" width="0.625" style="70" customWidth="1"/>
    <col min="2027" max="2271" width="8.5" style="70"/>
    <col min="2272" max="2272" width="5.25" style="70" customWidth="1"/>
    <col min="2273" max="2273" width="26.25" style="70" customWidth="1"/>
    <col min="2274" max="2274" width="5.5" style="70" customWidth="1"/>
    <col min="2275" max="2275" width="8.5" style="70"/>
    <col min="2276" max="2277" width="10.875" style="70" customWidth="1"/>
    <col min="2278" max="2278" width="15.25" style="70" customWidth="1"/>
    <col min="2279" max="2279" width="0.75" style="70" customWidth="1"/>
    <col min="2280" max="2282" width="0.625" style="70" customWidth="1"/>
    <col min="2283" max="2527" width="8.5" style="70"/>
    <col min="2528" max="2528" width="5.25" style="70" customWidth="1"/>
    <col min="2529" max="2529" width="26.25" style="70" customWidth="1"/>
    <col min="2530" max="2530" width="5.5" style="70" customWidth="1"/>
    <col min="2531" max="2531" width="8.5" style="70"/>
    <col min="2532" max="2533" width="10.875" style="70" customWidth="1"/>
    <col min="2534" max="2534" width="15.25" style="70" customWidth="1"/>
    <col min="2535" max="2535" width="0.75" style="70" customWidth="1"/>
    <col min="2536" max="2538" width="0.625" style="70" customWidth="1"/>
    <col min="2539" max="2783" width="8.5" style="70"/>
    <col min="2784" max="2784" width="5.25" style="70" customWidth="1"/>
    <col min="2785" max="2785" width="26.25" style="70" customWidth="1"/>
    <col min="2786" max="2786" width="5.5" style="70" customWidth="1"/>
    <col min="2787" max="2787" width="8.5" style="70"/>
    <col min="2788" max="2789" width="10.875" style="70" customWidth="1"/>
    <col min="2790" max="2790" width="15.25" style="70" customWidth="1"/>
    <col min="2791" max="2791" width="0.75" style="70" customWidth="1"/>
    <col min="2792" max="2794" width="0.625" style="70" customWidth="1"/>
    <col min="2795" max="3039" width="8.5" style="70"/>
    <col min="3040" max="3040" width="5.25" style="70" customWidth="1"/>
    <col min="3041" max="3041" width="26.25" style="70" customWidth="1"/>
    <col min="3042" max="3042" width="5.5" style="70" customWidth="1"/>
    <col min="3043" max="3043" width="8.5" style="70"/>
    <col min="3044" max="3045" width="10.875" style="70" customWidth="1"/>
    <col min="3046" max="3046" width="15.25" style="70" customWidth="1"/>
    <col min="3047" max="3047" width="0.75" style="70" customWidth="1"/>
    <col min="3048" max="3050" width="0.625" style="70" customWidth="1"/>
    <col min="3051" max="3295" width="8.5" style="70"/>
    <col min="3296" max="3296" width="5.25" style="70" customWidth="1"/>
    <col min="3297" max="3297" width="26.25" style="70" customWidth="1"/>
    <col min="3298" max="3298" width="5.5" style="70" customWidth="1"/>
    <col min="3299" max="3299" width="8.5" style="70"/>
    <col min="3300" max="3301" width="10.875" style="70" customWidth="1"/>
    <col min="3302" max="3302" width="15.25" style="70" customWidth="1"/>
    <col min="3303" max="3303" width="0.75" style="70" customWidth="1"/>
    <col min="3304" max="3306" width="0.625" style="70" customWidth="1"/>
    <col min="3307" max="3551" width="8.5" style="70"/>
    <col min="3552" max="3552" width="5.25" style="70" customWidth="1"/>
    <col min="3553" max="3553" width="26.25" style="70" customWidth="1"/>
    <col min="3554" max="3554" width="5.5" style="70" customWidth="1"/>
    <col min="3555" max="3555" width="8.5" style="70"/>
    <col min="3556" max="3557" width="10.875" style="70" customWidth="1"/>
    <col min="3558" max="3558" width="15.25" style="70" customWidth="1"/>
    <col min="3559" max="3559" width="0.75" style="70" customWidth="1"/>
    <col min="3560" max="3562" width="0.625" style="70" customWidth="1"/>
    <col min="3563" max="3807" width="8.5" style="70"/>
    <col min="3808" max="3808" width="5.25" style="70" customWidth="1"/>
    <col min="3809" max="3809" width="26.25" style="70" customWidth="1"/>
    <col min="3810" max="3810" width="5.5" style="70" customWidth="1"/>
    <col min="3811" max="3811" width="8.5" style="70"/>
    <col min="3812" max="3813" width="10.875" style="70" customWidth="1"/>
    <col min="3814" max="3814" width="15.25" style="70" customWidth="1"/>
    <col min="3815" max="3815" width="0.75" style="70" customWidth="1"/>
    <col min="3816" max="3818" width="0.625" style="70" customWidth="1"/>
    <col min="3819" max="4063" width="8.5" style="70"/>
    <col min="4064" max="4064" width="5.25" style="70" customWidth="1"/>
    <col min="4065" max="4065" width="26.25" style="70" customWidth="1"/>
    <col min="4066" max="4066" width="5.5" style="70" customWidth="1"/>
    <col min="4067" max="4067" width="8.5" style="70"/>
    <col min="4068" max="4069" width="10.875" style="70" customWidth="1"/>
    <col min="4070" max="4070" width="15.25" style="70" customWidth="1"/>
    <col min="4071" max="4071" width="0.75" style="70" customWidth="1"/>
    <col min="4072" max="4074" width="0.625" style="70" customWidth="1"/>
    <col min="4075" max="4319" width="8.5" style="70"/>
    <col min="4320" max="4320" width="5.25" style="70" customWidth="1"/>
    <col min="4321" max="4321" width="26.25" style="70" customWidth="1"/>
    <col min="4322" max="4322" width="5.5" style="70" customWidth="1"/>
    <col min="4323" max="4323" width="8.5" style="70"/>
    <col min="4324" max="4325" width="10.875" style="70" customWidth="1"/>
    <col min="4326" max="4326" width="15.25" style="70" customWidth="1"/>
    <col min="4327" max="4327" width="0.75" style="70" customWidth="1"/>
    <col min="4328" max="4330" width="0.625" style="70" customWidth="1"/>
    <col min="4331" max="4575" width="8.5" style="70"/>
    <col min="4576" max="4576" width="5.25" style="70" customWidth="1"/>
    <col min="4577" max="4577" width="26.25" style="70" customWidth="1"/>
    <col min="4578" max="4578" width="5.5" style="70" customWidth="1"/>
    <col min="4579" max="4579" width="8.5" style="70"/>
    <col min="4580" max="4581" width="10.875" style="70" customWidth="1"/>
    <col min="4582" max="4582" width="15.25" style="70" customWidth="1"/>
    <col min="4583" max="4583" width="0.75" style="70" customWidth="1"/>
    <col min="4584" max="4586" width="0.625" style="70" customWidth="1"/>
    <col min="4587" max="4831" width="8.5" style="70"/>
    <col min="4832" max="4832" width="5.25" style="70" customWidth="1"/>
    <col min="4833" max="4833" width="26.25" style="70" customWidth="1"/>
    <col min="4834" max="4834" width="5.5" style="70" customWidth="1"/>
    <col min="4835" max="4835" width="8.5" style="70"/>
    <col min="4836" max="4837" width="10.875" style="70" customWidth="1"/>
    <col min="4838" max="4838" width="15.25" style="70" customWidth="1"/>
    <col min="4839" max="4839" width="0.75" style="70" customWidth="1"/>
    <col min="4840" max="4842" width="0.625" style="70" customWidth="1"/>
    <col min="4843" max="5087" width="8.5" style="70"/>
    <col min="5088" max="5088" width="5.25" style="70" customWidth="1"/>
    <col min="5089" max="5089" width="26.25" style="70" customWidth="1"/>
    <col min="5090" max="5090" width="5.5" style="70" customWidth="1"/>
    <col min="5091" max="5091" width="8.5" style="70"/>
    <col min="5092" max="5093" width="10.875" style="70" customWidth="1"/>
    <col min="5094" max="5094" width="15.25" style="70" customWidth="1"/>
    <col min="5095" max="5095" width="0.75" style="70" customWidth="1"/>
    <col min="5096" max="5098" width="0.625" style="70" customWidth="1"/>
    <col min="5099" max="5343" width="8.5" style="70"/>
    <col min="5344" max="5344" width="5.25" style="70" customWidth="1"/>
    <col min="5345" max="5345" width="26.25" style="70" customWidth="1"/>
    <col min="5346" max="5346" width="5.5" style="70" customWidth="1"/>
    <col min="5347" max="5347" width="8.5" style="70"/>
    <col min="5348" max="5349" width="10.875" style="70" customWidth="1"/>
    <col min="5350" max="5350" width="15.25" style="70" customWidth="1"/>
    <col min="5351" max="5351" width="0.75" style="70" customWidth="1"/>
    <col min="5352" max="5354" width="0.625" style="70" customWidth="1"/>
    <col min="5355" max="5599" width="8.5" style="70"/>
    <col min="5600" max="5600" width="5.25" style="70" customWidth="1"/>
    <col min="5601" max="5601" width="26.25" style="70" customWidth="1"/>
    <col min="5602" max="5602" width="5.5" style="70" customWidth="1"/>
    <col min="5603" max="5603" width="8.5" style="70"/>
    <col min="5604" max="5605" width="10.875" style="70" customWidth="1"/>
    <col min="5606" max="5606" width="15.25" style="70" customWidth="1"/>
    <col min="5607" max="5607" width="0.75" style="70" customWidth="1"/>
    <col min="5608" max="5610" width="0.625" style="70" customWidth="1"/>
    <col min="5611" max="5855" width="8.5" style="70"/>
    <col min="5856" max="5856" width="5.25" style="70" customWidth="1"/>
    <col min="5857" max="5857" width="26.25" style="70" customWidth="1"/>
    <col min="5858" max="5858" width="5.5" style="70" customWidth="1"/>
    <col min="5859" max="5859" width="8.5" style="70"/>
    <col min="5860" max="5861" width="10.875" style="70" customWidth="1"/>
    <col min="5862" max="5862" width="15.25" style="70" customWidth="1"/>
    <col min="5863" max="5863" width="0.75" style="70" customWidth="1"/>
    <col min="5864" max="5866" width="0.625" style="70" customWidth="1"/>
    <col min="5867" max="6111" width="8.5" style="70"/>
    <col min="6112" max="6112" width="5.25" style="70" customWidth="1"/>
    <col min="6113" max="6113" width="26.25" style="70" customWidth="1"/>
    <col min="6114" max="6114" width="5.5" style="70" customWidth="1"/>
    <col min="6115" max="6115" width="8.5" style="70"/>
    <col min="6116" max="6117" width="10.875" style="70" customWidth="1"/>
    <col min="6118" max="6118" width="15.25" style="70" customWidth="1"/>
    <col min="6119" max="6119" width="0.75" style="70" customWidth="1"/>
    <col min="6120" max="6122" width="0.625" style="70" customWidth="1"/>
    <col min="6123" max="6367" width="8.5" style="70"/>
    <col min="6368" max="6368" width="5.25" style="70" customWidth="1"/>
    <col min="6369" max="6369" width="26.25" style="70" customWidth="1"/>
    <col min="6370" max="6370" width="5.5" style="70" customWidth="1"/>
    <col min="6371" max="6371" width="8.5" style="70"/>
    <col min="6372" max="6373" width="10.875" style="70" customWidth="1"/>
    <col min="6374" max="6374" width="15.25" style="70" customWidth="1"/>
    <col min="6375" max="6375" width="0.75" style="70" customWidth="1"/>
    <col min="6376" max="6378" width="0.625" style="70" customWidth="1"/>
    <col min="6379" max="6623" width="8.5" style="70"/>
    <col min="6624" max="6624" width="5.25" style="70" customWidth="1"/>
    <col min="6625" max="6625" width="26.25" style="70" customWidth="1"/>
    <col min="6626" max="6626" width="5.5" style="70" customWidth="1"/>
    <col min="6627" max="6627" width="8.5" style="70"/>
    <col min="6628" max="6629" width="10.875" style="70" customWidth="1"/>
    <col min="6630" max="6630" width="15.25" style="70" customWidth="1"/>
    <col min="6631" max="6631" width="0.75" style="70" customWidth="1"/>
    <col min="6632" max="6634" width="0.625" style="70" customWidth="1"/>
    <col min="6635" max="6879" width="8.5" style="70"/>
    <col min="6880" max="6880" width="5.25" style="70" customWidth="1"/>
    <col min="6881" max="6881" width="26.25" style="70" customWidth="1"/>
    <col min="6882" max="6882" width="5.5" style="70" customWidth="1"/>
    <col min="6883" max="6883" width="8.5" style="70"/>
    <col min="6884" max="6885" width="10.875" style="70" customWidth="1"/>
    <col min="6886" max="6886" width="15.25" style="70" customWidth="1"/>
    <col min="6887" max="6887" width="0.75" style="70" customWidth="1"/>
    <col min="6888" max="6890" width="0.625" style="70" customWidth="1"/>
    <col min="6891" max="7135" width="8.5" style="70"/>
    <col min="7136" max="7136" width="5.25" style="70" customWidth="1"/>
    <col min="7137" max="7137" width="26.25" style="70" customWidth="1"/>
    <col min="7138" max="7138" width="5.5" style="70" customWidth="1"/>
    <col min="7139" max="7139" width="8.5" style="70"/>
    <col min="7140" max="7141" width="10.875" style="70" customWidth="1"/>
    <col min="7142" max="7142" width="15.25" style="70" customWidth="1"/>
    <col min="7143" max="7143" width="0.75" style="70" customWidth="1"/>
    <col min="7144" max="7146" width="0.625" style="70" customWidth="1"/>
    <col min="7147" max="7391" width="8.5" style="70"/>
    <col min="7392" max="7392" width="5.25" style="70" customWidth="1"/>
    <col min="7393" max="7393" width="26.25" style="70" customWidth="1"/>
    <col min="7394" max="7394" width="5.5" style="70" customWidth="1"/>
    <col min="7395" max="7395" width="8.5" style="70"/>
    <col min="7396" max="7397" width="10.875" style="70" customWidth="1"/>
    <col min="7398" max="7398" width="15.25" style="70" customWidth="1"/>
    <col min="7399" max="7399" width="0.75" style="70" customWidth="1"/>
    <col min="7400" max="7402" width="0.625" style="70" customWidth="1"/>
    <col min="7403" max="7647" width="8.5" style="70"/>
    <col min="7648" max="7648" width="5.25" style="70" customWidth="1"/>
    <col min="7649" max="7649" width="26.25" style="70" customWidth="1"/>
    <col min="7650" max="7650" width="5.5" style="70" customWidth="1"/>
    <col min="7651" max="7651" width="8.5" style="70"/>
    <col min="7652" max="7653" width="10.875" style="70" customWidth="1"/>
    <col min="7654" max="7654" width="15.25" style="70" customWidth="1"/>
    <col min="7655" max="7655" width="0.75" style="70" customWidth="1"/>
    <col min="7656" max="7658" width="0.625" style="70" customWidth="1"/>
    <col min="7659" max="7903" width="8.5" style="70"/>
    <col min="7904" max="7904" width="5.25" style="70" customWidth="1"/>
    <col min="7905" max="7905" width="26.25" style="70" customWidth="1"/>
    <col min="7906" max="7906" width="5.5" style="70" customWidth="1"/>
    <col min="7907" max="7907" width="8.5" style="70"/>
    <col min="7908" max="7909" width="10.875" style="70" customWidth="1"/>
    <col min="7910" max="7910" width="15.25" style="70" customWidth="1"/>
    <col min="7911" max="7911" width="0.75" style="70" customWidth="1"/>
    <col min="7912" max="7914" width="0.625" style="70" customWidth="1"/>
    <col min="7915" max="8159" width="8.5" style="70"/>
    <col min="8160" max="8160" width="5.25" style="70" customWidth="1"/>
    <col min="8161" max="8161" width="26.25" style="70" customWidth="1"/>
    <col min="8162" max="8162" width="5.5" style="70" customWidth="1"/>
    <col min="8163" max="8163" width="8.5" style="70"/>
    <col min="8164" max="8165" width="10.875" style="70" customWidth="1"/>
    <col min="8166" max="8166" width="15.25" style="70" customWidth="1"/>
    <col min="8167" max="8167" width="0.75" style="70" customWidth="1"/>
    <col min="8168" max="8170" width="0.625" style="70" customWidth="1"/>
    <col min="8171" max="8415" width="8.5" style="70"/>
    <col min="8416" max="8416" width="5.25" style="70" customWidth="1"/>
    <col min="8417" max="8417" width="26.25" style="70" customWidth="1"/>
    <col min="8418" max="8418" width="5.5" style="70" customWidth="1"/>
    <col min="8419" max="8419" width="8.5" style="70"/>
    <col min="8420" max="8421" width="10.875" style="70" customWidth="1"/>
    <col min="8422" max="8422" width="15.25" style="70" customWidth="1"/>
    <col min="8423" max="8423" width="0.75" style="70" customWidth="1"/>
    <col min="8424" max="8426" width="0.625" style="70" customWidth="1"/>
    <col min="8427" max="8671" width="8.5" style="70"/>
    <col min="8672" max="8672" width="5.25" style="70" customWidth="1"/>
    <col min="8673" max="8673" width="26.25" style="70" customWidth="1"/>
    <col min="8674" max="8674" width="5.5" style="70" customWidth="1"/>
    <col min="8675" max="8675" width="8.5" style="70"/>
    <col min="8676" max="8677" width="10.875" style="70" customWidth="1"/>
    <col min="8678" max="8678" width="15.25" style="70" customWidth="1"/>
    <col min="8679" max="8679" width="0.75" style="70" customWidth="1"/>
    <col min="8680" max="8682" width="0.625" style="70" customWidth="1"/>
    <col min="8683" max="8927" width="8.5" style="70"/>
    <col min="8928" max="8928" width="5.25" style="70" customWidth="1"/>
    <col min="8929" max="8929" width="26.25" style="70" customWidth="1"/>
    <col min="8930" max="8930" width="5.5" style="70" customWidth="1"/>
    <col min="8931" max="8931" width="8.5" style="70"/>
    <col min="8932" max="8933" width="10.875" style="70" customWidth="1"/>
    <col min="8934" max="8934" width="15.25" style="70" customWidth="1"/>
    <col min="8935" max="8935" width="0.75" style="70" customWidth="1"/>
    <col min="8936" max="8938" width="0.625" style="70" customWidth="1"/>
    <col min="8939" max="9183" width="8.5" style="70"/>
    <col min="9184" max="9184" width="5.25" style="70" customWidth="1"/>
    <col min="9185" max="9185" width="26.25" style="70" customWidth="1"/>
    <col min="9186" max="9186" width="5.5" style="70" customWidth="1"/>
    <col min="9187" max="9187" width="8.5" style="70"/>
    <col min="9188" max="9189" width="10.875" style="70" customWidth="1"/>
    <col min="9190" max="9190" width="15.25" style="70" customWidth="1"/>
    <col min="9191" max="9191" width="0.75" style="70" customWidth="1"/>
    <col min="9192" max="9194" width="0.625" style="70" customWidth="1"/>
    <col min="9195" max="9439" width="8.5" style="70"/>
    <col min="9440" max="9440" width="5.25" style="70" customWidth="1"/>
    <col min="9441" max="9441" width="26.25" style="70" customWidth="1"/>
    <col min="9442" max="9442" width="5.5" style="70" customWidth="1"/>
    <col min="9443" max="9443" width="8.5" style="70"/>
    <col min="9444" max="9445" width="10.875" style="70" customWidth="1"/>
    <col min="9446" max="9446" width="15.25" style="70" customWidth="1"/>
    <col min="9447" max="9447" width="0.75" style="70" customWidth="1"/>
    <col min="9448" max="9450" width="0.625" style="70" customWidth="1"/>
    <col min="9451" max="9695" width="8.5" style="70"/>
    <col min="9696" max="9696" width="5.25" style="70" customWidth="1"/>
    <col min="9697" max="9697" width="26.25" style="70" customWidth="1"/>
    <col min="9698" max="9698" width="5.5" style="70" customWidth="1"/>
    <col min="9699" max="9699" width="8.5" style="70"/>
    <col min="9700" max="9701" width="10.875" style="70" customWidth="1"/>
    <col min="9702" max="9702" width="15.25" style="70" customWidth="1"/>
    <col min="9703" max="9703" width="0.75" style="70" customWidth="1"/>
    <col min="9704" max="9706" width="0.625" style="70" customWidth="1"/>
    <col min="9707" max="9951" width="8.5" style="70"/>
    <col min="9952" max="9952" width="5.25" style="70" customWidth="1"/>
    <col min="9953" max="9953" width="26.25" style="70" customWidth="1"/>
    <col min="9954" max="9954" width="5.5" style="70" customWidth="1"/>
    <col min="9955" max="9955" width="8.5" style="70"/>
    <col min="9956" max="9957" width="10.875" style="70" customWidth="1"/>
    <col min="9958" max="9958" width="15.25" style="70" customWidth="1"/>
    <col min="9959" max="9959" width="0.75" style="70" customWidth="1"/>
    <col min="9960" max="9962" width="0.625" style="70" customWidth="1"/>
    <col min="9963" max="10207" width="8.5" style="70"/>
    <col min="10208" max="10208" width="5.25" style="70" customWidth="1"/>
    <col min="10209" max="10209" width="26.25" style="70" customWidth="1"/>
    <col min="10210" max="10210" width="5.5" style="70" customWidth="1"/>
    <col min="10211" max="10211" width="8.5" style="70"/>
    <col min="10212" max="10213" width="10.875" style="70" customWidth="1"/>
    <col min="10214" max="10214" width="15.25" style="70" customWidth="1"/>
    <col min="10215" max="10215" width="0.75" style="70" customWidth="1"/>
    <col min="10216" max="10218" width="0.625" style="70" customWidth="1"/>
    <col min="10219" max="10463" width="8.5" style="70"/>
    <col min="10464" max="10464" width="5.25" style="70" customWidth="1"/>
    <col min="10465" max="10465" width="26.25" style="70" customWidth="1"/>
    <col min="10466" max="10466" width="5.5" style="70" customWidth="1"/>
    <col min="10467" max="10467" width="8.5" style="70"/>
    <col min="10468" max="10469" width="10.875" style="70" customWidth="1"/>
    <col min="10470" max="10470" width="15.25" style="70" customWidth="1"/>
    <col min="10471" max="10471" width="0.75" style="70" customWidth="1"/>
    <col min="10472" max="10474" width="0.625" style="70" customWidth="1"/>
    <col min="10475" max="10719" width="8.5" style="70"/>
    <col min="10720" max="10720" width="5.25" style="70" customWidth="1"/>
    <col min="10721" max="10721" width="26.25" style="70" customWidth="1"/>
    <col min="10722" max="10722" width="5.5" style="70" customWidth="1"/>
    <col min="10723" max="10723" width="8.5" style="70"/>
    <col min="10724" max="10725" width="10.875" style="70" customWidth="1"/>
    <col min="10726" max="10726" width="15.25" style="70" customWidth="1"/>
    <col min="10727" max="10727" width="0.75" style="70" customWidth="1"/>
    <col min="10728" max="10730" width="0.625" style="70" customWidth="1"/>
    <col min="10731" max="10975" width="8.5" style="70"/>
    <col min="10976" max="10976" width="5.25" style="70" customWidth="1"/>
    <col min="10977" max="10977" width="26.25" style="70" customWidth="1"/>
    <col min="10978" max="10978" width="5.5" style="70" customWidth="1"/>
    <col min="10979" max="10979" width="8.5" style="70"/>
    <col min="10980" max="10981" width="10.875" style="70" customWidth="1"/>
    <col min="10982" max="10982" width="15.25" style="70" customWidth="1"/>
    <col min="10983" max="10983" width="0.75" style="70" customWidth="1"/>
    <col min="10984" max="10986" width="0.625" style="70" customWidth="1"/>
    <col min="10987" max="11231" width="8.5" style="70"/>
    <col min="11232" max="11232" width="5.25" style="70" customWidth="1"/>
    <col min="11233" max="11233" width="26.25" style="70" customWidth="1"/>
    <col min="11234" max="11234" width="5.5" style="70" customWidth="1"/>
    <col min="11235" max="11235" width="8.5" style="70"/>
    <col min="11236" max="11237" width="10.875" style="70" customWidth="1"/>
    <col min="11238" max="11238" width="15.25" style="70" customWidth="1"/>
    <col min="11239" max="11239" width="0.75" style="70" customWidth="1"/>
    <col min="11240" max="11242" width="0.625" style="70" customWidth="1"/>
    <col min="11243" max="11487" width="8.5" style="70"/>
    <col min="11488" max="11488" width="5.25" style="70" customWidth="1"/>
    <col min="11489" max="11489" width="26.25" style="70" customWidth="1"/>
    <col min="11490" max="11490" width="5.5" style="70" customWidth="1"/>
    <col min="11491" max="11491" width="8.5" style="70"/>
    <col min="11492" max="11493" width="10.875" style="70" customWidth="1"/>
    <col min="11494" max="11494" width="15.25" style="70" customWidth="1"/>
    <col min="11495" max="11495" width="0.75" style="70" customWidth="1"/>
    <col min="11496" max="11498" width="0.625" style="70" customWidth="1"/>
    <col min="11499" max="11743" width="8.5" style="70"/>
    <col min="11744" max="11744" width="5.25" style="70" customWidth="1"/>
    <col min="11745" max="11745" width="26.25" style="70" customWidth="1"/>
    <col min="11746" max="11746" width="5.5" style="70" customWidth="1"/>
    <col min="11747" max="11747" width="8.5" style="70"/>
    <col min="11748" max="11749" width="10.875" style="70" customWidth="1"/>
    <col min="11750" max="11750" width="15.25" style="70" customWidth="1"/>
    <col min="11751" max="11751" width="0.75" style="70" customWidth="1"/>
    <col min="11752" max="11754" width="0.625" style="70" customWidth="1"/>
    <col min="11755" max="11999" width="8.5" style="70"/>
    <col min="12000" max="12000" width="5.25" style="70" customWidth="1"/>
    <col min="12001" max="12001" width="26.25" style="70" customWidth="1"/>
    <col min="12002" max="12002" width="5.5" style="70" customWidth="1"/>
    <col min="12003" max="12003" width="8.5" style="70"/>
    <col min="12004" max="12005" width="10.875" style="70" customWidth="1"/>
    <col min="12006" max="12006" width="15.25" style="70" customWidth="1"/>
    <col min="12007" max="12007" width="0.75" style="70" customWidth="1"/>
    <col min="12008" max="12010" width="0.625" style="70" customWidth="1"/>
    <col min="12011" max="12255" width="8.5" style="70"/>
    <col min="12256" max="12256" width="5.25" style="70" customWidth="1"/>
    <col min="12257" max="12257" width="26.25" style="70" customWidth="1"/>
    <col min="12258" max="12258" width="5.5" style="70" customWidth="1"/>
    <col min="12259" max="12259" width="8.5" style="70"/>
    <col min="12260" max="12261" width="10.875" style="70" customWidth="1"/>
    <col min="12262" max="12262" width="15.25" style="70" customWidth="1"/>
    <col min="12263" max="12263" width="0.75" style="70" customWidth="1"/>
    <col min="12264" max="12266" width="0.625" style="70" customWidth="1"/>
    <col min="12267" max="12511" width="8.5" style="70"/>
    <col min="12512" max="12512" width="5.25" style="70" customWidth="1"/>
    <col min="12513" max="12513" width="26.25" style="70" customWidth="1"/>
    <col min="12514" max="12514" width="5.5" style="70" customWidth="1"/>
    <col min="12515" max="12515" width="8.5" style="70"/>
    <col min="12516" max="12517" width="10.875" style="70" customWidth="1"/>
    <col min="12518" max="12518" width="15.25" style="70" customWidth="1"/>
    <col min="12519" max="12519" width="0.75" style="70" customWidth="1"/>
    <col min="12520" max="12522" width="0.625" style="70" customWidth="1"/>
    <col min="12523" max="12767" width="8.5" style="70"/>
    <col min="12768" max="12768" width="5.25" style="70" customWidth="1"/>
    <col min="12769" max="12769" width="26.25" style="70" customWidth="1"/>
    <col min="12770" max="12770" width="5.5" style="70" customWidth="1"/>
    <col min="12771" max="12771" width="8.5" style="70"/>
    <col min="12772" max="12773" width="10.875" style="70" customWidth="1"/>
    <col min="12774" max="12774" width="15.25" style="70" customWidth="1"/>
    <col min="12775" max="12775" width="0.75" style="70" customWidth="1"/>
    <col min="12776" max="12778" width="0.625" style="70" customWidth="1"/>
    <col min="12779" max="13023" width="8.5" style="70"/>
    <col min="13024" max="13024" width="5.25" style="70" customWidth="1"/>
    <col min="13025" max="13025" width="26.25" style="70" customWidth="1"/>
    <col min="13026" max="13026" width="5.5" style="70" customWidth="1"/>
    <col min="13027" max="13027" width="8.5" style="70"/>
    <col min="13028" max="13029" width="10.875" style="70" customWidth="1"/>
    <col min="13030" max="13030" width="15.25" style="70" customWidth="1"/>
    <col min="13031" max="13031" width="0.75" style="70" customWidth="1"/>
    <col min="13032" max="13034" width="0.625" style="70" customWidth="1"/>
    <col min="13035" max="13279" width="8.5" style="70"/>
    <col min="13280" max="13280" width="5.25" style="70" customWidth="1"/>
    <col min="13281" max="13281" width="26.25" style="70" customWidth="1"/>
    <col min="13282" max="13282" width="5.5" style="70" customWidth="1"/>
    <col min="13283" max="13283" width="8.5" style="70"/>
    <col min="13284" max="13285" width="10.875" style="70" customWidth="1"/>
    <col min="13286" max="13286" width="15.25" style="70" customWidth="1"/>
    <col min="13287" max="13287" width="0.75" style="70" customWidth="1"/>
    <col min="13288" max="13290" width="0.625" style="70" customWidth="1"/>
    <col min="13291" max="13535" width="8.5" style="70"/>
    <col min="13536" max="13536" width="5.25" style="70" customWidth="1"/>
    <col min="13537" max="13537" width="26.25" style="70" customWidth="1"/>
    <col min="13538" max="13538" width="5.5" style="70" customWidth="1"/>
    <col min="13539" max="13539" width="8.5" style="70"/>
    <col min="13540" max="13541" width="10.875" style="70" customWidth="1"/>
    <col min="13542" max="13542" width="15.25" style="70" customWidth="1"/>
    <col min="13543" max="13543" width="0.75" style="70" customWidth="1"/>
    <col min="13544" max="13546" width="0.625" style="70" customWidth="1"/>
    <col min="13547" max="13791" width="8.5" style="70"/>
    <col min="13792" max="13792" width="5.25" style="70" customWidth="1"/>
    <col min="13793" max="13793" width="26.25" style="70" customWidth="1"/>
    <col min="13794" max="13794" width="5.5" style="70" customWidth="1"/>
    <col min="13795" max="13795" width="8.5" style="70"/>
    <col min="13796" max="13797" width="10.875" style="70" customWidth="1"/>
    <col min="13798" max="13798" width="15.25" style="70" customWidth="1"/>
    <col min="13799" max="13799" width="0.75" style="70" customWidth="1"/>
    <col min="13800" max="13802" width="0.625" style="70" customWidth="1"/>
    <col min="13803" max="14047" width="8.5" style="70"/>
    <col min="14048" max="14048" width="5.25" style="70" customWidth="1"/>
    <col min="14049" max="14049" width="26.25" style="70" customWidth="1"/>
    <col min="14050" max="14050" width="5.5" style="70" customWidth="1"/>
    <col min="14051" max="14051" width="8.5" style="70"/>
    <col min="14052" max="14053" width="10.875" style="70" customWidth="1"/>
    <col min="14054" max="14054" width="15.25" style="70" customWidth="1"/>
    <col min="14055" max="14055" width="0.75" style="70" customWidth="1"/>
    <col min="14056" max="14058" width="0.625" style="70" customWidth="1"/>
    <col min="14059" max="14303" width="8.5" style="70"/>
    <col min="14304" max="14304" width="5.25" style="70" customWidth="1"/>
    <col min="14305" max="14305" width="26.25" style="70" customWidth="1"/>
    <col min="14306" max="14306" width="5.5" style="70" customWidth="1"/>
    <col min="14307" max="14307" width="8.5" style="70"/>
    <col min="14308" max="14309" width="10.875" style="70" customWidth="1"/>
    <col min="14310" max="14310" width="15.25" style="70" customWidth="1"/>
    <col min="14311" max="14311" width="0.75" style="70" customWidth="1"/>
    <col min="14312" max="14314" width="0.625" style="70" customWidth="1"/>
    <col min="14315" max="14559" width="8.5" style="70"/>
    <col min="14560" max="14560" width="5.25" style="70" customWidth="1"/>
    <col min="14561" max="14561" width="26.25" style="70" customWidth="1"/>
    <col min="14562" max="14562" width="5.5" style="70" customWidth="1"/>
    <col min="14563" max="14563" width="8.5" style="70"/>
    <col min="14564" max="14565" width="10.875" style="70" customWidth="1"/>
    <col min="14566" max="14566" width="15.25" style="70" customWidth="1"/>
    <col min="14567" max="14567" width="0.75" style="70" customWidth="1"/>
    <col min="14568" max="14570" width="0.625" style="70" customWidth="1"/>
    <col min="14571" max="14815" width="8.5" style="70"/>
    <col min="14816" max="14816" width="5.25" style="70" customWidth="1"/>
    <col min="14817" max="14817" width="26.25" style="70" customWidth="1"/>
    <col min="14818" max="14818" width="5.5" style="70" customWidth="1"/>
    <col min="14819" max="14819" width="8.5" style="70"/>
    <col min="14820" max="14821" width="10.875" style="70" customWidth="1"/>
    <col min="14822" max="14822" width="15.25" style="70" customWidth="1"/>
    <col min="14823" max="14823" width="0.75" style="70" customWidth="1"/>
    <col min="14824" max="14826" width="0.625" style="70" customWidth="1"/>
    <col min="14827" max="15071" width="8.5" style="70"/>
    <col min="15072" max="15072" width="5.25" style="70" customWidth="1"/>
    <col min="15073" max="15073" width="26.25" style="70" customWidth="1"/>
    <col min="15074" max="15074" width="5.5" style="70" customWidth="1"/>
    <col min="15075" max="15075" width="8.5" style="70"/>
    <col min="15076" max="15077" width="10.875" style="70" customWidth="1"/>
    <col min="15078" max="15078" width="15.25" style="70" customWidth="1"/>
    <col min="15079" max="15079" width="0.75" style="70" customWidth="1"/>
    <col min="15080" max="15082" width="0.625" style="70" customWidth="1"/>
    <col min="15083" max="15327" width="8.5" style="70"/>
    <col min="15328" max="15328" width="5.25" style="70" customWidth="1"/>
    <col min="15329" max="15329" width="26.25" style="70" customWidth="1"/>
    <col min="15330" max="15330" width="5.5" style="70" customWidth="1"/>
    <col min="15331" max="15331" width="8.5" style="70"/>
    <col min="15332" max="15333" width="10.875" style="70" customWidth="1"/>
    <col min="15334" max="15334" width="15.25" style="70" customWidth="1"/>
    <col min="15335" max="15335" width="0.75" style="70" customWidth="1"/>
    <col min="15336" max="15338" width="0.625" style="70" customWidth="1"/>
    <col min="15339" max="15583" width="8.5" style="70"/>
    <col min="15584" max="15584" width="5.25" style="70" customWidth="1"/>
    <col min="15585" max="15585" width="26.25" style="70" customWidth="1"/>
    <col min="15586" max="15586" width="5.5" style="70" customWidth="1"/>
    <col min="15587" max="15587" width="8.5" style="70"/>
    <col min="15588" max="15589" width="10.875" style="70" customWidth="1"/>
    <col min="15590" max="15590" width="15.25" style="70" customWidth="1"/>
    <col min="15591" max="15591" width="0.75" style="70" customWidth="1"/>
    <col min="15592" max="15594" width="0.625" style="70" customWidth="1"/>
    <col min="15595" max="15839" width="8.5" style="70"/>
    <col min="15840" max="15840" width="5.25" style="70" customWidth="1"/>
    <col min="15841" max="15841" width="26.25" style="70" customWidth="1"/>
    <col min="15842" max="15842" width="5.5" style="70" customWidth="1"/>
    <col min="15843" max="15843" width="8.5" style="70"/>
    <col min="15844" max="15845" width="10.875" style="70" customWidth="1"/>
    <col min="15846" max="15846" width="15.25" style="70" customWidth="1"/>
    <col min="15847" max="15847" width="0.75" style="70" customWidth="1"/>
    <col min="15848" max="15850" width="0.625" style="70" customWidth="1"/>
    <col min="15851" max="16095" width="8.5" style="70"/>
    <col min="16096" max="16096" width="5.25" style="70" customWidth="1"/>
    <col min="16097" max="16097" width="26.25" style="70" customWidth="1"/>
    <col min="16098" max="16098" width="5.5" style="70" customWidth="1"/>
    <col min="16099" max="16099" width="8.5" style="70"/>
    <col min="16100" max="16101" width="10.875" style="70" customWidth="1"/>
    <col min="16102" max="16102" width="15.25" style="70" customWidth="1"/>
    <col min="16103" max="16103" width="0.75" style="70" customWidth="1"/>
    <col min="16104" max="16106" width="0.625" style="70" customWidth="1"/>
    <col min="16107" max="16384" width="8.5" style="70"/>
  </cols>
  <sheetData>
    <row r="1" spans="1:37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47"/>
      <c r="V1" s="99"/>
      <c r="W1" s="99"/>
      <c r="X1" s="99"/>
      <c r="Y1" s="99"/>
      <c r="Z1" s="100"/>
    </row>
    <row r="2" spans="1:37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47"/>
    </row>
    <row r="3" spans="1:37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47"/>
      <c r="P3" s="386" t="s">
        <v>0</v>
      </c>
      <c r="Q3" s="387"/>
      <c r="R3" s="387"/>
      <c r="S3" s="387"/>
      <c r="T3" s="387"/>
      <c r="U3" s="387"/>
      <c r="V3" s="387"/>
      <c r="W3" s="387"/>
      <c r="X3" s="387"/>
      <c r="Y3" s="387"/>
      <c r="Z3" s="387"/>
    </row>
    <row r="4" spans="1:37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48"/>
      <c r="P4" s="389">
        <v>18</v>
      </c>
      <c r="Q4" s="387"/>
      <c r="R4" s="387"/>
      <c r="S4" s="387"/>
      <c r="T4" s="387"/>
      <c r="U4" s="387"/>
      <c r="V4" s="387"/>
      <c r="W4" s="387"/>
      <c r="X4" s="387"/>
      <c r="Y4" s="387"/>
      <c r="Z4" s="387"/>
    </row>
    <row r="5" spans="1:37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93" t="s">
        <v>4</v>
      </c>
      <c r="J5" s="393"/>
      <c r="K5" s="74"/>
      <c r="L5" s="394" t="s">
        <v>3129</v>
      </c>
      <c r="M5" s="394"/>
      <c r="N5" s="394"/>
      <c r="O5" s="96"/>
      <c r="P5" s="395" t="s">
        <v>2</v>
      </c>
      <c r="Q5" s="396"/>
      <c r="R5" s="396"/>
      <c r="S5" s="396"/>
      <c r="T5" s="396"/>
      <c r="U5" s="396"/>
      <c r="V5" s="396"/>
      <c r="W5" s="396"/>
      <c r="X5" s="4" t="s">
        <v>1361</v>
      </c>
      <c r="Y5" s="380">
        <v>45716</v>
      </c>
      <c r="Z5" s="381"/>
      <c r="AA5"/>
      <c r="AB5" s="181"/>
      <c r="AC5" s="181"/>
      <c r="AD5" s="181"/>
      <c r="AE5" s="181"/>
    </row>
    <row r="6" spans="1:37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1" t="s">
        <v>9</v>
      </c>
      <c r="I6" s="51" t="s">
        <v>3068</v>
      </c>
      <c r="J6" s="50" t="s">
        <v>11</v>
      </c>
      <c r="K6" s="47"/>
      <c r="L6" s="1" t="s">
        <v>1423</v>
      </c>
      <c r="M6" s="1" t="s">
        <v>1424</v>
      </c>
      <c r="N6" s="1" t="s">
        <v>1425</v>
      </c>
      <c r="O6" s="97"/>
      <c r="P6" s="5" t="s">
        <v>5</v>
      </c>
      <c r="Q6" s="6" t="s">
        <v>1362</v>
      </c>
      <c r="R6" s="6" t="s">
        <v>7</v>
      </c>
      <c r="S6" s="6" t="s">
        <v>1363</v>
      </c>
      <c r="T6" s="6" t="s">
        <v>1364</v>
      </c>
      <c r="U6" s="6" t="s">
        <v>1365</v>
      </c>
      <c r="V6" s="6" t="s">
        <v>1366</v>
      </c>
      <c r="W6" s="214" t="s">
        <v>1367</v>
      </c>
      <c r="X6" s="214" t="s">
        <v>1368</v>
      </c>
      <c r="Y6" s="214" t="s">
        <v>1369</v>
      </c>
      <c r="Z6" s="7" t="s">
        <v>1370</v>
      </c>
      <c r="AA6" s="36"/>
      <c r="AG6" s="186">
        <f>AI7</f>
        <v>0.67759999999999998</v>
      </c>
      <c r="AH6" s="104">
        <f>AI9</f>
        <v>3.8110582987070797E-2</v>
      </c>
      <c r="AI6" s="197" t="s">
        <v>1513</v>
      </c>
      <c r="AK6" s="68" t="s">
        <v>3110</v>
      </c>
    </row>
    <row r="7" spans="1:37" s="69" customFormat="1" ht="33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>
        <v>365478534</v>
      </c>
      <c r="J7" s="53" t="s">
        <v>15</v>
      </c>
      <c r="K7" s="73"/>
      <c r="L7" s="39">
        <v>1</v>
      </c>
      <c r="M7" s="39"/>
      <c r="N7" s="39"/>
      <c r="O7" s="98"/>
      <c r="P7" s="8" t="s">
        <v>12</v>
      </c>
      <c r="Q7" s="9" t="s">
        <v>13</v>
      </c>
      <c r="R7" s="10" t="s">
        <v>14</v>
      </c>
      <c r="S7" s="11">
        <v>1</v>
      </c>
      <c r="T7" s="11"/>
      <c r="U7" s="11">
        <f>U8+U377+U406+U446+U450+U471+U491+U494+U495+U497</f>
        <v>365478534</v>
      </c>
      <c r="V7" s="11">
        <f>IF(X7=0,0,1)</f>
        <v>1</v>
      </c>
      <c r="W7" s="11">
        <f>IF(Y7=0,0,1)</f>
        <v>1</v>
      </c>
      <c r="X7" s="11">
        <f>X8+X377+X406+X446+X450+X471+X491+X494+X495+X497</f>
        <v>13928599.999999976</v>
      </c>
      <c r="Y7" s="11">
        <f>ROUNDDOWN((Y8+Y377+Y406+Y446+Y450+Y471+Y491+Y495+Y497+(Y8+Y377+Y406+Y446+Y450+Y471+Y491)*0.1095000004)/1000,1)*1000</f>
        <v>247661400</v>
      </c>
      <c r="Z7" s="12" t="s">
        <v>15</v>
      </c>
      <c r="AA7" s="37" t="s">
        <v>16</v>
      </c>
      <c r="AB7" s="182"/>
      <c r="AC7" s="182"/>
      <c r="AD7" s="182"/>
      <c r="AE7" s="182"/>
      <c r="AF7" s="101"/>
      <c r="AG7" s="187"/>
      <c r="AH7" s="126">
        <v>365478534</v>
      </c>
      <c r="AI7" s="201">
        <f>ROUND(Y7/AH7,4)</f>
        <v>0.67759999999999998</v>
      </c>
    </row>
    <row r="8" spans="1:37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>
        <v>275489625</v>
      </c>
      <c r="J8" s="86" t="s">
        <v>15</v>
      </c>
      <c r="K8" s="73"/>
      <c r="L8" s="42">
        <v>1</v>
      </c>
      <c r="M8" s="42"/>
      <c r="N8" s="42"/>
      <c r="O8" s="98"/>
      <c r="P8" s="13" t="s">
        <v>1371</v>
      </c>
      <c r="Q8" s="14" t="s">
        <v>18</v>
      </c>
      <c r="R8" s="15" t="s">
        <v>14</v>
      </c>
      <c r="S8" s="16">
        <v>1</v>
      </c>
      <c r="T8" s="16"/>
      <c r="U8" s="16">
        <f>U9+U38+U133+U177+U202+U220+U237+U327+U369</f>
        <v>275489625.00000006</v>
      </c>
      <c r="V8" s="16">
        <f t="shared" ref="V8:W9" si="0">IF(X8=0,0,1)</f>
        <v>1</v>
      </c>
      <c r="W8" s="16">
        <f t="shared" si="0"/>
        <v>1</v>
      </c>
      <c r="X8" s="16">
        <f>X9+X38+X133+X177+X202+X220+X237+X327+X369</f>
        <v>9239780.0700000003</v>
      </c>
      <c r="Y8" s="16">
        <f>Y9+Y38+Y133+Y177+Y202+Y220+Y237+Y327+Y369</f>
        <v>181543039.62</v>
      </c>
      <c r="Z8" s="17" t="s">
        <v>15</v>
      </c>
      <c r="AA8" s="40" t="s">
        <v>16</v>
      </c>
      <c r="AB8" s="183"/>
      <c r="AC8" s="183"/>
      <c r="AD8" s="183"/>
      <c r="AE8" s="183"/>
      <c r="AF8" s="101"/>
      <c r="AG8" s="188"/>
      <c r="AI8" s="124" t="s">
        <v>1514</v>
      </c>
    </row>
    <row r="9" spans="1:37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>
        <v>90137193.75</v>
      </c>
      <c r="J9" s="80" t="s">
        <v>15</v>
      </c>
      <c r="K9" s="73"/>
      <c r="L9" s="45">
        <v>1</v>
      </c>
      <c r="M9" s="45"/>
      <c r="N9" s="45"/>
      <c r="O9" s="98"/>
      <c r="P9" s="18" t="s">
        <v>1372</v>
      </c>
      <c r="Q9" s="19" t="s">
        <v>20</v>
      </c>
      <c r="R9" s="20" t="s">
        <v>14</v>
      </c>
      <c r="S9" s="21">
        <v>1</v>
      </c>
      <c r="T9" s="21"/>
      <c r="U9" s="21">
        <f>SUMIFS(AC:AC,AD:AD,AD9)</f>
        <v>90137193.75000003</v>
      </c>
      <c r="V9" s="21">
        <f t="shared" si="0"/>
        <v>1</v>
      </c>
      <c r="W9" s="21">
        <f t="shared" si="0"/>
        <v>1</v>
      </c>
      <c r="X9" s="21">
        <f>SUMIFS(X:X,AE:AE,AD9)</f>
        <v>1096345.3200000003</v>
      </c>
      <c r="Y9" s="21">
        <f>SUMIFS(Y:Y,AE:AE,AD9)</f>
        <v>71988989.439999998</v>
      </c>
      <c r="Z9" s="22" t="s">
        <v>15</v>
      </c>
      <c r="AA9" s="43" t="s">
        <v>16</v>
      </c>
      <c r="AB9" s="184">
        <f>IF(T9=0,S9,T9)</f>
        <v>1</v>
      </c>
      <c r="AC9" s="184"/>
      <c r="AD9" s="181">
        <v>1.1000000000000001</v>
      </c>
      <c r="AE9" s="181"/>
      <c r="AF9" s="101"/>
      <c r="AG9" s="189" t="s">
        <v>3061</v>
      </c>
      <c r="AI9" s="125">
        <f>X7/AH7</f>
        <v>3.8110582987070797E-2</v>
      </c>
      <c r="AK9" s="101" t="s">
        <v>3062</v>
      </c>
    </row>
    <row r="10" spans="1:37" s="69" customFormat="1" ht="39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>
        <v>193.12</v>
      </c>
      <c r="I10" s="75">
        <v>105184.74</v>
      </c>
      <c r="J10" s="91" t="s">
        <v>24</v>
      </c>
      <c r="K10" s="73"/>
      <c r="L10" s="46">
        <v>408.7</v>
      </c>
      <c r="M10" s="46">
        <v>0</v>
      </c>
      <c r="N10" s="46">
        <v>78928.14</v>
      </c>
      <c r="O10" s="98"/>
      <c r="P10" s="23" t="s">
        <v>1421</v>
      </c>
      <c r="Q10" s="24" t="s">
        <v>22</v>
      </c>
      <c r="R10" s="25" t="s">
        <v>23</v>
      </c>
      <c r="S10" s="26">
        <v>544.66</v>
      </c>
      <c r="T10" s="26"/>
      <c r="U10" s="26">
        <v>193.12</v>
      </c>
      <c r="V10" s="127">
        <f>AG10-L10</f>
        <v>0</v>
      </c>
      <c r="W10" s="127">
        <f>V10+L10</f>
        <v>408.7</v>
      </c>
      <c r="X10" s="127">
        <f t="shared" ref="X10:X37" si="1">Y10-N10</f>
        <v>0</v>
      </c>
      <c r="Y10" s="127">
        <f>ROUND(U10*W10,2)</f>
        <v>78928.14</v>
      </c>
      <c r="Z10" s="33" t="s">
        <v>15</v>
      </c>
      <c r="AA10" s="36" t="s">
        <v>16</v>
      </c>
      <c r="AB10" s="181">
        <f>IF(T10="",S10,T10)</f>
        <v>544.66</v>
      </c>
      <c r="AC10" s="181">
        <f t="shared" ref="AC10:AC37" si="2">ROUND(U10*AB10,2)</f>
        <v>105184.74</v>
      </c>
      <c r="AD10" s="181">
        <v>1.1000000000000001</v>
      </c>
      <c r="AE10" s="181">
        <v>1.1000000000000001</v>
      </c>
      <c r="AF10" s="101" t="str">
        <f>IF(W10&gt;AH10,"超估","")</f>
        <v/>
      </c>
      <c r="AG10" s="190">
        <v>408.7</v>
      </c>
      <c r="AH10" s="69">
        <f>IF(G10=0,IF(F10=0,IF(E10=0,D10,E10),F10),G10)</f>
        <v>544.66</v>
      </c>
    </row>
    <row r="11" spans="1:37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>
        <v>1046.22</v>
      </c>
      <c r="I11" s="75">
        <v>7417092.9900000002</v>
      </c>
      <c r="J11" s="91" t="s">
        <v>27</v>
      </c>
      <c r="K11" s="73"/>
      <c r="L11" s="46">
        <v>6531.11</v>
      </c>
      <c r="M11" s="46">
        <v>687366.54</v>
      </c>
      <c r="N11" s="46">
        <v>6832977.9000000004</v>
      </c>
      <c r="O11" s="98"/>
      <c r="P11" s="23" t="s">
        <v>1426</v>
      </c>
      <c r="Q11" s="24" t="s">
        <v>26</v>
      </c>
      <c r="R11" s="25" t="s">
        <v>23</v>
      </c>
      <c r="S11" s="26">
        <v>7089.42</v>
      </c>
      <c r="T11" s="26"/>
      <c r="U11" s="26">
        <v>1046.22</v>
      </c>
      <c r="V11" s="128">
        <f>AG11-L11</f>
        <v>0</v>
      </c>
      <c r="W11" s="26">
        <f t="shared" ref="W11:W74" si="3">V11+L11</f>
        <v>6531.11</v>
      </c>
      <c r="X11" s="26">
        <f t="shared" si="1"/>
        <v>0</v>
      </c>
      <c r="Y11" s="26">
        <f t="shared" ref="Y11:Y74" si="4">ROUND(U11*W11,2)</f>
        <v>6832977.9000000004</v>
      </c>
      <c r="Z11" s="33" t="s">
        <v>15</v>
      </c>
      <c r="AA11" s="36" t="s">
        <v>16</v>
      </c>
      <c r="AB11" s="181">
        <f t="shared" ref="AB11:AB74" si="5">IF(T11="",S11,T11)</f>
        <v>7089.42</v>
      </c>
      <c r="AC11" s="181">
        <f t="shared" si="2"/>
        <v>7417092.9900000002</v>
      </c>
      <c r="AD11" s="181">
        <v>1.1000000000000001</v>
      </c>
      <c r="AE11" s="181">
        <v>1.1000000000000001</v>
      </c>
      <c r="AF11" s="101" t="str">
        <f t="shared" ref="AF11:AF74" si="6">IF(W11&gt;AH11,"超估","")</f>
        <v/>
      </c>
      <c r="AG11" s="193">
        <f>5362.11+512+657</f>
        <v>6531.11</v>
      </c>
      <c r="AH11" s="69">
        <f t="shared" ref="AH11:AH74" si="7">IF(G11=0,IF(F11=0,IF(E11=0,D11,E11),F11),G11)</f>
        <v>7089.42</v>
      </c>
    </row>
    <row r="12" spans="1:37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>
        <v>6200</v>
      </c>
      <c r="I12" s="75">
        <v>28619200</v>
      </c>
      <c r="J12" s="91" t="s">
        <v>31</v>
      </c>
      <c r="K12" s="73"/>
      <c r="L12" s="46">
        <v>4610.7</v>
      </c>
      <c r="M12" s="46">
        <v>0</v>
      </c>
      <c r="N12" s="46">
        <v>28586340</v>
      </c>
      <c r="O12" s="98"/>
      <c r="P12" s="23" t="s">
        <v>1402</v>
      </c>
      <c r="Q12" s="24" t="s">
        <v>29</v>
      </c>
      <c r="R12" s="25" t="s">
        <v>30</v>
      </c>
      <c r="S12" s="26">
        <v>4616</v>
      </c>
      <c r="T12" s="26"/>
      <c r="U12" s="26">
        <v>6200</v>
      </c>
      <c r="V12" s="127">
        <f t="shared" ref="V12:V75" si="8">AG12-L12</f>
        <v>0</v>
      </c>
      <c r="W12" s="127">
        <f t="shared" si="3"/>
        <v>4610.7</v>
      </c>
      <c r="X12" s="127">
        <f t="shared" si="1"/>
        <v>0</v>
      </c>
      <c r="Y12" s="127">
        <f t="shared" si="4"/>
        <v>28586340</v>
      </c>
      <c r="Z12" s="33" t="s">
        <v>15</v>
      </c>
      <c r="AA12" s="36" t="s">
        <v>16</v>
      </c>
      <c r="AB12" s="181">
        <f t="shared" si="5"/>
        <v>4616</v>
      </c>
      <c r="AC12" s="181">
        <f t="shared" si="2"/>
        <v>28619200</v>
      </c>
      <c r="AD12" s="181">
        <v>1.1000000000000001</v>
      </c>
      <c r="AE12" s="181">
        <v>1.1000000000000001</v>
      </c>
      <c r="AF12" s="101" t="str">
        <f t="shared" si="6"/>
        <v/>
      </c>
      <c r="AG12" s="193">
        <f>3630+980.7</f>
        <v>4610.7</v>
      </c>
      <c r="AH12" s="69">
        <f t="shared" si="7"/>
        <v>4616</v>
      </c>
    </row>
    <row r="13" spans="1:37" s="69" customFormat="1" ht="58.5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>
        <v>48.28</v>
      </c>
      <c r="I13" s="75">
        <v>1533324.52</v>
      </c>
      <c r="J13" s="91" t="s">
        <v>35</v>
      </c>
      <c r="K13" s="73"/>
      <c r="L13" s="46">
        <v>28290.799999999999</v>
      </c>
      <c r="M13" s="46">
        <v>0</v>
      </c>
      <c r="N13" s="46">
        <v>1365879.82</v>
      </c>
      <c r="O13" s="98"/>
      <c r="P13" s="23" t="s">
        <v>1373</v>
      </c>
      <c r="Q13" s="24" t="s">
        <v>33</v>
      </c>
      <c r="R13" s="25" t="s">
        <v>34</v>
      </c>
      <c r="S13" s="26">
        <v>29759</v>
      </c>
      <c r="T13" s="26">
        <v>31759</v>
      </c>
      <c r="U13" s="26">
        <v>48.28</v>
      </c>
      <c r="V13" s="127">
        <f t="shared" si="8"/>
        <v>0</v>
      </c>
      <c r="W13" s="127">
        <f t="shared" si="3"/>
        <v>28290.799999999999</v>
      </c>
      <c r="X13" s="127">
        <f t="shared" si="1"/>
        <v>0</v>
      </c>
      <c r="Y13" s="127">
        <f t="shared" si="4"/>
        <v>1365879.82</v>
      </c>
      <c r="Z13" s="27" t="s">
        <v>15</v>
      </c>
      <c r="AA13" s="36" t="s">
        <v>16</v>
      </c>
      <c r="AB13" s="181">
        <f t="shared" si="5"/>
        <v>31759</v>
      </c>
      <c r="AC13" s="181">
        <f t="shared" si="2"/>
        <v>1533324.52</v>
      </c>
      <c r="AD13" s="181">
        <v>1.1000000000000001</v>
      </c>
      <c r="AE13" s="181">
        <v>1.1000000000000001</v>
      </c>
      <c r="AF13" s="101" t="str">
        <f t="shared" si="6"/>
        <v/>
      </c>
      <c r="AG13" s="190">
        <v>28290.799999999999</v>
      </c>
      <c r="AH13" s="69">
        <f t="shared" si="7"/>
        <v>31759</v>
      </c>
    </row>
    <row r="14" spans="1:37" s="69" customFormat="1" ht="39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>
        <v>599.75</v>
      </c>
      <c r="I14" s="75">
        <v>438681.14</v>
      </c>
      <c r="J14" s="91" t="s">
        <v>38</v>
      </c>
      <c r="K14" s="73"/>
      <c r="L14" s="46">
        <v>519.42999999999995</v>
      </c>
      <c r="M14" s="46">
        <v>0</v>
      </c>
      <c r="N14" s="46">
        <v>311528.14</v>
      </c>
      <c r="O14" s="98"/>
      <c r="P14" s="23" t="s">
        <v>1393</v>
      </c>
      <c r="Q14" s="24" t="s">
        <v>37</v>
      </c>
      <c r="R14" s="25" t="s">
        <v>23</v>
      </c>
      <c r="S14" s="26">
        <v>731.44</v>
      </c>
      <c r="T14" s="26"/>
      <c r="U14" s="26">
        <v>599.75</v>
      </c>
      <c r="V14" s="127">
        <f t="shared" si="8"/>
        <v>0</v>
      </c>
      <c r="W14" s="127">
        <f t="shared" si="3"/>
        <v>519.42999999999995</v>
      </c>
      <c r="X14" s="127">
        <f t="shared" si="1"/>
        <v>0</v>
      </c>
      <c r="Y14" s="127">
        <f t="shared" si="4"/>
        <v>311528.14</v>
      </c>
      <c r="Z14" s="33" t="s">
        <v>15</v>
      </c>
      <c r="AA14" s="36" t="s">
        <v>16</v>
      </c>
      <c r="AB14" s="181">
        <f t="shared" si="5"/>
        <v>731.44</v>
      </c>
      <c r="AC14" s="181">
        <f t="shared" si="2"/>
        <v>438681.14</v>
      </c>
      <c r="AD14" s="181">
        <v>1.1000000000000001</v>
      </c>
      <c r="AE14" s="181">
        <v>1.1000000000000001</v>
      </c>
      <c r="AF14" s="101" t="str">
        <f t="shared" si="6"/>
        <v/>
      </c>
      <c r="AG14" s="190">
        <v>519.42999999999995</v>
      </c>
      <c r="AH14" s="69">
        <f t="shared" si="7"/>
        <v>731.44</v>
      </c>
    </row>
    <row r="15" spans="1:37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>
        <v>104.64</v>
      </c>
      <c r="I15" s="75">
        <v>786788.16</v>
      </c>
      <c r="J15" s="91" t="s">
        <v>41</v>
      </c>
      <c r="K15" s="73"/>
      <c r="L15" s="46">
        <v>2219</v>
      </c>
      <c r="M15" s="46">
        <v>100663.67999999999</v>
      </c>
      <c r="N15" s="46">
        <v>232196.16</v>
      </c>
      <c r="O15" s="98"/>
      <c r="P15" s="23" t="s">
        <v>1403</v>
      </c>
      <c r="Q15" s="24" t="s">
        <v>40</v>
      </c>
      <c r="R15" s="25" t="s">
        <v>23</v>
      </c>
      <c r="S15" s="26">
        <v>7519</v>
      </c>
      <c r="T15" s="26"/>
      <c r="U15" s="26">
        <v>104.64</v>
      </c>
      <c r="V15" s="128">
        <f t="shared" si="8"/>
        <v>0</v>
      </c>
      <c r="W15" s="26">
        <f t="shared" si="3"/>
        <v>2219</v>
      </c>
      <c r="X15" s="26">
        <f t="shared" si="1"/>
        <v>0</v>
      </c>
      <c r="Y15" s="26">
        <f t="shared" si="4"/>
        <v>232196.16</v>
      </c>
      <c r="Z15" s="33" t="s">
        <v>15</v>
      </c>
      <c r="AA15" s="36" t="s">
        <v>16</v>
      </c>
      <c r="AB15" s="181">
        <f t="shared" si="5"/>
        <v>7519</v>
      </c>
      <c r="AC15" s="181">
        <f t="shared" si="2"/>
        <v>786788.16</v>
      </c>
      <c r="AD15" s="181">
        <v>1.1000000000000001</v>
      </c>
      <c r="AE15" s="181">
        <v>1.1000000000000001</v>
      </c>
      <c r="AF15" s="101" t="str">
        <f t="shared" si="6"/>
        <v/>
      </c>
      <c r="AG15" s="193">
        <f>962+295+962</f>
        <v>2219</v>
      </c>
      <c r="AH15" s="69">
        <f t="shared" si="7"/>
        <v>7519</v>
      </c>
    </row>
    <row r="16" spans="1:37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>
        <v>1027.43</v>
      </c>
      <c r="I16" s="75">
        <v>22850043.199999999</v>
      </c>
      <c r="J16" s="91" t="s">
        <v>44</v>
      </c>
      <c r="K16" s="73"/>
      <c r="L16" s="46">
        <v>16836</v>
      </c>
      <c r="M16" s="46">
        <v>0</v>
      </c>
      <c r="N16" s="46">
        <v>17297811.48</v>
      </c>
      <c r="O16" s="98"/>
      <c r="P16" s="23" t="s">
        <v>1427</v>
      </c>
      <c r="Q16" s="24" t="s">
        <v>43</v>
      </c>
      <c r="R16" s="25" t="s">
        <v>34</v>
      </c>
      <c r="S16" s="26">
        <v>22240</v>
      </c>
      <c r="T16" s="26"/>
      <c r="U16" s="26">
        <v>1027.43</v>
      </c>
      <c r="V16" s="128">
        <f t="shared" si="8"/>
        <v>924</v>
      </c>
      <c r="W16" s="121">
        <f t="shared" si="3"/>
        <v>17760</v>
      </c>
      <c r="X16" s="26">
        <f t="shared" si="1"/>
        <v>949345.3200000003</v>
      </c>
      <c r="Y16" s="26">
        <f t="shared" si="4"/>
        <v>18247156.800000001</v>
      </c>
      <c r="Z16" s="33" t="s">
        <v>15</v>
      </c>
      <c r="AA16" s="36" t="s">
        <v>16</v>
      </c>
      <c r="AB16" s="181">
        <f t="shared" si="5"/>
        <v>22240</v>
      </c>
      <c r="AC16" s="181">
        <f t="shared" si="2"/>
        <v>22850043.199999999</v>
      </c>
      <c r="AD16" s="181">
        <v>1.1000000000000001</v>
      </c>
      <c r="AE16" s="181">
        <v>1.1000000000000001</v>
      </c>
      <c r="AF16" s="101" t="str">
        <f t="shared" si="6"/>
        <v/>
      </c>
      <c r="AG16" s="193">
        <f>16836+924</f>
        <v>17760</v>
      </c>
      <c r="AH16" s="69">
        <f t="shared" si="7"/>
        <v>22240</v>
      </c>
    </row>
    <row r="17" spans="1:34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>
        <v>1085.04</v>
      </c>
      <c r="I17" s="75">
        <v>7302774.9199999999</v>
      </c>
      <c r="J17" s="91" t="s">
        <v>47</v>
      </c>
      <c r="K17" s="73"/>
      <c r="L17" s="46">
        <v>4956</v>
      </c>
      <c r="M17" s="46">
        <v>0</v>
      </c>
      <c r="N17" s="46">
        <v>5377458.2400000002</v>
      </c>
      <c r="O17" s="98"/>
      <c r="P17" s="23" t="s">
        <v>1428</v>
      </c>
      <c r="Q17" s="24" t="s">
        <v>46</v>
      </c>
      <c r="R17" s="25" t="s">
        <v>23</v>
      </c>
      <c r="S17" s="26">
        <v>6730.42</v>
      </c>
      <c r="T17" s="26"/>
      <c r="U17" s="26">
        <v>1085.04</v>
      </c>
      <c r="V17" s="26">
        <f t="shared" si="8"/>
        <v>0</v>
      </c>
      <c r="W17" s="121">
        <f t="shared" si="3"/>
        <v>4956</v>
      </c>
      <c r="X17" s="26">
        <f t="shared" si="1"/>
        <v>0</v>
      </c>
      <c r="Y17" s="26">
        <f t="shared" si="4"/>
        <v>5377458.2400000002</v>
      </c>
      <c r="Z17" s="33" t="s">
        <v>15</v>
      </c>
      <c r="AA17" s="36" t="s">
        <v>16</v>
      </c>
      <c r="AB17" s="181">
        <f t="shared" si="5"/>
        <v>6730.42</v>
      </c>
      <c r="AC17" s="181">
        <f t="shared" si="2"/>
        <v>7302774.9199999999</v>
      </c>
      <c r="AD17" s="181">
        <v>1.1000000000000001</v>
      </c>
      <c r="AE17" s="181">
        <v>1.1000000000000001</v>
      </c>
      <c r="AF17" s="101" t="str">
        <f t="shared" si="6"/>
        <v/>
      </c>
      <c r="AG17" s="190">
        <v>4956</v>
      </c>
      <c r="AH17" s="69">
        <f t="shared" si="7"/>
        <v>6730.42</v>
      </c>
    </row>
    <row r="18" spans="1:34" s="69" customFormat="1" ht="58.5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>
        <v>30.45</v>
      </c>
      <c r="I18" s="75">
        <v>113745.98</v>
      </c>
      <c r="J18" s="91" t="s">
        <v>51</v>
      </c>
      <c r="K18" s="73"/>
      <c r="L18" s="46">
        <v>2100</v>
      </c>
      <c r="M18" s="46">
        <v>0</v>
      </c>
      <c r="N18" s="46">
        <v>63945</v>
      </c>
      <c r="O18" s="98"/>
      <c r="P18" s="23" t="s">
        <v>1387</v>
      </c>
      <c r="Q18" s="24" t="s">
        <v>49</v>
      </c>
      <c r="R18" s="25" t="s">
        <v>50</v>
      </c>
      <c r="S18" s="26">
        <v>3735.5</v>
      </c>
      <c r="T18" s="26"/>
      <c r="U18" s="26">
        <v>30.45</v>
      </c>
      <c r="V18" s="127">
        <f t="shared" si="8"/>
        <v>0</v>
      </c>
      <c r="W18" s="127">
        <f t="shared" si="3"/>
        <v>2100</v>
      </c>
      <c r="X18" s="127">
        <f t="shared" si="1"/>
        <v>0</v>
      </c>
      <c r="Y18" s="127">
        <f t="shared" si="4"/>
        <v>63945</v>
      </c>
      <c r="Z18" s="33" t="s">
        <v>15</v>
      </c>
      <c r="AA18" s="36" t="s">
        <v>16</v>
      </c>
      <c r="AB18" s="181">
        <f t="shared" si="5"/>
        <v>3735.5</v>
      </c>
      <c r="AC18" s="181">
        <f t="shared" si="2"/>
        <v>113745.98</v>
      </c>
      <c r="AD18" s="181">
        <v>1.1000000000000001</v>
      </c>
      <c r="AE18" s="181">
        <v>1.1000000000000001</v>
      </c>
      <c r="AF18" s="101" t="str">
        <f t="shared" si="6"/>
        <v/>
      </c>
      <c r="AG18" s="190">
        <v>2100</v>
      </c>
      <c r="AH18" s="69">
        <f t="shared" si="7"/>
        <v>3735.5</v>
      </c>
    </row>
    <row r="19" spans="1:34" s="69" customFormat="1" ht="58.5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>
        <v>28.48</v>
      </c>
      <c r="I19" s="75">
        <v>290638.40000000002</v>
      </c>
      <c r="J19" s="91" t="s">
        <v>54</v>
      </c>
      <c r="K19" s="73"/>
      <c r="L19" s="46">
        <v>300</v>
      </c>
      <c r="M19" s="46">
        <v>0</v>
      </c>
      <c r="N19" s="46">
        <v>8544</v>
      </c>
      <c r="O19" s="98"/>
      <c r="P19" s="23" t="s">
        <v>1405</v>
      </c>
      <c r="Q19" s="24" t="s">
        <v>53</v>
      </c>
      <c r="R19" s="25" t="s">
        <v>50</v>
      </c>
      <c r="S19" s="26">
        <v>10205</v>
      </c>
      <c r="T19" s="26"/>
      <c r="U19" s="26">
        <v>28.48</v>
      </c>
      <c r="V19" s="127">
        <f t="shared" si="8"/>
        <v>0</v>
      </c>
      <c r="W19" s="127">
        <f t="shared" si="3"/>
        <v>300</v>
      </c>
      <c r="X19" s="127">
        <f t="shared" si="1"/>
        <v>0</v>
      </c>
      <c r="Y19" s="127">
        <f t="shared" si="4"/>
        <v>8544</v>
      </c>
      <c r="Z19" s="33" t="s">
        <v>15</v>
      </c>
      <c r="AA19" s="36" t="s">
        <v>16</v>
      </c>
      <c r="AB19" s="181">
        <f t="shared" si="5"/>
        <v>10205</v>
      </c>
      <c r="AC19" s="181">
        <f t="shared" si="2"/>
        <v>290638.40000000002</v>
      </c>
      <c r="AD19" s="181">
        <v>1.1000000000000001</v>
      </c>
      <c r="AE19" s="181">
        <v>1.1000000000000001</v>
      </c>
      <c r="AF19" s="101" t="str">
        <f t="shared" si="6"/>
        <v/>
      </c>
      <c r="AG19" s="190">
        <v>300</v>
      </c>
      <c r="AH19" s="69">
        <f t="shared" si="7"/>
        <v>10205</v>
      </c>
    </row>
    <row r="20" spans="1:34" s="69" customFormat="1" ht="39" x14ac:dyDescent="0.3">
      <c r="A20" s="55" t="s">
        <v>55</v>
      </c>
      <c r="B20" s="53" t="s">
        <v>56</v>
      </c>
      <c r="C20" s="54" t="s">
        <v>30</v>
      </c>
      <c r="D20" s="75">
        <v>142.6</v>
      </c>
      <c r="E20" s="75"/>
      <c r="F20" s="75"/>
      <c r="G20" s="75"/>
      <c r="H20" s="75">
        <v>65.400000000000006</v>
      </c>
      <c r="I20" s="75">
        <v>9326.0400000000009</v>
      </c>
      <c r="J20" s="91" t="s">
        <v>57</v>
      </c>
      <c r="K20" s="73"/>
      <c r="L20" s="46">
        <v>60</v>
      </c>
      <c r="M20" s="46">
        <v>0</v>
      </c>
      <c r="N20" s="46">
        <v>3924</v>
      </c>
      <c r="O20" s="98"/>
      <c r="P20" s="23" t="s">
        <v>1406</v>
      </c>
      <c r="Q20" s="24" t="s">
        <v>56</v>
      </c>
      <c r="R20" s="25" t="s">
        <v>30</v>
      </c>
      <c r="S20" s="26">
        <v>142.6</v>
      </c>
      <c r="T20" s="26"/>
      <c r="U20" s="26">
        <v>65.400000000000006</v>
      </c>
      <c r="V20" s="26">
        <f t="shared" si="8"/>
        <v>0</v>
      </c>
      <c r="W20" s="26">
        <f t="shared" si="3"/>
        <v>60</v>
      </c>
      <c r="X20" s="26">
        <f t="shared" si="1"/>
        <v>0</v>
      </c>
      <c r="Y20" s="26">
        <f t="shared" si="4"/>
        <v>3924</v>
      </c>
      <c r="Z20" s="33" t="s">
        <v>15</v>
      </c>
      <c r="AA20" s="36" t="s">
        <v>16</v>
      </c>
      <c r="AB20" s="181">
        <f t="shared" si="5"/>
        <v>142.6</v>
      </c>
      <c r="AC20" s="181">
        <f t="shared" si="2"/>
        <v>9326.0400000000009</v>
      </c>
      <c r="AD20" s="181">
        <v>1.1000000000000001</v>
      </c>
      <c r="AE20" s="181">
        <v>1.1000000000000001</v>
      </c>
      <c r="AF20" s="101" t="str">
        <f t="shared" si="6"/>
        <v/>
      </c>
      <c r="AG20" s="190">
        <v>60</v>
      </c>
      <c r="AH20" s="69">
        <f t="shared" si="7"/>
        <v>142.6</v>
      </c>
    </row>
    <row r="21" spans="1:34" s="69" customFormat="1" ht="39" x14ac:dyDescent="0.3">
      <c r="A21" s="55" t="s">
        <v>58</v>
      </c>
      <c r="B21" s="53" t="s">
        <v>59</v>
      </c>
      <c r="C21" s="54" t="s">
        <v>50</v>
      </c>
      <c r="D21" s="75">
        <v>8459.2999999999993</v>
      </c>
      <c r="E21" s="75"/>
      <c r="F21" s="75"/>
      <c r="G21" s="75"/>
      <c r="H21" s="75">
        <v>20.190000000000001</v>
      </c>
      <c r="I21" s="75">
        <v>170793.27</v>
      </c>
      <c r="J21" s="91" t="s">
        <v>60</v>
      </c>
      <c r="K21" s="73"/>
      <c r="L21" s="46">
        <v>6584</v>
      </c>
      <c r="M21" s="46">
        <v>0</v>
      </c>
      <c r="N21" s="46">
        <v>132930.96</v>
      </c>
      <c r="O21" s="98"/>
      <c r="P21" s="23" t="s">
        <v>1414</v>
      </c>
      <c r="Q21" s="24" t="s">
        <v>59</v>
      </c>
      <c r="R21" s="25" t="s">
        <v>50</v>
      </c>
      <c r="S21" s="26">
        <v>8459.2999999999993</v>
      </c>
      <c r="T21" s="26"/>
      <c r="U21" s="26">
        <v>20.190000000000001</v>
      </c>
      <c r="V21" s="26">
        <f t="shared" si="8"/>
        <v>0</v>
      </c>
      <c r="W21" s="26">
        <f t="shared" si="3"/>
        <v>6584</v>
      </c>
      <c r="X21" s="26">
        <f t="shared" si="1"/>
        <v>0</v>
      </c>
      <c r="Y21" s="26">
        <f t="shared" si="4"/>
        <v>132930.96</v>
      </c>
      <c r="Z21" s="33" t="s">
        <v>15</v>
      </c>
      <c r="AA21" s="36" t="s">
        <v>16</v>
      </c>
      <c r="AB21" s="181">
        <f t="shared" si="5"/>
        <v>8459.2999999999993</v>
      </c>
      <c r="AC21" s="181">
        <f t="shared" si="2"/>
        <v>170793.27</v>
      </c>
      <c r="AD21" s="181">
        <v>1.1000000000000001</v>
      </c>
      <c r="AE21" s="181">
        <v>1.1000000000000001</v>
      </c>
      <c r="AF21" s="101" t="str">
        <f t="shared" si="6"/>
        <v/>
      </c>
      <c r="AG21" s="190">
        <v>6584</v>
      </c>
      <c r="AH21" s="69">
        <f t="shared" si="7"/>
        <v>8459.2999999999993</v>
      </c>
    </row>
    <row r="22" spans="1:34" s="69" customFormat="1" ht="39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>
        <v>2492.81</v>
      </c>
      <c r="I22" s="75">
        <v>3163126.61</v>
      </c>
      <c r="J22" s="91" t="s">
        <v>63</v>
      </c>
      <c r="K22" s="73"/>
      <c r="L22" s="46">
        <v>108</v>
      </c>
      <c r="M22" s="46">
        <v>0</v>
      </c>
      <c r="N22" s="46">
        <v>269223.48</v>
      </c>
      <c r="O22" s="98"/>
      <c r="P22" s="23" t="s">
        <v>1429</v>
      </c>
      <c r="Q22" s="24" t="s">
        <v>62</v>
      </c>
      <c r="R22" s="25" t="s">
        <v>23</v>
      </c>
      <c r="S22" s="26">
        <v>1268.9000000000001</v>
      </c>
      <c r="T22" s="26"/>
      <c r="U22" s="26">
        <v>2492.81</v>
      </c>
      <c r="V22" s="26">
        <f t="shared" si="8"/>
        <v>0</v>
      </c>
      <c r="W22" s="121">
        <f t="shared" si="3"/>
        <v>108</v>
      </c>
      <c r="X22" s="26">
        <f t="shared" si="1"/>
        <v>0</v>
      </c>
      <c r="Y22" s="26">
        <f t="shared" si="4"/>
        <v>269223.48</v>
      </c>
      <c r="Z22" s="33" t="s">
        <v>15</v>
      </c>
      <c r="AA22" s="36" t="s">
        <v>16</v>
      </c>
      <c r="AB22" s="181">
        <f t="shared" si="5"/>
        <v>1268.9000000000001</v>
      </c>
      <c r="AC22" s="181">
        <f t="shared" si="2"/>
        <v>3163126.61</v>
      </c>
      <c r="AD22" s="181">
        <v>1.1000000000000001</v>
      </c>
      <c r="AE22" s="181">
        <v>1.1000000000000001</v>
      </c>
      <c r="AF22" s="101" t="str">
        <f t="shared" si="6"/>
        <v/>
      </c>
      <c r="AG22" s="190">
        <v>108</v>
      </c>
      <c r="AH22" s="69">
        <f t="shared" si="7"/>
        <v>1268.9000000000001</v>
      </c>
    </row>
    <row r="23" spans="1:34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>
        <v>521.17999999999995</v>
      </c>
      <c r="I23" s="75">
        <v>343457.62</v>
      </c>
      <c r="J23" s="91" t="s">
        <v>67</v>
      </c>
      <c r="K23" s="73"/>
      <c r="L23" s="46">
        <v>659</v>
      </c>
      <c r="M23" s="46">
        <v>0</v>
      </c>
      <c r="N23" s="46">
        <v>343457.62</v>
      </c>
      <c r="O23" s="98"/>
      <c r="P23" s="23" t="s">
        <v>1430</v>
      </c>
      <c r="Q23" s="24" t="s">
        <v>65</v>
      </c>
      <c r="R23" s="25" t="s">
        <v>66</v>
      </c>
      <c r="S23" s="26">
        <v>659</v>
      </c>
      <c r="T23" s="26"/>
      <c r="U23" s="26">
        <v>521.17999999999995</v>
      </c>
      <c r="V23" s="127">
        <f t="shared" si="8"/>
        <v>0</v>
      </c>
      <c r="W23" s="127">
        <f t="shared" si="3"/>
        <v>659</v>
      </c>
      <c r="X23" s="127">
        <f t="shared" si="1"/>
        <v>0</v>
      </c>
      <c r="Y23" s="127">
        <f t="shared" si="4"/>
        <v>343457.62</v>
      </c>
      <c r="Z23" s="33" t="s">
        <v>15</v>
      </c>
      <c r="AA23" s="36" t="s">
        <v>16</v>
      </c>
      <c r="AB23" s="181">
        <f t="shared" si="5"/>
        <v>659</v>
      </c>
      <c r="AC23" s="181">
        <f t="shared" si="2"/>
        <v>343457.62</v>
      </c>
      <c r="AD23" s="181">
        <v>1.1000000000000001</v>
      </c>
      <c r="AE23" s="181">
        <v>1.1000000000000001</v>
      </c>
      <c r="AF23" s="101" t="str">
        <f t="shared" si="6"/>
        <v/>
      </c>
      <c r="AG23" s="193">
        <f>561+98</f>
        <v>659</v>
      </c>
      <c r="AH23" s="69">
        <f t="shared" si="7"/>
        <v>659</v>
      </c>
    </row>
    <row r="24" spans="1:34" s="69" customFormat="1" ht="39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>
        <v>289.69</v>
      </c>
      <c r="I24" s="75">
        <v>73378.48</v>
      </c>
      <c r="J24" s="91" t="s">
        <v>70</v>
      </c>
      <c r="K24" s="73"/>
      <c r="L24" s="46">
        <v>250</v>
      </c>
      <c r="M24" s="46">
        <v>0</v>
      </c>
      <c r="N24" s="46">
        <v>72422.5</v>
      </c>
      <c r="O24" s="98"/>
      <c r="P24" s="23" t="s">
        <v>1431</v>
      </c>
      <c r="Q24" s="24" t="s">
        <v>69</v>
      </c>
      <c r="R24" s="25" t="s">
        <v>30</v>
      </c>
      <c r="S24" s="26">
        <v>253.3</v>
      </c>
      <c r="T24" s="26"/>
      <c r="U24" s="26">
        <v>289.69</v>
      </c>
      <c r="V24" s="127">
        <f t="shared" si="8"/>
        <v>0</v>
      </c>
      <c r="W24" s="127">
        <f t="shared" si="3"/>
        <v>250</v>
      </c>
      <c r="X24" s="127">
        <f t="shared" si="1"/>
        <v>0</v>
      </c>
      <c r="Y24" s="127">
        <f t="shared" si="4"/>
        <v>72422.5</v>
      </c>
      <c r="Z24" s="33" t="s">
        <v>15</v>
      </c>
      <c r="AA24" s="36" t="s">
        <v>16</v>
      </c>
      <c r="AB24" s="181">
        <f t="shared" si="5"/>
        <v>253.3</v>
      </c>
      <c r="AC24" s="181">
        <f t="shared" si="2"/>
        <v>73378.48</v>
      </c>
      <c r="AD24" s="181">
        <v>1.1000000000000001</v>
      </c>
      <c r="AE24" s="181">
        <v>1.1000000000000001</v>
      </c>
      <c r="AF24" s="101" t="str">
        <f t="shared" si="6"/>
        <v/>
      </c>
      <c r="AG24" s="190">
        <v>250</v>
      </c>
      <c r="AH24" s="69">
        <f t="shared" si="7"/>
        <v>253.3</v>
      </c>
    </row>
    <row r="25" spans="1:34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>
        <v>3311.45</v>
      </c>
      <c r="I25" s="75">
        <v>264916</v>
      </c>
      <c r="J25" s="91" t="s">
        <v>74</v>
      </c>
      <c r="K25" s="73"/>
      <c r="L25" s="46">
        <v>0</v>
      </c>
      <c r="M25" s="46">
        <v>0</v>
      </c>
      <c r="N25" s="46">
        <v>0</v>
      </c>
      <c r="O25" s="98"/>
      <c r="P25" s="23" t="s">
        <v>1395</v>
      </c>
      <c r="Q25" s="24" t="s">
        <v>72</v>
      </c>
      <c r="R25" s="25" t="s">
        <v>73</v>
      </c>
      <c r="S25" s="26">
        <v>80</v>
      </c>
      <c r="T25" s="26"/>
      <c r="U25" s="26">
        <v>3311.45</v>
      </c>
      <c r="V25" s="26">
        <f t="shared" si="8"/>
        <v>0</v>
      </c>
      <c r="W25" s="26">
        <f t="shared" si="3"/>
        <v>0</v>
      </c>
      <c r="X25" s="26">
        <f t="shared" si="1"/>
        <v>0</v>
      </c>
      <c r="Y25" s="26">
        <f t="shared" si="4"/>
        <v>0</v>
      </c>
      <c r="Z25" s="33" t="s">
        <v>15</v>
      </c>
      <c r="AA25" s="36" t="s">
        <v>16</v>
      </c>
      <c r="AB25" s="181">
        <f t="shared" si="5"/>
        <v>80</v>
      </c>
      <c r="AC25" s="181">
        <f t="shared" si="2"/>
        <v>264916</v>
      </c>
      <c r="AD25" s="181">
        <v>1.1000000000000001</v>
      </c>
      <c r="AE25" s="181">
        <v>1.1000000000000001</v>
      </c>
      <c r="AF25" s="101" t="str">
        <f t="shared" si="6"/>
        <v/>
      </c>
      <c r="AG25" s="190">
        <v>0</v>
      </c>
      <c r="AH25" s="69">
        <f t="shared" si="7"/>
        <v>80</v>
      </c>
    </row>
    <row r="26" spans="1:34" s="69" customFormat="1" ht="33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>
        <v>3082.28</v>
      </c>
      <c r="I26" s="75">
        <v>3939153.84</v>
      </c>
      <c r="J26" s="91" t="s">
        <v>78</v>
      </c>
      <c r="K26" s="73"/>
      <c r="L26" s="46">
        <v>1153</v>
      </c>
      <c r="M26" s="46">
        <v>0</v>
      </c>
      <c r="N26" s="46">
        <v>3553868.84</v>
      </c>
      <c r="O26" s="98"/>
      <c r="P26" s="23" t="s">
        <v>1432</v>
      </c>
      <c r="Q26" s="24" t="s">
        <v>76</v>
      </c>
      <c r="R26" s="25" t="s">
        <v>77</v>
      </c>
      <c r="S26" s="26">
        <v>1278</v>
      </c>
      <c r="T26" s="26"/>
      <c r="U26" s="26">
        <v>3082.28</v>
      </c>
      <c r="V26" s="128">
        <f t="shared" si="8"/>
        <v>0</v>
      </c>
      <c r="W26" s="121">
        <f t="shared" si="3"/>
        <v>1153</v>
      </c>
      <c r="X26" s="26">
        <f t="shared" si="1"/>
        <v>0</v>
      </c>
      <c r="Y26" s="26">
        <f t="shared" si="4"/>
        <v>3553868.84</v>
      </c>
      <c r="Z26" s="33" t="s">
        <v>15</v>
      </c>
      <c r="AA26" s="36" t="s">
        <v>16</v>
      </c>
      <c r="AB26" s="181">
        <f t="shared" si="5"/>
        <v>1278</v>
      </c>
      <c r="AC26" s="181">
        <f t="shared" si="2"/>
        <v>3939153.84</v>
      </c>
      <c r="AD26" s="181">
        <v>1.1000000000000001</v>
      </c>
      <c r="AE26" s="181">
        <v>1.1000000000000001</v>
      </c>
      <c r="AF26" s="101" t="str">
        <f t="shared" si="6"/>
        <v/>
      </c>
      <c r="AG26" s="192">
        <f>1045+108</f>
        <v>1153</v>
      </c>
      <c r="AH26" s="69">
        <f t="shared" si="7"/>
        <v>1278</v>
      </c>
    </row>
    <row r="27" spans="1:34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>
        <v>1200</v>
      </c>
      <c r="I27" s="75">
        <v>36000</v>
      </c>
      <c r="J27" s="91" t="s">
        <v>82</v>
      </c>
      <c r="K27" s="73"/>
      <c r="L27" s="46">
        <v>0</v>
      </c>
      <c r="M27" s="46">
        <v>0</v>
      </c>
      <c r="N27" s="46">
        <v>0</v>
      </c>
      <c r="O27" s="98"/>
      <c r="P27" s="23" t="s">
        <v>1433</v>
      </c>
      <c r="Q27" s="24" t="s">
        <v>80</v>
      </c>
      <c r="R27" s="25" t="s">
        <v>81</v>
      </c>
      <c r="S27" s="26">
        <v>30</v>
      </c>
      <c r="T27" s="26"/>
      <c r="U27" s="26">
        <v>1200</v>
      </c>
      <c r="V27" s="26">
        <f t="shared" si="8"/>
        <v>0</v>
      </c>
      <c r="W27" s="26">
        <f t="shared" si="3"/>
        <v>0</v>
      </c>
      <c r="X27" s="26">
        <f t="shared" si="1"/>
        <v>0</v>
      </c>
      <c r="Y27" s="26">
        <f t="shared" si="4"/>
        <v>0</v>
      </c>
      <c r="Z27" s="33" t="s">
        <v>15</v>
      </c>
      <c r="AA27" s="36" t="s">
        <v>16</v>
      </c>
      <c r="AB27" s="181">
        <f t="shared" si="5"/>
        <v>30</v>
      </c>
      <c r="AC27" s="181">
        <f t="shared" si="2"/>
        <v>36000</v>
      </c>
      <c r="AD27" s="181">
        <v>1.1000000000000001</v>
      </c>
      <c r="AE27" s="181">
        <v>1.1000000000000001</v>
      </c>
      <c r="AF27" s="101" t="str">
        <f t="shared" si="6"/>
        <v/>
      </c>
      <c r="AG27" s="192">
        <v>0</v>
      </c>
      <c r="AH27" s="69">
        <f t="shared" si="7"/>
        <v>30</v>
      </c>
    </row>
    <row r="28" spans="1:34" s="69" customFormat="1" ht="33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>
        <v>3000</v>
      </c>
      <c r="I28" s="75">
        <v>36000</v>
      </c>
      <c r="J28" s="91" t="s">
        <v>85</v>
      </c>
      <c r="K28" s="73"/>
      <c r="L28" s="46">
        <v>12</v>
      </c>
      <c r="M28" s="46">
        <v>0</v>
      </c>
      <c r="N28" s="46">
        <v>36000</v>
      </c>
      <c r="O28" s="98"/>
      <c r="P28" s="23" t="s">
        <v>1382</v>
      </c>
      <c r="Q28" s="24" t="s">
        <v>84</v>
      </c>
      <c r="R28" s="25" t="s">
        <v>81</v>
      </c>
      <c r="S28" s="26">
        <v>12</v>
      </c>
      <c r="T28" s="26"/>
      <c r="U28" s="26">
        <v>3000</v>
      </c>
      <c r="V28" s="127">
        <f t="shared" si="8"/>
        <v>0</v>
      </c>
      <c r="W28" s="127">
        <f t="shared" si="3"/>
        <v>12</v>
      </c>
      <c r="X28" s="127">
        <f t="shared" si="1"/>
        <v>0</v>
      </c>
      <c r="Y28" s="127">
        <f t="shared" si="4"/>
        <v>36000</v>
      </c>
      <c r="Z28" s="33" t="s">
        <v>15</v>
      </c>
      <c r="AA28" s="36" t="s">
        <v>16</v>
      </c>
      <c r="AB28" s="181">
        <f t="shared" si="5"/>
        <v>12</v>
      </c>
      <c r="AC28" s="181">
        <f t="shared" si="2"/>
        <v>36000</v>
      </c>
      <c r="AD28" s="181">
        <v>1.1000000000000001</v>
      </c>
      <c r="AE28" s="181">
        <v>1.1000000000000001</v>
      </c>
      <c r="AF28" s="101" t="str">
        <f t="shared" si="6"/>
        <v/>
      </c>
      <c r="AG28" s="192">
        <v>12</v>
      </c>
      <c r="AH28" s="69">
        <f t="shared" si="7"/>
        <v>12</v>
      </c>
    </row>
    <row r="29" spans="1:34" s="69" customFormat="1" ht="33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>
        <v>3000</v>
      </c>
      <c r="I29" s="75">
        <v>60000</v>
      </c>
      <c r="J29" s="91" t="s">
        <v>88</v>
      </c>
      <c r="K29" s="73"/>
      <c r="L29" s="46">
        <v>20</v>
      </c>
      <c r="M29" s="46">
        <v>0</v>
      </c>
      <c r="N29" s="46">
        <v>60000</v>
      </c>
      <c r="O29" s="98"/>
      <c r="P29" s="23" t="s">
        <v>1434</v>
      </c>
      <c r="Q29" s="24" t="s">
        <v>87</v>
      </c>
      <c r="R29" s="25" t="s">
        <v>81</v>
      </c>
      <c r="S29" s="26">
        <v>20</v>
      </c>
      <c r="T29" s="26"/>
      <c r="U29" s="26">
        <v>3000</v>
      </c>
      <c r="V29" s="127">
        <f t="shared" si="8"/>
        <v>0</v>
      </c>
      <c r="W29" s="127">
        <f t="shared" si="3"/>
        <v>20</v>
      </c>
      <c r="X29" s="127">
        <f t="shared" si="1"/>
        <v>0</v>
      </c>
      <c r="Y29" s="127">
        <f t="shared" si="4"/>
        <v>60000</v>
      </c>
      <c r="Z29" s="33" t="s">
        <v>15</v>
      </c>
      <c r="AA29" s="36" t="s">
        <v>16</v>
      </c>
      <c r="AB29" s="181">
        <f t="shared" si="5"/>
        <v>20</v>
      </c>
      <c r="AC29" s="181">
        <f t="shared" si="2"/>
        <v>60000</v>
      </c>
      <c r="AD29" s="181">
        <v>1.1000000000000001</v>
      </c>
      <c r="AE29" s="181">
        <v>1.1000000000000001</v>
      </c>
      <c r="AF29" s="101" t="str">
        <f t="shared" si="6"/>
        <v/>
      </c>
      <c r="AG29" s="192">
        <v>20</v>
      </c>
      <c r="AH29" s="69">
        <f t="shared" si="7"/>
        <v>20</v>
      </c>
    </row>
    <row r="30" spans="1:34" s="69" customFormat="1" ht="33" x14ac:dyDescent="0.3">
      <c r="A30" s="55" t="s">
        <v>89</v>
      </c>
      <c r="B30" s="53" t="s">
        <v>90</v>
      </c>
      <c r="C30" s="54" t="s">
        <v>81</v>
      </c>
      <c r="D30" s="75">
        <v>19</v>
      </c>
      <c r="E30" s="75"/>
      <c r="F30" s="75"/>
      <c r="G30" s="75"/>
      <c r="H30" s="75">
        <v>3000</v>
      </c>
      <c r="I30" s="75">
        <v>57000</v>
      </c>
      <c r="J30" s="91" t="s">
        <v>91</v>
      </c>
      <c r="K30" s="73"/>
      <c r="L30" s="46">
        <v>1</v>
      </c>
      <c r="M30" s="46">
        <v>0</v>
      </c>
      <c r="N30" s="46">
        <v>3000</v>
      </c>
      <c r="O30" s="98"/>
      <c r="P30" s="23" t="s">
        <v>1388</v>
      </c>
      <c r="Q30" s="24" t="s">
        <v>90</v>
      </c>
      <c r="R30" s="25" t="s">
        <v>81</v>
      </c>
      <c r="S30" s="26">
        <v>19</v>
      </c>
      <c r="T30" s="26"/>
      <c r="U30" s="26">
        <v>3000</v>
      </c>
      <c r="V30" s="26">
        <f t="shared" si="8"/>
        <v>0</v>
      </c>
      <c r="W30" s="26">
        <f t="shared" si="3"/>
        <v>1</v>
      </c>
      <c r="X30" s="26">
        <f t="shared" si="1"/>
        <v>0</v>
      </c>
      <c r="Y30" s="26">
        <f t="shared" si="4"/>
        <v>3000</v>
      </c>
      <c r="Z30" s="33" t="s">
        <v>15</v>
      </c>
      <c r="AA30" s="36" t="s">
        <v>16</v>
      </c>
      <c r="AB30" s="181">
        <f t="shared" si="5"/>
        <v>19</v>
      </c>
      <c r="AC30" s="181">
        <f t="shared" si="2"/>
        <v>57000</v>
      </c>
      <c r="AD30" s="181">
        <v>1.1000000000000001</v>
      </c>
      <c r="AE30" s="181">
        <v>1.1000000000000001</v>
      </c>
      <c r="AF30" s="101" t="str">
        <f t="shared" si="6"/>
        <v/>
      </c>
      <c r="AG30" s="192">
        <v>1</v>
      </c>
      <c r="AH30" s="69">
        <f t="shared" si="7"/>
        <v>19</v>
      </c>
    </row>
    <row r="31" spans="1:34" s="69" customFormat="1" ht="33" x14ac:dyDescent="0.3">
      <c r="A31" s="55" t="s">
        <v>92</v>
      </c>
      <c r="B31" s="53" t="s">
        <v>93</v>
      </c>
      <c r="C31" s="54" t="s">
        <v>14</v>
      </c>
      <c r="D31" s="75">
        <v>1</v>
      </c>
      <c r="E31" s="75"/>
      <c r="F31" s="75"/>
      <c r="G31" s="75"/>
      <c r="H31" s="75">
        <v>400000</v>
      </c>
      <c r="I31" s="75">
        <v>400000</v>
      </c>
      <c r="J31" s="91" t="s">
        <v>94</v>
      </c>
      <c r="K31" s="73"/>
      <c r="L31" s="46">
        <v>0.5</v>
      </c>
      <c r="M31" s="46">
        <v>0</v>
      </c>
      <c r="N31" s="46">
        <v>200000</v>
      </c>
      <c r="O31" s="98"/>
      <c r="P31" s="23" t="s">
        <v>1389</v>
      </c>
      <c r="Q31" s="24" t="s">
        <v>93</v>
      </c>
      <c r="R31" s="25" t="s">
        <v>14</v>
      </c>
      <c r="S31" s="26">
        <v>1</v>
      </c>
      <c r="T31" s="26"/>
      <c r="U31" s="26">
        <v>400000</v>
      </c>
      <c r="V31" s="128">
        <f t="shared" si="8"/>
        <v>0</v>
      </c>
      <c r="W31" s="26">
        <f t="shared" si="3"/>
        <v>0.5</v>
      </c>
      <c r="X31" s="26">
        <f t="shared" si="1"/>
        <v>0</v>
      </c>
      <c r="Y31" s="26">
        <f t="shared" si="4"/>
        <v>200000</v>
      </c>
      <c r="Z31" s="33" t="s">
        <v>15</v>
      </c>
      <c r="AA31" s="36" t="s">
        <v>16</v>
      </c>
      <c r="AB31" s="181">
        <f t="shared" si="5"/>
        <v>1</v>
      </c>
      <c r="AC31" s="181">
        <f t="shared" si="2"/>
        <v>400000</v>
      </c>
      <c r="AD31" s="181">
        <v>1.1000000000000001</v>
      </c>
      <c r="AE31" s="181">
        <v>1.1000000000000001</v>
      </c>
      <c r="AF31" s="101" t="str">
        <f t="shared" si="6"/>
        <v/>
      </c>
      <c r="AG31" s="192">
        <f>0.5</f>
        <v>0.5</v>
      </c>
      <c r="AH31" s="69">
        <f t="shared" si="7"/>
        <v>1</v>
      </c>
    </row>
    <row r="32" spans="1:34" s="69" customFormat="1" ht="39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5">
        <v>280</v>
      </c>
      <c r="I32" s="75">
        <v>8624000</v>
      </c>
      <c r="J32" s="91" t="s">
        <v>98</v>
      </c>
      <c r="K32" s="73"/>
      <c r="L32" s="46">
        <v>11213</v>
      </c>
      <c r="M32" s="46">
        <v>144200</v>
      </c>
      <c r="N32" s="46">
        <v>3139640</v>
      </c>
      <c r="O32" s="98"/>
      <c r="P32" s="23" t="s">
        <v>1390</v>
      </c>
      <c r="Q32" s="24" t="s">
        <v>96</v>
      </c>
      <c r="R32" s="25" t="s">
        <v>97</v>
      </c>
      <c r="S32" s="26">
        <v>30800</v>
      </c>
      <c r="T32" s="26"/>
      <c r="U32" s="26">
        <v>280</v>
      </c>
      <c r="V32" s="128">
        <f t="shared" si="8"/>
        <v>525</v>
      </c>
      <c r="W32" s="26">
        <f t="shared" si="3"/>
        <v>11738</v>
      </c>
      <c r="X32" s="26">
        <f t="shared" si="1"/>
        <v>147000</v>
      </c>
      <c r="Y32" s="26">
        <f t="shared" si="4"/>
        <v>3286640</v>
      </c>
      <c r="Z32" s="33" t="s">
        <v>15</v>
      </c>
      <c r="AA32" s="36" t="s">
        <v>16</v>
      </c>
      <c r="AB32" s="181">
        <f t="shared" si="5"/>
        <v>30800</v>
      </c>
      <c r="AC32" s="181">
        <f t="shared" si="2"/>
        <v>8624000</v>
      </c>
      <c r="AD32" s="181">
        <v>1.1000000000000001</v>
      </c>
      <c r="AE32" s="181">
        <v>1.1000000000000001</v>
      </c>
      <c r="AF32" s="101" t="str">
        <f t="shared" si="6"/>
        <v/>
      </c>
      <c r="AG32" s="193">
        <f>8320+1260+356+762+515+525</f>
        <v>11738</v>
      </c>
      <c r="AH32" s="69">
        <f t="shared" si="7"/>
        <v>30800</v>
      </c>
    </row>
    <row r="33" spans="1:34" s="69" customFormat="1" ht="39" x14ac:dyDescent="0.3">
      <c r="A33" s="66" t="s">
        <v>1302</v>
      </c>
      <c r="B33" s="135" t="s">
        <v>1303</v>
      </c>
      <c r="C33" s="204" t="s">
        <v>50</v>
      </c>
      <c r="D33" s="216"/>
      <c r="E33" s="59">
        <v>2405</v>
      </c>
      <c r="F33" s="59"/>
      <c r="G33" s="59"/>
      <c r="H33" s="58">
        <v>70.23</v>
      </c>
      <c r="I33" s="59">
        <v>168903.15</v>
      </c>
      <c r="J33" s="92"/>
      <c r="K33" s="73"/>
      <c r="L33" s="46">
        <v>2405</v>
      </c>
      <c r="M33" s="46">
        <v>0</v>
      </c>
      <c r="N33" s="46">
        <v>168903.15</v>
      </c>
      <c r="O33" s="98"/>
      <c r="P33" s="23" t="s">
        <v>1391</v>
      </c>
      <c r="Q33" s="24" t="s">
        <v>1435</v>
      </c>
      <c r="R33" s="25" t="s">
        <v>50</v>
      </c>
      <c r="S33" s="26">
        <v>0</v>
      </c>
      <c r="T33" s="26">
        <v>2405</v>
      </c>
      <c r="U33" s="26">
        <v>70.23</v>
      </c>
      <c r="V33" s="127">
        <f t="shared" si="8"/>
        <v>0</v>
      </c>
      <c r="W33" s="127">
        <f t="shared" si="3"/>
        <v>2405</v>
      </c>
      <c r="X33" s="127">
        <f t="shared" si="1"/>
        <v>0</v>
      </c>
      <c r="Y33" s="127">
        <f t="shared" si="4"/>
        <v>168903.15</v>
      </c>
      <c r="Z33" s="27" t="s">
        <v>15</v>
      </c>
      <c r="AA33" s="36" t="s">
        <v>16</v>
      </c>
      <c r="AB33" s="181">
        <f t="shared" si="5"/>
        <v>2405</v>
      </c>
      <c r="AC33" s="181">
        <f t="shared" si="2"/>
        <v>168903.15</v>
      </c>
      <c r="AD33" s="181">
        <v>1.1000000000000001</v>
      </c>
      <c r="AE33" s="181">
        <v>1.1000000000000001</v>
      </c>
      <c r="AF33" s="101" t="str">
        <f t="shared" si="6"/>
        <v/>
      </c>
      <c r="AG33" s="190">
        <v>2405</v>
      </c>
      <c r="AH33" s="69">
        <f t="shared" si="7"/>
        <v>2405</v>
      </c>
    </row>
    <row r="34" spans="1:34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1">
        <v>20000</v>
      </c>
      <c r="I34" s="62">
        <v>3000000</v>
      </c>
      <c r="J34" s="93"/>
      <c r="L34" s="46">
        <v>121</v>
      </c>
      <c r="M34" s="46">
        <v>160000</v>
      </c>
      <c r="N34" s="46">
        <v>2420000</v>
      </c>
      <c r="O34" s="98"/>
      <c r="P34" s="23" t="s">
        <v>1436</v>
      </c>
      <c r="Q34" s="24" t="s">
        <v>1437</v>
      </c>
      <c r="R34" s="25" t="s">
        <v>1358</v>
      </c>
      <c r="S34" s="26">
        <v>0</v>
      </c>
      <c r="T34" s="26">
        <v>150</v>
      </c>
      <c r="U34" s="26">
        <v>20000</v>
      </c>
      <c r="V34" s="128">
        <f t="shared" si="8"/>
        <v>0</v>
      </c>
      <c r="W34" s="26">
        <f t="shared" si="3"/>
        <v>121</v>
      </c>
      <c r="X34" s="26">
        <f t="shared" si="1"/>
        <v>0</v>
      </c>
      <c r="Y34" s="26">
        <f t="shared" si="4"/>
        <v>2420000</v>
      </c>
      <c r="Z34" s="27"/>
      <c r="AA34" s="36" t="s">
        <v>16</v>
      </c>
      <c r="AB34" s="181">
        <f t="shared" si="5"/>
        <v>150</v>
      </c>
      <c r="AC34" s="181">
        <f t="shared" si="2"/>
        <v>3000000</v>
      </c>
      <c r="AD34" s="181">
        <v>1.1000000000000001</v>
      </c>
      <c r="AE34" s="181">
        <v>1.1000000000000001</v>
      </c>
      <c r="AF34" s="101" t="str">
        <f t="shared" si="6"/>
        <v/>
      </c>
      <c r="AG34" s="193">
        <f>100+6+7+8</f>
        <v>121</v>
      </c>
      <c r="AH34" s="69">
        <f t="shared" si="7"/>
        <v>150</v>
      </c>
    </row>
    <row r="35" spans="1:34" ht="42" customHeight="1" x14ac:dyDescent="0.3">
      <c r="A35" s="67" t="s">
        <v>1306</v>
      </c>
      <c r="B35" s="217" t="s">
        <v>1307</v>
      </c>
      <c r="C35" s="204" t="s">
        <v>50</v>
      </c>
      <c r="D35" s="216"/>
      <c r="E35" s="63"/>
      <c r="F35" s="62">
        <v>138.05000000000001</v>
      </c>
      <c r="G35" s="62"/>
      <c r="H35" s="61">
        <v>165.22</v>
      </c>
      <c r="I35" s="62">
        <v>22808.62</v>
      </c>
      <c r="J35" s="93"/>
      <c r="L35" s="46">
        <v>138.05000000000001</v>
      </c>
      <c r="M35" s="46">
        <v>0</v>
      </c>
      <c r="N35" s="46">
        <v>22808.62</v>
      </c>
      <c r="O35" s="98"/>
      <c r="P35" s="23" t="s">
        <v>1374</v>
      </c>
      <c r="Q35" s="24" t="s">
        <v>1375</v>
      </c>
      <c r="R35" s="25" t="s">
        <v>50</v>
      </c>
      <c r="S35" s="26">
        <v>0</v>
      </c>
      <c r="T35" s="26">
        <v>138.05000000000001</v>
      </c>
      <c r="U35" s="26">
        <v>165.22</v>
      </c>
      <c r="V35" s="127">
        <f t="shared" si="8"/>
        <v>0</v>
      </c>
      <c r="W35" s="127">
        <f t="shared" si="3"/>
        <v>138.05000000000001</v>
      </c>
      <c r="X35" s="127">
        <f t="shared" si="1"/>
        <v>0</v>
      </c>
      <c r="Y35" s="127">
        <f t="shared" si="4"/>
        <v>22808.62</v>
      </c>
      <c r="Z35" s="27"/>
      <c r="AA35" s="36" t="s">
        <v>16</v>
      </c>
      <c r="AB35" s="181">
        <f t="shared" si="5"/>
        <v>138.05000000000001</v>
      </c>
      <c r="AC35" s="181">
        <f t="shared" si="2"/>
        <v>22808.62</v>
      </c>
      <c r="AD35" s="181">
        <v>1.1000000000000001</v>
      </c>
      <c r="AE35" s="181">
        <v>1.1000000000000001</v>
      </c>
      <c r="AF35" s="101" t="str">
        <f t="shared" si="6"/>
        <v/>
      </c>
      <c r="AG35" s="190">
        <v>138.05000000000001</v>
      </c>
      <c r="AH35" s="69">
        <f t="shared" si="7"/>
        <v>138.05000000000001</v>
      </c>
    </row>
    <row r="36" spans="1:34" ht="39" x14ac:dyDescent="0.3">
      <c r="A36" s="67" t="s">
        <v>1308</v>
      </c>
      <c r="B36" s="217" t="s">
        <v>1309</v>
      </c>
      <c r="C36" s="204" t="s">
        <v>34</v>
      </c>
      <c r="D36" s="216"/>
      <c r="E36" s="63"/>
      <c r="F36" s="62">
        <v>2000</v>
      </c>
      <c r="G36" s="62"/>
      <c r="H36" s="61">
        <v>100</v>
      </c>
      <c r="I36" s="62">
        <v>200000</v>
      </c>
      <c r="J36" s="93"/>
      <c r="L36" s="46">
        <v>2000</v>
      </c>
      <c r="M36" s="46">
        <v>0</v>
      </c>
      <c r="N36" s="46">
        <v>200000</v>
      </c>
      <c r="O36" s="98"/>
      <c r="P36" s="23" t="s">
        <v>1376</v>
      </c>
      <c r="Q36" s="24" t="s">
        <v>1377</v>
      </c>
      <c r="R36" s="25" t="s">
        <v>34</v>
      </c>
      <c r="S36" s="26">
        <v>0</v>
      </c>
      <c r="T36" s="26">
        <v>2000</v>
      </c>
      <c r="U36" s="26">
        <v>100</v>
      </c>
      <c r="V36" s="127">
        <f t="shared" si="8"/>
        <v>0</v>
      </c>
      <c r="W36" s="127">
        <f t="shared" si="3"/>
        <v>2000</v>
      </c>
      <c r="X36" s="127">
        <f t="shared" si="1"/>
        <v>0</v>
      </c>
      <c r="Y36" s="127">
        <f t="shared" si="4"/>
        <v>200000</v>
      </c>
      <c r="Z36" s="27"/>
      <c r="AA36" s="36" t="s">
        <v>16</v>
      </c>
      <c r="AB36" s="181">
        <f t="shared" si="5"/>
        <v>2000</v>
      </c>
      <c r="AC36" s="181">
        <f t="shared" si="2"/>
        <v>200000</v>
      </c>
      <c r="AD36" s="181">
        <v>1.1000000000000001</v>
      </c>
      <c r="AE36" s="181">
        <v>1.1000000000000001</v>
      </c>
      <c r="AF36" s="101" t="str">
        <f t="shared" si="6"/>
        <v/>
      </c>
      <c r="AG36" s="190">
        <v>2000</v>
      </c>
      <c r="AH36" s="69">
        <f t="shared" si="7"/>
        <v>2000</v>
      </c>
    </row>
    <row r="37" spans="1:34" ht="33" x14ac:dyDescent="0.3">
      <c r="A37" s="67" t="s">
        <v>1310</v>
      </c>
      <c r="B37" s="217" t="s">
        <v>1311</v>
      </c>
      <c r="C37" s="204" t="s">
        <v>50</v>
      </c>
      <c r="D37" s="216"/>
      <c r="E37" s="63"/>
      <c r="F37" s="62">
        <v>3324.02</v>
      </c>
      <c r="G37" s="62"/>
      <c r="H37" s="61">
        <v>33.35</v>
      </c>
      <c r="I37" s="62">
        <v>110856.07</v>
      </c>
      <c r="J37" s="93"/>
      <c r="L37" s="46">
        <v>3324.02</v>
      </c>
      <c r="M37" s="46">
        <v>0</v>
      </c>
      <c r="N37" s="46">
        <v>110856.07</v>
      </c>
      <c r="O37" s="98"/>
      <c r="P37" s="23" t="s">
        <v>1378</v>
      </c>
      <c r="Q37" s="24" t="s">
        <v>1379</v>
      </c>
      <c r="R37" s="25" t="s">
        <v>50</v>
      </c>
      <c r="S37" s="26">
        <v>0</v>
      </c>
      <c r="T37" s="26">
        <v>3324.02</v>
      </c>
      <c r="U37" s="26">
        <v>33.35</v>
      </c>
      <c r="V37" s="127">
        <f t="shared" si="8"/>
        <v>0</v>
      </c>
      <c r="W37" s="127">
        <f t="shared" si="3"/>
        <v>3324.02</v>
      </c>
      <c r="X37" s="127">
        <f t="shared" si="1"/>
        <v>0</v>
      </c>
      <c r="Y37" s="127">
        <f t="shared" si="4"/>
        <v>110856.07</v>
      </c>
      <c r="Z37" s="27"/>
      <c r="AA37" s="36" t="s">
        <v>16</v>
      </c>
      <c r="AB37" s="181">
        <f t="shared" si="5"/>
        <v>3324.02</v>
      </c>
      <c r="AC37" s="181">
        <f t="shared" si="2"/>
        <v>110856.07</v>
      </c>
      <c r="AD37" s="181">
        <v>1.1000000000000001</v>
      </c>
      <c r="AE37" s="181">
        <v>1.1000000000000001</v>
      </c>
      <c r="AF37" s="101" t="str">
        <f t="shared" si="6"/>
        <v/>
      </c>
      <c r="AG37" s="190">
        <v>3324.02</v>
      </c>
      <c r="AH37" s="69">
        <f t="shared" si="7"/>
        <v>3324.02</v>
      </c>
    </row>
    <row r="38" spans="1:34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2"/>
      <c r="I38" s="82">
        <v>42752872.340000004</v>
      </c>
      <c r="J38" s="94" t="s">
        <v>15</v>
      </c>
      <c r="K38" s="73"/>
      <c r="L38" s="45">
        <v>1</v>
      </c>
      <c r="M38" s="45">
        <v>1183513.4500000002</v>
      </c>
      <c r="N38" s="45">
        <v>1361242.3800000001</v>
      </c>
      <c r="O38" s="98"/>
      <c r="P38" s="18" t="s">
        <v>1380</v>
      </c>
      <c r="Q38" s="19" t="s">
        <v>100</v>
      </c>
      <c r="R38" s="20" t="s">
        <v>14</v>
      </c>
      <c r="S38" s="21">
        <v>1</v>
      </c>
      <c r="T38" s="21"/>
      <c r="U38" s="21">
        <f>SUMIFS(AC:AC,AD:AD,AD38)</f>
        <v>42752872.340000033</v>
      </c>
      <c r="V38" s="21">
        <f t="shared" ref="V38:W38" si="9">IF(X38=0,0,1)</f>
        <v>1</v>
      </c>
      <c r="W38" s="21">
        <f t="shared" si="9"/>
        <v>1</v>
      </c>
      <c r="X38" s="21">
        <f>SUMIFS(X:X,AE:AE,AD38)</f>
        <v>859825.12</v>
      </c>
      <c r="Y38" s="21">
        <f>SUMIFS(Y:Y,AE:AE,AD38)</f>
        <v>2221067.5</v>
      </c>
      <c r="Z38" s="22" t="s">
        <v>15</v>
      </c>
      <c r="AA38" s="43" t="s">
        <v>16</v>
      </c>
      <c r="AB38" s="181">
        <f t="shared" si="5"/>
        <v>1</v>
      </c>
      <c r="AC38" s="184"/>
      <c r="AD38" s="181">
        <v>1.2</v>
      </c>
      <c r="AE38" s="181"/>
      <c r="AF38" s="101" t="str">
        <f t="shared" si="6"/>
        <v/>
      </c>
      <c r="AG38" s="190">
        <v>1</v>
      </c>
      <c r="AH38" s="69">
        <f t="shared" si="7"/>
        <v>1</v>
      </c>
    </row>
    <row r="39" spans="1:34" s="69" customFormat="1" ht="39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>
        <v>320.74</v>
      </c>
      <c r="I39" s="75">
        <v>753030.16</v>
      </c>
      <c r="J39" s="91" t="s">
        <v>104</v>
      </c>
      <c r="K39" s="73"/>
      <c r="L39" s="46">
        <v>0</v>
      </c>
      <c r="M39" s="46">
        <v>0</v>
      </c>
      <c r="N39" s="46">
        <v>0</v>
      </c>
      <c r="O39" s="98"/>
      <c r="P39" s="23" t="s">
        <v>1421</v>
      </c>
      <c r="Q39" s="24" t="s">
        <v>102</v>
      </c>
      <c r="R39" s="25" t="s">
        <v>103</v>
      </c>
      <c r="S39" s="26">
        <v>2347.79</v>
      </c>
      <c r="T39" s="26"/>
      <c r="U39" s="26">
        <f t="shared" ref="U39:U102" si="10">H39</f>
        <v>320.74</v>
      </c>
      <c r="V39" s="26">
        <f t="shared" si="8"/>
        <v>0</v>
      </c>
      <c r="W39" s="26">
        <f t="shared" si="3"/>
        <v>0</v>
      </c>
      <c r="X39" s="26">
        <f t="shared" ref="X39:X102" si="11">Y39-N39</f>
        <v>0</v>
      </c>
      <c r="Y39" s="26">
        <f t="shared" si="4"/>
        <v>0</v>
      </c>
      <c r="Z39" s="33" t="s">
        <v>15</v>
      </c>
      <c r="AA39" s="36" t="s">
        <v>16</v>
      </c>
      <c r="AB39" s="181">
        <f t="shared" si="5"/>
        <v>2347.79</v>
      </c>
      <c r="AC39" s="181">
        <f>ROUND(U39*AB39,2)</f>
        <v>753030.16</v>
      </c>
      <c r="AD39" s="181">
        <v>1.2</v>
      </c>
      <c r="AE39" s="181">
        <v>1.2</v>
      </c>
      <c r="AF39" s="101" t="str">
        <f t="shared" si="6"/>
        <v/>
      </c>
      <c r="AG39" s="190">
        <v>0</v>
      </c>
      <c r="AH39" s="69">
        <f t="shared" si="7"/>
        <v>2347.79</v>
      </c>
    </row>
    <row r="40" spans="1:34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>
        <v>346.08</v>
      </c>
      <c r="I40" s="75">
        <v>261553.42</v>
      </c>
      <c r="J40" s="91" t="s">
        <v>107</v>
      </c>
      <c r="K40" s="73"/>
      <c r="L40" s="46">
        <v>0</v>
      </c>
      <c r="M40" s="46">
        <v>0</v>
      </c>
      <c r="N40" s="46">
        <v>0</v>
      </c>
      <c r="O40" s="98"/>
      <c r="P40" s="23" t="s">
        <v>1426</v>
      </c>
      <c r="Q40" s="24" t="s">
        <v>106</v>
      </c>
      <c r="R40" s="25" t="s">
        <v>103</v>
      </c>
      <c r="S40" s="26">
        <v>755.76</v>
      </c>
      <c r="T40" s="26"/>
      <c r="U40" s="26">
        <f t="shared" si="10"/>
        <v>346.08</v>
      </c>
      <c r="V40" s="26">
        <f t="shared" si="8"/>
        <v>0</v>
      </c>
      <c r="W40" s="26">
        <f t="shared" si="3"/>
        <v>0</v>
      </c>
      <c r="X40" s="26">
        <f t="shared" si="11"/>
        <v>0</v>
      </c>
      <c r="Y40" s="26">
        <f t="shared" si="4"/>
        <v>0</v>
      </c>
      <c r="Z40" s="33" t="s">
        <v>15</v>
      </c>
      <c r="AA40" s="36" t="s">
        <v>16</v>
      </c>
      <c r="AB40" s="181">
        <f t="shared" si="5"/>
        <v>755.76</v>
      </c>
      <c r="AC40" s="181">
        <f t="shared" ref="AC40:AC103" si="12">ROUND(U40*AB40,2)</f>
        <v>261553.42</v>
      </c>
      <c r="AD40" s="181">
        <v>1.2</v>
      </c>
      <c r="AE40" s="181">
        <v>1.2</v>
      </c>
      <c r="AF40" s="101" t="str">
        <f t="shared" si="6"/>
        <v/>
      </c>
      <c r="AG40" s="190">
        <v>0</v>
      </c>
      <c r="AH40" s="69">
        <f t="shared" si="7"/>
        <v>755.76</v>
      </c>
    </row>
    <row r="41" spans="1:34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>
        <v>36.4</v>
      </c>
      <c r="I41" s="75">
        <v>1355298.67</v>
      </c>
      <c r="J41" s="91" t="s">
        <v>111</v>
      </c>
      <c r="K41" s="73"/>
      <c r="L41" s="46">
        <v>0</v>
      </c>
      <c r="M41" s="46">
        <v>0</v>
      </c>
      <c r="N41" s="46">
        <v>0</v>
      </c>
      <c r="O41" s="98"/>
      <c r="P41" s="23" t="s">
        <v>1402</v>
      </c>
      <c r="Q41" s="24" t="s">
        <v>109</v>
      </c>
      <c r="R41" s="25" t="s">
        <v>110</v>
      </c>
      <c r="S41" s="26">
        <v>37233.480000000003</v>
      </c>
      <c r="T41" s="26"/>
      <c r="U41" s="26">
        <f t="shared" si="10"/>
        <v>36.4</v>
      </c>
      <c r="V41" s="26">
        <f t="shared" si="8"/>
        <v>0</v>
      </c>
      <c r="W41" s="26">
        <f t="shared" si="3"/>
        <v>0</v>
      </c>
      <c r="X41" s="26">
        <f t="shared" si="11"/>
        <v>0</v>
      </c>
      <c r="Y41" s="26">
        <f t="shared" si="4"/>
        <v>0</v>
      </c>
      <c r="Z41" s="33" t="s">
        <v>15</v>
      </c>
      <c r="AA41" s="36" t="s">
        <v>16</v>
      </c>
      <c r="AB41" s="181">
        <f t="shared" si="5"/>
        <v>37233.480000000003</v>
      </c>
      <c r="AC41" s="181">
        <f t="shared" si="12"/>
        <v>1355298.67</v>
      </c>
      <c r="AD41" s="181">
        <v>1.2</v>
      </c>
      <c r="AE41" s="181">
        <v>1.2</v>
      </c>
      <c r="AF41" s="101" t="str">
        <f t="shared" si="6"/>
        <v/>
      </c>
      <c r="AG41" s="190">
        <v>0</v>
      </c>
      <c r="AH41" s="69">
        <f t="shared" si="7"/>
        <v>37233.480000000003</v>
      </c>
    </row>
    <row r="42" spans="1:34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>
        <v>3115.13</v>
      </c>
      <c r="I42" s="75">
        <v>918901.05</v>
      </c>
      <c r="J42" s="91" t="s">
        <v>114</v>
      </c>
      <c r="K42" s="73"/>
      <c r="L42" s="46">
        <v>0</v>
      </c>
      <c r="M42" s="46">
        <v>0</v>
      </c>
      <c r="N42" s="46">
        <v>0</v>
      </c>
      <c r="O42" s="98"/>
      <c r="P42" s="23" t="s">
        <v>1373</v>
      </c>
      <c r="Q42" s="24" t="s">
        <v>392</v>
      </c>
      <c r="R42" s="25" t="s">
        <v>23</v>
      </c>
      <c r="S42" s="26">
        <v>294.98</v>
      </c>
      <c r="T42" s="26"/>
      <c r="U42" s="26">
        <f t="shared" si="10"/>
        <v>3115.13</v>
      </c>
      <c r="V42" s="26">
        <f t="shared" si="8"/>
        <v>0</v>
      </c>
      <c r="W42" s="26">
        <f t="shared" si="3"/>
        <v>0</v>
      </c>
      <c r="X42" s="26">
        <f t="shared" si="11"/>
        <v>0</v>
      </c>
      <c r="Y42" s="26">
        <f t="shared" si="4"/>
        <v>0</v>
      </c>
      <c r="Z42" s="33" t="s">
        <v>15</v>
      </c>
      <c r="AA42" s="36" t="s">
        <v>16</v>
      </c>
      <c r="AB42" s="181">
        <f t="shared" si="5"/>
        <v>294.98</v>
      </c>
      <c r="AC42" s="181">
        <f t="shared" si="12"/>
        <v>918901.05</v>
      </c>
      <c r="AD42" s="181">
        <v>1.2</v>
      </c>
      <c r="AE42" s="181">
        <v>1.2</v>
      </c>
      <c r="AF42" s="101" t="str">
        <f t="shared" si="6"/>
        <v/>
      </c>
      <c r="AG42" s="190">
        <v>0</v>
      </c>
      <c r="AH42" s="69">
        <f t="shared" si="7"/>
        <v>294.98</v>
      </c>
    </row>
    <row r="43" spans="1:34" s="69" customFormat="1" ht="39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>
        <v>3321.13</v>
      </c>
      <c r="I43" s="75">
        <v>2811934.35</v>
      </c>
      <c r="J43" s="91" t="s">
        <v>117</v>
      </c>
      <c r="K43" s="73"/>
      <c r="L43" s="46">
        <v>0</v>
      </c>
      <c r="M43" s="46">
        <v>0</v>
      </c>
      <c r="N43" s="46">
        <v>0</v>
      </c>
      <c r="O43" s="98"/>
      <c r="P43" s="23" t="s">
        <v>1393</v>
      </c>
      <c r="Q43" s="24" t="s">
        <v>116</v>
      </c>
      <c r="R43" s="25" t="s">
        <v>23</v>
      </c>
      <c r="S43" s="26">
        <v>846.68</v>
      </c>
      <c r="T43" s="26"/>
      <c r="U43" s="26">
        <f t="shared" si="10"/>
        <v>3321.13</v>
      </c>
      <c r="V43" s="26">
        <f t="shared" si="8"/>
        <v>0</v>
      </c>
      <c r="W43" s="26">
        <f t="shared" si="3"/>
        <v>0</v>
      </c>
      <c r="X43" s="26">
        <f t="shared" si="11"/>
        <v>0</v>
      </c>
      <c r="Y43" s="26">
        <f t="shared" si="4"/>
        <v>0</v>
      </c>
      <c r="Z43" s="33" t="s">
        <v>15</v>
      </c>
      <c r="AA43" s="36" t="s">
        <v>16</v>
      </c>
      <c r="AB43" s="181">
        <f t="shared" si="5"/>
        <v>846.68</v>
      </c>
      <c r="AC43" s="181">
        <f t="shared" si="12"/>
        <v>2811934.35</v>
      </c>
      <c r="AD43" s="181">
        <v>1.2</v>
      </c>
      <c r="AE43" s="181">
        <v>1.2</v>
      </c>
      <c r="AF43" s="101" t="str">
        <f t="shared" si="6"/>
        <v/>
      </c>
      <c r="AG43" s="190">
        <v>0</v>
      </c>
      <c r="AH43" s="69">
        <f t="shared" si="7"/>
        <v>846.68</v>
      </c>
    </row>
    <row r="44" spans="1:34" s="69" customFormat="1" ht="41.25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>
        <v>533.64</v>
      </c>
      <c r="I44" s="75">
        <v>1273974.78</v>
      </c>
      <c r="J44" s="91" t="s">
        <v>120</v>
      </c>
      <c r="K44" s="73"/>
      <c r="L44" s="46">
        <v>0</v>
      </c>
      <c r="M44" s="46">
        <v>0</v>
      </c>
      <c r="N44" s="46">
        <v>0</v>
      </c>
      <c r="O44" s="98"/>
      <c r="P44" s="23" t="s">
        <v>1403</v>
      </c>
      <c r="Q44" s="24" t="s">
        <v>119</v>
      </c>
      <c r="R44" s="25" t="s">
        <v>50</v>
      </c>
      <c r="S44" s="26">
        <v>2387.33</v>
      </c>
      <c r="T44" s="26"/>
      <c r="U44" s="26">
        <f t="shared" si="10"/>
        <v>533.64</v>
      </c>
      <c r="V44" s="26">
        <f t="shared" si="8"/>
        <v>0</v>
      </c>
      <c r="W44" s="26">
        <f t="shared" si="3"/>
        <v>0</v>
      </c>
      <c r="X44" s="26">
        <f t="shared" si="11"/>
        <v>0</v>
      </c>
      <c r="Y44" s="26">
        <f t="shared" si="4"/>
        <v>0</v>
      </c>
      <c r="Z44" s="33" t="s">
        <v>15</v>
      </c>
      <c r="AA44" s="36" t="s">
        <v>16</v>
      </c>
      <c r="AB44" s="181">
        <f t="shared" si="5"/>
        <v>2387.33</v>
      </c>
      <c r="AC44" s="181">
        <f t="shared" si="12"/>
        <v>1273974.78</v>
      </c>
      <c r="AD44" s="181">
        <v>1.2</v>
      </c>
      <c r="AE44" s="181">
        <v>1.2</v>
      </c>
      <c r="AF44" s="101" t="str">
        <f t="shared" si="6"/>
        <v/>
      </c>
      <c r="AG44" s="190">
        <v>0</v>
      </c>
      <c r="AH44" s="69">
        <f t="shared" si="7"/>
        <v>2387.33</v>
      </c>
    </row>
    <row r="45" spans="1:34" s="69" customFormat="1" ht="33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>
        <v>1299.8900000000001</v>
      </c>
      <c r="I45" s="75">
        <v>1770710.16</v>
      </c>
      <c r="J45" s="91" t="s">
        <v>123</v>
      </c>
      <c r="K45" s="73"/>
      <c r="L45" s="46">
        <v>0</v>
      </c>
      <c r="M45" s="46">
        <v>0</v>
      </c>
      <c r="N45" s="46">
        <v>0</v>
      </c>
      <c r="O45" s="98"/>
      <c r="P45" s="23" t="s">
        <v>1427</v>
      </c>
      <c r="Q45" s="24" t="s">
        <v>122</v>
      </c>
      <c r="R45" s="25" t="s">
        <v>50</v>
      </c>
      <c r="S45" s="26">
        <v>1362.2</v>
      </c>
      <c r="T45" s="26"/>
      <c r="U45" s="26">
        <f t="shared" si="10"/>
        <v>1299.8900000000001</v>
      </c>
      <c r="V45" s="26">
        <f t="shared" si="8"/>
        <v>0</v>
      </c>
      <c r="W45" s="26">
        <f t="shared" si="3"/>
        <v>0</v>
      </c>
      <c r="X45" s="26">
        <f t="shared" si="11"/>
        <v>0</v>
      </c>
      <c r="Y45" s="26">
        <f t="shared" si="4"/>
        <v>0</v>
      </c>
      <c r="Z45" s="33" t="s">
        <v>15</v>
      </c>
      <c r="AA45" s="36" t="s">
        <v>16</v>
      </c>
      <c r="AB45" s="181">
        <f t="shared" si="5"/>
        <v>1362.2</v>
      </c>
      <c r="AC45" s="181">
        <f t="shared" si="12"/>
        <v>1770710.16</v>
      </c>
      <c r="AD45" s="181">
        <v>1.2</v>
      </c>
      <c r="AE45" s="181">
        <v>1.2</v>
      </c>
      <c r="AF45" s="101" t="str">
        <f t="shared" si="6"/>
        <v/>
      </c>
      <c r="AG45" s="190">
        <v>0</v>
      </c>
      <c r="AH45" s="69">
        <f t="shared" si="7"/>
        <v>1362.2</v>
      </c>
    </row>
    <row r="46" spans="1:34" s="69" customFormat="1" ht="33" x14ac:dyDescent="0.3">
      <c r="A46" s="55" t="s">
        <v>124</v>
      </c>
      <c r="B46" s="53" t="s">
        <v>125</v>
      </c>
      <c r="C46" s="54" t="s">
        <v>110</v>
      </c>
      <c r="D46" s="75">
        <v>4781.5600000000004</v>
      </c>
      <c r="E46" s="75"/>
      <c r="F46" s="75"/>
      <c r="G46" s="75"/>
      <c r="H46" s="75">
        <v>60</v>
      </c>
      <c r="I46" s="75">
        <v>286893.59999999998</v>
      </c>
      <c r="J46" s="91" t="s">
        <v>126</v>
      </c>
      <c r="K46" s="73"/>
      <c r="L46" s="46">
        <v>0</v>
      </c>
      <c r="M46" s="46">
        <v>0</v>
      </c>
      <c r="N46" s="46">
        <v>0</v>
      </c>
      <c r="O46" s="98"/>
      <c r="P46" s="23" t="s">
        <v>1428</v>
      </c>
      <c r="Q46" s="24" t="s">
        <v>125</v>
      </c>
      <c r="R46" s="25" t="s">
        <v>110</v>
      </c>
      <c r="S46" s="26">
        <v>4781.5600000000004</v>
      </c>
      <c r="T46" s="26"/>
      <c r="U46" s="26">
        <f t="shared" si="10"/>
        <v>60</v>
      </c>
      <c r="V46" s="26">
        <f t="shared" si="8"/>
        <v>0</v>
      </c>
      <c r="W46" s="26">
        <f t="shared" si="3"/>
        <v>0</v>
      </c>
      <c r="X46" s="26">
        <f t="shared" si="11"/>
        <v>0</v>
      </c>
      <c r="Y46" s="26">
        <f t="shared" si="4"/>
        <v>0</v>
      </c>
      <c r="Z46" s="33" t="s">
        <v>15</v>
      </c>
      <c r="AA46" s="36" t="s">
        <v>16</v>
      </c>
      <c r="AB46" s="181">
        <f t="shared" si="5"/>
        <v>4781.5600000000004</v>
      </c>
      <c r="AC46" s="181">
        <f t="shared" si="12"/>
        <v>286893.59999999998</v>
      </c>
      <c r="AD46" s="181">
        <v>1.2</v>
      </c>
      <c r="AE46" s="181">
        <v>1.2</v>
      </c>
      <c r="AF46" s="101" t="str">
        <f t="shared" si="6"/>
        <v/>
      </c>
      <c r="AG46" s="190">
        <v>0</v>
      </c>
      <c r="AH46" s="69">
        <f t="shared" si="7"/>
        <v>4781.5600000000004</v>
      </c>
    </row>
    <row r="47" spans="1:34" s="69" customFormat="1" ht="39" x14ac:dyDescent="0.3">
      <c r="A47" s="55" t="s">
        <v>127</v>
      </c>
      <c r="B47" s="53" t="s">
        <v>128</v>
      </c>
      <c r="C47" s="54" t="s">
        <v>110</v>
      </c>
      <c r="D47" s="75">
        <v>4781.5600000000004</v>
      </c>
      <c r="E47" s="75"/>
      <c r="F47" s="75"/>
      <c r="G47" s="75"/>
      <c r="H47" s="75">
        <v>31.9</v>
      </c>
      <c r="I47" s="75">
        <v>152531.76</v>
      </c>
      <c r="J47" s="91" t="s">
        <v>129</v>
      </c>
      <c r="K47" s="73"/>
      <c r="L47" s="46">
        <v>0</v>
      </c>
      <c r="M47" s="46">
        <v>0</v>
      </c>
      <c r="N47" s="46">
        <v>0</v>
      </c>
      <c r="O47" s="98"/>
      <c r="P47" s="23" t="s">
        <v>1387</v>
      </c>
      <c r="Q47" s="24" t="s">
        <v>128</v>
      </c>
      <c r="R47" s="25" t="s">
        <v>110</v>
      </c>
      <c r="S47" s="26">
        <v>4781.5600000000004</v>
      </c>
      <c r="T47" s="26"/>
      <c r="U47" s="26">
        <f t="shared" si="10"/>
        <v>31.9</v>
      </c>
      <c r="V47" s="26">
        <f t="shared" si="8"/>
        <v>0</v>
      </c>
      <c r="W47" s="26">
        <f t="shared" si="3"/>
        <v>0</v>
      </c>
      <c r="X47" s="26">
        <f t="shared" si="11"/>
        <v>0</v>
      </c>
      <c r="Y47" s="26">
        <f t="shared" si="4"/>
        <v>0</v>
      </c>
      <c r="Z47" s="33" t="s">
        <v>15</v>
      </c>
      <c r="AA47" s="36" t="s">
        <v>16</v>
      </c>
      <c r="AB47" s="181">
        <f t="shared" si="5"/>
        <v>4781.5600000000004</v>
      </c>
      <c r="AC47" s="181">
        <f t="shared" si="12"/>
        <v>152531.76</v>
      </c>
      <c r="AD47" s="181">
        <v>1.2</v>
      </c>
      <c r="AE47" s="181">
        <v>1.2</v>
      </c>
      <c r="AF47" s="101" t="str">
        <f t="shared" si="6"/>
        <v/>
      </c>
      <c r="AG47" s="190">
        <v>0</v>
      </c>
      <c r="AH47" s="69">
        <f t="shared" si="7"/>
        <v>4781.5600000000004</v>
      </c>
    </row>
    <row r="48" spans="1:34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>
        <v>107.31</v>
      </c>
      <c r="I48" s="75">
        <v>246905.29</v>
      </c>
      <c r="J48" s="91" t="s">
        <v>132</v>
      </c>
      <c r="K48" s="73"/>
      <c r="L48" s="46">
        <v>0</v>
      </c>
      <c r="M48" s="46">
        <v>0</v>
      </c>
      <c r="N48" s="46">
        <v>0</v>
      </c>
      <c r="O48" s="98"/>
      <c r="P48" s="23" t="s">
        <v>1405</v>
      </c>
      <c r="Q48" s="24" t="s">
        <v>131</v>
      </c>
      <c r="R48" s="25" t="s">
        <v>110</v>
      </c>
      <c r="S48" s="26">
        <v>2300.86</v>
      </c>
      <c r="T48" s="26"/>
      <c r="U48" s="26">
        <f t="shared" si="10"/>
        <v>107.31</v>
      </c>
      <c r="V48" s="26">
        <f t="shared" si="8"/>
        <v>0</v>
      </c>
      <c r="W48" s="26">
        <f t="shared" si="3"/>
        <v>0</v>
      </c>
      <c r="X48" s="26">
        <f t="shared" si="11"/>
        <v>0</v>
      </c>
      <c r="Y48" s="26">
        <f t="shared" si="4"/>
        <v>0</v>
      </c>
      <c r="Z48" s="33" t="s">
        <v>15</v>
      </c>
      <c r="AA48" s="36" t="s">
        <v>16</v>
      </c>
      <c r="AB48" s="181">
        <f t="shared" si="5"/>
        <v>2300.86</v>
      </c>
      <c r="AC48" s="181">
        <f t="shared" si="12"/>
        <v>246905.29</v>
      </c>
      <c r="AD48" s="181">
        <v>1.2</v>
      </c>
      <c r="AE48" s="181">
        <v>1.2</v>
      </c>
      <c r="AF48" s="101" t="str">
        <f t="shared" si="6"/>
        <v/>
      </c>
      <c r="AG48" s="190">
        <v>0</v>
      </c>
      <c r="AH48" s="69">
        <f t="shared" si="7"/>
        <v>2300.86</v>
      </c>
    </row>
    <row r="49" spans="1:34" s="69" customFormat="1" ht="33" x14ac:dyDescent="0.3">
      <c r="A49" s="55" t="s">
        <v>133</v>
      </c>
      <c r="B49" s="215" t="s">
        <v>134</v>
      </c>
      <c r="C49" s="54" t="s">
        <v>50</v>
      </c>
      <c r="D49" s="75">
        <v>5207.01</v>
      </c>
      <c r="E49" s="75"/>
      <c r="F49" s="75"/>
      <c r="G49" s="75"/>
      <c r="H49" s="75">
        <v>2964</v>
      </c>
      <c r="I49" s="75">
        <v>15433577.640000001</v>
      </c>
      <c r="J49" s="137" t="s">
        <v>135</v>
      </c>
      <c r="K49" s="73"/>
      <c r="L49" s="46">
        <v>0</v>
      </c>
      <c r="M49" s="46">
        <v>0</v>
      </c>
      <c r="N49" s="46">
        <v>0</v>
      </c>
      <c r="O49" s="98"/>
      <c r="P49" s="23" t="s">
        <v>1406</v>
      </c>
      <c r="Q49" s="24" t="s">
        <v>134</v>
      </c>
      <c r="R49" s="25" t="s">
        <v>50</v>
      </c>
      <c r="S49" s="26">
        <v>5207.01</v>
      </c>
      <c r="T49" s="26"/>
      <c r="U49" s="26">
        <f t="shared" si="10"/>
        <v>2964</v>
      </c>
      <c r="V49" s="128">
        <f t="shared" si="8"/>
        <v>219</v>
      </c>
      <c r="W49" s="26">
        <f t="shared" si="3"/>
        <v>219</v>
      </c>
      <c r="X49" s="26">
        <f t="shared" si="11"/>
        <v>649116</v>
      </c>
      <c r="Y49" s="26">
        <f t="shared" si="4"/>
        <v>649116</v>
      </c>
      <c r="Z49" s="33" t="s">
        <v>15</v>
      </c>
      <c r="AA49" s="36" t="s">
        <v>16</v>
      </c>
      <c r="AB49" s="181">
        <f t="shared" si="5"/>
        <v>5207.01</v>
      </c>
      <c r="AC49" s="181">
        <f t="shared" si="12"/>
        <v>15433577.640000001</v>
      </c>
      <c r="AD49" s="181">
        <v>1.2</v>
      </c>
      <c r="AE49" s="181">
        <v>1.2</v>
      </c>
      <c r="AF49" s="101" t="str">
        <f t="shared" si="6"/>
        <v/>
      </c>
      <c r="AG49" s="191">
        <f>219</f>
        <v>219</v>
      </c>
      <c r="AH49" s="69">
        <f t="shared" si="7"/>
        <v>5207.01</v>
      </c>
    </row>
    <row r="50" spans="1:34" s="69" customFormat="1" ht="39" x14ac:dyDescent="0.3">
      <c r="A50" s="55" t="s">
        <v>136</v>
      </c>
      <c r="B50" s="53" t="s">
        <v>137</v>
      </c>
      <c r="C50" s="54" t="s">
        <v>50</v>
      </c>
      <c r="D50" s="75">
        <v>693.8</v>
      </c>
      <c r="E50" s="75"/>
      <c r="F50" s="75"/>
      <c r="G50" s="75"/>
      <c r="H50" s="75">
        <v>3961.57</v>
      </c>
      <c r="I50" s="75">
        <v>2748537.27</v>
      </c>
      <c r="J50" s="137" t="s">
        <v>138</v>
      </c>
      <c r="K50" s="73"/>
      <c r="L50" s="46">
        <v>0</v>
      </c>
      <c r="M50" s="46">
        <v>0</v>
      </c>
      <c r="N50" s="46">
        <v>0</v>
      </c>
      <c r="O50" s="98"/>
      <c r="P50" s="23" t="s">
        <v>1414</v>
      </c>
      <c r="Q50" s="24" t="s">
        <v>137</v>
      </c>
      <c r="R50" s="25" t="s">
        <v>50</v>
      </c>
      <c r="S50" s="26">
        <v>693.8</v>
      </c>
      <c r="T50" s="26"/>
      <c r="U50" s="26">
        <f t="shared" si="10"/>
        <v>3961.57</v>
      </c>
      <c r="V50" s="26">
        <f t="shared" si="8"/>
        <v>0</v>
      </c>
      <c r="W50" s="26">
        <f t="shared" si="3"/>
        <v>0</v>
      </c>
      <c r="X50" s="26">
        <f t="shared" si="11"/>
        <v>0</v>
      </c>
      <c r="Y50" s="26">
        <f t="shared" si="4"/>
        <v>0</v>
      </c>
      <c r="Z50" s="33" t="s">
        <v>15</v>
      </c>
      <c r="AA50" s="36" t="s">
        <v>16</v>
      </c>
      <c r="AB50" s="181">
        <f t="shared" si="5"/>
        <v>693.8</v>
      </c>
      <c r="AC50" s="181">
        <f t="shared" si="12"/>
        <v>2748537.27</v>
      </c>
      <c r="AD50" s="181">
        <v>1.2</v>
      </c>
      <c r="AE50" s="181">
        <v>1.2</v>
      </c>
      <c r="AF50" s="101" t="str">
        <f t="shared" si="6"/>
        <v/>
      </c>
      <c r="AG50" s="190">
        <v>0</v>
      </c>
      <c r="AH50" s="69">
        <f t="shared" si="7"/>
        <v>693.8</v>
      </c>
    </row>
    <row r="51" spans="1:34" s="69" customFormat="1" ht="33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>
        <v>3965.81</v>
      </c>
      <c r="I51" s="75">
        <v>1488090.89</v>
      </c>
      <c r="J51" s="137" t="s">
        <v>141</v>
      </c>
      <c r="K51" s="73"/>
      <c r="L51" s="46">
        <v>0</v>
      </c>
      <c r="M51" s="46">
        <v>0</v>
      </c>
      <c r="N51" s="46">
        <v>0</v>
      </c>
      <c r="O51" s="98"/>
      <c r="P51" s="23" t="s">
        <v>1429</v>
      </c>
      <c r="Q51" s="24" t="s">
        <v>140</v>
      </c>
      <c r="R51" s="25" t="s">
        <v>50</v>
      </c>
      <c r="S51" s="26">
        <v>375.23</v>
      </c>
      <c r="T51" s="26"/>
      <c r="U51" s="26">
        <f t="shared" si="10"/>
        <v>3965.81</v>
      </c>
      <c r="V51" s="26">
        <f t="shared" si="8"/>
        <v>0</v>
      </c>
      <c r="W51" s="26">
        <f t="shared" si="3"/>
        <v>0</v>
      </c>
      <c r="X51" s="26">
        <f t="shared" si="11"/>
        <v>0</v>
      </c>
      <c r="Y51" s="26">
        <f t="shared" si="4"/>
        <v>0</v>
      </c>
      <c r="Z51" s="33" t="s">
        <v>15</v>
      </c>
      <c r="AA51" s="36" t="s">
        <v>16</v>
      </c>
      <c r="AB51" s="181">
        <f t="shared" si="5"/>
        <v>375.23</v>
      </c>
      <c r="AC51" s="181">
        <f t="shared" si="12"/>
        <v>1488090.89</v>
      </c>
      <c r="AD51" s="181">
        <v>1.2</v>
      </c>
      <c r="AE51" s="181">
        <v>1.2</v>
      </c>
      <c r="AF51" s="101" t="str">
        <f t="shared" si="6"/>
        <v/>
      </c>
      <c r="AG51" s="190">
        <v>0</v>
      </c>
      <c r="AH51" s="69">
        <f t="shared" si="7"/>
        <v>375.23</v>
      </c>
    </row>
    <row r="52" spans="1:34" s="69" customFormat="1" ht="33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>
        <v>773.88</v>
      </c>
      <c r="I52" s="75">
        <v>26931.02</v>
      </c>
      <c r="J52" s="91" t="s">
        <v>144</v>
      </c>
      <c r="K52" s="73"/>
      <c r="L52" s="46">
        <v>0</v>
      </c>
      <c r="M52" s="46">
        <v>0</v>
      </c>
      <c r="N52" s="46">
        <v>0</v>
      </c>
      <c r="O52" s="98"/>
      <c r="P52" s="23" t="s">
        <v>1430</v>
      </c>
      <c r="Q52" s="24" t="s">
        <v>143</v>
      </c>
      <c r="R52" s="25" t="s">
        <v>50</v>
      </c>
      <c r="S52" s="26">
        <v>34.799999999999997</v>
      </c>
      <c r="T52" s="26"/>
      <c r="U52" s="26">
        <f t="shared" si="10"/>
        <v>773.88</v>
      </c>
      <c r="V52" s="26">
        <f t="shared" si="8"/>
        <v>0</v>
      </c>
      <c r="W52" s="26">
        <f t="shared" si="3"/>
        <v>0</v>
      </c>
      <c r="X52" s="26">
        <f t="shared" si="11"/>
        <v>0</v>
      </c>
      <c r="Y52" s="26">
        <f t="shared" si="4"/>
        <v>0</v>
      </c>
      <c r="Z52" s="33" t="s">
        <v>15</v>
      </c>
      <c r="AA52" s="36" t="s">
        <v>16</v>
      </c>
      <c r="AB52" s="181">
        <f t="shared" si="5"/>
        <v>34.799999999999997</v>
      </c>
      <c r="AC52" s="181">
        <f t="shared" si="12"/>
        <v>26931.02</v>
      </c>
      <c r="AD52" s="181">
        <v>1.2</v>
      </c>
      <c r="AE52" s="181">
        <v>1.2</v>
      </c>
      <c r="AF52" s="101" t="str">
        <f t="shared" si="6"/>
        <v/>
      </c>
      <c r="AG52" s="190">
        <v>0</v>
      </c>
      <c r="AH52" s="69">
        <f t="shared" si="7"/>
        <v>34.799999999999997</v>
      </c>
    </row>
    <row r="53" spans="1:34" s="69" customFormat="1" ht="33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>
        <v>948.4</v>
      </c>
      <c r="I53" s="75">
        <v>11361.83</v>
      </c>
      <c r="J53" s="91" t="s">
        <v>147</v>
      </c>
      <c r="K53" s="73"/>
      <c r="L53" s="46">
        <v>0</v>
      </c>
      <c r="M53" s="46">
        <v>0</v>
      </c>
      <c r="N53" s="46">
        <v>0</v>
      </c>
      <c r="O53" s="98"/>
      <c r="P53" s="23" t="s">
        <v>1431</v>
      </c>
      <c r="Q53" s="24" t="s">
        <v>146</v>
      </c>
      <c r="R53" s="25" t="s">
        <v>50</v>
      </c>
      <c r="S53" s="26">
        <v>11.98</v>
      </c>
      <c r="T53" s="26"/>
      <c r="U53" s="26">
        <f t="shared" si="10"/>
        <v>948.4</v>
      </c>
      <c r="V53" s="26">
        <f t="shared" si="8"/>
        <v>0</v>
      </c>
      <c r="W53" s="26">
        <f t="shared" si="3"/>
        <v>0</v>
      </c>
      <c r="X53" s="26">
        <f t="shared" si="11"/>
        <v>0</v>
      </c>
      <c r="Y53" s="26">
        <f t="shared" si="4"/>
        <v>0</v>
      </c>
      <c r="Z53" s="33" t="s">
        <v>15</v>
      </c>
      <c r="AA53" s="36" t="s">
        <v>16</v>
      </c>
      <c r="AB53" s="181">
        <f t="shared" si="5"/>
        <v>11.98</v>
      </c>
      <c r="AC53" s="181">
        <f t="shared" si="12"/>
        <v>11361.83</v>
      </c>
      <c r="AD53" s="181">
        <v>1.2</v>
      </c>
      <c r="AE53" s="181">
        <v>1.2</v>
      </c>
      <c r="AF53" s="101" t="str">
        <f t="shared" si="6"/>
        <v/>
      </c>
      <c r="AG53" s="190">
        <v>0</v>
      </c>
      <c r="AH53" s="69">
        <f t="shared" si="7"/>
        <v>11.98</v>
      </c>
    </row>
    <row r="54" spans="1:34" s="69" customFormat="1" ht="33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>
        <v>6163.46</v>
      </c>
      <c r="I54" s="75">
        <v>870650.36</v>
      </c>
      <c r="J54" s="91" t="s">
        <v>150</v>
      </c>
      <c r="K54" s="73"/>
      <c r="L54" s="46">
        <v>0</v>
      </c>
      <c r="M54" s="46">
        <v>0</v>
      </c>
      <c r="N54" s="46">
        <v>0</v>
      </c>
      <c r="O54" s="98"/>
      <c r="P54" s="23" t="s">
        <v>1395</v>
      </c>
      <c r="Q54" s="24" t="s">
        <v>149</v>
      </c>
      <c r="R54" s="25" t="s">
        <v>50</v>
      </c>
      <c r="S54" s="26">
        <v>141.26</v>
      </c>
      <c r="T54" s="26"/>
      <c r="U54" s="26">
        <f t="shared" si="10"/>
        <v>6163.46</v>
      </c>
      <c r="V54" s="26">
        <f t="shared" si="8"/>
        <v>0</v>
      </c>
      <c r="W54" s="26">
        <f t="shared" si="3"/>
        <v>0</v>
      </c>
      <c r="X54" s="26">
        <f t="shared" si="11"/>
        <v>0</v>
      </c>
      <c r="Y54" s="26">
        <f t="shared" si="4"/>
        <v>0</v>
      </c>
      <c r="Z54" s="33" t="s">
        <v>15</v>
      </c>
      <c r="AA54" s="36" t="s">
        <v>16</v>
      </c>
      <c r="AB54" s="181">
        <f t="shared" si="5"/>
        <v>141.26</v>
      </c>
      <c r="AC54" s="181">
        <f t="shared" si="12"/>
        <v>870650.36</v>
      </c>
      <c r="AD54" s="181">
        <v>1.2</v>
      </c>
      <c r="AE54" s="181">
        <v>1.2</v>
      </c>
      <c r="AF54" s="101" t="str">
        <f t="shared" si="6"/>
        <v/>
      </c>
      <c r="AG54" s="190">
        <v>0</v>
      </c>
      <c r="AH54" s="69">
        <f t="shared" si="7"/>
        <v>141.26</v>
      </c>
    </row>
    <row r="55" spans="1:34" s="69" customFormat="1" ht="33" x14ac:dyDescent="0.3">
      <c r="A55" s="55" t="s">
        <v>151</v>
      </c>
      <c r="B55" s="53" t="s">
        <v>152</v>
      </c>
      <c r="C55" s="54" t="s">
        <v>81</v>
      </c>
      <c r="D55" s="75">
        <v>1</v>
      </c>
      <c r="E55" s="75"/>
      <c r="F55" s="75"/>
      <c r="G55" s="75"/>
      <c r="H55" s="75">
        <v>169519.61</v>
      </c>
      <c r="I55" s="75">
        <v>169519.61</v>
      </c>
      <c r="J55" s="91" t="s">
        <v>153</v>
      </c>
      <c r="K55" s="73"/>
      <c r="L55" s="46">
        <v>0</v>
      </c>
      <c r="M55" s="46">
        <v>0</v>
      </c>
      <c r="N55" s="46">
        <v>0</v>
      </c>
      <c r="O55" s="98"/>
      <c r="P55" s="23" t="s">
        <v>1432</v>
      </c>
      <c r="Q55" s="24" t="s">
        <v>152</v>
      </c>
      <c r="R55" s="25" t="s">
        <v>81</v>
      </c>
      <c r="S55" s="26">
        <v>1</v>
      </c>
      <c r="T55" s="26"/>
      <c r="U55" s="26">
        <f t="shared" si="10"/>
        <v>169519.61</v>
      </c>
      <c r="V55" s="26">
        <f t="shared" si="8"/>
        <v>0</v>
      </c>
      <c r="W55" s="26">
        <f t="shared" si="3"/>
        <v>0</v>
      </c>
      <c r="X55" s="26">
        <f t="shared" si="11"/>
        <v>0</v>
      </c>
      <c r="Y55" s="26">
        <f t="shared" si="4"/>
        <v>0</v>
      </c>
      <c r="Z55" s="33" t="s">
        <v>15</v>
      </c>
      <c r="AA55" s="36" t="s">
        <v>16</v>
      </c>
      <c r="AB55" s="181">
        <f t="shared" si="5"/>
        <v>1</v>
      </c>
      <c r="AC55" s="181">
        <f t="shared" si="12"/>
        <v>169519.61</v>
      </c>
      <c r="AD55" s="181">
        <v>1.2</v>
      </c>
      <c r="AE55" s="181">
        <v>1.2</v>
      </c>
      <c r="AF55" s="101" t="str">
        <f t="shared" si="6"/>
        <v/>
      </c>
      <c r="AG55" s="190">
        <v>0</v>
      </c>
      <c r="AH55" s="69">
        <f t="shared" si="7"/>
        <v>1</v>
      </c>
    </row>
    <row r="56" spans="1:34" s="69" customFormat="1" ht="33" x14ac:dyDescent="0.3">
      <c r="A56" s="55" t="s">
        <v>154</v>
      </c>
      <c r="B56" s="53" t="s">
        <v>155</v>
      </c>
      <c r="C56" s="54" t="s">
        <v>81</v>
      </c>
      <c r="D56" s="75">
        <v>1</v>
      </c>
      <c r="E56" s="75"/>
      <c r="F56" s="75"/>
      <c r="G56" s="75"/>
      <c r="H56" s="75">
        <v>350211.64</v>
      </c>
      <c r="I56" s="75">
        <v>350211.64</v>
      </c>
      <c r="J56" s="91" t="s">
        <v>156</v>
      </c>
      <c r="K56" s="73"/>
      <c r="L56" s="46">
        <v>0</v>
      </c>
      <c r="M56" s="46">
        <v>0</v>
      </c>
      <c r="N56" s="46">
        <v>0</v>
      </c>
      <c r="O56" s="98"/>
      <c r="P56" s="23" t="s">
        <v>1433</v>
      </c>
      <c r="Q56" s="24" t="s">
        <v>155</v>
      </c>
      <c r="R56" s="25" t="s">
        <v>81</v>
      </c>
      <c r="S56" s="26">
        <v>1</v>
      </c>
      <c r="T56" s="26"/>
      <c r="U56" s="26">
        <f t="shared" si="10"/>
        <v>350211.64</v>
      </c>
      <c r="V56" s="26">
        <f t="shared" si="8"/>
        <v>0</v>
      </c>
      <c r="W56" s="26">
        <f t="shared" si="3"/>
        <v>0</v>
      </c>
      <c r="X56" s="26">
        <f t="shared" si="11"/>
        <v>0</v>
      </c>
      <c r="Y56" s="26">
        <f t="shared" si="4"/>
        <v>0</v>
      </c>
      <c r="Z56" s="33" t="s">
        <v>15</v>
      </c>
      <c r="AA56" s="36" t="s">
        <v>16</v>
      </c>
      <c r="AB56" s="181">
        <f t="shared" si="5"/>
        <v>1</v>
      </c>
      <c r="AC56" s="181">
        <f t="shared" si="12"/>
        <v>350211.64</v>
      </c>
      <c r="AD56" s="181">
        <v>1.2</v>
      </c>
      <c r="AE56" s="181">
        <v>1.2</v>
      </c>
      <c r="AF56" s="101" t="str">
        <f t="shared" si="6"/>
        <v/>
      </c>
      <c r="AG56" s="190">
        <v>0</v>
      </c>
      <c r="AH56" s="69">
        <f t="shared" si="7"/>
        <v>1</v>
      </c>
    </row>
    <row r="57" spans="1:34" s="69" customFormat="1" ht="33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>
        <v>309726.87</v>
      </c>
      <c r="I57" s="75">
        <v>309726.87</v>
      </c>
      <c r="J57" s="91" t="s">
        <v>159</v>
      </c>
      <c r="K57" s="73"/>
      <c r="L57" s="46">
        <v>0</v>
      </c>
      <c r="M57" s="46">
        <v>0</v>
      </c>
      <c r="N57" s="46">
        <v>0</v>
      </c>
      <c r="O57" s="98"/>
      <c r="P57" s="23" t="s">
        <v>1382</v>
      </c>
      <c r="Q57" s="24" t="s">
        <v>158</v>
      </c>
      <c r="R57" s="25" t="s">
        <v>81</v>
      </c>
      <c r="S57" s="26">
        <v>1</v>
      </c>
      <c r="T57" s="26"/>
      <c r="U57" s="26">
        <f t="shared" si="10"/>
        <v>309726.87</v>
      </c>
      <c r="V57" s="26">
        <f t="shared" si="8"/>
        <v>0</v>
      </c>
      <c r="W57" s="26">
        <f t="shared" si="3"/>
        <v>0</v>
      </c>
      <c r="X57" s="26">
        <f t="shared" si="11"/>
        <v>0</v>
      </c>
      <c r="Y57" s="26">
        <f t="shared" si="4"/>
        <v>0</v>
      </c>
      <c r="Z57" s="33" t="s">
        <v>15</v>
      </c>
      <c r="AA57" s="36" t="s">
        <v>16</v>
      </c>
      <c r="AB57" s="181">
        <f t="shared" si="5"/>
        <v>1</v>
      </c>
      <c r="AC57" s="181">
        <f t="shared" si="12"/>
        <v>309726.87</v>
      </c>
      <c r="AD57" s="181">
        <v>1.2</v>
      </c>
      <c r="AE57" s="181">
        <v>1.2</v>
      </c>
      <c r="AF57" s="101" t="str">
        <f t="shared" si="6"/>
        <v/>
      </c>
      <c r="AG57" s="190">
        <v>0</v>
      </c>
      <c r="AH57" s="69">
        <f t="shared" si="7"/>
        <v>1</v>
      </c>
    </row>
    <row r="58" spans="1:34" s="69" customFormat="1" ht="33" x14ac:dyDescent="0.3">
      <c r="A58" s="55" t="s">
        <v>160</v>
      </c>
      <c r="B58" s="53" t="s">
        <v>161</v>
      </c>
      <c r="C58" s="54" t="s">
        <v>162</v>
      </c>
      <c r="D58" s="75">
        <v>19</v>
      </c>
      <c r="E58" s="75"/>
      <c r="F58" s="75"/>
      <c r="G58" s="75"/>
      <c r="H58" s="75">
        <v>1134.56</v>
      </c>
      <c r="I58" s="75">
        <v>21556.639999999999</v>
      </c>
      <c r="J58" s="91" t="s">
        <v>163</v>
      </c>
      <c r="K58" s="73"/>
      <c r="L58" s="46">
        <v>0</v>
      </c>
      <c r="M58" s="46">
        <v>0</v>
      </c>
      <c r="N58" s="46">
        <v>0</v>
      </c>
      <c r="O58" s="98"/>
      <c r="P58" s="23" t="s">
        <v>1434</v>
      </c>
      <c r="Q58" s="24" t="s">
        <v>161</v>
      </c>
      <c r="R58" s="25" t="s">
        <v>162</v>
      </c>
      <c r="S58" s="26">
        <v>19</v>
      </c>
      <c r="T58" s="26"/>
      <c r="U58" s="26">
        <f t="shared" si="10"/>
        <v>1134.56</v>
      </c>
      <c r="V58" s="26">
        <f t="shared" si="8"/>
        <v>0</v>
      </c>
      <c r="W58" s="26">
        <f t="shared" si="3"/>
        <v>0</v>
      </c>
      <c r="X58" s="26">
        <f t="shared" si="11"/>
        <v>0</v>
      </c>
      <c r="Y58" s="26">
        <f t="shared" si="4"/>
        <v>0</v>
      </c>
      <c r="Z58" s="33" t="s">
        <v>15</v>
      </c>
      <c r="AA58" s="36" t="s">
        <v>16</v>
      </c>
      <c r="AB58" s="181">
        <f t="shared" si="5"/>
        <v>19</v>
      </c>
      <c r="AC58" s="181">
        <f t="shared" si="12"/>
        <v>21556.639999999999</v>
      </c>
      <c r="AD58" s="181">
        <v>1.2</v>
      </c>
      <c r="AE58" s="181">
        <v>1.2</v>
      </c>
      <c r="AF58" s="101" t="str">
        <f t="shared" si="6"/>
        <v/>
      </c>
      <c r="AG58" s="190">
        <v>0</v>
      </c>
      <c r="AH58" s="69">
        <f t="shared" si="7"/>
        <v>19</v>
      </c>
    </row>
    <row r="59" spans="1:34" s="69" customFormat="1" ht="39" x14ac:dyDescent="0.3">
      <c r="A59" s="55" t="s">
        <v>164</v>
      </c>
      <c r="B59" s="118" t="s">
        <v>165</v>
      </c>
      <c r="C59" s="54" t="s">
        <v>103</v>
      </c>
      <c r="D59" s="75">
        <v>179.11</v>
      </c>
      <c r="E59" s="75"/>
      <c r="F59" s="75"/>
      <c r="G59" s="75"/>
      <c r="H59" s="120">
        <v>145.21</v>
      </c>
      <c r="I59" s="75">
        <v>26008.560000000001</v>
      </c>
      <c r="J59" s="91" t="s">
        <v>166</v>
      </c>
      <c r="K59" s="73"/>
      <c r="L59" s="46">
        <v>0</v>
      </c>
      <c r="M59" s="46">
        <v>0</v>
      </c>
      <c r="N59" s="46">
        <v>0</v>
      </c>
      <c r="O59" s="98"/>
      <c r="P59" s="23" t="s">
        <v>1388</v>
      </c>
      <c r="Q59" s="24" t="s">
        <v>165</v>
      </c>
      <c r="R59" s="25" t="s">
        <v>103</v>
      </c>
      <c r="S59" s="26">
        <v>179.11</v>
      </c>
      <c r="T59" s="26"/>
      <c r="U59" s="26">
        <f t="shared" si="10"/>
        <v>145.21</v>
      </c>
      <c r="V59" s="26">
        <f t="shared" si="8"/>
        <v>0</v>
      </c>
      <c r="W59" s="26">
        <f t="shared" si="3"/>
        <v>0</v>
      </c>
      <c r="X59" s="26">
        <f t="shared" si="11"/>
        <v>0</v>
      </c>
      <c r="Y59" s="26">
        <f t="shared" si="4"/>
        <v>0</v>
      </c>
      <c r="Z59" s="33" t="s">
        <v>15</v>
      </c>
      <c r="AA59" s="36" t="s">
        <v>16</v>
      </c>
      <c r="AB59" s="181">
        <f t="shared" si="5"/>
        <v>179.11</v>
      </c>
      <c r="AC59" s="181">
        <f t="shared" si="12"/>
        <v>26008.560000000001</v>
      </c>
      <c r="AD59" s="181">
        <v>1.2</v>
      </c>
      <c r="AE59" s="181">
        <v>1.2</v>
      </c>
      <c r="AF59" s="101" t="str">
        <f t="shared" si="6"/>
        <v/>
      </c>
      <c r="AG59" s="190">
        <v>0</v>
      </c>
      <c r="AH59" s="69">
        <f t="shared" si="7"/>
        <v>179.11</v>
      </c>
    </row>
    <row r="60" spans="1:34" s="69" customFormat="1" ht="33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>
        <v>2755.97</v>
      </c>
      <c r="I60" s="75">
        <v>2176665.11</v>
      </c>
      <c r="J60" s="91" t="s">
        <v>169</v>
      </c>
      <c r="K60" s="73"/>
      <c r="L60" s="46">
        <v>0</v>
      </c>
      <c r="M60" s="46">
        <v>0</v>
      </c>
      <c r="N60" s="46">
        <v>0</v>
      </c>
      <c r="O60" s="98"/>
      <c r="P60" s="23" t="s">
        <v>1389</v>
      </c>
      <c r="Q60" s="24" t="s">
        <v>168</v>
      </c>
      <c r="R60" s="25" t="s">
        <v>30</v>
      </c>
      <c r="S60" s="26">
        <v>789.8</v>
      </c>
      <c r="T60" s="26"/>
      <c r="U60" s="26">
        <f t="shared" si="10"/>
        <v>2755.97</v>
      </c>
      <c r="V60" s="26">
        <f t="shared" si="8"/>
        <v>0</v>
      </c>
      <c r="W60" s="26">
        <f t="shared" si="3"/>
        <v>0</v>
      </c>
      <c r="X60" s="26">
        <f t="shared" si="11"/>
        <v>0</v>
      </c>
      <c r="Y60" s="26">
        <f t="shared" si="4"/>
        <v>0</v>
      </c>
      <c r="Z60" s="33" t="s">
        <v>15</v>
      </c>
      <c r="AA60" s="36" t="s">
        <v>16</v>
      </c>
      <c r="AB60" s="181">
        <f t="shared" si="5"/>
        <v>789.8</v>
      </c>
      <c r="AC60" s="181">
        <f t="shared" si="12"/>
        <v>2176665.11</v>
      </c>
      <c r="AD60" s="181">
        <v>1.2</v>
      </c>
      <c r="AE60" s="181">
        <v>1.2</v>
      </c>
      <c r="AF60" s="101" t="str">
        <f t="shared" si="6"/>
        <v/>
      </c>
      <c r="AG60" s="190">
        <v>0</v>
      </c>
      <c r="AH60" s="69">
        <f t="shared" si="7"/>
        <v>789.8</v>
      </c>
    </row>
    <row r="61" spans="1:34" s="69" customFormat="1" ht="33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>
        <v>576.79999999999995</v>
      </c>
      <c r="I61" s="75">
        <v>18053.84</v>
      </c>
      <c r="J61" s="91" t="s">
        <v>172</v>
      </c>
      <c r="K61" s="73"/>
      <c r="L61" s="46">
        <v>0</v>
      </c>
      <c r="M61" s="46">
        <v>0</v>
      </c>
      <c r="N61" s="46">
        <v>0</v>
      </c>
      <c r="O61" s="98"/>
      <c r="P61" s="23" t="s">
        <v>1390</v>
      </c>
      <c r="Q61" s="24" t="s">
        <v>171</v>
      </c>
      <c r="R61" s="25" t="s">
        <v>30</v>
      </c>
      <c r="S61" s="26">
        <v>31.3</v>
      </c>
      <c r="T61" s="26"/>
      <c r="U61" s="26">
        <f t="shared" si="10"/>
        <v>576.79999999999995</v>
      </c>
      <c r="V61" s="26">
        <f t="shared" si="8"/>
        <v>0</v>
      </c>
      <c r="W61" s="26">
        <f t="shared" si="3"/>
        <v>0</v>
      </c>
      <c r="X61" s="26">
        <f t="shared" si="11"/>
        <v>0</v>
      </c>
      <c r="Y61" s="26">
        <f t="shared" si="4"/>
        <v>0</v>
      </c>
      <c r="Z61" s="33" t="s">
        <v>15</v>
      </c>
      <c r="AA61" s="36" t="s">
        <v>16</v>
      </c>
      <c r="AB61" s="181">
        <f t="shared" si="5"/>
        <v>31.3</v>
      </c>
      <c r="AC61" s="181">
        <f t="shared" si="12"/>
        <v>18053.84</v>
      </c>
      <c r="AD61" s="181">
        <v>1.2</v>
      </c>
      <c r="AE61" s="181">
        <v>1.2</v>
      </c>
      <c r="AF61" s="101" t="str">
        <f t="shared" si="6"/>
        <v/>
      </c>
      <c r="AG61" s="190">
        <v>0</v>
      </c>
      <c r="AH61" s="69">
        <f t="shared" si="7"/>
        <v>31.3</v>
      </c>
    </row>
    <row r="62" spans="1:34" s="69" customFormat="1" ht="33" x14ac:dyDescent="0.3">
      <c r="A62" s="55" t="s">
        <v>173</v>
      </c>
      <c r="B62" s="215" t="s">
        <v>174</v>
      </c>
      <c r="C62" s="54" t="s">
        <v>30</v>
      </c>
      <c r="D62" s="75">
        <v>360.35</v>
      </c>
      <c r="E62" s="75"/>
      <c r="F62" s="75"/>
      <c r="G62" s="75"/>
      <c r="H62" s="75">
        <v>615.34</v>
      </c>
      <c r="I62" s="75">
        <v>221737.77</v>
      </c>
      <c r="J62" s="91" t="s">
        <v>175</v>
      </c>
      <c r="K62" s="73"/>
      <c r="L62" s="46">
        <v>0</v>
      </c>
      <c r="M62" s="46">
        <v>0</v>
      </c>
      <c r="N62" s="46">
        <v>0</v>
      </c>
      <c r="O62" s="98"/>
      <c r="P62" s="23" t="s">
        <v>1391</v>
      </c>
      <c r="Q62" s="24" t="s">
        <v>174</v>
      </c>
      <c r="R62" s="25" t="s">
        <v>30</v>
      </c>
      <c r="S62" s="26">
        <v>360.35</v>
      </c>
      <c r="T62" s="26"/>
      <c r="U62" s="26">
        <f t="shared" si="10"/>
        <v>615.34</v>
      </c>
      <c r="V62" s="128">
        <f t="shared" si="8"/>
        <v>102</v>
      </c>
      <c r="W62" s="26">
        <f t="shared" si="3"/>
        <v>102</v>
      </c>
      <c r="X62" s="26">
        <f t="shared" si="11"/>
        <v>62764.68</v>
      </c>
      <c r="Y62" s="26">
        <f t="shared" si="4"/>
        <v>62764.68</v>
      </c>
      <c r="Z62" s="33" t="s">
        <v>15</v>
      </c>
      <c r="AA62" s="36" t="s">
        <v>16</v>
      </c>
      <c r="AB62" s="181">
        <f t="shared" si="5"/>
        <v>360.35</v>
      </c>
      <c r="AC62" s="181">
        <f t="shared" si="12"/>
        <v>221737.77</v>
      </c>
      <c r="AD62" s="181">
        <v>1.2</v>
      </c>
      <c r="AE62" s="181">
        <v>1.2</v>
      </c>
      <c r="AF62" s="101" t="str">
        <f t="shared" si="6"/>
        <v/>
      </c>
      <c r="AG62" s="191">
        <f>102</f>
        <v>102</v>
      </c>
      <c r="AH62" s="69">
        <f t="shared" si="7"/>
        <v>360.35</v>
      </c>
    </row>
    <row r="63" spans="1:34" s="69" customFormat="1" ht="33" x14ac:dyDescent="0.3">
      <c r="A63" s="55" t="s">
        <v>176</v>
      </c>
      <c r="B63" s="215" t="s">
        <v>177</v>
      </c>
      <c r="C63" s="54" t="s">
        <v>30</v>
      </c>
      <c r="D63" s="75">
        <v>691.14</v>
      </c>
      <c r="E63" s="75"/>
      <c r="F63" s="75"/>
      <c r="G63" s="75"/>
      <c r="H63" s="75">
        <v>685.3</v>
      </c>
      <c r="I63" s="75">
        <v>473638.24</v>
      </c>
      <c r="J63" s="91" t="s">
        <v>178</v>
      </c>
      <c r="K63" s="73"/>
      <c r="L63" s="46">
        <v>185</v>
      </c>
      <c r="M63" s="46">
        <v>126780.5</v>
      </c>
      <c r="N63" s="46">
        <v>126780.5</v>
      </c>
      <c r="O63" s="98"/>
      <c r="P63" s="23" t="s">
        <v>1436</v>
      </c>
      <c r="Q63" s="24" t="s">
        <v>177</v>
      </c>
      <c r="R63" s="25" t="s">
        <v>30</v>
      </c>
      <c r="S63" s="26">
        <v>691.14</v>
      </c>
      <c r="T63" s="26"/>
      <c r="U63" s="26">
        <f t="shared" si="10"/>
        <v>685.3</v>
      </c>
      <c r="V63" s="128">
        <f t="shared" si="8"/>
        <v>76</v>
      </c>
      <c r="W63" s="26">
        <f t="shared" si="3"/>
        <v>261</v>
      </c>
      <c r="X63" s="26">
        <f t="shared" si="11"/>
        <v>52082.799999999988</v>
      </c>
      <c r="Y63" s="26">
        <f t="shared" si="4"/>
        <v>178863.3</v>
      </c>
      <c r="Z63" s="33" t="s">
        <v>15</v>
      </c>
      <c r="AA63" s="36" t="s">
        <v>16</v>
      </c>
      <c r="AB63" s="181">
        <f t="shared" si="5"/>
        <v>691.14</v>
      </c>
      <c r="AC63" s="181">
        <f t="shared" si="12"/>
        <v>473638.24</v>
      </c>
      <c r="AD63" s="181">
        <v>1.2</v>
      </c>
      <c r="AE63" s="181">
        <v>1.2</v>
      </c>
      <c r="AF63" s="101" t="str">
        <f t="shared" si="6"/>
        <v/>
      </c>
      <c r="AG63" s="191">
        <f>185+76</f>
        <v>261</v>
      </c>
      <c r="AH63" s="69">
        <f t="shared" si="7"/>
        <v>691.14</v>
      </c>
    </row>
    <row r="64" spans="1:34" s="69" customFormat="1" ht="33" x14ac:dyDescent="0.3">
      <c r="A64" s="55" t="s">
        <v>179</v>
      </c>
      <c r="B64" s="215" t="s">
        <v>180</v>
      </c>
      <c r="C64" s="54" t="s">
        <v>30</v>
      </c>
      <c r="D64" s="75">
        <v>890.62</v>
      </c>
      <c r="E64" s="75"/>
      <c r="F64" s="75"/>
      <c r="G64" s="75"/>
      <c r="H64" s="75">
        <v>699.72</v>
      </c>
      <c r="I64" s="75">
        <v>623184.63</v>
      </c>
      <c r="J64" s="91" t="s">
        <v>181</v>
      </c>
      <c r="K64" s="73"/>
      <c r="L64" s="46">
        <v>32</v>
      </c>
      <c r="M64" s="46">
        <v>0</v>
      </c>
      <c r="N64" s="46">
        <v>22391.040000000001</v>
      </c>
      <c r="O64" s="98"/>
      <c r="P64" s="23" t="s">
        <v>1374</v>
      </c>
      <c r="Q64" s="24" t="s">
        <v>180</v>
      </c>
      <c r="R64" s="25" t="s">
        <v>30</v>
      </c>
      <c r="S64" s="26">
        <v>890.62</v>
      </c>
      <c r="T64" s="26"/>
      <c r="U64" s="26">
        <f t="shared" si="10"/>
        <v>699.72</v>
      </c>
      <c r="V64" s="128">
        <f t="shared" si="8"/>
        <v>137</v>
      </c>
      <c r="W64" s="26">
        <f t="shared" si="3"/>
        <v>169</v>
      </c>
      <c r="X64" s="26">
        <f t="shared" si="11"/>
        <v>95861.639999999985</v>
      </c>
      <c r="Y64" s="26">
        <f t="shared" si="4"/>
        <v>118252.68</v>
      </c>
      <c r="Z64" s="33" t="s">
        <v>15</v>
      </c>
      <c r="AA64" s="36" t="s">
        <v>16</v>
      </c>
      <c r="AB64" s="181">
        <f t="shared" si="5"/>
        <v>890.62</v>
      </c>
      <c r="AC64" s="181">
        <f t="shared" si="12"/>
        <v>623184.63</v>
      </c>
      <c r="AD64" s="181">
        <v>1.2</v>
      </c>
      <c r="AE64" s="181">
        <v>1.2</v>
      </c>
      <c r="AF64" s="101" t="str">
        <f t="shared" si="6"/>
        <v/>
      </c>
      <c r="AG64" s="191">
        <f>32+137</f>
        <v>169</v>
      </c>
      <c r="AH64" s="69">
        <f t="shared" si="7"/>
        <v>890.62</v>
      </c>
    </row>
    <row r="65" spans="1:34" s="69" customFormat="1" ht="33" x14ac:dyDescent="0.3">
      <c r="A65" s="55" t="s">
        <v>182</v>
      </c>
      <c r="B65" s="53" t="s">
        <v>183</v>
      </c>
      <c r="C65" s="54" t="s">
        <v>30</v>
      </c>
      <c r="D65" s="75">
        <v>85.77</v>
      </c>
      <c r="E65" s="75"/>
      <c r="F65" s="75"/>
      <c r="G65" s="75"/>
      <c r="H65" s="75">
        <v>1199.33</v>
      </c>
      <c r="I65" s="75">
        <v>102866.53</v>
      </c>
      <c r="J65" s="91" t="s">
        <v>184</v>
      </c>
      <c r="K65" s="73"/>
      <c r="L65" s="46">
        <v>0</v>
      </c>
      <c r="M65" s="46">
        <v>0</v>
      </c>
      <c r="N65" s="46">
        <v>0</v>
      </c>
      <c r="O65" s="98"/>
      <c r="P65" s="23" t="s">
        <v>1376</v>
      </c>
      <c r="Q65" s="24" t="s">
        <v>183</v>
      </c>
      <c r="R65" s="25" t="s">
        <v>30</v>
      </c>
      <c r="S65" s="26">
        <v>85.77</v>
      </c>
      <c r="T65" s="26"/>
      <c r="U65" s="26">
        <f t="shared" si="10"/>
        <v>1199.33</v>
      </c>
      <c r="V65" s="26">
        <f t="shared" si="8"/>
        <v>0</v>
      </c>
      <c r="W65" s="26">
        <f t="shared" si="3"/>
        <v>0</v>
      </c>
      <c r="X65" s="26">
        <f t="shared" si="11"/>
        <v>0</v>
      </c>
      <c r="Y65" s="26">
        <f t="shared" si="4"/>
        <v>0</v>
      </c>
      <c r="Z65" s="33" t="s">
        <v>15</v>
      </c>
      <c r="AA65" s="36" t="s">
        <v>16</v>
      </c>
      <c r="AB65" s="181">
        <f t="shared" si="5"/>
        <v>85.77</v>
      </c>
      <c r="AC65" s="181">
        <f t="shared" si="12"/>
        <v>102866.53</v>
      </c>
      <c r="AD65" s="181">
        <v>1.2</v>
      </c>
      <c r="AE65" s="181">
        <v>1.2</v>
      </c>
      <c r="AF65" s="101" t="str">
        <f t="shared" si="6"/>
        <v/>
      </c>
      <c r="AG65" s="190">
        <v>0</v>
      </c>
      <c r="AH65" s="69">
        <f t="shared" si="7"/>
        <v>85.77</v>
      </c>
    </row>
    <row r="66" spans="1:34" s="69" customFormat="1" ht="33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>
        <v>57.68</v>
      </c>
      <c r="I66" s="75">
        <v>10833.46</v>
      </c>
      <c r="J66" s="91" t="s">
        <v>187</v>
      </c>
      <c r="K66" s="73"/>
      <c r="L66" s="46">
        <v>0</v>
      </c>
      <c r="M66" s="46">
        <v>0</v>
      </c>
      <c r="N66" s="46">
        <v>0</v>
      </c>
      <c r="O66" s="98"/>
      <c r="P66" s="23" t="s">
        <v>1378</v>
      </c>
      <c r="Q66" s="24" t="s">
        <v>186</v>
      </c>
      <c r="R66" s="25" t="s">
        <v>30</v>
      </c>
      <c r="S66" s="26">
        <v>187.82</v>
      </c>
      <c r="T66" s="26"/>
      <c r="U66" s="26">
        <f t="shared" si="10"/>
        <v>57.68</v>
      </c>
      <c r="V66" s="26">
        <f t="shared" si="8"/>
        <v>0</v>
      </c>
      <c r="W66" s="26">
        <f t="shared" si="3"/>
        <v>0</v>
      </c>
      <c r="X66" s="26">
        <f t="shared" si="11"/>
        <v>0</v>
      </c>
      <c r="Y66" s="26">
        <f t="shared" si="4"/>
        <v>0</v>
      </c>
      <c r="Z66" s="33" t="s">
        <v>15</v>
      </c>
      <c r="AA66" s="36" t="s">
        <v>16</v>
      </c>
      <c r="AB66" s="181">
        <f t="shared" si="5"/>
        <v>187.82</v>
      </c>
      <c r="AC66" s="181">
        <f t="shared" si="12"/>
        <v>10833.46</v>
      </c>
      <c r="AD66" s="181">
        <v>1.2</v>
      </c>
      <c r="AE66" s="181">
        <v>1.2</v>
      </c>
      <c r="AF66" s="101" t="str">
        <f t="shared" si="6"/>
        <v/>
      </c>
      <c r="AG66" s="190">
        <v>0</v>
      </c>
      <c r="AH66" s="69">
        <f t="shared" si="7"/>
        <v>187.82</v>
      </c>
    </row>
    <row r="67" spans="1:34" s="69" customFormat="1" ht="33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>
        <v>138.84</v>
      </c>
      <c r="I67" s="75">
        <v>2611.58</v>
      </c>
      <c r="J67" s="91" t="s">
        <v>190</v>
      </c>
      <c r="K67" s="73"/>
      <c r="L67" s="46">
        <v>0</v>
      </c>
      <c r="M67" s="46">
        <v>0</v>
      </c>
      <c r="N67" s="46">
        <v>0</v>
      </c>
      <c r="O67" s="98"/>
      <c r="P67" s="23" t="s">
        <v>1438</v>
      </c>
      <c r="Q67" s="24" t="s">
        <v>189</v>
      </c>
      <c r="R67" s="25" t="s">
        <v>30</v>
      </c>
      <c r="S67" s="26">
        <v>18.809999999999999</v>
      </c>
      <c r="T67" s="26"/>
      <c r="U67" s="26">
        <f t="shared" si="10"/>
        <v>138.84</v>
      </c>
      <c r="V67" s="26">
        <f t="shared" si="8"/>
        <v>0</v>
      </c>
      <c r="W67" s="26">
        <f t="shared" si="3"/>
        <v>0</v>
      </c>
      <c r="X67" s="26">
        <f t="shared" si="11"/>
        <v>0</v>
      </c>
      <c r="Y67" s="26">
        <f t="shared" si="4"/>
        <v>0</v>
      </c>
      <c r="Z67" s="33" t="s">
        <v>15</v>
      </c>
      <c r="AA67" s="36" t="s">
        <v>16</v>
      </c>
      <c r="AB67" s="181">
        <f t="shared" si="5"/>
        <v>18.809999999999999</v>
      </c>
      <c r="AC67" s="181">
        <f t="shared" si="12"/>
        <v>2611.58</v>
      </c>
      <c r="AD67" s="181">
        <v>1.2</v>
      </c>
      <c r="AE67" s="181">
        <v>1.2</v>
      </c>
      <c r="AF67" s="101" t="str">
        <f t="shared" si="6"/>
        <v/>
      </c>
      <c r="AG67" s="190">
        <v>0</v>
      </c>
      <c r="AH67" s="69">
        <f t="shared" si="7"/>
        <v>18.809999999999999</v>
      </c>
    </row>
    <row r="68" spans="1:34" s="69" customFormat="1" ht="33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>
        <v>2145.42</v>
      </c>
      <c r="I68" s="75">
        <v>43938.2</v>
      </c>
      <c r="J68" s="91" t="s">
        <v>193</v>
      </c>
      <c r="K68" s="73"/>
      <c r="L68" s="46">
        <v>0</v>
      </c>
      <c r="M68" s="46">
        <v>0</v>
      </c>
      <c r="N68" s="46">
        <v>0</v>
      </c>
      <c r="O68" s="98"/>
      <c r="P68" s="23" t="s">
        <v>1439</v>
      </c>
      <c r="Q68" s="24" t="s">
        <v>192</v>
      </c>
      <c r="R68" s="25" t="s">
        <v>50</v>
      </c>
      <c r="S68" s="26">
        <v>20.48</v>
      </c>
      <c r="T68" s="26"/>
      <c r="U68" s="26">
        <f t="shared" si="10"/>
        <v>2145.42</v>
      </c>
      <c r="V68" s="26">
        <f t="shared" si="8"/>
        <v>0</v>
      </c>
      <c r="W68" s="26">
        <f t="shared" si="3"/>
        <v>0</v>
      </c>
      <c r="X68" s="26">
        <f t="shared" si="11"/>
        <v>0</v>
      </c>
      <c r="Y68" s="26">
        <f t="shared" si="4"/>
        <v>0</v>
      </c>
      <c r="Z68" s="33" t="s">
        <v>15</v>
      </c>
      <c r="AA68" s="36" t="s">
        <v>16</v>
      </c>
      <c r="AB68" s="181">
        <f t="shared" si="5"/>
        <v>20.48</v>
      </c>
      <c r="AC68" s="181">
        <f t="shared" si="12"/>
        <v>43938.2</v>
      </c>
      <c r="AD68" s="181">
        <v>1.2</v>
      </c>
      <c r="AE68" s="181">
        <v>1.2</v>
      </c>
      <c r="AF68" s="101" t="str">
        <f t="shared" si="6"/>
        <v/>
      </c>
      <c r="AG68" s="190">
        <v>0</v>
      </c>
      <c r="AH68" s="69">
        <f t="shared" si="7"/>
        <v>20.48</v>
      </c>
    </row>
    <row r="69" spans="1:34" s="69" customFormat="1" ht="33" x14ac:dyDescent="0.3">
      <c r="A69" s="55" t="s">
        <v>194</v>
      </c>
      <c r="B69" s="53" t="s">
        <v>195</v>
      </c>
      <c r="C69" s="54" t="s">
        <v>30</v>
      </c>
      <c r="D69" s="75">
        <v>354.7</v>
      </c>
      <c r="E69" s="75"/>
      <c r="F69" s="75"/>
      <c r="G69" s="75"/>
      <c r="H69" s="75">
        <v>511.4</v>
      </c>
      <c r="I69" s="75">
        <v>181393.58</v>
      </c>
      <c r="J69" s="91" t="s">
        <v>196</v>
      </c>
      <c r="K69" s="73"/>
      <c r="L69" s="46">
        <v>0</v>
      </c>
      <c r="M69" s="46">
        <v>0</v>
      </c>
      <c r="N69" s="46">
        <v>0</v>
      </c>
      <c r="O69" s="98"/>
      <c r="P69" s="23" t="s">
        <v>1440</v>
      </c>
      <c r="Q69" s="24" t="s">
        <v>195</v>
      </c>
      <c r="R69" s="25" t="s">
        <v>30</v>
      </c>
      <c r="S69" s="26">
        <v>354.7</v>
      </c>
      <c r="T69" s="26"/>
      <c r="U69" s="26">
        <f t="shared" si="10"/>
        <v>511.4</v>
      </c>
      <c r="V69" s="26">
        <f t="shared" si="8"/>
        <v>0</v>
      </c>
      <c r="W69" s="26">
        <f t="shared" si="3"/>
        <v>0</v>
      </c>
      <c r="X69" s="26">
        <f t="shared" si="11"/>
        <v>0</v>
      </c>
      <c r="Y69" s="26">
        <f t="shared" si="4"/>
        <v>0</v>
      </c>
      <c r="Z69" s="33" t="s">
        <v>15</v>
      </c>
      <c r="AA69" s="36" t="s">
        <v>16</v>
      </c>
      <c r="AB69" s="181">
        <f t="shared" si="5"/>
        <v>354.7</v>
      </c>
      <c r="AC69" s="181">
        <f t="shared" si="12"/>
        <v>181393.58</v>
      </c>
      <c r="AD69" s="181">
        <v>1.2</v>
      </c>
      <c r="AE69" s="181">
        <v>1.2</v>
      </c>
      <c r="AF69" s="101" t="str">
        <f t="shared" si="6"/>
        <v/>
      </c>
      <c r="AG69" s="190">
        <v>0</v>
      </c>
      <c r="AH69" s="69">
        <f t="shared" si="7"/>
        <v>354.7</v>
      </c>
    </row>
    <row r="70" spans="1:34" s="69" customFormat="1" ht="33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>
        <v>578.86</v>
      </c>
      <c r="I70" s="75">
        <v>25875.040000000001</v>
      </c>
      <c r="J70" s="91" t="s">
        <v>199</v>
      </c>
      <c r="K70" s="73"/>
      <c r="L70" s="46">
        <v>0</v>
      </c>
      <c r="M70" s="46">
        <v>0</v>
      </c>
      <c r="N70" s="46">
        <v>0</v>
      </c>
      <c r="O70" s="98"/>
      <c r="P70" s="23" t="s">
        <v>1441</v>
      </c>
      <c r="Q70" s="24" t="s">
        <v>198</v>
      </c>
      <c r="R70" s="25" t="s">
        <v>30</v>
      </c>
      <c r="S70" s="26">
        <v>44.7</v>
      </c>
      <c r="T70" s="26"/>
      <c r="U70" s="26">
        <f t="shared" si="10"/>
        <v>578.86</v>
      </c>
      <c r="V70" s="26">
        <f t="shared" si="8"/>
        <v>0</v>
      </c>
      <c r="W70" s="26">
        <f t="shared" si="3"/>
        <v>0</v>
      </c>
      <c r="X70" s="26">
        <f t="shared" si="11"/>
        <v>0</v>
      </c>
      <c r="Y70" s="26">
        <f t="shared" si="4"/>
        <v>0</v>
      </c>
      <c r="Z70" s="33" t="s">
        <v>15</v>
      </c>
      <c r="AA70" s="36" t="s">
        <v>16</v>
      </c>
      <c r="AB70" s="181">
        <f t="shared" si="5"/>
        <v>44.7</v>
      </c>
      <c r="AC70" s="181">
        <f t="shared" si="12"/>
        <v>25875.040000000001</v>
      </c>
      <c r="AD70" s="181">
        <v>1.2</v>
      </c>
      <c r="AE70" s="181">
        <v>1.2</v>
      </c>
      <c r="AF70" s="101" t="str">
        <f t="shared" si="6"/>
        <v/>
      </c>
      <c r="AG70" s="190">
        <v>0</v>
      </c>
      <c r="AH70" s="69">
        <f t="shared" si="7"/>
        <v>44.7</v>
      </c>
    </row>
    <row r="71" spans="1:34" s="69" customFormat="1" ht="33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>
        <v>723.06</v>
      </c>
      <c r="I71" s="75">
        <v>22414.86</v>
      </c>
      <c r="J71" s="91" t="s">
        <v>202</v>
      </c>
      <c r="K71" s="73"/>
      <c r="L71" s="46">
        <v>0</v>
      </c>
      <c r="M71" s="46">
        <v>0</v>
      </c>
      <c r="N71" s="46">
        <v>0</v>
      </c>
      <c r="O71" s="98"/>
      <c r="P71" s="23" t="s">
        <v>1442</v>
      </c>
      <c r="Q71" s="24" t="s">
        <v>201</v>
      </c>
      <c r="R71" s="25" t="s">
        <v>30</v>
      </c>
      <c r="S71" s="26">
        <v>31</v>
      </c>
      <c r="T71" s="26"/>
      <c r="U71" s="26">
        <f t="shared" si="10"/>
        <v>723.06</v>
      </c>
      <c r="V71" s="26">
        <f t="shared" si="8"/>
        <v>0</v>
      </c>
      <c r="W71" s="26">
        <f t="shared" si="3"/>
        <v>0</v>
      </c>
      <c r="X71" s="26">
        <f t="shared" si="11"/>
        <v>0</v>
      </c>
      <c r="Y71" s="26">
        <f t="shared" si="4"/>
        <v>0</v>
      </c>
      <c r="Z71" s="33" t="s">
        <v>15</v>
      </c>
      <c r="AA71" s="36" t="s">
        <v>16</v>
      </c>
      <c r="AB71" s="181">
        <f t="shared" si="5"/>
        <v>31</v>
      </c>
      <c r="AC71" s="181">
        <f t="shared" si="12"/>
        <v>22414.86</v>
      </c>
      <c r="AD71" s="181">
        <v>1.2</v>
      </c>
      <c r="AE71" s="181">
        <v>1.2</v>
      </c>
      <c r="AF71" s="101" t="str">
        <f t="shared" si="6"/>
        <v/>
      </c>
      <c r="AG71" s="190">
        <v>0</v>
      </c>
      <c r="AH71" s="69">
        <f t="shared" si="7"/>
        <v>31</v>
      </c>
    </row>
    <row r="72" spans="1:34" s="69" customFormat="1" ht="33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>
        <v>829.15</v>
      </c>
      <c r="I72" s="75">
        <v>15007.62</v>
      </c>
      <c r="J72" s="91" t="s">
        <v>205</v>
      </c>
      <c r="K72" s="73"/>
      <c r="L72" s="46">
        <v>0</v>
      </c>
      <c r="M72" s="46">
        <v>0</v>
      </c>
      <c r="N72" s="46">
        <v>0</v>
      </c>
      <c r="O72" s="98"/>
      <c r="P72" s="23" t="s">
        <v>1443</v>
      </c>
      <c r="Q72" s="24" t="s">
        <v>204</v>
      </c>
      <c r="R72" s="25" t="s">
        <v>30</v>
      </c>
      <c r="S72" s="26">
        <v>18.100000000000001</v>
      </c>
      <c r="T72" s="26"/>
      <c r="U72" s="26">
        <f t="shared" si="10"/>
        <v>829.15</v>
      </c>
      <c r="V72" s="26">
        <f t="shared" si="8"/>
        <v>0</v>
      </c>
      <c r="W72" s="26">
        <f t="shared" si="3"/>
        <v>0</v>
      </c>
      <c r="X72" s="26">
        <f t="shared" si="11"/>
        <v>0</v>
      </c>
      <c r="Y72" s="26">
        <f t="shared" si="4"/>
        <v>0</v>
      </c>
      <c r="Z72" s="33" t="s">
        <v>15</v>
      </c>
      <c r="AA72" s="36" t="s">
        <v>16</v>
      </c>
      <c r="AB72" s="181">
        <f t="shared" si="5"/>
        <v>18.100000000000001</v>
      </c>
      <c r="AC72" s="181">
        <f t="shared" si="12"/>
        <v>15007.62</v>
      </c>
      <c r="AD72" s="181">
        <v>1.2</v>
      </c>
      <c r="AE72" s="181">
        <v>1.2</v>
      </c>
      <c r="AF72" s="101" t="str">
        <f t="shared" si="6"/>
        <v/>
      </c>
      <c r="AG72" s="190">
        <v>0</v>
      </c>
      <c r="AH72" s="69">
        <f t="shared" si="7"/>
        <v>18.100000000000001</v>
      </c>
    </row>
    <row r="73" spans="1:34" s="69" customFormat="1" ht="33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>
        <v>443.93</v>
      </c>
      <c r="I73" s="75">
        <v>80084.97</v>
      </c>
      <c r="J73" s="91" t="s">
        <v>208</v>
      </c>
      <c r="K73" s="73"/>
      <c r="L73" s="46">
        <v>0</v>
      </c>
      <c r="M73" s="46">
        <v>0</v>
      </c>
      <c r="N73" s="46">
        <v>0</v>
      </c>
      <c r="O73" s="98"/>
      <c r="P73" s="23" t="s">
        <v>1444</v>
      </c>
      <c r="Q73" s="24" t="s">
        <v>207</v>
      </c>
      <c r="R73" s="25" t="s">
        <v>30</v>
      </c>
      <c r="S73" s="26">
        <v>180.4</v>
      </c>
      <c r="T73" s="26"/>
      <c r="U73" s="26">
        <f t="shared" si="10"/>
        <v>443.93</v>
      </c>
      <c r="V73" s="26">
        <f t="shared" si="8"/>
        <v>0</v>
      </c>
      <c r="W73" s="26">
        <f t="shared" si="3"/>
        <v>0</v>
      </c>
      <c r="X73" s="26">
        <f t="shared" si="11"/>
        <v>0</v>
      </c>
      <c r="Y73" s="26">
        <f t="shared" si="4"/>
        <v>0</v>
      </c>
      <c r="Z73" s="33" t="s">
        <v>15</v>
      </c>
      <c r="AA73" s="36" t="s">
        <v>16</v>
      </c>
      <c r="AB73" s="181">
        <f t="shared" si="5"/>
        <v>180.4</v>
      </c>
      <c r="AC73" s="181">
        <f t="shared" si="12"/>
        <v>80084.97</v>
      </c>
      <c r="AD73" s="181">
        <v>1.2</v>
      </c>
      <c r="AE73" s="181">
        <v>1.2</v>
      </c>
      <c r="AF73" s="101" t="str">
        <f t="shared" si="6"/>
        <v/>
      </c>
      <c r="AG73" s="190">
        <v>0</v>
      </c>
      <c r="AH73" s="69">
        <f t="shared" si="7"/>
        <v>180.4</v>
      </c>
    </row>
    <row r="74" spans="1:34" s="69" customFormat="1" ht="33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>
        <v>578.86</v>
      </c>
      <c r="I74" s="75">
        <v>14818.82</v>
      </c>
      <c r="J74" s="91" t="s">
        <v>211</v>
      </c>
      <c r="K74" s="73"/>
      <c r="L74" s="46">
        <v>0</v>
      </c>
      <c r="M74" s="46">
        <v>0</v>
      </c>
      <c r="N74" s="46">
        <v>0</v>
      </c>
      <c r="O74" s="98"/>
      <c r="P74" s="23" t="s">
        <v>1408</v>
      </c>
      <c r="Q74" s="24" t="s">
        <v>210</v>
      </c>
      <c r="R74" s="25" t="s">
        <v>30</v>
      </c>
      <c r="S74" s="26">
        <v>25.6</v>
      </c>
      <c r="T74" s="26"/>
      <c r="U74" s="26">
        <f t="shared" si="10"/>
        <v>578.86</v>
      </c>
      <c r="V74" s="26">
        <f t="shared" si="8"/>
        <v>0</v>
      </c>
      <c r="W74" s="26">
        <f t="shared" si="3"/>
        <v>0</v>
      </c>
      <c r="X74" s="26">
        <f t="shared" si="11"/>
        <v>0</v>
      </c>
      <c r="Y74" s="26">
        <f t="shared" si="4"/>
        <v>0</v>
      </c>
      <c r="Z74" s="33" t="s">
        <v>15</v>
      </c>
      <c r="AA74" s="36" t="s">
        <v>16</v>
      </c>
      <c r="AB74" s="181">
        <f t="shared" si="5"/>
        <v>25.6</v>
      </c>
      <c r="AC74" s="181">
        <f t="shared" si="12"/>
        <v>14818.82</v>
      </c>
      <c r="AD74" s="181">
        <v>1.2</v>
      </c>
      <c r="AE74" s="181">
        <v>1.2</v>
      </c>
      <c r="AF74" s="101" t="str">
        <f t="shared" si="6"/>
        <v/>
      </c>
      <c r="AG74" s="190">
        <v>0</v>
      </c>
      <c r="AH74" s="69">
        <f t="shared" si="7"/>
        <v>25.6</v>
      </c>
    </row>
    <row r="75" spans="1:34" s="69" customFormat="1" ht="33" x14ac:dyDescent="0.3">
      <c r="A75" s="55" t="s">
        <v>212</v>
      </c>
      <c r="B75" s="53" t="s">
        <v>213</v>
      </c>
      <c r="C75" s="54" t="s">
        <v>81</v>
      </c>
      <c r="D75" s="75">
        <v>7</v>
      </c>
      <c r="E75" s="75"/>
      <c r="F75" s="75"/>
      <c r="G75" s="75"/>
      <c r="H75" s="75">
        <v>17307.09</v>
      </c>
      <c r="I75" s="75">
        <v>121149.63</v>
      </c>
      <c r="J75" s="91" t="s">
        <v>214</v>
      </c>
      <c r="K75" s="73"/>
      <c r="L75" s="46">
        <v>0</v>
      </c>
      <c r="M75" s="46">
        <v>0</v>
      </c>
      <c r="N75" s="46">
        <v>0</v>
      </c>
      <c r="O75" s="98"/>
      <c r="P75" s="23" t="s">
        <v>1409</v>
      </c>
      <c r="Q75" s="24" t="s">
        <v>213</v>
      </c>
      <c r="R75" s="25" t="s">
        <v>81</v>
      </c>
      <c r="S75" s="26">
        <v>7</v>
      </c>
      <c r="T75" s="26"/>
      <c r="U75" s="26">
        <f t="shared" si="10"/>
        <v>17307.09</v>
      </c>
      <c r="V75" s="26">
        <f t="shared" si="8"/>
        <v>0</v>
      </c>
      <c r="W75" s="26">
        <f t="shared" ref="W75:W132" si="13">V75+L75</f>
        <v>0</v>
      </c>
      <c r="X75" s="26">
        <f t="shared" si="11"/>
        <v>0</v>
      </c>
      <c r="Y75" s="26">
        <f t="shared" ref="Y75:Y138" si="14">ROUND(U75*W75,2)</f>
        <v>0</v>
      </c>
      <c r="Z75" s="33" t="s">
        <v>15</v>
      </c>
      <c r="AA75" s="36" t="s">
        <v>16</v>
      </c>
      <c r="AB75" s="181">
        <f t="shared" ref="AB75:AB138" si="15">IF(T75="",S75,T75)</f>
        <v>7</v>
      </c>
      <c r="AC75" s="181">
        <f t="shared" si="12"/>
        <v>121149.63</v>
      </c>
      <c r="AD75" s="181">
        <v>1.2</v>
      </c>
      <c r="AE75" s="181">
        <v>1.2</v>
      </c>
      <c r="AF75" s="101" t="str">
        <f t="shared" ref="AF75:AF138" si="16">IF(W75&gt;AH75,"超估","")</f>
        <v/>
      </c>
      <c r="AG75" s="190">
        <v>0</v>
      </c>
      <c r="AH75" s="69">
        <f t="shared" ref="AH75:AH138" si="17">IF(G75=0,IF(F75=0,IF(E75=0,D75,E75),F75),G75)</f>
        <v>7</v>
      </c>
    </row>
    <row r="76" spans="1:34" s="69" customFormat="1" ht="33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>
        <v>443.93</v>
      </c>
      <c r="I76" s="75">
        <v>3462.65</v>
      </c>
      <c r="J76" s="91" t="s">
        <v>217</v>
      </c>
      <c r="K76" s="73"/>
      <c r="L76" s="46">
        <v>0</v>
      </c>
      <c r="M76" s="46">
        <v>0</v>
      </c>
      <c r="N76" s="46">
        <v>0</v>
      </c>
      <c r="O76" s="98"/>
      <c r="P76" s="23" t="s">
        <v>1410</v>
      </c>
      <c r="Q76" s="24" t="s">
        <v>216</v>
      </c>
      <c r="R76" s="25" t="s">
        <v>30</v>
      </c>
      <c r="S76" s="26">
        <v>7.8</v>
      </c>
      <c r="T76" s="26"/>
      <c r="U76" s="26">
        <f t="shared" si="10"/>
        <v>443.93</v>
      </c>
      <c r="V76" s="26">
        <f t="shared" ref="V76:V132" si="18">AG76-L76</f>
        <v>0</v>
      </c>
      <c r="W76" s="26">
        <f t="shared" si="13"/>
        <v>0</v>
      </c>
      <c r="X76" s="26">
        <f t="shared" si="11"/>
        <v>0</v>
      </c>
      <c r="Y76" s="26">
        <f t="shared" si="14"/>
        <v>0</v>
      </c>
      <c r="Z76" s="33" t="s">
        <v>15</v>
      </c>
      <c r="AA76" s="36" t="s">
        <v>16</v>
      </c>
      <c r="AB76" s="181">
        <f t="shared" si="15"/>
        <v>7.8</v>
      </c>
      <c r="AC76" s="181">
        <f t="shared" si="12"/>
        <v>3462.65</v>
      </c>
      <c r="AD76" s="181">
        <v>1.2</v>
      </c>
      <c r="AE76" s="181">
        <v>1.2</v>
      </c>
      <c r="AF76" s="101" t="str">
        <f t="shared" si="16"/>
        <v/>
      </c>
      <c r="AG76" s="190">
        <v>0</v>
      </c>
      <c r="AH76" s="69">
        <f t="shared" si="17"/>
        <v>7.8</v>
      </c>
    </row>
    <row r="77" spans="1:34" s="69" customFormat="1" ht="33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>
        <v>13705.7</v>
      </c>
      <c r="I77" s="75">
        <v>27411.4</v>
      </c>
      <c r="J77" s="91" t="s">
        <v>220</v>
      </c>
      <c r="K77" s="73"/>
      <c r="L77" s="46">
        <v>0</v>
      </c>
      <c r="M77" s="46">
        <v>0</v>
      </c>
      <c r="N77" s="46">
        <v>0</v>
      </c>
      <c r="O77" s="98"/>
      <c r="P77" s="23" t="s">
        <v>1411</v>
      </c>
      <c r="Q77" s="24" t="s">
        <v>219</v>
      </c>
      <c r="R77" s="25" t="s">
        <v>81</v>
      </c>
      <c r="S77" s="26">
        <v>2</v>
      </c>
      <c r="T77" s="26"/>
      <c r="U77" s="26">
        <f t="shared" si="10"/>
        <v>13705.7</v>
      </c>
      <c r="V77" s="26">
        <f t="shared" si="18"/>
        <v>0</v>
      </c>
      <c r="W77" s="26">
        <f t="shared" si="13"/>
        <v>0</v>
      </c>
      <c r="X77" s="26">
        <f t="shared" si="11"/>
        <v>0</v>
      </c>
      <c r="Y77" s="26">
        <f t="shared" si="14"/>
        <v>0</v>
      </c>
      <c r="Z77" s="33" t="s">
        <v>15</v>
      </c>
      <c r="AA77" s="36" t="s">
        <v>16</v>
      </c>
      <c r="AB77" s="181">
        <f t="shared" si="15"/>
        <v>2</v>
      </c>
      <c r="AC77" s="181">
        <f t="shared" si="12"/>
        <v>27411.4</v>
      </c>
      <c r="AD77" s="181">
        <v>1.2</v>
      </c>
      <c r="AE77" s="181">
        <v>1.2</v>
      </c>
      <c r="AF77" s="101" t="str">
        <f t="shared" si="16"/>
        <v/>
      </c>
      <c r="AG77" s="190">
        <v>0</v>
      </c>
      <c r="AH77" s="69">
        <f t="shared" si="17"/>
        <v>2</v>
      </c>
    </row>
    <row r="78" spans="1:34" s="69" customFormat="1" ht="33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>
        <v>25126.95</v>
      </c>
      <c r="I78" s="75">
        <v>75380.850000000006</v>
      </c>
      <c r="J78" s="91" t="s">
        <v>223</v>
      </c>
      <c r="K78" s="73"/>
      <c r="L78" s="46">
        <v>0</v>
      </c>
      <c r="M78" s="46">
        <v>0</v>
      </c>
      <c r="N78" s="46">
        <v>0</v>
      </c>
      <c r="O78" s="98"/>
      <c r="P78" s="23" t="s">
        <v>1445</v>
      </c>
      <c r="Q78" s="24" t="s">
        <v>222</v>
      </c>
      <c r="R78" s="25" t="s">
        <v>81</v>
      </c>
      <c r="S78" s="26">
        <v>3</v>
      </c>
      <c r="T78" s="26"/>
      <c r="U78" s="26">
        <f t="shared" si="10"/>
        <v>25126.95</v>
      </c>
      <c r="V78" s="26">
        <f t="shared" si="18"/>
        <v>0</v>
      </c>
      <c r="W78" s="26">
        <f t="shared" si="13"/>
        <v>0</v>
      </c>
      <c r="X78" s="26">
        <f t="shared" si="11"/>
        <v>0</v>
      </c>
      <c r="Y78" s="26">
        <f t="shared" si="14"/>
        <v>0</v>
      </c>
      <c r="Z78" s="33" t="s">
        <v>15</v>
      </c>
      <c r="AA78" s="36" t="s">
        <v>16</v>
      </c>
      <c r="AB78" s="181">
        <f t="shared" si="15"/>
        <v>3</v>
      </c>
      <c r="AC78" s="181">
        <f t="shared" si="12"/>
        <v>75380.850000000006</v>
      </c>
      <c r="AD78" s="181">
        <v>1.2</v>
      </c>
      <c r="AE78" s="181">
        <v>1.2</v>
      </c>
      <c r="AF78" s="101" t="str">
        <f t="shared" si="16"/>
        <v/>
      </c>
      <c r="AG78" s="190">
        <v>0</v>
      </c>
      <c r="AH78" s="69">
        <f t="shared" si="17"/>
        <v>3</v>
      </c>
    </row>
    <row r="79" spans="1:34" s="69" customFormat="1" ht="33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>
        <v>2901.57</v>
      </c>
      <c r="I79" s="75">
        <v>52228.26</v>
      </c>
      <c r="J79" s="91" t="s">
        <v>226</v>
      </c>
      <c r="K79" s="73"/>
      <c r="L79" s="46">
        <v>0</v>
      </c>
      <c r="M79" s="46">
        <v>0</v>
      </c>
      <c r="N79" s="46">
        <v>0</v>
      </c>
      <c r="O79" s="98"/>
      <c r="P79" s="23" t="s">
        <v>1383</v>
      </c>
      <c r="Q79" s="24" t="s">
        <v>225</v>
      </c>
      <c r="R79" s="25" t="s">
        <v>30</v>
      </c>
      <c r="S79" s="26">
        <v>18</v>
      </c>
      <c r="T79" s="26"/>
      <c r="U79" s="26">
        <f t="shared" si="10"/>
        <v>2901.57</v>
      </c>
      <c r="V79" s="26">
        <f t="shared" si="18"/>
        <v>0</v>
      </c>
      <c r="W79" s="26">
        <f t="shared" si="13"/>
        <v>0</v>
      </c>
      <c r="X79" s="26">
        <f t="shared" si="11"/>
        <v>0</v>
      </c>
      <c r="Y79" s="26">
        <f t="shared" si="14"/>
        <v>0</v>
      </c>
      <c r="Z79" s="33" t="s">
        <v>15</v>
      </c>
      <c r="AA79" s="36" t="s">
        <v>16</v>
      </c>
      <c r="AB79" s="181">
        <f t="shared" si="15"/>
        <v>18</v>
      </c>
      <c r="AC79" s="181">
        <f t="shared" si="12"/>
        <v>52228.26</v>
      </c>
      <c r="AD79" s="181">
        <v>1.2</v>
      </c>
      <c r="AE79" s="181">
        <v>1.2</v>
      </c>
      <c r="AF79" s="101" t="str">
        <f t="shared" si="16"/>
        <v/>
      </c>
      <c r="AG79" s="190">
        <v>0</v>
      </c>
      <c r="AH79" s="69">
        <f t="shared" si="17"/>
        <v>18</v>
      </c>
    </row>
    <row r="80" spans="1:34" s="69" customFormat="1" ht="33" x14ac:dyDescent="0.3">
      <c r="A80" s="55" t="s">
        <v>227</v>
      </c>
      <c r="B80" s="53" t="s">
        <v>228</v>
      </c>
      <c r="C80" s="54" t="s">
        <v>30</v>
      </c>
      <c r="D80" s="75">
        <v>17.100000000000001</v>
      </c>
      <c r="E80" s="75"/>
      <c r="F80" s="75"/>
      <c r="G80" s="75"/>
      <c r="H80" s="75">
        <v>1762.96</v>
      </c>
      <c r="I80" s="75">
        <v>30146.62</v>
      </c>
      <c r="J80" s="91" t="s">
        <v>229</v>
      </c>
      <c r="K80" s="73"/>
      <c r="L80" s="46">
        <v>0</v>
      </c>
      <c r="M80" s="46">
        <v>0</v>
      </c>
      <c r="N80" s="46">
        <v>0</v>
      </c>
      <c r="O80" s="98"/>
      <c r="P80" s="23" t="s">
        <v>1384</v>
      </c>
      <c r="Q80" s="24" t="s">
        <v>228</v>
      </c>
      <c r="R80" s="25" t="s">
        <v>30</v>
      </c>
      <c r="S80" s="26">
        <v>17.100000000000001</v>
      </c>
      <c r="T80" s="26"/>
      <c r="U80" s="26">
        <f t="shared" si="10"/>
        <v>1762.96</v>
      </c>
      <c r="V80" s="26">
        <f t="shared" si="18"/>
        <v>0</v>
      </c>
      <c r="W80" s="26">
        <f t="shared" si="13"/>
        <v>0</v>
      </c>
      <c r="X80" s="26">
        <f t="shared" si="11"/>
        <v>0</v>
      </c>
      <c r="Y80" s="26">
        <f t="shared" si="14"/>
        <v>0</v>
      </c>
      <c r="Z80" s="33" t="s">
        <v>15</v>
      </c>
      <c r="AA80" s="36" t="s">
        <v>16</v>
      </c>
      <c r="AB80" s="181">
        <f t="shared" si="15"/>
        <v>17.100000000000001</v>
      </c>
      <c r="AC80" s="181">
        <f t="shared" si="12"/>
        <v>30146.62</v>
      </c>
      <c r="AD80" s="181">
        <v>1.2</v>
      </c>
      <c r="AE80" s="181">
        <v>1.2</v>
      </c>
      <c r="AF80" s="101" t="str">
        <f t="shared" si="16"/>
        <v/>
      </c>
      <c r="AG80" s="190">
        <v>0</v>
      </c>
      <c r="AH80" s="69">
        <f t="shared" si="17"/>
        <v>17.100000000000001</v>
      </c>
    </row>
    <row r="81" spans="1:34" s="69" customFormat="1" ht="33" x14ac:dyDescent="0.3">
      <c r="A81" s="55" t="s">
        <v>230</v>
      </c>
      <c r="B81" s="53" t="s">
        <v>231</v>
      </c>
      <c r="C81" s="54" t="s">
        <v>30</v>
      </c>
      <c r="D81" s="75">
        <v>77.400000000000006</v>
      </c>
      <c r="E81" s="75"/>
      <c r="F81" s="75"/>
      <c r="G81" s="75"/>
      <c r="H81" s="75">
        <v>1224.3</v>
      </c>
      <c r="I81" s="75">
        <v>94760.82</v>
      </c>
      <c r="J81" s="91" t="s">
        <v>232</v>
      </c>
      <c r="K81" s="73"/>
      <c r="L81" s="46">
        <v>0</v>
      </c>
      <c r="M81" s="46">
        <v>0</v>
      </c>
      <c r="N81" s="46">
        <v>0</v>
      </c>
      <c r="O81" s="98"/>
      <c r="P81" s="23" t="s">
        <v>1385</v>
      </c>
      <c r="Q81" s="24" t="s">
        <v>231</v>
      </c>
      <c r="R81" s="25" t="s">
        <v>30</v>
      </c>
      <c r="S81" s="26">
        <v>77.400000000000006</v>
      </c>
      <c r="T81" s="26"/>
      <c r="U81" s="26">
        <f t="shared" si="10"/>
        <v>1224.3</v>
      </c>
      <c r="V81" s="26">
        <f t="shared" si="18"/>
        <v>0</v>
      </c>
      <c r="W81" s="26">
        <f t="shared" si="13"/>
        <v>0</v>
      </c>
      <c r="X81" s="26">
        <f t="shared" si="11"/>
        <v>0</v>
      </c>
      <c r="Y81" s="26">
        <f t="shared" si="14"/>
        <v>0</v>
      </c>
      <c r="Z81" s="33" t="s">
        <v>15</v>
      </c>
      <c r="AA81" s="36" t="s">
        <v>16</v>
      </c>
      <c r="AB81" s="181">
        <f t="shared" si="15"/>
        <v>77.400000000000006</v>
      </c>
      <c r="AC81" s="181">
        <f t="shared" si="12"/>
        <v>94760.82</v>
      </c>
      <c r="AD81" s="181">
        <v>1.2</v>
      </c>
      <c r="AE81" s="181">
        <v>1.2</v>
      </c>
      <c r="AF81" s="101" t="str">
        <f t="shared" si="16"/>
        <v/>
      </c>
      <c r="AG81" s="190">
        <v>0</v>
      </c>
      <c r="AH81" s="69">
        <f t="shared" si="17"/>
        <v>77.400000000000006</v>
      </c>
    </row>
    <row r="82" spans="1:34" s="69" customFormat="1" ht="33" x14ac:dyDescent="0.3">
      <c r="A82" s="55" t="s">
        <v>233</v>
      </c>
      <c r="B82" s="53" t="s">
        <v>234</v>
      </c>
      <c r="C82" s="54" t="s">
        <v>30</v>
      </c>
      <c r="D82" s="75">
        <v>32.5</v>
      </c>
      <c r="E82" s="75"/>
      <c r="F82" s="75"/>
      <c r="G82" s="75"/>
      <c r="H82" s="75">
        <v>1148.7</v>
      </c>
      <c r="I82" s="75">
        <v>37332.75</v>
      </c>
      <c r="J82" s="91" t="s">
        <v>235</v>
      </c>
      <c r="K82" s="73"/>
      <c r="L82" s="46">
        <v>0</v>
      </c>
      <c r="M82" s="46">
        <v>0</v>
      </c>
      <c r="N82" s="46">
        <v>0</v>
      </c>
      <c r="O82" s="98"/>
      <c r="P82" s="23" t="s">
        <v>1446</v>
      </c>
      <c r="Q82" s="24" t="s">
        <v>234</v>
      </c>
      <c r="R82" s="25" t="s">
        <v>30</v>
      </c>
      <c r="S82" s="26">
        <v>32.5</v>
      </c>
      <c r="T82" s="26"/>
      <c r="U82" s="26">
        <f t="shared" si="10"/>
        <v>1148.7</v>
      </c>
      <c r="V82" s="26">
        <f t="shared" si="18"/>
        <v>0</v>
      </c>
      <c r="W82" s="26">
        <f t="shared" si="13"/>
        <v>0</v>
      </c>
      <c r="X82" s="26">
        <f t="shared" si="11"/>
        <v>0</v>
      </c>
      <c r="Y82" s="26">
        <f t="shared" si="14"/>
        <v>0</v>
      </c>
      <c r="Z82" s="33" t="s">
        <v>15</v>
      </c>
      <c r="AA82" s="36" t="s">
        <v>16</v>
      </c>
      <c r="AB82" s="181">
        <f t="shared" si="15"/>
        <v>32.5</v>
      </c>
      <c r="AC82" s="181">
        <f t="shared" si="12"/>
        <v>37332.75</v>
      </c>
      <c r="AD82" s="181">
        <v>1.2</v>
      </c>
      <c r="AE82" s="181">
        <v>1.2</v>
      </c>
      <c r="AF82" s="101" t="str">
        <f t="shared" si="16"/>
        <v/>
      </c>
      <c r="AG82" s="190">
        <v>0</v>
      </c>
      <c r="AH82" s="69">
        <f t="shared" si="17"/>
        <v>32.5</v>
      </c>
    </row>
    <row r="83" spans="1:34" s="69" customFormat="1" ht="33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>
        <v>19780.169999999998</v>
      </c>
      <c r="I83" s="75">
        <v>19780.169999999998</v>
      </c>
      <c r="J83" s="91" t="s">
        <v>238</v>
      </c>
      <c r="K83" s="73"/>
      <c r="L83" s="46">
        <v>0</v>
      </c>
      <c r="M83" s="46">
        <v>0</v>
      </c>
      <c r="N83" s="46">
        <v>0</v>
      </c>
      <c r="O83" s="98"/>
      <c r="P83" s="23" t="s">
        <v>1447</v>
      </c>
      <c r="Q83" s="24" t="s">
        <v>237</v>
      </c>
      <c r="R83" s="25" t="s">
        <v>81</v>
      </c>
      <c r="S83" s="26">
        <v>1</v>
      </c>
      <c r="T83" s="26"/>
      <c r="U83" s="26">
        <f t="shared" si="10"/>
        <v>19780.169999999998</v>
      </c>
      <c r="V83" s="26">
        <f t="shared" si="18"/>
        <v>0</v>
      </c>
      <c r="W83" s="26">
        <f t="shared" si="13"/>
        <v>0</v>
      </c>
      <c r="X83" s="26">
        <f t="shared" si="11"/>
        <v>0</v>
      </c>
      <c r="Y83" s="26">
        <f t="shared" si="14"/>
        <v>0</v>
      </c>
      <c r="Z83" s="33" t="s">
        <v>15</v>
      </c>
      <c r="AA83" s="36" t="s">
        <v>16</v>
      </c>
      <c r="AB83" s="181">
        <f t="shared" si="15"/>
        <v>1</v>
      </c>
      <c r="AC83" s="181">
        <f t="shared" si="12"/>
        <v>19780.169999999998</v>
      </c>
      <c r="AD83" s="181">
        <v>1.2</v>
      </c>
      <c r="AE83" s="181">
        <v>1.2</v>
      </c>
      <c r="AF83" s="101" t="str">
        <f t="shared" si="16"/>
        <v/>
      </c>
      <c r="AG83" s="190">
        <v>0</v>
      </c>
      <c r="AH83" s="69">
        <f t="shared" si="17"/>
        <v>1</v>
      </c>
    </row>
    <row r="84" spans="1:34" s="69" customFormat="1" ht="33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>
        <v>1218.03</v>
      </c>
      <c r="I84" s="75">
        <v>1218.03</v>
      </c>
      <c r="J84" s="91" t="s">
        <v>241</v>
      </c>
      <c r="K84" s="73"/>
      <c r="L84" s="46">
        <v>0</v>
      </c>
      <c r="M84" s="46">
        <v>0</v>
      </c>
      <c r="N84" s="46">
        <v>0</v>
      </c>
      <c r="O84" s="98"/>
      <c r="P84" s="23" t="s">
        <v>1448</v>
      </c>
      <c r="Q84" s="24" t="s">
        <v>240</v>
      </c>
      <c r="R84" s="25" t="s">
        <v>81</v>
      </c>
      <c r="S84" s="26">
        <v>1</v>
      </c>
      <c r="T84" s="26"/>
      <c r="U84" s="26">
        <f t="shared" si="10"/>
        <v>1218.03</v>
      </c>
      <c r="V84" s="26">
        <f t="shared" si="18"/>
        <v>0</v>
      </c>
      <c r="W84" s="26">
        <f t="shared" si="13"/>
        <v>0</v>
      </c>
      <c r="X84" s="26">
        <f t="shared" si="11"/>
        <v>0</v>
      </c>
      <c r="Y84" s="26">
        <f t="shared" si="14"/>
        <v>0</v>
      </c>
      <c r="Z84" s="33" t="s">
        <v>15</v>
      </c>
      <c r="AA84" s="36" t="s">
        <v>16</v>
      </c>
      <c r="AB84" s="181">
        <f t="shared" si="15"/>
        <v>1</v>
      </c>
      <c r="AC84" s="181">
        <f t="shared" si="12"/>
        <v>1218.03</v>
      </c>
      <c r="AD84" s="181">
        <v>1.2</v>
      </c>
      <c r="AE84" s="181">
        <v>1.2</v>
      </c>
      <c r="AF84" s="101" t="str">
        <f t="shared" si="16"/>
        <v/>
      </c>
      <c r="AG84" s="190">
        <v>0</v>
      </c>
      <c r="AH84" s="69">
        <f t="shared" si="17"/>
        <v>1</v>
      </c>
    </row>
    <row r="85" spans="1:34" s="69" customFormat="1" ht="33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>
        <v>3110.7</v>
      </c>
      <c r="I85" s="75">
        <v>3110.7</v>
      </c>
      <c r="J85" s="91" t="s">
        <v>244</v>
      </c>
      <c r="K85" s="73"/>
      <c r="L85" s="46">
        <v>0</v>
      </c>
      <c r="M85" s="46">
        <v>0</v>
      </c>
      <c r="N85" s="46">
        <v>0</v>
      </c>
      <c r="O85" s="98"/>
      <c r="P85" s="23" t="s">
        <v>1449</v>
      </c>
      <c r="Q85" s="24" t="s">
        <v>243</v>
      </c>
      <c r="R85" s="25" t="s">
        <v>81</v>
      </c>
      <c r="S85" s="26">
        <v>1</v>
      </c>
      <c r="T85" s="26"/>
      <c r="U85" s="26">
        <f t="shared" si="10"/>
        <v>3110.7</v>
      </c>
      <c r="V85" s="26">
        <f t="shared" si="18"/>
        <v>0</v>
      </c>
      <c r="W85" s="26">
        <f t="shared" si="13"/>
        <v>0</v>
      </c>
      <c r="X85" s="26">
        <f t="shared" si="11"/>
        <v>0</v>
      </c>
      <c r="Y85" s="26">
        <f t="shared" si="14"/>
        <v>0</v>
      </c>
      <c r="Z85" s="33" t="s">
        <v>15</v>
      </c>
      <c r="AA85" s="36" t="s">
        <v>16</v>
      </c>
      <c r="AB85" s="181">
        <f t="shared" si="15"/>
        <v>1</v>
      </c>
      <c r="AC85" s="181">
        <f t="shared" si="12"/>
        <v>3110.7</v>
      </c>
      <c r="AD85" s="181">
        <v>1.2</v>
      </c>
      <c r="AE85" s="181">
        <v>1.2</v>
      </c>
      <c r="AF85" s="101" t="str">
        <f t="shared" si="16"/>
        <v/>
      </c>
      <c r="AG85" s="190">
        <v>0</v>
      </c>
      <c r="AH85" s="69">
        <f t="shared" si="17"/>
        <v>1</v>
      </c>
    </row>
    <row r="86" spans="1:34" s="69" customFormat="1" ht="33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>
        <v>1251.0999999999999</v>
      </c>
      <c r="I86" s="75">
        <v>1251.0999999999999</v>
      </c>
      <c r="J86" s="91" t="s">
        <v>247</v>
      </c>
      <c r="K86" s="73"/>
      <c r="L86" s="46">
        <v>0</v>
      </c>
      <c r="M86" s="46">
        <v>0</v>
      </c>
      <c r="N86" s="46">
        <v>0</v>
      </c>
      <c r="O86" s="98"/>
      <c r="P86" s="23" t="s">
        <v>1450</v>
      </c>
      <c r="Q86" s="24" t="s">
        <v>246</v>
      </c>
      <c r="R86" s="25" t="s">
        <v>81</v>
      </c>
      <c r="S86" s="26">
        <v>1</v>
      </c>
      <c r="T86" s="26"/>
      <c r="U86" s="26">
        <f t="shared" si="10"/>
        <v>1251.0999999999999</v>
      </c>
      <c r="V86" s="26">
        <f t="shared" si="18"/>
        <v>0</v>
      </c>
      <c r="W86" s="26">
        <f t="shared" si="13"/>
        <v>0</v>
      </c>
      <c r="X86" s="26">
        <f t="shared" si="11"/>
        <v>0</v>
      </c>
      <c r="Y86" s="26">
        <f t="shared" si="14"/>
        <v>0</v>
      </c>
      <c r="Z86" s="33" t="s">
        <v>15</v>
      </c>
      <c r="AA86" s="36" t="s">
        <v>16</v>
      </c>
      <c r="AB86" s="181">
        <f t="shared" si="15"/>
        <v>1</v>
      </c>
      <c r="AC86" s="181">
        <f t="shared" si="12"/>
        <v>1251.0999999999999</v>
      </c>
      <c r="AD86" s="181">
        <v>1.2</v>
      </c>
      <c r="AE86" s="181">
        <v>1.2</v>
      </c>
      <c r="AF86" s="101" t="str">
        <f t="shared" si="16"/>
        <v/>
      </c>
      <c r="AG86" s="190">
        <v>0</v>
      </c>
      <c r="AH86" s="69">
        <f t="shared" si="17"/>
        <v>1</v>
      </c>
    </row>
    <row r="87" spans="1:34" s="69" customFormat="1" ht="33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>
        <v>9500.58</v>
      </c>
      <c r="I87" s="75">
        <v>9500.58</v>
      </c>
      <c r="J87" s="91" t="s">
        <v>250</v>
      </c>
      <c r="K87" s="73"/>
      <c r="L87" s="46">
        <v>0</v>
      </c>
      <c r="M87" s="46">
        <v>0</v>
      </c>
      <c r="N87" s="46">
        <v>0</v>
      </c>
      <c r="O87" s="98"/>
      <c r="P87" s="23" t="s">
        <v>1451</v>
      </c>
      <c r="Q87" s="24" t="s">
        <v>249</v>
      </c>
      <c r="R87" s="25" t="s">
        <v>81</v>
      </c>
      <c r="S87" s="26">
        <v>1</v>
      </c>
      <c r="T87" s="26"/>
      <c r="U87" s="26">
        <f t="shared" si="10"/>
        <v>9500.58</v>
      </c>
      <c r="V87" s="26">
        <f t="shared" si="18"/>
        <v>0</v>
      </c>
      <c r="W87" s="26">
        <f t="shared" si="13"/>
        <v>0</v>
      </c>
      <c r="X87" s="26">
        <f t="shared" si="11"/>
        <v>0</v>
      </c>
      <c r="Y87" s="26">
        <f t="shared" si="14"/>
        <v>0</v>
      </c>
      <c r="Z87" s="33" t="s">
        <v>15</v>
      </c>
      <c r="AA87" s="36" t="s">
        <v>16</v>
      </c>
      <c r="AB87" s="181">
        <f t="shared" si="15"/>
        <v>1</v>
      </c>
      <c r="AC87" s="181">
        <f t="shared" si="12"/>
        <v>9500.58</v>
      </c>
      <c r="AD87" s="181">
        <v>1.2</v>
      </c>
      <c r="AE87" s="181">
        <v>1.2</v>
      </c>
      <c r="AF87" s="101" t="str">
        <f t="shared" si="16"/>
        <v/>
      </c>
      <c r="AG87" s="190">
        <v>0</v>
      </c>
      <c r="AH87" s="69">
        <f t="shared" si="17"/>
        <v>1</v>
      </c>
    </row>
    <row r="88" spans="1:34" s="69" customFormat="1" ht="33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>
        <v>3871.43</v>
      </c>
      <c r="I88" s="75">
        <v>3871.43</v>
      </c>
      <c r="J88" s="91" t="s">
        <v>253</v>
      </c>
      <c r="K88" s="73"/>
      <c r="L88" s="46">
        <v>0</v>
      </c>
      <c r="M88" s="46">
        <v>0</v>
      </c>
      <c r="N88" s="46">
        <v>0</v>
      </c>
      <c r="O88" s="98"/>
      <c r="P88" s="23" t="s">
        <v>1452</v>
      </c>
      <c r="Q88" s="24" t="s">
        <v>252</v>
      </c>
      <c r="R88" s="25" t="s">
        <v>81</v>
      </c>
      <c r="S88" s="26">
        <v>1</v>
      </c>
      <c r="T88" s="26"/>
      <c r="U88" s="26">
        <f t="shared" si="10"/>
        <v>3871.43</v>
      </c>
      <c r="V88" s="26">
        <f t="shared" si="18"/>
        <v>0</v>
      </c>
      <c r="W88" s="26">
        <f t="shared" si="13"/>
        <v>0</v>
      </c>
      <c r="X88" s="26">
        <f t="shared" si="11"/>
        <v>0</v>
      </c>
      <c r="Y88" s="26">
        <f t="shared" si="14"/>
        <v>0</v>
      </c>
      <c r="Z88" s="33" t="s">
        <v>15</v>
      </c>
      <c r="AA88" s="36" t="s">
        <v>16</v>
      </c>
      <c r="AB88" s="181">
        <f t="shared" si="15"/>
        <v>1</v>
      </c>
      <c r="AC88" s="181">
        <f t="shared" si="12"/>
        <v>3871.43</v>
      </c>
      <c r="AD88" s="181">
        <v>1.2</v>
      </c>
      <c r="AE88" s="181">
        <v>1.2</v>
      </c>
      <c r="AF88" s="101" t="str">
        <f t="shared" si="16"/>
        <v/>
      </c>
      <c r="AG88" s="190">
        <v>0</v>
      </c>
      <c r="AH88" s="69">
        <f t="shared" si="17"/>
        <v>1</v>
      </c>
    </row>
    <row r="89" spans="1:34" s="69" customFormat="1" ht="33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>
        <v>25380.34</v>
      </c>
      <c r="I89" s="75">
        <v>25380.34</v>
      </c>
      <c r="J89" s="91" t="s">
        <v>256</v>
      </c>
      <c r="K89" s="73"/>
      <c r="L89" s="46">
        <v>0</v>
      </c>
      <c r="M89" s="46">
        <v>0</v>
      </c>
      <c r="N89" s="46">
        <v>0</v>
      </c>
      <c r="O89" s="98"/>
      <c r="P89" s="23" t="s">
        <v>1453</v>
      </c>
      <c r="Q89" s="24" t="s">
        <v>255</v>
      </c>
      <c r="R89" s="25" t="s">
        <v>81</v>
      </c>
      <c r="S89" s="26">
        <v>1</v>
      </c>
      <c r="T89" s="26"/>
      <c r="U89" s="26">
        <f t="shared" si="10"/>
        <v>25380.34</v>
      </c>
      <c r="V89" s="26">
        <f t="shared" si="18"/>
        <v>0</v>
      </c>
      <c r="W89" s="26">
        <f t="shared" si="13"/>
        <v>0</v>
      </c>
      <c r="X89" s="26">
        <f t="shared" si="11"/>
        <v>0</v>
      </c>
      <c r="Y89" s="26">
        <f t="shared" si="14"/>
        <v>0</v>
      </c>
      <c r="Z89" s="33" t="s">
        <v>15</v>
      </c>
      <c r="AA89" s="36" t="s">
        <v>16</v>
      </c>
      <c r="AB89" s="181">
        <f t="shared" si="15"/>
        <v>1</v>
      </c>
      <c r="AC89" s="181">
        <f t="shared" si="12"/>
        <v>25380.34</v>
      </c>
      <c r="AD89" s="181">
        <v>1.2</v>
      </c>
      <c r="AE89" s="181">
        <v>1.2</v>
      </c>
      <c r="AF89" s="101" t="str">
        <f t="shared" si="16"/>
        <v/>
      </c>
      <c r="AG89" s="190">
        <v>0</v>
      </c>
      <c r="AH89" s="69">
        <f t="shared" si="17"/>
        <v>1</v>
      </c>
    </row>
    <row r="90" spans="1:34" s="69" customFormat="1" ht="33" x14ac:dyDescent="0.3">
      <c r="A90" s="55" t="s">
        <v>257</v>
      </c>
      <c r="B90" s="53" t="s">
        <v>258</v>
      </c>
      <c r="C90" s="54" t="s">
        <v>30</v>
      </c>
      <c r="D90" s="75">
        <v>13.9</v>
      </c>
      <c r="E90" s="75"/>
      <c r="F90" s="75"/>
      <c r="G90" s="75"/>
      <c r="H90" s="75">
        <v>1285.31</v>
      </c>
      <c r="I90" s="75">
        <v>17865.810000000001</v>
      </c>
      <c r="J90" s="91" t="s">
        <v>259</v>
      </c>
      <c r="K90" s="73"/>
      <c r="L90" s="46">
        <v>0</v>
      </c>
      <c r="M90" s="46">
        <v>0</v>
      </c>
      <c r="N90" s="46">
        <v>0</v>
      </c>
      <c r="O90" s="98"/>
      <c r="P90" s="23" t="s">
        <v>1454</v>
      </c>
      <c r="Q90" s="24" t="s">
        <v>258</v>
      </c>
      <c r="R90" s="25" t="s">
        <v>30</v>
      </c>
      <c r="S90" s="26">
        <v>13.9</v>
      </c>
      <c r="T90" s="26"/>
      <c r="U90" s="26">
        <f t="shared" si="10"/>
        <v>1285.31</v>
      </c>
      <c r="V90" s="26">
        <f t="shared" si="18"/>
        <v>0</v>
      </c>
      <c r="W90" s="26">
        <f t="shared" si="13"/>
        <v>0</v>
      </c>
      <c r="X90" s="26">
        <f t="shared" si="11"/>
        <v>0</v>
      </c>
      <c r="Y90" s="26">
        <f t="shared" si="14"/>
        <v>0</v>
      </c>
      <c r="Z90" s="33" t="s">
        <v>15</v>
      </c>
      <c r="AA90" s="36" t="s">
        <v>16</v>
      </c>
      <c r="AB90" s="181">
        <f t="shared" si="15"/>
        <v>13.9</v>
      </c>
      <c r="AC90" s="181">
        <f t="shared" si="12"/>
        <v>17865.810000000001</v>
      </c>
      <c r="AD90" s="181">
        <v>1.2</v>
      </c>
      <c r="AE90" s="181">
        <v>1.2</v>
      </c>
      <c r="AF90" s="101" t="str">
        <f t="shared" si="16"/>
        <v/>
      </c>
      <c r="AG90" s="190">
        <v>0</v>
      </c>
      <c r="AH90" s="69">
        <f t="shared" si="17"/>
        <v>13.9</v>
      </c>
    </row>
    <row r="91" spans="1:34" s="69" customFormat="1" ht="33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>
        <v>1976.06</v>
      </c>
      <c r="I91" s="75">
        <v>186046.05</v>
      </c>
      <c r="J91" s="91" t="s">
        <v>262</v>
      </c>
      <c r="K91" s="73"/>
      <c r="L91" s="46">
        <v>0</v>
      </c>
      <c r="M91" s="46">
        <v>0</v>
      </c>
      <c r="N91" s="46">
        <v>0</v>
      </c>
      <c r="O91" s="98"/>
      <c r="P91" s="23" t="s">
        <v>1455</v>
      </c>
      <c r="Q91" s="24" t="s">
        <v>261</v>
      </c>
      <c r="R91" s="25" t="s">
        <v>30</v>
      </c>
      <c r="S91" s="26">
        <v>94.15</v>
      </c>
      <c r="T91" s="26"/>
      <c r="U91" s="26">
        <f t="shared" si="10"/>
        <v>1976.06</v>
      </c>
      <c r="V91" s="26">
        <f t="shared" si="18"/>
        <v>0</v>
      </c>
      <c r="W91" s="26">
        <f t="shared" si="13"/>
        <v>0</v>
      </c>
      <c r="X91" s="26">
        <f t="shared" si="11"/>
        <v>0</v>
      </c>
      <c r="Y91" s="26">
        <f t="shared" si="14"/>
        <v>0</v>
      </c>
      <c r="Z91" s="33" t="s">
        <v>15</v>
      </c>
      <c r="AA91" s="36" t="s">
        <v>16</v>
      </c>
      <c r="AB91" s="181">
        <f t="shared" si="15"/>
        <v>94.15</v>
      </c>
      <c r="AC91" s="181">
        <f t="shared" si="12"/>
        <v>186046.05</v>
      </c>
      <c r="AD91" s="181">
        <v>1.2</v>
      </c>
      <c r="AE91" s="181">
        <v>1.2</v>
      </c>
      <c r="AF91" s="101" t="str">
        <f t="shared" si="16"/>
        <v/>
      </c>
      <c r="AG91" s="190">
        <v>0</v>
      </c>
      <c r="AH91" s="69">
        <f t="shared" si="17"/>
        <v>94.15</v>
      </c>
    </row>
    <row r="92" spans="1:34" s="69" customFormat="1" ht="33" x14ac:dyDescent="0.3">
      <c r="A92" s="55" t="s">
        <v>263</v>
      </c>
      <c r="B92" s="53" t="s">
        <v>264</v>
      </c>
      <c r="C92" s="54" t="s">
        <v>30</v>
      </c>
      <c r="D92" s="75">
        <v>13.5</v>
      </c>
      <c r="E92" s="75"/>
      <c r="F92" s="75"/>
      <c r="G92" s="75"/>
      <c r="H92" s="75">
        <v>1889.54</v>
      </c>
      <c r="I92" s="75">
        <v>25508.79</v>
      </c>
      <c r="J92" s="91" t="s">
        <v>265</v>
      </c>
      <c r="K92" s="73"/>
      <c r="L92" s="46">
        <v>0</v>
      </c>
      <c r="M92" s="46">
        <v>0</v>
      </c>
      <c r="N92" s="46">
        <v>0</v>
      </c>
      <c r="O92" s="98"/>
      <c r="P92" s="23" t="s">
        <v>1456</v>
      </c>
      <c r="Q92" s="24" t="s">
        <v>264</v>
      </c>
      <c r="R92" s="25" t="s">
        <v>30</v>
      </c>
      <c r="S92" s="26">
        <v>13.5</v>
      </c>
      <c r="T92" s="26"/>
      <c r="U92" s="26">
        <f t="shared" si="10"/>
        <v>1889.54</v>
      </c>
      <c r="V92" s="26">
        <f t="shared" si="18"/>
        <v>0</v>
      </c>
      <c r="W92" s="26">
        <f t="shared" si="13"/>
        <v>0</v>
      </c>
      <c r="X92" s="26">
        <f t="shared" si="11"/>
        <v>0</v>
      </c>
      <c r="Y92" s="26">
        <f t="shared" si="14"/>
        <v>0</v>
      </c>
      <c r="Z92" s="33" t="s">
        <v>15</v>
      </c>
      <c r="AA92" s="36" t="s">
        <v>16</v>
      </c>
      <c r="AB92" s="181">
        <f t="shared" si="15"/>
        <v>13.5</v>
      </c>
      <c r="AC92" s="181">
        <f t="shared" si="12"/>
        <v>25508.79</v>
      </c>
      <c r="AD92" s="181">
        <v>1.2</v>
      </c>
      <c r="AE92" s="181">
        <v>1.2</v>
      </c>
      <c r="AF92" s="101" t="str">
        <f t="shared" si="16"/>
        <v/>
      </c>
      <c r="AG92" s="190">
        <v>0</v>
      </c>
      <c r="AH92" s="69">
        <f t="shared" si="17"/>
        <v>13.5</v>
      </c>
    </row>
    <row r="93" spans="1:34" s="69" customFormat="1" ht="33" x14ac:dyDescent="0.3">
      <c r="A93" s="55" t="s">
        <v>266</v>
      </c>
      <c r="B93" s="53" t="s">
        <v>267</v>
      </c>
      <c r="C93" s="54" t="s">
        <v>30</v>
      </c>
      <c r="D93" s="75">
        <v>13.7</v>
      </c>
      <c r="E93" s="75"/>
      <c r="F93" s="75"/>
      <c r="G93" s="75"/>
      <c r="H93" s="75">
        <v>1778.66</v>
      </c>
      <c r="I93" s="75">
        <v>24367.64</v>
      </c>
      <c r="J93" s="91" t="s">
        <v>268</v>
      </c>
      <c r="K93" s="73"/>
      <c r="L93" s="46">
        <v>0</v>
      </c>
      <c r="M93" s="46">
        <v>0</v>
      </c>
      <c r="N93" s="46">
        <v>0</v>
      </c>
      <c r="O93" s="98"/>
      <c r="P93" s="23" t="s">
        <v>1457</v>
      </c>
      <c r="Q93" s="24" t="s">
        <v>267</v>
      </c>
      <c r="R93" s="25" t="s">
        <v>30</v>
      </c>
      <c r="S93" s="26">
        <v>13.7</v>
      </c>
      <c r="T93" s="26"/>
      <c r="U93" s="26">
        <f t="shared" si="10"/>
        <v>1778.66</v>
      </c>
      <c r="V93" s="26">
        <f t="shared" si="18"/>
        <v>0</v>
      </c>
      <c r="W93" s="26">
        <f t="shared" si="13"/>
        <v>0</v>
      </c>
      <c r="X93" s="26">
        <f t="shared" si="11"/>
        <v>0</v>
      </c>
      <c r="Y93" s="26">
        <f t="shared" si="14"/>
        <v>0</v>
      </c>
      <c r="Z93" s="33" t="s">
        <v>15</v>
      </c>
      <c r="AA93" s="36" t="s">
        <v>16</v>
      </c>
      <c r="AB93" s="181">
        <f t="shared" si="15"/>
        <v>13.7</v>
      </c>
      <c r="AC93" s="181">
        <f t="shared" si="12"/>
        <v>24367.64</v>
      </c>
      <c r="AD93" s="181">
        <v>1.2</v>
      </c>
      <c r="AE93" s="181">
        <v>1.2</v>
      </c>
      <c r="AF93" s="101" t="str">
        <f t="shared" si="16"/>
        <v/>
      </c>
      <c r="AG93" s="190">
        <v>0</v>
      </c>
      <c r="AH93" s="69">
        <f t="shared" si="17"/>
        <v>13.7</v>
      </c>
    </row>
    <row r="94" spans="1:34" s="69" customFormat="1" ht="33" x14ac:dyDescent="0.3">
      <c r="A94" s="55" t="s">
        <v>269</v>
      </c>
      <c r="B94" s="53" t="s">
        <v>270</v>
      </c>
      <c r="C94" s="54" t="s">
        <v>30</v>
      </c>
      <c r="D94" s="75">
        <v>17.920000000000002</v>
      </c>
      <c r="E94" s="75"/>
      <c r="F94" s="75"/>
      <c r="G94" s="75"/>
      <c r="H94" s="75">
        <v>2939.14</v>
      </c>
      <c r="I94" s="75">
        <v>52669.39</v>
      </c>
      <c r="J94" s="91" t="s">
        <v>271</v>
      </c>
      <c r="K94" s="73"/>
      <c r="L94" s="46">
        <v>0</v>
      </c>
      <c r="M94" s="46">
        <v>0</v>
      </c>
      <c r="N94" s="46">
        <v>0</v>
      </c>
      <c r="O94" s="98"/>
      <c r="P94" s="23" t="s">
        <v>1458</v>
      </c>
      <c r="Q94" s="24" t="s">
        <v>270</v>
      </c>
      <c r="R94" s="25" t="s">
        <v>30</v>
      </c>
      <c r="S94" s="26">
        <v>17.920000000000002</v>
      </c>
      <c r="T94" s="26"/>
      <c r="U94" s="26">
        <f t="shared" si="10"/>
        <v>2939.14</v>
      </c>
      <c r="V94" s="26">
        <f t="shared" si="18"/>
        <v>0</v>
      </c>
      <c r="W94" s="26">
        <f t="shared" si="13"/>
        <v>0</v>
      </c>
      <c r="X94" s="26">
        <f t="shared" si="11"/>
        <v>0</v>
      </c>
      <c r="Y94" s="26">
        <f t="shared" si="14"/>
        <v>0</v>
      </c>
      <c r="Z94" s="33" t="s">
        <v>15</v>
      </c>
      <c r="AA94" s="36" t="s">
        <v>16</v>
      </c>
      <c r="AB94" s="181">
        <f t="shared" si="15"/>
        <v>17.920000000000002</v>
      </c>
      <c r="AC94" s="181">
        <f t="shared" si="12"/>
        <v>52669.39</v>
      </c>
      <c r="AD94" s="181">
        <v>1.2</v>
      </c>
      <c r="AE94" s="181">
        <v>1.2</v>
      </c>
      <c r="AF94" s="101" t="str">
        <f t="shared" si="16"/>
        <v/>
      </c>
      <c r="AG94" s="190">
        <v>0</v>
      </c>
      <c r="AH94" s="69">
        <f t="shared" si="17"/>
        <v>17.920000000000002</v>
      </c>
    </row>
    <row r="95" spans="1:34" s="69" customFormat="1" ht="33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>
        <v>23030.799999999999</v>
      </c>
      <c r="I95" s="75">
        <v>23030.799999999999</v>
      </c>
      <c r="J95" s="91" t="s">
        <v>274</v>
      </c>
      <c r="K95" s="73"/>
      <c r="L95" s="46">
        <v>0</v>
      </c>
      <c r="M95" s="46">
        <v>0</v>
      </c>
      <c r="N95" s="46">
        <v>0</v>
      </c>
      <c r="O95" s="98"/>
      <c r="P95" s="23" t="s">
        <v>1459</v>
      </c>
      <c r="Q95" s="24" t="s">
        <v>273</v>
      </c>
      <c r="R95" s="25" t="s">
        <v>81</v>
      </c>
      <c r="S95" s="26">
        <v>1</v>
      </c>
      <c r="T95" s="26"/>
      <c r="U95" s="26">
        <f t="shared" si="10"/>
        <v>23030.799999999999</v>
      </c>
      <c r="V95" s="26">
        <f t="shared" si="18"/>
        <v>0</v>
      </c>
      <c r="W95" s="26">
        <f t="shared" si="13"/>
        <v>0</v>
      </c>
      <c r="X95" s="26">
        <f t="shared" si="11"/>
        <v>0</v>
      </c>
      <c r="Y95" s="26">
        <f t="shared" si="14"/>
        <v>0</v>
      </c>
      <c r="Z95" s="33" t="s">
        <v>15</v>
      </c>
      <c r="AA95" s="36" t="s">
        <v>16</v>
      </c>
      <c r="AB95" s="181">
        <f t="shared" si="15"/>
        <v>1</v>
      </c>
      <c r="AC95" s="181">
        <f t="shared" si="12"/>
        <v>23030.799999999999</v>
      </c>
      <c r="AD95" s="181">
        <v>1.2</v>
      </c>
      <c r="AE95" s="181">
        <v>1.2</v>
      </c>
      <c r="AF95" s="101" t="str">
        <f t="shared" si="16"/>
        <v/>
      </c>
      <c r="AG95" s="190">
        <v>0</v>
      </c>
      <c r="AH95" s="69">
        <f t="shared" si="17"/>
        <v>1</v>
      </c>
    </row>
    <row r="96" spans="1:34" s="69" customFormat="1" ht="33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>
        <v>18605.919999999998</v>
      </c>
      <c r="I96" s="75">
        <v>37211.839999999997</v>
      </c>
      <c r="J96" s="91" t="s">
        <v>277</v>
      </c>
      <c r="K96" s="73"/>
      <c r="L96" s="46">
        <v>0</v>
      </c>
      <c r="M96" s="46">
        <v>0</v>
      </c>
      <c r="N96" s="46">
        <v>0</v>
      </c>
      <c r="O96" s="98"/>
      <c r="P96" s="23" t="s">
        <v>1460</v>
      </c>
      <c r="Q96" s="24" t="s">
        <v>276</v>
      </c>
      <c r="R96" s="25" t="s">
        <v>81</v>
      </c>
      <c r="S96" s="26">
        <v>2</v>
      </c>
      <c r="T96" s="26"/>
      <c r="U96" s="26">
        <f t="shared" si="10"/>
        <v>18605.919999999998</v>
      </c>
      <c r="V96" s="26">
        <f t="shared" si="18"/>
        <v>0</v>
      </c>
      <c r="W96" s="26">
        <f t="shared" si="13"/>
        <v>0</v>
      </c>
      <c r="X96" s="26">
        <f t="shared" si="11"/>
        <v>0</v>
      </c>
      <c r="Y96" s="26">
        <f t="shared" si="14"/>
        <v>0</v>
      </c>
      <c r="Z96" s="33" t="s">
        <v>15</v>
      </c>
      <c r="AA96" s="36" t="s">
        <v>16</v>
      </c>
      <c r="AB96" s="181">
        <f t="shared" si="15"/>
        <v>2</v>
      </c>
      <c r="AC96" s="181">
        <f t="shared" si="12"/>
        <v>37211.839999999997</v>
      </c>
      <c r="AD96" s="181">
        <v>1.2</v>
      </c>
      <c r="AE96" s="181">
        <v>1.2</v>
      </c>
      <c r="AF96" s="101" t="str">
        <f t="shared" si="16"/>
        <v/>
      </c>
      <c r="AG96" s="190">
        <v>0</v>
      </c>
      <c r="AH96" s="69">
        <f t="shared" si="17"/>
        <v>2</v>
      </c>
    </row>
    <row r="97" spans="1:34" s="69" customFormat="1" ht="33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>
        <v>18605.919999999998</v>
      </c>
      <c r="I97" s="75">
        <v>18605.919999999998</v>
      </c>
      <c r="J97" s="91" t="s">
        <v>280</v>
      </c>
      <c r="K97" s="73"/>
      <c r="L97" s="46">
        <v>0</v>
      </c>
      <c r="M97" s="46">
        <v>0</v>
      </c>
      <c r="N97" s="46">
        <v>0</v>
      </c>
      <c r="O97" s="98"/>
      <c r="P97" s="23" t="s">
        <v>1461</v>
      </c>
      <c r="Q97" s="24" t="s">
        <v>279</v>
      </c>
      <c r="R97" s="25" t="s">
        <v>81</v>
      </c>
      <c r="S97" s="26">
        <v>1</v>
      </c>
      <c r="T97" s="26"/>
      <c r="U97" s="26">
        <f t="shared" si="10"/>
        <v>18605.919999999998</v>
      </c>
      <c r="V97" s="26">
        <f t="shared" si="18"/>
        <v>0</v>
      </c>
      <c r="W97" s="26">
        <f t="shared" si="13"/>
        <v>0</v>
      </c>
      <c r="X97" s="26">
        <f t="shared" si="11"/>
        <v>0</v>
      </c>
      <c r="Y97" s="26">
        <f t="shared" si="14"/>
        <v>0</v>
      </c>
      <c r="Z97" s="33" t="s">
        <v>15</v>
      </c>
      <c r="AA97" s="36" t="s">
        <v>16</v>
      </c>
      <c r="AB97" s="181">
        <f t="shared" si="15"/>
        <v>1</v>
      </c>
      <c r="AC97" s="181">
        <f t="shared" si="12"/>
        <v>18605.919999999998</v>
      </c>
      <c r="AD97" s="181">
        <v>1.2</v>
      </c>
      <c r="AE97" s="181">
        <v>1.2</v>
      </c>
      <c r="AF97" s="101" t="str">
        <f t="shared" si="16"/>
        <v/>
      </c>
      <c r="AG97" s="190">
        <v>0</v>
      </c>
      <c r="AH97" s="69">
        <f t="shared" si="17"/>
        <v>1</v>
      </c>
    </row>
    <row r="98" spans="1:34" s="69" customFormat="1" ht="33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>
        <v>11655.48</v>
      </c>
      <c r="I98" s="75">
        <v>34966.44</v>
      </c>
      <c r="J98" s="91" t="s">
        <v>283</v>
      </c>
      <c r="K98" s="73"/>
      <c r="L98" s="46">
        <v>0</v>
      </c>
      <c r="M98" s="46">
        <v>0</v>
      </c>
      <c r="N98" s="46">
        <v>0</v>
      </c>
      <c r="O98" s="98"/>
      <c r="P98" s="23" t="s">
        <v>1462</v>
      </c>
      <c r="Q98" s="24" t="s">
        <v>282</v>
      </c>
      <c r="R98" s="25" t="s">
        <v>81</v>
      </c>
      <c r="S98" s="26">
        <v>3</v>
      </c>
      <c r="T98" s="26"/>
      <c r="U98" s="26">
        <f t="shared" si="10"/>
        <v>11655.48</v>
      </c>
      <c r="V98" s="26">
        <f t="shared" si="18"/>
        <v>0</v>
      </c>
      <c r="W98" s="26">
        <f t="shared" si="13"/>
        <v>0</v>
      </c>
      <c r="X98" s="26">
        <f t="shared" si="11"/>
        <v>0</v>
      </c>
      <c r="Y98" s="26">
        <f t="shared" si="14"/>
        <v>0</v>
      </c>
      <c r="Z98" s="33" t="s">
        <v>15</v>
      </c>
      <c r="AA98" s="36" t="s">
        <v>16</v>
      </c>
      <c r="AB98" s="181">
        <f t="shared" si="15"/>
        <v>3</v>
      </c>
      <c r="AC98" s="181">
        <f t="shared" si="12"/>
        <v>34966.44</v>
      </c>
      <c r="AD98" s="181">
        <v>1.2</v>
      </c>
      <c r="AE98" s="181">
        <v>1.2</v>
      </c>
      <c r="AF98" s="101" t="str">
        <f t="shared" si="16"/>
        <v/>
      </c>
      <c r="AG98" s="190">
        <v>0</v>
      </c>
      <c r="AH98" s="69">
        <f t="shared" si="17"/>
        <v>3</v>
      </c>
    </row>
    <row r="99" spans="1:34" s="69" customFormat="1" ht="33" x14ac:dyDescent="0.3">
      <c r="A99" s="55" t="s">
        <v>284</v>
      </c>
      <c r="B99" s="53" t="s">
        <v>285</v>
      </c>
      <c r="C99" s="54" t="s">
        <v>81</v>
      </c>
      <c r="D99" s="75">
        <v>4</v>
      </c>
      <c r="E99" s="75"/>
      <c r="F99" s="75"/>
      <c r="G99" s="75"/>
      <c r="H99" s="75">
        <v>25108.91</v>
      </c>
      <c r="I99" s="75">
        <v>100435.64</v>
      </c>
      <c r="J99" s="91" t="s">
        <v>286</v>
      </c>
      <c r="K99" s="73"/>
      <c r="L99" s="46">
        <v>0</v>
      </c>
      <c r="M99" s="46">
        <v>0</v>
      </c>
      <c r="N99" s="46">
        <v>0</v>
      </c>
      <c r="O99" s="98"/>
      <c r="P99" s="23" t="s">
        <v>1463</v>
      </c>
      <c r="Q99" s="24" t="s">
        <v>285</v>
      </c>
      <c r="R99" s="25" t="s">
        <v>81</v>
      </c>
      <c r="S99" s="26">
        <v>4</v>
      </c>
      <c r="T99" s="26"/>
      <c r="U99" s="26">
        <f t="shared" si="10"/>
        <v>25108.91</v>
      </c>
      <c r="V99" s="26">
        <f t="shared" si="18"/>
        <v>0</v>
      </c>
      <c r="W99" s="26">
        <f t="shared" si="13"/>
        <v>0</v>
      </c>
      <c r="X99" s="26">
        <f t="shared" si="11"/>
        <v>0</v>
      </c>
      <c r="Y99" s="26">
        <f t="shared" si="14"/>
        <v>0</v>
      </c>
      <c r="Z99" s="33" t="s">
        <v>15</v>
      </c>
      <c r="AA99" s="36" t="s">
        <v>16</v>
      </c>
      <c r="AB99" s="181">
        <f t="shared" si="15"/>
        <v>4</v>
      </c>
      <c r="AC99" s="181">
        <f t="shared" si="12"/>
        <v>100435.64</v>
      </c>
      <c r="AD99" s="181">
        <v>1.2</v>
      </c>
      <c r="AE99" s="181">
        <v>1.2</v>
      </c>
      <c r="AF99" s="101" t="str">
        <f t="shared" si="16"/>
        <v/>
      </c>
      <c r="AG99" s="190">
        <v>0</v>
      </c>
      <c r="AH99" s="69">
        <f t="shared" si="17"/>
        <v>4</v>
      </c>
    </row>
    <row r="100" spans="1:34" s="69" customFormat="1" ht="33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>
        <v>22416.92</v>
      </c>
      <c r="I100" s="75">
        <v>112084.6</v>
      </c>
      <c r="J100" s="91" t="s">
        <v>289</v>
      </c>
      <c r="K100" s="73"/>
      <c r="L100" s="46">
        <v>0</v>
      </c>
      <c r="M100" s="46">
        <v>0</v>
      </c>
      <c r="N100" s="46">
        <v>0</v>
      </c>
      <c r="O100" s="98"/>
      <c r="P100" s="23" t="s">
        <v>1464</v>
      </c>
      <c r="Q100" s="24" t="s">
        <v>288</v>
      </c>
      <c r="R100" s="25" t="s">
        <v>81</v>
      </c>
      <c r="S100" s="26">
        <v>5</v>
      </c>
      <c r="T100" s="26"/>
      <c r="U100" s="26">
        <f t="shared" si="10"/>
        <v>22416.92</v>
      </c>
      <c r="V100" s="26">
        <f t="shared" si="18"/>
        <v>0</v>
      </c>
      <c r="W100" s="26">
        <f t="shared" si="13"/>
        <v>0</v>
      </c>
      <c r="X100" s="26">
        <f t="shared" si="11"/>
        <v>0</v>
      </c>
      <c r="Y100" s="26">
        <f t="shared" si="14"/>
        <v>0</v>
      </c>
      <c r="Z100" s="33" t="s">
        <v>15</v>
      </c>
      <c r="AA100" s="36" t="s">
        <v>16</v>
      </c>
      <c r="AB100" s="181">
        <f t="shared" si="15"/>
        <v>5</v>
      </c>
      <c r="AC100" s="181">
        <f t="shared" si="12"/>
        <v>112084.6</v>
      </c>
      <c r="AD100" s="181">
        <v>1.2</v>
      </c>
      <c r="AE100" s="181">
        <v>1.2</v>
      </c>
      <c r="AF100" s="101" t="str">
        <f t="shared" si="16"/>
        <v/>
      </c>
      <c r="AG100" s="190">
        <v>0</v>
      </c>
      <c r="AH100" s="69">
        <f t="shared" si="17"/>
        <v>5</v>
      </c>
    </row>
    <row r="101" spans="1:34" s="69" customFormat="1" ht="33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>
        <v>21724.76</v>
      </c>
      <c r="I101" s="75">
        <v>21724.76</v>
      </c>
      <c r="J101" s="91" t="s">
        <v>292</v>
      </c>
      <c r="K101" s="73"/>
      <c r="L101" s="46">
        <v>0</v>
      </c>
      <c r="M101" s="46">
        <v>0</v>
      </c>
      <c r="N101" s="46">
        <v>0</v>
      </c>
      <c r="O101" s="98"/>
      <c r="P101" s="23" t="s">
        <v>1465</v>
      </c>
      <c r="Q101" s="24" t="s">
        <v>291</v>
      </c>
      <c r="R101" s="25" t="s">
        <v>81</v>
      </c>
      <c r="S101" s="26">
        <v>1</v>
      </c>
      <c r="T101" s="26"/>
      <c r="U101" s="26">
        <f t="shared" si="10"/>
        <v>21724.76</v>
      </c>
      <c r="V101" s="26">
        <f t="shared" si="18"/>
        <v>0</v>
      </c>
      <c r="W101" s="26">
        <f t="shared" si="13"/>
        <v>0</v>
      </c>
      <c r="X101" s="26">
        <f t="shared" si="11"/>
        <v>0</v>
      </c>
      <c r="Y101" s="26">
        <f t="shared" si="14"/>
        <v>0</v>
      </c>
      <c r="Z101" s="33" t="s">
        <v>15</v>
      </c>
      <c r="AA101" s="36" t="s">
        <v>16</v>
      </c>
      <c r="AB101" s="181">
        <f t="shared" si="15"/>
        <v>1</v>
      </c>
      <c r="AC101" s="181">
        <f t="shared" si="12"/>
        <v>21724.76</v>
      </c>
      <c r="AD101" s="181">
        <v>1.2</v>
      </c>
      <c r="AE101" s="181">
        <v>1.2</v>
      </c>
      <c r="AF101" s="101" t="str">
        <f t="shared" si="16"/>
        <v/>
      </c>
      <c r="AG101" s="190">
        <v>0</v>
      </c>
      <c r="AH101" s="69">
        <f t="shared" si="17"/>
        <v>1</v>
      </c>
    </row>
    <row r="102" spans="1:34" s="69" customFormat="1" ht="33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>
        <v>17341.04</v>
      </c>
      <c r="I102" s="75">
        <v>34682.080000000002</v>
      </c>
      <c r="J102" s="91" t="s">
        <v>295</v>
      </c>
      <c r="K102" s="73"/>
      <c r="L102" s="46">
        <v>0</v>
      </c>
      <c r="M102" s="46">
        <v>0</v>
      </c>
      <c r="N102" s="46">
        <v>0</v>
      </c>
      <c r="O102" s="98"/>
      <c r="P102" s="23" t="s">
        <v>1466</v>
      </c>
      <c r="Q102" s="24" t="s">
        <v>294</v>
      </c>
      <c r="R102" s="25" t="s">
        <v>81</v>
      </c>
      <c r="S102" s="26">
        <v>2</v>
      </c>
      <c r="T102" s="26"/>
      <c r="U102" s="26">
        <f t="shared" si="10"/>
        <v>17341.04</v>
      </c>
      <c r="V102" s="26">
        <f t="shared" si="18"/>
        <v>0</v>
      </c>
      <c r="W102" s="26">
        <f t="shared" si="13"/>
        <v>0</v>
      </c>
      <c r="X102" s="26">
        <f t="shared" si="11"/>
        <v>0</v>
      </c>
      <c r="Y102" s="26">
        <f t="shared" si="14"/>
        <v>0</v>
      </c>
      <c r="Z102" s="33" t="s">
        <v>15</v>
      </c>
      <c r="AA102" s="36" t="s">
        <v>16</v>
      </c>
      <c r="AB102" s="181">
        <f t="shared" si="15"/>
        <v>2</v>
      </c>
      <c r="AC102" s="181">
        <f t="shared" si="12"/>
        <v>34682.080000000002</v>
      </c>
      <c r="AD102" s="181">
        <v>1.2</v>
      </c>
      <c r="AE102" s="181">
        <v>1.2</v>
      </c>
      <c r="AF102" s="101" t="str">
        <f t="shared" si="16"/>
        <v/>
      </c>
      <c r="AG102" s="190">
        <v>0</v>
      </c>
      <c r="AH102" s="69">
        <f t="shared" si="17"/>
        <v>2</v>
      </c>
    </row>
    <row r="103" spans="1:34" s="69" customFormat="1" ht="33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>
        <v>17341.04</v>
      </c>
      <c r="I103" s="75">
        <v>17341.04</v>
      </c>
      <c r="J103" s="91" t="s">
        <v>298</v>
      </c>
      <c r="K103" s="73"/>
      <c r="L103" s="46">
        <v>0</v>
      </c>
      <c r="M103" s="46">
        <v>0</v>
      </c>
      <c r="N103" s="46">
        <v>0</v>
      </c>
      <c r="O103" s="98"/>
      <c r="P103" s="23" t="s">
        <v>1467</v>
      </c>
      <c r="Q103" s="24" t="s">
        <v>297</v>
      </c>
      <c r="R103" s="25" t="s">
        <v>81</v>
      </c>
      <c r="S103" s="26">
        <v>1</v>
      </c>
      <c r="T103" s="26"/>
      <c r="U103" s="26">
        <f t="shared" ref="U103:U166" si="19">H103</f>
        <v>17341.04</v>
      </c>
      <c r="V103" s="26">
        <f t="shared" si="18"/>
        <v>0</v>
      </c>
      <c r="W103" s="26">
        <f t="shared" si="13"/>
        <v>0</v>
      </c>
      <c r="X103" s="26">
        <f t="shared" ref="X103:X132" si="20">Y103-N103</f>
        <v>0</v>
      </c>
      <c r="Y103" s="26">
        <f t="shared" si="14"/>
        <v>0</v>
      </c>
      <c r="Z103" s="33" t="s">
        <v>15</v>
      </c>
      <c r="AA103" s="36" t="s">
        <v>16</v>
      </c>
      <c r="AB103" s="181">
        <f t="shared" si="15"/>
        <v>1</v>
      </c>
      <c r="AC103" s="181">
        <f t="shared" si="12"/>
        <v>17341.04</v>
      </c>
      <c r="AD103" s="181">
        <v>1.2</v>
      </c>
      <c r="AE103" s="181">
        <v>1.2</v>
      </c>
      <c r="AF103" s="101" t="str">
        <f t="shared" si="16"/>
        <v/>
      </c>
      <c r="AG103" s="190">
        <v>0</v>
      </c>
      <c r="AH103" s="69">
        <f t="shared" si="17"/>
        <v>1</v>
      </c>
    </row>
    <row r="104" spans="1:34" s="69" customFormat="1" ht="33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>
        <v>17341.04</v>
      </c>
      <c r="I104" s="75">
        <v>104046.24</v>
      </c>
      <c r="J104" s="91" t="s">
        <v>301</v>
      </c>
      <c r="K104" s="73"/>
      <c r="L104" s="46">
        <v>0</v>
      </c>
      <c r="M104" s="46">
        <v>0</v>
      </c>
      <c r="N104" s="46">
        <v>0</v>
      </c>
      <c r="O104" s="98"/>
      <c r="P104" s="23" t="s">
        <v>1468</v>
      </c>
      <c r="Q104" s="24" t="s">
        <v>300</v>
      </c>
      <c r="R104" s="25" t="s">
        <v>81</v>
      </c>
      <c r="S104" s="26">
        <v>6</v>
      </c>
      <c r="T104" s="26"/>
      <c r="U104" s="26">
        <f t="shared" si="19"/>
        <v>17341.04</v>
      </c>
      <c r="V104" s="26">
        <f t="shared" si="18"/>
        <v>0</v>
      </c>
      <c r="W104" s="26">
        <f t="shared" si="13"/>
        <v>0</v>
      </c>
      <c r="X104" s="26">
        <f t="shared" si="20"/>
        <v>0</v>
      </c>
      <c r="Y104" s="26">
        <f t="shared" si="14"/>
        <v>0</v>
      </c>
      <c r="Z104" s="33" t="s">
        <v>15</v>
      </c>
      <c r="AA104" s="36" t="s">
        <v>16</v>
      </c>
      <c r="AB104" s="181">
        <f t="shared" si="15"/>
        <v>6</v>
      </c>
      <c r="AC104" s="181">
        <f t="shared" ref="AC104:AC132" si="21">ROUND(U104*AB104,2)</f>
        <v>104046.24</v>
      </c>
      <c r="AD104" s="181">
        <v>1.2</v>
      </c>
      <c r="AE104" s="181">
        <v>1.2</v>
      </c>
      <c r="AF104" s="101" t="str">
        <f t="shared" si="16"/>
        <v/>
      </c>
      <c r="AG104" s="190">
        <v>0</v>
      </c>
      <c r="AH104" s="69">
        <f t="shared" si="17"/>
        <v>6</v>
      </c>
    </row>
    <row r="105" spans="1:34" s="69" customFormat="1" ht="33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>
        <v>17497.64</v>
      </c>
      <c r="I105" s="75">
        <v>34995.279999999999</v>
      </c>
      <c r="J105" s="91" t="s">
        <v>304</v>
      </c>
      <c r="K105" s="73"/>
      <c r="L105" s="46">
        <v>0</v>
      </c>
      <c r="M105" s="46">
        <v>0</v>
      </c>
      <c r="N105" s="46">
        <v>0</v>
      </c>
      <c r="O105" s="98"/>
      <c r="P105" s="23" t="s">
        <v>1469</v>
      </c>
      <c r="Q105" s="24" t="s">
        <v>303</v>
      </c>
      <c r="R105" s="25" t="s">
        <v>81</v>
      </c>
      <c r="S105" s="26">
        <v>2</v>
      </c>
      <c r="T105" s="26"/>
      <c r="U105" s="26">
        <f t="shared" si="19"/>
        <v>17497.64</v>
      </c>
      <c r="V105" s="26">
        <f t="shared" si="18"/>
        <v>0</v>
      </c>
      <c r="W105" s="26">
        <f t="shared" si="13"/>
        <v>0</v>
      </c>
      <c r="X105" s="26">
        <f t="shared" si="20"/>
        <v>0</v>
      </c>
      <c r="Y105" s="26">
        <f t="shared" si="14"/>
        <v>0</v>
      </c>
      <c r="Z105" s="33" t="s">
        <v>15</v>
      </c>
      <c r="AA105" s="36" t="s">
        <v>16</v>
      </c>
      <c r="AB105" s="181">
        <f t="shared" si="15"/>
        <v>2</v>
      </c>
      <c r="AC105" s="181">
        <f t="shared" si="21"/>
        <v>34995.279999999999</v>
      </c>
      <c r="AD105" s="181">
        <v>1.2</v>
      </c>
      <c r="AE105" s="181">
        <v>1.2</v>
      </c>
      <c r="AF105" s="101" t="str">
        <f t="shared" si="16"/>
        <v/>
      </c>
      <c r="AG105" s="190">
        <v>0</v>
      </c>
      <c r="AH105" s="69">
        <f t="shared" si="17"/>
        <v>2</v>
      </c>
    </row>
    <row r="106" spans="1:34" s="69" customFormat="1" ht="33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>
        <v>1501.74</v>
      </c>
      <c r="I106" s="75">
        <v>3003.48</v>
      </c>
      <c r="J106" s="91" t="s">
        <v>307</v>
      </c>
      <c r="K106" s="73"/>
      <c r="L106" s="46">
        <v>0</v>
      </c>
      <c r="M106" s="46">
        <v>0</v>
      </c>
      <c r="N106" s="46">
        <v>0</v>
      </c>
      <c r="O106" s="98"/>
      <c r="P106" s="23" t="s">
        <v>1470</v>
      </c>
      <c r="Q106" s="24" t="s">
        <v>306</v>
      </c>
      <c r="R106" s="25" t="s">
        <v>81</v>
      </c>
      <c r="S106" s="26">
        <v>2</v>
      </c>
      <c r="T106" s="26"/>
      <c r="U106" s="26">
        <f t="shared" si="19"/>
        <v>1501.74</v>
      </c>
      <c r="V106" s="26">
        <f t="shared" si="18"/>
        <v>0</v>
      </c>
      <c r="W106" s="26">
        <f t="shared" si="13"/>
        <v>0</v>
      </c>
      <c r="X106" s="26">
        <f t="shared" si="20"/>
        <v>0</v>
      </c>
      <c r="Y106" s="26">
        <f t="shared" si="14"/>
        <v>0</v>
      </c>
      <c r="Z106" s="33" t="s">
        <v>15</v>
      </c>
      <c r="AA106" s="36" t="s">
        <v>16</v>
      </c>
      <c r="AB106" s="181">
        <f t="shared" si="15"/>
        <v>2</v>
      </c>
      <c r="AC106" s="181">
        <f t="shared" si="21"/>
        <v>3003.48</v>
      </c>
      <c r="AD106" s="181">
        <v>1.2</v>
      </c>
      <c r="AE106" s="181">
        <v>1.2</v>
      </c>
      <c r="AF106" s="101" t="str">
        <f t="shared" si="16"/>
        <v/>
      </c>
      <c r="AG106" s="190">
        <v>0</v>
      </c>
      <c r="AH106" s="69">
        <f t="shared" si="17"/>
        <v>2</v>
      </c>
    </row>
    <row r="107" spans="1:34" s="69" customFormat="1" ht="33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>
        <v>994.98</v>
      </c>
      <c r="I107" s="75">
        <v>994.98</v>
      </c>
      <c r="J107" s="91" t="s">
        <v>310</v>
      </c>
      <c r="K107" s="73"/>
      <c r="L107" s="46">
        <v>0</v>
      </c>
      <c r="M107" s="46">
        <v>0</v>
      </c>
      <c r="N107" s="46">
        <v>0</v>
      </c>
      <c r="O107" s="98"/>
      <c r="P107" s="23" t="s">
        <v>1471</v>
      </c>
      <c r="Q107" s="24" t="s">
        <v>309</v>
      </c>
      <c r="R107" s="25" t="s">
        <v>81</v>
      </c>
      <c r="S107" s="26">
        <v>1</v>
      </c>
      <c r="T107" s="26"/>
      <c r="U107" s="26">
        <f t="shared" si="19"/>
        <v>994.98</v>
      </c>
      <c r="V107" s="26">
        <f t="shared" si="18"/>
        <v>0</v>
      </c>
      <c r="W107" s="26">
        <f t="shared" si="13"/>
        <v>0</v>
      </c>
      <c r="X107" s="26">
        <f t="shared" si="20"/>
        <v>0</v>
      </c>
      <c r="Y107" s="26">
        <f t="shared" si="14"/>
        <v>0</v>
      </c>
      <c r="Z107" s="33" t="s">
        <v>15</v>
      </c>
      <c r="AA107" s="36" t="s">
        <v>16</v>
      </c>
      <c r="AB107" s="181">
        <f t="shared" si="15"/>
        <v>1</v>
      </c>
      <c r="AC107" s="181">
        <f t="shared" si="21"/>
        <v>994.98</v>
      </c>
      <c r="AD107" s="181">
        <v>1.2</v>
      </c>
      <c r="AE107" s="181">
        <v>1.2</v>
      </c>
      <c r="AF107" s="101" t="str">
        <f t="shared" si="16"/>
        <v/>
      </c>
      <c r="AG107" s="190">
        <v>0</v>
      </c>
      <c r="AH107" s="69">
        <f t="shared" si="17"/>
        <v>1</v>
      </c>
    </row>
    <row r="108" spans="1:34" s="69" customFormat="1" ht="33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>
        <v>331.66</v>
      </c>
      <c r="I108" s="75">
        <v>3979.92</v>
      </c>
      <c r="J108" s="91" t="s">
        <v>313</v>
      </c>
      <c r="K108" s="73"/>
      <c r="L108" s="46">
        <v>0</v>
      </c>
      <c r="M108" s="46">
        <v>0</v>
      </c>
      <c r="N108" s="46">
        <v>0</v>
      </c>
      <c r="O108" s="98"/>
      <c r="P108" s="23" t="s">
        <v>1472</v>
      </c>
      <c r="Q108" s="24" t="s">
        <v>312</v>
      </c>
      <c r="R108" s="25" t="s">
        <v>81</v>
      </c>
      <c r="S108" s="26">
        <v>12</v>
      </c>
      <c r="T108" s="26"/>
      <c r="U108" s="26">
        <f t="shared" si="19"/>
        <v>331.66</v>
      </c>
      <c r="V108" s="26">
        <f t="shared" si="18"/>
        <v>0</v>
      </c>
      <c r="W108" s="26">
        <f t="shared" si="13"/>
        <v>0</v>
      </c>
      <c r="X108" s="26">
        <f t="shared" si="20"/>
        <v>0</v>
      </c>
      <c r="Y108" s="26">
        <f t="shared" si="14"/>
        <v>0</v>
      </c>
      <c r="Z108" s="33" t="s">
        <v>15</v>
      </c>
      <c r="AA108" s="36" t="s">
        <v>16</v>
      </c>
      <c r="AB108" s="181">
        <f t="shared" si="15"/>
        <v>12</v>
      </c>
      <c r="AC108" s="181">
        <f t="shared" si="21"/>
        <v>3979.92</v>
      </c>
      <c r="AD108" s="181">
        <v>1.2</v>
      </c>
      <c r="AE108" s="181">
        <v>1.2</v>
      </c>
      <c r="AF108" s="101" t="str">
        <f t="shared" si="16"/>
        <v/>
      </c>
      <c r="AG108" s="190">
        <v>0</v>
      </c>
      <c r="AH108" s="69">
        <f t="shared" si="17"/>
        <v>12</v>
      </c>
    </row>
    <row r="109" spans="1:34" s="69" customFormat="1" ht="33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>
        <v>1096.44</v>
      </c>
      <c r="I109" s="75">
        <v>2192.88</v>
      </c>
      <c r="J109" s="91" t="s">
        <v>316</v>
      </c>
      <c r="K109" s="73"/>
      <c r="L109" s="46">
        <v>0</v>
      </c>
      <c r="M109" s="46">
        <v>0</v>
      </c>
      <c r="N109" s="46">
        <v>0</v>
      </c>
      <c r="O109" s="98"/>
      <c r="P109" s="23" t="s">
        <v>1473</v>
      </c>
      <c r="Q109" s="24" t="s">
        <v>315</v>
      </c>
      <c r="R109" s="25" t="s">
        <v>81</v>
      </c>
      <c r="S109" s="26">
        <v>2</v>
      </c>
      <c r="T109" s="26"/>
      <c r="U109" s="26">
        <f t="shared" si="19"/>
        <v>1096.44</v>
      </c>
      <c r="V109" s="26">
        <f t="shared" si="18"/>
        <v>0</v>
      </c>
      <c r="W109" s="26">
        <f t="shared" si="13"/>
        <v>0</v>
      </c>
      <c r="X109" s="26">
        <f t="shared" si="20"/>
        <v>0</v>
      </c>
      <c r="Y109" s="26">
        <f t="shared" si="14"/>
        <v>0</v>
      </c>
      <c r="Z109" s="33" t="s">
        <v>15</v>
      </c>
      <c r="AA109" s="36" t="s">
        <v>16</v>
      </c>
      <c r="AB109" s="181">
        <f t="shared" si="15"/>
        <v>2</v>
      </c>
      <c r="AC109" s="181">
        <f t="shared" si="21"/>
        <v>2192.88</v>
      </c>
      <c r="AD109" s="181">
        <v>1.2</v>
      </c>
      <c r="AE109" s="181">
        <v>1.2</v>
      </c>
      <c r="AF109" s="101" t="str">
        <f t="shared" si="16"/>
        <v/>
      </c>
      <c r="AG109" s="190">
        <v>0</v>
      </c>
      <c r="AH109" s="69">
        <f t="shared" si="17"/>
        <v>2</v>
      </c>
    </row>
    <row r="110" spans="1:34" s="69" customFormat="1" ht="33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>
        <v>952.24</v>
      </c>
      <c r="I110" s="75">
        <v>3808.96</v>
      </c>
      <c r="J110" s="91" t="s">
        <v>319</v>
      </c>
      <c r="K110" s="73"/>
      <c r="L110" s="46">
        <v>0</v>
      </c>
      <c r="M110" s="46">
        <v>0</v>
      </c>
      <c r="N110" s="46">
        <v>0</v>
      </c>
      <c r="O110" s="98"/>
      <c r="P110" s="23" t="s">
        <v>1474</v>
      </c>
      <c r="Q110" s="24" t="s">
        <v>318</v>
      </c>
      <c r="R110" s="25" t="s">
        <v>81</v>
      </c>
      <c r="S110" s="26">
        <v>4</v>
      </c>
      <c r="T110" s="26"/>
      <c r="U110" s="26">
        <f t="shared" si="19"/>
        <v>952.24</v>
      </c>
      <c r="V110" s="26">
        <f t="shared" si="18"/>
        <v>0</v>
      </c>
      <c r="W110" s="26">
        <f t="shared" si="13"/>
        <v>0</v>
      </c>
      <c r="X110" s="26">
        <f t="shared" si="20"/>
        <v>0</v>
      </c>
      <c r="Y110" s="26">
        <f t="shared" si="14"/>
        <v>0</v>
      </c>
      <c r="Z110" s="33" t="s">
        <v>15</v>
      </c>
      <c r="AA110" s="36" t="s">
        <v>16</v>
      </c>
      <c r="AB110" s="181">
        <f t="shared" si="15"/>
        <v>4</v>
      </c>
      <c r="AC110" s="181">
        <f t="shared" si="21"/>
        <v>3808.96</v>
      </c>
      <c r="AD110" s="181">
        <v>1.2</v>
      </c>
      <c r="AE110" s="181">
        <v>1.2</v>
      </c>
      <c r="AF110" s="101" t="str">
        <f t="shared" si="16"/>
        <v/>
      </c>
      <c r="AG110" s="190">
        <v>0</v>
      </c>
      <c r="AH110" s="69">
        <f t="shared" si="17"/>
        <v>4</v>
      </c>
    </row>
    <row r="111" spans="1:34" s="69" customFormat="1" ht="58.5" x14ac:dyDescent="0.3">
      <c r="A111" s="55" t="s">
        <v>320</v>
      </c>
      <c r="B111" s="53" t="s">
        <v>321</v>
      </c>
      <c r="C111" s="54" t="s">
        <v>50</v>
      </c>
      <c r="D111" s="75">
        <v>676.98</v>
      </c>
      <c r="E111" s="75">
        <v>773.78</v>
      </c>
      <c r="F111" s="75"/>
      <c r="G111" s="75"/>
      <c r="H111" s="75">
        <v>647.70000000000005</v>
      </c>
      <c r="I111" s="75">
        <v>501177.31</v>
      </c>
      <c r="J111" s="91" t="s">
        <v>322</v>
      </c>
      <c r="K111" s="73"/>
      <c r="L111" s="46">
        <v>239.83</v>
      </c>
      <c r="M111" s="46">
        <v>0</v>
      </c>
      <c r="N111" s="46">
        <v>155337.89000000001</v>
      </c>
      <c r="O111" s="98"/>
      <c r="P111" s="23" t="s">
        <v>1475</v>
      </c>
      <c r="Q111" s="24" t="s">
        <v>321</v>
      </c>
      <c r="R111" s="25" t="s">
        <v>50</v>
      </c>
      <c r="S111" s="26">
        <v>676.98</v>
      </c>
      <c r="T111" s="26">
        <v>773.78</v>
      </c>
      <c r="U111" s="26">
        <f t="shared" si="19"/>
        <v>647.70000000000005</v>
      </c>
      <c r="V111" s="127">
        <f t="shared" si="18"/>
        <v>0</v>
      </c>
      <c r="W111" s="127">
        <f t="shared" si="13"/>
        <v>239.83</v>
      </c>
      <c r="X111" s="127">
        <f t="shared" si="20"/>
        <v>0</v>
      </c>
      <c r="Y111" s="127">
        <f t="shared" si="14"/>
        <v>155337.89000000001</v>
      </c>
      <c r="Z111" s="27" t="s">
        <v>15</v>
      </c>
      <c r="AA111" s="36" t="s">
        <v>16</v>
      </c>
      <c r="AB111" s="181">
        <f t="shared" si="15"/>
        <v>773.78</v>
      </c>
      <c r="AC111" s="181">
        <f t="shared" si="21"/>
        <v>501177.31</v>
      </c>
      <c r="AD111" s="181">
        <v>1.2</v>
      </c>
      <c r="AE111" s="181">
        <v>1.2</v>
      </c>
      <c r="AF111" s="101" t="str">
        <f t="shared" si="16"/>
        <v/>
      </c>
      <c r="AG111" s="190">
        <v>239.83</v>
      </c>
      <c r="AH111" s="69">
        <f t="shared" si="17"/>
        <v>773.78</v>
      </c>
    </row>
    <row r="112" spans="1:34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>
        <v>10413.299999999999</v>
      </c>
      <c r="I112" s="75">
        <v>20826.599999999999</v>
      </c>
      <c r="J112" s="91" t="s">
        <v>326</v>
      </c>
      <c r="K112" s="73"/>
      <c r="L112" s="46">
        <v>0</v>
      </c>
      <c r="M112" s="46">
        <v>0</v>
      </c>
      <c r="N112" s="46">
        <v>0</v>
      </c>
      <c r="O112" s="98"/>
      <c r="P112" s="23" t="s">
        <v>1476</v>
      </c>
      <c r="Q112" s="24" t="s">
        <v>324</v>
      </c>
      <c r="R112" s="25" t="s">
        <v>325</v>
      </c>
      <c r="S112" s="26">
        <v>2</v>
      </c>
      <c r="T112" s="26"/>
      <c r="U112" s="26">
        <f t="shared" si="19"/>
        <v>10413.299999999999</v>
      </c>
      <c r="V112" s="26">
        <f t="shared" si="18"/>
        <v>0</v>
      </c>
      <c r="W112" s="26">
        <f t="shared" si="13"/>
        <v>0</v>
      </c>
      <c r="X112" s="26">
        <f t="shared" si="20"/>
        <v>0</v>
      </c>
      <c r="Y112" s="26">
        <f t="shared" si="14"/>
        <v>0</v>
      </c>
      <c r="Z112" s="33" t="s">
        <v>15</v>
      </c>
      <c r="AA112" s="36" t="s">
        <v>16</v>
      </c>
      <c r="AB112" s="181">
        <f t="shared" si="15"/>
        <v>2</v>
      </c>
      <c r="AC112" s="181">
        <f t="shared" si="21"/>
        <v>20826.599999999999</v>
      </c>
      <c r="AD112" s="181">
        <v>1.2</v>
      </c>
      <c r="AE112" s="181">
        <v>1.2</v>
      </c>
      <c r="AF112" s="101" t="str">
        <f t="shared" si="16"/>
        <v/>
      </c>
      <c r="AG112" s="190">
        <v>0</v>
      </c>
      <c r="AH112" s="69">
        <f t="shared" si="17"/>
        <v>2</v>
      </c>
    </row>
    <row r="113" spans="1:34" s="69" customFormat="1" ht="33" x14ac:dyDescent="0.3">
      <c r="A113" s="55" t="s">
        <v>327</v>
      </c>
      <c r="B113" s="53" t="s">
        <v>328</v>
      </c>
      <c r="C113" s="54" t="s">
        <v>81</v>
      </c>
      <c r="D113" s="75">
        <v>1</v>
      </c>
      <c r="E113" s="75"/>
      <c r="F113" s="75"/>
      <c r="G113" s="75"/>
      <c r="H113" s="75">
        <v>101421.35</v>
      </c>
      <c r="I113" s="75">
        <v>101421.35</v>
      </c>
      <c r="J113" s="91" t="s">
        <v>329</v>
      </c>
      <c r="K113" s="73"/>
      <c r="L113" s="46">
        <v>0</v>
      </c>
      <c r="M113" s="46">
        <v>0</v>
      </c>
      <c r="N113" s="46">
        <v>0</v>
      </c>
      <c r="O113" s="98"/>
      <c r="P113" s="23" t="s">
        <v>1477</v>
      </c>
      <c r="Q113" s="24" t="s">
        <v>328</v>
      </c>
      <c r="R113" s="25" t="s">
        <v>81</v>
      </c>
      <c r="S113" s="26">
        <v>1</v>
      </c>
      <c r="T113" s="26"/>
      <c r="U113" s="26">
        <f t="shared" si="19"/>
        <v>101421.35</v>
      </c>
      <c r="V113" s="26">
        <f t="shared" si="18"/>
        <v>0</v>
      </c>
      <c r="W113" s="26">
        <f t="shared" si="13"/>
        <v>0</v>
      </c>
      <c r="X113" s="26">
        <f t="shared" si="20"/>
        <v>0</v>
      </c>
      <c r="Y113" s="26">
        <f t="shared" si="14"/>
        <v>0</v>
      </c>
      <c r="Z113" s="33" t="s">
        <v>15</v>
      </c>
      <c r="AA113" s="36" t="s">
        <v>16</v>
      </c>
      <c r="AB113" s="181">
        <f t="shared" si="15"/>
        <v>1</v>
      </c>
      <c r="AC113" s="181">
        <f t="shared" si="21"/>
        <v>101421.35</v>
      </c>
      <c r="AD113" s="181">
        <v>1.2</v>
      </c>
      <c r="AE113" s="181">
        <v>1.2</v>
      </c>
      <c r="AF113" s="101" t="str">
        <f t="shared" si="16"/>
        <v/>
      </c>
      <c r="AG113" s="190">
        <v>0</v>
      </c>
      <c r="AH113" s="69">
        <f t="shared" si="17"/>
        <v>1</v>
      </c>
    </row>
    <row r="114" spans="1:34" s="69" customFormat="1" ht="33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>
        <v>4575.26</v>
      </c>
      <c r="I114" s="75">
        <v>13725.78</v>
      </c>
      <c r="J114" s="91" t="s">
        <v>332</v>
      </c>
      <c r="K114" s="73"/>
      <c r="L114" s="46">
        <v>0</v>
      </c>
      <c r="M114" s="46">
        <v>0</v>
      </c>
      <c r="N114" s="46">
        <v>0</v>
      </c>
      <c r="O114" s="98"/>
      <c r="P114" s="23" t="s">
        <v>1478</v>
      </c>
      <c r="Q114" s="24" t="s">
        <v>331</v>
      </c>
      <c r="R114" s="25" t="s">
        <v>325</v>
      </c>
      <c r="S114" s="26">
        <v>3</v>
      </c>
      <c r="T114" s="26"/>
      <c r="U114" s="26">
        <f t="shared" si="19"/>
        <v>4575.26</v>
      </c>
      <c r="V114" s="26">
        <f t="shared" si="18"/>
        <v>0</v>
      </c>
      <c r="W114" s="26">
        <f t="shared" si="13"/>
        <v>0</v>
      </c>
      <c r="X114" s="26">
        <f t="shared" si="20"/>
        <v>0</v>
      </c>
      <c r="Y114" s="26">
        <f t="shared" si="14"/>
        <v>0</v>
      </c>
      <c r="Z114" s="33" t="s">
        <v>15</v>
      </c>
      <c r="AA114" s="36" t="s">
        <v>16</v>
      </c>
      <c r="AB114" s="181">
        <f t="shared" si="15"/>
        <v>3</v>
      </c>
      <c r="AC114" s="181">
        <f t="shared" si="21"/>
        <v>13725.78</v>
      </c>
      <c r="AD114" s="181">
        <v>1.2</v>
      </c>
      <c r="AE114" s="181">
        <v>1.2</v>
      </c>
      <c r="AF114" s="101" t="str">
        <f t="shared" si="16"/>
        <v/>
      </c>
      <c r="AG114" s="190">
        <v>0</v>
      </c>
      <c r="AH114" s="69">
        <f t="shared" si="17"/>
        <v>3</v>
      </c>
    </row>
    <row r="115" spans="1:34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>
        <v>12634.43</v>
      </c>
      <c r="I115" s="75">
        <v>12634.43</v>
      </c>
      <c r="J115" s="91" t="s">
        <v>335</v>
      </c>
      <c r="K115" s="73"/>
      <c r="L115" s="46">
        <v>0</v>
      </c>
      <c r="M115" s="46">
        <v>0</v>
      </c>
      <c r="N115" s="46">
        <v>0</v>
      </c>
      <c r="O115" s="98"/>
      <c r="P115" s="23" t="s">
        <v>1479</v>
      </c>
      <c r="Q115" s="24" t="s">
        <v>334</v>
      </c>
      <c r="R115" s="25" t="s">
        <v>81</v>
      </c>
      <c r="S115" s="26">
        <v>1</v>
      </c>
      <c r="T115" s="26"/>
      <c r="U115" s="26">
        <f t="shared" si="19"/>
        <v>12634.43</v>
      </c>
      <c r="V115" s="26">
        <f t="shared" si="18"/>
        <v>0</v>
      </c>
      <c r="W115" s="26">
        <f t="shared" si="13"/>
        <v>0</v>
      </c>
      <c r="X115" s="26">
        <f t="shared" si="20"/>
        <v>0</v>
      </c>
      <c r="Y115" s="26">
        <f t="shared" si="14"/>
        <v>0</v>
      </c>
      <c r="Z115" s="33" t="s">
        <v>15</v>
      </c>
      <c r="AA115" s="36" t="s">
        <v>16</v>
      </c>
      <c r="AB115" s="181">
        <f t="shared" si="15"/>
        <v>1</v>
      </c>
      <c r="AC115" s="181">
        <f t="shared" si="21"/>
        <v>12634.43</v>
      </c>
      <c r="AD115" s="181">
        <v>1.2</v>
      </c>
      <c r="AE115" s="181">
        <v>1.2</v>
      </c>
      <c r="AF115" s="101" t="str">
        <f t="shared" si="16"/>
        <v/>
      </c>
      <c r="AG115" s="190">
        <v>0</v>
      </c>
      <c r="AH115" s="69">
        <f t="shared" si="17"/>
        <v>1</v>
      </c>
    </row>
    <row r="116" spans="1:34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>
        <v>15300</v>
      </c>
      <c r="I116" s="75">
        <v>974304</v>
      </c>
      <c r="J116" s="91" t="s">
        <v>339</v>
      </c>
      <c r="K116" s="73"/>
      <c r="L116" s="46">
        <v>0</v>
      </c>
      <c r="M116" s="46">
        <v>0</v>
      </c>
      <c r="N116" s="46">
        <v>0</v>
      </c>
      <c r="O116" s="98"/>
      <c r="P116" s="23" t="s">
        <v>1480</v>
      </c>
      <c r="Q116" s="24" t="s">
        <v>337</v>
      </c>
      <c r="R116" s="25" t="s">
        <v>338</v>
      </c>
      <c r="S116" s="26">
        <v>63.68</v>
      </c>
      <c r="T116" s="26"/>
      <c r="U116" s="26">
        <f t="shared" si="19"/>
        <v>15300</v>
      </c>
      <c r="V116" s="26">
        <f t="shared" si="18"/>
        <v>0</v>
      </c>
      <c r="W116" s="26">
        <f t="shared" si="13"/>
        <v>0</v>
      </c>
      <c r="X116" s="26">
        <f t="shared" si="20"/>
        <v>0</v>
      </c>
      <c r="Y116" s="26">
        <f t="shared" si="14"/>
        <v>0</v>
      </c>
      <c r="Z116" s="33" t="s">
        <v>15</v>
      </c>
      <c r="AA116" s="36" t="s">
        <v>16</v>
      </c>
      <c r="AB116" s="181">
        <f t="shared" si="15"/>
        <v>63.68</v>
      </c>
      <c r="AC116" s="181">
        <f t="shared" si="21"/>
        <v>974304</v>
      </c>
      <c r="AD116" s="181">
        <v>1.2</v>
      </c>
      <c r="AE116" s="181">
        <v>1.2</v>
      </c>
      <c r="AF116" s="101" t="str">
        <f t="shared" si="16"/>
        <v/>
      </c>
      <c r="AG116" s="190">
        <v>0</v>
      </c>
      <c r="AH116" s="69">
        <f t="shared" si="17"/>
        <v>63.68</v>
      </c>
    </row>
    <row r="117" spans="1:34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>
        <v>4498.58</v>
      </c>
      <c r="I117" s="75">
        <v>278911.96000000002</v>
      </c>
      <c r="J117" s="91" t="s">
        <v>342</v>
      </c>
      <c r="K117" s="73"/>
      <c r="L117" s="46">
        <v>8</v>
      </c>
      <c r="M117" s="46">
        <v>35988.639999999999</v>
      </c>
      <c r="N117" s="46">
        <v>35988.639999999999</v>
      </c>
      <c r="O117" s="98"/>
      <c r="P117" s="23" t="s">
        <v>1481</v>
      </c>
      <c r="Q117" s="24" t="s">
        <v>341</v>
      </c>
      <c r="R117" s="25" t="s">
        <v>81</v>
      </c>
      <c r="S117" s="26">
        <v>62</v>
      </c>
      <c r="T117" s="26"/>
      <c r="U117" s="26">
        <f t="shared" si="19"/>
        <v>4498.58</v>
      </c>
      <c r="V117" s="128">
        <f t="shared" si="18"/>
        <v>0</v>
      </c>
      <c r="W117" s="26">
        <f t="shared" si="13"/>
        <v>8</v>
      </c>
      <c r="X117" s="26">
        <f t="shared" si="20"/>
        <v>0</v>
      </c>
      <c r="Y117" s="26">
        <f t="shared" si="14"/>
        <v>35988.639999999999</v>
      </c>
      <c r="Z117" s="33" t="s">
        <v>15</v>
      </c>
      <c r="AA117" s="36" t="s">
        <v>16</v>
      </c>
      <c r="AB117" s="181">
        <f t="shared" si="15"/>
        <v>62</v>
      </c>
      <c r="AC117" s="181">
        <f t="shared" si="21"/>
        <v>278911.96000000002</v>
      </c>
      <c r="AD117" s="181">
        <v>1.2</v>
      </c>
      <c r="AE117" s="181">
        <v>1.2</v>
      </c>
      <c r="AF117" s="101" t="str">
        <f t="shared" si="16"/>
        <v/>
      </c>
      <c r="AG117" s="190">
        <v>8</v>
      </c>
      <c r="AH117" s="69">
        <f t="shared" si="17"/>
        <v>62</v>
      </c>
    </row>
    <row r="118" spans="1:34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>
        <v>3353.68</v>
      </c>
      <c r="I118" s="75">
        <v>50305.2</v>
      </c>
      <c r="J118" s="91" t="s">
        <v>345</v>
      </c>
      <c r="K118" s="73"/>
      <c r="L118" s="46">
        <v>0</v>
      </c>
      <c r="M118" s="46">
        <v>0</v>
      </c>
      <c r="N118" s="46">
        <v>0</v>
      </c>
      <c r="O118" s="98"/>
      <c r="P118" s="23" t="s">
        <v>1482</v>
      </c>
      <c r="Q118" s="24" t="s">
        <v>344</v>
      </c>
      <c r="R118" s="25" t="s">
        <v>81</v>
      </c>
      <c r="S118" s="26">
        <v>15</v>
      </c>
      <c r="T118" s="26"/>
      <c r="U118" s="26">
        <f t="shared" si="19"/>
        <v>3353.68</v>
      </c>
      <c r="V118" s="26">
        <f t="shared" si="18"/>
        <v>0</v>
      </c>
      <c r="W118" s="26">
        <f t="shared" si="13"/>
        <v>0</v>
      </c>
      <c r="X118" s="26">
        <f t="shared" si="20"/>
        <v>0</v>
      </c>
      <c r="Y118" s="26">
        <f t="shared" si="14"/>
        <v>0</v>
      </c>
      <c r="Z118" s="33" t="s">
        <v>15</v>
      </c>
      <c r="AA118" s="36" t="s">
        <v>16</v>
      </c>
      <c r="AB118" s="181">
        <f t="shared" si="15"/>
        <v>15</v>
      </c>
      <c r="AC118" s="181">
        <f t="shared" si="21"/>
        <v>50305.2</v>
      </c>
      <c r="AD118" s="181">
        <v>1.2</v>
      </c>
      <c r="AE118" s="181">
        <v>1.2</v>
      </c>
      <c r="AF118" s="101" t="str">
        <f t="shared" si="16"/>
        <v/>
      </c>
      <c r="AG118" s="190">
        <v>0</v>
      </c>
      <c r="AH118" s="69">
        <f t="shared" si="17"/>
        <v>15</v>
      </c>
    </row>
    <row r="119" spans="1:34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>
        <v>9874.4</v>
      </c>
      <c r="I119" s="75">
        <v>128367.2</v>
      </c>
      <c r="J119" s="91" t="s">
        <v>348</v>
      </c>
      <c r="K119" s="73"/>
      <c r="L119" s="46">
        <v>0</v>
      </c>
      <c r="M119" s="46">
        <v>0</v>
      </c>
      <c r="N119" s="46">
        <v>0</v>
      </c>
      <c r="O119" s="98"/>
      <c r="P119" s="23" t="s">
        <v>1483</v>
      </c>
      <c r="Q119" s="24" t="s">
        <v>347</v>
      </c>
      <c r="R119" s="25" t="s">
        <v>30</v>
      </c>
      <c r="S119" s="26">
        <v>13</v>
      </c>
      <c r="T119" s="26"/>
      <c r="U119" s="26">
        <f t="shared" si="19"/>
        <v>9874.4</v>
      </c>
      <c r="V119" s="26">
        <f t="shared" si="18"/>
        <v>0</v>
      </c>
      <c r="W119" s="26">
        <f t="shared" si="13"/>
        <v>0</v>
      </c>
      <c r="X119" s="26">
        <f t="shared" si="20"/>
        <v>0</v>
      </c>
      <c r="Y119" s="26">
        <f t="shared" si="14"/>
        <v>0</v>
      </c>
      <c r="Z119" s="33" t="s">
        <v>15</v>
      </c>
      <c r="AA119" s="36" t="s">
        <v>16</v>
      </c>
      <c r="AB119" s="181">
        <f t="shared" si="15"/>
        <v>13</v>
      </c>
      <c r="AC119" s="181">
        <f t="shared" si="21"/>
        <v>128367.2</v>
      </c>
      <c r="AD119" s="181">
        <v>1.2</v>
      </c>
      <c r="AE119" s="181">
        <v>1.2</v>
      </c>
      <c r="AF119" s="101" t="str">
        <f t="shared" si="16"/>
        <v/>
      </c>
      <c r="AG119" s="190">
        <v>0</v>
      </c>
      <c r="AH119" s="69">
        <f t="shared" si="17"/>
        <v>13</v>
      </c>
    </row>
    <row r="120" spans="1:34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>
        <v>6554.37</v>
      </c>
      <c r="I120" s="75">
        <v>273317.23</v>
      </c>
      <c r="J120" s="91" t="s">
        <v>351</v>
      </c>
      <c r="K120" s="73"/>
      <c r="L120" s="46">
        <v>0</v>
      </c>
      <c r="M120" s="46">
        <v>0</v>
      </c>
      <c r="N120" s="46">
        <v>0</v>
      </c>
      <c r="O120" s="98"/>
      <c r="P120" s="23" t="s">
        <v>1484</v>
      </c>
      <c r="Q120" s="24" t="s">
        <v>350</v>
      </c>
      <c r="R120" s="25" t="s">
        <v>30</v>
      </c>
      <c r="S120" s="26">
        <v>41.7</v>
      </c>
      <c r="T120" s="26"/>
      <c r="U120" s="26">
        <f t="shared" si="19"/>
        <v>6554.37</v>
      </c>
      <c r="V120" s="26">
        <f t="shared" si="18"/>
        <v>0</v>
      </c>
      <c r="W120" s="26">
        <f t="shared" si="13"/>
        <v>0</v>
      </c>
      <c r="X120" s="26">
        <f t="shared" si="20"/>
        <v>0</v>
      </c>
      <c r="Y120" s="26">
        <f t="shared" si="14"/>
        <v>0</v>
      </c>
      <c r="Z120" s="33" t="s">
        <v>15</v>
      </c>
      <c r="AA120" s="36" t="s">
        <v>16</v>
      </c>
      <c r="AB120" s="181">
        <f t="shared" si="15"/>
        <v>41.7</v>
      </c>
      <c r="AC120" s="181">
        <f t="shared" si="21"/>
        <v>273317.23</v>
      </c>
      <c r="AD120" s="181">
        <v>1.2</v>
      </c>
      <c r="AE120" s="181">
        <v>1.2</v>
      </c>
      <c r="AF120" s="101" t="str">
        <f t="shared" si="16"/>
        <v/>
      </c>
      <c r="AG120" s="190">
        <v>0</v>
      </c>
      <c r="AH120" s="69">
        <f t="shared" si="17"/>
        <v>41.7</v>
      </c>
    </row>
    <row r="121" spans="1:34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>
        <v>8390.73</v>
      </c>
      <c r="I121" s="75">
        <v>10907.95</v>
      </c>
      <c r="J121" s="91" t="s">
        <v>354</v>
      </c>
      <c r="K121" s="73"/>
      <c r="L121" s="46">
        <v>0</v>
      </c>
      <c r="M121" s="46">
        <v>0</v>
      </c>
      <c r="N121" s="46">
        <v>0</v>
      </c>
      <c r="O121" s="98"/>
      <c r="P121" s="23" t="s">
        <v>1485</v>
      </c>
      <c r="Q121" s="24" t="s">
        <v>353</v>
      </c>
      <c r="R121" s="25" t="s">
        <v>30</v>
      </c>
      <c r="S121" s="26">
        <v>1.3</v>
      </c>
      <c r="T121" s="26"/>
      <c r="U121" s="26">
        <f t="shared" si="19"/>
        <v>8390.73</v>
      </c>
      <c r="V121" s="26">
        <f t="shared" si="18"/>
        <v>0</v>
      </c>
      <c r="W121" s="26">
        <f t="shared" si="13"/>
        <v>0</v>
      </c>
      <c r="X121" s="26">
        <f t="shared" si="20"/>
        <v>0</v>
      </c>
      <c r="Y121" s="26">
        <f t="shared" si="14"/>
        <v>0</v>
      </c>
      <c r="Z121" s="33" t="s">
        <v>15</v>
      </c>
      <c r="AA121" s="36" t="s">
        <v>16</v>
      </c>
      <c r="AB121" s="181">
        <f t="shared" si="15"/>
        <v>1.3</v>
      </c>
      <c r="AC121" s="181">
        <f t="shared" si="21"/>
        <v>10907.95</v>
      </c>
      <c r="AD121" s="181">
        <v>1.2</v>
      </c>
      <c r="AE121" s="181">
        <v>1.2</v>
      </c>
      <c r="AF121" s="101" t="str">
        <f t="shared" si="16"/>
        <v/>
      </c>
      <c r="AG121" s="190">
        <v>0</v>
      </c>
      <c r="AH121" s="69">
        <f t="shared" si="17"/>
        <v>1.3</v>
      </c>
    </row>
    <row r="122" spans="1:34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>
        <v>671.99</v>
      </c>
      <c r="I122" s="75">
        <v>82184.38</v>
      </c>
      <c r="J122" s="91" t="s">
        <v>357</v>
      </c>
      <c r="K122" s="73"/>
      <c r="L122" s="46">
        <v>0</v>
      </c>
      <c r="M122" s="46">
        <v>0</v>
      </c>
      <c r="N122" s="46">
        <v>0</v>
      </c>
      <c r="O122" s="98"/>
      <c r="P122" s="23" t="s">
        <v>1486</v>
      </c>
      <c r="Q122" s="24" t="s">
        <v>356</v>
      </c>
      <c r="R122" s="25" t="s">
        <v>30</v>
      </c>
      <c r="S122" s="26">
        <v>122.3</v>
      </c>
      <c r="T122" s="26"/>
      <c r="U122" s="26">
        <f t="shared" si="19"/>
        <v>671.99</v>
      </c>
      <c r="V122" s="26">
        <f t="shared" si="18"/>
        <v>0</v>
      </c>
      <c r="W122" s="26">
        <f t="shared" si="13"/>
        <v>0</v>
      </c>
      <c r="X122" s="26">
        <f t="shared" si="20"/>
        <v>0</v>
      </c>
      <c r="Y122" s="26">
        <f t="shared" si="14"/>
        <v>0</v>
      </c>
      <c r="Z122" s="33" t="s">
        <v>15</v>
      </c>
      <c r="AA122" s="36" t="s">
        <v>16</v>
      </c>
      <c r="AB122" s="181">
        <f t="shared" si="15"/>
        <v>122.3</v>
      </c>
      <c r="AC122" s="181">
        <f t="shared" si="21"/>
        <v>82184.38</v>
      </c>
      <c r="AD122" s="181">
        <v>1.2</v>
      </c>
      <c r="AE122" s="181">
        <v>1.2</v>
      </c>
      <c r="AF122" s="101" t="str">
        <f t="shared" si="16"/>
        <v/>
      </c>
      <c r="AG122" s="190">
        <v>0</v>
      </c>
      <c r="AH122" s="69">
        <f t="shared" si="17"/>
        <v>122.3</v>
      </c>
    </row>
    <row r="123" spans="1:34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>
        <v>935.67</v>
      </c>
      <c r="I123" s="75">
        <v>94512.03</v>
      </c>
      <c r="J123" s="91" t="s">
        <v>360</v>
      </c>
      <c r="K123" s="73"/>
      <c r="L123" s="46">
        <v>0</v>
      </c>
      <c r="M123" s="46">
        <v>0</v>
      </c>
      <c r="N123" s="46">
        <v>0</v>
      </c>
      <c r="O123" s="98"/>
      <c r="P123" s="23" t="s">
        <v>1487</v>
      </c>
      <c r="Q123" s="24" t="s">
        <v>359</v>
      </c>
      <c r="R123" s="25" t="s">
        <v>30</v>
      </c>
      <c r="S123" s="26">
        <v>101.01</v>
      </c>
      <c r="T123" s="26"/>
      <c r="U123" s="26">
        <f t="shared" si="19"/>
        <v>935.67</v>
      </c>
      <c r="V123" s="26">
        <f t="shared" si="18"/>
        <v>0</v>
      </c>
      <c r="W123" s="26">
        <f t="shared" si="13"/>
        <v>0</v>
      </c>
      <c r="X123" s="26">
        <f t="shared" si="20"/>
        <v>0</v>
      </c>
      <c r="Y123" s="26">
        <f t="shared" si="14"/>
        <v>0</v>
      </c>
      <c r="Z123" s="33" t="s">
        <v>15</v>
      </c>
      <c r="AA123" s="36" t="s">
        <v>16</v>
      </c>
      <c r="AB123" s="181">
        <f t="shared" si="15"/>
        <v>101.01</v>
      </c>
      <c r="AC123" s="181">
        <f t="shared" si="21"/>
        <v>94512.03</v>
      </c>
      <c r="AD123" s="181">
        <v>1.2</v>
      </c>
      <c r="AE123" s="181">
        <v>1.2</v>
      </c>
      <c r="AF123" s="101" t="str">
        <f t="shared" si="16"/>
        <v/>
      </c>
      <c r="AG123" s="190">
        <v>0</v>
      </c>
      <c r="AH123" s="69">
        <f t="shared" si="17"/>
        <v>101.01</v>
      </c>
    </row>
    <row r="124" spans="1:34" s="69" customFormat="1" ht="33" x14ac:dyDescent="0.3">
      <c r="A124" s="55" t="s">
        <v>361</v>
      </c>
      <c r="B124" s="53" t="s">
        <v>362</v>
      </c>
      <c r="C124" s="54" t="s">
        <v>30</v>
      </c>
      <c r="D124" s="75">
        <v>489</v>
      </c>
      <c r="E124" s="75"/>
      <c r="F124" s="75"/>
      <c r="G124" s="75"/>
      <c r="H124" s="75">
        <v>658.31</v>
      </c>
      <c r="I124" s="75">
        <v>321913.59000000003</v>
      </c>
      <c r="J124" s="91" t="s">
        <v>363</v>
      </c>
      <c r="K124" s="73"/>
      <c r="L124" s="46">
        <v>30</v>
      </c>
      <c r="M124" s="46">
        <v>19749.3</v>
      </c>
      <c r="N124" s="46">
        <v>19749.3</v>
      </c>
      <c r="O124" s="98"/>
      <c r="P124" s="23" t="s">
        <v>1488</v>
      </c>
      <c r="Q124" s="24" t="s">
        <v>362</v>
      </c>
      <c r="R124" s="25" t="s">
        <v>30</v>
      </c>
      <c r="S124" s="26">
        <v>489</v>
      </c>
      <c r="T124" s="26"/>
      <c r="U124" s="26">
        <f t="shared" si="19"/>
        <v>658.31</v>
      </c>
      <c r="V124" s="128">
        <f t="shared" si="18"/>
        <v>0</v>
      </c>
      <c r="W124" s="26">
        <f t="shared" si="13"/>
        <v>30</v>
      </c>
      <c r="X124" s="26">
        <f t="shared" si="20"/>
        <v>0</v>
      </c>
      <c r="Y124" s="26">
        <f t="shared" si="14"/>
        <v>19749.3</v>
      </c>
      <c r="Z124" s="33" t="s">
        <v>15</v>
      </c>
      <c r="AA124" s="36" t="s">
        <v>16</v>
      </c>
      <c r="AB124" s="181">
        <f t="shared" si="15"/>
        <v>489</v>
      </c>
      <c r="AC124" s="181">
        <f t="shared" si="21"/>
        <v>321913.59000000003</v>
      </c>
      <c r="AD124" s="181">
        <v>1.2</v>
      </c>
      <c r="AE124" s="181">
        <v>1.2</v>
      </c>
      <c r="AF124" s="101" t="str">
        <f t="shared" si="16"/>
        <v/>
      </c>
      <c r="AG124" s="190">
        <v>30</v>
      </c>
      <c r="AH124" s="69">
        <f t="shared" si="17"/>
        <v>489</v>
      </c>
    </row>
    <row r="125" spans="1:34" s="69" customFormat="1" ht="33" x14ac:dyDescent="0.3">
      <c r="A125" s="55" t="s">
        <v>364</v>
      </c>
      <c r="B125" s="53" t="s">
        <v>3111</v>
      </c>
      <c r="C125" s="54" t="s">
        <v>30</v>
      </c>
      <c r="D125" s="75">
        <v>216</v>
      </c>
      <c r="E125" s="75"/>
      <c r="F125" s="75"/>
      <c r="G125" s="75"/>
      <c r="H125" s="75">
        <v>730.41</v>
      </c>
      <c r="I125" s="75">
        <v>157768.56</v>
      </c>
      <c r="J125" s="91" t="s">
        <v>366</v>
      </c>
      <c r="K125" s="73"/>
      <c r="L125" s="46">
        <v>120</v>
      </c>
      <c r="M125" s="46">
        <v>87649.2</v>
      </c>
      <c r="N125" s="46">
        <v>87649.2</v>
      </c>
      <c r="O125" s="98"/>
      <c r="P125" s="23" t="s">
        <v>1489</v>
      </c>
      <c r="Q125" s="24" t="s">
        <v>365</v>
      </c>
      <c r="R125" s="25" t="s">
        <v>30</v>
      </c>
      <c r="S125" s="26">
        <v>216</v>
      </c>
      <c r="T125" s="26"/>
      <c r="U125" s="26">
        <f t="shared" si="19"/>
        <v>730.41</v>
      </c>
      <c r="V125" s="128">
        <f t="shared" si="18"/>
        <v>0</v>
      </c>
      <c r="W125" s="26">
        <f t="shared" si="13"/>
        <v>120</v>
      </c>
      <c r="X125" s="26">
        <f t="shared" si="20"/>
        <v>0</v>
      </c>
      <c r="Y125" s="26">
        <f t="shared" si="14"/>
        <v>87649.2</v>
      </c>
      <c r="Z125" s="33" t="s">
        <v>15</v>
      </c>
      <c r="AA125" s="36" t="s">
        <v>16</v>
      </c>
      <c r="AB125" s="181">
        <f t="shared" si="15"/>
        <v>216</v>
      </c>
      <c r="AC125" s="181">
        <f t="shared" si="21"/>
        <v>157768.56</v>
      </c>
      <c r="AD125" s="181">
        <v>1.2</v>
      </c>
      <c r="AE125" s="181">
        <v>1.2</v>
      </c>
      <c r="AF125" s="101" t="str">
        <f t="shared" si="16"/>
        <v/>
      </c>
      <c r="AG125" s="190">
        <v>120</v>
      </c>
      <c r="AH125" s="69">
        <f t="shared" si="17"/>
        <v>216</v>
      </c>
    </row>
    <row r="126" spans="1:34" s="69" customFormat="1" ht="33" x14ac:dyDescent="0.3">
      <c r="A126" s="55" t="s">
        <v>367</v>
      </c>
      <c r="B126" s="53" t="s">
        <v>368</v>
      </c>
      <c r="C126" s="54" t="s">
        <v>30</v>
      </c>
      <c r="D126" s="75">
        <v>45.16</v>
      </c>
      <c r="E126" s="75"/>
      <c r="F126" s="75"/>
      <c r="G126" s="75"/>
      <c r="H126" s="75">
        <v>406.4</v>
      </c>
      <c r="I126" s="75">
        <v>18353.02</v>
      </c>
      <c r="J126" s="91" t="s">
        <v>369</v>
      </c>
      <c r="K126" s="73"/>
      <c r="L126" s="46">
        <v>0</v>
      </c>
      <c r="M126" s="46">
        <v>0</v>
      </c>
      <c r="N126" s="46">
        <v>0</v>
      </c>
      <c r="O126" s="98"/>
      <c r="P126" s="23" t="s">
        <v>1398</v>
      </c>
      <c r="Q126" s="24" t="s">
        <v>368</v>
      </c>
      <c r="R126" s="25" t="s">
        <v>30</v>
      </c>
      <c r="S126" s="26">
        <v>45.16</v>
      </c>
      <c r="T126" s="26"/>
      <c r="U126" s="26">
        <f t="shared" si="19"/>
        <v>406.4</v>
      </c>
      <c r="V126" s="26">
        <f t="shared" si="18"/>
        <v>0</v>
      </c>
      <c r="W126" s="26">
        <f t="shared" si="13"/>
        <v>0</v>
      </c>
      <c r="X126" s="26">
        <f t="shared" si="20"/>
        <v>0</v>
      </c>
      <c r="Y126" s="26">
        <f t="shared" si="14"/>
        <v>0</v>
      </c>
      <c r="Z126" s="33" t="s">
        <v>15</v>
      </c>
      <c r="AA126" s="36" t="s">
        <v>16</v>
      </c>
      <c r="AB126" s="181">
        <f t="shared" si="15"/>
        <v>45.16</v>
      </c>
      <c r="AC126" s="181">
        <f t="shared" si="21"/>
        <v>18353.02</v>
      </c>
      <c r="AD126" s="181">
        <v>1.2</v>
      </c>
      <c r="AE126" s="181">
        <v>1.2</v>
      </c>
      <c r="AF126" s="101" t="str">
        <f t="shared" si="16"/>
        <v/>
      </c>
      <c r="AG126" s="190">
        <v>0</v>
      </c>
      <c r="AH126" s="69">
        <f t="shared" si="17"/>
        <v>45.16</v>
      </c>
    </row>
    <row r="127" spans="1:34" s="69" customFormat="1" ht="33" x14ac:dyDescent="0.3">
      <c r="A127" s="55" t="s">
        <v>370</v>
      </c>
      <c r="B127" s="53" t="s">
        <v>371</v>
      </c>
      <c r="C127" s="54" t="s">
        <v>30</v>
      </c>
      <c r="D127" s="75">
        <v>116.8</v>
      </c>
      <c r="E127" s="75"/>
      <c r="F127" s="75"/>
      <c r="G127" s="75"/>
      <c r="H127" s="75">
        <v>457.9</v>
      </c>
      <c r="I127" s="75">
        <v>53482.720000000001</v>
      </c>
      <c r="J127" s="91" t="s">
        <v>372</v>
      </c>
      <c r="K127" s="73"/>
      <c r="L127" s="46">
        <v>0</v>
      </c>
      <c r="M127" s="46">
        <v>0</v>
      </c>
      <c r="N127" s="46">
        <v>0</v>
      </c>
      <c r="O127" s="98"/>
      <c r="P127" s="23" t="s">
        <v>1399</v>
      </c>
      <c r="Q127" s="24" t="s">
        <v>371</v>
      </c>
      <c r="R127" s="25" t="s">
        <v>30</v>
      </c>
      <c r="S127" s="26">
        <v>116.8</v>
      </c>
      <c r="T127" s="26"/>
      <c r="U127" s="26">
        <f t="shared" si="19"/>
        <v>457.9</v>
      </c>
      <c r="V127" s="26">
        <f t="shared" si="18"/>
        <v>0</v>
      </c>
      <c r="W127" s="26">
        <f t="shared" si="13"/>
        <v>0</v>
      </c>
      <c r="X127" s="26">
        <f t="shared" si="20"/>
        <v>0</v>
      </c>
      <c r="Y127" s="26">
        <f t="shared" si="14"/>
        <v>0</v>
      </c>
      <c r="Z127" s="33" t="s">
        <v>15</v>
      </c>
      <c r="AA127" s="36" t="s">
        <v>16</v>
      </c>
      <c r="AB127" s="181">
        <f t="shared" si="15"/>
        <v>116.8</v>
      </c>
      <c r="AC127" s="181">
        <f t="shared" si="21"/>
        <v>53482.720000000001</v>
      </c>
      <c r="AD127" s="181">
        <v>1.2</v>
      </c>
      <c r="AE127" s="181">
        <v>1.2</v>
      </c>
      <c r="AF127" s="101" t="str">
        <f t="shared" si="16"/>
        <v/>
      </c>
      <c r="AG127" s="190">
        <v>0</v>
      </c>
      <c r="AH127" s="69">
        <f t="shared" si="17"/>
        <v>116.8</v>
      </c>
    </row>
    <row r="128" spans="1:34" s="69" customFormat="1" ht="33" x14ac:dyDescent="0.3">
      <c r="A128" s="55" t="s">
        <v>373</v>
      </c>
      <c r="B128" s="53" t="s">
        <v>374</v>
      </c>
      <c r="C128" s="54" t="s">
        <v>30</v>
      </c>
      <c r="D128" s="75">
        <v>25.8</v>
      </c>
      <c r="E128" s="75"/>
      <c r="F128" s="75"/>
      <c r="G128" s="75"/>
      <c r="H128" s="75">
        <v>499.1</v>
      </c>
      <c r="I128" s="75">
        <v>12876.78</v>
      </c>
      <c r="J128" s="91" t="s">
        <v>375</v>
      </c>
      <c r="K128" s="73"/>
      <c r="L128" s="46">
        <v>0</v>
      </c>
      <c r="M128" s="46">
        <v>0</v>
      </c>
      <c r="N128" s="46">
        <v>0</v>
      </c>
      <c r="O128" s="98"/>
      <c r="P128" s="23" t="s">
        <v>1490</v>
      </c>
      <c r="Q128" s="24" t="s">
        <v>374</v>
      </c>
      <c r="R128" s="25" t="s">
        <v>30</v>
      </c>
      <c r="S128" s="26">
        <v>25.8</v>
      </c>
      <c r="T128" s="26"/>
      <c r="U128" s="26">
        <f t="shared" si="19"/>
        <v>499.1</v>
      </c>
      <c r="V128" s="26">
        <f t="shared" si="18"/>
        <v>0</v>
      </c>
      <c r="W128" s="26">
        <f t="shared" si="13"/>
        <v>0</v>
      </c>
      <c r="X128" s="26">
        <f t="shared" si="20"/>
        <v>0</v>
      </c>
      <c r="Y128" s="26">
        <f t="shared" si="14"/>
        <v>0</v>
      </c>
      <c r="Z128" s="33" t="s">
        <v>15</v>
      </c>
      <c r="AA128" s="36" t="s">
        <v>16</v>
      </c>
      <c r="AB128" s="181">
        <f t="shared" si="15"/>
        <v>25.8</v>
      </c>
      <c r="AC128" s="181">
        <f t="shared" si="21"/>
        <v>12876.78</v>
      </c>
      <c r="AD128" s="181">
        <v>1.2</v>
      </c>
      <c r="AE128" s="181">
        <v>1.2</v>
      </c>
      <c r="AF128" s="101" t="str">
        <f t="shared" si="16"/>
        <v/>
      </c>
      <c r="AG128" s="190">
        <v>0</v>
      </c>
      <c r="AH128" s="69">
        <f t="shared" si="17"/>
        <v>25.8</v>
      </c>
    </row>
    <row r="129" spans="1:37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>
        <v>545.85</v>
      </c>
      <c r="I129" s="75">
        <v>29415.86</v>
      </c>
      <c r="J129" s="91" t="s">
        <v>378</v>
      </c>
      <c r="K129" s="73"/>
      <c r="L129" s="46">
        <v>0</v>
      </c>
      <c r="M129" s="46">
        <v>0</v>
      </c>
      <c r="N129" s="46">
        <v>0</v>
      </c>
      <c r="O129" s="98"/>
      <c r="P129" s="23" t="s">
        <v>1491</v>
      </c>
      <c r="Q129" s="24" t="s">
        <v>377</v>
      </c>
      <c r="R129" s="25" t="s">
        <v>30</v>
      </c>
      <c r="S129" s="26">
        <v>53.89</v>
      </c>
      <c r="T129" s="26"/>
      <c r="U129" s="26">
        <f t="shared" si="19"/>
        <v>545.85</v>
      </c>
      <c r="V129" s="26">
        <f t="shared" si="18"/>
        <v>0</v>
      </c>
      <c r="W129" s="26">
        <f t="shared" si="13"/>
        <v>0</v>
      </c>
      <c r="X129" s="26">
        <f t="shared" si="20"/>
        <v>0</v>
      </c>
      <c r="Y129" s="26">
        <f t="shared" si="14"/>
        <v>0</v>
      </c>
      <c r="Z129" s="33" t="s">
        <v>15</v>
      </c>
      <c r="AA129" s="36" t="s">
        <v>16</v>
      </c>
      <c r="AB129" s="181">
        <f t="shared" si="15"/>
        <v>53.89</v>
      </c>
      <c r="AC129" s="181">
        <f t="shared" si="21"/>
        <v>29415.86</v>
      </c>
      <c r="AD129" s="181">
        <v>1.2</v>
      </c>
      <c r="AE129" s="181">
        <v>1.2</v>
      </c>
      <c r="AF129" s="101" t="str">
        <f t="shared" si="16"/>
        <v/>
      </c>
      <c r="AG129" s="190">
        <v>0</v>
      </c>
      <c r="AH129" s="69">
        <f t="shared" si="17"/>
        <v>53.89</v>
      </c>
    </row>
    <row r="130" spans="1:37" s="69" customFormat="1" ht="33" x14ac:dyDescent="0.3">
      <c r="A130" s="55" t="s">
        <v>379</v>
      </c>
      <c r="B130" s="53" t="s">
        <v>380</v>
      </c>
      <c r="C130" s="54" t="s">
        <v>30</v>
      </c>
      <c r="D130" s="75">
        <v>21</v>
      </c>
      <c r="E130" s="75"/>
      <c r="F130" s="75"/>
      <c r="G130" s="75"/>
      <c r="H130" s="75">
        <v>644.09</v>
      </c>
      <c r="I130" s="75">
        <v>13525.89</v>
      </c>
      <c r="J130" s="91" t="s">
        <v>381</v>
      </c>
      <c r="K130" s="73"/>
      <c r="L130" s="46">
        <v>0</v>
      </c>
      <c r="M130" s="46">
        <v>0</v>
      </c>
      <c r="N130" s="46">
        <v>0</v>
      </c>
      <c r="O130" s="98"/>
      <c r="P130" s="23" t="s">
        <v>1492</v>
      </c>
      <c r="Q130" s="24" t="s">
        <v>380</v>
      </c>
      <c r="R130" s="25" t="s">
        <v>30</v>
      </c>
      <c r="S130" s="26">
        <v>21</v>
      </c>
      <c r="T130" s="26"/>
      <c r="U130" s="26">
        <f t="shared" si="19"/>
        <v>644.09</v>
      </c>
      <c r="V130" s="26">
        <f t="shared" si="18"/>
        <v>0</v>
      </c>
      <c r="W130" s="26">
        <f t="shared" si="13"/>
        <v>0</v>
      </c>
      <c r="X130" s="26">
        <f t="shared" si="20"/>
        <v>0</v>
      </c>
      <c r="Y130" s="26">
        <f t="shared" si="14"/>
        <v>0</v>
      </c>
      <c r="Z130" s="33" t="s">
        <v>15</v>
      </c>
      <c r="AA130" s="36" t="s">
        <v>16</v>
      </c>
      <c r="AB130" s="181">
        <f t="shared" si="15"/>
        <v>21</v>
      </c>
      <c r="AC130" s="181">
        <f t="shared" si="21"/>
        <v>13525.89</v>
      </c>
      <c r="AD130" s="181">
        <v>1.2</v>
      </c>
      <c r="AE130" s="181">
        <v>1.2</v>
      </c>
      <c r="AF130" s="101" t="str">
        <f t="shared" si="16"/>
        <v/>
      </c>
      <c r="AG130" s="190">
        <v>0</v>
      </c>
      <c r="AH130" s="69">
        <f t="shared" si="17"/>
        <v>21</v>
      </c>
    </row>
    <row r="131" spans="1:37" s="69" customFormat="1" ht="33" x14ac:dyDescent="0.3">
      <c r="A131" s="55" t="s">
        <v>382</v>
      </c>
      <c r="B131" s="53" t="s">
        <v>383</v>
      </c>
      <c r="C131" s="54" t="s">
        <v>30</v>
      </c>
      <c r="D131" s="75">
        <v>275.60000000000002</v>
      </c>
      <c r="E131" s="75"/>
      <c r="F131" s="75"/>
      <c r="G131" s="75"/>
      <c r="H131" s="75">
        <v>7340.41</v>
      </c>
      <c r="I131" s="75">
        <v>2023017</v>
      </c>
      <c r="J131" s="91" t="s">
        <v>384</v>
      </c>
      <c r="K131" s="73"/>
      <c r="L131" s="46">
        <v>0</v>
      </c>
      <c r="M131" s="46">
        <v>0</v>
      </c>
      <c r="N131" s="46">
        <v>0</v>
      </c>
      <c r="O131" s="98"/>
      <c r="P131" s="23" t="s">
        <v>1493</v>
      </c>
      <c r="Q131" s="24" t="s">
        <v>383</v>
      </c>
      <c r="R131" s="25" t="s">
        <v>30</v>
      </c>
      <c r="S131" s="26">
        <v>275.60000000000002</v>
      </c>
      <c r="T131" s="26"/>
      <c r="U131" s="26">
        <f t="shared" si="19"/>
        <v>7340.41</v>
      </c>
      <c r="V131" s="26">
        <f t="shared" si="18"/>
        <v>0</v>
      </c>
      <c r="W131" s="26">
        <f t="shared" si="13"/>
        <v>0</v>
      </c>
      <c r="X131" s="26">
        <f t="shared" si="20"/>
        <v>0</v>
      </c>
      <c r="Y131" s="26">
        <f t="shared" si="14"/>
        <v>0</v>
      </c>
      <c r="Z131" s="33" t="s">
        <v>15</v>
      </c>
      <c r="AA131" s="36" t="s">
        <v>16</v>
      </c>
      <c r="AB131" s="181">
        <f t="shared" si="15"/>
        <v>275.60000000000002</v>
      </c>
      <c r="AC131" s="181">
        <f t="shared" si="21"/>
        <v>2023017</v>
      </c>
      <c r="AD131" s="181">
        <v>1.2</v>
      </c>
      <c r="AE131" s="181">
        <v>1.2</v>
      </c>
      <c r="AF131" s="101" t="str">
        <f t="shared" si="16"/>
        <v/>
      </c>
      <c r="AG131" s="190">
        <v>0</v>
      </c>
      <c r="AH131" s="69">
        <f t="shared" si="17"/>
        <v>275.60000000000002</v>
      </c>
    </row>
    <row r="132" spans="1:37" s="69" customFormat="1" ht="33" x14ac:dyDescent="0.3">
      <c r="A132" s="130" t="s">
        <v>385</v>
      </c>
      <c r="B132" s="131" t="s">
        <v>386</v>
      </c>
      <c r="C132" s="132" t="s">
        <v>81</v>
      </c>
      <c r="D132" s="133">
        <v>1</v>
      </c>
      <c r="E132" s="75"/>
      <c r="F132" s="75"/>
      <c r="G132" s="75"/>
      <c r="H132" s="75">
        <v>913345.81</v>
      </c>
      <c r="I132" s="75">
        <v>913345.81</v>
      </c>
      <c r="J132" s="91" t="s">
        <v>387</v>
      </c>
      <c r="K132" s="73"/>
      <c r="L132" s="46">
        <v>1</v>
      </c>
      <c r="M132" s="46">
        <v>913345.81</v>
      </c>
      <c r="N132" s="46">
        <v>913345.81</v>
      </c>
      <c r="O132" s="98"/>
      <c r="P132" s="23" t="s">
        <v>1494</v>
      </c>
      <c r="Q132" s="24" t="s">
        <v>386</v>
      </c>
      <c r="R132" s="25" t="s">
        <v>81</v>
      </c>
      <c r="S132" s="26">
        <v>1</v>
      </c>
      <c r="T132" s="26"/>
      <c r="U132" s="26">
        <f t="shared" si="19"/>
        <v>913345.81</v>
      </c>
      <c r="V132" s="127">
        <f t="shared" si="18"/>
        <v>0</v>
      </c>
      <c r="W132" s="127">
        <f t="shared" si="13"/>
        <v>1</v>
      </c>
      <c r="X132" s="127">
        <f t="shared" si="20"/>
        <v>0</v>
      </c>
      <c r="Y132" s="127">
        <f t="shared" si="14"/>
        <v>913345.81</v>
      </c>
      <c r="Z132" s="33" t="s">
        <v>15</v>
      </c>
      <c r="AA132" s="36" t="s">
        <v>16</v>
      </c>
      <c r="AB132" s="181">
        <f t="shared" si="15"/>
        <v>1</v>
      </c>
      <c r="AC132" s="181">
        <f t="shared" si="21"/>
        <v>913345.81</v>
      </c>
      <c r="AD132" s="181">
        <v>1.2</v>
      </c>
      <c r="AE132" s="181">
        <v>1.2</v>
      </c>
      <c r="AF132" s="101" t="str">
        <f t="shared" si="16"/>
        <v/>
      </c>
      <c r="AG132" s="191">
        <v>1</v>
      </c>
      <c r="AH132" s="69">
        <f t="shared" si="17"/>
        <v>1</v>
      </c>
    </row>
    <row r="133" spans="1:37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/>
      <c r="I133" s="82">
        <v>63133198.189999998</v>
      </c>
      <c r="J133" s="94" t="s">
        <v>15</v>
      </c>
      <c r="K133" s="73"/>
      <c r="L133" s="45">
        <v>1</v>
      </c>
      <c r="M133" s="45">
        <v>8871165.9299999997</v>
      </c>
      <c r="N133" s="45">
        <v>47329101.590000004</v>
      </c>
      <c r="O133" s="98"/>
      <c r="P133" s="18" t="s">
        <v>1381</v>
      </c>
      <c r="Q133" s="19" t="s">
        <v>389</v>
      </c>
      <c r="R133" s="20" t="s">
        <v>14</v>
      </c>
      <c r="S133" s="21">
        <v>1</v>
      </c>
      <c r="T133" s="21"/>
      <c r="U133" s="21">
        <f>SUMIFS(AC:AC,AD:AD,AD133)</f>
        <v>63133198.190000005</v>
      </c>
      <c r="V133" s="21">
        <f t="shared" ref="V133:W133" si="22">IF(X133=0,0,1)</f>
        <v>1</v>
      </c>
      <c r="W133" s="21">
        <f t="shared" si="22"/>
        <v>1</v>
      </c>
      <c r="X133" s="21">
        <f>SUMIFS(X:X,AE:AE,AD133)</f>
        <v>5296525.6500000004</v>
      </c>
      <c r="Y133" s="21">
        <f>SUMIFS(Y:Y,AE:AE,AD133)</f>
        <v>52625627.240000002</v>
      </c>
      <c r="Z133" s="22" t="s">
        <v>15</v>
      </c>
      <c r="AA133" s="43" t="s">
        <v>16</v>
      </c>
      <c r="AB133" s="181">
        <f t="shared" si="15"/>
        <v>1</v>
      </c>
      <c r="AC133" s="184"/>
      <c r="AD133" s="184">
        <v>1.3</v>
      </c>
      <c r="AE133" s="184"/>
      <c r="AF133" s="101" t="str">
        <f t="shared" si="16"/>
        <v/>
      </c>
      <c r="AG133" s="190">
        <v>1</v>
      </c>
      <c r="AH133" s="69">
        <f t="shared" si="17"/>
        <v>1</v>
      </c>
    </row>
    <row r="134" spans="1:37" s="69" customFormat="1" ht="39" x14ac:dyDescent="0.3">
      <c r="A134" s="55" t="s">
        <v>390</v>
      </c>
      <c r="B134" s="53" t="s">
        <v>102</v>
      </c>
      <c r="C134" s="54" t="s">
        <v>103</v>
      </c>
      <c r="D134" s="75">
        <v>274.45</v>
      </c>
      <c r="E134" s="75"/>
      <c r="F134" s="75"/>
      <c r="G134" s="75"/>
      <c r="H134" s="75">
        <v>320.74</v>
      </c>
      <c r="I134" s="75">
        <v>88027.09</v>
      </c>
      <c r="J134" s="91" t="s">
        <v>104</v>
      </c>
      <c r="K134" s="73"/>
      <c r="L134" s="46">
        <v>225</v>
      </c>
      <c r="M134" s="46">
        <v>72166.5</v>
      </c>
      <c r="N134" s="46">
        <v>72166.5</v>
      </c>
      <c r="O134" s="98"/>
      <c r="P134" s="23" t="s">
        <v>1421</v>
      </c>
      <c r="Q134" s="24" t="s">
        <v>102</v>
      </c>
      <c r="R134" s="25" t="s">
        <v>103</v>
      </c>
      <c r="S134" s="26">
        <v>274.45</v>
      </c>
      <c r="T134" s="26"/>
      <c r="U134" s="26">
        <f t="shared" si="19"/>
        <v>320.74</v>
      </c>
      <c r="V134" s="127">
        <f t="shared" ref="V134:V176" si="23">AG134-L134</f>
        <v>0</v>
      </c>
      <c r="W134" s="127">
        <f t="shared" ref="W134:W176" si="24">V134+L134</f>
        <v>225</v>
      </c>
      <c r="X134" s="127">
        <f t="shared" ref="X134:X176" si="25">Y134-N134</f>
        <v>0</v>
      </c>
      <c r="Y134" s="127">
        <f t="shared" si="14"/>
        <v>72166.5</v>
      </c>
      <c r="Z134" s="33" t="s">
        <v>15</v>
      </c>
      <c r="AA134" s="36" t="s">
        <v>16</v>
      </c>
      <c r="AB134" s="181">
        <f t="shared" si="15"/>
        <v>274.45</v>
      </c>
      <c r="AC134" s="181">
        <f t="shared" ref="AC134:AC176" si="26">ROUND(U134*AB134,2)</f>
        <v>88027.09</v>
      </c>
      <c r="AD134" s="181">
        <v>1.3</v>
      </c>
      <c r="AE134" s="181">
        <v>1.3</v>
      </c>
      <c r="AF134" s="101" t="str">
        <f t="shared" si="16"/>
        <v/>
      </c>
      <c r="AG134" s="190">
        <v>225</v>
      </c>
      <c r="AH134" s="69">
        <f t="shared" si="17"/>
        <v>274.45</v>
      </c>
    </row>
    <row r="135" spans="1:37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>
        <v>3115.13</v>
      </c>
      <c r="I135" s="75">
        <v>137751.04999999999</v>
      </c>
      <c r="J135" s="91" t="s">
        <v>114</v>
      </c>
      <c r="K135" s="73"/>
      <c r="L135" s="46">
        <v>16.79</v>
      </c>
      <c r="M135" s="46">
        <v>0</v>
      </c>
      <c r="N135" s="46">
        <v>52303.03</v>
      </c>
      <c r="O135" s="98"/>
      <c r="P135" s="23" t="s">
        <v>1426</v>
      </c>
      <c r="Q135" s="24" t="s">
        <v>392</v>
      </c>
      <c r="R135" s="25" t="s">
        <v>23</v>
      </c>
      <c r="S135" s="26">
        <v>44.22</v>
      </c>
      <c r="T135" s="26"/>
      <c r="U135" s="26">
        <f t="shared" si="19"/>
        <v>3115.13</v>
      </c>
      <c r="V135" s="26">
        <f t="shared" si="23"/>
        <v>0</v>
      </c>
      <c r="W135" s="26">
        <f t="shared" si="24"/>
        <v>16.79</v>
      </c>
      <c r="X135" s="26">
        <f t="shared" si="25"/>
        <v>0</v>
      </c>
      <c r="Y135" s="26">
        <f t="shared" si="14"/>
        <v>52303.03</v>
      </c>
      <c r="Z135" s="33" t="s">
        <v>15</v>
      </c>
      <c r="AA135" s="36" t="s">
        <v>16</v>
      </c>
      <c r="AB135" s="181">
        <f t="shared" si="15"/>
        <v>44.22</v>
      </c>
      <c r="AC135" s="181">
        <f t="shared" si="26"/>
        <v>137751.04999999999</v>
      </c>
      <c r="AD135" s="181">
        <v>1.3</v>
      </c>
      <c r="AE135" s="181">
        <v>1.3</v>
      </c>
      <c r="AF135" s="101" t="str">
        <f t="shared" si="16"/>
        <v/>
      </c>
      <c r="AG135" s="190">
        <v>16.79</v>
      </c>
      <c r="AH135" s="69">
        <f t="shared" si="17"/>
        <v>44.22</v>
      </c>
    </row>
    <row r="136" spans="1:37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>
        <v>3321.13</v>
      </c>
      <c r="I136" s="75">
        <v>318728.84999999998</v>
      </c>
      <c r="J136" s="91" t="s">
        <v>117</v>
      </c>
      <c r="K136" s="73"/>
      <c r="L136" s="46">
        <v>0</v>
      </c>
      <c r="M136" s="46">
        <v>0</v>
      </c>
      <c r="N136" s="46">
        <v>0</v>
      </c>
      <c r="O136" s="98"/>
      <c r="P136" s="23" t="s">
        <v>1402</v>
      </c>
      <c r="Q136" s="24" t="s">
        <v>116</v>
      </c>
      <c r="R136" s="25" t="s">
        <v>23</v>
      </c>
      <c r="S136" s="26">
        <v>95.97</v>
      </c>
      <c r="T136" s="26"/>
      <c r="U136" s="26">
        <f t="shared" si="19"/>
        <v>3321.13</v>
      </c>
      <c r="V136" s="26">
        <f t="shared" si="23"/>
        <v>0</v>
      </c>
      <c r="W136" s="26">
        <f t="shared" si="24"/>
        <v>0</v>
      </c>
      <c r="X136" s="26">
        <f t="shared" si="25"/>
        <v>0</v>
      </c>
      <c r="Y136" s="26">
        <f t="shared" si="14"/>
        <v>0</v>
      </c>
      <c r="Z136" s="33" t="s">
        <v>15</v>
      </c>
      <c r="AA136" s="36" t="s">
        <v>16</v>
      </c>
      <c r="AB136" s="181">
        <f t="shared" si="15"/>
        <v>95.97</v>
      </c>
      <c r="AC136" s="181">
        <f t="shared" si="26"/>
        <v>318728.84999999998</v>
      </c>
      <c r="AD136" s="181">
        <v>1.3</v>
      </c>
      <c r="AE136" s="181">
        <v>1.3</v>
      </c>
      <c r="AF136" s="101" t="str">
        <f t="shared" si="16"/>
        <v/>
      </c>
      <c r="AG136" s="190">
        <v>0</v>
      </c>
      <c r="AH136" s="69">
        <f t="shared" si="17"/>
        <v>95.97</v>
      </c>
    </row>
    <row r="137" spans="1:37" s="69" customFormat="1" ht="39" x14ac:dyDescent="0.3">
      <c r="A137" s="130" t="s">
        <v>394</v>
      </c>
      <c r="B137" s="131" t="s">
        <v>395</v>
      </c>
      <c r="C137" s="132" t="s">
        <v>23</v>
      </c>
      <c r="D137" s="133">
        <v>1216.8</v>
      </c>
      <c r="E137" s="75"/>
      <c r="F137" s="75"/>
      <c r="G137" s="75"/>
      <c r="H137" s="75">
        <v>3643.73</v>
      </c>
      <c r="I137" s="75">
        <v>4433690.66</v>
      </c>
      <c r="J137" s="91" t="s">
        <v>396</v>
      </c>
      <c r="K137" s="73"/>
      <c r="L137" s="46">
        <v>550.38</v>
      </c>
      <c r="M137" s="46">
        <v>601215.45000000019</v>
      </c>
      <c r="N137" s="46">
        <v>2005436.12</v>
      </c>
      <c r="O137" s="98"/>
      <c r="P137" s="23" t="s">
        <v>1373</v>
      </c>
      <c r="Q137" s="24" t="s">
        <v>395</v>
      </c>
      <c r="R137" s="25" t="s">
        <v>23</v>
      </c>
      <c r="S137" s="26">
        <v>1216.8</v>
      </c>
      <c r="T137" s="26"/>
      <c r="U137" s="26">
        <f t="shared" si="19"/>
        <v>3643.73</v>
      </c>
      <c r="V137" s="127">
        <f t="shared" si="23"/>
        <v>95.200000000000045</v>
      </c>
      <c r="W137" s="127">
        <f t="shared" si="24"/>
        <v>645.58000000000004</v>
      </c>
      <c r="X137" s="127">
        <f t="shared" si="25"/>
        <v>346883.08999999985</v>
      </c>
      <c r="Y137" s="127">
        <f t="shared" si="14"/>
        <v>2352319.21</v>
      </c>
      <c r="Z137" s="33" t="s">
        <v>15</v>
      </c>
      <c r="AA137" s="36" t="s">
        <v>16</v>
      </c>
      <c r="AB137" s="181">
        <f t="shared" si="15"/>
        <v>1216.8</v>
      </c>
      <c r="AC137" s="181">
        <f t="shared" si="26"/>
        <v>4433690.66</v>
      </c>
      <c r="AD137" s="181">
        <v>1.3</v>
      </c>
      <c r="AE137" s="181">
        <v>1.3</v>
      </c>
      <c r="AF137" s="101" t="str">
        <f t="shared" si="16"/>
        <v/>
      </c>
      <c r="AG137" s="191">
        <f>68+115+49.88+152.5+165+95.2</f>
        <v>645.58000000000004</v>
      </c>
      <c r="AH137" s="69">
        <f t="shared" si="17"/>
        <v>1216.8</v>
      </c>
      <c r="AK137" s="195">
        <v>388.56</v>
      </c>
    </row>
    <row r="138" spans="1:37" s="69" customFormat="1" ht="33" x14ac:dyDescent="0.3">
      <c r="A138" s="130" t="s">
        <v>397</v>
      </c>
      <c r="B138" s="122" t="s">
        <v>109</v>
      </c>
      <c r="C138" s="132" t="s">
        <v>110</v>
      </c>
      <c r="D138" s="133">
        <v>4788.7700000000004</v>
      </c>
      <c r="E138" s="75"/>
      <c r="F138" s="75"/>
      <c r="G138" s="75"/>
      <c r="H138" s="75">
        <v>36.4</v>
      </c>
      <c r="I138" s="75">
        <v>174311.23</v>
      </c>
      <c r="J138" s="91" t="s">
        <v>111</v>
      </c>
      <c r="K138" s="73"/>
      <c r="L138" s="46">
        <v>4778</v>
      </c>
      <c r="M138" s="46">
        <v>22276.800000000017</v>
      </c>
      <c r="N138" s="46">
        <v>173919.2</v>
      </c>
      <c r="O138" s="98"/>
      <c r="P138" s="23" t="s">
        <v>1393</v>
      </c>
      <c r="Q138" s="24" t="s">
        <v>109</v>
      </c>
      <c r="R138" s="25" t="s">
        <v>110</v>
      </c>
      <c r="S138" s="26">
        <v>4788.7700000000004</v>
      </c>
      <c r="T138" s="26"/>
      <c r="U138" s="26">
        <f t="shared" si="19"/>
        <v>36.4</v>
      </c>
      <c r="V138" s="127">
        <f t="shared" si="23"/>
        <v>0</v>
      </c>
      <c r="W138" s="127">
        <f t="shared" si="24"/>
        <v>4778</v>
      </c>
      <c r="X138" s="127">
        <f t="shared" si="25"/>
        <v>0</v>
      </c>
      <c r="Y138" s="127">
        <f t="shared" si="14"/>
        <v>173919.2</v>
      </c>
      <c r="Z138" s="33" t="s">
        <v>15</v>
      </c>
      <c r="AA138" s="36" t="s">
        <v>16</v>
      </c>
      <c r="AB138" s="181">
        <f t="shared" si="15"/>
        <v>4788.7700000000004</v>
      </c>
      <c r="AC138" s="181">
        <f t="shared" si="26"/>
        <v>174311.23</v>
      </c>
      <c r="AD138" s="181">
        <v>1.3</v>
      </c>
      <c r="AE138" s="181">
        <v>1.3</v>
      </c>
      <c r="AF138" s="101" t="str">
        <f t="shared" si="16"/>
        <v/>
      </c>
      <c r="AG138" s="193">
        <f>2040+2126+612</f>
        <v>4778</v>
      </c>
      <c r="AH138" s="69">
        <f t="shared" si="17"/>
        <v>4788.7700000000004</v>
      </c>
      <c r="AK138" s="195">
        <v>4788.7700000000004</v>
      </c>
    </row>
    <row r="139" spans="1:37" s="69" customFormat="1" ht="33" x14ac:dyDescent="0.3">
      <c r="A139" s="130" t="s">
        <v>398</v>
      </c>
      <c r="B139" s="122" t="s">
        <v>399</v>
      </c>
      <c r="C139" s="132" t="s">
        <v>110</v>
      </c>
      <c r="D139" s="133">
        <v>205535.32</v>
      </c>
      <c r="E139" s="75"/>
      <c r="F139" s="75"/>
      <c r="G139" s="75"/>
      <c r="H139" s="75">
        <v>38.71</v>
      </c>
      <c r="I139" s="75">
        <v>7956272.2400000002</v>
      </c>
      <c r="J139" s="91" t="s">
        <v>400</v>
      </c>
      <c r="K139" s="73"/>
      <c r="L139" s="46">
        <v>202264.52000000002</v>
      </c>
      <c r="M139" s="46">
        <v>4655187.18</v>
      </c>
      <c r="N139" s="46">
        <v>7829659.5700000003</v>
      </c>
      <c r="O139" s="98"/>
      <c r="P139" s="23" t="s">
        <v>1403</v>
      </c>
      <c r="Q139" s="24" t="s">
        <v>399</v>
      </c>
      <c r="R139" s="25" t="s">
        <v>110</v>
      </c>
      <c r="S139" s="26">
        <v>205535.32</v>
      </c>
      <c r="T139" s="26"/>
      <c r="U139" s="26">
        <f t="shared" si="19"/>
        <v>38.71</v>
      </c>
      <c r="V139" s="127">
        <f t="shared" si="23"/>
        <v>0</v>
      </c>
      <c r="W139" s="127">
        <f t="shared" si="24"/>
        <v>202264.52000000002</v>
      </c>
      <c r="X139" s="127">
        <f t="shared" si="25"/>
        <v>0</v>
      </c>
      <c r="Y139" s="127">
        <f t="shared" ref="Y139:Y203" si="27">ROUND(U139*W139,2)</f>
        <v>7829659.5700000003</v>
      </c>
      <c r="Z139" s="33" t="s">
        <v>15</v>
      </c>
      <c r="AA139" s="36" t="s">
        <v>16</v>
      </c>
      <c r="AB139" s="181">
        <f t="shared" ref="AB139:AB202" si="28">IF(T139="",S139,T139)</f>
        <v>205535.32</v>
      </c>
      <c r="AC139" s="181">
        <f t="shared" si="26"/>
        <v>7956272.2400000002</v>
      </c>
      <c r="AD139" s="181">
        <v>1.3</v>
      </c>
      <c r="AE139" s="181">
        <v>1.3</v>
      </c>
      <c r="AF139" s="101" t="str">
        <f t="shared" ref="AF139:AF202" si="29">IF(W139&gt;AH139,"超估","")</f>
        <v/>
      </c>
      <c r="AG139" s="190">
        <f>82006.52+120258</f>
        <v>202264.52000000002</v>
      </c>
      <c r="AH139" s="69">
        <f t="shared" ref="AH139:AH202" si="30">IF(G139=0,IF(F139=0,IF(E139=0,D139,E139),F139),G139)</f>
        <v>205535.32</v>
      </c>
      <c r="AK139" s="195">
        <v>72641</v>
      </c>
    </row>
    <row r="140" spans="1:37" s="69" customFormat="1" ht="33" x14ac:dyDescent="0.3">
      <c r="A140" s="130" t="s">
        <v>401</v>
      </c>
      <c r="B140" s="131" t="s">
        <v>402</v>
      </c>
      <c r="C140" s="132" t="s">
        <v>50</v>
      </c>
      <c r="D140" s="133">
        <v>320.89999999999998</v>
      </c>
      <c r="E140" s="75"/>
      <c r="F140" s="75"/>
      <c r="G140" s="75"/>
      <c r="H140" s="75">
        <v>1154.98</v>
      </c>
      <c r="I140" s="75">
        <v>370633.08</v>
      </c>
      <c r="J140" s="91" t="s">
        <v>403</v>
      </c>
      <c r="K140" s="73"/>
      <c r="L140" s="46">
        <v>236.19</v>
      </c>
      <c r="M140" s="46">
        <v>0</v>
      </c>
      <c r="N140" s="46">
        <v>272794.73</v>
      </c>
      <c r="O140" s="98"/>
      <c r="P140" s="23" t="s">
        <v>1427</v>
      </c>
      <c r="Q140" s="24" t="s">
        <v>402</v>
      </c>
      <c r="R140" s="25" t="s">
        <v>50</v>
      </c>
      <c r="S140" s="26">
        <v>320.89999999999998</v>
      </c>
      <c r="T140" s="26"/>
      <c r="U140" s="26">
        <f t="shared" si="19"/>
        <v>1154.98</v>
      </c>
      <c r="V140" s="128">
        <f t="shared" si="23"/>
        <v>83.900000000000034</v>
      </c>
      <c r="W140" s="127">
        <f t="shared" si="24"/>
        <v>320.09000000000003</v>
      </c>
      <c r="X140" s="127">
        <f t="shared" si="25"/>
        <v>96902.82</v>
      </c>
      <c r="Y140" s="127">
        <f t="shared" si="27"/>
        <v>369697.55</v>
      </c>
      <c r="Z140" s="33" t="s">
        <v>15</v>
      </c>
      <c r="AA140" s="36" t="s">
        <v>16</v>
      </c>
      <c r="AB140" s="181">
        <f t="shared" si="28"/>
        <v>320.89999999999998</v>
      </c>
      <c r="AC140" s="181">
        <f t="shared" si="26"/>
        <v>370633.08</v>
      </c>
      <c r="AD140" s="181">
        <v>1.3</v>
      </c>
      <c r="AE140" s="181">
        <v>1.3</v>
      </c>
      <c r="AF140" s="101" t="str">
        <f t="shared" si="29"/>
        <v/>
      </c>
      <c r="AG140" s="191">
        <f>50.19+186+83.9</f>
        <v>320.09000000000003</v>
      </c>
      <c r="AH140" s="69">
        <f t="shared" si="30"/>
        <v>320.89999999999998</v>
      </c>
      <c r="AK140" s="195">
        <v>351.34</v>
      </c>
    </row>
    <row r="141" spans="1:37" s="69" customFormat="1" ht="57.75" x14ac:dyDescent="0.3">
      <c r="A141" s="130" t="s">
        <v>404</v>
      </c>
      <c r="B141" s="131" t="s">
        <v>405</v>
      </c>
      <c r="C141" s="132" t="s">
        <v>50</v>
      </c>
      <c r="D141" s="133">
        <v>493.85</v>
      </c>
      <c r="E141" s="203"/>
      <c r="F141" s="203"/>
      <c r="G141" s="203"/>
      <c r="H141" s="75">
        <v>982.98</v>
      </c>
      <c r="I141" s="75">
        <v>485444.67</v>
      </c>
      <c r="J141" s="91" t="s">
        <v>406</v>
      </c>
      <c r="K141" s="73"/>
      <c r="L141" s="46">
        <v>493.84999999999997</v>
      </c>
      <c r="M141" s="46">
        <v>0</v>
      </c>
      <c r="N141" s="46">
        <v>485444.67</v>
      </c>
      <c r="O141" s="98"/>
      <c r="P141" s="23" t="s">
        <v>1428</v>
      </c>
      <c r="Q141" s="24" t="s">
        <v>405</v>
      </c>
      <c r="R141" s="25" t="s">
        <v>50</v>
      </c>
      <c r="S141" s="26">
        <v>493.85</v>
      </c>
      <c r="T141" s="26"/>
      <c r="U141" s="26">
        <f t="shared" si="19"/>
        <v>982.98</v>
      </c>
      <c r="V141" s="127">
        <f t="shared" si="23"/>
        <v>0</v>
      </c>
      <c r="W141" s="127">
        <f t="shared" si="24"/>
        <v>493.84999999999997</v>
      </c>
      <c r="X141" s="127">
        <f t="shared" si="25"/>
        <v>0</v>
      </c>
      <c r="Y141" s="127">
        <f t="shared" si="27"/>
        <v>485444.67</v>
      </c>
      <c r="Z141" s="33" t="s">
        <v>15</v>
      </c>
      <c r="AA141" s="36" t="s">
        <v>16</v>
      </c>
      <c r="AB141" s="181">
        <f t="shared" si="28"/>
        <v>493.85</v>
      </c>
      <c r="AC141" s="181">
        <f t="shared" si="26"/>
        <v>485444.67</v>
      </c>
      <c r="AD141" s="181">
        <v>1.3</v>
      </c>
      <c r="AE141" s="181">
        <v>1.3</v>
      </c>
      <c r="AF141" s="101" t="str">
        <f t="shared" si="29"/>
        <v/>
      </c>
      <c r="AG141" s="192">
        <f>393.03+100.82</f>
        <v>493.84999999999997</v>
      </c>
      <c r="AH141" s="69">
        <f t="shared" si="30"/>
        <v>493.85</v>
      </c>
      <c r="AK141" s="195">
        <v>574.89200000000017</v>
      </c>
    </row>
    <row r="142" spans="1:37" s="69" customFormat="1" ht="41.25" x14ac:dyDescent="0.3">
      <c r="A142" s="130" t="s">
        <v>407</v>
      </c>
      <c r="B142" s="131" t="s">
        <v>408</v>
      </c>
      <c r="C142" s="132" t="s">
        <v>50</v>
      </c>
      <c r="D142" s="133">
        <v>126.48</v>
      </c>
      <c r="E142" s="203"/>
      <c r="F142" s="203"/>
      <c r="G142" s="203"/>
      <c r="H142" s="75">
        <v>804.79</v>
      </c>
      <c r="I142" s="75">
        <v>101789.84</v>
      </c>
      <c r="J142" s="91" t="s">
        <v>409</v>
      </c>
      <c r="K142" s="73"/>
      <c r="L142" s="46">
        <v>126.48</v>
      </c>
      <c r="M142" s="46">
        <v>0</v>
      </c>
      <c r="N142" s="46">
        <v>101789.84</v>
      </c>
      <c r="O142" s="98"/>
      <c r="P142" s="23" t="s">
        <v>1387</v>
      </c>
      <c r="Q142" s="24" t="s">
        <v>408</v>
      </c>
      <c r="R142" s="25" t="s">
        <v>50</v>
      </c>
      <c r="S142" s="26">
        <v>126.48</v>
      </c>
      <c r="T142" s="26"/>
      <c r="U142" s="26">
        <f t="shared" si="19"/>
        <v>804.79</v>
      </c>
      <c r="V142" s="127">
        <f t="shared" si="23"/>
        <v>0</v>
      </c>
      <c r="W142" s="127">
        <f t="shared" si="24"/>
        <v>126.48</v>
      </c>
      <c r="X142" s="127">
        <f t="shared" si="25"/>
        <v>0</v>
      </c>
      <c r="Y142" s="127">
        <f t="shared" si="27"/>
        <v>101789.84</v>
      </c>
      <c r="Z142" s="33" t="s">
        <v>15</v>
      </c>
      <c r="AA142" s="36" t="s">
        <v>16</v>
      </c>
      <c r="AB142" s="181">
        <f t="shared" si="28"/>
        <v>126.48</v>
      </c>
      <c r="AC142" s="181">
        <f t="shared" si="26"/>
        <v>101789.84</v>
      </c>
      <c r="AD142" s="181">
        <v>1.3</v>
      </c>
      <c r="AE142" s="181">
        <v>1.3</v>
      </c>
      <c r="AF142" s="101" t="str">
        <f t="shared" si="29"/>
        <v/>
      </c>
      <c r="AG142" s="192">
        <v>126.48</v>
      </c>
      <c r="AH142" s="69">
        <f t="shared" si="30"/>
        <v>126.48</v>
      </c>
      <c r="AK142" s="195">
        <v>120</v>
      </c>
    </row>
    <row r="143" spans="1:37" s="69" customFormat="1" ht="33" x14ac:dyDescent="0.3">
      <c r="A143" s="55" t="s">
        <v>410</v>
      </c>
      <c r="B143" s="53" t="s">
        <v>411</v>
      </c>
      <c r="C143" s="54" t="s">
        <v>412</v>
      </c>
      <c r="D143" s="75">
        <v>12205</v>
      </c>
      <c r="E143" s="75"/>
      <c r="F143" s="75"/>
      <c r="G143" s="75"/>
      <c r="H143" s="75">
        <v>75</v>
      </c>
      <c r="I143" s="75">
        <v>915375</v>
      </c>
      <c r="J143" s="91" t="s">
        <v>413</v>
      </c>
      <c r="K143" s="73"/>
      <c r="L143" s="46">
        <v>0</v>
      </c>
      <c r="M143" s="46">
        <v>0</v>
      </c>
      <c r="N143" s="46">
        <v>0</v>
      </c>
      <c r="O143" s="98"/>
      <c r="P143" s="23" t="s">
        <v>1405</v>
      </c>
      <c r="Q143" s="24" t="s">
        <v>411</v>
      </c>
      <c r="R143" s="25" t="s">
        <v>412</v>
      </c>
      <c r="S143" s="26">
        <v>12205</v>
      </c>
      <c r="T143" s="26"/>
      <c r="U143" s="26">
        <f t="shared" si="19"/>
        <v>75</v>
      </c>
      <c r="V143" s="128">
        <f t="shared" si="23"/>
        <v>0</v>
      </c>
      <c r="W143" s="26">
        <f t="shared" si="24"/>
        <v>0</v>
      </c>
      <c r="X143" s="26">
        <f t="shared" si="25"/>
        <v>0</v>
      </c>
      <c r="Y143" s="26">
        <f t="shared" si="27"/>
        <v>0</v>
      </c>
      <c r="Z143" s="33" t="s">
        <v>15</v>
      </c>
      <c r="AA143" s="36" t="s">
        <v>16</v>
      </c>
      <c r="AB143" s="181">
        <f t="shared" si="28"/>
        <v>12205</v>
      </c>
      <c r="AC143" s="181">
        <f t="shared" si="26"/>
        <v>915375</v>
      </c>
      <c r="AD143" s="181">
        <v>1.3</v>
      </c>
      <c r="AE143" s="181">
        <v>1.3</v>
      </c>
      <c r="AF143" s="101" t="str">
        <f t="shared" si="29"/>
        <v/>
      </c>
      <c r="AG143" s="191">
        <f>0</f>
        <v>0</v>
      </c>
      <c r="AH143" s="69">
        <f t="shared" si="30"/>
        <v>12205</v>
      </c>
    </row>
    <row r="144" spans="1:37" s="69" customFormat="1" ht="33" x14ac:dyDescent="0.3">
      <c r="A144" s="55" t="s">
        <v>414</v>
      </c>
      <c r="B144" s="53" t="s">
        <v>125</v>
      </c>
      <c r="C144" s="54" t="s">
        <v>110</v>
      </c>
      <c r="D144" s="75">
        <v>8317</v>
      </c>
      <c r="E144" s="75"/>
      <c r="F144" s="75"/>
      <c r="G144" s="75"/>
      <c r="H144" s="75">
        <v>60</v>
      </c>
      <c r="I144" s="75">
        <v>499020</v>
      </c>
      <c r="J144" s="91" t="s">
        <v>126</v>
      </c>
      <c r="K144" s="73"/>
      <c r="L144" s="46">
        <v>0</v>
      </c>
      <c r="M144" s="46">
        <v>0</v>
      </c>
      <c r="N144" s="46">
        <v>0</v>
      </c>
      <c r="O144" s="98"/>
      <c r="P144" s="23" t="s">
        <v>1406</v>
      </c>
      <c r="Q144" s="24" t="s">
        <v>125</v>
      </c>
      <c r="R144" s="25" t="s">
        <v>110</v>
      </c>
      <c r="S144" s="26">
        <v>8317</v>
      </c>
      <c r="T144" s="26"/>
      <c r="U144" s="26">
        <f t="shared" si="19"/>
        <v>60</v>
      </c>
      <c r="V144" s="26">
        <f t="shared" si="23"/>
        <v>0</v>
      </c>
      <c r="W144" s="26">
        <f t="shared" si="24"/>
        <v>0</v>
      </c>
      <c r="X144" s="26">
        <f t="shared" si="25"/>
        <v>0</v>
      </c>
      <c r="Y144" s="26">
        <f t="shared" si="27"/>
        <v>0</v>
      </c>
      <c r="Z144" s="33" t="s">
        <v>15</v>
      </c>
      <c r="AA144" s="36" t="s">
        <v>16</v>
      </c>
      <c r="AB144" s="181">
        <f t="shared" si="28"/>
        <v>8317</v>
      </c>
      <c r="AC144" s="181">
        <f t="shared" si="26"/>
        <v>499020</v>
      </c>
      <c r="AD144" s="181">
        <v>1.3</v>
      </c>
      <c r="AE144" s="181">
        <v>1.3</v>
      </c>
      <c r="AF144" s="101" t="str">
        <f t="shared" si="29"/>
        <v/>
      </c>
      <c r="AG144" s="190">
        <v>0</v>
      </c>
      <c r="AH144" s="69">
        <f t="shared" si="30"/>
        <v>8317</v>
      </c>
    </row>
    <row r="145" spans="1:34" s="69" customFormat="1" ht="39" x14ac:dyDescent="0.3">
      <c r="A145" s="55" t="s">
        <v>415</v>
      </c>
      <c r="B145" s="53" t="s">
        <v>128</v>
      </c>
      <c r="C145" s="54" t="s">
        <v>110</v>
      </c>
      <c r="D145" s="75">
        <v>8317</v>
      </c>
      <c r="E145" s="75"/>
      <c r="F145" s="75"/>
      <c r="G145" s="75"/>
      <c r="H145" s="75">
        <v>31.9</v>
      </c>
      <c r="I145" s="75">
        <v>265312.3</v>
      </c>
      <c r="J145" s="91" t="s">
        <v>129</v>
      </c>
      <c r="K145" s="73"/>
      <c r="L145" s="46">
        <v>0</v>
      </c>
      <c r="M145" s="46">
        <v>0</v>
      </c>
      <c r="N145" s="46">
        <v>0</v>
      </c>
      <c r="O145" s="98"/>
      <c r="P145" s="23" t="s">
        <v>1414</v>
      </c>
      <c r="Q145" s="24" t="s">
        <v>128</v>
      </c>
      <c r="R145" s="25" t="s">
        <v>110</v>
      </c>
      <c r="S145" s="26">
        <v>8317</v>
      </c>
      <c r="T145" s="26"/>
      <c r="U145" s="26">
        <f t="shared" si="19"/>
        <v>31.9</v>
      </c>
      <c r="V145" s="26">
        <f t="shared" si="23"/>
        <v>0</v>
      </c>
      <c r="W145" s="26">
        <f t="shared" si="24"/>
        <v>0</v>
      </c>
      <c r="X145" s="26">
        <f t="shared" si="25"/>
        <v>0</v>
      </c>
      <c r="Y145" s="26">
        <f t="shared" si="27"/>
        <v>0</v>
      </c>
      <c r="Z145" s="33" t="s">
        <v>15</v>
      </c>
      <c r="AA145" s="36" t="s">
        <v>16</v>
      </c>
      <c r="AB145" s="181">
        <f t="shared" si="28"/>
        <v>8317</v>
      </c>
      <c r="AC145" s="181">
        <f t="shared" si="26"/>
        <v>265312.3</v>
      </c>
      <c r="AD145" s="181">
        <v>1.3</v>
      </c>
      <c r="AE145" s="181">
        <v>1.3</v>
      </c>
      <c r="AF145" s="101" t="str">
        <f t="shared" si="29"/>
        <v/>
      </c>
      <c r="AG145" s="190">
        <v>0</v>
      </c>
      <c r="AH145" s="69">
        <f t="shared" si="30"/>
        <v>8317</v>
      </c>
    </row>
    <row r="146" spans="1:34" s="69" customFormat="1" ht="39" x14ac:dyDescent="0.3">
      <c r="A146" s="55" t="s">
        <v>416</v>
      </c>
      <c r="B146" s="53" t="s">
        <v>417</v>
      </c>
      <c r="C146" s="54" t="s">
        <v>110</v>
      </c>
      <c r="D146" s="75">
        <v>1087</v>
      </c>
      <c r="E146" s="75"/>
      <c r="F146" s="75"/>
      <c r="G146" s="75"/>
      <c r="H146" s="75">
        <v>278.10000000000002</v>
      </c>
      <c r="I146" s="75">
        <v>302294.7</v>
      </c>
      <c r="J146" s="91" t="s">
        <v>418</v>
      </c>
      <c r="K146" s="73"/>
      <c r="L146" s="46">
        <v>0</v>
      </c>
      <c r="M146" s="46">
        <v>0</v>
      </c>
      <c r="N146" s="46">
        <v>0</v>
      </c>
      <c r="O146" s="98"/>
      <c r="P146" s="23" t="s">
        <v>1429</v>
      </c>
      <c r="Q146" s="24" t="s">
        <v>417</v>
      </c>
      <c r="R146" s="25" t="s">
        <v>110</v>
      </c>
      <c r="S146" s="26">
        <v>1087</v>
      </c>
      <c r="T146" s="26"/>
      <c r="U146" s="26">
        <f t="shared" si="19"/>
        <v>278.10000000000002</v>
      </c>
      <c r="V146" s="26">
        <f t="shared" si="23"/>
        <v>0</v>
      </c>
      <c r="W146" s="26">
        <f t="shared" si="24"/>
        <v>0</v>
      </c>
      <c r="X146" s="26">
        <f t="shared" si="25"/>
        <v>0</v>
      </c>
      <c r="Y146" s="26">
        <f t="shared" si="27"/>
        <v>0</v>
      </c>
      <c r="Z146" s="33" t="s">
        <v>15</v>
      </c>
      <c r="AA146" s="36" t="s">
        <v>16</v>
      </c>
      <c r="AB146" s="181">
        <f t="shared" si="28"/>
        <v>1087</v>
      </c>
      <c r="AC146" s="181">
        <f t="shared" si="26"/>
        <v>302294.7</v>
      </c>
      <c r="AD146" s="181">
        <v>1.3</v>
      </c>
      <c r="AE146" s="181">
        <v>1.3</v>
      </c>
      <c r="AF146" s="101" t="str">
        <f t="shared" si="29"/>
        <v/>
      </c>
      <c r="AG146" s="190">
        <v>0</v>
      </c>
      <c r="AH146" s="69">
        <f t="shared" si="30"/>
        <v>1087</v>
      </c>
    </row>
    <row r="147" spans="1:34" s="69" customFormat="1" ht="39" x14ac:dyDescent="0.3">
      <c r="A147" s="55" t="s">
        <v>419</v>
      </c>
      <c r="B147" s="53" t="s">
        <v>420</v>
      </c>
      <c r="C147" s="54" t="s">
        <v>50</v>
      </c>
      <c r="D147" s="75">
        <v>172</v>
      </c>
      <c r="E147" s="75"/>
      <c r="F147" s="75"/>
      <c r="G147" s="75"/>
      <c r="H147" s="75">
        <v>1400</v>
      </c>
      <c r="I147" s="75">
        <v>240800</v>
      </c>
      <c r="J147" s="91" t="s">
        <v>421</v>
      </c>
      <c r="K147" s="73"/>
      <c r="L147" s="46">
        <v>0</v>
      </c>
      <c r="M147" s="46">
        <v>0</v>
      </c>
      <c r="N147" s="46">
        <v>0</v>
      </c>
      <c r="O147" s="98"/>
      <c r="P147" s="23" t="s">
        <v>1430</v>
      </c>
      <c r="Q147" s="24" t="s">
        <v>420</v>
      </c>
      <c r="R147" s="25" t="s">
        <v>50</v>
      </c>
      <c r="S147" s="26">
        <v>172</v>
      </c>
      <c r="T147" s="26"/>
      <c r="U147" s="26">
        <f t="shared" si="19"/>
        <v>1400</v>
      </c>
      <c r="V147" s="26">
        <f t="shared" si="23"/>
        <v>0</v>
      </c>
      <c r="W147" s="26">
        <f t="shared" si="24"/>
        <v>0</v>
      </c>
      <c r="X147" s="26">
        <f t="shared" si="25"/>
        <v>0</v>
      </c>
      <c r="Y147" s="26">
        <f t="shared" si="27"/>
        <v>0</v>
      </c>
      <c r="Z147" s="33" t="s">
        <v>15</v>
      </c>
      <c r="AA147" s="36" t="s">
        <v>16</v>
      </c>
      <c r="AB147" s="181">
        <f t="shared" si="28"/>
        <v>172</v>
      </c>
      <c r="AC147" s="181">
        <f t="shared" si="26"/>
        <v>240800</v>
      </c>
      <c r="AD147" s="181">
        <v>1.3</v>
      </c>
      <c r="AE147" s="181">
        <v>1.3</v>
      </c>
      <c r="AF147" s="101" t="str">
        <f t="shared" si="29"/>
        <v/>
      </c>
      <c r="AG147" s="190">
        <v>0</v>
      </c>
      <c r="AH147" s="69">
        <f t="shared" si="30"/>
        <v>172</v>
      </c>
    </row>
    <row r="148" spans="1:34" s="69" customFormat="1" ht="97.5" x14ac:dyDescent="0.3">
      <c r="A148" s="130" t="s">
        <v>422</v>
      </c>
      <c r="B148" s="131" t="s">
        <v>3070</v>
      </c>
      <c r="C148" s="132" t="s">
        <v>110</v>
      </c>
      <c r="D148" s="133">
        <v>150400</v>
      </c>
      <c r="E148" s="75"/>
      <c r="F148" s="75"/>
      <c r="G148" s="75"/>
      <c r="H148" s="75">
        <v>107.31</v>
      </c>
      <c r="I148" s="75">
        <v>16139424</v>
      </c>
      <c r="J148" s="91" t="s">
        <v>132</v>
      </c>
      <c r="K148" s="73"/>
      <c r="L148" s="46">
        <v>137039.58000000002</v>
      </c>
      <c r="M148" s="46">
        <v>3058335</v>
      </c>
      <c r="N148" s="46">
        <v>14705717.33</v>
      </c>
      <c r="O148" s="98"/>
      <c r="P148" s="23" t="s">
        <v>1431</v>
      </c>
      <c r="Q148" s="24" t="s">
        <v>131</v>
      </c>
      <c r="R148" s="25" t="s">
        <v>110</v>
      </c>
      <c r="S148" s="26">
        <v>150400</v>
      </c>
      <c r="T148" s="26"/>
      <c r="U148" s="26">
        <f t="shared" si="19"/>
        <v>107.31</v>
      </c>
      <c r="V148" s="128">
        <f t="shared" si="23"/>
        <v>13311</v>
      </c>
      <c r="W148" s="127">
        <f t="shared" si="24"/>
        <v>150350.58000000002</v>
      </c>
      <c r="X148" s="127">
        <f t="shared" si="25"/>
        <v>1428403.4100000001</v>
      </c>
      <c r="Y148" s="127">
        <f t="shared" si="27"/>
        <v>16134120.74</v>
      </c>
      <c r="Z148" s="33" t="s">
        <v>15</v>
      </c>
      <c r="AA148" s="36" t="s">
        <v>16</v>
      </c>
      <c r="AB148" s="181">
        <f t="shared" si="28"/>
        <v>150400</v>
      </c>
      <c r="AC148" s="181">
        <f t="shared" si="26"/>
        <v>16139424</v>
      </c>
      <c r="AD148" s="181">
        <v>1.3</v>
      </c>
      <c r="AE148" s="181">
        <v>1.3</v>
      </c>
      <c r="AF148" s="101" t="str">
        <f t="shared" si="29"/>
        <v/>
      </c>
      <c r="AG148" s="191">
        <f>67289.58+8250*5+28500+13311</f>
        <v>150350.58000000002</v>
      </c>
      <c r="AH148" s="69">
        <f t="shared" si="30"/>
        <v>150400</v>
      </c>
    </row>
    <row r="149" spans="1:34" s="69" customFormat="1" ht="39" x14ac:dyDescent="0.3">
      <c r="A149" s="55" t="s">
        <v>423</v>
      </c>
      <c r="B149" s="53" t="s">
        <v>424</v>
      </c>
      <c r="C149" s="54" t="s">
        <v>50</v>
      </c>
      <c r="D149" s="75">
        <v>1140.1600000000001</v>
      </c>
      <c r="E149" s="75"/>
      <c r="F149" s="75"/>
      <c r="G149" s="75"/>
      <c r="H149" s="75">
        <v>692.16</v>
      </c>
      <c r="I149" s="75">
        <v>789173.15</v>
      </c>
      <c r="J149" s="91" t="s">
        <v>425</v>
      </c>
      <c r="K149" s="73"/>
      <c r="L149" s="46">
        <v>843.39</v>
      </c>
      <c r="M149" s="46">
        <v>0</v>
      </c>
      <c r="N149" s="46">
        <v>583760.81999999995</v>
      </c>
      <c r="O149" s="98"/>
      <c r="P149" s="23" t="s">
        <v>1395</v>
      </c>
      <c r="Q149" s="24" t="s">
        <v>424</v>
      </c>
      <c r="R149" s="25" t="s">
        <v>50</v>
      </c>
      <c r="S149" s="26">
        <v>1140.1600000000001</v>
      </c>
      <c r="T149" s="26"/>
      <c r="U149" s="26">
        <f t="shared" si="19"/>
        <v>692.16</v>
      </c>
      <c r="V149" s="128">
        <f t="shared" si="23"/>
        <v>112</v>
      </c>
      <c r="W149" s="26">
        <f t="shared" si="24"/>
        <v>955.39</v>
      </c>
      <c r="X149" s="26">
        <f t="shared" si="25"/>
        <v>77521.920000000042</v>
      </c>
      <c r="Y149" s="26">
        <f t="shared" si="27"/>
        <v>661282.74</v>
      </c>
      <c r="Z149" s="33" t="s">
        <v>15</v>
      </c>
      <c r="AA149" s="36" t="s">
        <v>16</v>
      </c>
      <c r="AB149" s="181">
        <f t="shared" si="28"/>
        <v>1140.1600000000001</v>
      </c>
      <c r="AC149" s="181">
        <f t="shared" si="26"/>
        <v>789173.15</v>
      </c>
      <c r="AD149" s="181">
        <v>1.3</v>
      </c>
      <c r="AE149" s="181">
        <v>1.3</v>
      </c>
      <c r="AF149" s="101" t="str">
        <f t="shared" si="29"/>
        <v/>
      </c>
      <c r="AG149" s="191">
        <f>506.39+225+112+112</f>
        <v>955.39</v>
      </c>
      <c r="AH149" s="69">
        <f t="shared" si="30"/>
        <v>1140.1600000000001</v>
      </c>
    </row>
    <row r="150" spans="1:34" s="69" customFormat="1" ht="58.5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203"/>
      <c r="F150" s="203"/>
      <c r="G150" s="203"/>
      <c r="H150" s="75">
        <v>48.28</v>
      </c>
      <c r="I150" s="75">
        <v>25472.05</v>
      </c>
      <c r="J150" s="91" t="s">
        <v>35</v>
      </c>
      <c r="K150" s="73"/>
      <c r="L150" s="46">
        <v>527.59</v>
      </c>
      <c r="M150" s="46">
        <v>0</v>
      </c>
      <c r="N150" s="46">
        <v>25472.05</v>
      </c>
      <c r="O150" s="98"/>
      <c r="P150" s="23" t="s">
        <v>1432</v>
      </c>
      <c r="Q150" s="24" t="s">
        <v>33</v>
      </c>
      <c r="R150" s="25" t="s">
        <v>34</v>
      </c>
      <c r="S150" s="26">
        <v>527.59</v>
      </c>
      <c r="T150" s="26"/>
      <c r="U150" s="26">
        <f t="shared" si="19"/>
        <v>48.28</v>
      </c>
      <c r="V150" s="127">
        <f t="shared" si="23"/>
        <v>0</v>
      </c>
      <c r="W150" s="127">
        <f t="shared" si="24"/>
        <v>527.59</v>
      </c>
      <c r="X150" s="127">
        <f t="shared" si="25"/>
        <v>0</v>
      </c>
      <c r="Y150" s="127">
        <f t="shared" si="27"/>
        <v>25472.05</v>
      </c>
      <c r="Z150" s="33" t="s">
        <v>15</v>
      </c>
      <c r="AA150" s="36" t="s">
        <v>16</v>
      </c>
      <c r="AB150" s="181">
        <f t="shared" si="28"/>
        <v>527.59</v>
      </c>
      <c r="AC150" s="181">
        <f t="shared" si="26"/>
        <v>25472.05</v>
      </c>
      <c r="AD150" s="181">
        <v>1.3</v>
      </c>
      <c r="AE150" s="181">
        <v>1.3</v>
      </c>
      <c r="AF150" s="101" t="str">
        <f t="shared" si="29"/>
        <v/>
      </c>
      <c r="AG150" s="190">
        <v>527.59</v>
      </c>
      <c r="AH150" s="69">
        <f t="shared" si="30"/>
        <v>527.59</v>
      </c>
    </row>
    <row r="151" spans="1:34" s="69" customFormat="1" ht="39" x14ac:dyDescent="0.3">
      <c r="A151" s="130" t="s">
        <v>427</v>
      </c>
      <c r="B151" s="131" t="s">
        <v>428</v>
      </c>
      <c r="C151" s="132" t="s">
        <v>34</v>
      </c>
      <c r="D151" s="133">
        <v>355.42</v>
      </c>
      <c r="E151" s="203"/>
      <c r="F151" s="203"/>
      <c r="G151" s="203"/>
      <c r="H151" s="75">
        <v>721.06</v>
      </c>
      <c r="I151" s="75">
        <v>256279.15</v>
      </c>
      <c r="J151" s="91" t="s">
        <v>429</v>
      </c>
      <c r="K151" s="73"/>
      <c r="L151" s="46">
        <v>0</v>
      </c>
      <c r="M151" s="46">
        <v>0</v>
      </c>
      <c r="N151" s="46">
        <v>0</v>
      </c>
      <c r="O151" s="98"/>
      <c r="P151" s="23" t="s">
        <v>1433</v>
      </c>
      <c r="Q151" s="24" t="s">
        <v>428</v>
      </c>
      <c r="R151" s="25" t="s">
        <v>34</v>
      </c>
      <c r="S151" s="26">
        <v>355.42</v>
      </c>
      <c r="T151" s="26"/>
      <c r="U151" s="26">
        <f t="shared" si="19"/>
        <v>721.06</v>
      </c>
      <c r="V151" s="127">
        <f t="shared" si="23"/>
        <v>0</v>
      </c>
      <c r="W151" s="127">
        <f t="shared" si="24"/>
        <v>0</v>
      </c>
      <c r="X151" s="127">
        <f t="shared" si="25"/>
        <v>0</v>
      </c>
      <c r="Y151" s="127">
        <f t="shared" si="27"/>
        <v>0</v>
      </c>
      <c r="Z151" s="33" t="s">
        <v>15</v>
      </c>
      <c r="AA151" s="36" t="s">
        <v>16</v>
      </c>
      <c r="AB151" s="181">
        <f t="shared" si="28"/>
        <v>355.42</v>
      </c>
      <c r="AC151" s="181">
        <f t="shared" si="26"/>
        <v>256279.15</v>
      </c>
      <c r="AD151" s="181">
        <v>1.3</v>
      </c>
      <c r="AE151" s="181">
        <v>1.3</v>
      </c>
      <c r="AF151" s="101" t="str">
        <f t="shared" si="29"/>
        <v/>
      </c>
      <c r="AG151" s="190">
        <v>0</v>
      </c>
      <c r="AH151" s="69">
        <f t="shared" si="30"/>
        <v>355.42</v>
      </c>
    </row>
    <row r="152" spans="1:34" s="69" customFormat="1" ht="33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75">
        <v>28</v>
      </c>
      <c r="I152" s="75">
        <v>914900</v>
      </c>
      <c r="J152" s="91" t="s">
        <v>432</v>
      </c>
      <c r="K152" s="73"/>
      <c r="L152" s="46">
        <v>18902</v>
      </c>
      <c r="M152" s="46">
        <v>0</v>
      </c>
      <c r="N152" s="46">
        <v>529256</v>
      </c>
      <c r="O152" s="98"/>
      <c r="P152" s="23" t="s">
        <v>1382</v>
      </c>
      <c r="Q152" s="24" t="s">
        <v>431</v>
      </c>
      <c r="R152" s="25" t="s">
        <v>50</v>
      </c>
      <c r="S152" s="26">
        <v>272</v>
      </c>
      <c r="T152" s="26">
        <v>32675</v>
      </c>
      <c r="U152" s="26">
        <f t="shared" si="19"/>
        <v>28</v>
      </c>
      <c r="V152" s="128">
        <f t="shared" si="23"/>
        <v>1225</v>
      </c>
      <c r="W152" s="26">
        <f t="shared" si="24"/>
        <v>20127</v>
      </c>
      <c r="X152" s="26">
        <f t="shared" si="25"/>
        <v>34300</v>
      </c>
      <c r="Y152" s="26">
        <f t="shared" si="27"/>
        <v>563556</v>
      </c>
      <c r="Z152" s="27" t="s">
        <v>15</v>
      </c>
      <c r="AA152" s="36" t="s">
        <v>16</v>
      </c>
      <c r="AB152" s="181">
        <f t="shared" si="28"/>
        <v>32675</v>
      </c>
      <c r="AC152" s="181">
        <f t="shared" si="26"/>
        <v>914900</v>
      </c>
      <c r="AD152" s="181">
        <v>1.3</v>
      </c>
      <c r="AE152" s="181">
        <v>1.3</v>
      </c>
      <c r="AF152" s="101" t="str">
        <f t="shared" si="29"/>
        <v/>
      </c>
      <c r="AG152" s="191">
        <f>14772+1565+2565+1225</f>
        <v>20127</v>
      </c>
      <c r="AH152" s="69">
        <f t="shared" si="30"/>
        <v>32675</v>
      </c>
    </row>
    <row r="153" spans="1:34" s="69" customFormat="1" ht="39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203"/>
      <c r="F153" s="203"/>
      <c r="G153" s="203"/>
      <c r="H153" s="75">
        <v>19012.060000000001</v>
      </c>
      <c r="I153" s="75">
        <v>14144972.640000001</v>
      </c>
      <c r="J153" s="91" t="s">
        <v>435</v>
      </c>
      <c r="K153" s="73"/>
      <c r="L153" s="46">
        <v>744</v>
      </c>
      <c r="M153" s="46">
        <v>0</v>
      </c>
      <c r="N153" s="46">
        <v>14144972.640000001</v>
      </c>
      <c r="O153" s="98"/>
      <c r="P153" s="23" t="s">
        <v>1434</v>
      </c>
      <c r="Q153" s="24" t="s">
        <v>434</v>
      </c>
      <c r="R153" s="25" t="s">
        <v>30</v>
      </c>
      <c r="S153" s="26">
        <v>744</v>
      </c>
      <c r="T153" s="26"/>
      <c r="U153" s="26">
        <f t="shared" si="19"/>
        <v>19012.060000000001</v>
      </c>
      <c r="V153" s="127">
        <f t="shared" si="23"/>
        <v>0</v>
      </c>
      <c r="W153" s="127">
        <f t="shared" si="24"/>
        <v>744</v>
      </c>
      <c r="X153" s="127">
        <f t="shared" si="25"/>
        <v>0</v>
      </c>
      <c r="Y153" s="127">
        <f t="shared" si="27"/>
        <v>14144972.640000001</v>
      </c>
      <c r="Z153" s="33" t="s">
        <v>15</v>
      </c>
      <c r="AA153" s="36" t="s">
        <v>16</v>
      </c>
      <c r="AB153" s="181">
        <f t="shared" si="28"/>
        <v>744</v>
      </c>
      <c r="AC153" s="181">
        <f t="shared" si="26"/>
        <v>14144972.640000001</v>
      </c>
      <c r="AD153" s="181">
        <v>1.3</v>
      </c>
      <c r="AE153" s="181">
        <v>1.3</v>
      </c>
      <c r="AF153" s="101" t="str">
        <f t="shared" si="29"/>
        <v/>
      </c>
      <c r="AG153" s="190">
        <v>744</v>
      </c>
      <c r="AH153" s="69">
        <f t="shared" si="30"/>
        <v>744</v>
      </c>
    </row>
    <row r="154" spans="1:34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>
        <v>373.1</v>
      </c>
      <c r="I154" s="75">
        <v>50741.599999999999</v>
      </c>
      <c r="J154" s="91" t="s">
        <v>438</v>
      </c>
      <c r="K154" s="73"/>
      <c r="L154" s="46">
        <v>0</v>
      </c>
      <c r="M154" s="46">
        <v>0</v>
      </c>
      <c r="N154" s="46">
        <v>0</v>
      </c>
      <c r="O154" s="98"/>
      <c r="P154" s="23" t="s">
        <v>1388</v>
      </c>
      <c r="Q154" s="24" t="s">
        <v>437</v>
      </c>
      <c r="R154" s="25" t="s">
        <v>50</v>
      </c>
      <c r="S154" s="26">
        <v>136</v>
      </c>
      <c r="T154" s="26"/>
      <c r="U154" s="26">
        <f t="shared" si="19"/>
        <v>373.1</v>
      </c>
      <c r="V154" s="26">
        <f t="shared" si="23"/>
        <v>0</v>
      </c>
      <c r="W154" s="26">
        <f t="shared" si="24"/>
        <v>0</v>
      </c>
      <c r="X154" s="26">
        <f t="shared" si="25"/>
        <v>0</v>
      </c>
      <c r="Y154" s="26">
        <f t="shared" si="27"/>
        <v>0</v>
      </c>
      <c r="Z154" s="33" t="s">
        <v>15</v>
      </c>
      <c r="AA154" s="36" t="s">
        <v>16</v>
      </c>
      <c r="AB154" s="181">
        <f t="shared" si="28"/>
        <v>136</v>
      </c>
      <c r="AC154" s="181">
        <f t="shared" si="26"/>
        <v>50741.599999999999</v>
      </c>
      <c r="AD154" s="181">
        <v>1.3</v>
      </c>
      <c r="AE154" s="181">
        <v>1.3</v>
      </c>
      <c r="AF154" s="101" t="str">
        <f t="shared" si="29"/>
        <v/>
      </c>
      <c r="AG154" s="190">
        <v>0</v>
      </c>
      <c r="AH154" s="69">
        <f t="shared" si="30"/>
        <v>136</v>
      </c>
    </row>
    <row r="155" spans="1:34" s="69" customFormat="1" ht="39" x14ac:dyDescent="0.3">
      <c r="A155" s="55" t="s">
        <v>439</v>
      </c>
      <c r="B155" s="53" t="s">
        <v>440</v>
      </c>
      <c r="C155" s="54" t="s">
        <v>50</v>
      </c>
      <c r="D155" s="75">
        <v>136</v>
      </c>
      <c r="E155" s="75"/>
      <c r="F155" s="75"/>
      <c r="G155" s="75"/>
      <c r="H155" s="75">
        <v>616.53</v>
      </c>
      <c r="I155" s="75">
        <v>83848.08</v>
      </c>
      <c r="J155" s="91" t="s">
        <v>441</v>
      </c>
      <c r="K155" s="73"/>
      <c r="L155" s="46">
        <v>0</v>
      </c>
      <c r="M155" s="46">
        <v>0</v>
      </c>
      <c r="N155" s="46">
        <v>0</v>
      </c>
      <c r="O155" s="98"/>
      <c r="P155" s="23" t="s">
        <v>1389</v>
      </c>
      <c r="Q155" s="24" t="s">
        <v>440</v>
      </c>
      <c r="R155" s="25" t="s">
        <v>50</v>
      </c>
      <c r="S155" s="26">
        <v>136</v>
      </c>
      <c r="T155" s="26"/>
      <c r="U155" s="26">
        <f t="shared" si="19"/>
        <v>616.53</v>
      </c>
      <c r="V155" s="26">
        <f t="shared" si="23"/>
        <v>0</v>
      </c>
      <c r="W155" s="26">
        <f t="shared" si="24"/>
        <v>0</v>
      </c>
      <c r="X155" s="26">
        <f t="shared" si="25"/>
        <v>0</v>
      </c>
      <c r="Y155" s="26">
        <f t="shared" si="27"/>
        <v>0</v>
      </c>
      <c r="Z155" s="33" t="s">
        <v>15</v>
      </c>
      <c r="AA155" s="36" t="s">
        <v>16</v>
      </c>
      <c r="AB155" s="181">
        <f t="shared" si="28"/>
        <v>136</v>
      </c>
      <c r="AC155" s="181">
        <f t="shared" si="26"/>
        <v>83848.08</v>
      </c>
      <c r="AD155" s="181">
        <v>1.3</v>
      </c>
      <c r="AE155" s="181">
        <v>1.3</v>
      </c>
      <c r="AF155" s="101" t="str">
        <f t="shared" si="29"/>
        <v/>
      </c>
      <c r="AG155" s="190">
        <v>0</v>
      </c>
      <c r="AH155" s="69">
        <f t="shared" si="30"/>
        <v>136</v>
      </c>
    </row>
    <row r="156" spans="1:34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>
        <v>2664.06</v>
      </c>
      <c r="I156" s="75">
        <v>9590.6200000000008</v>
      </c>
      <c r="J156" s="91" t="s">
        <v>444</v>
      </c>
      <c r="K156" s="73"/>
      <c r="L156" s="46">
        <v>0</v>
      </c>
      <c r="M156" s="46">
        <v>0</v>
      </c>
      <c r="N156" s="46">
        <v>0</v>
      </c>
      <c r="O156" s="98"/>
      <c r="P156" s="23" t="s">
        <v>1390</v>
      </c>
      <c r="Q156" s="24" t="s">
        <v>443</v>
      </c>
      <c r="R156" s="25" t="s">
        <v>50</v>
      </c>
      <c r="S156" s="26">
        <v>3.6</v>
      </c>
      <c r="T156" s="26"/>
      <c r="U156" s="26">
        <f t="shared" si="19"/>
        <v>2664.06</v>
      </c>
      <c r="V156" s="26">
        <f t="shared" si="23"/>
        <v>0</v>
      </c>
      <c r="W156" s="26">
        <f t="shared" si="24"/>
        <v>0</v>
      </c>
      <c r="X156" s="26">
        <f t="shared" si="25"/>
        <v>0</v>
      </c>
      <c r="Y156" s="26">
        <f t="shared" si="27"/>
        <v>0</v>
      </c>
      <c r="Z156" s="33" t="s">
        <v>15</v>
      </c>
      <c r="AA156" s="36" t="s">
        <v>16</v>
      </c>
      <c r="AB156" s="181">
        <f t="shared" si="28"/>
        <v>3.6</v>
      </c>
      <c r="AC156" s="181">
        <f t="shared" si="26"/>
        <v>9590.6200000000008</v>
      </c>
      <c r="AD156" s="181">
        <v>1.3</v>
      </c>
      <c r="AE156" s="181">
        <v>1.3</v>
      </c>
      <c r="AF156" s="101" t="str">
        <f t="shared" si="29"/>
        <v/>
      </c>
      <c r="AG156" s="190">
        <v>0</v>
      </c>
      <c r="AH156" s="69">
        <f t="shared" si="30"/>
        <v>3.6</v>
      </c>
    </row>
    <row r="157" spans="1:34" s="69" customFormat="1" ht="39" x14ac:dyDescent="0.3">
      <c r="A157" s="55" t="s">
        <v>445</v>
      </c>
      <c r="B157" s="53" t="s">
        <v>446</v>
      </c>
      <c r="C157" s="54" t="s">
        <v>30</v>
      </c>
      <c r="D157" s="75">
        <v>44</v>
      </c>
      <c r="E157" s="75"/>
      <c r="F157" s="75"/>
      <c r="G157" s="75"/>
      <c r="H157" s="75">
        <v>5183.22</v>
      </c>
      <c r="I157" s="75">
        <v>228061.68</v>
      </c>
      <c r="J157" s="137" t="s">
        <v>447</v>
      </c>
      <c r="K157" s="73"/>
      <c r="L157" s="46">
        <v>0</v>
      </c>
      <c r="M157" s="46">
        <v>0</v>
      </c>
      <c r="N157" s="46">
        <v>0</v>
      </c>
      <c r="O157" s="98"/>
      <c r="P157" s="23" t="s">
        <v>1391</v>
      </c>
      <c r="Q157" s="24" t="s">
        <v>446</v>
      </c>
      <c r="R157" s="25" t="s">
        <v>30</v>
      </c>
      <c r="S157" s="26">
        <v>44</v>
      </c>
      <c r="T157" s="26"/>
      <c r="U157" s="26">
        <f t="shared" si="19"/>
        <v>5183.22</v>
      </c>
      <c r="V157" s="26">
        <f t="shared" si="23"/>
        <v>0</v>
      </c>
      <c r="W157" s="26">
        <f t="shared" si="24"/>
        <v>0</v>
      </c>
      <c r="X157" s="26">
        <f t="shared" si="25"/>
        <v>0</v>
      </c>
      <c r="Y157" s="26">
        <f t="shared" si="27"/>
        <v>0</v>
      </c>
      <c r="Z157" s="33" t="s">
        <v>15</v>
      </c>
      <c r="AA157" s="36" t="s">
        <v>16</v>
      </c>
      <c r="AB157" s="181">
        <f t="shared" si="28"/>
        <v>44</v>
      </c>
      <c r="AC157" s="181">
        <f t="shared" si="26"/>
        <v>228061.68</v>
      </c>
      <c r="AD157" s="181">
        <v>1.3</v>
      </c>
      <c r="AE157" s="181">
        <v>1.3</v>
      </c>
      <c r="AF157" s="101" t="str">
        <f t="shared" si="29"/>
        <v/>
      </c>
      <c r="AG157" s="190">
        <v>0</v>
      </c>
      <c r="AH157" s="69">
        <f t="shared" si="30"/>
        <v>44</v>
      </c>
    </row>
    <row r="158" spans="1:34" s="69" customFormat="1" ht="39" x14ac:dyDescent="0.3">
      <c r="A158" s="55" t="s">
        <v>448</v>
      </c>
      <c r="B158" s="53" t="s">
        <v>449</v>
      </c>
      <c r="C158" s="54" t="s">
        <v>30</v>
      </c>
      <c r="D158" s="75">
        <v>94.14</v>
      </c>
      <c r="E158" s="75"/>
      <c r="F158" s="75"/>
      <c r="G158" s="75"/>
      <c r="H158" s="75">
        <v>9392.57</v>
      </c>
      <c r="I158" s="75">
        <v>884216.54</v>
      </c>
      <c r="J158" s="137" t="s">
        <v>450</v>
      </c>
      <c r="K158" s="73"/>
      <c r="L158" s="46">
        <v>0</v>
      </c>
      <c r="M158" s="46">
        <v>0</v>
      </c>
      <c r="N158" s="46">
        <v>0</v>
      </c>
      <c r="O158" s="98"/>
      <c r="P158" s="23" t="s">
        <v>1436</v>
      </c>
      <c r="Q158" s="24" t="s">
        <v>449</v>
      </c>
      <c r="R158" s="25" t="s">
        <v>30</v>
      </c>
      <c r="S158" s="26">
        <v>94.14</v>
      </c>
      <c r="T158" s="26"/>
      <c r="U158" s="26">
        <f t="shared" si="19"/>
        <v>9392.57</v>
      </c>
      <c r="V158" s="26">
        <f t="shared" si="23"/>
        <v>0</v>
      </c>
      <c r="W158" s="26">
        <f t="shared" si="24"/>
        <v>0</v>
      </c>
      <c r="X158" s="26">
        <f t="shared" si="25"/>
        <v>0</v>
      </c>
      <c r="Y158" s="26">
        <f t="shared" si="27"/>
        <v>0</v>
      </c>
      <c r="Z158" s="33" t="s">
        <v>15</v>
      </c>
      <c r="AA158" s="36" t="s">
        <v>16</v>
      </c>
      <c r="AB158" s="181">
        <f t="shared" si="28"/>
        <v>94.14</v>
      </c>
      <c r="AC158" s="181">
        <f t="shared" si="26"/>
        <v>884216.54</v>
      </c>
      <c r="AD158" s="181">
        <v>1.3</v>
      </c>
      <c r="AE158" s="181">
        <v>1.3</v>
      </c>
      <c r="AF158" s="101" t="str">
        <f t="shared" si="29"/>
        <v/>
      </c>
      <c r="AG158" s="190">
        <v>0</v>
      </c>
      <c r="AH158" s="69">
        <f t="shared" si="30"/>
        <v>94.14</v>
      </c>
    </row>
    <row r="159" spans="1:34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>
        <v>2388.5700000000002</v>
      </c>
      <c r="I159" s="75">
        <v>272296.98</v>
      </c>
      <c r="J159" s="137" t="s">
        <v>453</v>
      </c>
      <c r="K159" s="73"/>
      <c r="L159" s="46">
        <v>0</v>
      </c>
      <c r="M159" s="46">
        <v>0</v>
      </c>
      <c r="N159" s="46">
        <v>0</v>
      </c>
      <c r="O159" s="98"/>
      <c r="P159" s="23" t="s">
        <v>1374</v>
      </c>
      <c r="Q159" s="24" t="s">
        <v>452</v>
      </c>
      <c r="R159" s="25" t="s">
        <v>30</v>
      </c>
      <c r="S159" s="26">
        <v>114</v>
      </c>
      <c r="T159" s="26"/>
      <c r="U159" s="26">
        <f t="shared" si="19"/>
        <v>2388.5700000000002</v>
      </c>
      <c r="V159" s="26">
        <f t="shared" si="23"/>
        <v>0</v>
      </c>
      <c r="W159" s="26">
        <f t="shared" si="24"/>
        <v>0</v>
      </c>
      <c r="X159" s="26">
        <f t="shared" si="25"/>
        <v>0</v>
      </c>
      <c r="Y159" s="26">
        <f t="shared" si="27"/>
        <v>0</v>
      </c>
      <c r="Z159" s="33" t="s">
        <v>15</v>
      </c>
      <c r="AA159" s="36" t="s">
        <v>16</v>
      </c>
      <c r="AB159" s="181">
        <f t="shared" si="28"/>
        <v>114</v>
      </c>
      <c r="AC159" s="181">
        <f t="shared" si="26"/>
        <v>272296.98</v>
      </c>
      <c r="AD159" s="181">
        <v>1.3</v>
      </c>
      <c r="AE159" s="181">
        <v>1.3</v>
      </c>
      <c r="AF159" s="101" t="str">
        <f t="shared" si="29"/>
        <v/>
      </c>
      <c r="AG159" s="190">
        <v>0</v>
      </c>
      <c r="AH159" s="69">
        <f t="shared" si="30"/>
        <v>114</v>
      </c>
    </row>
    <row r="160" spans="1:34" s="69" customFormat="1" ht="39" x14ac:dyDescent="0.3">
      <c r="A160" s="55" t="s">
        <v>454</v>
      </c>
      <c r="B160" s="215" t="s">
        <v>455</v>
      </c>
      <c r="C160" s="54" t="s">
        <v>30</v>
      </c>
      <c r="D160" s="75">
        <v>44</v>
      </c>
      <c r="E160" s="75"/>
      <c r="F160" s="75"/>
      <c r="G160" s="75"/>
      <c r="H160" s="75">
        <v>80192.710000000006</v>
      </c>
      <c r="I160" s="75">
        <v>3528479.24</v>
      </c>
      <c r="J160" s="137" t="s">
        <v>456</v>
      </c>
      <c r="K160" s="73"/>
      <c r="L160" s="46">
        <v>0</v>
      </c>
      <c r="M160" s="46">
        <v>0</v>
      </c>
      <c r="N160" s="46">
        <v>0</v>
      </c>
      <c r="O160" s="98"/>
      <c r="P160" s="23" t="s">
        <v>1376</v>
      </c>
      <c r="Q160" s="24" t="s">
        <v>455</v>
      </c>
      <c r="R160" s="25" t="s">
        <v>30</v>
      </c>
      <c r="S160" s="26">
        <v>44</v>
      </c>
      <c r="T160" s="26"/>
      <c r="U160" s="26">
        <f t="shared" si="19"/>
        <v>80192.710000000006</v>
      </c>
      <c r="V160" s="128">
        <f t="shared" si="23"/>
        <v>32</v>
      </c>
      <c r="W160" s="26">
        <f t="shared" si="24"/>
        <v>32</v>
      </c>
      <c r="X160" s="26">
        <f t="shared" si="25"/>
        <v>2566166.7200000002</v>
      </c>
      <c r="Y160" s="26">
        <f t="shared" si="27"/>
        <v>2566166.7200000002</v>
      </c>
      <c r="Z160" s="33" t="s">
        <v>15</v>
      </c>
      <c r="AA160" s="36" t="s">
        <v>16</v>
      </c>
      <c r="AB160" s="181">
        <f t="shared" si="28"/>
        <v>44</v>
      </c>
      <c r="AC160" s="181">
        <f t="shared" si="26"/>
        <v>3528479.24</v>
      </c>
      <c r="AD160" s="181">
        <v>1.3</v>
      </c>
      <c r="AE160" s="181">
        <v>1.3</v>
      </c>
      <c r="AF160" s="101" t="str">
        <f t="shared" si="29"/>
        <v/>
      </c>
      <c r="AG160" s="191">
        <f>32</f>
        <v>32</v>
      </c>
      <c r="AH160" s="69">
        <f t="shared" si="30"/>
        <v>44</v>
      </c>
    </row>
    <row r="161" spans="1:34" s="69" customFormat="1" ht="58.5" x14ac:dyDescent="0.3">
      <c r="A161" s="55" t="s">
        <v>457</v>
      </c>
      <c r="B161" s="53" t="s">
        <v>458</v>
      </c>
      <c r="C161" s="54" t="s">
        <v>30</v>
      </c>
      <c r="D161" s="75">
        <v>90</v>
      </c>
      <c r="E161" s="75"/>
      <c r="F161" s="75"/>
      <c r="G161" s="75"/>
      <c r="H161" s="75">
        <v>9257.1299999999992</v>
      </c>
      <c r="I161" s="75">
        <v>833141.7</v>
      </c>
      <c r="J161" s="137" t="s">
        <v>459</v>
      </c>
      <c r="K161" s="73"/>
      <c r="L161" s="46">
        <v>0</v>
      </c>
      <c r="M161" s="46">
        <v>0</v>
      </c>
      <c r="N161" s="46">
        <v>0</v>
      </c>
      <c r="O161" s="98"/>
      <c r="P161" s="23" t="s">
        <v>1378</v>
      </c>
      <c r="Q161" s="24" t="s">
        <v>458</v>
      </c>
      <c r="R161" s="25" t="s">
        <v>30</v>
      </c>
      <c r="S161" s="26">
        <v>90</v>
      </c>
      <c r="T161" s="26"/>
      <c r="U161" s="26">
        <f t="shared" si="19"/>
        <v>9257.1299999999992</v>
      </c>
      <c r="V161" s="26">
        <f t="shared" si="23"/>
        <v>0</v>
      </c>
      <c r="W161" s="26">
        <f t="shared" si="24"/>
        <v>0</v>
      </c>
      <c r="X161" s="26">
        <f t="shared" si="25"/>
        <v>0</v>
      </c>
      <c r="Y161" s="26">
        <f t="shared" si="27"/>
        <v>0</v>
      </c>
      <c r="Z161" s="33" t="s">
        <v>15</v>
      </c>
      <c r="AA161" s="36" t="s">
        <v>16</v>
      </c>
      <c r="AB161" s="181">
        <f t="shared" si="28"/>
        <v>90</v>
      </c>
      <c r="AC161" s="181">
        <f t="shared" si="26"/>
        <v>833141.7</v>
      </c>
      <c r="AD161" s="181">
        <v>1.3</v>
      </c>
      <c r="AE161" s="181">
        <v>1.3</v>
      </c>
      <c r="AF161" s="101" t="str">
        <f t="shared" si="29"/>
        <v/>
      </c>
      <c r="AG161" s="190">
        <v>0</v>
      </c>
      <c r="AH161" s="69">
        <f t="shared" si="30"/>
        <v>90</v>
      </c>
    </row>
    <row r="162" spans="1:34" s="69" customFormat="1" ht="33" x14ac:dyDescent="0.3">
      <c r="A162" s="55" t="s">
        <v>460</v>
      </c>
      <c r="B162" s="53" t="s">
        <v>461</v>
      </c>
      <c r="C162" s="54" t="s">
        <v>81</v>
      </c>
      <c r="D162" s="75">
        <v>1</v>
      </c>
      <c r="E162" s="75"/>
      <c r="F162" s="75"/>
      <c r="G162" s="75"/>
      <c r="H162" s="75">
        <v>58649</v>
      </c>
      <c r="I162" s="75">
        <v>58649</v>
      </c>
      <c r="J162" s="137" t="s">
        <v>462</v>
      </c>
      <c r="K162" s="73"/>
      <c r="L162" s="46">
        <v>0</v>
      </c>
      <c r="M162" s="46">
        <v>0</v>
      </c>
      <c r="N162" s="46">
        <v>0</v>
      </c>
      <c r="O162" s="98"/>
      <c r="P162" s="23" t="s">
        <v>1438</v>
      </c>
      <c r="Q162" s="24" t="s">
        <v>461</v>
      </c>
      <c r="R162" s="25" t="s">
        <v>81</v>
      </c>
      <c r="S162" s="26">
        <v>1</v>
      </c>
      <c r="T162" s="26"/>
      <c r="U162" s="26">
        <f t="shared" si="19"/>
        <v>58649</v>
      </c>
      <c r="V162" s="26">
        <f t="shared" si="23"/>
        <v>0</v>
      </c>
      <c r="W162" s="26">
        <f t="shared" si="24"/>
        <v>0</v>
      </c>
      <c r="X162" s="26">
        <f t="shared" si="25"/>
        <v>0</v>
      </c>
      <c r="Y162" s="26">
        <f t="shared" si="27"/>
        <v>0</v>
      </c>
      <c r="Z162" s="33" t="s">
        <v>15</v>
      </c>
      <c r="AA162" s="36" t="s">
        <v>16</v>
      </c>
      <c r="AB162" s="181">
        <f t="shared" si="28"/>
        <v>1</v>
      </c>
      <c r="AC162" s="181">
        <f t="shared" si="26"/>
        <v>58649</v>
      </c>
      <c r="AD162" s="181">
        <v>1.3</v>
      </c>
      <c r="AE162" s="181">
        <v>1.3</v>
      </c>
      <c r="AF162" s="101" t="str">
        <f t="shared" si="29"/>
        <v/>
      </c>
      <c r="AG162" s="190">
        <v>0</v>
      </c>
      <c r="AH162" s="69">
        <f t="shared" si="30"/>
        <v>1</v>
      </c>
    </row>
    <row r="163" spans="1:34" s="69" customFormat="1" ht="33" x14ac:dyDescent="0.3">
      <c r="A163" s="55" t="s">
        <v>463</v>
      </c>
      <c r="B163" s="53" t="s">
        <v>464</v>
      </c>
      <c r="C163" s="54" t="s">
        <v>81</v>
      </c>
      <c r="D163" s="75">
        <v>1</v>
      </c>
      <c r="E163" s="75"/>
      <c r="F163" s="75"/>
      <c r="G163" s="75"/>
      <c r="H163" s="75">
        <v>107614.5</v>
      </c>
      <c r="I163" s="75">
        <v>107614.5</v>
      </c>
      <c r="J163" s="137" t="s">
        <v>465</v>
      </c>
      <c r="K163" s="73"/>
      <c r="L163" s="46">
        <v>0</v>
      </c>
      <c r="M163" s="46">
        <v>0</v>
      </c>
      <c r="N163" s="46">
        <v>0</v>
      </c>
      <c r="O163" s="98"/>
      <c r="P163" s="23" t="s">
        <v>1439</v>
      </c>
      <c r="Q163" s="24" t="s">
        <v>464</v>
      </c>
      <c r="R163" s="25" t="s">
        <v>81</v>
      </c>
      <c r="S163" s="26">
        <v>1</v>
      </c>
      <c r="T163" s="26"/>
      <c r="U163" s="26">
        <f t="shared" si="19"/>
        <v>107614.5</v>
      </c>
      <c r="V163" s="26">
        <f t="shared" si="23"/>
        <v>0</v>
      </c>
      <c r="W163" s="26">
        <f t="shared" si="24"/>
        <v>0</v>
      </c>
      <c r="X163" s="26">
        <f t="shared" si="25"/>
        <v>0</v>
      </c>
      <c r="Y163" s="26">
        <f t="shared" si="27"/>
        <v>0</v>
      </c>
      <c r="Z163" s="33" t="s">
        <v>15</v>
      </c>
      <c r="AA163" s="36" t="s">
        <v>16</v>
      </c>
      <c r="AB163" s="181">
        <f t="shared" si="28"/>
        <v>1</v>
      </c>
      <c r="AC163" s="181">
        <f t="shared" si="26"/>
        <v>107614.5</v>
      </c>
      <c r="AD163" s="181">
        <v>1.3</v>
      </c>
      <c r="AE163" s="181">
        <v>1.3</v>
      </c>
      <c r="AF163" s="101" t="str">
        <f t="shared" si="29"/>
        <v/>
      </c>
      <c r="AG163" s="190">
        <v>0</v>
      </c>
      <c r="AH163" s="69">
        <f t="shared" si="30"/>
        <v>1</v>
      </c>
    </row>
    <row r="164" spans="1:34" s="69" customFormat="1" ht="33" x14ac:dyDescent="0.3">
      <c r="A164" s="55" t="s">
        <v>466</v>
      </c>
      <c r="B164" s="53" t="s">
        <v>467</v>
      </c>
      <c r="C164" s="54" t="s">
        <v>30</v>
      </c>
      <c r="D164" s="75">
        <v>13.2</v>
      </c>
      <c r="E164" s="75"/>
      <c r="F164" s="75"/>
      <c r="G164" s="75"/>
      <c r="H164" s="75">
        <v>2809.33</v>
      </c>
      <c r="I164" s="75">
        <v>37083.160000000003</v>
      </c>
      <c r="J164" s="137" t="s">
        <v>468</v>
      </c>
      <c r="K164" s="73"/>
      <c r="L164" s="46">
        <v>0</v>
      </c>
      <c r="M164" s="46">
        <v>0</v>
      </c>
      <c r="N164" s="46">
        <v>0</v>
      </c>
      <c r="O164" s="98"/>
      <c r="P164" s="23" t="s">
        <v>1440</v>
      </c>
      <c r="Q164" s="24" t="s">
        <v>467</v>
      </c>
      <c r="R164" s="25" t="s">
        <v>30</v>
      </c>
      <c r="S164" s="26">
        <v>13.2</v>
      </c>
      <c r="T164" s="26"/>
      <c r="U164" s="26">
        <f t="shared" si="19"/>
        <v>2809.33</v>
      </c>
      <c r="V164" s="26">
        <f t="shared" si="23"/>
        <v>0</v>
      </c>
      <c r="W164" s="26">
        <f t="shared" si="24"/>
        <v>0</v>
      </c>
      <c r="X164" s="26">
        <f t="shared" si="25"/>
        <v>0</v>
      </c>
      <c r="Y164" s="26">
        <f t="shared" si="27"/>
        <v>0</v>
      </c>
      <c r="Z164" s="33" t="s">
        <v>15</v>
      </c>
      <c r="AA164" s="36" t="s">
        <v>16</v>
      </c>
      <c r="AB164" s="181">
        <f t="shared" si="28"/>
        <v>13.2</v>
      </c>
      <c r="AC164" s="181">
        <f t="shared" si="26"/>
        <v>37083.160000000003</v>
      </c>
      <c r="AD164" s="181">
        <v>1.3</v>
      </c>
      <c r="AE164" s="181">
        <v>1.3</v>
      </c>
      <c r="AF164" s="101" t="str">
        <f t="shared" si="29"/>
        <v/>
      </c>
      <c r="AG164" s="190">
        <v>0</v>
      </c>
      <c r="AH164" s="69">
        <f t="shared" si="30"/>
        <v>13.2</v>
      </c>
    </row>
    <row r="165" spans="1:34" s="69" customFormat="1" ht="33" x14ac:dyDescent="0.3">
      <c r="A165" s="55" t="s">
        <v>469</v>
      </c>
      <c r="B165" s="53" t="s">
        <v>470</v>
      </c>
      <c r="C165" s="54" t="s">
        <v>30</v>
      </c>
      <c r="D165" s="75">
        <v>3</v>
      </c>
      <c r="E165" s="75"/>
      <c r="F165" s="75"/>
      <c r="G165" s="75"/>
      <c r="H165" s="75">
        <v>2433.89</v>
      </c>
      <c r="I165" s="75">
        <v>7301.67</v>
      </c>
      <c r="J165" s="137" t="s">
        <v>471</v>
      </c>
      <c r="K165" s="73"/>
      <c r="L165" s="46">
        <v>0</v>
      </c>
      <c r="M165" s="46">
        <v>0</v>
      </c>
      <c r="N165" s="46">
        <v>0</v>
      </c>
      <c r="O165" s="98"/>
      <c r="P165" s="23" t="s">
        <v>1441</v>
      </c>
      <c r="Q165" s="24" t="s">
        <v>470</v>
      </c>
      <c r="R165" s="25" t="s">
        <v>30</v>
      </c>
      <c r="S165" s="26">
        <v>3</v>
      </c>
      <c r="T165" s="26"/>
      <c r="U165" s="26">
        <f t="shared" si="19"/>
        <v>2433.89</v>
      </c>
      <c r="V165" s="26">
        <f t="shared" si="23"/>
        <v>0</v>
      </c>
      <c r="W165" s="26">
        <f t="shared" si="24"/>
        <v>0</v>
      </c>
      <c r="X165" s="26">
        <f t="shared" si="25"/>
        <v>0</v>
      </c>
      <c r="Y165" s="26">
        <f t="shared" si="27"/>
        <v>0</v>
      </c>
      <c r="Z165" s="33" t="s">
        <v>15</v>
      </c>
      <c r="AA165" s="36" t="s">
        <v>16</v>
      </c>
      <c r="AB165" s="181">
        <f t="shared" si="28"/>
        <v>3</v>
      </c>
      <c r="AC165" s="181">
        <f t="shared" si="26"/>
        <v>7301.67</v>
      </c>
      <c r="AD165" s="181">
        <v>1.3</v>
      </c>
      <c r="AE165" s="181">
        <v>1.3</v>
      </c>
      <c r="AF165" s="101" t="str">
        <f t="shared" si="29"/>
        <v/>
      </c>
      <c r="AG165" s="190">
        <v>0</v>
      </c>
      <c r="AH165" s="69">
        <f t="shared" si="30"/>
        <v>3</v>
      </c>
    </row>
    <row r="166" spans="1:34" s="69" customFormat="1" ht="33" x14ac:dyDescent="0.3">
      <c r="A166" s="55" t="s">
        <v>472</v>
      </c>
      <c r="B166" s="53" t="s">
        <v>473</v>
      </c>
      <c r="C166" s="54" t="s">
        <v>30</v>
      </c>
      <c r="D166" s="75">
        <v>6</v>
      </c>
      <c r="E166" s="75"/>
      <c r="F166" s="75"/>
      <c r="G166" s="75"/>
      <c r="H166" s="75">
        <v>2888.64</v>
      </c>
      <c r="I166" s="75">
        <v>17331.84</v>
      </c>
      <c r="J166" s="137" t="s">
        <v>474</v>
      </c>
      <c r="K166" s="73"/>
      <c r="L166" s="46">
        <v>0</v>
      </c>
      <c r="M166" s="46">
        <v>0</v>
      </c>
      <c r="N166" s="46">
        <v>0</v>
      </c>
      <c r="O166" s="98"/>
      <c r="P166" s="23" t="s">
        <v>1442</v>
      </c>
      <c r="Q166" s="24" t="s">
        <v>473</v>
      </c>
      <c r="R166" s="25" t="s">
        <v>30</v>
      </c>
      <c r="S166" s="26">
        <v>6</v>
      </c>
      <c r="T166" s="26"/>
      <c r="U166" s="26">
        <f t="shared" si="19"/>
        <v>2888.64</v>
      </c>
      <c r="V166" s="26">
        <f t="shared" si="23"/>
        <v>0</v>
      </c>
      <c r="W166" s="26">
        <f t="shared" si="24"/>
        <v>0</v>
      </c>
      <c r="X166" s="26">
        <f t="shared" si="25"/>
        <v>0</v>
      </c>
      <c r="Y166" s="26">
        <f t="shared" si="27"/>
        <v>0</v>
      </c>
      <c r="Z166" s="33" t="s">
        <v>15</v>
      </c>
      <c r="AA166" s="36" t="s">
        <v>16</v>
      </c>
      <c r="AB166" s="181">
        <f t="shared" si="28"/>
        <v>6</v>
      </c>
      <c r="AC166" s="181">
        <f t="shared" si="26"/>
        <v>17331.84</v>
      </c>
      <c r="AD166" s="181">
        <v>1.3</v>
      </c>
      <c r="AE166" s="181">
        <v>1.3</v>
      </c>
      <c r="AF166" s="101" t="str">
        <f t="shared" si="29"/>
        <v/>
      </c>
      <c r="AG166" s="190">
        <v>0</v>
      </c>
      <c r="AH166" s="69">
        <f t="shared" si="30"/>
        <v>6</v>
      </c>
    </row>
    <row r="167" spans="1:34" s="69" customFormat="1" ht="39" x14ac:dyDescent="0.3">
      <c r="A167" s="55" t="s">
        <v>475</v>
      </c>
      <c r="B167" s="53" t="s">
        <v>476</v>
      </c>
      <c r="C167" s="54" t="s">
        <v>14</v>
      </c>
      <c r="D167" s="75">
        <v>1</v>
      </c>
      <c r="E167" s="75"/>
      <c r="F167" s="75"/>
      <c r="G167" s="75"/>
      <c r="H167" s="75">
        <v>430876.81</v>
      </c>
      <c r="I167" s="75">
        <v>430876.81</v>
      </c>
      <c r="J167" s="137" t="s">
        <v>477</v>
      </c>
      <c r="K167" s="73"/>
      <c r="L167" s="46">
        <v>0</v>
      </c>
      <c r="M167" s="46">
        <v>0</v>
      </c>
      <c r="N167" s="46">
        <v>0</v>
      </c>
      <c r="O167" s="98"/>
      <c r="P167" s="23" t="s">
        <v>1443</v>
      </c>
      <c r="Q167" s="24" t="s">
        <v>476</v>
      </c>
      <c r="R167" s="25" t="s">
        <v>14</v>
      </c>
      <c r="S167" s="26">
        <v>1</v>
      </c>
      <c r="T167" s="26"/>
      <c r="U167" s="26">
        <f t="shared" ref="U167:U176" si="31">H167</f>
        <v>430876.81</v>
      </c>
      <c r="V167" s="26">
        <f t="shared" si="23"/>
        <v>0</v>
      </c>
      <c r="W167" s="26">
        <f t="shared" si="24"/>
        <v>0</v>
      </c>
      <c r="X167" s="26">
        <f t="shared" si="25"/>
        <v>0</v>
      </c>
      <c r="Y167" s="26">
        <f t="shared" si="27"/>
        <v>0</v>
      </c>
      <c r="Z167" s="33" t="s">
        <v>15</v>
      </c>
      <c r="AA167" s="36" t="s">
        <v>16</v>
      </c>
      <c r="AB167" s="181">
        <f t="shared" si="28"/>
        <v>1</v>
      </c>
      <c r="AC167" s="181">
        <f t="shared" si="26"/>
        <v>430876.81</v>
      </c>
      <c r="AD167" s="181">
        <v>1.3</v>
      </c>
      <c r="AE167" s="181">
        <v>1.3</v>
      </c>
      <c r="AF167" s="101" t="str">
        <f t="shared" si="29"/>
        <v/>
      </c>
      <c r="AG167" s="190">
        <v>0</v>
      </c>
      <c r="AH167" s="69">
        <f t="shared" si="30"/>
        <v>1</v>
      </c>
    </row>
    <row r="168" spans="1:34" s="69" customFormat="1" ht="33" x14ac:dyDescent="0.3">
      <c r="A168" s="130" t="s">
        <v>478</v>
      </c>
      <c r="B168" s="131" t="s">
        <v>479</v>
      </c>
      <c r="C168" s="132" t="s">
        <v>81</v>
      </c>
      <c r="D168" s="133">
        <v>1</v>
      </c>
      <c r="E168" s="75"/>
      <c r="F168" s="75"/>
      <c r="G168" s="75"/>
      <c r="H168" s="75">
        <v>29563.21</v>
      </c>
      <c r="I168" s="75">
        <v>29563.21</v>
      </c>
      <c r="J168" s="137" t="s">
        <v>480</v>
      </c>
      <c r="K168" s="73"/>
      <c r="L168" s="46">
        <v>1</v>
      </c>
      <c r="M168" s="46">
        <v>0</v>
      </c>
      <c r="N168" s="46">
        <v>29563.21</v>
      </c>
      <c r="O168" s="98"/>
      <c r="P168" s="23" t="s">
        <v>1444</v>
      </c>
      <c r="Q168" s="24" t="s">
        <v>479</v>
      </c>
      <c r="R168" s="25" t="s">
        <v>81</v>
      </c>
      <c r="S168" s="26">
        <v>1</v>
      </c>
      <c r="T168" s="26"/>
      <c r="U168" s="26">
        <f t="shared" si="31"/>
        <v>29563.21</v>
      </c>
      <c r="V168" s="127">
        <f t="shared" si="23"/>
        <v>0</v>
      </c>
      <c r="W168" s="127">
        <f t="shared" si="24"/>
        <v>1</v>
      </c>
      <c r="X168" s="127">
        <f t="shared" si="25"/>
        <v>0</v>
      </c>
      <c r="Y168" s="127">
        <f t="shared" si="27"/>
        <v>29563.21</v>
      </c>
      <c r="Z168" s="33" t="s">
        <v>15</v>
      </c>
      <c r="AA168" s="36" t="s">
        <v>16</v>
      </c>
      <c r="AB168" s="181">
        <f t="shared" si="28"/>
        <v>1</v>
      </c>
      <c r="AC168" s="181">
        <f t="shared" si="26"/>
        <v>29563.21</v>
      </c>
      <c r="AD168" s="181">
        <v>1.3</v>
      </c>
      <c r="AE168" s="181">
        <v>1.3</v>
      </c>
      <c r="AF168" s="101" t="str">
        <f t="shared" si="29"/>
        <v/>
      </c>
      <c r="AG168" s="194">
        <f>1</f>
        <v>1</v>
      </c>
      <c r="AH168" s="69">
        <f t="shared" si="30"/>
        <v>1</v>
      </c>
    </row>
    <row r="169" spans="1:34" s="69" customFormat="1" ht="33" x14ac:dyDescent="0.3">
      <c r="A169" s="55" t="s">
        <v>481</v>
      </c>
      <c r="B169" s="53" t="s">
        <v>482</v>
      </c>
      <c r="C169" s="54" t="s">
        <v>81</v>
      </c>
      <c r="D169" s="75">
        <v>1</v>
      </c>
      <c r="E169" s="75"/>
      <c r="F169" s="75"/>
      <c r="G169" s="75"/>
      <c r="H169" s="75">
        <v>1061152.75</v>
      </c>
      <c r="I169" s="75">
        <v>1061152.75</v>
      </c>
      <c r="J169" s="137" t="s">
        <v>483</v>
      </c>
      <c r="K169" s="73"/>
      <c r="L169" s="46">
        <v>0</v>
      </c>
      <c r="M169" s="46">
        <v>0</v>
      </c>
      <c r="N169" s="46">
        <v>0</v>
      </c>
      <c r="O169" s="98"/>
      <c r="P169" s="23" t="s">
        <v>1408</v>
      </c>
      <c r="Q169" s="24" t="s">
        <v>482</v>
      </c>
      <c r="R169" s="25" t="s">
        <v>81</v>
      </c>
      <c r="S169" s="26">
        <v>1</v>
      </c>
      <c r="T169" s="26"/>
      <c r="U169" s="26">
        <f t="shared" si="31"/>
        <v>1061152.75</v>
      </c>
      <c r="V169" s="128">
        <f t="shared" si="23"/>
        <v>0.5</v>
      </c>
      <c r="W169" s="26">
        <f t="shared" si="24"/>
        <v>0.5</v>
      </c>
      <c r="X169" s="26">
        <f t="shared" si="25"/>
        <v>530576.38</v>
      </c>
      <c r="Y169" s="26">
        <f t="shared" si="27"/>
        <v>530576.38</v>
      </c>
      <c r="Z169" s="33" t="s">
        <v>15</v>
      </c>
      <c r="AA169" s="36" t="s">
        <v>16</v>
      </c>
      <c r="AB169" s="181">
        <f t="shared" si="28"/>
        <v>1</v>
      </c>
      <c r="AC169" s="181">
        <f t="shared" si="26"/>
        <v>1061152.75</v>
      </c>
      <c r="AD169" s="181">
        <v>1.3</v>
      </c>
      <c r="AE169" s="181">
        <v>1.3</v>
      </c>
      <c r="AF169" s="101" t="str">
        <f t="shared" si="29"/>
        <v/>
      </c>
      <c r="AG169" s="191">
        <v>0.5</v>
      </c>
      <c r="AH169" s="69">
        <f t="shared" si="30"/>
        <v>1</v>
      </c>
    </row>
    <row r="170" spans="1:34" s="69" customFormat="1" ht="33" x14ac:dyDescent="0.3">
      <c r="A170" s="130" t="s">
        <v>484</v>
      </c>
      <c r="B170" s="131" t="s">
        <v>485</v>
      </c>
      <c r="C170" s="132" t="s">
        <v>81</v>
      </c>
      <c r="D170" s="133">
        <v>1</v>
      </c>
      <c r="E170" s="75"/>
      <c r="F170" s="75"/>
      <c r="G170" s="75"/>
      <c r="H170" s="75">
        <v>2431046.88</v>
      </c>
      <c r="I170" s="75">
        <v>2431046.88</v>
      </c>
      <c r="J170" s="137" t="s">
        <v>486</v>
      </c>
      <c r="K170" s="73"/>
      <c r="L170" s="46">
        <v>1</v>
      </c>
      <c r="M170" s="46">
        <v>0</v>
      </c>
      <c r="N170" s="46">
        <v>2431046.88</v>
      </c>
      <c r="O170" s="98"/>
      <c r="P170" s="23" t="s">
        <v>1409</v>
      </c>
      <c r="Q170" s="24" t="s">
        <v>485</v>
      </c>
      <c r="R170" s="25" t="s">
        <v>81</v>
      </c>
      <c r="S170" s="26">
        <v>1</v>
      </c>
      <c r="T170" s="26"/>
      <c r="U170" s="26">
        <f t="shared" si="31"/>
        <v>2431046.88</v>
      </c>
      <c r="V170" s="127">
        <f t="shared" si="23"/>
        <v>0</v>
      </c>
      <c r="W170" s="127">
        <f t="shared" si="24"/>
        <v>1</v>
      </c>
      <c r="X170" s="127">
        <f t="shared" si="25"/>
        <v>0</v>
      </c>
      <c r="Y170" s="127">
        <f t="shared" si="27"/>
        <v>2431046.88</v>
      </c>
      <c r="Z170" s="33" t="s">
        <v>15</v>
      </c>
      <c r="AA170" s="36" t="s">
        <v>16</v>
      </c>
      <c r="AB170" s="181">
        <f t="shared" si="28"/>
        <v>1</v>
      </c>
      <c r="AC170" s="181">
        <f t="shared" si="26"/>
        <v>2431046.88</v>
      </c>
      <c r="AD170" s="181">
        <v>1.3</v>
      </c>
      <c r="AE170" s="181">
        <v>1.3</v>
      </c>
      <c r="AF170" s="101" t="str">
        <f t="shared" si="29"/>
        <v/>
      </c>
      <c r="AG170" s="194">
        <f>0.8+0.2</f>
        <v>1</v>
      </c>
      <c r="AH170" s="69">
        <f t="shared" si="30"/>
        <v>1</v>
      </c>
    </row>
    <row r="171" spans="1:34" s="69" customFormat="1" ht="33" x14ac:dyDescent="0.3">
      <c r="A171" s="134" t="s">
        <v>1312</v>
      </c>
      <c r="B171" s="135" t="s">
        <v>1313</v>
      </c>
      <c r="C171" s="204" t="s">
        <v>14</v>
      </c>
      <c r="D171" s="133"/>
      <c r="E171" s="59">
        <v>1</v>
      </c>
      <c r="F171" s="77"/>
      <c r="G171" s="77"/>
      <c r="H171" s="77">
        <v>87950.62</v>
      </c>
      <c r="I171" s="59">
        <v>87950.62</v>
      </c>
      <c r="J171" s="92"/>
      <c r="K171" s="73"/>
      <c r="L171" s="46">
        <v>1</v>
      </c>
      <c r="M171" s="46">
        <v>0</v>
      </c>
      <c r="N171" s="46">
        <v>87950.62</v>
      </c>
      <c r="O171" s="98"/>
      <c r="P171" s="23" t="s">
        <v>1410</v>
      </c>
      <c r="Q171" s="24" t="s">
        <v>1495</v>
      </c>
      <c r="R171" s="25" t="s">
        <v>14</v>
      </c>
      <c r="S171" s="26">
        <v>0</v>
      </c>
      <c r="T171" s="26">
        <v>1</v>
      </c>
      <c r="U171" s="26">
        <f t="shared" si="31"/>
        <v>87950.62</v>
      </c>
      <c r="V171" s="127">
        <f t="shared" si="23"/>
        <v>0</v>
      </c>
      <c r="W171" s="127">
        <f t="shared" si="24"/>
        <v>1</v>
      </c>
      <c r="X171" s="127">
        <f t="shared" si="25"/>
        <v>0</v>
      </c>
      <c r="Y171" s="127">
        <f t="shared" si="27"/>
        <v>87950.62</v>
      </c>
      <c r="Z171" s="27"/>
      <c r="AA171" s="36" t="s">
        <v>16</v>
      </c>
      <c r="AB171" s="181">
        <f t="shared" si="28"/>
        <v>1</v>
      </c>
      <c r="AC171" s="181">
        <f t="shared" si="26"/>
        <v>87950.62</v>
      </c>
      <c r="AD171" s="181">
        <v>1.3</v>
      </c>
      <c r="AE171" s="181">
        <v>1.3</v>
      </c>
      <c r="AF171" s="101" t="str">
        <f t="shared" si="29"/>
        <v/>
      </c>
      <c r="AG171" s="190">
        <v>1</v>
      </c>
      <c r="AH171" s="69">
        <f t="shared" si="30"/>
        <v>1</v>
      </c>
    </row>
    <row r="172" spans="1:34" s="69" customFormat="1" ht="33" x14ac:dyDescent="0.3">
      <c r="A172" s="134" t="s">
        <v>1314</v>
      </c>
      <c r="B172" s="135" t="s">
        <v>1315</v>
      </c>
      <c r="C172" s="204" t="s">
        <v>30</v>
      </c>
      <c r="D172" s="133"/>
      <c r="E172" s="59">
        <v>24</v>
      </c>
      <c r="F172" s="77"/>
      <c r="G172" s="77"/>
      <c r="H172" s="77">
        <v>4257.93</v>
      </c>
      <c r="I172" s="59">
        <v>102190.32</v>
      </c>
      <c r="J172" s="92"/>
      <c r="K172" s="73"/>
      <c r="L172" s="46">
        <v>24</v>
      </c>
      <c r="M172" s="46">
        <v>0</v>
      </c>
      <c r="N172" s="46">
        <v>102190.32</v>
      </c>
      <c r="O172" s="98"/>
      <c r="P172" s="23" t="s">
        <v>1411</v>
      </c>
      <c r="Q172" s="24" t="s">
        <v>1496</v>
      </c>
      <c r="R172" s="25" t="s">
        <v>30</v>
      </c>
      <c r="S172" s="26">
        <v>0</v>
      </c>
      <c r="T172" s="26">
        <v>24</v>
      </c>
      <c r="U172" s="26">
        <f t="shared" si="31"/>
        <v>4257.93</v>
      </c>
      <c r="V172" s="127">
        <f t="shared" si="23"/>
        <v>0</v>
      </c>
      <c r="W172" s="127">
        <f t="shared" si="24"/>
        <v>24</v>
      </c>
      <c r="X172" s="127">
        <f t="shared" si="25"/>
        <v>0</v>
      </c>
      <c r="Y172" s="127">
        <f t="shared" si="27"/>
        <v>102190.32</v>
      </c>
      <c r="Z172" s="27"/>
      <c r="AA172" s="36" t="s">
        <v>16</v>
      </c>
      <c r="AB172" s="181">
        <f t="shared" si="28"/>
        <v>24</v>
      </c>
      <c r="AC172" s="181">
        <f t="shared" si="26"/>
        <v>102190.32</v>
      </c>
      <c r="AD172" s="181">
        <v>1.3</v>
      </c>
      <c r="AE172" s="181">
        <v>1.3</v>
      </c>
      <c r="AF172" s="101" t="str">
        <f t="shared" si="29"/>
        <v/>
      </c>
      <c r="AG172" s="190">
        <v>24</v>
      </c>
      <c r="AH172" s="69">
        <f t="shared" si="30"/>
        <v>24</v>
      </c>
    </row>
    <row r="173" spans="1:34" s="69" customFormat="1" ht="33" x14ac:dyDescent="0.3">
      <c r="A173" s="134" t="s">
        <v>1316</v>
      </c>
      <c r="B173" s="135" t="s">
        <v>1317</v>
      </c>
      <c r="C173" s="204" t="s">
        <v>513</v>
      </c>
      <c r="D173" s="133"/>
      <c r="E173" s="59">
        <v>1</v>
      </c>
      <c r="F173" s="77"/>
      <c r="G173" s="77"/>
      <c r="H173" s="77">
        <v>200835.11</v>
      </c>
      <c r="I173" s="59">
        <v>200835.11</v>
      </c>
      <c r="J173" s="92"/>
      <c r="K173" s="73"/>
      <c r="L173" s="46">
        <v>1</v>
      </c>
      <c r="M173" s="46">
        <v>0</v>
      </c>
      <c r="N173" s="46">
        <v>200835.11</v>
      </c>
      <c r="O173" s="98"/>
      <c r="P173" s="23" t="s">
        <v>1445</v>
      </c>
      <c r="Q173" s="24" t="s">
        <v>1497</v>
      </c>
      <c r="R173" s="25" t="s">
        <v>513</v>
      </c>
      <c r="S173" s="26">
        <v>0</v>
      </c>
      <c r="T173" s="26">
        <v>1</v>
      </c>
      <c r="U173" s="26">
        <f t="shared" si="31"/>
        <v>200835.11</v>
      </c>
      <c r="V173" s="127">
        <f t="shared" si="23"/>
        <v>0</v>
      </c>
      <c r="W173" s="127">
        <f t="shared" si="24"/>
        <v>1</v>
      </c>
      <c r="X173" s="127">
        <f t="shared" si="25"/>
        <v>0</v>
      </c>
      <c r="Y173" s="127">
        <f t="shared" si="27"/>
        <v>200835.11</v>
      </c>
      <c r="Z173" s="27"/>
      <c r="AA173" s="36" t="s">
        <v>16</v>
      </c>
      <c r="AB173" s="181">
        <f t="shared" si="28"/>
        <v>1</v>
      </c>
      <c r="AC173" s="181">
        <f t="shared" si="26"/>
        <v>200835.11</v>
      </c>
      <c r="AD173" s="181">
        <v>1.3</v>
      </c>
      <c r="AE173" s="181">
        <v>1.3</v>
      </c>
      <c r="AF173" s="101" t="str">
        <f t="shared" si="29"/>
        <v/>
      </c>
      <c r="AG173" s="190">
        <v>1</v>
      </c>
      <c r="AH173" s="69">
        <f t="shared" si="30"/>
        <v>1</v>
      </c>
    </row>
    <row r="174" spans="1:34" ht="33" x14ac:dyDescent="0.3">
      <c r="A174" s="67" t="s">
        <v>1318</v>
      </c>
      <c r="B174" s="64" t="s">
        <v>1319</v>
      </c>
      <c r="C174" s="61" t="s">
        <v>412</v>
      </c>
      <c r="D174" s="78"/>
      <c r="E174" s="78"/>
      <c r="F174" s="116">
        <v>150400</v>
      </c>
      <c r="G174" s="141"/>
      <c r="H174" s="78">
        <v>16.21</v>
      </c>
      <c r="I174" s="62">
        <v>2437984</v>
      </c>
      <c r="J174" s="93"/>
      <c r="L174" s="46">
        <v>137039.58000000002</v>
      </c>
      <c r="M174" s="46">
        <v>461984.99999999977</v>
      </c>
      <c r="N174" s="46">
        <v>2221411.59</v>
      </c>
      <c r="O174" s="98"/>
      <c r="P174" s="23" t="s">
        <v>1383</v>
      </c>
      <c r="Q174" s="24" t="s">
        <v>1319</v>
      </c>
      <c r="R174" s="25" t="s">
        <v>412</v>
      </c>
      <c r="S174" s="26">
        <v>0</v>
      </c>
      <c r="T174" s="26">
        <v>150400</v>
      </c>
      <c r="U174" s="26">
        <f t="shared" si="31"/>
        <v>16.21</v>
      </c>
      <c r="V174" s="128">
        <f t="shared" si="23"/>
        <v>13311</v>
      </c>
      <c r="W174" s="127">
        <f t="shared" si="24"/>
        <v>150350.58000000002</v>
      </c>
      <c r="X174" s="127">
        <f t="shared" si="25"/>
        <v>215771.31000000006</v>
      </c>
      <c r="Y174" s="127">
        <f t="shared" si="27"/>
        <v>2437182.9</v>
      </c>
      <c r="Z174" s="27"/>
      <c r="AA174" s="36" t="s">
        <v>16</v>
      </c>
      <c r="AB174" s="181">
        <f t="shared" si="28"/>
        <v>150400</v>
      </c>
      <c r="AC174" s="181">
        <f t="shared" si="26"/>
        <v>2437984</v>
      </c>
      <c r="AD174" s="181">
        <v>1.3</v>
      </c>
      <c r="AE174" s="181">
        <v>1.3</v>
      </c>
      <c r="AF174" s="101" t="str">
        <f t="shared" si="29"/>
        <v/>
      </c>
      <c r="AG174" s="191">
        <f>AG148</f>
        <v>150350.58000000002</v>
      </c>
      <c r="AH174" s="69">
        <f t="shared" si="30"/>
        <v>150400</v>
      </c>
    </row>
    <row r="175" spans="1:34" ht="33" x14ac:dyDescent="0.3">
      <c r="A175" s="67" t="s">
        <v>1320</v>
      </c>
      <c r="B175" s="64" t="s">
        <v>1321</v>
      </c>
      <c r="C175" s="61" t="s">
        <v>325</v>
      </c>
      <c r="D175" s="78"/>
      <c r="E175" s="78"/>
      <c r="F175" s="62">
        <v>18</v>
      </c>
      <c r="G175" s="62"/>
      <c r="H175" s="167">
        <v>79588.210000000006</v>
      </c>
      <c r="I175" s="62">
        <v>1432587.78</v>
      </c>
      <c r="J175" s="93"/>
      <c r="L175" s="46">
        <v>16</v>
      </c>
      <c r="M175" s="46">
        <v>0</v>
      </c>
      <c r="N175" s="46">
        <v>1273411.3600000001</v>
      </c>
      <c r="O175" s="98"/>
      <c r="P175" s="23" t="s">
        <v>1384</v>
      </c>
      <c r="Q175" s="24" t="s">
        <v>1321</v>
      </c>
      <c r="R175" s="25" t="s">
        <v>325</v>
      </c>
      <c r="S175" s="26">
        <v>0</v>
      </c>
      <c r="T175" s="26">
        <v>18</v>
      </c>
      <c r="U175" s="26">
        <f t="shared" si="31"/>
        <v>79588.210000000006</v>
      </c>
      <c r="V175" s="128">
        <f t="shared" si="23"/>
        <v>0</v>
      </c>
      <c r="W175" s="26">
        <f t="shared" si="24"/>
        <v>16</v>
      </c>
      <c r="X175" s="26">
        <f t="shared" si="25"/>
        <v>0</v>
      </c>
      <c r="Y175" s="26">
        <f t="shared" si="27"/>
        <v>1273411.3600000001</v>
      </c>
      <c r="Z175" s="27"/>
      <c r="AA175" s="36" t="s">
        <v>16</v>
      </c>
      <c r="AB175" s="181">
        <f t="shared" si="28"/>
        <v>18</v>
      </c>
      <c r="AC175" s="181">
        <f t="shared" si="26"/>
        <v>1432587.78</v>
      </c>
      <c r="AD175" s="181">
        <v>1.3</v>
      </c>
      <c r="AE175" s="181">
        <v>1.3</v>
      </c>
      <c r="AF175" s="101" t="str">
        <f t="shared" si="29"/>
        <v/>
      </c>
      <c r="AG175" s="194">
        <f>12+4</f>
        <v>16</v>
      </c>
      <c r="AH175" s="69">
        <f t="shared" si="30"/>
        <v>18</v>
      </c>
    </row>
    <row r="176" spans="1:34" ht="33" x14ac:dyDescent="0.3">
      <c r="A176" s="67" t="s">
        <v>1322</v>
      </c>
      <c r="B176" s="64" t="s">
        <v>1323</v>
      </c>
      <c r="C176" s="61" t="s">
        <v>325</v>
      </c>
      <c r="D176" s="78"/>
      <c r="E176" s="78"/>
      <c r="F176" s="62">
        <v>2</v>
      </c>
      <c r="G176" s="140"/>
      <c r="H176" s="78">
        <v>120491.2</v>
      </c>
      <c r="I176" s="62">
        <v>240982.39999999999</v>
      </c>
      <c r="J176" s="93"/>
      <c r="L176" s="46">
        <v>0</v>
      </c>
      <c r="M176" s="46">
        <v>0</v>
      </c>
      <c r="N176" s="46">
        <v>0</v>
      </c>
      <c r="O176" s="98"/>
      <c r="P176" s="23" t="s">
        <v>1385</v>
      </c>
      <c r="Q176" s="24" t="s">
        <v>1323</v>
      </c>
      <c r="R176" s="25" t="s">
        <v>325</v>
      </c>
      <c r="S176" s="26">
        <v>0</v>
      </c>
      <c r="T176" s="26">
        <v>2</v>
      </c>
      <c r="U176" s="26">
        <f t="shared" si="31"/>
        <v>120491.2</v>
      </c>
      <c r="V176" s="26">
        <f t="shared" si="23"/>
        <v>0</v>
      </c>
      <c r="W176" s="26">
        <f t="shared" si="24"/>
        <v>0</v>
      </c>
      <c r="X176" s="26">
        <f t="shared" si="25"/>
        <v>0</v>
      </c>
      <c r="Y176" s="26">
        <f t="shared" si="27"/>
        <v>0</v>
      </c>
      <c r="Z176" s="27"/>
      <c r="AA176" s="36" t="s">
        <v>16</v>
      </c>
      <c r="AB176" s="181">
        <f t="shared" si="28"/>
        <v>2</v>
      </c>
      <c r="AC176" s="181">
        <f t="shared" si="26"/>
        <v>240982.39999999999</v>
      </c>
      <c r="AD176" s="181">
        <v>1.3</v>
      </c>
      <c r="AE176" s="181">
        <v>1.3</v>
      </c>
      <c r="AF176" s="101" t="str">
        <f t="shared" si="29"/>
        <v/>
      </c>
      <c r="AG176" s="190">
        <v>0</v>
      </c>
      <c r="AH176" s="69">
        <f t="shared" si="30"/>
        <v>2</v>
      </c>
    </row>
    <row r="177" spans="1:34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2"/>
      <c r="H177" s="82"/>
      <c r="I177" s="82">
        <v>18130103.780000001</v>
      </c>
      <c r="J177" s="94" t="s">
        <v>15</v>
      </c>
      <c r="K177" s="73"/>
      <c r="L177" s="45">
        <v>1</v>
      </c>
      <c r="M177" s="45">
        <v>299806.20999999996</v>
      </c>
      <c r="N177" s="45">
        <v>15970805.850000001</v>
      </c>
      <c r="O177" s="98"/>
      <c r="P177" s="18" t="s">
        <v>1386</v>
      </c>
      <c r="Q177" s="19" t="s">
        <v>488</v>
      </c>
      <c r="R177" s="20" t="s">
        <v>14</v>
      </c>
      <c r="S177" s="21">
        <v>1</v>
      </c>
      <c r="T177" s="21"/>
      <c r="U177" s="21">
        <f>SUMIFS(AC:AC,AD:AD,AD177)</f>
        <v>18130103.780000001</v>
      </c>
      <c r="V177" s="21">
        <f t="shared" ref="V177:W177" si="32">IF(X177=0,0,1)</f>
        <v>1</v>
      </c>
      <c r="W177" s="21">
        <f t="shared" si="32"/>
        <v>1</v>
      </c>
      <c r="X177" s="21">
        <f>SUMIFS(X:X,AE:AE,AD177)</f>
        <v>1784220.14</v>
      </c>
      <c r="Y177" s="21">
        <f>SUMIFS(Y:Y,AE:AE,AD177)</f>
        <v>17755025.989999998</v>
      </c>
      <c r="Z177" s="22" t="s">
        <v>15</v>
      </c>
      <c r="AA177" s="43" t="s">
        <v>16</v>
      </c>
      <c r="AB177" s="181">
        <f t="shared" si="28"/>
        <v>1</v>
      </c>
      <c r="AC177" s="184"/>
      <c r="AD177" s="184">
        <v>1.4</v>
      </c>
      <c r="AE177" s="184"/>
      <c r="AF177" s="101" t="str">
        <f t="shared" si="29"/>
        <v/>
      </c>
      <c r="AG177" s="190">
        <v>1</v>
      </c>
      <c r="AH177" s="69">
        <f t="shared" si="30"/>
        <v>1</v>
      </c>
    </row>
    <row r="178" spans="1:34" s="69" customFormat="1" ht="39" x14ac:dyDescent="0.3">
      <c r="A178" s="55" t="s">
        <v>489</v>
      </c>
      <c r="B178" s="53" t="s">
        <v>392</v>
      </c>
      <c r="C178" s="54" t="s">
        <v>23</v>
      </c>
      <c r="D178" s="75">
        <v>20</v>
      </c>
      <c r="E178" s="75"/>
      <c r="F178" s="75"/>
      <c r="G178" s="75"/>
      <c r="H178" s="75">
        <v>3115.13</v>
      </c>
      <c r="I178" s="75">
        <v>62302.6</v>
      </c>
      <c r="J178" s="91" t="s">
        <v>114</v>
      </c>
      <c r="K178" s="73"/>
      <c r="L178" s="46">
        <v>12.15</v>
      </c>
      <c r="M178" s="46">
        <v>0</v>
      </c>
      <c r="N178" s="46">
        <v>37848.83</v>
      </c>
      <c r="O178" s="98"/>
      <c r="P178" s="23" t="s">
        <v>1421</v>
      </c>
      <c r="Q178" s="24" t="s">
        <v>392</v>
      </c>
      <c r="R178" s="25" t="s">
        <v>23</v>
      </c>
      <c r="S178" s="26">
        <v>20</v>
      </c>
      <c r="T178" s="26"/>
      <c r="U178" s="26">
        <f t="shared" ref="U178:U201" si="33">H178</f>
        <v>3115.13</v>
      </c>
      <c r="V178" s="128">
        <f t="shared" ref="V178:V201" si="34">AG178-L178</f>
        <v>7.2999999999999989</v>
      </c>
      <c r="W178" s="127">
        <f t="shared" ref="W178:W241" si="35">V178+L178</f>
        <v>19.45</v>
      </c>
      <c r="X178" s="127">
        <f t="shared" ref="X178:X201" si="36">Y178-N178</f>
        <v>22740.449999999997</v>
      </c>
      <c r="Y178" s="127">
        <f t="shared" si="27"/>
        <v>60589.279999999999</v>
      </c>
      <c r="Z178" s="33" t="s">
        <v>15</v>
      </c>
      <c r="AA178" s="36" t="s">
        <v>16</v>
      </c>
      <c r="AB178" s="181">
        <f t="shared" si="28"/>
        <v>20</v>
      </c>
      <c r="AC178" s="181">
        <f t="shared" ref="AC178:AC219" si="37">ROUND(U178*AB178,2)</f>
        <v>62302.6</v>
      </c>
      <c r="AD178" s="181">
        <v>1.4</v>
      </c>
      <c r="AE178" s="181">
        <v>1.4</v>
      </c>
      <c r="AF178" s="101" t="str">
        <f t="shared" si="29"/>
        <v/>
      </c>
      <c r="AG178" s="191">
        <f>12.15+7.3</f>
        <v>19.45</v>
      </c>
      <c r="AH178" s="69">
        <f t="shared" si="30"/>
        <v>20</v>
      </c>
    </row>
    <row r="179" spans="1:34" s="69" customFormat="1" ht="39" x14ac:dyDescent="0.3">
      <c r="A179" s="55" t="s">
        <v>490</v>
      </c>
      <c r="B179" s="53" t="s">
        <v>116</v>
      </c>
      <c r="C179" s="54" t="s">
        <v>23</v>
      </c>
      <c r="D179" s="75">
        <v>354</v>
      </c>
      <c r="E179" s="75"/>
      <c r="F179" s="75"/>
      <c r="G179" s="75"/>
      <c r="H179" s="75">
        <v>3321.13</v>
      </c>
      <c r="I179" s="75">
        <v>1175680.02</v>
      </c>
      <c r="J179" s="91" t="s">
        <v>117</v>
      </c>
      <c r="K179" s="73"/>
      <c r="L179" s="46">
        <v>0</v>
      </c>
      <c r="M179" s="46">
        <v>0</v>
      </c>
      <c r="N179" s="46">
        <v>0</v>
      </c>
      <c r="O179" s="98"/>
      <c r="P179" s="23" t="s">
        <v>1426</v>
      </c>
      <c r="Q179" s="24" t="s">
        <v>116</v>
      </c>
      <c r="R179" s="25" t="s">
        <v>23</v>
      </c>
      <c r="S179" s="26">
        <v>354</v>
      </c>
      <c r="T179" s="26"/>
      <c r="U179" s="26">
        <f t="shared" si="33"/>
        <v>3321.13</v>
      </c>
      <c r="V179" s="128">
        <f t="shared" si="34"/>
        <v>326.60000000000002</v>
      </c>
      <c r="W179" s="127">
        <f t="shared" si="35"/>
        <v>326.60000000000002</v>
      </c>
      <c r="X179" s="127">
        <f t="shared" si="36"/>
        <v>1084681.06</v>
      </c>
      <c r="Y179" s="127">
        <f t="shared" si="27"/>
        <v>1084681.06</v>
      </c>
      <c r="Z179" s="33" t="s">
        <v>15</v>
      </c>
      <c r="AA179" s="36" t="s">
        <v>16</v>
      </c>
      <c r="AB179" s="181">
        <f t="shared" si="28"/>
        <v>354</v>
      </c>
      <c r="AC179" s="181">
        <f t="shared" si="37"/>
        <v>1175680.02</v>
      </c>
      <c r="AD179" s="181">
        <v>1.4</v>
      </c>
      <c r="AE179" s="181">
        <v>1.4</v>
      </c>
      <c r="AF179" s="101" t="str">
        <f t="shared" si="29"/>
        <v/>
      </c>
      <c r="AG179" s="191">
        <f>326.6</f>
        <v>326.60000000000002</v>
      </c>
      <c r="AH179" s="69">
        <f t="shared" si="30"/>
        <v>354</v>
      </c>
    </row>
    <row r="180" spans="1:34" s="69" customFormat="1" ht="39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203"/>
      <c r="F180" s="203"/>
      <c r="G180" s="203"/>
      <c r="H180" s="75">
        <v>3643.73</v>
      </c>
      <c r="I180" s="75">
        <v>0</v>
      </c>
      <c r="J180" s="91" t="s">
        <v>396</v>
      </c>
      <c r="K180" s="73"/>
      <c r="L180" s="46">
        <v>0</v>
      </c>
      <c r="M180" s="46">
        <v>0</v>
      </c>
      <c r="N180" s="46">
        <v>0</v>
      </c>
      <c r="O180" s="98"/>
      <c r="P180" s="23" t="s">
        <v>1402</v>
      </c>
      <c r="Q180" s="24" t="s">
        <v>395</v>
      </c>
      <c r="R180" s="25" t="s">
        <v>23</v>
      </c>
      <c r="S180" s="26">
        <v>690</v>
      </c>
      <c r="T180" s="26">
        <v>0</v>
      </c>
      <c r="U180" s="26">
        <f t="shared" si="33"/>
        <v>3643.73</v>
      </c>
      <c r="V180" s="127">
        <f t="shared" si="34"/>
        <v>0</v>
      </c>
      <c r="W180" s="127">
        <f t="shared" si="35"/>
        <v>0</v>
      </c>
      <c r="X180" s="127">
        <f t="shared" si="36"/>
        <v>0</v>
      </c>
      <c r="Y180" s="127">
        <f t="shared" si="27"/>
        <v>0</v>
      </c>
      <c r="Z180" s="33" t="s">
        <v>15</v>
      </c>
      <c r="AA180" s="36" t="s">
        <v>16</v>
      </c>
      <c r="AB180" s="181">
        <f t="shared" si="28"/>
        <v>0</v>
      </c>
      <c r="AC180" s="181">
        <f t="shared" si="37"/>
        <v>0</v>
      </c>
      <c r="AD180" s="181">
        <v>1.4</v>
      </c>
      <c r="AE180" s="181">
        <v>1.4</v>
      </c>
      <c r="AF180" s="101" t="str">
        <f t="shared" si="29"/>
        <v/>
      </c>
      <c r="AG180" s="194">
        <v>0</v>
      </c>
      <c r="AH180" s="69">
        <f t="shared" si="30"/>
        <v>690</v>
      </c>
    </row>
    <row r="181" spans="1:34" s="69" customFormat="1" ht="33" customHeight="1" x14ac:dyDescent="0.3">
      <c r="A181" s="55" t="s">
        <v>492</v>
      </c>
      <c r="B181" s="53" t="s">
        <v>493</v>
      </c>
      <c r="C181" s="54" t="s">
        <v>23</v>
      </c>
      <c r="D181" s="203">
        <v>1065</v>
      </c>
      <c r="E181" s="203"/>
      <c r="F181" s="203"/>
      <c r="G181" s="203"/>
      <c r="H181" s="75">
        <v>200</v>
      </c>
      <c r="I181" s="75">
        <v>213000</v>
      </c>
      <c r="J181" s="91" t="s">
        <v>494</v>
      </c>
      <c r="K181" s="73"/>
      <c r="L181" s="46">
        <v>694.31</v>
      </c>
      <c r="M181" s="46">
        <v>0</v>
      </c>
      <c r="N181" s="46">
        <v>138862</v>
      </c>
      <c r="O181" s="98"/>
      <c r="P181" s="23" t="s">
        <v>1373</v>
      </c>
      <c r="Q181" s="24" t="s">
        <v>493</v>
      </c>
      <c r="R181" s="25" t="s">
        <v>23</v>
      </c>
      <c r="S181" s="26">
        <v>1065</v>
      </c>
      <c r="T181" s="26"/>
      <c r="U181" s="26">
        <f t="shared" si="33"/>
        <v>200</v>
      </c>
      <c r="V181" s="218">
        <f>AG181-L181</f>
        <v>333.90000000000009</v>
      </c>
      <c r="W181" s="127">
        <f t="shared" si="35"/>
        <v>1028.21</v>
      </c>
      <c r="X181" s="127">
        <f t="shared" si="36"/>
        <v>66780</v>
      </c>
      <c r="Y181" s="127">
        <f t="shared" si="27"/>
        <v>205642</v>
      </c>
      <c r="Z181" s="33" t="s">
        <v>15</v>
      </c>
      <c r="AA181" s="36" t="s">
        <v>16</v>
      </c>
      <c r="AB181" s="181">
        <f t="shared" si="28"/>
        <v>1065</v>
      </c>
      <c r="AC181" s="181">
        <f t="shared" si="37"/>
        <v>213000</v>
      </c>
      <c r="AD181" s="181">
        <v>1.4</v>
      </c>
      <c r="AE181" s="181">
        <v>1.4</v>
      </c>
      <c r="AF181" s="101" t="str">
        <f t="shared" si="29"/>
        <v/>
      </c>
      <c r="AG181" s="191">
        <f>AG178+AG180+AG200+AG179</f>
        <v>1028.21</v>
      </c>
      <c r="AH181" s="69">
        <f t="shared" si="30"/>
        <v>1065</v>
      </c>
    </row>
    <row r="182" spans="1:34" s="69" customFormat="1" ht="57.75" x14ac:dyDescent="0.3">
      <c r="A182" s="130" t="s">
        <v>495</v>
      </c>
      <c r="B182" s="131" t="s">
        <v>405</v>
      </c>
      <c r="C182" s="132" t="s">
        <v>50</v>
      </c>
      <c r="D182" s="133">
        <v>1229</v>
      </c>
      <c r="E182" s="203"/>
      <c r="F182" s="203"/>
      <c r="G182" s="203"/>
      <c r="H182" s="75">
        <v>982.98</v>
      </c>
      <c r="I182" s="75">
        <v>1208082.42</v>
      </c>
      <c r="J182" s="91" t="s">
        <v>406</v>
      </c>
      <c r="K182" s="73"/>
      <c r="L182" s="46">
        <v>1229</v>
      </c>
      <c r="M182" s="46">
        <v>0</v>
      </c>
      <c r="N182" s="46">
        <v>1208082.42</v>
      </c>
      <c r="O182" s="98"/>
      <c r="P182" s="23" t="s">
        <v>1393</v>
      </c>
      <c r="Q182" s="24" t="s">
        <v>405</v>
      </c>
      <c r="R182" s="25" t="s">
        <v>50</v>
      </c>
      <c r="S182" s="26">
        <v>1229</v>
      </c>
      <c r="T182" s="26"/>
      <c r="U182" s="26">
        <f t="shared" si="33"/>
        <v>982.98</v>
      </c>
      <c r="V182" s="127">
        <f t="shared" si="34"/>
        <v>0</v>
      </c>
      <c r="W182" s="127">
        <f t="shared" si="35"/>
        <v>1229</v>
      </c>
      <c r="X182" s="127">
        <f t="shared" si="36"/>
        <v>0</v>
      </c>
      <c r="Y182" s="127">
        <f t="shared" si="27"/>
        <v>1208082.42</v>
      </c>
      <c r="Z182" s="33" t="s">
        <v>15</v>
      </c>
      <c r="AA182" s="36" t="s">
        <v>16</v>
      </c>
      <c r="AB182" s="181">
        <f t="shared" si="28"/>
        <v>1229</v>
      </c>
      <c r="AC182" s="181">
        <f t="shared" si="37"/>
        <v>1208082.42</v>
      </c>
      <c r="AD182" s="181">
        <v>1.4</v>
      </c>
      <c r="AE182" s="181">
        <v>1.4</v>
      </c>
      <c r="AF182" s="101" t="str">
        <f t="shared" si="29"/>
        <v/>
      </c>
      <c r="AG182" s="194">
        <f>1032+197</f>
        <v>1229</v>
      </c>
      <c r="AH182" s="69">
        <f t="shared" si="30"/>
        <v>1229</v>
      </c>
    </row>
    <row r="183" spans="1:34" s="69" customFormat="1" ht="41.25" x14ac:dyDescent="0.3">
      <c r="A183" s="130" t="s">
        <v>496</v>
      </c>
      <c r="B183" s="131" t="s">
        <v>408</v>
      </c>
      <c r="C183" s="132" t="s">
        <v>50</v>
      </c>
      <c r="D183" s="133">
        <v>285</v>
      </c>
      <c r="E183" s="203"/>
      <c r="F183" s="203"/>
      <c r="G183" s="203"/>
      <c r="H183" s="75">
        <v>804.79</v>
      </c>
      <c r="I183" s="75">
        <v>229365.15</v>
      </c>
      <c r="J183" s="91" t="s">
        <v>409</v>
      </c>
      <c r="K183" s="73"/>
      <c r="L183" s="46">
        <v>285</v>
      </c>
      <c r="M183" s="46">
        <v>0</v>
      </c>
      <c r="N183" s="46">
        <v>229365.15</v>
      </c>
      <c r="O183" s="98"/>
      <c r="P183" s="23" t="s">
        <v>1403</v>
      </c>
      <c r="Q183" s="24" t="s">
        <v>408</v>
      </c>
      <c r="R183" s="25" t="s">
        <v>50</v>
      </c>
      <c r="S183" s="26">
        <v>285</v>
      </c>
      <c r="T183" s="26"/>
      <c r="U183" s="26">
        <f t="shared" si="33"/>
        <v>804.79</v>
      </c>
      <c r="V183" s="127">
        <f t="shared" si="34"/>
        <v>0</v>
      </c>
      <c r="W183" s="127">
        <f t="shared" si="35"/>
        <v>285</v>
      </c>
      <c r="X183" s="127">
        <f t="shared" si="36"/>
        <v>0</v>
      </c>
      <c r="Y183" s="127">
        <f t="shared" si="27"/>
        <v>229365.15</v>
      </c>
      <c r="Z183" s="33" t="s">
        <v>15</v>
      </c>
      <c r="AA183" s="36" t="s">
        <v>16</v>
      </c>
      <c r="AB183" s="181">
        <f t="shared" si="28"/>
        <v>285</v>
      </c>
      <c r="AC183" s="181">
        <f t="shared" si="37"/>
        <v>229365.15</v>
      </c>
      <c r="AD183" s="181">
        <v>1.4</v>
      </c>
      <c r="AE183" s="181">
        <v>1.4</v>
      </c>
      <c r="AF183" s="101" t="str">
        <f t="shared" si="29"/>
        <v/>
      </c>
      <c r="AG183" s="194">
        <f>220+65</f>
        <v>285</v>
      </c>
      <c r="AH183" s="69">
        <f t="shared" si="30"/>
        <v>285</v>
      </c>
    </row>
    <row r="184" spans="1:34" s="69" customFormat="1" ht="33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203"/>
      <c r="F184" s="203"/>
      <c r="G184" s="203"/>
      <c r="H184" s="75">
        <v>36.4</v>
      </c>
      <c r="I184" s="75">
        <v>499262.4</v>
      </c>
      <c r="J184" s="91" t="s">
        <v>111</v>
      </c>
      <c r="K184" s="73"/>
      <c r="L184" s="46">
        <v>13110.94</v>
      </c>
      <c r="M184" s="46">
        <v>0</v>
      </c>
      <c r="N184" s="46">
        <v>477238.22</v>
      </c>
      <c r="O184" s="98"/>
      <c r="P184" s="23" t="s">
        <v>1427</v>
      </c>
      <c r="Q184" s="24" t="s">
        <v>109</v>
      </c>
      <c r="R184" s="25" t="s">
        <v>110</v>
      </c>
      <c r="S184" s="26">
        <v>13716</v>
      </c>
      <c r="T184" s="26"/>
      <c r="U184" s="26">
        <f t="shared" si="33"/>
        <v>36.4</v>
      </c>
      <c r="V184" s="127">
        <f t="shared" si="34"/>
        <v>0</v>
      </c>
      <c r="W184" s="127">
        <f t="shared" si="35"/>
        <v>13110.94</v>
      </c>
      <c r="X184" s="127">
        <f t="shared" si="36"/>
        <v>0</v>
      </c>
      <c r="Y184" s="127">
        <f t="shared" si="27"/>
        <v>477238.22</v>
      </c>
      <c r="Z184" s="33" t="s">
        <v>15</v>
      </c>
      <c r="AA184" s="36" t="s">
        <v>16</v>
      </c>
      <c r="AB184" s="181">
        <f t="shared" si="28"/>
        <v>13716</v>
      </c>
      <c r="AC184" s="181">
        <f t="shared" si="37"/>
        <v>499262.4</v>
      </c>
      <c r="AD184" s="181">
        <v>1.4</v>
      </c>
      <c r="AE184" s="181">
        <v>1.4</v>
      </c>
      <c r="AF184" s="101" t="str">
        <f t="shared" si="29"/>
        <v/>
      </c>
      <c r="AG184" s="192">
        <v>13110.94</v>
      </c>
      <c r="AH184" s="69">
        <f t="shared" si="30"/>
        <v>13716</v>
      </c>
    </row>
    <row r="185" spans="1:34" s="69" customFormat="1" ht="33" x14ac:dyDescent="0.3">
      <c r="A185" s="130" t="s">
        <v>498</v>
      </c>
      <c r="B185" s="131" t="s">
        <v>399</v>
      </c>
      <c r="C185" s="132" t="s">
        <v>110</v>
      </c>
      <c r="D185" s="133">
        <v>13810</v>
      </c>
      <c r="E185" s="203"/>
      <c r="F185" s="203"/>
      <c r="G185" s="203"/>
      <c r="H185" s="75">
        <v>38.71</v>
      </c>
      <c r="I185" s="75">
        <v>534585.1</v>
      </c>
      <c r="J185" s="91" t="s">
        <v>400</v>
      </c>
      <c r="K185" s="73"/>
      <c r="L185" s="46">
        <v>13810</v>
      </c>
      <c r="M185" s="46">
        <v>0</v>
      </c>
      <c r="N185" s="46">
        <v>534585.1</v>
      </c>
      <c r="O185" s="98"/>
      <c r="P185" s="23" t="s">
        <v>1428</v>
      </c>
      <c r="Q185" s="24" t="s">
        <v>399</v>
      </c>
      <c r="R185" s="25" t="s">
        <v>110</v>
      </c>
      <c r="S185" s="26">
        <v>13810</v>
      </c>
      <c r="T185" s="26"/>
      <c r="U185" s="26">
        <f t="shared" si="33"/>
        <v>38.71</v>
      </c>
      <c r="V185" s="127">
        <f t="shared" si="34"/>
        <v>0</v>
      </c>
      <c r="W185" s="127">
        <f t="shared" si="35"/>
        <v>13810</v>
      </c>
      <c r="X185" s="127">
        <f t="shared" si="36"/>
        <v>0</v>
      </c>
      <c r="Y185" s="127">
        <f t="shared" si="27"/>
        <v>534585.1</v>
      </c>
      <c r="Z185" s="33" t="s">
        <v>15</v>
      </c>
      <c r="AA185" s="36" t="s">
        <v>16</v>
      </c>
      <c r="AB185" s="181">
        <f t="shared" si="28"/>
        <v>13810</v>
      </c>
      <c r="AC185" s="181">
        <f t="shared" si="37"/>
        <v>534585.1</v>
      </c>
      <c r="AD185" s="181">
        <v>1.4</v>
      </c>
      <c r="AE185" s="181">
        <v>1.4</v>
      </c>
      <c r="AF185" s="101" t="str">
        <f t="shared" si="29"/>
        <v/>
      </c>
      <c r="AG185" s="194">
        <f>13810</f>
        <v>13810</v>
      </c>
      <c r="AH185" s="69">
        <f t="shared" si="30"/>
        <v>13810</v>
      </c>
    </row>
    <row r="186" spans="1:34" s="69" customFormat="1" ht="33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203"/>
      <c r="F186" s="203">
        <v>754.47</v>
      </c>
      <c r="G186" s="203"/>
      <c r="H186" s="75">
        <v>2510.79</v>
      </c>
      <c r="I186" s="75">
        <v>1894315.73</v>
      </c>
      <c r="J186" s="91" t="s">
        <v>501</v>
      </c>
      <c r="K186" s="73"/>
      <c r="L186" s="46">
        <v>754.3</v>
      </c>
      <c r="M186" s="46">
        <v>0</v>
      </c>
      <c r="N186" s="46">
        <v>1893888.9</v>
      </c>
      <c r="O186" s="98"/>
      <c r="P186" s="23" t="s">
        <v>1387</v>
      </c>
      <c r="Q186" s="24" t="s">
        <v>500</v>
      </c>
      <c r="R186" s="25" t="s">
        <v>50</v>
      </c>
      <c r="S186" s="26">
        <v>699</v>
      </c>
      <c r="T186" s="26">
        <v>754.47</v>
      </c>
      <c r="U186" s="26">
        <f t="shared" si="33"/>
        <v>2510.79</v>
      </c>
      <c r="V186" s="127">
        <f t="shared" si="34"/>
        <v>0</v>
      </c>
      <c r="W186" s="127">
        <f t="shared" si="35"/>
        <v>754.3</v>
      </c>
      <c r="X186" s="127">
        <f t="shared" si="36"/>
        <v>0</v>
      </c>
      <c r="Y186" s="127">
        <f t="shared" si="27"/>
        <v>1893888.9</v>
      </c>
      <c r="Z186" s="27"/>
      <c r="AA186" s="36" t="s">
        <v>16</v>
      </c>
      <c r="AB186" s="181">
        <f t="shared" si="28"/>
        <v>754.47</v>
      </c>
      <c r="AC186" s="181">
        <f t="shared" si="37"/>
        <v>1894315.73</v>
      </c>
      <c r="AD186" s="181">
        <v>1.4</v>
      </c>
      <c r="AE186" s="181">
        <v>1.4</v>
      </c>
      <c r="AF186" s="101" t="str">
        <f t="shared" si="29"/>
        <v/>
      </c>
      <c r="AG186" s="194">
        <f>664.5+89.8</f>
        <v>754.3</v>
      </c>
      <c r="AH186" s="69">
        <f t="shared" si="30"/>
        <v>754.47</v>
      </c>
    </row>
    <row r="187" spans="1:34" s="69" customFormat="1" ht="39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203"/>
      <c r="F187" s="203"/>
      <c r="G187" s="203"/>
      <c r="H187" s="75">
        <v>3298.06</v>
      </c>
      <c r="I187" s="75">
        <v>906966.5</v>
      </c>
      <c r="J187" s="91" t="s">
        <v>504</v>
      </c>
      <c r="K187" s="73"/>
      <c r="L187" s="46">
        <v>275</v>
      </c>
      <c r="M187" s="46">
        <v>0</v>
      </c>
      <c r="N187" s="46">
        <v>906966.5</v>
      </c>
      <c r="O187" s="98"/>
      <c r="P187" s="23" t="s">
        <v>1405</v>
      </c>
      <c r="Q187" s="24" t="s">
        <v>503</v>
      </c>
      <c r="R187" s="25" t="s">
        <v>103</v>
      </c>
      <c r="S187" s="26">
        <v>275</v>
      </c>
      <c r="T187" s="26"/>
      <c r="U187" s="26">
        <f t="shared" si="33"/>
        <v>3298.06</v>
      </c>
      <c r="V187" s="127">
        <f t="shared" si="34"/>
        <v>0</v>
      </c>
      <c r="W187" s="127">
        <f t="shared" si="35"/>
        <v>275</v>
      </c>
      <c r="X187" s="127">
        <f t="shared" si="36"/>
        <v>0</v>
      </c>
      <c r="Y187" s="127">
        <f t="shared" si="27"/>
        <v>906966.5</v>
      </c>
      <c r="Z187" s="33"/>
      <c r="AA187" s="36" t="s">
        <v>16</v>
      </c>
      <c r="AB187" s="181">
        <f t="shared" si="28"/>
        <v>275</v>
      </c>
      <c r="AC187" s="181">
        <f t="shared" si="37"/>
        <v>906966.5</v>
      </c>
      <c r="AD187" s="181">
        <v>1.4</v>
      </c>
      <c r="AE187" s="181">
        <v>1.4</v>
      </c>
      <c r="AF187" s="101" t="str">
        <f t="shared" si="29"/>
        <v/>
      </c>
      <c r="AG187" s="190">
        <v>275</v>
      </c>
      <c r="AH187" s="69">
        <f t="shared" si="30"/>
        <v>275</v>
      </c>
    </row>
    <row r="188" spans="1:34" s="69" customFormat="1" ht="39" x14ac:dyDescent="0.3">
      <c r="A188" s="130" t="s">
        <v>505</v>
      </c>
      <c r="B188" s="131" t="s">
        <v>506</v>
      </c>
      <c r="C188" s="132" t="s">
        <v>50</v>
      </c>
      <c r="D188" s="133">
        <v>203</v>
      </c>
      <c r="E188" s="75"/>
      <c r="F188" s="75"/>
      <c r="G188" s="75"/>
      <c r="H188" s="75">
        <v>2952.19</v>
      </c>
      <c r="I188" s="75">
        <v>599294.56999999995</v>
      </c>
      <c r="J188" s="91" t="s">
        <v>507</v>
      </c>
      <c r="K188" s="73"/>
      <c r="L188" s="46">
        <v>203</v>
      </c>
      <c r="M188" s="46">
        <v>216100.30999999994</v>
      </c>
      <c r="N188" s="46">
        <v>599294.56999999995</v>
      </c>
      <c r="O188" s="98"/>
      <c r="P188" s="23" t="s">
        <v>1406</v>
      </c>
      <c r="Q188" s="24" t="s">
        <v>506</v>
      </c>
      <c r="R188" s="25" t="s">
        <v>50</v>
      </c>
      <c r="S188" s="26">
        <v>203</v>
      </c>
      <c r="T188" s="26"/>
      <c r="U188" s="26">
        <f t="shared" si="33"/>
        <v>2952.19</v>
      </c>
      <c r="V188" s="127">
        <f t="shared" si="34"/>
        <v>0</v>
      </c>
      <c r="W188" s="127">
        <f t="shared" si="35"/>
        <v>203</v>
      </c>
      <c r="X188" s="127">
        <f t="shared" si="36"/>
        <v>0</v>
      </c>
      <c r="Y188" s="127">
        <f t="shared" si="27"/>
        <v>599294.56999999995</v>
      </c>
      <c r="Z188" s="33" t="s">
        <v>15</v>
      </c>
      <c r="AA188" s="36" t="s">
        <v>16</v>
      </c>
      <c r="AB188" s="181">
        <f t="shared" si="28"/>
        <v>203</v>
      </c>
      <c r="AC188" s="181">
        <f t="shared" si="37"/>
        <v>599294.56999999995</v>
      </c>
      <c r="AD188" s="181">
        <v>1.4</v>
      </c>
      <c r="AE188" s="181">
        <v>1.4</v>
      </c>
      <c r="AF188" s="101" t="str">
        <f t="shared" si="29"/>
        <v/>
      </c>
      <c r="AG188" s="190">
        <f>129.8+73.2</f>
        <v>203</v>
      </c>
      <c r="AH188" s="69">
        <f t="shared" si="30"/>
        <v>203</v>
      </c>
    </row>
    <row r="189" spans="1:34" s="69" customFormat="1" ht="33" x14ac:dyDescent="0.3">
      <c r="A189" s="130" t="s">
        <v>508</v>
      </c>
      <c r="B189" s="131" t="s">
        <v>509</v>
      </c>
      <c r="C189" s="132" t="s">
        <v>50</v>
      </c>
      <c r="D189" s="133">
        <v>405</v>
      </c>
      <c r="E189" s="75"/>
      <c r="F189" s="75"/>
      <c r="G189" s="75"/>
      <c r="H189" s="75">
        <v>1454.57</v>
      </c>
      <c r="I189" s="75">
        <v>589100.85</v>
      </c>
      <c r="J189" s="91" t="s">
        <v>510</v>
      </c>
      <c r="K189" s="73"/>
      <c r="L189" s="46">
        <v>0</v>
      </c>
      <c r="M189" s="46">
        <v>0</v>
      </c>
      <c r="N189" s="46">
        <v>0</v>
      </c>
      <c r="O189" s="98"/>
      <c r="P189" s="23" t="s">
        <v>1414</v>
      </c>
      <c r="Q189" s="24" t="s">
        <v>509</v>
      </c>
      <c r="R189" s="25" t="s">
        <v>50</v>
      </c>
      <c r="S189" s="26">
        <v>405</v>
      </c>
      <c r="T189" s="26"/>
      <c r="U189" s="26">
        <f t="shared" si="33"/>
        <v>1454.57</v>
      </c>
      <c r="V189" s="128">
        <f t="shared" si="34"/>
        <v>405</v>
      </c>
      <c r="W189" s="127">
        <f t="shared" si="35"/>
        <v>405</v>
      </c>
      <c r="X189" s="127">
        <f t="shared" si="36"/>
        <v>589100.85</v>
      </c>
      <c r="Y189" s="127">
        <f t="shared" si="27"/>
        <v>589100.85</v>
      </c>
      <c r="Z189" s="33" t="s">
        <v>15</v>
      </c>
      <c r="AA189" s="36" t="s">
        <v>16</v>
      </c>
      <c r="AB189" s="181">
        <f t="shared" si="28"/>
        <v>405</v>
      </c>
      <c r="AC189" s="181">
        <f t="shared" si="37"/>
        <v>589100.85</v>
      </c>
      <c r="AD189" s="181">
        <v>1.4</v>
      </c>
      <c r="AE189" s="181">
        <v>1.4</v>
      </c>
      <c r="AF189" s="101" t="str">
        <f t="shared" si="29"/>
        <v/>
      </c>
      <c r="AG189" s="191">
        <v>405</v>
      </c>
      <c r="AH189" s="69">
        <f t="shared" si="30"/>
        <v>405</v>
      </c>
    </row>
    <row r="190" spans="1:34" s="69" customFormat="1" ht="39" x14ac:dyDescent="0.3">
      <c r="A190" s="130" t="s">
        <v>511</v>
      </c>
      <c r="B190" s="131" t="s">
        <v>512</v>
      </c>
      <c r="C190" s="132" t="s">
        <v>513</v>
      </c>
      <c r="D190" s="133">
        <v>372</v>
      </c>
      <c r="E190" s="75"/>
      <c r="F190" s="75"/>
      <c r="G190" s="75"/>
      <c r="H190" s="75">
        <v>435</v>
      </c>
      <c r="I190" s="75">
        <v>161820</v>
      </c>
      <c r="J190" s="91" t="s">
        <v>514</v>
      </c>
      <c r="K190" s="73"/>
      <c r="L190" s="46">
        <v>292</v>
      </c>
      <c r="M190" s="46">
        <v>35670</v>
      </c>
      <c r="N190" s="46">
        <v>127020</v>
      </c>
      <c r="O190" s="98"/>
      <c r="P190" s="23" t="s">
        <v>1429</v>
      </c>
      <c r="Q190" s="24" t="s">
        <v>512</v>
      </c>
      <c r="R190" s="25" t="s">
        <v>513</v>
      </c>
      <c r="S190" s="26">
        <v>372</v>
      </c>
      <c r="T190" s="26"/>
      <c r="U190" s="26">
        <f t="shared" si="33"/>
        <v>435</v>
      </c>
      <c r="V190" s="127">
        <f t="shared" si="34"/>
        <v>0</v>
      </c>
      <c r="W190" s="127">
        <f t="shared" si="35"/>
        <v>292</v>
      </c>
      <c r="X190" s="127">
        <f t="shared" si="36"/>
        <v>0</v>
      </c>
      <c r="Y190" s="127">
        <f t="shared" si="27"/>
        <v>127020</v>
      </c>
      <c r="Z190" s="33" t="s">
        <v>15</v>
      </c>
      <c r="AA190" s="36" t="s">
        <v>16</v>
      </c>
      <c r="AB190" s="181">
        <f t="shared" si="28"/>
        <v>372</v>
      </c>
      <c r="AC190" s="181">
        <f t="shared" si="37"/>
        <v>161820</v>
      </c>
      <c r="AD190" s="181">
        <v>1.4</v>
      </c>
      <c r="AE190" s="181">
        <v>1.4</v>
      </c>
      <c r="AF190" s="101" t="str">
        <f t="shared" si="29"/>
        <v/>
      </c>
      <c r="AG190" s="191">
        <f>210+82</f>
        <v>292</v>
      </c>
      <c r="AH190" s="69">
        <f t="shared" si="30"/>
        <v>372</v>
      </c>
    </row>
    <row r="191" spans="1:34" s="69" customFormat="1" ht="33" x14ac:dyDescent="0.3">
      <c r="A191" s="130" t="s">
        <v>515</v>
      </c>
      <c r="B191" s="131" t="s">
        <v>516</v>
      </c>
      <c r="C191" s="132" t="s">
        <v>50</v>
      </c>
      <c r="D191" s="133">
        <v>1984</v>
      </c>
      <c r="E191" s="75"/>
      <c r="F191" s="75"/>
      <c r="G191" s="75"/>
      <c r="H191" s="75">
        <v>885.8</v>
      </c>
      <c r="I191" s="75">
        <v>1757427.2</v>
      </c>
      <c r="J191" s="91" t="s">
        <v>517</v>
      </c>
      <c r="K191" s="73"/>
      <c r="L191" s="46">
        <v>1796.5</v>
      </c>
      <c r="M191" s="46">
        <v>0</v>
      </c>
      <c r="N191" s="46">
        <v>1591339.7</v>
      </c>
      <c r="O191" s="98"/>
      <c r="P191" s="23" t="s">
        <v>1430</v>
      </c>
      <c r="Q191" s="24" t="s">
        <v>516</v>
      </c>
      <c r="R191" s="25" t="s">
        <v>50</v>
      </c>
      <c r="S191" s="26">
        <v>1984</v>
      </c>
      <c r="T191" s="26"/>
      <c r="U191" s="26">
        <f t="shared" si="33"/>
        <v>885.8</v>
      </c>
      <c r="V191" s="127">
        <f t="shared" si="34"/>
        <v>0</v>
      </c>
      <c r="W191" s="127">
        <f t="shared" si="35"/>
        <v>1796.5</v>
      </c>
      <c r="X191" s="127">
        <f t="shared" si="36"/>
        <v>0</v>
      </c>
      <c r="Y191" s="127">
        <f t="shared" si="27"/>
        <v>1591339.7</v>
      </c>
      <c r="Z191" s="33" t="s">
        <v>15</v>
      </c>
      <c r="AA191" s="36" t="s">
        <v>16</v>
      </c>
      <c r="AB191" s="181">
        <f t="shared" si="28"/>
        <v>1984</v>
      </c>
      <c r="AC191" s="181">
        <f t="shared" si="37"/>
        <v>1757427.2</v>
      </c>
      <c r="AD191" s="181">
        <v>1.4</v>
      </c>
      <c r="AE191" s="181">
        <v>1.4</v>
      </c>
      <c r="AF191" s="101" t="str">
        <f t="shared" si="29"/>
        <v/>
      </c>
      <c r="AG191" s="190">
        <v>1796.5</v>
      </c>
      <c r="AH191" s="69">
        <f t="shared" si="30"/>
        <v>1984</v>
      </c>
    </row>
    <row r="192" spans="1:34" s="69" customFormat="1" ht="33" x14ac:dyDescent="0.3">
      <c r="A192" s="55" t="s">
        <v>518</v>
      </c>
      <c r="B192" s="53" t="s">
        <v>189</v>
      </c>
      <c r="C192" s="54" t="s">
        <v>30</v>
      </c>
      <c r="D192" s="75">
        <v>45</v>
      </c>
      <c r="E192" s="75"/>
      <c r="F192" s="75"/>
      <c r="G192" s="75"/>
      <c r="H192" s="75">
        <v>138.84</v>
      </c>
      <c r="I192" s="75">
        <v>6247.8</v>
      </c>
      <c r="J192" s="91" t="s">
        <v>190</v>
      </c>
      <c r="K192" s="73"/>
      <c r="L192" s="46">
        <v>24.96</v>
      </c>
      <c r="M192" s="46">
        <v>0</v>
      </c>
      <c r="N192" s="46">
        <v>3465.45</v>
      </c>
      <c r="O192" s="98"/>
      <c r="P192" s="23" t="s">
        <v>1431</v>
      </c>
      <c r="Q192" s="24" t="s">
        <v>189</v>
      </c>
      <c r="R192" s="25" t="s">
        <v>30</v>
      </c>
      <c r="S192" s="26">
        <v>45</v>
      </c>
      <c r="T192" s="26"/>
      <c r="U192" s="26">
        <f t="shared" si="33"/>
        <v>138.84</v>
      </c>
      <c r="V192" s="128">
        <f t="shared" si="34"/>
        <v>12</v>
      </c>
      <c r="W192" s="127">
        <f t="shared" si="35"/>
        <v>36.96</v>
      </c>
      <c r="X192" s="127">
        <f t="shared" si="36"/>
        <v>1666.08</v>
      </c>
      <c r="Y192" s="127">
        <f t="shared" si="27"/>
        <v>5131.53</v>
      </c>
      <c r="Z192" s="33" t="s">
        <v>15</v>
      </c>
      <c r="AA192" s="36" t="s">
        <v>16</v>
      </c>
      <c r="AB192" s="181">
        <f t="shared" si="28"/>
        <v>45</v>
      </c>
      <c r="AC192" s="181">
        <f t="shared" si="37"/>
        <v>6247.8</v>
      </c>
      <c r="AD192" s="181">
        <v>1.4</v>
      </c>
      <c r="AE192" s="181">
        <v>1.4</v>
      </c>
      <c r="AF192" s="101" t="str">
        <f t="shared" si="29"/>
        <v/>
      </c>
      <c r="AG192" s="191">
        <f>24.96+12</f>
        <v>36.96</v>
      </c>
      <c r="AH192" s="69">
        <f t="shared" si="30"/>
        <v>45</v>
      </c>
    </row>
    <row r="193" spans="1:37" s="69" customFormat="1" ht="33" x14ac:dyDescent="0.3">
      <c r="A193" s="55" t="s">
        <v>519</v>
      </c>
      <c r="B193" s="53" t="s">
        <v>520</v>
      </c>
      <c r="C193" s="54" t="s">
        <v>30</v>
      </c>
      <c r="D193" s="75">
        <v>62</v>
      </c>
      <c r="E193" s="75"/>
      <c r="F193" s="75"/>
      <c r="G193" s="75"/>
      <c r="H193" s="75">
        <v>326.3</v>
      </c>
      <c r="I193" s="75">
        <v>20230.599999999999</v>
      </c>
      <c r="J193" s="91" t="s">
        <v>521</v>
      </c>
      <c r="K193" s="73"/>
      <c r="L193" s="46">
        <v>0</v>
      </c>
      <c r="M193" s="46">
        <v>0</v>
      </c>
      <c r="N193" s="46">
        <v>0</v>
      </c>
      <c r="O193" s="98"/>
      <c r="P193" s="23" t="s">
        <v>1395</v>
      </c>
      <c r="Q193" s="24" t="s">
        <v>520</v>
      </c>
      <c r="R193" s="25" t="s">
        <v>30</v>
      </c>
      <c r="S193" s="26">
        <v>62</v>
      </c>
      <c r="T193" s="26"/>
      <c r="U193" s="26">
        <f t="shared" si="33"/>
        <v>326.3</v>
      </c>
      <c r="V193" s="128">
        <f t="shared" si="34"/>
        <v>59</v>
      </c>
      <c r="W193" s="127">
        <f t="shared" si="35"/>
        <v>59</v>
      </c>
      <c r="X193" s="127">
        <f t="shared" si="36"/>
        <v>19251.7</v>
      </c>
      <c r="Y193" s="127">
        <f t="shared" si="27"/>
        <v>19251.7</v>
      </c>
      <c r="Z193" s="33" t="s">
        <v>15</v>
      </c>
      <c r="AA193" s="36" t="s">
        <v>16</v>
      </c>
      <c r="AB193" s="181">
        <f t="shared" si="28"/>
        <v>62</v>
      </c>
      <c r="AC193" s="181">
        <f t="shared" si="37"/>
        <v>20230.599999999999</v>
      </c>
      <c r="AD193" s="181">
        <v>1.4</v>
      </c>
      <c r="AE193" s="181">
        <v>1.4</v>
      </c>
      <c r="AF193" s="101" t="str">
        <f t="shared" si="29"/>
        <v/>
      </c>
      <c r="AG193" s="191">
        <f>59</f>
        <v>59</v>
      </c>
      <c r="AH193" s="69">
        <f t="shared" si="30"/>
        <v>62</v>
      </c>
    </row>
    <row r="194" spans="1:37" s="69" customFormat="1" ht="39" x14ac:dyDescent="0.3">
      <c r="A194" s="130" t="s">
        <v>522</v>
      </c>
      <c r="B194" s="131" t="s">
        <v>424</v>
      </c>
      <c r="C194" s="132" t="s">
        <v>50</v>
      </c>
      <c r="D194" s="133">
        <v>275</v>
      </c>
      <c r="E194" s="75"/>
      <c r="F194" s="75"/>
      <c r="G194" s="75"/>
      <c r="H194" s="75">
        <v>692.16</v>
      </c>
      <c r="I194" s="75">
        <v>190344</v>
      </c>
      <c r="J194" s="91" t="s">
        <v>425</v>
      </c>
      <c r="K194" s="73"/>
      <c r="L194" s="46">
        <v>275</v>
      </c>
      <c r="M194" s="46">
        <v>48035.899999999994</v>
      </c>
      <c r="N194" s="46">
        <v>190344</v>
      </c>
      <c r="O194" s="98"/>
      <c r="P194" s="23" t="s">
        <v>1432</v>
      </c>
      <c r="Q194" s="24" t="s">
        <v>424</v>
      </c>
      <c r="R194" s="25" t="s">
        <v>50</v>
      </c>
      <c r="S194" s="26">
        <v>275</v>
      </c>
      <c r="T194" s="26"/>
      <c r="U194" s="26">
        <f t="shared" si="33"/>
        <v>692.16</v>
      </c>
      <c r="V194" s="128">
        <f t="shared" si="34"/>
        <v>0</v>
      </c>
      <c r="W194" s="127">
        <f t="shared" si="35"/>
        <v>275</v>
      </c>
      <c r="X194" s="127">
        <f t="shared" si="36"/>
        <v>0</v>
      </c>
      <c r="Y194" s="127">
        <f t="shared" si="27"/>
        <v>190344</v>
      </c>
      <c r="Z194" s="33" t="s">
        <v>15</v>
      </c>
      <c r="AA194" s="36" t="s">
        <v>16</v>
      </c>
      <c r="AB194" s="181">
        <f t="shared" si="28"/>
        <v>275</v>
      </c>
      <c r="AC194" s="181">
        <f t="shared" si="37"/>
        <v>190344</v>
      </c>
      <c r="AD194" s="181">
        <v>1.4</v>
      </c>
      <c r="AE194" s="181">
        <v>1.4</v>
      </c>
      <c r="AF194" s="101" t="str">
        <f t="shared" si="29"/>
        <v/>
      </c>
      <c r="AG194" s="191">
        <f>93.6+112+69.4</f>
        <v>275</v>
      </c>
      <c r="AH194" s="69">
        <f t="shared" si="30"/>
        <v>275</v>
      </c>
    </row>
    <row r="195" spans="1:37" s="69" customFormat="1" ht="41.25" x14ac:dyDescent="0.3">
      <c r="A195" s="130" t="s">
        <v>523</v>
      </c>
      <c r="B195" s="131" t="s">
        <v>524</v>
      </c>
      <c r="C195" s="132" t="s">
        <v>30</v>
      </c>
      <c r="D195" s="133">
        <v>429</v>
      </c>
      <c r="E195" s="75"/>
      <c r="F195" s="75"/>
      <c r="G195" s="75"/>
      <c r="H195" s="75">
        <v>1707.13</v>
      </c>
      <c r="I195" s="75">
        <v>0</v>
      </c>
      <c r="J195" s="91" t="s">
        <v>525</v>
      </c>
      <c r="K195" s="73"/>
      <c r="L195" s="46">
        <v>0</v>
      </c>
      <c r="M195" s="46">
        <v>0</v>
      </c>
      <c r="N195" s="46">
        <v>0</v>
      </c>
      <c r="O195" s="98"/>
      <c r="P195" s="23" t="s">
        <v>1433</v>
      </c>
      <c r="Q195" s="24" t="s">
        <v>524</v>
      </c>
      <c r="R195" s="25" t="s">
        <v>30</v>
      </c>
      <c r="S195" s="26">
        <v>429</v>
      </c>
      <c r="T195" s="26">
        <v>0</v>
      </c>
      <c r="U195" s="26">
        <f t="shared" si="33"/>
        <v>1707.13</v>
      </c>
      <c r="V195" s="127">
        <f t="shared" si="34"/>
        <v>0</v>
      </c>
      <c r="W195" s="127">
        <f t="shared" si="35"/>
        <v>0</v>
      </c>
      <c r="X195" s="127">
        <f t="shared" si="36"/>
        <v>0</v>
      </c>
      <c r="Y195" s="127">
        <f t="shared" si="27"/>
        <v>0</v>
      </c>
      <c r="Z195" s="33" t="s">
        <v>15</v>
      </c>
      <c r="AA195" s="36" t="s">
        <v>16</v>
      </c>
      <c r="AB195" s="181">
        <f t="shared" si="28"/>
        <v>0</v>
      </c>
      <c r="AC195" s="181">
        <f t="shared" si="37"/>
        <v>0</v>
      </c>
      <c r="AD195" s="181">
        <v>1.4</v>
      </c>
      <c r="AE195" s="181">
        <v>1.4</v>
      </c>
      <c r="AF195" s="101" t="str">
        <f t="shared" si="29"/>
        <v/>
      </c>
      <c r="AG195" s="190">
        <v>0</v>
      </c>
      <c r="AH195" s="69">
        <f t="shared" si="30"/>
        <v>429</v>
      </c>
    </row>
    <row r="196" spans="1:37" s="69" customFormat="1" ht="39" x14ac:dyDescent="0.3">
      <c r="A196" s="130" t="s">
        <v>526</v>
      </c>
      <c r="B196" s="131" t="s">
        <v>527</v>
      </c>
      <c r="C196" s="132" t="s">
        <v>34</v>
      </c>
      <c r="D196" s="133">
        <v>1597.5</v>
      </c>
      <c r="E196" s="75"/>
      <c r="F196" s="75"/>
      <c r="G196" s="75"/>
      <c r="H196" s="75">
        <v>49</v>
      </c>
      <c r="I196" s="75">
        <v>78277.5</v>
      </c>
      <c r="J196" s="91" t="s">
        <v>528</v>
      </c>
      <c r="K196" s="73"/>
      <c r="L196" s="46">
        <v>1530</v>
      </c>
      <c r="M196" s="46">
        <v>0</v>
      </c>
      <c r="N196" s="46">
        <v>74970</v>
      </c>
      <c r="O196" s="98"/>
      <c r="P196" s="23" t="s">
        <v>1382</v>
      </c>
      <c r="Q196" s="24" t="s">
        <v>527</v>
      </c>
      <c r="R196" s="25" t="s">
        <v>34</v>
      </c>
      <c r="S196" s="26">
        <v>1597.5</v>
      </c>
      <c r="T196" s="26"/>
      <c r="U196" s="26">
        <f t="shared" si="33"/>
        <v>49</v>
      </c>
      <c r="V196" s="127">
        <f t="shared" si="34"/>
        <v>0</v>
      </c>
      <c r="W196" s="127">
        <f t="shared" si="35"/>
        <v>1530</v>
      </c>
      <c r="X196" s="127">
        <f t="shared" si="36"/>
        <v>0</v>
      </c>
      <c r="Y196" s="127">
        <f t="shared" si="27"/>
        <v>74970</v>
      </c>
      <c r="Z196" s="33" t="s">
        <v>15</v>
      </c>
      <c r="AA196" s="36" t="s">
        <v>16</v>
      </c>
      <c r="AB196" s="181">
        <f t="shared" si="28"/>
        <v>1597.5</v>
      </c>
      <c r="AC196" s="181">
        <f t="shared" si="37"/>
        <v>78277.5</v>
      </c>
      <c r="AD196" s="181">
        <v>1.4</v>
      </c>
      <c r="AE196" s="181">
        <v>1.4</v>
      </c>
      <c r="AF196" s="101" t="str">
        <f t="shared" si="29"/>
        <v/>
      </c>
      <c r="AG196" s="190">
        <v>1530</v>
      </c>
      <c r="AH196" s="69">
        <f t="shared" si="30"/>
        <v>1597.5</v>
      </c>
    </row>
    <row r="197" spans="1:37" s="69" customFormat="1" ht="39" x14ac:dyDescent="0.3">
      <c r="A197" s="134" t="s">
        <v>1324</v>
      </c>
      <c r="B197" s="135" t="s">
        <v>1325</v>
      </c>
      <c r="C197" s="204" t="s">
        <v>23</v>
      </c>
      <c r="D197" s="216"/>
      <c r="E197" s="117">
        <v>1362.5</v>
      </c>
      <c r="F197" s="77"/>
      <c r="G197" s="205"/>
      <c r="H197" s="77">
        <v>926.62</v>
      </c>
      <c r="I197" s="59">
        <v>1262519.75</v>
      </c>
      <c r="J197" s="92"/>
      <c r="K197" s="73"/>
      <c r="L197" s="46">
        <v>1345</v>
      </c>
      <c r="M197" s="46">
        <v>0</v>
      </c>
      <c r="N197" s="46">
        <v>1246303.8999999999</v>
      </c>
      <c r="O197" s="98"/>
      <c r="P197" s="23" t="s">
        <v>1434</v>
      </c>
      <c r="Q197" s="24" t="s">
        <v>1498</v>
      </c>
      <c r="R197" s="25" t="s">
        <v>23</v>
      </c>
      <c r="S197" s="26">
        <v>0</v>
      </c>
      <c r="T197" s="26">
        <v>1362.5</v>
      </c>
      <c r="U197" s="26">
        <f t="shared" si="33"/>
        <v>926.62</v>
      </c>
      <c r="V197" s="127">
        <f t="shared" si="34"/>
        <v>0</v>
      </c>
      <c r="W197" s="127">
        <f t="shared" si="35"/>
        <v>1345</v>
      </c>
      <c r="X197" s="127">
        <f t="shared" si="36"/>
        <v>0</v>
      </c>
      <c r="Y197" s="127">
        <f t="shared" si="27"/>
        <v>1246303.8999999999</v>
      </c>
      <c r="Z197" s="27"/>
      <c r="AA197" s="36" t="s">
        <v>16</v>
      </c>
      <c r="AB197" s="181">
        <f t="shared" si="28"/>
        <v>1362.5</v>
      </c>
      <c r="AC197" s="181">
        <f t="shared" si="37"/>
        <v>1262519.75</v>
      </c>
      <c r="AD197" s="181">
        <v>1.4</v>
      </c>
      <c r="AE197" s="181">
        <v>1.4</v>
      </c>
      <c r="AF197" s="101" t="str">
        <f t="shared" si="29"/>
        <v/>
      </c>
      <c r="AG197" s="191">
        <f>525+820</f>
        <v>1345</v>
      </c>
      <c r="AH197" s="69">
        <f t="shared" si="30"/>
        <v>1362.5</v>
      </c>
    </row>
    <row r="198" spans="1:37" ht="39" x14ac:dyDescent="0.3">
      <c r="A198" s="134" t="s">
        <v>1326</v>
      </c>
      <c r="B198" s="135" t="s">
        <v>1327</v>
      </c>
      <c r="C198" s="204" t="s">
        <v>50</v>
      </c>
      <c r="D198" s="216"/>
      <c r="E198" s="78"/>
      <c r="F198" s="62">
        <v>548.70000000000005</v>
      </c>
      <c r="G198" s="62"/>
      <c r="H198" s="167">
        <v>3120.78</v>
      </c>
      <c r="I198" s="62">
        <v>1712371.99</v>
      </c>
      <c r="J198" s="93"/>
      <c r="L198" s="46">
        <v>548.70000000000005</v>
      </c>
      <c r="M198" s="46">
        <v>0</v>
      </c>
      <c r="N198" s="46">
        <v>1712371.99</v>
      </c>
      <c r="O198" s="98"/>
      <c r="P198" s="23" t="s">
        <v>1388</v>
      </c>
      <c r="Q198" s="24" t="s">
        <v>1327</v>
      </c>
      <c r="R198" s="25" t="s">
        <v>50</v>
      </c>
      <c r="S198" s="26">
        <v>0</v>
      </c>
      <c r="T198" s="26">
        <v>548.70000000000005</v>
      </c>
      <c r="U198" s="26">
        <f t="shared" si="33"/>
        <v>3120.78</v>
      </c>
      <c r="V198" s="127">
        <f t="shared" si="34"/>
        <v>0</v>
      </c>
      <c r="W198" s="127">
        <f t="shared" si="35"/>
        <v>548.70000000000005</v>
      </c>
      <c r="X198" s="127">
        <f t="shared" si="36"/>
        <v>0</v>
      </c>
      <c r="Y198" s="127">
        <f>ROUND(U198*W198,2)</f>
        <v>1712371.99</v>
      </c>
      <c r="Z198" s="27"/>
      <c r="AA198" s="36" t="s">
        <v>16</v>
      </c>
      <c r="AB198" s="181">
        <f t="shared" si="28"/>
        <v>548.70000000000005</v>
      </c>
      <c r="AC198" s="181">
        <f t="shared" si="37"/>
        <v>1712371.99</v>
      </c>
      <c r="AD198" s="181">
        <v>1.4</v>
      </c>
      <c r="AE198" s="181">
        <v>1.4</v>
      </c>
      <c r="AF198" s="101" t="str">
        <f t="shared" si="29"/>
        <v/>
      </c>
      <c r="AG198" s="190">
        <v>548.70000000000005</v>
      </c>
      <c r="AH198" s="69">
        <f t="shared" si="30"/>
        <v>548.70000000000005</v>
      </c>
    </row>
    <row r="199" spans="1:37" ht="58.5" x14ac:dyDescent="0.3">
      <c r="A199" s="134" t="s">
        <v>1328</v>
      </c>
      <c r="B199" s="135" t="s">
        <v>1329</v>
      </c>
      <c r="C199" s="204" t="s">
        <v>30</v>
      </c>
      <c r="D199" s="216"/>
      <c r="E199" s="78"/>
      <c r="F199" s="62">
        <v>410</v>
      </c>
      <c r="G199" s="62"/>
      <c r="H199" s="167">
        <v>5733.63</v>
      </c>
      <c r="I199" s="62">
        <v>2350788.2999999998</v>
      </c>
      <c r="J199" s="93"/>
      <c r="L199" s="46">
        <v>410</v>
      </c>
      <c r="M199" s="46">
        <v>0</v>
      </c>
      <c r="N199" s="46">
        <v>2350788.2999999998</v>
      </c>
      <c r="O199" s="98"/>
      <c r="P199" s="23" t="s">
        <v>1389</v>
      </c>
      <c r="Q199" s="24" t="s">
        <v>1329</v>
      </c>
      <c r="R199" s="25" t="s">
        <v>30</v>
      </c>
      <c r="S199" s="26">
        <v>0</v>
      </c>
      <c r="T199" s="26">
        <v>410</v>
      </c>
      <c r="U199" s="26">
        <f t="shared" si="33"/>
        <v>5733.63</v>
      </c>
      <c r="V199" s="127">
        <f t="shared" si="34"/>
        <v>0</v>
      </c>
      <c r="W199" s="127">
        <f t="shared" si="35"/>
        <v>410</v>
      </c>
      <c r="X199" s="127">
        <f t="shared" si="36"/>
        <v>0</v>
      </c>
      <c r="Y199" s="127">
        <f t="shared" si="27"/>
        <v>2350788.2999999998</v>
      </c>
      <c r="Z199" s="27"/>
      <c r="AA199" s="36" t="s">
        <v>16</v>
      </c>
      <c r="AB199" s="181">
        <f t="shared" si="28"/>
        <v>410</v>
      </c>
      <c r="AC199" s="181">
        <f t="shared" si="37"/>
        <v>2350788.2999999998</v>
      </c>
      <c r="AD199" s="181">
        <v>1.4</v>
      </c>
      <c r="AE199" s="181">
        <v>1.4</v>
      </c>
      <c r="AF199" s="101" t="str">
        <f t="shared" si="29"/>
        <v/>
      </c>
      <c r="AG199" s="190">
        <v>410</v>
      </c>
      <c r="AH199" s="69">
        <f t="shared" si="30"/>
        <v>410</v>
      </c>
    </row>
    <row r="200" spans="1:37" ht="39" x14ac:dyDescent="0.3">
      <c r="A200" s="134" t="s">
        <v>1330</v>
      </c>
      <c r="B200" s="135" t="s">
        <v>1331</v>
      </c>
      <c r="C200" s="204" t="s">
        <v>23</v>
      </c>
      <c r="D200" s="216"/>
      <c r="E200" s="78"/>
      <c r="F200" s="62">
        <v>690</v>
      </c>
      <c r="G200" s="62"/>
      <c r="H200" s="167">
        <v>3832.97</v>
      </c>
      <c r="I200" s="62">
        <v>2644749.2999999998</v>
      </c>
      <c r="J200" s="93"/>
      <c r="L200" s="46">
        <v>682.16</v>
      </c>
      <c r="M200" s="46">
        <v>0</v>
      </c>
      <c r="N200" s="46">
        <v>2614698.8199999998</v>
      </c>
      <c r="O200" s="98"/>
      <c r="P200" s="23" t="s">
        <v>1390</v>
      </c>
      <c r="Q200" s="24" t="s">
        <v>1331</v>
      </c>
      <c r="R200" s="25" t="s">
        <v>23</v>
      </c>
      <c r="S200" s="26">
        <v>0</v>
      </c>
      <c r="T200" s="26">
        <v>690</v>
      </c>
      <c r="U200" s="26">
        <f t="shared" si="33"/>
        <v>3832.97</v>
      </c>
      <c r="V200" s="127">
        <f t="shared" si="34"/>
        <v>0</v>
      </c>
      <c r="W200" s="127">
        <f t="shared" si="35"/>
        <v>682.16</v>
      </c>
      <c r="X200" s="127">
        <f t="shared" si="36"/>
        <v>0</v>
      </c>
      <c r="Y200" s="127">
        <f t="shared" si="27"/>
        <v>2614698.8199999998</v>
      </c>
      <c r="Z200" s="27"/>
      <c r="AA200" s="36" t="s">
        <v>16</v>
      </c>
      <c r="AB200" s="181">
        <f t="shared" si="28"/>
        <v>690</v>
      </c>
      <c r="AC200" s="181">
        <f t="shared" si="37"/>
        <v>2644749.2999999998</v>
      </c>
      <c r="AD200" s="181">
        <v>1.4</v>
      </c>
      <c r="AE200" s="181">
        <v>1.4</v>
      </c>
      <c r="AF200" s="101" t="str">
        <f t="shared" si="29"/>
        <v/>
      </c>
      <c r="AG200" s="190">
        <v>682.16</v>
      </c>
      <c r="AH200" s="69">
        <f t="shared" si="30"/>
        <v>690</v>
      </c>
    </row>
    <row r="201" spans="1:37" ht="33" x14ac:dyDescent="0.3">
      <c r="A201" s="134" t="s">
        <v>1332</v>
      </c>
      <c r="B201" s="135" t="s">
        <v>1333</v>
      </c>
      <c r="C201" s="204" t="s">
        <v>50</v>
      </c>
      <c r="D201" s="216"/>
      <c r="E201" s="78"/>
      <c r="F201" s="62">
        <v>48</v>
      </c>
      <c r="G201" s="62"/>
      <c r="H201" s="167">
        <v>695.25</v>
      </c>
      <c r="I201" s="62">
        <v>33372</v>
      </c>
      <c r="J201" s="93"/>
      <c r="L201" s="46">
        <v>48</v>
      </c>
      <c r="M201" s="46">
        <v>0</v>
      </c>
      <c r="N201" s="46">
        <v>33372</v>
      </c>
      <c r="O201" s="98"/>
      <c r="P201" s="23" t="s">
        <v>1391</v>
      </c>
      <c r="Q201" s="24" t="s">
        <v>1333</v>
      </c>
      <c r="R201" s="25" t="s">
        <v>50</v>
      </c>
      <c r="S201" s="26">
        <v>0</v>
      </c>
      <c r="T201" s="26">
        <v>48</v>
      </c>
      <c r="U201" s="26">
        <f t="shared" si="33"/>
        <v>695.25</v>
      </c>
      <c r="V201" s="127">
        <f t="shared" si="34"/>
        <v>0</v>
      </c>
      <c r="W201" s="127">
        <f t="shared" si="35"/>
        <v>48</v>
      </c>
      <c r="X201" s="127">
        <f t="shared" si="36"/>
        <v>0</v>
      </c>
      <c r="Y201" s="127">
        <f t="shared" si="27"/>
        <v>33372</v>
      </c>
      <c r="Z201" s="27"/>
      <c r="AA201" s="36" t="s">
        <v>16</v>
      </c>
      <c r="AB201" s="181">
        <f t="shared" si="28"/>
        <v>48</v>
      </c>
      <c r="AC201" s="181">
        <f t="shared" si="37"/>
        <v>33372</v>
      </c>
      <c r="AD201" s="181">
        <v>1.4</v>
      </c>
      <c r="AE201" s="181">
        <v>1.4</v>
      </c>
      <c r="AF201" s="101" t="str">
        <f t="shared" si="29"/>
        <v/>
      </c>
      <c r="AG201" s="190">
        <v>48</v>
      </c>
      <c r="AH201" s="69">
        <f t="shared" si="30"/>
        <v>48</v>
      </c>
    </row>
    <row r="202" spans="1:37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84"/>
      <c r="H202" s="82"/>
      <c r="I202" s="82">
        <v>28425744.34</v>
      </c>
      <c r="J202" s="94" t="s">
        <v>15</v>
      </c>
      <c r="K202" s="73"/>
      <c r="L202" s="45">
        <v>1</v>
      </c>
      <c r="M202" s="45">
        <v>845776.52</v>
      </c>
      <c r="N202" s="45">
        <v>26495038.889999997</v>
      </c>
      <c r="O202" s="98"/>
      <c r="P202" s="18" t="s">
        <v>1392</v>
      </c>
      <c r="Q202" s="19" t="s">
        <v>530</v>
      </c>
      <c r="R202" s="20" t="s">
        <v>14</v>
      </c>
      <c r="S202" s="21">
        <v>1</v>
      </c>
      <c r="T202" s="21"/>
      <c r="U202" s="21">
        <f>SUMIFS(AC:AC,AD:AD,AD202)</f>
        <v>28425744.340000007</v>
      </c>
      <c r="V202" s="21">
        <f t="shared" ref="V202:W202" si="38">IF(X202=0,0,1)</f>
        <v>1</v>
      </c>
      <c r="W202" s="21">
        <f t="shared" si="38"/>
        <v>1</v>
      </c>
      <c r="X202" s="21">
        <f>SUMIFS(X:X,AE:AE,AD202)</f>
        <v>31559.200000000001</v>
      </c>
      <c r="Y202" s="21">
        <f>SUMIFS(Y:Y,AE:AE,AD202)</f>
        <v>26526598.089999996</v>
      </c>
      <c r="Z202" s="22" t="s">
        <v>15</v>
      </c>
      <c r="AA202" s="43" t="s">
        <v>16</v>
      </c>
      <c r="AB202" s="181">
        <f t="shared" si="28"/>
        <v>1</v>
      </c>
      <c r="AC202" s="181"/>
      <c r="AD202" s="184">
        <v>1.5</v>
      </c>
      <c r="AE202" s="184"/>
      <c r="AF202" s="101" t="str">
        <f t="shared" si="29"/>
        <v/>
      </c>
      <c r="AG202" s="190">
        <v>1</v>
      </c>
      <c r="AH202" s="69">
        <f t="shared" si="30"/>
        <v>1</v>
      </c>
    </row>
    <row r="203" spans="1:37" s="69" customFormat="1" ht="49.5" customHeight="1" x14ac:dyDescent="0.3">
      <c r="A203" s="130" t="s">
        <v>531</v>
      </c>
      <c r="B203" s="131" t="s">
        <v>392</v>
      </c>
      <c r="C203" s="132" t="s">
        <v>23</v>
      </c>
      <c r="D203" s="133">
        <v>250</v>
      </c>
      <c r="E203" s="75"/>
      <c r="F203" s="75"/>
      <c r="G203" s="75"/>
      <c r="H203" s="75">
        <v>3115.13</v>
      </c>
      <c r="I203" s="75">
        <v>778782.5</v>
      </c>
      <c r="J203" s="91" t="s">
        <v>114</v>
      </c>
      <c r="K203" s="73"/>
      <c r="L203" s="46">
        <v>11.7</v>
      </c>
      <c r="M203" s="46">
        <v>36447.019999999997</v>
      </c>
      <c r="N203" s="46">
        <v>36447.019999999997</v>
      </c>
      <c r="O203" s="98"/>
      <c r="P203" s="23" t="s">
        <v>1421</v>
      </c>
      <c r="Q203" s="24" t="s">
        <v>392</v>
      </c>
      <c r="R203" s="25" t="s">
        <v>23</v>
      </c>
      <c r="S203" s="26">
        <v>250</v>
      </c>
      <c r="T203" s="26"/>
      <c r="U203" s="26">
        <v>3115.13</v>
      </c>
      <c r="V203" s="128">
        <f t="shared" ref="V203:V219" si="39">AG203-L203</f>
        <v>0</v>
      </c>
      <c r="W203" s="127">
        <f t="shared" si="35"/>
        <v>11.7</v>
      </c>
      <c r="X203" s="127">
        <f t="shared" ref="X203:X219" si="40">Y203-N203</f>
        <v>0</v>
      </c>
      <c r="Y203" s="127">
        <f t="shared" si="27"/>
        <v>36447.019999999997</v>
      </c>
      <c r="Z203" s="33" t="s">
        <v>15</v>
      </c>
      <c r="AA203" s="36" t="s">
        <v>16</v>
      </c>
      <c r="AB203" s="181">
        <f t="shared" ref="AB203:AB266" si="41">IF(T203="",S203,T203)</f>
        <v>250</v>
      </c>
      <c r="AC203" s="181">
        <f t="shared" si="37"/>
        <v>778782.5</v>
      </c>
      <c r="AD203" s="181">
        <v>1.5</v>
      </c>
      <c r="AE203" s="181">
        <v>1.5</v>
      </c>
      <c r="AF203" s="101" t="str">
        <f t="shared" ref="AF203:AF266" si="42">IF(W203&gt;AH203,"超估","")</f>
        <v/>
      </c>
      <c r="AG203" s="190">
        <f>11.7</f>
        <v>11.7</v>
      </c>
      <c r="AH203" s="69">
        <f t="shared" ref="AH203:AH266" si="43">IF(G203=0,IF(F203=0,IF(E203=0,D203,E203),F203),G203)</f>
        <v>250</v>
      </c>
    </row>
    <row r="204" spans="1:37" s="69" customFormat="1" ht="49.5" customHeight="1" x14ac:dyDescent="0.3">
      <c r="A204" s="130" t="s">
        <v>532</v>
      </c>
      <c r="B204" s="131" t="s">
        <v>116</v>
      </c>
      <c r="C204" s="132" t="s">
        <v>23</v>
      </c>
      <c r="D204" s="133">
        <v>2474</v>
      </c>
      <c r="E204" s="75"/>
      <c r="F204" s="75"/>
      <c r="G204" s="75"/>
      <c r="H204" s="75">
        <v>3321.13</v>
      </c>
      <c r="I204" s="75">
        <v>8216475.6200000001</v>
      </c>
      <c r="J204" s="91" t="s">
        <v>117</v>
      </c>
      <c r="K204" s="73"/>
      <c r="L204" s="46">
        <v>2473.35</v>
      </c>
      <c r="M204" s="46">
        <v>0</v>
      </c>
      <c r="N204" s="46">
        <v>8214316.8899999997</v>
      </c>
      <c r="O204" s="98"/>
      <c r="P204" s="23" t="s">
        <v>1426</v>
      </c>
      <c r="Q204" s="24" t="s">
        <v>116</v>
      </c>
      <c r="R204" s="25" t="s">
        <v>23</v>
      </c>
      <c r="S204" s="26">
        <v>2474</v>
      </c>
      <c r="T204" s="26"/>
      <c r="U204" s="26">
        <v>3321.13</v>
      </c>
      <c r="V204" s="127">
        <f t="shared" si="39"/>
        <v>0</v>
      </c>
      <c r="W204" s="127">
        <f t="shared" si="35"/>
        <v>2473.35</v>
      </c>
      <c r="X204" s="127">
        <f t="shared" si="40"/>
        <v>0</v>
      </c>
      <c r="Y204" s="127">
        <f t="shared" ref="Y204:Y267" si="44">ROUND(U204*W204,2)</f>
        <v>8214316.8899999997</v>
      </c>
      <c r="Z204" s="33" t="s">
        <v>15</v>
      </c>
      <c r="AA204" s="36" t="s">
        <v>16</v>
      </c>
      <c r="AB204" s="181">
        <f t="shared" si="41"/>
        <v>2474</v>
      </c>
      <c r="AC204" s="181">
        <f t="shared" si="37"/>
        <v>8216475.6200000001</v>
      </c>
      <c r="AD204" s="181">
        <v>1.5</v>
      </c>
      <c r="AE204" s="181">
        <v>1.5</v>
      </c>
      <c r="AF204" s="101" t="str">
        <f t="shared" si="42"/>
        <v/>
      </c>
      <c r="AG204" s="191">
        <f>1233.35+582+658</f>
        <v>2473.35</v>
      </c>
      <c r="AH204" s="69">
        <f t="shared" si="43"/>
        <v>2474</v>
      </c>
      <c r="AK204" s="196">
        <v>2782.2855</v>
      </c>
    </row>
    <row r="205" spans="1:37" s="69" customFormat="1" ht="49.5" customHeight="1" x14ac:dyDescent="0.3">
      <c r="A205" s="130" t="s">
        <v>533</v>
      </c>
      <c r="B205" s="131" t="s">
        <v>534</v>
      </c>
      <c r="C205" s="132" t="s">
        <v>23</v>
      </c>
      <c r="D205" s="133">
        <v>1187</v>
      </c>
      <c r="E205" s="75"/>
      <c r="F205" s="75"/>
      <c r="G205" s="75"/>
      <c r="H205" s="75">
        <v>1749.25</v>
      </c>
      <c r="I205" s="75">
        <v>2076359.75</v>
      </c>
      <c r="J205" s="91" t="s">
        <v>535</v>
      </c>
      <c r="K205" s="73"/>
      <c r="L205" s="46">
        <v>1187</v>
      </c>
      <c r="M205" s="46">
        <v>724189.5</v>
      </c>
      <c r="N205" s="46">
        <v>2076359.75</v>
      </c>
      <c r="O205" s="98"/>
      <c r="P205" s="23" t="s">
        <v>1402</v>
      </c>
      <c r="Q205" s="24" t="s">
        <v>534</v>
      </c>
      <c r="R205" s="25" t="s">
        <v>23</v>
      </c>
      <c r="S205" s="26">
        <v>1187</v>
      </c>
      <c r="T205" s="26"/>
      <c r="U205" s="26">
        <v>1749.25</v>
      </c>
      <c r="V205" s="128">
        <f t="shared" si="39"/>
        <v>0</v>
      </c>
      <c r="W205" s="127">
        <f t="shared" si="35"/>
        <v>1187</v>
      </c>
      <c r="X205" s="127">
        <f t="shared" si="40"/>
        <v>0</v>
      </c>
      <c r="Y205" s="127">
        <f t="shared" si="44"/>
        <v>2076359.75</v>
      </c>
      <c r="Z205" s="33" t="s">
        <v>15</v>
      </c>
      <c r="AA205" s="36" t="s">
        <v>16</v>
      </c>
      <c r="AB205" s="181">
        <f t="shared" si="41"/>
        <v>1187</v>
      </c>
      <c r="AC205" s="181">
        <f t="shared" si="37"/>
        <v>2076359.75</v>
      </c>
      <c r="AD205" s="181">
        <v>1.5</v>
      </c>
      <c r="AE205" s="181">
        <v>1.5</v>
      </c>
      <c r="AF205" s="101" t="str">
        <f t="shared" si="42"/>
        <v/>
      </c>
      <c r="AG205" s="191">
        <f>93+95+57+528+414</f>
        <v>1187</v>
      </c>
      <c r="AH205" s="69">
        <f t="shared" si="43"/>
        <v>1187</v>
      </c>
      <c r="AK205" s="195">
        <v>1161.5828000000001</v>
      </c>
    </row>
    <row r="206" spans="1:37" s="69" customFormat="1" ht="39" x14ac:dyDescent="0.3">
      <c r="A206" s="55" t="s">
        <v>536</v>
      </c>
      <c r="B206" s="53" t="s">
        <v>493</v>
      </c>
      <c r="C206" s="54" t="s">
        <v>23</v>
      </c>
      <c r="D206" s="75">
        <v>3911</v>
      </c>
      <c r="E206" s="75"/>
      <c r="F206" s="75"/>
      <c r="G206" s="75"/>
      <c r="H206" s="75">
        <v>200</v>
      </c>
      <c r="I206" s="75">
        <v>782200</v>
      </c>
      <c r="J206" s="91" t="s">
        <v>494</v>
      </c>
      <c r="K206" s="73"/>
      <c r="L206" s="46">
        <v>3672.0499999999997</v>
      </c>
      <c r="M206" s="46">
        <v>85140</v>
      </c>
      <c r="N206" s="46">
        <v>734410</v>
      </c>
      <c r="O206" s="98"/>
      <c r="P206" s="23" t="s">
        <v>1373</v>
      </c>
      <c r="Q206" s="24" t="s">
        <v>493</v>
      </c>
      <c r="R206" s="25" t="s">
        <v>23</v>
      </c>
      <c r="S206" s="26">
        <v>3911</v>
      </c>
      <c r="T206" s="26"/>
      <c r="U206" s="26">
        <v>200</v>
      </c>
      <c r="V206" s="128">
        <f t="shared" si="39"/>
        <v>0</v>
      </c>
      <c r="W206" s="26">
        <f t="shared" si="35"/>
        <v>3672.0499999999997</v>
      </c>
      <c r="X206" s="26">
        <f t="shared" si="40"/>
        <v>0</v>
      </c>
      <c r="Y206" s="26">
        <f t="shared" si="44"/>
        <v>734410</v>
      </c>
      <c r="Z206" s="33" t="s">
        <v>15</v>
      </c>
      <c r="AA206" s="36" t="s">
        <v>16</v>
      </c>
      <c r="AB206" s="181">
        <f t="shared" si="41"/>
        <v>3911</v>
      </c>
      <c r="AC206" s="181">
        <f t="shared" si="37"/>
        <v>782200</v>
      </c>
      <c r="AD206" s="181">
        <v>1.5</v>
      </c>
      <c r="AE206" s="181">
        <v>1.5</v>
      </c>
      <c r="AF206" s="101" t="str">
        <f t="shared" si="42"/>
        <v/>
      </c>
      <c r="AG206" s="191">
        <f>AG203+AG204+AG205</f>
        <v>3672.0499999999997</v>
      </c>
      <c r="AH206" s="69">
        <f t="shared" si="43"/>
        <v>3911</v>
      </c>
      <c r="AK206" s="198">
        <f>AK203+AK204+AK205</f>
        <v>3943.8683000000001</v>
      </c>
    </row>
    <row r="207" spans="1:37" s="69" customFormat="1" ht="57.75" x14ac:dyDescent="0.3">
      <c r="A207" s="130" t="s">
        <v>537</v>
      </c>
      <c r="B207" s="131" t="s">
        <v>405</v>
      </c>
      <c r="C207" s="132" t="s">
        <v>50</v>
      </c>
      <c r="D207" s="133">
        <v>3820</v>
      </c>
      <c r="E207" s="75"/>
      <c r="F207" s="75">
        <v>4730</v>
      </c>
      <c r="G207" s="75"/>
      <c r="H207" s="75">
        <v>982.98</v>
      </c>
      <c r="I207" s="75">
        <v>4649495.4000000004</v>
      </c>
      <c r="J207" s="91" t="s">
        <v>406</v>
      </c>
      <c r="K207" s="73"/>
      <c r="L207" s="46">
        <v>4730</v>
      </c>
      <c r="M207" s="46">
        <v>0</v>
      </c>
      <c r="N207" s="46">
        <v>4649495.4000000004</v>
      </c>
      <c r="O207" s="98"/>
      <c r="P207" s="23" t="s">
        <v>1393</v>
      </c>
      <c r="Q207" s="24" t="s">
        <v>405</v>
      </c>
      <c r="R207" s="25" t="s">
        <v>50</v>
      </c>
      <c r="S207" s="26">
        <v>3820</v>
      </c>
      <c r="T207" s="26">
        <v>4730</v>
      </c>
      <c r="U207" s="26">
        <v>982.98</v>
      </c>
      <c r="V207" s="127">
        <f t="shared" si="39"/>
        <v>0</v>
      </c>
      <c r="W207" s="127">
        <f t="shared" si="35"/>
        <v>4730</v>
      </c>
      <c r="X207" s="127">
        <f t="shared" si="40"/>
        <v>0</v>
      </c>
      <c r="Y207" s="127">
        <f t="shared" si="44"/>
        <v>4649495.4000000004</v>
      </c>
      <c r="Z207" s="27" t="s">
        <v>15</v>
      </c>
      <c r="AA207" s="36" t="s">
        <v>16</v>
      </c>
      <c r="AB207" s="181">
        <f t="shared" si="41"/>
        <v>4730</v>
      </c>
      <c r="AC207" s="181">
        <f t="shared" si="37"/>
        <v>4649495.4000000004</v>
      </c>
      <c r="AD207" s="181">
        <v>1.5</v>
      </c>
      <c r="AE207" s="181">
        <v>1.5</v>
      </c>
      <c r="AF207" s="101" t="str">
        <f t="shared" si="42"/>
        <v/>
      </c>
      <c r="AG207" s="191">
        <f>3454.8+959+316.2</f>
        <v>4730</v>
      </c>
      <c r="AH207" s="69">
        <f t="shared" si="43"/>
        <v>4730</v>
      </c>
      <c r="AK207" s="195">
        <v>5411.06</v>
      </c>
    </row>
    <row r="208" spans="1:37" s="69" customFormat="1" ht="41.25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203"/>
      <c r="F208" s="203"/>
      <c r="G208" s="203"/>
      <c r="H208" s="75">
        <v>804.79</v>
      </c>
      <c r="I208" s="75">
        <v>643832</v>
      </c>
      <c r="J208" s="91" t="s">
        <v>409</v>
      </c>
      <c r="K208" s="73"/>
      <c r="L208" s="46">
        <v>800</v>
      </c>
      <c r="M208" s="46">
        <v>0</v>
      </c>
      <c r="N208" s="46">
        <v>643832</v>
      </c>
      <c r="O208" s="98"/>
      <c r="P208" s="23" t="s">
        <v>1403</v>
      </c>
      <c r="Q208" s="24" t="s">
        <v>408</v>
      </c>
      <c r="R208" s="25" t="s">
        <v>50</v>
      </c>
      <c r="S208" s="26">
        <v>800</v>
      </c>
      <c r="T208" s="26"/>
      <c r="U208" s="26">
        <v>804.79</v>
      </c>
      <c r="V208" s="127">
        <f t="shared" si="39"/>
        <v>0</v>
      </c>
      <c r="W208" s="127">
        <f t="shared" si="35"/>
        <v>800</v>
      </c>
      <c r="X208" s="127">
        <f t="shared" si="40"/>
        <v>0</v>
      </c>
      <c r="Y208" s="127">
        <f t="shared" si="44"/>
        <v>643832</v>
      </c>
      <c r="Z208" s="33" t="s">
        <v>15</v>
      </c>
      <c r="AA208" s="36" t="s">
        <v>16</v>
      </c>
      <c r="AB208" s="181">
        <f t="shared" si="41"/>
        <v>800</v>
      </c>
      <c r="AC208" s="181">
        <f t="shared" si="37"/>
        <v>643832</v>
      </c>
      <c r="AD208" s="181">
        <v>1.5</v>
      </c>
      <c r="AE208" s="181">
        <v>1.5</v>
      </c>
      <c r="AF208" s="101" t="str">
        <f t="shared" si="42"/>
        <v/>
      </c>
      <c r="AG208" s="190">
        <v>800</v>
      </c>
      <c r="AH208" s="69">
        <f t="shared" si="43"/>
        <v>800</v>
      </c>
    </row>
    <row r="209" spans="1:34" s="69" customFormat="1" ht="41.25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203"/>
      <c r="F209" s="203"/>
      <c r="G209" s="203"/>
      <c r="H209" s="75">
        <v>533.64</v>
      </c>
      <c r="I209" s="75">
        <v>137679.12</v>
      </c>
      <c r="J209" s="91" t="s">
        <v>120</v>
      </c>
      <c r="K209" s="73"/>
      <c r="L209" s="46">
        <v>258</v>
      </c>
      <c r="M209" s="46">
        <v>0</v>
      </c>
      <c r="N209" s="46">
        <v>137679.12</v>
      </c>
      <c r="O209" s="98"/>
      <c r="P209" s="23" t="s">
        <v>1427</v>
      </c>
      <c r="Q209" s="24" t="s">
        <v>119</v>
      </c>
      <c r="R209" s="25" t="s">
        <v>50</v>
      </c>
      <c r="S209" s="26">
        <v>258</v>
      </c>
      <c r="T209" s="26"/>
      <c r="U209" s="26">
        <v>533.64</v>
      </c>
      <c r="V209" s="127">
        <f t="shared" si="39"/>
        <v>0</v>
      </c>
      <c r="W209" s="127">
        <f t="shared" si="35"/>
        <v>258</v>
      </c>
      <c r="X209" s="127">
        <f t="shared" si="40"/>
        <v>0</v>
      </c>
      <c r="Y209" s="127">
        <f t="shared" si="44"/>
        <v>137679.12</v>
      </c>
      <c r="Z209" s="33" t="s">
        <v>15</v>
      </c>
      <c r="AA209" s="36" t="s">
        <v>16</v>
      </c>
      <c r="AB209" s="181">
        <f t="shared" si="41"/>
        <v>258</v>
      </c>
      <c r="AC209" s="181">
        <f t="shared" si="37"/>
        <v>137679.12</v>
      </c>
      <c r="AD209" s="181">
        <v>1.5</v>
      </c>
      <c r="AE209" s="181">
        <v>1.5</v>
      </c>
      <c r="AF209" s="101" t="str">
        <f t="shared" si="42"/>
        <v/>
      </c>
      <c r="AG209" s="190">
        <v>258</v>
      </c>
      <c r="AH209" s="69">
        <f t="shared" si="43"/>
        <v>258</v>
      </c>
    </row>
    <row r="210" spans="1:34" s="69" customFormat="1" ht="33" x14ac:dyDescent="0.3">
      <c r="A210" s="130" t="s">
        <v>540</v>
      </c>
      <c r="B210" s="131" t="s">
        <v>109</v>
      </c>
      <c r="C210" s="132" t="s">
        <v>110</v>
      </c>
      <c r="D210" s="133">
        <v>133401</v>
      </c>
      <c r="E210" s="203"/>
      <c r="F210" s="203"/>
      <c r="G210" s="203"/>
      <c r="H210" s="75">
        <v>36.4</v>
      </c>
      <c r="I210" s="75">
        <v>4855796.4000000004</v>
      </c>
      <c r="J210" s="91" t="s">
        <v>111</v>
      </c>
      <c r="K210" s="73"/>
      <c r="L210" s="46">
        <v>132794.91999999998</v>
      </c>
      <c r="M210" s="46">
        <v>0</v>
      </c>
      <c r="N210" s="46">
        <v>4833735.09</v>
      </c>
      <c r="O210" s="98"/>
      <c r="P210" s="23" t="s">
        <v>1428</v>
      </c>
      <c r="Q210" s="24" t="s">
        <v>109</v>
      </c>
      <c r="R210" s="25" t="s">
        <v>110</v>
      </c>
      <c r="S210" s="26">
        <v>133401</v>
      </c>
      <c r="T210" s="26"/>
      <c r="U210" s="26">
        <v>36.4</v>
      </c>
      <c r="V210" s="127">
        <f t="shared" si="39"/>
        <v>0</v>
      </c>
      <c r="W210" s="127">
        <f t="shared" si="35"/>
        <v>132794.91999999998</v>
      </c>
      <c r="X210" s="127">
        <f t="shared" si="40"/>
        <v>0</v>
      </c>
      <c r="Y210" s="127">
        <f t="shared" si="44"/>
        <v>4833735.09</v>
      </c>
      <c r="Z210" s="33" t="s">
        <v>15</v>
      </c>
      <c r="AA210" s="36" t="s">
        <v>16</v>
      </c>
      <c r="AB210" s="181">
        <f t="shared" si="41"/>
        <v>133401</v>
      </c>
      <c r="AC210" s="181">
        <f t="shared" si="37"/>
        <v>4855796.4000000004</v>
      </c>
      <c r="AD210" s="181">
        <v>1.5</v>
      </c>
      <c r="AE210" s="181">
        <v>1.5</v>
      </c>
      <c r="AF210" s="101" t="str">
        <f t="shared" si="42"/>
        <v/>
      </c>
      <c r="AG210" s="191">
        <f>46044.92+32000+13550+41200</f>
        <v>132794.91999999998</v>
      </c>
      <c r="AH210" s="69">
        <f t="shared" si="43"/>
        <v>133401</v>
      </c>
    </row>
    <row r="211" spans="1:34" s="69" customFormat="1" ht="33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203"/>
      <c r="F211" s="203"/>
      <c r="G211" s="203"/>
      <c r="H211" s="75">
        <v>38.71</v>
      </c>
      <c r="I211" s="75">
        <v>4598825.42</v>
      </c>
      <c r="J211" s="91" t="s">
        <v>400</v>
      </c>
      <c r="K211" s="73"/>
      <c r="L211" s="46">
        <v>118802</v>
      </c>
      <c r="M211" s="46">
        <v>0</v>
      </c>
      <c r="N211" s="46">
        <v>4598825.42</v>
      </c>
      <c r="O211" s="98"/>
      <c r="P211" s="23" t="s">
        <v>1387</v>
      </c>
      <c r="Q211" s="24" t="s">
        <v>399</v>
      </c>
      <c r="R211" s="25" t="s">
        <v>110</v>
      </c>
      <c r="S211" s="26">
        <v>118802</v>
      </c>
      <c r="T211" s="26"/>
      <c r="U211" s="26">
        <v>38.71</v>
      </c>
      <c r="V211" s="127">
        <f t="shared" si="39"/>
        <v>0</v>
      </c>
      <c r="W211" s="127">
        <f t="shared" si="35"/>
        <v>118802</v>
      </c>
      <c r="X211" s="127">
        <f t="shared" si="40"/>
        <v>0</v>
      </c>
      <c r="Y211" s="127">
        <f t="shared" si="44"/>
        <v>4598825.42</v>
      </c>
      <c r="Z211" s="33" t="s">
        <v>15</v>
      </c>
      <c r="AA211" s="36" t="s">
        <v>16</v>
      </c>
      <c r="AB211" s="181">
        <f t="shared" si="41"/>
        <v>118802</v>
      </c>
      <c r="AC211" s="181">
        <f t="shared" si="37"/>
        <v>4598825.42</v>
      </c>
      <c r="AD211" s="181">
        <v>1.5</v>
      </c>
      <c r="AE211" s="181">
        <v>1.5</v>
      </c>
      <c r="AF211" s="101" t="str">
        <f t="shared" si="42"/>
        <v/>
      </c>
      <c r="AG211" s="191">
        <f>41802+77000</f>
        <v>118802</v>
      </c>
      <c r="AH211" s="69">
        <f t="shared" si="43"/>
        <v>118802</v>
      </c>
    </row>
    <row r="212" spans="1:34" s="69" customFormat="1" ht="58.5" x14ac:dyDescent="0.3">
      <c r="A212" s="55" t="s">
        <v>542</v>
      </c>
      <c r="B212" s="53" t="s">
        <v>543</v>
      </c>
      <c r="C212" s="54" t="s">
        <v>30</v>
      </c>
      <c r="D212" s="75">
        <v>129</v>
      </c>
      <c r="E212" s="75"/>
      <c r="F212" s="75"/>
      <c r="G212" s="75"/>
      <c r="H212" s="75">
        <v>2865.95</v>
      </c>
      <c r="I212" s="75">
        <v>369707.55</v>
      </c>
      <c r="J212" s="91" t="s">
        <v>544</v>
      </c>
      <c r="K212" s="73"/>
      <c r="L212" s="46">
        <v>0</v>
      </c>
      <c r="M212" s="46">
        <v>0</v>
      </c>
      <c r="N212" s="46">
        <v>0</v>
      </c>
      <c r="O212" s="98"/>
      <c r="P212" s="23" t="s">
        <v>1405</v>
      </c>
      <c r="Q212" s="24" t="s">
        <v>543</v>
      </c>
      <c r="R212" s="25" t="s">
        <v>30</v>
      </c>
      <c r="S212" s="26">
        <v>129</v>
      </c>
      <c r="T212" s="26"/>
      <c r="U212" s="26">
        <v>2865.95</v>
      </c>
      <c r="V212" s="26">
        <f t="shared" si="39"/>
        <v>0</v>
      </c>
      <c r="W212" s="26">
        <f t="shared" si="35"/>
        <v>0</v>
      </c>
      <c r="X212" s="26">
        <f t="shared" si="40"/>
        <v>0</v>
      </c>
      <c r="Y212" s="26">
        <f t="shared" si="44"/>
        <v>0</v>
      </c>
      <c r="Z212" s="33" t="s">
        <v>15</v>
      </c>
      <c r="AA212" s="36" t="s">
        <v>16</v>
      </c>
      <c r="AB212" s="181">
        <f t="shared" si="41"/>
        <v>129</v>
      </c>
      <c r="AC212" s="181">
        <f t="shared" si="37"/>
        <v>369707.55</v>
      </c>
      <c r="AD212" s="181">
        <v>1.5</v>
      </c>
      <c r="AE212" s="181">
        <v>1.5</v>
      </c>
      <c r="AF212" s="101" t="str">
        <f t="shared" si="42"/>
        <v/>
      </c>
      <c r="AG212" s="190">
        <v>0</v>
      </c>
      <c r="AH212" s="69">
        <f t="shared" si="43"/>
        <v>129</v>
      </c>
    </row>
    <row r="213" spans="1:34" s="69" customFormat="1" ht="39" x14ac:dyDescent="0.3">
      <c r="A213" s="55" t="s">
        <v>545</v>
      </c>
      <c r="B213" s="53" t="s">
        <v>546</v>
      </c>
      <c r="C213" s="54" t="s">
        <v>81</v>
      </c>
      <c r="D213" s="75">
        <v>54</v>
      </c>
      <c r="E213" s="75"/>
      <c r="F213" s="75"/>
      <c r="G213" s="75"/>
      <c r="H213" s="75">
        <v>1478.05</v>
      </c>
      <c r="I213" s="75">
        <v>79814.7</v>
      </c>
      <c r="J213" s="91" t="s">
        <v>547</v>
      </c>
      <c r="K213" s="73"/>
      <c r="L213" s="46">
        <v>0</v>
      </c>
      <c r="M213" s="46">
        <v>0</v>
      </c>
      <c r="N213" s="46">
        <v>0</v>
      </c>
      <c r="O213" s="98"/>
      <c r="P213" s="23" t="s">
        <v>1406</v>
      </c>
      <c r="Q213" s="24" t="s">
        <v>546</v>
      </c>
      <c r="R213" s="25" t="s">
        <v>81</v>
      </c>
      <c r="S213" s="26">
        <v>54</v>
      </c>
      <c r="T213" s="26"/>
      <c r="U213" s="26">
        <v>1478.05</v>
      </c>
      <c r="V213" s="26">
        <f t="shared" si="39"/>
        <v>0</v>
      </c>
      <c r="W213" s="26">
        <f t="shared" si="35"/>
        <v>0</v>
      </c>
      <c r="X213" s="26">
        <f t="shared" si="40"/>
        <v>0</v>
      </c>
      <c r="Y213" s="26">
        <f t="shared" si="44"/>
        <v>0</v>
      </c>
      <c r="Z213" s="33" t="s">
        <v>15</v>
      </c>
      <c r="AA213" s="36" t="s">
        <v>16</v>
      </c>
      <c r="AB213" s="181">
        <f t="shared" si="41"/>
        <v>54</v>
      </c>
      <c r="AC213" s="181">
        <f t="shared" si="37"/>
        <v>79814.7</v>
      </c>
      <c r="AD213" s="181">
        <v>1.5</v>
      </c>
      <c r="AE213" s="181">
        <v>1.5</v>
      </c>
      <c r="AF213" s="101" t="str">
        <f t="shared" si="42"/>
        <v/>
      </c>
      <c r="AG213" s="190">
        <v>0</v>
      </c>
      <c r="AH213" s="69">
        <f t="shared" si="43"/>
        <v>54</v>
      </c>
    </row>
    <row r="214" spans="1:34" s="69" customFormat="1" ht="58.5" x14ac:dyDescent="0.3">
      <c r="A214" s="55" t="s">
        <v>548</v>
      </c>
      <c r="B214" s="53" t="s">
        <v>549</v>
      </c>
      <c r="C214" s="54" t="s">
        <v>30</v>
      </c>
      <c r="D214" s="75">
        <v>170</v>
      </c>
      <c r="E214" s="75"/>
      <c r="F214" s="75"/>
      <c r="G214" s="75"/>
      <c r="H214" s="75">
        <v>151.72</v>
      </c>
      <c r="I214" s="75">
        <v>25792.400000000001</v>
      </c>
      <c r="J214" s="91" t="s">
        <v>550</v>
      </c>
      <c r="K214" s="73"/>
      <c r="L214" s="46">
        <v>0</v>
      </c>
      <c r="M214" s="46">
        <v>0</v>
      </c>
      <c r="N214" s="46">
        <v>0</v>
      </c>
      <c r="O214" s="98"/>
      <c r="P214" s="23" t="s">
        <v>1414</v>
      </c>
      <c r="Q214" s="24" t="s">
        <v>549</v>
      </c>
      <c r="R214" s="25" t="s">
        <v>30</v>
      </c>
      <c r="S214" s="26">
        <v>170</v>
      </c>
      <c r="T214" s="26"/>
      <c r="U214" s="26">
        <v>151.72</v>
      </c>
      <c r="V214" s="26">
        <f t="shared" si="39"/>
        <v>0</v>
      </c>
      <c r="W214" s="26">
        <f t="shared" si="35"/>
        <v>0</v>
      </c>
      <c r="X214" s="26">
        <f t="shared" si="40"/>
        <v>0</v>
      </c>
      <c r="Y214" s="26">
        <f t="shared" si="44"/>
        <v>0</v>
      </c>
      <c r="Z214" s="33" t="s">
        <v>15</v>
      </c>
      <c r="AA214" s="36" t="s">
        <v>16</v>
      </c>
      <c r="AB214" s="181">
        <f t="shared" si="41"/>
        <v>170</v>
      </c>
      <c r="AC214" s="181">
        <f t="shared" si="37"/>
        <v>25792.400000000001</v>
      </c>
      <c r="AD214" s="181">
        <v>1.5</v>
      </c>
      <c r="AE214" s="181">
        <v>1.5</v>
      </c>
      <c r="AF214" s="101" t="str">
        <f t="shared" si="42"/>
        <v/>
      </c>
      <c r="AG214" s="190">
        <v>0</v>
      </c>
      <c r="AH214" s="69">
        <f t="shared" si="43"/>
        <v>170</v>
      </c>
    </row>
    <row r="215" spans="1:34" s="69" customFormat="1" ht="39" x14ac:dyDescent="0.3">
      <c r="A215" s="55" t="s">
        <v>551</v>
      </c>
      <c r="B215" s="53" t="s">
        <v>552</v>
      </c>
      <c r="C215" s="54" t="s">
        <v>325</v>
      </c>
      <c r="D215" s="75">
        <v>4</v>
      </c>
      <c r="E215" s="75"/>
      <c r="F215" s="75"/>
      <c r="G215" s="75"/>
      <c r="H215" s="75">
        <v>15779.6</v>
      </c>
      <c r="I215" s="75">
        <v>63118.400000000001</v>
      </c>
      <c r="J215" s="91" t="s">
        <v>553</v>
      </c>
      <c r="K215" s="73"/>
      <c r="L215" s="46">
        <v>0</v>
      </c>
      <c r="M215" s="46">
        <v>0</v>
      </c>
      <c r="N215" s="46">
        <v>0</v>
      </c>
      <c r="O215" s="98"/>
      <c r="P215" s="23" t="s">
        <v>1429</v>
      </c>
      <c r="Q215" s="24" t="s">
        <v>552</v>
      </c>
      <c r="R215" s="25" t="s">
        <v>325</v>
      </c>
      <c r="S215" s="26">
        <v>4</v>
      </c>
      <c r="T215" s="26"/>
      <c r="U215" s="26">
        <v>15779.6</v>
      </c>
      <c r="V215" s="128">
        <f t="shared" si="39"/>
        <v>2</v>
      </c>
      <c r="W215" s="26">
        <f t="shared" si="35"/>
        <v>2</v>
      </c>
      <c r="X215" s="26">
        <f t="shared" si="40"/>
        <v>31559.200000000001</v>
      </c>
      <c r="Y215" s="26">
        <f t="shared" si="44"/>
        <v>31559.200000000001</v>
      </c>
      <c r="Z215" s="33" t="s">
        <v>15</v>
      </c>
      <c r="AA215" s="36" t="s">
        <v>16</v>
      </c>
      <c r="AB215" s="181">
        <f t="shared" si="41"/>
        <v>4</v>
      </c>
      <c r="AC215" s="181">
        <f t="shared" si="37"/>
        <v>63118.400000000001</v>
      </c>
      <c r="AD215" s="181">
        <v>1.5</v>
      </c>
      <c r="AE215" s="181">
        <v>1.5</v>
      </c>
      <c r="AF215" s="101" t="str">
        <f t="shared" si="42"/>
        <v/>
      </c>
      <c r="AG215" s="191">
        <f>2</f>
        <v>2</v>
      </c>
      <c r="AH215" s="69">
        <f t="shared" si="43"/>
        <v>4</v>
      </c>
    </row>
    <row r="216" spans="1:34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>
        <v>138.84</v>
      </c>
      <c r="I216" s="75">
        <v>62894.52</v>
      </c>
      <c r="J216" s="91" t="s">
        <v>190</v>
      </c>
      <c r="K216" s="73"/>
      <c r="L216" s="46">
        <v>285</v>
      </c>
      <c r="M216" s="46">
        <v>0</v>
      </c>
      <c r="N216" s="46">
        <v>39569.4</v>
      </c>
      <c r="O216" s="98"/>
      <c r="P216" s="23" t="s">
        <v>1430</v>
      </c>
      <c r="Q216" s="24" t="s">
        <v>189</v>
      </c>
      <c r="R216" s="25" t="s">
        <v>30</v>
      </c>
      <c r="S216" s="26">
        <v>453</v>
      </c>
      <c r="T216" s="26"/>
      <c r="U216" s="26">
        <v>138.84</v>
      </c>
      <c r="V216" s="128">
        <f t="shared" si="39"/>
        <v>0</v>
      </c>
      <c r="W216" s="26">
        <f t="shared" si="35"/>
        <v>285</v>
      </c>
      <c r="X216" s="26">
        <f t="shared" si="40"/>
        <v>0</v>
      </c>
      <c r="Y216" s="26">
        <f t="shared" si="44"/>
        <v>39569.4</v>
      </c>
      <c r="Z216" s="33" t="s">
        <v>15</v>
      </c>
      <c r="AA216" s="36" t="s">
        <v>16</v>
      </c>
      <c r="AB216" s="181">
        <f t="shared" si="41"/>
        <v>453</v>
      </c>
      <c r="AC216" s="181">
        <f t="shared" si="37"/>
        <v>62894.52</v>
      </c>
      <c r="AD216" s="181">
        <v>1.5</v>
      </c>
      <c r="AE216" s="181">
        <v>1.5</v>
      </c>
      <c r="AF216" s="101" t="str">
        <f t="shared" si="42"/>
        <v/>
      </c>
      <c r="AG216" s="191">
        <f>19*15</f>
        <v>285</v>
      </c>
      <c r="AH216" s="69">
        <f t="shared" si="43"/>
        <v>453</v>
      </c>
    </row>
    <row r="217" spans="1:34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>
        <v>326.3</v>
      </c>
      <c r="I217" s="75">
        <v>548184</v>
      </c>
      <c r="J217" s="91" t="s">
        <v>521</v>
      </c>
      <c r="K217" s="73"/>
      <c r="L217" s="46">
        <v>936</v>
      </c>
      <c r="M217" s="46">
        <v>0</v>
      </c>
      <c r="N217" s="46">
        <v>305416.8</v>
      </c>
      <c r="O217" s="98"/>
      <c r="P217" s="23" t="s">
        <v>1431</v>
      </c>
      <c r="Q217" s="24" t="s">
        <v>520</v>
      </c>
      <c r="R217" s="25" t="s">
        <v>30</v>
      </c>
      <c r="S217" s="26">
        <v>1680</v>
      </c>
      <c r="T217" s="26"/>
      <c r="U217" s="26">
        <v>326.3</v>
      </c>
      <c r="V217" s="128">
        <f t="shared" si="39"/>
        <v>0</v>
      </c>
      <c r="W217" s="26">
        <f t="shared" si="35"/>
        <v>936</v>
      </c>
      <c r="X217" s="26">
        <f t="shared" si="40"/>
        <v>0</v>
      </c>
      <c r="Y217" s="26">
        <f t="shared" si="44"/>
        <v>305416.8</v>
      </c>
      <c r="Z217" s="33" t="s">
        <v>15</v>
      </c>
      <c r="AA217" s="36" t="s">
        <v>16</v>
      </c>
      <c r="AB217" s="181">
        <f t="shared" si="41"/>
        <v>1680</v>
      </c>
      <c r="AC217" s="181">
        <f t="shared" si="37"/>
        <v>548184</v>
      </c>
      <c r="AD217" s="181">
        <v>1.5</v>
      </c>
      <c r="AE217" s="181">
        <v>1.5</v>
      </c>
      <c r="AF217" s="101" t="str">
        <f t="shared" si="42"/>
        <v/>
      </c>
      <c r="AG217" s="191">
        <f>312*3</f>
        <v>936</v>
      </c>
      <c r="AH217" s="69">
        <f t="shared" si="43"/>
        <v>1680</v>
      </c>
    </row>
    <row r="218" spans="1:34" s="69" customFormat="1" ht="39" x14ac:dyDescent="0.3">
      <c r="A218" s="55" t="s">
        <v>556</v>
      </c>
      <c r="B218" s="53" t="s">
        <v>424</v>
      </c>
      <c r="C218" s="54" t="s">
        <v>50</v>
      </c>
      <c r="D218" s="75">
        <v>756</v>
      </c>
      <c r="E218" s="75"/>
      <c r="F218" s="75"/>
      <c r="G218" s="75"/>
      <c r="H218" s="75">
        <v>692.16</v>
      </c>
      <c r="I218" s="75">
        <v>523272.96000000002</v>
      </c>
      <c r="J218" s="91" t="s">
        <v>425</v>
      </c>
      <c r="K218" s="73"/>
      <c r="L218" s="46">
        <v>325</v>
      </c>
      <c r="M218" s="46">
        <v>0</v>
      </c>
      <c r="N218" s="46">
        <v>224952</v>
      </c>
      <c r="O218" s="98"/>
      <c r="P218" s="23" t="s">
        <v>1395</v>
      </c>
      <c r="Q218" s="24" t="s">
        <v>424</v>
      </c>
      <c r="R218" s="25" t="s">
        <v>50</v>
      </c>
      <c r="S218" s="26">
        <v>756</v>
      </c>
      <c r="T218" s="26"/>
      <c r="U218" s="26">
        <v>692.16</v>
      </c>
      <c r="V218" s="128">
        <f t="shared" si="39"/>
        <v>0</v>
      </c>
      <c r="W218" s="26">
        <f t="shared" si="35"/>
        <v>325</v>
      </c>
      <c r="X218" s="26">
        <f t="shared" si="40"/>
        <v>0</v>
      </c>
      <c r="Y218" s="26">
        <f t="shared" si="44"/>
        <v>224952</v>
      </c>
      <c r="Z218" s="33" t="s">
        <v>15</v>
      </c>
      <c r="AA218" s="36" t="s">
        <v>16</v>
      </c>
      <c r="AB218" s="181">
        <f t="shared" si="41"/>
        <v>756</v>
      </c>
      <c r="AC218" s="181">
        <f t="shared" si="37"/>
        <v>523272.96000000002</v>
      </c>
      <c r="AD218" s="181">
        <v>1.5</v>
      </c>
      <c r="AE218" s="181">
        <v>1.5</v>
      </c>
      <c r="AF218" s="101" t="str">
        <f t="shared" si="42"/>
        <v/>
      </c>
      <c r="AG218" s="191">
        <f>325</f>
        <v>325</v>
      </c>
      <c r="AH218" s="69">
        <f t="shared" si="43"/>
        <v>756</v>
      </c>
    </row>
    <row r="219" spans="1:34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>
        <v>422.3</v>
      </c>
      <c r="I219" s="75">
        <v>13513.6</v>
      </c>
      <c r="J219" s="91" t="s">
        <v>560</v>
      </c>
      <c r="K219" s="73"/>
      <c r="L219" s="46">
        <v>0</v>
      </c>
      <c r="M219" s="46">
        <v>0</v>
      </c>
      <c r="N219" s="46">
        <v>0</v>
      </c>
      <c r="O219" s="98"/>
      <c r="P219" s="23" t="s">
        <v>1432</v>
      </c>
      <c r="Q219" s="24" t="s">
        <v>558</v>
      </c>
      <c r="R219" s="25" t="s">
        <v>559</v>
      </c>
      <c r="S219" s="26">
        <v>32</v>
      </c>
      <c r="T219" s="26"/>
      <c r="U219" s="26">
        <v>422.3</v>
      </c>
      <c r="V219" s="26">
        <f t="shared" si="39"/>
        <v>0</v>
      </c>
      <c r="W219" s="26">
        <f t="shared" si="35"/>
        <v>0</v>
      </c>
      <c r="X219" s="26">
        <f t="shared" si="40"/>
        <v>0</v>
      </c>
      <c r="Y219" s="26">
        <f t="shared" si="44"/>
        <v>0</v>
      </c>
      <c r="Z219" s="33" t="s">
        <v>15</v>
      </c>
      <c r="AA219" s="36" t="s">
        <v>16</v>
      </c>
      <c r="AB219" s="181">
        <f t="shared" si="41"/>
        <v>32</v>
      </c>
      <c r="AC219" s="181">
        <f t="shared" si="37"/>
        <v>13513.6</v>
      </c>
      <c r="AD219" s="181">
        <v>1.5</v>
      </c>
      <c r="AE219" s="181">
        <v>1.5</v>
      </c>
      <c r="AF219" s="101" t="str">
        <f t="shared" si="42"/>
        <v/>
      </c>
      <c r="AG219" s="190">
        <v>0</v>
      </c>
      <c r="AH219" s="69">
        <f t="shared" si="43"/>
        <v>32</v>
      </c>
    </row>
    <row r="220" spans="1:34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/>
      <c r="I220" s="82">
        <v>11661827.369999999</v>
      </c>
      <c r="J220" s="94" t="s">
        <v>15</v>
      </c>
      <c r="K220" s="73"/>
      <c r="L220" s="45">
        <v>1</v>
      </c>
      <c r="M220" s="45">
        <v>0</v>
      </c>
      <c r="N220" s="45">
        <v>1263733.5900000001</v>
      </c>
      <c r="O220" s="98"/>
      <c r="P220" s="18" t="s">
        <v>1394</v>
      </c>
      <c r="Q220" s="19" t="s">
        <v>562</v>
      </c>
      <c r="R220" s="20" t="s">
        <v>14</v>
      </c>
      <c r="S220" s="21">
        <v>1</v>
      </c>
      <c r="T220" s="21"/>
      <c r="U220" s="21">
        <f>SUMIFS(AC:AC,AD:AD,AD220)</f>
        <v>11661827.369999999</v>
      </c>
      <c r="V220" s="21">
        <f t="shared" ref="V220:W220" si="45">IF(X220=0,0,1)</f>
        <v>1</v>
      </c>
      <c r="W220" s="21">
        <f t="shared" si="45"/>
        <v>1</v>
      </c>
      <c r="X220" s="21">
        <f>SUMIFS(X:X,AE:AE,AD220)</f>
        <v>9256.7999999999993</v>
      </c>
      <c r="Y220" s="21">
        <f>SUMIFS(Y:Y,AE:AE,AD220)</f>
        <v>1272990.3900000001</v>
      </c>
      <c r="Z220" s="22" t="s">
        <v>15</v>
      </c>
      <c r="AA220" s="43" t="s">
        <v>16</v>
      </c>
      <c r="AB220" s="181">
        <f t="shared" si="41"/>
        <v>1</v>
      </c>
      <c r="AC220" s="184"/>
      <c r="AD220" s="184">
        <v>1.6</v>
      </c>
      <c r="AE220" s="184"/>
      <c r="AF220" s="101" t="str">
        <f t="shared" si="42"/>
        <v/>
      </c>
      <c r="AG220" s="190">
        <v>1</v>
      </c>
      <c r="AH220" s="69">
        <f t="shared" si="43"/>
        <v>1</v>
      </c>
    </row>
    <row r="221" spans="1:34" s="69" customFormat="1" ht="39" x14ac:dyDescent="0.3">
      <c r="A221" s="55" t="s">
        <v>563</v>
      </c>
      <c r="B221" s="53" t="s">
        <v>564</v>
      </c>
      <c r="C221" s="54" t="s">
        <v>23</v>
      </c>
      <c r="D221" s="75">
        <v>256</v>
      </c>
      <c r="E221" s="75"/>
      <c r="F221" s="75"/>
      <c r="G221" s="75"/>
      <c r="H221" s="75">
        <v>7517.56</v>
      </c>
      <c r="I221" s="75">
        <v>1924495.3600000001</v>
      </c>
      <c r="J221" s="91" t="s">
        <v>565</v>
      </c>
      <c r="K221" s="73"/>
      <c r="L221" s="46">
        <v>99.1</v>
      </c>
      <c r="M221" s="46">
        <v>0</v>
      </c>
      <c r="N221" s="46">
        <v>744990.2</v>
      </c>
      <c r="O221" s="98"/>
      <c r="P221" s="23" t="s">
        <v>1421</v>
      </c>
      <c r="Q221" s="24" t="s">
        <v>564</v>
      </c>
      <c r="R221" s="25" t="s">
        <v>23</v>
      </c>
      <c r="S221" s="26">
        <v>256</v>
      </c>
      <c r="T221" s="26"/>
      <c r="U221" s="26">
        <v>7517.56</v>
      </c>
      <c r="V221" s="128">
        <f t="shared" ref="V221:V236" si="46">AG221-L221</f>
        <v>0</v>
      </c>
      <c r="W221" s="26">
        <f t="shared" si="35"/>
        <v>99.1</v>
      </c>
      <c r="X221" s="26">
        <f t="shared" ref="X221:X236" si="47">Y221-N221</f>
        <v>0</v>
      </c>
      <c r="Y221" s="26">
        <f t="shared" si="44"/>
        <v>744990.2</v>
      </c>
      <c r="Z221" s="33" t="s">
        <v>15</v>
      </c>
      <c r="AA221" s="36" t="s">
        <v>16</v>
      </c>
      <c r="AB221" s="181">
        <f t="shared" si="41"/>
        <v>256</v>
      </c>
      <c r="AC221" s="181">
        <f t="shared" ref="AC221:AC236" si="48">ROUND(U221*AB221,2)</f>
        <v>1924495.3600000001</v>
      </c>
      <c r="AD221" s="181">
        <v>1.6</v>
      </c>
      <c r="AE221" s="181">
        <v>1.6</v>
      </c>
      <c r="AF221" s="101" t="str">
        <f t="shared" si="42"/>
        <v/>
      </c>
      <c r="AG221" s="191">
        <f>69.6+29.5</f>
        <v>99.1</v>
      </c>
      <c r="AH221" s="69">
        <f t="shared" si="43"/>
        <v>256</v>
      </c>
    </row>
    <row r="222" spans="1:34" s="69" customFormat="1" ht="39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7496.96</v>
      </c>
      <c r="I222" s="75">
        <v>5742671.3600000003</v>
      </c>
      <c r="J222" s="91" t="s">
        <v>568</v>
      </c>
      <c r="K222" s="73"/>
      <c r="L222" s="46">
        <v>62.3</v>
      </c>
      <c r="M222" s="46">
        <v>0</v>
      </c>
      <c r="N222" s="46">
        <v>467060.61</v>
      </c>
      <c r="O222" s="98"/>
      <c r="P222" s="23" t="s">
        <v>1426</v>
      </c>
      <c r="Q222" s="24" t="s">
        <v>567</v>
      </c>
      <c r="R222" s="25" t="s">
        <v>23</v>
      </c>
      <c r="S222" s="26">
        <v>766</v>
      </c>
      <c r="T222" s="26"/>
      <c r="U222" s="26">
        <v>7496.96</v>
      </c>
      <c r="V222" s="128">
        <f t="shared" si="46"/>
        <v>0</v>
      </c>
      <c r="W222" s="26">
        <f t="shared" si="35"/>
        <v>62.3</v>
      </c>
      <c r="X222" s="26">
        <f t="shared" si="47"/>
        <v>0</v>
      </c>
      <c r="Y222" s="26">
        <f t="shared" si="44"/>
        <v>467060.61</v>
      </c>
      <c r="Z222" s="33" t="s">
        <v>15</v>
      </c>
      <c r="AA222" s="36" t="s">
        <v>16</v>
      </c>
      <c r="AB222" s="181">
        <f t="shared" si="41"/>
        <v>766</v>
      </c>
      <c r="AC222" s="181">
        <f t="shared" si="48"/>
        <v>5742671.3600000003</v>
      </c>
      <c r="AD222" s="181">
        <v>1.6</v>
      </c>
      <c r="AE222" s="181">
        <v>1.6</v>
      </c>
      <c r="AF222" s="101" t="str">
        <f t="shared" si="42"/>
        <v/>
      </c>
      <c r="AG222" s="191">
        <f>23.2+39.1</f>
        <v>62.3</v>
      </c>
      <c r="AH222" s="69">
        <f t="shared" si="43"/>
        <v>766</v>
      </c>
    </row>
    <row r="223" spans="1:34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>
        <v>11.6</v>
      </c>
      <c r="I223" s="75">
        <v>59194.8</v>
      </c>
      <c r="J223" s="91" t="s">
        <v>571</v>
      </c>
      <c r="K223" s="73"/>
      <c r="L223" s="46">
        <v>0</v>
      </c>
      <c r="M223" s="46">
        <v>0</v>
      </c>
      <c r="N223" s="46">
        <v>0</v>
      </c>
      <c r="O223" s="98"/>
      <c r="P223" s="23" t="s">
        <v>1402</v>
      </c>
      <c r="Q223" s="24" t="s">
        <v>570</v>
      </c>
      <c r="R223" s="25" t="s">
        <v>50</v>
      </c>
      <c r="S223" s="26">
        <v>5103</v>
      </c>
      <c r="T223" s="26"/>
      <c r="U223" s="26">
        <v>11.6</v>
      </c>
      <c r="V223" s="128">
        <f t="shared" si="46"/>
        <v>798</v>
      </c>
      <c r="W223" s="26">
        <f t="shared" si="35"/>
        <v>798</v>
      </c>
      <c r="X223" s="26">
        <f t="shared" si="47"/>
        <v>9256.7999999999993</v>
      </c>
      <c r="Y223" s="26">
        <f t="shared" si="44"/>
        <v>9256.7999999999993</v>
      </c>
      <c r="Z223" s="33" t="s">
        <v>15</v>
      </c>
      <c r="AA223" s="36" t="s">
        <v>16</v>
      </c>
      <c r="AB223" s="181">
        <f t="shared" si="41"/>
        <v>5103</v>
      </c>
      <c r="AC223" s="181">
        <f t="shared" si="48"/>
        <v>59194.8</v>
      </c>
      <c r="AD223" s="181">
        <v>1.6</v>
      </c>
      <c r="AE223" s="181">
        <v>1.6</v>
      </c>
      <c r="AF223" s="101" t="str">
        <f t="shared" si="42"/>
        <v/>
      </c>
      <c r="AG223" s="191">
        <f>3.8*210</f>
        <v>798</v>
      </c>
      <c r="AH223" s="69">
        <f t="shared" si="43"/>
        <v>5103</v>
      </c>
    </row>
    <row r="224" spans="1:34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42.46</v>
      </c>
      <c r="I224" s="75">
        <v>216673.38</v>
      </c>
      <c r="J224" s="91" t="s">
        <v>574</v>
      </c>
      <c r="K224" s="73"/>
      <c r="L224" s="46">
        <v>1021</v>
      </c>
      <c r="M224" s="46">
        <v>0</v>
      </c>
      <c r="N224" s="46">
        <v>43351.66</v>
      </c>
      <c r="O224" s="98"/>
      <c r="P224" s="23" t="s">
        <v>1373</v>
      </c>
      <c r="Q224" s="24" t="s">
        <v>573</v>
      </c>
      <c r="R224" s="25" t="s">
        <v>50</v>
      </c>
      <c r="S224" s="26">
        <v>5103</v>
      </c>
      <c r="T224" s="26"/>
      <c r="U224" s="26">
        <v>42.46</v>
      </c>
      <c r="V224" s="128">
        <f t="shared" si="46"/>
        <v>0</v>
      </c>
      <c r="W224" s="26">
        <f t="shared" si="35"/>
        <v>1021</v>
      </c>
      <c r="X224" s="26">
        <f t="shared" si="47"/>
        <v>0</v>
      </c>
      <c r="Y224" s="26">
        <f t="shared" si="44"/>
        <v>43351.66</v>
      </c>
      <c r="Z224" s="33" t="s">
        <v>15</v>
      </c>
      <c r="AA224" s="36" t="s">
        <v>16</v>
      </c>
      <c r="AB224" s="181">
        <f t="shared" si="41"/>
        <v>5103</v>
      </c>
      <c r="AC224" s="181">
        <f t="shared" si="48"/>
        <v>216673.38</v>
      </c>
      <c r="AD224" s="181">
        <v>1.6</v>
      </c>
      <c r="AE224" s="181">
        <v>1.6</v>
      </c>
      <c r="AF224" s="101" t="str">
        <f t="shared" si="42"/>
        <v/>
      </c>
      <c r="AG224" s="191">
        <f>696+325</f>
        <v>1021</v>
      </c>
      <c r="AH224" s="69">
        <f t="shared" si="43"/>
        <v>5103</v>
      </c>
    </row>
    <row r="225" spans="1:34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15.96</v>
      </c>
      <c r="I225" s="75">
        <v>244299.72</v>
      </c>
      <c r="J225" s="91" t="s">
        <v>577</v>
      </c>
      <c r="K225" s="73"/>
      <c r="L225" s="46">
        <v>522</v>
      </c>
      <c r="M225" s="46">
        <v>0</v>
      </c>
      <c r="N225" s="46">
        <v>8331.1200000000008</v>
      </c>
      <c r="O225" s="98"/>
      <c r="P225" s="23" t="s">
        <v>1393</v>
      </c>
      <c r="Q225" s="24" t="s">
        <v>576</v>
      </c>
      <c r="R225" s="25" t="s">
        <v>50</v>
      </c>
      <c r="S225" s="26">
        <v>15307</v>
      </c>
      <c r="T225" s="26"/>
      <c r="U225" s="26">
        <v>15.96</v>
      </c>
      <c r="V225" s="128">
        <f t="shared" si="46"/>
        <v>0</v>
      </c>
      <c r="W225" s="26">
        <f t="shared" si="35"/>
        <v>522</v>
      </c>
      <c r="X225" s="26">
        <f t="shared" si="47"/>
        <v>0</v>
      </c>
      <c r="Y225" s="26">
        <f t="shared" si="44"/>
        <v>8331.1200000000008</v>
      </c>
      <c r="Z225" s="33" t="s">
        <v>15</v>
      </c>
      <c r="AA225" s="36" t="s">
        <v>16</v>
      </c>
      <c r="AB225" s="181">
        <f t="shared" si="41"/>
        <v>15307</v>
      </c>
      <c r="AC225" s="181">
        <f t="shared" si="48"/>
        <v>244299.72</v>
      </c>
      <c r="AD225" s="181">
        <v>1.6</v>
      </c>
      <c r="AE225" s="181">
        <v>1.6</v>
      </c>
      <c r="AF225" s="101" t="str">
        <f t="shared" si="42"/>
        <v/>
      </c>
      <c r="AG225" s="191">
        <f>522</f>
        <v>522</v>
      </c>
      <c r="AH225" s="69">
        <f t="shared" si="43"/>
        <v>15307</v>
      </c>
    </row>
    <row r="226" spans="1:34" s="69" customFormat="1" ht="39" x14ac:dyDescent="0.3">
      <c r="A226" s="55" t="s">
        <v>578</v>
      </c>
      <c r="B226" s="53" t="s">
        <v>392</v>
      </c>
      <c r="C226" s="54" t="s">
        <v>23</v>
      </c>
      <c r="D226" s="75">
        <v>24</v>
      </c>
      <c r="E226" s="75"/>
      <c r="F226" s="75"/>
      <c r="G226" s="75"/>
      <c r="H226" s="75">
        <v>3115.13</v>
      </c>
      <c r="I226" s="75">
        <v>74763.12</v>
      </c>
      <c r="J226" s="91" t="s">
        <v>114</v>
      </c>
      <c r="K226" s="73"/>
      <c r="L226" s="46">
        <v>0</v>
      </c>
      <c r="M226" s="46">
        <v>0</v>
      </c>
      <c r="N226" s="46">
        <v>0</v>
      </c>
      <c r="O226" s="98"/>
      <c r="P226" s="23" t="s">
        <v>1403</v>
      </c>
      <c r="Q226" s="24" t="s">
        <v>392</v>
      </c>
      <c r="R226" s="25" t="s">
        <v>23</v>
      </c>
      <c r="S226" s="26">
        <v>24</v>
      </c>
      <c r="T226" s="26"/>
      <c r="U226" s="26">
        <v>3115.13</v>
      </c>
      <c r="V226" s="26">
        <f t="shared" si="46"/>
        <v>0</v>
      </c>
      <c r="W226" s="26">
        <f t="shared" si="35"/>
        <v>0</v>
      </c>
      <c r="X226" s="26">
        <f t="shared" si="47"/>
        <v>0</v>
      </c>
      <c r="Y226" s="26">
        <f t="shared" si="44"/>
        <v>0</v>
      </c>
      <c r="Z226" s="33" t="s">
        <v>15</v>
      </c>
      <c r="AA226" s="36" t="s">
        <v>16</v>
      </c>
      <c r="AB226" s="181">
        <f t="shared" si="41"/>
        <v>24</v>
      </c>
      <c r="AC226" s="181">
        <f t="shared" si="48"/>
        <v>74763.12</v>
      </c>
      <c r="AD226" s="181">
        <v>1.6</v>
      </c>
      <c r="AE226" s="181">
        <v>1.6</v>
      </c>
      <c r="AF226" s="101" t="str">
        <f t="shared" si="42"/>
        <v/>
      </c>
      <c r="AG226" s="190">
        <v>0</v>
      </c>
      <c r="AH226" s="69">
        <f t="shared" si="43"/>
        <v>24</v>
      </c>
    </row>
    <row r="227" spans="1:34" s="69" customFormat="1" ht="39" x14ac:dyDescent="0.3">
      <c r="A227" s="55" t="s">
        <v>579</v>
      </c>
      <c r="B227" s="53" t="s">
        <v>116</v>
      </c>
      <c r="C227" s="54" t="s">
        <v>23</v>
      </c>
      <c r="D227" s="75">
        <v>237</v>
      </c>
      <c r="E227" s="75"/>
      <c r="F227" s="75"/>
      <c r="G227" s="75"/>
      <c r="H227" s="75">
        <v>3321.13</v>
      </c>
      <c r="I227" s="75">
        <v>787107.81</v>
      </c>
      <c r="J227" s="91" t="s">
        <v>117</v>
      </c>
      <c r="K227" s="73"/>
      <c r="L227" s="46">
        <v>0</v>
      </c>
      <c r="M227" s="46">
        <v>0</v>
      </c>
      <c r="N227" s="46">
        <v>0</v>
      </c>
      <c r="O227" s="98"/>
      <c r="P227" s="23" t="s">
        <v>1427</v>
      </c>
      <c r="Q227" s="24" t="s">
        <v>116</v>
      </c>
      <c r="R227" s="25" t="s">
        <v>23</v>
      </c>
      <c r="S227" s="26">
        <v>237</v>
      </c>
      <c r="T227" s="26"/>
      <c r="U227" s="26">
        <v>3321.13</v>
      </c>
      <c r="V227" s="26">
        <f t="shared" si="46"/>
        <v>0</v>
      </c>
      <c r="W227" s="26">
        <f t="shared" si="35"/>
        <v>0</v>
      </c>
      <c r="X227" s="26">
        <f t="shared" si="47"/>
        <v>0</v>
      </c>
      <c r="Y227" s="26">
        <f t="shared" si="44"/>
        <v>0</v>
      </c>
      <c r="Z227" s="33" t="s">
        <v>15</v>
      </c>
      <c r="AA227" s="36" t="s">
        <v>16</v>
      </c>
      <c r="AB227" s="181">
        <f t="shared" si="41"/>
        <v>237</v>
      </c>
      <c r="AC227" s="181">
        <f t="shared" si="48"/>
        <v>787107.81</v>
      </c>
      <c r="AD227" s="181">
        <v>1.6</v>
      </c>
      <c r="AE227" s="181">
        <v>1.6</v>
      </c>
      <c r="AF227" s="101" t="str">
        <f t="shared" si="42"/>
        <v/>
      </c>
      <c r="AG227" s="190">
        <v>0</v>
      </c>
      <c r="AH227" s="69">
        <f t="shared" si="43"/>
        <v>237</v>
      </c>
    </row>
    <row r="228" spans="1:34" s="69" customFormat="1" ht="39" x14ac:dyDescent="0.3">
      <c r="A228" s="55" t="s">
        <v>580</v>
      </c>
      <c r="B228" s="53" t="s">
        <v>493</v>
      </c>
      <c r="C228" s="54" t="s">
        <v>23</v>
      </c>
      <c r="D228" s="75">
        <v>261</v>
      </c>
      <c r="E228" s="75"/>
      <c r="F228" s="75"/>
      <c r="G228" s="75"/>
      <c r="H228" s="75">
        <v>200</v>
      </c>
      <c r="I228" s="75">
        <v>52200</v>
      </c>
      <c r="J228" s="91" t="s">
        <v>494</v>
      </c>
      <c r="K228" s="73"/>
      <c r="L228" s="46">
        <v>0</v>
      </c>
      <c r="M228" s="46">
        <v>0</v>
      </c>
      <c r="N228" s="46">
        <v>0</v>
      </c>
      <c r="O228" s="98"/>
      <c r="P228" s="23" t="s">
        <v>1428</v>
      </c>
      <c r="Q228" s="24" t="s">
        <v>493</v>
      </c>
      <c r="R228" s="25" t="s">
        <v>23</v>
      </c>
      <c r="S228" s="26">
        <v>261</v>
      </c>
      <c r="T228" s="26"/>
      <c r="U228" s="26">
        <v>200</v>
      </c>
      <c r="V228" s="26">
        <f t="shared" si="46"/>
        <v>0</v>
      </c>
      <c r="W228" s="26">
        <f t="shared" si="35"/>
        <v>0</v>
      </c>
      <c r="X228" s="26">
        <f t="shared" si="47"/>
        <v>0</v>
      </c>
      <c r="Y228" s="26">
        <f t="shared" si="44"/>
        <v>0</v>
      </c>
      <c r="Z228" s="33" t="s">
        <v>15</v>
      </c>
      <c r="AA228" s="36" t="s">
        <v>16</v>
      </c>
      <c r="AB228" s="181">
        <f t="shared" si="41"/>
        <v>261</v>
      </c>
      <c r="AC228" s="181">
        <f t="shared" si="48"/>
        <v>52200</v>
      </c>
      <c r="AD228" s="181">
        <v>1.6</v>
      </c>
      <c r="AE228" s="181">
        <v>1.6</v>
      </c>
      <c r="AF228" s="101" t="str">
        <f t="shared" si="42"/>
        <v/>
      </c>
      <c r="AG228" s="190">
        <v>0</v>
      </c>
      <c r="AH228" s="69">
        <f t="shared" si="43"/>
        <v>261</v>
      </c>
    </row>
    <row r="229" spans="1:34" s="69" customFormat="1" ht="33" x14ac:dyDescent="0.3">
      <c r="A229" s="55" t="s">
        <v>581</v>
      </c>
      <c r="B229" s="53" t="s">
        <v>582</v>
      </c>
      <c r="C229" s="54" t="s">
        <v>50</v>
      </c>
      <c r="D229" s="75">
        <v>745</v>
      </c>
      <c r="E229" s="75"/>
      <c r="F229" s="75"/>
      <c r="G229" s="75"/>
      <c r="H229" s="75">
        <v>698.31</v>
      </c>
      <c r="I229" s="75">
        <v>520240.95</v>
      </c>
      <c r="J229" s="91" t="s">
        <v>583</v>
      </c>
      <c r="K229" s="73"/>
      <c r="L229" s="46">
        <v>0</v>
      </c>
      <c r="M229" s="46">
        <v>0</v>
      </c>
      <c r="N229" s="46">
        <v>0</v>
      </c>
      <c r="O229" s="98"/>
      <c r="P229" s="23" t="s">
        <v>1387</v>
      </c>
      <c r="Q229" s="24" t="s">
        <v>582</v>
      </c>
      <c r="R229" s="25" t="s">
        <v>50</v>
      </c>
      <c r="S229" s="26">
        <v>745</v>
      </c>
      <c r="T229" s="26"/>
      <c r="U229" s="26">
        <v>698.31</v>
      </c>
      <c r="V229" s="26">
        <f t="shared" si="46"/>
        <v>0</v>
      </c>
      <c r="W229" s="26">
        <f t="shared" si="35"/>
        <v>0</v>
      </c>
      <c r="X229" s="26">
        <f t="shared" si="47"/>
        <v>0</v>
      </c>
      <c r="Y229" s="26">
        <f t="shared" si="44"/>
        <v>0</v>
      </c>
      <c r="Z229" s="33" t="s">
        <v>15</v>
      </c>
      <c r="AA229" s="36" t="s">
        <v>16</v>
      </c>
      <c r="AB229" s="181">
        <f t="shared" si="41"/>
        <v>745</v>
      </c>
      <c r="AC229" s="181">
        <f t="shared" si="48"/>
        <v>520240.95</v>
      </c>
      <c r="AD229" s="181">
        <v>1.6</v>
      </c>
      <c r="AE229" s="181">
        <v>1.6</v>
      </c>
      <c r="AF229" s="101" t="str">
        <f t="shared" si="42"/>
        <v/>
      </c>
      <c r="AG229" s="190">
        <v>0</v>
      </c>
      <c r="AH229" s="69">
        <f t="shared" si="43"/>
        <v>745</v>
      </c>
    </row>
    <row r="230" spans="1:34" s="69" customFormat="1" ht="41.25" x14ac:dyDescent="0.3">
      <c r="A230" s="55" t="s">
        <v>584</v>
      </c>
      <c r="B230" s="53" t="s">
        <v>119</v>
      </c>
      <c r="C230" s="54" t="s">
        <v>50</v>
      </c>
      <c r="D230" s="75">
        <v>915</v>
      </c>
      <c r="E230" s="75"/>
      <c r="F230" s="75"/>
      <c r="G230" s="75"/>
      <c r="H230" s="75">
        <v>533.64</v>
      </c>
      <c r="I230" s="75">
        <v>488280.6</v>
      </c>
      <c r="J230" s="91" t="s">
        <v>120</v>
      </c>
      <c r="K230" s="73"/>
      <c r="L230" s="46">
        <v>0</v>
      </c>
      <c r="M230" s="46">
        <v>0</v>
      </c>
      <c r="N230" s="46">
        <v>0</v>
      </c>
      <c r="O230" s="98"/>
      <c r="P230" s="23" t="s">
        <v>1405</v>
      </c>
      <c r="Q230" s="24" t="s">
        <v>119</v>
      </c>
      <c r="R230" s="25" t="s">
        <v>50</v>
      </c>
      <c r="S230" s="26">
        <v>915</v>
      </c>
      <c r="T230" s="26"/>
      <c r="U230" s="26">
        <v>533.64</v>
      </c>
      <c r="V230" s="26">
        <f t="shared" si="46"/>
        <v>0</v>
      </c>
      <c r="W230" s="26">
        <f t="shared" si="35"/>
        <v>0</v>
      </c>
      <c r="X230" s="26">
        <f t="shared" si="47"/>
        <v>0</v>
      </c>
      <c r="Y230" s="26">
        <f t="shared" si="44"/>
        <v>0</v>
      </c>
      <c r="Z230" s="33" t="s">
        <v>15</v>
      </c>
      <c r="AA230" s="36" t="s">
        <v>16</v>
      </c>
      <c r="AB230" s="181">
        <f t="shared" si="41"/>
        <v>915</v>
      </c>
      <c r="AC230" s="181">
        <f t="shared" si="48"/>
        <v>488280.6</v>
      </c>
      <c r="AD230" s="181">
        <v>1.6</v>
      </c>
      <c r="AE230" s="181">
        <v>1.6</v>
      </c>
      <c r="AF230" s="101" t="str">
        <f t="shared" si="42"/>
        <v/>
      </c>
      <c r="AG230" s="190">
        <v>0</v>
      </c>
      <c r="AH230" s="69">
        <f t="shared" si="43"/>
        <v>915</v>
      </c>
    </row>
    <row r="231" spans="1:34" s="69" customFormat="1" ht="33" x14ac:dyDescent="0.3">
      <c r="A231" s="55" t="s">
        <v>585</v>
      </c>
      <c r="B231" s="53" t="s">
        <v>109</v>
      </c>
      <c r="C231" s="54" t="s">
        <v>110</v>
      </c>
      <c r="D231" s="75">
        <v>9227</v>
      </c>
      <c r="E231" s="75"/>
      <c r="F231" s="75"/>
      <c r="G231" s="75"/>
      <c r="H231" s="75">
        <v>36.4</v>
      </c>
      <c r="I231" s="75">
        <v>335862.8</v>
      </c>
      <c r="J231" s="91" t="s">
        <v>111</v>
      </c>
      <c r="K231" s="73"/>
      <c r="L231" s="46">
        <v>0</v>
      </c>
      <c r="M231" s="46">
        <v>0</v>
      </c>
      <c r="N231" s="46">
        <v>0</v>
      </c>
      <c r="O231" s="98"/>
      <c r="P231" s="23" t="s">
        <v>1406</v>
      </c>
      <c r="Q231" s="24" t="s">
        <v>109</v>
      </c>
      <c r="R231" s="25" t="s">
        <v>110</v>
      </c>
      <c r="S231" s="26">
        <v>9227</v>
      </c>
      <c r="T231" s="26"/>
      <c r="U231" s="26">
        <v>36.4</v>
      </c>
      <c r="V231" s="26">
        <f t="shared" si="46"/>
        <v>0</v>
      </c>
      <c r="W231" s="26">
        <f t="shared" si="35"/>
        <v>0</v>
      </c>
      <c r="X231" s="26">
        <f t="shared" si="47"/>
        <v>0</v>
      </c>
      <c r="Y231" s="26">
        <f t="shared" si="44"/>
        <v>0</v>
      </c>
      <c r="Z231" s="33" t="s">
        <v>15</v>
      </c>
      <c r="AA231" s="36" t="s">
        <v>16</v>
      </c>
      <c r="AB231" s="181">
        <f t="shared" si="41"/>
        <v>9227</v>
      </c>
      <c r="AC231" s="181">
        <f t="shared" si="48"/>
        <v>335862.8</v>
      </c>
      <c r="AD231" s="181">
        <v>1.6</v>
      </c>
      <c r="AE231" s="181">
        <v>1.6</v>
      </c>
      <c r="AF231" s="101" t="str">
        <f t="shared" si="42"/>
        <v/>
      </c>
      <c r="AG231" s="190">
        <v>0</v>
      </c>
      <c r="AH231" s="69">
        <f t="shared" si="43"/>
        <v>9227</v>
      </c>
    </row>
    <row r="232" spans="1:34" s="69" customFormat="1" ht="39" x14ac:dyDescent="0.3">
      <c r="A232" s="55" t="s">
        <v>586</v>
      </c>
      <c r="B232" s="53" t="s">
        <v>587</v>
      </c>
      <c r="C232" s="54" t="s">
        <v>513</v>
      </c>
      <c r="D232" s="75">
        <v>189</v>
      </c>
      <c r="E232" s="75"/>
      <c r="F232" s="75"/>
      <c r="G232" s="75"/>
      <c r="H232" s="75">
        <v>40</v>
      </c>
      <c r="I232" s="75">
        <v>7560</v>
      </c>
      <c r="J232" s="91" t="s">
        <v>588</v>
      </c>
      <c r="K232" s="73"/>
      <c r="L232" s="46">
        <v>0</v>
      </c>
      <c r="M232" s="46">
        <v>0</v>
      </c>
      <c r="N232" s="46">
        <v>0</v>
      </c>
      <c r="O232" s="98"/>
      <c r="P232" s="23" t="s">
        <v>1414</v>
      </c>
      <c r="Q232" s="24" t="s">
        <v>587</v>
      </c>
      <c r="R232" s="25" t="s">
        <v>513</v>
      </c>
      <c r="S232" s="26">
        <v>189</v>
      </c>
      <c r="T232" s="26"/>
      <c r="U232" s="26">
        <v>40</v>
      </c>
      <c r="V232" s="26">
        <f t="shared" si="46"/>
        <v>0</v>
      </c>
      <c r="W232" s="26">
        <f t="shared" si="35"/>
        <v>0</v>
      </c>
      <c r="X232" s="26">
        <f t="shared" si="47"/>
        <v>0</v>
      </c>
      <c r="Y232" s="26">
        <f t="shared" si="44"/>
        <v>0</v>
      </c>
      <c r="Z232" s="33" t="s">
        <v>15</v>
      </c>
      <c r="AA232" s="36" t="s">
        <v>16</v>
      </c>
      <c r="AB232" s="181">
        <f t="shared" si="41"/>
        <v>189</v>
      </c>
      <c r="AC232" s="181">
        <f t="shared" si="48"/>
        <v>7560</v>
      </c>
      <c r="AD232" s="181">
        <v>1.6</v>
      </c>
      <c r="AE232" s="181">
        <v>1.6</v>
      </c>
      <c r="AF232" s="101" t="str">
        <f t="shared" si="42"/>
        <v/>
      </c>
      <c r="AG232" s="190">
        <v>0</v>
      </c>
      <c r="AH232" s="69">
        <f t="shared" si="43"/>
        <v>189</v>
      </c>
    </row>
    <row r="233" spans="1:34" s="69" customFormat="1" ht="39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>
        <v>3615.3</v>
      </c>
      <c r="I233" s="75">
        <v>426605.4</v>
      </c>
      <c r="J233" s="91" t="s">
        <v>591</v>
      </c>
      <c r="K233" s="73"/>
      <c r="L233" s="46">
        <v>0</v>
      </c>
      <c r="M233" s="46">
        <v>0</v>
      </c>
      <c r="N233" s="46">
        <v>0</v>
      </c>
      <c r="O233" s="98"/>
      <c r="P233" s="23" t="s">
        <v>1429</v>
      </c>
      <c r="Q233" s="24" t="s">
        <v>590</v>
      </c>
      <c r="R233" s="25" t="s">
        <v>325</v>
      </c>
      <c r="S233" s="26">
        <v>118</v>
      </c>
      <c r="T233" s="26"/>
      <c r="U233" s="26">
        <v>3615.3</v>
      </c>
      <c r="V233" s="26">
        <f t="shared" si="46"/>
        <v>0</v>
      </c>
      <c r="W233" s="26">
        <f t="shared" si="35"/>
        <v>0</v>
      </c>
      <c r="X233" s="26">
        <f t="shared" si="47"/>
        <v>0</v>
      </c>
      <c r="Y233" s="26">
        <f t="shared" si="44"/>
        <v>0</v>
      </c>
      <c r="Z233" s="33" t="s">
        <v>15</v>
      </c>
      <c r="AA233" s="36" t="s">
        <v>16</v>
      </c>
      <c r="AB233" s="181">
        <f t="shared" si="41"/>
        <v>118</v>
      </c>
      <c r="AC233" s="181">
        <f t="shared" si="48"/>
        <v>426605.4</v>
      </c>
      <c r="AD233" s="181">
        <v>1.6</v>
      </c>
      <c r="AE233" s="181">
        <v>1.6</v>
      </c>
      <c r="AF233" s="101" t="str">
        <f t="shared" si="42"/>
        <v/>
      </c>
      <c r="AG233" s="190">
        <v>0</v>
      </c>
      <c r="AH233" s="69">
        <f t="shared" si="43"/>
        <v>118</v>
      </c>
    </row>
    <row r="234" spans="1:34" s="69" customFormat="1" ht="39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>
        <v>113.98</v>
      </c>
      <c r="I234" s="75">
        <v>316066.53999999998</v>
      </c>
      <c r="J234" s="91" t="s">
        <v>594</v>
      </c>
      <c r="K234" s="73"/>
      <c r="L234" s="46">
        <v>0</v>
      </c>
      <c r="M234" s="46">
        <v>0</v>
      </c>
      <c r="N234" s="46">
        <v>0</v>
      </c>
      <c r="O234" s="98"/>
      <c r="P234" s="23" t="s">
        <v>1430</v>
      </c>
      <c r="Q234" s="24" t="s">
        <v>593</v>
      </c>
      <c r="R234" s="25" t="s">
        <v>110</v>
      </c>
      <c r="S234" s="26">
        <v>2773</v>
      </c>
      <c r="T234" s="26"/>
      <c r="U234" s="26">
        <v>113.98</v>
      </c>
      <c r="V234" s="26">
        <f t="shared" si="46"/>
        <v>0</v>
      </c>
      <c r="W234" s="26">
        <f t="shared" si="35"/>
        <v>0</v>
      </c>
      <c r="X234" s="26">
        <f t="shared" si="47"/>
        <v>0</v>
      </c>
      <c r="Y234" s="26">
        <f t="shared" si="44"/>
        <v>0</v>
      </c>
      <c r="Z234" s="33" t="s">
        <v>15</v>
      </c>
      <c r="AA234" s="36" t="s">
        <v>16</v>
      </c>
      <c r="AB234" s="181">
        <f t="shared" si="41"/>
        <v>2773</v>
      </c>
      <c r="AC234" s="181">
        <f t="shared" si="48"/>
        <v>316066.53999999998</v>
      </c>
      <c r="AD234" s="181">
        <v>1.6</v>
      </c>
      <c r="AE234" s="181">
        <v>1.6</v>
      </c>
      <c r="AF234" s="101" t="str">
        <f t="shared" si="42"/>
        <v/>
      </c>
      <c r="AG234" s="190">
        <v>0</v>
      </c>
      <c r="AH234" s="69">
        <f t="shared" si="43"/>
        <v>2773</v>
      </c>
    </row>
    <row r="235" spans="1:34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5">
        <v>138.84</v>
      </c>
      <c r="I235" s="75">
        <v>15550.08</v>
      </c>
      <c r="J235" s="91" t="s">
        <v>190</v>
      </c>
      <c r="K235" s="73"/>
      <c r="L235" s="46">
        <v>0</v>
      </c>
      <c r="M235" s="46">
        <v>0</v>
      </c>
      <c r="N235" s="46">
        <v>0</v>
      </c>
      <c r="O235" s="98"/>
      <c r="P235" s="23" t="s">
        <v>1431</v>
      </c>
      <c r="Q235" s="24" t="s">
        <v>189</v>
      </c>
      <c r="R235" s="25" t="s">
        <v>30</v>
      </c>
      <c r="S235" s="26">
        <v>112</v>
      </c>
      <c r="T235" s="26"/>
      <c r="U235" s="26">
        <v>138.84</v>
      </c>
      <c r="V235" s="26">
        <f t="shared" si="46"/>
        <v>0</v>
      </c>
      <c r="W235" s="26">
        <f t="shared" si="35"/>
        <v>0</v>
      </c>
      <c r="X235" s="26">
        <f t="shared" si="47"/>
        <v>0</v>
      </c>
      <c r="Y235" s="26">
        <f t="shared" si="44"/>
        <v>0</v>
      </c>
      <c r="Z235" s="33" t="s">
        <v>15</v>
      </c>
      <c r="AA235" s="36" t="s">
        <v>16</v>
      </c>
      <c r="AB235" s="181">
        <f t="shared" si="41"/>
        <v>112</v>
      </c>
      <c r="AC235" s="181">
        <f t="shared" si="48"/>
        <v>15550.08</v>
      </c>
      <c r="AD235" s="181">
        <v>1.6</v>
      </c>
      <c r="AE235" s="181">
        <v>1.6</v>
      </c>
      <c r="AF235" s="101" t="str">
        <f t="shared" si="42"/>
        <v/>
      </c>
      <c r="AG235" s="190">
        <v>0</v>
      </c>
      <c r="AH235" s="69">
        <f t="shared" si="43"/>
        <v>112</v>
      </c>
    </row>
    <row r="236" spans="1:34" ht="39" x14ac:dyDescent="0.3">
      <c r="A236" s="67" t="s">
        <v>1334</v>
      </c>
      <c r="B236" s="64" t="s">
        <v>1335</v>
      </c>
      <c r="C236" s="61" t="s">
        <v>50</v>
      </c>
      <c r="D236" s="78"/>
      <c r="E236" s="78"/>
      <c r="F236" s="62">
        <v>518.22</v>
      </c>
      <c r="G236" s="140"/>
      <c r="H236" s="78">
        <v>868.85</v>
      </c>
      <c r="I236" s="62">
        <v>450255.45</v>
      </c>
      <c r="J236" s="93"/>
      <c r="L236" s="46">
        <v>0</v>
      </c>
      <c r="M236" s="46">
        <v>0</v>
      </c>
      <c r="N236" s="46">
        <v>0</v>
      </c>
      <c r="O236" s="98"/>
      <c r="P236" s="23" t="s">
        <v>1395</v>
      </c>
      <c r="Q236" s="24" t="s">
        <v>1396</v>
      </c>
      <c r="R236" s="25" t="s">
        <v>50</v>
      </c>
      <c r="S236" s="26">
        <v>0</v>
      </c>
      <c r="T236" s="26">
        <v>518.22</v>
      </c>
      <c r="U236" s="26">
        <v>868.85</v>
      </c>
      <c r="V236" s="26">
        <f t="shared" si="46"/>
        <v>0</v>
      </c>
      <c r="W236" s="26">
        <f t="shared" si="35"/>
        <v>0</v>
      </c>
      <c r="X236" s="26">
        <f t="shared" si="47"/>
        <v>0</v>
      </c>
      <c r="Y236" s="26">
        <f t="shared" si="44"/>
        <v>0</v>
      </c>
      <c r="Z236" s="27"/>
      <c r="AA236" s="36" t="s">
        <v>16</v>
      </c>
      <c r="AB236" s="181">
        <f t="shared" si="41"/>
        <v>518.22</v>
      </c>
      <c r="AC236" s="181">
        <f t="shared" si="48"/>
        <v>450255.45</v>
      </c>
      <c r="AD236" s="181">
        <v>1.6</v>
      </c>
      <c r="AE236" s="181">
        <v>1.6</v>
      </c>
      <c r="AF236" s="101" t="str">
        <f t="shared" si="42"/>
        <v/>
      </c>
      <c r="AG236" s="190">
        <v>0</v>
      </c>
      <c r="AH236" s="69">
        <f t="shared" si="43"/>
        <v>518.22</v>
      </c>
    </row>
    <row r="237" spans="1:34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2"/>
      <c r="I237" s="82">
        <v>7832216.5700000003</v>
      </c>
      <c r="J237" s="94" t="s">
        <v>15</v>
      </c>
      <c r="K237" s="73"/>
      <c r="L237" s="45">
        <v>1</v>
      </c>
      <c r="M237" s="45">
        <v>0</v>
      </c>
      <c r="N237" s="45">
        <v>2457617.2000000002</v>
      </c>
      <c r="O237" s="98"/>
      <c r="P237" s="18" t="s">
        <v>1397</v>
      </c>
      <c r="Q237" s="19" t="s">
        <v>597</v>
      </c>
      <c r="R237" s="20" t="s">
        <v>14</v>
      </c>
      <c r="S237" s="21">
        <v>1</v>
      </c>
      <c r="T237" s="21"/>
      <c r="U237" s="21">
        <f>SUMIFS(AC:AC,AD:AD,AD237)</f>
        <v>7832216.5699999994</v>
      </c>
      <c r="V237" s="21">
        <f t="shared" ref="V237:W237" si="49">IF(X237=0,0,1)</f>
        <v>1</v>
      </c>
      <c r="W237" s="21">
        <f t="shared" si="49"/>
        <v>1</v>
      </c>
      <c r="X237" s="21">
        <f>SUMIFS(X:X,AE:AE,AD237)</f>
        <v>109905.12</v>
      </c>
      <c r="Y237" s="21">
        <f>SUMIFS(Y:Y,AE:AE,AD237)</f>
        <v>2567522.3200000003</v>
      </c>
      <c r="Z237" s="22" t="s">
        <v>15</v>
      </c>
      <c r="AA237" s="43" t="s">
        <v>16</v>
      </c>
      <c r="AB237" s="181">
        <f t="shared" si="41"/>
        <v>1</v>
      </c>
      <c r="AC237" s="184"/>
      <c r="AD237" s="184">
        <v>1.7</v>
      </c>
      <c r="AE237" s="184"/>
      <c r="AF237" s="101" t="str">
        <f t="shared" si="42"/>
        <v/>
      </c>
      <c r="AG237" s="190">
        <v>1</v>
      </c>
      <c r="AH237" s="69">
        <f t="shared" si="43"/>
        <v>1</v>
      </c>
    </row>
    <row r="238" spans="1:34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>
        <v>704.52</v>
      </c>
      <c r="I238" s="75">
        <v>1829427.08</v>
      </c>
      <c r="J238" s="91" t="s">
        <v>600</v>
      </c>
      <c r="K238" s="73"/>
      <c r="L238" s="46">
        <v>0</v>
      </c>
      <c r="M238" s="46">
        <v>0</v>
      </c>
      <c r="N238" s="46">
        <v>0</v>
      </c>
      <c r="O238" s="98"/>
      <c r="P238" s="23" t="s">
        <v>1421</v>
      </c>
      <c r="Q238" s="24" t="s">
        <v>599</v>
      </c>
      <c r="R238" s="25" t="s">
        <v>103</v>
      </c>
      <c r="S238" s="26">
        <v>2596.6999999999998</v>
      </c>
      <c r="T238" s="26"/>
      <c r="U238" s="26">
        <v>704.52</v>
      </c>
      <c r="V238" s="128">
        <f t="shared" ref="V238:V301" si="50">AG238-L238</f>
        <v>156</v>
      </c>
      <c r="W238" s="26">
        <f t="shared" si="35"/>
        <v>156</v>
      </c>
      <c r="X238" s="26">
        <f t="shared" ref="X238:X301" si="51">Y238-N238</f>
        <v>109905.12</v>
      </c>
      <c r="Y238" s="26">
        <f t="shared" si="44"/>
        <v>109905.12</v>
      </c>
      <c r="Z238" s="33" t="s">
        <v>15</v>
      </c>
      <c r="AA238" s="36" t="s">
        <v>16</v>
      </c>
      <c r="AB238" s="181">
        <f t="shared" si="41"/>
        <v>2596.6999999999998</v>
      </c>
      <c r="AC238" s="181">
        <f t="shared" ref="AC238:AC301" si="52">ROUND(U238*AB238,2)</f>
        <v>1829427.08</v>
      </c>
      <c r="AD238" s="181">
        <v>1.7</v>
      </c>
      <c r="AE238" s="181">
        <v>1.7</v>
      </c>
      <c r="AF238" s="101" t="str">
        <f t="shared" si="42"/>
        <v/>
      </c>
      <c r="AG238" s="191">
        <f>13*12</f>
        <v>156</v>
      </c>
      <c r="AH238" s="69">
        <f t="shared" si="43"/>
        <v>2596.6999999999998</v>
      </c>
    </row>
    <row r="239" spans="1:34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>
        <v>400</v>
      </c>
      <c r="I239" s="75">
        <v>50400</v>
      </c>
      <c r="J239" s="91" t="s">
        <v>603</v>
      </c>
      <c r="K239" s="73"/>
      <c r="L239" s="46">
        <v>0</v>
      </c>
      <c r="M239" s="46">
        <v>0</v>
      </c>
      <c r="N239" s="46">
        <v>0</v>
      </c>
      <c r="O239" s="98"/>
      <c r="P239" s="23" t="s">
        <v>1426</v>
      </c>
      <c r="Q239" s="24" t="s">
        <v>602</v>
      </c>
      <c r="R239" s="25" t="s">
        <v>559</v>
      </c>
      <c r="S239" s="26">
        <v>126</v>
      </c>
      <c r="T239" s="26"/>
      <c r="U239" s="26">
        <v>400</v>
      </c>
      <c r="V239" s="26">
        <f t="shared" si="50"/>
        <v>0</v>
      </c>
      <c r="W239" s="26">
        <f t="shared" si="35"/>
        <v>0</v>
      </c>
      <c r="X239" s="26">
        <f t="shared" si="51"/>
        <v>0</v>
      </c>
      <c r="Y239" s="26">
        <f t="shared" si="44"/>
        <v>0</v>
      </c>
      <c r="Z239" s="33" t="s">
        <v>15</v>
      </c>
      <c r="AA239" s="36" t="s">
        <v>16</v>
      </c>
      <c r="AB239" s="181">
        <f t="shared" si="41"/>
        <v>126</v>
      </c>
      <c r="AC239" s="181">
        <f t="shared" si="52"/>
        <v>50400</v>
      </c>
      <c r="AD239" s="181">
        <v>1.7</v>
      </c>
      <c r="AE239" s="181">
        <v>1.7</v>
      </c>
      <c r="AF239" s="101" t="str">
        <f t="shared" si="42"/>
        <v/>
      </c>
      <c r="AG239" s="190">
        <v>0</v>
      </c>
      <c r="AH239" s="69">
        <f t="shared" si="43"/>
        <v>126</v>
      </c>
    </row>
    <row r="240" spans="1:34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>
        <v>3569.95</v>
      </c>
      <c r="I240" s="75">
        <v>42839.4</v>
      </c>
      <c r="J240" s="91" t="s">
        <v>607</v>
      </c>
      <c r="K240" s="73"/>
      <c r="L240" s="46">
        <v>0</v>
      </c>
      <c r="M240" s="46">
        <v>0</v>
      </c>
      <c r="N240" s="46">
        <v>0</v>
      </c>
      <c r="O240" s="98"/>
      <c r="P240" s="23" t="s">
        <v>1402</v>
      </c>
      <c r="Q240" s="24" t="s">
        <v>605</v>
      </c>
      <c r="R240" s="25" t="s">
        <v>606</v>
      </c>
      <c r="S240" s="26">
        <v>12</v>
      </c>
      <c r="T240" s="26"/>
      <c r="U240" s="26">
        <v>3569.95</v>
      </c>
      <c r="V240" s="26">
        <f t="shared" si="50"/>
        <v>0</v>
      </c>
      <c r="W240" s="26">
        <f t="shared" si="35"/>
        <v>0</v>
      </c>
      <c r="X240" s="26">
        <f t="shared" si="51"/>
        <v>0</v>
      </c>
      <c r="Y240" s="26">
        <f t="shared" si="44"/>
        <v>0</v>
      </c>
      <c r="Z240" s="33" t="s">
        <v>15</v>
      </c>
      <c r="AA240" s="36" t="s">
        <v>16</v>
      </c>
      <c r="AB240" s="181">
        <f t="shared" si="41"/>
        <v>12</v>
      </c>
      <c r="AC240" s="181">
        <f t="shared" si="52"/>
        <v>42839.4</v>
      </c>
      <c r="AD240" s="181">
        <v>1.7</v>
      </c>
      <c r="AE240" s="181">
        <v>1.7</v>
      </c>
      <c r="AF240" s="101" t="str">
        <f t="shared" si="42"/>
        <v/>
      </c>
      <c r="AG240" s="190">
        <v>0</v>
      </c>
      <c r="AH240" s="69">
        <f t="shared" si="43"/>
        <v>12</v>
      </c>
    </row>
    <row r="241" spans="1:34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>
        <v>4083.1</v>
      </c>
      <c r="I241" s="75">
        <v>73495.8</v>
      </c>
      <c r="J241" s="91" t="s">
        <v>610</v>
      </c>
      <c r="K241" s="73"/>
      <c r="L241" s="46">
        <v>5</v>
      </c>
      <c r="M241" s="46">
        <v>0</v>
      </c>
      <c r="N241" s="46">
        <v>20415.5</v>
      </c>
      <c r="O241" s="98"/>
      <c r="P241" s="23" t="s">
        <v>1373</v>
      </c>
      <c r="Q241" s="24" t="s">
        <v>609</v>
      </c>
      <c r="R241" s="25" t="s">
        <v>606</v>
      </c>
      <c r="S241" s="26">
        <v>18</v>
      </c>
      <c r="T241" s="26"/>
      <c r="U241" s="26">
        <v>4083.1</v>
      </c>
      <c r="V241" s="26">
        <f t="shared" si="50"/>
        <v>0</v>
      </c>
      <c r="W241" s="26">
        <f t="shared" si="35"/>
        <v>5</v>
      </c>
      <c r="X241" s="26">
        <f t="shared" si="51"/>
        <v>0</v>
      </c>
      <c r="Y241" s="26">
        <f t="shared" si="44"/>
        <v>20415.5</v>
      </c>
      <c r="Z241" s="33" t="s">
        <v>15</v>
      </c>
      <c r="AA241" s="36" t="s">
        <v>16</v>
      </c>
      <c r="AB241" s="181">
        <f t="shared" si="41"/>
        <v>18</v>
      </c>
      <c r="AC241" s="181">
        <f t="shared" si="52"/>
        <v>73495.8</v>
      </c>
      <c r="AD241" s="181">
        <v>1.7</v>
      </c>
      <c r="AE241" s="181">
        <v>1.7</v>
      </c>
      <c r="AF241" s="101" t="str">
        <f t="shared" si="42"/>
        <v/>
      </c>
      <c r="AG241" s="190">
        <v>5</v>
      </c>
      <c r="AH241" s="69">
        <f t="shared" si="43"/>
        <v>18</v>
      </c>
    </row>
    <row r="242" spans="1:34" s="69" customFormat="1" ht="39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203"/>
      <c r="F242" s="203"/>
      <c r="G242" s="203"/>
      <c r="H242" s="75">
        <v>7408.5</v>
      </c>
      <c r="I242" s="75">
        <v>37042.5</v>
      </c>
      <c r="J242" s="91" t="s">
        <v>613</v>
      </c>
      <c r="K242" s="73"/>
      <c r="L242" s="46">
        <v>5</v>
      </c>
      <c r="M242" s="46">
        <v>0</v>
      </c>
      <c r="N242" s="46">
        <v>37042.5</v>
      </c>
      <c r="O242" s="98"/>
      <c r="P242" s="23" t="s">
        <v>1393</v>
      </c>
      <c r="Q242" s="24" t="s">
        <v>612</v>
      </c>
      <c r="R242" s="25" t="s">
        <v>606</v>
      </c>
      <c r="S242" s="26">
        <v>5</v>
      </c>
      <c r="T242" s="26"/>
      <c r="U242" s="26">
        <v>7408.5</v>
      </c>
      <c r="V242" s="127">
        <f t="shared" si="50"/>
        <v>0</v>
      </c>
      <c r="W242" s="127">
        <f t="shared" ref="W242:W305" si="53">V242+L242</f>
        <v>5</v>
      </c>
      <c r="X242" s="127">
        <f t="shared" si="51"/>
        <v>0</v>
      </c>
      <c r="Y242" s="127">
        <f t="shared" si="44"/>
        <v>37042.5</v>
      </c>
      <c r="Z242" s="33" t="s">
        <v>15</v>
      </c>
      <c r="AA242" s="36" t="s">
        <v>16</v>
      </c>
      <c r="AB242" s="181">
        <f t="shared" si="41"/>
        <v>5</v>
      </c>
      <c r="AC242" s="181">
        <f t="shared" si="52"/>
        <v>37042.5</v>
      </c>
      <c r="AD242" s="181">
        <v>1.7</v>
      </c>
      <c r="AE242" s="181">
        <v>1.7</v>
      </c>
      <c r="AF242" s="101" t="str">
        <f t="shared" si="42"/>
        <v/>
      </c>
      <c r="AG242" s="190">
        <v>5</v>
      </c>
      <c r="AH242" s="69">
        <f t="shared" si="43"/>
        <v>5</v>
      </c>
    </row>
    <row r="243" spans="1:34" s="69" customFormat="1" ht="39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203"/>
      <c r="F243" s="203"/>
      <c r="G243" s="203"/>
      <c r="H243" s="75">
        <v>10319.280000000001</v>
      </c>
      <c r="I243" s="75">
        <v>51596.4</v>
      </c>
      <c r="J243" s="91" t="s">
        <v>616</v>
      </c>
      <c r="K243" s="73"/>
      <c r="L243" s="46">
        <v>5</v>
      </c>
      <c r="M243" s="46">
        <v>0</v>
      </c>
      <c r="N243" s="46">
        <v>51596.4</v>
      </c>
      <c r="O243" s="98"/>
      <c r="P243" s="23" t="s">
        <v>1403</v>
      </c>
      <c r="Q243" s="24" t="s">
        <v>615</v>
      </c>
      <c r="R243" s="25" t="s">
        <v>606</v>
      </c>
      <c r="S243" s="26">
        <v>5</v>
      </c>
      <c r="T243" s="26"/>
      <c r="U243" s="26">
        <v>10319.280000000001</v>
      </c>
      <c r="V243" s="127">
        <f t="shared" si="50"/>
        <v>0</v>
      </c>
      <c r="W243" s="127">
        <f t="shared" si="53"/>
        <v>5</v>
      </c>
      <c r="X243" s="127">
        <f t="shared" si="51"/>
        <v>0</v>
      </c>
      <c r="Y243" s="127">
        <f t="shared" si="44"/>
        <v>51596.4</v>
      </c>
      <c r="Z243" s="33" t="s">
        <v>15</v>
      </c>
      <c r="AA243" s="36" t="s">
        <v>16</v>
      </c>
      <c r="AB243" s="181">
        <f t="shared" si="41"/>
        <v>5</v>
      </c>
      <c r="AC243" s="181">
        <f t="shared" si="52"/>
        <v>51596.4</v>
      </c>
      <c r="AD243" s="181">
        <v>1.7</v>
      </c>
      <c r="AE243" s="181">
        <v>1.7</v>
      </c>
      <c r="AF243" s="101" t="str">
        <f t="shared" si="42"/>
        <v/>
      </c>
      <c r="AG243" s="190">
        <v>5</v>
      </c>
      <c r="AH243" s="69">
        <f t="shared" si="43"/>
        <v>5</v>
      </c>
    </row>
    <row r="244" spans="1:34" s="69" customFormat="1" ht="39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203"/>
      <c r="F244" s="203"/>
      <c r="G244" s="203"/>
      <c r="H244" s="75">
        <v>15164.14</v>
      </c>
      <c r="I244" s="75">
        <v>30328.28</v>
      </c>
      <c r="J244" s="91" t="s">
        <v>619</v>
      </c>
      <c r="K244" s="73"/>
      <c r="L244" s="46">
        <v>2</v>
      </c>
      <c r="M244" s="46">
        <v>0</v>
      </c>
      <c r="N244" s="46">
        <v>30328.28</v>
      </c>
      <c r="O244" s="98"/>
      <c r="P244" s="23" t="s">
        <v>1427</v>
      </c>
      <c r="Q244" s="24" t="s">
        <v>618</v>
      </c>
      <c r="R244" s="25" t="s">
        <v>606</v>
      </c>
      <c r="S244" s="26">
        <v>2</v>
      </c>
      <c r="T244" s="26"/>
      <c r="U244" s="26">
        <v>15164.14</v>
      </c>
      <c r="V244" s="127">
        <f t="shared" si="50"/>
        <v>0</v>
      </c>
      <c r="W244" s="127">
        <f t="shared" si="53"/>
        <v>2</v>
      </c>
      <c r="X244" s="127">
        <f t="shared" si="51"/>
        <v>0</v>
      </c>
      <c r="Y244" s="127">
        <f t="shared" si="44"/>
        <v>30328.28</v>
      </c>
      <c r="Z244" s="33" t="s">
        <v>15</v>
      </c>
      <c r="AA244" s="36" t="s">
        <v>16</v>
      </c>
      <c r="AB244" s="181">
        <f t="shared" si="41"/>
        <v>2</v>
      </c>
      <c r="AC244" s="181">
        <f t="shared" si="52"/>
        <v>30328.28</v>
      </c>
      <c r="AD244" s="181">
        <v>1.7</v>
      </c>
      <c r="AE244" s="181">
        <v>1.7</v>
      </c>
      <c r="AF244" s="101" t="str">
        <f t="shared" si="42"/>
        <v/>
      </c>
      <c r="AG244" s="190">
        <v>2</v>
      </c>
      <c r="AH244" s="69">
        <f t="shared" si="43"/>
        <v>2</v>
      </c>
    </row>
    <row r="245" spans="1:34" s="69" customFormat="1" ht="39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203"/>
      <c r="F245" s="203"/>
      <c r="G245" s="203"/>
      <c r="H245" s="75">
        <v>21803.06</v>
      </c>
      <c r="I245" s="75">
        <v>130818.36</v>
      </c>
      <c r="J245" s="91" t="s">
        <v>622</v>
      </c>
      <c r="K245" s="73"/>
      <c r="L245" s="46">
        <v>6</v>
      </c>
      <c r="M245" s="46">
        <v>0</v>
      </c>
      <c r="N245" s="46">
        <v>130818.36</v>
      </c>
      <c r="O245" s="98"/>
      <c r="P245" s="23" t="s">
        <v>1428</v>
      </c>
      <c r="Q245" s="24" t="s">
        <v>621</v>
      </c>
      <c r="R245" s="25" t="s">
        <v>606</v>
      </c>
      <c r="S245" s="26">
        <v>6</v>
      </c>
      <c r="T245" s="26"/>
      <c r="U245" s="26">
        <v>21803.06</v>
      </c>
      <c r="V245" s="127">
        <f t="shared" si="50"/>
        <v>0</v>
      </c>
      <c r="W245" s="127">
        <f t="shared" si="53"/>
        <v>6</v>
      </c>
      <c r="X245" s="127">
        <f t="shared" si="51"/>
        <v>0</v>
      </c>
      <c r="Y245" s="127">
        <f t="shared" si="44"/>
        <v>130818.36</v>
      </c>
      <c r="Z245" s="33" t="s">
        <v>15</v>
      </c>
      <c r="AA245" s="36" t="s">
        <v>16</v>
      </c>
      <c r="AB245" s="181">
        <f t="shared" si="41"/>
        <v>6</v>
      </c>
      <c r="AC245" s="181">
        <f t="shared" si="52"/>
        <v>130818.36</v>
      </c>
      <c r="AD245" s="181">
        <v>1.7</v>
      </c>
      <c r="AE245" s="181">
        <v>1.7</v>
      </c>
      <c r="AF245" s="101" t="str">
        <f t="shared" si="42"/>
        <v/>
      </c>
      <c r="AG245" s="190">
        <v>6</v>
      </c>
      <c r="AH245" s="69">
        <f t="shared" si="43"/>
        <v>6</v>
      </c>
    </row>
    <row r="246" spans="1:34" s="69" customFormat="1" ht="39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203"/>
      <c r="F246" s="203"/>
      <c r="G246" s="203"/>
      <c r="H246" s="75">
        <v>26196.51</v>
      </c>
      <c r="I246" s="75">
        <v>78589.53</v>
      </c>
      <c r="J246" s="91" t="s">
        <v>625</v>
      </c>
      <c r="K246" s="73"/>
      <c r="L246" s="46">
        <v>3</v>
      </c>
      <c r="M246" s="46">
        <v>0</v>
      </c>
      <c r="N246" s="46">
        <v>78589.53</v>
      </c>
      <c r="O246" s="98"/>
      <c r="P246" s="23" t="s">
        <v>1387</v>
      </c>
      <c r="Q246" s="24" t="s">
        <v>624</v>
      </c>
      <c r="R246" s="25" t="s">
        <v>606</v>
      </c>
      <c r="S246" s="26">
        <v>3</v>
      </c>
      <c r="T246" s="26"/>
      <c r="U246" s="26">
        <v>26196.51</v>
      </c>
      <c r="V246" s="127">
        <f t="shared" si="50"/>
        <v>0</v>
      </c>
      <c r="W246" s="127">
        <f t="shared" si="53"/>
        <v>3</v>
      </c>
      <c r="X246" s="127">
        <f t="shared" si="51"/>
        <v>0</v>
      </c>
      <c r="Y246" s="127">
        <f t="shared" si="44"/>
        <v>78589.53</v>
      </c>
      <c r="Z246" s="33" t="s">
        <v>15</v>
      </c>
      <c r="AA246" s="36" t="s">
        <v>16</v>
      </c>
      <c r="AB246" s="181">
        <f t="shared" si="41"/>
        <v>3</v>
      </c>
      <c r="AC246" s="181">
        <f t="shared" si="52"/>
        <v>78589.53</v>
      </c>
      <c r="AD246" s="181">
        <v>1.7</v>
      </c>
      <c r="AE246" s="181">
        <v>1.7</v>
      </c>
      <c r="AF246" s="101" t="str">
        <f t="shared" si="42"/>
        <v/>
      </c>
      <c r="AG246" s="190">
        <v>3</v>
      </c>
      <c r="AH246" s="69">
        <f t="shared" si="43"/>
        <v>3</v>
      </c>
    </row>
    <row r="247" spans="1:34" s="69" customFormat="1" ht="39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203"/>
      <c r="F247" s="203"/>
      <c r="G247" s="203"/>
      <c r="H247" s="75">
        <v>29984.85</v>
      </c>
      <c r="I247" s="75">
        <v>59969.7</v>
      </c>
      <c r="J247" s="91" t="s">
        <v>628</v>
      </c>
      <c r="K247" s="73"/>
      <c r="L247" s="46">
        <v>2</v>
      </c>
      <c r="M247" s="46">
        <v>0</v>
      </c>
      <c r="N247" s="46">
        <v>59969.7</v>
      </c>
      <c r="O247" s="98"/>
      <c r="P247" s="23" t="s">
        <v>1405</v>
      </c>
      <c r="Q247" s="24" t="s">
        <v>627</v>
      </c>
      <c r="R247" s="25" t="s">
        <v>606</v>
      </c>
      <c r="S247" s="26">
        <v>2</v>
      </c>
      <c r="T247" s="26"/>
      <c r="U247" s="26">
        <v>29984.85</v>
      </c>
      <c r="V247" s="127">
        <f t="shared" si="50"/>
        <v>0</v>
      </c>
      <c r="W247" s="127">
        <f t="shared" si="53"/>
        <v>2</v>
      </c>
      <c r="X247" s="127">
        <f t="shared" si="51"/>
        <v>0</v>
      </c>
      <c r="Y247" s="127">
        <f t="shared" si="44"/>
        <v>59969.7</v>
      </c>
      <c r="Z247" s="33" t="s">
        <v>15</v>
      </c>
      <c r="AA247" s="36" t="s">
        <v>16</v>
      </c>
      <c r="AB247" s="181">
        <f t="shared" si="41"/>
        <v>2</v>
      </c>
      <c r="AC247" s="181">
        <f t="shared" si="52"/>
        <v>59969.7</v>
      </c>
      <c r="AD247" s="181">
        <v>1.7</v>
      </c>
      <c r="AE247" s="181">
        <v>1.7</v>
      </c>
      <c r="AF247" s="101" t="str">
        <f t="shared" si="42"/>
        <v/>
      </c>
      <c r="AG247" s="190">
        <v>2</v>
      </c>
      <c r="AH247" s="69">
        <f t="shared" si="43"/>
        <v>2</v>
      </c>
    </row>
    <row r="248" spans="1:34" s="69" customFormat="1" ht="39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203"/>
      <c r="F248" s="203"/>
      <c r="G248" s="203"/>
      <c r="H248" s="75">
        <v>38914.949999999997</v>
      </c>
      <c r="I248" s="75">
        <v>116744.85</v>
      </c>
      <c r="J248" s="91" t="s">
        <v>631</v>
      </c>
      <c r="K248" s="73"/>
      <c r="L248" s="46">
        <v>3</v>
      </c>
      <c r="M248" s="46">
        <v>0</v>
      </c>
      <c r="N248" s="46">
        <v>116744.85</v>
      </c>
      <c r="O248" s="98"/>
      <c r="P248" s="23" t="s">
        <v>1406</v>
      </c>
      <c r="Q248" s="24" t="s">
        <v>630</v>
      </c>
      <c r="R248" s="25" t="s">
        <v>606</v>
      </c>
      <c r="S248" s="26">
        <v>3</v>
      </c>
      <c r="T248" s="26"/>
      <c r="U248" s="26">
        <v>38914.949999999997</v>
      </c>
      <c r="V248" s="127">
        <f t="shared" si="50"/>
        <v>0</v>
      </c>
      <c r="W248" s="127">
        <f t="shared" si="53"/>
        <v>3</v>
      </c>
      <c r="X248" s="127">
        <f t="shared" si="51"/>
        <v>0</v>
      </c>
      <c r="Y248" s="127">
        <f t="shared" si="44"/>
        <v>116744.85</v>
      </c>
      <c r="Z248" s="33" t="s">
        <v>15</v>
      </c>
      <c r="AA248" s="36" t="s">
        <v>16</v>
      </c>
      <c r="AB248" s="181">
        <f t="shared" si="41"/>
        <v>3</v>
      </c>
      <c r="AC248" s="181">
        <f t="shared" si="52"/>
        <v>116744.85</v>
      </c>
      <c r="AD248" s="181">
        <v>1.7</v>
      </c>
      <c r="AE248" s="181">
        <v>1.7</v>
      </c>
      <c r="AF248" s="101" t="str">
        <f t="shared" si="42"/>
        <v/>
      </c>
      <c r="AG248" s="190">
        <v>3</v>
      </c>
      <c r="AH248" s="69">
        <f t="shared" si="43"/>
        <v>3</v>
      </c>
    </row>
    <row r="249" spans="1:34" s="69" customFormat="1" ht="39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203"/>
      <c r="F249" s="203"/>
      <c r="G249" s="203"/>
      <c r="H249" s="75">
        <v>43624.88</v>
      </c>
      <c r="I249" s="75">
        <v>130874.64</v>
      </c>
      <c r="J249" s="91" t="s">
        <v>634</v>
      </c>
      <c r="K249" s="73"/>
      <c r="L249" s="46">
        <v>3</v>
      </c>
      <c r="M249" s="46">
        <v>0</v>
      </c>
      <c r="N249" s="46">
        <v>130874.64</v>
      </c>
      <c r="O249" s="98"/>
      <c r="P249" s="23" t="s">
        <v>1414</v>
      </c>
      <c r="Q249" s="24" t="s">
        <v>633</v>
      </c>
      <c r="R249" s="25" t="s">
        <v>606</v>
      </c>
      <c r="S249" s="26">
        <v>3</v>
      </c>
      <c r="T249" s="26"/>
      <c r="U249" s="26">
        <v>43624.88</v>
      </c>
      <c r="V249" s="127">
        <f t="shared" si="50"/>
        <v>0</v>
      </c>
      <c r="W249" s="127">
        <f t="shared" si="53"/>
        <v>3</v>
      </c>
      <c r="X249" s="127">
        <f t="shared" si="51"/>
        <v>0</v>
      </c>
      <c r="Y249" s="127">
        <f t="shared" si="44"/>
        <v>130874.64</v>
      </c>
      <c r="Z249" s="33" t="s">
        <v>15</v>
      </c>
      <c r="AA249" s="36" t="s">
        <v>16</v>
      </c>
      <c r="AB249" s="181">
        <f t="shared" si="41"/>
        <v>3</v>
      </c>
      <c r="AC249" s="181">
        <f t="shared" si="52"/>
        <v>130874.64</v>
      </c>
      <c r="AD249" s="181">
        <v>1.7</v>
      </c>
      <c r="AE249" s="181">
        <v>1.7</v>
      </c>
      <c r="AF249" s="101" t="str">
        <f t="shared" si="42"/>
        <v/>
      </c>
      <c r="AG249" s="190">
        <v>3</v>
      </c>
      <c r="AH249" s="69">
        <f t="shared" si="43"/>
        <v>3</v>
      </c>
    </row>
    <row r="250" spans="1:34" s="69" customFormat="1" ht="39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203"/>
      <c r="F250" s="203"/>
      <c r="G250" s="203"/>
      <c r="H250" s="75">
        <v>73088.800000000003</v>
      </c>
      <c r="I250" s="75">
        <v>73088.800000000003</v>
      </c>
      <c r="J250" s="91" t="s">
        <v>637</v>
      </c>
      <c r="K250" s="73"/>
      <c r="L250" s="46">
        <v>1</v>
      </c>
      <c r="M250" s="46">
        <v>0</v>
      </c>
      <c r="N250" s="46">
        <v>73088.800000000003</v>
      </c>
      <c r="O250" s="98"/>
      <c r="P250" s="23" t="s">
        <v>1429</v>
      </c>
      <c r="Q250" s="24" t="s">
        <v>636</v>
      </c>
      <c r="R250" s="25" t="s">
        <v>606</v>
      </c>
      <c r="S250" s="26">
        <v>1</v>
      </c>
      <c r="T250" s="26"/>
      <c r="U250" s="26">
        <v>73088.800000000003</v>
      </c>
      <c r="V250" s="127">
        <f t="shared" si="50"/>
        <v>0</v>
      </c>
      <c r="W250" s="127">
        <f t="shared" si="53"/>
        <v>1</v>
      </c>
      <c r="X250" s="127">
        <f t="shared" si="51"/>
        <v>0</v>
      </c>
      <c r="Y250" s="127">
        <f t="shared" si="44"/>
        <v>73088.800000000003</v>
      </c>
      <c r="Z250" s="33" t="s">
        <v>15</v>
      </c>
      <c r="AA250" s="36" t="s">
        <v>16</v>
      </c>
      <c r="AB250" s="181">
        <f t="shared" si="41"/>
        <v>1</v>
      </c>
      <c r="AC250" s="181">
        <f t="shared" si="52"/>
        <v>73088.800000000003</v>
      </c>
      <c r="AD250" s="181">
        <v>1.7</v>
      </c>
      <c r="AE250" s="181">
        <v>1.7</v>
      </c>
      <c r="AF250" s="101" t="str">
        <f t="shared" si="42"/>
        <v/>
      </c>
      <c r="AG250" s="190">
        <v>1</v>
      </c>
      <c r="AH250" s="69">
        <f t="shared" si="43"/>
        <v>1</v>
      </c>
    </row>
    <row r="251" spans="1:34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>
        <v>22814.5</v>
      </c>
      <c r="I251" s="75">
        <v>136887</v>
      </c>
      <c r="J251" s="91" t="s">
        <v>640</v>
      </c>
      <c r="K251" s="73"/>
      <c r="L251" s="46">
        <v>0</v>
      </c>
      <c r="M251" s="46">
        <v>0</v>
      </c>
      <c r="N251" s="46">
        <v>0</v>
      </c>
      <c r="O251" s="98"/>
      <c r="P251" s="23" t="s">
        <v>1430</v>
      </c>
      <c r="Q251" s="24" t="s">
        <v>639</v>
      </c>
      <c r="R251" s="25" t="s">
        <v>606</v>
      </c>
      <c r="S251" s="26">
        <v>6</v>
      </c>
      <c r="T251" s="26"/>
      <c r="U251" s="26">
        <v>22814.5</v>
      </c>
      <c r="V251" s="26">
        <f t="shared" si="50"/>
        <v>0</v>
      </c>
      <c r="W251" s="26">
        <f t="shared" si="53"/>
        <v>0</v>
      </c>
      <c r="X251" s="26">
        <f t="shared" si="51"/>
        <v>0</v>
      </c>
      <c r="Y251" s="26">
        <f t="shared" si="44"/>
        <v>0</v>
      </c>
      <c r="Z251" s="33" t="s">
        <v>15</v>
      </c>
      <c r="AA251" s="36" t="s">
        <v>16</v>
      </c>
      <c r="AB251" s="181">
        <f t="shared" si="41"/>
        <v>6</v>
      </c>
      <c r="AC251" s="181">
        <f t="shared" si="52"/>
        <v>136887</v>
      </c>
      <c r="AD251" s="181">
        <v>1.7</v>
      </c>
      <c r="AE251" s="181">
        <v>1.7</v>
      </c>
      <c r="AF251" s="101" t="str">
        <f t="shared" si="42"/>
        <v/>
      </c>
      <c r="AG251" s="190">
        <v>0</v>
      </c>
      <c r="AH251" s="69">
        <f t="shared" si="43"/>
        <v>6</v>
      </c>
    </row>
    <row r="252" spans="1:34" s="69" customFormat="1" ht="58.5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203"/>
      <c r="F252" s="203"/>
      <c r="G252" s="203"/>
      <c r="H252" s="75">
        <v>1963.3</v>
      </c>
      <c r="I252" s="75">
        <v>5889.9</v>
      </c>
      <c r="J252" s="91" t="s">
        <v>643</v>
      </c>
      <c r="K252" s="73"/>
      <c r="L252" s="46">
        <v>3</v>
      </c>
      <c r="M252" s="46">
        <v>0</v>
      </c>
      <c r="N252" s="46">
        <v>5889.9</v>
      </c>
      <c r="O252" s="98"/>
      <c r="P252" s="23" t="s">
        <v>1431</v>
      </c>
      <c r="Q252" s="24" t="s">
        <v>642</v>
      </c>
      <c r="R252" s="25" t="s">
        <v>606</v>
      </c>
      <c r="S252" s="26">
        <v>3</v>
      </c>
      <c r="T252" s="26"/>
      <c r="U252" s="26">
        <v>1963.3</v>
      </c>
      <c r="V252" s="127">
        <f t="shared" si="50"/>
        <v>0</v>
      </c>
      <c r="W252" s="127">
        <f t="shared" si="53"/>
        <v>3</v>
      </c>
      <c r="X252" s="127">
        <f t="shared" si="51"/>
        <v>0</v>
      </c>
      <c r="Y252" s="127">
        <f t="shared" si="44"/>
        <v>5889.9</v>
      </c>
      <c r="Z252" s="33" t="s">
        <v>15</v>
      </c>
      <c r="AA252" s="36" t="s">
        <v>16</v>
      </c>
      <c r="AB252" s="181">
        <f t="shared" si="41"/>
        <v>3</v>
      </c>
      <c r="AC252" s="181">
        <f t="shared" si="52"/>
        <v>5889.9</v>
      </c>
      <c r="AD252" s="181">
        <v>1.7</v>
      </c>
      <c r="AE252" s="181">
        <v>1.7</v>
      </c>
      <c r="AF252" s="101" t="str">
        <f t="shared" si="42"/>
        <v/>
      </c>
      <c r="AG252" s="190">
        <v>3</v>
      </c>
      <c r="AH252" s="69">
        <f t="shared" si="43"/>
        <v>3</v>
      </c>
    </row>
    <row r="253" spans="1:34" s="69" customFormat="1" ht="58.5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203"/>
      <c r="F253" s="203"/>
      <c r="G253" s="203"/>
      <c r="H253" s="75">
        <v>2216.6</v>
      </c>
      <c r="I253" s="75">
        <v>11083</v>
      </c>
      <c r="J253" s="91" t="s">
        <v>646</v>
      </c>
      <c r="K253" s="73"/>
      <c r="L253" s="46">
        <v>5</v>
      </c>
      <c r="M253" s="46">
        <v>0</v>
      </c>
      <c r="N253" s="46">
        <v>11083</v>
      </c>
      <c r="O253" s="98"/>
      <c r="P253" s="23" t="s">
        <v>1395</v>
      </c>
      <c r="Q253" s="24" t="s">
        <v>645</v>
      </c>
      <c r="R253" s="25" t="s">
        <v>606</v>
      </c>
      <c r="S253" s="26">
        <v>5</v>
      </c>
      <c r="T253" s="26"/>
      <c r="U253" s="26">
        <v>2216.6</v>
      </c>
      <c r="V253" s="127">
        <f t="shared" si="50"/>
        <v>0</v>
      </c>
      <c r="W253" s="127">
        <f t="shared" si="53"/>
        <v>5</v>
      </c>
      <c r="X253" s="127">
        <f t="shared" si="51"/>
        <v>0</v>
      </c>
      <c r="Y253" s="127">
        <f t="shared" si="44"/>
        <v>11083</v>
      </c>
      <c r="Z253" s="33" t="s">
        <v>15</v>
      </c>
      <c r="AA253" s="36" t="s">
        <v>16</v>
      </c>
      <c r="AB253" s="181">
        <f t="shared" si="41"/>
        <v>5</v>
      </c>
      <c r="AC253" s="181">
        <f t="shared" si="52"/>
        <v>11083</v>
      </c>
      <c r="AD253" s="181">
        <v>1.7</v>
      </c>
      <c r="AE253" s="181">
        <v>1.7</v>
      </c>
      <c r="AF253" s="101" t="str">
        <f t="shared" si="42"/>
        <v/>
      </c>
      <c r="AG253" s="190">
        <v>5</v>
      </c>
      <c r="AH253" s="69">
        <f t="shared" si="43"/>
        <v>5</v>
      </c>
    </row>
    <row r="254" spans="1:34" s="69" customFormat="1" ht="58.5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75">
        <v>2999.02</v>
      </c>
      <c r="I254" s="75">
        <v>50983.34</v>
      </c>
      <c r="J254" s="91" t="s">
        <v>649</v>
      </c>
      <c r="K254" s="73"/>
      <c r="L254" s="46">
        <v>7</v>
      </c>
      <c r="M254" s="46">
        <v>0</v>
      </c>
      <c r="N254" s="46">
        <v>20993.14</v>
      </c>
      <c r="O254" s="98"/>
      <c r="P254" s="23" t="s">
        <v>1432</v>
      </c>
      <c r="Q254" s="24" t="s">
        <v>648</v>
      </c>
      <c r="R254" s="25" t="s">
        <v>606</v>
      </c>
      <c r="S254" s="26">
        <v>7</v>
      </c>
      <c r="T254" s="26">
        <v>17</v>
      </c>
      <c r="U254" s="26">
        <v>2999.02</v>
      </c>
      <c r="V254" s="26">
        <f t="shared" si="50"/>
        <v>0</v>
      </c>
      <c r="W254" s="26">
        <f t="shared" si="53"/>
        <v>7</v>
      </c>
      <c r="X254" s="26">
        <f t="shared" si="51"/>
        <v>0</v>
      </c>
      <c r="Y254" s="26">
        <f t="shared" si="44"/>
        <v>20993.14</v>
      </c>
      <c r="Z254" s="27" t="s">
        <v>15</v>
      </c>
      <c r="AA254" s="36" t="s">
        <v>16</v>
      </c>
      <c r="AB254" s="181">
        <f t="shared" si="41"/>
        <v>17</v>
      </c>
      <c r="AC254" s="181">
        <f t="shared" si="52"/>
        <v>50983.34</v>
      </c>
      <c r="AD254" s="181">
        <v>1.7</v>
      </c>
      <c r="AE254" s="181">
        <v>1.7</v>
      </c>
      <c r="AF254" s="101" t="str">
        <f t="shared" si="42"/>
        <v/>
      </c>
      <c r="AG254" s="190">
        <v>7</v>
      </c>
      <c r="AH254" s="69">
        <f t="shared" si="43"/>
        <v>17</v>
      </c>
    </row>
    <row r="255" spans="1:34" s="69" customFormat="1" ht="58.5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203"/>
      <c r="F255" s="203"/>
      <c r="G255" s="203"/>
      <c r="H255" s="75">
        <v>4720.5600000000004</v>
      </c>
      <c r="I255" s="75">
        <v>14161.68</v>
      </c>
      <c r="J255" s="91" t="s">
        <v>652</v>
      </c>
      <c r="K255" s="73"/>
      <c r="L255" s="46">
        <v>3</v>
      </c>
      <c r="M255" s="46">
        <v>0</v>
      </c>
      <c r="N255" s="46">
        <v>14161.68</v>
      </c>
      <c r="O255" s="98"/>
      <c r="P255" s="23" t="s">
        <v>1433</v>
      </c>
      <c r="Q255" s="24" t="s">
        <v>651</v>
      </c>
      <c r="R255" s="25" t="s">
        <v>606</v>
      </c>
      <c r="S255" s="26">
        <v>3</v>
      </c>
      <c r="T255" s="26"/>
      <c r="U255" s="26">
        <v>4720.5600000000004</v>
      </c>
      <c r="V255" s="127">
        <f t="shared" si="50"/>
        <v>0</v>
      </c>
      <c r="W255" s="127">
        <f t="shared" si="53"/>
        <v>3</v>
      </c>
      <c r="X255" s="127">
        <f t="shared" si="51"/>
        <v>0</v>
      </c>
      <c r="Y255" s="127">
        <f t="shared" si="44"/>
        <v>14161.68</v>
      </c>
      <c r="Z255" s="33" t="s">
        <v>15</v>
      </c>
      <c r="AA255" s="36" t="s">
        <v>16</v>
      </c>
      <c r="AB255" s="181">
        <f t="shared" si="41"/>
        <v>3</v>
      </c>
      <c r="AC255" s="181">
        <f t="shared" si="52"/>
        <v>14161.68</v>
      </c>
      <c r="AD255" s="181">
        <v>1.7</v>
      </c>
      <c r="AE255" s="181">
        <v>1.7</v>
      </c>
      <c r="AF255" s="101" t="str">
        <f t="shared" si="42"/>
        <v/>
      </c>
      <c r="AG255" s="190">
        <v>3</v>
      </c>
      <c r="AH255" s="69">
        <f t="shared" si="43"/>
        <v>3</v>
      </c>
    </row>
    <row r="256" spans="1:34" s="69" customFormat="1" ht="58.5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203"/>
      <c r="F256" s="203"/>
      <c r="G256" s="203"/>
      <c r="H256" s="75">
        <v>5897.9</v>
      </c>
      <c r="I256" s="75">
        <v>23591.599999999999</v>
      </c>
      <c r="J256" s="91" t="s">
        <v>655</v>
      </c>
      <c r="K256" s="73"/>
      <c r="L256" s="46">
        <v>4</v>
      </c>
      <c r="M256" s="46">
        <v>0</v>
      </c>
      <c r="N256" s="46">
        <v>23591.599999999999</v>
      </c>
      <c r="O256" s="98"/>
      <c r="P256" s="23" t="s">
        <v>1382</v>
      </c>
      <c r="Q256" s="24" t="s">
        <v>654</v>
      </c>
      <c r="R256" s="25" t="s">
        <v>606</v>
      </c>
      <c r="S256" s="26">
        <v>4</v>
      </c>
      <c r="T256" s="26"/>
      <c r="U256" s="26">
        <v>5897.9</v>
      </c>
      <c r="V256" s="127">
        <f t="shared" si="50"/>
        <v>0</v>
      </c>
      <c r="W256" s="127">
        <f t="shared" si="53"/>
        <v>4</v>
      </c>
      <c r="X256" s="127">
        <f t="shared" si="51"/>
        <v>0</v>
      </c>
      <c r="Y256" s="127">
        <f t="shared" si="44"/>
        <v>23591.599999999999</v>
      </c>
      <c r="Z256" s="33" t="s">
        <v>15</v>
      </c>
      <c r="AA256" s="36" t="s">
        <v>16</v>
      </c>
      <c r="AB256" s="181">
        <f t="shared" si="41"/>
        <v>4</v>
      </c>
      <c r="AC256" s="181">
        <f t="shared" si="52"/>
        <v>23591.599999999999</v>
      </c>
      <c r="AD256" s="181">
        <v>1.7</v>
      </c>
      <c r="AE256" s="181">
        <v>1.7</v>
      </c>
      <c r="AF256" s="101" t="str">
        <f t="shared" si="42"/>
        <v/>
      </c>
      <c r="AG256" s="190">
        <v>4</v>
      </c>
      <c r="AH256" s="69">
        <f t="shared" si="43"/>
        <v>4</v>
      </c>
    </row>
    <row r="257" spans="1:34" s="69" customFormat="1" ht="39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203"/>
      <c r="F257" s="203"/>
      <c r="G257" s="203"/>
      <c r="H257" s="75">
        <v>9356.16</v>
      </c>
      <c r="I257" s="75">
        <v>9356.16</v>
      </c>
      <c r="J257" s="91" t="s">
        <v>658</v>
      </c>
      <c r="K257" s="73"/>
      <c r="L257" s="46">
        <v>1</v>
      </c>
      <c r="M257" s="46">
        <v>0</v>
      </c>
      <c r="N257" s="46">
        <v>9356.16</v>
      </c>
      <c r="O257" s="98"/>
      <c r="P257" s="23" t="s">
        <v>1434</v>
      </c>
      <c r="Q257" s="24" t="s">
        <v>657</v>
      </c>
      <c r="R257" s="25" t="s">
        <v>606</v>
      </c>
      <c r="S257" s="26">
        <v>1</v>
      </c>
      <c r="T257" s="26"/>
      <c r="U257" s="26">
        <v>9356.16</v>
      </c>
      <c r="V257" s="127">
        <f t="shared" si="50"/>
        <v>0</v>
      </c>
      <c r="W257" s="127">
        <f t="shared" si="53"/>
        <v>1</v>
      </c>
      <c r="X257" s="127">
        <f t="shared" si="51"/>
        <v>0</v>
      </c>
      <c r="Y257" s="127">
        <f t="shared" si="44"/>
        <v>9356.16</v>
      </c>
      <c r="Z257" s="33" t="s">
        <v>15</v>
      </c>
      <c r="AA257" s="36" t="s">
        <v>16</v>
      </c>
      <c r="AB257" s="181">
        <f t="shared" si="41"/>
        <v>1</v>
      </c>
      <c r="AC257" s="181">
        <f t="shared" si="52"/>
        <v>9356.16</v>
      </c>
      <c r="AD257" s="181">
        <v>1.7</v>
      </c>
      <c r="AE257" s="181">
        <v>1.7</v>
      </c>
      <c r="AF257" s="101" t="str">
        <f t="shared" si="42"/>
        <v/>
      </c>
      <c r="AG257" s="190">
        <v>1</v>
      </c>
      <c r="AH257" s="69">
        <f t="shared" si="43"/>
        <v>1</v>
      </c>
    </row>
    <row r="258" spans="1:34" s="69" customFormat="1" ht="39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203"/>
      <c r="F258" s="203"/>
      <c r="G258" s="203"/>
      <c r="H258" s="75">
        <v>13184.01</v>
      </c>
      <c r="I258" s="75">
        <v>13184.01</v>
      </c>
      <c r="J258" s="91" t="s">
        <v>661</v>
      </c>
      <c r="K258" s="73"/>
      <c r="L258" s="46">
        <v>1</v>
      </c>
      <c r="M258" s="46">
        <v>0</v>
      </c>
      <c r="N258" s="46">
        <v>13184.01</v>
      </c>
      <c r="O258" s="98"/>
      <c r="P258" s="23" t="s">
        <v>1388</v>
      </c>
      <c r="Q258" s="24" t="s">
        <v>660</v>
      </c>
      <c r="R258" s="25" t="s">
        <v>606</v>
      </c>
      <c r="S258" s="26">
        <v>1</v>
      </c>
      <c r="T258" s="26"/>
      <c r="U258" s="26">
        <v>13184.01</v>
      </c>
      <c r="V258" s="127">
        <f t="shared" si="50"/>
        <v>0</v>
      </c>
      <c r="W258" s="127">
        <f t="shared" si="53"/>
        <v>1</v>
      </c>
      <c r="X258" s="127">
        <f t="shared" si="51"/>
        <v>0</v>
      </c>
      <c r="Y258" s="127">
        <f t="shared" si="44"/>
        <v>13184.01</v>
      </c>
      <c r="Z258" s="33" t="s">
        <v>15</v>
      </c>
      <c r="AA258" s="36" t="s">
        <v>16</v>
      </c>
      <c r="AB258" s="181">
        <f t="shared" si="41"/>
        <v>1</v>
      </c>
      <c r="AC258" s="181">
        <f t="shared" si="52"/>
        <v>13184.01</v>
      </c>
      <c r="AD258" s="181">
        <v>1.7</v>
      </c>
      <c r="AE258" s="181">
        <v>1.7</v>
      </c>
      <c r="AF258" s="101" t="str">
        <f t="shared" si="42"/>
        <v/>
      </c>
      <c r="AG258" s="190">
        <v>1</v>
      </c>
      <c r="AH258" s="69">
        <f t="shared" si="43"/>
        <v>1</v>
      </c>
    </row>
    <row r="259" spans="1:34" s="69" customFormat="1" ht="39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203"/>
      <c r="F259" s="203"/>
      <c r="G259" s="203"/>
      <c r="H259" s="75">
        <v>1859.87</v>
      </c>
      <c r="I259" s="75">
        <v>87432.49</v>
      </c>
      <c r="J259" s="91" t="s">
        <v>664</v>
      </c>
      <c r="K259" s="73"/>
      <c r="L259" s="46">
        <v>47.01</v>
      </c>
      <c r="M259" s="46">
        <v>0</v>
      </c>
      <c r="N259" s="46">
        <v>87432.49</v>
      </c>
      <c r="O259" s="98"/>
      <c r="P259" s="23" t="s">
        <v>1389</v>
      </c>
      <c r="Q259" s="24" t="s">
        <v>663</v>
      </c>
      <c r="R259" s="25" t="s">
        <v>30</v>
      </c>
      <c r="S259" s="26">
        <v>47.01</v>
      </c>
      <c r="T259" s="26"/>
      <c r="U259" s="26">
        <v>1859.87</v>
      </c>
      <c r="V259" s="127">
        <f t="shared" si="50"/>
        <v>0</v>
      </c>
      <c r="W259" s="127">
        <f t="shared" si="53"/>
        <v>47.01</v>
      </c>
      <c r="X259" s="127">
        <f t="shared" si="51"/>
        <v>0</v>
      </c>
      <c r="Y259" s="127">
        <f t="shared" si="44"/>
        <v>87432.49</v>
      </c>
      <c r="Z259" s="33" t="s">
        <v>15</v>
      </c>
      <c r="AA259" s="36" t="s">
        <v>16</v>
      </c>
      <c r="AB259" s="181">
        <f t="shared" si="41"/>
        <v>47.01</v>
      </c>
      <c r="AC259" s="181">
        <f t="shared" si="52"/>
        <v>87432.49</v>
      </c>
      <c r="AD259" s="181">
        <v>1.7</v>
      </c>
      <c r="AE259" s="181">
        <v>1.7</v>
      </c>
      <c r="AF259" s="101" t="str">
        <f t="shared" si="42"/>
        <v/>
      </c>
      <c r="AG259" s="190">
        <v>47.01</v>
      </c>
      <c r="AH259" s="69">
        <f t="shared" si="43"/>
        <v>47.01</v>
      </c>
    </row>
    <row r="260" spans="1:34" s="69" customFormat="1" ht="39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203"/>
      <c r="F260" s="203"/>
      <c r="G260" s="203"/>
      <c r="H260" s="75">
        <v>40</v>
      </c>
      <c r="I260" s="75">
        <v>2520</v>
      </c>
      <c r="J260" s="91" t="s">
        <v>667</v>
      </c>
      <c r="K260" s="73"/>
      <c r="L260" s="46">
        <v>63</v>
      </c>
      <c r="M260" s="46">
        <v>0</v>
      </c>
      <c r="N260" s="46">
        <v>2520</v>
      </c>
      <c r="O260" s="98"/>
      <c r="P260" s="23" t="s">
        <v>1390</v>
      </c>
      <c r="Q260" s="24" t="s">
        <v>666</v>
      </c>
      <c r="R260" s="25" t="s">
        <v>325</v>
      </c>
      <c r="S260" s="26">
        <v>63</v>
      </c>
      <c r="T260" s="26"/>
      <c r="U260" s="26">
        <v>40</v>
      </c>
      <c r="V260" s="127">
        <f t="shared" si="50"/>
        <v>0</v>
      </c>
      <c r="W260" s="127">
        <f t="shared" si="53"/>
        <v>63</v>
      </c>
      <c r="X260" s="127">
        <f t="shared" si="51"/>
        <v>0</v>
      </c>
      <c r="Y260" s="127">
        <f t="shared" si="44"/>
        <v>2520</v>
      </c>
      <c r="Z260" s="33" t="s">
        <v>15</v>
      </c>
      <c r="AA260" s="36" t="s">
        <v>16</v>
      </c>
      <c r="AB260" s="181">
        <f t="shared" si="41"/>
        <v>63</v>
      </c>
      <c r="AC260" s="181">
        <f t="shared" si="52"/>
        <v>2520</v>
      </c>
      <c r="AD260" s="181">
        <v>1.7</v>
      </c>
      <c r="AE260" s="181">
        <v>1.7</v>
      </c>
      <c r="AF260" s="101" t="str">
        <f t="shared" si="42"/>
        <v/>
      </c>
      <c r="AG260" s="190">
        <v>63</v>
      </c>
      <c r="AH260" s="69">
        <f t="shared" si="43"/>
        <v>63</v>
      </c>
    </row>
    <row r="261" spans="1:34" s="69" customFormat="1" ht="58.5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203"/>
      <c r="F261" s="203"/>
      <c r="G261" s="203"/>
      <c r="H261" s="75">
        <v>35</v>
      </c>
      <c r="I261" s="75">
        <v>11025</v>
      </c>
      <c r="J261" s="91" t="s">
        <v>670</v>
      </c>
      <c r="K261" s="73"/>
      <c r="L261" s="46">
        <v>315</v>
      </c>
      <c r="M261" s="46">
        <v>0</v>
      </c>
      <c r="N261" s="46">
        <v>11025</v>
      </c>
      <c r="O261" s="98"/>
      <c r="P261" s="23" t="s">
        <v>1391</v>
      </c>
      <c r="Q261" s="24" t="s">
        <v>669</v>
      </c>
      <c r="R261" s="25" t="s">
        <v>162</v>
      </c>
      <c r="S261" s="26">
        <v>315</v>
      </c>
      <c r="T261" s="26"/>
      <c r="U261" s="26">
        <v>35</v>
      </c>
      <c r="V261" s="127">
        <f t="shared" si="50"/>
        <v>0</v>
      </c>
      <c r="W261" s="127">
        <f t="shared" si="53"/>
        <v>315</v>
      </c>
      <c r="X261" s="127">
        <f t="shared" si="51"/>
        <v>0</v>
      </c>
      <c r="Y261" s="127">
        <f t="shared" si="44"/>
        <v>11025</v>
      </c>
      <c r="Z261" s="33" t="s">
        <v>15</v>
      </c>
      <c r="AA261" s="36" t="s">
        <v>16</v>
      </c>
      <c r="AB261" s="181">
        <f t="shared" si="41"/>
        <v>315</v>
      </c>
      <c r="AC261" s="181">
        <f t="shared" si="52"/>
        <v>11025</v>
      </c>
      <c r="AD261" s="181">
        <v>1.7</v>
      </c>
      <c r="AE261" s="181">
        <v>1.7</v>
      </c>
      <c r="AF261" s="101" t="str">
        <f t="shared" si="42"/>
        <v/>
      </c>
      <c r="AG261" s="190">
        <v>315</v>
      </c>
      <c r="AH261" s="69">
        <f t="shared" si="43"/>
        <v>315</v>
      </c>
    </row>
    <row r="262" spans="1:34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>
        <v>10</v>
      </c>
      <c r="I262" s="75">
        <v>12000</v>
      </c>
      <c r="J262" s="91" t="s">
        <v>673</v>
      </c>
      <c r="K262" s="73"/>
      <c r="L262" s="46">
        <v>0</v>
      </c>
      <c r="M262" s="46">
        <v>0</v>
      </c>
      <c r="N262" s="46">
        <v>0</v>
      </c>
      <c r="O262" s="98"/>
      <c r="P262" s="23" t="s">
        <v>1436</v>
      </c>
      <c r="Q262" s="24" t="s">
        <v>672</v>
      </c>
      <c r="R262" s="25" t="s">
        <v>30</v>
      </c>
      <c r="S262" s="26">
        <v>1200</v>
      </c>
      <c r="T262" s="26"/>
      <c r="U262" s="26">
        <v>10</v>
      </c>
      <c r="V262" s="26">
        <f t="shared" si="50"/>
        <v>0</v>
      </c>
      <c r="W262" s="26">
        <f t="shared" si="53"/>
        <v>0</v>
      </c>
      <c r="X262" s="26">
        <f t="shared" si="51"/>
        <v>0</v>
      </c>
      <c r="Y262" s="26">
        <f t="shared" si="44"/>
        <v>0</v>
      </c>
      <c r="Z262" s="33" t="s">
        <v>15</v>
      </c>
      <c r="AA262" s="36" t="s">
        <v>16</v>
      </c>
      <c r="AB262" s="181">
        <f t="shared" si="41"/>
        <v>1200</v>
      </c>
      <c r="AC262" s="181">
        <f t="shared" si="52"/>
        <v>12000</v>
      </c>
      <c r="AD262" s="181">
        <v>1.7</v>
      </c>
      <c r="AE262" s="181">
        <v>1.7</v>
      </c>
      <c r="AF262" s="101" t="str">
        <f t="shared" si="42"/>
        <v/>
      </c>
      <c r="AG262" s="190">
        <v>0</v>
      </c>
      <c r="AH262" s="69">
        <f t="shared" si="43"/>
        <v>1200</v>
      </c>
    </row>
    <row r="263" spans="1:34" s="69" customFormat="1" ht="33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203"/>
      <c r="F263" s="203"/>
      <c r="G263" s="203"/>
      <c r="H263" s="75">
        <v>531</v>
      </c>
      <c r="I263" s="75">
        <v>16381.35</v>
      </c>
      <c r="J263" s="91" t="s">
        <v>676</v>
      </c>
      <c r="K263" s="73"/>
      <c r="L263" s="46">
        <v>30.85</v>
      </c>
      <c r="M263" s="46">
        <v>0</v>
      </c>
      <c r="N263" s="46">
        <v>16381.35</v>
      </c>
      <c r="O263" s="98"/>
      <c r="P263" s="23" t="s">
        <v>1374</v>
      </c>
      <c r="Q263" s="24" t="s">
        <v>675</v>
      </c>
      <c r="R263" s="25" t="s">
        <v>50</v>
      </c>
      <c r="S263" s="26">
        <v>30.85</v>
      </c>
      <c r="T263" s="26"/>
      <c r="U263" s="26">
        <v>531</v>
      </c>
      <c r="V263" s="127">
        <f t="shared" si="50"/>
        <v>0</v>
      </c>
      <c r="W263" s="127">
        <f t="shared" si="53"/>
        <v>30.85</v>
      </c>
      <c r="X263" s="127">
        <f t="shared" si="51"/>
        <v>0</v>
      </c>
      <c r="Y263" s="127">
        <f t="shared" si="44"/>
        <v>16381.35</v>
      </c>
      <c r="Z263" s="33" t="s">
        <v>15</v>
      </c>
      <c r="AA263" s="36" t="s">
        <v>16</v>
      </c>
      <c r="AB263" s="181">
        <f t="shared" si="41"/>
        <v>30.85</v>
      </c>
      <c r="AC263" s="181">
        <f t="shared" si="52"/>
        <v>16381.35</v>
      </c>
      <c r="AD263" s="181">
        <v>1.7</v>
      </c>
      <c r="AE263" s="181">
        <v>1.7</v>
      </c>
      <c r="AF263" s="101" t="str">
        <f t="shared" si="42"/>
        <v/>
      </c>
      <c r="AG263" s="190">
        <v>30.85</v>
      </c>
      <c r="AH263" s="69">
        <f t="shared" si="43"/>
        <v>30.85</v>
      </c>
    </row>
    <row r="264" spans="1:34" s="69" customFormat="1" ht="33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203"/>
      <c r="F264" s="203"/>
      <c r="G264" s="203"/>
      <c r="H264" s="75">
        <v>3386.57</v>
      </c>
      <c r="I264" s="75">
        <v>12530.31</v>
      </c>
      <c r="J264" s="91" t="s">
        <v>679</v>
      </c>
      <c r="K264" s="73"/>
      <c r="L264" s="46">
        <v>3.7</v>
      </c>
      <c r="M264" s="46">
        <v>0</v>
      </c>
      <c r="N264" s="46">
        <v>12530.31</v>
      </c>
      <c r="O264" s="98"/>
      <c r="P264" s="23" t="s">
        <v>1376</v>
      </c>
      <c r="Q264" s="24" t="s">
        <v>678</v>
      </c>
      <c r="R264" s="25" t="s">
        <v>23</v>
      </c>
      <c r="S264" s="26">
        <v>3.7</v>
      </c>
      <c r="T264" s="26"/>
      <c r="U264" s="26">
        <v>3386.57</v>
      </c>
      <c r="V264" s="127">
        <f t="shared" si="50"/>
        <v>0</v>
      </c>
      <c r="W264" s="127">
        <f t="shared" si="53"/>
        <v>3.7</v>
      </c>
      <c r="X264" s="127">
        <f t="shared" si="51"/>
        <v>0</v>
      </c>
      <c r="Y264" s="127">
        <f t="shared" si="44"/>
        <v>12530.31</v>
      </c>
      <c r="Z264" s="33" t="s">
        <v>15</v>
      </c>
      <c r="AA264" s="36" t="s">
        <v>16</v>
      </c>
      <c r="AB264" s="181">
        <f t="shared" si="41"/>
        <v>3.7</v>
      </c>
      <c r="AC264" s="181">
        <f t="shared" si="52"/>
        <v>12530.31</v>
      </c>
      <c r="AD264" s="181">
        <v>1.7</v>
      </c>
      <c r="AE264" s="181">
        <v>1.7</v>
      </c>
      <c r="AF264" s="101" t="str">
        <f t="shared" si="42"/>
        <v/>
      </c>
      <c r="AG264" s="190">
        <v>3.7</v>
      </c>
      <c r="AH264" s="69">
        <f t="shared" si="43"/>
        <v>3.7</v>
      </c>
    </row>
    <row r="265" spans="1:34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75"/>
      <c r="H265" s="75">
        <v>108000</v>
      </c>
      <c r="I265" s="75">
        <v>108000</v>
      </c>
      <c r="J265" s="91" t="s">
        <v>682</v>
      </c>
      <c r="K265" s="73"/>
      <c r="L265" s="46">
        <v>0</v>
      </c>
      <c r="M265" s="46">
        <v>0</v>
      </c>
      <c r="N265" s="46">
        <v>0</v>
      </c>
      <c r="O265" s="98"/>
      <c r="P265" s="23" t="s">
        <v>1378</v>
      </c>
      <c r="Q265" s="24" t="s">
        <v>681</v>
      </c>
      <c r="R265" s="25" t="s">
        <v>14</v>
      </c>
      <c r="S265" s="26">
        <v>1</v>
      </c>
      <c r="T265" s="26"/>
      <c r="U265" s="26">
        <v>108000</v>
      </c>
      <c r="V265" s="26">
        <f t="shared" si="50"/>
        <v>0</v>
      </c>
      <c r="W265" s="26">
        <f t="shared" si="53"/>
        <v>0</v>
      </c>
      <c r="X265" s="26">
        <f t="shared" si="51"/>
        <v>0</v>
      </c>
      <c r="Y265" s="26">
        <f t="shared" si="44"/>
        <v>0</v>
      </c>
      <c r="Z265" s="33" t="s">
        <v>15</v>
      </c>
      <c r="AA265" s="36" t="s">
        <v>16</v>
      </c>
      <c r="AB265" s="181">
        <f t="shared" si="41"/>
        <v>1</v>
      </c>
      <c r="AC265" s="181">
        <f t="shared" si="52"/>
        <v>108000</v>
      </c>
      <c r="AD265" s="181">
        <v>1.7</v>
      </c>
      <c r="AE265" s="181">
        <v>1.7</v>
      </c>
      <c r="AF265" s="101" t="str">
        <f t="shared" si="42"/>
        <v/>
      </c>
      <c r="AG265" s="190">
        <v>0</v>
      </c>
      <c r="AH265" s="69">
        <f t="shared" si="43"/>
        <v>1</v>
      </c>
    </row>
    <row r="266" spans="1:34" s="69" customFormat="1" ht="33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75"/>
      <c r="H266" s="75">
        <v>500</v>
      </c>
      <c r="I266" s="75">
        <v>724160</v>
      </c>
      <c r="J266" s="91" t="s">
        <v>685</v>
      </c>
      <c r="K266" s="73"/>
      <c r="L266" s="46">
        <v>0</v>
      </c>
      <c r="M266" s="46">
        <v>0</v>
      </c>
      <c r="N266" s="46">
        <v>0</v>
      </c>
      <c r="O266" s="98"/>
      <c r="P266" s="23" t="s">
        <v>1438</v>
      </c>
      <c r="Q266" s="24" t="s">
        <v>684</v>
      </c>
      <c r="R266" s="25" t="s">
        <v>50</v>
      </c>
      <c r="S266" s="26">
        <v>1448.32</v>
      </c>
      <c r="T266" s="26"/>
      <c r="U266" s="26">
        <v>500</v>
      </c>
      <c r="V266" s="26">
        <f t="shared" si="50"/>
        <v>0</v>
      </c>
      <c r="W266" s="26">
        <f t="shared" si="53"/>
        <v>0</v>
      </c>
      <c r="X266" s="26">
        <f t="shared" si="51"/>
        <v>0</v>
      </c>
      <c r="Y266" s="26">
        <f t="shared" si="44"/>
        <v>0</v>
      </c>
      <c r="Z266" s="33" t="s">
        <v>15</v>
      </c>
      <c r="AA266" s="36" t="s">
        <v>16</v>
      </c>
      <c r="AB266" s="181">
        <f t="shared" si="41"/>
        <v>1448.32</v>
      </c>
      <c r="AC266" s="181">
        <f t="shared" si="52"/>
        <v>724160</v>
      </c>
      <c r="AD266" s="181">
        <v>1.7</v>
      </c>
      <c r="AE266" s="181">
        <v>1.7</v>
      </c>
      <c r="AF266" s="101" t="str">
        <f t="shared" si="42"/>
        <v/>
      </c>
      <c r="AG266" s="190">
        <v>0</v>
      </c>
      <c r="AH266" s="69">
        <f t="shared" si="43"/>
        <v>1448.32</v>
      </c>
    </row>
    <row r="267" spans="1:34" s="69" customFormat="1" ht="58.5" hidden="1" x14ac:dyDescent="0.3">
      <c r="A267" s="55" t="s">
        <v>686</v>
      </c>
      <c r="B267" s="53" t="s">
        <v>687</v>
      </c>
      <c r="C267" s="54" t="s">
        <v>606</v>
      </c>
      <c r="D267" s="75">
        <v>42</v>
      </c>
      <c r="E267" s="75"/>
      <c r="F267" s="75"/>
      <c r="G267" s="75"/>
      <c r="H267" s="75">
        <v>10176.969999999999</v>
      </c>
      <c r="I267" s="75">
        <v>427432.74</v>
      </c>
      <c r="J267" s="91" t="s">
        <v>688</v>
      </c>
      <c r="K267" s="73"/>
      <c r="L267" s="46">
        <v>0</v>
      </c>
      <c r="M267" s="46">
        <v>0</v>
      </c>
      <c r="N267" s="46">
        <v>0</v>
      </c>
      <c r="O267" s="98"/>
      <c r="P267" s="23" t="s">
        <v>1439</v>
      </c>
      <c r="Q267" s="24" t="s">
        <v>687</v>
      </c>
      <c r="R267" s="25" t="s">
        <v>606</v>
      </c>
      <c r="S267" s="26">
        <v>42</v>
      </c>
      <c r="T267" s="26"/>
      <c r="U267" s="26">
        <v>10176.969999999999</v>
      </c>
      <c r="V267" s="26">
        <f t="shared" si="50"/>
        <v>0</v>
      </c>
      <c r="W267" s="26">
        <f t="shared" si="53"/>
        <v>0</v>
      </c>
      <c r="X267" s="26">
        <f t="shared" si="51"/>
        <v>0</v>
      </c>
      <c r="Y267" s="26">
        <f t="shared" si="44"/>
        <v>0</v>
      </c>
      <c r="Z267" s="33" t="s">
        <v>15</v>
      </c>
      <c r="AA267" s="36" t="s">
        <v>16</v>
      </c>
      <c r="AB267" s="181">
        <f t="shared" ref="AB267:AB330" si="54">IF(T267="",S267,T267)</f>
        <v>42</v>
      </c>
      <c r="AC267" s="181">
        <f t="shared" si="52"/>
        <v>427432.74</v>
      </c>
      <c r="AD267" s="181">
        <v>1.7</v>
      </c>
      <c r="AE267" s="181">
        <v>1.7</v>
      </c>
      <c r="AF267" s="101" t="str">
        <f t="shared" ref="AF267:AF330" si="55">IF(W267&gt;AH267,"超估","")</f>
        <v/>
      </c>
      <c r="AG267" s="190">
        <v>0</v>
      </c>
      <c r="AH267" s="69">
        <f t="shared" ref="AH267:AH330" si="56">IF(G267=0,IF(F267=0,IF(E267=0,D267,E267),F267),G267)</f>
        <v>42</v>
      </c>
    </row>
    <row r="268" spans="1:34" s="69" customFormat="1" ht="58.5" hidden="1" x14ac:dyDescent="0.3">
      <c r="A268" s="55" t="s">
        <v>689</v>
      </c>
      <c r="B268" s="53" t="s">
        <v>690</v>
      </c>
      <c r="C268" s="54" t="s">
        <v>606</v>
      </c>
      <c r="D268" s="75">
        <v>19</v>
      </c>
      <c r="E268" s="75"/>
      <c r="F268" s="75"/>
      <c r="G268" s="75"/>
      <c r="H268" s="75">
        <v>13526.18</v>
      </c>
      <c r="I268" s="75">
        <v>256997.42</v>
      </c>
      <c r="J268" s="91" t="s">
        <v>691</v>
      </c>
      <c r="K268" s="73"/>
      <c r="L268" s="46">
        <v>0</v>
      </c>
      <c r="M268" s="46">
        <v>0</v>
      </c>
      <c r="N268" s="46">
        <v>0</v>
      </c>
      <c r="O268" s="98"/>
      <c r="P268" s="23" t="s">
        <v>1440</v>
      </c>
      <c r="Q268" s="24" t="s">
        <v>690</v>
      </c>
      <c r="R268" s="25" t="s">
        <v>606</v>
      </c>
      <c r="S268" s="26">
        <v>19</v>
      </c>
      <c r="T268" s="26"/>
      <c r="U268" s="26">
        <v>13526.18</v>
      </c>
      <c r="V268" s="26">
        <f t="shared" si="50"/>
        <v>0</v>
      </c>
      <c r="W268" s="26">
        <f t="shared" si="53"/>
        <v>0</v>
      </c>
      <c r="X268" s="26">
        <f t="shared" si="51"/>
        <v>0</v>
      </c>
      <c r="Y268" s="26">
        <f t="shared" ref="Y268:Y331" si="57">ROUND(U268*W268,2)</f>
        <v>0</v>
      </c>
      <c r="Z268" s="33" t="s">
        <v>15</v>
      </c>
      <c r="AA268" s="36" t="s">
        <v>16</v>
      </c>
      <c r="AB268" s="181">
        <f t="shared" si="54"/>
        <v>19</v>
      </c>
      <c r="AC268" s="181">
        <f t="shared" si="52"/>
        <v>256997.42</v>
      </c>
      <c r="AD268" s="181">
        <v>1.7</v>
      </c>
      <c r="AE268" s="181">
        <v>1.7</v>
      </c>
      <c r="AF268" s="101" t="str">
        <f t="shared" si="55"/>
        <v/>
      </c>
      <c r="AG268" s="190">
        <v>0</v>
      </c>
      <c r="AH268" s="69">
        <f t="shared" si="56"/>
        <v>19</v>
      </c>
    </row>
    <row r="269" spans="1:34" s="69" customFormat="1" ht="58.5" hidden="1" x14ac:dyDescent="0.3">
      <c r="A269" s="55" t="s">
        <v>692</v>
      </c>
      <c r="B269" s="53" t="s">
        <v>693</v>
      </c>
      <c r="C269" s="54" t="s">
        <v>606</v>
      </c>
      <c r="D269" s="75">
        <v>8</v>
      </c>
      <c r="E269" s="75"/>
      <c r="F269" s="75"/>
      <c r="G269" s="75"/>
      <c r="H269" s="75">
        <v>8660.64</v>
      </c>
      <c r="I269" s="75">
        <v>69285.119999999995</v>
      </c>
      <c r="J269" s="91" t="s">
        <v>694</v>
      </c>
      <c r="K269" s="73"/>
      <c r="L269" s="46">
        <v>0</v>
      </c>
      <c r="M269" s="46">
        <v>0</v>
      </c>
      <c r="N269" s="46">
        <v>0</v>
      </c>
      <c r="O269" s="98"/>
      <c r="P269" s="23" t="s">
        <v>1441</v>
      </c>
      <c r="Q269" s="24" t="s">
        <v>693</v>
      </c>
      <c r="R269" s="25" t="s">
        <v>606</v>
      </c>
      <c r="S269" s="26">
        <v>8</v>
      </c>
      <c r="T269" s="26"/>
      <c r="U269" s="26">
        <v>8660.64</v>
      </c>
      <c r="V269" s="26">
        <f t="shared" si="50"/>
        <v>0</v>
      </c>
      <c r="W269" s="26">
        <f t="shared" si="53"/>
        <v>0</v>
      </c>
      <c r="X269" s="26">
        <f t="shared" si="51"/>
        <v>0</v>
      </c>
      <c r="Y269" s="26">
        <f t="shared" si="57"/>
        <v>0</v>
      </c>
      <c r="Z269" s="33" t="s">
        <v>15</v>
      </c>
      <c r="AA269" s="36" t="s">
        <v>16</v>
      </c>
      <c r="AB269" s="181">
        <f t="shared" si="54"/>
        <v>8</v>
      </c>
      <c r="AC269" s="181">
        <f t="shared" si="52"/>
        <v>69285.119999999995</v>
      </c>
      <c r="AD269" s="181">
        <v>1.7</v>
      </c>
      <c r="AE269" s="181">
        <v>1.7</v>
      </c>
      <c r="AF269" s="101" t="str">
        <f t="shared" si="55"/>
        <v/>
      </c>
      <c r="AG269" s="190">
        <v>0</v>
      </c>
      <c r="AH269" s="69">
        <f t="shared" si="56"/>
        <v>8</v>
      </c>
    </row>
    <row r="270" spans="1:34" s="69" customFormat="1" ht="58.5" hidden="1" x14ac:dyDescent="0.3">
      <c r="A270" s="55" t="s">
        <v>695</v>
      </c>
      <c r="B270" s="53" t="s">
        <v>696</v>
      </c>
      <c r="C270" s="54" t="s">
        <v>606</v>
      </c>
      <c r="D270" s="75">
        <v>8</v>
      </c>
      <c r="E270" s="75"/>
      <c r="F270" s="75"/>
      <c r="G270" s="75"/>
      <c r="H270" s="75">
        <v>17930.64</v>
      </c>
      <c r="I270" s="75">
        <v>143445.12</v>
      </c>
      <c r="J270" s="91" t="s">
        <v>697</v>
      </c>
      <c r="K270" s="73"/>
      <c r="L270" s="46">
        <v>0</v>
      </c>
      <c r="M270" s="46">
        <v>0</v>
      </c>
      <c r="N270" s="46">
        <v>0</v>
      </c>
      <c r="O270" s="98"/>
      <c r="P270" s="23" t="s">
        <v>1442</v>
      </c>
      <c r="Q270" s="24" t="s">
        <v>696</v>
      </c>
      <c r="R270" s="25" t="s">
        <v>606</v>
      </c>
      <c r="S270" s="26">
        <v>8</v>
      </c>
      <c r="T270" s="26"/>
      <c r="U270" s="26">
        <v>17930.64</v>
      </c>
      <c r="V270" s="26">
        <f t="shared" si="50"/>
        <v>0</v>
      </c>
      <c r="W270" s="26">
        <f t="shared" si="53"/>
        <v>0</v>
      </c>
      <c r="X270" s="26">
        <f t="shared" si="51"/>
        <v>0</v>
      </c>
      <c r="Y270" s="26">
        <f t="shared" si="57"/>
        <v>0</v>
      </c>
      <c r="Z270" s="33" t="s">
        <v>15</v>
      </c>
      <c r="AA270" s="36" t="s">
        <v>16</v>
      </c>
      <c r="AB270" s="181">
        <f t="shared" si="54"/>
        <v>8</v>
      </c>
      <c r="AC270" s="181">
        <f t="shared" si="52"/>
        <v>143445.12</v>
      </c>
      <c r="AD270" s="181">
        <v>1.7</v>
      </c>
      <c r="AE270" s="181">
        <v>1.7</v>
      </c>
      <c r="AF270" s="101" t="str">
        <f t="shared" si="55"/>
        <v/>
      </c>
      <c r="AG270" s="190">
        <v>0</v>
      </c>
      <c r="AH270" s="69">
        <f t="shared" si="56"/>
        <v>8</v>
      </c>
    </row>
    <row r="271" spans="1:34" s="69" customFormat="1" ht="58.5" hidden="1" x14ac:dyDescent="0.3">
      <c r="A271" s="55" t="s">
        <v>698</v>
      </c>
      <c r="B271" s="53" t="s">
        <v>699</v>
      </c>
      <c r="C271" s="54" t="s">
        <v>606</v>
      </c>
      <c r="D271" s="75">
        <v>14</v>
      </c>
      <c r="E271" s="75"/>
      <c r="F271" s="75"/>
      <c r="G271" s="75"/>
      <c r="H271" s="75">
        <v>5272.95</v>
      </c>
      <c r="I271" s="75">
        <v>73821.3</v>
      </c>
      <c r="J271" s="91" t="s">
        <v>700</v>
      </c>
      <c r="K271" s="73"/>
      <c r="L271" s="46">
        <v>0</v>
      </c>
      <c r="M271" s="46">
        <v>0</v>
      </c>
      <c r="N271" s="46">
        <v>0</v>
      </c>
      <c r="O271" s="98"/>
      <c r="P271" s="23" t="s">
        <v>1443</v>
      </c>
      <c r="Q271" s="24" t="s">
        <v>699</v>
      </c>
      <c r="R271" s="25" t="s">
        <v>606</v>
      </c>
      <c r="S271" s="26">
        <v>14</v>
      </c>
      <c r="T271" s="26"/>
      <c r="U271" s="26">
        <v>5272.95</v>
      </c>
      <c r="V271" s="26">
        <f t="shared" si="50"/>
        <v>0</v>
      </c>
      <c r="W271" s="26">
        <f t="shared" si="53"/>
        <v>0</v>
      </c>
      <c r="X271" s="26">
        <f t="shared" si="51"/>
        <v>0</v>
      </c>
      <c r="Y271" s="26">
        <f t="shared" si="57"/>
        <v>0</v>
      </c>
      <c r="Z271" s="33" t="s">
        <v>15</v>
      </c>
      <c r="AA271" s="36" t="s">
        <v>16</v>
      </c>
      <c r="AB271" s="181">
        <f t="shared" si="54"/>
        <v>14</v>
      </c>
      <c r="AC271" s="181">
        <f t="shared" si="52"/>
        <v>73821.3</v>
      </c>
      <c r="AD271" s="181">
        <v>1.7</v>
      </c>
      <c r="AE271" s="181">
        <v>1.7</v>
      </c>
      <c r="AF271" s="101" t="str">
        <f t="shared" si="55"/>
        <v/>
      </c>
      <c r="AG271" s="190">
        <v>0</v>
      </c>
      <c r="AH271" s="69">
        <f t="shared" si="56"/>
        <v>14</v>
      </c>
    </row>
    <row r="272" spans="1:34" s="69" customFormat="1" ht="58.5" hidden="1" x14ac:dyDescent="0.3">
      <c r="A272" s="55" t="s">
        <v>701</v>
      </c>
      <c r="B272" s="53" t="s">
        <v>702</v>
      </c>
      <c r="C272" s="54" t="s">
        <v>606</v>
      </c>
      <c r="D272" s="75">
        <v>15</v>
      </c>
      <c r="E272" s="75"/>
      <c r="F272" s="75"/>
      <c r="G272" s="75"/>
      <c r="H272" s="75">
        <v>5272.95</v>
      </c>
      <c r="I272" s="75">
        <v>79094.25</v>
      </c>
      <c r="J272" s="91" t="s">
        <v>703</v>
      </c>
      <c r="K272" s="73"/>
      <c r="L272" s="46">
        <v>0</v>
      </c>
      <c r="M272" s="46">
        <v>0</v>
      </c>
      <c r="N272" s="46">
        <v>0</v>
      </c>
      <c r="O272" s="98"/>
      <c r="P272" s="23" t="s">
        <v>1444</v>
      </c>
      <c r="Q272" s="24" t="s">
        <v>702</v>
      </c>
      <c r="R272" s="25" t="s">
        <v>606</v>
      </c>
      <c r="S272" s="26">
        <v>15</v>
      </c>
      <c r="T272" s="26"/>
      <c r="U272" s="26">
        <v>5272.95</v>
      </c>
      <c r="V272" s="26">
        <f t="shared" si="50"/>
        <v>0</v>
      </c>
      <c r="W272" s="26">
        <f t="shared" si="53"/>
        <v>0</v>
      </c>
      <c r="X272" s="26">
        <f t="shared" si="51"/>
        <v>0</v>
      </c>
      <c r="Y272" s="26">
        <f t="shared" si="57"/>
        <v>0</v>
      </c>
      <c r="Z272" s="33" t="s">
        <v>15</v>
      </c>
      <c r="AA272" s="36" t="s">
        <v>16</v>
      </c>
      <c r="AB272" s="181">
        <f t="shared" si="54"/>
        <v>15</v>
      </c>
      <c r="AC272" s="181">
        <f t="shared" si="52"/>
        <v>79094.25</v>
      </c>
      <c r="AD272" s="181">
        <v>1.7</v>
      </c>
      <c r="AE272" s="181">
        <v>1.7</v>
      </c>
      <c r="AF272" s="101" t="str">
        <f t="shared" si="55"/>
        <v/>
      </c>
      <c r="AG272" s="190">
        <v>0</v>
      </c>
      <c r="AH272" s="69">
        <f t="shared" si="56"/>
        <v>15</v>
      </c>
    </row>
    <row r="273" spans="1:34" s="69" customFormat="1" ht="58.5" hidden="1" x14ac:dyDescent="0.3">
      <c r="A273" s="55" t="s">
        <v>704</v>
      </c>
      <c r="B273" s="53" t="s">
        <v>705</v>
      </c>
      <c r="C273" s="54" t="s">
        <v>606</v>
      </c>
      <c r="D273" s="75">
        <v>1</v>
      </c>
      <c r="E273" s="75"/>
      <c r="F273" s="75"/>
      <c r="G273" s="75"/>
      <c r="H273" s="75">
        <v>7859.47</v>
      </c>
      <c r="I273" s="75">
        <v>7859.47</v>
      </c>
      <c r="J273" s="91" t="s">
        <v>706</v>
      </c>
      <c r="K273" s="73"/>
      <c r="L273" s="46">
        <v>0</v>
      </c>
      <c r="M273" s="46">
        <v>0</v>
      </c>
      <c r="N273" s="46">
        <v>0</v>
      </c>
      <c r="O273" s="98"/>
      <c r="P273" s="23" t="s">
        <v>1408</v>
      </c>
      <c r="Q273" s="24" t="s">
        <v>705</v>
      </c>
      <c r="R273" s="25" t="s">
        <v>606</v>
      </c>
      <c r="S273" s="26">
        <v>1</v>
      </c>
      <c r="T273" s="26"/>
      <c r="U273" s="26">
        <v>7859.47</v>
      </c>
      <c r="V273" s="26">
        <f t="shared" si="50"/>
        <v>0</v>
      </c>
      <c r="W273" s="26">
        <f t="shared" si="53"/>
        <v>0</v>
      </c>
      <c r="X273" s="26">
        <f t="shared" si="51"/>
        <v>0</v>
      </c>
      <c r="Y273" s="26">
        <f t="shared" si="57"/>
        <v>0</v>
      </c>
      <c r="Z273" s="33" t="s">
        <v>15</v>
      </c>
      <c r="AA273" s="36" t="s">
        <v>16</v>
      </c>
      <c r="AB273" s="181">
        <f t="shared" si="54"/>
        <v>1</v>
      </c>
      <c r="AC273" s="181">
        <f t="shared" si="52"/>
        <v>7859.47</v>
      </c>
      <c r="AD273" s="181">
        <v>1.7</v>
      </c>
      <c r="AE273" s="181">
        <v>1.7</v>
      </c>
      <c r="AF273" s="101" t="str">
        <f t="shared" si="55"/>
        <v/>
      </c>
      <c r="AG273" s="190">
        <v>0</v>
      </c>
      <c r="AH273" s="69">
        <f t="shared" si="56"/>
        <v>1</v>
      </c>
    </row>
    <row r="274" spans="1:34" s="69" customFormat="1" ht="58.5" hidden="1" x14ac:dyDescent="0.3">
      <c r="A274" s="55" t="s">
        <v>707</v>
      </c>
      <c r="B274" s="53" t="s">
        <v>708</v>
      </c>
      <c r="C274" s="54" t="s">
        <v>606</v>
      </c>
      <c r="D274" s="75">
        <v>1</v>
      </c>
      <c r="E274" s="75"/>
      <c r="F274" s="75"/>
      <c r="G274" s="75"/>
      <c r="H274" s="75">
        <v>5839.45</v>
      </c>
      <c r="I274" s="75">
        <v>5839.45</v>
      </c>
      <c r="J274" s="91" t="s">
        <v>709</v>
      </c>
      <c r="K274" s="73"/>
      <c r="L274" s="46">
        <v>0</v>
      </c>
      <c r="M274" s="46">
        <v>0</v>
      </c>
      <c r="N274" s="46">
        <v>0</v>
      </c>
      <c r="O274" s="98"/>
      <c r="P274" s="23" t="s">
        <v>1409</v>
      </c>
      <c r="Q274" s="24" t="s">
        <v>708</v>
      </c>
      <c r="R274" s="25" t="s">
        <v>606</v>
      </c>
      <c r="S274" s="26">
        <v>1</v>
      </c>
      <c r="T274" s="26"/>
      <c r="U274" s="26">
        <v>5839.45</v>
      </c>
      <c r="V274" s="26">
        <f t="shared" si="50"/>
        <v>0</v>
      </c>
      <c r="W274" s="26">
        <f t="shared" si="53"/>
        <v>0</v>
      </c>
      <c r="X274" s="26">
        <f t="shared" si="51"/>
        <v>0</v>
      </c>
      <c r="Y274" s="26">
        <f t="shared" si="57"/>
        <v>0</v>
      </c>
      <c r="Z274" s="33" t="s">
        <v>15</v>
      </c>
      <c r="AA274" s="36" t="s">
        <v>16</v>
      </c>
      <c r="AB274" s="181">
        <f t="shared" si="54"/>
        <v>1</v>
      </c>
      <c r="AC274" s="181">
        <f t="shared" si="52"/>
        <v>5839.45</v>
      </c>
      <c r="AD274" s="181">
        <v>1.7</v>
      </c>
      <c r="AE274" s="181">
        <v>1.7</v>
      </c>
      <c r="AF274" s="101" t="str">
        <f t="shared" si="55"/>
        <v/>
      </c>
      <c r="AG274" s="190">
        <v>0</v>
      </c>
      <c r="AH274" s="69">
        <f t="shared" si="56"/>
        <v>1</v>
      </c>
    </row>
    <row r="275" spans="1:34" s="69" customFormat="1" ht="58.5" hidden="1" x14ac:dyDescent="0.3">
      <c r="A275" s="55" t="s">
        <v>710</v>
      </c>
      <c r="B275" s="53" t="s">
        <v>711</v>
      </c>
      <c r="C275" s="54" t="s">
        <v>606</v>
      </c>
      <c r="D275" s="75">
        <v>1</v>
      </c>
      <c r="E275" s="75"/>
      <c r="F275" s="75"/>
      <c r="G275" s="75"/>
      <c r="H275" s="75">
        <v>7189.97</v>
      </c>
      <c r="I275" s="75">
        <v>7189.97</v>
      </c>
      <c r="J275" s="91" t="s">
        <v>712</v>
      </c>
      <c r="K275" s="73"/>
      <c r="L275" s="46">
        <v>0</v>
      </c>
      <c r="M275" s="46">
        <v>0</v>
      </c>
      <c r="N275" s="46">
        <v>0</v>
      </c>
      <c r="O275" s="98"/>
      <c r="P275" s="23" t="s">
        <v>1410</v>
      </c>
      <c r="Q275" s="24" t="s">
        <v>711</v>
      </c>
      <c r="R275" s="25" t="s">
        <v>606</v>
      </c>
      <c r="S275" s="26">
        <v>1</v>
      </c>
      <c r="T275" s="26"/>
      <c r="U275" s="26">
        <v>7189.97</v>
      </c>
      <c r="V275" s="26">
        <f t="shared" si="50"/>
        <v>0</v>
      </c>
      <c r="W275" s="26">
        <f t="shared" si="53"/>
        <v>0</v>
      </c>
      <c r="X275" s="26">
        <f t="shared" si="51"/>
        <v>0</v>
      </c>
      <c r="Y275" s="26">
        <f t="shared" si="57"/>
        <v>0</v>
      </c>
      <c r="Z275" s="33" t="s">
        <v>15</v>
      </c>
      <c r="AA275" s="36" t="s">
        <v>16</v>
      </c>
      <c r="AB275" s="181">
        <f t="shared" si="54"/>
        <v>1</v>
      </c>
      <c r="AC275" s="181">
        <f t="shared" si="52"/>
        <v>7189.97</v>
      </c>
      <c r="AD275" s="181">
        <v>1.7</v>
      </c>
      <c r="AE275" s="181">
        <v>1.7</v>
      </c>
      <c r="AF275" s="101" t="str">
        <f t="shared" si="55"/>
        <v/>
      </c>
      <c r="AG275" s="190">
        <v>0</v>
      </c>
      <c r="AH275" s="69">
        <f t="shared" si="56"/>
        <v>1</v>
      </c>
    </row>
    <row r="276" spans="1:34" s="69" customFormat="1" ht="58.5" hidden="1" x14ac:dyDescent="0.3">
      <c r="A276" s="55" t="s">
        <v>713</v>
      </c>
      <c r="B276" s="53" t="s">
        <v>714</v>
      </c>
      <c r="C276" s="54" t="s">
        <v>606</v>
      </c>
      <c r="D276" s="75">
        <v>4</v>
      </c>
      <c r="E276" s="75"/>
      <c r="F276" s="75"/>
      <c r="G276" s="75"/>
      <c r="H276" s="75">
        <v>4860.95</v>
      </c>
      <c r="I276" s="75">
        <v>19443.8</v>
      </c>
      <c r="J276" s="91" t="s">
        <v>715</v>
      </c>
      <c r="K276" s="73"/>
      <c r="L276" s="46">
        <v>0</v>
      </c>
      <c r="M276" s="46">
        <v>0</v>
      </c>
      <c r="N276" s="46">
        <v>0</v>
      </c>
      <c r="O276" s="98"/>
      <c r="P276" s="23" t="s">
        <v>1411</v>
      </c>
      <c r="Q276" s="24" t="s">
        <v>714</v>
      </c>
      <c r="R276" s="25" t="s">
        <v>606</v>
      </c>
      <c r="S276" s="26">
        <v>4</v>
      </c>
      <c r="T276" s="26"/>
      <c r="U276" s="26">
        <v>4860.95</v>
      </c>
      <c r="V276" s="26">
        <f t="shared" si="50"/>
        <v>0</v>
      </c>
      <c r="W276" s="26">
        <f t="shared" si="53"/>
        <v>0</v>
      </c>
      <c r="X276" s="26">
        <f t="shared" si="51"/>
        <v>0</v>
      </c>
      <c r="Y276" s="26">
        <f t="shared" si="57"/>
        <v>0</v>
      </c>
      <c r="Z276" s="33" t="s">
        <v>15</v>
      </c>
      <c r="AA276" s="36" t="s">
        <v>16</v>
      </c>
      <c r="AB276" s="181">
        <f t="shared" si="54"/>
        <v>4</v>
      </c>
      <c r="AC276" s="181">
        <f t="shared" si="52"/>
        <v>19443.8</v>
      </c>
      <c r="AD276" s="181">
        <v>1.7</v>
      </c>
      <c r="AE276" s="181">
        <v>1.7</v>
      </c>
      <c r="AF276" s="101" t="str">
        <f t="shared" si="55"/>
        <v/>
      </c>
      <c r="AG276" s="190">
        <v>0</v>
      </c>
      <c r="AH276" s="69">
        <f t="shared" si="56"/>
        <v>4</v>
      </c>
    </row>
    <row r="277" spans="1:34" s="69" customFormat="1" ht="58.5" hidden="1" x14ac:dyDescent="0.3">
      <c r="A277" s="55" t="s">
        <v>716</v>
      </c>
      <c r="B277" s="53" t="s">
        <v>717</v>
      </c>
      <c r="C277" s="54" t="s">
        <v>606</v>
      </c>
      <c r="D277" s="75">
        <v>1</v>
      </c>
      <c r="E277" s="75"/>
      <c r="F277" s="75"/>
      <c r="G277" s="75"/>
      <c r="H277" s="75">
        <v>14800.45</v>
      </c>
      <c r="I277" s="75">
        <v>14800.45</v>
      </c>
      <c r="J277" s="91" t="s">
        <v>718</v>
      </c>
      <c r="K277" s="73"/>
      <c r="L277" s="46">
        <v>0</v>
      </c>
      <c r="M277" s="46">
        <v>0</v>
      </c>
      <c r="N277" s="46">
        <v>0</v>
      </c>
      <c r="O277" s="98"/>
      <c r="P277" s="23" t="s">
        <v>1445</v>
      </c>
      <c r="Q277" s="24" t="s">
        <v>717</v>
      </c>
      <c r="R277" s="25" t="s">
        <v>606</v>
      </c>
      <c r="S277" s="26">
        <v>1</v>
      </c>
      <c r="T277" s="26"/>
      <c r="U277" s="26">
        <v>14800.45</v>
      </c>
      <c r="V277" s="26">
        <f t="shared" si="50"/>
        <v>0</v>
      </c>
      <c r="W277" s="26">
        <f t="shared" si="53"/>
        <v>0</v>
      </c>
      <c r="X277" s="26">
        <f t="shared" si="51"/>
        <v>0</v>
      </c>
      <c r="Y277" s="26">
        <f t="shared" si="57"/>
        <v>0</v>
      </c>
      <c r="Z277" s="33" t="s">
        <v>15</v>
      </c>
      <c r="AA277" s="36" t="s">
        <v>16</v>
      </c>
      <c r="AB277" s="181">
        <f t="shared" si="54"/>
        <v>1</v>
      </c>
      <c r="AC277" s="181">
        <f t="shared" si="52"/>
        <v>14800.45</v>
      </c>
      <c r="AD277" s="181">
        <v>1.7</v>
      </c>
      <c r="AE277" s="181">
        <v>1.7</v>
      </c>
      <c r="AF277" s="101" t="str">
        <f t="shared" si="55"/>
        <v/>
      </c>
      <c r="AG277" s="190">
        <v>0</v>
      </c>
      <c r="AH277" s="69">
        <f t="shared" si="56"/>
        <v>1</v>
      </c>
    </row>
    <row r="278" spans="1:34" s="69" customFormat="1" ht="58.5" hidden="1" x14ac:dyDescent="0.3">
      <c r="A278" s="55" t="s">
        <v>719</v>
      </c>
      <c r="B278" s="53" t="s">
        <v>720</v>
      </c>
      <c r="C278" s="54" t="s">
        <v>606</v>
      </c>
      <c r="D278" s="75">
        <v>1</v>
      </c>
      <c r="E278" s="75"/>
      <c r="F278" s="75"/>
      <c r="G278" s="75"/>
      <c r="H278" s="75">
        <v>6661.47</v>
      </c>
      <c r="I278" s="75">
        <v>6661.47</v>
      </c>
      <c r="J278" s="91" t="s">
        <v>721</v>
      </c>
      <c r="K278" s="73"/>
      <c r="L278" s="46">
        <v>0</v>
      </c>
      <c r="M278" s="46">
        <v>0</v>
      </c>
      <c r="N278" s="46">
        <v>0</v>
      </c>
      <c r="O278" s="98"/>
      <c r="P278" s="23" t="s">
        <v>1383</v>
      </c>
      <c r="Q278" s="24" t="s">
        <v>720</v>
      </c>
      <c r="R278" s="25" t="s">
        <v>606</v>
      </c>
      <c r="S278" s="26">
        <v>1</v>
      </c>
      <c r="T278" s="26"/>
      <c r="U278" s="26">
        <v>6661.47</v>
      </c>
      <c r="V278" s="26">
        <f t="shared" si="50"/>
        <v>0</v>
      </c>
      <c r="W278" s="26">
        <f t="shared" si="53"/>
        <v>0</v>
      </c>
      <c r="X278" s="26">
        <f t="shared" si="51"/>
        <v>0</v>
      </c>
      <c r="Y278" s="26">
        <f t="shared" si="57"/>
        <v>0</v>
      </c>
      <c r="Z278" s="33" t="s">
        <v>15</v>
      </c>
      <c r="AA278" s="36" t="s">
        <v>16</v>
      </c>
      <c r="AB278" s="181">
        <f t="shared" si="54"/>
        <v>1</v>
      </c>
      <c r="AC278" s="181">
        <f t="shared" si="52"/>
        <v>6661.47</v>
      </c>
      <c r="AD278" s="181">
        <v>1.7</v>
      </c>
      <c r="AE278" s="181">
        <v>1.7</v>
      </c>
      <c r="AF278" s="101" t="str">
        <f t="shared" si="55"/>
        <v/>
      </c>
      <c r="AG278" s="190">
        <v>0</v>
      </c>
      <c r="AH278" s="69">
        <f t="shared" si="56"/>
        <v>1</v>
      </c>
    </row>
    <row r="279" spans="1:34" s="69" customFormat="1" ht="58.5" hidden="1" x14ac:dyDescent="0.3">
      <c r="A279" s="55" t="s">
        <v>722</v>
      </c>
      <c r="B279" s="53" t="s">
        <v>723</v>
      </c>
      <c r="C279" s="54" t="s">
        <v>606</v>
      </c>
      <c r="D279" s="75">
        <v>1</v>
      </c>
      <c r="E279" s="75"/>
      <c r="F279" s="75"/>
      <c r="G279" s="75"/>
      <c r="H279" s="75">
        <v>15584.47</v>
      </c>
      <c r="I279" s="75">
        <v>15584.47</v>
      </c>
      <c r="J279" s="91" t="s">
        <v>724</v>
      </c>
      <c r="K279" s="73"/>
      <c r="L279" s="46">
        <v>0</v>
      </c>
      <c r="M279" s="46">
        <v>0</v>
      </c>
      <c r="N279" s="46">
        <v>0</v>
      </c>
      <c r="O279" s="98"/>
      <c r="P279" s="23" t="s">
        <v>1384</v>
      </c>
      <c r="Q279" s="24" t="s">
        <v>723</v>
      </c>
      <c r="R279" s="25" t="s">
        <v>606</v>
      </c>
      <c r="S279" s="26">
        <v>1</v>
      </c>
      <c r="T279" s="26"/>
      <c r="U279" s="26">
        <v>15584.47</v>
      </c>
      <c r="V279" s="26">
        <f t="shared" si="50"/>
        <v>0</v>
      </c>
      <c r="W279" s="26">
        <f t="shared" si="53"/>
        <v>0</v>
      </c>
      <c r="X279" s="26">
        <f t="shared" si="51"/>
        <v>0</v>
      </c>
      <c r="Y279" s="26">
        <f t="shared" si="57"/>
        <v>0</v>
      </c>
      <c r="Z279" s="33" t="s">
        <v>15</v>
      </c>
      <c r="AA279" s="36" t="s">
        <v>16</v>
      </c>
      <c r="AB279" s="181">
        <f t="shared" si="54"/>
        <v>1</v>
      </c>
      <c r="AC279" s="181">
        <f t="shared" si="52"/>
        <v>15584.47</v>
      </c>
      <c r="AD279" s="181">
        <v>1.7</v>
      </c>
      <c r="AE279" s="181">
        <v>1.7</v>
      </c>
      <c r="AF279" s="101" t="str">
        <f t="shared" si="55"/>
        <v/>
      </c>
      <c r="AG279" s="190">
        <v>0</v>
      </c>
      <c r="AH279" s="69">
        <f t="shared" si="56"/>
        <v>1</v>
      </c>
    </row>
    <row r="280" spans="1:34" s="69" customFormat="1" ht="58.5" hidden="1" x14ac:dyDescent="0.3">
      <c r="A280" s="55" t="s">
        <v>725</v>
      </c>
      <c r="B280" s="53" t="s">
        <v>726</v>
      </c>
      <c r="C280" s="54" t="s">
        <v>606</v>
      </c>
      <c r="D280" s="75">
        <v>4</v>
      </c>
      <c r="E280" s="75"/>
      <c r="F280" s="75"/>
      <c r="G280" s="75"/>
      <c r="H280" s="75">
        <v>3949.4</v>
      </c>
      <c r="I280" s="75">
        <v>15797.6</v>
      </c>
      <c r="J280" s="91" t="s">
        <v>727</v>
      </c>
      <c r="K280" s="73"/>
      <c r="L280" s="46">
        <v>0</v>
      </c>
      <c r="M280" s="46">
        <v>0</v>
      </c>
      <c r="N280" s="46">
        <v>0</v>
      </c>
      <c r="O280" s="98"/>
      <c r="P280" s="23" t="s">
        <v>1385</v>
      </c>
      <c r="Q280" s="24" t="s">
        <v>726</v>
      </c>
      <c r="R280" s="25" t="s">
        <v>606</v>
      </c>
      <c r="S280" s="26">
        <v>4</v>
      </c>
      <c r="T280" s="26"/>
      <c r="U280" s="26">
        <v>3949.4</v>
      </c>
      <c r="V280" s="26">
        <f t="shared" si="50"/>
        <v>0</v>
      </c>
      <c r="W280" s="26">
        <f t="shared" si="53"/>
        <v>0</v>
      </c>
      <c r="X280" s="26">
        <f t="shared" si="51"/>
        <v>0</v>
      </c>
      <c r="Y280" s="26">
        <f t="shared" si="57"/>
        <v>0</v>
      </c>
      <c r="Z280" s="33" t="s">
        <v>15</v>
      </c>
      <c r="AA280" s="36" t="s">
        <v>16</v>
      </c>
      <c r="AB280" s="181">
        <f t="shared" si="54"/>
        <v>4</v>
      </c>
      <c r="AC280" s="181">
        <f t="shared" si="52"/>
        <v>15797.6</v>
      </c>
      <c r="AD280" s="181">
        <v>1.7</v>
      </c>
      <c r="AE280" s="181">
        <v>1.7</v>
      </c>
      <c r="AF280" s="101" t="str">
        <f t="shared" si="55"/>
        <v/>
      </c>
      <c r="AG280" s="190">
        <v>0</v>
      </c>
      <c r="AH280" s="69">
        <f t="shared" si="56"/>
        <v>4</v>
      </c>
    </row>
    <row r="281" spans="1:34" s="69" customFormat="1" ht="39" hidden="1" x14ac:dyDescent="0.3">
      <c r="A281" s="55" t="s">
        <v>728</v>
      </c>
      <c r="B281" s="53" t="s">
        <v>729</v>
      </c>
      <c r="C281" s="54" t="s">
        <v>606</v>
      </c>
      <c r="D281" s="75">
        <v>1</v>
      </c>
      <c r="E281" s="75"/>
      <c r="F281" s="75"/>
      <c r="G281" s="75"/>
      <c r="H281" s="75">
        <v>227.07</v>
      </c>
      <c r="I281" s="75">
        <v>227.07</v>
      </c>
      <c r="J281" s="91" t="s">
        <v>730</v>
      </c>
      <c r="K281" s="73"/>
      <c r="L281" s="46">
        <v>0</v>
      </c>
      <c r="M281" s="46">
        <v>0</v>
      </c>
      <c r="N281" s="46">
        <v>0</v>
      </c>
      <c r="O281" s="98"/>
      <c r="P281" s="23" t="s">
        <v>1446</v>
      </c>
      <c r="Q281" s="24" t="s">
        <v>729</v>
      </c>
      <c r="R281" s="25" t="s">
        <v>606</v>
      </c>
      <c r="S281" s="26">
        <v>1</v>
      </c>
      <c r="T281" s="26"/>
      <c r="U281" s="26">
        <v>227.07</v>
      </c>
      <c r="V281" s="26">
        <f t="shared" si="50"/>
        <v>0</v>
      </c>
      <c r="W281" s="26">
        <f t="shared" si="53"/>
        <v>0</v>
      </c>
      <c r="X281" s="26">
        <f t="shared" si="51"/>
        <v>0</v>
      </c>
      <c r="Y281" s="26">
        <f t="shared" si="57"/>
        <v>0</v>
      </c>
      <c r="Z281" s="33" t="s">
        <v>15</v>
      </c>
      <c r="AA281" s="36" t="s">
        <v>16</v>
      </c>
      <c r="AB281" s="181">
        <f t="shared" si="54"/>
        <v>1</v>
      </c>
      <c r="AC281" s="181">
        <f t="shared" si="52"/>
        <v>227.07</v>
      </c>
      <c r="AD281" s="181">
        <v>1.7</v>
      </c>
      <c r="AE281" s="181">
        <v>1.7</v>
      </c>
      <c r="AF281" s="101" t="str">
        <f t="shared" si="55"/>
        <v/>
      </c>
      <c r="AG281" s="190">
        <v>0</v>
      </c>
      <c r="AH281" s="69">
        <f t="shared" si="56"/>
        <v>1</v>
      </c>
    </row>
    <row r="282" spans="1:34" s="69" customFormat="1" ht="39" hidden="1" x14ac:dyDescent="0.3">
      <c r="A282" s="55" t="s">
        <v>731</v>
      </c>
      <c r="B282" s="53" t="s">
        <v>732</v>
      </c>
      <c r="C282" s="54" t="s">
        <v>606</v>
      </c>
      <c r="D282" s="75">
        <v>1</v>
      </c>
      <c r="E282" s="75"/>
      <c r="F282" s="75"/>
      <c r="G282" s="75"/>
      <c r="H282" s="75">
        <v>277.02999999999997</v>
      </c>
      <c r="I282" s="75">
        <v>277.02999999999997</v>
      </c>
      <c r="J282" s="91" t="s">
        <v>733</v>
      </c>
      <c r="K282" s="73"/>
      <c r="L282" s="46">
        <v>0</v>
      </c>
      <c r="M282" s="46">
        <v>0</v>
      </c>
      <c r="N282" s="46">
        <v>0</v>
      </c>
      <c r="O282" s="98"/>
      <c r="P282" s="23" t="s">
        <v>1447</v>
      </c>
      <c r="Q282" s="24" t="s">
        <v>732</v>
      </c>
      <c r="R282" s="25" t="s">
        <v>606</v>
      </c>
      <c r="S282" s="26">
        <v>1</v>
      </c>
      <c r="T282" s="26"/>
      <c r="U282" s="26">
        <v>277.02999999999997</v>
      </c>
      <c r="V282" s="26">
        <f t="shared" si="50"/>
        <v>0</v>
      </c>
      <c r="W282" s="26">
        <f t="shared" si="53"/>
        <v>0</v>
      </c>
      <c r="X282" s="26">
        <f t="shared" si="51"/>
        <v>0</v>
      </c>
      <c r="Y282" s="26">
        <f t="shared" si="57"/>
        <v>0</v>
      </c>
      <c r="Z282" s="33" t="s">
        <v>15</v>
      </c>
      <c r="AA282" s="36" t="s">
        <v>16</v>
      </c>
      <c r="AB282" s="181">
        <f t="shared" si="54"/>
        <v>1</v>
      </c>
      <c r="AC282" s="181">
        <f t="shared" si="52"/>
        <v>277.02999999999997</v>
      </c>
      <c r="AD282" s="181">
        <v>1.7</v>
      </c>
      <c r="AE282" s="181">
        <v>1.7</v>
      </c>
      <c r="AF282" s="101" t="str">
        <f t="shared" si="55"/>
        <v/>
      </c>
      <c r="AG282" s="190">
        <v>0</v>
      </c>
      <c r="AH282" s="69">
        <f t="shared" si="56"/>
        <v>1</v>
      </c>
    </row>
    <row r="283" spans="1:34" s="69" customFormat="1" ht="39" hidden="1" x14ac:dyDescent="0.3">
      <c r="A283" s="55" t="s">
        <v>734</v>
      </c>
      <c r="B283" s="53" t="s">
        <v>735</v>
      </c>
      <c r="C283" s="54" t="s">
        <v>606</v>
      </c>
      <c r="D283" s="75">
        <v>1</v>
      </c>
      <c r="E283" s="75"/>
      <c r="F283" s="75"/>
      <c r="G283" s="75"/>
      <c r="H283" s="75">
        <v>286.3</v>
      </c>
      <c r="I283" s="75">
        <v>286.3</v>
      </c>
      <c r="J283" s="91" t="s">
        <v>736</v>
      </c>
      <c r="K283" s="73"/>
      <c r="L283" s="46">
        <v>0</v>
      </c>
      <c r="M283" s="46">
        <v>0</v>
      </c>
      <c r="N283" s="46">
        <v>0</v>
      </c>
      <c r="O283" s="98"/>
      <c r="P283" s="23" t="s">
        <v>1448</v>
      </c>
      <c r="Q283" s="24" t="s">
        <v>735</v>
      </c>
      <c r="R283" s="25" t="s">
        <v>606</v>
      </c>
      <c r="S283" s="26">
        <v>1</v>
      </c>
      <c r="T283" s="26"/>
      <c r="U283" s="26">
        <v>286.3</v>
      </c>
      <c r="V283" s="26">
        <f t="shared" si="50"/>
        <v>0</v>
      </c>
      <c r="W283" s="26">
        <f t="shared" si="53"/>
        <v>0</v>
      </c>
      <c r="X283" s="26">
        <f t="shared" si="51"/>
        <v>0</v>
      </c>
      <c r="Y283" s="26">
        <f t="shared" si="57"/>
        <v>0</v>
      </c>
      <c r="Z283" s="33" t="s">
        <v>15</v>
      </c>
      <c r="AA283" s="36" t="s">
        <v>16</v>
      </c>
      <c r="AB283" s="181">
        <f t="shared" si="54"/>
        <v>1</v>
      </c>
      <c r="AC283" s="181">
        <f t="shared" si="52"/>
        <v>286.3</v>
      </c>
      <c r="AD283" s="181">
        <v>1.7</v>
      </c>
      <c r="AE283" s="181">
        <v>1.7</v>
      </c>
      <c r="AF283" s="101" t="str">
        <f t="shared" si="55"/>
        <v/>
      </c>
      <c r="AG283" s="190">
        <v>0</v>
      </c>
      <c r="AH283" s="69">
        <f t="shared" si="56"/>
        <v>1</v>
      </c>
    </row>
    <row r="284" spans="1:34" s="69" customFormat="1" ht="39" hidden="1" x14ac:dyDescent="0.3">
      <c r="A284" s="55" t="s">
        <v>737</v>
      </c>
      <c r="B284" s="53" t="s">
        <v>738</v>
      </c>
      <c r="C284" s="54" t="s">
        <v>606</v>
      </c>
      <c r="D284" s="75">
        <v>1</v>
      </c>
      <c r="E284" s="75"/>
      <c r="F284" s="75"/>
      <c r="G284" s="75"/>
      <c r="H284" s="75">
        <v>134.37</v>
      </c>
      <c r="I284" s="75">
        <v>134.37</v>
      </c>
      <c r="J284" s="91" t="s">
        <v>739</v>
      </c>
      <c r="K284" s="73"/>
      <c r="L284" s="46">
        <v>0</v>
      </c>
      <c r="M284" s="46">
        <v>0</v>
      </c>
      <c r="N284" s="46">
        <v>0</v>
      </c>
      <c r="O284" s="98"/>
      <c r="P284" s="23" t="s">
        <v>1449</v>
      </c>
      <c r="Q284" s="24" t="s">
        <v>738</v>
      </c>
      <c r="R284" s="25" t="s">
        <v>606</v>
      </c>
      <c r="S284" s="26">
        <v>1</v>
      </c>
      <c r="T284" s="26"/>
      <c r="U284" s="26">
        <v>134.37</v>
      </c>
      <c r="V284" s="26">
        <f t="shared" si="50"/>
        <v>0</v>
      </c>
      <c r="W284" s="26">
        <f t="shared" si="53"/>
        <v>0</v>
      </c>
      <c r="X284" s="26">
        <f t="shared" si="51"/>
        <v>0</v>
      </c>
      <c r="Y284" s="26">
        <f t="shared" si="57"/>
        <v>0</v>
      </c>
      <c r="Z284" s="33" t="s">
        <v>15</v>
      </c>
      <c r="AA284" s="36" t="s">
        <v>16</v>
      </c>
      <c r="AB284" s="181">
        <f t="shared" si="54"/>
        <v>1</v>
      </c>
      <c r="AC284" s="181">
        <f t="shared" si="52"/>
        <v>134.37</v>
      </c>
      <c r="AD284" s="181">
        <v>1.7</v>
      </c>
      <c r="AE284" s="181">
        <v>1.7</v>
      </c>
      <c r="AF284" s="101" t="str">
        <f t="shared" si="55"/>
        <v/>
      </c>
      <c r="AG284" s="190">
        <v>0</v>
      </c>
      <c r="AH284" s="69">
        <f t="shared" si="56"/>
        <v>1</v>
      </c>
    </row>
    <row r="285" spans="1:34" s="69" customFormat="1" ht="39" hidden="1" x14ac:dyDescent="0.3">
      <c r="A285" s="55" t="s">
        <v>740</v>
      </c>
      <c r="B285" s="53" t="s">
        <v>741</v>
      </c>
      <c r="C285" s="54" t="s">
        <v>606</v>
      </c>
      <c r="D285" s="75">
        <v>1</v>
      </c>
      <c r="E285" s="75"/>
      <c r="F285" s="75"/>
      <c r="G285" s="75"/>
      <c r="H285" s="75">
        <v>142.1</v>
      </c>
      <c r="I285" s="75">
        <v>142.1</v>
      </c>
      <c r="J285" s="91" t="s">
        <v>742</v>
      </c>
      <c r="K285" s="73"/>
      <c r="L285" s="46">
        <v>0</v>
      </c>
      <c r="M285" s="46">
        <v>0</v>
      </c>
      <c r="N285" s="46">
        <v>0</v>
      </c>
      <c r="O285" s="98"/>
      <c r="P285" s="23" t="s">
        <v>1450</v>
      </c>
      <c r="Q285" s="24" t="s">
        <v>741</v>
      </c>
      <c r="R285" s="25" t="s">
        <v>606</v>
      </c>
      <c r="S285" s="26">
        <v>1</v>
      </c>
      <c r="T285" s="26"/>
      <c r="U285" s="26">
        <v>142.1</v>
      </c>
      <c r="V285" s="26">
        <f t="shared" si="50"/>
        <v>0</v>
      </c>
      <c r="W285" s="26">
        <f t="shared" si="53"/>
        <v>0</v>
      </c>
      <c r="X285" s="26">
        <f t="shared" si="51"/>
        <v>0</v>
      </c>
      <c r="Y285" s="26">
        <f t="shared" si="57"/>
        <v>0</v>
      </c>
      <c r="Z285" s="33" t="s">
        <v>15</v>
      </c>
      <c r="AA285" s="36" t="s">
        <v>16</v>
      </c>
      <c r="AB285" s="181">
        <f t="shared" si="54"/>
        <v>1</v>
      </c>
      <c r="AC285" s="181">
        <f t="shared" si="52"/>
        <v>142.1</v>
      </c>
      <c r="AD285" s="181">
        <v>1.7</v>
      </c>
      <c r="AE285" s="181">
        <v>1.7</v>
      </c>
      <c r="AF285" s="101" t="str">
        <f t="shared" si="55"/>
        <v/>
      </c>
      <c r="AG285" s="190">
        <v>0</v>
      </c>
      <c r="AH285" s="69">
        <f t="shared" si="56"/>
        <v>1</v>
      </c>
    </row>
    <row r="286" spans="1:34" s="69" customFormat="1" ht="39" hidden="1" x14ac:dyDescent="0.3">
      <c r="A286" s="55" t="s">
        <v>743</v>
      </c>
      <c r="B286" s="53" t="s">
        <v>744</v>
      </c>
      <c r="C286" s="54" t="s">
        <v>606</v>
      </c>
      <c r="D286" s="75">
        <v>1</v>
      </c>
      <c r="E286" s="75"/>
      <c r="F286" s="75"/>
      <c r="G286" s="75"/>
      <c r="H286" s="75">
        <v>90.32</v>
      </c>
      <c r="I286" s="75">
        <v>90.32</v>
      </c>
      <c r="J286" s="91" t="s">
        <v>745</v>
      </c>
      <c r="K286" s="73"/>
      <c r="L286" s="46">
        <v>0</v>
      </c>
      <c r="M286" s="46">
        <v>0</v>
      </c>
      <c r="N286" s="46">
        <v>0</v>
      </c>
      <c r="O286" s="98"/>
      <c r="P286" s="23" t="s">
        <v>1451</v>
      </c>
      <c r="Q286" s="24" t="s">
        <v>744</v>
      </c>
      <c r="R286" s="25" t="s">
        <v>606</v>
      </c>
      <c r="S286" s="26">
        <v>1</v>
      </c>
      <c r="T286" s="26"/>
      <c r="U286" s="26">
        <v>90.32</v>
      </c>
      <c r="V286" s="26">
        <f t="shared" si="50"/>
        <v>0</v>
      </c>
      <c r="W286" s="26">
        <f t="shared" si="53"/>
        <v>0</v>
      </c>
      <c r="X286" s="26">
        <f t="shared" si="51"/>
        <v>0</v>
      </c>
      <c r="Y286" s="26">
        <f t="shared" si="57"/>
        <v>0</v>
      </c>
      <c r="Z286" s="33" t="s">
        <v>15</v>
      </c>
      <c r="AA286" s="36" t="s">
        <v>16</v>
      </c>
      <c r="AB286" s="181">
        <f t="shared" si="54"/>
        <v>1</v>
      </c>
      <c r="AC286" s="181">
        <f t="shared" si="52"/>
        <v>90.32</v>
      </c>
      <c r="AD286" s="181">
        <v>1.7</v>
      </c>
      <c r="AE286" s="181">
        <v>1.7</v>
      </c>
      <c r="AF286" s="101" t="str">
        <f t="shared" si="55"/>
        <v/>
      </c>
      <c r="AG286" s="190">
        <v>0</v>
      </c>
      <c r="AH286" s="69">
        <f t="shared" si="56"/>
        <v>1</v>
      </c>
    </row>
    <row r="287" spans="1:34" s="69" customFormat="1" ht="39" hidden="1" x14ac:dyDescent="0.3">
      <c r="A287" s="55" t="s">
        <v>746</v>
      </c>
      <c r="B287" s="53" t="s">
        <v>747</v>
      </c>
      <c r="C287" s="54" t="s">
        <v>606</v>
      </c>
      <c r="D287" s="75">
        <v>1</v>
      </c>
      <c r="E287" s="75"/>
      <c r="F287" s="75"/>
      <c r="G287" s="75"/>
      <c r="H287" s="75">
        <v>125.1</v>
      </c>
      <c r="I287" s="75">
        <v>125.1</v>
      </c>
      <c r="J287" s="91" t="s">
        <v>748</v>
      </c>
      <c r="K287" s="73"/>
      <c r="L287" s="46">
        <v>0</v>
      </c>
      <c r="M287" s="46">
        <v>0</v>
      </c>
      <c r="N287" s="46">
        <v>0</v>
      </c>
      <c r="O287" s="98"/>
      <c r="P287" s="23" t="s">
        <v>1452</v>
      </c>
      <c r="Q287" s="24" t="s">
        <v>747</v>
      </c>
      <c r="R287" s="25" t="s">
        <v>606</v>
      </c>
      <c r="S287" s="26">
        <v>1</v>
      </c>
      <c r="T287" s="26"/>
      <c r="U287" s="26">
        <v>125.1</v>
      </c>
      <c r="V287" s="26">
        <f t="shared" si="50"/>
        <v>0</v>
      </c>
      <c r="W287" s="26">
        <f t="shared" si="53"/>
        <v>0</v>
      </c>
      <c r="X287" s="26">
        <f t="shared" si="51"/>
        <v>0</v>
      </c>
      <c r="Y287" s="26">
        <f t="shared" si="57"/>
        <v>0</v>
      </c>
      <c r="Z287" s="33" t="s">
        <v>15</v>
      </c>
      <c r="AA287" s="36" t="s">
        <v>16</v>
      </c>
      <c r="AB287" s="181">
        <f t="shared" si="54"/>
        <v>1</v>
      </c>
      <c r="AC287" s="181">
        <f t="shared" si="52"/>
        <v>125.1</v>
      </c>
      <c r="AD287" s="181">
        <v>1.7</v>
      </c>
      <c r="AE287" s="181">
        <v>1.7</v>
      </c>
      <c r="AF287" s="101" t="str">
        <f t="shared" si="55"/>
        <v/>
      </c>
      <c r="AG287" s="190">
        <v>0</v>
      </c>
      <c r="AH287" s="69">
        <f t="shared" si="56"/>
        <v>1</v>
      </c>
    </row>
    <row r="288" spans="1:34" s="69" customFormat="1" ht="39" hidden="1" x14ac:dyDescent="0.3">
      <c r="A288" s="55" t="s">
        <v>749</v>
      </c>
      <c r="B288" s="53" t="s">
        <v>750</v>
      </c>
      <c r="C288" s="54" t="s">
        <v>606</v>
      </c>
      <c r="D288" s="75">
        <v>1</v>
      </c>
      <c r="E288" s="75"/>
      <c r="F288" s="75"/>
      <c r="G288" s="75"/>
      <c r="H288" s="75">
        <v>137.04</v>
      </c>
      <c r="I288" s="75">
        <v>137.04</v>
      </c>
      <c r="J288" s="91" t="s">
        <v>751</v>
      </c>
      <c r="K288" s="73"/>
      <c r="L288" s="46">
        <v>0</v>
      </c>
      <c r="M288" s="46">
        <v>0</v>
      </c>
      <c r="N288" s="46">
        <v>0</v>
      </c>
      <c r="O288" s="98"/>
      <c r="P288" s="23" t="s">
        <v>1453</v>
      </c>
      <c r="Q288" s="24" t="s">
        <v>750</v>
      </c>
      <c r="R288" s="25" t="s">
        <v>606</v>
      </c>
      <c r="S288" s="26">
        <v>1</v>
      </c>
      <c r="T288" s="26"/>
      <c r="U288" s="26">
        <v>137.04</v>
      </c>
      <c r="V288" s="26">
        <f t="shared" si="50"/>
        <v>0</v>
      </c>
      <c r="W288" s="26">
        <f t="shared" si="53"/>
        <v>0</v>
      </c>
      <c r="X288" s="26">
        <f t="shared" si="51"/>
        <v>0</v>
      </c>
      <c r="Y288" s="26">
        <f t="shared" si="57"/>
        <v>0</v>
      </c>
      <c r="Z288" s="33" t="s">
        <v>15</v>
      </c>
      <c r="AA288" s="36" t="s">
        <v>16</v>
      </c>
      <c r="AB288" s="181">
        <f t="shared" si="54"/>
        <v>1</v>
      </c>
      <c r="AC288" s="181">
        <f t="shared" si="52"/>
        <v>137.04</v>
      </c>
      <c r="AD288" s="181">
        <v>1.7</v>
      </c>
      <c r="AE288" s="181">
        <v>1.7</v>
      </c>
      <c r="AF288" s="101" t="str">
        <f t="shared" si="55"/>
        <v/>
      </c>
      <c r="AG288" s="190">
        <v>0</v>
      </c>
      <c r="AH288" s="69">
        <f t="shared" si="56"/>
        <v>1</v>
      </c>
    </row>
    <row r="289" spans="1:34" s="69" customFormat="1" ht="39" hidden="1" x14ac:dyDescent="0.3">
      <c r="A289" s="55" t="s">
        <v>752</v>
      </c>
      <c r="B289" s="53" t="s">
        <v>753</v>
      </c>
      <c r="C289" s="54" t="s">
        <v>606</v>
      </c>
      <c r="D289" s="75">
        <v>1</v>
      </c>
      <c r="E289" s="75"/>
      <c r="F289" s="75"/>
      <c r="G289" s="75"/>
      <c r="H289" s="75">
        <v>107.12</v>
      </c>
      <c r="I289" s="75">
        <v>107.12</v>
      </c>
      <c r="J289" s="91" t="s">
        <v>754</v>
      </c>
      <c r="K289" s="73"/>
      <c r="L289" s="46">
        <v>0</v>
      </c>
      <c r="M289" s="46">
        <v>0</v>
      </c>
      <c r="N289" s="46">
        <v>0</v>
      </c>
      <c r="O289" s="98"/>
      <c r="P289" s="23" t="s">
        <v>1454</v>
      </c>
      <c r="Q289" s="24" t="s">
        <v>753</v>
      </c>
      <c r="R289" s="25" t="s">
        <v>606</v>
      </c>
      <c r="S289" s="26">
        <v>1</v>
      </c>
      <c r="T289" s="26"/>
      <c r="U289" s="26">
        <v>107.12</v>
      </c>
      <c r="V289" s="26">
        <f t="shared" si="50"/>
        <v>0</v>
      </c>
      <c r="W289" s="26">
        <f t="shared" si="53"/>
        <v>0</v>
      </c>
      <c r="X289" s="26">
        <f t="shared" si="51"/>
        <v>0</v>
      </c>
      <c r="Y289" s="26">
        <f t="shared" si="57"/>
        <v>0</v>
      </c>
      <c r="Z289" s="33" t="s">
        <v>15</v>
      </c>
      <c r="AA289" s="36" t="s">
        <v>16</v>
      </c>
      <c r="AB289" s="181">
        <f t="shared" si="54"/>
        <v>1</v>
      </c>
      <c r="AC289" s="181">
        <f t="shared" si="52"/>
        <v>107.12</v>
      </c>
      <c r="AD289" s="181">
        <v>1.7</v>
      </c>
      <c r="AE289" s="181">
        <v>1.7</v>
      </c>
      <c r="AF289" s="101" t="str">
        <f t="shared" si="55"/>
        <v/>
      </c>
      <c r="AG289" s="190">
        <v>0</v>
      </c>
      <c r="AH289" s="69">
        <f t="shared" si="56"/>
        <v>1</v>
      </c>
    </row>
    <row r="290" spans="1:34" s="69" customFormat="1" ht="39" hidden="1" x14ac:dyDescent="0.3">
      <c r="A290" s="55" t="s">
        <v>755</v>
      </c>
      <c r="B290" s="53" t="s">
        <v>756</v>
      </c>
      <c r="C290" s="54" t="s">
        <v>606</v>
      </c>
      <c r="D290" s="75">
        <v>1</v>
      </c>
      <c r="E290" s="75"/>
      <c r="F290" s="75"/>
      <c r="G290" s="75"/>
      <c r="H290" s="75">
        <v>124.17</v>
      </c>
      <c r="I290" s="75">
        <v>124.17</v>
      </c>
      <c r="J290" s="91" t="s">
        <v>757</v>
      </c>
      <c r="K290" s="73"/>
      <c r="L290" s="46">
        <v>0</v>
      </c>
      <c r="M290" s="46">
        <v>0</v>
      </c>
      <c r="N290" s="46">
        <v>0</v>
      </c>
      <c r="O290" s="98"/>
      <c r="P290" s="23" t="s">
        <v>1455</v>
      </c>
      <c r="Q290" s="24" t="s">
        <v>756</v>
      </c>
      <c r="R290" s="25" t="s">
        <v>606</v>
      </c>
      <c r="S290" s="26">
        <v>1</v>
      </c>
      <c r="T290" s="26"/>
      <c r="U290" s="26">
        <v>124.17</v>
      </c>
      <c r="V290" s="26">
        <f t="shared" si="50"/>
        <v>0</v>
      </c>
      <c r="W290" s="26">
        <f t="shared" si="53"/>
        <v>0</v>
      </c>
      <c r="X290" s="26">
        <f t="shared" si="51"/>
        <v>0</v>
      </c>
      <c r="Y290" s="26">
        <f t="shared" si="57"/>
        <v>0</v>
      </c>
      <c r="Z290" s="33" t="s">
        <v>15</v>
      </c>
      <c r="AA290" s="36" t="s">
        <v>16</v>
      </c>
      <c r="AB290" s="181">
        <f t="shared" si="54"/>
        <v>1</v>
      </c>
      <c r="AC290" s="181">
        <f t="shared" si="52"/>
        <v>124.17</v>
      </c>
      <c r="AD290" s="181">
        <v>1.7</v>
      </c>
      <c r="AE290" s="181">
        <v>1.7</v>
      </c>
      <c r="AF290" s="101" t="str">
        <f t="shared" si="55"/>
        <v/>
      </c>
      <c r="AG290" s="190">
        <v>0</v>
      </c>
      <c r="AH290" s="69">
        <f t="shared" si="56"/>
        <v>1</v>
      </c>
    </row>
    <row r="291" spans="1:34" s="69" customFormat="1" ht="39" hidden="1" x14ac:dyDescent="0.3">
      <c r="A291" s="55" t="s">
        <v>758</v>
      </c>
      <c r="B291" s="53" t="s">
        <v>759</v>
      </c>
      <c r="C291" s="54" t="s">
        <v>606</v>
      </c>
      <c r="D291" s="75">
        <v>1</v>
      </c>
      <c r="E291" s="75"/>
      <c r="F291" s="75"/>
      <c r="G291" s="75"/>
      <c r="H291" s="75">
        <v>121.59</v>
      </c>
      <c r="I291" s="75">
        <v>121.59</v>
      </c>
      <c r="J291" s="91" t="s">
        <v>760</v>
      </c>
      <c r="K291" s="73"/>
      <c r="L291" s="46">
        <v>0</v>
      </c>
      <c r="M291" s="46">
        <v>0</v>
      </c>
      <c r="N291" s="46">
        <v>0</v>
      </c>
      <c r="O291" s="98"/>
      <c r="P291" s="23" t="s">
        <v>1456</v>
      </c>
      <c r="Q291" s="24" t="s">
        <v>759</v>
      </c>
      <c r="R291" s="25" t="s">
        <v>606</v>
      </c>
      <c r="S291" s="26">
        <v>1</v>
      </c>
      <c r="T291" s="26"/>
      <c r="U291" s="26">
        <v>121.59</v>
      </c>
      <c r="V291" s="26">
        <f t="shared" si="50"/>
        <v>0</v>
      </c>
      <c r="W291" s="26">
        <f t="shared" si="53"/>
        <v>0</v>
      </c>
      <c r="X291" s="26">
        <f t="shared" si="51"/>
        <v>0</v>
      </c>
      <c r="Y291" s="26">
        <f t="shared" si="57"/>
        <v>0</v>
      </c>
      <c r="Z291" s="33" t="s">
        <v>15</v>
      </c>
      <c r="AA291" s="36" t="s">
        <v>16</v>
      </c>
      <c r="AB291" s="181">
        <f t="shared" si="54"/>
        <v>1</v>
      </c>
      <c r="AC291" s="181">
        <f t="shared" si="52"/>
        <v>121.59</v>
      </c>
      <c r="AD291" s="181">
        <v>1.7</v>
      </c>
      <c r="AE291" s="181">
        <v>1.7</v>
      </c>
      <c r="AF291" s="101" t="str">
        <f t="shared" si="55"/>
        <v/>
      </c>
      <c r="AG291" s="190">
        <v>0</v>
      </c>
      <c r="AH291" s="69">
        <f t="shared" si="56"/>
        <v>1</v>
      </c>
    </row>
    <row r="292" spans="1:34" s="69" customFormat="1" ht="39" hidden="1" x14ac:dyDescent="0.3">
      <c r="A292" s="55" t="s">
        <v>761</v>
      </c>
      <c r="B292" s="53" t="s">
        <v>762</v>
      </c>
      <c r="C292" s="54" t="s">
        <v>606</v>
      </c>
      <c r="D292" s="75">
        <v>1</v>
      </c>
      <c r="E292" s="75"/>
      <c r="F292" s="75"/>
      <c r="G292" s="75"/>
      <c r="H292" s="75">
        <v>154.51</v>
      </c>
      <c r="I292" s="75">
        <v>154.51</v>
      </c>
      <c r="J292" s="91" t="s">
        <v>763</v>
      </c>
      <c r="K292" s="73"/>
      <c r="L292" s="46">
        <v>0</v>
      </c>
      <c r="M292" s="46">
        <v>0</v>
      </c>
      <c r="N292" s="46">
        <v>0</v>
      </c>
      <c r="O292" s="98"/>
      <c r="P292" s="23" t="s">
        <v>1457</v>
      </c>
      <c r="Q292" s="24" t="s">
        <v>762</v>
      </c>
      <c r="R292" s="25" t="s">
        <v>606</v>
      </c>
      <c r="S292" s="26">
        <v>1</v>
      </c>
      <c r="T292" s="26"/>
      <c r="U292" s="26">
        <v>154.51</v>
      </c>
      <c r="V292" s="26">
        <f t="shared" si="50"/>
        <v>0</v>
      </c>
      <c r="W292" s="26">
        <f t="shared" si="53"/>
        <v>0</v>
      </c>
      <c r="X292" s="26">
        <f t="shared" si="51"/>
        <v>0</v>
      </c>
      <c r="Y292" s="26">
        <f t="shared" si="57"/>
        <v>0</v>
      </c>
      <c r="Z292" s="33" t="s">
        <v>15</v>
      </c>
      <c r="AA292" s="36" t="s">
        <v>16</v>
      </c>
      <c r="AB292" s="181">
        <f t="shared" si="54"/>
        <v>1</v>
      </c>
      <c r="AC292" s="181">
        <f t="shared" si="52"/>
        <v>154.51</v>
      </c>
      <c r="AD292" s="181">
        <v>1.7</v>
      </c>
      <c r="AE292" s="181">
        <v>1.7</v>
      </c>
      <c r="AF292" s="101" t="str">
        <f t="shared" si="55"/>
        <v/>
      </c>
      <c r="AG292" s="190">
        <v>0</v>
      </c>
      <c r="AH292" s="69">
        <f t="shared" si="56"/>
        <v>1</v>
      </c>
    </row>
    <row r="293" spans="1:34" s="69" customFormat="1" ht="39" hidden="1" x14ac:dyDescent="0.3">
      <c r="A293" s="55" t="s">
        <v>764</v>
      </c>
      <c r="B293" s="53" t="s">
        <v>765</v>
      </c>
      <c r="C293" s="54" t="s">
        <v>606</v>
      </c>
      <c r="D293" s="75">
        <v>1</v>
      </c>
      <c r="E293" s="75"/>
      <c r="F293" s="75"/>
      <c r="G293" s="75"/>
      <c r="H293" s="75">
        <v>36.549999999999997</v>
      </c>
      <c r="I293" s="75">
        <v>36.549999999999997</v>
      </c>
      <c r="J293" s="91" t="s">
        <v>766</v>
      </c>
      <c r="K293" s="73"/>
      <c r="L293" s="46">
        <v>0</v>
      </c>
      <c r="M293" s="46">
        <v>0</v>
      </c>
      <c r="N293" s="46">
        <v>0</v>
      </c>
      <c r="O293" s="98"/>
      <c r="P293" s="23" t="s">
        <v>1458</v>
      </c>
      <c r="Q293" s="24" t="s">
        <v>765</v>
      </c>
      <c r="R293" s="25" t="s">
        <v>606</v>
      </c>
      <c r="S293" s="26">
        <v>1</v>
      </c>
      <c r="T293" s="26"/>
      <c r="U293" s="26">
        <v>36.549999999999997</v>
      </c>
      <c r="V293" s="26">
        <f t="shared" si="50"/>
        <v>0</v>
      </c>
      <c r="W293" s="26">
        <f t="shared" si="53"/>
        <v>0</v>
      </c>
      <c r="X293" s="26">
        <f t="shared" si="51"/>
        <v>0</v>
      </c>
      <c r="Y293" s="26">
        <f t="shared" si="57"/>
        <v>0</v>
      </c>
      <c r="Z293" s="33" t="s">
        <v>15</v>
      </c>
      <c r="AA293" s="36" t="s">
        <v>16</v>
      </c>
      <c r="AB293" s="181">
        <f t="shared" si="54"/>
        <v>1</v>
      </c>
      <c r="AC293" s="181">
        <f t="shared" si="52"/>
        <v>36.549999999999997</v>
      </c>
      <c r="AD293" s="181">
        <v>1.7</v>
      </c>
      <c r="AE293" s="181">
        <v>1.7</v>
      </c>
      <c r="AF293" s="101" t="str">
        <f t="shared" si="55"/>
        <v/>
      </c>
      <c r="AG293" s="190">
        <v>0</v>
      </c>
      <c r="AH293" s="69">
        <f t="shared" si="56"/>
        <v>1</v>
      </c>
    </row>
    <row r="294" spans="1:34" s="69" customFormat="1" ht="39" hidden="1" x14ac:dyDescent="0.3">
      <c r="A294" s="55" t="s">
        <v>767</v>
      </c>
      <c r="B294" s="53" t="s">
        <v>768</v>
      </c>
      <c r="C294" s="54" t="s">
        <v>606</v>
      </c>
      <c r="D294" s="75">
        <v>1</v>
      </c>
      <c r="E294" s="75"/>
      <c r="F294" s="75"/>
      <c r="G294" s="75"/>
      <c r="H294" s="75">
        <v>27.8</v>
      </c>
      <c r="I294" s="75">
        <v>27.8</v>
      </c>
      <c r="J294" s="91" t="s">
        <v>769</v>
      </c>
      <c r="K294" s="73"/>
      <c r="L294" s="46">
        <v>0</v>
      </c>
      <c r="M294" s="46">
        <v>0</v>
      </c>
      <c r="N294" s="46">
        <v>0</v>
      </c>
      <c r="O294" s="98"/>
      <c r="P294" s="23" t="s">
        <v>1459</v>
      </c>
      <c r="Q294" s="24" t="s">
        <v>768</v>
      </c>
      <c r="R294" s="25" t="s">
        <v>606</v>
      </c>
      <c r="S294" s="26">
        <v>1</v>
      </c>
      <c r="T294" s="26"/>
      <c r="U294" s="26">
        <v>27.8</v>
      </c>
      <c r="V294" s="26">
        <f t="shared" si="50"/>
        <v>0</v>
      </c>
      <c r="W294" s="26">
        <f t="shared" si="53"/>
        <v>0</v>
      </c>
      <c r="X294" s="26">
        <f t="shared" si="51"/>
        <v>0</v>
      </c>
      <c r="Y294" s="26">
        <f t="shared" si="57"/>
        <v>0</v>
      </c>
      <c r="Z294" s="33" t="s">
        <v>15</v>
      </c>
      <c r="AA294" s="36" t="s">
        <v>16</v>
      </c>
      <c r="AB294" s="181">
        <f t="shared" si="54"/>
        <v>1</v>
      </c>
      <c r="AC294" s="181">
        <f t="shared" si="52"/>
        <v>27.8</v>
      </c>
      <c r="AD294" s="181">
        <v>1.7</v>
      </c>
      <c r="AE294" s="181">
        <v>1.7</v>
      </c>
      <c r="AF294" s="101" t="str">
        <f t="shared" si="55"/>
        <v/>
      </c>
      <c r="AG294" s="190">
        <v>0</v>
      </c>
      <c r="AH294" s="69">
        <f t="shared" si="56"/>
        <v>1</v>
      </c>
    </row>
    <row r="295" spans="1:34" s="69" customFormat="1" ht="39" hidden="1" x14ac:dyDescent="0.3">
      <c r="A295" s="55" t="s">
        <v>770</v>
      </c>
      <c r="B295" s="53" t="s">
        <v>771</v>
      </c>
      <c r="C295" s="54" t="s">
        <v>606</v>
      </c>
      <c r="D295" s="75">
        <v>1</v>
      </c>
      <c r="E295" s="75"/>
      <c r="F295" s="75"/>
      <c r="G295" s="75"/>
      <c r="H295" s="75">
        <v>105.13</v>
      </c>
      <c r="I295" s="75">
        <v>105.13</v>
      </c>
      <c r="J295" s="91" t="s">
        <v>772</v>
      </c>
      <c r="K295" s="73"/>
      <c r="L295" s="46">
        <v>0</v>
      </c>
      <c r="M295" s="46">
        <v>0</v>
      </c>
      <c r="N295" s="46">
        <v>0</v>
      </c>
      <c r="O295" s="98"/>
      <c r="P295" s="23" t="s">
        <v>1460</v>
      </c>
      <c r="Q295" s="24" t="s">
        <v>771</v>
      </c>
      <c r="R295" s="25" t="s">
        <v>606</v>
      </c>
      <c r="S295" s="26">
        <v>1</v>
      </c>
      <c r="T295" s="26"/>
      <c r="U295" s="26">
        <v>105.13</v>
      </c>
      <c r="V295" s="26">
        <f t="shared" si="50"/>
        <v>0</v>
      </c>
      <c r="W295" s="26">
        <f t="shared" si="53"/>
        <v>0</v>
      </c>
      <c r="X295" s="26">
        <f t="shared" si="51"/>
        <v>0</v>
      </c>
      <c r="Y295" s="26">
        <f t="shared" si="57"/>
        <v>0</v>
      </c>
      <c r="Z295" s="33" t="s">
        <v>15</v>
      </c>
      <c r="AA295" s="36" t="s">
        <v>16</v>
      </c>
      <c r="AB295" s="181">
        <f t="shared" si="54"/>
        <v>1</v>
      </c>
      <c r="AC295" s="181">
        <f t="shared" si="52"/>
        <v>105.13</v>
      </c>
      <c r="AD295" s="181">
        <v>1.7</v>
      </c>
      <c r="AE295" s="181">
        <v>1.7</v>
      </c>
      <c r="AF295" s="101" t="str">
        <f t="shared" si="55"/>
        <v/>
      </c>
      <c r="AG295" s="190">
        <v>0</v>
      </c>
      <c r="AH295" s="69">
        <f t="shared" si="56"/>
        <v>1</v>
      </c>
    </row>
    <row r="296" spans="1:34" s="69" customFormat="1" ht="39" hidden="1" x14ac:dyDescent="0.3">
      <c r="A296" s="55" t="s">
        <v>773</v>
      </c>
      <c r="B296" s="53" t="s">
        <v>774</v>
      </c>
      <c r="C296" s="54" t="s">
        <v>606</v>
      </c>
      <c r="D296" s="75">
        <v>1</v>
      </c>
      <c r="E296" s="75"/>
      <c r="F296" s="75"/>
      <c r="G296" s="75"/>
      <c r="H296" s="75">
        <v>53.12</v>
      </c>
      <c r="I296" s="75">
        <v>53.12</v>
      </c>
      <c r="J296" s="91" t="s">
        <v>775</v>
      </c>
      <c r="K296" s="73"/>
      <c r="L296" s="46">
        <v>0</v>
      </c>
      <c r="M296" s="46">
        <v>0</v>
      </c>
      <c r="N296" s="46">
        <v>0</v>
      </c>
      <c r="O296" s="98"/>
      <c r="P296" s="23" t="s">
        <v>1461</v>
      </c>
      <c r="Q296" s="24" t="s">
        <v>774</v>
      </c>
      <c r="R296" s="25" t="s">
        <v>606</v>
      </c>
      <c r="S296" s="26">
        <v>1</v>
      </c>
      <c r="T296" s="26"/>
      <c r="U296" s="26">
        <v>53.12</v>
      </c>
      <c r="V296" s="26">
        <f t="shared" si="50"/>
        <v>0</v>
      </c>
      <c r="W296" s="26">
        <f t="shared" si="53"/>
        <v>0</v>
      </c>
      <c r="X296" s="26">
        <f t="shared" si="51"/>
        <v>0</v>
      </c>
      <c r="Y296" s="26">
        <f t="shared" si="57"/>
        <v>0</v>
      </c>
      <c r="Z296" s="33" t="s">
        <v>15</v>
      </c>
      <c r="AA296" s="36" t="s">
        <v>16</v>
      </c>
      <c r="AB296" s="181">
        <f t="shared" si="54"/>
        <v>1</v>
      </c>
      <c r="AC296" s="181">
        <f t="shared" si="52"/>
        <v>53.12</v>
      </c>
      <c r="AD296" s="181">
        <v>1.7</v>
      </c>
      <c r="AE296" s="181">
        <v>1.7</v>
      </c>
      <c r="AF296" s="101" t="str">
        <f t="shared" si="55"/>
        <v/>
      </c>
      <c r="AG296" s="190">
        <v>0</v>
      </c>
      <c r="AH296" s="69">
        <f t="shared" si="56"/>
        <v>1</v>
      </c>
    </row>
    <row r="297" spans="1:34" s="69" customFormat="1" ht="39" hidden="1" x14ac:dyDescent="0.3">
      <c r="A297" s="55" t="s">
        <v>776</v>
      </c>
      <c r="B297" s="53" t="s">
        <v>777</v>
      </c>
      <c r="C297" s="54" t="s">
        <v>606</v>
      </c>
      <c r="D297" s="75">
        <v>1</v>
      </c>
      <c r="E297" s="75"/>
      <c r="F297" s="75"/>
      <c r="G297" s="75"/>
      <c r="H297" s="75">
        <v>36.380000000000003</v>
      </c>
      <c r="I297" s="75">
        <v>36.380000000000003</v>
      </c>
      <c r="J297" s="91" t="s">
        <v>778</v>
      </c>
      <c r="K297" s="73"/>
      <c r="L297" s="46">
        <v>0</v>
      </c>
      <c r="M297" s="46">
        <v>0</v>
      </c>
      <c r="N297" s="46">
        <v>0</v>
      </c>
      <c r="O297" s="98"/>
      <c r="P297" s="23" t="s">
        <v>1462</v>
      </c>
      <c r="Q297" s="24" t="s">
        <v>777</v>
      </c>
      <c r="R297" s="25" t="s">
        <v>606</v>
      </c>
      <c r="S297" s="26">
        <v>1</v>
      </c>
      <c r="T297" s="26"/>
      <c r="U297" s="26">
        <v>36.380000000000003</v>
      </c>
      <c r="V297" s="26">
        <f t="shared" si="50"/>
        <v>0</v>
      </c>
      <c r="W297" s="26">
        <f t="shared" si="53"/>
        <v>0</v>
      </c>
      <c r="X297" s="26">
        <f t="shared" si="51"/>
        <v>0</v>
      </c>
      <c r="Y297" s="26">
        <f t="shared" si="57"/>
        <v>0</v>
      </c>
      <c r="Z297" s="33" t="s">
        <v>15</v>
      </c>
      <c r="AA297" s="36" t="s">
        <v>16</v>
      </c>
      <c r="AB297" s="181">
        <f t="shared" si="54"/>
        <v>1</v>
      </c>
      <c r="AC297" s="181">
        <f t="shared" si="52"/>
        <v>36.380000000000003</v>
      </c>
      <c r="AD297" s="181">
        <v>1.7</v>
      </c>
      <c r="AE297" s="181">
        <v>1.7</v>
      </c>
      <c r="AF297" s="101" t="str">
        <f t="shared" si="55"/>
        <v/>
      </c>
      <c r="AG297" s="190">
        <v>0</v>
      </c>
      <c r="AH297" s="69">
        <f t="shared" si="56"/>
        <v>1</v>
      </c>
    </row>
    <row r="298" spans="1:34" s="69" customFormat="1" ht="39" hidden="1" x14ac:dyDescent="0.3">
      <c r="A298" s="55" t="s">
        <v>779</v>
      </c>
      <c r="B298" s="53" t="s">
        <v>780</v>
      </c>
      <c r="C298" s="54" t="s">
        <v>606</v>
      </c>
      <c r="D298" s="75">
        <v>1</v>
      </c>
      <c r="E298" s="75"/>
      <c r="F298" s="75"/>
      <c r="G298" s="75"/>
      <c r="H298" s="75">
        <v>59.74</v>
      </c>
      <c r="I298" s="75">
        <v>59.74</v>
      </c>
      <c r="J298" s="91" t="s">
        <v>781</v>
      </c>
      <c r="K298" s="73"/>
      <c r="L298" s="46">
        <v>0</v>
      </c>
      <c r="M298" s="46">
        <v>0</v>
      </c>
      <c r="N298" s="46">
        <v>0</v>
      </c>
      <c r="O298" s="98"/>
      <c r="P298" s="23" t="s">
        <v>1463</v>
      </c>
      <c r="Q298" s="24" t="s">
        <v>780</v>
      </c>
      <c r="R298" s="25" t="s">
        <v>606</v>
      </c>
      <c r="S298" s="26">
        <v>1</v>
      </c>
      <c r="T298" s="26"/>
      <c r="U298" s="26">
        <v>59.74</v>
      </c>
      <c r="V298" s="26">
        <f t="shared" si="50"/>
        <v>0</v>
      </c>
      <c r="W298" s="26">
        <f t="shared" si="53"/>
        <v>0</v>
      </c>
      <c r="X298" s="26">
        <f t="shared" si="51"/>
        <v>0</v>
      </c>
      <c r="Y298" s="26">
        <f t="shared" si="57"/>
        <v>0</v>
      </c>
      <c r="Z298" s="33" t="s">
        <v>15</v>
      </c>
      <c r="AA298" s="36" t="s">
        <v>16</v>
      </c>
      <c r="AB298" s="181">
        <f t="shared" si="54"/>
        <v>1</v>
      </c>
      <c r="AC298" s="181">
        <f t="shared" si="52"/>
        <v>59.74</v>
      </c>
      <c r="AD298" s="181">
        <v>1.7</v>
      </c>
      <c r="AE298" s="181">
        <v>1.7</v>
      </c>
      <c r="AF298" s="101" t="str">
        <f t="shared" si="55"/>
        <v/>
      </c>
      <c r="AG298" s="190">
        <v>0</v>
      </c>
      <c r="AH298" s="69">
        <f t="shared" si="56"/>
        <v>1</v>
      </c>
    </row>
    <row r="299" spans="1:34" s="69" customFormat="1" ht="39" hidden="1" x14ac:dyDescent="0.3">
      <c r="A299" s="55" t="s">
        <v>782</v>
      </c>
      <c r="B299" s="53" t="s">
        <v>783</v>
      </c>
      <c r="C299" s="54" t="s">
        <v>606</v>
      </c>
      <c r="D299" s="75">
        <v>1</v>
      </c>
      <c r="E299" s="75"/>
      <c r="F299" s="75"/>
      <c r="G299" s="75"/>
      <c r="H299" s="75">
        <v>80.41</v>
      </c>
      <c r="I299" s="75">
        <v>80.41</v>
      </c>
      <c r="J299" s="91" t="s">
        <v>784</v>
      </c>
      <c r="K299" s="73"/>
      <c r="L299" s="46">
        <v>0</v>
      </c>
      <c r="M299" s="46">
        <v>0</v>
      </c>
      <c r="N299" s="46">
        <v>0</v>
      </c>
      <c r="O299" s="98"/>
      <c r="P299" s="23" t="s">
        <v>1464</v>
      </c>
      <c r="Q299" s="24" t="s">
        <v>783</v>
      </c>
      <c r="R299" s="25" t="s">
        <v>606</v>
      </c>
      <c r="S299" s="26">
        <v>1</v>
      </c>
      <c r="T299" s="26"/>
      <c r="U299" s="26">
        <v>80.41</v>
      </c>
      <c r="V299" s="26">
        <f t="shared" si="50"/>
        <v>0</v>
      </c>
      <c r="W299" s="26">
        <f t="shared" si="53"/>
        <v>0</v>
      </c>
      <c r="X299" s="26">
        <f t="shared" si="51"/>
        <v>0</v>
      </c>
      <c r="Y299" s="26">
        <f t="shared" si="57"/>
        <v>0</v>
      </c>
      <c r="Z299" s="33" t="s">
        <v>15</v>
      </c>
      <c r="AA299" s="36" t="s">
        <v>16</v>
      </c>
      <c r="AB299" s="181">
        <f t="shared" si="54"/>
        <v>1</v>
      </c>
      <c r="AC299" s="181">
        <f t="shared" si="52"/>
        <v>80.41</v>
      </c>
      <c r="AD299" s="181">
        <v>1.7</v>
      </c>
      <c r="AE299" s="181">
        <v>1.7</v>
      </c>
      <c r="AF299" s="101" t="str">
        <f t="shared" si="55"/>
        <v/>
      </c>
      <c r="AG299" s="190">
        <v>0</v>
      </c>
      <c r="AH299" s="69">
        <f t="shared" si="56"/>
        <v>1</v>
      </c>
    </row>
    <row r="300" spans="1:34" s="69" customFormat="1" ht="39" hidden="1" x14ac:dyDescent="0.3">
      <c r="A300" s="55" t="s">
        <v>785</v>
      </c>
      <c r="B300" s="53" t="s">
        <v>786</v>
      </c>
      <c r="C300" s="54" t="s">
        <v>606</v>
      </c>
      <c r="D300" s="75">
        <v>1</v>
      </c>
      <c r="E300" s="75"/>
      <c r="F300" s="75"/>
      <c r="G300" s="75"/>
      <c r="H300" s="75">
        <v>64.959999999999994</v>
      </c>
      <c r="I300" s="75">
        <v>64.959999999999994</v>
      </c>
      <c r="J300" s="91" t="s">
        <v>787</v>
      </c>
      <c r="K300" s="73"/>
      <c r="L300" s="46">
        <v>0</v>
      </c>
      <c r="M300" s="46">
        <v>0</v>
      </c>
      <c r="N300" s="46">
        <v>0</v>
      </c>
      <c r="O300" s="98"/>
      <c r="P300" s="23" t="s">
        <v>1465</v>
      </c>
      <c r="Q300" s="24" t="s">
        <v>786</v>
      </c>
      <c r="R300" s="25" t="s">
        <v>606</v>
      </c>
      <c r="S300" s="26">
        <v>1</v>
      </c>
      <c r="T300" s="26"/>
      <c r="U300" s="26">
        <v>64.959999999999994</v>
      </c>
      <c r="V300" s="26">
        <f t="shared" si="50"/>
        <v>0</v>
      </c>
      <c r="W300" s="26">
        <f t="shared" si="53"/>
        <v>0</v>
      </c>
      <c r="X300" s="26">
        <f t="shared" si="51"/>
        <v>0</v>
      </c>
      <c r="Y300" s="26">
        <f t="shared" si="57"/>
        <v>0</v>
      </c>
      <c r="Z300" s="33" t="s">
        <v>15</v>
      </c>
      <c r="AA300" s="36" t="s">
        <v>16</v>
      </c>
      <c r="AB300" s="181">
        <f t="shared" si="54"/>
        <v>1</v>
      </c>
      <c r="AC300" s="181">
        <f t="shared" si="52"/>
        <v>64.959999999999994</v>
      </c>
      <c r="AD300" s="181">
        <v>1.7</v>
      </c>
      <c r="AE300" s="181">
        <v>1.7</v>
      </c>
      <c r="AF300" s="101" t="str">
        <f t="shared" si="55"/>
        <v/>
      </c>
      <c r="AG300" s="190">
        <v>0</v>
      </c>
      <c r="AH300" s="69">
        <f t="shared" si="56"/>
        <v>1</v>
      </c>
    </row>
    <row r="301" spans="1:34" s="69" customFormat="1" ht="39" hidden="1" x14ac:dyDescent="0.3">
      <c r="A301" s="55" t="s">
        <v>788</v>
      </c>
      <c r="B301" s="53" t="s">
        <v>789</v>
      </c>
      <c r="C301" s="54" t="s">
        <v>606</v>
      </c>
      <c r="D301" s="75">
        <v>1</v>
      </c>
      <c r="E301" s="75"/>
      <c r="F301" s="75"/>
      <c r="G301" s="75"/>
      <c r="H301" s="75">
        <v>95.86</v>
      </c>
      <c r="I301" s="75">
        <v>95.86</v>
      </c>
      <c r="J301" s="91" t="s">
        <v>790</v>
      </c>
      <c r="K301" s="73"/>
      <c r="L301" s="46">
        <v>0</v>
      </c>
      <c r="M301" s="46">
        <v>0</v>
      </c>
      <c r="N301" s="46">
        <v>0</v>
      </c>
      <c r="O301" s="98"/>
      <c r="P301" s="23" t="s">
        <v>1466</v>
      </c>
      <c r="Q301" s="24" t="s">
        <v>789</v>
      </c>
      <c r="R301" s="25" t="s">
        <v>606</v>
      </c>
      <c r="S301" s="26">
        <v>1</v>
      </c>
      <c r="T301" s="26"/>
      <c r="U301" s="26">
        <v>95.86</v>
      </c>
      <c r="V301" s="26">
        <f t="shared" si="50"/>
        <v>0</v>
      </c>
      <c r="W301" s="26">
        <f t="shared" si="53"/>
        <v>0</v>
      </c>
      <c r="X301" s="26">
        <f t="shared" si="51"/>
        <v>0</v>
      </c>
      <c r="Y301" s="26">
        <f t="shared" si="57"/>
        <v>0</v>
      </c>
      <c r="Z301" s="33" t="s">
        <v>15</v>
      </c>
      <c r="AA301" s="36" t="s">
        <v>16</v>
      </c>
      <c r="AB301" s="181">
        <f t="shared" si="54"/>
        <v>1</v>
      </c>
      <c r="AC301" s="181">
        <f t="shared" si="52"/>
        <v>95.86</v>
      </c>
      <c r="AD301" s="181">
        <v>1.7</v>
      </c>
      <c r="AE301" s="181">
        <v>1.7</v>
      </c>
      <c r="AF301" s="101" t="str">
        <f t="shared" si="55"/>
        <v/>
      </c>
      <c r="AG301" s="190">
        <v>0</v>
      </c>
      <c r="AH301" s="69">
        <f t="shared" si="56"/>
        <v>1</v>
      </c>
    </row>
    <row r="302" spans="1:34" s="69" customFormat="1" ht="39" hidden="1" x14ac:dyDescent="0.3">
      <c r="A302" s="55" t="s">
        <v>791</v>
      </c>
      <c r="B302" s="53" t="s">
        <v>792</v>
      </c>
      <c r="C302" s="54" t="s">
        <v>606</v>
      </c>
      <c r="D302" s="75">
        <v>1</v>
      </c>
      <c r="E302" s="75"/>
      <c r="F302" s="75"/>
      <c r="G302" s="75"/>
      <c r="H302" s="75">
        <v>93.29</v>
      </c>
      <c r="I302" s="75">
        <v>93.29</v>
      </c>
      <c r="J302" s="91" t="s">
        <v>793</v>
      </c>
      <c r="K302" s="73"/>
      <c r="L302" s="46">
        <v>0</v>
      </c>
      <c r="M302" s="46">
        <v>0</v>
      </c>
      <c r="N302" s="46">
        <v>0</v>
      </c>
      <c r="O302" s="98"/>
      <c r="P302" s="23" t="s">
        <v>1467</v>
      </c>
      <c r="Q302" s="24" t="s">
        <v>792</v>
      </c>
      <c r="R302" s="25" t="s">
        <v>606</v>
      </c>
      <c r="S302" s="26">
        <v>1</v>
      </c>
      <c r="T302" s="26"/>
      <c r="U302" s="26">
        <v>93.29</v>
      </c>
      <c r="V302" s="26">
        <f t="shared" ref="V302:V326" si="58">AG302-L302</f>
        <v>0</v>
      </c>
      <c r="W302" s="26">
        <f t="shared" si="53"/>
        <v>0</v>
      </c>
      <c r="X302" s="26">
        <f t="shared" ref="X302:X326" si="59">Y302-N302</f>
        <v>0</v>
      </c>
      <c r="Y302" s="26">
        <f t="shared" si="57"/>
        <v>0</v>
      </c>
      <c r="Z302" s="33" t="s">
        <v>15</v>
      </c>
      <c r="AA302" s="36" t="s">
        <v>16</v>
      </c>
      <c r="AB302" s="181">
        <f t="shared" si="54"/>
        <v>1</v>
      </c>
      <c r="AC302" s="181">
        <f t="shared" ref="AC302:AC365" si="60">ROUND(U302*AB302,2)</f>
        <v>93.29</v>
      </c>
      <c r="AD302" s="181">
        <v>1.7</v>
      </c>
      <c r="AE302" s="181">
        <v>1.7</v>
      </c>
      <c r="AF302" s="101" t="str">
        <f t="shared" si="55"/>
        <v/>
      </c>
      <c r="AG302" s="190">
        <v>0</v>
      </c>
      <c r="AH302" s="69">
        <f t="shared" si="56"/>
        <v>1</v>
      </c>
    </row>
    <row r="303" spans="1:34" s="69" customFormat="1" ht="39" hidden="1" x14ac:dyDescent="0.3">
      <c r="A303" s="55" t="s">
        <v>794</v>
      </c>
      <c r="B303" s="53" t="s">
        <v>795</v>
      </c>
      <c r="C303" s="54" t="s">
        <v>606</v>
      </c>
      <c r="D303" s="75">
        <v>1</v>
      </c>
      <c r="E303" s="75"/>
      <c r="F303" s="75"/>
      <c r="G303" s="75"/>
      <c r="H303" s="75">
        <v>93.8</v>
      </c>
      <c r="I303" s="75">
        <v>93.8</v>
      </c>
      <c r="J303" s="91" t="s">
        <v>796</v>
      </c>
      <c r="K303" s="73"/>
      <c r="L303" s="46">
        <v>0</v>
      </c>
      <c r="M303" s="46">
        <v>0</v>
      </c>
      <c r="N303" s="46">
        <v>0</v>
      </c>
      <c r="O303" s="98"/>
      <c r="P303" s="23" t="s">
        <v>1468</v>
      </c>
      <c r="Q303" s="24" t="s">
        <v>795</v>
      </c>
      <c r="R303" s="25" t="s">
        <v>606</v>
      </c>
      <c r="S303" s="26">
        <v>1</v>
      </c>
      <c r="T303" s="26"/>
      <c r="U303" s="26">
        <v>93.8</v>
      </c>
      <c r="V303" s="26">
        <f t="shared" si="58"/>
        <v>0</v>
      </c>
      <c r="W303" s="26">
        <f t="shared" si="53"/>
        <v>0</v>
      </c>
      <c r="X303" s="26">
        <f t="shared" si="59"/>
        <v>0</v>
      </c>
      <c r="Y303" s="26">
        <f t="shared" si="57"/>
        <v>0</v>
      </c>
      <c r="Z303" s="33" t="s">
        <v>15</v>
      </c>
      <c r="AA303" s="36" t="s">
        <v>16</v>
      </c>
      <c r="AB303" s="181">
        <f t="shared" si="54"/>
        <v>1</v>
      </c>
      <c r="AC303" s="181">
        <f t="shared" si="60"/>
        <v>93.8</v>
      </c>
      <c r="AD303" s="181">
        <v>1.7</v>
      </c>
      <c r="AE303" s="181">
        <v>1.7</v>
      </c>
      <c r="AF303" s="101" t="str">
        <f t="shared" si="55"/>
        <v/>
      </c>
      <c r="AG303" s="190">
        <v>0</v>
      </c>
      <c r="AH303" s="69">
        <f t="shared" si="56"/>
        <v>1</v>
      </c>
    </row>
    <row r="304" spans="1:34" s="69" customFormat="1" ht="39" hidden="1" x14ac:dyDescent="0.3">
      <c r="A304" s="55" t="s">
        <v>797</v>
      </c>
      <c r="B304" s="53" t="s">
        <v>798</v>
      </c>
      <c r="C304" s="54" t="s">
        <v>606</v>
      </c>
      <c r="D304" s="75">
        <v>1</v>
      </c>
      <c r="E304" s="75"/>
      <c r="F304" s="75"/>
      <c r="G304" s="75"/>
      <c r="H304" s="75">
        <v>63.35</v>
      </c>
      <c r="I304" s="75">
        <v>63.35</v>
      </c>
      <c r="J304" s="91" t="s">
        <v>799</v>
      </c>
      <c r="K304" s="73"/>
      <c r="L304" s="46">
        <v>0</v>
      </c>
      <c r="M304" s="46">
        <v>0</v>
      </c>
      <c r="N304" s="46">
        <v>0</v>
      </c>
      <c r="O304" s="98"/>
      <c r="P304" s="23" t="s">
        <v>1469</v>
      </c>
      <c r="Q304" s="24" t="s">
        <v>798</v>
      </c>
      <c r="R304" s="25" t="s">
        <v>606</v>
      </c>
      <c r="S304" s="26">
        <v>1</v>
      </c>
      <c r="T304" s="26"/>
      <c r="U304" s="26">
        <v>63.35</v>
      </c>
      <c r="V304" s="26">
        <f t="shared" si="58"/>
        <v>0</v>
      </c>
      <c r="W304" s="26">
        <f t="shared" si="53"/>
        <v>0</v>
      </c>
      <c r="X304" s="26">
        <f t="shared" si="59"/>
        <v>0</v>
      </c>
      <c r="Y304" s="26">
        <f t="shared" si="57"/>
        <v>0</v>
      </c>
      <c r="Z304" s="33" t="s">
        <v>15</v>
      </c>
      <c r="AA304" s="36" t="s">
        <v>16</v>
      </c>
      <c r="AB304" s="181">
        <f t="shared" si="54"/>
        <v>1</v>
      </c>
      <c r="AC304" s="181">
        <f t="shared" si="60"/>
        <v>63.35</v>
      </c>
      <c r="AD304" s="181">
        <v>1.7</v>
      </c>
      <c r="AE304" s="181">
        <v>1.7</v>
      </c>
      <c r="AF304" s="101" t="str">
        <f t="shared" si="55"/>
        <v/>
      </c>
      <c r="AG304" s="190">
        <v>0</v>
      </c>
      <c r="AH304" s="69">
        <f t="shared" si="56"/>
        <v>1</v>
      </c>
    </row>
    <row r="305" spans="1:34" s="69" customFormat="1" ht="39" hidden="1" x14ac:dyDescent="0.3">
      <c r="A305" s="55" t="s">
        <v>800</v>
      </c>
      <c r="B305" s="53" t="s">
        <v>801</v>
      </c>
      <c r="C305" s="54" t="s">
        <v>606</v>
      </c>
      <c r="D305" s="75">
        <v>1</v>
      </c>
      <c r="E305" s="75"/>
      <c r="F305" s="75"/>
      <c r="G305" s="75"/>
      <c r="H305" s="75">
        <v>156.05000000000001</v>
      </c>
      <c r="I305" s="75">
        <v>156.05000000000001</v>
      </c>
      <c r="J305" s="91" t="s">
        <v>802</v>
      </c>
      <c r="K305" s="73"/>
      <c r="L305" s="46">
        <v>0</v>
      </c>
      <c r="M305" s="46">
        <v>0</v>
      </c>
      <c r="N305" s="46">
        <v>0</v>
      </c>
      <c r="O305" s="98"/>
      <c r="P305" s="23" t="s">
        <v>1470</v>
      </c>
      <c r="Q305" s="24" t="s">
        <v>801</v>
      </c>
      <c r="R305" s="25" t="s">
        <v>606</v>
      </c>
      <c r="S305" s="26">
        <v>1</v>
      </c>
      <c r="T305" s="26"/>
      <c r="U305" s="26">
        <v>156.05000000000001</v>
      </c>
      <c r="V305" s="26">
        <f t="shared" si="58"/>
        <v>0</v>
      </c>
      <c r="W305" s="26">
        <f t="shared" si="53"/>
        <v>0</v>
      </c>
      <c r="X305" s="26">
        <f t="shared" si="59"/>
        <v>0</v>
      </c>
      <c r="Y305" s="26">
        <f t="shared" si="57"/>
        <v>0</v>
      </c>
      <c r="Z305" s="33" t="s">
        <v>15</v>
      </c>
      <c r="AA305" s="36" t="s">
        <v>16</v>
      </c>
      <c r="AB305" s="181">
        <f t="shared" si="54"/>
        <v>1</v>
      </c>
      <c r="AC305" s="181">
        <f t="shared" si="60"/>
        <v>156.05000000000001</v>
      </c>
      <c r="AD305" s="181">
        <v>1.7</v>
      </c>
      <c r="AE305" s="181">
        <v>1.7</v>
      </c>
      <c r="AF305" s="101" t="str">
        <f t="shared" si="55"/>
        <v/>
      </c>
      <c r="AG305" s="190">
        <v>0</v>
      </c>
      <c r="AH305" s="69">
        <f t="shared" si="56"/>
        <v>1</v>
      </c>
    </row>
    <row r="306" spans="1:34" s="69" customFormat="1" ht="39" hidden="1" x14ac:dyDescent="0.3">
      <c r="A306" s="55" t="s">
        <v>803</v>
      </c>
      <c r="B306" s="53" t="s">
        <v>804</v>
      </c>
      <c r="C306" s="54" t="s">
        <v>606</v>
      </c>
      <c r="D306" s="75">
        <v>1</v>
      </c>
      <c r="E306" s="75"/>
      <c r="F306" s="75"/>
      <c r="G306" s="75"/>
      <c r="H306" s="75">
        <v>69.08</v>
      </c>
      <c r="I306" s="75">
        <v>69.08</v>
      </c>
      <c r="J306" s="91" t="s">
        <v>805</v>
      </c>
      <c r="K306" s="73"/>
      <c r="L306" s="46">
        <v>0</v>
      </c>
      <c r="M306" s="46">
        <v>0</v>
      </c>
      <c r="N306" s="46">
        <v>0</v>
      </c>
      <c r="O306" s="98"/>
      <c r="P306" s="23" t="s">
        <v>1471</v>
      </c>
      <c r="Q306" s="24" t="s">
        <v>804</v>
      </c>
      <c r="R306" s="25" t="s">
        <v>606</v>
      </c>
      <c r="S306" s="26">
        <v>1</v>
      </c>
      <c r="T306" s="26"/>
      <c r="U306" s="26">
        <v>69.08</v>
      </c>
      <c r="V306" s="26">
        <f t="shared" si="58"/>
        <v>0</v>
      </c>
      <c r="W306" s="26">
        <f t="shared" ref="W306:W370" si="61">V306+L306</f>
        <v>0</v>
      </c>
      <c r="X306" s="26">
        <f t="shared" si="59"/>
        <v>0</v>
      </c>
      <c r="Y306" s="26">
        <f t="shared" si="57"/>
        <v>0</v>
      </c>
      <c r="Z306" s="33" t="s">
        <v>15</v>
      </c>
      <c r="AA306" s="36" t="s">
        <v>16</v>
      </c>
      <c r="AB306" s="181">
        <f t="shared" si="54"/>
        <v>1</v>
      </c>
      <c r="AC306" s="181">
        <f t="shared" si="60"/>
        <v>69.08</v>
      </c>
      <c r="AD306" s="181">
        <v>1.7</v>
      </c>
      <c r="AE306" s="181">
        <v>1.7</v>
      </c>
      <c r="AF306" s="101" t="str">
        <f t="shared" si="55"/>
        <v/>
      </c>
      <c r="AG306" s="190">
        <v>0</v>
      </c>
      <c r="AH306" s="69">
        <f t="shared" si="56"/>
        <v>1</v>
      </c>
    </row>
    <row r="307" spans="1:34" s="69" customFormat="1" ht="39" hidden="1" x14ac:dyDescent="0.3">
      <c r="A307" s="55" t="s">
        <v>806</v>
      </c>
      <c r="B307" s="53" t="s">
        <v>807</v>
      </c>
      <c r="C307" s="54" t="s">
        <v>606</v>
      </c>
      <c r="D307" s="75">
        <v>1</v>
      </c>
      <c r="E307" s="75"/>
      <c r="F307" s="75"/>
      <c r="G307" s="75"/>
      <c r="H307" s="75">
        <v>55.62</v>
      </c>
      <c r="I307" s="75">
        <v>55.62</v>
      </c>
      <c r="J307" s="91" t="s">
        <v>808</v>
      </c>
      <c r="K307" s="73"/>
      <c r="L307" s="46">
        <v>0</v>
      </c>
      <c r="M307" s="46">
        <v>0</v>
      </c>
      <c r="N307" s="46">
        <v>0</v>
      </c>
      <c r="O307" s="98"/>
      <c r="P307" s="23" t="s">
        <v>1472</v>
      </c>
      <c r="Q307" s="24" t="s">
        <v>807</v>
      </c>
      <c r="R307" s="25" t="s">
        <v>606</v>
      </c>
      <c r="S307" s="26">
        <v>1</v>
      </c>
      <c r="T307" s="26"/>
      <c r="U307" s="26">
        <v>55.62</v>
      </c>
      <c r="V307" s="26">
        <f t="shared" si="58"/>
        <v>0</v>
      </c>
      <c r="W307" s="26">
        <f t="shared" si="61"/>
        <v>0</v>
      </c>
      <c r="X307" s="26">
        <f t="shared" si="59"/>
        <v>0</v>
      </c>
      <c r="Y307" s="26">
        <f t="shared" si="57"/>
        <v>0</v>
      </c>
      <c r="Z307" s="33" t="s">
        <v>15</v>
      </c>
      <c r="AA307" s="36" t="s">
        <v>16</v>
      </c>
      <c r="AB307" s="181">
        <f t="shared" si="54"/>
        <v>1</v>
      </c>
      <c r="AC307" s="181">
        <f t="shared" si="60"/>
        <v>55.62</v>
      </c>
      <c r="AD307" s="181">
        <v>1.7</v>
      </c>
      <c r="AE307" s="181">
        <v>1.7</v>
      </c>
      <c r="AF307" s="101" t="str">
        <f t="shared" si="55"/>
        <v/>
      </c>
      <c r="AG307" s="190">
        <v>0</v>
      </c>
      <c r="AH307" s="69">
        <f t="shared" si="56"/>
        <v>1</v>
      </c>
    </row>
    <row r="308" spans="1:34" s="69" customFormat="1" ht="39" hidden="1" x14ac:dyDescent="0.3">
      <c r="A308" s="55" t="s">
        <v>809</v>
      </c>
      <c r="B308" s="53" t="s">
        <v>810</v>
      </c>
      <c r="C308" s="54" t="s">
        <v>606</v>
      </c>
      <c r="D308" s="75">
        <v>1</v>
      </c>
      <c r="E308" s="75"/>
      <c r="F308" s="75"/>
      <c r="G308" s="75"/>
      <c r="H308" s="75">
        <v>91.67</v>
      </c>
      <c r="I308" s="75">
        <v>91.67</v>
      </c>
      <c r="J308" s="91" t="s">
        <v>811</v>
      </c>
      <c r="K308" s="73"/>
      <c r="L308" s="46">
        <v>0</v>
      </c>
      <c r="M308" s="46">
        <v>0</v>
      </c>
      <c r="N308" s="46">
        <v>0</v>
      </c>
      <c r="O308" s="98"/>
      <c r="P308" s="23" t="s">
        <v>1473</v>
      </c>
      <c r="Q308" s="24" t="s">
        <v>810</v>
      </c>
      <c r="R308" s="25" t="s">
        <v>606</v>
      </c>
      <c r="S308" s="26">
        <v>1</v>
      </c>
      <c r="T308" s="26"/>
      <c r="U308" s="26">
        <v>91.67</v>
      </c>
      <c r="V308" s="26">
        <f t="shared" si="58"/>
        <v>0</v>
      </c>
      <c r="W308" s="26">
        <f t="shared" si="61"/>
        <v>0</v>
      </c>
      <c r="X308" s="26">
        <f t="shared" si="59"/>
        <v>0</v>
      </c>
      <c r="Y308" s="26">
        <f t="shared" si="57"/>
        <v>0</v>
      </c>
      <c r="Z308" s="33" t="s">
        <v>15</v>
      </c>
      <c r="AA308" s="36" t="s">
        <v>16</v>
      </c>
      <c r="AB308" s="181">
        <f t="shared" si="54"/>
        <v>1</v>
      </c>
      <c r="AC308" s="181">
        <f t="shared" si="60"/>
        <v>91.67</v>
      </c>
      <c r="AD308" s="181">
        <v>1.7</v>
      </c>
      <c r="AE308" s="181">
        <v>1.7</v>
      </c>
      <c r="AF308" s="101" t="str">
        <f t="shared" si="55"/>
        <v/>
      </c>
      <c r="AG308" s="190">
        <v>0</v>
      </c>
      <c r="AH308" s="69">
        <f t="shared" si="56"/>
        <v>1</v>
      </c>
    </row>
    <row r="309" spans="1:34" s="69" customFormat="1" ht="39" hidden="1" x14ac:dyDescent="0.3">
      <c r="A309" s="55" t="s">
        <v>812</v>
      </c>
      <c r="B309" s="53" t="s">
        <v>813</v>
      </c>
      <c r="C309" s="54" t="s">
        <v>606</v>
      </c>
      <c r="D309" s="75">
        <v>1</v>
      </c>
      <c r="E309" s="75"/>
      <c r="F309" s="75"/>
      <c r="G309" s="75"/>
      <c r="H309" s="75">
        <v>68.5</v>
      </c>
      <c r="I309" s="75">
        <v>68.5</v>
      </c>
      <c r="J309" s="91" t="s">
        <v>814</v>
      </c>
      <c r="K309" s="73"/>
      <c r="L309" s="46">
        <v>0</v>
      </c>
      <c r="M309" s="46">
        <v>0</v>
      </c>
      <c r="N309" s="46">
        <v>0</v>
      </c>
      <c r="O309" s="98"/>
      <c r="P309" s="23" t="s">
        <v>1474</v>
      </c>
      <c r="Q309" s="24" t="s">
        <v>813</v>
      </c>
      <c r="R309" s="25" t="s">
        <v>606</v>
      </c>
      <c r="S309" s="26">
        <v>1</v>
      </c>
      <c r="T309" s="26"/>
      <c r="U309" s="26">
        <v>68.5</v>
      </c>
      <c r="V309" s="26">
        <f t="shared" si="58"/>
        <v>0</v>
      </c>
      <c r="W309" s="26">
        <f t="shared" si="61"/>
        <v>0</v>
      </c>
      <c r="X309" s="26">
        <f t="shared" si="59"/>
        <v>0</v>
      </c>
      <c r="Y309" s="26">
        <f t="shared" si="57"/>
        <v>0</v>
      </c>
      <c r="Z309" s="33" t="s">
        <v>15</v>
      </c>
      <c r="AA309" s="36" t="s">
        <v>16</v>
      </c>
      <c r="AB309" s="181">
        <f t="shared" si="54"/>
        <v>1</v>
      </c>
      <c r="AC309" s="181">
        <f t="shared" si="60"/>
        <v>68.5</v>
      </c>
      <c r="AD309" s="181">
        <v>1.7</v>
      </c>
      <c r="AE309" s="181">
        <v>1.7</v>
      </c>
      <c r="AF309" s="101" t="str">
        <f t="shared" si="55"/>
        <v/>
      </c>
      <c r="AG309" s="190">
        <v>0</v>
      </c>
      <c r="AH309" s="69">
        <f t="shared" si="56"/>
        <v>1</v>
      </c>
    </row>
    <row r="310" spans="1:34" s="69" customFormat="1" ht="39" hidden="1" x14ac:dyDescent="0.3">
      <c r="A310" s="55" t="s">
        <v>815</v>
      </c>
      <c r="B310" s="53" t="s">
        <v>816</v>
      </c>
      <c r="C310" s="54" t="s">
        <v>606</v>
      </c>
      <c r="D310" s="75">
        <v>1</v>
      </c>
      <c r="E310" s="75"/>
      <c r="F310" s="75"/>
      <c r="G310" s="75"/>
      <c r="H310" s="75">
        <v>58.2</v>
      </c>
      <c r="I310" s="75">
        <v>58.2</v>
      </c>
      <c r="J310" s="91" t="s">
        <v>817</v>
      </c>
      <c r="K310" s="73"/>
      <c r="L310" s="46">
        <v>0</v>
      </c>
      <c r="M310" s="46">
        <v>0</v>
      </c>
      <c r="N310" s="46">
        <v>0</v>
      </c>
      <c r="O310" s="98"/>
      <c r="P310" s="23" t="s">
        <v>1475</v>
      </c>
      <c r="Q310" s="24" t="s">
        <v>816</v>
      </c>
      <c r="R310" s="25" t="s">
        <v>606</v>
      </c>
      <c r="S310" s="26">
        <v>1</v>
      </c>
      <c r="T310" s="26"/>
      <c r="U310" s="26">
        <v>58.2</v>
      </c>
      <c r="V310" s="26">
        <f t="shared" si="58"/>
        <v>0</v>
      </c>
      <c r="W310" s="26">
        <f t="shared" si="61"/>
        <v>0</v>
      </c>
      <c r="X310" s="26">
        <f t="shared" si="59"/>
        <v>0</v>
      </c>
      <c r="Y310" s="26">
        <f t="shared" si="57"/>
        <v>0</v>
      </c>
      <c r="Z310" s="33" t="s">
        <v>15</v>
      </c>
      <c r="AA310" s="36" t="s">
        <v>16</v>
      </c>
      <c r="AB310" s="181">
        <f t="shared" si="54"/>
        <v>1</v>
      </c>
      <c r="AC310" s="181">
        <f t="shared" si="60"/>
        <v>58.2</v>
      </c>
      <c r="AD310" s="181">
        <v>1.7</v>
      </c>
      <c r="AE310" s="181">
        <v>1.7</v>
      </c>
      <c r="AF310" s="101" t="str">
        <f t="shared" si="55"/>
        <v/>
      </c>
      <c r="AG310" s="190">
        <v>0</v>
      </c>
      <c r="AH310" s="69">
        <f t="shared" si="56"/>
        <v>1</v>
      </c>
    </row>
    <row r="311" spans="1:34" s="69" customFormat="1" ht="39" hidden="1" x14ac:dyDescent="0.3">
      <c r="A311" s="55" t="s">
        <v>818</v>
      </c>
      <c r="B311" s="53" t="s">
        <v>819</v>
      </c>
      <c r="C311" s="54" t="s">
        <v>606</v>
      </c>
      <c r="D311" s="75">
        <v>1</v>
      </c>
      <c r="E311" s="75"/>
      <c r="F311" s="75"/>
      <c r="G311" s="75"/>
      <c r="H311" s="75">
        <v>70.040000000000006</v>
      </c>
      <c r="I311" s="75">
        <v>70.040000000000006</v>
      </c>
      <c r="J311" s="91" t="s">
        <v>820</v>
      </c>
      <c r="K311" s="73"/>
      <c r="L311" s="46">
        <v>0</v>
      </c>
      <c r="M311" s="46">
        <v>0</v>
      </c>
      <c r="N311" s="46">
        <v>0</v>
      </c>
      <c r="O311" s="98"/>
      <c r="P311" s="23" t="s">
        <v>1476</v>
      </c>
      <c r="Q311" s="24" t="s">
        <v>819</v>
      </c>
      <c r="R311" s="25" t="s">
        <v>606</v>
      </c>
      <c r="S311" s="26">
        <v>1</v>
      </c>
      <c r="T311" s="26"/>
      <c r="U311" s="26">
        <v>70.040000000000006</v>
      </c>
      <c r="V311" s="26">
        <f t="shared" si="58"/>
        <v>0</v>
      </c>
      <c r="W311" s="26">
        <f t="shared" si="61"/>
        <v>0</v>
      </c>
      <c r="X311" s="26">
        <f t="shared" si="59"/>
        <v>0</v>
      </c>
      <c r="Y311" s="26">
        <f t="shared" si="57"/>
        <v>0</v>
      </c>
      <c r="Z311" s="33" t="s">
        <v>15</v>
      </c>
      <c r="AA311" s="36" t="s">
        <v>16</v>
      </c>
      <c r="AB311" s="181">
        <f t="shared" si="54"/>
        <v>1</v>
      </c>
      <c r="AC311" s="181">
        <f t="shared" si="60"/>
        <v>70.040000000000006</v>
      </c>
      <c r="AD311" s="181">
        <v>1.7</v>
      </c>
      <c r="AE311" s="181">
        <v>1.7</v>
      </c>
      <c r="AF311" s="101" t="str">
        <f t="shared" si="55"/>
        <v/>
      </c>
      <c r="AG311" s="190">
        <v>0</v>
      </c>
      <c r="AH311" s="69">
        <f t="shared" si="56"/>
        <v>1</v>
      </c>
    </row>
    <row r="312" spans="1:34" s="69" customFormat="1" ht="39" hidden="1" x14ac:dyDescent="0.3">
      <c r="A312" s="55" t="s">
        <v>821</v>
      </c>
      <c r="B312" s="53" t="s">
        <v>822</v>
      </c>
      <c r="C312" s="54" t="s">
        <v>606</v>
      </c>
      <c r="D312" s="75">
        <v>1</v>
      </c>
      <c r="E312" s="75"/>
      <c r="F312" s="75"/>
      <c r="G312" s="75"/>
      <c r="H312" s="75">
        <v>61.29</v>
      </c>
      <c r="I312" s="75">
        <v>61.29</v>
      </c>
      <c r="J312" s="91" t="s">
        <v>823</v>
      </c>
      <c r="K312" s="73"/>
      <c r="L312" s="46">
        <v>0</v>
      </c>
      <c r="M312" s="46">
        <v>0</v>
      </c>
      <c r="N312" s="46">
        <v>0</v>
      </c>
      <c r="O312" s="98"/>
      <c r="P312" s="23" t="s">
        <v>1477</v>
      </c>
      <c r="Q312" s="24" t="s">
        <v>822</v>
      </c>
      <c r="R312" s="25" t="s">
        <v>606</v>
      </c>
      <c r="S312" s="26">
        <v>1</v>
      </c>
      <c r="T312" s="26"/>
      <c r="U312" s="26">
        <v>61.29</v>
      </c>
      <c r="V312" s="26">
        <f t="shared" si="58"/>
        <v>0</v>
      </c>
      <c r="W312" s="26">
        <f t="shared" si="61"/>
        <v>0</v>
      </c>
      <c r="X312" s="26">
        <f t="shared" si="59"/>
        <v>0</v>
      </c>
      <c r="Y312" s="26">
        <f t="shared" si="57"/>
        <v>0</v>
      </c>
      <c r="Z312" s="33" t="s">
        <v>15</v>
      </c>
      <c r="AA312" s="36" t="s">
        <v>16</v>
      </c>
      <c r="AB312" s="181">
        <f t="shared" si="54"/>
        <v>1</v>
      </c>
      <c r="AC312" s="181">
        <f t="shared" si="60"/>
        <v>61.29</v>
      </c>
      <c r="AD312" s="181">
        <v>1.7</v>
      </c>
      <c r="AE312" s="181">
        <v>1.7</v>
      </c>
      <c r="AF312" s="101" t="str">
        <f t="shared" si="55"/>
        <v/>
      </c>
      <c r="AG312" s="190">
        <v>0</v>
      </c>
      <c r="AH312" s="69">
        <f t="shared" si="56"/>
        <v>1</v>
      </c>
    </row>
    <row r="313" spans="1:34" s="69" customFormat="1" ht="39" hidden="1" x14ac:dyDescent="0.3">
      <c r="A313" s="55" t="s">
        <v>824</v>
      </c>
      <c r="B313" s="53" t="s">
        <v>825</v>
      </c>
      <c r="C313" s="54" t="s">
        <v>606</v>
      </c>
      <c r="D313" s="75">
        <v>1</v>
      </c>
      <c r="E313" s="75"/>
      <c r="F313" s="75"/>
      <c r="G313" s="75"/>
      <c r="H313" s="75">
        <v>59.74</v>
      </c>
      <c r="I313" s="75">
        <v>59.74</v>
      </c>
      <c r="J313" s="91" t="s">
        <v>826</v>
      </c>
      <c r="K313" s="73"/>
      <c r="L313" s="46">
        <v>0</v>
      </c>
      <c r="M313" s="46">
        <v>0</v>
      </c>
      <c r="N313" s="46">
        <v>0</v>
      </c>
      <c r="O313" s="98"/>
      <c r="P313" s="23" t="s">
        <v>1478</v>
      </c>
      <c r="Q313" s="24" t="s">
        <v>825</v>
      </c>
      <c r="R313" s="25" t="s">
        <v>606</v>
      </c>
      <c r="S313" s="26">
        <v>1</v>
      </c>
      <c r="T313" s="26"/>
      <c r="U313" s="26">
        <v>59.74</v>
      </c>
      <c r="V313" s="26">
        <f t="shared" si="58"/>
        <v>0</v>
      </c>
      <c r="W313" s="26">
        <f t="shared" si="61"/>
        <v>0</v>
      </c>
      <c r="X313" s="26">
        <f t="shared" si="59"/>
        <v>0</v>
      </c>
      <c r="Y313" s="26">
        <f t="shared" si="57"/>
        <v>0</v>
      </c>
      <c r="Z313" s="33" t="s">
        <v>15</v>
      </c>
      <c r="AA313" s="36" t="s">
        <v>16</v>
      </c>
      <c r="AB313" s="181">
        <f t="shared" si="54"/>
        <v>1</v>
      </c>
      <c r="AC313" s="181">
        <f t="shared" si="60"/>
        <v>59.74</v>
      </c>
      <c r="AD313" s="181">
        <v>1.7</v>
      </c>
      <c r="AE313" s="181">
        <v>1.7</v>
      </c>
      <c r="AF313" s="101" t="str">
        <f t="shared" si="55"/>
        <v/>
      </c>
      <c r="AG313" s="190">
        <v>0</v>
      </c>
      <c r="AH313" s="69">
        <f t="shared" si="56"/>
        <v>1</v>
      </c>
    </row>
    <row r="314" spans="1:34" s="69" customFormat="1" ht="39" hidden="1" x14ac:dyDescent="0.3">
      <c r="A314" s="55" t="s">
        <v>827</v>
      </c>
      <c r="B314" s="53" t="s">
        <v>828</v>
      </c>
      <c r="C314" s="54" t="s">
        <v>606</v>
      </c>
      <c r="D314" s="75">
        <v>1</v>
      </c>
      <c r="E314" s="75"/>
      <c r="F314" s="75"/>
      <c r="G314" s="75"/>
      <c r="H314" s="75">
        <v>69.58</v>
      </c>
      <c r="I314" s="75">
        <v>69.58</v>
      </c>
      <c r="J314" s="91" t="s">
        <v>829</v>
      </c>
      <c r="K314" s="73"/>
      <c r="L314" s="46">
        <v>0</v>
      </c>
      <c r="M314" s="46">
        <v>0</v>
      </c>
      <c r="N314" s="46">
        <v>0</v>
      </c>
      <c r="O314" s="98"/>
      <c r="P314" s="23" t="s">
        <v>1479</v>
      </c>
      <c r="Q314" s="24" t="s">
        <v>828</v>
      </c>
      <c r="R314" s="25" t="s">
        <v>606</v>
      </c>
      <c r="S314" s="26">
        <v>1</v>
      </c>
      <c r="T314" s="26"/>
      <c r="U314" s="26">
        <v>69.58</v>
      </c>
      <c r="V314" s="26">
        <f t="shared" si="58"/>
        <v>0</v>
      </c>
      <c r="W314" s="26">
        <f t="shared" si="61"/>
        <v>0</v>
      </c>
      <c r="X314" s="26">
        <f t="shared" si="59"/>
        <v>0</v>
      </c>
      <c r="Y314" s="26">
        <f t="shared" si="57"/>
        <v>0</v>
      </c>
      <c r="Z314" s="33" t="s">
        <v>15</v>
      </c>
      <c r="AA314" s="36" t="s">
        <v>16</v>
      </c>
      <c r="AB314" s="181">
        <f t="shared" si="54"/>
        <v>1</v>
      </c>
      <c r="AC314" s="181">
        <f t="shared" si="60"/>
        <v>69.58</v>
      </c>
      <c r="AD314" s="181">
        <v>1.7</v>
      </c>
      <c r="AE314" s="181">
        <v>1.7</v>
      </c>
      <c r="AF314" s="101" t="str">
        <f t="shared" si="55"/>
        <v/>
      </c>
      <c r="AG314" s="190">
        <v>0</v>
      </c>
      <c r="AH314" s="69">
        <f t="shared" si="56"/>
        <v>1</v>
      </c>
    </row>
    <row r="315" spans="1:34" s="69" customFormat="1" ht="39" hidden="1" x14ac:dyDescent="0.3">
      <c r="A315" s="55" t="s">
        <v>830</v>
      </c>
      <c r="B315" s="53" t="s">
        <v>831</v>
      </c>
      <c r="C315" s="54" t="s">
        <v>606</v>
      </c>
      <c r="D315" s="75">
        <v>1</v>
      </c>
      <c r="E315" s="75"/>
      <c r="F315" s="75"/>
      <c r="G315" s="75"/>
      <c r="H315" s="75">
        <v>112.84</v>
      </c>
      <c r="I315" s="75">
        <v>112.84</v>
      </c>
      <c r="J315" s="91" t="s">
        <v>832</v>
      </c>
      <c r="K315" s="73"/>
      <c r="L315" s="46">
        <v>0</v>
      </c>
      <c r="M315" s="46">
        <v>0</v>
      </c>
      <c r="N315" s="46">
        <v>0</v>
      </c>
      <c r="O315" s="98"/>
      <c r="P315" s="23" t="s">
        <v>1480</v>
      </c>
      <c r="Q315" s="24" t="s">
        <v>831</v>
      </c>
      <c r="R315" s="25" t="s">
        <v>606</v>
      </c>
      <c r="S315" s="26">
        <v>1</v>
      </c>
      <c r="T315" s="26"/>
      <c r="U315" s="26">
        <v>112.84</v>
      </c>
      <c r="V315" s="26">
        <f t="shared" si="58"/>
        <v>0</v>
      </c>
      <c r="W315" s="26">
        <f t="shared" si="61"/>
        <v>0</v>
      </c>
      <c r="X315" s="26">
        <f t="shared" si="59"/>
        <v>0</v>
      </c>
      <c r="Y315" s="26">
        <f t="shared" si="57"/>
        <v>0</v>
      </c>
      <c r="Z315" s="33" t="s">
        <v>15</v>
      </c>
      <c r="AA315" s="36" t="s">
        <v>16</v>
      </c>
      <c r="AB315" s="181">
        <f t="shared" si="54"/>
        <v>1</v>
      </c>
      <c r="AC315" s="181">
        <f t="shared" si="60"/>
        <v>112.84</v>
      </c>
      <c r="AD315" s="181">
        <v>1.7</v>
      </c>
      <c r="AE315" s="181">
        <v>1.7</v>
      </c>
      <c r="AF315" s="101" t="str">
        <f t="shared" si="55"/>
        <v/>
      </c>
      <c r="AG315" s="190">
        <v>0</v>
      </c>
      <c r="AH315" s="69">
        <f t="shared" si="56"/>
        <v>1</v>
      </c>
    </row>
    <row r="316" spans="1:34" s="69" customFormat="1" ht="39" hidden="1" x14ac:dyDescent="0.3">
      <c r="A316" s="55" t="s">
        <v>833</v>
      </c>
      <c r="B316" s="53" t="s">
        <v>834</v>
      </c>
      <c r="C316" s="54" t="s">
        <v>606</v>
      </c>
      <c r="D316" s="75">
        <v>1</v>
      </c>
      <c r="E316" s="75"/>
      <c r="F316" s="75"/>
      <c r="G316" s="75"/>
      <c r="H316" s="75">
        <v>102.54</v>
      </c>
      <c r="I316" s="75">
        <v>102.54</v>
      </c>
      <c r="J316" s="91" t="s">
        <v>835</v>
      </c>
      <c r="K316" s="73"/>
      <c r="L316" s="46">
        <v>0</v>
      </c>
      <c r="M316" s="46">
        <v>0</v>
      </c>
      <c r="N316" s="46">
        <v>0</v>
      </c>
      <c r="O316" s="98"/>
      <c r="P316" s="23" t="s">
        <v>1481</v>
      </c>
      <c r="Q316" s="24" t="s">
        <v>834</v>
      </c>
      <c r="R316" s="25" t="s">
        <v>606</v>
      </c>
      <c r="S316" s="26">
        <v>1</v>
      </c>
      <c r="T316" s="26"/>
      <c r="U316" s="26">
        <v>102.54</v>
      </c>
      <c r="V316" s="26">
        <f t="shared" si="58"/>
        <v>0</v>
      </c>
      <c r="W316" s="26">
        <f t="shared" si="61"/>
        <v>0</v>
      </c>
      <c r="X316" s="26">
        <f t="shared" si="59"/>
        <v>0</v>
      </c>
      <c r="Y316" s="26">
        <f t="shared" si="57"/>
        <v>0</v>
      </c>
      <c r="Z316" s="33" t="s">
        <v>15</v>
      </c>
      <c r="AA316" s="36" t="s">
        <v>16</v>
      </c>
      <c r="AB316" s="181">
        <f t="shared" si="54"/>
        <v>1</v>
      </c>
      <c r="AC316" s="181">
        <f t="shared" si="60"/>
        <v>102.54</v>
      </c>
      <c r="AD316" s="181">
        <v>1.7</v>
      </c>
      <c r="AE316" s="181">
        <v>1.7</v>
      </c>
      <c r="AF316" s="101" t="str">
        <f t="shared" si="55"/>
        <v/>
      </c>
      <c r="AG316" s="190">
        <v>0</v>
      </c>
      <c r="AH316" s="69">
        <f t="shared" si="56"/>
        <v>1</v>
      </c>
    </row>
    <row r="317" spans="1:34" s="69" customFormat="1" ht="39" hidden="1" x14ac:dyDescent="0.3">
      <c r="A317" s="55" t="s">
        <v>836</v>
      </c>
      <c r="B317" s="53" t="s">
        <v>837</v>
      </c>
      <c r="C317" s="54" t="s">
        <v>606</v>
      </c>
      <c r="D317" s="75">
        <v>1</v>
      </c>
      <c r="E317" s="75"/>
      <c r="F317" s="75"/>
      <c r="G317" s="75"/>
      <c r="H317" s="75">
        <v>82.99</v>
      </c>
      <c r="I317" s="75">
        <v>82.99</v>
      </c>
      <c r="J317" s="91" t="s">
        <v>838</v>
      </c>
      <c r="K317" s="73"/>
      <c r="L317" s="46">
        <v>0</v>
      </c>
      <c r="M317" s="46">
        <v>0</v>
      </c>
      <c r="N317" s="46">
        <v>0</v>
      </c>
      <c r="O317" s="98"/>
      <c r="P317" s="23" t="s">
        <v>1482</v>
      </c>
      <c r="Q317" s="24" t="s">
        <v>837</v>
      </c>
      <c r="R317" s="25" t="s">
        <v>606</v>
      </c>
      <c r="S317" s="26">
        <v>1</v>
      </c>
      <c r="T317" s="26"/>
      <c r="U317" s="26">
        <v>82.99</v>
      </c>
      <c r="V317" s="26">
        <f t="shared" si="58"/>
        <v>0</v>
      </c>
      <c r="W317" s="26">
        <f t="shared" si="61"/>
        <v>0</v>
      </c>
      <c r="X317" s="26">
        <f t="shared" si="59"/>
        <v>0</v>
      </c>
      <c r="Y317" s="26">
        <f t="shared" si="57"/>
        <v>0</v>
      </c>
      <c r="Z317" s="33" t="s">
        <v>15</v>
      </c>
      <c r="AA317" s="36" t="s">
        <v>16</v>
      </c>
      <c r="AB317" s="181">
        <f t="shared" si="54"/>
        <v>1</v>
      </c>
      <c r="AC317" s="181">
        <f t="shared" si="60"/>
        <v>82.99</v>
      </c>
      <c r="AD317" s="181">
        <v>1.7</v>
      </c>
      <c r="AE317" s="181">
        <v>1.7</v>
      </c>
      <c r="AF317" s="101" t="str">
        <f t="shared" si="55"/>
        <v/>
      </c>
      <c r="AG317" s="190">
        <v>0</v>
      </c>
      <c r="AH317" s="69">
        <f t="shared" si="56"/>
        <v>1</v>
      </c>
    </row>
    <row r="318" spans="1:34" s="69" customFormat="1" ht="39" hidden="1" x14ac:dyDescent="0.3">
      <c r="A318" s="55" t="s">
        <v>839</v>
      </c>
      <c r="B318" s="53" t="s">
        <v>840</v>
      </c>
      <c r="C318" s="54" t="s">
        <v>606</v>
      </c>
      <c r="D318" s="75">
        <v>1</v>
      </c>
      <c r="E318" s="75"/>
      <c r="F318" s="75"/>
      <c r="G318" s="75"/>
      <c r="H318" s="75">
        <v>80.41</v>
      </c>
      <c r="I318" s="75">
        <v>80.41</v>
      </c>
      <c r="J318" s="91" t="s">
        <v>841</v>
      </c>
      <c r="K318" s="73"/>
      <c r="L318" s="46">
        <v>0</v>
      </c>
      <c r="M318" s="46">
        <v>0</v>
      </c>
      <c r="N318" s="46">
        <v>0</v>
      </c>
      <c r="O318" s="98"/>
      <c r="P318" s="23" t="s">
        <v>1483</v>
      </c>
      <c r="Q318" s="24" t="s">
        <v>840</v>
      </c>
      <c r="R318" s="25" t="s">
        <v>606</v>
      </c>
      <c r="S318" s="26">
        <v>1</v>
      </c>
      <c r="T318" s="26"/>
      <c r="U318" s="26">
        <v>80.41</v>
      </c>
      <c r="V318" s="26">
        <f t="shared" si="58"/>
        <v>0</v>
      </c>
      <c r="W318" s="26">
        <f t="shared" si="61"/>
        <v>0</v>
      </c>
      <c r="X318" s="26">
        <f t="shared" si="59"/>
        <v>0</v>
      </c>
      <c r="Y318" s="26">
        <f t="shared" si="57"/>
        <v>0</v>
      </c>
      <c r="Z318" s="33" t="s">
        <v>15</v>
      </c>
      <c r="AA318" s="36" t="s">
        <v>16</v>
      </c>
      <c r="AB318" s="181">
        <f t="shared" si="54"/>
        <v>1</v>
      </c>
      <c r="AC318" s="181">
        <f t="shared" si="60"/>
        <v>80.41</v>
      </c>
      <c r="AD318" s="181">
        <v>1.7</v>
      </c>
      <c r="AE318" s="181">
        <v>1.7</v>
      </c>
      <c r="AF318" s="101" t="str">
        <f t="shared" si="55"/>
        <v/>
      </c>
      <c r="AG318" s="190">
        <v>0</v>
      </c>
      <c r="AH318" s="69">
        <f t="shared" si="56"/>
        <v>1</v>
      </c>
    </row>
    <row r="319" spans="1:34" s="69" customFormat="1" ht="39" hidden="1" x14ac:dyDescent="0.3">
      <c r="A319" s="55" t="s">
        <v>842</v>
      </c>
      <c r="B319" s="53" t="s">
        <v>843</v>
      </c>
      <c r="C319" s="54" t="s">
        <v>606</v>
      </c>
      <c r="D319" s="75">
        <v>1</v>
      </c>
      <c r="E319" s="75"/>
      <c r="F319" s="75"/>
      <c r="G319" s="75"/>
      <c r="H319" s="75">
        <v>101.01</v>
      </c>
      <c r="I319" s="75">
        <v>101.01</v>
      </c>
      <c r="J319" s="91" t="s">
        <v>844</v>
      </c>
      <c r="K319" s="73"/>
      <c r="L319" s="46">
        <v>0</v>
      </c>
      <c r="M319" s="46">
        <v>0</v>
      </c>
      <c r="N319" s="46">
        <v>0</v>
      </c>
      <c r="O319" s="98"/>
      <c r="P319" s="23" t="s">
        <v>1484</v>
      </c>
      <c r="Q319" s="24" t="s">
        <v>843</v>
      </c>
      <c r="R319" s="25" t="s">
        <v>606</v>
      </c>
      <c r="S319" s="26">
        <v>1</v>
      </c>
      <c r="T319" s="26"/>
      <c r="U319" s="26">
        <v>101.01</v>
      </c>
      <c r="V319" s="26">
        <f t="shared" si="58"/>
        <v>0</v>
      </c>
      <c r="W319" s="26">
        <f t="shared" si="61"/>
        <v>0</v>
      </c>
      <c r="X319" s="26">
        <f t="shared" si="59"/>
        <v>0</v>
      </c>
      <c r="Y319" s="26">
        <f t="shared" si="57"/>
        <v>0</v>
      </c>
      <c r="Z319" s="33" t="s">
        <v>15</v>
      </c>
      <c r="AA319" s="36" t="s">
        <v>16</v>
      </c>
      <c r="AB319" s="181">
        <f t="shared" si="54"/>
        <v>1</v>
      </c>
      <c r="AC319" s="181">
        <f t="shared" si="60"/>
        <v>101.01</v>
      </c>
      <c r="AD319" s="181">
        <v>1.7</v>
      </c>
      <c r="AE319" s="181">
        <v>1.7</v>
      </c>
      <c r="AF319" s="101" t="str">
        <f t="shared" si="55"/>
        <v/>
      </c>
      <c r="AG319" s="190">
        <v>0</v>
      </c>
      <c r="AH319" s="69">
        <f t="shared" si="56"/>
        <v>1</v>
      </c>
    </row>
    <row r="320" spans="1:34" s="69" customFormat="1" ht="39" hidden="1" x14ac:dyDescent="0.3">
      <c r="A320" s="55" t="s">
        <v>845</v>
      </c>
      <c r="B320" s="53" t="s">
        <v>846</v>
      </c>
      <c r="C320" s="54" t="s">
        <v>606</v>
      </c>
      <c r="D320" s="75">
        <v>1</v>
      </c>
      <c r="E320" s="75"/>
      <c r="F320" s="75"/>
      <c r="G320" s="75"/>
      <c r="H320" s="75">
        <v>76.290000000000006</v>
      </c>
      <c r="I320" s="75">
        <v>76.290000000000006</v>
      </c>
      <c r="J320" s="91" t="s">
        <v>847</v>
      </c>
      <c r="K320" s="73"/>
      <c r="L320" s="46">
        <v>0</v>
      </c>
      <c r="M320" s="46">
        <v>0</v>
      </c>
      <c r="N320" s="46">
        <v>0</v>
      </c>
      <c r="O320" s="98"/>
      <c r="P320" s="23" t="s">
        <v>1485</v>
      </c>
      <c r="Q320" s="24" t="s">
        <v>846</v>
      </c>
      <c r="R320" s="25" t="s">
        <v>606</v>
      </c>
      <c r="S320" s="26">
        <v>1</v>
      </c>
      <c r="T320" s="26"/>
      <c r="U320" s="26">
        <v>76.290000000000006</v>
      </c>
      <c r="V320" s="26">
        <f t="shared" si="58"/>
        <v>0</v>
      </c>
      <c r="W320" s="26">
        <f t="shared" si="61"/>
        <v>0</v>
      </c>
      <c r="X320" s="26">
        <f t="shared" si="59"/>
        <v>0</v>
      </c>
      <c r="Y320" s="26">
        <f t="shared" si="57"/>
        <v>0</v>
      </c>
      <c r="Z320" s="33" t="s">
        <v>15</v>
      </c>
      <c r="AA320" s="36" t="s">
        <v>16</v>
      </c>
      <c r="AB320" s="181">
        <f t="shared" si="54"/>
        <v>1</v>
      </c>
      <c r="AC320" s="181">
        <f t="shared" si="60"/>
        <v>76.290000000000006</v>
      </c>
      <c r="AD320" s="181">
        <v>1.7</v>
      </c>
      <c r="AE320" s="181">
        <v>1.7</v>
      </c>
      <c r="AF320" s="101" t="str">
        <f t="shared" si="55"/>
        <v/>
      </c>
      <c r="AG320" s="190">
        <v>0</v>
      </c>
      <c r="AH320" s="69">
        <f t="shared" si="56"/>
        <v>1</v>
      </c>
    </row>
    <row r="321" spans="1:34" s="69" customFormat="1" ht="39" hidden="1" x14ac:dyDescent="0.3">
      <c r="A321" s="55" t="s">
        <v>848</v>
      </c>
      <c r="B321" s="53" t="s">
        <v>849</v>
      </c>
      <c r="C321" s="54" t="s">
        <v>606</v>
      </c>
      <c r="D321" s="75">
        <v>1</v>
      </c>
      <c r="E321" s="75"/>
      <c r="F321" s="75"/>
      <c r="G321" s="75"/>
      <c r="H321" s="75">
        <v>73.650000000000006</v>
      </c>
      <c r="I321" s="75">
        <v>73.650000000000006</v>
      </c>
      <c r="J321" s="91" t="s">
        <v>850</v>
      </c>
      <c r="K321" s="73"/>
      <c r="L321" s="46">
        <v>0</v>
      </c>
      <c r="M321" s="46">
        <v>0</v>
      </c>
      <c r="N321" s="46">
        <v>0</v>
      </c>
      <c r="O321" s="98"/>
      <c r="P321" s="23" t="s">
        <v>1486</v>
      </c>
      <c r="Q321" s="24" t="s">
        <v>849</v>
      </c>
      <c r="R321" s="25" t="s">
        <v>606</v>
      </c>
      <c r="S321" s="26">
        <v>1</v>
      </c>
      <c r="T321" s="26"/>
      <c r="U321" s="26">
        <v>73.650000000000006</v>
      </c>
      <c r="V321" s="26">
        <f t="shared" si="58"/>
        <v>0</v>
      </c>
      <c r="W321" s="26">
        <f t="shared" si="61"/>
        <v>0</v>
      </c>
      <c r="X321" s="26">
        <f t="shared" si="59"/>
        <v>0</v>
      </c>
      <c r="Y321" s="26">
        <f t="shared" si="57"/>
        <v>0</v>
      </c>
      <c r="Z321" s="33" t="s">
        <v>15</v>
      </c>
      <c r="AA321" s="36" t="s">
        <v>16</v>
      </c>
      <c r="AB321" s="181">
        <f t="shared" si="54"/>
        <v>1</v>
      </c>
      <c r="AC321" s="181">
        <f t="shared" si="60"/>
        <v>73.650000000000006</v>
      </c>
      <c r="AD321" s="181">
        <v>1.7</v>
      </c>
      <c r="AE321" s="181">
        <v>1.7</v>
      </c>
      <c r="AF321" s="101" t="str">
        <f t="shared" si="55"/>
        <v/>
      </c>
      <c r="AG321" s="190">
        <v>0</v>
      </c>
      <c r="AH321" s="69">
        <f t="shared" si="56"/>
        <v>1</v>
      </c>
    </row>
    <row r="322" spans="1:34" s="69" customFormat="1" ht="39" hidden="1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75"/>
      <c r="H322" s="75">
        <v>43.78</v>
      </c>
      <c r="I322" s="75">
        <v>43.78</v>
      </c>
      <c r="J322" s="91" t="s">
        <v>853</v>
      </c>
      <c r="K322" s="73"/>
      <c r="L322" s="46">
        <v>0</v>
      </c>
      <c r="M322" s="46">
        <v>0</v>
      </c>
      <c r="N322" s="46">
        <v>0</v>
      </c>
      <c r="O322" s="98"/>
      <c r="P322" s="23" t="s">
        <v>1487</v>
      </c>
      <c r="Q322" s="24" t="s">
        <v>852</v>
      </c>
      <c r="R322" s="25" t="s">
        <v>50</v>
      </c>
      <c r="S322" s="26">
        <v>1</v>
      </c>
      <c r="T322" s="26"/>
      <c r="U322" s="26">
        <v>43.78</v>
      </c>
      <c r="V322" s="26">
        <f t="shared" si="58"/>
        <v>0</v>
      </c>
      <c r="W322" s="26">
        <f t="shared" si="61"/>
        <v>0</v>
      </c>
      <c r="X322" s="26">
        <f t="shared" si="59"/>
        <v>0</v>
      </c>
      <c r="Y322" s="26">
        <f t="shared" si="57"/>
        <v>0</v>
      </c>
      <c r="Z322" s="33" t="s">
        <v>15</v>
      </c>
      <c r="AA322" s="36" t="s">
        <v>16</v>
      </c>
      <c r="AB322" s="181">
        <f t="shared" si="54"/>
        <v>1</v>
      </c>
      <c r="AC322" s="181">
        <f t="shared" si="60"/>
        <v>43.78</v>
      </c>
      <c r="AD322" s="181">
        <v>1.7</v>
      </c>
      <c r="AE322" s="181">
        <v>1.7</v>
      </c>
      <c r="AF322" s="101" t="str">
        <f t="shared" si="55"/>
        <v/>
      </c>
      <c r="AG322" s="190">
        <v>0</v>
      </c>
      <c r="AH322" s="69">
        <f t="shared" si="56"/>
        <v>1</v>
      </c>
    </row>
    <row r="323" spans="1:34" s="69" customFormat="1" ht="39" hidden="1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75"/>
      <c r="H323" s="75">
        <v>28.11</v>
      </c>
      <c r="I323" s="75">
        <v>28.11</v>
      </c>
      <c r="J323" s="91" t="s">
        <v>857</v>
      </c>
      <c r="K323" s="73"/>
      <c r="L323" s="46">
        <v>0</v>
      </c>
      <c r="M323" s="46">
        <v>0</v>
      </c>
      <c r="N323" s="46">
        <v>0</v>
      </c>
      <c r="O323" s="98"/>
      <c r="P323" s="23" t="s">
        <v>1488</v>
      </c>
      <c r="Q323" s="24" t="s">
        <v>855</v>
      </c>
      <c r="R323" s="25" t="s">
        <v>856</v>
      </c>
      <c r="S323" s="26">
        <v>1</v>
      </c>
      <c r="T323" s="26"/>
      <c r="U323" s="26">
        <v>28.11</v>
      </c>
      <c r="V323" s="26">
        <f t="shared" si="58"/>
        <v>0</v>
      </c>
      <c r="W323" s="26">
        <f t="shared" si="61"/>
        <v>0</v>
      </c>
      <c r="X323" s="26">
        <f t="shared" si="59"/>
        <v>0</v>
      </c>
      <c r="Y323" s="26">
        <f t="shared" si="57"/>
        <v>0</v>
      </c>
      <c r="Z323" s="33" t="s">
        <v>15</v>
      </c>
      <c r="AA323" s="36" t="s">
        <v>16</v>
      </c>
      <c r="AB323" s="181">
        <f t="shared" si="54"/>
        <v>1</v>
      </c>
      <c r="AC323" s="181">
        <f t="shared" si="60"/>
        <v>28.11</v>
      </c>
      <c r="AD323" s="181">
        <v>1.7</v>
      </c>
      <c r="AE323" s="181">
        <v>1.7</v>
      </c>
      <c r="AF323" s="101" t="str">
        <f t="shared" si="55"/>
        <v/>
      </c>
      <c r="AG323" s="190">
        <v>0</v>
      </c>
      <c r="AH323" s="69">
        <f t="shared" si="56"/>
        <v>1</v>
      </c>
    </row>
    <row r="324" spans="1:34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76"/>
      <c r="H324" s="75">
        <v>245.47</v>
      </c>
      <c r="I324" s="75">
        <v>245.47</v>
      </c>
      <c r="J324" s="91" t="s">
        <v>860</v>
      </c>
      <c r="K324" s="73"/>
      <c r="L324" s="46">
        <v>0</v>
      </c>
      <c r="M324" s="46">
        <v>0</v>
      </c>
      <c r="N324" s="46">
        <v>0</v>
      </c>
      <c r="O324" s="98"/>
      <c r="P324" s="23" t="s">
        <v>1489</v>
      </c>
      <c r="Q324" s="24" t="s">
        <v>859</v>
      </c>
      <c r="R324" s="25" t="s">
        <v>50</v>
      </c>
      <c r="S324" s="26">
        <v>1</v>
      </c>
      <c r="T324" s="26"/>
      <c r="U324" s="26">
        <v>245.47</v>
      </c>
      <c r="V324" s="26">
        <f t="shared" si="58"/>
        <v>0</v>
      </c>
      <c r="W324" s="26">
        <f t="shared" si="61"/>
        <v>0</v>
      </c>
      <c r="X324" s="26">
        <f t="shared" si="59"/>
        <v>0</v>
      </c>
      <c r="Y324" s="26">
        <f t="shared" si="57"/>
        <v>0</v>
      </c>
      <c r="Z324" s="33" t="s">
        <v>15</v>
      </c>
      <c r="AA324" s="36" t="s">
        <v>16</v>
      </c>
      <c r="AB324" s="181">
        <f t="shared" si="54"/>
        <v>1</v>
      </c>
      <c r="AC324" s="181">
        <f t="shared" si="60"/>
        <v>245.47</v>
      </c>
      <c r="AD324" s="181">
        <v>1.7</v>
      </c>
      <c r="AE324" s="181">
        <v>1.7</v>
      </c>
      <c r="AF324" s="101" t="str">
        <f t="shared" si="55"/>
        <v/>
      </c>
      <c r="AG324" s="190">
        <v>0</v>
      </c>
      <c r="AH324" s="69">
        <f t="shared" si="56"/>
        <v>1</v>
      </c>
    </row>
    <row r="325" spans="1:34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62"/>
      <c r="H325" s="167">
        <v>839.94</v>
      </c>
      <c r="I325" s="62">
        <v>61718.79</v>
      </c>
      <c r="J325" s="93"/>
      <c r="L325" s="46">
        <v>0</v>
      </c>
      <c r="M325" s="46">
        <v>0</v>
      </c>
      <c r="N325" s="46">
        <v>0</v>
      </c>
      <c r="O325" s="98"/>
      <c r="P325" s="23" t="s">
        <v>1398</v>
      </c>
      <c r="Q325" s="24" t="s">
        <v>1337</v>
      </c>
      <c r="R325" s="25" t="s">
        <v>30</v>
      </c>
      <c r="S325" s="26">
        <v>0</v>
      </c>
      <c r="T325" s="26">
        <v>73.48</v>
      </c>
      <c r="U325" s="26">
        <v>839.94</v>
      </c>
      <c r="V325" s="26">
        <f t="shared" si="58"/>
        <v>0</v>
      </c>
      <c r="W325" s="26">
        <f t="shared" si="61"/>
        <v>0</v>
      </c>
      <c r="X325" s="26">
        <f t="shared" si="59"/>
        <v>0</v>
      </c>
      <c r="Y325" s="26">
        <f>ROUND(U325*W325,2)</f>
        <v>0</v>
      </c>
      <c r="Z325" s="27"/>
      <c r="AA325" s="36" t="s">
        <v>16</v>
      </c>
      <c r="AB325" s="181">
        <f t="shared" si="54"/>
        <v>73.48</v>
      </c>
      <c r="AC325" s="181">
        <f t="shared" si="60"/>
        <v>61718.79</v>
      </c>
      <c r="AD325" s="181">
        <v>1.7</v>
      </c>
      <c r="AE325" s="181">
        <v>1.7</v>
      </c>
      <c r="AF325" s="101" t="str">
        <f t="shared" si="55"/>
        <v/>
      </c>
      <c r="AG325" s="190">
        <v>0</v>
      </c>
      <c r="AH325" s="69">
        <f t="shared" si="56"/>
        <v>73.48</v>
      </c>
    </row>
    <row r="326" spans="1:34" ht="33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62"/>
      <c r="H326" s="167">
        <v>150</v>
      </c>
      <c r="I326" s="62">
        <v>2678400</v>
      </c>
      <c r="J326" s="93"/>
      <c r="L326" s="46">
        <v>10000</v>
      </c>
      <c r="M326" s="46">
        <v>0</v>
      </c>
      <c r="N326" s="46">
        <v>1500000</v>
      </c>
      <c r="O326" s="98"/>
      <c r="P326" s="23" t="s">
        <v>1399</v>
      </c>
      <c r="Q326" s="24" t="s">
        <v>1339</v>
      </c>
      <c r="R326" s="25" t="s">
        <v>1359</v>
      </c>
      <c r="S326" s="26">
        <v>0</v>
      </c>
      <c r="T326" s="26">
        <v>17856</v>
      </c>
      <c r="U326" s="26">
        <v>150</v>
      </c>
      <c r="V326" s="26">
        <f t="shared" si="58"/>
        <v>0</v>
      </c>
      <c r="W326" s="26">
        <f t="shared" si="61"/>
        <v>10000</v>
      </c>
      <c r="X326" s="26">
        <f t="shared" si="59"/>
        <v>0</v>
      </c>
      <c r="Y326" s="26">
        <f t="shared" si="57"/>
        <v>1500000</v>
      </c>
      <c r="Z326" s="27"/>
      <c r="AA326" s="36" t="s">
        <v>16</v>
      </c>
      <c r="AB326" s="181">
        <f t="shared" si="54"/>
        <v>17856</v>
      </c>
      <c r="AC326" s="181">
        <f t="shared" si="60"/>
        <v>2678400</v>
      </c>
      <c r="AD326" s="181">
        <v>1.7</v>
      </c>
      <c r="AE326" s="181">
        <v>1.7</v>
      </c>
      <c r="AF326" s="101" t="str">
        <f t="shared" si="55"/>
        <v/>
      </c>
      <c r="AG326" s="190">
        <v>10000</v>
      </c>
      <c r="AH326" s="69">
        <f t="shared" si="56"/>
        <v>17856</v>
      </c>
    </row>
    <row r="327" spans="1:34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2"/>
      <c r="I327" s="82">
        <v>5831452.4900000002</v>
      </c>
      <c r="J327" s="94" t="s">
        <v>15</v>
      </c>
      <c r="K327" s="73"/>
      <c r="L327" s="45">
        <v>0</v>
      </c>
      <c r="M327" s="45">
        <v>0</v>
      </c>
      <c r="N327" s="45">
        <v>0</v>
      </c>
      <c r="O327" s="98"/>
      <c r="P327" s="18" t="s">
        <v>1400</v>
      </c>
      <c r="Q327" s="19" t="s">
        <v>862</v>
      </c>
      <c r="R327" s="20" t="s">
        <v>14</v>
      </c>
      <c r="S327" s="21">
        <v>1</v>
      </c>
      <c r="T327" s="21"/>
      <c r="U327" s="21">
        <f>SUMIFS(AC:AC,AD:AD,AD327)</f>
        <v>5831452.4899999993</v>
      </c>
      <c r="V327" s="21">
        <f t="shared" ref="V327:W327" si="62">IF(X327=0,0,1)</f>
        <v>0</v>
      </c>
      <c r="W327" s="21">
        <f t="shared" si="62"/>
        <v>0</v>
      </c>
      <c r="X327" s="21">
        <f>SUMIFS(X:X,AE:AE,AD327)</f>
        <v>0</v>
      </c>
      <c r="Y327" s="21">
        <f>SUMIFS(Y:Y,AE:AE,AD327)</f>
        <v>0</v>
      </c>
      <c r="Z327" s="22" t="s">
        <v>15</v>
      </c>
      <c r="AA327" s="43" t="s">
        <v>16</v>
      </c>
      <c r="AB327" s="181">
        <f t="shared" si="54"/>
        <v>1</v>
      </c>
      <c r="AC327" s="184"/>
      <c r="AD327" s="184">
        <v>1.8</v>
      </c>
      <c r="AE327" s="184"/>
      <c r="AF327" s="101" t="str">
        <f t="shared" si="55"/>
        <v/>
      </c>
      <c r="AG327" s="190">
        <v>0</v>
      </c>
      <c r="AH327" s="69">
        <f t="shared" si="56"/>
        <v>1</v>
      </c>
    </row>
    <row r="328" spans="1:34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>
        <v>69458</v>
      </c>
      <c r="I328" s="75">
        <v>69458</v>
      </c>
      <c r="J328" s="91" t="s">
        <v>865</v>
      </c>
      <c r="K328" s="73"/>
      <c r="L328" s="46">
        <v>0</v>
      </c>
      <c r="M328" s="46">
        <v>0</v>
      </c>
      <c r="N328" s="46">
        <v>0</v>
      </c>
      <c r="O328" s="98"/>
      <c r="P328" s="23" t="s">
        <v>1421</v>
      </c>
      <c r="Q328" s="24" t="s">
        <v>864</v>
      </c>
      <c r="R328" s="25" t="s">
        <v>14</v>
      </c>
      <c r="S328" s="26">
        <v>1</v>
      </c>
      <c r="T328" s="26"/>
      <c r="U328" s="26">
        <v>69458</v>
      </c>
      <c r="V328" s="26">
        <f t="shared" ref="V328:V368" si="63">AG328-L328</f>
        <v>0</v>
      </c>
      <c r="W328" s="26">
        <f t="shared" si="61"/>
        <v>0</v>
      </c>
      <c r="X328" s="26">
        <f t="shared" ref="X328:X368" si="64">Y328-N328</f>
        <v>0</v>
      </c>
      <c r="Y328" s="26">
        <f t="shared" si="57"/>
        <v>0</v>
      </c>
      <c r="Z328" s="33" t="s">
        <v>15</v>
      </c>
      <c r="AA328" s="36" t="s">
        <v>16</v>
      </c>
      <c r="AB328" s="181">
        <f t="shared" si="54"/>
        <v>1</v>
      </c>
      <c r="AC328" s="181">
        <f t="shared" si="60"/>
        <v>69458</v>
      </c>
      <c r="AD328" s="181">
        <v>1.8</v>
      </c>
      <c r="AE328" s="181">
        <v>1.8</v>
      </c>
      <c r="AF328" s="101" t="str">
        <f t="shared" si="55"/>
        <v/>
      </c>
      <c r="AG328" s="190">
        <v>0</v>
      </c>
      <c r="AH328" s="69">
        <f t="shared" si="56"/>
        <v>1</v>
      </c>
    </row>
    <row r="329" spans="1:34" s="69" customFormat="1" ht="33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>
        <v>94852.479999999996</v>
      </c>
      <c r="I329" s="75">
        <v>94852.479999999996</v>
      </c>
      <c r="J329" s="91" t="s">
        <v>868</v>
      </c>
      <c r="K329" s="73"/>
      <c r="L329" s="46">
        <v>0</v>
      </c>
      <c r="M329" s="46">
        <v>0</v>
      </c>
      <c r="N329" s="46">
        <v>0</v>
      </c>
      <c r="O329" s="98"/>
      <c r="P329" s="23" t="s">
        <v>1426</v>
      </c>
      <c r="Q329" s="24" t="s">
        <v>867</v>
      </c>
      <c r="R329" s="25" t="s">
        <v>14</v>
      </c>
      <c r="S329" s="26">
        <v>1</v>
      </c>
      <c r="T329" s="26"/>
      <c r="U329" s="26">
        <v>94852.479999999996</v>
      </c>
      <c r="V329" s="26">
        <f t="shared" si="63"/>
        <v>0</v>
      </c>
      <c r="W329" s="26">
        <f t="shared" si="61"/>
        <v>0</v>
      </c>
      <c r="X329" s="26">
        <f t="shared" si="64"/>
        <v>0</v>
      </c>
      <c r="Y329" s="26">
        <f t="shared" si="57"/>
        <v>0</v>
      </c>
      <c r="Z329" s="33" t="s">
        <v>15</v>
      </c>
      <c r="AA329" s="36" t="s">
        <v>16</v>
      </c>
      <c r="AB329" s="181">
        <f t="shared" si="54"/>
        <v>1</v>
      </c>
      <c r="AC329" s="181">
        <f t="shared" si="60"/>
        <v>94852.479999999996</v>
      </c>
      <c r="AD329" s="181">
        <v>1.8</v>
      </c>
      <c r="AE329" s="181">
        <v>1.8</v>
      </c>
      <c r="AF329" s="101" t="str">
        <f t="shared" si="55"/>
        <v/>
      </c>
      <c r="AG329" s="190">
        <v>0</v>
      </c>
      <c r="AH329" s="69">
        <f t="shared" si="56"/>
        <v>1</v>
      </c>
    </row>
    <row r="330" spans="1:34" s="69" customFormat="1" ht="39" x14ac:dyDescent="0.3">
      <c r="A330" s="55" t="s">
        <v>869</v>
      </c>
      <c r="B330" s="53" t="s">
        <v>870</v>
      </c>
      <c r="C330" s="54" t="s">
        <v>14</v>
      </c>
      <c r="D330" s="75">
        <v>1</v>
      </c>
      <c r="E330" s="75"/>
      <c r="F330" s="75"/>
      <c r="G330" s="75"/>
      <c r="H330" s="75">
        <v>251510</v>
      </c>
      <c r="I330" s="75">
        <v>251510</v>
      </c>
      <c r="J330" s="91" t="s">
        <v>871</v>
      </c>
      <c r="K330" s="73"/>
      <c r="L330" s="46">
        <v>0</v>
      </c>
      <c r="M330" s="46">
        <v>0</v>
      </c>
      <c r="N330" s="46">
        <v>0</v>
      </c>
      <c r="O330" s="98"/>
      <c r="P330" s="23" t="s">
        <v>1402</v>
      </c>
      <c r="Q330" s="24" t="s">
        <v>870</v>
      </c>
      <c r="R330" s="25" t="s">
        <v>14</v>
      </c>
      <c r="S330" s="26">
        <v>1</v>
      </c>
      <c r="T330" s="26"/>
      <c r="U330" s="26">
        <v>251510</v>
      </c>
      <c r="V330" s="26">
        <f t="shared" si="63"/>
        <v>0</v>
      </c>
      <c r="W330" s="26">
        <f t="shared" si="61"/>
        <v>0</v>
      </c>
      <c r="X330" s="26">
        <f t="shared" si="64"/>
        <v>0</v>
      </c>
      <c r="Y330" s="26">
        <f t="shared" si="57"/>
        <v>0</v>
      </c>
      <c r="Z330" s="33" t="s">
        <v>15</v>
      </c>
      <c r="AA330" s="36" t="s">
        <v>16</v>
      </c>
      <c r="AB330" s="181">
        <f t="shared" si="54"/>
        <v>1</v>
      </c>
      <c r="AC330" s="181">
        <f t="shared" si="60"/>
        <v>251510</v>
      </c>
      <c r="AD330" s="181">
        <v>1.8</v>
      </c>
      <c r="AE330" s="181">
        <v>1.8</v>
      </c>
      <c r="AF330" s="101" t="str">
        <f t="shared" si="55"/>
        <v/>
      </c>
      <c r="AG330" s="190">
        <v>0</v>
      </c>
      <c r="AH330" s="69">
        <f t="shared" si="56"/>
        <v>1</v>
      </c>
    </row>
    <row r="331" spans="1:34" s="69" customFormat="1" ht="33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>
        <v>174688.22</v>
      </c>
      <c r="I331" s="75">
        <v>174688.22</v>
      </c>
      <c r="J331" s="91" t="s">
        <v>874</v>
      </c>
      <c r="K331" s="73"/>
      <c r="L331" s="46">
        <v>0</v>
      </c>
      <c r="M331" s="46">
        <v>0</v>
      </c>
      <c r="N331" s="46">
        <v>0</v>
      </c>
      <c r="O331" s="98"/>
      <c r="P331" s="23" t="s">
        <v>1373</v>
      </c>
      <c r="Q331" s="24" t="s">
        <v>873</v>
      </c>
      <c r="R331" s="25" t="s">
        <v>14</v>
      </c>
      <c r="S331" s="26">
        <v>1</v>
      </c>
      <c r="T331" s="26"/>
      <c r="U331" s="26">
        <v>174688.22</v>
      </c>
      <c r="V331" s="26">
        <f t="shared" si="63"/>
        <v>0</v>
      </c>
      <c r="W331" s="26">
        <f t="shared" si="61"/>
        <v>0</v>
      </c>
      <c r="X331" s="26">
        <f t="shared" si="64"/>
        <v>0</v>
      </c>
      <c r="Y331" s="26">
        <f t="shared" si="57"/>
        <v>0</v>
      </c>
      <c r="Z331" s="33" t="s">
        <v>15</v>
      </c>
      <c r="AA331" s="36" t="s">
        <v>16</v>
      </c>
      <c r="AB331" s="181">
        <f t="shared" ref="AB331:AB411" si="65">IF(T331="",S331,T331)</f>
        <v>1</v>
      </c>
      <c r="AC331" s="181">
        <f t="shared" si="60"/>
        <v>174688.22</v>
      </c>
      <c r="AD331" s="181">
        <v>1.8</v>
      </c>
      <c r="AE331" s="181">
        <v>1.8</v>
      </c>
      <c r="AF331" s="101" t="str">
        <f t="shared" ref="AF331:AF411" si="66">IF(W331&gt;AH331,"超估","")</f>
        <v/>
      </c>
      <c r="AG331" s="190">
        <v>0</v>
      </c>
      <c r="AH331" s="69">
        <f t="shared" ref="AH331:AH394" si="67">IF(G331=0,IF(F331=0,IF(E331=0,D331,E331),F331),G331)</f>
        <v>1</v>
      </c>
    </row>
    <row r="332" spans="1:34" s="69" customFormat="1" ht="33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>
        <v>21221.84</v>
      </c>
      <c r="I332" s="75">
        <v>21221.84</v>
      </c>
      <c r="J332" s="91" t="s">
        <v>877</v>
      </c>
      <c r="K332" s="73"/>
      <c r="L332" s="46">
        <v>0</v>
      </c>
      <c r="M332" s="46">
        <v>0</v>
      </c>
      <c r="N332" s="46">
        <v>0</v>
      </c>
      <c r="O332" s="98"/>
      <c r="P332" s="23" t="s">
        <v>1393</v>
      </c>
      <c r="Q332" s="24" t="s">
        <v>876</v>
      </c>
      <c r="R332" s="25" t="s">
        <v>14</v>
      </c>
      <c r="S332" s="26">
        <v>1</v>
      </c>
      <c r="T332" s="26"/>
      <c r="U332" s="26">
        <v>21221.84</v>
      </c>
      <c r="V332" s="26">
        <f t="shared" si="63"/>
        <v>0</v>
      </c>
      <c r="W332" s="26">
        <f t="shared" si="61"/>
        <v>0</v>
      </c>
      <c r="X332" s="26">
        <f t="shared" si="64"/>
        <v>0</v>
      </c>
      <c r="Y332" s="26">
        <f t="shared" ref="Y332:Y368" si="68">ROUND(U332*W332,2)</f>
        <v>0</v>
      </c>
      <c r="Z332" s="33" t="s">
        <v>15</v>
      </c>
      <c r="AA332" s="36" t="s">
        <v>16</v>
      </c>
      <c r="AB332" s="181">
        <f t="shared" si="65"/>
        <v>1</v>
      </c>
      <c r="AC332" s="181">
        <f t="shared" si="60"/>
        <v>21221.84</v>
      </c>
      <c r="AD332" s="181">
        <v>1.8</v>
      </c>
      <c r="AE332" s="181">
        <v>1.8</v>
      </c>
      <c r="AF332" s="101" t="str">
        <f t="shared" si="66"/>
        <v/>
      </c>
      <c r="AG332" s="190">
        <v>0</v>
      </c>
      <c r="AH332" s="69">
        <f t="shared" si="67"/>
        <v>1</v>
      </c>
    </row>
    <row r="333" spans="1:34" s="69" customFormat="1" ht="58.5" x14ac:dyDescent="0.3">
      <c r="A333" s="55" t="s">
        <v>878</v>
      </c>
      <c r="B333" s="53" t="s">
        <v>879</v>
      </c>
      <c r="C333" s="54" t="s">
        <v>81</v>
      </c>
      <c r="D333" s="75">
        <v>12</v>
      </c>
      <c r="E333" s="75"/>
      <c r="F333" s="75"/>
      <c r="G333" s="75"/>
      <c r="H333" s="75">
        <v>42800</v>
      </c>
      <c r="I333" s="75">
        <v>513600</v>
      </c>
      <c r="J333" s="91" t="s">
        <v>880</v>
      </c>
      <c r="K333" s="73"/>
      <c r="L333" s="46">
        <v>0</v>
      </c>
      <c r="M333" s="46">
        <v>0</v>
      </c>
      <c r="N333" s="46">
        <v>0</v>
      </c>
      <c r="O333" s="98"/>
      <c r="P333" s="23" t="s">
        <v>1403</v>
      </c>
      <c r="Q333" s="24" t="s">
        <v>879</v>
      </c>
      <c r="R333" s="25" t="s">
        <v>81</v>
      </c>
      <c r="S333" s="26">
        <v>12</v>
      </c>
      <c r="T333" s="26"/>
      <c r="U333" s="26">
        <v>42800</v>
      </c>
      <c r="V333" s="26">
        <f t="shared" si="63"/>
        <v>0</v>
      </c>
      <c r="W333" s="26">
        <f t="shared" si="61"/>
        <v>0</v>
      </c>
      <c r="X333" s="26">
        <f t="shared" si="64"/>
        <v>0</v>
      </c>
      <c r="Y333" s="26">
        <f t="shared" si="68"/>
        <v>0</v>
      </c>
      <c r="Z333" s="33" t="s">
        <v>15</v>
      </c>
      <c r="AA333" s="36" t="s">
        <v>16</v>
      </c>
      <c r="AB333" s="181">
        <f t="shared" si="65"/>
        <v>12</v>
      </c>
      <c r="AC333" s="181">
        <f t="shared" si="60"/>
        <v>513600</v>
      </c>
      <c r="AD333" s="181">
        <v>1.8</v>
      </c>
      <c r="AE333" s="181">
        <v>1.8</v>
      </c>
      <c r="AF333" s="101" t="str">
        <f t="shared" si="66"/>
        <v/>
      </c>
      <c r="AG333" s="190">
        <v>0</v>
      </c>
      <c r="AH333" s="69">
        <f t="shared" si="67"/>
        <v>12</v>
      </c>
    </row>
    <row r="334" spans="1:34" s="69" customFormat="1" ht="58.5" x14ac:dyDescent="0.3">
      <c r="A334" s="55" t="s">
        <v>881</v>
      </c>
      <c r="B334" s="53" t="s">
        <v>882</v>
      </c>
      <c r="C334" s="54" t="s">
        <v>81</v>
      </c>
      <c r="D334" s="75">
        <v>7</v>
      </c>
      <c r="E334" s="75"/>
      <c r="F334" s="75"/>
      <c r="G334" s="75"/>
      <c r="H334" s="75">
        <v>60400</v>
      </c>
      <c r="I334" s="75">
        <v>422800</v>
      </c>
      <c r="J334" s="91" t="s">
        <v>883</v>
      </c>
      <c r="K334" s="73"/>
      <c r="L334" s="46">
        <v>0</v>
      </c>
      <c r="M334" s="46">
        <v>0</v>
      </c>
      <c r="N334" s="46">
        <v>0</v>
      </c>
      <c r="O334" s="98"/>
      <c r="P334" s="23" t="s">
        <v>1427</v>
      </c>
      <c r="Q334" s="24" t="s">
        <v>882</v>
      </c>
      <c r="R334" s="25" t="s">
        <v>81</v>
      </c>
      <c r="S334" s="26">
        <v>7</v>
      </c>
      <c r="T334" s="26"/>
      <c r="U334" s="26">
        <v>60400</v>
      </c>
      <c r="V334" s="26">
        <f t="shared" si="63"/>
        <v>0</v>
      </c>
      <c r="W334" s="26">
        <f t="shared" si="61"/>
        <v>0</v>
      </c>
      <c r="X334" s="26">
        <f t="shared" si="64"/>
        <v>0</v>
      </c>
      <c r="Y334" s="26">
        <f t="shared" si="68"/>
        <v>0</v>
      </c>
      <c r="Z334" s="33" t="s">
        <v>15</v>
      </c>
      <c r="AA334" s="36" t="s">
        <v>16</v>
      </c>
      <c r="AB334" s="181">
        <f t="shared" si="65"/>
        <v>7</v>
      </c>
      <c r="AC334" s="181">
        <f t="shared" si="60"/>
        <v>422800</v>
      </c>
      <c r="AD334" s="181">
        <v>1.8</v>
      </c>
      <c r="AE334" s="181">
        <v>1.8</v>
      </c>
      <c r="AF334" s="101" t="str">
        <f t="shared" si="66"/>
        <v/>
      </c>
      <c r="AG334" s="190">
        <v>0</v>
      </c>
      <c r="AH334" s="69">
        <f t="shared" si="67"/>
        <v>7</v>
      </c>
    </row>
    <row r="335" spans="1:34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>
        <v>35000</v>
      </c>
      <c r="I335" s="75">
        <v>455000</v>
      </c>
      <c r="J335" s="91" t="s">
        <v>886</v>
      </c>
      <c r="K335" s="73"/>
      <c r="L335" s="46">
        <v>0</v>
      </c>
      <c r="M335" s="46">
        <v>0</v>
      </c>
      <c r="N335" s="46">
        <v>0</v>
      </c>
      <c r="O335" s="98"/>
      <c r="P335" s="23" t="s">
        <v>1428</v>
      </c>
      <c r="Q335" s="24" t="s">
        <v>885</v>
      </c>
      <c r="R335" s="25" t="s">
        <v>81</v>
      </c>
      <c r="S335" s="26">
        <v>13</v>
      </c>
      <c r="T335" s="26"/>
      <c r="U335" s="26">
        <v>35000</v>
      </c>
      <c r="V335" s="26">
        <f t="shared" si="63"/>
        <v>0</v>
      </c>
      <c r="W335" s="26">
        <f t="shared" si="61"/>
        <v>0</v>
      </c>
      <c r="X335" s="26">
        <f t="shared" si="64"/>
        <v>0</v>
      </c>
      <c r="Y335" s="26">
        <f t="shared" si="68"/>
        <v>0</v>
      </c>
      <c r="Z335" s="33" t="s">
        <v>15</v>
      </c>
      <c r="AA335" s="36" t="s">
        <v>16</v>
      </c>
      <c r="AB335" s="181">
        <f t="shared" si="65"/>
        <v>13</v>
      </c>
      <c r="AC335" s="181">
        <f t="shared" si="60"/>
        <v>455000</v>
      </c>
      <c r="AD335" s="181">
        <v>1.8</v>
      </c>
      <c r="AE335" s="181">
        <v>1.8</v>
      </c>
      <c r="AF335" s="101" t="str">
        <f t="shared" si="66"/>
        <v/>
      </c>
      <c r="AG335" s="190">
        <v>0</v>
      </c>
      <c r="AH335" s="69">
        <f t="shared" si="67"/>
        <v>13</v>
      </c>
    </row>
    <row r="336" spans="1:34" s="69" customFormat="1" ht="39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>
        <v>10000</v>
      </c>
      <c r="I336" s="75">
        <v>130000</v>
      </c>
      <c r="J336" s="91" t="s">
        <v>889</v>
      </c>
      <c r="K336" s="73"/>
      <c r="L336" s="46">
        <v>0</v>
      </c>
      <c r="M336" s="46">
        <v>0</v>
      </c>
      <c r="N336" s="46">
        <v>0</v>
      </c>
      <c r="O336" s="98"/>
      <c r="P336" s="23" t="s">
        <v>1387</v>
      </c>
      <c r="Q336" s="24" t="s">
        <v>888</v>
      </c>
      <c r="R336" s="25" t="s">
        <v>81</v>
      </c>
      <c r="S336" s="26">
        <v>13</v>
      </c>
      <c r="T336" s="26"/>
      <c r="U336" s="26">
        <v>10000</v>
      </c>
      <c r="V336" s="26">
        <f t="shared" si="63"/>
        <v>0</v>
      </c>
      <c r="W336" s="26">
        <f t="shared" si="61"/>
        <v>0</v>
      </c>
      <c r="X336" s="26">
        <f t="shared" si="64"/>
        <v>0</v>
      </c>
      <c r="Y336" s="26">
        <f t="shared" si="68"/>
        <v>0</v>
      </c>
      <c r="Z336" s="33" t="s">
        <v>15</v>
      </c>
      <c r="AA336" s="36" t="s">
        <v>16</v>
      </c>
      <c r="AB336" s="181">
        <f t="shared" si="65"/>
        <v>13</v>
      </c>
      <c r="AC336" s="181">
        <f t="shared" si="60"/>
        <v>130000</v>
      </c>
      <c r="AD336" s="181">
        <v>1.8</v>
      </c>
      <c r="AE336" s="181">
        <v>1.8</v>
      </c>
      <c r="AF336" s="101" t="str">
        <f t="shared" si="66"/>
        <v/>
      </c>
      <c r="AG336" s="190">
        <v>0</v>
      </c>
      <c r="AH336" s="69">
        <f t="shared" si="67"/>
        <v>13</v>
      </c>
    </row>
    <row r="337" spans="1:34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>
        <v>1500</v>
      </c>
      <c r="I337" s="75">
        <v>3000</v>
      </c>
      <c r="J337" s="91" t="s">
        <v>892</v>
      </c>
      <c r="K337" s="73"/>
      <c r="L337" s="46">
        <v>0</v>
      </c>
      <c r="M337" s="46">
        <v>0</v>
      </c>
      <c r="N337" s="46">
        <v>0</v>
      </c>
      <c r="O337" s="98"/>
      <c r="P337" s="23" t="s">
        <v>1405</v>
      </c>
      <c r="Q337" s="24" t="s">
        <v>891</v>
      </c>
      <c r="R337" s="25" t="s">
        <v>325</v>
      </c>
      <c r="S337" s="26">
        <v>2</v>
      </c>
      <c r="T337" s="26"/>
      <c r="U337" s="26">
        <v>1500</v>
      </c>
      <c r="V337" s="26">
        <f t="shared" si="63"/>
        <v>0</v>
      </c>
      <c r="W337" s="26">
        <f t="shared" si="61"/>
        <v>0</v>
      </c>
      <c r="X337" s="26">
        <f t="shared" si="64"/>
        <v>0</v>
      </c>
      <c r="Y337" s="26">
        <f t="shared" si="68"/>
        <v>0</v>
      </c>
      <c r="Z337" s="33" t="s">
        <v>15</v>
      </c>
      <c r="AA337" s="36" t="s">
        <v>16</v>
      </c>
      <c r="AB337" s="181">
        <f t="shared" si="65"/>
        <v>2</v>
      </c>
      <c r="AC337" s="181">
        <f t="shared" si="60"/>
        <v>3000</v>
      </c>
      <c r="AD337" s="181">
        <v>1.8</v>
      </c>
      <c r="AE337" s="181">
        <v>1.8</v>
      </c>
      <c r="AF337" s="101" t="str">
        <f t="shared" si="66"/>
        <v/>
      </c>
      <c r="AG337" s="190">
        <v>0</v>
      </c>
      <c r="AH337" s="69">
        <f t="shared" si="67"/>
        <v>2</v>
      </c>
    </row>
    <row r="338" spans="1:34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>
        <v>4000</v>
      </c>
      <c r="I338" s="75">
        <v>8000</v>
      </c>
      <c r="J338" s="91" t="s">
        <v>895</v>
      </c>
      <c r="K338" s="73"/>
      <c r="L338" s="46">
        <v>0</v>
      </c>
      <c r="M338" s="46">
        <v>0</v>
      </c>
      <c r="N338" s="46">
        <v>0</v>
      </c>
      <c r="O338" s="98"/>
      <c r="P338" s="23" t="s">
        <v>1406</v>
      </c>
      <c r="Q338" s="24" t="s">
        <v>894</v>
      </c>
      <c r="R338" s="25" t="s">
        <v>325</v>
      </c>
      <c r="S338" s="26">
        <v>2</v>
      </c>
      <c r="T338" s="26"/>
      <c r="U338" s="26">
        <v>4000</v>
      </c>
      <c r="V338" s="26">
        <f t="shared" si="63"/>
        <v>0</v>
      </c>
      <c r="W338" s="26">
        <f t="shared" si="61"/>
        <v>0</v>
      </c>
      <c r="X338" s="26">
        <f t="shared" si="64"/>
        <v>0</v>
      </c>
      <c r="Y338" s="26">
        <f t="shared" si="68"/>
        <v>0</v>
      </c>
      <c r="Z338" s="33" t="s">
        <v>15</v>
      </c>
      <c r="AA338" s="36" t="s">
        <v>16</v>
      </c>
      <c r="AB338" s="181">
        <f t="shared" si="65"/>
        <v>2</v>
      </c>
      <c r="AC338" s="181">
        <f t="shared" si="60"/>
        <v>8000</v>
      </c>
      <c r="AD338" s="181">
        <v>1.8</v>
      </c>
      <c r="AE338" s="181">
        <v>1.8</v>
      </c>
      <c r="AF338" s="101" t="str">
        <f t="shared" si="66"/>
        <v/>
      </c>
      <c r="AG338" s="190">
        <v>0</v>
      </c>
      <c r="AH338" s="69">
        <f t="shared" si="67"/>
        <v>2</v>
      </c>
    </row>
    <row r="339" spans="1:34" s="69" customFormat="1" ht="33" x14ac:dyDescent="0.3">
      <c r="A339" s="55" t="s">
        <v>896</v>
      </c>
      <c r="B339" s="53" t="s">
        <v>897</v>
      </c>
      <c r="C339" s="54" t="s">
        <v>30</v>
      </c>
      <c r="D339" s="75">
        <v>216.55</v>
      </c>
      <c r="E339" s="75"/>
      <c r="F339" s="75"/>
      <c r="G339" s="75"/>
      <c r="H339" s="75">
        <v>800</v>
      </c>
      <c r="I339" s="75">
        <v>173240</v>
      </c>
      <c r="J339" s="91" t="s">
        <v>898</v>
      </c>
      <c r="K339" s="73"/>
      <c r="L339" s="46">
        <v>0</v>
      </c>
      <c r="M339" s="46">
        <v>0</v>
      </c>
      <c r="N339" s="46">
        <v>0</v>
      </c>
      <c r="O339" s="98"/>
      <c r="P339" s="23" t="s">
        <v>1414</v>
      </c>
      <c r="Q339" s="24" t="s">
        <v>897</v>
      </c>
      <c r="R339" s="25" t="s">
        <v>30</v>
      </c>
      <c r="S339" s="26">
        <v>216.55</v>
      </c>
      <c r="T339" s="26"/>
      <c r="U339" s="26">
        <v>800</v>
      </c>
      <c r="V339" s="26">
        <f t="shared" si="63"/>
        <v>0</v>
      </c>
      <c r="W339" s="26">
        <f t="shared" si="61"/>
        <v>0</v>
      </c>
      <c r="X339" s="26">
        <f t="shared" si="64"/>
        <v>0</v>
      </c>
      <c r="Y339" s="26">
        <f t="shared" si="68"/>
        <v>0</v>
      </c>
      <c r="Z339" s="33" t="s">
        <v>15</v>
      </c>
      <c r="AA339" s="36" t="s">
        <v>16</v>
      </c>
      <c r="AB339" s="181">
        <f t="shared" si="65"/>
        <v>216.55</v>
      </c>
      <c r="AC339" s="181">
        <f t="shared" si="60"/>
        <v>173240</v>
      </c>
      <c r="AD339" s="181">
        <v>1.8</v>
      </c>
      <c r="AE339" s="181">
        <v>1.8</v>
      </c>
      <c r="AF339" s="101" t="str">
        <f t="shared" si="66"/>
        <v/>
      </c>
      <c r="AG339" s="190">
        <v>0</v>
      </c>
      <c r="AH339" s="69">
        <f t="shared" si="67"/>
        <v>216.55</v>
      </c>
    </row>
    <row r="340" spans="1:34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>
        <v>11300</v>
      </c>
      <c r="I340" s="75">
        <v>56500</v>
      </c>
      <c r="J340" s="91" t="s">
        <v>901</v>
      </c>
      <c r="K340" s="73"/>
      <c r="L340" s="46">
        <v>0</v>
      </c>
      <c r="M340" s="46">
        <v>0</v>
      </c>
      <c r="N340" s="46">
        <v>0</v>
      </c>
      <c r="O340" s="98"/>
      <c r="P340" s="23" t="s">
        <v>1429</v>
      </c>
      <c r="Q340" s="24" t="s">
        <v>900</v>
      </c>
      <c r="R340" s="25" t="s">
        <v>325</v>
      </c>
      <c r="S340" s="26">
        <v>5</v>
      </c>
      <c r="T340" s="26"/>
      <c r="U340" s="26">
        <v>11300</v>
      </c>
      <c r="V340" s="26">
        <f t="shared" si="63"/>
        <v>0</v>
      </c>
      <c r="W340" s="26">
        <f t="shared" si="61"/>
        <v>0</v>
      </c>
      <c r="X340" s="26">
        <f t="shared" si="64"/>
        <v>0</v>
      </c>
      <c r="Y340" s="26">
        <f t="shared" si="68"/>
        <v>0</v>
      </c>
      <c r="Z340" s="33" t="s">
        <v>15</v>
      </c>
      <c r="AA340" s="36" t="s">
        <v>16</v>
      </c>
      <c r="AB340" s="181">
        <f t="shared" si="65"/>
        <v>5</v>
      </c>
      <c r="AC340" s="181">
        <f t="shared" si="60"/>
        <v>56500</v>
      </c>
      <c r="AD340" s="181">
        <v>1.8</v>
      </c>
      <c r="AE340" s="181">
        <v>1.8</v>
      </c>
      <c r="AF340" s="101" t="str">
        <f t="shared" si="66"/>
        <v/>
      </c>
      <c r="AG340" s="190">
        <v>0</v>
      </c>
      <c r="AH340" s="69">
        <f t="shared" si="67"/>
        <v>5</v>
      </c>
    </row>
    <row r="341" spans="1:34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>
        <v>13500</v>
      </c>
      <c r="I341" s="75">
        <v>108000</v>
      </c>
      <c r="J341" s="91" t="s">
        <v>904</v>
      </c>
      <c r="K341" s="73"/>
      <c r="L341" s="46">
        <v>0</v>
      </c>
      <c r="M341" s="46">
        <v>0</v>
      </c>
      <c r="N341" s="46">
        <v>0</v>
      </c>
      <c r="O341" s="98"/>
      <c r="P341" s="23" t="s">
        <v>1430</v>
      </c>
      <c r="Q341" s="24" t="s">
        <v>903</v>
      </c>
      <c r="R341" s="25" t="s">
        <v>325</v>
      </c>
      <c r="S341" s="26">
        <v>8</v>
      </c>
      <c r="T341" s="26"/>
      <c r="U341" s="26">
        <v>13500</v>
      </c>
      <c r="V341" s="26">
        <f t="shared" si="63"/>
        <v>0</v>
      </c>
      <c r="W341" s="26">
        <f t="shared" si="61"/>
        <v>0</v>
      </c>
      <c r="X341" s="26">
        <f t="shared" si="64"/>
        <v>0</v>
      </c>
      <c r="Y341" s="26">
        <f t="shared" si="68"/>
        <v>0</v>
      </c>
      <c r="Z341" s="33" t="s">
        <v>15</v>
      </c>
      <c r="AA341" s="36" t="s">
        <v>16</v>
      </c>
      <c r="AB341" s="181">
        <f t="shared" si="65"/>
        <v>8</v>
      </c>
      <c r="AC341" s="181">
        <f t="shared" si="60"/>
        <v>108000</v>
      </c>
      <c r="AD341" s="181">
        <v>1.8</v>
      </c>
      <c r="AE341" s="181">
        <v>1.8</v>
      </c>
      <c r="AF341" s="101" t="str">
        <f t="shared" si="66"/>
        <v/>
      </c>
      <c r="AG341" s="190">
        <v>0</v>
      </c>
      <c r="AH341" s="69">
        <f t="shared" si="67"/>
        <v>8</v>
      </c>
    </row>
    <row r="342" spans="1:34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>
        <v>112963.49</v>
      </c>
      <c r="I342" s="75">
        <v>112963.49</v>
      </c>
      <c r="J342" s="91" t="s">
        <v>907</v>
      </c>
      <c r="K342" s="73"/>
      <c r="L342" s="46">
        <v>0</v>
      </c>
      <c r="M342" s="46">
        <v>0</v>
      </c>
      <c r="N342" s="46">
        <v>0</v>
      </c>
      <c r="O342" s="98"/>
      <c r="P342" s="23" t="s">
        <v>1431</v>
      </c>
      <c r="Q342" s="24" t="s">
        <v>906</v>
      </c>
      <c r="R342" s="25" t="s">
        <v>73</v>
      </c>
      <c r="S342" s="26">
        <v>1</v>
      </c>
      <c r="T342" s="26"/>
      <c r="U342" s="26">
        <v>112963.49</v>
      </c>
      <c r="V342" s="26">
        <f t="shared" si="63"/>
        <v>0</v>
      </c>
      <c r="W342" s="26">
        <f t="shared" si="61"/>
        <v>0</v>
      </c>
      <c r="X342" s="26">
        <f t="shared" si="64"/>
        <v>0</v>
      </c>
      <c r="Y342" s="26">
        <f t="shared" si="68"/>
        <v>0</v>
      </c>
      <c r="Z342" s="33" t="s">
        <v>15</v>
      </c>
      <c r="AA342" s="36" t="s">
        <v>16</v>
      </c>
      <c r="AB342" s="181">
        <f t="shared" si="65"/>
        <v>1</v>
      </c>
      <c r="AC342" s="181">
        <f t="shared" si="60"/>
        <v>112963.49</v>
      </c>
      <c r="AD342" s="181">
        <v>1.8</v>
      </c>
      <c r="AE342" s="181">
        <v>1.8</v>
      </c>
      <c r="AF342" s="101" t="str">
        <f t="shared" si="66"/>
        <v/>
      </c>
      <c r="AG342" s="190">
        <v>0</v>
      </c>
      <c r="AH342" s="69">
        <f t="shared" si="67"/>
        <v>1</v>
      </c>
    </row>
    <row r="343" spans="1:34" s="69" customFormat="1" ht="33" x14ac:dyDescent="0.3">
      <c r="A343" s="55" t="s">
        <v>908</v>
      </c>
      <c r="B343" s="211" t="s">
        <v>909</v>
      </c>
      <c r="C343" s="212" t="s">
        <v>14</v>
      </c>
      <c r="D343" s="213">
        <v>1</v>
      </c>
      <c r="E343" s="75"/>
      <c r="F343" s="75"/>
      <c r="G343" s="75"/>
      <c r="H343" s="75">
        <v>322500</v>
      </c>
      <c r="I343" s="75">
        <v>322500</v>
      </c>
      <c r="J343" s="91" t="s">
        <v>910</v>
      </c>
      <c r="K343" s="73"/>
      <c r="L343" s="46">
        <v>0</v>
      </c>
      <c r="M343" s="46">
        <v>0</v>
      </c>
      <c r="N343" s="46">
        <v>0</v>
      </c>
      <c r="O343" s="98"/>
      <c r="P343" s="23" t="s">
        <v>1395</v>
      </c>
      <c r="Q343" s="24" t="s">
        <v>909</v>
      </c>
      <c r="R343" s="25" t="s">
        <v>14</v>
      </c>
      <c r="S343" s="26">
        <v>1</v>
      </c>
      <c r="T343" s="26"/>
      <c r="U343" s="26">
        <v>322500</v>
      </c>
      <c r="V343" s="26">
        <f t="shared" si="63"/>
        <v>0</v>
      </c>
      <c r="W343" s="26">
        <f t="shared" si="61"/>
        <v>0</v>
      </c>
      <c r="X343" s="26">
        <f t="shared" si="64"/>
        <v>0</v>
      </c>
      <c r="Y343" s="26">
        <f t="shared" si="68"/>
        <v>0</v>
      </c>
      <c r="Z343" s="33" t="s">
        <v>15</v>
      </c>
      <c r="AA343" s="36" t="s">
        <v>16</v>
      </c>
      <c r="AB343" s="181">
        <f t="shared" si="65"/>
        <v>1</v>
      </c>
      <c r="AC343" s="181">
        <f t="shared" si="60"/>
        <v>322500</v>
      </c>
      <c r="AD343" s="181">
        <v>1.8</v>
      </c>
      <c r="AE343" s="181">
        <v>1.8</v>
      </c>
      <c r="AF343" s="101" t="str">
        <f t="shared" si="66"/>
        <v/>
      </c>
      <c r="AG343" s="190">
        <v>0</v>
      </c>
      <c r="AH343" s="69">
        <f t="shared" si="67"/>
        <v>1</v>
      </c>
    </row>
    <row r="344" spans="1:34" s="69" customFormat="1" ht="33" x14ac:dyDescent="0.3">
      <c r="A344" s="55" t="s">
        <v>911</v>
      </c>
      <c r="B344" s="211" t="s">
        <v>912</v>
      </c>
      <c r="C344" s="212" t="s">
        <v>325</v>
      </c>
      <c r="D344" s="213">
        <v>7</v>
      </c>
      <c r="E344" s="75"/>
      <c r="F344" s="75"/>
      <c r="G344" s="75"/>
      <c r="H344" s="75">
        <v>15500</v>
      </c>
      <c r="I344" s="75">
        <v>108500</v>
      </c>
      <c r="J344" s="91" t="s">
        <v>913</v>
      </c>
      <c r="K344" s="73"/>
      <c r="L344" s="46">
        <v>0</v>
      </c>
      <c r="M344" s="46">
        <v>0</v>
      </c>
      <c r="N344" s="46">
        <v>0</v>
      </c>
      <c r="O344" s="98"/>
      <c r="P344" s="23" t="s">
        <v>1432</v>
      </c>
      <c r="Q344" s="24" t="s">
        <v>912</v>
      </c>
      <c r="R344" s="25" t="s">
        <v>325</v>
      </c>
      <c r="S344" s="26">
        <v>7</v>
      </c>
      <c r="T344" s="26"/>
      <c r="U344" s="26">
        <v>15500</v>
      </c>
      <c r="V344" s="26">
        <f t="shared" si="63"/>
        <v>0</v>
      </c>
      <c r="W344" s="26">
        <f t="shared" si="61"/>
        <v>0</v>
      </c>
      <c r="X344" s="26">
        <f t="shared" si="64"/>
        <v>0</v>
      </c>
      <c r="Y344" s="26">
        <f t="shared" si="68"/>
        <v>0</v>
      </c>
      <c r="Z344" s="33" t="s">
        <v>15</v>
      </c>
      <c r="AA344" s="36" t="s">
        <v>16</v>
      </c>
      <c r="AB344" s="181">
        <f t="shared" si="65"/>
        <v>7</v>
      </c>
      <c r="AC344" s="181">
        <f t="shared" si="60"/>
        <v>108500</v>
      </c>
      <c r="AD344" s="181">
        <v>1.8</v>
      </c>
      <c r="AE344" s="181">
        <v>1.8</v>
      </c>
      <c r="AF344" s="101" t="str">
        <f t="shared" si="66"/>
        <v/>
      </c>
      <c r="AG344" s="190">
        <v>0</v>
      </c>
      <c r="AH344" s="69">
        <f t="shared" si="67"/>
        <v>7</v>
      </c>
    </row>
    <row r="345" spans="1:34" s="69" customFormat="1" ht="33" x14ac:dyDescent="0.3">
      <c r="A345" s="55" t="s">
        <v>914</v>
      </c>
      <c r="B345" s="211" t="s">
        <v>915</v>
      </c>
      <c r="C345" s="212" t="s">
        <v>325</v>
      </c>
      <c r="D345" s="213">
        <v>2</v>
      </c>
      <c r="E345" s="75"/>
      <c r="F345" s="75"/>
      <c r="G345" s="75"/>
      <c r="H345" s="75">
        <v>113300</v>
      </c>
      <c r="I345" s="75">
        <v>226600</v>
      </c>
      <c r="J345" s="91" t="s">
        <v>916</v>
      </c>
      <c r="K345" s="73"/>
      <c r="L345" s="46">
        <v>0</v>
      </c>
      <c r="M345" s="46">
        <v>0</v>
      </c>
      <c r="N345" s="46">
        <v>0</v>
      </c>
      <c r="O345" s="98"/>
      <c r="P345" s="23" t="s">
        <v>1433</v>
      </c>
      <c r="Q345" s="24" t="s">
        <v>915</v>
      </c>
      <c r="R345" s="25" t="s">
        <v>325</v>
      </c>
      <c r="S345" s="26">
        <v>2</v>
      </c>
      <c r="T345" s="26"/>
      <c r="U345" s="26">
        <v>113300</v>
      </c>
      <c r="V345" s="26">
        <f t="shared" si="63"/>
        <v>0</v>
      </c>
      <c r="W345" s="26">
        <f t="shared" si="61"/>
        <v>0</v>
      </c>
      <c r="X345" s="26">
        <f t="shared" si="64"/>
        <v>0</v>
      </c>
      <c r="Y345" s="26">
        <f t="shared" si="68"/>
        <v>0</v>
      </c>
      <c r="Z345" s="33" t="s">
        <v>15</v>
      </c>
      <c r="AA345" s="36" t="s">
        <v>16</v>
      </c>
      <c r="AB345" s="181">
        <f t="shared" si="65"/>
        <v>2</v>
      </c>
      <c r="AC345" s="181">
        <f t="shared" si="60"/>
        <v>226600</v>
      </c>
      <c r="AD345" s="181">
        <v>1.8</v>
      </c>
      <c r="AE345" s="181">
        <v>1.8</v>
      </c>
      <c r="AF345" s="101" t="str">
        <f t="shared" si="66"/>
        <v/>
      </c>
      <c r="AG345" s="190">
        <v>0</v>
      </c>
      <c r="AH345" s="69">
        <f t="shared" si="67"/>
        <v>2</v>
      </c>
    </row>
    <row r="346" spans="1:34" s="69" customFormat="1" ht="33" x14ac:dyDescent="0.3">
      <c r="A346" s="55" t="s">
        <v>917</v>
      </c>
      <c r="B346" s="53" t="s">
        <v>918</v>
      </c>
      <c r="C346" s="54" t="s">
        <v>325</v>
      </c>
      <c r="D346" s="75">
        <v>9</v>
      </c>
      <c r="E346" s="75"/>
      <c r="F346" s="75"/>
      <c r="G346" s="75"/>
      <c r="H346" s="75">
        <v>100000</v>
      </c>
      <c r="I346" s="75">
        <v>900000</v>
      </c>
      <c r="J346" s="91" t="s">
        <v>919</v>
      </c>
      <c r="K346" s="73"/>
      <c r="L346" s="46">
        <v>0</v>
      </c>
      <c r="M346" s="46">
        <v>0</v>
      </c>
      <c r="N346" s="46">
        <v>0</v>
      </c>
      <c r="O346" s="98"/>
      <c r="P346" s="23" t="s">
        <v>1382</v>
      </c>
      <c r="Q346" s="24" t="s">
        <v>918</v>
      </c>
      <c r="R346" s="25" t="s">
        <v>325</v>
      </c>
      <c r="S346" s="26">
        <v>9</v>
      </c>
      <c r="T346" s="26"/>
      <c r="U346" s="26">
        <v>100000</v>
      </c>
      <c r="V346" s="26">
        <f t="shared" si="63"/>
        <v>0</v>
      </c>
      <c r="W346" s="26">
        <f t="shared" si="61"/>
        <v>0</v>
      </c>
      <c r="X346" s="26">
        <f t="shared" si="64"/>
        <v>0</v>
      </c>
      <c r="Y346" s="26">
        <f t="shared" si="68"/>
        <v>0</v>
      </c>
      <c r="Z346" s="33" t="s">
        <v>15</v>
      </c>
      <c r="AA346" s="36" t="s">
        <v>16</v>
      </c>
      <c r="AB346" s="181">
        <f t="shared" si="65"/>
        <v>9</v>
      </c>
      <c r="AC346" s="181">
        <f t="shared" si="60"/>
        <v>900000</v>
      </c>
      <c r="AD346" s="181">
        <v>1.8</v>
      </c>
      <c r="AE346" s="181">
        <v>1.8</v>
      </c>
      <c r="AF346" s="101" t="str">
        <f t="shared" si="66"/>
        <v/>
      </c>
      <c r="AG346" s="190">
        <v>0</v>
      </c>
      <c r="AH346" s="69">
        <f t="shared" si="67"/>
        <v>9</v>
      </c>
    </row>
    <row r="347" spans="1:34" s="69" customFormat="1" ht="33" x14ac:dyDescent="0.3">
      <c r="A347" s="55" t="s">
        <v>920</v>
      </c>
      <c r="B347" s="53" t="s">
        <v>921</v>
      </c>
      <c r="C347" s="54" t="s">
        <v>81</v>
      </c>
      <c r="D347" s="75">
        <v>2</v>
      </c>
      <c r="E347" s="75"/>
      <c r="F347" s="75"/>
      <c r="G347" s="75"/>
      <c r="H347" s="75">
        <v>15000</v>
      </c>
      <c r="I347" s="75">
        <v>30000</v>
      </c>
      <c r="J347" s="91" t="s">
        <v>922</v>
      </c>
      <c r="K347" s="73"/>
      <c r="L347" s="46">
        <v>0</v>
      </c>
      <c r="M347" s="46">
        <v>0</v>
      </c>
      <c r="N347" s="46">
        <v>0</v>
      </c>
      <c r="O347" s="98"/>
      <c r="P347" s="23" t="s">
        <v>1434</v>
      </c>
      <c r="Q347" s="24" t="s">
        <v>921</v>
      </c>
      <c r="R347" s="25" t="s">
        <v>81</v>
      </c>
      <c r="S347" s="26">
        <v>2</v>
      </c>
      <c r="T347" s="26"/>
      <c r="U347" s="26">
        <v>15000</v>
      </c>
      <c r="V347" s="26">
        <f t="shared" si="63"/>
        <v>0</v>
      </c>
      <c r="W347" s="26">
        <f t="shared" si="61"/>
        <v>0</v>
      </c>
      <c r="X347" s="26">
        <f t="shared" si="64"/>
        <v>0</v>
      </c>
      <c r="Y347" s="26">
        <f t="shared" si="68"/>
        <v>0</v>
      </c>
      <c r="Z347" s="33" t="s">
        <v>15</v>
      </c>
      <c r="AA347" s="36" t="s">
        <v>16</v>
      </c>
      <c r="AB347" s="181">
        <f t="shared" si="65"/>
        <v>2</v>
      </c>
      <c r="AC347" s="181">
        <f t="shared" si="60"/>
        <v>30000</v>
      </c>
      <c r="AD347" s="181">
        <v>1.8</v>
      </c>
      <c r="AE347" s="181">
        <v>1.8</v>
      </c>
      <c r="AF347" s="101" t="str">
        <f t="shared" si="66"/>
        <v/>
      </c>
      <c r="AG347" s="190">
        <v>0</v>
      </c>
      <c r="AH347" s="69">
        <f t="shared" si="67"/>
        <v>2</v>
      </c>
    </row>
    <row r="348" spans="1:34" s="69" customFormat="1" ht="33" x14ac:dyDescent="0.3">
      <c r="A348" s="55" t="s">
        <v>923</v>
      </c>
      <c r="B348" s="53" t="s">
        <v>924</v>
      </c>
      <c r="C348" s="54" t="s">
        <v>925</v>
      </c>
      <c r="D348" s="75">
        <v>1</v>
      </c>
      <c r="E348" s="75"/>
      <c r="F348" s="75"/>
      <c r="G348" s="75"/>
      <c r="H348" s="75">
        <v>15000</v>
      </c>
      <c r="I348" s="75">
        <v>15000</v>
      </c>
      <c r="J348" s="91" t="s">
        <v>926</v>
      </c>
      <c r="K348" s="73"/>
      <c r="L348" s="46">
        <v>0</v>
      </c>
      <c r="M348" s="46">
        <v>0</v>
      </c>
      <c r="N348" s="46">
        <v>0</v>
      </c>
      <c r="O348" s="98"/>
      <c r="P348" s="23" t="s">
        <v>1388</v>
      </c>
      <c r="Q348" s="24" t="s">
        <v>924</v>
      </c>
      <c r="R348" s="25" t="s">
        <v>925</v>
      </c>
      <c r="S348" s="26">
        <v>1</v>
      </c>
      <c r="T348" s="26"/>
      <c r="U348" s="26">
        <v>15000</v>
      </c>
      <c r="V348" s="26">
        <f t="shared" si="63"/>
        <v>0</v>
      </c>
      <c r="W348" s="26">
        <f t="shared" si="61"/>
        <v>0</v>
      </c>
      <c r="X348" s="26">
        <f t="shared" si="64"/>
        <v>0</v>
      </c>
      <c r="Y348" s="26">
        <f t="shared" si="68"/>
        <v>0</v>
      </c>
      <c r="Z348" s="33" t="s">
        <v>15</v>
      </c>
      <c r="AA348" s="36" t="s">
        <v>16</v>
      </c>
      <c r="AB348" s="181">
        <f t="shared" si="65"/>
        <v>1</v>
      </c>
      <c r="AC348" s="181">
        <f t="shared" si="60"/>
        <v>15000</v>
      </c>
      <c r="AD348" s="181">
        <v>1.8</v>
      </c>
      <c r="AE348" s="181">
        <v>1.8</v>
      </c>
      <c r="AF348" s="101" t="str">
        <f t="shared" si="66"/>
        <v/>
      </c>
      <c r="AG348" s="190">
        <v>0</v>
      </c>
      <c r="AH348" s="69">
        <f t="shared" si="67"/>
        <v>1</v>
      </c>
    </row>
    <row r="349" spans="1:34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>
        <v>1500</v>
      </c>
      <c r="I349" s="75">
        <v>1500</v>
      </c>
      <c r="J349" s="91" t="s">
        <v>929</v>
      </c>
      <c r="K349" s="73"/>
      <c r="L349" s="46">
        <v>0</v>
      </c>
      <c r="M349" s="46">
        <v>0</v>
      </c>
      <c r="N349" s="46">
        <v>0</v>
      </c>
      <c r="O349" s="98"/>
      <c r="P349" s="23" t="s">
        <v>1389</v>
      </c>
      <c r="Q349" s="24" t="s">
        <v>928</v>
      </c>
      <c r="R349" s="25" t="s">
        <v>325</v>
      </c>
      <c r="S349" s="26">
        <v>1</v>
      </c>
      <c r="T349" s="26"/>
      <c r="U349" s="26">
        <v>1500</v>
      </c>
      <c r="V349" s="26">
        <f t="shared" si="63"/>
        <v>0</v>
      </c>
      <c r="W349" s="26">
        <f t="shared" si="61"/>
        <v>0</v>
      </c>
      <c r="X349" s="26">
        <f t="shared" si="64"/>
        <v>0</v>
      </c>
      <c r="Y349" s="26">
        <f t="shared" si="68"/>
        <v>0</v>
      </c>
      <c r="Z349" s="33" t="s">
        <v>15</v>
      </c>
      <c r="AA349" s="36" t="s">
        <v>16</v>
      </c>
      <c r="AB349" s="181">
        <f t="shared" si="65"/>
        <v>1</v>
      </c>
      <c r="AC349" s="181">
        <f t="shared" si="60"/>
        <v>1500</v>
      </c>
      <c r="AD349" s="181">
        <v>1.8</v>
      </c>
      <c r="AE349" s="181">
        <v>1.8</v>
      </c>
      <c r="AF349" s="101" t="str">
        <f t="shared" si="66"/>
        <v/>
      </c>
      <c r="AG349" s="190">
        <v>0</v>
      </c>
      <c r="AH349" s="69">
        <f t="shared" si="67"/>
        <v>1</v>
      </c>
    </row>
    <row r="350" spans="1:34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>
        <v>2600</v>
      </c>
      <c r="I350" s="75">
        <v>7800</v>
      </c>
      <c r="J350" s="91" t="s">
        <v>933</v>
      </c>
      <c r="K350" s="73"/>
      <c r="L350" s="46">
        <v>0</v>
      </c>
      <c r="M350" s="46">
        <v>0</v>
      </c>
      <c r="N350" s="46">
        <v>0</v>
      </c>
      <c r="O350" s="98"/>
      <c r="P350" s="23" t="s">
        <v>1390</v>
      </c>
      <c r="Q350" s="24" t="s">
        <v>931</v>
      </c>
      <c r="R350" s="25" t="s">
        <v>932</v>
      </c>
      <c r="S350" s="26">
        <v>3</v>
      </c>
      <c r="T350" s="26"/>
      <c r="U350" s="26">
        <v>2600</v>
      </c>
      <c r="V350" s="26">
        <f t="shared" si="63"/>
        <v>0</v>
      </c>
      <c r="W350" s="26">
        <f t="shared" si="61"/>
        <v>0</v>
      </c>
      <c r="X350" s="26">
        <f t="shared" si="64"/>
        <v>0</v>
      </c>
      <c r="Y350" s="26">
        <f t="shared" si="68"/>
        <v>0</v>
      </c>
      <c r="Z350" s="33" t="s">
        <v>15</v>
      </c>
      <c r="AA350" s="36" t="s">
        <v>16</v>
      </c>
      <c r="AB350" s="181">
        <f t="shared" si="65"/>
        <v>3</v>
      </c>
      <c r="AC350" s="181">
        <f t="shared" si="60"/>
        <v>7800</v>
      </c>
      <c r="AD350" s="181">
        <v>1.8</v>
      </c>
      <c r="AE350" s="181">
        <v>1.8</v>
      </c>
      <c r="AF350" s="101" t="str">
        <f t="shared" si="66"/>
        <v/>
      </c>
      <c r="AG350" s="190">
        <v>0</v>
      </c>
      <c r="AH350" s="69">
        <f t="shared" si="67"/>
        <v>3</v>
      </c>
    </row>
    <row r="351" spans="1:34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>
        <v>4460</v>
      </c>
      <c r="I351" s="75">
        <v>169480</v>
      </c>
      <c r="J351" s="91" t="s">
        <v>936</v>
      </c>
      <c r="K351" s="73"/>
      <c r="L351" s="46">
        <v>0</v>
      </c>
      <c r="M351" s="46">
        <v>0</v>
      </c>
      <c r="N351" s="46">
        <v>0</v>
      </c>
      <c r="O351" s="98"/>
      <c r="P351" s="23" t="s">
        <v>1391</v>
      </c>
      <c r="Q351" s="24" t="s">
        <v>935</v>
      </c>
      <c r="R351" s="25" t="s">
        <v>932</v>
      </c>
      <c r="S351" s="26">
        <v>38</v>
      </c>
      <c r="T351" s="26"/>
      <c r="U351" s="26">
        <v>4460</v>
      </c>
      <c r="V351" s="26">
        <f t="shared" si="63"/>
        <v>0</v>
      </c>
      <c r="W351" s="26">
        <f t="shared" si="61"/>
        <v>0</v>
      </c>
      <c r="X351" s="26">
        <f t="shared" si="64"/>
        <v>0</v>
      </c>
      <c r="Y351" s="26">
        <f t="shared" si="68"/>
        <v>0</v>
      </c>
      <c r="Z351" s="33" t="s">
        <v>15</v>
      </c>
      <c r="AA351" s="36" t="s">
        <v>16</v>
      </c>
      <c r="AB351" s="181">
        <f t="shared" si="65"/>
        <v>38</v>
      </c>
      <c r="AC351" s="181">
        <f t="shared" si="60"/>
        <v>169480</v>
      </c>
      <c r="AD351" s="181">
        <v>1.8</v>
      </c>
      <c r="AE351" s="181">
        <v>1.8</v>
      </c>
      <c r="AF351" s="101" t="str">
        <f t="shared" si="66"/>
        <v/>
      </c>
      <c r="AG351" s="190">
        <v>0</v>
      </c>
      <c r="AH351" s="69">
        <f t="shared" si="67"/>
        <v>38</v>
      </c>
    </row>
    <row r="352" spans="1:34" s="69" customFormat="1" ht="39" x14ac:dyDescent="0.3">
      <c r="A352" s="55" t="s">
        <v>937</v>
      </c>
      <c r="B352" s="53" t="s">
        <v>938</v>
      </c>
      <c r="C352" s="54" t="s">
        <v>30</v>
      </c>
      <c r="D352" s="75">
        <v>1352</v>
      </c>
      <c r="E352" s="75"/>
      <c r="F352" s="75"/>
      <c r="G352" s="75"/>
      <c r="H352" s="75">
        <v>30.59</v>
      </c>
      <c r="I352" s="75">
        <v>41357.68</v>
      </c>
      <c r="J352" s="91" t="s">
        <v>939</v>
      </c>
      <c r="K352" s="73"/>
      <c r="L352" s="46">
        <v>0</v>
      </c>
      <c r="M352" s="46">
        <v>0</v>
      </c>
      <c r="N352" s="46">
        <v>0</v>
      </c>
      <c r="O352" s="98"/>
      <c r="P352" s="23" t="s">
        <v>1436</v>
      </c>
      <c r="Q352" s="24" t="s">
        <v>938</v>
      </c>
      <c r="R352" s="25" t="s">
        <v>30</v>
      </c>
      <c r="S352" s="26">
        <v>1352</v>
      </c>
      <c r="T352" s="26"/>
      <c r="U352" s="26">
        <v>30.59</v>
      </c>
      <c r="V352" s="26">
        <f t="shared" si="63"/>
        <v>0</v>
      </c>
      <c r="W352" s="26">
        <f t="shared" si="61"/>
        <v>0</v>
      </c>
      <c r="X352" s="26">
        <f t="shared" si="64"/>
        <v>0</v>
      </c>
      <c r="Y352" s="26">
        <f t="shared" si="68"/>
        <v>0</v>
      </c>
      <c r="Z352" s="33" t="s">
        <v>15</v>
      </c>
      <c r="AA352" s="36" t="s">
        <v>16</v>
      </c>
      <c r="AB352" s="181">
        <f t="shared" si="65"/>
        <v>1352</v>
      </c>
      <c r="AC352" s="181">
        <f t="shared" si="60"/>
        <v>41357.68</v>
      </c>
      <c r="AD352" s="181">
        <v>1.8</v>
      </c>
      <c r="AE352" s="181">
        <v>1.8</v>
      </c>
      <c r="AF352" s="101" t="str">
        <f t="shared" si="66"/>
        <v/>
      </c>
      <c r="AG352" s="190">
        <v>0</v>
      </c>
      <c r="AH352" s="69">
        <f t="shared" si="67"/>
        <v>1352</v>
      </c>
    </row>
    <row r="353" spans="1:34" s="69" customFormat="1" ht="39" x14ac:dyDescent="0.3">
      <c r="A353" s="55" t="s">
        <v>940</v>
      </c>
      <c r="B353" s="53" t="s">
        <v>941</v>
      </c>
      <c r="C353" s="54" t="s">
        <v>30</v>
      </c>
      <c r="D353" s="75">
        <v>300</v>
      </c>
      <c r="E353" s="75"/>
      <c r="F353" s="75"/>
      <c r="G353" s="75"/>
      <c r="H353" s="75">
        <v>972.45</v>
      </c>
      <c r="I353" s="75">
        <v>291735</v>
      </c>
      <c r="J353" s="91" t="s">
        <v>942</v>
      </c>
      <c r="K353" s="73"/>
      <c r="L353" s="46">
        <v>0</v>
      </c>
      <c r="M353" s="46">
        <v>0</v>
      </c>
      <c r="N353" s="46">
        <v>0</v>
      </c>
      <c r="O353" s="98"/>
      <c r="P353" s="23" t="s">
        <v>1374</v>
      </c>
      <c r="Q353" s="24" t="s">
        <v>941</v>
      </c>
      <c r="R353" s="25" t="s">
        <v>30</v>
      </c>
      <c r="S353" s="26">
        <v>300</v>
      </c>
      <c r="T353" s="26"/>
      <c r="U353" s="26">
        <v>972.45</v>
      </c>
      <c r="V353" s="26">
        <f t="shared" si="63"/>
        <v>0</v>
      </c>
      <c r="W353" s="26">
        <f t="shared" si="61"/>
        <v>0</v>
      </c>
      <c r="X353" s="26">
        <f t="shared" si="64"/>
        <v>0</v>
      </c>
      <c r="Y353" s="26">
        <f t="shared" si="68"/>
        <v>0</v>
      </c>
      <c r="Z353" s="33" t="s">
        <v>15</v>
      </c>
      <c r="AA353" s="36" t="s">
        <v>16</v>
      </c>
      <c r="AB353" s="181">
        <f t="shared" si="65"/>
        <v>300</v>
      </c>
      <c r="AC353" s="181">
        <f t="shared" si="60"/>
        <v>291735</v>
      </c>
      <c r="AD353" s="181">
        <v>1.8</v>
      </c>
      <c r="AE353" s="181">
        <v>1.8</v>
      </c>
      <c r="AF353" s="101" t="str">
        <f t="shared" si="66"/>
        <v/>
      </c>
      <c r="AG353" s="190">
        <v>0</v>
      </c>
      <c r="AH353" s="69">
        <f t="shared" si="67"/>
        <v>300</v>
      </c>
    </row>
    <row r="354" spans="1:34" s="69" customFormat="1" ht="39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>
        <v>628.34</v>
      </c>
      <c r="I354" s="75">
        <v>158341.68</v>
      </c>
      <c r="J354" s="91" t="s">
        <v>945</v>
      </c>
      <c r="K354" s="73"/>
      <c r="L354" s="46">
        <v>0</v>
      </c>
      <c r="M354" s="46">
        <v>0</v>
      </c>
      <c r="N354" s="46">
        <v>0</v>
      </c>
      <c r="O354" s="98"/>
      <c r="P354" s="23" t="s">
        <v>1376</v>
      </c>
      <c r="Q354" s="24" t="s">
        <v>944</v>
      </c>
      <c r="R354" s="25" t="s">
        <v>30</v>
      </c>
      <c r="S354" s="26">
        <v>252</v>
      </c>
      <c r="T354" s="26"/>
      <c r="U354" s="26">
        <v>628.34</v>
      </c>
      <c r="V354" s="26">
        <f t="shared" si="63"/>
        <v>0</v>
      </c>
      <c r="W354" s="26">
        <f t="shared" si="61"/>
        <v>0</v>
      </c>
      <c r="X354" s="26">
        <f t="shared" si="64"/>
        <v>0</v>
      </c>
      <c r="Y354" s="26">
        <f t="shared" si="68"/>
        <v>0</v>
      </c>
      <c r="Z354" s="33" t="s">
        <v>15</v>
      </c>
      <c r="AA354" s="36" t="s">
        <v>16</v>
      </c>
      <c r="AB354" s="181">
        <f t="shared" si="65"/>
        <v>252</v>
      </c>
      <c r="AC354" s="181">
        <f t="shared" si="60"/>
        <v>158341.68</v>
      </c>
      <c r="AD354" s="181">
        <v>1.8</v>
      </c>
      <c r="AE354" s="181">
        <v>1.8</v>
      </c>
      <c r="AF354" s="101" t="str">
        <f t="shared" si="66"/>
        <v/>
      </c>
      <c r="AG354" s="190">
        <v>0</v>
      </c>
      <c r="AH354" s="69">
        <f t="shared" si="67"/>
        <v>252</v>
      </c>
    </row>
    <row r="355" spans="1:34" s="69" customFormat="1" ht="39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>
        <v>497.09</v>
      </c>
      <c r="I355" s="75">
        <v>17895.240000000002</v>
      </c>
      <c r="J355" s="91" t="s">
        <v>948</v>
      </c>
      <c r="K355" s="73"/>
      <c r="L355" s="46">
        <v>0</v>
      </c>
      <c r="M355" s="46">
        <v>0</v>
      </c>
      <c r="N355" s="46">
        <v>0</v>
      </c>
      <c r="O355" s="98"/>
      <c r="P355" s="23" t="s">
        <v>1378</v>
      </c>
      <c r="Q355" s="24" t="s">
        <v>947</v>
      </c>
      <c r="R355" s="25" t="s">
        <v>30</v>
      </c>
      <c r="S355" s="26">
        <v>36</v>
      </c>
      <c r="T355" s="26"/>
      <c r="U355" s="26">
        <v>497.09</v>
      </c>
      <c r="V355" s="26">
        <f t="shared" si="63"/>
        <v>0</v>
      </c>
      <c r="W355" s="26">
        <f t="shared" si="61"/>
        <v>0</v>
      </c>
      <c r="X355" s="26">
        <f t="shared" si="64"/>
        <v>0</v>
      </c>
      <c r="Y355" s="26">
        <f t="shared" si="68"/>
        <v>0</v>
      </c>
      <c r="Z355" s="33" t="s">
        <v>15</v>
      </c>
      <c r="AA355" s="36" t="s">
        <v>16</v>
      </c>
      <c r="AB355" s="181">
        <f t="shared" si="65"/>
        <v>36</v>
      </c>
      <c r="AC355" s="181">
        <f t="shared" si="60"/>
        <v>17895.240000000002</v>
      </c>
      <c r="AD355" s="181">
        <v>1.8</v>
      </c>
      <c r="AE355" s="181">
        <v>1.8</v>
      </c>
      <c r="AF355" s="101" t="str">
        <f t="shared" si="66"/>
        <v/>
      </c>
      <c r="AG355" s="190">
        <v>0</v>
      </c>
      <c r="AH355" s="69">
        <f t="shared" si="67"/>
        <v>36</v>
      </c>
    </row>
    <row r="356" spans="1:34" s="69" customFormat="1" ht="39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>
        <v>270.2</v>
      </c>
      <c r="I356" s="75">
        <v>42961.8</v>
      </c>
      <c r="J356" s="91" t="s">
        <v>951</v>
      </c>
      <c r="K356" s="73"/>
      <c r="L356" s="46">
        <v>0</v>
      </c>
      <c r="M356" s="46">
        <v>0</v>
      </c>
      <c r="N356" s="46">
        <v>0</v>
      </c>
      <c r="O356" s="98"/>
      <c r="P356" s="23" t="s">
        <v>1438</v>
      </c>
      <c r="Q356" s="24" t="s">
        <v>950</v>
      </c>
      <c r="R356" s="25" t="s">
        <v>30</v>
      </c>
      <c r="S356" s="26">
        <v>159</v>
      </c>
      <c r="T356" s="26"/>
      <c r="U356" s="26">
        <v>270.2</v>
      </c>
      <c r="V356" s="26">
        <f t="shared" si="63"/>
        <v>0</v>
      </c>
      <c r="W356" s="26">
        <f t="shared" si="61"/>
        <v>0</v>
      </c>
      <c r="X356" s="26">
        <f t="shared" si="64"/>
        <v>0</v>
      </c>
      <c r="Y356" s="26">
        <f t="shared" si="68"/>
        <v>0</v>
      </c>
      <c r="Z356" s="33" t="s">
        <v>15</v>
      </c>
      <c r="AA356" s="36" t="s">
        <v>16</v>
      </c>
      <c r="AB356" s="181">
        <f t="shared" si="65"/>
        <v>159</v>
      </c>
      <c r="AC356" s="181">
        <f t="shared" si="60"/>
        <v>42961.8</v>
      </c>
      <c r="AD356" s="181">
        <v>1.8</v>
      </c>
      <c r="AE356" s="181">
        <v>1.8</v>
      </c>
      <c r="AF356" s="101" t="str">
        <f t="shared" si="66"/>
        <v/>
      </c>
      <c r="AG356" s="190">
        <v>0</v>
      </c>
      <c r="AH356" s="69">
        <f t="shared" si="67"/>
        <v>159</v>
      </c>
    </row>
    <row r="357" spans="1:34" s="69" customFormat="1" ht="39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>
        <v>152.94</v>
      </c>
      <c r="I357" s="75">
        <v>183375.06</v>
      </c>
      <c r="J357" s="91" t="s">
        <v>954</v>
      </c>
      <c r="K357" s="73"/>
      <c r="L357" s="46">
        <v>0</v>
      </c>
      <c r="M357" s="46">
        <v>0</v>
      </c>
      <c r="N357" s="46">
        <v>0</v>
      </c>
      <c r="O357" s="98"/>
      <c r="P357" s="23" t="s">
        <v>1439</v>
      </c>
      <c r="Q357" s="24" t="s">
        <v>953</v>
      </c>
      <c r="R357" s="25" t="s">
        <v>30</v>
      </c>
      <c r="S357" s="26">
        <v>1199</v>
      </c>
      <c r="T357" s="26"/>
      <c r="U357" s="26">
        <v>152.94</v>
      </c>
      <c r="V357" s="26">
        <f t="shared" si="63"/>
        <v>0</v>
      </c>
      <c r="W357" s="26">
        <f t="shared" si="61"/>
        <v>0</v>
      </c>
      <c r="X357" s="26">
        <f t="shared" si="64"/>
        <v>0</v>
      </c>
      <c r="Y357" s="26">
        <f t="shared" si="68"/>
        <v>0</v>
      </c>
      <c r="Z357" s="33" t="s">
        <v>15</v>
      </c>
      <c r="AA357" s="36" t="s">
        <v>16</v>
      </c>
      <c r="AB357" s="181">
        <f t="shared" si="65"/>
        <v>1199</v>
      </c>
      <c r="AC357" s="181">
        <f t="shared" si="60"/>
        <v>183375.06</v>
      </c>
      <c r="AD357" s="181">
        <v>1.8</v>
      </c>
      <c r="AE357" s="181">
        <v>1.8</v>
      </c>
      <c r="AF357" s="101" t="str">
        <f t="shared" si="66"/>
        <v/>
      </c>
      <c r="AG357" s="190">
        <v>0</v>
      </c>
      <c r="AH357" s="69">
        <f t="shared" si="67"/>
        <v>1199</v>
      </c>
    </row>
    <row r="358" spans="1:34" s="69" customFormat="1" ht="39" x14ac:dyDescent="0.3">
      <c r="A358" s="55" t="s">
        <v>955</v>
      </c>
      <c r="B358" s="53" t="s">
        <v>956</v>
      </c>
      <c r="C358" s="54" t="s">
        <v>30</v>
      </c>
      <c r="D358" s="75">
        <v>144</v>
      </c>
      <c r="E358" s="75"/>
      <c r="F358" s="75"/>
      <c r="G358" s="75"/>
      <c r="H358" s="75">
        <v>228.14</v>
      </c>
      <c r="I358" s="75">
        <v>32852.160000000003</v>
      </c>
      <c r="J358" s="91" t="s">
        <v>957</v>
      </c>
      <c r="K358" s="73"/>
      <c r="L358" s="46">
        <v>0</v>
      </c>
      <c r="M358" s="46">
        <v>0</v>
      </c>
      <c r="N358" s="46">
        <v>0</v>
      </c>
      <c r="O358" s="98"/>
      <c r="P358" s="23" t="s">
        <v>1440</v>
      </c>
      <c r="Q358" s="24" t="s">
        <v>956</v>
      </c>
      <c r="R358" s="25" t="s">
        <v>30</v>
      </c>
      <c r="S358" s="26">
        <v>144</v>
      </c>
      <c r="T358" s="26"/>
      <c r="U358" s="26">
        <v>228.14</v>
      </c>
      <c r="V358" s="26">
        <f t="shared" si="63"/>
        <v>0</v>
      </c>
      <c r="W358" s="26">
        <f t="shared" si="61"/>
        <v>0</v>
      </c>
      <c r="X358" s="26">
        <f t="shared" si="64"/>
        <v>0</v>
      </c>
      <c r="Y358" s="26">
        <f t="shared" si="68"/>
        <v>0</v>
      </c>
      <c r="Z358" s="33" t="s">
        <v>15</v>
      </c>
      <c r="AA358" s="36" t="s">
        <v>16</v>
      </c>
      <c r="AB358" s="181">
        <f t="shared" si="65"/>
        <v>144</v>
      </c>
      <c r="AC358" s="181">
        <f t="shared" si="60"/>
        <v>32852.160000000003</v>
      </c>
      <c r="AD358" s="181">
        <v>1.8</v>
      </c>
      <c r="AE358" s="181">
        <v>1.8</v>
      </c>
      <c r="AF358" s="101" t="str">
        <f t="shared" si="66"/>
        <v/>
      </c>
      <c r="AG358" s="190">
        <v>0</v>
      </c>
      <c r="AH358" s="69">
        <f t="shared" si="67"/>
        <v>144</v>
      </c>
    </row>
    <row r="359" spans="1:34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>
        <v>90448.13</v>
      </c>
      <c r="I359" s="75">
        <v>90448.13</v>
      </c>
      <c r="J359" s="91" t="s">
        <v>960</v>
      </c>
      <c r="K359" s="73"/>
      <c r="L359" s="46">
        <v>0</v>
      </c>
      <c r="M359" s="46">
        <v>0</v>
      </c>
      <c r="N359" s="46">
        <v>0</v>
      </c>
      <c r="O359" s="98"/>
      <c r="P359" s="23" t="s">
        <v>1441</v>
      </c>
      <c r="Q359" s="24" t="s">
        <v>959</v>
      </c>
      <c r="R359" s="25" t="s">
        <v>14</v>
      </c>
      <c r="S359" s="26">
        <v>1</v>
      </c>
      <c r="T359" s="26"/>
      <c r="U359" s="26">
        <v>90448.13</v>
      </c>
      <c r="V359" s="26">
        <f t="shared" si="63"/>
        <v>0</v>
      </c>
      <c r="W359" s="26">
        <f t="shared" si="61"/>
        <v>0</v>
      </c>
      <c r="X359" s="26">
        <f t="shared" si="64"/>
        <v>0</v>
      </c>
      <c r="Y359" s="26">
        <f t="shared" si="68"/>
        <v>0</v>
      </c>
      <c r="Z359" s="33" t="s">
        <v>15</v>
      </c>
      <c r="AA359" s="36" t="s">
        <v>16</v>
      </c>
      <c r="AB359" s="181">
        <f t="shared" si="65"/>
        <v>1</v>
      </c>
      <c r="AC359" s="181">
        <f t="shared" si="60"/>
        <v>90448.13</v>
      </c>
      <c r="AD359" s="181">
        <v>1.8</v>
      </c>
      <c r="AE359" s="181">
        <v>1.8</v>
      </c>
      <c r="AF359" s="101" t="str">
        <f t="shared" si="66"/>
        <v/>
      </c>
      <c r="AG359" s="190">
        <v>0</v>
      </c>
      <c r="AH359" s="69">
        <f t="shared" si="67"/>
        <v>1</v>
      </c>
    </row>
    <row r="360" spans="1:34" s="69" customFormat="1" ht="58.5" x14ac:dyDescent="0.3">
      <c r="A360" s="55" t="s">
        <v>961</v>
      </c>
      <c r="B360" s="53" t="s">
        <v>962</v>
      </c>
      <c r="C360" s="54" t="s">
        <v>30</v>
      </c>
      <c r="D360" s="75">
        <v>2702</v>
      </c>
      <c r="E360" s="75"/>
      <c r="F360" s="75"/>
      <c r="G360" s="75"/>
      <c r="H360" s="75">
        <v>81.569999999999993</v>
      </c>
      <c r="I360" s="75">
        <v>220402.14</v>
      </c>
      <c r="J360" s="91" t="s">
        <v>963</v>
      </c>
      <c r="K360" s="73"/>
      <c r="L360" s="46">
        <v>0</v>
      </c>
      <c r="M360" s="46">
        <v>0</v>
      </c>
      <c r="N360" s="46">
        <v>0</v>
      </c>
      <c r="O360" s="98"/>
      <c r="P360" s="23" t="s">
        <v>1442</v>
      </c>
      <c r="Q360" s="24" t="s">
        <v>962</v>
      </c>
      <c r="R360" s="25" t="s">
        <v>30</v>
      </c>
      <c r="S360" s="26">
        <v>2702</v>
      </c>
      <c r="T360" s="26"/>
      <c r="U360" s="26">
        <v>81.569999999999993</v>
      </c>
      <c r="V360" s="26">
        <f t="shared" si="63"/>
        <v>0</v>
      </c>
      <c r="W360" s="26">
        <f t="shared" si="61"/>
        <v>0</v>
      </c>
      <c r="X360" s="26">
        <f t="shared" si="64"/>
        <v>0</v>
      </c>
      <c r="Y360" s="26">
        <f t="shared" si="68"/>
        <v>0</v>
      </c>
      <c r="Z360" s="33" t="s">
        <v>15</v>
      </c>
      <c r="AA360" s="36" t="s">
        <v>16</v>
      </c>
      <c r="AB360" s="181">
        <f t="shared" si="65"/>
        <v>2702</v>
      </c>
      <c r="AC360" s="181">
        <f t="shared" si="60"/>
        <v>220402.14</v>
      </c>
      <c r="AD360" s="181">
        <v>1.8</v>
      </c>
      <c r="AE360" s="181">
        <v>1.8</v>
      </c>
      <c r="AF360" s="101" t="str">
        <f t="shared" si="66"/>
        <v/>
      </c>
      <c r="AG360" s="190">
        <v>0</v>
      </c>
      <c r="AH360" s="69">
        <f t="shared" si="67"/>
        <v>2702</v>
      </c>
    </row>
    <row r="361" spans="1:34" s="69" customFormat="1" ht="39" x14ac:dyDescent="0.3">
      <c r="A361" s="55" t="s">
        <v>964</v>
      </c>
      <c r="B361" s="53" t="s">
        <v>965</v>
      </c>
      <c r="C361" s="54" t="s">
        <v>14</v>
      </c>
      <c r="D361" s="75">
        <v>1</v>
      </c>
      <c r="E361" s="75"/>
      <c r="F361" s="75"/>
      <c r="G361" s="75"/>
      <c r="H361" s="75">
        <v>25939</v>
      </c>
      <c r="I361" s="75">
        <v>25939</v>
      </c>
      <c r="J361" s="91" t="s">
        <v>966</v>
      </c>
      <c r="K361" s="73"/>
      <c r="L361" s="46">
        <v>0</v>
      </c>
      <c r="M361" s="46">
        <v>0</v>
      </c>
      <c r="N361" s="46">
        <v>0</v>
      </c>
      <c r="O361" s="98"/>
      <c r="P361" s="23" t="s">
        <v>1443</v>
      </c>
      <c r="Q361" s="24" t="s">
        <v>965</v>
      </c>
      <c r="R361" s="25" t="s">
        <v>14</v>
      </c>
      <c r="S361" s="26">
        <v>1</v>
      </c>
      <c r="T361" s="26"/>
      <c r="U361" s="26">
        <v>25939</v>
      </c>
      <c r="V361" s="26">
        <f t="shared" si="63"/>
        <v>0</v>
      </c>
      <c r="W361" s="26">
        <f t="shared" si="61"/>
        <v>0</v>
      </c>
      <c r="X361" s="26">
        <f t="shared" si="64"/>
        <v>0</v>
      </c>
      <c r="Y361" s="26">
        <f t="shared" si="68"/>
        <v>0</v>
      </c>
      <c r="Z361" s="33" t="s">
        <v>15</v>
      </c>
      <c r="AA361" s="36" t="s">
        <v>16</v>
      </c>
      <c r="AB361" s="181">
        <f t="shared" si="65"/>
        <v>1</v>
      </c>
      <c r="AC361" s="181">
        <f t="shared" si="60"/>
        <v>25939</v>
      </c>
      <c r="AD361" s="181">
        <v>1.8</v>
      </c>
      <c r="AE361" s="181">
        <v>1.8</v>
      </c>
      <c r="AF361" s="101" t="str">
        <f t="shared" si="66"/>
        <v/>
      </c>
      <c r="AG361" s="190">
        <v>0</v>
      </c>
      <c r="AH361" s="69">
        <f t="shared" si="67"/>
        <v>1</v>
      </c>
    </row>
    <row r="362" spans="1:34" s="69" customFormat="1" ht="39" x14ac:dyDescent="0.3">
      <c r="A362" s="55" t="s">
        <v>967</v>
      </c>
      <c r="B362" s="53" t="s">
        <v>968</v>
      </c>
      <c r="C362" s="54" t="s">
        <v>30</v>
      </c>
      <c r="D362" s="75">
        <v>1272</v>
      </c>
      <c r="E362" s="75"/>
      <c r="F362" s="75"/>
      <c r="G362" s="75"/>
      <c r="H362" s="75">
        <v>36.96</v>
      </c>
      <c r="I362" s="75">
        <v>47013.120000000003</v>
      </c>
      <c r="J362" s="91" t="s">
        <v>969</v>
      </c>
      <c r="K362" s="73"/>
      <c r="L362" s="46">
        <v>0</v>
      </c>
      <c r="M362" s="46">
        <v>0</v>
      </c>
      <c r="N362" s="46">
        <v>0</v>
      </c>
      <c r="O362" s="98"/>
      <c r="P362" s="23" t="s">
        <v>1444</v>
      </c>
      <c r="Q362" s="24" t="s">
        <v>968</v>
      </c>
      <c r="R362" s="25" t="s">
        <v>30</v>
      </c>
      <c r="S362" s="26">
        <v>1272</v>
      </c>
      <c r="T362" s="26"/>
      <c r="U362" s="26">
        <v>36.96</v>
      </c>
      <c r="V362" s="26">
        <f t="shared" si="63"/>
        <v>0</v>
      </c>
      <c r="W362" s="26">
        <f t="shared" si="61"/>
        <v>0</v>
      </c>
      <c r="X362" s="26">
        <f t="shared" si="64"/>
        <v>0</v>
      </c>
      <c r="Y362" s="26">
        <f t="shared" si="68"/>
        <v>0</v>
      </c>
      <c r="Z362" s="33" t="s">
        <v>15</v>
      </c>
      <c r="AA362" s="36" t="s">
        <v>16</v>
      </c>
      <c r="AB362" s="181">
        <f t="shared" si="65"/>
        <v>1272</v>
      </c>
      <c r="AC362" s="181">
        <f t="shared" si="60"/>
        <v>47013.120000000003</v>
      </c>
      <c r="AD362" s="181">
        <v>1.8</v>
      </c>
      <c r="AE362" s="181">
        <v>1.8</v>
      </c>
      <c r="AF362" s="101" t="str">
        <f t="shared" si="66"/>
        <v/>
      </c>
      <c r="AG362" s="190">
        <v>0</v>
      </c>
      <c r="AH362" s="69">
        <f t="shared" si="67"/>
        <v>1272</v>
      </c>
    </row>
    <row r="363" spans="1:34" s="69" customFormat="1" ht="39" x14ac:dyDescent="0.3">
      <c r="A363" s="55" t="s">
        <v>970</v>
      </c>
      <c r="B363" s="53" t="s">
        <v>971</v>
      </c>
      <c r="C363" s="54" t="s">
        <v>30</v>
      </c>
      <c r="D363" s="75">
        <v>1470</v>
      </c>
      <c r="E363" s="75"/>
      <c r="F363" s="75"/>
      <c r="G363" s="75"/>
      <c r="H363" s="75">
        <v>62.45</v>
      </c>
      <c r="I363" s="75">
        <v>91801.5</v>
      </c>
      <c r="J363" s="91" t="s">
        <v>972</v>
      </c>
      <c r="K363" s="73"/>
      <c r="L363" s="46">
        <v>0</v>
      </c>
      <c r="M363" s="46">
        <v>0</v>
      </c>
      <c r="N363" s="46">
        <v>0</v>
      </c>
      <c r="O363" s="98"/>
      <c r="P363" s="23" t="s">
        <v>1408</v>
      </c>
      <c r="Q363" s="24" t="s">
        <v>971</v>
      </c>
      <c r="R363" s="25" t="s">
        <v>30</v>
      </c>
      <c r="S363" s="26">
        <v>1470</v>
      </c>
      <c r="T363" s="26"/>
      <c r="U363" s="26">
        <v>62.45</v>
      </c>
      <c r="V363" s="26">
        <f t="shared" si="63"/>
        <v>0</v>
      </c>
      <c r="W363" s="26">
        <f t="shared" si="61"/>
        <v>0</v>
      </c>
      <c r="X363" s="26">
        <f t="shared" si="64"/>
        <v>0</v>
      </c>
      <c r="Y363" s="26">
        <f t="shared" si="68"/>
        <v>0</v>
      </c>
      <c r="Z363" s="33" t="s">
        <v>15</v>
      </c>
      <c r="AA363" s="36" t="s">
        <v>16</v>
      </c>
      <c r="AB363" s="181">
        <f t="shared" si="65"/>
        <v>1470</v>
      </c>
      <c r="AC363" s="181">
        <f t="shared" si="60"/>
        <v>91801.5</v>
      </c>
      <c r="AD363" s="181">
        <v>1.8</v>
      </c>
      <c r="AE363" s="181">
        <v>1.8</v>
      </c>
      <c r="AF363" s="101" t="str">
        <f t="shared" si="66"/>
        <v/>
      </c>
      <c r="AG363" s="190">
        <v>0</v>
      </c>
      <c r="AH363" s="69">
        <f t="shared" si="67"/>
        <v>1470</v>
      </c>
    </row>
    <row r="364" spans="1:34" s="69" customFormat="1" ht="39" x14ac:dyDescent="0.3">
      <c r="A364" s="55" t="s">
        <v>973</v>
      </c>
      <c r="B364" s="53" t="s">
        <v>974</v>
      </c>
      <c r="C364" s="54" t="s">
        <v>30</v>
      </c>
      <c r="D364" s="75">
        <v>407</v>
      </c>
      <c r="E364" s="75"/>
      <c r="F364" s="75"/>
      <c r="G364" s="75"/>
      <c r="H364" s="75">
        <v>90.49</v>
      </c>
      <c r="I364" s="75">
        <v>36829.43</v>
      </c>
      <c r="J364" s="91" t="s">
        <v>975</v>
      </c>
      <c r="K364" s="73"/>
      <c r="L364" s="46">
        <v>0</v>
      </c>
      <c r="M364" s="46">
        <v>0</v>
      </c>
      <c r="N364" s="46">
        <v>0</v>
      </c>
      <c r="O364" s="98"/>
      <c r="P364" s="23" t="s">
        <v>1409</v>
      </c>
      <c r="Q364" s="24" t="s">
        <v>974</v>
      </c>
      <c r="R364" s="25" t="s">
        <v>30</v>
      </c>
      <c r="S364" s="26">
        <v>407</v>
      </c>
      <c r="T364" s="26"/>
      <c r="U364" s="26">
        <v>90.49</v>
      </c>
      <c r="V364" s="26">
        <f t="shared" si="63"/>
        <v>0</v>
      </c>
      <c r="W364" s="26">
        <f t="shared" si="61"/>
        <v>0</v>
      </c>
      <c r="X364" s="26">
        <f t="shared" si="64"/>
        <v>0</v>
      </c>
      <c r="Y364" s="26">
        <f t="shared" si="68"/>
        <v>0</v>
      </c>
      <c r="Z364" s="33" t="s">
        <v>15</v>
      </c>
      <c r="AA364" s="36" t="s">
        <v>16</v>
      </c>
      <c r="AB364" s="181">
        <f t="shared" si="65"/>
        <v>407</v>
      </c>
      <c r="AC364" s="181">
        <f t="shared" si="60"/>
        <v>36829.43</v>
      </c>
      <c r="AD364" s="181">
        <v>1.8</v>
      </c>
      <c r="AE364" s="181">
        <v>1.8</v>
      </c>
      <c r="AF364" s="101" t="str">
        <f t="shared" si="66"/>
        <v/>
      </c>
      <c r="AG364" s="190">
        <v>0</v>
      </c>
      <c r="AH364" s="69">
        <f t="shared" si="67"/>
        <v>407</v>
      </c>
    </row>
    <row r="365" spans="1:34" s="69" customFormat="1" ht="39" x14ac:dyDescent="0.3">
      <c r="A365" s="55" t="s">
        <v>976</v>
      </c>
      <c r="B365" s="53" t="s">
        <v>977</v>
      </c>
      <c r="C365" s="54" t="s">
        <v>30</v>
      </c>
      <c r="D365" s="75">
        <v>55</v>
      </c>
      <c r="E365" s="75"/>
      <c r="F365" s="75"/>
      <c r="G365" s="75"/>
      <c r="H365" s="75">
        <v>186.08</v>
      </c>
      <c r="I365" s="75">
        <v>10234.4</v>
      </c>
      <c r="J365" s="91" t="s">
        <v>978</v>
      </c>
      <c r="K365" s="73"/>
      <c r="L365" s="46">
        <v>0</v>
      </c>
      <c r="M365" s="46">
        <v>0</v>
      </c>
      <c r="N365" s="46">
        <v>0</v>
      </c>
      <c r="O365" s="98"/>
      <c r="P365" s="23" t="s">
        <v>1410</v>
      </c>
      <c r="Q365" s="24" t="s">
        <v>977</v>
      </c>
      <c r="R365" s="25" t="s">
        <v>30</v>
      </c>
      <c r="S365" s="26">
        <v>55</v>
      </c>
      <c r="T365" s="26"/>
      <c r="U365" s="26">
        <v>186.08</v>
      </c>
      <c r="V365" s="26">
        <f t="shared" si="63"/>
        <v>0</v>
      </c>
      <c r="W365" s="26">
        <f t="shared" si="61"/>
        <v>0</v>
      </c>
      <c r="X365" s="26">
        <f t="shared" si="64"/>
        <v>0</v>
      </c>
      <c r="Y365" s="26">
        <f t="shared" si="68"/>
        <v>0</v>
      </c>
      <c r="Z365" s="33" t="s">
        <v>15</v>
      </c>
      <c r="AA365" s="36" t="s">
        <v>16</v>
      </c>
      <c r="AB365" s="181">
        <f t="shared" si="65"/>
        <v>55</v>
      </c>
      <c r="AC365" s="181">
        <f t="shared" si="60"/>
        <v>10234.4</v>
      </c>
      <c r="AD365" s="181">
        <v>1.8</v>
      </c>
      <c r="AE365" s="181">
        <v>1.8</v>
      </c>
      <c r="AF365" s="101" t="str">
        <f t="shared" si="66"/>
        <v/>
      </c>
      <c r="AG365" s="190">
        <v>0</v>
      </c>
      <c r="AH365" s="69">
        <f t="shared" si="67"/>
        <v>55</v>
      </c>
    </row>
    <row r="366" spans="1:34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>
        <v>51046</v>
      </c>
      <c r="I366" s="75">
        <v>51046</v>
      </c>
      <c r="J366" s="91" t="s">
        <v>981</v>
      </c>
      <c r="K366" s="73"/>
      <c r="L366" s="46">
        <v>0</v>
      </c>
      <c r="M366" s="46">
        <v>0</v>
      </c>
      <c r="N366" s="46">
        <v>0</v>
      </c>
      <c r="O366" s="98"/>
      <c r="P366" s="23" t="s">
        <v>1411</v>
      </c>
      <c r="Q366" s="24" t="s">
        <v>980</v>
      </c>
      <c r="R366" s="25" t="s">
        <v>14</v>
      </c>
      <c r="S366" s="26">
        <v>1</v>
      </c>
      <c r="T366" s="26"/>
      <c r="U366" s="26">
        <v>51046</v>
      </c>
      <c r="V366" s="26">
        <f t="shared" si="63"/>
        <v>0</v>
      </c>
      <c r="W366" s="26">
        <f t="shared" si="61"/>
        <v>0</v>
      </c>
      <c r="X366" s="26">
        <f t="shared" si="64"/>
        <v>0</v>
      </c>
      <c r="Y366" s="26">
        <f t="shared" si="68"/>
        <v>0</v>
      </c>
      <c r="Z366" s="33" t="s">
        <v>15</v>
      </c>
      <c r="AA366" s="36" t="s">
        <v>16</v>
      </c>
      <c r="AB366" s="181">
        <f t="shared" si="65"/>
        <v>1</v>
      </c>
      <c r="AC366" s="181">
        <f t="shared" ref="AC366:AC368" si="69">ROUND(U366*AB366,2)</f>
        <v>51046</v>
      </c>
      <c r="AD366" s="181">
        <v>1.8</v>
      </c>
      <c r="AE366" s="181">
        <v>1.8</v>
      </c>
      <c r="AF366" s="101" t="str">
        <f t="shared" si="66"/>
        <v/>
      </c>
      <c r="AG366" s="190">
        <v>0</v>
      </c>
      <c r="AH366" s="69">
        <f t="shared" si="67"/>
        <v>1</v>
      </c>
    </row>
    <row r="367" spans="1:34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>
        <v>671.66</v>
      </c>
      <c r="I367" s="75">
        <v>88659.12</v>
      </c>
      <c r="J367" s="91" t="s">
        <v>984</v>
      </c>
      <c r="K367" s="73"/>
      <c r="L367" s="46">
        <v>0</v>
      </c>
      <c r="M367" s="46">
        <v>0</v>
      </c>
      <c r="N367" s="46">
        <v>0</v>
      </c>
      <c r="O367" s="98"/>
      <c r="P367" s="23" t="s">
        <v>1445</v>
      </c>
      <c r="Q367" s="24" t="s">
        <v>983</v>
      </c>
      <c r="R367" s="25" t="s">
        <v>30</v>
      </c>
      <c r="S367" s="26">
        <v>132</v>
      </c>
      <c r="T367" s="26"/>
      <c r="U367" s="26">
        <v>671.66</v>
      </c>
      <c r="V367" s="26">
        <f t="shared" si="63"/>
        <v>0</v>
      </c>
      <c r="W367" s="26">
        <f t="shared" si="61"/>
        <v>0</v>
      </c>
      <c r="X367" s="26">
        <f t="shared" si="64"/>
        <v>0</v>
      </c>
      <c r="Y367" s="26">
        <f t="shared" si="68"/>
        <v>0</v>
      </c>
      <c r="Z367" s="33" t="s">
        <v>15</v>
      </c>
      <c r="AA367" s="36" t="s">
        <v>16</v>
      </c>
      <c r="AB367" s="181">
        <f t="shared" si="65"/>
        <v>132</v>
      </c>
      <c r="AC367" s="181">
        <f t="shared" si="69"/>
        <v>88659.12</v>
      </c>
      <c r="AD367" s="181">
        <v>1.8</v>
      </c>
      <c r="AE367" s="181">
        <v>1.8</v>
      </c>
      <c r="AF367" s="101" t="str">
        <f t="shared" si="66"/>
        <v/>
      </c>
      <c r="AG367" s="190">
        <v>0</v>
      </c>
      <c r="AH367" s="69">
        <f t="shared" si="67"/>
        <v>132</v>
      </c>
    </row>
    <row r="368" spans="1:34" s="69" customFormat="1" ht="33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>
        <v>24347</v>
      </c>
      <c r="I368" s="75">
        <v>24347</v>
      </c>
      <c r="J368" s="91" t="s">
        <v>987</v>
      </c>
      <c r="K368" s="73"/>
      <c r="L368" s="46">
        <v>0</v>
      </c>
      <c r="M368" s="46">
        <v>0</v>
      </c>
      <c r="N368" s="46">
        <v>0</v>
      </c>
      <c r="O368" s="98"/>
      <c r="P368" s="23" t="s">
        <v>1383</v>
      </c>
      <c r="Q368" s="24" t="s">
        <v>986</v>
      </c>
      <c r="R368" s="25" t="s">
        <v>14</v>
      </c>
      <c r="S368" s="26">
        <v>1</v>
      </c>
      <c r="T368" s="26"/>
      <c r="U368" s="26">
        <v>24347</v>
      </c>
      <c r="V368" s="26">
        <f t="shared" si="63"/>
        <v>0</v>
      </c>
      <c r="W368" s="26">
        <f t="shared" si="61"/>
        <v>0</v>
      </c>
      <c r="X368" s="26">
        <f t="shared" si="64"/>
        <v>0</v>
      </c>
      <c r="Y368" s="26">
        <f t="shared" si="68"/>
        <v>0</v>
      </c>
      <c r="Z368" s="33" t="s">
        <v>15</v>
      </c>
      <c r="AA368" s="36" t="s">
        <v>16</v>
      </c>
      <c r="AB368" s="181">
        <f t="shared" si="65"/>
        <v>1</v>
      </c>
      <c r="AC368" s="181">
        <f t="shared" si="69"/>
        <v>24347</v>
      </c>
      <c r="AD368" s="181">
        <v>1.8</v>
      </c>
      <c r="AE368" s="181">
        <v>1.8</v>
      </c>
      <c r="AF368" s="101" t="str">
        <f t="shared" si="66"/>
        <v/>
      </c>
      <c r="AG368" s="190">
        <v>0</v>
      </c>
      <c r="AH368" s="69">
        <f t="shared" si="67"/>
        <v>1</v>
      </c>
    </row>
    <row r="369" spans="1:34" s="69" customFormat="1" ht="33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/>
      <c r="I369" s="82">
        <v>7585016.1699999999</v>
      </c>
      <c r="J369" s="94" t="s">
        <v>15</v>
      </c>
      <c r="K369" s="73"/>
      <c r="L369" s="45">
        <v>1</v>
      </c>
      <c r="M369" s="45">
        <v>198481</v>
      </c>
      <c r="N369" s="45">
        <v>6533075.9299999997</v>
      </c>
      <c r="O369" s="98"/>
      <c r="P369" s="18" t="s">
        <v>1401</v>
      </c>
      <c r="Q369" s="19" t="s">
        <v>989</v>
      </c>
      <c r="R369" s="20" t="s">
        <v>14</v>
      </c>
      <c r="S369" s="21">
        <v>1</v>
      </c>
      <c r="T369" s="21"/>
      <c r="U369" s="21">
        <f>SUMIFS(AC:AC,AD:AD,AD369)</f>
        <v>7585016.1699999999</v>
      </c>
      <c r="V369" s="21">
        <f t="shared" ref="V369:W369" si="70">IF(X369=0,0,1)</f>
        <v>1</v>
      </c>
      <c r="W369" s="21">
        <f t="shared" si="70"/>
        <v>1</v>
      </c>
      <c r="X369" s="21">
        <f>SUMIFS(X:X,AE:AE,AD369)</f>
        <v>52142.719999999972</v>
      </c>
      <c r="Y369" s="21">
        <f>SUMIFS(Y:Y,AE:AE,AD369)</f>
        <v>6585218.6500000004</v>
      </c>
      <c r="Z369" s="22" t="s">
        <v>15</v>
      </c>
      <c r="AA369" s="43" t="s">
        <v>16</v>
      </c>
      <c r="AB369" s="181">
        <f t="shared" si="65"/>
        <v>1</v>
      </c>
      <c r="AC369" s="184"/>
      <c r="AD369" s="184">
        <v>1.9</v>
      </c>
      <c r="AE369" s="184"/>
      <c r="AF369" s="101" t="str">
        <f t="shared" si="66"/>
        <v/>
      </c>
      <c r="AG369" s="190">
        <v>1</v>
      </c>
      <c r="AH369" s="69">
        <f t="shared" si="67"/>
        <v>1</v>
      </c>
    </row>
    <row r="370" spans="1:34" s="69" customFormat="1" ht="39" x14ac:dyDescent="0.3">
      <c r="A370" s="130" t="s">
        <v>990</v>
      </c>
      <c r="B370" s="131" t="s">
        <v>991</v>
      </c>
      <c r="C370" s="132" t="s">
        <v>30</v>
      </c>
      <c r="D370" s="133">
        <v>1088</v>
      </c>
      <c r="E370" s="75">
        <v>975</v>
      </c>
      <c r="F370" s="75"/>
      <c r="G370" s="75"/>
      <c r="H370" s="75">
        <v>247.2</v>
      </c>
      <c r="I370" s="75">
        <v>241020</v>
      </c>
      <c r="J370" s="91" t="s">
        <v>992</v>
      </c>
      <c r="K370" s="73"/>
      <c r="L370" s="46">
        <v>975</v>
      </c>
      <c r="M370" s="46">
        <v>101352</v>
      </c>
      <c r="N370" s="46">
        <v>241020</v>
      </c>
      <c r="O370" s="98"/>
      <c r="P370" s="23" t="s">
        <v>1421</v>
      </c>
      <c r="Q370" s="24" t="s">
        <v>991</v>
      </c>
      <c r="R370" s="25" t="s">
        <v>30</v>
      </c>
      <c r="S370" s="26">
        <v>1088</v>
      </c>
      <c r="T370" s="26">
        <v>975</v>
      </c>
      <c r="U370" s="26">
        <v>247.2</v>
      </c>
      <c r="V370" s="128">
        <f t="shared" ref="V370:V376" si="71">AG370-L370</f>
        <v>0</v>
      </c>
      <c r="W370" s="127">
        <f t="shared" si="61"/>
        <v>975</v>
      </c>
      <c r="X370" s="127">
        <f t="shared" ref="X370:X376" si="72">Y370-N370</f>
        <v>0</v>
      </c>
      <c r="Y370" s="127">
        <f t="shared" ref="Y370:Y376" si="73">ROUND(U370*W370,2)</f>
        <v>241020</v>
      </c>
      <c r="Z370" s="27" t="s">
        <v>15</v>
      </c>
      <c r="AA370" s="36" t="s">
        <v>16</v>
      </c>
      <c r="AB370" s="181">
        <f t="shared" si="65"/>
        <v>975</v>
      </c>
      <c r="AC370" s="181">
        <f t="shared" ref="AC370:AC376" si="74">ROUND(U370*AB370,2)</f>
        <v>241020</v>
      </c>
      <c r="AD370" s="181">
        <v>1.9</v>
      </c>
      <c r="AE370" s="181">
        <v>1.9</v>
      </c>
      <c r="AF370" s="101" t="str">
        <f t="shared" si="66"/>
        <v/>
      </c>
      <c r="AG370" s="191">
        <f>360+205+410</f>
        <v>975</v>
      </c>
      <c r="AH370" s="69">
        <f t="shared" si="67"/>
        <v>975</v>
      </c>
    </row>
    <row r="371" spans="1:34" s="69" customFormat="1" ht="39" x14ac:dyDescent="0.3">
      <c r="A371" s="130" t="s">
        <v>993</v>
      </c>
      <c r="B371" s="131" t="s">
        <v>994</v>
      </c>
      <c r="C371" s="132" t="s">
        <v>30</v>
      </c>
      <c r="D371" s="133">
        <v>1088</v>
      </c>
      <c r="E371" s="75">
        <v>975</v>
      </c>
      <c r="F371" s="75"/>
      <c r="G371" s="75"/>
      <c r="H371" s="75">
        <v>236.9</v>
      </c>
      <c r="I371" s="75">
        <v>230977.5</v>
      </c>
      <c r="J371" s="91" t="s">
        <v>995</v>
      </c>
      <c r="K371" s="73"/>
      <c r="L371" s="46">
        <v>975</v>
      </c>
      <c r="M371" s="46">
        <v>97129</v>
      </c>
      <c r="N371" s="46">
        <v>230977.5</v>
      </c>
      <c r="O371" s="98"/>
      <c r="P371" s="23" t="s">
        <v>1426</v>
      </c>
      <c r="Q371" s="24" t="s">
        <v>994</v>
      </c>
      <c r="R371" s="25" t="s">
        <v>30</v>
      </c>
      <c r="S371" s="26">
        <v>1088</v>
      </c>
      <c r="T371" s="26">
        <v>975</v>
      </c>
      <c r="U371" s="26">
        <v>236.9</v>
      </c>
      <c r="V371" s="128">
        <f t="shared" si="71"/>
        <v>0</v>
      </c>
      <c r="W371" s="127">
        <f t="shared" ref="W371:W376" si="75">V371+L371</f>
        <v>975</v>
      </c>
      <c r="X371" s="127">
        <f>Y371-N371</f>
        <v>0</v>
      </c>
      <c r="Y371" s="127">
        <f t="shared" si="73"/>
        <v>230977.5</v>
      </c>
      <c r="Z371" s="27" t="s">
        <v>15</v>
      </c>
      <c r="AA371" s="36" t="s">
        <v>16</v>
      </c>
      <c r="AB371" s="181">
        <f t="shared" si="65"/>
        <v>975</v>
      </c>
      <c r="AC371" s="181">
        <f t="shared" si="74"/>
        <v>230977.5</v>
      </c>
      <c r="AD371" s="181">
        <v>1.9</v>
      </c>
      <c r="AE371" s="181">
        <v>1.9</v>
      </c>
      <c r="AF371" s="101" t="str">
        <f t="shared" si="66"/>
        <v/>
      </c>
      <c r="AG371" s="191">
        <f>AG370</f>
        <v>975</v>
      </c>
      <c r="AH371" s="69">
        <f t="shared" si="67"/>
        <v>975</v>
      </c>
    </row>
    <row r="372" spans="1:34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252.35</v>
      </c>
      <c r="I372" s="75">
        <v>2206548.4</v>
      </c>
      <c r="J372" s="91" t="s">
        <v>999</v>
      </c>
      <c r="K372" s="73"/>
      <c r="L372" s="46">
        <v>7744</v>
      </c>
      <c r="M372" s="46">
        <v>0</v>
      </c>
      <c r="N372" s="46">
        <v>1954198.4</v>
      </c>
      <c r="O372" s="98"/>
      <c r="P372" s="23" t="s">
        <v>1402</v>
      </c>
      <c r="Q372" s="24" t="s">
        <v>997</v>
      </c>
      <c r="R372" s="25" t="s">
        <v>998</v>
      </c>
      <c r="S372" s="26">
        <v>6984</v>
      </c>
      <c r="T372" s="26">
        <v>8744</v>
      </c>
      <c r="U372" s="26">
        <v>252.35</v>
      </c>
      <c r="V372" s="26">
        <f t="shared" si="71"/>
        <v>0</v>
      </c>
      <c r="W372" s="26">
        <f t="shared" si="75"/>
        <v>7744</v>
      </c>
      <c r="X372" s="26">
        <f t="shared" si="72"/>
        <v>0</v>
      </c>
      <c r="Y372" s="26">
        <f t="shared" si="73"/>
        <v>1954198.4</v>
      </c>
      <c r="Z372" s="27" t="s">
        <v>15</v>
      </c>
      <c r="AA372" s="36" t="s">
        <v>16</v>
      </c>
      <c r="AB372" s="181">
        <f t="shared" si="65"/>
        <v>8744</v>
      </c>
      <c r="AC372" s="181">
        <f t="shared" si="74"/>
        <v>2206548.4</v>
      </c>
      <c r="AD372" s="181">
        <v>1.9</v>
      </c>
      <c r="AE372" s="181">
        <v>1.9</v>
      </c>
      <c r="AF372" s="101" t="str">
        <f t="shared" si="66"/>
        <v/>
      </c>
      <c r="AG372" s="190">
        <v>7744</v>
      </c>
      <c r="AH372" s="69">
        <f t="shared" si="67"/>
        <v>8744</v>
      </c>
    </row>
    <row r="373" spans="1:34" s="69" customFormat="1" ht="58.5" x14ac:dyDescent="0.3">
      <c r="A373" s="55" t="s">
        <v>1000</v>
      </c>
      <c r="B373" s="53" t="s">
        <v>1001</v>
      </c>
      <c r="C373" s="54" t="s">
        <v>14</v>
      </c>
      <c r="D373" s="75">
        <v>1</v>
      </c>
      <c r="E373" s="75"/>
      <c r="F373" s="75"/>
      <c r="G373" s="75"/>
      <c r="H373" s="75">
        <v>350000</v>
      </c>
      <c r="I373" s="75">
        <v>350000</v>
      </c>
      <c r="J373" s="91" t="s">
        <v>1002</v>
      </c>
      <c r="K373" s="73"/>
      <c r="L373" s="46">
        <v>1</v>
      </c>
      <c r="M373" s="46">
        <v>0</v>
      </c>
      <c r="N373" s="46">
        <v>157500</v>
      </c>
      <c r="O373" s="98"/>
      <c r="P373" s="23" t="s">
        <v>1373</v>
      </c>
      <c r="Q373" s="24" t="s">
        <v>1001</v>
      </c>
      <c r="R373" s="25" t="s">
        <v>14</v>
      </c>
      <c r="S373" s="26">
        <v>1</v>
      </c>
      <c r="T373" s="26"/>
      <c r="U373" s="26">
        <v>350000</v>
      </c>
      <c r="V373" s="26">
        <f>IF(X373=0,0,1)</f>
        <v>0</v>
      </c>
      <c r="W373" s="26">
        <f>IF(Y373=0,0,1)</f>
        <v>1</v>
      </c>
      <c r="X373" s="26">
        <f t="shared" si="72"/>
        <v>0</v>
      </c>
      <c r="Y373" s="26">
        <v>157500</v>
      </c>
      <c r="Z373" s="123">
        <f>Y373/I373</f>
        <v>0.45</v>
      </c>
      <c r="AA373" s="36" t="s">
        <v>16</v>
      </c>
      <c r="AB373" s="181">
        <f t="shared" si="65"/>
        <v>1</v>
      </c>
      <c r="AC373" s="181">
        <f t="shared" si="74"/>
        <v>350000</v>
      </c>
      <c r="AD373" s="181">
        <v>1.9</v>
      </c>
      <c r="AE373" s="181">
        <v>1.9</v>
      </c>
      <c r="AF373" s="101" t="str">
        <f t="shared" si="66"/>
        <v/>
      </c>
      <c r="AG373" s="190">
        <v>1</v>
      </c>
      <c r="AH373" s="69">
        <f t="shared" si="67"/>
        <v>1</v>
      </c>
    </row>
    <row r="374" spans="1:34" s="69" customFormat="1" ht="39" x14ac:dyDescent="0.3">
      <c r="A374" s="55" t="s">
        <v>1003</v>
      </c>
      <c r="B374" s="53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931.12</v>
      </c>
      <c r="I374" s="75">
        <v>2309177.6</v>
      </c>
      <c r="J374" s="91" t="s">
        <v>1005</v>
      </c>
      <c r="K374" s="73"/>
      <c r="L374" s="46">
        <v>1828</v>
      </c>
      <c r="M374" s="46">
        <v>0</v>
      </c>
      <c r="N374" s="46">
        <v>1702087.36</v>
      </c>
      <c r="O374" s="98"/>
      <c r="P374" s="23" t="s">
        <v>1393</v>
      </c>
      <c r="Q374" s="24" t="s">
        <v>1004</v>
      </c>
      <c r="R374" s="25" t="s">
        <v>97</v>
      </c>
      <c r="S374" s="26">
        <v>1</v>
      </c>
      <c r="T374" s="26">
        <v>2480</v>
      </c>
      <c r="U374" s="26">
        <v>931.12</v>
      </c>
      <c r="V374" s="128">
        <f t="shared" si="71"/>
        <v>56</v>
      </c>
      <c r="W374" s="26">
        <f t="shared" si="75"/>
        <v>1884</v>
      </c>
      <c r="X374" s="26">
        <f t="shared" si="72"/>
        <v>52142.719999999972</v>
      </c>
      <c r="Y374" s="26">
        <f t="shared" si="73"/>
        <v>1754230.08</v>
      </c>
      <c r="Z374" s="27" t="s">
        <v>15</v>
      </c>
      <c r="AA374" s="36" t="s">
        <v>16</v>
      </c>
      <c r="AB374" s="181">
        <f t="shared" si="65"/>
        <v>2480</v>
      </c>
      <c r="AC374" s="181">
        <f t="shared" si="74"/>
        <v>2309177.6</v>
      </c>
      <c r="AD374" s="181">
        <v>1.9</v>
      </c>
      <c r="AE374" s="181">
        <v>1.9</v>
      </c>
      <c r="AF374" s="101" t="str">
        <f t="shared" si="66"/>
        <v/>
      </c>
      <c r="AG374" s="191">
        <f>1500+8*3*7+8*5+8*15+8*7</f>
        <v>1884</v>
      </c>
      <c r="AH374" s="69">
        <f t="shared" si="67"/>
        <v>2480</v>
      </c>
    </row>
    <row r="375" spans="1:34" s="69" customFormat="1" ht="33" x14ac:dyDescent="0.3">
      <c r="A375" s="130" t="s">
        <v>1006</v>
      </c>
      <c r="B375" s="131" t="s">
        <v>678</v>
      </c>
      <c r="C375" s="132" t="s">
        <v>23</v>
      </c>
      <c r="D375" s="133">
        <v>1</v>
      </c>
      <c r="E375" s="203">
        <v>91</v>
      </c>
      <c r="F375" s="203">
        <v>291</v>
      </c>
      <c r="G375" s="203"/>
      <c r="H375" s="75">
        <v>3386.57</v>
      </c>
      <c r="I375" s="75">
        <v>985491.87</v>
      </c>
      <c r="J375" s="91" t="s">
        <v>679</v>
      </c>
      <c r="K375" s="73"/>
      <c r="L375" s="46">
        <v>291</v>
      </c>
      <c r="M375" s="46">
        <v>0</v>
      </c>
      <c r="N375" s="46">
        <v>985491.87</v>
      </c>
      <c r="O375" s="98"/>
      <c r="P375" s="23" t="s">
        <v>1403</v>
      </c>
      <c r="Q375" s="24" t="s">
        <v>678</v>
      </c>
      <c r="R375" s="25" t="s">
        <v>23</v>
      </c>
      <c r="S375" s="26">
        <v>1</v>
      </c>
      <c r="T375" s="26">
        <v>291</v>
      </c>
      <c r="U375" s="26">
        <v>3386.57</v>
      </c>
      <c r="V375" s="127">
        <f t="shared" si="71"/>
        <v>0</v>
      </c>
      <c r="W375" s="127">
        <f t="shared" si="75"/>
        <v>291</v>
      </c>
      <c r="X375" s="127">
        <f t="shared" si="72"/>
        <v>0</v>
      </c>
      <c r="Y375" s="127">
        <f t="shared" si="73"/>
        <v>985491.87</v>
      </c>
      <c r="Z375" s="27" t="s">
        <v>15</v>
      </c>
      <c r="AA375" s="36" t="s">
        <v>16</v>
      </c>
      <c r="AB375" s="181">
        <f t="shared" si="65"/>
        <v>291</v>
      </c>
      <c r="AC375" s="181">
        <f t="shared" si="74"/>
        <v>985491.87</v>
      </c>
      <c r="AD375" s="181">
        <v>1.9</v>
      </c>
      <c r="AE375" s="181">
        <v>1.9</v>
      </c>
      <c r="AF375" s="101" t="str">
        <f t="shared" si="66"/>
        <v/>
      </c>
      <c r="AG375" s="190">
        <v>291</v>
      </c>
      <c r="AH375" s="69">
        <f t="shared" si="67"/>
        <v>291</v>
      </c>
    </row>
    <row r="376" spans="1:34" s="69" customFormat="1" ht="58.5" x14ac:dyDescent="0.3">
      <c r="A376" s="134" t="s">
        <v>1340</v>
      </c>
      <c r="B376" s="135" t="s">
        <v>1341</v>
      </c>
      <c r="C376" s="204" t="s">
        <v>30</v>
      </c>
      <c r="D376" s="77"/>
      <c r="E376" s="59">
        <v>130</v>
      </c>
      <c r="F376" s="77"/>
      <c r="G376" s="77"/>
      <c r="H376" s="77">
        <v>9706.16</v>
      </c>
      <c r="I376" s="59">
        <v>1261800.8</v>
      </c>
      <c r="J376" s="92"/>
      <c r="K376" s="73"/>
      <c r="L376" s="46">
        <v>130</v>
      </c>
      <c r="M376" s="46">
        <v>0</v>
      </c>
      <c r="N376" s="46">
        <v>1261800.8</v>
      </c>
      <c r="O376" s="98"/>
      <c r="P376" s="23" t="s">
        <v>1427</v>
      </c>
      <c r="Q376" s="24" t="s">
        <v>1500</v>
      </c>
      <c r="R376" s="25" t="s">
        <v>30</v>
      </c>
      <c r="S376" s="26">
        <v>0</v>
      </c>
      <c r="T376" s="26">
        <v>130</v>
      </c>
      <c r="U376" s="26">
        <v>9706.16</v>
      </c>
      <c r="V376" s="127">
        <f t="shared" si="71"/>
        <v>0</v>
      </c>
      <c r="W376" s="127">
        <f t="shared" si="75"/>
        <v>130</v>
      </c>
      <c r="X376" s="127">
        <f t="shared" si="72"/>
        <v>0</v>
      </c>
      <c r="Y376" s="127">
        <f t="shared" si="73"/>
        <v>1261800.8</v>
      </c>
      <c r="Z376" s="27"/>
      <c r="AA376" s="36" t="s">
        <v>16</v>
      </c>
      <c r="AB376" s="181">
        <f t="shared" si="65"/>
        <v>130</v>
      </c>
      <c r="AC376" s="181">
        <f t="shared" si="74"/>
        <v>1261800.8</v>
      </c>
      <c r="AD376" s="181">
        <v>1.9</v>
      </c>
      <c r="AE376" s="181">
        <v>1.9</v>
      </c>
      <c r="AF376" s="101" t="str">
        <f t="shared" si="66"/>
        <v/>
      </c>
      <c r="AG376" s="191">
        <f>74+56</f>
        <v>130</v>
      </c>
      <c r="AH376" s="69">
        <f t="shared" si="67"/>
        <v>130</v>
      </c>
    </row>
    <row r="377" spans="1:34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/>
      <c r="I377" s="88">
        <v>27450638.109999999</v>
      </c>
      <c r="J377" s="95" t="s">
        <v>15</v>
      </c>
      <c r="K377" s="73"/>
      <c r="L377" s="42">
        <v>1</v>
      </c>
      <c r="M377" s="42">
        <v>254958</v>
      </c>
      <c r="N377" s="42">
        <v>22147787.620000005</v>
      </c>
      <c r="O377" s="98"/>
      <c r="P377" s="13" t="s">
        <v>1404</v>
      </c>
      <c r="Q377" s="14" t="s">
        <v>1008</v>
      </c>
      <c r="R377" s="15" t="s">
        <v>14</v>
      </c>
      <c r="S377" s="16">
        <v>1</v>
      </c>
      <c r="T377" s="16"/>
      <c r="U377" s="16">
        <f>SUMIFS(AC:AC,AD:AD,AD377)</f>
        <v>27450638.110000003</v>
      </c>
      <c r="V377" s="16">
        <f t="shared" ref="V377:W377" si="76">IF(X377=0,0,1)</f>
        <v>1</v>
      </c>
      <c r="W377" s="16">
        <f t="shared" si="76"/>
        <v>1</v>
      </c>
      <c r="X377" s="16">
        <f>SUMIFS(X:X,AE:AE,AD377)</f>
        <v>369410</v>
      </c>
      <c r="Y377" s="16">
        <f>SUMIFS(Y:Y,AE:AE,AD377)</f>
        <v>22517197.620000005</v>
      </c>
      <c r="Z377" s="17" t="s">
        <v>15</v>
      </c>
      <c r="AA377" s="40" t="s">
        <v>16</v>
      </c>
      <c r="AB377" s="181">
        <f t="shared" si="65"/>
        <v>1</v>
      </c>
      <c r="AC377" s="183"/>
      <c r="AD377" s="183">
        <v>2</v>
      </c>
      <c r="AE377" s="183"/>
      <c r="AF377" s="101" t="str">
        <f t="shared" si="66"/>
        <v/>
      </c>
      <c r="AG377" s="190">
        <v>1</v>
      </c>
      <c r="AH377" s="69">
        <f t="shared" si="67"/>
        <v>1</v>
      </c>
    </row>
    <row r="378" spans="1:34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>
        <v>711302</v>
      </c>
      <c r="I378" s="75">
        <v>711302</v>
      </c>
      <c r="J378" s="91" t="s">
        <v>1011</v>
      </c>
      <c r="K378" s="73"/>
      <c r="L378" s="46">
        <v>0</v>
      </c>
      <c r="M378" s="46">
        <v>0</v>
      </c>
      <c r="N378" s="46">
        <v>0</v>
      </c>
      <c r="O378" s="98"/>
      <c r="P378" s="23" t="s">
        <v>1421</v>
      </c>
      <c r="Q378" s="24" t="s">
        <v>1010</v>
      </c>
      <c r="R378" s="25" t="s">
        <v>14</v>
      </c>
      <c r="S378" s="26">
        <v>1</v>
      </c>
      <c r="T378" s="26"/>
      <c r="U378" s="26">
        <v>711302</v>
      </c>
      <c r="V378" s="26">
        <f t="shared" ref="V378:V405" si="77">AG378-L378</f>
        <v>0</v>
      </c>
      <c r="W378" s="26">
        <f t="shared" ref="W378:W457" si="78">V378+L378</f>
        <v>0</v>
      </c>
      <c r="X378" s="26">
        <f t="shared" ref="X378:X405" si="79">Y378-N378</f>
        <v>0</v>
      </c>
      <c r="Y378" s="26">
        <f t="shared" ref="Y378:Y405" si="80">ROUND(U378*W378,2)</f>
        <v>0</v>
      </c>
      <c r="Z378" s="33" t="s">
        <v>15</v>
      </c>
      <c r="AA378" s="36" t="s">
        <v>16</v>
      </c>
      <c r="AB378" s="181">
        <f t="shared" si="65"/>
        <v>1</v>
      </c>
      <c r="AC378" s="181">
        <f t="shared" ref="AC378:AC405" si="81">ROUND(U378*AB378,2)</f>
        <v>711302</v>
      </c>
      <c r="AD378" s="181">
        <v>2</v>
      </c>
      <c r="AE378" s="181">
        <v>2</v>
      </c>
      <c r="AF378" s="101" t="str">
        <f t="shared" si="66"/>
        <v/>
      </c>
      <c r="AG378" s="190">
        <v>0</v>
      </c>
      <c r="AH378" s="69">
        <f t="shared" si="67"/>
        <v>1</v>
      </c>
    </row>
    <row r="379" spans="1:34" s="69" customFormat="1" ht="33" customHeight="1" x14ac:dyDescent="0.3">
      <c r="A379" s="55" t="s">
        <v>1012</v>
      </c>
      <c r="B379" s="53" t="s">
        <v>1013</v>
      </c>
      <c r="C379" s="54" t="s">
        <v>1014</v>
      </c>
      <c r="D379" s="75">
        <v>7</v>
      </c>
      <c r="E379" s="75"/>
      <c r="F379" s="75"/>
      <c r="G379" s="75"/>
      <c r="H379" s="75">
        <v>50000</v>
      </c>
      <c r="I379" s="75">
        <v>350000</v>
      </c>
      <c r="J379" s="91" t="s">
        <v>1015</v>
      </c>
      <c r="K379" s="73"/>
      <c r="L379" s="46">
        <v>0</v>
      </c>
      <c r="M379" s="46">
        <v>0</v>
      </c>
      <c r="N379" s="46">
        <v>0</v>
      </c>
      <c r="O379" s="98"/>
      <c r="P379" s="23" t="s">
        <v>1426</v>
      </c>
      <c r="Q379" s="24" t="s">
        <v>1013</v>
      </c>
      <c r="R379" s="25" t="s">
        <v>1014</v>
      </c>
      <c r="S379" s="26">
        <v>7</v>
      </c>
      <c r="T379" s="26"/>
      <c r="U379" s="26">
        <v>50000</v>
      </c>
      <c r="V379" s="26">
        <f t="shared" si="77"/>
        <v>0</v>
      </c>
      <c r="W379" s="26">
        <f t="shared" si="78"/>
        <v>0</v>
      </c>
      <c r="X379" s="26">
        <f t="shared" si="79"/>
        <v>0</v>
      </c>
      <c r="Y379" s="26">
        <f t="shared" si="80"/>
        <v>0</v>
      </c>
      <c r="Z379" s="33" t="s">
        <v>15</v>
      </c>
      <c r="AA379" s="36" t="s">
        <v>16</v>
      </c>
      <c r="AB379" s="181">
        <f t="shared" si="65"/>
        <v>7</v>
      </c>
      <c r="AC379" s="181">
        <f t="shared" si="81"/>
        <v>350000</v>
      </c>
      <c r="AD379" s="181">
        <v>2</v>
      </c>
      <c r="AE379" s="181">
        <v>2</v>
      </c>
      <c r="AF379" s="101" t="str">
        <f t="shared" si="66"/>
        <v/>
      </c>
      <c r="AG379" s="190">
        <v>0</v>
      </c>
      <c r="AH379" s="69">
        <f t="shared" si="67"/>
        <v>7</v>
      </c>
    </row>
    <row r="380" spans="1:34" s="69" customFormat="1" ht="33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75"/>
      <c r="F380" s="75">
        <v>400</v>
      </c>
      <c r="G380" s="76"/>
      <c r="H380" s="75">
        <v>22500</v>
      </c>
      <c r="I380" s="75">
        <v>9000000</v>
      </c>
      <c r="J380" s="91" t="s">
        <v>1018</v>
      </c>
      <c r="K380" s="73"/>
      <c r="L380" s="46">
        <v>400</v>
      </c>
      <c r="M380" s="46">
        <v>0</v>
      </c>
      <c r="N380" s="46">
        <v>9000000</v>
      </c>
      <c r="O380" s="98"/>
      <c r="P380" s="23" t="s">
        <v>1402</v>
      </c>
      <c r="Q380" s="24" t="s">
        <v>1017</v>
      </c>
      <c r="R380" s="25" t="s">
        <v>50</v>
      </c>
      <c r="S380" s="26">
        <v>360</v>
      </c>
      <c r="T380" s="26">
        <v>400</v>
      </c>
      <c r="U380" s="26">
        <v>22500</v>
      </c>
      <c r="V380" s="127">
        <f t="shared" si="77"/>
        <v>0</v>
      </c>
      <c r="W380" s="127">
        <f t="shared" si="78"/>
        <v>400</v>
      </c>
      <c r="X380" s="127">
        <f t="shared" si="79"/>
        <v>0</v>
      </c>
      <c r="Y380" s="127">
        <f t="shared" si="80"/>
        <v>9000000</v>
      </c>
      <c r="Z380" s="27" t="s">
        <v>15</v>
      </c>
      <c r="AA380" s="36" t="s">
        <v>16</v>
      </c>
      <c r="AB380" s="181">
        <f t="shared" si="65"/>
        <v>400</v>
      </c>
      <c r="AC380" s="181">
        <f t="shared" si="81"/>
        <v>9000000</v>
      </c>
      <c r="AD380" s="181">
        <v>2</v>
      </c>
      <c r="AE380" s="181">
        <v>2</v>
      </c>
      <c r="AF380" s="101" t="str">
        <f t="shared" si="66"/>
        <v/>
      </c>
      <c r="AG380" s="190">
        <v>400</v>
      </c>
      <c r="AH380" s="69">
        <f t="shared" si="67"/>
        <v>400</v>
      </c>
    </row>
    <row r="381" spans="1:34" s="69" customFormat="1" ht="78" x14ac:dyDescent="0.3">
      <c r="A381" s="55" t="s">
        <v>1019</v>
      </c>
      <c r="B381" s="53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158"/>
      <c r="H381" s="166">
        <v>806</v>
      </c>
      <c r="I381" s="75">
        <v>2941900</v>
      </c>
      <c r="J381" s="91" t="s">
        <v>1022</v>
      </c>
      <c r="K381" s="73"/>
      <c r="L381" s="46">
        <v>1525</v>
      </c>
      <c r="M381" s="46">
        <v>74958</v>
      </c>
      <c r="N381" s="46">
        <v>1229150</v>
      </c>
      <c r="O381" s="98"/>
      <c r="P381" s="23" t="s">
        <v>1373</v>
      </c>
      <c r="Q381" s="24" t="s">
        <v>1020</v>
      </c>
      <c r="R381" s="25" t="s">
        <v>1021</v>
      </c>
      <c r="S381" s="26">
        <v>730</v>
      </c>
      <c r="T381" s="26">
        <v>3650</v>
      </c>
      <c r="U381" s="26">
        <v>806</v>
      </c>
      <c r="V381" s="102">
        <f t="shared" si="77"/>
        <v>235</v>
      </c>
      <c r="W381" s="26">
        <f t="shared" si="78"/>
        <v>1760</v>
      </c>
      <c r="X381" s="26">
        <f t="shared" si="79"/>
        <v>189410</v>
      </c>
      <c r="Y381" s="26">
        <f t="shared" si="80"/>
        <v>1418560</v>
      </c>
      <c r="Z381" s="27" t="s">
        <v>15</v>
      </c>
      <c r="AA381" s="36" t="s">
        <v>16</v>
      </c>
      <c r="AB381" s="181">
        <f t="shared" si="65"/>
        <v>3650</v>
      </c>
      <c r="AC381" s="181">
        <f t="shared" si="81"/>
        <v>2941900</v>
      </c>
      <c r="AD381" s="181">
        <v>2</v>
      </c>
      <c r="AE381" s="181">
        <v>2</v>
      </c>
      <c r="AF381" s="101" t="str">
        <f t="shared" si="66"/>
        <v/>
      </c>
      <c r="AG381" s="191">
        <f>1156+124+120+124+124+112</f>
        <v>1760</v>
      </c>
      <c r="AH381" s="69">
        <f t="shared" si="67"/>
        <v>3650</v>
      </c>
    </row>
    <row r="382" spans="1:34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75">
        <v>4</v>
      </c>
      <c r="F382" s="161">
        <v>5</v>
      </c>
      <c r="G382" s="158"/>
      <c r="H382" s="166">
        <v>50000</v>
      </c>
      <c r="I382" s="75">
        <v>250000</v>
      </c>
      <c r="J382" s="91" t="s">
        <v>1025</v>
      </c>
      <c r="K382" s="73"/>
      <c r="L382" s="46">
        <v>5</v>
      </c>
      <c r="M382" s="46">
        <v>0</v>
      </c>
      <c r="N382" s="46">
        <v>250000</v>
      </c>
      <c r="O382" s="98"/>
      <c r="P382" s="23" t="s">
        <v>1393</v>
      </c>
      <c r="Q382" s="24" t="s">
        <v>1024</v>
      </c>
      <c r="R382" s="25" t="s">
        <v>1014</v>
      </c>
      <c r="S382" s="26">
        <v>2</v>
      </c>
      <c r="T382" s="26">
        <v>5</v>
      </c>
      <c r="U382" s="26">
        <v>50000</v>
      </c>
      <c r="V382" s="127">
        <f t="shared" si="77"/>
        <v>0</v>
      </c>
      <c r="W382" s="127">
        <f t="shared" si="78"/>
        <v>5</v>
      </c>
      <c r="X382" s="127">
        <f t="shared" si="79"/>
        <v>0</v>
      </c>
      <c r="Y382" s="127">
        <f t="shared" si="80"/>
        <v>250000</v>
      </c>
      <c r="Z382" s="27" t="s">
        <v>15</v>
      </c>
      <c r="AA382" s="36" t="s">
        <v>16</v>
      </c>
      <c r="AB382" s="181">
        <f t="shared" si="65"/>
        <v>5</v>
      </c>
      <c r="AC382" s="181">
        <f t="shared" si="81"/>
        <v>250000</v>
      </c>
      <c r="AD382" s="181">
        <v>2</v>
      </c>
      <c r="AE382" s="181">
        <v>2</v>
      </c>
      <c r="AF382" s="101" t="str">
        <f t="shared" si="66"/>
        <v/>
      </c>
      <c r="AG382" s="190">
        <v>5</v>
      </c>
      <c r="AH382" s="69">
        <f t="shared" si="67"/>
        <v>5</v>
      </c>
    </row>
    <row r="383" spans="1:34" s="69" customFormat="1" ht="33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158"/>
      <c r="H383" s="166">
        <v>180000</v>
      </c>
      <c r="I383" s="75">
        <v>4320000</v>
      </c>
      <c r="J383" s="91" t="s">
        <v>1029</v>
      </c>
      <c r="K383" s="73"/>
      <c r="L383" s="46">
        <v>14</v>
      </c>
      <c r="M383" s="46">
        <v>180000</v>
      </c>
      <c r="N383" s="46">
        <v>2520000</v>
      </c>
      <c r="O383" s="98"/>
      <c r="P383" s="23" t="s">
        <v>1403</v>
      </c>
      <c r="Q383" s="24" t="s">
        <v>1027</v>
      </c>
      <c r="R383" s="25" t="s">
        <v>1028</v>
      </c>
      <c r="S383" s="26">
        <v>24</v>
      </c>
      <c r="T383" s="26"/>
      <c r="U383" s="26">
        <v>180000</v>
      </c>
      <c r="V383" s="102">
        <f t="shared" si="77"/>
        <v>1</v>
      </c>
      <c r="W383" s="26">
        <f t="shared" si="78"/>
        <v>15</v>
      </c>
      <c r="X383" s="26">
        <f t="shared" si="79"/>
        <v>180000</v>
      </c>
      <c r="Y383" s="26">
        <f t="shared" si="80"/>
        <v>2700000</v>
      </c>
      <c r="Z383" s="33" t="s">
        <v>15</v>
      </c>
      <c r="AA383" s="36" t="s">
        <v>16</v>
      </c>
      <c r="AB383" s="181">
        <f t="shared" si="65"/>
        <v>24</v>
      </c>
      <c r="AC383" s="181">
        <f t="shared" si="81"/>
        <v>4320000</v>
      </c>
      <c r="AD383" s="181">
        <v>2</v>
      </c>
      <c r="AE383" s="181">
        <v>2</v>
      </c>
      <c r="AF383" s="101" t="str">
        <f t="shared" si="66"/>
        <v/>
      </c>
      <c r="AG383" s="191">
        <f>8+1+1+2+1+1+1</f>
        <v>15</v>
      </c>
      <c r="AH383" s="69">
        <f t="shared" si="67"/>
        <v>24</v>
      </c>
    </row>
    <row r="384" spans="1:34" s="69" customFormat="1" ht="49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158"/>
      <c r="H384" s="166">
        <v>205982.81</v>
      </c>
      <c r="I384" s="75">
        <v>205982.81</v>
      </c>
      <c r="J384" s="91" t="s">
        <v>1032</v>
      </c>
      <c r="K384" s="73"/>
      <c r="L384" s="46">
        <v>0</v>
      </c>
      <c r="M384" s="46">
        <v>0</v>
      </c>
      <c r="N384" s="46">
        <v>0</v>
      </c>
      <c r="O384" s="98"/>
      <c r="P384" s="23" t="s">
        <v>1427</v>
      </c>
      <c r="Q384" s="24" t="s">
        <v>1031</v>
      </c>
      <c r="R384" s="25" t="s">
        <v>14</v>
      </c>
      <c r="S384" s="26">
        <v>1</v>
      </c>
      <c r="T384" s="26"/>
      <c r="U384" s="26">
        <v>205982.81</v>
      </c>
      <c r="V384" s="26">
        <f t="shared" si="77"/>
        <v>0</v>
      </c>
      <c r="W384" s="26">
        <f t="shared" si="78"/>
        <v>0</v>
      </c>
      <c r="X384" s="26">
        <f t="shared" si="79"/>
        <v>0</v>
      </c>
      <c r="Y384" s="26">
        <f t="shared" si="80"/>
        <v>0</v>
      </c>
      <c r="Z384" s="33" t="s">
        <v>15</v>
      </c>
      <c r="AA384" s="36" t="s">
        <v>16</v>
      </c>
      <c r="AB384" s="181">
        <f t="shared" si="65"/>
        <v>1</v>
      </c>
      <c r="AC384" s="181">
        <f t="shared" si="81"/>
        <v>205982.81</v>
      </c>
      <c r="AD384" s="181">
        <v>2</v>
      </c>
      <c r="AE384" s="181">
        <v>2</v>
      </c>
      <c r="AF384" s="101" t="str">
        <f t="shared" si="66"/>
        <v/>
      </c>
      <c r="AG384" s="190">
        <v>0</v>
      </c>
      <c r="AH384" s="69">
        <f t="shared" si="67"/>
        <v>1</v>
      </c>
    </row>
    <row r="385" spans="1:34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75"/>
      <c r="F385" s="161"/>
      <c r="G385" s="158"/>
      <c r="H385" s="166">
        <v>2425000</v>
      </c>
      <c r="I385" s="75">
        <v>2425000</v>
      </c>
      <c r="J385" s="91" t="s">
        <v>1035</v>
      </c>
      <c r="K385" s="73"/>
      <c r="L385" s="46">
        <v>1</v>
      </c>
      <c r="M385" s="46">
        <v>0</v>
      </c>
      <c r="N385" s="46">
        <v>2425000</v>
      </c>
      <c r="O385" s="98"/>
      <c r="P385" s="23" t="s">
        <v>1428</v>
      </c>
      <c r="Q385" s="24" t="s">
        <v>1034</v>
      </c>
      <c r="R385" s="25" t="s">
        <v>14</v>
      </c>
      <c r="S385" s="26">
        <v>1</v>
      </c>
      <c r="T385" s="26"/>
      <c r="U385" s="26">
        <v>2425000</v>
      </c>
      <c r="V385" s="127">
        <f t="shared" si="77"/>
        <v>0</v>
      </c>
      <c r="W385" s="127">
        <f t="shared" si="78"/>
        <v>1</v>
      </c>
      <c r="X385" s="127">
        <f t="shared" si="79"/>
        <v>0</v>
      </c>
      <c r="Y385" s="127">
        <f t="shared" si="80"/>
        <v>2425000</v>
      </c>
      <c r="Z385" s="33" t="s">
        <v>1499</v>
      </c>
      <c r="AA385" s="36" t="s">
        <v>16</v>
      </c>
      <c r="AB385" s="181">
        <f t="shared" si="65"/>
        <v>1</v>
      </c>
      <c r="AC385" s="181">
        <f t="shared" si="81"/>
        <v>2425000</v>
      </c>
      <c r="AD385" s="181">
        <v>2</v>
      </c>
      <c r="AE385" s="181">
        <v>2</v>
      </c>
      <c r="AF385" s="101" t="str">
        <f t="shared" si="66"/>
        <v/>
      </c>
      <c r="AG385" s="190">
        <v>1</v>
      </c>
      <c r="AH385" s="69">
        <f t="shared" si="67"/>
        <v>1</v>
      </c>
    </row>
    <row r="386" spans="1:34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158"/>
      <c r="H386" s="166">
        <v>350000</v>
      </c>
      <c r="I386" s="75">
        <v>350000</v>
      </c>
      <c r="J386" s="91" t="s">
        <v>1038</v>
      </c>
      <c r="K386" s="73"/>
      <c r="L386" s="46">
        <v>0.5</v>
      </c>
      <c r="M386" s="46">
        <v>0</v>
      </c>
      <c r="N386" s="46">
        <v>175000</v>
      </c>
      <c r="O386" s="98"/>
      <c r="P386" s="23" t="s">
        <v>1387</v>
      </c>
      <c r="Q386" s="24" t="s">
        <v>1037</v>
      </c>
      <c r="R386" s="25" t="s">
        <v>14</v>
      </c>
      <c r="S386" s="26">
        <v>1</v>
      </c>
      <c r="T386" s="26"/>
      <c r="U386" s="26">
        <v>350000</v>
      </c>
      <c r="V386" s="128">
        <f t="shared" si="77"/>
        <v>0</v>
      </c>
      <c r="W386" s="26">
        <f t="shared" si="78"/>
        <v>0.5</v>
      </c>
      <c r="X386" s="26">
        <f t="shared" si="79"/>
        <v>0</v>
      </c>
      <c r="Y386" s="26">
        <f t="shared" si="80"/>
        <v>175000</v>
      </c>
      <c r="Z386" s="33" t="s">
        <v>15</v>
      </c>
      <c r="AA386" s="36" t="s">
        <v>16</v>
      </c>
      <c r="AB386" s="181">
        <f t="shared" si="65"/>
        <v>1</v>
      </c>
      <c r="AC386" s="181">
        <f t="shared" si="81"/>
        <v>350000</v>
      </c>
      <c r="AD386" s="181">
        <v>2</v>
      </c>
      <c r="AE386" s="181">
        <v>2</v>
      </c>
      <c r="AF386" s="101" t="str">
        <f t="shared" si="66"/>
        <v/>
      </c>
      <c r="AG386" s="191">
        <f>0.5</f>
        <v>0.5</v>
      </c>
      <c r="AH386" s="69">
        <f t="shared" si="67"/>
        <v>1</v>
      </c>
    </row>
    <row r="387" spans="1:34" ht="33" x14ac:dyDescent="0.3">
      <c r="A387" s="67" t="s">
        <v>1342</v>
      </c>
      <c r="B387" s="64" t="s">
        <v>1343</v>
      </c>
      <c r="C387" s="61" t="s">
        <v>50</v>
      </c>
      <c r="D387" s="78"/>
      <c r="E387" s="78"/>
      <c r="F387" s="163">
        <v>320</v>
      </c>
      <c r="G387" s="62"/>
      <c r="H387" s="167">
        <v>10869.24</v>
      </c>
      <c r="I387" s="62">
        <v>3478156.8</v>
      </c>
      <c r="J387" s="93"/>
      <c r="L387" s="46">
        <v>288</v>
      </c>
      <c r="M387" s="46">
        <v>0</v>
      </c>
      <c r="N387" s="46">
        <v>3130341.12</v>
      </c>
      <c r="O387" s="98"/>
      <c r="P387" s="23" t="s">
        <v>1405</v>
      </c>
      <c r="Q387" s="24" t="s">
        <v>1343</v>
      </c>
      <c r="R387" s="25" t="s">
        <v>50</v>
      </c>
      <c r="S387" s="26">
        <v>0</v>
      </c>
      <c r="T387" s="26">
        <v>320</v>
      </c>
      <c r="U387" s="26">
        <v>10869.24</v>
      </c>
      <c r="V387" s="128">
        <f t="shared" si="77"/>
        <v>0</v>
      </c>
      <c r="W387" s="26">
        <f t="shared" si="78"/>
        <v>288</v>
      </c>
      <c r="X387" s="26">
        <f t="shared" si="79"/>
        <v>0</v>
      </c>
      <c r="Y387" s="26">
        <f t="shared" si="80"/>
        <v>3130341.12</v>
      </c>
      <c r="Z387" s="27"/>
      <c r="AA387" s="36" t="s">
        <v>16</v>
      </c>
      <c r="AB387" s="181">
        <f t="shared" si="65"/>
        <v>320</v>
      </c>
      <c r="AC387" s="181">
        <f t="shared" si="81"/>
        <v>3478156.8</v>
      </c>
      <c r="AD387" s="181">
        <v>2</v>
      </c>
      <c r="AE387" s="181">
        <v>2</v>
      </c>
      <c r="AF387" s="101" t="str">
        <f t="shared" si="66"/>
        <v/>
      </c>
      <c r="AG387" s="191">
        <f>320*0.9</f>
        <v>288</v>
      </c>
      <c r="AH387" s="69">
        <f t="shared" si="67"/>
        <v>320</v>
      </c>
    </row>
    <row r="388" spans="1:34" ht="33" x14ac:dyDescent="0.3">
      <c r="A388" s="144" t="s">
        <v>1344</v>
      </c>
      <c r="B388" s="145" t="s">
        <v>1345</v>
      </c>
      <c r="C388" s="206" t="s">
        <v>325</v>
      </c>
      <c r="D388" s="147"/>
      <c r="E388" s="147"/>
      <c r="F388" s="164">
        <v>2</v>
      </c>
      <c r="G388" s="62"/>
      <c r="H388" s="168">
        <v>60995.57</v>
      </c>
      <c r="I388" s="148">
        <v>121991.14</v>
      </c>
      <c r="J388" s="149"/>
      <c r="L388" s="46">
        <v>2</v>
      </c>
      <c r="M388" s="46">
        <v>0</v>
      </c>
      <c r="N388" s="46">
        <v>121991.14</v>
      </c>
      <c r="O388" s="98"/>
      <c r="P388" s="23" t="s">
        <v>1406</v>
      </c>
      <c r="Q388" s="24" t="s">
        <v>1345</v>
      </c>
      <c r="R388" s="25" t="s">
        <v>325</v>
      </c>
      <c r="S388" s="26">
        <v>0</v>
      </c>
      <c r="T388" s="26">
        <v>2</v>
      </c>
      <c r="U388" s="26">
        <v>60995.57</v>
      </c>
      <c r="V388" s="127">
        <f t="shared" si="77"/>
        <v>0</v>
      </c>
      <c r="W388" s="127">
        <f t="shared" si="78"/>
        <v>2</v>
      </c>
      <c r="X388" s="127">
        <f t="shared" si="79"/>
        <v>0</v>
      </c>
      <c r="Y388" s="127">
        <f t="shared" si="80"/>
        <v>121991.14</v>
      </c>
      <c r="Z388" s="27"/>
      <c r="AA388" s="36" t="s">
        <v>16</v>
      </c>
      <c r="AB388" s="181">
        <f t="shared" si="65"/>
        <v>2</v>
      </c>
      <c r="AC388" s="181">
        <f t="shared" si="81"/>
        <v>121991.14</v>
      </c>
      <c r="AD388" s="181">
        <v>2</v>
      </c>
      <c r="AE388" s="181">
        <v>2</v>
      </c>
      <c r="AF388" s="101" t="str">
        <f t="shared" si="66"/>
        <v/>
      </c>
      <c r="AG388" s="190">
        <v>2</v>
      </c>
      <c r="AH388" s="69">
        <f t="shared" si="67"/>
        <v>2</v>
      </c>
    </row>
    <row r="389" spans="1:34" ht="39" x14ac:dyDescent="0.3">
      <c r="A389" s="207" t="s">
        <v>3072</v>
      </c>
      <c r="B389" s="208" t="s">
        <v>3073</v>
      </c>
      <c r="C389" s="204" t="s">
        <v>97</v>
      </c>
      <c r="D389" s="158"/>
      <c r="E389" s="158"/>
      <c r="F389" s="165"/>
      <c r="G389" s="159">
        <v>220</v>
      </c>
      <c r="H389" s="169">
        <v>1159.82</v>
      </c>
      <c r="I389" s="159">
        <v>255160.4</v>
      </c>
      <c r="J389" s="172"/>
      <c r="L389" s="46">
        <v>220</v>
      </c>
      <c r="M389" s="46">
        <v>0</v>
      </c>
      <c r="N389" s="46">
        <v>255160.4</v>
      </c>
      <c r="O389" s="98"/>
      <c r="P389" s="23" t="s">
        <v>1414</v>
      </c>
      <c r="Q389" s="24" t="s">
        <v>3073</v>
      </c>
      <c r="R389" s="25" t="s">
        <v>97</v>
      </c>
      <c r="S389" s="26"/>
      <c r="T389" s="26"/>
      <c r="U389" s="169">
        <v>1159.82</v>
      </c>
      <c r="V389" s="127">
        <f t="shared" si="77"/>
        <v>0</v>
      </c>
      <c r="W389" s="127">
        <f>V389+L389</f>
        <v>220</v>
      </c>
      <c r="X389" s="127">
        <f t="shared" si="79"/>
        <v>0</v>
      </c>
      <c r="Y389" s="127">
        <f t="shared" si="80"/>
        <v>255160.4</v>
      </c>
      <c r="Z389" s="27"/>
      <c r="AA389" s="36"/>
      <c r="AB389" s="200">
        <v>220</v>
      </c>
      <c r="AC389" s="181">
        <f t="shared" si="81"/>
        <v>255160.4</v>
      </c>
      <c r="AD389" s="181">
        <v>2</v>
      </c>
      <c r="AE389" s="181">
        <v>2</v>
      </c>
      <c r="AF389" s="101"/>
      <c r="AG389" s="190">
        <f>G389</f>
        <v>220</v>
      </c>
      <c r="AH389" s="69">
        <f t="shared" si="67"/>
        <v>220</v>
      </c>
    </row>
    <row r="390" spans="1:34" ht="39" x14ac:dyDescent="0.3">
      <c r="A390" s="207" t="s">
        <v>3074</v>
      </c>
      <c r="B390" s="208" t="s">
        <v>3075</v>
      </c>
      <c r="C390" s="204" t="s">
        <v>97</v>
      </c>
      <c r="D390" s="158"/>
      <c r="E390" s="158"/>
      <c r="F390" s="165"/>
      <c r="G390" s="159">
        <v>264.5</v>
      </c>
      <c r="H390" s="169">
        <v>689.89</v>
      </c>
      <c r="I390" s="159">
        <v>182475.91</v>
      </c>
      <c r="J390" s="172"/>
      <c r="L390" s="46">
        <v>264.5</v>
      </c>
      <c r="M390" s="46">
        <v>0</v>
      </c>
      <c r="N390" s="46">
        <v>182475.91</v>
      </c>
      <c r="O390" s="98"/>
      <c r="P390" s="23" t="s">
        <v>1429</v>
      </c>
      <c r="Q390" s="24" t="s">
        <v>3075</v>
      </c>
      <c r="R390" s="25" t="s">
        <v>97</v>
      </c>
      <c r="S390" s="26"/>
      <c r="T390" s="26"/>
      <c r="U390" s="169">
        <v>689.89</v>
      </c>
      <c r="V390" s="127">
        <f t="shared" si="77"/>
        <v>0</v>
      </c>
      <c r="W390" s="127">
        <f t="shared" ref="W390:W405" si="82">V390+L390</f>
        <v>264.5</v>
      </c>
      <c r="X390" s="127">
        <f t="shared" si="79"/>
        <v>0</v>
      </c>
      <c r="Y390" s="127">
        <f t="shared" si="80"/>
        <v>182475.91</v>
      </c>
      <c r="Z390" s="27"/>
      <c r="AA390" s="36"/>
      <c r="AB390" s="200">
        <v>264.5</v>
      </c>
      <c r="AC390" s="181">
        <f t="shared" si="81"/>
        <v>182475.91</v>
      </c>
      <c r="AD390" s="181">
        <v>2</v>
      </c>
      <c r="AE390" s="181">
        <v>2</v>
      </c>
      <c r="AF390" s="101"/>
      <c r="AG390" s="190">
        <f t="shared" ref="AG390:AG405" si="83">G390</f>
        <v>264.5</v>
      </c>
      <c r="AH390" s="69">
        <f t="shared" si="67"/>
        <v>264.5</v>
      </c>
    </row>
    <row r="391" spans="1:34" ht="58.5" x14ac:dyDescent="0.3">
      <c r="A391" s="207" t="s">
        <v>3076</v>
      </c>
      <c r="B391" s="208" t="s">
        <v>3077</v>
      </c>
      <c r="C391" s="204" t="s">
        <v>97</v>
      </c>
      <c r="D391" s="158"/>
      <c r="E391" s="158"/>
      <c r="F391" s="165"/>
      <c r="G391" s="159">
        <v>218.5</v>
      </c>
      <c r="H391" s="169">
        <v>899.86</v>
      </c>
      <c r="I391" s="159">
        <v>196619.41</v>
      </c>
      <c r="J391" s="172"/>
      <c r="L391" s="46">
        <v>218.5</v>
      </c>
      <c r="M391" s="46">
        <v>0</v>
      </c>
      <c r="N391" s="46">
        <v>196619.41</v>
      </c>
      <c r="O391" s="98"/>
      <c r="P391" s="23" t="s">
        <v>1430</v>
      </c>
      <c r="Q391" s="24" t="s">
        <v>3077</v>
      </c>
      <c r="R391" s="25" t="s">
        <v>97</v>
      </c>
      <c r="S391" s="26"/>
      <c r="T391" s="26"/>
      <c r="U391" s="169">
        <v>899.86</v>
      </c>
      <c r="V391" s="127">
        <f t="shared" si="77"/>
        <v>0</v>
      </c>
      <c r="W391" s="127">
        <f t="shared" si="82"/>
        <v>218.5</v>
      </c>
      <c r="X391" s="127">
        <f t="shared" si="79"/>
        <v>0</v>
      </c>
      <c r="Y391" s="127">
        <f t="shared" si="80"/>
        <v>196619.41</v>
      </c>
      <c r="Z391" s="27"/>
      <c r="AA391" s="36"/>
      <c r="AB391" s="200">
        <v>218.5</v>
      </c>
      <c r="AC391" s="181">
        <f t="shared" si="81"/>
        <v>196619.41</v>
      </c>
      <c r="AD391" s="181">
        <v>2</v>
      </c>
      <c r="AE391" s="181">
        <v>2</v>
      </c>
      <c r="AF391" s="101"/>
      <c r="AG391" s="190">
        <f t="shared" si="83"/>
        <v>218.5</v>
      </c>
      <c r="AH391" s="69">
        <f t="shared" si="67"/>
        <v>218.5</v>
      </c>
    </row>
    <row r="392" spans="1:34" ht="39" x14ac:dyDescent="0.3">
      <c r="A392" s="207" t="s">
        <v>3078</v>
      </c>
      <c r="B392" s="208" t="s">
        <v>3079</v>
      </c>
      <c r="C392" s="204" t="s">
        <v>97</v>
      </c>
      <c r="D392" s="158"/>
      <c r="E392" s="158"/>
      <c r="F392" s="165"/>
      <c r="G392" s="159">
        <v>87.5</v>
      </c>
      <c r="H392" s="169">
        <v>1499.76</v>
      </c>
      <c r="I392" s="159">
        <v>131229</v>
      </c>
      <c r="J392" s="172"/>
      <c r="L392" s="46">
        <v>87.5</v>
      </c>
      <c r="M392" s="46">
        <v>0</v>
      </c>
      <c r="N392" s="46">
        <v>131229</v>
      </c>
      <c r="O392" s="98"/>
      <c r="P392" s="23" t="s">
        <v>1431</v>
      </c>
      <c r="Q392" s="24" t="s">
        <v>3079</v>
      </c>
      <c r="R392" s="25" t="s">
        <v>97</v>
      </c>
      <c r="S392" s="26"/>
      <c r="T392" s="26"/>
      <c r="U392" s="169">
        <v>1499.76</v>
      </c>
      <c r="V392" s="127">
        <f t="shared" si="77"/>
        <v>0</v>
      </c>
      <c r="W392" s="127">
        <f t="shared" si="82"/>
        <v>87.5</v>
      </c>
      <c r="X392" s="127">
        <f t="shared" si="79"/>
        <v>0</v>
      </c>
      <c r="Y392" s="127">
        <f t="shared" si="80"/>
        <v>131229</v>
      </c>
      <c r="Z392" s="27"/>
      <c r="AA392" s="36"/>
      <c r="AB392" s="200">
        <v>87.5</v>
      </c>
      <c r="AC392" s="181">
        <f t="shared" si="81"/>
        <v>131229</v>
      </c>
      <c r="AD392" s="181">
        <v>2</v>
      </c>
      <c r="AE392" s="181">
        <v>2</v>
      </c>
      <c r="AF392" s="101"/>
      <c r="AG392" s="190">
        <f t="shared" si="83"/>
        <v>87.5</v>
      </c>
      <c r="AH392" s="69">
        <f t="shared" si="67"/>
        <v>87.5</v>
      </c>
    </row>
    <row r="393" spans="1:34" x14ac:dyDescent="0.3">
      <c r="A393" s="207" t="s">
        <v>3080</v>
      </c>
      <c r="B393" s="208" t="s">
        <v>3081</v>
      </c>
      <c r="C393" s="204" t="s">
        <v>97</v>
      </c>
      <c r="D393" s="158"/>
      <c r="E393" s="158"/>
      <c r="F393" s="159"/>
      <c r="G393" s="159">
        <v>144.5</v>
      </c>
      <c r="H393" s="158">
        <v>1419.78</v>
      </c>
      <c r="I393" s="159">
        <v>205158.21</v>
      </c>
      <c r="J393" s="172"/>
      <c r="L393" s="46">
        <v>144.5</v>
      </c>
      <c r="M393" s="46">
        <v>0</v>
      </c>
      <c r="N393" s="46">
        <v>205158.21</v>
      </c>
      <c r="O393" s="98"/>
      <c r="P393" s="23" t="s">
        <v>1395</v>
      </c>
      <c r="Q393" s="24" t="s">
        <v>3081</v>
      </c>
      <c r="R393" s="25" t="s">
        <v>97</v>
      </c>
      <c r="S393" s="26"/>
      <c r="T393" s="26"/>
      <c r="U393" s="158">
        <v>1419.78</v>
      </c>
      <c r="V393" s="127">
        <f t="shared" si="77"/>
        <v>0</v>
      </c>
      <c r="W393" s="127">
        <f t="shared" si="82"/>
        <v>144.5</v>
      </c>
      <c r="X393" s="127">
        <f t="shared" si="79"/>
        <v>0</v>
      </c>
      <c r="Y393" s="127">
        <f t="shared" si="80"/>
        <v>205158.21</v>
      </c>
      <c r="Z393" s="27"/>
      <c r="AA393" s="36"/>
      <c r="AB393" s="200">
        <v>144.5</v>
      </c>
      <c r="AC393" s="181">
        <f t="shared" si="81"/>
        <v>205158.21</v>
      </c>
      <c r="AD393" s="181">
        <v>2</v>
      </c>
      <c r="AE393" s="181">
        <v>2</v>
      </c>
      <c r="AF393" s="101"/>
      <c r="AG393" s="190">
        <f t="shared" si="83"/>
        <v>144.5</v>
      </c>
      <c r="AH393" s="69">
        <f t="shared" si="67"/>
        <v>144.5</v>
      </c>
    </row>
    <row r="394" spans="1:34" x14ac:dyDescent="0.3">
      <c r="A394" s="207" t="s">
        <v>3082</v>
      </c>
      <c r="B394" s="208" t="s">
        <v>3083</v>
      </c>
      <c r="C394" s="204" t="s">
        <v>97</v>
      </c>
      <c r="D394" s="158"/>
      <c r="E394" s="158"/>
      <c r="F394" s="159"/>
      <c r="G394" s="159">
        <v>27</v>
      </c>
      <c r="H394" s="158">
        <v>2999.53</v>
      </c>
      <c r="I394" s="159">
        <v>80987.31</v>
      </c>
      <c r="J394" s="172"/>
      <c r="L394" s="46">
        <v>27</v>
      </c>
      <c r="M394" s="46">
        <v>0</v>
      </c>
      <c r="N394" s="46">
        <v>80987.31</v>
      </c>
      <c r="O394" s="98"/>
      <c r="P394" s="23" t="s">
        <v>1432</v>
      </c>
      <c r="Q394" s="24" t="s">
        <v>3083</v>
      </c>
      <c r="R394" s="25" t="s">
        <v>97</v>
      </c>
      <c r="S394" s="26"/>
      <c r="T394" s="26"/>
      <c r="U394" s="158">
        <v>2999.53</v>
      </c>
      <c r="V394" s="127">
        <f t="shared" si="77"/>
        <v>0</v>
      </c>
      <c r="W394" s="127">
        <f t="shared" si="82"/>
        <v>27</v>
      </c>
      <c r="X394" s="127">
        <f t="shared" si="79"/>
        <v>0</v>
      </c>
      <c r="Y394" s="127">
        <f t="shared" si="80"/>
        <v>80987.31</v>
      </c>
      <c r="Z394" s="27"/>
      <c r="AA394" s="36"/>
      <c r="AB394" s="200">
        <v>27</v>
      </c>
      <c r="AC394" s="181">
        <f t="shared" si="81"/>
        <v>80987.31</v>
      </c>
      <c r="AD394" s="181">
        <v>2</v>
      </c>
      <c r="AE394" s="181">
        <v>2</v>
      </c>
      <c r="AF394" s="101"/>
      <c r="AG394" s="190">
        <f t="shared" si="83"/>
        <v>27</v>
      </c>
      <c r="AH394" s="69">
        <f t="shared" si="67"/>
        <v>27</v>
      </c>
    </row>
    <row r="395" spans="1:34" x14ac:dyDescent="0.3">
      <c r="A395" s="207" t="s">
        <v>3084</v>
      </c>
      <c r="B395" s="208" t="s">
        <v>3085</v>
      </c>
      <c r="C395" s="204" t="s">
        <v>97</v>
      </c>
      <c r="D395" s="158"/>
      <c r="E395" s="158"/>
      <c r="F395" s="159"/>
      <c r="G395" s="159">
        <v>28</v>
      </c>
      <c r="H395" s="158">
        <v>1364.78</v>
      </c>
      <c r="I395" s="159">
        <v>38213.839999999997</v>
      </c>
      <c r="J395" s="172"/>
      <c r="L395" s="46">
        <v>28</v>
      </c>
      <c r="M395" s="46">
        <v>0</v>
      </c>
      <c r="N395" s="46">
        <v>38213.839999999997</v>
      </c>
      <c r="O395" s="98"/>
      <c r="P395" s="23" t="s">
        <v>1433</v>
      </c>
      <c r="Q395" s="24" t="s">
        <v>3085</v>
      </c>
      <c r="R395" s="25" t="s">
        <v>97</v>
      </c>
      <c r="S395" s="26"/>
      <c r="T395" s="26"/>
      <c r="U395" s="158">
        <v>1364.78</v>
      </c>
      <c r="V395" s="127">
        <f t="shared" si="77"/>
        <v>0</v>
      </c>
      <c r="W395" s="127">
        <f t="shared" si="82"/>
        <v>28</v>
      </c>
      <c r="X395" s="127">
        <f t="shared" si="79"/>
        <v>0</v>
      </c>
      <c r="Y395" s="127">
        <f t="shared" si="80"/>
        <v>38213.839999999997</v>
      </c>
      <c r="Z395" s="27"/>
      <c r="AA395" s="36"/>
      <c r="AB395" s="200">
        <v>28</v>
      </c>
      <c r="AC395" s="181">
        <f t="shared" si="81"/>
        <v>38213.839999999997</v>
      </c>
      <c r="AD395" s="181">
        <v>2</v>
      </c>
      <c r="AE395" s="181">
        <v>2</v>
      </c>
      <c r="AF395" s="101"/>
      <c r="AG395" s="190">
        <f t="shared" si="83"/>
        <v>28</v>
      </c>
      <c r="AH395" s="69">
        <f t="shared" ref="AH395:AH458" si="84">IF(G395=0,IF(F395=0,IF(E395=0,D395,E395),F395),G395)</f>
        <v>28</v>
      </c>
    </row>
    <row r="396" spans="1:34" x14ac:dyDescent="0.3">
      <c r="A396" s="207" t="s">
        <v>3086</v>
      </c>
      <c r="B396" s="208" t="s">
        <v>3087</v>
      </c>
      <c r="C396" s="204" t="s">
        <v>97</v>
      </c>
      <c r="D396" s="158"/>
      <c r="E396" s="158"/>
      <c r="F396" s="159"/>
      <c r="G396" s="159">
        <v>156</v>
      </c>
      <c r="H396" s="158">
        <v>771.88</v>
      </c>
      <c r="I396" s="159">
        <v>120413.28</v>
      </c>
      <c r="J396" s="172"/>
      <c r="L396" s="46">
        <v>156</v>
      </c>
      <c r="M396" s="46">
        <v>0</v>
      </c>
      <c r="N396" s="46">
        <v>120413.28</v>
      </c>
      <c r="O396" s="98"/>
      <c r="P396" s="23" t="s">
        <v>1382</v>
      </c>
      <c r="Q396" s="24" t="s">
        <v>3087</v>
      </c>
      <c r="R396" s="25" t="s">
        <v>97</v>
      </c>
      <c r="S396" s="26"/>
      <c r="T396" s="26"/>
      <c r="U396" s="158">
        <v>771.88</v>
      </c>
      <c r="V396" s="127">
        <f t="shared" si="77"/>
        <v>0</v>
      </c>
      <c r="W396" s="127">
        <f t="shared" si="82"/>
        <v>156</v>
      </c>
      <c r="X396" s="127">
        <f t="shared" si="79"/>
        <v>0</v>
      </c>
      <c r="Y396" s="127">
        <f t="shared" si="80"/>
        <v>120413.28</v>
      </c>
      <c r="Z396" s="27"/>
      <c r="AA396" s="36"/>
      <c r="AB396" s="200">
        <v>156</v>
      </c>
      <c r="AC396" s="181">
        <f t="shared" si="81"/>
        <v>120413.28</v>
      </c>
      <c r="AD396" s="181">
        <v>2</v>
      </c>
      <c r="AE396" s="181">
        <v>2</v>
      </c>
      <c r="AF396" s="101"/>
      <c r="AG396" s="190">
        <f t="shared" si="83"/>
        <v>156</v>
      </c>
      <c r="AH396" s="69">
        <f t="shared" si="84"/>
        <v>156</v>
      </c>
    </row>
    <row r="397" spans="1:34" ht="39" x14ac:dyDescent="0.3">
      <c r="A397" s="207" t="s">
        <v>3088</v>
      </c>
      <c r="B397" s="208" t="s">
        <v>3089</v>
      </c>
      <c r="C397" s="204" t="s">
        <v>97</v>
      </c>
      <c r="D397" s="158"/>
      <c r="E397" s="158"/>
      <c r="F397" s="159"/>
      <c r="G397" s="219">
        <v>1917</v>
      </c>
      <c r="H397" s="158">
        <v>400.94</v>
      </c>
      <c r="I397" s="159">
        <v>768601.98</v>
      </c>
      <c r="J397" s="172"/>
      <c r="L397" s="46">
        <v>1917</v>
      </c>
      <c r="M397" s="46">
        <v>0</v>
      </c>
      <c r="N397" s="46">
        <v>768601.98</v>
      </c>
      <c r="O397" s="98"/>
      <c r="P397" s="23" t="s">
        <v>1434</v>
      </c>
      <c r="Q397" s="24" t="s">
        <v>3089</v>
      </c>
      <c r="R397" s="25" t="s">
        <v>97</v>
      </c>
      <c r="S397" s="26"/>
      <c r="T397" s="26"/>
      <c r="U397" s="158">
        <v>400.94</v>
      </c>
      <c r="V397" s="127">
        <f t="shared" si="77"/>
        <v>0</v>
      </c>
      <c r="W397" s="127">
        <f t="shared" si="82"/>
        <v>1917</v>
      </c>
      <c r="X397" s="127">
        <f t="shared" si="79"/>
        <v>0</v>
      </c>
      <c r="Y397" s="127">
        <f t="shared" si="80"/>
        <v>768601.98</v>
      </c>
      <c r="Z397" s="27"/>
      <c r="AA397" s="36"/>
      <c r="AB397" s="200">
        <v>1917</v>
      </c>
      <c r="AC397" s="181">
        <f t="shared" si="81"/>
        <v>768601.98</v>
      </c>
      <c r="AD397" s="181">
        <v>2</v>
      </c>
      <c r="AE397" s="181">
        <v>2</v>
      </c>
      <c r="AF397" s="101"/>
      <c r="AG397" s="190">
        <f t="shared" si="83"/>
        <v>1917</v>
      </c>
      <c r="AH397" s="69">
        <f t="shared" si="84"/>
        <v>1917</v>
      </c>
    </row>
    <row r="398" spans="1:34" x14ac:dyDescent="0.3">
      <c r="A398" s="207" t="s">
        <v>3090</v>
      </c>
      <c r="B398" s="208" t="s">
        <v>3091</v>
      </c>
      <c r="C398" s="204" t="s">
        <v>97</v>
      </c>
      <c r="D398" s="158"/>
      <c r="E398" s="158"/>
      <c r="F398" s="159"/>
      <c r="G398" s="159">
        <v>380</v>
      </c>
      <c r="H398" s="158">
        <v>280.95999999999998</v>
      </c>
      <c r="I398" s="159">
        <v>106764.8</v>
      </c>
      <c r="J398" s="172"/>
      <c r="L398" s="46">
        <v>380</v>
      </c>
      <c r="M398" s="46">
        <v>0</v>
      </c>
      <c r="N398" s="46">
        <v>106764.8</v>
      </c>
      <c r="O398" s="98"/>
      <c r="P398" s="23" t="s">
        <v>1388</v>
      </c>
      <c r="Q398" s="24" t="s">
        <v>3091</v>
      </c>
      <c r="R398" s="25" t="s">
        <v>97</v>
      </c>
      <c r="S398" s="26"/>
      <c r="T398" s="26"/>
      <c r="U398" s="158">
        <v>280.95999999999998</v>
      </c>
      <c r="V398" s="127">
        <f t="shared" si="77"/>
        <v>0</v>
      </c>
      <c r="W398" s="127">
        <f t="shared" si="82"/>
        <v>380</v>
      </c>
      <c r="X398" s="127">
        <f t="shared" si="79"/>
        <v>0</v>
      </c>
      <c r="Y398" s="127">
        <f t="shared" si="80"/>
        <v>106764.8</v>
      </c>
      <c r="Z398" s="27"/>
      <c r="AA398" s="36"/>
      <c r="AB398" s="200">
        <v>380</v>
      </c>
      <c r="AC398" s="181">
        <f t="shared" si="81"/>
        <v>106764.8</v>
      </c>
      <c r="AD398" s="181">
        <v>2</v>
      </c>
      <c r="AE398" s="181">
        <v>2</v>
      </c>
      <c r="AF398" s="101"/>
      <c r="AG398" s="190">
        <f t="shared" si="83"/>
        <v>380</v>
      </c>
      <c r="AH398" s="69">
        <f t="shared" si="84"/>
        <v>380</v>
      </c>
    </row>
    <row r="399" spans="1:34" ht="39" x14ac:dyDescent="0.3">
      <c r="A399" s="207" t="s">
        <v>3092</v>
      </c>
      <c r="B399" s="208" t="s">
        <v>3093</v>
      </c>
      <c r="C399" s="204" t="s">
        <v>97</v>
      </c>
      <c r="D399" s="158"/>
      <c r="E399" s="158"/>
      <c r="F399" s="159"/>
      <c r="G399" s="159">
        <v>660.5</v>
      </c>
      <c r="H399" s="158">
        <v>800.87</v>
      </c>
      <c r="I399" s="159">
        <v>528974.64</v>
      </c>
      <c r="J399" s="172"/>
      <c r="L399" s="46">
        <v>660.5</v>
      </c>
      <c r="M399" s="46">
        <v>0</v>
      </c>
      <c r="N399" s="46">
        <v>528974.64</v>
      </c>
      <c r="O399" s="98"/>
      <c r="P399" s="23" t="s">
        <v>1389</v>
      </c>
      <c r="Q399" s="24" t="s">
        <v>3093</v>
      </c>
      <c r="R399" s="25" t="s">
        <v>97</v>
      </c>
      <c r="S399" s="26"/>
      <c r="T399" s="26"/>
      <c r="U399" s="158">
        <v>800.87</v>
      </c>
      <c r="V399" s="127">
        <f t="shared" si="77"/>
        <v>0</v>
      </c>
      <c r="W399" s="127">
        <f t="shared" si="82"/>
        <v>660.5</v>
      </c>
      <c r="X399" s="127">
        <f t="shared" si="79"/>
        <v>0</v>
      </c>
      <c r="Y399" s="127">
        <f t="shared" si="80"/>
        <v>528974.64</v>
      </c>
      <c r="Z399" s="27"/>
      <c r="AA399" s="36"/>
      <c r="AB399" s="200">
        <v>660.5</v>
      </c>
      <c r="AC399" s="181">
        <f t="shared" si="81"/>
        <v>528974.64</v>
      </c>
      <c r="AD399" s="181">
        <v>2</v>
      </c>
      <c r="AE399" s="181">
        <v>2</v>
      </c>
      <c r="AF399" s="101"/>
      <c r="AG399" s="190">
        <f t="shared" si="83"/>
        <v>660.5</v>
      </c>
      <c r="AH399" s="69">
        <f t="shared" si="84"/>
        <v>660.5</v>
      </c>
    </row>
    <row r="400" spans="1:34" x14ac:dyDescent="0.3">
      <c r="A400" s="207" t="s">
        <v>3094</v>
      </c>
      <c r="B400" s="208" t="s">
        <v>3095</v>
      </c>
      <c r="C400" s="204" t="s">
        <v>97</v>
      </c>
      <c r="D400" s="158"/>
      <c r="E400" s="158"/>
      <c r="F400" s="159"/>
      <c r="G400" s="159">
        <v>288.5</v>
      </c>
      <c r="H400" s="158">
        <v>561.91</v>
      </c>
      <c r="I400" s="159">
        <v>162111.04000000001</v>
      </c>
      <c r="J400" s="172"/>
      <c r="L400" s="46">
        <v>288.5</v>
      </c>
      <c r="M400" s="46">
        <v>0</v>
      </c>
      <c r="N400" s="46">
        <v>162111.04000000001</v>
      </c>
      <c r="O400" s="98"/>
      <c r="P400" s="23" t="s">
        <v>1390</v>
      </c>
      <c r="Q400" s="24" t="s">
        <v>3095</v>
      </c>
      <c r="R400" s="25" t="s">
        <v>97</v>
      </c>
      <c r="S400" s="26"/>
      <c r="T400" s="26"/>
      <c r="U400" s="158">
        <v>561.91</v>
      </c>
      <c r="V400" s="127">
        <f t="shared" si="77"/>
        <v>0</v>
      </c>
      <c r="W400" s="127">
        <f t="shared" si="82"/>
        <v>288.5</v>
      </c>
      <c r="X400" s="127">
        <f t="shared" si="79"/>
        <v>0</v>
      </c>
      <c r="Y400" s="127">
        <f t="shared" si="80"/>
        <v>162111.04000000001</v>
      </c>
      <c r="Z400" s="27"/>
      <c r="AA400" s="36"/>
      <c r="AB400" s="200">
        <v>288.5</v>
      </c>
      <c r="AC400" s="181">
        <f t="shared" si="81"/>
        <v>162111.04000000001</v>
      </c>
      <c r="AD400" s="181">
        <v>2</v>
      </c>
      <c r="AE400" s="181">
        <v>2</v>
      </c>
      <c r="AF400" s="101"/>
      <c r="AG400" s="190">
        <f t="shared" si="83"/>
        <v>288.5</v>
      </c>
      <c r="AH400" s="69">
        <f t="shared" si="84"/>
        <v>288.5</v>
      </c>
    </row>
    <row r="401" spans="1:37" ht="39" x14ac:dyDescent="0.3">
      <c r="A401" s="207" t="s">
        <v>3096</v>
      </c>
      <c r="B401" s="208" t="s">
        <v>3097</v>
      </c>
      <c r="C401" s="204" t="s">
        <v>97</v>
      </c>
      <c r="D401" s="158"/>
      <c r="E401" s="158"/>
      <c r="F401" s="159"/>
      <c r="G401" s="159">
        <v>438</v>
      </c>
      <c r="H401" s="158">
        <v>519.91999999999996</v>
      </c>
      <c r="I401" s="159">
        <v>227724.96</v>
      </c>
      <c r="J401" s="172"/>
      <c r="L401" s="46">
        <v>438</v>
      </c>
      <c r="M401" s="46">
        <v>0</v>
      </c>
      <c r="N401" s="46">
        <v>227724.96</v>
      </c>
      <c r="O401" s="98"/>
      <c r="P401" s="23" t="s">
        <v>1391</v>
      </c>
      <c r="Q401" s="24" t="s">
        <v>3097</v>
      </c>
      <c r="R401" s="25" t="s">
        <v>97</v>
      </c>
      <c r="S401" s="26"/>
      <c r="T401" s="26"/>
      <c r="U401" s="158">
        <v>519.91999999999996</v>
      </c>
      <c r="V401" s="127">
        <f t="shared" si="77"/>
        <v>0</v>
      </c>
      <c r="W401" s="127">
        <f t="shared" si="82"/>
        <v>438</v>
      </c>
      <c r="X401" s="127">
        <f t="shared" si="79"/>
        <v>0</v>
      </c>
      <c r="Y401" s="127">
        <f t="shared" si="80"/>
        <v>227724.96</v>
      </c>
      <c r="Z401" s="27"/>
      <c r="AA401" s="36"/>
      <c r="AB401" s="200">
        <v>438</v>
      </c>
      <c r="AC401" s="181">
        <f t="shared" si="81"/>
        <v>227724.96</v>
      </c>
      <c r="AD401" s="181">
        <v>2</v>
      </c>
      <c r="AE401" s="181">
        <v>2</v>
      </c>
      <c r="AF401" s="101"/>
      <c r="AG401" s="190">
        <f t="shared" si="83"/>
        <v>438</v>
      </c>
      <c r="AH401" s="69">
        <f t="shared" si="84"/>
        <v>438</v>
      </c>
    </row>
    <row r="402" spans="1:37" x14ac:dyDescent="0.3">
      <c r="A402" s="207" t="s">
        <v>3098</v>
      </c>
      <c r="B402" s="208" t="s">
        <v>3099</v>
      </c>
      <c r="C402" s="204" t="s">
        <v>97</v>
      </c>
      <c r="D402" s="158"/>
      <c r="E402" s="158"/>
      <c r="F402" s="159"/>
      <c r="G402" s="159">
        <v>54</v>
      </c>
      <c r="H402" s="158">
        <v>1579.75</v>
      </c>
      <c r="I402" s="159">
        <v>85306.5</v>
      </c>
      <c r="J402" s="172"/>
      <c r="L402" s="46">
        <v>54</v>
      </c>
      <c r="M402" s="46">
        <v>0</v>
      </c>
      <c r="N402" s="46">
        <v>85306.5</v>
      </c>
      <c r="O402" s="98"/>
      <c r="P402" s="23" t="s">
        <v>1436</v>
      </c>
      <c r="Q402" s="24" t="s">
        <v>3099</v>
      </c>
      <c r="R402" s="25" t="s">
        <v>97</v>
      </c>
      <c r="S402" s="26"/>
      <c r="T402" s="26"/>
      <c r="U402" s="158">
        <v>1579.75</v>
      </c>
      <c r="V402" s="127">
        <f t="shared" si="77"/>
        <v>0</v>
      </c>
      <c r="W402" s="127">
        <f t="shared" si="82"/>
        <v>54</v>
      </c>
      <c r="X402" s="127">
        <f t="shared" si="79"/>
        <v>0</v>
      </c>
      <c r="Y402" s="127">
        <f t="shared" si="80"/>
        <v>85306.5</v>
      </c>
      <c r="Z402" s="27"/>
      <c r="AA402" s="36"/>
      <c r="AB402" s="200">
        <v>54</v>
      </c>
      <c r="AC402" s="181">
        <f t="shared" si="81"/>
        <v>85306.5</v>
      </c>
      <c r="AD402" s="181">
        <v>2</v>
      </c>
      <c r="AE402" s="181">
        <v>2</v>
      </c>
      <c r="AF402" s="101"/>
      <c r="AG402" s="190">
        <f t="shared" si="83"/>
        <v>54</v>
      </c>
      <c r="AH402" s="69">
        <f t="shared" si="84"/>
        <v>54</v>
      </c>
    </row>
    <row r="403" spans="1:37" x14ac:dyDescent="0.3">
      <c r="A403" s="207" t="s">
        <v>3100</v>
      </c>
      <c r="B403" s="208" t="s">
        <v>3101</v>
      </c>
      <c r="C403" s="204" t="s">
        <v>97</v>
      </c>
      <c r="D403" s="158"/>
      <c r="E403" s="158"/>
      <c r="F403" s="159"/>
      <c r="G403" s="159">
        <v>519.5</v>
      </c>
      <c r="H403" s="158">
        <v>209.97</v>
      </c>
      <c r="I403" s="159">
        <v>109079.42</v>
      </c>
      <c r="J403" s="172"/>
      <c r="L403" s="46">
        <v>519.5</v>
      </c>
      <c r="M403" s="46">
        <v>0</v>
      </c>
      <c r="N403" s="46">
        <v>109079.42</v>
      </c>
      <c r="O403" s="98"/>
      <c r="P403" s="23" t="s">
        <v>1374</v>
      </c>
      <c r="Q403" s="24" t="s">
        <v>3101</v>
      </c>
      <c r="R403" s="25" t="s">
        <v>97</v>
      </c>
      <c r="S403" s="26"/>
      <c r="T403" s="26"/>
      <c r="U403" s="158">
        <v>209.97</v>
      </c>
      <c r="V403" s="127">
        <f t="shared" si="77"/>
        <v>0</v>
      </c>
      <c r="W403" s="127">
        <f t="shared" si="82"/>
        <v>519.5</v>
      </c>
      <c r="X403" s="127">
        <f t="shared" si="79"/>
        <v>0</v>
      </c>
      <c r="Y403" s="127">
        <f t="shared" si="80"/>
        <v>109079.42</v>
      </c>
      <c r="Z403" s="27"/>
      <c r="AA403" s="36"/>
      <c r="AB403" s="200">
        <v>519.5</v>
      </c>
      <c r="AC403" s="181">
        <f t="shared" si="81"/>
        <v>109079.42</v>
      </c>
      <c r="AD403" s="181">
        <v>2</v>
      </c>
      <c r="AE403" s="181">
        <v>2</v>
      </c>
      <c r="AF403" s="101"/>
      <c r="AG403" s="190">
        <f t="shared" si="83"/>
        <v>519.5</v>
      </c>
      <c r="AH403" s="69">
        <f t="shared" si="84"/>
        <v>519.5</v>
      </c>
    </row>
    <row r="404" spans="1:37" ht="58.5" x14ac:dyDescent="0.3">
      <c r="A404" s="207" t="s">
        <v>3102</v>
      </c>
      <c r="B404" s="208" t="s">
        <v>3103</v>
      </c>
      <c r="C404" s="204" t="s">
        <v>66</v>
      </c>
      <c r="D404" s="158"/>
      <c r="E404" s="158"/>
      <c r="F404" s="159"/>
      <c r="G404" s="159">
        <v>5</v>
      </c>
      <c r="H404" s="158">
        <v>10798.3</v>
      </c>
      <c r="I404" s="159">
        <v>53991.5</v>
      </c>
      <c r="J404" s="172"/>
      <c r="L404" s="46">
        <v>5</v>
      </c>
      <c r="M404" s="46">
        <v>0</v>
      </c>
      <c r="N404" s="46">
        <v>53991.5</v>
      </c>
      <c r="O404" s="98"/>
      <c r="P404" s="23" t="s">
        <v>1376</v>
      </c>
      <c r="Q404" s="24" t="s">
        <v>3103</v>
      </c>
      <c r="R404" s="25" t="s">
        <v>66</v>
      </c>
      <c r="S404" s="26"/>
      <c r="T404" s="26"/>
      <c r="U404" s="158">
        <v>10798.3</v>
      </c>
      <c r="V404" s="127">
        <f t="shared" si="77"/>
        <v>0</v>
      </c>
      <c r="W404" s="127">
        <f t="shared" si="82"/>
        <v>5</v>
      </c>
      <c r="X404" s="127">
        <f t="shared" si="79"/>
        <v>0</v>
      </c>
      <c r="Y404" s="127">
        <f t="shared" si="80"/>
        <v>53991.5</v>
      </c>
      <c r="Z404" s="27"/>
      <c r="AA404" s="36"/>
      <c r="AB404" s="200">
        <v>5</v>
      </c>
      <c r="AC404" s="181">
        <f t="shared" si="81"/>
        <v>53991.5</v>
      </c>
      <c r="AD404" s="181">
        <v>2</v>
      </c>
      <c r="AE404" s="181">
        <v>2</v>
      </c>
      <c r="AF404" s="101"/>
      <c r="AG404" s="190">
        <f t="shared" si="83"/>
        <v>5</v>
      </c>
      <c r="AH404" s="69">
        <f t="shared" si="84"/>
        <v>5</v>
      </c>
    </row>
    <row r="405" spans="1:37" ht="58.5" x14ac:dyDescent="0.3">
      <c r="A405" s="207" t="s">
        <v>3104</v>
      </c>
      <c r="B405" s="208" t="s">
        <v>3105</v>
      </c>
      <c r="C405" s="204" t="s">
        <v>66</v>
      </c>
      <c r="D405" s="158"/>
      <c r="E405" s="158"/>
      <c r="F405" s="159"/>
      <c r="G405" s="159">
        <v>6</v>
      </c>
      <c r="H405" s="158">
        <v>7248.86</v>
      </c>
      <c r="I405" s="159">
        <v>43493.16</v>
      </c>
      <c r="J405" s="172"/>
      <c r="L405" s="46">
        <v>6</v>
      </c>
      <c r="M405" s="46">
        <v>0</v>
      </c>
      <c r="N405" s="46">
        <v>43493.16</v>
      </c>
      <c r="O405" s="98"/>
      <c r="P405" s="23" t="s">
        <v>1378</v>
      </c>
      <c r="Q405" s="24" t="s">
        <v>3105</v>
      </c>
      <c r="R405" s="25" t="s">
        <v>66</v>
      </c>
      <c r="S405" s="26"/>
      <c r="T405" s="26"/>
      <c r="U405" s="158">
        <v>7248.86</v>
      </c>
      <c r="V405" s="127">
        <f t="shared" si="77"/>
        <v>0</v>
      </c>
      <c r="W405" s="127">
        <f t="shared" si="82"/>
        <v>6</v>
      </c>
      <c r="X405" s="127">
        <f t="shared" si="79"/>
        <v>0</v>
      </c>
      <c r="Y405" s="127">
        <f t="shared" si="80"/>
        <v>43493.16</v>
      </c>
      <c r="Z405" s="27"/>
      <c r="AA405" s="36"/>
      <c r="AB405" s="200">
        <v>6</v>
      </c>
      <c r="AC405" s="181">
        <f t="shared" si="81"/>
        <v>43493.16</v>
      </c>
      <c r="AD405" s="181">
        <v>2</v>
      </c>
      <c r="AE405" s="181">
        <v>2</v>
      </c>
      <c r="AF405" s="101"/>
      <c r="AG405" s="190">
        <f t="shared" si="83"/>
        <v>6</v>
      </c>
      <c r="AH405" s="69">
        <f t="shared" si="84"/>
        <v>6</v>
      </c>
    </row>
    <row r="406" spans="1:37" s="69" customFormat="1" ht="33" customHeight="1" x14ac:dyDescent="0.3">
      <c r="A406" s="150" t="s">
        <v>1039</v>
      </c>
      <c r="B406" s="151" t="s">
        <v>1040</v>
      </c>
      <c r="C406" s="152" t="s">
        <v>14</v>
      </c>
      <c r="D406" s="153">
        <v>1</v>
      </c>
      <c r="E406" s="153"/>
      <c r="F406" s="153"/>
      <c r="G406" s="153"/>
      <c r="H406" s="153"/>
      <c r="I406" s="153">
        <v>3727423.71</v>
      </c>
      <c r="J406" s="154" t="s">
        <v>15</v>
      </c>
      <c r="K406" s="73"/>
      <c r="L406" s="42">
        <v>1</v>
      </c>
      <c r="M406" s="42">
        <v>252900</v>
      </c>
      <c r="N406" s="42">
        <v>2038723.71</v>
      </c>
      <c r="O406" s="98"/>
      <c r="P406" s="13" t="s">
        <v>1407</v>
      </c>
      <c r="Q406" s="14" t="s">
        <v>1040</v>
      </c>
      <c r="R406" s="15" t="s">
        <v>14</v>
      </c>
      <c r="S406" s="16">
        <v>1</v>
      </c>
      <c r="T406" s="16"/>
      <c r="U406" s="16">
        <f>SUMIFS(AC:AC,AD:AD,AD406)</f>
        <v>3727423.7099999995</v>
      </c>
      <c r="V406" s="16">
        <f t="shared" ref="V406:W406" si="85">IF(X406=0,0,1)</f>
        <v>0</v>
      </c>
      <c r="W406" s="16">
        <f t="shared" si="85"/>
        <v>1</v>
      </c>
      <c r="X406" s="16">
        <f>SUMIFS(X:X,AE:AE,AD406)</f>
        <v>0</v>
      </c>
      <c r="Y406" s="16">
        <f>SUMIFS(Y:Y,AE:AE,AD406)</f>
        <v>2038723.71</v>
      </c>
      <c r="Z406" s="17" t="s">
        <v>15</v>
      </c>
      <c r="AA406" s="40" t="s">
        <v>16</v>
      </c>
      <c r="AB406" s="181">
        <f t="shared" si="65"/>
        <v>1</v>
      </c>
      <c r="AC406" s="183"/>
      <c r="AD406" s="183">
        <v>3</v>
      </c>
      <c r="AE406" s="183"/>
      <c r="AF406" s="101" t="str">
        <f t="shared" si="66"/>
        <v/>
      </c>
      <c r="AG406" s="190">
        <v>1</v>
      </c>
      <c r="AH406" s="69">
        <f t="shared" si="84"/>
        <v>1</v>
      </c>
    </row>
    <row r="407" spans="1:37" s="69" customFormat="1" ht="49.5" x14ac:dyDescent="0.3">
      <c r="A407" s="55" t="s">
        <v>1041</v>
      </c>
      <c r="B407" s="138" t="s">
        <v>1042</v>
      </c>
      <c r="C407" s="54" t="s">
        <v>162</v>
      </c>
      <c r="D407" s="75">
        <v>340</v>
      </c>
      <c r="E407" s="75"/>
      <c r="F407" s="75"/>
      <c r="G407" s="75"/>
      <c r="H407" s="75">
        <v>300</v>
      </c>
      <c r="I407" s="75">
        <v>102000</v>
      </c>
      <c r="J407" s="91" t="s">
        <v>1043</v>
      </c>
      <c r="K407" s="73"/>
      <c r="L407" s="46">
        <v>219</v>
      </c>
      <c r="M407" s="46">
        <v>65700</v>
      </c>
      <c r="N407" s="46">
        <v>65700</v>
      </c>
      <c r="O407" s="98"/>
      <c r="P407" s="23" t="s">
        <v>1421</v>
      </c>
      <c r="Q407" s="24" t="s">
        <v>1042</v>
      </c>
      <c r="R407" s="25" t="s">
        <v>162</v>
      </c>
      <c r="S407" s="26">
        <v>340</v>
      </c>
      <c r="T407" s="26"/>
      <c r="U407" s="26">
        <v>300</v>
      </c>
      <c r="V407" s="128">
        <f t="shared" ref="V407:V445" si="86">AG407-L407</f>
        <v>0</v>
      </c>
      <c r="W407" s="26">
        <f t="shared" si="78"/>
        <v>219</v>
      </c>
      <c r="X407" s="26">
        <f t="shared" ref="X407:X445" si="87">Y407-N407</f>
        <v>0</v>
      </c>
      <c r="Y407" s="26">
        <f t="shared" ref="Y407:Y445" si="88">ROUND(U407*W407,2)</f>
        <v>65700</v>
      </c>
      <c r="Z407" s="33" t="s">
        <v>15</v>
      </c>
      <c r="AA407" s="36" t="s">
        <v>16</v>
      </c>
      <c r="AB407" s="181">
        <f t="shared" si="65"/>
        <v>340</v>
      </c>
      <c r="AC407" s="181">
        <f t="shared" ref="AC407:AC445" si="89">ROUND(U407*AB407,2)</f>
        <v>102000</v>
      </c>
      <c r="AD407" s="181">
        <v>3</v>
      </c>
      <c r="AE407" s="181">
        <v>3</v>
      </c>
      <c r="AF407" s="101" t="str">
        <f t="shared" si="66"/>
        <v/>
      </c>
      <c r="AG407" s="190">
        <f>219</f>
        <v>219</v>
      </c>
      <c r="AH407" s="69">
        <f t="shared" si="84"/>
        <v>340</v>
      </c>
      <c r="AK407" s="69">
        <v>0</v>
      </c>
    </row>
    <row r="408" spans="1:37" s="69" customFormat="1" ht="49.5" x14ac:dyDescent="0.3">
      <c r="A408" s="55" t="s">
        <v>1044</v>
      </c>
      <c r="B408" s="138" t="s">
        <v>1045</v>
      </c>
      <c r="C408" s="54" t="s">
        <v>325</v>
      </c>
      <c r="D408" s="75">
        <v>68</v>
      </c>
      <c r="E408" s="75"/>
      <c r="F408" s="75"/>
      <c r="G408" s="75"/>
      <c r="H408" s="75">
        <v>3000</v>
      </c>
      <c r="I408" s="75">
        <v>204000</v>
      </c>
      <c r="J408" s="91" t="s">
        <v>1046</v>
      </c>
      <c r="K408" s="73"/>
      <c r="L408" s="46">
        <v>52</v>
      </c>
      <c r="M408" s="46">
        <v>156000</v>
      </c>
      <c r="N408" s="46">
        <v>156000</v>
      </c>
      <c r="O408" s="98"/>
      <c r="P408" s="23" t="s">
        <v>1426</v>
      </c>
      <c r="Q408" s="24" t="s">
        <v>1045</v>
      </c>
      <c r="R408" s="25" t="s">
        <v>325</v>
      </c>
      <c r="S408" s="26">
        <v>68</v>
      </c>
      <c r="T408" s="26"/>
      <c r="U408" s="26">
        <v>3000</v>
      </c>
      <c r="V408" s="128">
        <f t="shared" si="86"/>
        <v>0</v>
      </c>
      <c r="W408" s="26">
        <f t="shared" si="78"/>
        <v>52</v>
      </c>
      <c r="X408" s="26">
        <f t="shared" si="87"/>
        <v>0</v>
      </c>
      <c r="Y408" s="26">
        <f t="shared" si="88"/>
        <v>156000</v>
      </c>
      <c r="Z408" s="33" t="s">
        <v>15</v>
      </c>
      <c r="AA408" s="36" t="s">
        <v>16</v>
      </c>
      <c r="AB408" s="181">
        <f t="shared" si="65"/>
        <v>68</v>
      </c>
      <c r="AC408" s="181">
        <f t="shared" si="89"/>
        <v>204000</v>
      </c>
      <c r="AD408" s="181">
        <v>3</v>
      </c>
      <c r="AE408" s="181">
        <v>3</v>
      </c>
      <c r="AF408" s="101" t="str">
        <f t="shared" si="66"/>
        <v/>
      </c>
      <c r="AG408" s="190">
        <v>52</v>
      </c>
      <c r="AH408" s="69">
        <f t="shared" si="84"/>
        <v>68</v>
      </c>
      <c r="AK408" s="69">
        <v>0</v>
      </c>
    </row>
    <row r="409" spans="1:37" s="69" customFormat="1" ht="33" x14ac:dyDescent="0.3">
      <c r="A409" s="55" t="s">
        <v>1047</v>
      </c>
      <c r="B409" s="138" t="s">
        <v>1048</v>
      </c>
      <c r="C409" s="54" t="s">
        <v>325</v>
      </c>
      <c r="D409" s="75">
        <v>68</v>
      </c>
      <c r="E409" s="75"/>
      <c r="F409" s="75"/>
      <c r="G409" s="75"/>
      <c r="H409" s="75">
        <v>150</v>
      </c>
      <c r="I409" s="75">
        <v>10200</v>
      </c>
      <c r="J409" s="91" t="s">
        <v>1049</v>
      </c>
      <c r="K409" s="73"/>
      <c r="L409" s="46">
        <v>52</v>
      </c>
      <c r="M409" s="46">
        <v>7800</v>
      </c>
      <c r="N409" s="46">
        <v>7800</v>
      </c>
      <c r="O409" s="98"/>
      <c r="P409" s="23" t="s">
        <v>1402</v>
      </c>
      <c r="Q409" s="24" t="s">
        <v>1048</v>
      </c>
      <c r="R409" s="25" t="s">
        <v>325</v>
      </c>
      <c r="S409" s="26">
        <v>68</v>
      </c>
      <c r="T409" s="26"/>
      <c r="U409" s="26">
        <v>150</v>
      </c>
      <c r="V409" s="128">
        <f t="shared" si="86"/>
        <v>0</v>
      </c>
      <c r="W409" s="26">
        <f t="shared" si="78"/>
        <v>52</v>
      </c>
      <c r="X409" s="26">
        <f t="shared" si="87"/>
        <v>0</v>
      </c>
      <c r="Y409" s="26">
        <f t="shared" si="88"/>
        <v>7800</v>
      </c>
      <c r="Z409" s="33" t="s">
        <v>15</v>
      </c>
      <c r="AA409" s="36" t="s">
        <v>16</v>
      </c>
      <c r="AB409" s="181">
        <f t="shared" si="65"/>
        <v>68</v>
      </c>
      <c r="AC409" s="181">
        <f t="shared" si="89"/>
        <v>10200</v>
      </c>
      <c r="AD409" s="181">
        <v>3</v>
      </c>
      <c r="AE409" s="181">
        <v>3</v>
      </c>
      <c r="AF409" s="101" t="str">
        <f t="shared" si="66"/>
        <v/>
      </c>
      <c r="AG409" s="190">
        <v>52</v>
      </c>
      <c r="AH409" s="69">
        <f t="shared" si="84"/>
        <v>68</v>
      </c>
      <c r="AK409" s="69">
        <v>0</v>
      </c>
    </row>
    <row r="410" spans="1:37" s="69" customFormat="1" ht="49.5" x14ac:dyDescent="0.3">
      <c r="A410" s="55" t="s">
        <v>1050</v>
      </c>
      <c r="B410" s="138" t="s">
        <v>1051</v>
      </c>
      <c r="C410" s="54" t="s">
        <v>1052</v>
      </c>
      <c r="D410" s="75">
        <v>9</v>
      </c>
      <c r="E410" s="75"/>
      <c r="F410" s="75"/>
      <c r="G410" s="75"/>
      <c r="H410" s="75">
        <v>1200</v>
      </c>
      <c r="I410" s="75">
        <v>10800</v>
      </c>
      <c r="J410" s="91" t="s">
        <v>1053</v>
      </c>
      <c r="K410" s="73"/>
      <c r="L410" s="46">
        <v>0</v>
      </c>
      <c r="M410" s="46">
        <v>0</v>
      </c>
      <c r="N410" s="46">
        <v>0</v>
      </c>
      <c r="O410" s="98"/>
      <c r="P410" s="23" t="s">
        <v>1373</v>
      </c>
      <c r="Q410" s="24" t="s">
        <v>1051</v>
      </c>
      <c r="R410" s="25" t="s">
        <v>1052</v>
      </c>
      <c r="S410" s="26">
        <v>9</v>
      </c>
      <c r="T410" s="26"/>
      <c r="U410" s="26">
        <v>1200</v>
      </c>
      <c r="V410" s="26">
        <f t="shared" si="86"/>
        <v>0</v>
      </c>
      <c r="W410" s="26">
        <f t="shared" si="78"/>
        <v>0</v>
      </c>
      <c r="X410" s="26">
        <f t="shared" si="87"/>
        <v>0</v>
      </c>
      <c r="Y410" s="26">
        <f t="shared" si="88"/>
        <v>0</v>
      </c>
      <c r="Z410" s="33" t="s">
        <v>15</v>
      </c>
      <c r="AA410" s="36" t="s">
        <v>16</v>
      </c>
      <c r="AB410" s="181">
        <f t="shared" si="65"/>
        <v>9</v>
      </c>
      <c r="AC410" s="181">
        <f t="shared" si="89"/>
        <v>10800</v>
      </c>
      <c r="AD410" s="181">
        <v>3</v>
      </c>
      <c r="AE410" s="181">
        <v>3</v>
      </c>
      <c r="AF410" s="101" t="str">
        <f t="shared" si="66"/>
        <v/>
      </c>
      <c r="AG410" s="190">
        <v>0</v>
      </c>
      <c r="AH410" s="69">
        <f t="shared" si="84"/>
        <v>9</v>
      </c>
      <c r="AK410" s="69">
        <v>0</v>
      </c>
    </row>
    <row r="411" spans="1:37" s="69" customFormat="1" ht="49.5" x14ac:dyDescent="0.3">
      <c r="A411" s="55" t="s">
        <v>1054</v>
      </c>
      <c r="B411" s="138" t="s">
        <v>3114</v>
      </c>
      <c r="C411" s="54" t="s">
        <v>325</v>
      </c>
      <c r="D411" s="75">
        <v>38</v>
      </c>
      <c r="E411" s="75"/>
      <c r="F411" s="75"/>
      <c r="G411" s="75"/>
      <c r="H411" s="75">
        <v>650</v>
      </c>
      <c r="I411" s="75">
        <v>24700</v>
      </c>
      <c r="J411" s="91" t="s">
        <v>1056</v>
      </c>
      <c r="K411" s="73"/>
      <c r="L411" s="46">
        <v>12</v>
      </c>
      <c r="M411" s="46">
        <v>7800</v>
      </c>
      <c r="N411" s="46">
        <v>7800</v>
      </c>
      <c r="O411" s="98"/>
      <c r="P411" s="23" t="s">
        <v>1393</v>
      </c>
      <c r="Q411" s="24" t="s">
        <v>1055</v>
      </c>
      <c r="R411" s="25" t="s">
        <v>325</v>
      </c>
      <c r="S411" s="26">
        <v>38</v>
      </c>
      <c r="T411" s="26"/>
      <c r="U411" s="26">
        <v>650</v>
      </c>
      <c r="V411" s="128">
        <f t="shared" si="86"/>
        <v>0</v>
      </c>
      <c r="W411" s="26">
        <f t="shared" si="78"/>
        <v>12</v>
      </c>
      <c r="X411" s="26">
        <f t="shared" si="87"/>
        <v>0</v>
      </c>
      <c r="Y411" s="26">
        <f t="shared" si="88"/>
        <v>7800</v>
      </c>
      <c r="Z411" s="33" t="s">
        <v>15</v>
      </c>
      <c r="AA411" s="36" t="s">
        <v>16</v>
      </c>
      <c r="AB411" s="181">
        <f t="shared" si="65"/>
        <v>38</v>
      </c>
      <c r="AC411" s="181">
        <f t="shared" si="89"/>
        <v>24700</v>
      </c>
      <c r="AD411" s="181">
        <v>3</v>
      </c>
      <c r="AE411" s="181">
        <v>3</v>
      </c>
      <c r="AF411" s="101" t="str">
        <f t="shared" si="66"/>
        <v/>
      </c>
      <c r="AG411" s="190">
        <v>12</v>
      </c>
      <c r="AH411" s="69">
        <f t="shared" si="84"/>
        <v>38</v>
      </c>
      <c r="AK411" s="69">
        <v>0</v>
      </c>
    </row>
    <row r="412" spans="1:37" s="69" customFormat="1" ht="66" customHeight="1" x14ac:dyDescent="0.3">
      <c r="A412" s="55" t="s">
        <v>1057</v>
      </c>
      <c r="B412" s="138" t="s">
        <v>3115</v>
      </c>
      <c r="C412" s="54" t="s">
        <v>325</v>
      </c>
      <c r="D412" s="75">
        <v>38</v>
      </c>
      <c r="E412" s="75"/>
      <c r="F412" s="75"/>
      <c r="G412" s="75"/>
      <c r="H412" s="75">
        <v>1300</v>
      </c>
      <c r="I412" s="75">
        <v>49400</v>
      </c>
      <c r="J412" s="91" t="s">
        <v>1059</v>
      </c>
      <c r="K412" s="73"/>
      <c r="L412" s="46">
        <v>12</v>
      </c>
      <c r="M412" s="46">
        <v>15600</v>
      </c>
      <c r="N412" s="46">
        <v>15600</v>
      </c>
      <c r="O412" s="98"/>
      <c r="P412" s="23" t="s">
        <v>1403</v>
      </c>
      <c r="Q412" s="24" t="s">
        <v>1058</v>
      </c>
      <c r="R412" s="25" t="s">
        <v>325</v>
      </c>
      <c r="S412" s="26">
        <v>38</v>
      </c>
      <c r="T412" s="26"/>
      <c r="U412" s="26">
        <v>1300</v>
      </c>
      <c r="V412" s="128">
        <f t="shared" si="86"/>
        <v>0</v>
      </c>
      <c r="W412" s="26">
        <f t="shared" si="78"/>
        <v>12</v>
      </c>
      <c r="X412" s="26">
        <f t="shared" si="87"/>
        <v>0</v>
      </c>
      <c r="Y412" s="26">
        <f t="shared" si="88"/>
        <v>15600</v>
      </c>
      <c r="Z412" s="33" t="s">
        <v>15</v>
      </c>
      <c r="AA412" s="36" t="s">
        <v>16</v>
      </c>
      <c r="AB412" s="181">
        <f t="shared" ref="AB412:AB476" si="90">IF(T412="",S412,T412)</f>
        <v>38</v>
      </c>
      <c r="AC412" s="181">
        <f t="shared" si="89"/>
        <v>49400</v>
      </c>
      <c r="AD412" s="181">
        <v>3</v>
      </c>
      <c r="AE412" s="181">
        <v>3</v>
      </c>
      <c r="AF412" s="101" t="str">
        <f t="shared" ref="AF412:AF476" si="91">IF(W412&gt;AH412,"超估","")</f>
        <v/>
      </c>
      <c r="AG412" s="190">
        <v>12</v>
      </c>
      <c r="AH412" s="69">
        <f t="shared" si="84"/>
        <v>38</v>
      </c>
      <c r="AK412" s="69">
        <v>0</v>
      </c>
    </row>
    <row r="413" spans="1:37" s="69" customFormat="1" ht="66" customHeight="1" x14ac:dyDescent="0.3">
      <c r="A413" s="55" t="s">
        <v>1060</v>
      </c>
      <c r="B413" s="138" t="s">
        <v>3116</v>
      </c>
      <c r="C413" s="54" t="s">
        <v>325</v>
      </c>
      <c r="D413" s="75">
        <v>7</v>
      </c>
      <c r="E413" s="75"/>
      <c r="F413" s="75"/>
      <c r="G413" s="75"/>
      <c r="H413" s="75">
        <v>3500</v>
      </c>
      <c r="I413" s="75">
        <v>24500</v>
      </c>
      <c r="J413" s="91" t="s">
        <v>1062</v>
      </c>
      <c r="K413" s="73"/>
      <c r="L413" s="46">
        <v>0</v>
      </c>
      <c r="M413" s="46">
        <v>0</v>
      </c>
      <c r="N413" s="46">
        <v>0</v>
      </c>
      <c r="O413" s="98"/>
      <c r="P413" s="23" t="s">
        <v>1427</v>
      </c>
      <c r="Q413" s="24" t="s">
        <v>1061</v>
      </c>
      <c r="R413" s="25" t="s">
        <v>325</v>
      </c>
      <c r="S413" s="26">
        <v>7</v>
      </c>
      <c r="T413" s="26"/>
      <c r="U413" s="26">
        <v>3500</v>
      </c>
      <c r="V413" s="26">
        <f t="shared" si="86"/>
        <v>0</v>
      </c>
      <c r="W413" s="26">
        <f t="shared" si="78"/>
        <v>0</v>
      </c>
      <c r="X413" s="26">
        <f t="shared" si="87"/>
        <v>0</v>
      </c>
      <c r="Y413" s="26">
        <f t="shared" si="88"/>
        <v>0</v>
      </c>
      <c r="Z413" s="33" t="s">
        <v>15</v>
      </c>
      <c r="AA413" s="36" t="s">
        <v>16</v>
      </c>
      <c r="AB413" s="181">
        <f t="shared" si="90"/>
        <v>7</v>
      </c>
      <c r="AC413" s="181">
        <f t="shared" si="89"/>
        <v>24500</v>
      </c>
      <c r="AD413" s="181">
        <v>3</v>
      </c>
      <c r="AE413" s="181">
        <v>3</v>
      </c>
      <c r="AF413" s="101" t="str">
        <f t="shared" si="91"/>
        <v/>
      </c>
      <c r="AG413" s="190">
        <v>0</v>
      </c>
      <c r="AH413" s="69">
        <f t="shared" si="84"/>
        <v>7</v>
      </c>
      <c r="AK413" s="69">
        <v>0</v>
      </c>
    </row>
    <row r="414" spans="1:37" s="69" customFormat="1" ht="66" customHeight="1" x14ac:dyDescent="0.3">
      <c r="A414" s="55" t="s">
        <v>1063</v>
      </c>
      <c r="B414" s="138" t="s">
        <v>1064</v>
      </c>
      <c r="C414" s="54" t="s">
        <v>325</v>
      </c>
      <c r="D414" s="75">
        <v>5</v>
      </c>
      <c r="E414" s="75"/>
      <c r="F414" s="75"/>
      <c r="G414" s="75"/>
      <c r="H414" s="75">
        <v>700</v>
      </c>
      <c r="I414" s="75">
        <v>3500</v>
      </c>
      <c r="J414" s="91" t="s">
        <v>1065</v>
      </c>
      <c r="K414" s="73"/>
      <c r="L414" s="46">
        <v>0</v>
      </c>
      <c r="M414" s="46">
        <v>0</v>
      </c>
      <c r="N414" s="46">
        <v>0</v>
      </c>
      <c r="O414" s="98"/>
      <c r="P414" s="23" t="s">
        <v>1428</v>
      </c>
      <c r="Q414" s="24" t="s">
        <v>1064</v>
      </c>
      <c r="R414" s="25" t="s">
        <v>325</v>
      </c>
      <c r="S414" s="26">
        <v>5</v>
      </c>
      <c r="T414" s="26"/>
      <c r="U414" s="26">
        <v>700</v>
      </c>
      <c r="V414" s="26">
        <f t="shared" si="86"/>
        <v>0</v>
      </c>
      <c r="W414" s="26">
        <f t="shared" si="78"/>
        <v>0</v>
      </c>
      <c r="X414" s="26">
        <f t="shared" si="87"/>
        <v>0</v>
      </c>
      <c r="Y414" s="26">
        <f t="shared" si="88"/>
        <v>0</v>
      </c>
      <c r="Z414" s="33" t="s">
        <v>15</v>
      </c>
      <c r="AA414" s="36" t="s">
        <v>16</v>
      </c>
      <c r="AB414" s="181">
        <f t="shared" si="90"/>
        <v>5</v>
      </c>
      <c r="AC414" s="181">
        <f t="shared" si="89"/>
        <v>3500</v>
      </c>
      <c r="AD414" s="181">
        <v>3</v>
      </c>
      <c r="AE414" s="181">
        <v>3</v>
      </c>
      <c r="AF414" s="101" t="str">
        <f t="shared" si="91"/>
        <v/>
      </c>
      <c r="AG414" s="190">
        <v>0</v>
      </c>
      <c r="AH414" s="69">
        <f t="shared" si="84"/>
        <v>5</v>
      </c>
      <c r="AK414" s="69">
        <v>0</v>
      </c>
    </row>
    <row r="415" spans="1:37" s="69" customFormat="1" ht="49.5" customHeight="1" x14ac:dyDescent="0.3">
      <c r="A415" s="55" t="s">
        <v>1066</v>
      </c>
      <c r="B415" s="138" t="s">
        <v>1067</v>
      </c>
      <c r="C415" s="54" t="s">
        <v>66</v>
      </c>
      <c r="D415" s="75">
        <v>1</v>
      </c>
      <c r="E415" s="75"/>
      <c r="F415" s="75"/>
      <c r="G415" s="75"/>
      <c r="H415" s="75">
        <v>15000</v>
      </c>
      <c r="I415" s="75">
        <v>15000</v>
      </c>
      <c r="J415" s="91" t="s">
        <v>1068</v>
      </c>
      <c r="K415" s="73"/>
      <c r="L415" s="46">
        <v>0</v>
      </c>
      <c r="M415" s="46">
        <v>0</v>
      </c>
      <c r="N415" s="46">
        <v>0</v>
      </c>
      <c r="O415" s="98"/>
      <c r="P415" s="23" t="s">
        <v>1387</v>
      </c>
      <c r="Q415" s="24" t="s">
        <v>1067</v>
      </c>
      <c r="R415" s="25" t="s">
        <v>66</v>
      </c>
      <c r="S415" s="26">
        <v>1</v>
      </c>
      <c r="T415" s="26"/>
      <c r="U415" s="26">
        <v>15000</v>
      </c>
      <c r="V415" s="26">
        <f t="shared" si="86"/>
        <v>0</v>
      </c>
      <c r="W415" s="26">
        <f t="shared" si="78"/>
        <v>0</v>
      </c>
      <c r="X415" s="26">
        <f t="shared" si="87"/>
        <v>0</v>
      </c>
      <c r="Y415" s="26">
        <f t="shared" si="88"/>
        <v>0</v>
      </c>
      <c r="Z415" s="33" t="s">
        <v>15</v>
      </c>
      <c r="AA415" s="36" t="s">
        <v>16</v>
      </c>
      <c r="AB415" s="181">
        <f t="shared" si="90"/>
        <v>1</v>
      </c>
      <c r="AC415" s="181">
        <f t="shared" si="89"/>
        <v>15000</v>
      </c>
      <c r="AD415" s="181">
        <v>3</v>
      </c>
      <c r="AE415" s="181">
        <v>3</v>
      </c>
      <c r="AF415" s="101" t="str">
        <f t="shared" si="91"/>
        <v/>
      </c>
      <c r="AG415" s="190">
        <v>0</v>
      </c>
      <c r="AH415" s="69">
        <f t="shared" si="84"/>
        <v>1</v>
      </c>
      <c r="AK415" s="69">
        <v>0</v>
      </c>
    </row>
    <row r="416" spans="1:37" s="69" customFormat="1" ht="49.5" customHeight="1" x14ac:dyDescent="0.3">
      <c r="A416" s="55" t="s">
        <v>1069</v>
      </c>
      <c r="B416" s="138" t="s">
        <v>1070</v>
      </c>
      <c r="C416" s="54" t="s">
        <v>325</v>
      </c>
      <c r="D416" s="75">
        <v>1</v>
      </c>
      <c r="E416" s="75"/>
      <c r="F416" s="75"/>
      <c r="G416" s="75"/>
      <c r="H416" s="75">
        <v>6000</v>
      </c>
      <c r="I416" s="75">
        <v>6000</v>
      </c>
      <c r="J416" s="91" t="s">
        <v>1071</v>
      </c>
      <c r="K416" s="73"/>
      <c r="L416" s="46">
        <v>0</v>
      </c>
      <c r="M416" s="46">
        <v>0</v>
      </c>
      <c r="N416" s="46">
        <v>0</v>
      </c>
      <c r="O416" s="98"/>
      <c r="P416" s="23" t="s">
        <v>1405</v>
      </c>
      <c r="Q416" s="24" t="s">
        <v>1070</v>
      </c>
      <c r="R416" s="25" t="s">
        <v>325</v>
      </c>
      <c r="S416" s="26">
        <v>1</v>
      </c>
      <c r="T416" s="26"/>
      <c r="U416" s="26">
        <v>6000</v>
      </c>
      <c r="V416" s="26">
        <f t="shared" si="86"/>
        <v>0</v>
      </c>
      <c r="W416" s="26">
        <f t="shared" si="78"/>
        <v>0</v>
      </c>
      <c r="X416" s="26">
        <f t="shared" si="87"/>
        <v>0</v>
      </c>
      <c r="Y416" s="26">
        <f t="shared" si="88"/>
        <v>0</v>
      </c>
      <c r="Z416" s="33" t="s">
        <v>15</v>
      </c>
      <c r="AA416" s="36" t="s">
        <v>16</v>
      </c>
      <c r="AB416" s="181">
        <f t="shared" si="90"/>
        <v>1</v>
      </c>
      <c r="AC416" s="181">
        <f t="shared" si="89"/>
        <v>6000</v>
      </c>
      <c r="AD416" s="181">
        <v>3</v>
      </c>
      <c r="AE416" s="181">
        <v>3</v>
      </c>
      <c r="AF416" s="101" t="str">
        <f t="shared" si="91"/>
        <v/>
      </c>
      <c r="AG416" s="190">
        <v>0</v>
      </c>
      <c r="AH416" s="69">
        <f t="shared" si="84"/>
        <v>1</v>
      </c>
      <c r="AK416" s="69">
        <v>0</v>
      </c>
    </row>
    <row r="417" spans="1:37" s="69" customFormat="1" ht="92.25" customHeight="1" x14ac:dyDescent="0.3">
      <c r="A417" s="55" t="s">
        <v>1072</v>
      </c>
      <c r="B417" s="138" t="s">
        <v>3117</v>
      </c>
      <c r="C417" s="54" t="s">
        <v>325</v>
      </c>
      <c r="D417" s="75">
        <v>1</v>
      </c>
      <c r="E417" s="75"/>
      <c r="F417" s="75"/>
      <c r="G417" s="75"/>
      <c r="H417" s="75">
        <v>49500</v>
      </c>
      <c r="I417" s="75">
        <v>49500</v>
      </c>
      <c r="J417" s="91" t="s">
        <v>1074</v>
      </c>
      <c r="K417" s="73"/>
      <c r="L417" s="46">
        <v>0</v>
      </c>
      <c r="M417" s="46">
        <v>0</v>
      </c>
      <c r="N417" s="46">
        <v>0</v>
      </c>
      <c r="O417" s="98"/>
      <c r="P417" s="23" t="s">
        <v>1406</v>
      </c>
      <c r="Q417" s="24" t="s">
        <v>1073</v>
      </c>
      <c r="R417" s="25" t="s">
        <v>325</v>
      </c>
      <c r="S417" s="26">
        <v>1</v>
      </c>
      <c r="T417" s="26"/>
      <c r="U417" s="26">
        <v>49500</v>
      </c>
      <c r="V417" s="26">
        <f t="shared" si="86"/>
        <v>0</v>
      </c>
      <c r="W417" s="26">
        <f t="shared" si="78"/>
        <v>0</v>
      </c>
      <c r="X417" s="26">
        <f t="shared" si="87"/>
        <v>0</v>
      </c>
      <c r="Y417" s="26">
        <f t="shared" si="88"/>
        <v>0</v>
      </c>
      <c r="Z417" s="33" t="s">
        <v>15</v>
      </c>
      <c r="AA417" s="36" t="s">
        <v>16</v>
      </c>
      <c r="AB417" s="181">
        <f t="shared" si="90"/>
        <v>1</v>
      </c>
      <c r="AC417" s="181">
        <f t="shared" si="89"/>
        <v>49500</v>
      </c>
      <c r="AD417" s="181">
        <v>3</v>
      </c>
      <c r="AE417" s="181">
        <v>3</v>
      </c>
      <c r="AF417" s="101" t="str">
        <f t="shared" si="91"/>
        <v/>
      </c>
      <c r="AG417" s="190">
        <v>0</v>
      </c>
      <c r="AH417" s="69">
        <f t="shared" si="84"/>
        <v>1</v>
      </c>
      <c r="AK417" s="69">
        <v>0</v>
      </c>
    </row>
    <row r="418" spans="1:37" s="69" customFormat="1" ht="66" customHeight="1" x14ac:dyDescent="0.3">
      <c r="A418" s="55" t="s">
        <v>1075</v>
      </c>
      <c r="B418" s="138" t="s">
        <v>3118</v>
      </c>
      <c r="C418" s="54" t="s">
        <v>325</v>
      </c>
      <c r="D418" s="75">
        <v>8</v>
      </c>
      <c r="E418" s="75"/>
      <c r="F418" s="75"/>
      <c r="G418" s="75"/>
      <c r="H418" s="75">
        <v>3000</v>
      </c>
      <c r="I418" s="75">
        <v>24000</v>
      </c>
      <c r="J418" s="91" t="s">
        <v>1077</v>
      </c>
      <c r="K418" s="73"/>
      <c r="L418" s="46">
        <v>0</v>
      </c>
      <c r="M418" s="46">
        <v>0</v>
      </c>
      <c r="N418" s="46">
        <v>0</v>
      </c>
      <c r="O418" s="98"/>
      <c r="P418" s="23" t="s">
        <v>1414</v>
      </c>
      <c r="Q418" s="24" t="s">
        <v>1076</v>
      </c>
      <c r="R418" s="25" t="s">
        <v>325</v>
      </c>
      <c r="S418" s="26">
        <v>8</v>
      </c>
      <c r="T418" s="26"/>
      <c r="U418" s="26">
        <v>3000</v>
      </c>
      <c r="V418" s="26">
        <f t="shared" si="86"/>
        <v>0</v>
      </c>
      <c r="W418" s="26">
        <f t="shared" si="78"/>
        <v>0</v>
      </c>
      <c r="X418" s="26">
        <f t="shared" si="87"/>
        <v>0</v>
      </c>
      <c r="Y418" s="26">
        <f t="shared" si="88"/>
        <v>0</v>
      </c>
      <c r="Z418" s="33" t="s">
        <v>15</v>
      </c>
      <c r="AA418" s="36" t="s">
        <v>16</v>
      </c>
      <c r="AB418" s="181">
        <f t="shared" si="90"/>
        <v>8</v>
      </c>
      <c r="AC418" s="181">
        <f t="shared" si="89"/>
        <v>24000</v>
      </c>
      <c r="AD418" s="181">
        <v>3</v>
      </c>
      <c r="AE418" s="181">
        <v>3</v>
      </c>
      <c r="AF418" s="101" t="str">
        <f t="shared" si="91"/>
        <v/>
      </c>
      <c r="AG418" s="190">
        <v>0</v>
      </c>
      <c r="AH418" s="69">
        <f t="shared" si="84"/>
        <v>8</v>
      </c>
      <c r="AK418" s="69">
        <v>0</v>
      </c>
    </row>
    <row r="419" spans="1:37" s="69" customFormat="1" ht="33" customHeight="1" x14ac:dyDescent="0.3">
      <c r="A419" s="55" t="s">
        <v>1078</v>
      </c>
      <c r="B419" s="138" t="s">
        <v>1079</v>
      </c>
      <c r="C419" s="54" t="s">
        <v>66</v>
      </c>
      <c r="D419" s="75">
        <v>75</v>
      </c>
      <c r="E419" s="75"/>
      <c r="F419" s="75"/>
      <c r="G419" s="75"/>
      <c r="H419" s="75">
        <v>12000</v>
      </c>
      <c r="I419" s="75">
        <v>900000</v>
      </c>
      <c r="J419" s="91" t="s">
        <v>1080</v>
      </c>
      <c r="K419" s="73"/>
      <c r="L419" s="46">
        <v>50</v>
      </c>
      <c r="M419" s="46">
        <v>0</v>
      </c>
      <c r="N419" s="46">
        <v>600000</v>
      </c>
      <c r="O419" s="98"/>
      <c r="P419" s="23" t="s">
        <v>1429</v>
      </c>
      <c r="Q419" s="24" t="s">
        <v>1079</v>
      </c>
      <c r="R419" s="25" t="s">
        <v>66</v>
      </c>
      <c r="S419" s="26">
        <v>75</v>
      </c>
      <c r="T419" s="26"/>
      <c r="U419" s="26">
        <v>12000</v>
      </c>
      <c r="V419" s="128">
        <f t="shared" si="86"/>
        <v>0</v>
      </c>
      <c r="W419" s="26">
        <f t="shared" si="78"/>
        <v>50</v>
      </c>
      <c r="X419" s="26">
        <f t="shared" si="87"/>
        <v>0</v>
      </c>
      <c r="Y419" s="26">
        <f t="shared" si="88"/>
        <v>600000</v>
      </c>
      <c r="Z419" s="33" t="s">
        <v>15</v>
      </c>
      <c r="AA419" s="36" t="s">
        <v>16</v>
      </c>
      <c r="AB419" s="181">
        <f t="shared" si="90"/>
        <v>75</v>
      </c>
      <c r="AC419" s="181">
        <f t="shared" si="89"/>
        <v>900000</v>
      </c>
      <c r="AD419" s="181">
        <v>3</v>
      </c>
      <c r="AE419" s="181">
        <v>3</v>
      </c>
      <c r="AF419" s="101" t="str">
        <f t="shared" si="91"/>
        <v/>
      </c>
      <c r="AG419" s="191">
        <f>32+18</f>
        <v>50</v>
      </c>
      <c r="AH419" s="69">
        <f t="shared" si="84"/>
        <v>75</v>
      </c>
      <c r="AK419" s="69">
        <v>0</v>
      </c>
    </row>
    <row r="420" spans="1:37" s="69" customFormat="1" ht="33" customHeight="1" x14ac:dyDescent="0.3">
      <c r="A420" s="55" t="s">
        <v>1081</v>
      </c>
      <c r="B420" s="138" t="s">
        <v>1082</v>
      </c>
      <c r="C420" s="54" t="s">
        <v>1014</v>
      </c>
      <c r="D420" s="75">
        <v>75</v>
      </c>
      <c r="E420" s="75"/>
      <c r="F420" s="75"/>
      <c r="G420" s="75"/>
      <c r="H420" s="75">
        <v>1500</v>
      </c>
      <c r="I420" s="75">
        <v>112500</v>
      </c>
      <c r="J420" s="91" t="s">
        <v>1083</v>
      </c>
      <c r="K420" s="73"/>
      <c r="L420" s="46">
        <v>0</v>
      </c>
      <c r="M420" s="46">
        <v>0</v>
      </c>
      <c r="N420" s="46">
        <v>0</v>
      </c>
      <c r="O420" s="98"/>
      <c r="P420" s="23" t="s">
        <v>1430</v>
      </c>
      <c r="Q420" s="24" t="s">
        <v>1082</v>
      </c>
      <c r="R420" s="25" t="s">
        <v>1014</v>
      </c>
      <c r="S420" s="26">
        <v>75</v>
      </c>
      <c r="T420" s="26"/>
      <c r="U420" s="26">
        <v>1500</v>
      </c>
      <c r="V420" s="26">
        <f t="shared" si="86"/>
        <v>0</v>
      </c>
      <c r="W420" s="26">
        <f t="shared" si="78"/>
        <v>0</v>
      </c>
      <c r="X420" s="26">
        <f t="shared" si="87"/>
        <v>0</v>
      </c>
      <c r="Y420" s="26">
        <f t="shared" si="88"/>
        <v>0</v>
      </c>
      <c r="Z420" s="33" t="s">
        <v>15</v>
      </c>
      <c r="AA420" s="36" t="s">
        <v>16</v>
      </c>
      <c r="AB420" s="181">
        <f t="shared" si="90"/>
        <v>75</v>
      </c>
      <c r="AC420" s="181">
        <f t="shared" si="89"/>
        <v>112500</v>
      </c>
      <c r="AD420" s="181">
        <v>3</v>
      </c>
      <c r="AE420" s="181">
        <v>3</v>
      </c>
      <c r="AF420" s="101" t="str">
        <f t="shared" si="91"/>
        <v/>
      </c>
      <c r="AG420" s="190">
        <v>0</v>
      </c>
      <c r="AH420" s="69">
        <f t="shared" si="84"/>
        <v>75</v>
      </c>
      <c r="AK420" s="69">
        <v>0</v>
      </c>
    </row>
    <row r="421" spans="1:37" s="69" customFormat="1" ht="66" customHeight="1" x14ac:dyDescent="0.3">
      <c r="A421" s="55" t="s">
        <v>1084</v>
      </c>
      <c r="B421" s="138" t="s">
        <v>1085</v>
      </c>
      <c r="C421" s="54" t="s">
        <v>325</v>
      </c>
      <c r="D421" s="75">
        <v>1</v>
      </c>
      <c r="E421" s="75"/>
      <c r="F421" s="75"/>
      <c r="G421" s="75"/>
      <c r="H421" s="75">
        <v>12000</v>
      </c>
      <c r="I421" s="75">
        <v>12000</v>
      </c>
      <c r="J421" s="91" t="s">
        <v>1086</v>
      </c>
      <c r="K421" s="73"/>
      <c r="L421" s="46">
        <v>0</v>
      </c>
      <c r="M421" s="46">
        <v>0</v>
      </c>
      <c r="N421" s="46">
        <v>0</v>
      </c>
      <c r="O421" s="98"/>
      <c r="P421" s="23" t="s">
        <v>1431</v>
      </c>
      <c r="Q421" s="24" t="s">
        <v>1085</v>
      </c>
      <c r="R421" s="25" t="s">
        <v>325</v>
      </c>
      <c r="S421" s="26">
        <v>1</v>
      </c>
      <c r="T421" s="26"/>
      <c r="U421" s="26">
        <v>12000</v>
      </c>
      <c r="V421" s="26">
        <f t="shared" si="86"/>
        <v>0</v>
      </c>
      <c r="W421" s="26">
        <f t="shared" si="78"/>
        <v>0</v>
      </c>
      <c r="X421" s="26">
        <f t="shared" si="87"/>
        <v>0</v>
      </c>
      <c r="Y421" s="26">
        <f t="shared" si="88"/>
        <v>0</v>
      </c>
      <c r="Z421" s="33" t="s">
        <v>15</v>
      </c>
      <c r="AA421" s="36" t="s">
        <v>16</v>
      </c>
      <c r="AB421" s="181">
        <f t="shared" si="90"/>
        <v>1</v>
      </c>
      <c r="AC421" s="181">
        <f t="shared" si="89"/>
        <v>12000</v>
      </c>
      <c r="AD421" s="181">
        <v>3</v>
      </c>
      <c r="AE421" s="181">
        <v>3</v>
      </c>
      <c r="AF421" s="101" t="str">
        <f t="shared" si="91"/>
        <v/>
      </c>
      <c r="AG421" s="190">
        <v>0</v>
      </c>
      <c r="AH421" s="69">
        <f t="shared" si="84"/>
        <v>1</v>
      </c>
      <c r="AK421" s="69">
        <v>0</v>
      </c>
    </row>
    <row r="422" spans="1:37" s="69" customFormat="1" ht="49.5" customHeight="1" x14ac:dyDescent="0.3">
      <c r="A422" s="55" t="s">
        <v>1087</v>
      </c>
      <c r="B422" s="138" t="s">
        <v>1088</v>
      </c>
      <c r="C422" s="54" t="s">
        <v>325</v>
      </c>
      <c r="D422" s="75">
        <v>1</v>
      </c>
      <c r="E422" s="75"/>
      <c r="F422" s="75"/>
      <c r="G422" s="75"/>
      <c r="H422" s="75">
        <v>2000</v>
      </c>
      <c r="I422" s="75">
        <v>2000</v>
      </c>
      <c r="J422" s="91" t="s">
        <v>1089</v>
      </c>
      <c r="K422" s="73"/>
      <c r="L422" s="46">
        <v>0</v>
      </c>
      <c r="M422" s="46">
        <v>0</v>
      </c>
      <c r="N422" s="46">
        <v>0</v>
      </c>
      <c r="O422" s="98"/>
      <c r="P422" s="23" t="s">
        <v>1395</v>
      </c>
      <c r="Q422" s="24" t="s">
        <v>1088</v>
      </c>
      <c r="R422" s="25" t="s">
        <v>325</v>
      </c>
      <c r="S422" s="26">
        <v>1</v>
      </c>
      <c r="T422" s="26"/>
      <c r="U422" s="26">
        <v>2000</v>
      </c>
      <c r="V422" s="26">
        <f t="shared" si="86"/>
        <v>0</v>
      </c>
      <c r="W422" s="26">
        <f t="shared" si="78"/>
        <v>0</v>
      </c>
      <c r="X422" s="26">
        <f t="shared" si="87"/>
        <v>0</v>
      </c>
      <c r="Y422" s="26">
        <f t="shared" si="88"/>
        <v>0</v>
      </c>
      <c r="Z422" s="33" t="s">
        <v>15</v>
      </c>
      <c r="AA422" s="36" t="s">
        <v>16</v>
      </c>
      <c r="AB422" s="181">
        <f t="shared" si="90"/>
        <v>1</v>
      </c>
      <c r="AC422" s="181">
        <f t="shared" si="89"/>
        <v>2000</v>
      </c>
      <c r="AD422" s="181">
        <v>3</v>
      </c>
      <c r="AE422" s="181">
        <v>3</v>
      </c>
      <c r="AF422" s="101" t="str">
        <f t="shared" si="91"/>
        <v/>
      </c>
      <c r="AG422" s="190">
        <v>0</v>
      </c>
      <c r="AH422" s="69">
        <f t="shared" si="84"/>
        <v>1</v>
      </c>
      <c r="AK422" s="69">
        <v>0</v>
      </c>
    </row>
    <row r="423" spans="1:37" s="69" customFormat="1" ht="66" customHeight="1" x14ac:dyDescent="0.3">
      <c r="A423" s="55" t="s">
        <v>1090</v>
      </c>
      <c r="B423" s="138" t="s">
        <v>3119</v>
      </c>
      <c r="C423" s="54" t="s">
        <v>325</v>
      </c>
      <c r="D423" s="75">
        <v>14</v>
      </c>
      <c r="E423" s="75"/>
      <c r="F423" s="75"/>
      <c r="G423" s="75"/>
      <c r="H423" s="75">
        <v>3000</v>
      </c>
      <c r="I423" s="75">
        <v>42000</v>
      </c>
      <c r="J423" s="91" t="s">
        <v>1092</v>
      </c>
      <c r="K423" s="73"/>
      <c r="L423" s="46">
        <v>0</v>
      </c>
      <c r="M423" s="46">
        <v>0</v>
      </c>
      <c r="N423" s="46">
        <v>0</v>
      </c>
      <c r="O423" s="98"/>
      <c r="P423" s="23" t="s">
        <v>1432</v>
      </c>
      <c r="Q423" s="24" t="s">
        <v>1091</v>
      </c>
      <c r="R423" s="25" t="s">
        <v>325</v>
      </c>
      <c r="S423" s="26">
        <v>14</v>
      </c>
      <c r="T423" s="26"/>
      <c r="U423" s="26">
        <v>3000</v>
      </c>
      <c r="V423" s="26">
        <f t="shared" si="86"/>
        <v>0</v>
      </c>
      <c r="W423" s="26">
        <f t="shared" si="78"/>
        <v>0</v>
      </c>
      <c r="X423" s="26">
        <f t="shared" si="87"/>
        <v>0</v>
      </c>
      <c r="Y423" s="26">
        <f t="shared" si="88"/>
        <v>0</v>
      </c>
      <c r="Z423" s="33" t="s">
        <v>15</v>
      </c>
      <c r="AA423" s="36" t="s">
        <v>16</v>
      </c>
      <c r="AB423" s="181">
        <f t="shared" si="90"/>
        <v>14</v>
      </c>
      <c r="AC423" s="181">
        <f t="shared" si="89"/>
        <v>42000</v>
      </c>
      <c r="AD423" s="181">
        <v>3</v>
      </c>
      <c r="AE423" s="181">
        <v>3</v>
      </c>
      <c r="AF423" s="101" t="str">
        <f t="shared" si="91"/>
        <v/>
      </c>
      <c r="AG423" s="190">
        <v>0</v>
      </c>
      <c r="AH423" s="69">
        <f t="shared" si="84"/>
        <v>14</v>
      </c>
      <c r="AK423" s="69">
        <v>0</v>
      </c>
    </row>
    <row r="424" spans="1:37" s="69" customFormat="1" ht="49.5" customHeight="1" x14ac:dyDescent="0.3">
      <c r="A424" s="55" t="s">
        <v>1093</v>
      </c>
      <c r="B424" s="138" t="s">
        <v>1094</v>
      </c>
      <c r="C424" s="54" t="s">
        <v>325</v>
      </c>
      <c r="D424" s="75">
        <v>3</v>
      </c>
      <c r="E424" s="75"/>
      <c r="F424" s="75"/>
      <c r="G424" s="75"/>
      <c r="H424" s="75">
        <v>1400</v>
      </c>
      <c r="I424" s="75">
        <v>4200</v>
      </c>
      <c r="J424" s="91" t="s">
        <v>1095</v>
      </c>
      <c r="K424" s="73"/>
      <c r="L424" s="46">
        <v>0</v>
      </c>
      <c r="M424" s="46">
        <v>0</v>
      </c>
      <c r="N424" s="46">
        <v>0</v>
      </c>
      <c r="O424" s="98"/>
      <c r="P424" s="23" t="s">
        <v>1433</v>
      </c>
      <c r="Q424" s="24" t="s">
        <v>1094</v>
      </c>
      <c r="R424" s="25" t="s">
        <v>325</v>
      </c>
      <c r="S424" s="26">
        <v>3</v>
      </c>
      <c r="T424" s="26"/>
      <c r="U424" s="26">
        <v>1400</v>
      </c>
      <c r="V424" s="26">
        <f t="shared" si="86"/>
        <v>0</v>
      </c>
      <c r="W424" s="26">
        <f t="shared" si="78"/>
        <v>0</v>
      </c>
      <c r="X424" s="26">
        <f t="shared" si="87"/>
        <v>0</v>
      </c>
      <c r="Y424" s="26">
        <f t="shared" si="88"/>
        <v>0</v>
      </c>
      <c r="Z424" s="33" t="s">
        <v>15</v>
      </c>
      <c r="AA424" s="36" t="s">
        <v>16</v>
      </c>
      <c r="AB424" s="181">
        <f t="shared" si="90"/>
        <v>3</v>
      </c>
      <c r="AC424" s="181">
        <f t="shared" si="89"/>
        <v>4200</v>
      </c>
      <c r="AD424" s="181">
        <v>3</v>
      </c>
      <c r="AE424" s="181">
        <v>3</v>
      </c>
      <c r="AF424" s="101" t="str">
        <f t="shared" si="91"/>
        <v/>
      </c>
      <c r="AG424" s="190">
        <v>0</v>
      </c>
      <c r="AH424" s="69">
        <f t="shared" si="84"/>
        <v>3</v>
      </c>
      <c r="AK424" s="69">
        <v>0</v>
      </c>
    </row>
    <row r="425" spans="1:37" s="69" customFormat="1" ht="66" customHeight="1" x14ac:dyDescent="0.3">
      <c r="A425" s="55" t="s">
        <v>1096</v>
      </c>
      <c r="B425" s="138" t="s">
        <v>1097</v>
      </c>
      <c r="C425" s="54" t="s">
        <v>66</v>
      </c>
      <c r="D425" s="75">
        <v>5</v>
      </c>
      <c r="E425" s="75"/>
      <c r="F425" s="75"/>
      <c r="G425" s="75"/>
      <c r="H425" s="75">
        <v>18000</v>
      </c>
      <c r="I425" s="75">
        <v>90000</v>
      </c>
      <c r="J425" s="91" t="s">
        <v>1098</v>
      </c>
      <c r="K425" s="73"/>
      <c r="L425" s="46">
        <v>0</v>
      </c>
      <c r="M425" s="46">
        <v>0</v>
      </c>
      <c r="N425" s="46">
        <v>0</v>
      </c>
      <c r="O425" s="98"/>
      <c r="P425" s="23" t="s">
        <v>1382</v>
      </c>
      <c r="Q425" s="24" t="s">
        <v>1097</v>
      </c>
      <c r="R425" s="25" t="s">
        <v>66</v>
      </c>
      <c r="S425" s="26">
        <v>5</v>
      </c>
      <c r="T425" s="26"/>
      <c r="U425" s="26">
        <v>18000</v>
      </c>
      <c r="V425" s="26">
        <f t="shared" si="86"/>
        <v>0</v>
      </c>
      <c r="W425" s="26">
        <f t="shared" si="78"/>
        <v>0</v>
      </c>
      <c r="X425" s="26">
        <f t="shared" si="87"/>
        <v>0</v>
      </c>
      <c r="Y425" s="26">
        <f t="shared" si="88"/>
        <v>0</v>
      </c>
      <c r="Z425" s="33" t="s">
        <v>15</v>
      </c>
      <c r="AA425" s="36" t="s">
        <v>16</v>
      </c>
      <c r="AB425" s="181">
        <f t="shared" si="90"/>
        <v>5</v>
      </c>
      <c r="AC425" s="181">
        <f t="shared" si="89"/>
        <v>90000</v>
      </c>
      <c r="AD425" s="181">
        <v>3</v>
      </c>
      <c r="AE425" s="181">
        <v>3</v>
      </c>
      <c r="AF425" s="101" t="str">
        <f t="shared" si="91"/>
        <v/>
      </c>
      <c r="AG425" s="190">
        <v>0</v>
      </c>
      <c r="AH425" s="69">
        <f t="shared" si="84"/>
        <v>5</v>
      </c>
      <c r="AK425" s="69">
        <v>0</v>
      </c>
    </row>
    <row r="426" spans="1:37" s="69" customFormat="1" ht="49.5" customHeight="1" x14ac:dyDescent="0.3">
      <c r="A426" s="55" t="s">
        <v>1099</v>
      </c>
      <c r="B426" s="138" t="s">
        <v>1100</v>
      </c>
      <c r="C426" s="54" t="s">
        <v>66</v>
      </c>
      <c r="D426" s="75">
        <v>1</v>
      </c>
      <c r="E426" s="75"/>
      <c r="F426" s="75"/>
      <c r="G426" s="75"/>
      <c r="H426" s="75">
        <v>9000</v>
      </c>
      <c r="I426" s="75">
        <v>9000</v>
      </c>
      <c r="J426" s="91" t="s">
        <v>1101</v>
      </c>
      <c r="K426" s="73"/>
      <c r="L426" s="46">
        <v>0</v>
      </c>
      <c r="M426" s="46">
        <v>0</v>
      </c>
      <c r="N426" s="46">
        <v>0</v>
      </c>
      <c r="O426" s="98"/>
      <c r="P426" s="23" t="s">
        <v>1434</v>
      </c>
      <c r="Q426" s="24" t="s">
        <v>1100</v>
      </c>
      <c r="R426" s="25" t="s">
        <v>66</v>
      </c>
      <c r="S426" s="26">
        <v>1</v>
      </c>
      <c r="T426" s="26"/>
      <c r="U426" s="26">
        <v>9000</v>
      </c>
      <c r="V426" s="26">
        <f t="shared" si="86"/>
        <v>0</v>
      </c>
      <c r="W426" s="26">
        <f t="shared" si="78"/>
        <v>0</v>
      </c>
      <c r="X426" s="26">
        <f t="shared" si="87"/>
        <v>0</v>
      </c>
      <c r="Y426" s="26">
        <f t="shared" si="88"/>
        <v>0</v>
      </c>
      <c r="Z426" s="33" t="s">
        <v>15</v>
      </c>
      <c r="AA426" s="36" t="s">
        <v>16</v>
      </c>
      <c r="AB426" s="181">
        <f t="shared" si="90"/>
        <v>1</v>
      </c>
      <c r="AC426" s="181">
        <f t="shared" si="89"/>
        <v>9000</v>
      </c>
      <c r="AD426" s="181">
        <v>3</v>
      </c>
      <c r="AE426" s="181">
        <v>3</v>
      </c>
      <c r="AF426" s="101" t="str">
        <f t="shared" si="91"/>
        <v/>
      </c>
      <c r="AG426" s="190">
        <v>0</v>
      </c>
      <c r="AH426" s="69">
        <f t="shared" si="84"/>
        <v>1</v>
      </c>
      <c r="AK426" s="69">
        <v>0</v>
      </c>
    </row>
    <row r="427" spans="1:37" s="69" customFormat="1" ht="49.5" customHeight="1" x14ac:dyDescent="0.3">
      <c r="A427" s="55" t="s">
        <v>1102</v>
      </c>
      <c r="B427" s="138" t="s">
        <v>3120</v>
      </c>
      <c r="C427" s="54" t="s">
        <v>325</v>
      </c>
      <c r="D427" s="75">
        <v>3</v>
      </c>
      <c r="E427" s="75"/>
      <c r="F427" s="75"/>
      <c r="G427" s="75"/>
      <c r="H427" s="75">
        <v>6000</v>
      </c>
      <c r="I427" s="75">
        <v>18000</v>
      </c>
      <c r="J427" s="91" t="s">
        <v>1104</v>
      </c>
      <c r="K427" s="73"/>
      <c r="L427" s="46">
        <v>0</v>
      </c>
      <c r="M427" s="46">
        <v>0</v>
      </c>
      <c r="N427" s="46">
        <v>0</v>
      </c>
      <c r="O427" s="98"/>
      <c r="P427" s="23" t="s">
        <v>1388</v>
      </c>
      <c r="Q427" s="24" t="s">
        <v>1103</v>
      </c>
      <c r="R427" s="25" t="s">
        <v>325</v>
      </c>
      <c r="S427" s="26">
        <v>3</v>
      </c>
      <c r="T427" s="26"/>
      <c r="U427" s="26">
        <v>6000</v>
      </c>
      <c r="V427" s="26">
        <f t="shared" si="86"/>
        <v>0</v>
      </c>
      <c r="W427" s="26">
        <f t="shared" si="78"/>
        <v>0</v>
      </c>
      <c r="X427" s="26">
        <f t="shared" si="87"/>
        <v>0</v>
      </c>
      <c r="Y427" s="26">
        <f t="shared" si="88"/>
        <v>0</v>
      </c>
      <c r="Z427" s="33" t="s">
        <v>15</v>
      </c>
      <c r="AA427" s="36" t="s">
        <v>16</v>
      </c>
      <c r="AB427" s="181">
        <f t="shared" si="90"/>
        <v>3</v>
      </c>
      <c r="AC427" s="181">
        <f t="shared" si="89"/>
        <v>18000</v>
      </c>
      <c r="AD427" s="181">
        <v>3</v>
      </c>
      <c r="AE427" s="181">
        <v>3</v>
      </c>
      <c r="AF427" s="101" t="str">
        <f t="shared" si="91"/>
        <v/>
      </c>
      <c r="AG427" s="190">
        <v>0</v>
      </c>
      <c r="AH427" s="69">
        <f t="shared" si="84"/>
        <v>3</v>
      </c>
      <c r="AK427" s="69">
        <v>0</v>
      </c>
    </row>
    <row r="428" spans="1:37" s="69" customFormat="1" ht="49.5" customHeight="1" x14ac:dyDescent="0.3">
      <c r="A428" s="55" t="s">
        <v>1105</v>
      </c>
      <c r="B428" s="138" t="s">
        <v>3121</v>
      </c>
      <c r="C428" s="54" t="s">
        <v>66</v>
      </c>
      <c r="D428" s="75">
        <v>1</v>
      </c>
      <c r="E428" s="75"/>
      <c r="F428" s="75"/>
      <c r="G428" s="75"/>
      <c r="H428" s="75">
        <v>2500</v>
      </c>
      <c r="I428" s="75">
        <v>2500</v>
      </c>
      <c r="J428" s="91" t="s">
        <v>1107</v>
      </c>
      <c r="K428" s="73"/>
      <c r="L428" s="46">
        <v>0</v>
      </c>
      <c r="M428" s="46">
        <v>0</v>
      </c>
      <c r="N428" s="46">
        <v>0</v>
      </c>
      <c r="O428" s="98"/>
      <c r="P428" s="23" t="s">
        <v>1389</v>
      </c>
      <c r="Q428" s="24" t="s">
        <v>1106</v>
      </c>
      <c r="R428" s="25" t="s">
        <v>66</v>
      </c>
      <c r="S428" s="26">
        <v>1</v>
      </c>
      <c r="T428" s="26"/>
      <c r="U428" s="26">
        <v>2500</v>
      </c>
      <c r="V428" s="26">
        <f t="shared" si="86"/>
        <v>0</v>
      </c>
      <c r="W428" s="26">
        <f t="shared" si="78"/>
        <v>0</v>
      </c>
      <c r="X428" s="26">
        <f t="shared" si="87"/>
        <v>0</v>
      </c>
      <c r="Y428" s="26">
        <f t="shared" si="88"/>
        <v>0</v>
      </c>
      <c r="Z428" s="33" t="s">
        <v>15</v>
      </c>
      <c r="AA428" s="36" t="s">
        <v>16</v>
      </c>
      <c r="AB428" s="181">
        <f t="shared" si="90"/>
        <v>1</v>
      </c>
      <c r="AC428" s="181">
        <f t="shared" si="89"/>
        <v>2500</v>
      </c>
      <c r="AD428" s="181">
        <v>3</v>
      </c>
      <c r="AE428" s="181">
        <v>3</v>
      </c>
      <c r="AF428" s="101" t="str">
        <f t="shared" si="91"/>
        <v/>
      </c>
      <c r="AG428" s="190">
        <v>0</v>
      </c>
      <c r="AH428" s="69">
        <f t="shared" si="84"/>
        <v>1</v>
      </c>
      <c r="AK428" s="69">
        <v>0</v>
      </c>
    </row>
    <row r="429" spans="1:37" s="69" customFormat="1" ht="49.5" customHeight="1" x14ac:dyDescent="0.3">
      <c r="A429" s="55" t="s">
        <v>1108</v>
      </c>
      <c r="B429" s="138" t="s">
        <v>1109</v>
      </c>
      <c r="C429" s="54" t="s">
        <v>66</v>
      </c>
      <c r="D429" s="75">
        <v>1</v>
      </c>
      <c r="E429" s="75"/>
      <c r="F429" s="75"/>
      <c r="G429" s="75"/>
      <c r="H429" s="75">
        <v>2500</v>
      </c>
      <c r="I429" s="75">
        <v>2500</v>
      </c>
      <c r="J429" s="91" t="s">
        <v>1110</v>
      </c>
      <c r="K429" s="73"/>
      <c r="L429" s="46">
        <v>0</v>
      </c>
      <c r="M429" s="46">
        <v>0</v>
      </c>
      <c r="N429" s="46">
        <v>0</v>
      </c>
      <c r="O429" s="98"/>
      <c r="P429" s="23" t="s">
        <v>1390</v>
      </c>
      <c r="Q429" s="24" t="s">
        <v>1109</v>
      </c>
      <c r="R429" s="25" t="s">
        <v>66</v>
      </c>
      <c r="S429" s="26">
        <v>1</v>
      </c>
      <c r="T429" s="26"/>
      <c r="U429" s="26">
        <v>2500</v>
      </c>
      <c r="V429" s="26">
        <f t="shared" si="86"/>
        <v>0</v>
      </c>
      <c r="W429" s="26">
        <f t="shared" si="78"/>
        <v>0</v>
      </c>
      <c r="X429" s="26">
        <f t="shared" si="87"/>
        <v>0</v>
      </c>
      <c r="Y429" s="26">
        <f t="shared" si="88"/>
        <v>0</v>
      </c>
      <c r="Z429" s="33" t="s">
        <v>15</v>
      </c>
      <c r="AA429" s="36" t="s">
        <v>16</v>
      </c>
      <c r="AB429" s="181">
        <f t="shared" si="90"/>
        <v>1</v>
      </c>
      <c r="AC429" s="181">
        <f t="shared" si="89"/>
        <v>2500</v>
      </c>
      <c r="AD429" s="181">
        <v>3</v>
      </c>
      <c r="AE429" s="181">
        <v>3</v>
      </c>
      <c r="AF429" s="101" t="str">
        <f t="shared" si="91"/>
        <v/>
      </c>
      <c r="AG429" s="190">
        <v>0</v>
      </c>
      <c r="AH429" s="69">
        <f t="shared" si="84"/>
        <v>1</v>
      </c>
      <c r="AK429" s="69">
        <v>0</v>
      </c>
    </row>
    <row r="430" spans="1:37" s="69" customFormat="1" ht="49.5" customHeight="1" x14ac:dyDescent="0.3">
      <c r="A430" s="55" t="s">
        <v>1111</v>
      </c>
      <c r="B430" s="138" t="s">
        <v>3122</v>
      </c>
      <c r="C430" s="54" t="s">
        <v>325</v>
      </c>
      <c r="D430" s="75">
        <v>4</v>
      </c>
      <c r="E430" s="75"/>
      <c r="F430" s="75"/>
      <c r="G430" s="75"/>
      <c r="H430" s="75">
        <v>3000</v>
      </c>
      <c r="I430" s="75">
        <v>12000</v>
      </c>
      <c r="J430" s="91" t="s">
        <v>1113</v>
      </c>
      <c r="K430" s="73"/>
      <c r="L430" s="46">
        <v>0</v>
      </c>
      <c r="M430" s="46">
        <v>0</v>
      </c>
      <c r="N430" s="46">
        <v>0</v>
      </c>
      <c r="O430" s="98"/>
      <c r="P430" s="23" t="s">
        <v>1391</v>
      </c>
      <c r="Q430" s="24" t="s">
        <v>1112</v>
      </c>
      <c r="R430" s="25" t="s">
        <v>325</v>
      </c>
      <c r="S430" s="26">
        <v>4</v>
      </c>
      <c r="T430" s="26"/>
      <c r="U430" s="26">
        <v>3000</v>
      </c>
      <c r="V430" s="26">
        <f t="shared" si="86"/>
        <v>0</v>
      </c>
      <c r="W430" s="26">
        <f t="shared" si="78"/>
        <v>0</v>
      </c>
      <c r="X430" s="26">
        <f t="shared" si="87"/>
        <v>0</v>
      </c>
      <c r="Y430" s="26">
        <f t="shared" si="88"/>
        <v>0</v>
      </c>
      <c r="Z430" s="33" t="s">
        <v>15</v>
      </c>
      <c r="AA430" s="36" t="s">
        <v>16</v>
      </c>
      <c r="AB430" s="181">
        <f t="shared" si="90"/>
        <v>4</v>
      </c>
      <c r="AC430" s="181">
        <f t="shared" si="89"/>
        <v>12000</v>
      </c>
      <c r="AD430" s="181">
        <v>3</v>
      </c>
      <c r="AE430" s="181">
        <v>3</v>
      </c>
      <c r="AF430" s="101" t="str">
        <f t="shared" si="91"/>
        <v/>
      </c>
      <c r="AG430" s="190">
        <v>0</v>
      </c>
      <c r="AH430" s="69">
        <f t="shared" si="84"/>
        <v>4</v>
      </c>
      <c r="AK430" s="69">
        <v>0</v>
      </c>
    </row>
    <row r="431" spans="1:37" s="69" customFormat="1" ht="66" customHeight="1" x14ac:dyDescent="0.3">
      <c r="A431" s="55" t="s">
        <v>1114</v>
      </c>
      <c r="B431" s="138" t="s">
        <v>3123</v>
      </c>
      <c r="C431" s="54" t="s">
        <v>325</v>
      </c>
      <c r="D431" s="75">
        <v>2</v>
      </c>
      <c r="E431" s="75"/>
      <c r="F431" s="75"/>
      <c r="G431" s="75"/>
      <c r="H431" s="75">
        <v>20000</v>
      </c>
      <c r="I431" s="75">
        <v>40000</v>
      </c>
      <c r="J431" s="91" t="s">
        <v>1116</v>
      </c>
      <c r="K431" s="73"/>
      <c r="L431" s="46">
        <v>0</v>
      </c>
      <c r="M431" s="46">
        <v>0</v>
      </c>
      <c r="N431" s="46">
        <v>0</v>
      </c>
      <c r="O431" s="98"/>
      <c r="P431" s="23" t="s">
        <v>1436</v>
      </c>
      <c r="Q431" s="24" t="s">
        <v>1115</v>
      </c>
      <c r="R431" s="25" t="s">
        <v>325</v>
      </c>
      <c r="S431" s="26">
        <v>2</v>
      </c>
      <c r="T431" s="26"/>
      <c r="U431" s="26">
        <v>20000</v>
      </c>
      <c r="V431" s="26">
        <f t="shared" si="86"/>
        <v>0</v>
      </c>
      <c r="W431" s="26">
        <f t="shared" si="78"/>
        <v>0</v>
      </c>
      <c r="X431" s="26">
        <f t="shared" si="87"/>
        <v>0</v>
      </c>
      <c r="Y431" s="26">
        <f t="shared" si="88"/>
        <v>0</v>
      </c>
      <c r="Z431" s="33" t="s">
        <v>15</v>
      </c>
      <c r="AA431" s="36" t="s">
        <v>16</v>
      </c>
      <c r="AB431" s="181">
        <f t="shared" si="90"/>
        <v>2</v>
      </c>
      <c r="AC431" s="181">
        <f t="shared" si="89"/>
        <v>40000</v>
      </c>
      <c r="AD431" s="181">
        <v>3</v>
      </c>
      <c r="AE431" s="181">
        <v>3</v>
      </c>
      <c r="AF431" s="101" t="str">
        <f t="shared" si="91"/>
        <v/>
      </c>
      <c r="AG431" s="190">
        <v>0</v>
      </c>
      <c r="AH431" s="69">
        <f t="shared" si="84"/>
        <v>2</v>
      </c>
      <c r="AK431" s="69">
        <v>0</v>
      </c>
    </row>
    <row r="432" spans="1:37" s="69" customFormat="1" ht="49.5" customHeight="1" x14ac:dyDescent="0.3">
      <c r="A432" s="55" t="s">
        <v>1117</v>
      </c>
      <c r="B432" s="138" t="s">
        <v>1118</v>
      </c>
      <c r="C432" s="54" t="s">
        <v>66</v>
      </c>
      <c r="D432" s="75">
        <v>1</v>
      </c>
      <c r="E432" s="75"/>
      <c r="F432" s="75"/>
      <c r="G432" s="75"/>
      <c r="H432" s="75">
        <v>15000</v>
      </c>
      <c r="I432" s="75">
        <v>15000</v>
      </c>
      <c r="J432" s="91" t="s">
        <v>1119</v>
      </c>
      <c r="K432" s="73"/>
      <c r="L432" s="46">
        <v>0</v>
      </c>
      <c r="M432" s="46">
        <v>0</v>
      </c>
      <c r="N432" s="46">
        <v>0</v>
      </c>
      <c r="O432" s="98"/>
      <c r="P432" s="23" t="s">
        <v>1374</v>
      </c>
      <c r="Q432" s="24" t="s">
        <v>1118</v>
      </c>
      <c r="R432" s="25" t="s">
        <v>66</v>
      </c>
      <c r="S432" s="26">
        <v>1</v>
      </c>
      <c r="T432" s="26"/>
      <c r="U432" s="26">
        <v>15000</v>
      </c>
      <c r="V432" s="26">
        <f t="shared" si="86"/>
        <v>0</v>
      </c>
      <c r="W432" s="26">
        <f t="shared" si="78"/>
        <v>0</v>
      </c>
      <c r="X432" s="26">
        <f t="shared" si="87"/>
        <v>0</v>
      </c>
      <c r="Y432" s="26">
        <f t="shared" si="88"/>
        <v>0</v>
      </c>
      <c r="Z432" s="33" t="s">
        <v>15</v>
      </c>
      <c r="AA432" s="36" t="s">
        <v>16</v>
      </c>
      <c r="AB432" s="181">
        <f t="shared" si="90"/>
        <v>1</v>
      </c>
      <c r="AC432" s="181">
        <f t="shared" si="89"/>
        <v>15000</v>
      </c>
      <c r="AD432" s="181">
        <v>3</v>
      </c>
      <c r="AE432" s="181">
        <v>3</v>
      </c>
      <c r="AF432" s="101" t="str">
        <f t="shared" si="91"/>
        <v/>
      </c>
      <c r="AG432" s="190">
        <v>0</v>
      </c>
      <c r="AH432" s="69">
        <f t="shared" si="84"/>
        <v>1</v>
      </c>
      <c r="AK432" s="69">
        <v>0</v>
      </c>
    </row>
    <row r="433" spans="1:37" s="69" customFormat="1" ht="49.5" customHeight="1" x14ac:dyDescent="0.3">
      <c r="A433" s="55" t="s">
        <v>1120</v>
      </c>
      <c r="B433" s="138" t="s">
        <v>1121</v>
      </c>
      <c r="C433" s="54" t="s">
        <v>1122</v>
      </c>
      <c r="D433" s="75">
        <v>3</v>
      </c>
      <c r="E433" s="75"/>
      <c r="F433" s="75"/>
      <c r="G433" s="75"/>
      <c r="H433" s="75">
        <v>1300</v>
      </c>
      <c r="I433" s="75">
        <v>3900</v>
      </c>
      <c r="J433" s="91" t="s">
        <v>1123</v>
      </c>
      <c r="K433" s="73"/>
      <c r="L433" s="46">
        <v>0</v>
      </c>
      <c r="M433" s="46">
        <v>0</v>
      </c>
      <c r="N433" s="46">
        <v>0</v>
      </c>
      <c r="O433" s="98"/>
      <c r="P433" s="23" t="s">
        <v>1376</v>
      </c>
      <c r="Q433" s="24" t="s">
        <v>1121</v>
      </c>
      <c r="R433" s="25" t="s">
        <v>1122</v>
      </c>
      <c r="S433" s="26">
        <v>3</v>
      </c>
      <c r="T433" s="26"/>
      <c r="U433" s="26">
        <v>1300</v>
      </c>
      <c r="V433" s="26">
        <f t="shared" si="86"/>
        <v>0</v>
      </c>
      <c r="W433" s="26">
        <f t="shared" si="78"/>
        <v>0</v>
      </c>
      <c r="X433" s="26">
        <f t="shared" si="87"/>
        <v>0</v>
      </c>
      <c r="Y433" s="26">
        <f t="shared" si="88"/>
        <v>0</v>
      </c>
      <c r="Z433" s="33" t="s">
        <v>15</v>
      </c>
      <c r="AA433" s="36" t="s">
        <v>16</v>
      </c>
      <c r="AB433" s="181">
        <f t="shared" si="90"/>
        <v>3</v>
      </c>
      <c r="AC433" s="181">
        <f t="shared" si="89"/>
        <v>3900</v>
      </c>
      <c r="AD433" s="181">
        <v>3</v>
      </c>
      <c r="AE433" s="181">
        <v>3</v>
      </c>
      <c r="AF433" s="101" t="str">
        <f t="shared" si="91"/>
        <v/>
      </c>
      <c r="AG433" s="190">
        <v>0</v>
      </c>
      <c r="AH433" s="69">
        <f t="shared" si="84"/>
        <v>3</v>
      </c>
      <c r="AK433" s="69">
        <v>0</v>
      </c>
    </row>
    <row r="434" spans="1:37" s="69" customFormat="1" ht="33" customHeight="1" x14ac:dyDescent="0.3">
      <c r="A434" s="55" t="s">
        <v>1124</v>
      </c>
      <c r="B434" s="138" t="s">
        <v>3124</v>
      </c>
      <c r="C434" s="54" t="s">
        <v>1122</v>
      </c>
      <c r="D434" s="75">
        <v>6</v>
      </c>
      <c r="E434" s="75"/>
      <c r="F434" s="75"/>
      <c r="G434" s="75"/>
      <c r="H434" s="75">
        <v>1000</v>
      </c>
      <c r="I434" s="75">
        <v>6000</v>
      </c>
      <c r="J434" s="91" t="s">
        <v>1126</v>
      </c>
      <c r="K434" s="73"/>
      <c r="L434" s="46">
        <v>0</v>
      </c>
      <c r="M434" s="46">
        <v>0</v>
      </c>
      <c r="N434" s="46">
        <v>0</v>
      </c>
      <c r="O434" s="98"/>
      <c r="P434" s="23" t="s">
        <v>1378</v>
      </c>
      <c r="Q434" s="24" t="s">
        <v>1125</v>
      </c>
      <c r="R434" s="25" t="s">
        <v>1122</v>
      </c>
      <c r="S434" s="26">
        <v>6</v>
      </c>
      <c r="T434" s="26"/>
      <c r="U434" s="26">
        <v>1000</v>
      </c>
      <c r="V434" s="26">
        <f t="shared" si="86"/>
        <v>0</v>
      </c>
      <c r="W434" s="26">
        <f t="shared" si="78"/>
        <v>0</v>
      </c>
      <c r="X434" s="26">
        <f t="shared" si="87"/>
        <v>0</v>
      </c>
      <c r="Y434" s="26">
        <f t="shared" si="88"/>
        <v>0</v>
      </c>
      <c r="Z434" s="33" t="s">
        <v>15</v>
      </c>
      <c r="AA434" s="36" t="s">
        <v>16</v>
      </c>
      <c r="AB434" s="181">
        <f t="shared" si="90"/>
        <v>6</v>
      </c>
      <c r="AC434" s="181">
        <f t="shared" si="89"/>
        <v>6000</v>
      </c>
      <c r="AD434" s="181">
        <v>3</v>
      </c>
      <c r="AE434" s="181">
        <v>3</v>
      </c>
      <c r="AF434" s="101" t="str">
        <f t="shared" si="91"/>
        <v/>
      </c>
      <c r="AG434" s="190">
        <v>0</v>
      </c>
      <c r="AH434" s="69">
        <f t="shared" si="84"/>
        <v>6</v>
      </c>
      <c r="AK434" s="69">
        <v>0</v>
      </c>
    </row>
    <row r="435" spans="1:37" s="69" customFormat="1" ht="33" customHeight="1" x14ac:dyDescent="0.3">
      <c r="A435" s="55" t="s">
        <v>1127</v>
      </c>
      <c r="B435" s="138" t="s">
        <v>1128</v>
      </c>
      <c r="C435" s="54" t="s">
        <v>325</v>
      </c>
      <c r="D435" s="75">
        <v>2</v>
      </c>
      <c r="E435" s="75"/>
      <c r="F435" s="75"/>
      <c r="G435" s="75"/>
      <c r="H435" s="75">
        <v>9000</v>
      </c>
      <c r="I435" s="75">
        <v>18000</v>
      </c>
      <c r="J435" s="91" t="s">
        <v>1129</v>
      </c>
      <c r="K435" s="73"/>
      <c r="L435" s="46">
        <v>0</v>
      </c>
      <c r="M435" s="46">
        <v>0</v>
      </c>
      <c r="N435" s="46">
        <v>0</v>
      </c>
      <c r="O435" s="98"/>
      <c r="P435" s="23" t="s">
        <v>1438</v>
      </c>
      <c r="Q435" s="24" t="s">
        <v>1128</v>
      </c>
      <c r="R435" s="25" t="s">
        <v>325</v>
      </c>
      <c r="S435" s="26">
        <v>2</v>
      </c>
      <c r="T435" s="26"/>
      <c r="U435" s="26">
        <v>9000</v>
      </c>
      <c r="V435" s="26">
        <f t="shared" si="86"/>
        <v>0</v>
      </c>
      <c r="W435" s="26">
        <f t="shared" si="78"/>
        <v>0</v>
      </c>
      <c r="X435" s="26">
        <f t="shared" si="87"/>
        <v>0</v>
      </c>
      <c r="Y435" s="26">
        <f t="shared" si="88"/>
        <v>0</v>
      </c>
      <c r="Z435" s="33" t="s">
        <v>15</v>
      </c>
      <c r="AA435" s="36" t="s">
        <v>16</v>
      </c>
      <c r="AB435" s="181">
        <f t="shared" si="90"/>
        <v>2</v>
      </c>
      <c r="AC435" s="181">
        <f t="shared" si="89"/>
        <v>18000</v>
      </c>
      <c r="AD435" s="181">
        <v>3</v>
      </c>
      <c r="AE435" s="181">
        <v>3</v>
      </c>
      <c r="AF435" s="101" t="str">
        <f t="shared" si="91"/>
        <v/>
      </c>
      <c r="AG435" s="190">
        <v>0</v>
      </c>
      <c r="AH435" s="69">
        <f t="shared" si="84"/>
        <v>2</v>
      </c>
      <c r="AK435" s="69">
        <v>0</v>
      </c>
    </row>
    <row r="436" spans="1:37" s="69" customFormat="1" ht="49.5" customHeight="1" x14ac:dyDescent="0.3">
      <c r="A436" s="55" t="s">
        <v>1130</v>
      </c>
      <c r="B436" s="138" t="s">
        <v>3127</v>
      </c>
      <c r="C436" s="54" t="s">
        <v>325</v>
      </c>
      <c r="D436" s="75">
        <v>3</v>
      </c>
      <c r="E436" s="75"/>
      <c r="F436" s="75"/>
      <c r="G436" s="75"/>
      <c r="H436" s="75">
        <v>4200</v>
      </c>
      <c r="I436" s="75">
        <v>12600</v>
      </c>
      <c r="J436" s="91" t="s">
        <v>1132</v>
      </c>
      <c r="K436" s="73"/>
      <c r="L436" s="46">
        <v>0</v>
      </c>
      <c r="M436" s="46">
        <v>0</v>
      </c>
      <c r="N436" s="46">
        <v>0</v>
      </c>
      <c r="O436" s="98"/>
      <c r="P436" s="23" t="s">
        <v>1439</v>
      </c>
      <c r="Q436" s="24" t="s">
        <v>1131</v>
      </c>
      <c r="R436" s="25" t="s">
        <v>325</v>
      </c>
      <c r="S436" s="26">
        <v>3</v>
      </c>
      <c r="T436" s="26"/>
      <c r="U436" s="26">
        <v>4200</v>
      </c>
      <c r="V436" s="26">
        <f t="shared" si="86"/>
        <v>0</v>
      </c>
      <c r="W436" s="26">
        <f t="shared" si="78"/>
        <v>0</v>
      </c>
      <c r="X436" s="26">
        <f t="shared" si="87"/>
        <v>0</v>
      </c>
      <c r="Y436" s="26">
        <f t="shared" si="88"/>
        <v>0</v>
      </c>
      <c r="Z436" s="33" t="s">
        <v>15</v>
      </c>
      <c r="AA436" s="36" t="s">
        <v>16</v>
      </c>
      <c r="AB436" s="181">
        <f t="shared" si="90"/>
        <v>3</v>
      </c>
      <c r="AC436" s="181">
        <f t="shared" si="89"/>
        <v>12600</v>
      </c>
      <c r="AD436" s="181">
        <v>3</v>
      </c>
      <c r="AE436" s="181">
        <v>3</v>
      </c>
      <c r="AF436" s="101" t="str">
        <f t="shared" si="91"/>
        <v/>
      </c>
      <c r="AG436" s="190">
        <v>0</v>
      </c>
      <c r="AH436" s="69">
        <f t="shared" si="84"/>
        <v>3</v>
      </c>
    </row>
    <row r="437" spans="1:37" s="69" customFormat="1" ht="49.5" customHeight="1" x14ac:dyDescent="0.3">
      <c r="A437" s="55" t="s">
        <v>1133</v>
      </c>
      <c r="B437" s="138" t="s">
        <v>3126</v>
      </c>
      <c r="C437" s="54" t="s">
        <v>66</v>
      </c>
      <c r="D437" s="75">
        <v>4</v>
      </c>
      <c r="E437" s="75"/>
      <c r="F437" s="75"/>
      <c r="G437" s="75"/>
      <c r="H437" s="75">
        <v>1000</v>
      </c>
      <c r="I437" s="75">
        <v>4000</v>
      </c>
      <c r="J437" s="91" t="s">
        <v>1135</v>
      </c>
      <c r="K437" s="73"/>
      <c r="L437" s="46">
        <v>0</v>
      </c>
      <c r="M437" s="46">
        <v>0</v>
      </c>
      <c r="N437" s="46">
        <v>0</v>
      </c>
      <c r="O437" s="98"/>
      <c r="P437" s="23" t="s">
        <v>1440</v>
      </c>
      <c r="Q437" s="24" t="s">
        <v>1134</v>
      </c>
      <c r="R437" s="25" t="s">
        <v>66</v>
      </c>
      <c r="S437" s="26">
        <v>4</v>
      </c>
      <c r="T437" s="26"/>
      <c r="U437" s="26">
        <v>1000</v>
      </c>
      <c r="V437" s="26">
        <f t="shared" si="86"/>
        <v>0</v>
      </c>
      <c r="W437" s="26">
        <f t="shared" si="78"/>
        <v>0</v>
      </c>
      <c r="X437" s="26">
        <f t="shared" si="87"/>
        <v>0</v>
      </c>
      <c r="Y437" s="26">
        <f t="shared" si="88"/>
        <v>0</v>
      </c>
      <c r="Z437" s="33" t="s">
        <v>15</v>
      </c>
      <c r="AA437" s="36" t="s">
        <v>16</v>
      </c>
      <c r="AB437" s="181">
        <f t="shared" si="90"/>
        <v>4</v>
      </c>
      <c r="AC437" s="181">
        <f t="shared" si="89"/>
        <v>4000</v>
      </c>
      <c r="AD437" s="181">
        <v>3</v>
      </c>
      <c r="AE437" s="181">
        <v>3</v>
      </c>
      <c r="AF437" s="101" t="str">
        <f t="shared" si="91"/>
        <v/>
      </c>
      <c r="AG437" s="190">
        <v>0</v>
      </c>
      <c r="AH437" s="69">
        <f t="shared" si="84"/>
        <v>4</v>
      </c>
    </row>
    <row r="438" spans="1:37" s="69" customFormat="1" ht="49.5" customHeight="1" x14ac:dyDescent="0.3">
      <c r="A438" s="55" t="s">
        <v>1136</v>
      </c>
      <c r="B438" s="138" t="s">
        <v>3125</v>
      </c>
      <c r="C438" s="54" t="s">
        <v>325</v>
      </c>
      <c r="D438" s="75">
        <v>15</v>
      </c>
      <c r="E438" s="75"/>
      <c r="F438" s="75"/>
      <c r="G438" s="75"/>
      <c r="H438" s="75">
        <v>4500</v>
      </c>
      <c r="I438" s="75">
        <v>67500</v>
      </c>
      <c r="J438" s="91" t="s">
        <v>1138</v>
      </c>
      <c r="K438" s="73"/>
      <c r="L438" s="46">
        <v>0</v>
      </c>
      <c r="M438" s="46">
        <v>0</v>
      </c>
      <c r="N438" s="46">
        <v>0</v>
      </c>
      <c r="O438" s="98"/>
      <c r="P438" s="23" t="s">
        <v>1441</v>
      </c>
      <c r="Q438" s="24" t="s">
        <v>1137</v>
      </c>
      <c r="R438" s="25" t="s">
        <v>325</v>
      </c>
      <c r="S438" s="26">
        <v>15</v>
      </c>
      <c r="T438" s="26"/>
      <c r="U438" s="26">
        <v>4500</v>
      </c>
      <c r="V438" s="26">
        <f t="shared" si="86"/>
        <v>0</v>
      </c>
      <c r="W438" s="26">
        <f t="shared" si="78"/>
        <v>0</v>
      </c>
      <c r="X438" s="26">
        <f t="shared" si="87"/>
        <v>0</v>
      </c>
      <c r="Y438" s="26">
        <f t="shared" si="88"/>
        <v>0</v>
      </c>
      <c r="Z438" s="33" t="s">
        <v>15</v>
      </c>
      <c r="AA438" s="36" t="s">
        <v>16</v>
      </c>
      <c r="AB438" s="181">
        <f t="shared" si="90"/>
        <v>15</v>
      </c>
      <c r="AC438" s="181">
        <f t="shared" si="89"/>
        <v>67500</v>
      </c>
      <c r="AD438" s="181">
        <v>3</v>
      </c>
      <c r="AE438" s="181">
        <v>3</v>
      </c>
      <c r="AF438" s="101" t="str">
        <f t="shared" si="91"/>
        <v/>
      </c>
      <c r="AG438" s="190">
        <v>0</v>
      </c>
      <c r="AH438" s="69">
        <f t="shared" si="84"/>
        <v>15</v>
      </c>
    </row>
    <row r="439" spans="1:37" s="69" customFormat="1" ht="33" customHeight="1" x14ac:dyDescent="0.3">
      <c r="A439" s="55" t="s">
        <v>1139</v>
      </c>
      <c r="B439" s="138" t="s">
        <v>3128</v>
      </c>
      <c r="C439" s="54" t="s">
        <v>325</v>
      </c>
      <c r="D439" s="75">
        <v>2</v>
      </c>
      <c r="E439" s="75"/>
      <c r="F439" s="75"/>
      <c r="G439" s="75"/>
      <c r="H439" s="75">
        <v>636300</v>
      </c>
      <c r="I439" s="75">
        <v>1272600</v>
      </c>
      <c r="J439" s="91" t="s">
        <v>1141</v>
      </c>
      <c r="K439" s="73"/>
      <c r="L439" s="46">
        <v>1</v>
      </c>
      <c r="M439" s="46">
        <v>0</v>
      </c>
      <c r="N439" s="46">
        <v>636300</v>
      </c>
      <c r="O439" s="98"/>
      <c r="P439" s="23" t="s">
        <v>1442</v>
      </c>
      <c r="Q439" s="24" t="s">
        <v>1140</v>
      </c>
      <c r="R439" s="25" t="s">
        <v>325</v>
      </c>
      <c r="S439" s="26">
        <v>2</v>
      </c>
      <c r="T439" s="26"/>
      <c r="U439" s="26">
        <v>636300</v>
      </c>
      <c r="V439" s="26">
        <f t="shared" si="86"/>
        <v>0</v>
      </c>
      <c r="W439" s="26">
        <f t="shared" si="78"/>
        <v>1</v>
      </c>
      <c r="X439" s="26">
        <f t="shared" si="87"/>
        <v>0</v>
      </c>
      <c r="Y439" s="26">
        <f t="shared" si="88"/>
        <v>636300</v>
      </c>
      <c r="Z439" s="33" t="s">
        <v>15</v>
      </c>
      <c r="AA439" s="36" t="s">
        <v>16</v>
      </c>
      <c r="AB439" s="181">
        <f t="shared" si="90"/>
        <v>2</v>
      </c>
      <c r="AC439" s="181">
        <f t="shared" si="89"/>
        <v>1272600</v>
      </c>
      <c r="AD439" s="181">
        <v>3</v>
      </c>
      <c r="AE439" s="181">
        <v>3</v>
      </c>
      <c r="AF439" s="101" t="str">
        <f t="shared" si="91"/>
        <v/>
      </c>
      <c r="AG439" s="190">
        <v>1</v>
      </c>
      <c r="AH439" s="69">
        <f t="shared" si="84"/>
        <v>2</v>
      </c>
    </row>
    <row r="440" spans="1:37" s="69" customFormat="1" ht="49.5" customHeight="1" x14ac:dyDescent="0.3">
      <c r="A440" s="55" t="s">
        <v>1142</v>
      </c>
      <c r="B440" s="138" t="s">
        <v>1143</v>
      </c>
      <c r="C440" s="54" t="s">
        <v>1144</v>
      </c>
      <c r="D440" s="75">
        <v>4</v>
      </c>
      <c r="E440" s="75"/>
      <c r="F440" s="75"/>
      <c r="G440" s="75"/>
      <c r="H440" s="75">
        <v>2000</v>
      </c>
      <c r="I440" s="75">
        <v>8000</v>
      </c>
      <c r="J440" s="91" t="s">
        <v>1145</v>
      </c>
      <c r="K440" s="73"/>
      <c r="L440" s="46">
        <v>0</v>
      </c>
      <c r="M440" s="46">
        <v>0</v>
      </c>
      <c r="N440" s="46">
        <v>0</v>
      </c>
      <c r="O440" s="98"/>
      <c r="P440" s="23" t="s">
        <v>1443</v>
      </c>
      <c r="Q440" s="24" t="s">
        <v>1143</v>
      </c>
      <c r="R440" s="25" t="s">
        <v>1144</v>
      </c>
      <c r="S440" s="26">
        <v>4</v>
      </c>
      <c r="T440" s="26"/>
      <c r="U440" s="26">
        <v>2000</v>
      </c>
      <c r="V440" s="26">
        <f t="shared" si="86"/>
        <v>0</v>
      </c>
      <c r="W440" s="26">
        <f t="shared" si="78"/>
        <v>0</v>
      </c>
      <c r="X440" s="26">
        <f t="shared" si="87"/>
        <v>0</v>
      </c>
      <c r="Y440" s="26">
        <f t="shared" si="88"/>
        <v>0</v>
      </c>
      <c r="Z440" s="33" t="s">
        <v>15</v>
      </c>
      <c r="AA440" s="36" t="s">
        <v>16</v>
      </c>
      <c r="AB440" s="181">
        <f t="shared" si="90"/>
        <v>4</v>
      </c>
      <c r="AC440" s="181">
        <f t="shared" si="89"/>
        <v>8000</v>
      </c>
      <c r="AD440" s="181">
        <v>3</v>
      </c>
      <c r="AE440" s="181">
        <v>3</v>
      </c>
      <c r="AF440" s="101" t="str">
        <f t="shared" si="91"/>
        <v/>
      </c>
      <c r="AG440" s="190">
        <v>0</v>
      </c>
      <c r="AH440" s="69">
        <f t="shared" si="84"/>
        <v>4</v>
      </c>
    </row>
    <row r="441" spans="1:37" s="69" customFormat="1" ht="33" x14ac:dyDescent="0.3">
      <c r="A441" s="134">
        <v>3.35</v>
      </c>
      <c r="B441" s="135" t="s">
        <v>1346</v>
      </c>
      <c r="C441" s="204" t="s">
        <v>325</v>
      </c>
      <c r="D441" s="77"/>
      <c r="E441" s="59">
        <v>1</v>
      </c>
      <c r="F441" s="77"/>
      <c r="G441" s="205"/>
      <c r="H441" s="77">
        <v>119161.05</v>
      </c>
      <c r="I441" s="59">
        <v>119161.05</v>
      </c>
      <c r="J441" s="92"/>
      <c r="K441" s="73"/>
      <c r="L441" s="46">
        <v>1</v>
      </c>
      <c r="M441" s="46">
        <v>0</v>
      </c>
      <c r="N441" s="46">
        <v>119161.05</v>
      </c>
      <c r="O441" s="98"/>
      <c r="P441" s="23" t="s">
        <v>1444</v>
      </c>
      <c r="Q441" s="24" t="s">
        <v>1501</v>
      </c>
      <c r="R441" s="25" t="s">
        <v>325</v>
      </c>
      <c r="S441" s="26">
        <v>0</v>
      </c>
      <c r="T441" s="26">
        <v>1</v>
      </c>
      <c r="U441" s="26">
        <v>119161.05</v>
      </c>
      <c r="V441" s="127">
        <f t="shared" si="86"/>
        <v>0</v>
      </c>
      <c r="W441" s="127">
        <f t="shared" si="78"/>
        <v>1</v>
      </c>
      <c r="X441" s="127">
        <f t="shared" si="87"/>
        <v>0</v>
      </c>
      <c r="Y441" s="127">
        <f t="shared" si="88"/>
        <v>119161.05</v>
      </c>
      <c r="Z441" s="27"/>
      <c r="AA441" s="36" t="s">
        <v>16</v>
      </c>
      <c r="AB441" s="181">
        <f t="shared" si="90"/>
        <v>1</v>
      </c>
      <c r="AC441" s="181">
        <f t="shared" si="89"/>
        <v>119161.05</v>
      </c>
      <c r="AD441" s="181">
        <v>3</v>
      </c>
      <c r="AE441" s="181">
        <v>3</v>
      </c>
      <c r="AF441" s="101" t="str">
        <f t="shared" si="91"/>
        <v/>
      </c>
      <c r="AG441" s="190">
        <v>1</v>
      </c>
      <c r="AH441" s="69">
        <f t="shared" si="84"/>
        <v>1</v>
      </c>
    </row>
    <row r="442" spans="1:37" ht="39" x14ac:dyDescent="0.3">
      <c r="A442" s="134" t="s">
        <v>1347</v>
      </c>
      <c r="B442" s="135" t="s">
        <v>1348</v>
      </c>
      <c r="C442" s="204" t="s">
        <v>325</v>
      </c>
      <c r="D442" s="78"/>
      <c r="E442" s="78"/>
      <c r="F442" s="62">
        <v>1</v>
      </c>
      <c r="G442" s="62"/>
      <c r="H442" s="167">
        <v>74988.5</v>
      </c>
      <c r="I442" s="62">
        <v>74988.5</v>
      </c>
      <c r="J442" s="93"/>
      <c r="L442" s="46">
        <v>1</v>
      </c>
      <c r="M442" s="46">
        <v>0</v>
      </c>
      <c r="N442" s="46">
        <v>74988.5</v>
      </c>
      <c r="O442" s="98"/>
      <c r="P442" s="23" t="s">
        <v>1408</v>
      </c>
      <c r="Q442" s="24" t="s">
        <v>1348</v>
      </c>
      <c r="R442" s="25" t="s">
        <v>325</v>
      </c>
      <c r="S442" s="26">
        <v>0</v>
      </c>
      <c r="T442" s="26">
        <v>1</v>
      </c>
      <c r="U442" s="26">
        <v>74988.5</v>
      </c>
      <c r="V442" s="127">
        <f t="shared" si="86"/>
        <v>0</v>
      </c>
      <c r="W442" s="127">
        <f t="shared" si="78"/>
        <v>1</v>
      </c>
      <c r="X442" s="127">
        <f t="shared" si="87"/>
        <v>0</v>
      </c>
      <c r="Y442" s="127">
        <f t="shared" si="88"/>
        <v>74988.5</v>
      </c>
      <c r="Z442" s="27"/>
      <c r="AA442" s="36" t="s">
        <v>16</v>
      </c>
      <c r="AB442" s="181">
        <f t="shared" si="90"/>
        <v>1</v>
      </c>
      <c r="AC442" s="181">
        <f t="shared" si="89"/>
        <v>74988.5</v>
      </c>
      <c r="AD442" s="181">
        <v>3</v>
      </c>
      <c r="AE442" s="181">
        <v>3</v>
      </c>
      <c r="AF442" s="101" t="str">
        <f t="shared" si="91"/>
        <v/>
      </c>
      <c r="AG442" s="190">
        <v>1</v>
      </c>
      <c r="AH442" s="69">
        <f t="shared" si="84"/>
        <v>1</v>
      </c>
    </row>
    <row r="443" spans="1:37" ht="49.5" x14ac:dyDescent="0.3">
      <c r="A443" s="134" t="s">
        <v>1349</v>
      </c>
      <c r="B443" s="139" t="s">
        <v>1350</v>
      </c>
      <c r="C443" s="204" t="s">
        <v>325</v>
      </c>
      <c r="D443" s="78"/>
      <c r="E443" s="78"/>
      <c r="F443" s="62">
        <v>2</v>
      </c>
      <c r="G443" s="62"/>
      <c r="H443" s="167">
        <v>83493.929999999993</v>
      </c>
      <c r="I443" s="62">
        <v>166987.85999999999</v>
      </c>
      <c r="J443" s="93"/>
      <c r="L443" s="46">
        <v>2</v>
      </c>
      <c r="M443" s="46">
        <v>0</v>
      </c>
      <c r="N443" s="46">
        <v>166987.85999999999</v>
      </c>
      <c r="O443" s="98"/>
      <c r="P443" s="23" t="s">
        <v>1409</v>
      </c>
      <c r="Q443" s="24" t="s">
        <v>1350</v>
      </c>
      <c r="R443" s="25" t="s">
        <v>325</v>
      </c>
      <c r="S443" s="26">
        <v>0</v>
      </c>
      <c r="T443" s="26">
        <v>2</v>
      </c>
      <c r="U443" s="26">
        <v>83493.929999999993</v>
      </c>
      <c r="V443" s="127">
        <f t="shared" si="86"/>
        <v>0</v>
      </c>
      <c r="W443" s="127">
        <f t="shared" si="78"/>
        <v>2</v>
      </c>
      <c r="X443" s="127">
        <f t="shared" si="87"/>
        <v>0</v>
      </c>
      <c r="Y443" s="127">
        <f t="shared" si="88"/>
        <v>166987.85999999999</v>
      </c>
      <c r="Z443" s="27"/>
      <c r="AA443" s="36" t="s">
        <v>16</v>
      </c>
      <c r="AB443" s="181">
        <f t="shared" si="90"/>
        <v>2</v>
      </c>
      <c r="AC443" s="181">
        <f t="shared" si="89"/>
        <v>166987.85999999999</v>
      </c>
      <c r="AD443" s="181">
        <v>3</v>
      </c>
      <c r="AE443" s="181">
        <v>3</v>
      </c>
      <c r="AF443" s="101" t="str">
        <f t="shared" si="91"/>
        <v/>
      </c>
      <c r="AG443" s="190">
        <v>2</v>
      </c>
      <c r="AH443" s="69">
        <f t="shared" si="84"/>
        <v>2</v>
      </c>
    </row>
    <row r="444" spans="1:37" ht="49.5" x14ac:dyDescent="0.3">
      <c r="A444" s="134" t="s">
        <v>1351</v>
      </c>
      <c r="B444" s="139" t="s">
        <v>1352</v>
      </c>
      <c r="C444" s="204" t="s">
        <v>325</v>
      </c>
      <c r="D444" s="78"/>
      <c r="E444" s="78"/>
      <c r="F444" s="62">
        <v>2</v>
      </c>
      <c r="G444" s="62"/>
      <c r="H444" s="167">
        <v>76194.460000000006</v>
      </c>
      <c r="I444" s="62">
        <v>152388.92000000001</v>
      </c>
      <c r="J444" s="93"/>
      <c r="L444" s="46">
        <v>2</v>
      </c>
      <c r="M444" s="46">
        <v>0</v>
      </c>
      <c r="N444" s="46">
        <v>152388.92000000001</v>
      </c>
      <c r="O444" s="98"/>
      <c r="P444" s="23" t="s">
        <v>1410</v>
      </c>
      <c r="Q444" s="24" t="s">
        <v>1352</v>
      </c>
      <c r="R444" s="25" t="s">
        <v>325</v>
      </c>
      <c r="S444" s="26">
        <v>0</v>
      </c>
      <c r="T444" s="26">
        <v>2</v>
      </c>
      <c r="U444" s="26">
        <v>76194.460000000006</v>
      </c>
      <c r="V444" s="127">
        <f t="shared" si="86"/>
        <v>0</v>
      </c>
      <c r="W444" s="127">
        <f t="shared" si="78"/>
        <v>2</v>
      </c>
      <c r="X444" s="127">
        <f t="shared" si="87"/>
        <v>0</v>
      </c>
      <c r="Y444" s="127">
        <f t="shared" si="88"/>
        <v>152388.92000000001</v>
      </c>
      <c r="Z444" s="27"/>
      <c r="AA444" s="36" t="s">
        <v>16</v>
      </c>
      <c r="AB444" s="181">
        <f t="shared" si="90"/>
        <v>2</v>
      </c>
      <c r="AC444" s="181">
        <f t="shared" si="89"/>
        <v>152388.92000000001</v>
      </c>
      <c r="AD444" s="181">
        <v>3</v>
      </c>
      <c r="AE444" s="181">
        <v>3</v>
      </c>
      <c r="AF444" s="101" t="str">
        <f t="shared" si="91"/>
        <v/>
      </c>
      <c r="AG444" s="190">
        <v>2</v>
      </c>
      <c r="AH444" s="69">
        <f t="shared" si="84"/>
        <v>2</v>
      </c>
    </row>
    <row r="445" spans="1:37" ht="33" x14ac:dyDescent="0.3">
      <c r="A445" s="134" t="s">
        <v>1353</v>
      </c>
      <c r="B445" s="139" t="s">
        <v>1354</v>
      </c>
      <c r="C445" s="204" t="s">
        <v>325</v>
      </c>
      <c r="D445" s="78"/>
      <c r="E445" s="78"/>
      <c r="F445" s="62">
        <v>2</v>
      </c>
      <c r="G445" s="62"/>
      <c r="H445" s="167">
        <v>17998.689999999999</v>
      </c>
      <c r="I445" s="62">
        <v>35997.379999999997</v>
      </c>
      <c r="J445" s="93"/>
      <c r="L445" s="46">
        <v>2</v>
      </c>
      <c r="M445" s="46">
        <v>0</v>
      </c>
      <c r="N445" s="46">
        <v>35997.379999999997</v>
      </c>
      <c r="O445" s="98"/>
      <c r="P445" s="23" t="s">
        <v>1411</v>
      </c>
      <c r="Q445" s="24" t="s">
        <v>1354</v>
      </c>
      <c r="R445" s="25" t="s">
        <v>325</v>
      </c>
      <c r="S445" s="26">
        <v>0</v>
      </c>
      <c r="T445" s="26">
        <v>2</v>
      </c>
      <c r="U445" s="26">
        <v>17998.689999999999</v>
      </c>
      <c r="V445" s="127">
        <f t="shared" si="86"/>
        <v>0</v>
      </c>
      <c r="W445" s="127">
        <f t="shared" si="78"/>
        <v>2</v>
      </c>
      <c r="X445" s="127">
        <f t="shared" si="87"/>
        <v>0</v>
      </c>
      <c r="Y445" s="127">
        <f t="shared" si="88"/>
        <v>35997.379999999997</v>
      </c>
      <c r="Z445" s="27"/>
      <c r="AA445" s="36" t="s">
        <v>16</v>
      </c>
      <c r="AB445" s="181">
        <f t="shared" si="90"/>
        <v>2</v>
      </c>
      <c r="AC445" s="181">
        <f t="shared" si="89"/>
        <v>35997.379999999997</v>
      </c>
      <c r="AD445" s="181">
        <v>3</v>
      </c>
      <c r="AE445" s="181">
        <v>3</v>
      </c>
      <c r="AF445" s="101" t="str">
        <f t="shared" si="91"/>
        <v/>
      </c>
      <c r="AG445" s="190">
        <v>2</v>
      </c>
      <c r="AH445" s="69">
        <f t="shared" si="84"/>
        <v>2</v>
      </c>
    </row>
    <row r="446" spans="1:37" s="69" customFormat="1" ht="33" customHeight="1" x14ac:dyDescent="0.3">
      <c r="A446" s="85" t="s">
        <v>1146</v>
      </c>
      <c r="B446" s="86" t="s">
        <v>1147</v>
      </c>
      <c r="C446" s="87" t="s">
        <v>14</v>
      </c>
      <c r="D446" s="88">
        <v>1</v>
      </c>
      <c r="E446" s="88"/>
      <c r="F446" s="88"/>
      <c r="G446" s="153"/>
      <c r="H446" s="88"/>
      <c r="I446" s="88">
        <v>2798664.24</v>
      </c>
      <c r="J446" s="95" t="s">
        <v>15</v>
      </c>
      <c r="K446" s="73"/>
      <c r="L446" s="42">
        <v>1</v>
      </c>
      <c r="M446" s="42">
        <v>41415.860000000015</v>
      </c>
      <c r="N446" s="42">
        <v>967408.44</v>
      </c>
      <c r="O446" s="98"/>
      <c r="P446" s="13" t="s">
        <v>1412</v>
      </c>
      <c r="Q446" s="14" t="s">
        <v>1147</v>
      </c>
      <c r="R446" s="15" t="s">
        <v>14</v>
      </c>
      <c r="S446" s="16">
        <v>1</v>
      </c>
      <c r="T446" s="16"/>
      <c r="U446" s="16">
        <f>SUMIFS(AC:AC,AD:AD,AD446)</f>
        <v>2798664.24</v>
      </c>
      <c r="V446" s="16">
        <f t="shared" ref="V446:W446" si="92">IF(X446=0,0,1)</f>
        <v>1</v>
      </c>
      <c r="W446" s="16">
        <f t="shared" si="92"/>
        <v>1</v>
      </c>
      <c r="X446" s="16">
        <f>SUMIFS(X:X,AE:AE,AD446)</f>
        <v>56022.739999999991</v>
      </c>
      <c r="Y446" s="16">
        <f>SUMIFS(Y:Y,AE:AE,AD446)</f>
        <v>1023431.1799999999</v>
      </c>
      <c r="Z446" s="17" t="s">
        <v>15</v>
      </c>
      <c r="AA446" s="40" t="s">
        <v>16</v>
      </c>
      <c r="AB446" s="181">
        <f t="shared" si="90"/>
        <v>1</v>
      </c>
      <c r="AC446" s="183"/>
      <c r="AD446" s="183">
        <v>4</v>
      </c>
      <c r="AE446" s="183"/>
      <c r="AF446" s="101" t="str">
        <f t="shared" si="91"/>
        <v/>
      </c>
      <c r="AG446" s="190">
        <v>1</v>
      </c>
      <c r="AH446" s="69">
        <f t="shared" si="84"/>
        <v>1</v>
      </c>
    </row>
    <row r="447" spans="1:37" s="69" customFormat="1" ht="49.5" customHeight="1" x14ac:dyDescent="0.3">
      <c r="A447" s="55" t="s">
        <v>1148</v>
      </c>
      <c r="B447" s="53" t="s">
        <v>1149</v>
      </c>
      <c r="C447" s="54" t="s">
        <v>1150</v>
      </c>
      <c r="D447" s="75">
        <v>48</v>
      </c>
      <c r="E447" s="75"/>
      <c r="F447" s="75"/>
      <c r="G447" s="75"/>
      <c r="H447" s="75">
        <v>13068.13</v>
      </c>
      <c r="I447" s="75">
        <v>627270.24</v>
      </c>
      <c r="J447" s="91" t="s">
        <v>1151</v>
      </c>
      <c r="K447" s="73"/>
      <c r="L447" s="46">
        <v>24</v>
      </c>
      <c r="M447" s="46">
        <v>26136.260000000009</v>
      </c>
      <c r="N447" s="46">
        <v>313635.12</v>
      </c>
      <c r="O447" s="98"/>
      <c r="P447" s="23" t="s">
        <v>1421</v>
      </c>
      <c r="Q447" s="24" t="s">
        <v>1149</v>
      </c>
      <c r="R447" s="25" t="s">
        <v>1150</v>
      </c>
      <c r="S447" s="26">
        <v>48</v>
      </c>
      <c r="T447" s="26"/>
      <c r="U447" s="26">
        <v>13068.13</v>
      </c>
      <c r="V447" s="102">
        <f t="shared" ref="V447:V449" si="93">AG447-L447</f>
        <v>2</v>
      </c>
      <c r="W447" s="26">
        <f t="shared" si="78"/>
        <v>26</v>
      </c>
      <c r="X447" s="26">
        <f>Y447-N447</f>
        <v>26136.260000000009</v>
      </c>
      <c r="Y447" s="26">
        <f t="shared" ref="Y447:Y449" si="94">ROUND(U447*W447,2)</f>
        <v>339771.38</v>
      </c>
      <c r="Z447" s="33" t="s">
        <v>15</v>
      </c>
      <c r="AA447" s="36" t="s">
        <v>16</v>
      </c>
      <c r="AB447" s="181">
        <f t="shared" si="90"/>
        <v>48</v>
      </c>
      <c r="AC447" s="181">
        <f t="shared" ref="AC447:AC449" si="95">ROUND(U447*AB447,2)</f>
        <v>627270.24</v>
      </c>
      <c r="AD447" s="181">
        <v>4</v>
      </c>
      <c r="AE447" s="181">
        <v>4</v>
      </c>
      <c r="AF447" s="101" t="str">
        <f t="shared" si="91"/>
        <v/>
      </c>
      <c r="AG447" s="191">
        <f>16+2+2+2+2+2</f>
        <v>26</v>
      </c>
      <c r="AH447" s="69">
        <f t="shared" si="84"/>
        <v>48</v>
      </c>
    </row>
    <row r="448" spans="1:37" s="69" customFormat="1" ht="66" customHeight="1" x14ac:dyDescent="0.3">
      <c r="A448" s="55" t="s">
        <v>1152</v>
      </c>
      <c r="B448" s="53" t="s">
        <v>1153</v>
      </c>
      <c r="C448" s="54" t="s">
        <v>998</v>
      </c>
      <c r="D448" s="75">
        <v>6720</v>
      </c>
      <c r="E448" s="75"/>
      <c r="F448" s="75"/>
      <c r="G448" s="75"/>
      <c r="H448" s="75">
        <v>54.57</v>
      </c>
      <c r="I448" s="75">
        <v>366710.4</v>
      </c>
      <c r="J448" s="91" t="s">
        <v>1154</v>
      </c>
      <c r="K448" s="73"/>
      <c r="L448" s="46">
        <v>1680</v>
      </c>
      <c r="M448" s="46">
        <v>15279.600000000006</v>
      </c>
      <c r="N448" s="46">
        <v>91677.6</v>
      </c>
      <c r="O448" s="98"/>
      <c r="P448" s="23" t="s">
        <v>1426</v>
      </c>
      <c r="Q448" s="24" t="s">
        <v>1153</v>
      </c>
      <c r="R448" s="25" t="s">
        <v>998</v>
      </c>
      <c r="S448" s="26">
        <v>6720</v>
      </c>
      <c r="T448" s="26"/>
      <c r="U448" s="26">
        <v>54.57</v>
      </c>
      <c r="V448" s="102">
        <f t="shared" si="93"/>
        <v>0</v>
      </c>
      <c r="W448" s="26">
        <f t="shared" si="78"/>
        <v>1680</v>
      </c>
      <c r="X448" s="26">
        <f>Y448-N448</f>
        <v>0</v>
      </c>
      <c r="Y448" s="26">
        <f t="shared" si="94"/>
        <v>91677.6</v>
      </c>
      <c r="Z448" s="33" t="s">
        <v>15</v>
      </c>
      <c r="AA448" s="36" t="s">
        <v>16</v>
      </c>
      <c r="AB448" s="181">
        <f t="shared" si="90"/>
        <v>6720</v>
      </c>
      <c r="AC448" s="181">
        <f t="shared" si="95"/>
        <v>366710.4</v>
      </c>
      <c r="AD448" s="181">
        <v>4</v>
      </c>
      <c r="AE448" s="181">
        <v>4</v>
      </c>
      <c r="AF448" s="101" t="str">
        <f t="shared" si="91"/>
        <v/>
      </c>
      <c r="AG448" s="190">
        <f>1400+280</f>
        <v>1680</v>
      </c>
      <c r="AH448" s="69">
        <f t="shared" si="84"/>
        <v>6720</v>
      </c>
    </row>
    <row r="449" spans="1:34" s="69" customFormat="1" ht="33" x14ac:dyDescent="0.3">
      <c r="A449" s="66">
        <v>4.3</v>
      </c>
      <c r="B449" s="57" t="s">
        <v>1355</v>
      </c>
      <c r="C449" s="58" t="s">
        <v>1360</v>
      </c>
      <c r="D449" s="77"/>
      <c r="E449" s="117">
        <v>1570</v>
      </c>
      <c r="F449" s="59"/>
      <c r="G449" s="142"/>
      <c r="H449" s="77">
        <v>1149.48</v>
      </c>
      <c r="I449" s="59">
        <v>1804683.6</v>
      </c>
      <c r="J449" s="92"/>
      <c r="K449" s="73"/>
      <c r="L449" s="46">
        <v>489</v>
      </c>
      <c r="M449" s="46">
        <v>0</v>
      </c>
      <c r="N449" s="46">
        <v>562095.72</v>
      </c>
      <c r="O449" s="98"/>
      <c r="P449" s="23" t="s">
        <v>1402</v>
      </c>
      <c r="Q449" s="24" t="s">
        <v>1502</v>
      </c>
      <c r="R449" s="25" t="s">
        <v>1360</v>
      </c>
      <c r="S449" s="26">
        <v>0</v>
      </c>
      <c r="T449" s="26">
        <v>1570</v>
      </c>
      <c r="U449" s="26">
        <v>1149.48</v>
      </c>
      <c r="V449" s="102">
        <f t="shared" si="93"/>
        <v>26</v>
      </c>
      <c r="W449" s="26">
        <f t="shared" si="78"/>
        <v>515</v>
      </c>
      <c r="X449" s="26">
        <f>Y449-N449</f>
        <v>29886.479999999981</v>
      </c>
      <c r="Y449" s="26">
        <f t="shared" si="94"/>
        <v>591982.19999999995</v>
      </c>
      <c r="Z449" s="27"/>
      <c r="AA449" s="36" t="s">
        <v>16</v>
      </c>
      <c r="AB449" s="181">
        <f t="shared" si="90"/>
        <v>1570</v>
      </c>
      <c r="AC449" s="181">
        <f t="shared" si="95"/>
        <v>1804683.6</v>
      </c>
      <c r="AD449" s="181">
        <v>4</v>
      </c>
      <c r="AE449" s="181">
        <v>4</v>
      </c>
      <c r="AF449" s="101" t="str">
        <f t="shared" si="91"/>
        <v/>
      </c>
      <c r="AG449" s="191">
        <f>384+35+32+38+26</f>
        <v>515</v>
      </c>
      <c r="AH449" s="69">
        <f t="shared" si="84"/>
        <v>1570</v>
      </c>
    </row>
    <row r="450" spans="1:34" s="69" customFormat="1" ht="33" customHeight="1" x14ac:dyDescent="0.3">
      <c r="A450" s="85" t="s">
        <v>1155</v>
      </c>
      <c r="B450" s="86" t="s">
        <v>1156</v>
      </c>
      <c r="C450" s="87" t="s">
        <v>14</v>
      </c>
      <c r="D450" s="88">
        <v>1</v>
      </c>
      <c r="E450" s="88"/>
      <c r="F450" s="88"/>
      <c r="G450" s="88"/>
      <c r="H450" s="88"/>
      <c r="I450" s="88">
        <v>10715306.710000001</v>
      </c>
      <c r="J450" s="95" t="s">
        <v>15</v>
      </c>
      <c r="K450" s="73"/>
      <c r="L450" s="42">
        <v>1</v>
      </c>
      <c r="M450" s="42">
        <v>139800</v>
      </c>
      <c r="N450" s="42">
        <v>9150688.1500000004</v>
      </c>
      <c r="O450" s="98"/>
      <c r="P450" s="13" t="s">
        <v>1413</v>
      </c>
      <c r="Q450" s="14" t="s">
        <v>1156</v>
      </c>
      <c r="R450" s="15" t="s">
        <v>14</v>
      </c>
      <c r="S450" s="16">
        <v>1</v>
      </c>
      <c r="T450" s="16"/>
      <c r="U450" s="16">
        <f>SUMIFS(AC:AC,AD:AD,AD450)</f>
        <v>10715306.709999999</v>
      </c>
      <c r="V450" s="16">
        <f t="shared" ref="V450:W450" si="96">IF(X450=0,0,1)</f>
        <v>1</v>
      </c>
      <c r="W450" s="16">
        <f t="shared" si="96"/>
        <v>1</v>
      </c>
      <c r="X450" s="16">
        <f>SUMIFS(X:X,AE:AE,AD450)</f>
        <v>101187.8</v>
      </c>
      <c r="Y450" s="16">
        <f>SUMIFS(Y:Y,AE:AE,AD450)</f>
        <v>9251875.9499999993</v>
      </c>
      <c r="Z450" s="17" t="s">
        <v>15</v>
      </c>
      <c r="AA450" s="40" t="s">
        <v>16</v>
      </c>
      <c r="AB450" s="181">
        <f t="shared" si="90"/>
        <v>1</v>
      </c>
      <c r="AC450" s="183"/>
      <c r="AD450" s="183">
        <v>5</v>
      </c>
      <c r="AE450" s="183"/>
      <c r="AF450" s="101" t="str">
        <f t="shared" si="91"/>
        <v/>
      </c>
      <c r="AG450" s="190">
        <v>1</v>
      </c>
      <c r="AH450" s="69">
        <f t="shared" si="84"/>
        <v>1</v>
      </c>
    </row>
    <row r="451" spans="1:34" s="69" customFormat="1" ht="49.5" customHeight="1" x14ac:dyDescent="0.3">
      <c r="A451" s="130" t="s">
        <v>1157</v>
      </c>
      <c r="B451" s="131" t="s">
        <v>1158</v>
      </c>
      <c r="C451" s="132" t="s">
        <v>30</v>
      </c>
      <c r="D451" s="133">
        <v>1698.29</v>
      </c>
      <c r="E451" s="75"/>
      <c r="F451" s="75"/>
      <c r="G451" s="75"/>
      <c r="H451" s="75">
        <v>3662.23</v>
      </c>
      <c r="I451" s="75">
        <v>6219528.5899999999</v>
      </c>
      <c r="J451" s="91" t="s">
        <v>1159</v>
      </c>
      <c r="K451" s="73"/>
      <c r="L451" s="46">
        <v>1698.29</v>
      </c>
      <c r="M451" s="46">
        <v>0</v>
      </c>
      <c r="N451" s="46">
        <v>6219528.5899999999</v>
      </c>
      <c r="O451" s="98"/>
      <c r="P451" s="23" t="s">
        <v>1421</v>
      </c>
      <c r="Q451" s="24" t="s">
        <v>1158</v>
      </c>
      <c r="R451" s="25" t="s">
        <v>30</v>
      </c>
      <c r="S451" s="26">
        <v>1698.29</v>
      </c>
      <c r="T451" s="26"/>
      <c r="U451" s="26">
        <v>3662.23</v>
      </c>
      <c r="V451" s="127">
        <f t="shared" ref="V451:V470" si="97">AG451-L451</f>
        <v>0</v>
      </c>
      <c r="W451" s="127">
        <f t="shared" si="78"/>
        <v>1698.29</v>
      </c>
      <c r="X451" s="127">
        <f t="shared" ref="X451:X470" si="98">Y451-N451</f>
        <v>0</v>
      </c>
      <c r="Y451" s="127">
        <f t="shared" ref="Y451:Y470" si="99">ROUND(U451*W451,2)</f>
        <v>6219528.5899999999</v>
      </c>
      <c r="Z451" s="33" t="s">
        <v>15</v>
      </c>
      <c r="AA451" s="36" t="s">
        <v>16</v>
      </c>
      <c r="AB451" s="181">
        <f t="shared" si="90"/>
        <v>1698.29</v>
      </c>
      <c r="AC451" s="181">
        <f t="shared" ref="AC451:AC470" si="100">ROUND(U451*AB451,2)</f>
        <v>6219528.5899999999</v>
      </c>
      <c r="AD451" s="181">
        <v>5</v>
      </c>
      <c r="AE451" s="181">
        <v>5</v>
      </c>
      <c r="AF451" s="101" t="str">
        <f t="shared" si="91"/>
        <v/>
      </c>
      <c r="AG451" s="190">
        <v>1698.29</v>
      </c>
      <c r="AH451" s="69">
        <f t="shared" si="84"/>
        <v>1698.29</v>
      </c>
    </row>
    <row r="452" spans="1:34" s="69" customFormat="1" ht="58.5" x14ac:dyDescent="0.3">
      <c r="A452" s="130" t="s">
        <v>1160</v>
      </c>
      <c r="B452" s="131" t="s">
        <v>1161</v>
      </c>
      <c r="C452" s="132" t="s">
        <v>50</v>
      </c>
      <c r="D452" s="133">
        <v>2123.4</v>
      </c>
      <c r="E452" s="75"/>
      <c r="F452" s="75"/>
      <c r="G452" s="75"/>
      <c r="H452" s="75">
        <v>353</v>
      </c>
      <c r="I452" s="75">
        <v>749560.2</v>
      </c>
      <c r="J452" s="91" t="s">
        <v>1162</v>
      </c>
      <c r="K452" s="73"/>
      <c r="L452" s="46">
        <v>2123.4</v>
      </c>
      <c r="M452" s="46">
        <v>0</v>
      </c>
      <c r="N452" s="46">
        <v>749560.2</v>
      </c>
      <c r="O452" s="98"/>
      <c r="P452" s="23" t="s">
        <v>1426</v>
      </c>
      <c r="Q452" s="24" t="s">
        <v>1161</v>
      </c>
      <c r="R452" s="25" t="s">
        <v>50</v>
      </c>
      <c r="S452" s="26">
        <v>2123.4</v>
      </c>
      <c r="T452" s="26"/>
      <c r="U452" s="26">
        <v>353</v>
      </c>
      <c r="V452" s="127">
        <f t="shared" si="97"/>
        <v>0</v>
      </c>
      <c r="W452" s="127">
        <v>2123.4</v>
      </c>
      <c r="X452" s="127">
        <f t="shared" si="98"/>
        <v>0</v>
      </c>
      <c r="Y452" s="127">
        <f t="shared" si="99"/>
        <v>749560.2</v>
      </c>
      <c r="Z452" s="33" t="s">
        <v>15</v>
      </c>
      <c r="AA452" s="36" t="s">
        <v>16</v>
      </c>
      <c r="AB452" s="181">
        <f t="shared" si="90"/>
        <v>2123.4</v>
      </c>
      <c r="AC452" s="181">
        <f t="shared" si="100"/>
        <v>749560.2</v>
      </c>
      <c r="AD452" s="181">
        <v>5</v>
      </c>
      <c r="AE452" s="181">
        <v>5</v>
      </c>
      <c r="AF452" s="101" t="str">
        <f t="shared" si="91"/>
        <v/>
      </c>
      <c r="AG452" s="190">
        <v>2123.4</v>
      </c>
      <c r="AH452" s="69">
        <f t="shared" si="84"/>
        <v>2123.4</v>
      </c>
    </row>
    <row r="453" spans="1:34" s="69" customFormat="1" ht="49.5" customHeight="1" x14ac:dyDescent="0.3">
      <c r="A453" s="55" t="s">
        <v>1163</v>
      </c>
      <c r="B453" s="53" t="s">
        <v>1164</v>
      </c>
      <c r="C453" s="54" t="s">
        <v>162</v>
      </c>
      <c r="D453" s="75">
        <v>59</v>
      </c>
      <c r="E453" s="75"/>
      <c r="F453" s="75"/>
      <c r="G453" s="75"/>
      <c r="H453" s="75">
        <v>217.02</v>
      </c>
      <c r="I453" s="75">
        <v>12804.18</v>
      </c>
      <c r="J453" s="91" t="s">
        <v>1165</v>
      </c>
      <c r="K453" s="73"/>
      <c r="L453" s="46">
        <v>30</v>
      </c>
      <c r="M453" s="46">
        <v>0</v>
      </c>
      <c r="N453" s="46">
        <v>6510.6</v>
      </c>
      <c r="O453" s="98"/>
      <c r="P453" s="23" t="s">
        <v>1402</v>
      </c>
      <c r="Q453" s="24" t="s">
        <v>1164</v>
      </c>
      <c r="R453" s="25" t="s">
        <v>162</v>
      </c>
      <c r="S453" s="26">
        <v>59</v>
      </c>
      <c r="T453" s="26"/>
      <c r="U453" s="26">
        <v>217.02</v>
      </c>
      <c r="V453" s="26">
        <f t="shared" si="97"/>
        <v>0</v>
      </c>
      <c r="W453" s="26">
        <f t="shared" si="78"/>
        <v>30</v>
      </c>
      <c r="X453" s="26">
        <f t="shared" si="98"/>
        <v>0</v>
      </c>
      <c r="Y453" s="26">
        <f t="shared" si="99"/>
        <v>6510.6</v>
      </c>
      <c r="Z453" s="33" t="s">
        <v>15</v>
      </c>
      <c r="AA453" s="36" t="s">
        <v>16</v>
      </c>
      <c r="AB453" s="181">
        <f t="shared" si="90"/>
        <v>59</v>
      </c>
      <c r="AC453" s="181">
        <f t="shared" si="100"/>
        <v>12804.18</v>
      </c>
      <c r="AD453" s="181">
        <v>5</v>
      </c>
      <c r="AE453" s="181">
        <v>5</v>
      </c>
      <c r="AF453" s="101" t="str">
        <f t="shared" si="91"/>
        <v/>
      </c>
      <c r="AG453" s="190">
        <v>30</v>
      </c>
      <c r="AH453" s="69">
        <f t="shared" si="84"/>
        <v>59</v>
      </c>
    </row>
    <row r="454" spans="1:34" s="69" customFormat="1" ht="33" customHeight="1" x14ac:dyDescent="0.3">
      <c r="A454" s="55" t="s">
        <v>1166</v>
      </c>
      <c r="B454" s="53" t="s">
        <v>1167</v>
      </c>
      <c r="C454" s="54" t="s">
        <v>559</v>
      </c>
      <c r="D454" s="75">
        <v>30</v>
      </c>
      <c r="E454" s="75"/>
      <c r="F454" s="75"/>
      <c r="G454" s="75"/>
      <c r="H454" s="75">
        <v>50</v>
      </c>
      <c r="I454" s="75">
        <v>1500</v>
      </c>
      <c r="J454" s="91" t="s">
        <v>1168</v>
      </c>
      <c r="K454" s="73"/>
      <c r="L454" s="46">
        <v>20</v>
      </c>
      <c r="M454" s="46">
        <v>0</v>
      </c>
      <c r="N454" s="46">
        <v>1000</v>
      </c>
      <c r="O454" s="98"/>
      <c r="P454" s="23" t="s">
        <v>1373</v>
      </c>
      <c r="Q454" s="24" t="s">
        <v>1167</v>
      </c>
      <c r="R454" s="25" t="s">
        <v>559</v>
      </c>
      <c r="S454" s="26">
        <v>30</v>
      </c>
      <c r="T454" s="26"/>
      <c r="U454" s="26">
        <v>50</v>
      </c>
      <c r="V454" s="26">
        <f t="shared" si="97"/>
        <v>0</v>
      </c>
      <c r="W454" s="26">
        <f t="shared" si="78"/>
        <v>20</v>
      </c>
      <c r="X454" s="26">
        <f t="shared" si="98"/>
        <v>0</v>
      </c>
      <c r="Y454" s="26">
        <f t="shared" si="99"/>
        <v>1000</v>
      </c>
      <c r="Z454" s="33" t="s">
        <v>15</v>
      </c>
      <c r="AA454" s="36" t="s">
        <v>16</v>
      </c>
      <c r="AB454" s="181">
        <f t="shared" si="90"/>
        <v>30</v>
      </c>
      <c r="AC454" s="181">
        <f t="shared" si="100"/>
        <v>1500</v>
      </c>
      <c r="AD454" s="181">
        <v>5</v>
      </c>
      <c r="AE454" s="181">
        <v>5</v>
      </c>
      <c r="AF454" s="101" t="str">
        <f t="shared" si="91"/>
        <v/>
      </c>
      <c r="AG454" s="190">
        <v>20</v>
      </c>
      <c r="AH454" s="69">
        <f t="shared" si="84"/>
        <v>30</v>
      </c>
    </row>
    <row r="455" spans="1:34" s="69" customFormat="1" ht="49.5" customHeight="1" x14ac:dyDescent="0.3">
      <c r="A455" s="130" t="s">
        <v>1169</v>
      </c>
      <c r="B455" s="131" t="s">
        <v>1170</v>
      </c>
      <c r="C455" s="132" t="s">
        <v>81</v>
      </c>
      <c r="D455" s="133">
        <v>9</v>
      </c>
      <c r="E455" s="75"/>
      <c r="F455" s="75"/>
      <c r="G455" s="75"/>
      <c r="H455" s="75">
        <v>1900.97</v>
      </c>
      <c r="I455" s="75">
        <v>17108.73</v>
      </c>
      <c r="J455" s="91" t="s">
        <v>1171</v>
      </c>
      <c r="K455" s="73"/>
      <c r="L455" s="46">
        <v>9</v>
      </c>
      <c r="M455" s="46">
        <v>0</v>
      </c>
      <c r="N455" s="46">
        <v>17108.73</v>
      </c>
      <c r="O455" s="98"/>
      <c r="P455" s="23" t="s">
        <v>1393</v>
      </c>
      <c r="Q455" s="24" t="s">
        <v>1170</v>
      </c>
      <c r="R455" s="25" t="s">
        <v>81</v>
      </c>
      <c r="S455" s="26">
        <v>9</v>
      </c>
      <c r="T455" s="26"/>
      <c r="U455" s="26">
        <v>1900.97</v>
      </c>
      <c r="V455" s="127">
        <f t="shared" si="97"/>
        <v>0</v>
      </c>
      <c r="W455" s="127">
        <f t="shared" si="78"/>
        <v>9</v>
      </c>
      <c r="X455" s="127">
        <f t="shared" si="98"/>
        <v>0</v>
      </c>
      <c r="Y455" s="127">
        <f t="shared" si="99"/>
        <v>17108.73</v>
      </c>
      <c r="Z455" s="33" t="s">
        <v>15</v>
      </c>
      <c r="AA455" s="36" t="s">
        <v>16</v>
      </c>
      <c r="AB455" s="181">
        <f t="shared" si="90"/>
        <v>9</v>
      </c>
      <c r="AC455" s="181">
        <f t="shared" si="100"/>
        <v>17108.73</v>
      </c>
      <c r="AD455" s="181">
        <v>5</v>
      </c>
      <c r="AE455" s="181">
        <v>5</v>
      </c>
      <c r="AF455" s="101" t="str">
        <f t="shared" si="91"/>
        <v/>
      </c>
      <c r="AG455" s="190">
        <v>9</v>
      </c>
      <c r="AH455" s="69">
        <f t="shared" si="84"/>
        <v>9</v>
      </c>
    </row>
    <row r="456" spans="1:34" s="69" customFormat="1" ht="49.5" customHeight="1" x14ac:dyDescent="0.3">
      <c r="A456" s="130" t="s">
        <v>1172</v>
      </c>
      <c r="B456" s="131" t="s">
        <v>1173</v>
      </c>
      <c r="C456" s="132" t="s">
        <v>81</v>
      </c>
      <c r="D456" s="133">
        <v>5</v>
      </c>
      <c r="E456" s="75"/>
      <c r="F456" s="75"/>
      <c r="G456" s="75"/>
      <c r="H456" s="75">
        <v>1230.75</v>
      </c>
      <c r="I456" s="75">
        <v>6153.75</v>
      </c>
      <c r="J456" s="91" t="s">
        <v>1174</v>
      </c>
      <c r="K456" s="73"/>
      <c r="L456" s="46">
        <v>5</v>
      </c>
      <c r="M456" s="46">
        <v>0</v>
      </c>
      <c r="N456" s="46">
        <v>6153.75</v>
      </c>
      <c r="O456" s="98"/>
      <c r="P456" s="23" t="s">
        <v>1403</v>
      </c>
      <c r="Q456" s="24" t="s">
        <v>1173</v>
      </c>
      <c r="R456" s="25" t="s">
        <v>81</v>
      </c>
      <c r="S456" s="26">
        <v>5</v>
      </c>
      <c r="T456" s="26"/>
      <c r="U456" s="26">
        <v>1230.75</v>
      </c>
      <c r="V456" s="127">
        <f t="shared" si="97"/>
        <v>0</v>
      </c>
      <c r="W456" s="127">
        <f t="shared" si="78"/>
        <v>5</v>
      </c>
      <c r="X456" s="127">
        <f t="shared" si="98"/>
        <v>0</v>
      </c>
      <c r="Y456" s="127">
        <f t="shared" si="99"/>
        <v>6153.75</v>
      </c>
      <c r="Z456" s="33" t="s">
        <v>15</v>
      </c>
      <c r="AA456" s="36" t="s">
        <v>16</v>
      </c>
      <c r="AB456" s="181">
        <f t="shared" si="90"/>
        <v>5</v>
      </c>
      <c r="AC456" s="181">
        <f t="shared" si="100"/>
        <v>6153.75</v>
      </c>
      <c r="AD456" s="181">
        <v>5</v>
      </c>
      <c r="AE456" s="181">
        <v>5</v>
      </c>
      <c r="AF456" s="101" t="str">
        <f t="shared" si="91"/>
        <v/>
      </c>
      <c r="AG456" s="190">
        <v>5</v>
      </c>
      <c r="AH456" s="69">
        <f t="shared" si="84"/>
        <v>5</v>
      </c>
    </row>
    <row r="457" spans="1:34" s="69" customFormat="1" ht="33" x14ac:dyDescent="0.3">
      <c r="A457" s="55" t="s">
        <v>1175</v>
      </c>
      <c r="B457" s="53" t="s">
        <v>1176</v>
      </c>
      <c r="C457" s="54" t="s">
        <v>81</v>
      </c>
      <c r="D457" s="75">
        <v>756</v>
      </c>
      <c r="E457" s="75"/>
      <c r="F457" s="75"/>
      <c r="G457" s="75"/>
      <c r="H457" s="75">
        <v>1666.11</v>
      </c>
      <c r="I457" s="75">
        <v>1259579.1599999999</v>
      </c>
      <c r="J457" s="91" t="s">
        <v>1177</v>
      </c>
      <c r="K457" s="73"/>
      <c r="L457" s="46">
        <v>400</v>
      </c>
      <c r="M457" s="46">
        <v>0</v>
      </c>
      <c r="N457" s="46">
        <v>666444</v>
      </c>
      <c r="O457" s="98"/>
      <c r="P457" s="23" t="s">
        <v>1427</v>
      </c>
      <c r="Q457" s="24" t="s">
        <v>1176</v>
      </c>
      <c r="R457" s="25" t="s">
        <v>81</v>
      </c>
      <c r="S457" s="26">
        <v>756</v>
      </c>
      <c r="T457" s="26"/>
      <c r="U457" s="26">
        <v>1666.11</v>
      </c>
      <c r="V457" s="26">
        <f t="shared" si="97"/>
        <v>0</v>
      </c>
      <c r="W457" s="26">
        <f t="shared" si="78"/>
        <v>400</v>
      </c>
      <c r="X457" s="26">
        <f t="shared" si="98"/>
        <v>0</v>
      </c>
      <c r="Y457" s="26">
        <f t="shared" si="99"/>
        <v>666444</v>
      </c>
      <c r="Z457" s="33" t="s">
        <v>15</v>
      </c>
      <c r="AA457" s="36" t="s">
        <v>16</v>
      </c>
      <c r="AB457" s="181">
        <f t="shared" si="90"/>
        <v>756</v>
      </c>
      <c r="AC457" s="181">
        <f t="shared" si="100"/>
        <v>1259579.1599999999</v>
      </c>
      <c r="AD457" s="181">
        <v>5</v>
      </c>
      <c r="AE457" s="181">
        <v>5</v>
      </c>
      <c r="AF457" s="101" t="str">
        <f t="shared" si="91"/>
        <v/>
      </c>
      <c r="AG457" s="190">
        <v>400</v>
      </c>
      <c r="AH457" s="69">
        <f t="shared" si="84"/>
        <v>756</v>
      </c>
    </row>
    <row r="458" spans="1:34" s="69" customFormat="1" ht="49.5" customHeight="1" x14ac:dyDescent="0.3">
      <c r="A458" s="130" t="s">
        <v>1178</v>
      </c>
      <c r="B458" s="131" t="s">
        <v>1179</v>
      </c>
      <c r="C458" s="132" t="s">
        <v>81</v>
      </c>
      <c r="D458" s="133">
        <v>2</v>
      </c>
      <c r="E458" s="75"/>
      <c r="F458" s="75"/>
      <c r="G458" s="75"/>
      <c r="H458" s="75">
        <v>48513</v>
      </c>
      <c r="I458" s="75">
        <v>97026</v>
      </c>
      <c r="J458" s="91" t="s">
        <v>1180</v>
      </c>
      <c r="K458" s="73"/>
      <c r="L458" s="46">
        <v>2</v>
      </c>
      <c r="M458" s="46">
        <v>0</v>
      </c>
      <c r="N458" s="46">
        <v>97026</v>
      </c>
      <c r="O458" s="98"/>
      <c r="P458" s="23" t="s">
        <v>1428</v>
      </c>
      <c r="Q458" s="24" t="s">
        <v>1179</v>
      </c>
      <c r="R458" s="25" t="s">
        <v>81</v>
      </c>
      <c r="S458" s="26">
        <v>2</v>
      </c>
      <c r="T458" s="26"/>
      <c r="U458" s="26">
        <v>48513</v>
      </c>
      <c r="V458" s="127">
        <f t="shared" si="97"/>
        <v>0</v>
      </c>
      <c r="W458" s="127">
        <v>2</v>
      </c>
      <c r="X458" s="127">
        <f t="shared" si="98"/>
        <v>0</v>
      </c>
      <c r="Y458" s="127">
        <f t="shared" si="99"/>
        <v>97026</v>
      </c>
      <c r="Z458" s="33" t="s">
        <v>15</v>
      </c>
      <c r="AA458" s="36" t="s">
        <v>16</v>
      </c>
      <c r="AB458" s="181">
        <f t="shared" si="90"/>
        <v>2</v>
      </c>
      <c r="AC458" s="181">
        <f t="shared" si="100"/>
        <v>97026</v>
      </c>
      <c r="AD458" s="181">
        <v>5</v>
      </c>
      <c r="AE458" s="181">
        <v>5</v>
      </c>
      <c r="AF458" s="101" t="str">
        <f t="shared" si="91"/>
        <v/>
      </c>
      <c r="AG458" s="190">
        <v>2</v>
      </c>
      <c r="AH458" s="69">
        <f t="shared" si="84"/>
        <v>2</v>
      </c>
    </row>
    <row r="459" spans="1:34" s="69" customFormat="1" ht="41.25" x14ac:dyDescent="0.3">
      <c r="A459" s="130" t="s">
        <v>1181</v>
      </c>
      <c r="B459" s="131" t="s">
        <v>1182</v>
      </c>
      <c r="C459" s="132" t="s">
        <v>1183</v>
      </c>
      <c r="D459" s="133">
        <v>18</v>
      </c>
      <c r="E459" s="75">
        <v>38</v>
      </c>
      <c r="F459" s="75"/>
      <c r="G459" s="75"/>
      <c r="H459" s="75">
        <v>587.1</v>
      </c>
      <c r="I459" s="75">
        <v>22309.8</v>
      </c>
      <c r="J459" s="91" t="s">
        <v>1184</v>
      </c>
      <c r="K459" s="73"/>
      <c r="L459" s="46">
        <v>20</v>
      </c>
      <c r="M459" s="46">
        <v>0</v>
      </c>
      <c r="N459" s="46">
        <v>11742</v>
      </c>
      <c r="O459" s="98"/>
      <c r="P459" s="23" t="s">
        <v>1387</v>
      </c>
      <c r="Q459" s="24" t="s">
        <v>1182</v>
      </c>
      <c r="R459" s="25" t="s">
        <v>1183</v>
      </c>
      <c r="S459" s="26">
        <v>18</v>
      </c>
      <c r="T459" s="26">
        <v>38</v>
      </c>
      <c r="U459" s="26">
        <v>587.1</v>
      </c>
      <c r="V459" s="128">
        <f t="shared" si="97"/>
        <v>18</v>
      </c>
      <c r="W459" s="127">
        <f t="shared" ref="W459:W493" si="101">V459+L459</f>
        <v>38</v>
      </c>
      <c r="X459" s="127">
        <f t="shared" si="98"/>
        <v>10567.8</v>
      </c>
      <c r="Y459" s="127">
        <f t="shared" si="99"/>
        <v>22309.8</v>
      </c>
      <c r="Z459" s="27" t="s">
        <v>15</v>
      </c>
      <c r="AA459" s="36" t="s">
        <v>16</v>
      </c>
      <c r="AB459" s="181">
        <f t="shared" si="90"/>
        <v>38</v>
      </c>
      <c r="AC459" s="181">
        <f t="shared" si="100"/>
        <v>22309.8</v>
      </c>
      <c r="AD459" s="181">
        <v>5</v>
      </c>
      <c r="AE459" s="181">
        <v>5</v>
      </c>
      <c r="AF459" s="101" t="str">
        <f t="shared" si="91"/>
        <v/>
      </c>
      <c r="AG459" s="191">
        <f>20+18</f>
        <v>38</v>
      </c>
      <c r="AH459" s="69">
        <f t="shared" ref="AH459:AH502" si="102">IF(G459=0,IF(F459=0,IF(E459=0,D459,E459),F459),G459)</f>
        <v>38</v>
      </c>
    </row>
    <row r="460" spans="1:34" s="69" customFormat="1" ht="49.5" customHeight="1" x14ac:dyDescent="0.3">
      <c r="A460" s="55" t="s">
        <v>1185</v>
      </c>
      <c r="B460" s="53" t="s">
        <v>1186</v>
      </c>
      <c r="C460" s="54" t="s">
        <v>162</v>
      </c>
      <c r="D460" s="75">
        <v>9</v>
      </c>
      <c r="E460" s="75"/>
      <c r="F460" s="75"/>
      <c r="G460" s="75"/>
      <c r="H460" s="75">
        <v>664.14</v>
      </c>
      <c r="I460" s="75">
        <v>5977.26</v>
      </c>
      <c r="J460" s="91" t="s">
        <v>1187</v>
      </c>
      <c r="K460" s="73"/>
      <c r="L460" s="46">
        <v>0</v>
      </c>
      <c r="M460" s="46">
        <v>0</v>
      </c>
      <c r="N460" s="46">
        <v>0</v>
      </c>
      <c r="O460" s="98"/>
      <c r="P460" s="23" t="s">
        <v>1405</v>
      </c>
      <c r="Q460" s="24" t="s">
        <v>1186</v>
      </c>
      <c r="R460" s="25" t="s">
        <v>162</v>
      </c>
      <c r="S460" s="26">
        <v>9</v>
      </c>
      <c r="T460" s="26"/>
      <c r="U460" s="26">
        <v>664.14</v>
      </c>
      <c r="V460" s="26">
        <f t="shared" si="97"/>
        <v>0</v>
      </c>
      <c r="W460" s="26">
        <f t="shared" si="101"/>
        <v>0</v>
      </c>
      <c r="X460" s="26">
        <f t="shared" si="98"/>
        <v>0</v>
      </c>
      <c r="Y460" s="26">
        <f t="shared" si="99"/>
        <v>0</v>
      </c>
      <c r="Z460" s="33" t="s">
        <v>15</v>
      </c>
      <c r="AA460" s="36" t="s">
        <v>16</v>
      </c>
      <c r="AB460" s="181">
        <f t="shared" si="90"/>
        <v>9</v>
      </c>
      <c r="AC460" s="181">
        <f t="shared" si="100"/>
        <v>5977.26</v>
      </c>
      <c r="AD460" s="181">
        <v>5</v>
      </c>
      <c r="AE460" s="181">
        <v>5</v>
      </c>
      <c r="AF460" s="101" t="str">
        <f t="shared" si="91"/>
        <v/>
      </c>
      <c r="AG460" s="190">
        <v>0</v>
      </c>
      <c r="AH460" s="69">
        <f t="shared" si="102"/>
        <v>9</v>
      </c>
    </row>
    <row r="461" spans="1:34" s="69" customFormat="1" ht="33" x14ac:dyDescent="0.3">
      <c r="A461" s="55" t="s">
        <v>1188</v>
      </c>
      <c r="B461" s="53" t="s">
        <v>1189</v>
      </c>
      <c r="C461" s="54" t="s">
        <v>81</v>
      </c>
      <c r="D461" s="75">
        <v>68</v>
      </c>
      <c r="E461" s="75"/>
      <c r="F461" s="75"/>
      <c r="G461" s="75"/>
      <c r="H461" s="75">
        <v>847.07</v>
      </c>
      <c r="I461" s="75">
        <v>57600.76</v>
      </c>
      <c r="J461" s="91" t="s">
        <v>1190</v>
      </c>
      <c r="K461" s="73"/>
      <c r="L461" s="46">
        <v>40</v>
      </c>
      <c r="M461" s="46">
        <v>0</v>
      </c>
      <c r="N461" s="46">
        <v>33882.800000000003</v>
      </c>
      <c r="O461" s="98"/>
      <c r="P461" s="23" t="s">
        <v>1406</v>
      </c>
      <c r="Q461" s="24" t="s">
        <v>1189</v>
      </c>
      <c r="R461" s="25" t="s">
        <v>81</v>
      </c>
      <c r="S461" s="26">
        <v>68</v>
      </c>
      <c r="T461" s="26"/>
      <c r="U461" s="26">
        <v>847.07</v>
      </c>
      <c r="V461" s="26">
        <f t="shared" si="97"/>
        <v>0</v>
      </c>
      <c r="W461" s="26">
        <f t="shared" si="101"/>
        <v>40</v>
      </c>
      <c r="X461" s="26">
        <f t="shared" si="98"/>
        <v>0</v>
      </c>
      <c r="Y461" s="26">
        <f t="shared" si="99"/>
        <v>33882.800000000003</v>
      </c>
      <c r="Z461" s="33" t="s">
        <v>15</v>
      </c>
      <c r="AA461" s="36" t="s">
        <v>16</v>
      </c>
      <c r="AB461" s="181">
        <f t="shared" si="90"/>
        <v>68</v>
      </c>
      <c r="AC461" s="181">
        <f t="shared" si="100"/>
        <v>57600.76</v>
      </c>
      <c r="AD461" s="181">
        <v>5</v>
      </c>
      <c r="AE461" s="181">
        <v>5</v>
      </c>
      <c r="AF461" s="101" t="str">
        <f t="shared" si="91"/>
        <v/>
      </c>
      <c r="AG461" s="190">
        <v>40</v>
      </c>
      <c r="AH461" s="69">
        <f t="shared" si="102"/>
        <v>68</v>
      </c>
    </row>
    <row r="462" spans="1:34" s="69" customFormat="1" ht="41.25" x14ac:dyDescent="0.3">
      <c r="A462" s="130" t="s">
        <v>1191</v>
      </c>
      <c r="B462" s="131" t="s">
        <v>1192</v>
      </c>
      <c r="C462" s="132" t="s">
        <v>30</v>
      </c>
      <c r="D462" s="133">
        <v>27.54</v>
      </c>
      <c r="E462" s="75"/>
      <c r="F462" s="75">
        <v>87.54</v>
      </c>
      <c r="G462" s="75"/>
      <c r="H462" s="75">
        <v>293.74</v>
      </c>
      <c r="I462" s="75">
        <v>25714</v>
      </c>
      <c r="J462" s="91" t="s">
        <v>1193</v>
      </c>
      <c r="K462" s="73"/>
      <c r="L462" s="46">
        <v>87.54</v>
      </c>
      <c r="M462" s="46">
        <v>0</v>
      </c>
      <c r="N462" s="46">
        <v>25714</v>
      </c>
      <c r="O462" s="98"/>
      <c r="P462" s="23" t="s">
        <v>1414</v>
      </c>
      <c r="Q462" s="24" t="s">
        <v>1192</v>
      </c>
      <c r="R462" s="25" t="s">
        <v>30</v>
      </c>
      <c r="S462" s="26">
        <v>27.54</v>
      </c>
      <c r="T462" s="26">
        <v>87.54</v>
      </c>
      <c r="U462" s="26">
        <v>293.74</v>
      </c>
      <c r="V462" s="127">
        <f t="shared" si="97"/>
        <v>0</v>
      </c>
      <c r="W462" s="127">
        <f t="shared" si="101"/>
        <v>87.54</v>
      </c>
      <c r="X462" s="127">
        <f t="shared" si="98"/>
        <v>0</v>
      </c>
      <c r="Y462" s="127">
        <f t="shared" si="99"/>
        <v>25714</v>
      </c>
      <c r="Z462" s="27" t="s">
        <v>15</v>
      </c>
      <c r="AA462" s="36" t="s">
        <v>16</v>
      </c>
      <c r="AB462" s="181">
        <f t="shared" si="90"/>
        <v>87.54</v>
      </c>
      <c r="AC462" s="181">
        <f t="shared" si="100"/>
        <v>25714</v>
      </c>
      <c r="AD462" s="181">
        <v>5</v>
      </c>
      <c r="AE462" s="181">
        <v>5</v>
      </c>
      <c r="AF462" s="101" t="str">
        <f t="shared" si="91"/>
        <v/>
      </c>
      <c r="AG462" s="190">
        <v>87.54</v>
      </c>
      <c r="AH462" s="69">
        <f t="shared" si="102"/>
        <v>87.54</v>
      </c>
    </row>
    <row r="463" spans="1:34" s="69" customFormat="1" ht="33" customHeight="1" x14ac:dyDescent="0.3">
      <c r="A463" s="130" t="s">
        <v>1194</v>
      </c>
      <c r="B463" s="131" t="s">
        <v>1195</v>
      </c>
      <c r="C463" s="132" t="s">
        <v>1196</v>
      </c>
      <c r="D463" s="133">
        <v>2</v>
      </c>
      <c r="E463" s="75"/>
      <c r="F463" s="75"/>
      <c r="G463" s="75"/>
      <c r="H463" s="75">
        <v>10000</v>
      </c>
      <c r="I463" s="75">
        <v>20000</v>
      </c>
      <c r="J463" s="91" t="s">
        <v>1197</v>
      </c>
      <c r="K463" s="73"/>
      <c r="L463" s="46">
        <v>2</v>
      </c>
      <c r="M463" s="46">
        <v>0</v>
      </c>
      <c r="N463" s="46">
        <v>20000</v>
      </c>
      <c r="O463" s="98"/>
      <c r="P463" s="23" t="s">
        <v>1429</v>
      </c>
      <c r="Q463" s="24" t="s">
        <v>1195</v>
      </c>
      <c r="R463" s="25" t="s">
        <v>1196</v>
      </c>
      <c r="S463" s="26">
        <v>2</v>
      </c>
      <c r="T463" s="26"/>
      <c r="U463" s="26">
        <v>10000</v>
      </c>
      <c r="V463" s="127">
        <f t="shared" si="97"/>
        <v>0</v>
      </c>
      <c r="W463" s="127">
        <f t="shared" si="101"/>
        <v>2</v>
      </c>
      <c r="X463" s="127">
        <f t="shared" si="98"/>
        <v>0</v>
      </c>
      <c r="Y463" s="127">
        <f t="shared" si="99"/>
        <v>20000</v>
      </c>
      <c r="Z463" s="33" t="s">
        <v>15</v>
      </c>
      <c r="AA463" s="36" t="s">
        <v>16</v>
      </c>
      <c r="AB463" s="181">
        <f t="shared" si="90"/>
        <v>2</v>
      </c>
      <c r="AC463" s="181">
        <f t="shared" si="100"/>
        <v>20000</v>
      </c>
      <c r="AD463" s="181">
        <v>5</v>
      </c>
      <c r="AE463" s="181">
        <v>5</v>
      </c>
      <c r="AF463" s="101" t="str">
        <f t="shared" si="91"/>
        <v/>
      </c>
      <c r="AG463" s="190">
        <v>2</v>
      </c>
      <c r="AH463" s="69">
        <f t="shared" si="102"/>
        <v>2</v>
      </c>
    </row>
    <row r="464" spans="1:34" s="69" customFormat="1" ht="33" customHeight="1" x14ac:dyDescent="0.3">
      <c r="A464" s="55" t="s">
        <v>1198</v>
      </c>
      <c r="B464" s="53" t="s">
        <v>1199</v>
      </c>
      <c r="C464" s="54" t="s">
        <v>30</v>
      </c>
      <c r="D464" s="75">
        <v>1064.31</v>
      </c>
      <c r="E464" s="75"/>
      <c r="F464" s="75"/>
      <c r="G464" s="75"/>
      <c r="H464" s="75">
        <v>210</v>
      </c>
      <c r="I464" s="75">
        <v>223505.1</v>
      </c>
      <c r="J464" s="91" t="s">
        <v>1200</v>
      </c>
      <c r="K464" s="73"/>
      <c r="L464" s="46">
        <v>600</v>
      </c>
      <c r="M464" s="46">
        <v>0</v>
      </c>
      <c r="N464" s="46">
        <v>126000</v>
      </c>
      <c r="O464" s="98"/>
      <c r="P464" s="23" t="s">
        <v>1430</v>
      </c>
      <c r="Q464" s="24" t="s">
        <v>1199</v>
      </c>
      <c r="R464" s="25" t="s">
        <v>30</v>
      </c>
      <c r="S464" s="26">
        <v>1064.31</v>
      </c>
      <c r="T464" s="26"/>
      <c r="U464" s="26">
        <v>210</v>
      </c>
      <c r="V464" s="128">
        <f t="shared" si="97"/>
        <v>52</v>
      </c>
      <c r="W464" s="26">
        <f t="shared" si="101"/>
        <v>652</v>
      </c>
      <c r="X464" s="26">
        <f t="shared" si="98"/>
        <v>10920</v>
      </c>
      <c r="Y464" s="26">
        <f t="shared" si="99"/>
        <v>136920</v>
      </c>
      <c r="Z464" s="33" t="s">
        <v>15</v>
      </c>
      <c r="AA464" s="36" t="s">
        <v>16</v>
      </c>
      <c r="AB464" s="181">
        <f t="shared" si="90"/>
        <v>1064.31</v>
      </c>
      <c r="AC464" s="181">
        <f t="shared" si="100"/>
        <v>223505.1</v>
      </c>
      <c r="AD464" s="181">
        <v>5</v>
      </c>
      <c r="AE464" s="181">
        <v>5</v>
      </c>
      <c r="AF464" s="101" t="str">
        <f t="shared" si="91"/>
        <v/>
      </c>
      <c r="AG464" s="191">
        <f>600+52</f>
        <v>652</v>
      </c>
      <c r="AH464" s="69">
        <f t="shared" si="102"/>
        <v>1064.31</v>
      </c>
    </row>
    <row r="465" spans="1:34" s="69" customFormat="1" ht="33" x14ac:dyDescent="0.3">
      <c r="A465" s="55" t="s">
        <v>1201</v>
      </c>
      <c r="B465" s="53" t="s">
        <v>1202</v>
      </c>
      <c r="C465" s="54" t="s">
        <v>30</v>
      </c>
      <c r="D465" s="75">
        <v>1910.54</v>
      </c>
      <c r="E465" s="75"/>
      <c r="F465" s="75"/>
      <c r="G465" s="75"/>
      <c r="H465" s="75">
        <v>300</v>
      </c>
      <c r="I465" s="75">
        <v>573162</v>
      </c>
      <c r="J465" s="91" t="s">
        <v>1203</v>
      </c>
      <c r="K465" s="73"/>
      <c r="L465" s="46">
        <v>657</v>
      </c>
      <c r="M465" s="46">
        <v>96600</v>
      </c>
      <c r="N465" s="46">
        <v>197100</v>
      </c>
      <c r="O465" s="98"/>
      <c r="P465" s="23" t="s">
        <v>1431</v>
      </c>
      <c r="Q465" s="24" t="s">
        <v>1202</v>
      </c>
      <c r="R465" s="25" t="s">
        <v>30</v>
      </c>
      <c r="S465" s="26">
        <v>1910.54</v>
      </c>
      <c r="T465" s="26"/>
      <c r="U465" s="26">
        <v>300</v>
      </c>
      <c r="V465" s="128">
        <f t="shared" si="97"/>
        <v>107</v>
      </c>
      <c r="W465" s="26">
        <f t="shared" si="101"/>
        <v>764</v>
      </c>
      <c r="X465" s="26">
        <f t="shared" si="98"/>
        <v>32100</v>
      </c>
      <c r="Y465" s="26">
        <f t="shared" si="99"/>
        <v>229200</v>
      </c>
      <c r="Z465" s="33" t="s">
        <v>15</v>
      </c>
      <c r="AA465" s="36" t="s">
        <v>16</v>
      </c>
      <c r="AB465" s="181">
        <f t="shared" si="90"/>
        <v>1910.54</v>
      </c>
      <c r="AC465" s="181">
        <f t="shared" si="100"/>
        <v>573162</v>
      </c>
      <c r="AD465" s="181">
        <v>5</v>
      </c>
      <c r="AE465" s="181">
        <v>5</v>
      </c>
      <c r="AF465" s="101" t="str">
        <f t="shared" si="91"/>
        <v/>
      </c>
      <c r="AG465" s="191">
        <f>120+215+322+107</f>
        <v>764</v>
      </c>
      <c r="AH465" s="69">
        <f t="shared" si="102"/>
        <v>1910.54</v>
      </c>
    </row>
    <row r="466" spans="1:34" s="69" customFormat="1" ht="33" x14ac:dyDescent="0.3">
      <c r="A466" s="55" t="s">
        <v>1204</v>
      </c>
      <c r="B466" s="53" t="s">
        <v>1205</v>
      </c>
      <c r="C466" s="54" t="s">
        <v>30</v>
      </c>
      <c r="D466" s="75">
        <v>2738.45</v>
      </c>
      <c r="E466" s="75"/>
      <c r="F466" s="75"/>
      <c r="G466" s="75"/>
      <c r="H466" s="75">
        <v>200</v>
      </c>
      <c r="I466" s="75">
        <v>547690</v>
      </c>
      <c r="J466" s="91" t="s">
        <v>1206</v>
      </c>
      <c r="K466" s="73"/>
      <c r="L466" s="46">
        <v>700.7</v>
      </c>
      <c r="M466" s="46">
        <v>43200</v>
      </c>
      <c r="N466" s="46">
        <v>140140</v>
      </c>
      <c r="O466" s="98"/>
      <c r="P466" s="23" t="s">
        <v>1395</v>
      </c>
      <c r="Q466" s="24" t="s">
        <v>1205</v>
      </c>
      <c r="R466" s="25" t="s">
        <v>30</v>
      </c>
      <c r="S466" s="26">
        <v>2738.45</v>
      </c>
      <c r="T466" s="26"/>
      <c r="U466" s="26">
        <v>200</v>
      </c>
      <c r="V466" s="128">
        <f t="shared" si="97"/>
        <v>238</v>
      </c>
      <c r="W466" s="26">
        <f t="shared" si="101"/>
        <v>938.7</v>
      </c>
      <c r="X466" s="26">
        <f t="shared" si="98"/>
        <v>47600</v>
      </c>
      <c r="Y466" s="26">
        <f t="shared" si="99"/>
        <v>187740</v>
      </c>
      <c r="Z466" s="33" t="s">
        <v>15</v>
      </c>
      <c r="AA466" s="36" t="s">
        <v>16</v>
      </c>
      <c r="AB466" s="181">
        <f t="shared" si="90"/>
        <v>2738.45</v>
      </c>
      <c r="AC466" s="181">
        <f t="shared" si="100"/>
        <v>547690</v>
      </c>
      <c r="AD466" s="181">
        <v>5</v>
      </c>
      <c r="AE466" s="181">
        <v>5</v>
      </c>
      <c r="AF466" s="101" t="str">
        <f t="shared" si="91"/>
        <v/>
      </c>
      <c r="AG466" s="191">
        <f>172.5+312.2+216+238</f>
        <v>938.7</v>
      </c>
      <c r="AH466" s="69">
        <f t="shared" si="102"/>
        <v>2738.45</v>
      </c>
    </row>
    <row r="467" spans="1:34" s="69" customFormat="1" ht="33" customHeight="1" x14ac:dyDescent="0.3">
      <c r="A467" s="55" t="s">
        <v>1207</v>
      </c>
      <c r="B467" s="53" t="s">
        <v>1208</v>
      </c>
      <c r="C467" s="54" t="s">
        <v>14</v>
      </c>
      <c r="D467" s="75">
        <v>1</v>
      </c>
      <c r="E467" s="75"/>
      <c r="F467" s="76"/>
      <c r="G467" s="76"/>
      <c r="H467" s="75">
        <v>21460.9</v>
      </c>
      <c r="I467" s="75">
        <v>21460.9</v>
      </c>
      <c r="J467" s="91" t="s">
        <v>1209</v>
      </c>
      <c r="K467" s="73"/>
      <c r="L467" s="46">
        <v>0</v>
      </c>
      <c r="M467" s="46">
        <v>0</v>
      </c>
      <c r="N467" s="46">
        <v>0</v>
      </c>
      <c r="O467" s="98"/>
      <c r="P467" s="23" t="s">
        <v>1432</v>
      </c>
      <c r="Q467" s="24" t="s">
        <v>1208</v>
      </c>
      <c r="R467" s="25" t="s">
        <v>14</v>
      </c>
      <c r="S467" s="26">
        <v>1</v>
      </c>
      <c r="T467" s="26"/>
      <c r="U467" s="26">
        <v>21460.9</v>
      </c>
      <c r="V467" s="26">
        <f t="shared" si="97"/>
        <v>0</v>
      </c>
      <c r="W467" s="26">
        <f t="shared" si="101"/>
        <v>0</v>
      </c>
      <c r="X467" s="136">
        <f t="shared" si="98"/>
        <v>0</v>
      </c>
      <c r="Y467" s="26">
        <f t="shared" si="99"/>
        <v>0</v>
      </c>
      <c r="Z467" s="33" t="s">
        <v>15</v>
      </c>
      <c r="AA467" s="36" t="s">
        <v>16</v>
      </c>
      <c r="AB467" s="181">
        <f t="shared" si="90"/>
        <v>1</v>
      </c>
      <c r="AC467" s="181">
        <f t="shared" si="100"/>
        <v>21460.9</v>
      </c>
      <c r="AD467" s="181">
        <v>5</v>
      </c>
      <c r="AE467" s="181">
        <v>5</v>
      </c>
      <c r="AF467" s="101" t="str">
        <f t="shared" si="91"/>
        <v/>
      </c>
      <c r="AG467" s="190">
        <v>0</v>
      </c>
      <c r="AH467" s="69">
        <f t="shared" si="102"/>
        <v>1</v>
      </c>
    </row>
    <row r="468" spans="1:34" s="69" customFormat="1" ht="39" x14ac:dyDescent="0.3">
      <c r="A468" s="66">
        <v>5.18</v>
      </c>
      <c r="B468" s="57" t="s">
        <v>1356</v>
      </c>
      <c r="C468" s="58" t="s">
        <v>97</v>
      </c>
      <c r="D468" s="65"/>
      <c r="E468" s="59">
        <v>720</v>
      </c>
      <c r="F468" s="180"/>
      <c r="G468" s="180"/>
      <c r="H468" s="178">
        <v>273.11</v>
      </c>
      <c r="I468" s="59">
        <v>196639.2</v>
      </c>
      <c r="J468" s="92"/>
      <c r="K468" s="73"/>
      <c r="L468" s="46">
        <v>640</v>
      </c>
      <c r="M468" s="46">
        <v>0</v>
      </c>
      <c r="N468" s="46">
        <v>174790.39999999999</v>
      </c>
      <c r="O468" s="98"/>
      <c r="P468" s="23" t="s">
        <v>1433</v>
      </c>
      <c r="Q468" s="24" t="s">
        <v>1503</v>
      </c>
      <c r="R468" s="25" t="s">
        <v>97</v>
      </c>
      <c r="S468" s="26">
        <v>0</v>
      </c>
      <c r="T468" s="26">
        <v>720</v>
      </c>
      <c r="U468" s="26">
        <v>273.11</v>
      </c>
      <c r="V468" s="26">
        <f t="shared" si="97"/>
        <v>0</v>
      </c>
      <c r="W468" s="26">
        <f t="shared" si="101"/>
        <v>640</v>
      </c>
      <c r="X468" s="26">
        <f t="shared" si="98"/>
        <v>0</v>
      </c>
      <c r="Y468" s="26">
        <f t="shared" si="99"/>
        <v>174790.39999999999</v>
      </c>
      <c r="Z468" s="27"/>
      <c r="AA468" s="36" t="s">
        <v>16</v>
      </c>
      <c r="AB468" s="181">
        <f t="shared" si="90"/>
        <v>720</v>
      </c>
      <c r="AC468" s="181">
        <f t="shared" si="100"/>
        <v>196639.2</v>
      </c>
      <c r="AD468" s="181">
        <v>5</v>
      </c>
      <c r="AE468" s="181">
        <v>5</v>
      </c>
      <c r="AF468" s="101" t="str">
        <f t="shared" si="91"/>
        <v/>
      </c>
      <c r="AG468" s="190">
        <v>640</v>
      </c>
      <c r="AH468" s="69">
        <f t="shared" si="102"/>
        <v>720</v>
      </c>
    </row>
    <row r="469" spans="1:34" s="69" customFormat="1" ht="39" x14ac:dyDescent="0.3">
      <c r="A469" s="144">
        <v>5.19</v>
      </c>
      <c r="B469" s="145" t="s">
        <v>1357</v>
      </c>
      <c r="C469" s="206" t="s">
        <v>30</v>
      </c>
      <c r="D469" s="174"/>
      <c r="E469" s="175">
        <v>212</v>
      </c>
      <c r="F469" s="180"/>
      <c r="G469" s="180"/>
      <c r="H469" s="179">
        <v>1859.87</v>
      </c>
      <c r="I469" s="175">
        <v>394292.44</v>
      </c>
      <c r="J469" s="176"/>
      <c r="K469" s="73"/>
      <c r="L469" s="46">
        <v>212</v>
      </c>
      <c r="M469" s="46">
        <v>0</v>
      </c>
      <c r="N469" s="46">
        <v>394292.44</v>
      </c>
      <c r="O469" s="98"/>
      <c r="P469" s="23" t="s">
        <v>1382</v>
      </c>
      <c r="Q469" s="24" t="s">
        <v>1504</v>
      </c>
      <c r="R469" s="25" t="s">
        <v>30</v>
      </c>
      <c r="S469" s="26">
        <v>0</v>
      </c>
      <c r="T469" s="26">
        <v>212</v>
      </c>
      <c r="U469" s="26">
        <v>1859.87</v>
      </c>
      <c r="V469" s="127">
        <f t="shared" si="97"/>
        <v>0</v>
      </c>
      <c r="W469" s="127">
        <f t="shared" si="101"/>
        <v>212</v>
      </c>
      <c r="X469" s="127">
        <f t="shared" si="98"/>
        <v>0</v>
      </c>
      <c r="Y469" s="127">
        <f t="shared" si="99"/>
        <v>394292.44</v>
      </c>
      <c r="Z469" s="27"/>
      <c r="AA469" s="36" t="s">
        <v>16</v>
      </c>
      <c r="AB469" s="181">
        <f t="shared" si="90"/>
        <v>212</v>
      </c>
      <c r="AC469" s="181">
        <f t="shared" si="100"/>
        <v>394292.44</v>
      </c>
      <c r="AD469" s="181">
        <v>5</v>
      </c>
      <c r="AE469" s="181">
        <v>5</v>
      </c>
      <c r="AF469" s="101" t="str">
        <f t="shared" si="91"/>
        <v/>
      </c>
      <c r="AG469" s="190">
        <v>212</v>
      </c>
      <c r="AH469" s="69">
        <f t="shared" si="102"/>
        <v>212</v>
      </c>
    </row>
    <row r="470" spans="1:34" s="69" customFormat="1" ht="39" x14ac:dyDescent="0.3">
      <c r="A470" s="210" t="s">
        <v>3106</v>
      </c>
      <c r="B470" s="208" t="s">
        <v>3107</v>
      </c>
      <c r="C470" s="204" t="s">
        <v>14</v>
      </c>
      <c r="D470" s="156"/>
      <c r="E470" s="159"/>
      <c r="F470" s="156"/>
      <c r="G470" s="156">
        <v>1</v>
      </c>
      <c r="H470" s="158"/>
      <c r="I470" s="159">
        <v>263694.64</v>
      </c>
      <c r="J470" s="160"/>
      <c r="K470" s="73"/>
      <c r="L470" s="46">
        <v>1</v>
      </c>
      <c r="M470" s="46">
        <v>0</v>
      </c>
      <c r="N470" s="46">
        <v>263694.64</v>
      </c>
      <c r="O470" s="98"/>
      <c r="P470" s="23" t="s">
        <v>3108</v>
      </c>
      <c r="Q470" s="24" t="s">
        <v>3107</v>
      </c>
      <c r="R470" s="25" t="s">
        <v>14</v>
      </c>
      <c r="S470" s="26"/>
      <c r="T470" s="26">
        <v>1</v>
      </c>
      <c r="U470" s="26">
        <v>263694.64</v>
      </c>
      <c r="V470" s="127">
        <f t="shared" si="97"/>
        <v>0</v>
      </c>
      <c r="W470" s="127">
        <f t="shared" si="101"/>
        <v>1</v>
      </c>
      <c r="X470" s="127">
        <f t="shared" si="98"/>
        <v>0</v>
      </c>
      <c r="Y470" s="127">
        <f t="shared" si="99"/>
        <v>263694.64</v>
      </c>
      <c r="Z470" s="27"/>
      <c r="AA470" s="36"/>
      <c r="AB470" s="181">
        <f t="shared" si="90"/>
        <v>1</v>
      </c>
      <c r="AC470" s="181">
        <f t="shared" si="100"/>
        <v>263694.64</v>
      </c>
      <c r="AD470" s="181">
        <v>5</v>
      </c>
      <c r="AE470" s="181">
        <v>5</v>
      </c>
      <c r="AF470" s="101"/>
      <c r="AG470" s="193">
        <v>1</v>
      </c>
      <c r="AH470" s="69">
        <f t="shared" si="102"/>
        <v>1</v>
      </c>
    </row>
    <row r="471" spans="1:34" s="69" customFormat="1" ht="33" x14ac:dyDescent="0.3">
      <c r="A471" s="150" t="s">
        <v>1210</v>
      </c>
      <c r="B471" s="151" t="s">
        <v>1211</v>
      </c>
      <c r="C471" s="152" t="s">
        <v>14</v>
      </c>
      <c r="D471" s="153">
        <v>1</v>
      </c>
      <c r="E471" s="153"/>
      <c r="F471" s="153"/>
      <c r="G471" s="153"/>
      <c r="H471" s="153"/>
      <c r="I471" s="153">
        <v>3143726.96</v>
      </c>
      <c r="J471" s="154" t="s">
        <v>15</v>
      </c>
      <c r="K471" s="73"/>
      <c r="L471" s="42">
        <v>1</v>
      </c>
      <c r="M471" s="42">
        <v>94936</v>
      </c>
      <c r="N471" s="42">
        <v>2043404.99</v>
      </c>
      <c r="O471" s="98"/>
      <c r="P471" s="13" t="s">
        <v>1415</v>
      </c>
      <c r="Q471" s="14" t="s">
        <v>1211</v>
      </c>
      <c r="R471" s="15" t="s">
        <v>14</v>
      </c>
      <c r="S471" s="16">
        <v>1</v>
      </c>
      <c r="T471" s="16"/>
      <c r="U471" s="16">
        <f>SUMIFS(AC:AC,AD:AD,AD471)</f>
        <v>3143726.9600000004</v>
      </c>
      <c r="V471" s="16">
        <f t="shared" ref="V471:W471" si="103">IF(X471=0,0,1)</f>
        <v>1</v>
      </c>
      <c r="W471" s="16">
        <f t="shared" si="103"/>
        <v>1</v>
      </c>
      <c r="X471" s="16">
        <f>SUMIFS(X:X,AE:AE,AD471)</f>
        <v>230916.38</v>
      </c>
      <c r="Y471" s="16">
        <f>SUMIFS(Y:Y,AE:AE,AD471)</f>
        <v>2274321.37</v>
      </c>
      <c r="Z471" s="17" t="s">
        <v>15</v>
      </c>
      <c r="AA471" s="40" t="s">
        <v>16</v>
      </c>
      <c r="AB471" s="181">
        <f t="shared" si="90"/>
        <v>1</v>
      </c>
      <c r="AC471" s="183"/>
      <c r="AD471" s="183">
        <v>6</v>
      </c>
      <c r="AE471" s="183"/>
      <c r="AF471" s="101" t="str">
        <f t="shared" si="91"/>
        <v/>
      </c>
      <c r="AG471" s="190">
        <v>1</v>
      </c>
      <c r="AH471" s="69">
        <f t="shared" si="102"/>
        <v>1</v>
      </c>
    </row>
    <row r="472" spans="1:34" s="69" customFormat="1" ht="33" customHeight="1" x14ac:dyDescent="0.3">
      <c r="A472" s="130" t="s">
        <v>1212</v>
      </c>
      <c r="B472" s="131" t="s">
        <v>1213</v>
      </c>
      <c r="C472" s="132" t="s">
        <v>1014</v>
      </c>
      <c r="D472" s="133">
        <v>10</v>
      </c>
      <c r="E472" s="75"/>
      <c r="F472" s="75"/>
      <c r="G472" s="75"/>
      <c r="H472" s="75">
        <v>770</v>
      </c>
      <c r="I472" s="75">
        <v>7700</v>
      </c>
      <c r="J472" s="91" t="s">
        <v>1214</v>
      </c>
      <c r="K472" s="73"/>
      <c r="L472" s="46">
        <v>10</v>
      </c>
      <c r="M472" s="46">
        <v>0</v>
      </c>
      <c r="N472" s="46">
        <v>7700</v>
      </c>
      <c r="O472" s="98"/>
      <c r="P472" s="23" t="s">
        <v>1421</v>
      </c>
      <c r="Q472" s="24" t="s">
        <v>1213</v>
      </c>
      <c r="R472" s="25" t="s">
        <v>1014</v>
      </c>
      <c r="S472" s="26">
        <v>10</v>
      </c>
      <c r="T472" s="26"/>
      <c r="U472" s="26">
        <v>770</v>
      </c>
      <c r="V472" s="127">
        <f t="shared" ref="V472:V490" si="104">AG472-L472</f>
        <v>0</v>
      </c>
      <c r="W472" s="127">
        <f t="shared" si="101"/>
        <v>10</v>
      </c>
      <c r="X472" s="127">
        <f t="shared" ref="X472:X490" si="105">Y472-N472</f>
        <v>0</v>
      </c>
      <c r="Y472" s="127">
        <f t="shared" ref="Y472:Y490" si="106">ROUND(U472*W472,2)</f>
        <v>7700</v>
      </c>
      <c r="Z472" s="33" t="s">
        <v>15</v>
      </c>
      <c r="AA472" s="36" t="s">
        <v>16</v>
      </c>
      <c r="AB472" s="181">
        <f t="shared" si="90"/>
        <v>10</v>
      </c>
      <c r="AC472" s="181">
        <f t="shared" ref="AC472:AC490" si="107">ROUND(U472*AB472,2)</f>
        <v>7700</v>
      </c>
      <c r="AD472" s="181">
        <v>6</v>
      </c>
      <c r="AE472" s="181">
        <v>6</v>
      </c>
      <c r="AF472" s="101" t="str">
        <f t="shared" si="91"/>
        <v/>
      </c>
      <c r="AG472" s="190">
        <v>10</v>
      </c>
      <c r="AH472" s="69">
        <f t="shared" si="102"/>
        <v>10</v>
      </c>
    </row>
    <row r="473" spans="1:34" s="69" customFormat="1" ht="33" customHeight="1" x14ac:dyDescent="0.3">
      <c r="A473" s="130" t="s">
        <v>1215</v>
      </c>
      <c r="B473" s="131" t="s">
        <v>1216</v>
      </c>
      <c r="C473" s="132" t="s">
        <v>1217</v>
      </c>
      <c r="D473" s="133">
        <v>100</v>
      </c>
      <c r="E473" s="75"/>
      <c r="F473" s="75"/>
      <c r="G473" s="75"/>
      <c r="H473" s="75">
        <v>201</v>
      </c>
      <c r="I473" s="75">
        <v>20100</v>
      </c>
      <c r="J473" s="91" t="s">
        <v>1218</v>
      </c>
      <c r="K473" s="73"/>
      <c r="L473" s="46">
        <v>100</v>
      </c>
      <c r="M473" s="46">
        <v>0</v>
      </c>
      <c r="N473" s="46">
        <v>20100</v>
      </c>
      <c r="O473" s="98"/>
      <c r="P473" s="23" t="s">
        <v>1426</v>
      </c>
      <c r="Q473" s="24" t="s">
        <v>1216</v>
      </c>
      <c r="R473" s="25" t="s">
        <v>1217</v>
      </c>
      <c r="S473" s="26">
        <v>100</v>
      </c>
      <c r="T473" s="26"/>
      <c r="U473" s="26">
        <v>201</v>
      </c>
      <c r="V473" s="127">
        <f t="shared" si="104"/>
        <v>0</v>
      </c>
      <c r="W473" s="127">
        <f t="shared" si="101"/>
        <v>100</v>
      </c>
      <c r="X473" s="127">
        <f t="shared" si="105"/>
        <v>0</v>
      </c>
      <c r="Y473" s="127">
        <f t="shared" si="106"/>
        <v>20100</v>
      </c>
      <c r="Z473" s="33" t="s">
        <v>15</v>
      </c>
      <c r="AA473" s="36" t="s">
        <v>16</v>
      </c>
      <c r="AB473" s="181">
        <f t="shared" si="90"/>
        <v>100</v>
      </c>
      <c r="AC473" s="181">
        <f t="shared" si="107"/>
        <v>20100</v>
      </c>
      <c r="AD473" s="181">
        <v>6</v>
      </c>
      <c r="AE473" s="181">
        <v>6</v>
      </c>
      <c r="AF473" s="101" t="str">
        <f t="shared" si="91"/>
        <v/>
      </c>
      <c r="AG473" s="190">
        <v>100</v>
      </c>
      <c r="AH473" s="69">
        <f t="shared" si="102"/>
        <v>100</v>
      </c>
    </row>
    <row r="474" spans="1:34" s="69" customFormat="1" ht="39" x14ac:dyDescent="0.3">
      <c r="A474" s="130" t="s">
        <v>1219</v>
      </c>
      <c r="B474" s="131" t="s">
        <v>1220</v>
      </c>
      <c r="C474" s="132" t="s">
        <v>1221</v>
      </c>
      <c r="D474" s="133">
        <v>50</v>
      </c>
      <c r="E474" s="75"/>
      <c r="F474" s="75"/>
      <c r="G474" s="75"/>
      <c r="H474" s="75">
        <v>300</v>
      </c>
      <c r="I474" s="75">
        <v>15000</v>
      </c>
      <c r="J474" s="91" t="s">
        <v>1222</v>
      </c>
      <c r="K474" s="73"/>
      <c r="L474" s="46">
        <v>50</v>
      </c>
      <c r="M474" s="46">
        <v>0</v>
      </c>
      <c r="N474" s="46">
        <v>15000</v>
      </c>
      <c r="O474" s="98"/>
      <c r="P474" s="23" t="s">
        <v>1402</v>
      </c>
      <c r="Q474" s="24" t="s">
        <v>1220</v>
      </c>
      <c r="R474" s="25" t="s">
        <v>1221</v>
      </c>
      <c r="S474" s="26">
        <v>50</v>
      </c>
      <c r="T474" s="26"/>
      <c r="U474" s="26">
        <v>300</v>
      </c>
      <c r="V474" s="127">
        <f t="shared" si="104"/>
        <v>0</v>
      </c>
      <c r="W474" s="127">
        <f t="shared" si="101"/>
        <v>50</v>
      </c>
      <c r="X474" s="127">
        <f t="shared" si="105"/>
        <v>0</v>
      </c>
      <c r="Y474" s="127">
        <f t="shared" si="106"/>
        <v>15000</v>
      </c>
      <c r="Z474" s="33" t="s">
        <v>15</v>
      </c>
      <c r="AA474" s="36" t="s">
        <v>16</v>
      </c>
      <c r="AB474" s="181">
        <f t="shared" si="90"/>
        <v>50</v>
      </c>
      <c r="AC474" s="181">
        <f t="shared" si="107"/>
        <v>15000</v>
      </c>
      <c r="AD474" s="181">
        <v>6</v>
      </c>
      <c r="AE474" s="181">
        <v>6</v>
      </c>
      <c r="AF474" s="101" t="str">
        <f t="shared" si="91"/>
        <v/>
      </c>
      <c r="AG474" s="190">
        <v>50</v>
      </c>
      <c r="AH474" s="69">
        <f t="shared" si="102"/>
        <v>50</v>
      </c>
    </row>
    <row r="475" spans="1:34" s="69" customFormat="1" ht="33" customHeight="1" x14ac:dyDescent="0.3">
      <c r="A475" s="130" t="s">
        <v>1223</v>
      </c>
      <c r="B475" s="131" t="s">
        <v>1224</v>
      </c>
      <c r="C475" s="132" t="s">
        <v>325</v>
      </c>
      <c r="D475" s="133">
        <v>75</v>
      </c>
      <c r="E475" s="75"/>
      <c r="F475" s="75"/>
      <c r="G475" s="75"/>
      <c r="H475" s="75">
        <v>650</v>
      </c>
      <c r="I475" s="75">
        <v>48750</v>
      </c>
      <c r="J475" s="91" t="s">
        <v>1225</v>
      </c>
      <c r="K475" s="73"/>
      <c r="L475" s="46">
        <v>75</v>
      </c>
      <c r="M475" s="46">
        <v>0</v>
      </c>
      <c r="N475" s="46">
        <v>48750</v>
      </c>
      <c r="O475" s="98"/>
      <c r="P475" s="23" t="s">
        <v>1373</v>
      </c>
      <c r="Q475" s="24" t="s">
        <v>1224</v>
      </c>
      <c r="R475" s="25" t="s">
        <v>325</v>
      </c>
      <c r="S475" s="26">
        <v>75</v>
      </c>
      <c r="T475" s="26"/>
      <c r="U475" s="26">
        <v>650</v>
      </c>
      <c r="V475" s="127">
        <f t="shared" si="104"/>
        <v>0</v>
      </c>
      <c r="W475" s="127">
        <f t="shared" si="101"/>
        <v>75</v>
      </c>
      <c r="X475" s="127">
        <f t="shared" si="105"/>
        <v>0</v>
      </c>
      <c r="Y475" s="127">
        <f t="shared" si="106"/>
        <v>48750</v>
      </c>
      <c r="Z475" s="33" t="s">
        <v>15</v>
      </c>
      <c r="AA475" s="36" t="s">
        <v>16</v>
      </c>
      <c r="AB475" s="181">
        <f t="shared" si="90"/>
        <v>75</v>
      </c>
      <c r="AC475" s="181">
        <f t="shared" si="107"/>
        <v>48750</v>
      </c>
      <c r="AD475" s="181">
        <v>6</v>
      </c>
      <c r="AE475" s="181">
        <v>6</v>
      </c>
      <c r="AF475" s="101" t="str">
        <f t="shared" si="91"/>
        <v/>
      </c>
      <c r="AG475" s="190">
        <v>75</v>
      </c>
      <c r="AH475" s="69">
        <f t="shared" si="102"/>
        <v>75</v>
      </c>
    </row>
    <row r="476" spans="1:34" s="69" customFormat="1" ht="33" customHeight="1" x14ac:dyDescent="0.3">
      <c r="A476" s="130" t="s">
        <v>1226</v>
      </c>
      <c r="B476" s="131" t="s">
        <v>1227</v>
      </c>
      <c r="C476" s="132" t="s">
        <v>1228</v>
      </c>
      <c r="D476" s="133">
        <v>200</v>
      </c>
      <c r="E476" s="75"/>
      <c r="F476" s="75"/>
      <c r="G476" s="75"/>
      <c r="H476" s="75">
        <v>28</v>
      </c>
      <c r="I476" s="75">
        <v>5600</v>
      </c>
      <c r="J476" s="91" t="s">
        <v>1229</v>
      </c>
      <c r="K476" s="73"/>
      <c r="L476" s="46">
        <v>200</v>
      </c>
      <c r="M476" s="46">
        <v>0</v>
      </c>
      <c r="N476" s="46">
        <v>5600</v>
      </c>
      <c r="O476" s="98"/>
      <c r="P476" s="23" t="s">
        <v>1393</v>
      </c>
      <c r="Q476" s="24" t="s">
        <v>1227</v>
      </c>
      <c r="R476" s="25" t="s">
        <v>1228</v>
      </c>
      <c r="S476" s="26">
        <v>200</v>
      </c>
      <c r="T476" s="26"/>
      <c r="U476" s="26">
        <v>28</v>
      </c>
      <c r="V476" s="127">
        <f t="shared" si="104"/>
        <v>0</v>
      </c>
      <c r="W476" s="127">
        <f t="shared" si="101"/>
        <v>200</v>
      </c>
      <c r="X476" s="127">
        <f t="shared" si="105"/>
        <v>0</v>
      </c>
      <c r="Y476" s="127">
        <f t="shared" si="106"/>
        <v>5600</v>
      </c>
      <c r="Z476" s="33" t="s">
        <v>15</v>
      </c>
      <c r="AA476" s="36" t="s">
        <v>16</v>
      </c>
      <c r="AB476" s="181">
        <f t="shared" si="90"/>
        <v>200</v>
      </c>
      <c r="AC476" s="181">
        <f t="shared" si="107"/>
        <v>5600</v>
      </c>
      <c r="AD476" s="181">
        <v>6</v>
      </c>
      <c r="AE476" s="181">
        <v>6</v>
      </c>
      <c r="AF476" s="101" t="str">
        <f t="shared" si="91"/>
        <v/>
      </c>
      <c r="AG476" s="190">
        <v>200</v>
      </c>
      <c r="AH476" s="69">
        <f t="shared" si="102"/>
        <v>200</v>
      </c>
    </row>
    <row r="477" spans="1:34" s="69" customFormat="1" ht="33" customHeight="1" x14ac:dyDescent="0.3">
      <c r="A477" s="55" t="s">
        <v>1230</v>
      </c>
      <c r="B477" s="53" t="s">
        <v>1231</v>
      </c>
      <c r="C477" s="54" t="s">
        <v>1228</v>
      </c>
      <c r="D477" s="75">
        <v>100</v>
      </c>
      <c r="E477" s="75"/>
      <c r="F477" s="75"/>
      <c r="G477" s="75"/>
      <c r="H477" s="75">
        <v>500</v>
      </c>
      <c r="I477" s="75">
        <v>50000</v>
      </c>
      <c r="J477" s="91" t="s">
        <v>1232</v>
      </c>
      <c r="K477" s="73"/>
      <c r="L477" s="46">
        <v>0</v>
      </c>
      <c r="M477" s="46">
        <v>0</v>
      </c>
      <c r="N477" s="46">
        <v>0</v>
      </c>
      <c r="O477" s="98"/>
      <c r="P477" s="23" t="s">
        <v>1403</v>
      </c>
      <c r="Q477" s="24" t="s">
        <v>1231</v>
      </c>
      <c r="R477" s="25" t="s">
        <v>1228</v>
      </c>
      <c r="S477" s="26">
        <v>100</v>
      </c>
      <c r="T477" s="26"/>
      <c r="U477" s="26">
        <v>500</v>
      </c>
      <c r="V477" s="128">
        <f t="shared" si="104"/>
        <v>62</v>
      </c>
      <c r="W477" s="26">
        <f t="shared" si="101"/>
        <v>62</v>
      </c>
      <c r="X477" s="26">
        <f t="shared" si="105"/>
        <v>31000</v>
      </c>
      <c r="Y477" s="26">
        <f t="shared" si="106"/>
        <v>31000</v>
      </c>
      <c r="Z477" s="33" t="s">
        <v>15</v>
      </c>
      <c r="AA477" s="36" t="s">
        <v>16</v>
      </c>
      <c r="AB477" s="181">
        <f t="shared" ref="AB477:AB498" si="108">IF(T477="",S477,T477)</f>
        <v>100</v>
      </c>
      <c r="AC477" s="181">
        <f t="shared" si="107"/>
        <v>50000</v>
      </c>
      <c r="AD477" s="181">
        <v>6</v>
      </c>
      <c r="AE477" s="181">
        <v>6</v>
      </c>
      <c r="AF477" s="101" t="str">
        <f t="shared" ref="AF477:AF502" si="109">IF(W477&gt;AH477,"超估","")</f>
        <v/>
      </c>
      <c r="AG477" s="191">
        <f>62</f>
        <v>62</v>
      </c>
      <c r="AH477" s="69">
        <f t="shared" si="102"/>
        <v>100</v>
      </c>
    </row>
    <row r="478" spans="1:34" s="69" customFormat="1" ht="33" customHeight="1" x14ac:dyDescent="0.3">
      <c r="A478" s="55" t="s">
        <v>1233</v>
      </c>
      <c r="B478" s="53" t="s">
        <v>1234</v>
      </c>
      <c r="C478" s="54" t="s">
        <v>1235</v>
      </c>
      <c r="D478" s="75">
        <v>75</v>
      </c>
      <c r="E478" s="75"/>
      <c r="F478" s="75"/>
      <c r="G478" s="75"/>
      <c r="H478" s="75">
        <v>280</v>
      </c>
      <c r="I478" s="75">
        <v>21000</v>
      </c>
      <c r="J478" s="91" t="s">
        <v>1236</v>
      </c>
      <c r="K478" s="73"/>
      <c r="L478" s="46">
        <v>0</v>
      </c>
      <c r="M478" s="46">
        <v>0</v>
      </c>
      <c r="N478" s="46">
        <v>0</v>
      </c>
      <c r="O478" s="98"/>
      <c r="P478" s="23" t="s">
        <v>1427</v>
      </c>
      <c r="Q478" s="24" t="s">
        <v>1234</v>
      </c>
      <c r="R478" s="25" t="s">
        <v>1235</v>
      </c>
      <c r="S478" s="26">
        <v>75</v>
      </c>
      <c r="T478" s="26"/>
      <c r="U478" s="26">
        <v>280</v>
      </c>
      <c r="V478" s="128">
        <f t="shared" si="104"/>
        <v>38</v>
      </c>
      <c r="W478" s="26">
        <f t="shared" si="101"/>
        <v>38</v>
      </c>
      <c r="X478" s="26">
        <f t="shared" si="105"/>
        <v>10640</v>
      </c>
      <c r="Y478" s="26">
        <f t="shared" si="106"/>
        <v>10640</v>
      </c>
      <c r="Z478" s="33" t="s">
        <v>15</v>
      </c>
      <c r="AA478" s="36" t="s">
        <v>16</v>
      </c>
      <c r="AB478" s="181">
        <f t="shared" si="108"/>
        <v>75</v>
      </c>
      <c r="AC478" s="181">
        <f t="shared" si="107"/>
        <v>21000</v>
      </c>
      <c r="AD478" s="181">
        <v>6</v>
      </c>
      <c r="AE478" s="181">
        <v>6</v>
      </c>
      <c r="AF478" s="101" t="str">
        <f t="shared" si="109"/>
        <v/>
      </c>
      <c r="AG478" s="191">
        <f>38</f>
        <v>38</v>
      </c>
      <c r="AH478" s="69">
        <f t="shared" si="102"/>
        <v>75</v>
      </c>
    </row>
    <row r="479" spans="1:34" s="69" customFormat="1" ht="78" x14ac:dyDescent="0.3">
      <c r="A479" s="130" t="s">
        <v>1237</v>
      </c>
      <c r="B479" s="131" t="s">
        <v>1238</v>
      </c>
      <c r="C479" s="132" t="s">
        <v>1235</v>
      </c>
      <c r="D479" s="133">
        <v>50</v>
      </c>
      <c r="E479" s="75"/>
      <c r="F479" s="75"/>
      <c r="G479" s="75"/>
      <c r="H479" s="75">
        <v>350</v>
      </c>
      <c r="I479" s="75">
        <v>17500</v>
      </c>
      <c r="J479" s="91" t="s">
        <v>1239</v>
      </c>
      <c r="K479" s="73"/>
      <c r="L479" s="46">
        <v>50</v>
      </c>
      <c r="M479" s="46">
        <v>0</v>
      </c>
      <c r="N479" s="46">
        <v>17500</v>
      </c>
      <c r="O479" s="98"/>
      <c r="P479" s="23" t="s">
        <v>1428</v>
      </c>
      <c r="Q479" s="24" t="s">
        <v>1238</v>
      </c>
      <c r="R479" s="25" t="s">
        <v>1235</v>
      </c>
      <c r="S479" s="26">
        <v>50</v>
      </c>
      <c r="T479" s="26"/>
      <c r="U479" s="26">
        <v>350</v>
      </c>
      <c r="V479" s="127">
        <f t="shared" si="104"/>
        <v>0</v>
      </c>
      <c r="W479" s="127">
        <f t="shared" si="101"/>
        <v>50</v>
      </c>
      <c r="X479" s="127">
        <f t="shared" si="105"/>
        <v>0</v>
      </c>
      <c r="Y479" s="127">
        <f t="shared" si="106"/>
        <v>17500</v>
      </c>
      <c r="Z479" s="33" t="s">
        <v>15</v>
      </c>
      <c r="AA479" s="36" t="s">
        <v>16</v>
      </c>
      <c r="AB479" s="181">
        <f t="shared" si="108"/>
        <v>50</v>
      </c>
      <c r="AC479" s="181">
        <f t="shared" si="107"/>
        <v>17500</v>
      </c>
      <c r="AD479" s="181">
        <v>6</v>
      </c>
      <c r="AE479" s="181">
        <v>6</v>
      </c>
      <c r="AF479" s="101" t="str">
        <f t="shared" si="109"/>
        <v/>
      </c>
      <c r="AG479" s="190">
        <v>50</v>
      </c>
      <c r="AH479" s="69">
        <f t="shared" si="102"/>
        <v>50</v>
      </c>
    </row>
    <row r="480" spans="1:34" s="69" customFormat="1" ht="33" customHeight="1" x14ac:dyDescent="0.3">
      <c r="A480" s="55" t="s">
        <v>1240</v>
      </c>
      <c r="B480" s="53" t="s">
        <v>1241</v>
      </c>
      <c r="C480" s="54" t="s">
        <v>325</v>
      </c>
      <c r="D480" s="75">
        <v>10</v>
      </c>
      <c r="E480" s="75"/>
      <c r="F480" s="75"/>
      <c r="G480" s="75"/>
      <c r="H480" s="75">
        <v>560</v>
      </c>
      <c r="I480" s="75">
        <v>5600</v>
      </c>
      <c r="J480" s="91" t="s">
        <v>1242</v>
      </c>
      <c r="K480" s="73"/>
      <c r="L480" s="46">
        <v>0</v>
      </c>
      <c r="M480" s="46">
        <v>0</v>
      </c>
      <c r="N480" s="46">
        <v>0</v>
      </c>
      <c r="O480" s="98"/>
      <c r="P480" s="23" t="s">
        <v>1387</v>
      </c>
      <c r="Q480" s="24" t="s">
        <v>1241</v>
      </c>
      <c r="R480" s="25" t="s">
        <v>325</v>
      </c>
      <c r="S480" s="26">
        <v>10</v>
      </c>
      <c r="T480" s="26"/>
      <c r="U480" s="26">
        <v>560</v>
      </c>
      <c r="V480" s="128">
        <f t="shared" si="104"/>
        <v>10</v>
      </c>
      <c r="W480" s="127">
        <f t="shared" si="101"/>
        <v>10</v>
      </c>
      <c r="X480" s="127">
        <f t="shared" si="105"/>
        <v>5600</v>
      </c>
      <c r="Y480" s="127">
        <f t="shared" si="106"/>
        <v>5600</v>
      </c>
      <c r="Z480" s="33" t="s">
        <v>15</v>
      </c>
      <c r="AA480" s="36" t="s">
        <v>16</v>
      </c>
      <c r="AB480" s="181">
        <f t="shared" si="108"/>
        <v>10</v>
      </c>
      <c r="AC480" s="181">
        <f t="shared" si="107"/>
        <v>5600</v>
      </c>
      <c r="AD480" s="181">
        <v>6</v>
      </c>
      <c r="AE480" s="181">
        <v>6</v>
      </c>
      <c r="AF480" s="101" t="str">
        <f t="shared" si="109"/>
        <v/>
      </c>
      <c r="AG480" s="191">
        <f>10</f>
        <v>10</v>
      </c>
      <c r="AH480" s="69">
        <f t="shared" si="102"/>
        <v>10</v>
      </c>
    </row>
    <row r="481" spans="1:34" s="69" customFormat="1" ht="33" customHeight="1" x14ac:dyDescent="0.3">
      <c r="A481" s="130" t="s">
        <v>1243</v>
      </c>
      <c r="B481" s="131" t="s">
        <v>1244</v>
      </c>
      <c r="C481" s="132" t="s">
        <v>162</v>
      </c>
      <c r="D481" s="133">
        <v>4</v>
      </c>
      <c r="E481" s="75"/>
      <c r="F481" s="75"/>
      <c r="G481" s="75"/>
      <c r="H481" s="75">
        <v>250</v>
      </c>
      <c r="I481" s="75">
        <v>1000</v>
      </c>
      <c r="J481" s="91" t="s">
        <v>1245</v>
      </c>
      <c r="K481" s="73"/>
      <c r="L481" s="46">
        <v>4</v>
      </c>
      <c r="M481" s="46">
        <v>0</v>
      </c>
      <c r="N481" s="46">
        <v>1000</v>
      </c>
      <c r="O481" s="98"/>
      <c r="P481" s="23" t="s">
        <v>1405</v>
      </c>
      <c r="Q481" s="24" t="s">
        <v>1244</v>
      </c>
      <c r="R481" s="25" t="s">
        <v>162</v>
      </c>
      <c r="S481" s="26">
        <v>4</v>
      </c>
      <c r="T481" s="26"/>
      <c r="U481" s="26">
        <v>250</v>
      </c>
      <c r="V481" s="127">
        <f t="shared" si="104"/>
        <v>0</v>
      </c>
      <c r="W481" s="127">
        <f t="shared" si="101"/>
        <v>4</v>
      </c>
      <c r="X481" s="127">
        <f t="shared" si="105"/>
        <v>0</v>
      </c>
      <c r="Y481" s="127">
        <f t="shared" si="106"/>
        <v>1000</v>
      </c>
      <c r="Z481" s="33" t="s">
        <v>15</v>
      </c>
      <c r="AA481" s="36" t="s">
        <v>16</v>
      </c>
      <c r="AB481" s="181">
        <f t="shared" si="108"/>
        <v>4</v>
      </c>
      <c r="AC481" s="181">
        <f t="shared" si="107"/>
        <v>1000</v>
      </c>
      <c r="AD481" s="181">
        <v>6</v>
      </c>
      <c r="AE481" s="181">
        <v>6</v>
      </c>
      <c r="AF481" s="101" t="str">
        <f t="shared" si="109"/>
        <v/>
      </c>
      <c r="AG481" s="190">
        <v>4</v>
      </c>
      <c r="AH481" s="69">
        <f t="shared" si="102"/>
        <v>4</v>
      </c>
    </row>
    <row r="482" spans="1:34" s="69" customFormat="1" ht="49.5" customHeight="1" x14ac:dyDescent="0.3">
      <c r="A482" s="130" t="s">
        <v>1246</v>
      </c>
      <c r="B482" s="131" t="s">
        <v>1247</v>
      </c>
      <c r="C482" s="132" t="s">
        <v>325</v>
      </c>
      <c r="D482" s="133">
        <v>5</v>
      </c>
      <c r="E482" s="75"/>
      <c r="F482" s="75"/>
      <c r="G482" s="75"/>
      <c r="H482" s="75">
        <v>8300</v>
      </c>
      <c r="I482" s="75">
        <v>41500</v>
      </c>
      <c r="J482" s="91" t="s">
        <v>1248</v>
      </c>
      <c r="K482" s="73"/>
      <c r="L482" s="46">
        <v>5</v>
      </c>
      <c r="M482" s="46">
        <v>0</v>
      </c>
      <c r="N482" s="46">
        <v>41500</v>
      </c>
      <c r="O482" s="98"/>
      <c r="P482" s="23" t="s">
        <v>1406</v>
      </c>
      <c r="Q482" s="24" t="s">
        <v>1247</v>
      </c>
      <c r="R482" s="25" t="s">
        <v>325</v>
      </c>
      <c r="S482" s="26">
        <v>5</v>
      </c>
      <c r="T482" s="26"/>
      <c r="U482" s="26">
        <v>8300</v>
      </c>
      <c r="V482" s="127">
        <f t="shared" si="104"/>
        <v>0</v>
      </c>
      <c r="W482" s="127">
        <f t="shared" si="101"/>
        <v>5</v>
      </c>
      <c r="X482" s="127">
        <f t="shared" si="105"/>
        <v>0</v>
      </c>
      <c r="Y482" s="127">
        <f t="shared" si="106"/>
        <v>41500</v>
      </c>
      <c r="Z482" s="33" t="s">
        <v>15</v>
      </c>
      <c r="AA482" s="36" t="s">
        <v>16</v>
      </c>
      <c r="AB482" s="181">
        <f t="shared" si="108"/>
        <v>5</v>
      </c>
      <c r="AC482" s="181">
        <f t="shared" si="107"/>
        <v>41500</v>
      </c>
      <c r="AD482" s="181">
        <v>6</v>
      </c>
      <c r="AE482" s="181">
        <v>6</v>
      </c>
      <c r="AF482" s="101" t="str">
        <f t="shared" si="109"/>
        <v/>
      </c>
      <c r="AG482" s="190">
        <v>5</v>
      </c>
      <c r="AH482" s="69">
        <f t="shared" si="102"/>
        <v>5</v>
      </c>
    </row>
    <row r="483" spans="1:34" s="69" customFormat="1" ht="33" customHeight="1" x14ac:dyDescent="0.3">
      <c r="A483" s="130" t="s">
        <v>1249</v>
      </c>
      <c r="B483" s="131" t="s">
        <v>1250</v>
      </c>
      <c r="C483" s="132" t="s">
        <v>325</v>
      </c>
      <c r="D483" s="133">
        <v>5</v>
      </c>
      <c r="E483" s="75"/>
      <c r="F483" s="75"/>
      <c r="G483" s="75"/>
      <c r="H483" s="75">
        <v>1160</v>
      </c>
      <c r="I483" s="75">
        <v>5800</v>
      </c>
      <c r="J483" s="91" t="s">
        <v>1251</v>
      </c>
      <c r="K483" s="73"/>
      <c r="L483" s="46">
        <v>5</v>
      </c>
      <c r="M483" s="46">
        <v>0</v>
      </c>
      <c r="N483" s="46">
        <v>5800</v>
      </c>
      <c r="O483" s="98"/>
      <c r="P483" s="23" t="s">
        <v>1414</v>
      </c>
      <c r="Q483" s="24" t="s">
        <v>1250</v>
      </c>
      <c r="R483" s="25" t="s">
        <v>325</v>
      </c>
      <c r="S483" s="26">
        <v>5</v>
      </c>
      <c r="T483" s="26"/>
      <c r="U483" s="26">
        <v>1160</v>
      </c>
      <c r="V483" s="127">
        <f t="shared" si="104"/>
        <v>0</v>
      </c>
      <c r="W483" s="127">
        <f t="shared" si="101"/>
        <v>5</v>
      </c>
      <c r="X483" s="127">
        <f t="shared" si="105"/>
        <v>0</v>
      </c>
      <c r="Y483" s="127">
        <f t="shared" si="106"/>
        <v>5800</v>
      </c>
      <c r="Z483" s="33" t="s">
        <v>15</v>
      </c>
      <c r="AA483" s="36" t="s">
        <v>16</v>
      </c>
      <c r="AB483" s="181">
        <f t="shared" si="108"/>
        <v>5</v>
      </c>
      <c r="AC483" s="181">
        <f t="shared" si="107"/>
        <v>5800</v>
      </c>
      <c r="AD483" s="181">
        <v>6</v>
      </c>
      <c r="AE483" s="181">
        <v>6</v>
      </c>
      <c r="AF483" s="101" t="str">
        <f t="shared" si="109"/>
        <v/>
      </c>
      <c r="AG483" s="190">
        <v>5</v>
      </c>
      <c r="AH483" s="69">
        <f t="shared" si="102"/>
        <v>5</v>
      </c>
    </row>
    <row r="484" spans="1:34" s="69" customFormat="1" ht="58.5" x14ac:dyDescent="0.3">
      <c r="A484" s="130" t="s">
        <v>1252</v>
      </c>
      <c r="B484" s="131" t="s">
        <v>1253</v>
      </c>
      <c r="C484" s="132" t="s">
        <v>325</v>
      </c>
      <c r="D484" s="133">
        <v>5</v>
      </c>
      <c r="E484" s="75"/>
      <c r="F484" s="75"/>
      <c r="G484" s="75"/>
      <c r="H484" s="75">
        <v>600</v>
      </c>
      <c r="I484" s="75">
        <v>3000</v>
      </c>
      <c r="J484" s="91" t="s">
        <v>1254</v>
      </c>
      <c r="K484" s="73"/>
      <c r="L484" s="46">
        <v>5</v>
      </c>
      <c r="M484" s="46">
        <v>0</v>
      </c>
      <c r="N484" s="46">
        <v>3000</v>
      </c>
      <c r="O484" s="98"/>
      <c r="P484" s="23" t="s">
        <v>1429</v>
      </c>
      <c r="Q484" s="24" t="s">
        <v>1253</v>
      </c>
      <c r="R484" s="25" t="s">
        <v>325</v>
      </c>
      <c r="S484" s="26">
        <v>5</v>
      </c>
      <c r="T484" s="26"/>
      <c r="U484" s="26">
        <v>600</v>
      </c>
      <c r="V484" s="127">
        <f t="shared" si="104"/>
        <v>0</v>
      </c>
      <c r="W484" s="127">
        <f t="shared" si="101"/>
        <v>5</v>
      </c>
      <c r="X484" s="127">
        <f t="shared" si="105"/>
        <v>0</v>
      </c>
      <c r="Y484" s="127">
        <f t="shared" si="106"/>
        <v>3000</v>
      </c>
      <c r="Z484" s="33" t="s">
        <v>15</v>
      </c>
      <c r="AA484" s="36" t="s">
        <v>16</v>
      </c>
      <c r="AB484" s="181">
        <f t="shared" si="108"/>
        <v>5</v>
      </c>
      <c r="AC484" s="181">
        <f t="shared" si="107"/>
        <v>3000</v>
      </c>
      <c r="AD484" s="181">
        <v>6</v>
      </c>
      <c r="AE484" s="181">
        <v>6</v>
      </c>
      <c r="AF484" s="101" t="str">
        <f t="shared" si="109"/>
        <v/>
      </c>
      <c r="AG484" s="190">
        <v>5</v>
      </c>
      <c r="AH484" s="69">
        <f t="shared" si="102"/>
        <v>5</v>
      </c>
    </row>
    <row r="485" spans="1:34" s="69" customFormat="1" ht="49.5" customHeight="1" x14ac:dyDescent="0.3">
      <c r="A485" s="130" t="s">
        <v>1255</v>
      </c>
      <c r="B485" s="131" t="s">
        <v>1256</v>
      </c>
      <c r="C485" s="132" t="s">
        <v>325</v>
      </c>
      <c r="D485" s="133">
        <v>5</v>
      </c>
      <c r="E485" s="75"/>
      <c r="F485" s="75"/>
      <c r="G485" s="75"/>
      <c r="H485" s="75">
        <v>1800</v>
      </c>
      <c r="I485" s="75">
        <v>9000</v>
      </c>
      <c r="J485" s="91" t="s">
        <v>1257</v>
      </c>
      <c r="K485" s="73"/>
      <c r="L485" s="46">
        <v>5</v>
      </c>
      <c r="M485" s="46">
        <v>0</v>
      </c>
      <c r="N485" s="46">
        <v>9000</v>
      </c>
      <c r="O485" s="98"/>
      <c r="P485" s="23" t="s">
        <v>1430</v>
      </c>
      <c r="Q485" s="24" t="s">
        <v>1256</v>
      </c>
      <c r="R485" s="25" t="s">
        <v>325</v>
      </c>
      <c r="S485" s="26">
        <v>5</v>
      </c>
      <c r="T485" s="26"/>
      <c r="U485" s="26">
        <v>1800</v>
      </c>
      <c r="V485" s="127">
        <f t="shared" si="104"/>
        <v>0</v>
      </c>
      <c r="W485" s="127">
        <f t="shared" si="101"/>
        <v>5</v>
      </c>
      <c r="X485" s="127">
        <f t="shared" si="105"/>
        <v>0</v>
      </c>
      <c r="Y485" s="127">
        <f t="shared" si="106"/>
        <v>9000</v>
      </c>
      <c r="Z485" s="33" t="s">
        <v>15</v>
      </c>
      <c r="AA485" s="36" t="s">
        <v>16</v>
      </c>
      <c r="AB485" s="181">
        <f t="shared" si="108"/>
        <v>5</v>
      </c>
      <c r="AC485" s="181">
        <f t="shared" si="107"/>
        <v>9000</v>
      </c>
      <c r="AD485" s="181">
        <v>6</v>
      </c>
      <c r="AE485" s="181">
        <v>6</v>
      </c>
      <c r="AF485" s="101" t="str">
        <f t="shared" si="109"/>
        <v/>
      </c>
      <c r="AG485" s="190">
        <v>5</v>
      </c>
      <c r="AH485" s="69">
        <f t="shared" si="102"/>
        <v>5</v>
      </c>
    </row>
    <row r="486" spans="1:34" s="69" customFormat="1" ht="39" x14ac:dyDescent="0.3">
      <c r="A486" s="55" t="s">
        <v>1258</v>
      </c>
      <c r="B486" s="53" t="s">
        <v>1259</v>
      </c>
      <c r="C486" s="54" t="s">
        <v>325</v>
      </c>
      <c r="D486" s="75">
        <v>80</v>
      </c>
      <c r="E486" s="75"/>
      <c r="F486" s="75"/>
      <c r="G486" s="75"/>
      <c r="H486" s="75">
        <v>2200</v>
      </c>
      <c r="I486" s="75">
        <v>176000</v>
      </c>
      <c r="J486" s="91" t="s">
        <v>1260</v>
      </c>
      <c r="K486" s="73"/>
      <c r="L486" s="46">
        <v>40</v>
      </c>
      <c r="M486" s="46">
        <v>0</v>
      </c>
      <c r="N486" s="46">
        <v>88000</v>
      </c>
      <c r="O486" s="98"/>
      <c r="P486" s="23" t="s">
        <v>1431</v>
      </c>
      <c r="Q486" s="24" t="s">
        <v>1259</v>
      </c>
      <c r="R486" s="25" t="s">
        <v>325</v>
      </c>
      <c r="S486" s="26">
        <v>80</v>
      </c>
      <c r="T486" s="26"/>
      <c r="U486" s="26">
        <v>2200</v>
      </c>
      <c r="V486" s="128">
        <f t="shared" si="104"/>
        <v>10</v>
      </c>
      <c r="W486" s="26">
        <f t="shared" si="101"/>
        <v>50</v>
      </c>
      <c r="X486" s="26">
        <f t="shared" si="105"/>
        <v>22000</v>
      </c>
      <c r="Y486" s="26">
        <f t="shared" si="106"/>
        <v>110000</v>
      </c>
      <c r="Z486" s="33" t="s">
        <v>15</v>
      </c>
      <c r="AA486" s="36" t="s">
        <v>16</v>
      </c>
      <c r="AB486" s="181">
        <f t="shared" si="108"/>
        <v>80</v>
      </c>
      <c r="AC486" s="181">
        <f t="shared" si="107"/>
        <v>176000</v>
      </c>
      <c r="AD486" s="181">
        <v>6</v>
      </c>
      <c r="AE486" s="181">
        <v>6</v>
      </c>
      <c r="AF486" s="101" t="str">
        <f t="shared" si="109"/>
        <v/>
      </c>
      <c r="AG486" s="191">
        <f>40+10</f>
        <v>50</v>
      </c>
      <c r="AH486" s="69">
        <f t="shared" si="102"/>
        <v>80</v>
      </c>
    </row>
    <row r="487" spans="1:34" s="69" customFormat="1" ht="42" x14ac:dyDescent="0.3">
      <c r="A487" s="130" t="s">
        <v>1261</v>
      </c>
      <c r="B487" s="131" t="s">
        <v>1262</v>
      </c>
      <c r="C487" s="132" t="s">
        <v>14</v>
      </c>
      <c r="D487" s="133">
        <v>1</v>
      </c>
      <c r="E487" s="75"/>
      <c r="F487" s="75"/>
      <c r="G487" s="75"/>
      <c r="H487" s="75">
        <v>261478.99</v>
      </c>
      <c r="I487" s="75">
        <v>261478.99</v>
      </c>
      <c r="J487" s="91" t="s">
        <v>1263</v>
      </c>
      <c r="K487" s="73"/>
      <c r="L487" s="46">
        <v>1</v>
      </c>
      <c r="M487" s="46">
        <v>0</v>
      </c>
      <c r="N487" s="46">
        <v>261478.99</v>
      </c>
      <c r="O487" s="98"/>
      <c r="P487" s="23" t="s">
        <v>1395</v>
      </c>
      <c r="Q487" s="24" t="s">
        <v>1262</v>
      </c>
      <c r="R487" s="25" t="s">
        <v>14</v>
      </c>
      <c r="S487" s="26">
        <v>1</v>
      </c>
      <c r="T487" s="26"/>
      <c r="U487" s="26">
        <v>261478.99</v>
      </c>
      <c r="V487" s="127">
        <f t="shared" si="104"/>
        <v>0</v>
      </c>
      <c r="W487" s="127">
        <f t="shared" si="101"/>
        <v>1</v>
      </c>
      <c r="X487" s="127">
        <f t="shared" si="105"/>
        <v>0</v>
      </c>
      <c r="Y487" s="127">
        <f t="shared" si="106"/>
        <v>261478.99</v>
      </c>
      <c r="Z487" s="33" t="s">
        <v>1499</v>
      </c>
      <c r="AA487" s="36" t="s">
        <v>16</v>
      </c>
      <c r="AB487" s="181">
        <f t="shared" si="108"/>
        <v>1</v>
      </c>
      <c r="AC487" s="181">
        <f t="shared" si="107"/>
        <v>261478.99</v>
      </c>
      <c r="AD487" s="181">
        <v>6</v>
      </c>
      <c r="AE487" s="181">
        <v>6</v>
      </c>
      <c r="AF487" s="101" t="str">
        <f t="shared" si="109"/>
        <v/>
      </c>
      <c r="AG487" s="190">
        <v>1</v>
      </c>
      <c r="AH487" s="69">
        <f t="shared" si="102"/>
        <v>1</v>
      </c>
    </row>
    <row r="488" spans="1:34" s="69" customFormat="1" ht="33" x14ac:dyDescent="0.3">
      <c r="A488" s="55" t="s">
        <v>1264</v>
      </c>
      <c r="B488" s="53" t="s">
        <v>1265</v>
      </c>
      <c r="C488" s="54" t="s">
        <v>30</v>
      </c>
      <c r="D488" s="75">
        <v>5000</v>
      </c>
      <c r="E488" s="75"/>
      <c r="F488" s="75"/>
      <c r="G488" s="75"/>
      <c r="H488" s="75">
        <v>13</v>
      </c>
      <c r="I488" s="75">
        <v>65000</v>
      </c>
      <c r="J488" s="91" t="s">
        <v>1266</v>
      </c>
      <c r="K488" s="73"/>
      <c r="L488" s="46">
        <v>0</v>
      </c>
      <c r="M488" s="46">
        <v>0</v>
      </c>
      <c r="N488" s="46">
        <v>0</v>
      </c>
      <c r="O488" s="98"/>
      <c r="P488" s="23" t="s">
        <v>1432</v>
      </c>
      <c r="Q488" s="24" t="s">
        <v>1265</v>
      </c>
      <c r="R488" s="25" t="s">
        <v>30</v>
      </c>
      <c r="S488" s="26">
        <v>5000</v>
      </c>
      <c r="T488" s="26"/>
      <c r="U488" s="26">
        <v>13</v>
      </c>
      <c r="V488" s="26">
        <f t="shared" si="104"/>
        <v>0</v>
      </c>
      <c r="W488" s="26">
        <f t="shared" si="101"/>
        <v>0</v>
      </c>
      <c r="X488" s="26">
        <f t="shared" si="105"/>
        <v>0</v>
      </c>
      <c r="Y488" s="26">
        <f t="shared" si="106"/>
        <v>0</v>
      </c>
      <c r="Z488" s="33" t="s">
        <v>15</v>
      </c>
      <c r="AA488" s="36" t="s">
        <v>16</v>
      </c>
      <c r="AB488" s="181">
        <f t="shared" si="108"/>
        <v>5000</v>
      </c>
      <c r="AC488" s="181">
        <f t="shared" si="107"/>
        <v>65000</v>
      </c>
      <c r="AD488" s="181">
        <v>6</v>
      </c>
      <c r="AE488" s="181">
        <v>6</v>
      </c>
      <c r="AF488" s="101" t="str">
        <f t="shared" si="109"/>
        <v/>
      </c>
      <c r="AG488" s="190">
        <v>0</v>
      </c>
      <c r="AH488" s="69">
        <f t="shared" si="102"/>
        <v>5000</v>
      </c>
    </row>
    <row r="489" spans="1:34" s="69" customFormat="1" ht="39" x14ac:dyDescent="0.3">
      <c r="A489" s="55" t="s">
        <v>1267</v>
      </c>
      <c r="B489" s="53" t="s">
        <v>1268</v>
      </c>
      <c r="C489" s="54" t="s">
        <v>1269</v>
      </c>
      <c r="D489" s="75">
        <v>48</v>
      </c>
      <c r="E489" s="75"/>
      <c r="F489" s="75"/>
      <c r="G489" s="75"/>
      <c r="H489" s="75">
        <v>47468</v>
      </c>
      <c r="I489" s="75">
        <v>2278464</v>
      </c>
      <c r="J489" s="91" t="s">
        <v>1270</v>
      </c>
      <c r="K489" s="73"/>
      <c r="L489" s="46">
        <v>32</v>
      </c>
      <c r="M489" s="46">
        <v>94936</v>
      </c>
      <c r="N489" s="46">
        <v>1518976</v>
      </c>
      <c r="O489" s="98"/>
      <c r="P489" s="23" t="s">
        <v>1433</v>
      </c>
      <c r="Q489" s="24" t="s">
        <v>1268</v>
      </c>
      <c r="R489" s="25" t="s">
        <v>1269</v>
      </c>
      <c r="S489" s="26">
        <v>48</v>
      </c>
      <c r="T489" s="26"/>
      <c r="U489" s="26">
        <v>47468</v>
      </c>
      <c r="V489" s="102">
        <f t="shared" si="104"/>
        <v>2</v>
      </c>
      <c r="W489" s="26">
        <f t="shared" si="101"/>
        <v>34</v>
      </c>
      <c r="X489" s="26">
        <f>Y489-N489</f>
        <v>94936</v>
      </c>
      <c r="Y489" s="26">
        <f t="shared" si="106"/>
        <v>1613912</v>
      </c>
      <c r="Z489" s="33" t="s">
        <v>15</v>
      </c>
      <c r="AA489" s="36" t="s">
        <v>16</v>
      </c>
      <c r="AB489" s="181">
        <f t="shared" si="108"/>
        <v>48</v>
      </c>
      <c r="AC489" s="181">
        <f t="shared" si="107"/>
        <v>2278464</v>
      </c>
      <c r="AD489" s="181">
        <v>6</v>
      </c>
      <c r="AE489" s="181">
        <v>6</v>
      </c>
      <c r="AF489" s="101" t="str">
        <f t="shared" si="109"/>
        <v/>
      </c>
      <c r="AG489" s="191">
        <f>24+2+2+2+2+2</f>
        <v>34</v>
      </c>
      <c r="AH489" s="69">
        <f t="shared" si="102"/>
        <v>48</v>
      </c>
    </row>
    <row r="490" spans="1:34" s="69" customFormat="1" ht="39" x14ac:dyDescent="0.3">
      <c r="A490" s="55" t="s">
        <v>1271</v>
      </c>
      <c r="B490" s="53" t="s">
        <v>1272</v>
      </c>
      <c r="C490" s="54" t="s">
        <v>14</v>
      </c>
      <c r="D490" s="75">
        <v>1</v>
      </c>
      <c r="E490" s="75"/>
      <c r="F490" s="75"/>
      <c r="G490" s="75"/>
      <c r="H490" s="75">
        <v>111233.97</v>
      </c>
      <c r="I490" s="75">
        <v>111233.97</v>
      </c>
      <c r="J490" s="91" t="s">
        <v>1273</v>
      </c>
      <c r="K490" s="73"/>
      <c r="L490" s="46">
        <v>0</v>
      </c>
      <c r="M490" s="46">
        <v>0</v>
      </c>
      <c r="N490" s="46">
        <v>0</v>
      </c>
      <c r="O490" s="98"/>
      <c r="P490" s="23" t="s">
        <v>1382</v>
      </c>
      <c r="Q490" s="24" t="s">
        <v>1272</v>
      </c>
      <c r="R490" s="25" t="s">
        <v>14</v>
      </c>
      <c r="S490" s="26">
        <v>1</v>
      </c>
      <c r="T490" s="26"/>
      <c r="U490" s="26">
        <v>111233.97</v>
      </c>
      <c r="V490" s="128">
        <f t="shared" si="104"/>
        <v>0.6</v>
      </c>
      <c r="W490" s="26">
        <f t="shared" si="101"/>
        <v>0.6</v>
      </c>
      <c r="X490" s="136">
        <f t="shared" si="105"/>
        <v>66740.38</v>
      </c>
      <c r="Y490" s="26">
        <f t="shared" si="106"/>
        <v>66740.38</v>
      </c>
      <c r="Z490" s="33" t="s">
        <v>15</v>
      </c>
      <c r="AA490" s="36" t="s">
        <v>16</v>
      </c>
      <c r="AB490" s="181">
        <f t="shared" si="108"/>
        <v>1</v>
      </c>
      <c r="AC490" s="181">
        <f t="shared" si="107"/>
        <v>111233.97</v>
      </c>
      <c r="AD490" s="181">
        <v>6</v>
      </c>
      <c r="AE490" s="181">
        <v>6</v>
      </c>
      <c r="AF490" s="101" t="str">
        <f t="shared" si="109"/>
        <v/>
      </c>
      <c r="AG490" s="191">
        <f>0.6</f>
        <v>0.6</v>
      </c>
      <c r="AH490" s="69">
        <f t="shared" si="102"/>
        <v>1</v>
      </c>
    </row>
    <row r="491" spans="1:34" s="69" customFormat="1" ht="33" x14ac:dyDescent="0.3">
      <c r="A491" s="85" t="s">
        <v>1274</v>
      </c>
      <c r="B491" s="86" t="s">
        <v>1275</v>
      </c>
      <c r="C491" s="87" t="s">
        <v>14</v>
      </c>
      <c r="D491" s="88">
        <v>1</v>
      </c>
      <c r="E491" s="88"/>
      <c r="F491" s="88"/>
      <c r="G491" s="88"/>
      <c r="H491" s="88"/>
      <c r="I491" s="88">
        <v>2884379.96</v>
      </c>
      <c r="J491" s="95" t="s">
        <v>15</v>
      </c>
      <c r="K491" s="73"/>
      <c r="L491" s="42">
        <v>1</v>
      </c>
      <c r="M491" s="42">
        <v>94936</v>
      </c>
      <c r="N491" s="42">
        <v>1821933.98</v>
      </c>
      <c r="O491" s="98"/>
      <c r="P491" s="13" t="s">
        <v>1416</v>
      </c>
      <c r="Q491" s="14" t="s">
        <v>1275</v>
      </c>
      <c r="R491" s="15" t="s">
        <v>14</v>
      </c>
      <c r="S491" s="16">
        <v>1</v>
      </c>
      <c r="T491" s="16"/>
      <c r="U491" s="16">
        <f>SUMIFS(AC:AC,AD:AD,AD491)</f>
        <v>2884379.96</v>
      </c>
      <c r="V491" s="16">
        <f t="shared" ref="V491:W491" si="110">IF(X491=0,0,1)</f>
        <v>1</v>
      </c>
      <c r="W491" s="16">
        <f t="shared" si="110"/>
        <v>1</v>
      </c>
      <c r="X491" s="16">
        <f>SUMIFS(X:X,AE:AE,AD491)</f>
        <v>155527.60000000003</v>
      </c>
      <c r="Y491" s="16">
        <f>SUMIFS(Y:Y,AE:AE,AD491)</f>
        <v>1977461.58</v>
      </c>
      <c r="Z491" s="17" t="s">
        <v>15</v>
      </c>
      <c r="AA491" s="40" t="s">
        <v>16</v>
      </c>
      <c r="AB491" s="181">
        <f t="shared" si="108"/>
        <v>1</v>
      </c>
      <c r="AC491" s="183"/>
      <c r="AD491" s="183">
        <v>7</v>
      </c>
      <c r="AE491" s="183"/>
      <c r="AF491" s="101" t="str">
        <f t="shared" si="109"/>
        <v/>
      </c>
      <c r="AG491" s="190">
        <v>1</v>
      </c>
      <c r="AH491" s="69">
        <f t="shared" si="102"/>
        <v>1</v>
      </c>
    </row>
    <row r="492" spans="1:34" s="69" customFormat="1" ht="39" x14ac:dyDescent="0.3">
      <c r="A492" s="55" t="s">
        <v>1276</v>
      </c>
      <c r="B492" s="53" t="s">
        <v>1277</v>
      </c>
      <c r="C492" s="54" t="s">
        <v>1269</v>
      </c>
      <c r="D492" s="75">
        <v>48</v>
      </c>
      <c r="E492" s="75"/>
      <c r="F492" s="75"/>
      <c r="G492" s="75"/>
      <c r="H492" s="75">
        <v>47468</v>
      </c>
      <c r="I492" s="75">
        <v>2278464</v>
      </c>
      <c r="J492" s="91" t="s">
        <v>1278</v>
      </c>
      <c r="K492" s="73"/>
      <c r="L492" s="46">
        <v>32</v>
      </c>
      <c r="M492" s="46">
        <v>94936</v>
      </c>
      <c r="N492" s="46">
        <v>1518976</v>
      </c>
      <c r="O492" s="98"/>
      <c r="P492" s="23" t="s">
        <v>1421</v>
      </c>
      <c r="Q492" s="24" t="s">
        <v>1277</v>
      </c>
      <c r="R492" s="25" t="s">
        <v>1269</v>
      </c>
      <c r="S492" s="26">
        <v>48</v>
      </c>
      <c r="T492" s="26"/>
      <c r="U492" s="26">
        <v>47468</v>
      </c>
      <c r="V492" s="102">
        <f t="shared" ref="V492:V493" si="111">AG492-L492</f>
        <v>2</v>
      </c>
      <c r="W492" s="26">
        <f t="shared" si="101"/>
        <v>34</v>
      </c>
      <c r="X492" s="26">
        <f>Y492-N492</f>
        <v>94936</v>
      </c>
      <c r="Y492" s="26">
        <f t="shared" ref="Y492:Y493" si="112">ROUND(U492*W492,2)</f>
        <v>1613912</v>
      </c>
      <c r="Z492" s="33" t="s">
        <v>15</v>
      </c>
      <c r="AA492" s="36" t="s">
        <v>16</v>
      </c>
      <c r="AB492" s="181">
        <f t="shared" si="108"/>
        <v>48</v>
      </c>
      <c r="AC492" s="181">
        <f t="shared" ref="AC492:AC493" si="113">ROUND(U492*AB492,2)</f>
        <v>2278464</v>
      </c>
      <c r="AD492" s="181">
        <v>7</v>
      </c>
      <c r="AE492" s="181">
        <v>7</v>
      </c>
      <c r="AF492" s="101" t="str">
        <f t="shared" si="109"/>
        <v/>
      </c>
      <c r="AG492" s="191">
        <f>24+2+2+2+2+2</f>
        <v>34</v>
      </c>
      <c r="AH492" s="69">
        <f t="shared" si="102"/>
        <v>48</v>
      </c>
    </row>
    <row r="493" spans="1:34" s="69" customFormat="1" ht="33" x14ac:dyDescent="0.3">
      <c r="A493" s="55" t="s">
        <v>1279</v>
      </c>
      <c r="B493" s="53" t="s">
        <v>1280</v>
      </c>
      <c r="C493" s="54" t="s">
        <v>14</v>
      </c>
      <c r="D493" s="75">
        <v>1</v>
      </c>
      <c r="E493" s="75"/>
      <c r="F493" s="75"/>
      <c r="G493" s="75"/>
      <c r="H493" s="75">
        <v>605915.96</v>
      </c>
      <c r="I493" s="75">
        <v>605915.96</v>
      </c>
      <c r="J493" s="91" t="s">
        <v>1281</v>
      </c>
      <c r="K493" s="73"/>
      <c r="L493" s="46">
        <v>0.5</v>
      </c>
      <c r="M493" s="46">
        <v>0</v>
      </c>
      <c r="N493" s="46">
        <v>302957.98</v>
      </c>
      <c r="O493" s="98"/>
      <c r="P493" s="23" t="s">
        <v>1426</v>
      </c>
      <c r="Q493" s="24" t="s">
        <v>1280</v>
      </c>
      <c r="R493" s="25" t="s">
        <v>14</v>
      </c>
      <c r="S493" s="26">
        <v>1</v>
      </c>
      <c r="T493" s="26"/>
      <c r="U493" s="26">
        <v>605915.96</v>
      </c>
      <c r="V493" s="128">
        <f t="shared" si="111"/>
        <v>9.9999999999999978E-2</v>
      </c>
      <c r="W493" s="26">
        <f t="shared" si="101"/>
        <v>0.6</v>
      </c>
      <c r="X493" s="136">
        <f>Y493-N493</f>
        <v>60591.600000000035</v>
      </c>
      <c r="Y493" s="26">
        <f t="shared" si="112"/>
        <v>363549.58</v>
      </c>
      <c r="Z493" s="33" t="s">
        <v>15</v>
      </c>
      <c r="AA493" s="36" t="s">
        <v>16</v>
      </c>
      <c r="AB493" s="181">
        <f t="shared" si="108"/>
        <v>1</v>
      </c>
      <c r="AC493" s="181">
        <f t="shared" si="113"/>
        <v>605915.96</v>
      </c>
      <c r="AD493" s="181">
        <v>7</v>
      </c>
      <c r="AE493" s="181">
        <v>7</v>
      </c>
      <c r="AF493" s="101" t="str">
        <f t="shared" si="109"/>
        <v/>
      </c>
      <c r="AG493" s="191">
        <f>0.5+0.1</f>
        <v>0.6</v>
      </c>
      <c r="AH493" s="69">
        <f t="shared" si="102"/>
        <v>1</v>
      </c>
    </row>
    <row r="494" spans="1:34" s="69" customFormat="1" ht="63" x14ac:dyDescent="0.3">
      <c r="A494" s="85" t="s">
        <v>1282</v>
      </c>
      <c r="B494" s="86" t="s">
        <v>1283</v>
      </c>
      <c r="C494" s="87" t="s">
        <v>14</v>
      </c>
      <c r="D494" s="88">
        <v>1</v>
      </c>
      <c r="E494" s="88"/>
      <c r="F494" s="88"/>
      <c r="G494" s="88"/>
      <c r="H494" s="88"/>
      <c r="I494" s="88">
        <v>35719969.310000002</v>
      </c>
      <c r="J494" s="95" t="s">
        <v>1284</v>
      </c>
      <c r="K494" s="73"/>
      <c r="L494" s="42">
        <v>1</v>
      </c>
      <c r="M494" s="42">
        <v>1464080.8100000173</v>
      </c>
      <c r="N494" s="42">
        <v>23046793.560000017</v>
      </c>
      <c r="O494" s="98"/>
      <c r="P494" s="28" t="s">
        <v>1417</v>
      </c>
      <c r="Q494" s="29" t="s">
        <v>1283</v>
      </c>
      <c r="R494" s="30" t="s">
        <v>14</v>
      </c>
      <c r="S494" s="31">
        <v>1</v>
      </c>
      <c r="T494" s="31"/>
      <c r="U494" s="31">
        <v>35719969.310000002</v>
      </c>
      <c r="V494" s="31">
        <f t="shared" ref="V494:W495" si="114">IF(X494=0,0,1)</f>
        <v>1</v>
      </c>
      <c r="W494" s="31">
        <f t="shared" si="114"/>
        <v>1</v>
      </c>
      <c r="X494" s="31">
        <f>Y494-N494</f>
        <v>1111755.4099999741</v>
      </c>
      <c r="Y494" s="31">
        <f>Y7-Y8-Y377-Y406-Y446-Y450-Y471-Y491-Y495-Y497</f>
        <v>24158548.969999991</v>
      </c>
      <c r="Z494" s="32" t="s">
        <v>1418</v>
      </c>
      <c r="AA494" s="40" t="s">
        <v>16</v>
      </c>
      <c r="AB494" s="181">
        <f t="shared" si="108"/>
        <v>1</v>
      </c>
      <c r="AC494" s="183"/>
      <c r="AD494" s="183">
        <v>8</v>
      </c>
      <c r="AE494" s="183"/>
      <c r="AF494" s="101" t="str">
        <f t="shared" si="109"/>
        <v/>
      </c>
      <c r="AG494" s="190">
        <v>1</v>
      </c>
      <c r="AH494" s="69">
        <f t="shared" si="102"/>
        <v>1</v>
      </c>
    </row>
    <row r="495" spans="1:34" s="69" customFormat="1" ht="157.5" x14ac:dyDescent="0.3">
      <c r="A495" s="85" t="s">
        <v>1285</v>
      </c>
      <c r="B495" s="86" t="s">
        <v>1286</v>
      </c>
      <c r="C495" s="87" t="s">
        <v>14</v>
      </c>
      <c r="D495" s="88">
        <v>1</v>
      </c>
      <c r="E495" s="88"/>
      <c r="F495" s="88"/>
      <c r="G495" s="88"/>
      <c r="H495" s="88"/>
      <c r="I495" s="88">
        <v>3336000</v>
      </c>
      <c r="J495" s="95" t="s">
        <v>1287</v>
      </c>
      <c r="K495" s="73"/>
      <c r="L495" s="42">
        <v>0</v>
      </c>
      <c r="M495" s="42">
        <v>0</v>
      </c>
      <c r="N495" s="42">
        <v>0</v>
      </c>
      <c r="O495" s="98"/>
      <c r="P495" s="13" t="s">
        <v>1419</v>
      </c>
      <c r="Q495" s="14" t="s">
        <v>1286</v>
      </c>
      <c r="R495" s="15" t="s">
        <v>14</v>
      </c>
      <c r="S495" s="16">
        <v>1</v>
      </c>
      <c r="T495" s="16"/>
      <c r="U495" s="16">
        <f>SUMIFS(AC:AC,AD:AD,AD495)</f>
        <v>3336000</v>
      </c>
      <c r="V495" s="16">
        <f t="shared" si="114"/>
        <v>1</v>
      </c>
      <c r="W495" s="16">
        <f t="shared" si="114"/>
        <v>1</v>
      </c>
      <c r="X495" s="16">
        <f>SUMIFS(X:X,AE:AE,AD495)</f>
        <v>2664000</v>
      </c>
      <c r="Y495" s="16">
        <f>SUMIFS(Y:Y,AE:AE,AD495)</f>
        <v>2664000</v>
      </c>
      <c r="Z495" s="17" t="s">
        <v>1287</v>
      </c>
      <c r="AA495" s="40" t="s">
        <v>16</v>
      </c>
      <c r="AB495" s="181">
        <f t="shared" si="108"/>
        <v>1</v>
      </c>
      <c r="AC495" s="183"/>
      <c r="AD495" s="183">
        <v>9</v>
      </c>
      <c r="AE495" s="183"/>
      <c r="AF495" s="101" t="str">
        <f t="shared" si="109"/>
        <v/>
      </c>
      <c r="AG495" s="190">
        <v>0</v>
      </c>
      <c r="AH495" s="69">
        <f t="shared" si="102"/>
        <v>1</v>
      </c>
    </row>
    <row r="496" spans="1:34" s="69" customFormat="1" ht="33" x14ac:dyDescent="0.3">
      <c r="A496" s="55" t="s">
        <v>1288</v>
      </c>
      <c r="B496" s="53" t="s">
        <v>1286</v>
      </c>
      <c r="C496" s="54" t="s">
        <v>23</v>
      </c>
      <c r="D496" s="75">
        <v>22240</v>
      </c>
      <c r="E496" s="75"/>
      <c r="F496" s="75"/>
      <c r="G496" s="75"/>
      <c r="H496" s="75">
        <v>150</v>
      </c>
      <c r="I496" s="75">
        <v>3336000</v>
      </c>
      <c r="J496" s="91" t="s">
        <v>1289</v>
      </c>
      <c r="K496" s="73"/>
      <c r="L496" s="46">
        <v>0</v>
      </c>
      <c r="M496" s="46">
        <v>0</v>
      </c>
      <c r="N496" s="46">
        <v>0</v>
      </c>
      <c r="O496" s="98"/>
      <c r="P496" s="23" t="s">
        <v>1421</v>
      </c>
      <c r="Q496" s="24" t="s">
        <v>1286</v>
      </c>
      <c r="R496" s="25" t="s">
        <v>23</v>
      </c>
      <c r="S496" s="26">
        <v>22240</v>
      </c>
      <c r="T496" s="26"/>
      <c r="U496" s="26">
        <v>150</v>
      </c>
      <c r="V496" s="103">
        <f t="shared" ref="V496" si="115">AG496-L496</f>
        <v>17760</v>
      </c>
      <c r="W496" s="26">
        <f t="shared" ref="W496" si="116">V496+L496</f>
        <v>17760</v>
      </c>
      <c r="X496" s="26">
        <f>Y496-N496</f>
        <v>2664000</v>
      </c>
      <c r="Y496" s="26">
        <f>ROUND(U496*W496,2)</f>
        <v>2664000</v>
      </c>
      <c r="Z496" s="33" t="s">
        <v>15</v>
      </c>
      <c r="AA496" s="36" t="s">
        <v>16</v>
      </c>
      <c r="AB496" s="181">
        <f t="shared" si="108"/>
        <v>22240</v>
      </c>
      <c r="AC496" s="181">
        <f t="shared" ref="AC496" si="117">ROUND(U496*AB496,2)</f>
        <v>3336000</v>
      </c>
      <c r="AD496" s="181">
        <v>9</v>
      </c>
      <c r="AE496" s="181">
        <v>9</v>
      </c>
      <c r="AF496" s="101" t="str">
        <f t="shared" si="109"/>
        <v/>
      </c>
      <c r="AG496" s="190">
        <f>17760</f>
        <v>17760</v>
      </c>
      <c r="AH496" s="69">
        <f t="shared" si="102"/>
        <v>22240</v>
      </c>
    </row>
    <row r="497" spans="1:34" s="69" customFormat="1" ht="178.5" x14ac:dyDescent="0.3">
      <c r="A497" s="85" t="s">
        <v>1290</v>
      </c>
      <c r="B497" s="86" t="s">
        <v>1291</v>
      </c>
      <c r="C497" s="87" t="s">
        <v>14</v>
      </c>
      <c r="D497" s="88">
        <v>1</v>
      </c>
      <c r="E497" s="88"/>
      <c r="F497" s="88"/>
      <c r="G497" s="88"/>
      <c r="H497" s="88"/>
      <c r="I497" s="88">
        <v>212800</v>
      </c>
      <c r="J497" s="95" t="s">
        <v>1292</v>
      </c>
      <c r="K497" s="73"/>
      <c r="L497" s="42">
        <v>1</v>
      </c>
      <c r="M497" s="42">
        <v>0</v>
      </c>
      <c r="N497" s="42">
        <v>212800</v>
      </c>
      <c r="O497" s="98"/>
      <c r="P497" s="13" t="s">
        <v>1420</v>
      </c>
      <c r="Q497" s="14" t="s">
        <v>1291</v>
      </c>
      <c r="R497" s="15" t="s">
        <v>14</v>
      </c>
      <c r="S497" s="16">
        <v>1</v>
      </c>
      <c r="T497" s="16"/>
      <c r="U497" s="16">
        <f>SUMIFS(AC:AC,AD:AD,AD497)</f>
        <v>212800</v>
      </c>
      <c r="V497" s="16">
        <f t="shared" ref="V497:W497" si="118">IF(X497=0,0,1)</f>
        <v>0</v>
      </c>
      <c r="W497" s="16">
        <f t="shared" si="118"/>
        <v>1</v>
      </c>
      <c r="X497" s="16">
        <f>SUMIFS(X:X,AE:AE,AD497)</f>
        <v>0</v>
      </c>
      <c r="Y497" s="16">
        <f>SUMIFS(Y:Y,AE:AE,AD497)</f>
        <v>212800</v>
      </c>
      <c r="Z497" s="17" t="s">
        <v>1292</v>
      </c>
      <c r="AA497" s="40" t="s">
        <v>16</v>
      </c>
      <c r="AB497" s="181">
        <f t="shared" si="108"/>
        <v>1</v>
      </c>
      <c r="AC497" s="183"/>
      <c r="AD497" s="183">
        <v>10</v>
      </c>
      <c r="AE497" s="183"/>
      <c r="AF497" s="101" t="str">
        <f t="shared" si="109"/>
        <v/>
      </c>
      <c r="AG497" s="190">
        <v>1</v>
      </c>
      <c r="AH497" s="69">
        <f t="shared" si="102"/>
        <v>1</v>
      </c>
    </row>
    <row r="498" spans="1:34" s="69" customFormat="1" ht="33" x14ac:dyDescent="0.3">
      <c r="A498" s="55" t="s">
        <v>1293</v>
      </c>
      <c r="B498" s="53" t="s">
        <v>1294</v>
      </c>
      <c r="C498" s="54" t="s">
        <v>50</v>
      </c>
      <c r="D498" s="75">
        <v>3800</v>
      </c>
      <c r="E498" s="75"/>
      <c r="F498" s="75"/>
      <c r="G498" s="75"/>
      <c r="H498" s="75">
        <v>56</v>
      </c>
      <c r="I498" s="75">
        <v>212800</v>
      </c>
      <c r="J498" s="91" t="s">
        <v>1295</v>
      </c>
      <c r="K498" s="73"/>
      <c r="L498" s="46">
        <v>3800</v>
      </c>
      <c r="M498" s="46">
        <v>0</v>
      </c>
      <c r="N498" s="46">
        <v>212800</v>
      </c>
      <c r="O498" s="98"/>
      <c r="P498" s="23" t="s">
        <v>1421</v>
      </c>
      <c r="Q498" s="24" t="s">
        <v>1294</v>
      </c>
      <c r="R498" s="25" t="s">
        <v>50</v>
      </c>
      <c r="S498" s="26">
        <v>3800</v>
      </c>
      <c r="T498" s="26"/>
      <c r="U498" s="26">
        <v>56</v>
      </c>
      <c r="V498" s="26">
        <f t="shared" ref="V498" si="119">AG498-L498</f>
        <v>0</v>
      </c>
      <c r="W498" s="26">
        <f t="shared" ref="W498" si="120">V498+L498</f>
        <v>3800</v>
      </c>
      <c r="X498" s="26">
        <v>0</v>
      </c>
      <c r="Y498" s="26">
        <f t="shared" ref="Y498" si="121">ROUND(U498*W498,2)</f>
        <v>212800</v>
      </c>
      <c r="Z498" s="33" t="s">
        <v>15</v>
      </c>
      <c r="AA498" s="36" t="s">
        <v>16</v>
      </c>
      <c r="AB498" s="181">
        <f t="shared" si="108"/>
        <v>3800</v>
      </c>
      <c r="AC498" s="181">
        <f t="shared" ref="AC498" si="122">ROUND(U498*AB498,2)</f>
        <v>212800</v>
      </c>
      <c r="AD498" s="181">
        <v>10</v>
      </c>
      <c r="AE498" s="181">
        <v>10</v>
      </c>
      <c r="AF498" s="101" t="str">
        <f t="shared" si="109"/>
        <v/>
      </c>
      <c r="AG498" s="190">
        <v>3800</v>
      </c>
      <c r="AH498" s="69">
        <f t="shared" si="102"/>
        <v>3800</v>
      </c>
    </row>
    <row r="499" spans="1:34" s="69" customFormat="1" ht="33" x14ac:dyDescent="0.3">
      <c r="A499" s="52"/>
      <c r="B499" s="53" t="s">
        <v>1296</v>
      </c>
      <c r="C499" s="54"/>
      <c r="D499" s="75"/>
      <c r="E499" s="75"/>
      <c r="F499" s="75"/>
      <c r="G499" s="75"/>
      <c r="H499" s="75"/>
      <c r="I499" s="75"/>
      <c r="J499" s="91"/>
      <c r="K499" s="73"/>
      <c r="L499" s="46"/>
      <c r="M499" s="46">
        <v>24734600.000000007</v>
      </c>
      <c r="N499" s="46">
        <v>218898800</v>
      </c>
      <c r="O499" s="98"/>
      <c r="P499" s="23" t="s">
        <v>1421</v>
      </c>
      <c r="Q499" s="24" t="s">
        <v>1422</v>
      </c>
      <c r="R499" s="25"/>
      <c r="S499" s="26"/>
      <c r="T499" s="26"/>
      <c r="U499" s="26"/>
      <c r="V499" s="26"/>
      <c r="W499" s="26"/>
      <c r="X499" s="26">
        <f>X8+X377+X406+X446+X450+X471+X491+X494+X495+X497</f>
        <v>13928599.999999976</v>
      </c>
      <c r="Y499" s="26">
        <f>ROUNDDOWN((Y8+Y377+Y406+Y446+Y450+Y471+Y491+Y495+Y497+(Y8+Y377+Y406+Y446+Y450+Y471+Y491)*0.1095000004)/1000,1)*1000</f>
        <v>247661400</v>
      </c>
      <c r="Z499" s="33"/>
      <c r="AA499" s="36" t="s">
        <v>16</v>
      </c>
      <c r="AB499" s="181"/>
      <c r="AC499" s="181"/>
      <c r="AD499" s="181"/>
      <c r="AE499" s="181"/>
      <c r="AF499" s="101" t="str">
        <f t="shared" si="109"/>
        <v/>
      </c>
      <c r="AG499" s="190"/>
      <c r="AH499" s="69">
        <f t="shared" si="102"/>
        <v>0</v>
      </c>
    </row>
    <row r="500" spans="1:34" s="69" customFormat="1" ht="33" x14ac:dyDescent="0.3">
      <c r="A500" s="52"/>
      <c r="B500" s="53" t="s">
        <v>1297</v>
      </c>
      <c r="C500" s="54"/>
      <c r="D500" s="75"/>
      <c r="E500" s="75"/>
      <c r="F500" s="75"/>
      <c r="G500" s="75"/>
      <c r="H500" s="75"/>
      <c r="I500" s="75"/>
      <c r="J500" s="91"/>
      <c r="K500" s="73"/>
      <c r="L500" s="39"/>
      <c r="M500" s="39">
        <v>9675</v>
      </c>
      <c r="N500" s="39">
        <v>19291</v>
      </c>
      <c r="O500" s="98"/>
      <c r="P500" s="8" t="s">
        <v>1505</v>
      </c>
      <c r="Q500" s="9" t="s">
        <v>1506</v>
      </c>
      <c r="R500" s="10" t="s">
        <v>14</v>
      </c>
      <c r="S500" s="11"/>
      <c r="T500" s="11"/>
      <c r="U500" s="11"/>
      <c r="V500" s="11"/>
      <c r="W500" s="11"/>
      <c r="X500" s="11">
        <v>9675</v>
      </c>
      <c r="Y500" s="11">
        <v>19291</v>
      </c>
      <c r="Z500" s="12" t="s">
        <v>15</v>
      </c>
      <c r="AA500" s="37" t="s">
        <v>16</v>
      </c>
      <c r="AB500" s="182"/>
      <c r="AC500" s="182">
        <v>295040.74</v>
      </c>
      <c r="AD500" s="182">
        <v>12929586.060000001</v>
      </c>
      <c r="AE500" s="182"/>
      <c r="AF500" s="101" t="str">
        <f t="shared" si="109"/>
        <v/>
      </c>
      <c r="AG500" s="190"/>
      <c r="AH500" s="69">
        <f t="shared" si="102"/>
        <v>0</v>
      </c>
    </row>
    <row r="501" spans="1:34" s="69" customFormat="1" ht="33" x14ac:dyDescent="0.3">
      <c r="A501" s="382" t="s">
        <v>1298</v>
      </c>
      <c r="B501" s="383"/>
      <c r="C501" s="383"/>
      <c r="D501" s="383"/>
      <c r="E501" s="383"/>
      <c r="F501" s="383"/>
      <c r="G501" s="383"/>
      <c r="H501" s="383"/>
      <c r="I501" s="383"/>
      <c r="J501" s="384"/>
      <c r="K501" s="89"/>
      <c r="L501" s="46"/>
      <c r="M501" s="46">
        <v>2999475</v>
      </c>
      <c r="N501" s="46">
        <v>131240691</v>
      </c>
      <c r="O501" s="98"/>
      <c r="P501" s="23" t="s">
        <v>1421</v>
      </c>
      <c r="Q501" s="24" t="s">
        <v>1507</v>
      </c>
      <c r="R501" s="25"/>
      <c r="S501" s="26"/>
      <c r="T501" s="26"/>
      <c r="U501" s="26"/>
      <c r="V501" s="26"/>
      <c r="W501" s="26"/>
      <c r="X501" s="26">
        <v>2999475</v>
      </c>
      <c r="Y501" s="26">
        <v>131240691</v>
      </c>
      <c r="Z501" s="33"/>
      <c r="AA501" s="36" t="s">
        <v>16</v>
      </c>
      <c r="AB501" s="181"/>
      <c r="AC501" s="181"/>
      <c r="AD501" s="181"/>
      <c r="AE501" s="181"/>
      <c r="AF501" s="101" t="str">
        <f t="shared" si="109"/>
        <v/>
      </c>
      <c r="AG501" s="190"/>
      <c r="AH501" s="69">
        <f t="shared" si="102"/>
        <v>0</v>
      </c>
    </row>
    <row r="502" spans="1:34" s="69" customFormat="1" ht="153" customHeight="1" x14ac:dyDescent="0.3">
      <c r="A502" s="390" t="s">
        <v>1299</v>
      </c>
      <c r="B502" s="391"/>
      <c r="C502" s="391"/>
      <c r="D502" s="391"/>
      <c r="E502" s="391"/>
      <c r="F502" s="391"/>
      <c r="G502" s="391"/>
      <c r="H502" s="391"/>
      <c r="I502" s="391"/>
      <c r="J502" s="392"/>
      <c r="K502" s="90"/>
      <c r="L502" s="39"/>
      <c r="M502" s="39">
        <v>0</v>
      </c>
      <c r="N502" s="39">
        <v>737520</v>
      </c>
      <c r="O502" s="98"/>
      <c r="P502" s="8" t="s">
        <v>1508</v>
      </c>
      <c r="Q502" s="9" t="s">
        <v>1509</v>
      </c>
      <c r="R502" s="10" t="s">
        <v>14</v>
      </c>
      <c r="S502" s="11"/>
      <c r="T502" s="11"/>
      <c r="U502" s="11"/>
      <c r="V502" s="11"/>
      <c r="W502" s="11"/>
      <c r="X502" s="11">
        <v>0</v>
      </c>
      <c r="Y502" s="11">
        <f>SUM(Y503:Y505)</f>
        <v>737520</v>
      </c>
      <c r="Z502" s="12" t="s">
        <v>15</v>
      </c>
      <c r="AA502" s="37" t="s">
        <v>16</v>
      </c>
      <c r="AB502" s="182"/>
      <c r="AC502" s="182"/>
      <c r="AD502" s="182"/>
      <c r="AE502" s="182"/>
      <c r="AF502" s="101" t="str">
        <f t="shared" si="109"/>
        <v/>
      </c>
      <c r="AG502" s="190"/>
      <c r="AH502" s="69">
        <f t="shared" si="102"/>
        <v>0</v>
      </c>
    </row>
    <row r="503" spans="1:34" ht="33" x14ac:dyDescent="0.3">
      <c r="L503" s="46">
        <v>519.42999999999995</v>
      </c>
      <c r="M503" s="46">
        <v>0</v>
      </c>
      <c r="N503" s="46">
        <v>298672</v>
      </c>
      <c r="O503" s="98"/>
      <c r="P503" s="23" t="s">
        <v>1421</v>
      </c>
      <c r="Q503" s="24" t="s">
        <v>1510</v>
      </c>
      <c r="R503" s="25" t="s">
        <v>23</v>
      </c>
      <c r="S503" s="26"/>
      <c r="T503" s="26"/>
      <c r="U503" s="26">
        <v>575</v>
      </c>
      <c r="V503" s="26">
        <f>W503-L503</f>
        <v>0</v>
      </c>
      <c r="W503" s="26">
        <v>519.42999999999995</v>
      </c>
      <c r="X503" s="26">
        <f>Y503-N503</f>
        <v>0</v>
      </c>
      <c r="Y503" s="26">
        <f>ROUNDDOWN(U503*W503,0)</f>
        <v>298672</v>
      </c>
      <c r="Z503" s="33" t="s">
        <v>15</v>
      </c>
      <c r="AA503" s="36" t="s">
        <v>16</v>
      </c>
      <c r="AF503" s="101"/>
      <c r="AG503" s="185">
        <v>519.42999999999995</v>
      </c>
      <c r="AH503" s="69"/>
    </row>
    <row r="504" spans="1:34" ht="33" x14ac:dyDescent="0.3">
      <c r="L504" s="46">
        <v>0</v>
      </c>
      <c r="M504" s="46">
        <v>0</v>
      </c>
      <c r="N504" s="46">
        <v>0</v>
      </c>
      <c r="O504" s="98"/>
      <c r="P504" s="23" t="s">
        <v>1426</v>
      </c>
      <c r="Q504" s="24" t="s">
        <v>1511</v>
      </c>
      <c r="R504" s="25" t="s">
        <v>110</v>
      </c>
      <c r="S504" s="26"/>
      <c r="T504" s="26"/>
      <c r="U504" s="26">
        <v>20</v>
      </c>
      <c r="V504" s="26">
        <f>W504-L504</f>
        <v>0</v>
      </c>
      <c r="W504" s="26">
        <v>0</v>
      </c>
      <c r="X504" s="26">
        <f>Y504-N504</f>
        <v>0</v>
      </c>
      <c r="Y504" s="26">
        <f>ROUNDDOWN(U504*W504,0)</f>
        <v>0</v>
      </c>
      <c r="Z504" s="33" t="s">
        <v>15</v>
      </c>
      <c r="AA504" s="36" t="s">
        <v>16</v>
      </c>
      <c r="AF504" s="101"/>
      <c r="AG504" s="185">
        <v>0</v>
      </c>
      <c r="AH504" s="69"/>
    </row>
    <row r="505" spans="1:34" ht="33" x14ac:dyDescent="0.3">
      <c r="L505" s="46">
        <v>54856</v>
      </c>
      <c r="M505" s="46">
        <v>0</v>
      </c>
      <c r="N505" s="46">
        <v>438848</v>
      </c>
      <c r="O505" s="98"/>
      <c r="P505" s="23" t="s">
        <v>1402</v>
      </c>
      <c r="Q505" s="24" t="s">
        <v>1512</v>
      </c>
      <c r="R505" s="25" t="s">
        <v>110</v>
      </c>
      <c r="S505" s="26"/>
      <c r="T505" s="26"/>
      <c r="U505" s="26">
        <v>8</v>
      </c>
      <c r="V505" s="26">
        <f>W505-L505</f>
        <v>0</v>
      </c>
      <c r="W505" s="26">
        <v>54856</v>
      </c>
      <c r="X505" s="26">
        <f>Y505-N505</f>
        <v>0</v>
      </c>
      <c r="Y505" s="26">
        <f>ROUNDDOWN(U505*W505,0)</f>
        <v>438848</v>
      </c>
      <c r="Z505" s="33" t="s">
        <v>15</v>
      </c>
      <c r="AA505" s="36" t="s">
        <v>16</v>
      </c>
      <c r="AF505" s="101"/>
      <c r="AG505" s="185">
        <v>54856</v>
      </c>
      <c r="AH505" s="69"/>
    </row>
  </sheetData>
  <autoFilter ref="A6:J502" xr:uid="{745AA45A-1115-4D12-8076-1F56B440D015}"/>
  <mergeCells count="13">
    <mergeCell ref="A502:J502"/>
    <mergeCell ref="A5:H5"/>
    <mergeCell ref="I5:J5"/>
    <mergeCell ref="L5:N5"/>
    <mergeCell ref="P5:W5"/>
    <mergeCell ref="Y5:Z5"/>
    <mergeCell ref="A501:J501"/>
    <mergeCell ref="A1:J1"/>
    <mergeCell ref="A2:J2"/>
    <mergeCell ref="A3:J3"/>
    <mergeCell ref="P3:Z3"/>
    <mergeCell ref="A4:J4"/>
    <mergeCell ref="P4:Z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31E6-0D39-4CE4-8E2A-C118FBEBB207}">
  <sheetPr>
    <tabColor rgb="FFFF0000"/>
  </sheetPr>
  <dimension ref="A1:AK505"/>
  <sheetViews>
    <sheetView view="pageBreakPreview" topLeftCell="A4" zoomScale="80" zoomScaleNormal="80" zoomScaleSheetLayoutView="80" workbookViewId="0">
      <pane ySplit="1950" topLeftCell="A223" activePane="bottomLeft"/>
      <selection activeCell="AG6" sqref="AG6"/>
      <selection pane="bottomLeft" activeCell="G228" sqref="G228"/>
    </sheetView>
  </sheetViews>
  <sheetFormatPr defaultColWidth="8.5" defaultRowHeight="19.5" x14ac:dyDescent="0.3"/>
  <cols>
    <col min="1" max="1" width="5.25" style="72" customWidth="1"/>
    <col min="2" max="2" width="30.875" style="73" customWidth="1"/>
    <col min="3" max="3" width="5.5" style="73" customWidth="1"/>
    <col min="4" max="4" width="12.75" style="73" customWidth="1"/>
    <col min="5" max="5" width="14" style="73" customWidth="1"/>
    <col min="6" max="6" width="14.375" style="73" customWidth="1"/>
    <col min="7" max="7" width="12.375" style="73" customWidth="1"/>
    <col min="8" max="8" width="14.75" style="73" customWidth="1"/>
    <col min="9" max="9" width="23" style="73" customWidth="1"/>
    <col min="10" max="10" width="10.875" style="73" customWidth="1"/>
    <col min="11" max="11" width="1.5" style="73" customWidth="1"/>
    <col min="12" max="14" width="11.5" style="2" customWidth="1"/>
    <col min="15" max="15" width="1.25" style="96" customWidth="1"/>
    <col min="16" max="16" width="4.25" style="3" hidden="1" customWidth="1"/>
    <col min="17" max="17" width="35.25" hidden="1" customWidth="1"/>
    <col min="18" max="18" width="5.75" hidden="1" customWidth="1"/>
    <col min="19" max="19" width="9" hidden="1" customWidth="1"/>
    <col min="20" max="20" width="9.375" hidden="1" customWidth="1"/>
    <col min="21" max="21" width="12" hidden="1" customWidth="1"/>
    <col min="22" max="22" width="11.375" customWidth="1"/>
    <col min="23" max="23" width="11.75" customWidth="1"/>
    <col min="24" max="24" width="12.875" customWidth="1"/>
    <col min="25" max="25" width="12" customWidth="1"/>
    <col min="26" max="26" width="5.25" style="34" customWidth="1"/>
    <col min="27" max="27" width="0.875" customWidth="1"/>
    <col min="28" max="28" width="10.75" style="181" hidden="1" customWidth="1"/>
    <col min="29" max="29" width="11.5" style="181" hidden="1" customWidth="1"/>
    <col min="30" max="30" width="5.25" style="181" customWidth="1"/>
    <col min="31" max="31" width="5.25" style="181" hidden="1" customWidth="1"/>
    <col min="32" max="32" width="1.875" style="71" customWidth="1"/>
    <col min="33" max="33" width="16.5" style="185" customWidth="1"/>
    <col min="34" max="34" width="15.375" style="70" customWidth="1"/>
    <col min="35" max="35" width="8.375" style="70" customWidth="1"/>
    <col min="36" max="36" width="1.625" style="70" customWidth="1"/>
    <col min="37" max="37" width="15" style="70" bestFit="1" customWidth="1"/>
    <col min="38" max="223" width="8.5" style="70"/>
    <col min="224" max="224" width="5.25" style="70" customWidth="1"/>
    <col min="225" max="225" width="26.25" style="70" customWidth="1"/>
    <col min="226" max="226" width="5.5" style="70" customWidth="1"/>
    <col min="227" max="227" width="8.5" style="70"/>
    <col min="228" max="229" width="10.875" style="70" customWidth="1"/>
    <col min="230" max="230" width="15.25" style="70" customWidth="1"/>
    <col min="231" max="231" width="0.75" style="70" customWidth="1"/>
    <col min="232" max="234" width="0.625" style="70" customWidth="1"/>
    <col min="235" max="479" width="8.5" style="70"/>
    <col min="480" max="480" width="5.25" style="70" customWidth="1"/>
    <col min="481" max="481" width="26.25" style="70" customWidth="1"/>
    <col min="482" max="482" width="5.5" style="70" customWidth="1"/>
    <col min="483" max="483" width="8.5" style="70"/>
    <col min="484" max="485" width="10.875" style="70" customWidth="1"/>
    <col min="486" max="486" width="15.25" style="70" customWidth="1"/>
    <col min="487" max="487" width="0.75" style="70" customWidth="1"/>
    <col min="488" max="490" width="0.625" style="70" customWidth="1"/>
    <col min="491" max="735" width="8.5" style="70"/>
    <col min="736" max="736" width="5.25" style="70" customWidth="1"/>
    <col min="737" max="737" width="26.25" style="70" customWidth="1"/>
    <col min="738" max="738" width="5.5" style="70" customWidth="1"/>
    <col min="739" max="739" width="8.5" style="70"/>
    <col min="740" max="741" width="10.875" style="70" customWidth="1"/>
    <col min="742" max="742" width="15.25" style="70" customWidth="1"/>
    <col min="743" max="743" width="0.75" style="70" customWidth="1"/>
    <col min="744" max="746" width="0.625" style="70" customWidth="1"/>
    <col min="747" max="991" width="8.5" style="70"/>
    <col min="992" max="992" width="5.25" style="70" customWidth="1"/>
    <col min="993" max="993" width="26.25" style="70" customWidth="1"/>
    <col min="994" max="994" width="5.5" style="70" customWidth="1"/>
    <col min="995" max="995" width="8.5" style="70"/>
    <col min="996" max="997" width="10.875" style="70" customWidth="1"/>
    <col min="998" max="998" width="15.25" style="70" customWidth="1"/>
    <col min="999" max="999" width="0.75" style="70" customWidth="1"/>
    <col min="1000" max="1002" width="0.625" style="70" customWidth="1"/>
    <col min="1003" max="1247" width="8.5" style="70"/>
    <col min="1248" max="1248" width="5.25" style="70" customWidth="1"/>
    <col min="1249" max="1249" width="26.25" style="70" customWidth="1"/>
    <col min="1250" max="1250" width="5.5" style="70" customWidth="1"/>
    <col min="1251" max="1251" width="8.5" style="70"/>
    <col min="1252" max="1253" width="10.875" style="70" customWidth="1"/>
    <col min="1254" max="1254" width="15.25" style="70" customWidth="1"/>
    <col min="1255" max="1255" width="0.75" style="70" customWidth="1"/>
    <col min="1256" max="1258" width="0.625" style="70" customWidth="1"/>
    <col min="1259" max="1503" width="8.5" style="70"/>
    <col min="1504" max="1504" width="5.25" style="70" customWidth="1"/>
    <col min="1505" max="1505" width="26.25" style="70" customWidth="1"/>
    <col min="1506" max="1506" width="5.5" style="70" customWidth="1"/>
    <col min="1507" max="1507" width="8.5" style="70"/>
    <col min="1508" max="1509" width="10.875" style="70" customWidth="1"/>
    <col min="1510" max="1510" width="15.25" style="70" customWidth="1"/>
    <col min="1511" max="1511" width="0.75" style="70" customWidth="1"/>
    <col min="1512" max="1514" width="0.625" style="70" customWidth="1"/>
    <col min="1515" max="1759" width="8.5" style="70"/>
    <col min="1760" max="1760" width="5.25" style="70" customWidth="1"/>
    <col min="1761" max="1761" width="26.25" style="70" customWidth="1"/>
    <col min="1762" max="1762" width="5.5" style="70" customWidth="1"/>
    <col min="1763" max="1763" width="8.5" style="70"/>
    <col min="1764" max="1765" width="10.875" style="70" customWidth="1"/>
    <col min="1766" max="1766" width="15.25" style="70" customWidth="1"/>
    <col min="1767" max="1767" width="0.75" style="70" customWidth="1"/>
    <col min="1768" max="1770" width="0.625" style="70" customWidth="1"/>
    <col min="1771" max="2015" width="8.5" style="70"/>
    <col min="2016" max="2016" width="5.25" style="70" customWidth="1"/>
    <col min="2017" max="2017" width="26.25" style="70" customWidth="1"/>
    <col min="2018" max="2018" width="5.5" style="70" customWidth="1"/>
    <col min="2019" max="2019" width="8.5" style="70"/>
    <col min="2020" max="2021" width="10.875" style="70" customWidth="1"/>
    <col min="2022" max="2022" width="15.25" style="70" customWidth="1"/>
    <col min="2023" max="2023" width="0.75" style="70" customWidth="1"/>
    <col min="2024" max="2026" width="0.625" style="70" customWidth="1"/>
    <col min="2027" max="2271" width="8.5" style="70"/>
    <col min="2272" max="2272" width="5.25" style="70" customWidth="1"/>
    <col min="2273" max="2273" width="26.25" style="70" customWidth="1"/>
    <col min="2274" max="2274" width="5.5" style="70" customWidth="1"/>
    <col min="2275" max="2275" width="8.5" style="70"/>
    <col min="2276" max="2277" width="10.875" style="70" customWidth="1"/>
    <col min="2278" max="2278" width="15.25" style="70" customWidth="1"/>
    <col min="2279" max="2279" width="0.75" style="70" customWidth="1"/>
    <col min="2280" max="2282" width="0.625" style="70" customWidth="1"/>
    <col min="2283" max="2527" width="8.5" style="70"/>
    <col min="2528" max="2528" width="5.25" style="70" customWidth="1"/>
    <col min="2529" max="2529" width="26.25" style="70" customWidth="1"/>
    <col min="2530" max="2530" width="5.5" style="70" customWidth="1"/>
    <col min="2531" max="2531" width="8.5" style="70"/>
    <col min="2532" max="2533" width="10.875" style="70" customWidth="1"/>
    <col min="2534" max="2534" width="15.25" style="70" customWidth="1"/>
    <col min="2535" max="2535" width="0.75" style="70" customWidth="1"/>
    <col min="2536" max="2538" width="0.625" style="70" customWidth="1"/>
    <col min="2539" max="2783" width="8.5" style="70"/>
    <col min="2784" max="2784" width="5.25" style="70" customWidth="1"/>
    <col min="2785" max="2785" width="26.25" style="70" customWidth="1"/>
    <col min="2786" max="2786" width="5.5" style="70" customWidth="1"/>
    <col min="2787" max="2787" width="8.5" style="70"/>
    <col min="2788" max="2789" width="10.875" style="70" customWidth="1"/>
    <col min="2790" max="2790" width="15.25" style="70" customWidth="1"/>
    <col min="2791" max="2791" width="0.75" style="70" customWidth="1"/>
    <col min="2792" max="2794" width="0.625" style="70" customWidth="1"/>
    <col min="2795" max="3039" width="8.5" style="70"/>
    <col min="3040" max="3040" width="5.25" style="70" customWidth="1"/>
    <col min="3041" max="3041" width="26.25" style="70" customWidth="1"/>
    <col min="3042" max="3042" width="5.5" style="70" customWidth="1"/>
    <col min="3043" max="3043" width="8.5" style="70"/>
    <col min="3044" max="3045" width="10.875" style="70" customWidth="1"/>
    <col min="3046" max="3046" width="15.25" style="70" customWidth="1"/>
    <col min="3047" max="3047" width="0.75" style="70" customWidth="1"/>
    <col min="3048" max="3050" width="0.625" style="70" customWidth="1"/>
    <col min="3051" max="3295" width="8.5" style="70"/>
    <col min="3296" max="3296" width="5.25" style="70" customWidth="1"/>
    <col min="3297" max="3297" width="26.25" style="70" customWidth="1"/>
    <col min="3298" max="3298" width="5.5" style="70" customWidth="1"/>
    <col min="3299" max="3299" width="8.5" style="70"/>
    <col min="3300" max="3301" width="10.875" style="70" customWidth="1"/>
    <col min="3302" max="3302" width="15.25" style="70" customWidth="1"/>
    <col min="3303" max="3303" width="0.75" style="70" customWidth="1"/>
    <col min="3304" max="3306" width="0.625" style="70" customWidth="1"/>
    <col min="3307" max="3551" width="8.5" style="70"/>
    <col min="3552" max="3552" width="5.25" style="70" customWidth="1"/>
    <col min="3553" max="3553" width="26.25" style="70" customWidth="1"/>
    <col min="3554" max="3554" width="5.5" style="70" customWidth="1"/>
    <col min="3555" max="3555" width="8.5" style="70"/>
    <col min="3556" max="3557" width="10.875" style="70" customWidth="1"/>
    <col min="3558" max="3558" width="15.25" style="70" customWidth="1"/>
    <col min="3559" max="3559" width="0.75" style="70" customWidth="1"/>
    <col min="3560" max="3562" width="0.625" style="70" customWidth="1"/>
    <col min="3563" max="3807" width="8.5" style="70"/>
    <col min="3808" max="3808" width="5.25" style="70" customWidth="1"/>
    <col min="3809" max="3809" width="26.25" style="70" customWidth="1"/>
    <col min="3810" max="3810" width="5.5" style="70" customWidth="1"/>
    <col min="3811" max="3811" width="8.5" style="70"/>
    <col min="3812" max="3813" width="10.875" style="70" customWidth="1"/>
    <col min="3814" max="3814" width="15.25" style="70" customWidth="1"/>
    <col min="3815" max="3815" width="0.75" style="70" customWidth="1"/>
    <col min="3816" max="3818" width="0.625" style="70" customWidth="1"/>
    <col min="3819" max="4063" width="8.5" style="70"/>
    <col min="4064" max="4064" width="5.25" style="70" customWidth="1"/>
    <col min="4065" max="4065" width="26.25" style="70" customWidth="1"/>
    <col min="4066" max="4066" width="5.5" style="70" customWidth="1"/>
    <col min="4067" max="4067" width="8.5" style="70"/>
    <col min="4068" max="4069" width="10.875" style="70" customWidth="1"/>
    <col min="4070" max="4070" width="15.25" style="70" customWidth="1"/>
    <col min="4071" max="4071" width="0.75" style="70" customWidth="1"/>
    <col min="4072" max="4074" width="0.625" style="70" customWidth="1"/>
    <col min="4075" max="4319" width="8.5" style="70"/>
    <col min="4320" max="4320" width="5.25" style="70" customWidth="1"/>
    <col min="4321" max="4321" width="26.25" style="70" customWidth="1"/>
    <col min="4322" max="4322" width="5.5" style="70" customWidth="1"/>
    <col min="4323" max="4323" width="8.5" style="70"/>
    <col min="4324" max="4325" width="10.875" style="70" customWidth="1"/>
    <col min="4326" max="4326" width="15.25" style="70" customWidth="1"/>
    <col min="4327" max="4327" width="0.75" style="70" customWidth="1"/>
    <col min="4328" max="4330" width="0.625" style="70" customWidth="1"/>
    <col min="4331" max="4575" width="8.5" style="70"/>
    <col min="4576" max="4576" width="5.25" style="70" customWidth="1"/>
    <col min="4577" max="4577" width="26.25" style="70" customWidth="1"/>
    <col min="4578" max="4578" width="5.5" style="70" customWidth="1"/>
    <col min="4579" max="4579" width="8.5" style="70"/>
    <col min="4580" max="4581" width="10.875" style="70" customWidth="1"/>
    <col min="4582" max="4582" width="15.25" style="70" customWidth="1"/>
    <col min="4583" max="4583" width="0.75" style="70" customWidth="1"/>
    <col min="4584" max="4586" width="0.625" style="70" customWidth="1"/>
    <col min="4587" max="4831" width="8.5" style="70"/>
    <col min="4832" max="4832" width="5.25" style="70" customWidth="1"/>
    <col min="4833" max="4833" width="26.25" style="70" customWidth="1"/>
    <col min="4834" max="4834" width="5.5" style="70" customWidth="1"/>
    <col min="4835" max="4835" width="8.5" style="70"/>
    <col min="4836" max="4837" width="10.875" style="70" customWidth="1"/>
    <col min="4838" max="4838" width="15.25" style="70" customWidth="1"/>
    <col min="4839" max="4839" width="0.75" style="70" customWidth="1"/>
    <col min="4840" max="4842" width="0.625" style="70" customWidth="1"/>
    <col min="4843" max="5087" width="8.5" style="70"/>
    <col min="5088" max="5088" width="5.25" style="70" customWidth="1"/>
    <col min="5089" max="5089" width="26.25" style="70" customWidth="1"/>
    <col min="5090" max="5090" width="5.5" style="70" customWidth="1"/>
    <col min="5091" max="5091" width="8.5" style="70"/>
    <col min="5092" max="5093" width="10.875" style="70" customWidth="1"/>
    <col min="5094" max="5094" width="15.25" style="70" customWidth="1"/>
    <col min="5095" max="5095" width="0.75" style="70" customWidth="1"/>
    <col min="5096" max="5098" width="0.625" style="70" customWidth="1"/>
    <col min="5099" max="5343" width="8.5" style="70"/>
    <col min="5344" max="5344" width="5.25" style="70" customWidth="1"/>
    <col min="5345" max="5345" width="26.25" style="70" customWidth="1"/>
    <col min="5346" max="5346" width="5.5" style="70" customWidth="1"/>
    <col min="5347" max="5347" width="8.5" style="70"/>
    <col min="5348" max="5349" width="10.875" style="70" customWidth="1"/>
    <col min="5350" max="5350" width="15.25" style="70" customWidth="1"/>
    <col min="5351" max="5351" width="0.75" style="70" customWidth="1"/>
    <col min="5352" max="5354" width="0.625" style="70" customWidth="1"/>
    <col min="5355" max="5599" width="8.5" style="70"/>
    <col min="5600" max="5600" width="5.25" style="70" customWidth="1"/>
    <col min="5601" max="5601" width="26.25" style="70" customWidth="1"/>
    <col min="5602" max="5602" width="5.5" style="70" customWidth="1"/>
    <col min="5603" max="5603" width="8.5" style="70"/>
    <col min="5604" max="5605" width="10.875" style="70" customWidth="1"/>
    <col min="5606" max="5606" width="15.25" style="70" customWidth="1"/>
    <col min="5607" max="5607" width="0.75" style="70" customWidth="1"/>
    <col min="5608" max="5610" width="0.625" style="70" customWidth="1"/>
    <col min="5611" max="5855" width="8.5" style="70"/>
    <col min="5856" max="5856" width="5.25" style="70" customWidth="1"/>
    <col min="5857" max="5857" width="26.25" style="70" customWidth="1"/>
    <col min="5858" max="5858" width="5.5" style="70" customWidth="1"/>
    <col min="5859" max="5859" width="8.5" style="70"/>
    <col min="5860" max="5861" width="10.875" style="70" customWidth="1"/>
    <col min="5862" max="5862" width="15.25" style="70" customWidth="1"/>
    <col min="5863" max="5863" width="0.75" style="70" customWidth="1"/>
    <col min="5864" max="5866" width="0.625" style="70" customWidth="1"/>
    <col min="5867" max="6111" width="8.5" style="70"/>
    <col min="6112" max="6112" width="5.25" style="70" customWidth="1"/>
    <col min="6113" max="6113" width="26.25" style="70" customWidth="1"/>
    <col min="6114" max="6114" width="5.5" style="70" customWidth="1"/>
    <col min="6115" max="6115" width="8.5" style="70"/>
    <col min="6116" max="6117" width="10.875" style="70" customWidth="1"/>
    <col min="6118" max="6118" width="15.25" style="70" customWidth="1"/>
    <col min="6119" max="6119" width="0.75" style="70" customWidth="1"/>
    <col min="6120" max="6122" width="0.625" style="70" customWidth="1"/>
    <col min="6123" max="6367" width="8.5" style="70"/>
    <col min="6368" max="6368" width="5.25" style="70" customWidth="1"/>
    <col min="6369" max="6369" width="26.25" style="70" customWidth="1"/>
    <col min="6370" max="6370" width="5.5" style="70" customWidth="1"/>
    <col min="6371" max="6371" width="8.5" style="70"/>
    <col min="6372" max="6373" width="10.875" style="70" customWidth="1"/>
    <col min="6374" max="6374" width="15.25" style="70" customWidth="1"/>
    <col min="6375" max="6375" width="0.75" style="70" customWidth="1"/>
    <col min="6376" max="6378" width="0.625" style="70" customWidth="1"/>
    <col min="6379" max="6623" width="8.5" style="70"/>
    <col min="6624" max="6624" width="5.25" style="70" customWidth="1"/>
    <col min="6625" max="6625" width="26.25" style="70" customWidth="1"/>
    <col min="6626" max="6626" width="5.5" style="70" customWidth="1"/>
    <col min="6627" max="6627" width="8.5" style="70"/>
    <col min="6628" max="6629" width="10.875" style="70" customWidth="1"/>
    <col min="6630" max="6630" width="15.25" style="70" customWidth="1"/>
    <col min="6631" max="6631" width="0.75" style="70" customWidth="1"/>
    <col min="6632" max="6634" width="0.625" style="70" customWidth="1"/>
    <col min="6635" max="6879" width="8.5" style="70"/>
    <col min="6880" max="6880" width="5.25" style="70" customWidth="1"/>
    <col min="6881" max="6881" width="26.25" style="70" customWidth="1"/>
    <col min="6882" max="6882" width="5.5" style="70" customWidth="1"/>
    <col min="6883" max="6883" width="8.5" style="70"/>
    <col min="6884" max="6885" width="10.875" style="70" customWidth="1"/>
    <col min="6886" max="6886" width="15.25" style="70" customWidth="1"/>
    <col min="6887" max="6887" width="0.75" style="70" customWidth="1"/>
    <col min="6888" max="6890" width="0.625" style="70" customWidth="1"/>
    <col min="6891" max="7135" width="8.5" style="70"/>
    <col min="7136" max="7136" width="5.25" style="70" customWidth="1"/>
    <col min="7137" max="7137" width="26.25" style="70" customWidth="1"/>
    <col min="7138" max="7138" width="5.5" style="70" customWidth="1"/>
    <col min="7139" max="7139" width="8.5" style="70"/>
    <col min="7140" max="7141" width="10.875" style="70" customWidth="1"/>
    <col min="7142" max="7142" width="15.25" style="70" customWidth="1"/>
    <col min="7143" max="7143" width="0.75" style="70" customWidth="1"/>
    <col min="7144" max="7146" width="0.625" style="70" customWidth="1"/>
    <col min="7147" max="7391" width="8.5" style="70"/>
    <col min="7392" max="7392" width="5.25" style="70" customWidth="1"/>
    <col min="7393" max="7393" width="26.25" style="70" customWidth="1"/>
    <col min="7394" max="7394" width="5.5" style="70" customWidth="1"/>
    <col min="7395" max="7395" width="8.5" style="70"/>
    <col min="7396" max="7397" width="10.875" style="70" customWidth="1"/>
    <col min="7398" max="7398" width="15.25" style="70" customWidth="1"/>
    <col min="7399" max="7399" width="0.75" style="70" customWidth="1"/>
    <col min="7400" max="7402" width="0.625" style="70" customWidth="1"/>
    <col min="7403" max="7647" width="8.5" style="70"/>
    <col min="7648" max="7648" width="5.25" style="70" customWidth="1"/>
    <col min="7649" max="7649" width="26.25" style="70" customWidth="1"/>
    <col min="7650" max="7650" width="5.5" style="70" customWidth="1"/>
    <col min="7651" max="7651" width="8.5" style="70"/>
    <col min="7652" max="7653" width="10.875" style="70" customWidth="1"/>
    <col min="7654" max="7654" width="15.25" style="70" customWidth="1"/>
    <col min="7655" max="7655" width="0.75" style="70" customWidth="1"/>
    <col min="7656" max="7658" width="0.625" style="70" customWidth="1"/>
    <col min="7659" max="7903" width="8.5" style="70"/>
    <col min="7904" max="7904" width="5.25" style="70" customWidth="1"/>
    <col min="7905" max="7905" width="26.25" style="70" customWidth="1"/>
    <col min="7906" max="7906" width="5.5" style="70" customWidth="1"/>
    <col min="7907" max="7907" width="8.5" style="70"/>
    <col min="7908" max="7909" width="10.875" style="70" customWidth="1"/>
    <col min="7910" max="7910" width="15.25" style="70" customWidth="1"/>
    <col min="7911" max="7911" width="0.75" style="70" customWidth="1"/>
    <col min="7912" max="7914" width="0.625" style="70" customWidth="1"/>
    <col min="7915" max="8159" width="8.5" style="70"/>
    <col min="8160" max="8160" width="5.25" style="70" customWidth="1"/>
    <col min="8161" max="8161" width="26.25" style="70" customWidth="1"/>
    <col min="8162" max="8162" width="5.5" style="70" customWidth="1"/>
    <col min="8163" max="8163" width="8.5" style="70"/>
    <col min="8164" max="8165" width="10.875" style="70" customWidth="1"/>
    <col min="8166" max="8166" width="15.25" style="70" customWidth="1"/>
    <col min="8167" max="8167" width="0.75" style="70" customWidth="1"/>
    <col min="8168" max="8170" width="0.625" style="70" customWidth="1"/>
    <col min="8171" max="8415" width="8.5" style="70"/>
    <col min="8416" max="8416" width="5.25" style="70" customWidth="1"/>
    <col min="8417" max="8417" width="26.25" style="70" customWidth="1"/>
    <col min="8418" max="8418" width="5.5" style="70" customWidth="1"/>
    <col min="8419" max="8419" width="8.5" style="70"/>
    <col min="8420" max="8421" width="10.875" style="70" customWidth="1"/>
    <col min="8422" max="8422" width="15.25" style="70" customWidth="1"/>
    <col min="8423" max="8423" width="0.75" style="70" customWidth="1"/>
    <col min="8424" max="8426" width="0.625" style="70" customWidth="1"/>
    <col min="8427" max="8671" width="8.5" style="70"/>
    <col min="8672" max="8672" width="5.25" style="70" customWidth="1"/>
    <col min="8673" max="8673" width="26.25" style="70" customWidth="1"/>
    <col min="8674" max="8674" width="5.5" style="70" customWidth="1"/>
    <col min="8675" max="8675" width="8.5" style="70"/>
    <col min="8676" max="8677" width="10.875" style="70" customWidth="1"/>
    <col min="8678" max="8678" width="15.25" style="70" customWidth="1"/>
    <col min="8679" max="8679" width="0.75" style="70" customWidth="1"/>
    <col min="8680" max="8682" width="0.625" style="70" customWidth="1"/>
    <col min="8683" max="8927" width="8.5" style="70"/>
    <col min="8928" max="8928" width="5.25" style="70" customWidth="1"/>
    <col min="8929" max="8929" width="26.25" style="70" customWidth="1"/>
    <col min="8930" max="8930" width="5.5" style="70" customWidth="1"/>
    <col min="8931" max="8931" width="8.5" style="70"/>
    <col min="8932" max="8933" width="10.875" style="70" customWidth="1"/>
    <col min="8934" max="8934" width="15.25" style="70" customWidth="1"/>
    <col min="8935" max="8935" width="0.75" style="70" customWidth="1"/>
    <col min="8936" max="8938" width="0.625" style="70" customWidth="1"/>
    <col min="8939" max="9183" width="8.5" style="70"/>
    <col min="9184" max="9184" width="5.25" style="70" customWidth="1"/>
    <col min="9185" max="9185" width="26.25" style="70" customWidth="1"/>
    <col min="9186" max="9186" width="5.5" style="70" customWidth="1"/>
    <col min="9187" max="9187" width="8.5" style="70"/>
    <col min="9188" max="9189" width="10.875" style="70" customWidth="1"/>
    <col min="9190" max="9190" width="15.25" style="70" customWidth="1"/>
    <col min="9191" max="9191" width="0.75" style="70" customWidth="1"/>
    <col min="9192" max="9194" width="0.625" style="70" customWidth="1"/>
    <col min="9195" max="9439" width="8.5" style="70"/>
    <col min="9440" max="9440" width="5.25" style="70" customWidth="1"/>
    <col min="9441" max="9441" width="26.25" style="70" customWidth="1"/>
    <col min="9442" max="9442" width="5.5" style="70" customWidth="1"/>
    <col min="9443" max="9443" width="8.5" style="70"/>
    <col min="9444" max="9445" width="10.875" style="70" customWidth="1"/>
    <col min="9446" max="9446" width="15.25" style="70" customWidth="1"/>
    <col min="9447" max="9447" width="0.75" style="70" customWidth="1"/>
    <col min="9448" max="9450" width="0.625" style="70" customWidth="1"/>
    <col min="9451" max="9695" width="8.5" style="70"/>
    <col min="9696" max="9696" width="5.25" style="70" customWidth="1"/>
    <col min="9697" max="9697" width="26.25" style="70" customWidth="1"/>
    <col min="9698" max="9698" width="5.5" style="70" customWidth="1"/>
    <col min="9699" max="9699" width="8.5" style="70"/>
    <col min="9700" max="9701" width="10.875" style="70" customWidth="1"/>
    <col min="9702" max="9702" width="15.25" style="70" customWidth="1"/>
    <col min="9703" max="9703" width="0.75" style="70" customWidth="1"/>
    <col min="9704" max="9706" width="0.625" style="70" customWidth="1"/>
    <col min="9707" max="9951" width="8.5" style="70"/>
    <col min="9952" max="9952" width="5.25" style="70" customWidth="1"/>
    <col min="9953" max="9953" width="26.25" style="70" customWidth="1"/>
    <col min="9954" max="9954" width="5.5" style="70" customWidth="1"/>
    <col min="9955" max="9955" width="8.5" style="70"/>
    <col min="9956" max="9957" width="10.875" style="70" customWidth="1"/>
    <col min="9958" max="9958" width="15.25" style="70" customWidth="1"/>
    <col min="9959" max="9959" width="0.75" style="70" customWidth="1"/>
    <col min="9960" max="9962" width="0.625" style="70" customWidth="1"/>
    <col min="9963" max="10207" width="8.5" style="70"/>
    <col min="10208" max="10208" width="5.25" style="70" customWidth="1"/>
    <col min="10209" max="10209" width="26.25" style="70" customWidth="1"/>
    <col min="10210" max="10210" width="5.5" style="70" customWidth="1"/>
    <col min="10211" max="10211" width="8.5" style="70"/>
    <col min="10212" max="10213" width="10.875" style="70" customWidth="1"/>
    <col min="10214" max="10214" width="15.25" style="70" customWidth="1"/>
    <col min="10215" max="10215" width="0.75" style="70" customWidth="1"/>
    <col min="10216" max="10218" width="0.625" style="70" customWidth="1"/>
    <col min="10219" max="10463" width="8.5" style="70"/>
    <col min="10464" max="10464" width="5.25" style="70" customWidth="1"/>
    <col min="10465" max="10465" width="26.25" style="70" customWidth="1"/>
    <col min="10466" max="10466" width="5.5" style="70" customWidth="1"/>
    <col min="10467" max="10467" width="8.5" style="70"/>
    <col min="10468" max="10469" width="10.875" style="70" customWidth="1"/>
    <col min="10470" max="10470" width="15.25" style="70" customWidth="1"/>
    <col min="10471" max="10471" width="0.75" style="70" customWidth="1"/>
    <col min="10472" max="10474" width="0.625" style="70" customWidth="1"/>
    <col min="10475" max="10719" width="8.5" style="70"/>
    <col min="10720" max="10720" width="5.25" style="70" customWidth="1"/>
    <col min="10721" max="10721" width="26.25" style="70" customWidth="1"/>
    <col min="10722" max="10722" width="5.5" style="70" customWidth="1"/>
    <col min="10723" max="10723" width="8.5" style="70"/>
    <col min="10724" max="10725" width="10.875" style="70" customWidth="1"/>
    <col min="10726" max="10726" width="15.25" style="70" customWidth="1"/>
    <col min="10727" max="10727" width="0.75" style="70" customWidth="1"/>
    <col min="10728" max="10730" width="0.625" style="70" customWidth="1"/>
    <col min="10731" max="10975" width="8.5" style="70"/>
    <col min="10976" max="10976" width="5.25" style="70" customWidth="1"/>
    <col min="10977" max="10977" width="26.25" style="70" customWidth="1"/>
    <col min="10978" max="10978" width="5.5" style="70" customWidth="1"/>
    <col min="10979" max="10979" width="8.5" style="70"/>
    <col min="10980" max="10981" width="10.875" style="70" customWidth="1"/>
    <col min="10982" max="10982" width="15.25" style="70" customWidth="1"/>
    <col min="10983" max="10983" width="0.75" style="70" customWidth="1"/>
    <col min="10984" max="10986" width="0.625" style="70" customWidth="1"/>
    <col min="10987" max="11231" width="8.5" style="70"/>
    <col min="11232" max="11232" width="5.25" style="70" customWidth="1"/>
    <col min="11233" max="11233" width="26.25" style="70" customWidth="1"/>
    <col min="11234" max="11234" width="5.5" style="70" customWidth="1"/>
    <col min="11235" max="11235" width="8.5" style="70"/>
    <col min="11236" max="11237" width="10.875" style="70" customWidth="1"/>
    <col min="11238" max="11238" width="15.25" style="70" customWidth="1"/>
    <col min="11239" max="11239" width="0.75" style="70" customWidth="1"/>
    <col min="11240" max="11242" width="0.625" style="70" customWidth="1"/>
    <col min="11243" max="11487" width="8.5" style="70"/>
    <col min="11488" max="11488" width="5.25" style="70" customWidth="1"/>
    <col min="11489" max="11489" width="26.25" style="70" customWidth="1"/>
    <col min="11490" max="11490" width="5.5" style="70" customWidth="1"/>
    <col min="11491" max="11491" width="8.5" style="70"/>
    <col min="11492" max="11493" width="10.875" style="70" customWidth="1"/>
    <col min="11494" max="11494" width="15.25" style="70" customWidth="1"/>
    <col min="11495" max="11495" width="0.75" style="70" customWidth="1"/>
    <col min="11496" max="11498" width="0.625" style="70" customWidth="1"/>
    <col min="11499" max="11743" width="8.5" style="70"/>
    <col min="11744" max="11744" width="5.25" style="70" customWidth="1"/>
    <col min="11745" max="11745" width="26.25" style="70" customWidth="1"/>
    <col min="11746" max="11746" width="5.5" style="70" customWidth="1"/>
    <col min="11747" max="11747" width="8.5" style="70"/>
    <col min="11748" max="11749" width="10.875" style="70" customWidth="1"/>
    <col min="11750" max="11750" width="15.25" style="70" customWidth="1"/>
    <col min="11751" max="11751" width="0.75" style="70" customWidth="1"/>
    <col min="11752" max="11754" width="0.625" style="70" customWidth="1"/>
    <col min="11755" max="11999" width="8.5" style="70"/>
    <col min="12000" max="12000" width="5.25" style="70" customWidth="1"/>
    <col min="12001" max="12001" width="26.25" style="70" customWidth="1"/>
    <col min="12002" max="12002" width="5.5" style="70" customWidth="1"/>
    <col min="12003" max="12003" width="8.5" style="70"/>
    <col min="12004" max="12005" width="10.875" style="70" customWidth="1"/>
    <col min="12006" max="12006" width="15.25" style="70" customWidth="1"/>
    <col min="12007" max="12007" width="0.75" style="70" customWidth="1"/>
    <col min="12008" max="12010" width="0.625" style="70" customWidth="1"/>
    <col min="12011" max="12255" width="8.5" style="70"/>
    <col min="12256" max="12256" width="5.25" style="70" customWidth="1"/>
    <col min="12257" max="12257" width="26.25" style="70" customWidth="1"/>
    <col min="12258" max="12258" width="5.5" style="70" customWidth="1"/>
    <col min="12259" max="12259" width="8.5" style="70"/>
    <col min="12260" max="12261" width="10.875" style="70" customWidth="1"/>
    <col min="12262" max="12262" width="15.25" style="70" customWidth="1"/>
    <col min="12263" max="12263" width="0.75" style="70" customWidth="1"/>
    <col min="12264" max="12266" width="0.625" style="70" customWidth="1"/>
    <col min="12267" max="12511" width="8.5" style="70"/>
    <col min="12512" max="12512" width="5.25" style="70" customWidth="1"/>
    <col min="12513" max="12513" width="26.25" style="70" customWidth="1"/>
    <col min="12514" max="12514" width="5.5" style="70" customWidth="1"/>
    <col min="12515" max="12515" width="8.5" style="70"/>
    <col min="12516" max="12517" width="10.875" style="70" customWidth="1"/>
    <col min="12518" max="12518" width="15.25" style="70" customWidth="1"/>
    <col min="12519" max="12519" width="0.75" style="70" customWidth="1"/>
    <col min="12520" max="12522" width="0.625" style="70" customWidth="1"/>
    <col min="12523" max="12767" width="8.5" style="70"/>
    <col min="12768" max="12768" width="5.25" style="70" customWidth="1"/>
    <col min="12769" max="12769" width="26.25" style="70" customWidth="1"/>
    <col min="12770" max="12770" width="5.5" style="70" customWidth="1"/>
    <col min="12771" max="12771" width="8.5" style="70"/>
    <col min="12772" max="12773" width="10.875" style="70" customWidth="1"/>
    <col min="12774" max="12774" width="15.25" style="70" customWidth="1"/>
    <col min="12775" max="12775" width="0.75" style="70" customWidth="1"/>
    <col min="12776" max="12778" width="0.625" style="70" customWidth="1"/>
    <col min="12779" max="13023" width="8.5" style="70"/>
    <col min="13024" max="13024" width="5.25" style="70" customWidth="1"/>
    <col min="13025" max="13025" width="26.25" style="70" customWidth="1"/>
    <col min="13026" max="13026" width="5.5" style="70" customWidth="1"/>
    <col min="13027" max="13027" width="8.5" style="70"/>
    <col min="13028" max="13029" width="10.875" style="70" customWidth="1"/>
    <col min="13030" max="13030" width="15.25" style="70" customWidth="1"/>
    <col min="13031" max="13031" width="0.75" style="70" customWidth="1"/>
    <col min="13032" max="13034" width="0.625" style="70" customWidth="1"/>
    <col min="13035" max="13279" width="8.5" style="70"/>
    <col min="13280" max="13280" width="5.25" style="70" customWidth="1"/>
    <col min="13281" max="13281" width="26.25" style="70" customWidth="1"/>
    <col min="13282" max="13282" width="5.5" style="70" customWidth="1"/>
    <col min="13283" max="13283" width="8.5" style="70"/>
    <col min="13284" max="13285" width="10.875" style="70" customWidth="1"/>
    <col min="13286" max="13286" width="15.25" style="70" customWidth="1"/>
    <col min="13287" max="13287" width="0.75" style="70" customWidth="1"/>
    <col min="13288" max="13290" width="0.625" style="70" customWidth="1"/>
    <col min="13291" max="13535" width="8.5" style="70"/>
    <col min="13536" max="13536" width="5.25" style="70" customWidth="1"/>
    <col min="13537" max="13537" width="26.25" style="70" customWidth="1"/>
    <col min="13538" max="13538" width="5.5" style="70" customWidth="1"/>
    <col min="13539" max="13539" width="8.5" style="70"/>
    <col min="13540" max="13541" width="10.875" style="70" customWidth="1"/>
    <col min="13542" max="13542" width="15.25" style="70" customWidth="1"/>
    <col min="13543" max="13543" width="0.75" style="70" customWidth="1"/>
    <col min="13544" max="13546" width="0.625" style="70" customWidth="1"/>
    <col min="13547" max="13791" width="8.5" style="70"/>
    <col min="13792" max="13792" width="5.25" style="70" customWidth="1"/>
    <col min="13793" max="13793" width="26.25" style="70" customWidth="1"/>
    <col min="13794" max="13794" width="5.5" style="70" customWidth="1"/>
    <col min="13795" max="13795" width="8.5" style="70"/>
    <col min="13796" max="13797" width="10.875" style="70" customWidth="1"/>
    <col min="13798" max="13798" width="15.25" style="70" customWidth="1"/>
    <col min="13799" max="13799" width="0.75" style="70" customWidth="1"/>
    <col min="13800" max="13802" width="0.625" style="70" customWidth="1"/>
    <col min="13803" max="14047" width="8.5" style="70"/>
    <col min="14048" max="14048" width="5.25" style="70" customWidth="1"/>
    <col min="14049" max="14049" width="26.25" style="70" customWidth="1"/>
    <col min="14050" max="14050" width="5.5" style="70" customWidth="1"/>
    <col min="14051" max="14051" width="8.5" style="70"/>
    <col min="14052" max="14053" width="10.875" style="70" customWidth="1"/>
    <col min="14054" max="14054" width="15.25" style="70" customWidth="1"/>
    <col min="14055" max="14055" width="0.75" style="70" customWidth="1"/>
    <col min="14056" max="14058" width="0.625" style="70" customWidth="1"/>
    <col min="14059" max="14303" width="8.5" style="70"/>
    <col min="14304" max="14304" width="5.25" style="70" customWidth="1"/>
    <col min="14305" max="14305" width="26.25" style="70" customWidth="1"/>
    <col min="14306" max="14306" width="5.5" style="70" customWidth="1"/>
    <col min="14307" max="14307" width="8.5" style="70"/>
    <col min="14308" max="14309" width="10.875" style="70" customWidth="1"/>
    <col min="14310" max="14310" width="15.25" style="70" customWidth="1"/>
    <col min="14311" max="14311" width="0.75" style="70" customWidth="1"/>
    <col min="14312" max="14314" width="0.625" style="70" customWidth="1"/>
    <col min="14315" max="14559" width="8.5" style="70"/>
    <col min="14560" max="14560" width="5.25" style="70" customWidth="1"/>
    <col min="14561" max="14561" width="26.25" style="70" customWidth="1"/>
    <col min="14562" max="14562" width="5.5" style="70" customWidth="1"/>
    <col min="14563" max="14563" width="8.5" style="70"/>
    <col min="14564" max="14565" width="10.875" style="70" customWidth="1"/>
    <col min="14566" max="14566" width="15.25" style="70" customWidth="1"/>
    <col min="14567" max="14567" width="0.75" style="70" customWidth="1"/>
    <col min="14568" max="14570" width="0.625" style="70" customWidth="1"/>
    <col min="14571" max="14815" width="8.5" style="70"/>
    <col min="14816" max="14816" width="5.25" style="70" customWidth="1"/>
    <col min="14817" max="14817" width="26.25" style="70" customWidth="1"/>
    <col min="14818" max="14818" width="5.5" style="70" customWidth="1"/>
    <col min="14819" max="14819" width="8.5" style="70"/>
    <col min="14820" max="14821" width="10.875" style="70" customWidth="1"/>
    <col min="14822" max="14822" width="15.25" style="70" customWidth="1"/>
    <col min="14823" max="14823" width="0.75" style="70" customWidth="1"/>
    <col min="14824" max="14826" width="0.625" style="70" customWidth="1"/>
    <col min="14827" max="15071" width="8.5" style="70"/>
    <col min="15072" max="15072" width="5.25" style="70" customWidth="1"/>
    <col min="15073" max="15073" width="26.25" style="70" customWidth="1"/>
    <col min="15074" max="15074" width="5.5" style="70" customWidth="1"/>
    <col min="15075" max="15075" width="8.5" style="70"/>
    <col min="15076" max="15077" width="10.875" style="70" customWidth="1"/>
    <col min="15078" max="15078" width="15.25" style="70" customWidth="1"/>
    <col min="15079" max="15079" width="0.75" style="70" customWidth="1"/>
    <col min="15080" max="15082" width="0.625" style="70" customWidth="1"/>
    <col min="15083" max="15327" width="8.5" style="70"/>
    <col min="15328" max="15328" width="5.25" style="70" customWidth="1"/>
    <col min="15329" max="15329" width="26.25" style="70" customWidth="1"/>
    <col min="15330" max="15330" width="5.5" style="70" customWidth="1"/>
    <col min="15331" max="15331" width="8.5" style="70"/>
    <col min="15332" max="15333" width="10.875" style="70" customWidth="1"/>
    <col min="15334" max="15334" width="15.25" style="70" customWidth="1"/>
    <col min="15335" max="15335" width="0.75" style="70" customWidth="1"/>
    <col min="15336" max="15338" width="0.625" style="70" customWidth="1"/>
    <col min="15339" max="15583" width="8.5" style="70"/>
    <col min="15584" max="15584" width="5.25" style="70" customWidth="1"/>
    <col min="15585" max="15585" width="26.25" style="70" customWidth="1"/>
    <col min="15586" max="15586" width="5.5" style="70" customWidth="1"/>
    <col min="15587" max="15587" width="8.5" style="70"/>
    <col min="15588" max="15589" width="10.875" style="70" customWidth="1"/>
    <col min="15590" max="15590" width="15.25" style="70" customWidth="1"/>
    <col min="15591" max="15591" width="0.75" style="70" customWidth="1"/>
    <col min="15592" max="15594" width="0.625" style="70" customWidth="1"/>
    <col min="15595" max="15839" width="8.5" style="70"/>
    <col min="15840" max="15840" width="5.25" style="70" customWidth="1"/>
    <col min="15841" max="15841" width="26.25" style="70" customWidth="1"/>
    <col min="15842" max="15842" width="5.5" style="70" customWidth="1"/>
    <col min="15843" max="15843" width="8.5" style="70"/>
    <col min="15844" max="15845" width="10.875" style="70" customWidth="1"/>
    <col min="15846" max="15846" width="15.25" style="70" customWidth="1"/>
    <col min="15847" max="15847" width="0.75" style="70" customWidth="1"/>
    <col min="15848" max="15850" width="0.625" style="70" customWidth="1"/>
    <col min="15851" max="16095" width="8.5" style="70"/>
    <col min="16096" max="16096" width="5.25" style="70" customWidth="1"/>
    <col min="16097" max="16097" width="26.25" style="70" customWidth="1"/>
    <col min="16098" max="16098" width="5.5" style="70" customWidth="1"/>
    <col min="16099" max="16099" width="8.5" style="70"/>
    <col min="16100" max="16101" width="10.875" style="70" customWidth="1"/>
    <col min="16102" max="16102" width="15.25" style="70" customWidth="1"/>
    <col min="16103" max="16103" width="0.75" style="70" customWidth="1"/>
    <col min="16104" max="16106" width="0.625" style="70" customWidth="1"/>
    <col min="16107" max="16384" width="8.5" style="70"/>
  </cols>
  <sheetData>
    <row r="1" spans="1:37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47"/>
      <c r="V1" s="99"/>
      <c r="W1" s="99"/>
      <c r="X1" s="99"/>
      <c r="Y1" s="99"/>
      <c r="Z1" s="100"/>
    </row>
    <row r="2" spans="1:37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47"/>
    </row>
    <row r="3" spans="1:37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47"/>
      <c r="P3" s="386" t="s">
        <v>0</v>
      </c>
      <c r="Q3" s="387"/>
      <c r="R3" s="387"/>
      <c r="S3" s="387"/>
      <c r="T3" s="387"/>
      <c r="U3" s="387"/>
      <c r="V3" s="387"/>
      <c r="W3" s="387"/>
      <c r="X3" s="387"/>
      <c r="Y3" s="387"/>
      <c r="Z3" s="387"/>
    </row>
    <row r="4" spans="1:37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48"/>
      <c r="P4" s="389">
        <v>19</v>
      </c>
      <c r="Q4" s="387"/>
      <c r="R4" s="387"/>
      <c r="S4" s="387"/>
      <c r="T4" s="387"/>
      <c r="U4" s="387"/>
      <c r="V4" s="387"/>
      <c r="W4" s="387"/>
      <c r="X4" s="387"/>
      <c r="Y4" s="387"/>
      <c r="Z4" s="387"/>
    </row>
    <row r="5" spans="1:37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93" t="s">
        <v>4</v>
      </c>
      <c r="J5" s="393"/>
      <c r="K5" s="74"/>
      <c r="L5" s="394" t="s">
        <v>3130</v>
      </c>
      <c r="M5" s="394"/>
      <c r="N5" s="394"/>
      <c r="O5" s="96"/>
      <c r="P5" s="395" t="s">
        <v>2</v>
      </c>
      <c r="Q5" s="396"/>
      <c r="R5" s="396"/>
      <c r="S5" s="396"/>
      <c r="T5" s="396"/>
      <c r="U5" s="396"/>
      <c r="V5" s="396"/>
      <c r="W5" s="396"/>
      <c r="X5" s="4" t="s">
        <v>1361</v>
      </c>
      <c r="Y5" s="380">
        <v>45747</v>
      </c>
      <c r="Z5" s="381"/>
      <c r="AA5"/>
      <c r="AB5" s="181"/>
      <c r="AC5" s="181"/>
      <c r="AD5" s="181"/>
      <c r="AE5" s="181"/>
    </row>
    <row r="6" spans="1:37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1" t="s">
        <v>9</v>
      </c>
      <c r="I6" s="51" t="s">
        <v>3068</v>
      </c>
      <c r="J6" s="50" t="s">
        <v>11</v>
      </c>
      <c r="K6" s="47"/>
      <c r="L6" s="1" t="s">
        <v>1423</v>
      </c>
      <c r="M6" s="1" t="s">
        <v>1424</v>
      </c>
      <c r="N6" s="1" t="s">
        <v>1425</v>
      </c>
      <c r="O6" s="97"/>
      <c r="P6" s="5" t="s">
        <v>5</v>
      </c>
      <c r="Q6" s="6" t="s">
        <v>1362</v>
      </c>
      <c r="R6" s="6" t="s">
        <v>7</v>
      </c>
      <c r="S6" s="6" t="s">
        <v>1363</v>
      </c>
      <c r="T6" s="6" t="s">
        <v>1364</v>
      </c>
      <c r="U6" s="6" t="s">
        <v>1365</v>
      </c>
      <c r="V6" s="6" t="s">
        <v>1366</v>
      </c>
      <c r="W6" s="214" t="s">
        <v>1367</v>
      </c>
      <c r="X6" s="214" t="s">
        <v>1368</v>
      </c>
      <c r="Y6" s="214" t="s">
        <v>1369</v>
      </c>
      <c r="Z6" s="7" t="s">
        <v>1370</v>
      </c>
      <c r="AA6" s="36"/>
      <c r="AG6" s="222">
        <f>AI7</f>
        <v>0.71521900000000005</v>
      </c>
      <c r="AH6" s="104">
        <f>AI9</f>
        <v>3.7582781811201976E-2</v>
      </c>
      <c r="AI6" s="197" t="s">
        <v>1513</v>
      </c>
      <c r="AK6" s="68" t="s">
        <v>3110</v>
      </c>
    </row>
    <row r="7" spans="1:37" s="69" customFormat="1" ht="33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>
        <v>365478534</v>
      </c>
      <c r="J7" s="53" t="s">
        <v>15</v>
      </c>
      <c r="K7" s="73"/>
      <c r="L7" s="39">
        <v>1</v>
      </c>
      <c r="M7" s="39"/>
      <c r="N7" s="39"/>
      <c r="O7" s="98"/>
      <c r="P7" s="8" t="s">
        <v>12</v>
      </c>
      <c r="Q7" s="9" t="s">
        <v>13</v>
      </c>
      <c r="R7" s="10" t="s">
        <v>14</v>
      </c>
      <c r="S7" s="11">
        <v>1</v>
      </c>
      <c r="T7" s="11"/>
      <c r="U7" s="11">
        <f>U8+U377+U406+U446+U450+U471+U491+U494+U495+U497</f>
        <v>365478534</v>
      </c>
      <c r="V7" s="11">
        <f>IF(X7=0,0,1)</f>
        <v>1</v>
      </c>
      <c r="W7" s="11">
        <f>IF(Y7=0,0,1)</f>
        <v>1</v>
      </c>
      <c r="X7" s="11">
        <f>X8+X377+X406+X446+X450+X471+X491+X494+X495+X497</f>
        <v>13735699.999999963</v>
      </c>
      <c r="Y7" s="11">
        <f>ROUNDDOWN((Y8+Y377+Y406+Y446+Y450+Y471+Y491+Y495+Y497+(Y8+Y377+Y406+Y446+Y450+Y471+Y491)*0.1095000004)/1000,1)*1000</f>
        <v>261397100</v>
      </c>
      <c r="Z7" s="12" t="s">
        <v>15</v>
      </c>
      <c r="AA7" s="37" t="s">
        <v>16</v>
      </c>
      <c r="AB7" s="182"/>
      <c r="AC7" s="182"/>
      <c r="AD7" s="182"/>
      <c r="AE7" s="182"/>
      <c r="AF7" s="101"/>
      <c r="AG7" s="187"/>
      <c r="AH7" s="126">
        <v>365478534</v>
      </c>
      <c r="AI7" s="201">
        <f>ROUND(Y7/AH7,6)</f>
        <v>0.71521900000000005</v>
      </c>
    </row>
    <row r="8" spans="1:37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>
        <v>275489625</v>
      </c>
      <c r="J8" s="86" t="s">
        <v>15</v>
      </c>
      <c r="K8" s="73"/>
      <c r="L8" s="42">
        <v>1</v>
      </c>
      <c r="M8" s="42"/>
      <c r="N8" s="42"/>
      <c r="O8" s="98"/>
      <c r="P8" s="13" t="s">
        <v>1371</v>
      </c>
      <c r="Q8" s="14" t="s">
        <v>18</v>
      </c>
      <c r="R8" s="15" t="s">
        <v>14</v>
      </c>
      <c r="S8" s="16">
        <v>1</v>
      </c>
      <c r="T8" s="16"/>
      <c r="U8" s="16">
        <f>U9+U38+U133+U177+U202+U220+U237+U327+U369</f>
        <v>275489625.00000006</v>
      </c>
      <c r="V8" s="16">
        <f t="shared" ref="V8:W9" si="0">IF(X8=0,0,1)</f>
        <v>1</v>
      </c>
      <c r="W8" s="16">
        <f t="shared" si="0"/>
        <v>1</v>
      </c>
      <c r="X8" s="16">
        <f>X9+X38+X133+X177+X202+X220+X237+X327+X369</f>
        <v>11257345.909999996</v>
      </c>
      <c r="Y8" s="16">
        <f>Y9+Y38+Y133+Y177+Y202+Y220+Y237+Y327+Y369</f>
        <v>192800385.53000003</v>
      </c>
      <c r="Z8" s="17" t="s">
        <v>15</v>
      </c>
      <c r="AA8" s="40" t="s">
        <v>16</v>
      </c>
      <c r="AB8" s="183"/>
      <c r="AC8" s="183"/>
      <c r="AD8" s="183"/>
      <c r="AE8" s="183"/>
      <c r="AF8" s="101"/>
      <c r="AG8" s="188"/>
      <c r="AI8" s="124" t="s">
        <v>1514</v>
      </c>
    </row>
    <row r="9" spans="1:37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>
        <v>90137193.75</v>
      </c>
      <c r="J9" s="80" t="s">
        <v>15</v>
      </c>
      <c r="K9" s="73"/>
      <c r="L9" s="45">
        <v>1</v>
      </c>
      <c r="M9" s="45"/>
      <c r="N9" s="45"/>
      <c r="O9" s="98"/>
      <c r="P9" s="18" t="s">
        <v>1372</v>
      </c>
      <c r="Q9" s="19" t="s">
        <v>20</v>
      </c>
      <c r="R9" s="20" t="s">
        <v>14</v>
      </c>
      <c r="S9" s="21">
        <v>1</v>
      </c>
      <c r="T9" s="21"/>
      <c r="U9" s="21">
        <f>SUMIFS(AC:AC,AD:AD,AD9)</f>
        <v>90137193.75000003</v>
      </c>
      <c r="V9" s="21">
        <f t="shared" si="0"/>
        <v>1</v>
      </c>
      <c r="W9" s="21">
        <f t="shared" si="0"/>
        <v>1</v>
      </c>
      <c r="X9" s="21">
        <f>SUMIFS(X:X,AE:AE,AD9)</f>
        <v>1609121.8999999985</v>
      </c>
      <c r="Y9" s="21">
        <f>SUMIFS(Y:Y,AE:AE,AD9)</f>
        <v>73598111.340000004</v>
      </c>
      <c r="Z9" s="22" t="s">
        <v>15</v>
      </c>
      <c r="AA9" s="43" t="s">
        <v>16</v>
      </c>
      <c r="AB9" s="184">
        <f>IF(T9=0,S9,T9)</f>
        <v>1</v>
      </c>
      <c r="AC9" s="184"/>
      <c r="AD9" s="181">
        <v>1.1000000000000001</v>
      </c>
      <c r="AE9" s="181"/>
      <c r="AF9" s="101"/>
      <c r="AG9" s="189" t="s">
        <v>3061</v>
      </c>
      <c r="AI9" s="125">
        <f>X7/AH7</f>
        <v>3.7582781811201976E-2</v>
      </c>
      <c r="AK9" s="101" t="s">
        <v>3062</v>
      </c>
    </row>
    <row r="10" spans="1:37" s="69" customFormat="1" ht="39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>
        <v>193.12</v>
      </c>
      <c r="I10" s="75">
        <v>105184.74</v>
      </c>
      <c r="J10" s="91" t="s">
        <v>24</v>
      </c>
      <c r="K10" s="73"/>
      <c r="L10" s="46">
        <v>408.7</v>
      </c>
      <c r="M10" s="46">
        <v>0</v>
      </c>
      <c r="N10" s="46">
        <v>78928.14</v>
      </c>
      <c r="O10" s="98"/>
      <c r="P10" s="23" t="s">
        <v>1421</v>
      </c>
      <c r="Q10" s="24" t="s">
        <v>22</v>
      </c>
      <c r="R10" s="25" t="s">
        <v>23</v>
      </c>
      <c r="S10" s="26">
        <v>544.66</v>
      </c>
      <c r="T10" s="26"/>
      <c r="U10" s="26">
        <v>193.12</v>
      </c>
      <c r="V10" s="127">
        <f>AG10-L10</f>
        <v>0</v>
      </c>
      <c r="W10" s="127">
        <f>V10+L10</f>
        <v>408.7</v>
      </c>
      <c r="X10" s="127">
        <f t="shared" ref="X10:X37" si="1">Y10-N10</f>
        <v>0</v>
      </c>
      <c r="Y10" s="127">
        <f>ROUND(U10*W10,2)</f>
        <v>78928.14</v>
      </c>
      <c r="Z10" s="33" t="s">
        <v>15</v>
      </c>
      <c r="AA10" s="36" t="s">
        <v>16</v>
      </c>
      <c r="AB10" s="181">
        <f>IF(T10="",S10,T10)</f>
        <v>544.66</v>
      </c>
      <c r="AC10" s="181">
        <f t="shared" ref="AC10:AC37" si="2">ROUND(U10*AB10,2)</f>
        <v>105184.74</v>
      </c>
      <c r="AD10" s="181">
        <v>1.1000000000000001</v>
      </c>
      <c r="AE10" s="181">
        <v>1.1000000000000001</v>
      </c>
      <c r="AF10" s="101" t="str">
        <f>IF(W10&gt;AH10,"超估","")</f>
        <v/>
      </c>
      <c r="AG10" s="190">
        <v>408.7</v>
      </c>
      <c r="AH10" s="69">
        <f>IF(G10=0,IF(F10=0,IF(E10=0,D10,E10),F10),G10)</f>
        <v>544.66</v>
      </c>
    </row>
    <row r="11" spans="1:37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>
        <v>1046.22</v>
      </c>
      <c r="I11" s="75">
        <v>7417092.9900000002</v>
      </c>
      <c r="J11" s="91" t="s">
        <v>27</v>
      </c>
      <c r="K11" s="73"/>
      <c r="L11" s="46">
        <v>6531.11</v>
      </c>
      <c r="M11" s="46">
        <v>0</v>
      </c>
      <c r="N11" s="46">
        <v>6832977.9000000004</v>
      </c>
      <c r="O11" s="98"/>
      <c r="P11" s="23" t="s">
        <v>1426</v>
      </c>
      <c r="Q11" s="24" t="s">
        <v>26</v>
      </c>
      <c r="R11" s="25" t="s">
        <v>23</v>
      </c>
      <c r="S11" s="26">
        <v>7089.42</v>
      </c>
      <c r="T11" s="26"/>
      <c r="U11" s="26">
        <v>1046.22</v>
      </c>
      <c r="V11" s="128">
        <f>AG11-L11</f>
        <v>0</v>
      </c>
      <c r="W11" s="26">
        <f t="shared" ref="W11:W74" si="3">V11+L11</f>
        <v>6531.11</v>
      </c>
      <c r="X11" s="26">
        <f t="shared" si="1"/>
        <v>0</v>
      </c>
      <c r="Y11" s="26">
        <f t="shared" ref="Y11:Y74" si="4">ROUND(U11*W11,2)</f>
        <v>6832977.9000000004</v>
      </c>
      <c r="Z11" s="33" t="s">
        <v>15</v>
      </c>
      <c r="AA11" s="36" t="s">
        <v>16</v>
      </c>
      <c r="AB11" s="181">
        <f t="shared" ref="AB11:AB74" si="5">IF(T11="",S11,T11)</f>
        <v>7089.42</v>
      </c>
      <c r="AC11" s="181">
        <f t="shared" si="2"/>
        <v>7417092.9900000002</v>
      </c>
      <c r="AD11" s="181">
        <v>1.1000000000000001</v>
      </c>
      <c r="AE11" s="181">
        <v>1.1000000000000001</v>
      </c>
      <c r="AF11" s="101" t="str">
        <f t="shared" ref="AF11:AF74" si="6">IF(W11&gt;AH11,"超估","")</f>
        <v/>
      </c>
      <c r="AG11" s="193">
        <f>5362.11+512+657</f>
        <v>6531.11</v>
      </c>
      <c r="AH11" s="69">
        <f t="shared" ref="AH11:AH74" si="7">IF(G11=0,IF(F11=0,IF(E11=0,D11,E11),F11),G11)</f>
        <v>7089.42</v>
      </c>
    </row>
    <row r="12" spans="1:37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>
        <v>6200</v>
      </c>
      <c r="I12" s="75">
        <v>28619200</v>
      </c>
      <c r="J12" s="91" t="s">
        <v>31</v>
      </c>
      <c r="K12" s="73"/>
      <c r="L12" s="46">
        <v>4610.7</v>
      </c>
      <c r="M12" s="46">
        <v>0</v>
      </c>
      <c r="N12" s="46">
        <v>28586340</v>
      </c>
      <c r="O12" s="98"/>
      <c r="P12" s="23" t="s">
        <v>1402</v>
      </c>
      <c r="Q12" s="24" t="s">
        <v>29</v>
      </c>
      <c r="R12" s="25" t="s">
        <v>30</v>
      </c>
      <c r="S12" s="26">
        <v>4616</v>
      </c>
      <c r="T12" s="26"/>
      <c r="U12" s="26">
        <v>6200</v>
      </c>
      <c r="V12" s="127">
        <f t="shared" ref="V12:V75" si="8">AG12-L12</f>
        <v>0</v>
      </c>
      <c r="W12" s="127">
        <f t="shared" si="3"/>
        <v>4610.7</v>
      </c>
      <c r="X12" s="127">
        <f t="shared" si="1"/>
        <v>0</v>
      </c>
      <c r="Y12" s="127">
        <f t="shared" si="4"/>
        <v>28586340</v>
      </c>
      <c r="Z12" s="33" t="s">
        <v>15</v>
      </c>
      <c r="AA12" s="36" t="s">
        <v>16</v>
      </c>
      <c r="AB12" s="181">
        <f t="shared" si="5"/>
        <v>4616</v>
      </c>
      <c r="AC12" s="181">
        <f t="shared" si="2"/>
        <v>28619200</v>
      </c>
      <c r="AD12" s="181">
        <v>1.1000000000000001</v>
      </c>
      <c r="AE12" s="181">
        <v>1.1000000000000001</v>
      </c>
      <c r="AF12" s="101" t="str">
        <f t="shared" si="6"/>
        <v/>
      </c>
      <c r="AG12" s="193">
        <f>3630+980.7</f>
        <v>4610.7</v>
      </c>
      <c r="AH12" s="69">
        <f t="shared" si="7"/>
        <v>4616</v>
      </c>
    </row>
    <row r="13" spans="1:37" s="69" customFormat="1" ht="58.5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>
        <v>48.28</v>
      </c>
      <c r="I13" s="75">
        <v>1533324.52</v>
      </c>
      <c r="J13" s="91" t="s">
        <v>35</v>
      </c>
      <c r="K13" s="73"/>
      <c r="L13" s="46">
        <v>28290.799999999999</v>
      </c>
      <c r="M13" s="46">
        <v>0</v>
      </c>
      <c r="N13" s="46">
        <v>1365879.82</v>
      </c>
      <c r="O13" s="98"/>
      <c r="P13" s="23" t="s">
        <v>1373</v>
      </c>
      <c r="Q13" s="24" t="s">
        <v>33</v>
      </c>
      <c r="R13" s="25" t="s">
        <v>34</v>
      </c>
      <c r="S13" s="26">
        <v>29759</v>
      </c>
      <c r="T13" s="26">
        <v>31759</v>
      </c>
      <c r="U13" s="26">
        <v>48.28</v>
      </c>
      <c r="V13" s="127">
        <f t="shared" si="8"/>
        <v>0</v>
      </c>
      <c r="W13" s="127">
        <f t="shared" si="3"/>
        <v>28290.799999999999</v>
      </c>
      <c r="X13" s="127">
        <f t="shared" si="1"/>
        <v>0</v>
      </c>
      <c r="Y13" s="127">
        <f t="shared" si="4"/>
        <v>1365879.82</v>
      </c>
      <c r="Z13" s="27" t="s">
        <v>15</v>
      </c>
      <c r="AA13" s="36" t="s">
        <v>16</v>
      </c>
      <c r="AB13" s="181">
        <f t="shared" si="5"/>
        <v>31759</v>
      </c>
      <c r="AC13" s="181">
        <f t="shared" si="2"/>
        <v>1533324.52</v>
      </c>
      <c r="AD13" s="181">
        <v>1.1000000000000001</v>
      </c>
      <c r="AE13" s="181">
        <v>1.1000000000000001</v>
      </c>
      <c r="AF13" s="101" t="str">
        <f t="shared" si="6"/>
        <v/>
      </c>
      <c r="AG13" s="190">
        <v>28290.799999999999</v>
      </c>
      <c r="AH13" s="69">
        <f t="shared" si="7"/>
        <v>31759</v>
      </c>
    </row>
    <row r="14" spans="1:37" s="69" customFormat="1" ht="39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>
        <v>599.75</v>
      </c>
      <c r="I14" s="75">
        <v>438681.14</v>
      </c>
      <c r="J14" s="91" t="s">
        <v>38</v>
      </c>
      <c r="K14" s="73"/>
      <c r="L14" s="46">
        <v>519.42999999999995</v>
      </c>
      <c r="M14" s="46">
        <v>0</v>
      </c>
      <c r="N14" s="46">
        <v>311528.14</v>
      </c>
      <c r="O14" s="98"/>
      <c r="P14" s="23" t="s">
        <v>1393</v>
      </c>
      <c r="Q14" s="24" t="s">
        <v>37</v>
      </c>
      <c r="R14" s="25" t="s">
        <v>23</v>
      </c>
      <c r="S14" s="26">
        <v>731.44</v>
      </c>
      <c r="T14" s="26"/>
      <c r="U14" s="26">
        <v>599.75</v>
      </c>
      <c r="V14" s="127">
        <f t="shared" si="8"/>
        <v>0</v>
      </c>
      <c r="W14" s="127">
        <f t="shared" si="3"/>
        <v>519.42999999999995</v>
      </c>
      <c r="X14" s="127">
        <f t="shared" si="1"/>
        <v>0</v>
      </c>
      <c r="Y14" s="127">
        <f t="shared" si="4"/>
        <v>311528.14</v>
      </c>
      <c r="Z14" s="33" t="s">
        <v>15</v>
      </c>
      <c r="AA14" s="36" t="s">
        <v>16</v>
      </c>
      <c r="AB14" s="181">
        <f t="shared" si="5"/>
        <v>731.44</v>
      </c>
      <c r="AC14" s="181">
        <f t="shared" si="2"/>
        <v>438681.14</v>
      </c>
      <c r="AD14" s="181">
        <v>1.1000000000000001</v>
      </c>
      <c r="AE14" s="181">
        <v>1.1000000000000001</v>
      </c>
      <c r="AF14" s="101" t="str">
        <f t="shared" si="6"/>
        <v/>
      </c>
      <c r="AG14" s="190">
        <v>519.42999999999995</v>
      </c>
      <c r="AH14" s="69">
        <f t="shared" si="7"/>
        <v>731.44</v>
      </c>
    </row>
    <row r="15" spans="1:37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>
        <v>104.64</v>
      </c>
      <c r="I15" s="75">
        <v>786788.16</v>
      </c>
      <c r="J15" s="91" t="s">
        <v>41</v>
      </c>
      <c r="K15" s="73"/>
      <c r="L15" s="46">
        <v>2219</v>
      </c>
      <c r="M15" s="46">
        <v>0</v>
      </c>
      <c r="N15" s="46">
        <v>232196.16</v>
      </c>
      <c r="O15" s="98"/>
      <c r="P15" s="23" t="s">
        <v>1403</v>
      </c>
      <c r="Q15" s="24" t="s">
        <v>40</v>
      </c>
      <c r="R15" s="25" t="s">
        <v>23</v>
      </c>
      <c r="S15" s="26">
        <v>7519</v>
      </c>
      <c r="T15" s="26"/>
      <c r="U15" s="26">
        <v>104.64</v>
      </c>
      <c r="V15" s="128">
        <f t="shared" si="8"/>
        <v>0</v>
      </c>
      <c r="W15" s="26">
        <f t="shared" si="3"/>
        <v>2219</v>
      </c>
      <c r="X15" s="26">
        <f t="shared" si="1"/>
        <v>0</v>
      </c>
      <c r="Y15" s="26">
        <f t="shared" si="4"/>
        <v>232196.16</v>
      </c>
      <c r="Z15" s="33" t="s">
        <v>15</v>
      </c>
      <c r="AA15" s="36" t="s">
        <v>16</v>
      </c>
      <c r="AB15" s="181">
        <f t="shared" si="5"/>
        <v>7519</v>
      </c>
      <c r="AC15" s="181">
        <f t="shared" si="2"/>
        <v>786788.16</v>
      </c>
      <c r="AD15" s="181">
        <v>1.1000000000000001</v>
      </c>
      <c r="AE15" s="181">
        <v>1.1000000000000001</v>
      </c>
      <c r="AF15" s="101" t="str">
        <f t="shared" si="6"/>
        <v/>
      </c>
      <c r="AG15" s="193">
        <f>962+295+962</f>
        <v>2219</v>
      </c>
      <c r="AH15" s="69">
        <f t="shared" si="7"/>
        <v>7519</v>
      </c>
    </row>
    <row r="16" spans="1:37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>
        <v>1027.43</v>
      </c>
      <c r="I16" s="75">
        <v>22850043.199999999</v>
      </c>
      <c r="J16" s="91" t="s">
        <v>44</v>
      </c>
      <c r="K16" s="73"/>
      <c r="L16" s="46">
        <v>17760</v>
      </c>
      <c r="M16" s="46">
        <v>949345.3200000003</v>
      </c>
      <c r="N16" s="46">
        <v>18247156.800000001</v>
      </c>
      <c r="O16" s="98"/>
      <c r="P16" s="23" t="s">
        <v>1427</v>
      </c>
      <c r="Q16" s="24" t="s">
        <v>43</v>
      </c>
      <c r="R16" s="25" t="s">
        <v>34</v>
      </c>
      <c r="S16" s="26">
        <v>22240</v>
      </c>
      <c r="T16" s="26"/>
      <c r="U16" s="26">
        <v>1027.43</v>
      </c>
      <c r="V16" s="128">
        <f t="shared" si="8"/>
        <v>1330</v>
      </c>
      <c r="W16" s="121">
        <f t="shared" si="3"/>
        <v>19090</v>
      </c>
      <c r="X16" s="26">
        <f t="shared" si="1"/>
        <v>1366481.8999999985</v>
      </c>
      <c r="Y16" s="26">
        <f t="shared" si="4"/>
        <v>19613638.699999999</v>
      </c>
      <c r="Z16" s="33" t="s">
        <v>15</v>
      </c>
      <c r="AA16" s="36" t="s">
        <v>16</v>
      </c>
      <c r="AB16" s="181">
        <f t="shared" si="5"/>
        <v>22240</v>
      </c>
      <c r="AC16" s="181">
        <f t="shared" si="2"/>
        <v>22850043.199999999</v>
      </c>
      <c r="AD16" s="181">
        <v>1.1000000000000001</v>
      </c>
      <c r="AE16" s="181">
        <v>1.1000000000000001</v>
      </c>
      <c r="AF16" s="101" t="str">
        <f t="shared" si="6"/>
        <v/>
      </c>
      <c r="AG16" s="193">
        <f>19932-842</f>
        <v>19090</v>
      </c>
      <c r="AH16" s="69">
        <f t="shared" si="7"/>
        <v>22240</v>
      </c>
    </row>
    <row r="17" spans="1:34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>
        <v>1085.04</v>
      </c>
      <c r="I17" s="75">
        <v>7302774.9199999999</v>
      </c>
      <c r="J17" s="91" t="s">
        <v>47</v>
      </c>
      <c r="K17" s="73"/>
      <c r="L17" s="46">
        <v>4956</v>
      </c>
      <c r="M17" s="46">
        <v>0</v>
      </c>
      <c r="N17" s="46">
        <v>5377458.2400000002</v>
      </c>
      <c r="O17" s="98"/>
      <c r="P17" s="23" t="s">
        <v>1428</v>
      </c>
      <c r="Q17" s="24" t="s">
        <v>46</v>
      </c>
      <c r="R17" s="25" t="s">
        <v>23</v>
      </c>
      <c r="S17" s="26">
        <v>6730.42</v>
      </c>
      <c r="T17" s="26"/>
      <c r="U17" s="26">
        <v>1085.04</v>
      </c>
      <c r="V17" s="26">
        <f t="shared" si="8"/>
        <v>0</v>
      </c>
      <c r="W17" s="121">
        <f t="shared" si="3"/>
        <v>4956</v>
      </c>
      <c r="X17" s="26">
        <f t="shared" si="1"/>
        <v>0</v>
      </c>
      <c r="Y17" s="26">
        <f t="shared" si="4"/>
        <v>5377458.2400000002</v>
      </c>
      <c r="Z17" s="33" t="s">
        <v>15</v>
      </c>
      <c r="AA17" s="36" t="s">
        <v>16</v>
      </c>
      <c r="AB17" s="181">
        <f t="shared" si="5"/>
        <v>6730.42</v>
      </c>
      <c r="AC17" s="181">
        <f t="shared" si="2"/>
        <v>7302774.9199999999</v>
      </c>
      <c r="AD17" s="181">
        <v>1.1000000000000001</v>
      </c>
      <c r="AE17" s="181">
        <v>1.1000000000000001</v>
      </c>
      <c r="AF17" s="101" t="str">
        <f t="shared" si="6"/>
        <v/>
      </c>
      <c r="AG17" s="190">
        <v>4956</v>
      </c>
      <c r="AH17" s="69">
        <f t="shared" si="7"/>
        <v>6730.42</v>
      </c>
    </row>
    <row r="18" spans="1:34" s="69" customFormat="1" ht="58.5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>
        <v>30.45</v>
      </c>
      <c r="I18" s="75">
        <v>113745.98</v>
      </c>
      <c r="J18" s="91" t="s">
        <v>51</v>
      </c>
      <c r="K18" s="73"/>
      <c r="L18" s="46">
        <v>2100</v>
      </c>
      <c r="M18" s="46">
        <v>0</v>
      </c>
      <c r="N18" s="46">
        <v>63945</v>
      </c>
      <c r="O18" s="98"/>
      <c r="P18" s="23" t="s">
        <v>1387</v>
      </c>
      <c r="Q18" s="24" t="s">
        <v>49</v>
      </c>
      <c r="R18" s="25" t="s">
        <v>50</v>
      </c>
      <c r="S18" s="26">
        <v>3735.5</v>
      </c>
      <c r="T18" s="26"/>
      <c r="U18" s="26">
        <v>30.45</v>
      </c>
      <c r="V18" s="127">
        <f t="shared" si="8"/>
        <v>0</v>
      </c>
      <c r="W18" s="127">
        <f t="shared" si="3"/>
        <v>2100</v>
      </c>
      <c r="X18" s="127">
        <f t="shared" si="1"/>
        <v>0</v>
      </c>
      <c r="Y18" s="127">
        <f t="shared" si="4"/>
        <v>63945</v>
      </c>
      <c r="Z18" s="33" t="s">
        <v>15</v>
      </c>
      <c r="AA18" s="36" t="s">
        <v>16</v>
      </c>
      <c r="AB18" s="181">
        <f t="shared" si="5"/>
        <v>3735.5</v>
      </c>
      <c r="AC18" s="181">
        <f t="shared" si="2"/>
        <v>113745.98</v>
      </c>
      <c r="AD18" s="181">
        <v>1.1000000000000001</v>
      </c>
      <c r="AE18" s="181">
        <v>1.1000000000000001</v>
      </c>
      <c r="AF18" s="101" t="str">
        <f t="shared" si="6"/>
        <v/>
      </c>
      <c r="AG18" s="190">
        <v>2100</v>
      </c>
      <c r="AH18" s="69">
        <f t="shared" si="7"/>
        <v>3735.5</v>
      </c>
    </row>
    <row r="19" spans="1:34" s="69" customFormat="1" ht="58.5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>
        <v>28.48</v>
      </c>
      <c r="I19" s="75">
        <v>290638.40000000002</v>
      </c>
      <c r="J19" s="91" t="s">
        <v>54</v>
      </c>
      <c r="K19" s="73"/>
      <c r="L19" s="46">
        <v>300</v>
      </c>
      <c r="M19" s="46">
        <v>0</v>
      </c>
      <c r="N19" s="46">
        <v>8544</v>
      </c>
      <c r="O19" s="98"/>
      <c r="P19" s="23" t="s">
        <v>1405</v>
      </c>
      <c r="Q19" s="24" t="s">
        <v>53</v>
      </c>
      <c r="R19" s="25" t="s">
        <v>50</v>
      </c>
      <c r="S19" s="26">
        <v>10205</v>
      </c>
      <c r="T19" s="26"/>
      <c r="U19" s="26">
        <v>28.48</v>
      </c>
      <c r="V19" s="127">
        <f t="shared" si="8"/>
        <v>0</v>
      </c>
      <c r="W19" s="127">
        <f t="shared" si="3"/>
        <v>300</v>
      </c>
      <c r="X19" s="127">
        <f t="shared" si="1"/>
        <v>0</v>
      </c>
      <c r="Y19" s="127">
        <f t="shared" si="4"/>
        <v>8544</v>
      </c>
      <c r="Z19" s="33" t="s">
        <v>15</v>
      </c>
      <c r="AA19" s="36" t="s">
        <v>16</v>
      </c>
      <c r="AB19" s="181">
        <f t="shared" si="5"/>
        <v>10205</v>
      </c>
      <c r="AC19" s="181">
        <f t="shared" si="2"/>
        <v>290638.40000000002</v>
      </c>
      <c r="AD19" s="181">
        <v>1.1000000000000001</v>
      </c>
      <c r="AE19" s="181">
        <v>1.1000000000000001</v>
      </c>
      <c r="AF19" s="101" t="str">
        <f t="shared" si="6"/>
        <v/>
      </c>
      <c r="AG19" s="190">
        <v>300</v>
      </c>
      <c r="AH19" s="69">
        <f t="shared" si="7"/>
        <v>10205</v>
      </c>
    </row>
    <row r="20" spans="1:34" s="69" customFormat="1" ht="39" x14ac:dyDescent="0.3">
      <c r="A20" s="55" t="s">
        <v>55</v>
      </c>
      <c r="B20" s="53" t="s">
        <v>56</v>
      </c>
      <c r="C20" s="54" t="s">
        <v>30</v>
      </c>
      <c r="D20" s="75">
        <v>142.6</v>
      </c>
      <c r="E20" s="75"/>
      <c r="F20" s="75"/>
      <c r="G20" s="75"/>
      <c r="H20" s="75">
        <v>65.400000000000006</v>
      </c>
      <c r="I20" s="75">
        <v>9326.0400000000009</v>
      </c>
      <c r="J20" s="91" t="s">
        <v>57</v>
      </c>
      <c r="K20" s="73"/>
      <c r="L20" s="46">
        <v>60</v>
      </c>
      <c r="M20" s="46">
        <v>0</v>
      </c>
      <c r="N20" s="46">
        <v>3924</v>
      </c>
      <c r="O20" s="98"/>
      <c r="P20" s="23" t="s">
        <v>1406</v>
      </c>
      <c r="Q20" s="24" t="s">
        <v>56</v>
      </c>
      <c r="R20" s="25" t="s">
        <v>30</v>
      </c>
      <c r="S20" s="26">
        <v>142.6</v>
      </c>
      <c r="T20" s="26"/>
      <c r="U20" s="26">
        <v>65.400000000000006</v>
      </c>
      <c r="V20" s="26">
        <f t="shared" si="8"/>
        <v>0</v>
      </c>
      <c r="W20" s="26">
        <f t="shared" si="3"/>
        <v>60</v>
      </c>
      <c r="X20" s="26">
        <f t="shared" si="1"/>
        <v>0</v>
      </c>
      <c r="Y20" s="26">
        <f t="shared" si="4"/>
        <v>3924</v>
      </c>
      <c r="Z20" s="33" t="s">
        <v>15</v>
      </c>
      <c r="AA20" s="36" t="s">
        <v>16</v>
      </c>
      <c r="AB20" s="181">
        <f t="shared" si="5"/>
        <v>142.6</v>
      </c>
      <c r="AC20" s="181">
        <f t="shared" si="2"/>
        <v>9326.0400000000009</v>
      </c>
      <c r="AD20" s="181">
        <v>1.1000000000000001</v>
      </c>
      <c r="AE20" s="181">
        <v>1.1000000000000001</v>
      </c>
      <c r="AF20" s="101" t="str">
        <f t="shared" si="6"/>
        <v/>
      </c>
      <c r="AG20" s="190">
        <v>60</v>
      </c>
      <c r="AH20" s="69">
        <f t="shared" si="7"/>
        <v>142.6</v>
      </c>
    </row>
    <row r="21" spans="1:34" s="69" customFormat="1" ht="39" x14ac:dyDescent="0.3">
      <c r="A21" s="55" t="s">
        <v>58</v>
      </c>
      <c r="B21" s="53" t="s">
        <v>59</v>
      </c>
      <c r="C21" s="54" t="s">
        <v>50</v>
      </c>
      <c r="D21" s="75">
        <v>8459.2999999999993</v>
      </c>
      <c r="E21" s="75"/>
      <c r="F21" s="75"/>
      <c r="G21" s="75"/>
      <c r="H21" s="75">
        <v>20.190000000000001</v>
      </c>
      <c r="I21" s="75">
        <v>170793.27</v>
      </c>
      <c r="J21" s="91" t="s">
        <v>60</v>
      </c>
      <c r="K21" s="73"/>
      <c r="L21" s="46">
        <v>6584</v>
      </c>
      <c r="M21" s="46">
        <v>0</v>
      </c>
      <c r="N21" s="46">
        <v>132930.96</v>
      </c>
      <c r="O21" s="98"/>
      <c r="P21" s="23" t="s">
        <v>1414</v>
      </c>
      <c r="Q21" s="24" t="s">
        <v>59</v>
      </c>
      <c r="R21" s="25" t="s">
        <v>50</v>
      </c>
      <c r="S21" s="26">
        <v>8459.2999999999993</v>
      </c>
      <c r="T21" s="26"/>
      <c r="U21" s="26">
        <v>20.190000000000001</v>
      </c>
      <c r="V21" s="26">
        <f t="shared" si="8"/>
        <v>0</v>
      </c>
      <c r="W21" s="26">
        <f t="shared" si="3"/>
        <v>6584</v>
      </c>
      <c r="X21" s="26">
        <f t="shared" si="1"/>
        <v>0</v>
      </c>
      <c r="Y21" s="26">
        <f t="shared" si="4"/>
        <v>132930.96</v>
      </c>
      <c r="Z21" s="33" t="s">
        <v>15</v>
      </c>
      <c r="AA21" s="36" t="s">
        <v>16</v>
      </c>
      <c r="AB21" s="181">
        <f t="shared" si="5"/>
        <v>8459.2999999999993</v>
      </c>
      <c r="AC21" s="181">
        <f t="shared" si="2"/>
        <v>170793.27</v>
      </c>
      <c r="AD21" s="181">
        <v>1.1000000000000001</v>
      </c>
      <c r="AE21" s="181">
        <v>1.1000000000000001</v>
      </c>
      <c r="AF21" s="101" t="str">
        <f t="shared" si="6"/>
        <v/>
      </c>
      <c r="AG21" s="190">
        <v>6584</v>
      </c>
      <c r="AH21" s="69">
        <f t="shared" si="7"/>
        <v>8459.2999999999993</v>
      </c>
    </row>
    <row r="22" spans="1:34" s="69" customFormat="1" ht="39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>
        <v>2492.81</v>
      </c>
      <c r="I22" s="75">
        <v>3163126.61</v>
      </c>
      <c r="J22" s="91" t="s">
        <v>63</v>
      </c>
      <c r="K22" s="73"/>
      <c r="L22" s="46">
        <v>108</v>
      </c>
      <c r="M22" s="46">
        <v>0</v>
      </c>
      <c r="N22" s="46">
        <v>269223.48</v>
      </c>
      <c r="O22" s="98"/>
      <c r="P22" s="23" t="s">
        <v>1429</v>
      </c>
      <c r="Q22" s="24" t="s">
        <v>62</v>
      </c>
      <c r="R22" s="25" t="s">
        <v>23</v>
      </c>
      <c r="S22" s="26">
        <v>1268.9000000000001</v>
      </c>
      <c r="T22" s="26"/>
      <c r="U22" s="26">
        <v>2492.81</v>
      </c>
      <c r="V22" s="26">
        <f t="shared" si="8"/>
        <v>0</v>
      </c>
      <c r="W22" s="121">
        <f t="shared" si="3"/>
        <v>108</v>
      </c>
      <c r="X22" s="26">
        <f t="shared" si="1"/>
        <v>0</v>
      </c>
      <c r="Y22" s="26">
        <f t="shared" si="4"/>
        <v>269223.48</v>
      </c>
      <c r="Z22" s="33" t="s">
        <v>15</v>
      </c>
      <c r="AA22" s="36" t="s">
        <v>16</v>
      </c>
      <c r="AB22" s="181">
        <f t="shared" si="5"/>
        <v>1268.9000000000001</v>
      </c>
      <c r="AC22" s="181">
        <f t="shared" si="2"/>
        <v>3163126.61</v>
      </c>
      <c r="AD22" s="181">
        <v>1.1000000000000001</v>
      </c>
      <c r="AE22" s="181">
        <v>1.1000000000000001</v>
      </c>
      <c r="AF22" s="101" t="str">
        <f t="shared" si="6"/>
        <v/>
      </c>
      <c r="AG22" s="190">
        <v>108</v>
      </c>
      <c r="AH22" s="69">
        <f t="shared" si="7"/>
        <v>1268.9000000000001</v>
      </c>
    </row>
    <row r="23" spans="1:34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>
        <v>521.17999999999995</v>
      </c>
      <c r="I23" s="75">
        <v>343457.62</v>
      </c>
      <c r="J23" s="91" t="s">
        <v>67</v>
      </c>
      <c r="K23" s="73"/>
      <c r="L23" s="46">
        <v>659</v>
      </c>
      <c r="M23" s="46">
        <v>0</v>
      </c>
      <c r="N23" s="46">
        <v>343457.62</v>
      </c>
      <c r="O23" s="98"/>
      <c r="P23" s="23" t="s">
        <v>1430</v>
      </c>
      <c r="Q23" s="24" t="s">
        <v>65</v>
      </c>
      <c r="R23" s="25" t="s">
        <v>66</v>
      </c>
      <c r="S23" s="26">
        <v>659</v>
      </c>
      <c r="T23" s="26"/>
      <c r="U23" s="26">
        <v>521.17999999999995</v>
      </c>
      <c r="V23" s="127">
        <f t="shared" si="8"/>
        <v>0</v>
      </c>
      <c r="W23" s="127">
        <f t="shared" si="3"/>
        <v>659</v>
      </c>
      <c r="X23" s="127">
        <f t="shared" si="1"/>
        <v>0</v>
      </c>
      <c r="Y23" s="127">
        <f t="shared" si="4"/>
        <v>343457.62</v>
      </c>
      <c r="Z23" s="33" t="s">
        <v>15</v>
      </c>
      <c r="AA23" s="36" t="s">
        <v>16</v>
      </c>
      <c r="AB23" s="181">
        <f t="shared" si="5"/>
        <v>659</v>
      </c>
      <c r="AC23" s="181">
        <f t="shared" si="2"/>
        <v>343457.62</v>
      </c>
      <c r="AD23" s="181">
        <v>1.1000000000000001</v>
      </c>
      <c r="AE23" s="181">
        <v>1.1000000000000001</v>
      </c>
      <c r="AF23" s="101" t="str">
        <f t="shared" si="6"/>
        <v/>
      </c>
      <c r="AG23" s="193">
        <f>561+98</f>
        <v>659</v>
      </c>
      <c r="AH23" s="69">
        <f t="shared" si="7"/>
        <v>659</v>
      </c>
    </row>
    <row r="24" spans="1:34" s="69" customFormat="1" ht="39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>
        <v>289.69</v>
      </c>
      <c r="I24" s="75">
        <v>73378.48</v>
      </c>
      <c r="J24" s="91" t="s">
        <v>70</v>
      </c>
      <c r="K24" s="73"/>
      <c r="L24" s="46">
        <v>250</v>
      </c>
      <c r="M24" s="46">
        <v>0</v>
      </c>
      <c r="N24" s="46">
        <v>72422.5</v>
      </c>
      <c r="O24" s="98"/>
      <c r="P24" s="23" t="s">
        <v>1431</v>
      </c>
      <c r="Q24" s="24" t="s">
        <v>69</v>
      </c>
      <c r="R24" s="25" t="s">
        <v>30</v>
      </c>
      <c r="S24" s="26">
        <v>253.3</v>
      </c>
      <c r="T24" s="26"/>
      <c r="U24" s="26">
        <v>289.69</v>
      </c>
      <c r="V24" s="127">
        <f t="shared" si="8"/>
        <v>0</v>
      </c>
      <c r="W24" s="127">
        <f t="shared" si="3"/>
        <v>250</v>
      </c>
      <c r="X24" s="127">
        <f t="shared" si="1"/>
        <v>0</v>
      </c>
      <c r="Y24" s="127">
        <f t="shared" si="4"/>
        <v>72422.5</v>
      </c>
      <c r="Z24" s="33" t="s">
        <v>15</v>
      </c>
      <c r="AA24" s="36" t="s">
        <v>16</v>
      </c>
      <c r="AB24" s="181">
        <f t="shared" si="5"/>
        <v>253.3</v>
      </c>
      <c r="AC24" s="181">
        <f t="shared" si="2"/>
        <v>73378.48</v>
      </c>
      <c r="AD24" s="181">
        <v>1.1000000000000001</v>
      </c>
      <c r="AE24" s="181">
        <v>1.1000000000000001</v>
      </c>
      <c r="AF24" s="101" t="str">
        <f t="shared" si="6"/>
        <v/>
      </c>
      <c r="AG24" s="190">
        <v>250</v>
      </c>
      <c r="AH24" s="69">
        <f t="shared" si="7"/>
        <v>253.3</v>
      </c>
    </row>
    <row r="25" spans="1:34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>
        <v>3311.45</v>
      </c>
      <c r="I25" s="75">
        <v>264916</v>
      </c>
      <c r="J25" s="91" t="s">
        <v>74</v>
      </c>
      <c r="K25" s="73"/>
      <c r="L25" s="46">
        <v>0</v>
      </c>
      <c r="M25" s="46">
        <v>0</v>
      </c>
      <c r="N25" s="46">
        <v>0</v>
      </c>
      <c r="O25" s="98"/>
      <c r="P25" s="23" t="s">
        <v>1395</v>
      </c>
      <c r="Q25" s="24" t="s">
        <v>72</v>
      </c>
      <c r="R25" s="25" t="s">
        <v>73</v>
      </c>
      <c r="S25" s="26">
        <v>80</v>
      </c>
      <c r="T25" s="26"/>
      <c r="U25" s="26">
        <v>3311.45</v>
      </c>
      <c r="V25" s="26">
        <f t="shared" si="8"/>
        <v>0</v>
      </c>
      <c r="W25" s="26">
        <f t="shared" si="3"/>
        <v>0</v>
      </c>
      <c r="X25" s="26">
        <f t="shared" si="1"/>
        <v>0</v>
      </c>
      <c r="Y25" s="26">
        <f t="shared" si="4"/>
        <v>0</v>
      </c>
      <c r="Z25" s="33" t="s">
        <v>15</v>
      </c>
      <c r="AA25" s="36" t="s">
        <v>16</v>
      </c>
      <c r="AB25" s="181">
        <f t="shared" si="5"/>
        <v>80</v>
      </c>
      <c r="AC25" s="181">
        <f t="shared" si="2"/>
        <v>264916</v>
      </c>
      <c r="AD25" s="181">
        <v>1.1000000000000001</v>
      </c>
      <c r="AE25" s="181">
        <v>1.1000000000000001</v>
      </c>
      <c r="AF25" s="101" t="str">
        <f t="shared" si="6"/>
        <v/>
      </c>
      <c r="AG25" s="190">
        <v>0</v>
      </c>
      <c r="AH25" s="69">
        <f t="shared" si="7"/>
        <v>80</v>
      </c>
    </row>
    <row r="26" spans="1:34" s="69" customFormat="1" ht="33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>
        <v>3082.28</v>
      </c>
      <c r="I26" s="75">
        <v>3939153.84</v>
      </c>
      <c r="J26" s="91" t="s">
        <v>78</v>
      </c>
      <c r="K26" s="73"/>
      <c r="L26" s="46">
        <v>1153</v>
      </c>
      <c r="M26" s="46">
        <v>0</v>
      </c>
      <c r="N26" s="46">
        <v>3553868.84</v>
      </c>
      <c r="O26" s="98"/>
      <c r="P26" s="23" t="s">
        <v>1432</v>
      </c>
      <c r="Q26" s="24" t="s">
        <v>76</v>
      </c>
      <c r="R26" s="25" t="s">
        <v>77</v>
      </c>
      <c r="S26" s="26">
        <v>1278</v>
      </c>
      <c r="T26" s="26"/>
      <c r="U26" s="26">
        <v>3082.28</v>
      </c>
      <c r="V26" s="128">
        <f t="shared" si="8"/>
        <v>0</v>
      </c>
      <c r="W26" s="121">
        <f t="shared" si="3"/>
        <v>1153</v>
      </c>
      <c r="X26" s="26">
        <f t="shared" si="1"/>
        <v>0</v>
      </c>
      <c r="Y26" s="26">
        <f t="shared" si="4"/>
        <v>3553868.84</v>
      </c>
      <c r="Z26" s="33" t="s">
        <v>15</v>
      </c>
      <c r="AA26" s="36" t="s">
        <v>16</v>
      </c>
      <c r="AB26" s="181">
        <f t="shared" si="5"/>
        <v>1278</v>
      </c>
      <c r="AC26" s="181">
        <f t="shared" si="2"/>
        <v>3939153.84</v>
      </c>
      <c r="AD26" s="181">
        <v>1.1000000000000001</v>
      </c>
      <c r="AE26" s="181">
        <v>1.1000000000000001</v>
      </c>
      <c r="AF26" s="101" t="str">
        <f t="shared" si="6"/>
        <v/>
      </c>
      <c r="AG26" s="192">
        <f>1045+108</f>
        <v>1153</v>
      </c>
      <c r="AH26" s="69">
        <f t="shared" si="7"/>
        <v>1278</v>
      </c>
    </row>
    <row r="27" spans="1:34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>
        <v>1200</v>
      </c>
      <c r="I27" s="75">
        <v>36000</v>
      </c>
      <c r="J27" s="91" t="s">
        <v>82</v>
      </c>
      <c r="K27" s="73"/>
      <c r="L27" s="46">
        <v>0</v>
      </c>
      <c r="M27" s="46">
        <v>0</v>
      </c>
      <c r="N27" s="46">
        <v>0</v>
      </c>
      <c r="O27" s="98"/>
      <c r="P27" s="23" t="s">
        <v>1433</v>
      </c>
      <c r="Q27" s="24" t="s">
        <v>80</v>
      </c>
      <c r="R27" s="25" t="s">
        <v>81</v>
      </c>
      <c r="S27" s="26">
        <v>30</v>
      </c>
      <c r="T27" s="26"/>
      <c r="U27" s="26">
        <v>1200</v>
      </c>
      <c r="V27" s="26">
        <f t="shared" si="8"/>
        <v>0</v>
      </c>
      <c r="W27" s="26">
        <f t="shared" si="3"/>
        <v>0</v>
      </c>
      <c r="X27" s="26">
        <f t="shared" si="1"/>
        <v>0</v>
      </c>
      <c r="Y27" s="26">
        <f t="shared" si="4"/>
        <v>0</v>
      </c>
      <c r="Z27" s="33" t="s">
        <v>15</v>
      </c>
      <c r="AA27" s="36" t="s">
        <v>16</v>
      </c>
      <c r="AB27" s="181">
        <f t="shared" si="5"/>
        <v>30</v>
      </c>
      <c r="AC27" s="181">
        <f t="shared" si="2"/>
        <v>36000</v>
      </c>
      <c r="AD27" s="181">
        <v>1.1000000000000001</v>
      </c>
      <c r="AE27" s="181">
        <v>1.1000000000000001</v>
      </c>
      <c r="AF27" s="101" t="str">
        <f t="shared" si="6"/>
        <v/>
      </c>
      <c r="AG27" s="192">
        <v>0</v>
      </c>
      <c r="AH27" s="69">
        <f t="shared" si="7"/>
        <v>30</v>
      </c>
    </row>
    <row r="28" spans="1:34" s="69" customFormat="1" ht="33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>
        <v>3000</v>
      </c>
      <c r="I28" s="75">
        <v>36000</v>
      </c>
      <c r="J28" s="91" t="s">
        <v>85</v>
      </c>
      <c r="K28" s="73"/>
      <c r="L28" s="46">
        <v>12</v>
      </c>
      <c r="M28" s="46">
        <v>0</v>
      </c>
      <c r="N28" s="46">
        <v>36000</v>
      </c>
      <c r="O28" s="98"/>
      <c r="P28" s="23" t="s">
        <v>1382</v>
      </c>
      <c r="Q28" s="24" t="s">
        <v>84</v>
      </c>
      <c r="R28" s="25" t="s">
        <v>81</v>
      </c>
      <c r="S28" s="26">
        <v>12</v>
      </c>
      <c r="T28" s="26"/>
      <c r="U28" s="26">
        <v>3000</v>
      </c>
      <c r="V28" s="127">
        <f t="shared" si="8"/>
        <v>0</v>
      </c>
      <c r="W28" s="127">
        <f t="shared" si="3"/>
        <v>12</v>
      </c>
      <c r="X28" s="127">
        <f t="shared" si="1"/>
        <v>0</v>
      </c>
      <c r="Y28" s="127">
        <f t="shared" si="4"/>
        <v>36000</v>
      </c>
      <c r="Z28" s="33" t="s">
        <v>15</v>
      </c>
      <c r="AA28" s="36" t="s">
        <v>16</v>
      </c>
      <c r="AB28" s="181">
        <f t="shared" si="5"/>
        <v>12</v>
      </c>
      <c r="AC28" s="181">
        <f t="shared" si="2"/>
        <v>36000</v>
      </c>
      <c r="AD28" s="181">
        <v>1.1000000000000001</v>
      </c>
      <c r="AE28" s="181">
        <v>1.1000000000000001</v>
      </c>
      <c r="AF28" s="101" t="str">
        <f t="shared" si="6"/>
        <v/>
      </c>
      <c r="AG28" s="192">
        <v>12</v>
      </c>
      <c r="AH28" s="69">
        <f t="shared" si="7"/>
        <v>12</v>
      </c>
    </row>
    <row r="29" spans="1:34" s="69" customFormat="1" ht="33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>
        <v>3000</v>
      </c>
      <c r="I29" s="75">
        <v>60000</v>
      </c>
      <c r="J29" s="91" t="s">
        <v>88</v>
      </c>
      <c r="K29" s="73"/>
      <c r="L29" s="46">
        <v>20</v>
      </c>
      <c r="M29" s="46">
        <v>0</v>
      </c>
      <c r="N29" s="46">
        <v>60000</v>
      </c>
      <c r="O29" s="98"/>
      <c r="P29" s="23" t="s">
        <v>1434</v>
      </c>
      <c r="Q29" s="24" t="s">
        <v>87</v>
      </c>
      <c r="R29" s="25" t="s">
        <v>81</v>
      </c>
      <c r="S29" s="26">
        <v>20</v>
      </c>
      <c r="T29" s="26"/>
      <c r="U29" s="26">
        <v>3000</v>
      </c>
      <c r="V29" s="127">
        <f t="shared" si="8"/>
        <v>0</v>
      </c>
      <c r="W29" s="127">
        <f t="shared" si="3"/>
        <v>20</v>
      </c>
      <c r="X29" s="127">
        <f t="shared" si="1"/>
        <v>0</v>
      </c>
      <c r="Y29" s="127">
        <f t="shared" si="4"/>
        <v>60000</v>
      </c>
      <c r="Z29" s="33" t="s">
        <v>15</v>
      </c>
      <c r="AA29" s="36" t="s">
        <v>16</v>
      </c>
      <c r="AB29" s="181">
        <f t="shared" si="5"/>
        <v>20</v>
      </c>
      <c r="AC29" s="181">
        <f t="shared" si="2"/>
        <v>60000</v>
      </c>
      <c r="AD29" s="181">
        <v>1.1000000000000001</v>
      </c>
      <c r="AE29" s="181">
        <v>1.1000000000000001</v>
      </c>
      <c r="AF29" s="101" t="str">
        <f t="shared" si="6"/>
        <v/>
      </c>
      <c r="AG29" s="192">
        <v>20</v>
      </c>
      <c r="AH29" s="69">
        <f t="shared" si="7"/>
        <v>20</v>
      </c>
    </row>
    <row r="30" spans="1:34" s="69" customFormat="1" ht="33" x14ac:dyDescent="0.3">
      <c r="A30" s="55" t="s">
        <v>89</v>
      </c>
      <c r="B30" s="53" t="s">
        <v>90</v>
      </c>
      <c r="C30" s="54" t="s">
        <v>81</v>
      </c>
      <c r="D30" s="75">
        <v>19</v>
      </c>
      <c r="E30" s="75"/>
      <c r="F30" s="75"/>
      <c r="G30" s="75"/>
      <c r="H30" s="75">
        <v>3000</v>
      </c>
      <c r="I30" s="75">
        <v>57000</v>
      </c>
      <c r="J30" s="91" t="s">
        <v>91</v>
      </c>
      <c r="K30" s="73"/>
      <c r="L30" s="46">
        <v>1</v>
      </c>
      <c r="M30" s="46">
        <v>0</v>
      </c>
      <c r="N30" s="46">
        <v>3000</v>
      </c>
      <c r="O30" s="98"/>
      <c r="P30" s="23" t="s">
        <v>1388</v>
      </c>
      <c r="Q30" s="24" t="s">
        <v>90</v>
      </c>
      <c r="R30" s="25" t="s">
        <v>81</v>
      </c>
      <c r="S30" s="26">
        <v>19</v>
      </c>
      <c r="T30" s="26"/>
      <c r="U30" s="26">
        <v>3000</v>
      </c>
      <c r="V30" s="26">
        <f t="shared" si="8"/>
        <v>0</v>
      </c>
      <c r="W30" s="26">
        <f t="shared" si="3"/>
        <v>1</v>
      </c>
      <c r="X30" s="26">
        <f t="shared" si="1"/>
        <v>0</v>
      </c>
      <c r="Y30" s="26">
        <f t="shared" si="4"/>
        <v>3000</v>
      </c>
      <c r="Z30" s="33" t="s">
        <v>15</v>
      </c>
      <c r="AA30" s="36" t="s">
        <v>16</v>
      </c>
      <c r="AB30" s="181">
        <f t="shared" si="5"/>
        <v>19</v>
      </c>
      <c r="AC30" s="181">
        <f t="shared" si="2"/>
        <v>57000</v>
      </c>
      <c r="AD30" s="181">
        <v>1.1000000000000001</v>
      </c>
      <c r="AE30" s="181">
        <v>1.1000000000000001</v>
      </c>
      <c r="AF30" s="101" t="str">
        <f t="shared" si="6"/>
        <v/>
      </c>
      <c r="AG30" s="192">
        <v>1</v>
      </c>
      <c r="AH30" s="69">
        <f t="shared" si="7"/>
        <v>19</v>
      </c>
    </row>
    <row r="31" spans="1:34" s="69" customFormat="1" ht="33" x14ac:dyDescent="0.3">
      <c r="A31" s="55" t="s">
        <v>92</v>
      </c>
      <c r="B31" s="53" t="s">
        <v>93</v>
      </c>
      <c r="C31" s="54" t="s">
        <v>14</v>
      </c>
      <c r="D31" s="75">
        <v>1</v>
      </c>
      <c r="E31" s="75"/>
      <c r="F31" s="75"/>
      <c r="G31" s="75"/>
      <c r="H31" s="75">
        <v>400000</v>
      </c>
      <c r="I31" s="75">
        <v>400000</v>
      </c>
      <c r="J31" s="91" t="s">
        <v>94</v>
      </c>
      <c r="K31" s="73"/>
      <c r="L31" s="46">
        <v>0.5</v>
      </c>
      <c r="M31" s="46">
        <v>0</v>
      </c>
      <c r="N31" s="46">
        <v>200000</v>
      </c>
      <c r="O31" s="98"/>
      <c r="P31" s="23" t="s">
        <v>1389</v>
      </c>
      <c r="Q31" s="24" t="s">
        <v>93</v>
      </c>
      <c r="R31" s="25" t="s">
        <v>14</v>
      </c>
      <c r="S31" s="26">
        <v>1</v>
      </c>
      <c r="T31" s="26"/>
      <c r="U31" s="26">
        <v>400000</v>
      </c>
      <c r="V31" s="128">
        <f t="shared" si="8"/>
        <v>0</v>
      </c>
      <c r="W31" s="26">
        <f t="shared" si="3"/>
        <v>0.5</v>
      </c>
      <c r="X31" s="26">
        <f t="shared" si="1"/>
        <v>0</v>
      </c>
      <c r="Y31" s="26">
        <f t="shared" si="4"/>
        <v>200000</v>
      </c>
      <c r="Z31" s="33" t="s">
        <v>15</v>
      </c>
      <c r="AA31" s="36" t="s">
        <v>16</v>
      </c>
      <c r="AB31" s="181">
        <f t="shared" si="5"/>
        <v>1</v>
      </c>
      <c r="AC31" s="181">
        <f t="shared" si="2"/>
        <v>400000</v>
      </c>
      <c r="AD31" s="181">
        <v>1.1000000000000001</v>
      </c>
      <c r="AE31" s="181">
        <v>1.1000000000000001</v>
      </c>
      <c r="AF31" s="101" t="str">
        <f t="shared" si="6"/>
        <v/>
      </c>
      <c r="AG31" s="192">
        <f>0.5</f>
        <v>0.5</v>
      </c>
      <c r="AH31" s="69">
        <f t="shared" si="7"/>
        <v>1</v>
      </c>
    </row>
    <row r="32" spans="1:34" s="69" customFormat="1" ht="39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5">
        <v>280</v>
      </c>
      <c r="I32" s="75">
        <v>8624000</v>
      </c>
      <c r="J32" s="91" t="s">
        <v>98</v>
      </c>
      <c r="K32" s="73"/>
      <c r="L32" s="46">
        <v>11738</v>
      </c>
      <c r="M32" s="46">
        <v>147000</v>
      </c>
      <c r="N32" s="46">
        <v>3286640</v>
      </c>
      <c r="O32" s="98"/>
      <c r="P32" s="23" t="s">
        <v>1390</v>
      </c>
      <c r="Q32" s="24" t="s">
        <v>96</v>
      </c>
      <c r="R32" s="25" t="s">
        <v>97</v>
      </c>
      <c r="S32" s="26">
        <v>30800</v>
      </c>
      <c r="T32" s="26"/>
      <c r="U32" s="26">
        <v>280</v>
      </c>
      <c r="V32" s="128">
        <f t="shared" si="8"/>
        <v>438</v>
      </c>
      <c r="W32" s="26">
        <f t="shared" si="3"/>
        <v>12176</v>
      </c>
      <c r="X32" s="26">
        <f t="shared" si="1"/>
        <v>122640</v>
      </c>
      <c r="Y32" s="26">
        <f t="shared" si="4"/>
        <v>3409280</v>
      </c>
      <c r="Z32" s="33" t="s">
        <v>15</v>
      </c>
      <c r="AA32" s="36" t="s">
        <v>16</v>
      </c>
      <c r="AB32" s="181">
        <f t="shared" si="5"/>
        <v>30800</v>
      </c>
      <c r="AC32" s="181">
        <f t="shared" si="2"/>
        <v>8624000</v>
      </c>
      <c r="AD32" s="181">
        <v>1.1000000000000001</v>
      </c>
      <c r="AE32" s="181">
        <v>1.1000000000000001</v>
      </c>
      <c r="AF32" s="101" t="str">
        <f t="shared" si="6"/>
        <v/>
      </c>
      <c r="AG32" s="193">
        <f>8320+1260+356+762+515+525+438</f>
        <v>12176</v>
      </c>
      <c r="AH32" s="69">
        <f t="shared" si="7"/>
        <v>30800</v>
      </c>
    </row>
    <row r="33" spans="1:34" s="69" customFormat="1" ht="39" x14ac:dyDescent="0.3">
      <c r="A33" s="134" t="s">
        <v>1302</v>
      </c>
      <c r="B33" s="135" t="s">
        <v>1303</v>
      </c>
      <c r="C33" s="204" t="s">
        <v>50</v>
      </c>
      <c r="D33" s="216"/>
      <c r="E33" s="59">
        <v>2405</v>
      </c>
      <c r="F33" s="59"/>
      <c r="G33" s="59"/>
      <c r="H33" s="58">
        <v>70.23</v>
      </c>
      <c r="I33" s="59">
        <v>168903.15</v>
      </c>
      <c r="J33" s="92"/>
      <c r="K33" s="73"/>
      <c r="L33" s="46">
        <v>2405</v>
      </c>
      <c r="M33" s="46">
        <v>0</v>
      </c>
      <c r="N33" s="46">
        <v>168903.15</v>
      </c>
      <c r="O33" s="98"/>
      <c r="P33" s="23" t="s">
        <v>1391</v>
      </c>
      <c r="Q33" s="24" t="s">
        <v>1435</v>
      </c>
      <c r="R33" s="25" t="s">
        <v>50</v>
      </c>
      <c r="S33" s="26">
        <v>0</v>
      </c>
      <c r="T33" s="26">
        <v>2405</v>
      </c>
      <c r="U33" s="26">
        <v>70.23</v>
      </c>
      <c r="V33" s="127">
        <f t="shared" si="8"/>
        <v>0</v>
      </c>
      <c r="W33" s="127">
        <f t="shared" si="3"/>
        <v>2405</v>
      </c>
      <c r="X33" s="127">
        <f t="shared" si="1"/>
        <v>0</v>
      </c>
      <c r="Y33" s="127">
        <f t="shared" si="4"/>
        <v>168903.15</v>
      </c>
      <c r="Z33" s="27" t="s">
        <v>15</v>
      </c>
      <c r="AA33" s="36" t="s">
        <v>16</v>
      </c>
      <c r="AB33" s="181">
        <f t="shared" si="5"/>
        <v>2405</v>
      </c>
      <c r="AC33" s="181">
        <f t="shared" si="2"/>
        <v>168903.15</v>
      </c>
      <c r="AD33" s="181">
        <v>1.1000000000000001</v>
      </c>
      <c r="AE33" s="181">
        <v>1.1000000000000001</v>
      </c>
      <c r="AF33" s="101" t="str">
        <f t="shared" si="6"/>
        <v/>
      </c>
      <c r="AG33" s="190">
        <v>2405</v>
      </c>
      <c r="AH33" s="69">
        <f t="shared" si="7"/>
        <v>2405</v>
      </c>
    </row>
    <row r="34" spans="1:34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1">
        <v>20000</v>
      </c>
      <c r="I34" s="62">
        <v>3000000</v>
      </c>
      <c r="J34" s="93"/>
      <c r="L34" s="46">
        <v>121</v>
      </c>
      <c r="M34" s="46">
        <v>0</v>
      </c>
      <c r="N34" s="46">
        <v>2420000</v>
      </c>
      <c r="O34" s="98"/>
      <c r="P34" s="23" t="s">
        <v>1436</v>
      </c>
      <c r="Q34" s="24" t="s">
        <v>1437</v>
      </c>
      <c r="R34" s="25" t="s">
        <v>1358</v>
      </c>
      <c r="S34" s="26">
        <v>0</v>
      </c>
      <c r="T34" s="26">
        <v>150</v>
      </c>
      <c r="U34" s="26">
        <v>20000</v>
      </c>
      <c r="V34" s="128">
        <f t="shared" si="8"/>
        <v>6</v>
      </c>
      <c r="W34" s="26">
        <f t="shared" si="3"/>
        <v>127</v>
      </c>
      <c r="X34" s="26">
        <f t="shared" si="1"/>
        <v>120000</v>
      </c>
      <c r="Y34" s="26">
        <f t="shared" si="4"/>
        <v>2540000</v>
      </c>
      <c r="Z34" s="27"/>
      <c r="AA34" s="36" t="s">
        <v>16</v>
      </c>
      <c r="AB34" s="181">
        <f t="shared" si="5"/>
        <v>150</v>
      </c>
      <c r="AC34" s="181">
        <f t="shared" si="2"/>
        <v>3000000</v>
      </c>
      <c r="AD34" s="181">
        <v>1.1000000000000001</v>
      </c>
      <c r="AE34" s="181">
        <v>1.1000000000000001</v>
      </c>
      <c r="AF34" s="101" t="str">
        <f t="shared" si="6"/>
        <v/>
      </c>
      <c r="AG34" s="193">
        <f>100+6+7+8+6</f>
        <v>127</v>
      </c>
      <c r="AH34" s="69">
        <f t="shared" si="7"/>
        <v>150</v>
      </c>
    </row>
    <row r="35" spans="1:34" ht="42" customHeight="1" x14ac:dyDescent="0.3">
      <c r="A35" s="134" t="s">
        <v>1306</v>
      </c>
      <c r="B35" s="217" t="s">
        <v>1307</v>
      </c>
      <c r="C35" s="204" t="s">
        <v>50</v>
      </c>
      <c r="D35" s="216"/>
      <c r="E35" s="63"/>
      <c r="F35" s="62">
        <v>138.05000000000001</v>
      </c>
      <c r="G35" s="62"/>
      <c r="H35" s="61">
        <v>165.22</v>
      </c>
      <c r="I35" s="62">
        <v>22808.62</v>
      </c>
      <c r="J35" s="93"/>
      <c r="L35" s="46">
        <v>138.05000000000001</v>
      </c>
      <c r="M35" s="46">
        <v>0</v>
      </c>
      <c r="N35" s="46">
        <v>22808.62</v>
      </c>
      <c r="O35" s="98"/>
      <c r="P35" s="23" t="s">
        <v>1374</v>
      </c>
      <c r="Q35" s="24" t="s">
        <v>1375</v>
      </c>
      <c r="R35" s="25" t="s">
        <v>50</v>
      </c>
      <c r="S35" s="26">
        <v>0</v>
      </c>
      <c r="T35" s="26">
        <v>138.05000000000001</v>
      </c>
      <c r="U35" s="26">
        <v>165.22</v>
      </c>
      <c r="V35" s="127">
        <f t="shared" si="8"/>
        <v>0</v>
      </c>
      <c r="W35" s="127">
        <f t="shared" si="3"/>
        <v>138.05000000000001</v>
      </c>
      <c r="X35" s="127">
        <f t="shared" si="1"/>
        <v>0</v>
      </c>
      <c r="Y35" s="127">
        <f t="shared" si="4"/>
        <v>22808.62</v>
      </c>
      <c r="Z35" s="27"/>
      <c r="AA35" s="36" t="s">
        <v>16</v>
      </c>
      <c r="AB35" s="181">
        <f t="shared" si="5"/>
        <v>138.05000000000001</v>
      </c>
      <c r="AC35" s="181">
        <f t="shared" si="2"/>
        <v>22808.62</v>
      </c>
      <c r="AD35" s="181">
        <v>1.1000000000000001</v>
      </c>
      <c r="AE35" s="181">
        <v>1.1000000000000001</v>
      </c>
      <c r="AF35" s="101" t="str">
        <f t="shared" si="6"/>
        <v/>
      </c>
      <c r="AG35" s="190">
        <v>138.05000000000001</v>
      </c>
      <c r="AH35" s="69">
        <f t="shared" si="7"/>
        <v>138.05000000000001</v>
      </c>
    </row>
    <row r="36" spans="1:34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62">
        <v>2000</v>
      </c>
      <c r="G36" s="62"/>
      <c r="H36" s="61">
        <v>100</v>
      </c>
      <c r="I36" s="62">
        <v>200000</v>
      </c>
      <c r="J36" s="93"/>
      <c r="L36" s="46">
        <v>2000</v>
      </c>
      <c r="M36" s="46">
        <v>0</v>
      </c>
      <c r="N36" s="46">
        <v>200000</v>
      </c>
      <c r="O36" s="98"/>
      <c r="P36" s="23" t="s">
        <v>1376</v>
      </c>
      <c r="Q36" s="24" t="s">
        <v>1377</v>
      </c>
      <c r="R36" s="25" t="s">
        <v>34</v>
      </c>
      <c r="S36" s="26">
        <v>0</v>
      </c>
      <c r="T36" s="26">
        <v>2000</v>
      </c>
      <c r="U36" s="26">
        <v>100</v>
      </c>
      <c r="V36" s="127">
        <f t="shared" si="8"/>
        <v>0</v>
      </c>
      <c r="W36" s="127">
        <f t="shared" si="3"/>
        <v>2000</v>
      </c>
      <c r="X36" s="127">
        <f t="shared" si="1"/>
        <v>0</v>
      </c>
      <c r="Y36" s="127">
        <f t="shared" si="4"/>
        <v>200000</v>
      </c>
      <c r="Z36" s="27"/>
      <c r="AA36" s="36" t="s">
        <v>16</v>
      </c>
      <c r="AB36" s="181">
        <f t="shared" si="5"/>
        <v>2000</v>
      </c>
      <c r="AC36" s="181">
        <f t="shared" si="2"/>
        <v>200000</v>
      </c>
      <c r="AD36" s="181">
        <v>1.1000000000000001</v>
      </c>
      <c r="AE36" s="181">
        <v>1.1000000000000001</v>
      </c>
      <c r="AF36" s="101" t="str">
        <f t="shared" si="6"/>
        <v/>
      </c>
      <c r="AG36" s="190">
        <v>2000</v>
      </c>
      <c r="AH36" s="69">
        <f t="shared" si="7"/>
        <v>2000</v>
      </c>
    </row>
    <row r="37" spans="1:34" ht="33" x14ac:dyDescent="0.3">
      <c r="A37" s="134" t="s">
        <v>1310</v>
      </c>
      <c r="B37" s="217" t="s">
        <v>1311</v>
      </c>
      <c r="C37" s="204" t="s">
        <v>50</v>
      </c>
      <c r="D37" s="216"/>
      <c r="E37" s="63"/>
      <c r="F37" s="62">
        <v>3324.02</v>
      </c>
      <c r="G37" s="62"/>
      <c r="H37" s="61">
        <v>33.35</v>
      </c>
      <c r="I37" s="62">
        <v>110856.07</v>
      </c>
      <c r="J37" s="93"/>
      <c r="L37" s="46">
        <v>3324.02</v>
      </c>
      <c r="M37" s="46">
        <v>0</v>
      </c>
      <c r="N37" s="46">
        <v>110856.07</v>
      </c>
      <c r="O37" s="98"/>
      <c r="P37" s="23" t="s">
        <v>1378</v>
      </c>
      <c r="Q37" s="24" t="s">
        <v>1379</v>
      </c>
      <c r="R37" s="25" t="s">
        <v>50</v>
      </c>
      <c r="S37" s="26">
        <v>0</v>
      </c>
      <c r="T37" s="26">
        <v>3324.02</v>
      </c>
      <c r="U37" s="26">
        <v>33.35</v>
      </c>
      <c r="V37" s="127">
        <f t="shared" si="8"/>
        <v>0</v>
      </c>
      <c r="W37" s="127">
        <f t="shared" si="3"/>
        <v>3324.02</v>
      </c>
      <c r="X37" s="127">
        <f t="shared" si="1"/>
        <v>0</v>
      </c>
      <c r="Y37" s="127">
        <f t="shared" si="4"/>
        <v>110856.07</v>
      </c>
      <c r="Z37" s="27"/>
      <c r="AA37" s="36" t="s">
        <v>16</v>
      </c>
      <c r="AB37" s="181">
        <f t="shared" si="5"/>
        <v>3324.02</v>
      </c>
      <c r="AC37" s="181">
        <f t="shared" si="2"/>
        <v>110856.07</v>
      </c>
      <c r="AD37" s="181">
        <v>1.1000000000000001</v>
      </c>
      <c r="AE37" s="181">
        <v>1.1000000000000001</v>
      </c>
      <c r="AF37" s="101" t="str">
        <f t="shared" si="6"/>
        <v/>
      </c>
      <c r="AG37" s="190">
        <v>3324.02</v>
      </c>
      <c r="AH37" s="69">
        <f t="shared" si="7"/>
        <v>3324.02</v>
      </c>
    </row>
    <row r="38" spans="1:34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2"/>
      <c r="I38" s="82">
        <v>42752872.340000004</v>
      </c>
      <c r="J38" s="94" t="s">
        <v>15</v>
      </c>
      <c r="K38" s="73"/>
      <c r="L38" s="45">
        <v>1</v>
      </c>
      <c r="M38" s="45">
        <v>859825.12</v>
      </c>
      <c r="N38" s="45">
        <v>2221067.5</v>
      </c>
      <c r="O38" s="98"/>
      <c r="P38" s="18" t="s">
        <v>1380</v>
      </c>
      <c r="Q38" s="19" t="s">
        <v>100</v>
      </c>
      <c r="R38" s="20" t="s">
        <v>14</v>
      </c>
      <c r="S38" s="21">
        <v>1</v>
      </c>
      <c r="T38" s="21"/>
      <c r="U38" s="21">
        <f>SUMIFS(AC:AC,AD:AD,AD38)</f>
        <v>42752872.340000033</v>
      </c>
      <c r="V38" s="21">
        <f t="shared" ref="V38:W38" si="9">IF(X38=0,0,1)</f>
        <v>1</v>
      </c>
      <c r="W38" s="21">
        <f t="shared" si="9"/>
        <v>1</v>
      </c>
      <c r="X38" s="21">
        <f>SUMIFS(X:X,AE:AE,AD38)</f>
        <v>3162895.28</v>
      </c>
      <c r="Y38" s="21">
        <f>SUMIFS(Y:Y,AE:AE,AD38)</f>
        <v>5383962.7799999993</v>
      </c>
      <c r="Z38" s="22" t="s">
        <v>15</v>
      </c>
      <c r="AA38" s="43" t="s">
        <v>16</v>
      </c>
      <c r="AB38" s="181">
        <f t="shared" si="5"/>
        <v>1</v>
      </c>
      <c r="AC38" s="184"/>
      <c r="AD38" s="181">
        <v>1.2</v>
      </c>
      <c r="AE38" s="181"/>
      <c r="AF38" s="101" t="str">
        <f t="shared" si="6"/>
        <v/>
      </c>
      <c r="AG38" s="190">
        <v>1</v>
      </c>
      <c r="AH38" s="69">
        <f t="shared" si="7"/>
        <v>1</v>
      </c>
    </row>
    <row r="39" spans="1:34" s="69" customFormat="1" ht="39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>
        <v>320.74</v>
      </c>
      <c r="I39" s="75">
        <v>753030.16</v>
      </c>
      <c r="J39" s="91" t="s">
        <v>104</v>
      </c>
      <c r="K39" s="73"/>
      <c r="L39" s="46">
        <v>0</v>
      </c>
      <c r="M39" s="46">
        <v>0</v>
      </c>
      <c r="N39" s="46">
        <v>0</v>
      </c>
      <c r="O39" s="98"/>
      <c r="P39" s="23" t="s">
        <v>1421</v>
      </c>
      <c r="Q39" s="24" t="s">
        <v>102</v>
      </c>
      <c r="R39" s="25" t="s">
        <v>103</v>
      </c>
      <c r="S39" s="26">
        <v>2347.79</v>
      </c>
      <c r="T39" s="26"/>
      <c r="U39" s="26">
        <f t="shared" ref="U39:U102" si="10">H39</f>
        <v>320.74</v>
      </c>
      <c r="V39" s="26">
        <f t="shared" si="8"/>
        <v>0</v>
      </c>
      <c r="W39" s="26">
        <f t="shared" si="3"/>
        <v>0</v>
      </c>
      <c r="X39" s="26">
        <f t="shared" ref="X39:X102" si="11">Y39-N39</f>
        <v>0</v>
      </c>
      <c r="Y39" s="26">
        <f t="shared" si="4"/>
        <v>0</v>
      </c>
      <c r="Z39" s="33" t="s">
        <v>15</v>
      </c>
      <c r="AA39" s="36" t="s">
        <v>16</v>
      </c>
      <c r="AB39" s="181">
        <f t="shared" si="5"/>
        <v>2347.79</v>
      </c>
      <c r="AC39" s="181">
        <f>ROUND(U39*AB39,2)</f>
        <v>753030.16</v>
      </c>
      <c r="AD39" s="181">
        <v>1.2</v>
      </c>
      <c r="AE39" s="181">
        <v>1.2</v>
      </c>
      <c r="AF39" s="101" t="str">
        <f t="shared" si="6"/>
        <v/>
      </c>
      <c r="AG39" s="190">
        <v>0</v>
      </c>
      <c r="AH39" s="69">
        <f t="shared" si="7"/>
        <v>2347.79</v>
      </c>
    </row>
    <row r="40" spans="1:34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>
        <v>346.08</v>
      </c>
      <c r="I40" s="75">
        <v>261553.42</v>
      </c>
      <c r="J40" s="91" t="s">
        <v>107</v>
      </c>
      <c r="K40" s="73"/>
      <c r="L40" s="46">
        <v>0</v>
      </c>
      <c r="M40" s="46">
        <v>0</v>
      </c>
      <c r="N40" s="46">
        <v>0</v>
      </c>
      <c r="O40" s="98"/>
      <c r="P40" s="23" t="s">
        <v>1426</v>
      </c>
      <c r="Q40" s="24" t="s">
        <v>106</v>
      </c>
      <c r="R40" s="25" t="s">
        <v>103</v>
      </c>
      <c r="S40" s="26">
        <v>755.76</v>
      </c>
      <c r="T40" s="26"/>
      <c r="U40" s="26">
        <f t="shared" si="10"/>
        <v>346.08</v>
      </c>
      <c r="V40" s="26">
        <f t="shared" si="8"/>
        <v>0</v>
      </c>
      <c r="W40" s="26">
        <f t="shared" si="3"/>
        <v>0</v>
      </c>
      <c r="X40" s="26">
        <f t="shared" si="11"/>
        <v>0</v>
      </c>
      <c r="Y40" s="26">
        <f t="shared" si="4"/>
        <v>0</v>
      </c>
      <c r="Z40" s="33" t="s">
        <v>15</v>
      </c>
      <c r="AA40" s="36" t="s">
        <v>16</v>
      </c>
      <c r="AB40" s="181">
        <f t="shared" si="5"/>
        <v>755.76</v>
      </c>
      <c r="AC40" s="181">
        <f t="shared" ref="AC40:AC103" si="12">ROUND(U40*AB40,2)</f>
        <v>261553.42</v>
      </c>
      <c r="AD40" s="181">
        <v>1.2</v>
      </c>
      <c r="AE40" s="181">
        <v>1.2</v>
      </c>
      <c r="AF40" s="101" t="str">
        <f t="shared" si="6"/>
        <v/>
      </c>
      <c r="AG40" s="190">
        <v>0</v>
      </c>
      <c r="AH40" s="69">
        <f t="shared" si="7"/>
        <v>755.76</v>
      </c>
    </row>
    <row r="41" spans="1:34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>
        <v>36.4</v>
      </c>
      <c r="I41" s="75">
        <v>1355298.67</v>
      </c>
      <c r="J41" s="91" t="s">
        <v>111</v>
      </c>
      <c r="K41" s="73"/>
      <c r="L41" s="46">
        <v>0</v>
      </c>
      <c r="M41" s="46">
        <v>0</v>
      </c>
      <c r="N41" s="46">
        <v>0</v>
      </c>
      <c r="O41" s="98"/>
      <c r="P41" s="23" t="s">
        <v>1402</v>
      </c>
      <c r="Q41" s="24" t="s">
        <v>109</v>
      </c>
      <c r="R41" s="25" t="s">
        <v>110</v>
      </c>
      <c r="S41" s="26">
        <v>37233.480000000003</v>
      </c>
      <c r="T41" s="26"/>
      <c r="U41" s="26">
        <f t="shared" si="10"/>
        <v>36.4</v>
      </c>
      <c r="V41" s="26">
        <f t="shared" si="8"/>
        <v>0</v>
      </c>
      <c r="W41" s="26">
        <f t="shared" si="3"/>
        <v>0</v>
      </c>
      <c r="X41" s="26">
        <f t="shared" si="11"/>
        <v>0</v>
      </c>
      <c r="Y41" s="26">
        <f t="shared" si="4"/>
        <v>0</v>
      </c>
      <c r="Z41" s="33" t="s">
        <v>15</v>
      </c>
      <c r="AA41" s="36" t="s">
        <v>16</v>
      </c>
      <c r="AB41" s="181">
        <f t="shared" si="5"/>
        <v>37233.480000000003</v>
      </c>
      <c r="AC41" s="181">
        <f t="shared" si="12"/>
        <v>1355298.67</v>
      </c>
      <c r="AD41" s="181">
        <v>1.2</v>
      </c>
      <c r="AE41" s="181">
        <v>1.2</v>
      </c>
      <c r="AF41" s="101" t="str">
        <f t="shared" si="6"/>
        <v/>
      </c>
      <c r="AG41" s="190">
        <v>0</v>
      </c>
      <c r="AH41" s="69">
        <f t="shared" si="7"/>
        <v>37233.480000000003</v>
      </c>
    </row>
    <row r="42" spans="1:34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>
        <v>3115.13</v>
      </c>
      <c r="I42" s="75">
        <v>918901.05</v>
      </c>
      <c r="J42" s="91" t="s">
        <v>114</v>
      </c>
      <c r="K42" s="73"/>
      <c r="L42" s="46">
        <v>0</v>
      </c>
      <c r="M42" s="46">
        <v>0</v>
      </c>
      <c r="N42" s="46">
        <v>0</v>
      </c>
      <c r="O42" s="98"/>
      <c r="P42" s="23" t="s">
        <v>1373</v>
      </c>
      <c r="Q42" s="24" t="s">
        <v>392</v>
      </c>
      <c r="R42" s="25" t="s">
        <v>23</v>
      </c>
      <c r="S42" s="26">
        <v>294.98</v>
      </c>
      <c r="T42" s="26"/>
      <c r="U42" s="26">
        <f t="shared" si="10"/>
        <v>3115.13</v>
      </c>
      <c r="V42" s="26">
        <f t="shared" si="8"/>
        <v>0</v>
      </c>
      <c r="W42" s="26">
        <f t="shared" si="3"/>
        <v>0</v>
      </c>
      <c r="X42" s="26">
        <f t="shared" si="11"/>
        <v>0</v>
      </c>
      <c r="Y42" s="26">
        <f t="shared" si="4"/>
        <v>0</v>
      </c>
      <c r="Z42" s="33" t="s">
        <v>15</v>
      </c>
      <c r="AA42" s="36" t="s">
        <v>16</v>
      </c>
      <c r="AB42" s="181">
        <f t="shared" si="5"/>
        <v>294.98</v>
      </c>
      <c r="AC42" s="181">
        <f t="shared" si="12"/>
        <v>918901.05</v>
      </c>
      <c r="AD42" s="181">
        <v>1.2</v>
      </c>
      <c r="AE42" s="181">
        <v>1.2</v>
      </c>
      <c r="AF42" s="101" t="str">
        <f t="shared" si="6"/>
        <v/>
      </c>
      <c r="AG42" s="190">
        <v>0</v>
      </c>
      <c r="AH42" s="69">
        <f t="shared" si="7"/>
        <v>294.98</v>
      </c>
    </row>
    <row r="43" spans="1:34" s="69" customFormat="1" ht="39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>
        <v>3321.13</v>
      </c>
      <c r="I43" s="75">
        <v>2811934.35</v>
      </c>
      <c r="J43" s="91" t="s">
        <v>117</v>
      </c>
      <c r="K43" s="73"/>
      <c r="L43" s="46">
        <v>0</v>
      </c>
      <c r="M43" s="46">
        <v>0</v>
      </c>
      <c r="N43" s="46">
        <v>0</v>
      </c>
      <c r="O43" s="98"/>
      <c r="P43" s="23" t="s">
        <v>1393</v>
      </c>
      <c r="Q43" s="24" t="s">
        <v>116</v>
      </c>
      <c r="R43" s="25" t="s">
        <v>23</v>
      </c>
      <c r="S43" s="26">
        <v>846.68</v>
      </c>
      <c r="T43" s="26"/>
      <c r="U43" s="26">
        <f t="shared" si="10"/>
        <v>3321.13</v>
      </c>
      <c r="V43" s="26">
        <f t="shared" si="8"/>
        <v>0</v>
      </c>
      <c r="W43" s="26">
        <f t="shared" si="3"/>
        <v>0</v>
      </c>
      <c r="X43" s="26">
        <f t="shared" si="11"/>
        <v>0</v>
      </c>
      <c r="Y43" s="26">
        <f t="shared" si="4"/>
        <v>0</v>
      </c>
      <c r="Z43" s="33" t="s">
        <v>15</v>
      </c>
      <c r="AA43" s="36" t="s">
        <v>16</v>
      </c>
      <c r="AB43" s="181">
        <f t="shared" si="5"/>
        <v>846.68</v>
      </c>
      <c r="AC43" s="181">
        <f t="shared" si="12"/>
        <v>2811934.35</v>
      </c>
      <c r="AD43" s="181">
        <v>1.2</v>
      </c>
      <c r="AE43" s="181">
        <v>1.2</v>
      </c>
      <c r="AF43" s="101" t="str">
        <f t="shared" si="6"/>
        <v/>
      </c>
      <c r="AG43" s="190">
        <v>0</v>
      </c>
      <c r="AH43" s="69">
        <f t="shared" si="7"/>
        <v>846.68</v>
      </c>
    </row>
    <row r="44" spans="1:34" s="69" customFormat="1" ht="41.25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>
        <v>533.64</v>
      </c>
      <c r="I44" s="75">
        <v>1273974.78</v>
      </c>
      <c r="J44" s="91" t="s">
        <v>120</v>
      </c>
      <c r="K44" s="73"/>
      <c r="L44" s="46">
        <v>0</v>
      </c>
      <c r="M44" s="46">
        <v>0</v>
      </c>
      <c r="N44" s="46">
        <v>0</v>
      </c>
      <c r="O44" s="98"/>
      <c r="P44" s="23" t="s">
        <v>1403</v>
      </c>
      <c r="Q44" s="24" t="s">
        <v>119</v>
      </c>
      <c r="R44" s="25" t="s">
        <v>50</v>
      </c>
      <c r="S44" s="26">
        <v>2387.33</v>
      </c>
      <c r="T44" s="26"/>
      <c r="U44" s="26">
        <f t="shared" si="10"/>
        <v>533.64</v>
      </c>
      <c r="V44" s="26">
        <f t="shared" si="8"/>
        <v>0</v>
      </c>
      <c r="W44" s="26">
        <f t="shared" si="3"/>
        <v>0</v>
      </c>
      <c r="X44" s="26">
        <f t="shared" si="11"/>
        <v>0</v>
      </c>
      <c r="Y44" s="26">
        <f t="shared" si="4"/>
        <v>0</v>
      </c>
      <c r="Z44" s="33" t="s">
        <v>15</v>
      </c>
      <c r="AA44" s="36" t="s">
        <v>16</v>
      </c>
      <c r="AB44" s="181">
        <f t="shared" si="5"/>
        <v>2387.33</v>
      </c>
      <c r="AC44" s="181">
        <f t="shared" si="12"/>
        <v>1273974.78</v>
      </c>
      <c r="AD44" s="181">
        <v>1.2</v>
      </c>
      <c r="AE44" s="181">
        <v>1.2</v>
      </c>
      <c r="AF44" s="101" t="str">
        <f t="shared" si="6"/>
        <v/>
      </c>
      <c r="AG44" s="190">
        <v>0</v>
      </c>
      <c r="AH44" s="69">
        <f t="shared" si="7"/>
        <v>2387.33</v>
      </c>
    </row>
    <row r="45" spans="1:34" s="69" customFormat="1" ht="33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>
        <v>1299.8900000000001</v>
      </c>
      <c r="I45" s="75">
        <v>1770710.16</v>
      </c>
      <c r="J45" s="91" t="s">
        <v>123</v>
      </c>
      <c r="K45" s="73"/>
      <c r="L45" s="46">
        <v>0</v>
      </c>
      <c r="M45" s="46">
        <v>0</v>
      </c>
      <c r="N45" s="46">
        <v>0</v>
      </c>
      <c r="O45" s="98"/>
      <c r="P45" s="23" t="s">
        <v>1427</v>
      </c>
      <c r="Q45" s="24" t="s">
        <v>122</v>
      </c>
      <c r="R45" s="25" t="s">
        <v>50</v>
      </c>
      <c r="S45" s="26">
        <v>1362.2</v>
      </c>
      <c r="T45" s="26"/>
      <c r="U45" s="26">
        <f t="shared" si="10"/>
        <v>1299.8900000000001</v>
      </c>
      <c r="V45" s="26">
        <f t="shared" si="8"/>
        <v>0</v>
      </c>
      <c r="W45" s="26">
        <f t="shared" si="3"/>
        <v>0</v>
      </c>
      <c r="X45" s="26">
        <f t="shared" si="11"/>
        <v>0</v>
      </c>
      <c r="Y45" s="26">
        <f t="shared" si="4"/>
        <v>0</v>
      </c>
      <c r="Z45" s="33" t="s">
        <v>15</v>
      </c>
      <c r="AA45" s="36" t="s">
        <v>16</v>
      </c>
      <c r="AB45" s="181">
        <f t="shared" si="5"/>
        <v>1362.2</v>
      </c>
      <c r="AC45" s="181">
        <f t="shared" si="12"/>
        <v>1770710.16</v>
      </c>
      <c r="AD45" s="181">
        <v>1.2</v>
      </c>
      <c r="AE45" s="181">
        <v>1.2</v>
      </c>
      <c r="AF45" s="101" t="str">
        <f t="shared" si="6"/>
        <v/>
      </c>
      <c r="AG45" s="190">
        <v>0</v>
      </c>
      <c r="AH45" s="69">
        <f t="shared" si="7"/>
        <v>1362.2</v>
      </c>
    </row>
    <row r="46" spans="1:34" s="69" customFormat="1" ht="33" x14ac:dyDescent="0.3">
      <c r="A46" s="55" t="s">
        <v>124</v>
      </c>
      <c r="B46" s="53" t="s">
        <v>125</v>
      </c>
      <c r="C46" s="54" t="s">
        <v>110</v>
      </c>
      <c r="D46" s="75">
        <v>4781.5600000000004</v>
      </c>
      <c r="E46" s="75"/>
      <c r="F46" s="75"/>
      <c r="G46" s="75"/>
      <c r="H46" s="75">
        <v>60</v>
      </c>
      <c r="I46" s="75">
        <v>286893.59999999998</v>
      </c>
      <c r="J46" s="91" t="s">
        <v>126</v>
      </c>
      <c r="K46" s="73"/>
      <c r="L46" s="46">
        <v>0</v>
      </c>
      <c r="M46" s="46">
        <v>0</v>
      </c>
      <c r="N46" s="46">
        <v>0</v>
      </c>
      <c r="O46" s="98"/>
      <c r="P46" s="23" t="s">
        <v>1428</v>
      </c>
      <c r="Q46" s="24" t="s">
        <v>125</v>
      </c>
      <c r="R46" s="25" t="s">
        <v>110</v>
      </c>
      <c r="S46" s="26">
        <v>4781.5600000000004</v>
      </c>
      <c r="T46" s="26"/>
      <c r="U46" s="26">
        <f t="shared" si="10"/>
        <v>60</v>
      </c>
      <c r="V46" s="128">
        <f t="shared" si="8"/>
        <v>2115</v>
      </c>
      <c r="W46" s="26">
        <f t="shared" si="3"/>
        <v>2115</v>
      </c>
      <c r="X46" s="26">
        <f t="shared" si="11"/>
        <v>126900</v>
      </c>
      <c r="Y46" s="26">
        <f t="shared" si="4"/>
        <v>126900</v>
      </c>
      <c r="Z46" s="33" t="s">
        <v>15</v>
      </c>
      <c r="AA46" s="36" t="s">
        <v>16</v>
      </c>
      <c r="AB46" s="181">
        <f t="shared" si="5"/>
        <v>4781.5600000000004</v>
      </c>
      <c r="AC46" s="181">
        <f t="shared" si="12"/>
        <v>286893.59999999998</v>
      </c>
      <c r="AD46" s="181">
        <v>1.2</v>
      </c>
      <c r="AE46" s="181">
        <v>1.2</v>
      </c>
      <c r="AF46" s="101" t="str">
        <f t="shared" si="6"/>
        <v/>
      </c>
      <c r="AG46" s="191">
        <f>2115</f>
        <v>2115</v>
      </c>
      <c r="AH46" s="69">
        <f t="shared" si="7"/>
        <v>4781.5600000000004</v>
      </c>
    </row>
    <row r="47" spans="1:34" s="69" customFormat="1" ht="39" x14ac:dyDescent="0.3">
      <c r="A47" s="55" t="s">
        <v>127</v>
      </c>
      <c r="B47" s="53" t="s">
        <v>128</v>
      </c>
      <c r="C47" s="54" t="s">
        <v>110</v>
      </c>
      <c r="D47" s="75">
        <v>4781.5600000000004</v>
      </c>
      <c r="E47" s="75"/>
      <c r="F47" s="75"/>
      <c r="G47" s="75"/>
      <c r="H47" s="75">
        <v>31.9</v>
      </c>
      <c r="I47" s="75">
        <v>152531.76</v>
      </c>
      <c r="J47" s="91" t="s">
        <v>129</v>
      </c>
      <c r="K47" s="73"/>
      <c r="L47" s="46">
        <v>0</v>
      </c>
      <c r="M47" s="46">
        <v>0</v>
      </c>
      <c r="N47" s="46">
        <v>0</v>
      </c>
      <c r="O47" s="98"/>
      <c r="P47" s="23" t="s">
        <v>1387</v>
      </c>
      <c r="Q47" s="24" t="s">
        <v>128</v>
      </c>
      <c r="R47" s="25" t="s">
        <v>110</v>
      </c>
      <c r="S47" s="26">
        <v>4781.5600000000004</v>
      </c>
      <c r="T47" s="26"/>
      <c r="U47" s="26">
        <f t="shared" si="10"/>
        <v>31.9</v>
      </c>
      <c r="V47" s="128">
        <f t="shared" si="8"/>
        <v>2115</v>
      </c>
      <c r="W47" s="26">
        <f t="shared" si="3"/>
        <v>2115</v>
      </c>
      <c r="X47" s="26">
        <f t="shared" si="11"/>
        <v>67468.5</v>
      </c>
      <c r="Y47" s="26">
        <f t="shared" si="4"/>
        <v>67468.5</v>
      </c>
      <c r="Z47" s="33" t="s">
        <v>15</v>
      </c>
      <c r="AA47" s="36" t="s">
        <v>16</v>
      </c>
      <c r="AB47" s="181">
        <f t="shared" si="5"/>
        <v>4781.5600000000004</v>
      </c>
      <c r="AC47" s="181">
        <f t="shared" si="12"/>
        <v>152531.76</v>
      </c>
      <c r="AD47" s="181">
        <v>1.2</v>
      </c>
      <c r="AE47" s="181">
        <v>1.2</v>
      </c>
      <c r="AF47" s="101" t="str">
        <f t="shared" si="6"/>
        <v/>
      </c>
      <c r="AG47" s="191">
        <f>AG46</f>
        <v>2115</v>
      </c>
      <c r="AH47" s="69">
        <f t="shared" si="7"/>
        <v>4781.5600000000004</v>
      </c>
    </row>
    <row r="48" spans="1:34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>
        <v>107.31</v>
      </c>
      <c r="I48" s="75">
        <v>246905.29</v>
      </c>
      <c r="J48" s="91" t="s">
        <v>132</v>
      </c>
      <c r="K48" s="73"/>
      <c r="L48" s="46">
        <v>0</v>
      </c>
      <c r="M48" s="46">
        <v>0</v>
      </c>
      <c r="N48" s="46">
        <v>0</v>
      </c>
      <c r="O48" s="98"/>
      <c r="P48" s="23" t="s">
        <v>1405</v>
      </c>
      <c r="Q48" s="24" t="s">
        <v>131</v>
      </c>
      <c r="R48" s="25" t="s">
        <v>110</v>
      </c>
      <c r="S48" s="26">
        <v>2300.86</v>
      </c>
      <c r="T48" s="26"/>
      <c r="U48" s="26">
        <f t="shared" si="10"/>
        <v>107.31</v>
      </c>
      <c r="V48" s="128">
        <f t="shared" si="8"/>
        <v>1855</v>
      </c>
      <c r="W48" s="26">
        <f t="shared" si="3"/>
        <v>1855</v>
      </c>
      <c r="X48" s="26">
        <f t="shared" si="11"/>
        <v>199060.05</v>
      </c>
      <c r="Y48" s="26">
        <f t="shared" si="4"/>
        <v>199060.05</v>
      </c>
      <c r="Z48" s="33" t="s">
        <v>15</v>
      </c>
      <c r="AA48" s="36" t="s">
        <v>16</v>
      </c>
      <c r="AB48" s="181">
        <f t="shared" si="5"/>
        <v>2300.86</v>
      </c>
      <c r="AC48" s="181">
        <f t="shared" si="12"/>
        <v>246905.29</v>
      </c>
      <c r="AD48" s="181">
        <v>1.2</v>
      </c>
      <c r="AE48" s="181">
        <v>1.2</v>
      </c>
      <c r="AF48" s="101" t="str">
        <f t="shared" si="6"/>
        <v/>
      </c>
      <c r="AG48" s="191">
        <f>1855</f>
        <v>1855</v>
      </c>
      <c r="AH48" s="69">
        <f t="shared" si="7"/>
        <v>2300.86</v>
      </c>
    </row>
    <row r="49" spans="1:34" s="69" customFormat="1" ht="33" x14ac:dyDescent="0.3">
      <c r="A49" s="55" t="s">
        <v>133</v>
      </c>
      <c r="B49" s="215" t="s">
        <v>134</v>
      </c>
      <c r="C49" s="54" t="s">
        <v>50</v>
      </c>
      <c r="D49" s="75">
        <v>5207.01</v>
      </c>
      <c r="E49" s="75"/>
      <c r="F49" s="75"/>
      <c r="G49" s="75"/>
      <c r="H49" s="75">
        <v>2964</v>
      </c>
      <c r="I49" s="75">
        <v>15433577.640000001</v>
      </c>
      <c r="J49" s="137" t="s">
        <v>135</v>
      </c>
      <c r="K49" s="73"/>
      <c r="L49" s="46">
        <v>219</v>
      </c>
      <c r="M49" s="46">
        <v>649116</v>
      </c>
      <c r="N49" s="46">
        <v>649116</v>
      </c>
      <c r="O49" s="98"/>
      <c r="P49" s="23" t="s">
        <v>1406</v>
      </c>
      <c r="Q49" s="24" t="s">
        <v>134</v>
      </c>
      <c r="R49" s="25" t="s">
        <v>50</v>
      </c>
      <c r="S49" s="26">
        <v>5207.01</v>
      </c>
      <c r="T49" s="26"/>
      <c r="U49" s="26">
        <f t="shared" si="10"/>
        <v>2964</v>
      </c>
      <c r="V49" s="128">
        <f t="shared" si="8"/>
        <v>852</v>
      </c>
      <c r="W49" s="26">
        <f t="shared" si="3"/>
        <v>1071</v>
      </c>
      <c r="X49" s="26">
        <f t="shared" si="11"/>
        <v>2525328</v>
      </c>
      <c r="Y49" s="26">
        <f t="shared" si="4"/>
        <v>3174444</v>
      </c>
      <c r="Z49" s="33" t="s">
        <v>15</v>
      </c>
      <c r="AA49" s="36" t="s">
        <v>16</v>
      </c>
      <c r="AB49" s="181">
        <f t="shared" si="5"/>
        <v>5207.01</v>
      </c>
      <c r="AC49" s="181">
        <f t="shared" si="12"/>
        <v>15433577.640000001</v>
      </c>
      <c r="AD49" s="181">
        <v>1.2</v>
      </c>
      <c r="AE49" s="181">
        <v>1.2</v>
      </c>
      <c r="AF49" s="101" t="str">
        <f t="shared" si="6"/>
        <v/>
      </c>
      <c r="AG49" s="191">
        <f>219+852</f>
        <v>1071</v>
      </c>
      <c r="AH49" s="69">
        <f t="shared" si="7"/>
        <v>5207.01</v>
      </c>
    </row>
    <row r="50" spans="1:34" s="69" customFormat="1" ht="39" x14ac:dyDescent="0.3">
      <c r="A50" s="55" t="s">
        <v>136</v>
      </c>
      <c r="B50" s="53" t="s">
        <v>3138</v>
      </c>
      <c r="C50" s="54" t="s">
        <v>50</v>
      </c>
      <c r="D50" s="75">
        <v>693.8</v>
      </c>
      <c r="E50" s="75"/>
      <c r="F50" s="75"/>
      <c r="G50" s="75"/>
      <c r="H50" s="75">
        <v>3961.57</v>
      </c>
      <c r="I50" s="75">
        <v>2748537.27</v>
      </c>
      <c r="J50" s="137" t="s">
        <v>138</v>
      </c>
      <c r="K50" s="73"/>
      <c r="L50" s="46">
        <v>0</v>
      </c>
      <c r="M50" s="46">
        <v>0</v>
      </c>
      <c r="N50" s="46">
        <v>0</v>
      </c>
      <c r="O50" s="98"/>
      <c r="P50" s="23" t="s">
        <v>1414</v>
      </c>
      <c r="Q50" s="24" t="s">
        <v>137</v>
      </c>
      <c r="R50" s="25" t="s">
        <v>50</v>
      </c>
      <c r="S50" s="26">
        <v>693.8</v>
      </c>
      <c r="T50" s="26"/>
      <c r="U50" s="26">
        <f t="shared" si="10"/>
        <v>3961.57</v>
      </c>
      <c r="V50" s="26">
        <f t="shared" si="8"/>
        <v>0</v>
      </c>
      <c r="W50" s="26">
        <f t="shared" si="3"/>
        <v>0</v>
      </c>
      <c r="X50" s="26">
        <f t="shared" si="11"/>
        <v>0</v>
      </c>
      <c r="Y50" s="26">
        <f t="shared" si="4"/>
        <v>0</v>
      </c>
      <c r="Z50" s="33" t="s">
        <v>15</v>
      </c>
      <c r="AA50" s="36" t="s">
        <v>16</v>
      </c>
      <c r="AB50" s="181">
        <f t="shared" si="5"/>
        <v>693.8</v>
      </c>
      <c r="AC50" s="181">
        <f t="shared" si="12"/>
        <v>2748537.27</v>
      </c>
      <c r="AD50" s="181">
        <v>1.2</v>
      </c>
      <c r="AE50" s="181">
        <v>1.2</v>
      </c>
      <c r="AF50" s="101" t="str">
        <f t="shared" si="6"/>
        <v/>
      </c>
      <c r="AG50" s="190">
        <v>0</v>
      </c>
      <c r="AH50" s="69">
        <f t="shared" si="7"/>
        <v>693.8</v>
      </c>
    </row>
    <row r="51" spans="1:34" s="69" customFormat="1" ht="33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>
        <v>3965.81</v>
      </c>
      <c r="I51" s="75">
        <v>1488090.89</v>
      </c>
      <c r="J51" s="137" t="s">
        <v>141</v>
      </c>
      <c r="K51" s="73"/>
      <c r="L51" s="46">
        <v>0</v>
      </c>
      <c r="M51" s="46">
        <v>0</v>
      </c>
      <c r="N51" s="46">
        <v>0</v>
      </c>
      <c r="O51" s="98"/>
      <c r="P51" s="23" t="s">
        <v>1429</v>
      </c>
      <c r="Q51" s="24" t="s">
        <v>140</v>
      </c>
      <c r="R51" s="25" t="s">
        <v>50</v>
      </c>
      <c r="S51" s="26">
        <v>375.23</v>
      </c>
      <c r="T51" s="26"/>
      <c r="U51" s="26">
        <f t="shared" si="10"/>
        <v>3965.81</v>
      </c>
      <c r="V51" s="26">
        <f t="shared" si="8"/>
        <v>0</v>
      </c>
      <c r="W51" s="26">
        <f t="shared" si="3"/>
        <v>0</v>
      </c>
      <c r="X51" s="26">
        <f t="shared" si="11"/>
        <v>0</v>
      </c>
      <c r="Y51" s="26">
        <f t="shared" si="4"/>
        <v>0</v>
      </c>
      <c r="Z51" s="33" t="s">
        <v>15</v>
      </c>
      <c r="AA51" s="36" t="s">
        <v>16</v>
      </c>
      <c r="AB51" s="181">
        <f t="shared" si="5"/>
        <v>375.23</v>
      </c>
      <c r="AC51" s="181">
        <f t="shared" si="12"/>
        <v>1488090.89</v>
      </c>
      <c r="AD51" s="181">
        <v>1.2</v>
      </c>
      <c r="AE51" s="181">
        <v>1.2</v>
      </c>
      <c r="AF51" s="101" t="str">
        <f t="shared" si="6"/>
        <v/>
      </c>
      <c r="AG51" s="190">
        <v>0</v>
      </c>
      <c r="AH51" s="69">
        <f t="shared" si="7"/>
        <v>375.23</v>
      </c>
    </row>
    <row r="52" spans="1:34" s="69" customFormat="1" ht="33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>
        <v>773.88</v>
      </c>
      <c r="I52" s="75">
        <v>26931.02</v>
      </c>
      <c r="J52" s="91" t="s">
        <v>144</v>
      </c>
      <c r="K52" s="73"/>
      <c r="L52" s="46">
        <v>0</v>
      </c>
      <c r="M52" s="46">
        <v>0</v>
      </c>
      <c r="N52" s="46">
        <v>0</v>
      </c>
      <c r="O52" s="98"/>
      <c r="P52" s="23" t="s">
        <v>1430</v>
      </c>
      <c r="Q52" s="24" t="s">
        <v>143</v>
      </c>
      <c r="R52" s="25" t="s">
        <v>50</v>
      </c>
      <c r="S52" s="26">
        <v>34.799999999999997</v>
      </c>
      <c r="T52" s="26"/>
      <c r="U52" s="26">
        <f t="shared" si="10"/>
        <v>773.88</v>
      </c>
      <c r="V52" s="26">
        <f t="shared" si="8"/>
        <v>0</v>
      </c>
      <c r="W52" s="26">
        <f t="shared" si="3"/>
        <v>0</v>
      </c>
      <c r="X52" s="26">
        <f t="shared" si="11"/>
        <v>0</v>
      </c>
      <c r="Y52" s="26">
        <f t="shared" si="4"/>
        <v>0</v>
      </c>
      <c r="Z52" s="33" t="s">
        <v>15</v>
      </c>
      <c r="AA52" s="36" t="s">
        <v>16</v>
      </c>
      <c r="AB52" s="181">
        <f t="shared" si="5"/>
        <v>34.799999999999997</v>
      </c>
      <c r="AC52" s="181">
        <f t="shared" si="12"/>
        <v>26931.02</v>
      </c>
      <c r="AD52" s="181">
        <v>1.2</v>
      </c>
      <c r="AE52" s="181">
        <v>1.2</v>
      </c>
      <c r="AF52" s="101" t="str">
        <f t="shared" si="6"/>
        <v/>
      </c>
      <c r="AG52" s="190">
        <v>0</v>
      </c>
      <c r="AH52" s="69">
        <f t="shared" si="7"/>
        <v>34.799999999999997</v>
      </c>
    </row>
    <row r="53" spans="1:34" s="69" customFormat="1" ht="33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>
        <v>948.4</v>
      </c>
      <c r="I53" s="75">
        <v>11361.83</v>
      </c>
      <c r="J53" s="91" t="s">
        <v>147</v>
      </c>
      <c r="K53" s="73"/>
      <c r="L53" s="46">
        <v>0</v>
      </c>
      <c r="M53" s="46">
        <v>0</v>
      </c>
      <c r="N53" s="46">
        <v>0</v>
      </c>
      <c r="O53" s="98"/>
      <c r="P53" s="23" t="s">
        <v>1431</v>
      </c>
      <c r="Q53" s="24" t="s">
        <v>146</v>
      </c>
      <c r="R53" s="25" t="s">
        <v>50</v>
      </c>
      <c r="S53" s="26">
        <v>11.98</v>
      </c>
      <c r="T53" s="26"/>
      <c r="U53" s="26">
        <f t="shared" si="10"/>
        <v>948.4</v>
      </c>
      <c r="V53" s="26">
        <f t="shared" si="8"/>
        <v>0</v>
      </c>
      <c r="W53" s="26">
        <f t="shared" si="3"/>
        <v>0</v>
      </c>
      <c r="X53" s="26">
        <f t="shared" si="11"/>
        <v>0</v>
      </c>
      <c r="Y53" s="26">
        <f t="shared" si="4"/>
        <v>0</v>
      </c>
      <c r="Z53" s="33" t="s">
        <v>15</v>
      </c>
      <c r="AA53" s="36" t="s">
        <v>16</v>
      </c>
      <c r="AB53" s="181">
        <f t="shared" si="5"/>
        <v>11.98</v>
      </c>
      <c r="AC53" s="181">
        <f t="shared" si="12"/>
        <v>11361.83</v>
      </c>
      <c r="AD53" s="181">
        <v>1.2</v>
      </c>
      <c r="AE53" s="181">
        <v>1.2</v>
      </c>
      <c r="AF53" s="101" t="str">
        <f t="shared" si="6"/>
        <v/>
      </c>
      <c r="AG53" s="190">
        <v>0</v>
      </c>
      <c r="AH53" s="69">
        <f t="shared" si="7"/>
        <v>11.98</v>
      </c>
    </row>
    <row r="54" spans="1:34" s="69" customFormat="1" ht="33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>
        <v>6163.46</v>
      </c>
      <c r="I54" s="75">
        <v>870650.36</v>
      </c>
      <c r="J54" s="91" t="s">
        <v>150</v>
      </c>
      <c r="K54" s="73"/>
      <c r="L54" s="46">
        <v>0</v>
      </c>
      <c r="M54" s="46">
        <v>0</v>
      </c>
      <c r="N54" s="46">
        <v>0</v>
      </c>
      <c r="O54" s="98"/>
      <c r="P54" s="23" t="s">
        <v>1395</v>
      </c>
      <c r="Q54" s="24" t="s">
        <v>149</v>
      </c>
      <c r="R54" s="25" t="s">
        <v>50</v>
      </c>
      <c r="S54" s="26">
        <v>141.26</v>
      </c>
      <c r="T54" s="26"/>
      <c r="U54" s="26">
        <f t="shared" si="10"/>
        <v>6163.46</v>
      </c>
      <c r="V54" s="26">
        <f t="shared" si="8"/>
        <v>0</v>
      </c>
      <c r="W54" s="26">
        <f t="shared" si="3"/>
        <v>0</v>
      </c>
      <c r="X54" s="26">
        <f t="shared" si="11"/>
        <v>0</v>
      </c>
      <c r="Y54" s="26">
        <f t="shared" si="4"/>
        <v>0</v>
      </c>
      <c r="Z54" s="33" t="s">
        <v>15</v>
      </c>
      <c r="AA54" s="36" t="s">
        <v>16</v>
      </c>
      <c r="AB54" s="181">
        <f t="shared" si="5"/>
        <v>141.26</v>
      </c>
      <c r="AC54" s="181">
        <f t="shared" si="12"/>
        <v>870650.36</v>
      </c>
      <c r="AD54" s="181">
        <v>1.2</v>
      </c>
      <c r="AE54" s="181">
        <v>1.2</v>
      </c>
      <c r="AF54" s="101" t="str">
        <f t="shared" si="6"/>
        <v/>
      </c>
      <c r="AG54" s="190">
        <v>0</v>
      </c>
      <c r="AH54" s="69">
        <f t="shared" si="7"/>
        <v>141.26</v>
      </c>
    </row>
    <row r="55" spans="1:34" s="69" customFormat="1" ht="33" x14ac:dyDescent="0.3">
      <c r="A55" s="55" t="s">
        <v>151</v>
      </c>
      <c r="B55" s="53" t="s">
        <v>152</v>
      </c>
      <c r="C55" s="54" t="s">
        <v>81</v>
      </c>
      <c r="D55" s="75">
        <v>1</v>
      </c>
      <c r="E55" s="75"/>
      <c r="F55" s="75"/>
      <c r="G55" s="75"/>
      <c r="H55" s="75">
        <v>169519.61</v>
      </c>
      <c r="I55" s="75">
        <v>169519.61</v>
      </c>
      <c r="J55" s="91" t="s">
        <v>153</v>
      </c>
      <c r="K55" s="73"/>
      <c r="L55" s="46">
        <v>0</v>
      </c>
      <c r="M55" s="46">
        <v>0</v>
      </c>
      <c r="N55" s="46">
        <v>0</v>
      </c>
      <c r="O55" s="98"/>
      <c r="P55" s="23" t="s">
        <v>1432</v>
      </c>
      <c r="Q55" s="24" t="s">
        <v>152</v>
      </c>
      <c r="R55" s="25" t="s">
        <v>81</v>
      </c>
      <c r="S55" s="26">
        <v>1</v>
      </c>
      <c r="T55" s="26"/>
      <c r="U55" s="26">
        <f t="shared" si="10"/>
        <v>169519.61</v>
      </c>
      <c r="V55" s="26">
        <f t="shared" si="8"/>
        <v>0</v>
      </c>
      <c r="W55" s="26">
        <f t="shared" si="3"/>
        <v>0</v>
      </c>
      <c r="X55" s="26">
        <f t="shared" si="11"/>
        <v>0</v>
      </c>
      <c r="Y55" s="26">
        <f t="shared" si="4"/>
        <v>0</v>
      </c>
      <c r="Z55" s="33" t="s">
        <v>15</v>
      </c>
      <c r="AA55" s="36" t="s">
        <v>16</v>
      </c>
      <c r="AB55" s="181">
        <f t="shared" si="5"/>
        <v>1</v>
      </c>
      <c r="AC55" s="181">
        <f t="shared" si="12"/>
        <v>169519.61</v>
      </c>
      <c r="AD55" s="181">
        <v>1.2</v>
      </c>
      <c r="AE55" s="181">
        <v>1.2</v>
      </c>
      <c r="AF55" s="101" t="str">
        <f t="shared" si="6"/>
        <v/>
      </c>
      <c r="AG55" s="190">
        <v>0</v>
      </c>
      <c r="AH55" s="69">
        <f t="shared" si="7"/>
        <v>1</v>
      </c>
    </row>
    <row r="56" spans="1:34" s="69" customFormat="1" ht="33" x14ac:dyDescent="0.3">
      <c r="A56" s="55" t="s">
        <v>154</v>
      </c>
      <c r="B56" s="53" t="s">
        <v>155</v>
      </c>
      <c r="C56" s="54" t="s">
        <v>81</v>
      </c>
      <c r="D56" s="75">
        <v>1</v>
      </c>
      <c r="E56" s="75"/>
      <c r="F56" s="75"/>
      <c r="G56" s="75"/>
      <c r="H56" s="75">
        <v>350211.64</v>
      </c>
      <c r="I56" s="75">
        <v>350211.64</v>
      </c>
      <c r="J56" s="91" t="s">
        <v>156</v>
      </c>
      <c r="K56" s="73"/>
      <c r="L56" s="46">
        <v>0</v>
      </c>
      <c r="M56" s="46">
        <v>0</v>
      </c>
      <c r="N56" s="46">
        <v>0</v>
      </c>
      <c r="O56" s="98"/>
      <c r="P56" s="23" t="s">
        <v>1433</v>
      </c>
      <c r="Q56" s="24" t="s">
        <v>155</v>
      </c>
      <c r="R56" s="25" t="s">
        <v>81</v>
      </c>
      <c r="S56" s="26">
        <v>1</v>
      </c>
      <c r="T56" s="26"/>
      <c r="U56" s="26">
        <f t="shared" si="10"/>
        <v>350211.64</v>
      </c>
      <c r="V56" s="26">
        <f t="shared" si="8"/>
        <v>0</v>
      </c>
      <c r="W56" s="26">
        <f t="shared" si="3"/>
        <v>0</v>
      </c>
      <c r="X56" s="26">
        <f t="shared" si="11"/>
        <v>0</v>
      </c>
      <c r="Y56" s="26">
        <f t="shared" si="4"/>
        <v>0</v>
      </c>
      <c r="Z56" s="33" t="s">
        <v>15</v>
      </c>
      <c r="AA56" s="36" t="s">
        <v>16</v>
      </c>
      <c r="AB56" s="181">
        <f t="shared" si="5"/>
        <v>1</v>
      </c>
      <c r="AC56" s="181">
        <f t="shared" si="12"/>
        <v>350211.64</v>
      </c>
      <c r="AD56" s="181">
        <v>1.2</v>
      </c>
      <c r="AE56" s="181">
        <v>1.2</v>
      </c>
      <c r="AF56" s="101" t="str">
        <f t="shared" si="6"/>
        <v/>
      </c>
      <c r="AG56" s="190">
        <v>0</v>
      </c>
      <c r="AH56" s="69">
        <f t="shared" si="7"/>
        <v>1</v>
      </c>
    </row>
    <row r="57" spans="1:34" s="69" customFormat="1" ht="33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>
        <v>309726.87</v>
      </c>
      <c r="I57" s="75">
        <v>309726.87</v>
      </c>
      <c r="J57" s="91" t="s">
        <v>159</v>
      </c>
      <c r="K57" s="73"/>
      <c r="L57" s="46">
        <v>0</v>
      </c>
      <c r="M57" s="46">
        <v>0</v>
      </c>
      <c r="N57" s="46">
        <v>0</v>
      </c>
      <c r="O57" s="98"/>
      <c r="P57" s="23" t="s">
        <v>1382</v>
      </c>
      <c r="Q57" s="24" t="s">
        <v>158</v>
      </c>
      <c r="R57" s="25" t="s">
        <v>81</v>
      </c>
      <c r="S57" s="26">
        <v>1</v>
      </c>
      <c r="T57" s="26"/>
      <c r="U57" s="26">
        <f t="shared" si="10"/>
        <v>309726.87</v>
      </c>
      <c r="V57" s="26">
        <f t="shared" si="8"/>
        <v>0</v>
      </c>
      <c r="W57" s="26">
        <f t="shared" si="3"/>
        <v>0</v>
      </c>
      <c r="X57" s="26">
        <f t="shared" si="11"/>
        <v>0</v>
      </c>
      <c r="Y57" s="26">
        <f t="shared" si="4"/>
        <v>0</v>
      </c>
      <c r="Z57" s="33" t="s">
        <v>15</v>
      </c>
      <c r="AA57" s="36" t="s">
        <v>16</v>
      </c>
      <c r="AB57" s="181">
        <f t="shared" si="5"/>
        <v>1</v>
      </c>
      <c r="AC57" s="181">
        <f t="shared" si="12"/>
        <v>309726.87</v>
      </c>
      <c r="AD57" s="181">
        <v>1.2</v>
      </c>
      <c r="AE57" s="181">
        <v>1.2</v>
      </c>
      <c r="AF57" s="101" t="str">
        <f t="shared" si="6"/>
        <v/>
      </c>
      <c r="AG57" s="190">
        <v>0</v>
      </c>
      <c r="AH57" s="69">
        <f t="shared" si="7"/>
        <v>1</v>
      </c>
    </row>
    <row r="58" spans="1:34" s="69" customFormat="1" ht="33" x14ac:dyDescent="0.3">
      <c r="A58" s="55" t="s">
        <v>160</v>
      </c>
      <c r="B58" s="53" t="s">
        <v>161</v>
      </c>
      <c r="C58" s="54" t="s">
        <v>162</v>
      </c>
      <c r="D58" s="75">
        <v>19</v>
      </c>
      <c r="E58" s="75"/>
      <c r="F58" s="75"/>
      <c r="G58" s="75"/>
      <c r="H58" s="75">
        <v>1134.56</v>
      </c>
      <c r="I58" s="75">
        <v>21556.639999999999</v>
      </c>
      <c r="J58" s="91" t="s">
        <v>163</v>
      </c>
      <c r="K58" s="73"/>
      <c r="L58" s="46">
        <v>0</v>
      </c>
      <c r="M58" s="46">
        <v>0</v>
      </c>
      <c r="N58" s="46">
        <v>0</v>
      </c>
      <c r="O58" s="98"/>
      <c r="P58" s="23" t="s">
        <v>1434</v>
      </c>
      <c r="Q58" s="24" t="s">
        <v>161</v>
      </c>
      <c r="R58" s="25" t="s">
        <v>162</v>
      </c>
      <c r="S58" s="26">
        <v>19</v>
      </c>
      <c r="T58" s="26"/>
      <c r="U58" s="26">
        <f t="shared" si="10"/>
        <v>1134.56</v>
      </c>
      <c r="V58" s="26">
        <f t="shared" si="8"/>
        <v>0</v>
      </c>
      <c r="W58" s="26">
        <f t="shared" si="3"/>
        <v>0</v>
      </c>
      <c r="X58" s="26">
        <f t="shared" si="11"/>
        <v>0</v>
      </c>
      <c r="Y58" s="26">
        <f t="shared" si="4"/>
        <v>0</v>
      </c>
      <c r="Z58" s="33" t="s">
        <v>15</v>
      </c>
      <c r="AA58" s="36" t="s">
        <v>16</v>
      </c>
      <c r="AB58" s="181">
        <f t="shared" si="5"/>
        <v>19</v>
      </c>
      <c r="AC58" s="181">
        <f t="shared" si="12"/>
        <v>21556.639999999999</v>
      </c>
      <c r="AD58" s="181">
        <v>1.2</v>
      </c>
      <c r="AE58" s="181">
        <v>1.2</v>
      </c>
      <c r="AF58" s="101" t="str">
        <f t="shared" si="6"/>
        <v/>
      </c>
      <c r="AG58" s="190">
        <v>0</v>
      </c>
      <c r="AH58" s="69">
        <f t="shared" si="7"/>
        <v>19</v>
      </c>
    </row>
    <row r="59" spans="1:34" s="69" customFormat="1" ht="39" x14ac:dyDescent="0.3">
      <c r="A59" s="55" t="s">
        <v>164</v>
      </c>
      <c r="B59" s="118" t="s">
        <v>165</v>
      </c>
      <c r="C59" s="54" t="s">
        <v>103</v>
      </c>
      <c r="D59" s="75">
        <v>179.11</v>
      </c>
      <c r="E59" s="75"/>
      <c r="F59" s="75"/>
      <c r="G59" s="75"/>
      <c r="H59" s="120">
        <v>145.21</v>
      </c>
      <c r="I59" s="75">
        <v>26008.560000000001</v>
      </c>
      <c r="J59" s="91" t="s">
        <v>166</v>
      </c>
      <c r="K59" s="73"/>
      <c r="L59" s="46">
        <v>0</v>
      </c>
      <c r="M59" s="46">
        <v>0</v>
      </c>
      <c r="N59" s="46">
        <v>0</v>
      </c>
      <c r="O59" s="98"/>
      <c r="P59" s="23" t="s">
        <v>1388</v>
      </c>
      <c r="Q59" s="24" t="s">
        <v>165</v>
      </c>
      <c r="R59" s="25" t="s">
        <v>103</v>
      </c>
      <c r="S59" s="26">
        <v>179.11</v>
      </c>
      <c r="T59" s="26"/>
      <c r="U59" s="26">
        <f t="shared" si="10"/>
        <v>145.21</v>
      </c>
      <c r="V59" s="26">
        <f t="shared" si="8"/>
        <v>0</v>
      </c>
      <c r="W59" s="26">
        <f t="shared" si="3"/>
        <v>0</v>
      </c>
      <c r="X59" s="26">
        <f t="shared" si="11"/>
        <v>0</v>
      </c>
      <c r="Y59" s="26">
        <f t="shared" si="4"/>
        <v>0</v>
      </c>
      <c r="Z59" s="33" t="s">
        <v>15</v>
      </c>
      <c r="AA59" s="36" t="s">
        <v>16</v>
      </c>
      <c r="AB59" s="181">
        <f t="shared" si="5"/>
        <v>179.11</v>
      </c>
      <c r="AC59" s="181">
        <f t="shared" si="12"/>
        <v>26008.560000000001</v>
      </c>
      <c r="AD59" s="181">
        <v>1.2</v>
      </c>
      <c r="AE59" s="181">
        <v>1.2</v>
      </c>
      <c r="AF59" s="101" t="str">
        <f t="shared" si="6"/>
        <v/>
      </c>
      <c r="AG59" s="190">
        <v>0</v>
      </c>
      <c r="AH59" s="69">
        <f t="shared" si="7"/>
        <v>179.11</v>
      </c>
    </row>
    <row r="60" spans="1:34" s="69" customFormat="1" ht="33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>
        <v>2755.97</v>
      </c>
      <c r="I60" s="75">
        <v>2176665.11</v>
      </c>
      <c r="J60" s="91" t="s">
        <v>169</v>
      </c>
      <c r="K60" s="73"/>
      <c r="L60" s="46">
        <v>0</v>
      </c>
      <c r="M60" s="46">
        <v>0</v>
      </c>
      <c r="N60" s="46">
        <v>0</v>
      </c>
      <c r="O60" s="98"/>
      <c r="P60" s="23" t="s">
        <v>1389</v>
      </c>
      <c r="Q60" s="24" t="s">
        <v>168</v>
      </c>
      <c r="R60" s="25" t="s">
        <v>30</v>
      </c>
      <c r="S60" s="26">
        <v>789.8</v>
      </c>
      <c r="T60" s="26"/>
      <c r="U60" s="26">
        <f t="shared" si="10"/>
        <v>2755.97</v>
      </c>
      <c r="V60" s="26">
        <f t="shared" si="8"/>
        <v>0</v>
      </c>
      <c r="W60" s="26">
        <f t="shared" si="3"/>
        <v>0</v>
      </c>
      <c r="X60" s="26">
        <f t="shared" si="11"/>
        <v>0</v>
      </c>
      <c r="Y60" s="26">
        <f t="shared" si="4"/>
        <v>0</v>
      </c>
      <c r="Z60" s="33" t="s">
        <v>15</v>
      </c>
      <c r="AA60" s="36" t="s">
        <v>16</v>
      </c>
      <c r="AB60" s="181">
        <f t="shared" si="5"/>
        <v>789.8</v>
      </c>
      <c r="AC60" s="181">
        <f t="shared" si="12"/>
        <v>2176665.11</v>
      </c>
      <c r="AD60" s="181">
        <v>1.2</v>
      </c>
      <c r="AE60" s="181">
        <v>1.2</v>
      </c>
      <c r="AF60" s="101" t="str">
        <f t="shared" si="6"/>
        <v/>
      </c>
      <c r="AG60" s="190">
        <v>0</v>
      </c>
      <c r="AH60" s="69">
        <f t="shared" si="7"/>
        <v>789.8</v>
      </c>
    </row>
    <row r="61" spans="1:34" s="69" customFormat="1" ht="33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>
        <v>576.79999999999995</v>
      </c>
      <c r="I61" s="75">
        <v>18053.84</v>
      </c>
      <c r="J61" s="91" t="s">
        <v>172</v>
      </c>
      <c r="K61" s="73"/>
      <c r="L61" s="46">
        <v>0</v>
      </c>
      <c r="M61" s="46">
        <v>0</v>
      </c>
      <c r="N61" s="46">
        <v>0</v>
      </c>
      <c r="O61" s="98"/>
      <c r="P61" s="23" t="s">
        <v>1390</v>
      </c>
      <c r="Q61" s="24" t="s">
        <v>171</v>
      </c>
      <c r="R61" s="25" t="s">
        <v>30</v>
      </c>
      <c r="S61" s="26">
        <v>31.3</v>
      </c>
      <c r="T61" s="26"/>
      <c r="U61" s="26">
        <f t="shared" si="10"/>
        <v>576.79999999999995</v>
      </c>
      <c r="V61" s="26">
        <f t="shared" si="8"/>
        <v>0</v>
      </c>
      <c r="W61" s="26">
        <f t="shared" si="3"/>
        <v>0</v>
      </c>
      <c r="X61" s="26">
        <f t="shared" si="11"/>
        <v>0</v>
      </c>
      <c r="Y61" s="26">
        <f t="shared" si="4"/>
        <v>0</v>
      </c>
      <c r="Z61" s="33" t="s">
        <v>15</v>
      </c>
      <c r="AA61" s="36" t="s">
        <v>16</v>
      </c>
      <c r="AB61" s="181">
        <f t="shared" si="5"/>
        <v>31.3</v>
      </c>
      <c r="AC61" s="181">
        <f t="shared" si="12"/>
        <v>18053.84</v>
      </c>
      <c r="AD61" s="181">
        <v>1.2</v>
      </c>
      <c r="AE61" s="181">
        <v>1.2</v>
      </c>
      <c r="AF61" s="101" t="str">
        <f t="shared" si="6"/>
        <v/>
      </c>
      <c r="AG61" s="190">
        <v>0</v>
      </c>
      <c r="AH61" s="69">
        <f t="shared" si="7"/>
        <v>31.3</v>
      </c>
    </row>
    <row r="62" spans="1:34" s="69" customFormat="1" ht="33" x14ac:dyDescent="0.3">
      <c r="A62" s="55" t="s">
        <v>173</v>
      </c>
      <c r="B62" s="215" t="s">
        <v>174</v>
      </c>
      <c r="C62" s="54" t="s">
        <v>30</v>
      </c>
      <c r="D62" s="75">
        <v>360.35</v>
      </c>
      <c r="E62" s="75"/>
      <c r="F62" s="75"/>
      <c r="G62" s="75"/>
      <c r="H62" s="75">
        <v>615.34</v>
      </c>
      <c r="I62" s="75">
        <v>221737.77</v>
      </c>
      <c r="J62" s="91" t="s">
        <v>175</v>
      </c>
      <c r="K62" s="73"/>
      <c r="L62" s="46">
        <v>102</v>
      </c>
      <c r="M62" s="46">
        <v>62764.68</v>
      </c>
      <c r="N62" s="46">
        <v>62764.68</v>
      </c>
      <c r="O62" s="98"/>
      <c r="P62" s="23" t="s">
        <v>1391</v>
      </c>
      <c r="Q62" s="24" t="s">
        <v>174</v>
      </c>
      <c r="R62" s="25" t="s">
        <v>30</v>
      </c>
      <c r="S62" s="26">
        <v>360.35</v>
      </c>
      <c r="T62" s="26"/>
      <c r="U62" s="26">
        <f t="shared" si="10"/>
        <v>615.34</v>
      </c>
      <c r="V62" s="128">
        <f t="shared" si="8"/>
        <v>0</v>
      </c>
      <c r="W62" s="26">
        <f t="shared" si="3"/>
        <v>102</v>
      </c>
      <c r="X62" s="26">
        <f t="shared" si="11"/>
        <v>0</v>
      </c>
      <c r="Y62" s="26">
        <f t="shared" si="4"/>
        <v>62764.68</v>
      </c>
      <c r="Z62" s="33" t="s">
        <v>15</v>
      </c>
      <c r="AA62" s="36" t="s">
        <v>16</v>
      </c>
      <c r="AB62" s="181">
        <f t="shared" si="5"/>
        <v>360.35</v>
      </c>
      <c r="AC62" s="181">
        <f t="shared" si="12"/>
        <v>221737.77</v>
      </c>
      <c r="AD62" s="181">
        <v>1.2</v>
      </c>
      <c r="AE62" s="181">
        <v>1.2</v>
      </c>
      <c r="AF62" s="101" t="str">
        <f t="shared" si="6"/>
        <v/>
      </c>
      <c r="AG62" s="191">
        <f>102</f>
        <v>102</v>
      </c>
      <c r="AH62" s="69">
        <f t="shared" si="7"/>
        <v>360.35</v>
      </c>
    </row>
    <row r="63" spans="1:34" s="69" customFormat="1" ht="33" x14ac:dyDescent="0.3">
      <c r="A63" s="55" t="s">
        <v>176</v>
      </c>
      <c r="B63" s="215" t="s">
        <v>177</v>
      </c>
      <c r="C63" s="54" t="s">
        <v>30</v>
      </c>
      <c r="D63" s="75">
        <v>691.14</v>
      </c>
      <c r="E63" s="75"/>
      <c r="F63" s="75"/>
      <c r="G63" s="75"/>
      <c r="H63" s="75">
        <v>685.3</v>
      </c>
      <c r="I63" s="75">
        <v>473638.24</v>
      </c>
      <c r="J63" s="91" t="s">
        <v>178</v>
      </c>
      <c r="K63" s="73"/>
      <c r="L63" s="46">
        <v>261</v>
      </c>
      <c r="M63" s="46">
        <v>52082.799999999988</v>
      </c>
      <c r="N63" s="46">
        <v>178863.3</v>
      </c>
      <c r="O63" s="98"/>
      <c r="P63" s="23" t="s">
        <v>1436</v>
      </c>
      <c r="Q63" s="24" t="s">
        <v>177</v>
      </c>
      <c r="R63" s="25" t="s">
        <v>30</v>
      </c>
      <c r="S63" s="26">
        <v>691.14</v>
      </c>
      <c r="T63" s="26"/>
      <c r="U63" s="26">
        <f t="shared" si="10"/>
        <v>685.3</v>
      </c>
      <c r="V63" s="128">
        <f t="shared" si="8"/>
        <v>0</v>
      </c>
      <c r="W63" s="26">
        <f t="shared" si="3"/>
        <v>261</v>
      </c>
      <c r="X63" s="26">
        <f t="shared" si="11"/>
        <v>0</v>
      </c>
      <c r="Y63" s="26">
        <f t="shared" si="4"/>
        <v>178863.3</v>
      </c>
      <c r="Z63" s="33" t="s">
        <v>15</v>
      </c>
      <c r="AA63" s="36" t="s">
        <v>16</v>
      </c>
      <c r="AB63" s="181">
        <f t="shared" si="5"/>
        <v>691.14</v>
      </c>
      <c r="AC63" s="181">
        <f t="shared" si="12"/>
        <v>473638.24</v>
      </c>
      <c r="AD63" s="181">
        <v>1.2</v>
      </c>
      <c r="AE63" s="181">
        <v>1.2</v>
      </c>
      <c r="AF63" s="101" t="str">
        <f t="shared" si="6"/>
        <v/>
      </c>
      <c r="AG63" s="191">
        <f>185+76</f>
        <v>261</v>
      </c>
      <c r="AH63" s="69">
        <f t="shared" si="7"/>
        <v>691.14</v>
      </c>
    </row>
    <row r="64" spans="1:34" s="69" customFormat="1" ht="33" x14ac:dyDescent="0.3">
      <c r="A64" s="55" t="s">
        <v>179</v>
      </c>
      <c r="B64" s="215" t="s">
        <v>180</v>
      </c>
      <c r="C64" s="54" t="s">
        <v>30</v>
      </c>
      <c r="D64" s="75">
        <v>890.62</v>
      </c>
      <c r="E64" s="75"/>
      <c r="F64" s="75"/>
      <c r="G64" s="75"/>
      <c r="H64" s="75">
        <v>699.72</v>
      </c>
      <c r="I64" s="75">
        <v>623184.63</v>
      </c>
      <c r="J64" s="91" t="s">
        <v>181</v>
      </c>
      <c r="K64" s="73"/>
      <c r="L64" s="46">
        <v>169</v>
      </c>
      <c r="M64" s="46">
        <v>95861.639999999985</v>
      </c>
      <c r="N64" s="46">
        <v>118252.68</v>
      </c>
      <c r="O64" s="98"/>
      <c r="P64" s="23" t="s">
        <v>1374</v>
      </c>
      <c r="Q64" s="24" t="s">
        <v>180</v>
      </c>
      <c r="R64" s="25" t="s">
        <v>30</v>
      </c>
      <c r="S64" s="26">
        <v>890.62</v>
      </c>
      <c r="T64" s="26"/>
      <c r="U64" s="26">
        <f t="shared" si="10"/>
        <v>699.72</v>
      </c>
      <c r="V64" s="128">
        <f t="shared" si="8"/>
        <v>108</v>
      </c>
      <c r="W64" s="26">
        <f t="shared" si="3"/>
        <v>277</v>
      </c>
      <c r="X64" s="26">
        <f t="shared" si="11"/>
        <v>75569.760000000009</v>
      </c>
      <c r="Y64" s="26">
        <f t="shared" si="4"/>
        <v>193822.44</v>
      </c>
      <c r="Z64" s="33" t="s">
        <v>15</v>
      </c>
      <c r="AA64" s="36" t="s">
        <v>16</v>
      </c>
      <c r="AB64" s="181">
        <f t="shared" si="5"/>
        <v>890.62</v>
      </c>
      <c r="AC64" s="181">
        <f t="shared" si="12"/>
        <v>623184.63</v>
      </c>
      <c r="AD64" s="181">
        <v>1.2</v>
      </c>
      <c r="AE64" s="181">
        <v>1.2</v>
      </c>
      <c r="AF64" s="101" t="str">
        <f t="shared" si="6"/>
        <v/>
      </c>
      <c r="AG64" s="191">
        <f>32+137+108</f>
        <v>277</v>
      </c>
      <c r="AH64" s="69">
        <f t="shared" si="7"/>
        <v>890.62</v>
      </c>
    </row>
    <row r="65" spans="1:34" s="69" customFormat="1" ht="33" x14ac:dyDescent="0.3">
      <c r="A65" s="55" t="s">
        <v>182</v>
      </c>
      <c r="B65" s="53" t="s">
        <v>183</v>
      </c>
      <c r="C65" s="54" t="s">
        <v>30</v>
      </c>
      <c r="D65" s="75">
        <v>85.77</v>
      </c>
      <c r="E65" s="75"/>
      <c r="F65" s="75"/>
      <c r="G65" s="75"/>
      <c r="H65" s="75">
        <v>1199.33</v>
      </c>
      <c r="I65" s="75">
        <v>102866.53</v>
      </c>
      <c r="J65" s="91" t="s">
        <v>184</v>
      </c>
      <c r="K65" s="73"/>
      <c r="L65" s="46">
        <v>0</v>
      </c>
      <c r="M65" s="46">
        <v>0</v>
      </c>
      <c r="N65" s="46">
        <v>0</v>
      </c>
      <c r="O65" s="98"/>
      <c r="P65" s="23" t="s">
        <v>1376</v>
      </c>
      <c r="Q65" s="24" t="s">
        <v>183</v>
      </c>
      <c r="R65" s="25" t="s">
        <v>30</v>
      </c>
      <c r="S65" s="26">
        <v>85.77</v>
      </c>
      <c r="T65" s="26"/>
      <c r="U65" s="26">
        <f t="shared" si="10"/>
        <v>1199.33</v>
      </c>
      <c r="V65" s="26">
        <f t="shared" si="8"/>
        <v>0</v>
      </c>
      <c r="W65" s="26">
        <f t="shared" si="3"/>
        <v>0</v>
      </c>
      <c r="X65" s="26">
        <f t="shared" si="11"/>
        <v>0</v>
      </c>
      <c r="Y65" s="26">
        <f t="shared" si="4"/>
        <v>0</v>
      </c>
      <c r="Z65" s="33" t="s">
        <v>15</v>
      </c>
      <c r="AA65" s="36" t="s">
        <v>16</v>
      </c>
      <c r="AB65" s="181">
        <f t="shared" si="5"/>
        <v>85.77</v>
      </c>
      <c r="AC65" s="181">
        <f t="shared" si="12"/>
        <v>102866.53</v>
      </c>
      <c r="AD65" s="181">
        <v>1.2</v>
      </c>
      <c r="AE65" s="181">
        <v>1.2</v>
      </c>
      <c r="AF65" s="101" t="str">
        <f t="shared" si="6"/>
        <v/>
      </c>
      <c r="AG65" s="190">
        <v>0</v>
      </c>
      <c r="AH65" s="69">
        <f t="shared" si="7"/>
        <v>85.77</v>
      </c>
    </row>
    <row r="66" spans="1:34" s="69" customFormat="1" ht="33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>
        <v>57.68</v>
      </c>
      <c r="I66" s="75">
        <v>10833.46</v>
      </c>
      <c r="J66" s="91" t="s">
        <v>187</v>
      </c>
      <c r="K66" s="73"/>
      <c r="L66" s="46">
        <v>0</v>
      </c>
      <c r="M66" s="46">
        <v>0</v>
      </c>
      <c r="N66" s="46">
        <v>0</v>
      </c>
      <c r="O66" s="98"/>
      <c r="P66" s="23" t="s">
        <v>1378</v>
      </c>
      <c r="Q66" s="24" t="s">
        <v>186</v>
      </c>
      <c r="R66" s="25" t="s">
        <v>30</v>
      </c>
      <c r="S66" s="26">
        <v>187.82</v>
      </c>
      <c r="T66" s="26"/>
      <c r="U66" s="26">
        <f t="shared" si="10"/>
        <v>57.68</v>
      </c>
      <c r="V66" s="26">
        <f t="shared" si="8"/>
        <v>0</v>
      </c>
      <c r="W66" s="26">
        <f t="shared" si="3"/>
        <v>0</v>
      </c>
      <c r="X66" s="26">
        <f t="shared" si="11"/>
        <v>0</v>
      </c>
      <c r="Y66" s="26">
        <f t="shared" si="4"/>
        <v>0</v>
      </c>
      <c r="Z66" s="33" t="s">
        <v>15</v>
      </c>
      <c r="AA66" s="36" t="s">
        <v>16</v>
      </c>
      <c r="AB66" s="181">
        <f t="shared" si="5"/>
        <v>187.82</v>
      </c>
      <c r="AC66" s="181">
        <f t="shared" si="12"/>
        <v>10833.46</v>
      </c>
      <c r="AD66" s="181">
        <v>1.2</v>
      </c>
      <c r="AE66" s="181">
        <v>1.2</v>
      </c>
      <c r="AF66" s="101" t="str">
        <f t="shared" si="6"/>
        <v/>
      </c>
      <c r="AG66" s="190">
        <v>0</v>
      </c>
      <c r="AH66" s="69">
        <f t="shared" si="7"/>
        <v>187.82</v>
      </c>
    </row>
    <row r="67" spans="1:34" s="69" customFormat="1" ht="33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>
        <v>138.84</v>
      </c>
      <c r="I67" s="75">
        <v>2611.58</v>
      </c>
      <c r="J67" s="91" t="s">
        <v>190</v>
      </c>
      <c r="K67" s="73"/>
      <c r="L67" s="46">
        <v>0</v>
      </c>
      <c r="M67" s="46">
        <v>0</v>
      </c>
      <c r="N67" s="46">
        <v>0</v>
      </c>
      <c r="O67" s="98"/>
      <c r="P67" s="23" t="s">
        <v>1438</v>
      </c>
      <c r="Q67" s="24" t="s">
        <v>189</v>
      </c>
      <c r="R67" s="25" t="s">
        <v>30</v>
      </c>
      <c r="S67" s="26">
        <v>18.809999999999999</v>
      </c>
      <c r="T67" s="26"/>
      <c r="U67" s="26">
        <f t="shared" si="10"/>
        <v>138.84</v>
      </c>
      <c r="V67" s="26">
        <f t="shared" si="8"/>
        <v>0</v>
      </c>
      <c r="W67" s="26">
        <f t="shared" si="3"/>
        <v>0</v>
      </c>
      <c r="X67" s="26">
        <f t="shared" si="11"/>
        <v>0</v>
      </c>
      <c r="Y67" s="26">
        <f t="shared" si="4"/>
        <v>0</v>
      </c>
      <c r="Z67" s="33" t="s">
        <v>15</v>
      </c>
      <c r="AA67" s="36" t="s">
        <v>16</v>
      </c>
      <c r="AB67" s="181">
        <f t="shared" si="5"/>
        <v>18.809999999999999</v>
      </c>
      <c r="AC67" s="181">
        <f t="shared" si="12"/>
        <v>2611.58</v>
      </c>
      <c r="AD67" s="181">
        <v>1.2</v>
      </c>
      <c r="AE67" s="181">
        <v>1.2</v>
      </c>
      <c r="AF67" s="101" t="str">
        <f t="shared" si="6"/>
        <v/>
      </c>
      <c r="AG67" s="190">
        <v>0</v>
      </c>
      <c r="AH67" s="69">
        <f t="shared" si="7"/>
        <v>18.809999999999999</v>
      </c>
    </row>
    <row r="68" spans="1:34" s="69" customFormat="1" ht="33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>
        <v>2145.42</v>
      </c>
      <c r="I68" s="75">
        <v>43938.2</v>
      </c>
      <c r="J68" s="91" t="s">
        <v>193</v>
      </c>
      <c r="K68" s="73"/>
      <c r="L68" s="46">
        <v>0</v>
      </c>
      <c r="M68" s="46">
        <v>0</v>
      </c>
      <c r="N68" s="46">
        <v>0</v>
      </c>
      <c r="O68" s="98"/>
      <c r="P68" s="23" t="s">
        <v>1439</v>
      </c>
      <c r="Q68" s="24" t="s">
        <v>192</v>
      </c>
      <c r="R68" s="25" t="s">
        <v>50</v>
      </c>
      <c r="S68" s="26">
        <v>20.48</v>
      </c>
      <c r="T68" s="26"/>
      <c r="U68" s="26">
        <f t="shared" si="10"/>
        <v>2145.42</v>
      </c>
      <c r="V68" s="26">
        <f t="shared" si="8"/>
        <v>0</v>
      </c>
      <c r="W68" s="26">
        <f t="shared" si="3"/>
        <v>0</v>
      </c>
      <c r="X68" s="26">
        <f t="shared" si="11"/>
        <v>0</v>
      </c>
      <c r="Y68" s="26">
        <f t="shared" si="4"/>
        <v>0</v>
      </c>
      <c r="Z68" s="33" t="s">
        <v>15</v>
      </c>
      <c r="AA68" s="36" t="s">
        <v>16</v>
      </c>
      <c r="AB68" s="181">
        <f t="shared" si="5"/>
        <v>20.48</v>
      </c>
      <c r="AC68" s="181">
        <f t="shared" si="12"/>
        <v>43938.2</v>
      </c>
      <c r="AD68" s="181">
        <v>1.2</v>
      </c>
      <c r="AE68" s="181">
        <v>1.2</v>
      </c>
      <c r="AF68" s="101" t="str">
        <f t="shared" si="6"/>
        <v/>
      </c>
      <c r="AG68" s="190">
        <v>0</v>
      </c>
      <c r="AH68" s="69">
        <f t="shared" si="7"/>
        <v>20.48</v>
      </c>
    </row>
    <row r="69" spans="1:34" s="69" customFormat="1" ht="33" x14ac:dyDescent="0.3">
      <c r="A69" s="55" t="s">
        <v>194</v>
      </c>
      <c r="B69" s="53" t="s">
        <v>195</v>
      </c>
      <c r="C69" s="54" t="s">
        <v>30</v>
      </c>
      <c r="D69" s="75">
        <v>354.7</v>
      </c>
      <c r="E69" s="75"/>
      <c r="F69" s="75"/>
      <c r="G69" s="75"/>
      <c r="H69" s="75">
        <v>511.4</v>
      </c>
      <c r="I69" s="75">
        <v>181393.58</v>
      </c>
      <c r="J69" s="91" t="s">
        <v>196</v>
      </c>
      <c r="K69" s="73"/>
      <c r="L69" s="46">
        <v>0</v>
      </c>
      <c r="M69" s="46">
        <v>0</v>
      </c>
      <c r="N69" s="46">
        <v>0</v>
      </c>
      <c r="O69" s="98"/>
      <c r="P69" s="23" t="s">
        <v>1440</v>
      </c>
      <c r="Q69" s="24" t="s">
        <v>195</v>
      </c>
      <c r="R69" s="25" t="s">
        <v>30</v>
      </c>
      <c r="S69" s="26">
        <v>354.7</v>
      </c>
      <c r="T69" s="26"/>
      <c r="U69" s="26">
        <f t="shared" si="10"/>
        <v>511.4</v>
      </c>
      <c r="V69" s="26">
        <f t="shared" si="8"/>
        <v>0</v>
      </c>
      <c r="W69" s="26">
        <f t="shared" si="3"/>
        <v>0</v>
      </c>
      <c r="X69" s="26">
        <f t="shared" si="11"/>
        <v>0</v>
      </c>
      <c r="Y69" s="26">
        <f t="shared" si="4"/>
        <v>0</v>
      </c>
      <c r="Z69" s="33" t="s">
        <v>15</v>
      </c>
      <c r="AA69" s="36" t="s">
        <v>16</v>
      </c>
      <c r="AB69" s="181">
        <f t="shared" si="5"/>
        <v>354.7</v>
      </c>
      <c r="AC69" s="181">
        <f t="shared" si="12"/>
        <v>181393.58</v>
      </c>
      <c r="AD69" s="181">
        <v>1.2</v>
      </c>
      <c r="AE69" s="181">
        <v>1.2</v>
      </c>
      <c r="AF69" s="101" t="str">
        <f t="shared" si="6"/>
        <v/>
      </c>
      <c r="AG69" s="190">
        <v>0</v>
      </c>
      <c r="AH69" s="69">
        <f t="shared" si="7"/>
        <v>354.7</v>
      </c>
    </row>
    <row r="70" spans="1:34" s="69" customFormat="1" ht="33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>
        <v>578.86</v>
      </c>
      <c r="I70" s="75">
        <v>25875.040000000001</v>
      </c>
      <c r="J70" s="91" t="s">
        <v>199</v>
      </c>
      <c r="K70" s="73"/>
      <c r="L70" s="46">
        <v>0</v>
      </c>
      <c r="M70" s="46">
        <v>0</v>
      </c>
      <c r="N70" s="46">
        <v>0</v>
      </c>
      <c r="O70" s="98"/>
      <c r="P70" s="23" t="s">
        <v>1441</v>
      </c>
      <c r="Q70" s="24" t="s">
        <v>198</v>
      </c>
      <c r="R70" s="25" t="s">
        <v>30</v>
      </c>
      <c r="S70" s="26">
        <v>44.7</v>
      </c>
      <c r="T70" s="26"/>
      <c r="U70" s="26">
        <f t="shared" si="10"/>
        <v>578.86</v>
      </c>
      <c r="V70" s="26">
        <f t="shared" si="8"/>
        <v>0</v>
      </c>
      <c r="W70" s="26">
        <f t="shared" si="3"/>
        <v>0</v>
      </c>
      <c r="X70" s="26">
        <f t="shared" si="11"/>
        <v>0</v>
      </c>
      <c r="Y70" s="26">
        <f t="shared" si="4"/>
        <v>0</v>
      </c>
      <c r="Z70" s="33" t="s">
        <v>15</v>
      </c>
      <c r="AA70" s="36" t="s">
        <v>16</v>
      </c>
      <c r="AB70" s="181">
        <f t="shared" si="5"/>
        <v>44.7</v>
      </c>
      <c r="AC70" s="181">
        <f t="shared" si="12"/>
        <v>25875.040000000001</v>
      </c>
      <c r="AD70" s="181">
        <v>1.2</v>
      </c>
      <c r="AE70" s="181">
        <v>1.2</v>
      </c>
      <c r="AF70" s="101" t="str">
        <f t="shared" si="6"/>
        <v/>
      </c>
      <c r="AG70" s="190">
        <v>0</v>
      </c>
      <c r="AH70" s="69">
        <f t="shared" si="7"/>
        <v>44.7</v>
      </c>
    </row>
    <row r="71" spans="1:34" s="69" customFormat="1" ht="33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>
        <v>723.06</v>
      </c>
      <c r="I71" s="75">
        <v>22414.86</v>
      </c>
      <c r="J71" s="91" t="s">
        <v>202</v>
      </c>
      <c r="K71" s="73"/>
      <c r="L71" s="46">
        <v>0</v>
      </c>
      <c r="M71" s="46">
        <v>0</v>
      </c>
      <c r="N71" s="46">
        <v>0</v>
      </c>
      <c r="O71" s="98"/>
      <c r="P71" s="23" t="s">
        <v>1442</v>
      </c>
      <c r="Q71" s="24" t="s">
        <v>201</v>
      </c>
      <c r="R71" s="25" t="s">
        <v>30</v>
      </c>
      <c r="S71" s="26">
        <v>31</v>
      </c>
      <c r="T71" s="26"/>
      <c r="U71" s="26">
        <f t="shared" si="10"/>
        <v>723.06</v>
      </c>
      <c r="V71" s="26">
        <f t="shared" si="8"/>
        <v>0</v>
      </c>
      <c r="W71" s="26">
        <f t="shared" si="3"/>
        <v>0</v>
      </c>
      <c r="X71" s="26">
        <f t="shared" si="11"/>
        <v>0</v>
      </c>
      <c r="Y71" s="26">
        <f t="shared" si="4"/>
        <v>0</v>
      </c>
      <c r="Z71" s="33" t="s">
        <v>15</v>
      </c>
      <c r="AA71" s="36" t="s">
        <v>16</v>
      </c>
      <c r="AB71" s="181">
        <f t="shared" si="5"/>
        <v>31</v>
      </c>
      <c r="AC71" s="181">
        <f t="shared" si="12"/>
        <v>22414.86</v>
      </c>
      <c r="AD71" s="181">
        <v>1.2</v>
      </c>
      <c r="AE71" s="181">
        <v>1.2</v>
      </c>
      <c r="AF71" s="101" t="str">
        <f t="shared" si="6"/>
        <v/>
      </c>
      <c r="AG71" s="190">
        <v>0</v>
      </c>
      <c r="AH71" s="69">
        <f t="shared" si="7"/>
        <v>31</v>
      </c>
    </row>
    <row r="72" spans="1:34" s="69" customFormat="1" ht="33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>
        <v>829.15</v>
      </c>
      <c r="I72" s="75">
        <v>15007.62</v>
      </c>
      <c r="J72" s="91" t="s">
        <v>205</v>
      </c>
      <c r="K72" s="73"/>
      <c r="L72" s="46">
        <v>0</v>
      </c>
      <c r="M72" s="46">
        <v>0</v>
      </c>
      <c r="N72" s="46">
        <v>0</v>
      </c>
      <c r="O72" s="98"/>
      <c r="P72" s="23" t="s">
        <v>1443</v>
      </c>
      <c r="Q72" s="24" t="s">
        <v>204</v>
      </c>
      <c r="R72" s="25" t="s">
        <v>30</v>
      </c>
      <c r="S72" s="26">
        <v>18.100000000000001</v>
      </c>
      <c r="T72" s="26"/>
      <c r="U72" s="26">
        <f t="shared" si="10"/>
        <v>829.15</v>
      </c>
      <c r="V72" s="26">
        <f t="shared" si="8"/>
        <v>0</v>
      </c>
      <c r="W72" s="26">
        <f t="shared" si="3"/>
        <v>0</v>
      </c>
      <c r="X72" s="26">
        <f t="shared" si="11"/>
        <v>0</v>
      </c>
      <c r="Y72" s="26">
        <f t="shared" si="4"/>
        <v>0</v>
      </c>
      <c r="Z72" s="33" t="s">
        <v>15</v>
      </c>
      <c r="AA72" s="36" t="s">
        <v>16</v>
      </c>
      <c r="AB72" s="181">
        <f t="shared" si="5"/>
        <v>18.100000000000001</v>
      </c>
      <c r="AC72" s="181">
        <f t="shared" si="12"/>
        <v>15007.62</v>
      </c>
      <c r="AD72" s="181">
        <v>1.2</v>
      </c>
      <c r="AE72" s="181">
        <v>1.2</v>
      </c>
      <c r="AF72" s="101" t="str">
        <f t="shared" si="6"/>
        <v/>
      </c>
      <c r="AG72" s="190">
        <v>0</v>
      </c>
      <c r="AH72" s="69">
        <f t="shared" si="7"/>
        <v>18.100000000000001</v>
      </c>
    </row>
    <row r="73" spans="1:34" s="69" customFormat="1" ht="33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>
        <v>443.93</v>
      </c>
      <c r="I73" s="75">
        <v>80084.97</v>
      </c>
      <c r="J73" s="91" t="s">
        <v>208</v>
      </c>
      <c r="K73" s="73"/>
      <c r="L73" s="46">
        <v>0</v>
      </c>
      <c r="M73" s="46">
        <v>0</v>
      </c>
      <c r="N73" s="46">
        <v>0</v>
      </c>
      <c r="O73" s="98"/>
      <c r="P73" s="23" t="s">
        <v>1444</v>
      </c>
      <c r="Q73" s="24" t="s">
        <v>207</v>
      </c>
      <c r="R73" s="25" t="s">
        <v>30</v>
      </c>
      <c r="S73" s="26">
        <v>180.4</v>
      </c>
      <c r="T73" s="26"/>
      <c r="U73" s="26">
        <f t="shared" si="10"/>
        <v>443.93</v>
      </c>
      <c r="V73" s="26">
        <f t="shared" si="8"/>
        <v>0</v>
      </c>
      <c r="W73" s="26">
        <f t="shared" si="3"/>
        <v>0</v>
      </c>
      <c r="X73" s="26">
        <f t="shared" si="11"/>
        <v>0</v>
      </c>
      <c r="Y73" s="26">
        <f t="shared" si="4"/>
        <v>0</v>
      </c>
      <c r="Z73" s="33" t="s">
        <v>15</v>
      </c>
      <c r="AA73" s="36" t="s">
        <v>16</v>
      </c>
      <c r="AB73" s="181">
        <f t="shared" si="5"/>
        <v>180.4</v>
      </c>
      <c r="AC73" s="181">
        <f t="shared" si="12"/>
        <v>80084.97</v>
      </c>
      <c r="AD73" s="181">
        <v>1.2</v>
      </c>
      <c r="AE73" s="181">
        <v>1.2</v>
      </c>
      <c r="AF73" s="101" t="str">
        <f t="shared" si="6"/>
        <v/>
      </c>
      <c r="AG73" s="190">
        <v>0</v>
      </c>
      <c r="AH73" s="69">
        <f t="shared" si="7"/>
        <v>180.4</v>
      </c>
    </row>
    <row r="74" spans="1:34" s="69" customFormat="1" ht="33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>
        <v>578.86</v>
      </c>
      <c r="I74" s="75">
        <v>14818.82</v>
      </c>
      <c r="J74" s="91" t="s">
        <v>211</v>
      </c>
      <c r="K74" s="73"/>
      <c r="L74" s="46">
        <v>0</v>
      </c>
      <c r="M74" s="46">
        <v>0</v>
      </c>
      <c r="N74" s="46">
        <v>0</v>
      </c>
      <c r="O74" s="98"/>
      <c r="P74" s="23" t="s">
        <v>1408</v>
      </c>
      <c r="Q74" s="24" t="s">
        <v>210</v>
      </c>
      <c r="R74" s="25" t="s">
        <v>30</v>
      </c>
      <c r="S74" s="26">
        <v>25.6</v>
      </c>
      <c r="T74" s="26"/>
      <c r="U74" s="26">
        <f t="shared" si="10"/>
        <v>578.86</v>
      </c>
      <c r="V74" s="26">
        <f t="shared" si="8"/>
        <v>0</v>
      </c>
      <c r="W74" s="26">
        <f t="shared" si="3"/>
        <v>0</v>
      </c>
      <c r="X74" s="26">
        <f t="shared" si="11"/>
        <v>0</v>
      </c>
      <c r="Y74" s="26">
        <f t="shared" si="4"/>
        <v>0</v>
      </c>
      <c r="Z74" s="33" t="s">
        <v>15</v>
      </c>
      <c r="AA74" s="36" t="s">
        <v>16</v>
      </c>
      <c r="AB74" s="181">
        <f t="shared" si="5"/>
        <v>25.6</v>
      </c>
      <c r="AC74" s="181">
        <f t="shared" si="12"/>
        <v>14818.82</v>
      </c>
      <c r="AD74" s="181">
        <v>1.2</v>
      </c>
      <c r="AE74" s="181">
        <v>1.2</v>
      </c>
      <c r="AF74" s="101" t="str">
        <f t="shared" si="6"/>
        <v/>
      </c>
      <c r="AG74" s="190">
        <v>0</v>
      </c>
      <c r="AH74" s="69">
        <f t="shared" si="7"/>
        <v>25.6</v>
      </c>
    </row>
    <row r="75" spans="1:34" s="69" customFormat="1" ht="33" x14ac:dyDescent="0.3">
      <c r="A75" s="55" t="s">
        <v>212</v>
      </c>
      <c r="B75" s="53" t="s">
        <v>213</v>
      </c>
      <c r="C75" s="54" t="s">
        <v>81</v>
      </c>
      <c r="D75" s="75">
        <v>7</v>
      </c>
      <c r="E75" s="75"/>
      <c r="F75" s="75"/>
      <c r="G75" s="75"/>
      <c r="H75" s="75">
        <v>17307.09</v>
      </c>
      <c r="I75" s="75">
        <v>121149.63</v>
      </c>
      <c r="J75" s="91" t="s">
        <v>214</v>
      </c>
      <c r="K75" s="73"/>
      <c r="L75" s="46">
        <v>0</v>
      </c>
      <c r="M75" s="46">
        <v>0</v>
      </c>
      <c r="N75" s="46">
        <v>0</v>
      </c>
      <c r="O75" s="98"/>
      <c r="P75" s="23" t="s">
        <v>1409</v>
      </c>
      <c r="Q75" s="24" t="s">
        <v>213</v>
      </c>
      <c r="R75" s="25" t="s">
        <v>81</v>
      </c>
      <c r="S75" s="26">
        <v>7</v>
      </c>
      <c r="T75" s="26"/>
      <c r="U75" s="26">
        <f t="shared" si="10"/>
        <v>17307.09</v>
      </c>
      <c r="V75" s="26">
        <f t="shared" si="8"/>
        <v>0</v>
      </c>
      <c r="W75" s="26">
        <f t="shared" ref="W75:W132" si="13">V75+L75</f>
        <v>0</v>
      </c>
      <c r="X75" s="26">
        <f t="shared" si="11"/>
        <v>0</v>
      </c>
      <c r="Y75" s="26">
        <f t="shared" ref="Y75:Y138" si="14">ROUND(U75*W75,2)</f>
        <v>0</v>
      </c>
      <c r="Z75" s="33" t="s">
        <v>15</v>
      </c>
      <c r="AA75" s="36" t="s">
        <v>16</v>
      </c>
      <c r="AB75" s="181">
        <f t="shared" ref="AB75:AB138" si="15">IF(T75="",S75,T75)</f>
        <v>7</v>
      </c>
      <c r="AC75" s="181">
        <f t="shared" si="12"/>
        <v>121149.63</v>
      </c>
      <c r="AD75" s="181">
        <v>1.2</v>
      </c>
      <c r="AE75" s="181">
        <v>1.2</v>
      </c>
      <c r="AF75" s="101" t="str">
        <f t="shared" ref="AF75:AF138" si="16">IF(W75&gt;AH75,"超估","")</f>
        <v/>
      </c>
      <c r="AG75" s="190">
        <v>0</v>
      </c>
      <c r="AH75" s="69">
        <f t="shared" ref="AH75:AH138" si="17">IF(G75=0,IF(F75=0,IF(E75=0,D75,E75),F75),G75)</f>
        <v>7</v>
      </c>
    </row>
    <row r="76" spans="1:34" s="69" customFormat="1" ht="33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>
        <v>443.93</v>
      </c>
      <c r="I76" s="75">
        <v>3462.65</v>
      </c>
      <c r="J76" s="91" t="s">
        <v>217</v>
      </c>
      <c r="K76" s="73"/>
      <c r="L76" s="46">
        <v>0</v>
      </c>
      <c r="M76" s="46">
        <v>0</v>
      </c>
      <c r="N76" s="46">
        <v>0</v>
      </c>
      <c r="O76" s="98"/>
      <c r="P76" s="23" t="s">
        <v>1410</v>
      </c>
      <c r="Q76" s="24" t="s">
        <v>216</v>
      </c>
      <c r="R76" s="25" t="s">
        <v>30</v>
      </c>
      <c r="S76" s="26">
        <v>7.8</v>
      </c>
      <c r="T76" s="26"/>
      <c r="U76" s="26">
        <f t="shared" si="10"/>
        <v>443.93</v>
      </c>
      <c r="V76" s="26">
        <f t="shared" ref="V76:V132" si="18">AG76-L76</f>
        <v>0</v>
      </c>
      <c r="W76" s="26">
        <f t="shared" si="13"/>
        <v>0</v>
      </c>
      <c r="X76" s="26">
        <f t="shared" si="11"/>
        <v>0</v>
      </c>
      <c r="Y76" s="26">
        <f t="shared" si="14"/>
        <v>0</v>
      </c>
      <c r="Z76" s="33" t="s">
        <v>15</v>
      </c>
      <c r="AA76" s="36" t="s">
        <v>16</v>
      </c>
      <c r="AB76" s="181">
        <f t="shared" si="15"/>
        <v>7.8</v>
      </c>
      <c r="AC76" s="181">
        <f t="shared" si="12"/>
        <v>3462.65</v>
      </c>
      <c r="AD76" s="181">
        <v>1.2</v>
      </c>
      <c r="AE76" s="181">
        <v>1.2</v>
      </c>
      <c r="AF76" s="101" t="str">
        <f t="shared" si="16"/>
        <v/>
      </c>
      <c r="AG76" s="190">
        <v>0</v>
      </c>
      <c r="AH76" s="69">
        <f t="shared" si="17"/>
        <v>7.8</v>
      </c>
    </row>
    <row r="77" spans="1:34" s="69" customFormat="1" ht="33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>
        <v>13705.7</v>
      </c>
      <c r="I77" s="75">
        <v>27411.4</v>
      </c>
      <c r="J77" s="91" t="s">
        <v>220</v>
      </c>
      <c r="K77" s="73"/>
      <c r="L77" s="46">
        <v>0</v>
      </c>
      <c r="M77" s="46">
        <v>0</v>
      </c>
      <c r="N77" s="46">
        <v>0</v>
      </c>
      <c r="O77" s="98"/>
      <c r="P77" s="23" t="s">
        <v>1411</v>
      </c>
      <c r="Q77" s="24" t="s">
        <v>219</v>
      </c>
      <c r="R77" s="25" t="s">
        <v>81</v>
      </c>
      <c r="S77" s="26">
        <v>2</v>
      </c>
      <c r="T77" s="26"/>
      <c r="U77" s="26">
        <f t="shared" si="10"/>
        <v>13705.7</v>
      </c>
      <c r="V77" s="26">
        <f t="shared" si="18"/>
        <v>0</v>
      </c>
      <c r="W77" s="26">
        <f t="shared" si="13"/>
        <v>0</v>
      </c>
      <c r="X77" s="26">
        <f t="shared" si="11"/>
        <v>0</v>
      </c>
      <c r="Y77" s="26">
        <f t="shared" si="14"/>
        <v>0</v>
      </c>
      <c r="Z77" s="33" t="s">
        <v>15</v>
      </c>
      <c r="AA77" s="36" t="s">
        <v>16</v>
      </c>
      <c r="AB77" s="181">
        <f t="shared" si="15"/>
        <v>2</v>
      </c>
      <c r="AC77" s="181">
        <f t="shared" si="12"/>
        <v>27411.4</v>
      </c>
      <c r="AD77" s="181">
        <v>1.2</v>
      </c>
      <c r="AE77" s="181">
        <v>1.2</v>
      </c>
      <c r="AF77" s="101" t="str">
        <f t="shared" si="16"/>
        <v/>
      </c>
      <c r="AG77" s="190">
        <v>0</v>
      </c>
      <c r="AH77" s="69">
        <f t="shared" si="17"/>
        <v>2</v>
      </c>
    </row>
    <row r="78" spans="1:34" s="69" customFormat="1" ht="33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>
        <v>25126.95</v>
      </c>
      <c r="I78" s="75">
        <v>75380.850000000006</v>
      </c>
      <c r="J78" s="91" t="s">
        <v>223</v>
      </c>
      <c r="K78" s="73"/>
      <c r="L78" s="46">
        <v>0</v>
      </c>
      <c r="M78" s="46">
        <v>0</v>
      </c>
      <c r="N78" s="46">
        <v>0</v>
      </c>
      <c r="O78" s="98"/>
      <c r="P78" s="23" t="s">
        <v>1445</v>
      </c>
      <c r="Q78" s="24" t="s">
        <v>222</v>
      </c>
      <c r="R78" s="25" t="s">
        <v>81</v>
      </c>
      <c r="S78" s="26">
        <v>3</v>
      </c>
      <c r="T78" s="26"/>
      <c r="U78" s="26">
        <f t="shared" si="10"/>
        <v>25126.95</v>
      </c>
      <c r="V78" s="26">
        <f t="shared" si="18"/>
        <v>0</v>
      </c>
      <c r="W78" s="26">
        <f t="shared" si="13"/>
        <v>0</v>
      </c>
      <c r="X78" s="26">
        <f t="shared" si="11"/>
        <v>0</v>
      </c>
      <c r="Y78" s="26">
        <f t="shared" si="14"/>
        <v>0</v>
      </c>
      <c r="Z78" s="33" t="s">
        <v>15</v>
      </c>
      <c r="AA78" s="36" t="s">
        <v>16</v>
      </c>
      <c r="AB78" s="181">
        <f t="shared" si="15"/>
        <v>3</v>
      </c>
      <c r="AC78" s="181">
        <f t="shared" si="12"/>
        <v>75380.850000000006</v>
      </c>
      <c r="AD78" s="181">
        <v>1.2</v>
      </c>
      <c r="AE78" s="181">
        <v>1.2</v>
      </c>
      <c r="AF78" s="101" t="str">
        <f t="shared" si="16"/>
        <v/>
      </c>
      <c r="AG78" s="190">
        <v>0</v>
      </c>
      <c r="AH78" s="69">
        <f t="shared" si="17"/>
        <v>3</v>
      </c>
    </row>
    <row r="79" spans="1:34" s="69" customFormat="1" ht="33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>
        <v>2901.57</v>
      </c>
      <c r="I79" s="75">
        <v>52228.26</v>
      </c>
      <c r="J79" s="91" t="s">
        <v>226</v>
      </c>
      <c r="K79" s="73"/>
      <c r="L79" s="46">
        <v>0</v>
      </c>
      <c r="M79" s="46">
        <v>0</v>
      </c>
      <c r="N79" s="46">
        <v>0</v>
      </c>
      <c r="O79" s="98"/>
      <c r="P79" s="23" t="s">
        <v>1383</v>
      </c>
      <c r="Q79" s="24" t="s">
        <v>225</v>
      </c>
      <c r="R79" s="25" t="s">
        <v>30</v>
      </c>
      <c r="S79" s="26">
        <v>18</v>
      </c>
      <c r="T79" s="26"/>
      <c r="U79" s="26">
        <f t="shared" si="10"/>
        <v>2901.57</v>
      </c>
      <c r="V79" s="26">
        <f t="shared" si="18"/>
        <v>0</v>
      </c>
      <c r="W79" s="26">
        <f t="shared" si="13"/>
        <v>0</v>
      </c>
      <c r="X79" s="26">
        <f t="shared" si="11"/>
        <v>0</v>
      </c>
      <c r="Y79" s="26">
        <f t="shared" si="14"/>
        <v>0</v>
      </c>
      <c r="Z79" s="33" t="s">
        <v>15</v>
      </c>
      <c r="AA79" s="36" t="s">
        <v>16</v>
      </c>
      <c r="AB79" s="181">
        <f t="shared" si="15"/>
        <v>18</v>
      </c>
      <c r="AC79" s="181">
        <f t="shared" si="12"/>
        <v>52228.26</v>
      </c>
      <c r="AD79" s="181">
        <v>1.2</v>
      </c>
      <c r="AE79" s="181">
        <v>1.2</v>
      </c>
      <c r="AF79" s="101" t="str">
        <f t="shared" si="16"/>
        <v/>
      </c>
      <c r="AG79" s="190">
        <v>0</v>
      </c>
      <c r="AH79" s="69">
        <f t="shared" si="17"/>
        <v>18</v>
      </c>
    </row>
    <row r="80" spans="1:34" s="69" customFormat="1" ht="33" x14ac:dyDescent="0.3">
      <c r="A80" s="55" t="s">
        <v>227</v>
      </c>
      <c r="B80" s="53" t="s">
        <v>228</v>
      </c>
      <c r="C80" s="54" t="s">
        <v>30</v>
      </c>
      <c r="D80" s="75">
        <v>17.100000000000001</v>
      </c>
      <c r="E80" s="75"/>
      <c r="F80" s="75"/>
      <c r="G80" s="75"/>
      <c r="H80" s="75">
        <v>1762.96</v>
      </c>
      <c r="I80" s="75">
        <v>30146.62</v>
      </c>
      <c r="J80" s="91" t="s">
        <v>229</v>
      </c>
      <c r="K80" s="73"/>
      <c r="L80" s="46">
        <v>0</v>
      </c>
      <c r="M80" s="46">
        <v>0</v>
      </c>
      <c r="N80" s="46">
        <v>0</v>
      </c>
      <c r="O80" s="98"/>
      <c r="P80" s="23" t="s">
        <v>1384</v>
      </c>
      <c r="Q80" s="24" t="s">
        <v>228</v>
      </c>
      <c r="R80" s="25" t="s">
        <v>30</v>
      </c>
      <c r="S80" s="26">
        <v>17.100000000000001</v>
      </c>
      <c r="T80" s="26"/>
      <c r="U80" s="26">
        <f t="shared" si="10"/>
        <v>1762.96</v>
      </c>
      <c r="V80" s="26">
        <f t="shared" si="18"/>
        <v>0</v>
      </c>
      <c r="W80" s="26">
        <f t="shared" si="13"/>
        <v>0</v>
      </c>
      <c r="X80" s="26">
        <f t="shared" si="11"/>
        <v>0</v>
      </c>
      <c r="Y80" s="26">
        <f t="shared" si="14"/>
        <v>0</v>
      </c>
      <c r="Z80" s="33" t="s">
        <v>15</v>
      </c>
      <c r="AA80" s="36" t="s">
        <v>16</v>
      </c>
      <c r="AB80" s="181">
        <f t="shared" si="15"/>
        <v>17.100000000000001</v>
      </c>
      <c r="AC80" s="181">
        <f t="shared" si="12"/>
        <v>30146.62</v>
      </c>
      <c r="AD80" s="181">
        <v>1.2</v>
      </c>
      <c r="AE80" s="181">
        <v>1.2</v>
      </c>
      <c r="AF80" s="101" t="str">
        <f t="shared" si="16"/>
        <v/>
      </c>
      <c r="AG80" s="190">
        <v>0</v>
      </c>
      <c r="AH80" s="69">
        <f t="shared" si="17"/>
        <v>17.100000000000001</v>
      </c>
    </row>
    <row r="81" spans="1:34" s="69" customFormat="1" ht="33" x14ac:dyDescent="0.3">
      <c r="A81" s="55" t="s">
        <v>230</v>
      </c>
      <c r="B81" s="53" t="s">
        <v>231</v>
      </c>
      <c r="C81" s="54" t="s">
        <v>30</v>
      </c>
      <c r="D81" s="75">
        <v>77.400000000000006</v>
      </c>
      <c r="E81" s="75"/>
      <c r="F81" s="75"/>
      <c r="G81" s="75"/>
      <c r="H81" s="75">
        <v>1224.3</v>
      </c>
      <c r="I81" s="75">
        <v>94760.82</v>
      </c>
      <c r="J81" s="91" t="s">
        <v>232</v>
      </c>
      <c r="K81" s="73"/>
      <c r="L81" s="46">
        <v>0</v>
      </c>
      <c r="M81" s="46">
        <v>0</v>
      </c>
      <c r="N81" s="46">
        <v>0</v>
      </c>
      <c r="O81" s="98"/>
      <c r="P81" s="23" t="s">
        <v>1385</v>
      </c>
      <c r="Q81" s="24" t="s">
        <v>231</v>
      </c>
      <c r="R81" s="25" t="s">
        <v>30</v>
      </c>
      <c r="S81" s="26">
        <v>77.400000000000006</v>
      </c>
      <c r="T81" s="26"/>
      <c r="U81" s="26">
        <f t="shared" si="10"/>
        <v>1224.3</v>
      </c>
      <c r="V81" s="26">
        <f t="shared" si="18"/>
        <v>0</v>
      </c>
      <c r="W81" s="26">
        <f t="shared" si="13"/>
        <v>0</v>
      </c>
      <c r="X81" s="26">
        <f t="shared" si="11"/>
        <v>0</v>
      </c>
      <c r="Y81" s="26">
        <f t="shared" si="14"/>
        <v>0</v>
      </c>
      <c r="Z81" s="33" t="s">
        <v>15</v>
      </c>
      <c r="AA81" s="36" t="s">
        <v>16</v>
      </c>
      <c r="AB81" s="181">
        <f t="shared" si="15"/>
        <v>77.400000000000006</v>
      </c>
      <c r="AC81" s="181">
        <f t="shared" si="12"/>
        <v>94760.82</v>
      </c>
      <c r="AD81" s="181">
        <v>1.2</v>
      </c>
      <c r="AE81" s="181">
        <v>1.2</v>
      </c>
      <c r="AF81" s="101" t="str">
        <f t="shared" si="16"/>
        <v/>
      </c>
      <c r="AG81" s="190">
        <v>0</v>
      </c>
      <c r="AH81" s="69">
        <f t="shared" si="17"/>
        <v>77.400000000000006</v>
      </c>
    </row>
    <row r="82" spans="1:34" s="69" customFormat="1" ht="33" x14ac:dyDescent="0.3">
      <c r="A82" s="55" t="s">
        <v>233</v>
      </c>
      <c r="B82" s="53" t="s">
        <v>234</v>
      </c>
      <c r="C82" s="54" t="s">
        <v>30</v>
      </c>
      <c r="D82" s="75">
        <v>32.5</v>
      </c>
      <c r="E82" s="75"/>
      <c r="F82" s="75"/>
      <c r="G82" s="75"/>
      <c r="H82" s="75">
        <v>1148.7</v>
      </c>
      <c r="I82" s="75">
        <v>37332.75</v>
      </c>
      <c r="J82" s="91" t="s">
        <v>235</v>
      </c>
      <c r="K82" s="73"/>
      <c r="L82" s="46">
        <v>0</v>
      </c>
      <c r="M82" s="46">
        <v>0</v>
      </c>
      <c r="N82" s="46">
        <v>0</v>
      </c>
      <c r="O82" s="98"/>
      <c r="P82" s="23" t="s">
        <v>1446</v>
      </c>
      <c r="Q82" s="24" t="s">
        <v>234</v>
      </c>
      <c r="R82" s="25" t="s">
        <v>30</v>
      </c>
      <c r="S82" s="26">
        <v>32.5</v>
      </c>
      <c r="T82" s="26"/>
      <c r="U82" s="26">
        <f t="shared" si="10"/>
        <v>1148.7</v>
      </c>
      <c r="V82" s="26">
        <f t="shared" si="18"/>
        <v>0</v>
      </c>
      <c r="W82" s="26">
        <f t="shared" si="13"/>
        <v>0</v>
      </c>
      <c r="X82" s="26">
        <f t="shared" si="11"/>
        <v>0</v>
      </c>
      <c r="Y82" s="26">
        <f t="shared" si="14"/>
        <v>0</v>
      </c>
      <c r="Z82" s="33" t="s">
        <v>15</v>
      </c>
      <c r="AA82" s="36" t="s">
        <v>16</v>
      </c>
      <c r="AB82" s="181">
        <f t="shared" si="15"/>
        <v>32.5</v>
      </c>
      <c r="AC82" s="181">
        <f t="shared" si="12"/>
        <v>37332.75</v>
      </c>
      <c r="AD82" s="181">
        <v>1.2</v>
      </c>
      <c r="AE82" s="181">
        <v>1.2</v>
      </c>
      <c r="AF82" s="101" t="str">
        <f t="shared" si="16"/>
        <v/>
      </c>
      <c r="AG82" s="190">
        <v>0</v>
      </c>
      <c r="AH82" s="69">
        <f t="shared" si="17"/>
        <v>32.5</v>
      </c>
    </row>
    <row r="83" spans="1:34" s="69" customFormat="1" ht="33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>
        <v>19780.169999999998</v>
      </c>
      <c r="I83" s="75">
        <v>19780.169999999998</v>
      </c>
      <c r="J83" s="91" t="s">
        <v>238</v>
      </c>
      <c r="K83" s="73"/>
      <c r="L83" s="46">
        <v>0</v>
      </c>
      <c r="M83" s="46">
        <v>0</v>
      </c>
      <c r="N83" s="46">
        <v>0</v>
      </c>
      <c r="O83" s="98"/>
      <c r="P83" s="23" t="s">
        <v>1447</v>
      </c>
      <c r="Q83" s="24" t="s">
        <v>237</v>
      </c>
      <c r="R83" s="25" t="s">
        <v>81</v>
      </c>
      <c r="S83" s="26">
        <v>1</v>
      </c>
      <c r="T83" s="26"/>
      <c r="U83" s="26">
        <f t="shared" si="10"/>
        <v>19780.169999999998</v>
      </c>
      <c r="V83" s="26">
        <f t="shared" si="18"/>
        <v>0</v>
      </c>
      <c r="W83" s="26">
        <f t="shared" si="13"/>
        <v>0</v>
      </c>
      <c r="X83" s="26">
        <f t="shared" si="11"/>
        <v>0</v>
      </c>
      <c r="Y83" s="26">
        <f t="shared" si="14"/>
        <v>0</v>
      </c>
      <c r="Z83" s="33" t="s">
        <v>15</v>
      </c>
      <c r="AA83" s="36" t="s">
        <v>16</v>
      </c>
      <c r="AB83" s="181">
        <f t="shared" si="15"/>
        <v>1</v>
      </c>
      <c r="AC83" s="181">
        <f t="shared" si="12"/>
        <v>19780.169999999998</v>
      </c>
      <c r="AD83" s="181">
        <v>1.2</v>
      </c>
      <c r="AE83" s="181">
        <v>1.2</v>
      </c>
      <c r="AF83" s="101" t="str">
        <f t="shared" si="16"/>
        <v/>
      </c>
      <c r="AG83" s="190">
        <v>0</v>
      </c>
      <c r="AH83" s="69">
        <f t="shared" si="17"/>
        <v>1</v>
      </c>
    </row>
    <row r="84" spans="1:34" s="69" customFormat="1" ht="33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>
        <v>1218.03</v>
      </c>
      <c r="I84" s="75">
        <v>1218.03</v>
      </c>
      <c r="J84" s="91" t="s">
        <v>241</v>
      </c>
      <c r="K84" s="73"/>
      <c r="L84" s="46">
        <v>0</v>
      </c>
      <c r="M84" s="46">
        <v>0</v>
      </c>
      <c r="N84" s="46">
        <v>0</v>
      </c>
      <c r="O84" s="98"/>
      <c r="P84" s="23" t="s">
        <v>1448</v>
      </c>
      <c r="Q84" s="24" t="s">
        <v>240</v>
      </c>
      <c r="R84" s="25" t="s">
        <v>81</v>
      </c>
      <c r="S84" s="26">
        <v>1</v>
      </c>
      <c r="T84" s="26"/>
      <c r="U84" s="26">
        <f t="shared" si="10"/>
        <v>1218.03</v>
      </c>
      <c r="V84" s="26">
        <f t="shared" si="18"/>
        <v>0</v>
      </c>
      <c r="W84" s="26">
        <f t="shared" si="13"/>
        <v>0</v>
      </c>
      <c r="X84" s="26">
        <f t="shared" si="11"/>
        <v>0</v>
      </c>
      <c r="Y84" s="26">
        <f t="shared" si="14"/>
        <v>0</v>
      </c>
      <c r="Z84" s="33" t="s">
        <v>15</v>
      </c>
      <c r="AA84" s="36" t="s">
        <v>16</v>
      </c>
      <c r="AB84" s="181">
        <f t="shared" si="15"/>
        <v>1</v>
      </c>
      <c r="AC84" s="181">
        <f t="shared" si="12"/>
        <v>1218.03</v>
      </c>
      <c r="AD84" s="181">
        <v>1.2</v>
      </c>
      <c r="AE84" s="181">
        <v>1.2</v>
      </c>
      <c r="AF84" s="101" t="str">
        <f t="shared" si="16"/>
        <v/>
      </c>
      <c r="AG84" s="190">
        <v>0</v>
      </c>
      <c r="AH84" s="69">
        <f t="shared" si="17"/>
        <v>1</v>
      </c>
    </row>
    <row r="85" spans="1:34" s="69" customFormat="1" ht="33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>
        <v>3110.7</v>
      </c>
      <c r="I85" s="75">
        <v>3110.7</v>
      </c>
      <c r="J85" s="91" t="s">
        <v>244</v>
      </c>
      <c r="K85" s="73"/>
      <c r="L85" s="46">
        <v>0</v>
      </c>
      <c r="M85" s="46">
        <v>0</v>
      </c>
      <c r="N85" s="46">
        <v>0</v>
      </c>
      <c r="O85" s="98"/>
      <c r="P85" s="23" t="s">
        <v>1449</v>
      </c>
      <c r="Q85" s="24" t="s">
        <v>243</v>
      </c>
      <c r="R85" s="25" t="s">
        <v>81</v>
      </c>
      <c r="S85" s="26">
        <v>1</v>
      </c>
      <c r="T85" s="26"/>
      <c r="U85" s="26">
        <f t="shared" si="10"/>
        <v>3110.7</v>
      </c>
      <c r="V85" s="26">
        <f t="shared" si="18"/>
        <v>0</v>
      </c>
      <c r="W85" s="26">
        <f t="shared" si="13"/>
        <v>0</v>
      </c>
      <c r="X85" s="26">
        <f t="shared" si="11"/>
        <v>0</v>
      </c>
      <c r="Y85" s="26">
        <f t="shared" si="14"/>
        <v>0</v>
      </c>
      <c r="Z85" s="33" t="s">
        <v>15</v>
      </c>
      <c r="AA85" s="36" t="s">
        <v>16</v>
      </c>
      <c r="AB85" s="181">
        <f t="shared" si="15"/>
        <v>1</v>
      </c>
      <c r="AC85" s="181">
        <f t="shared" si="12"/>
        <v>3110.7</v>
      </c>
      <c r="AD85" s="181">
        <v>1.2</v>
      </c>
      <c r="AE85" s="181">
        <v>1.2</v>
      </c>
      <c r="AF85" s="101" t="str">
        <f t="shared" si="16"/>
        <v/>
      </c>
      <c r="AG85" s="190">
        <v>0</v>
      </c>
      <c r="AH85" s="69">
        <f t="shared" si="17"/>
        <v>1</v>
      </c>
    </row>
    <row r="86" spans="1:34" s="69" customFormat="1" ht="33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>
        <v>1251.0999999999999</v>
      </c>
      <c r="I86" s="75">
        <v>1251.0999999999999</v>
      </c>
      <c r="J86" s="91" t="s">
        <v>247</v>
      </c>
      <c r="K86" s="73"/>
      <c r="L86" s="46">
        <v>0</v>
      </c>
      <c r="M86" s="46">
        <v>0</v>
      </c>
      <c r="N86" s="46">
        <v>0</v>
      </c>
      <c r="O86" s="98"/>
      <c r="P86" s="23" t="s">
        <v>1450</v>
      </c>
      <c r="Q86" s="24" t="s">
        <v>246</v>
      </c>
      <c r="R86" s="25" t="s">
        <v>81</v>
      </c>
      <c r="S86" s="26">
        <v>1</v>
      </c>
      <c r="T86" s="26"/>
      <c r="U86" s="26">
        <f t="shared" si="10"/>
        <v>1251.0999999999999</v>
      </c>
      <c r="V86" s="26">
        <f t="shared" si="18"/>
        <v>0</v>
      </c>
      <c r="W86" s="26">
        <f t="shared" si="13"/>
        <v>0</v>
      </c>
      <c r="X86" s="26">
        <f t="shared" si="11"/>
        <v>0</v>
      </c>
      <c r="Y86" s="26">
        <f t="shared" si="14"/>
        <v>0</v>
      </c>
      <c r="Z86" s="33" t="s">
        <v>15</v>
      </c>
      <c r="AA86" s="36" t="s">
        <v>16</v>
      </c>
      <c r="AB86" s="181">
        <f t="shared" si="15"/>
        <v>1</v>
      </c>
      <c r="AC86" s="181">
        <f t="shared" si="12"/>
        <v>1251.0999999999999</v>
      </c>
      <c r="AD86" s="181">
        <v>1.2</v>
      </c>
      <c r="AE86" s="181">
        <v>1.2</v>
      </c>
      <c r="AF86" s="101" t="str">
        <f t="shared" si="16"/>
        <v/>
      </c>
      <c r="AG86" s="190">
        <v>0</v>
      </c>
      <c r="AH86" s="69">
        <f t="shared" si="17"/>
        <v>1</v>
      </c>
    </row>
    <row r="87" spans="1:34" s="69" customFormat="1" ht="33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>
        <v>9500.58</v>
      </c>
      <c r="I87" s="75">
        <v>9500.58</v>
      </c>
      <c r="J87" s="91" t="s">
        <v>250</v>
      </c>
      <c r="K87" s="73"/>
      <c r="L87" s="46">
        <v>0</v>
      </c>
      <c r="M87" s="46">
        <v>0</v>
      </c>
      <c r="N87" s="46">
        <v>0</v>
      </c>
      <c r="O87" s="98"/>
      <c r="P87" s="23" t="s">
        <v>1451</v>
      </c>
      <c r="Q87" s="24" t="s">
        <v>249</v>
      </c>
      <c r="R87" s="25" t="s">
        <v>81</v>
      </c>
      <c r="S87" s="26">
        <v>1</v>
      </c>
      <c r="T87" s="26"/>
      <c r="U87" s="26">
        <f t="shared" si="10"/>
        <v>9500.58</v>
      </c>
      <c r="V87" s="26">
        <f t="shared" si="18"/>
        <v>0</v>
      </c>
      <c r="W87" s="26">
        <f t="shared" si="13"/>
        <v>0</v>
      </c>
      <c r="X87" s="26">
        <f t="shared" si="11"/>
        <v>0</v>
      </c>
      <c r="Y87" s="26">
        <f t="shared" si="14"/>
        <v>0</v>
      </c>
      <c r="Z87" s="33" t="s">
        <v>15</v>
      </c>
      <c r="AA87" s="36" t="s">
        <v>16</v>
      </c>
      <c r="AB87" s="181">
        <f t="shared" si="15"/>
        <v>1</v>
      </c>
      <c r="AC87" s="181">
        <f t="shared" si="12"/>
        <v>9500.58</v>
      </c>
      <c r="AD87" s="181">
        <v>1.2</v>
      </c>
      <c r="AE87" s="181">
        <v>1.2</v>
      </c>
      <c r="AF87" s="101" t="str">
        <f t="shared" si="16"/>
        <v/>
      </c>
      <c r="AG87" s="190">
        <v>0</v>
      </c>
      <c r="AH87" s="69">
        <f t="shared" si="17"/>
        <v>1</v>
      </c>
    </row>
    <row r="88" spans="1:34" s="69" customFormat="1" ht="33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>
        <v>3871.43</v>
      </c>
      <c r="I88" s="75">
        <v>3871.43</v>
      </c>
      <c r="J88" s="91" t="s">
        <v>253</v>
      </c>
      <c r="K88" s="73"/>
      <c r="L88" s="46">
        <v>0</v>
      </c>
      <c r="M88" s="46">
        <v>0</v>
      </c>
      <c r="N88" s="46">
        <v>0</v>
      </c>
      <c r="O88" s="98"/>
      <c r="P88" s="23" t="s">
        <v>1452</v>
      </c>
      <c r="Q88" s="24" t="s">
        <v>252</v>
      </c>
      <c r="R88" s="25" t="s">
        <v>81</v>
      </c>
      <c r="S88" s="26">
        <v>1</v>
      </c>
      <c r="T88" s="26"/>
      <c r="U88" s="26">
        <f t="shared" si="10"/>
        <v>3871.43</v>
      </c>
      <c r="V88" s="26">
        <f t="shared" si="18"/>
        <v>0</v>
      </c>
      <c r="W88" s="26">
        <f t="shared" si="13"/>
        <v>0</v>
      </c>
      <c r="X88" s="26">
        <f t="shared" si="11"/>
        <v>0</v>
      </c>
      <c r="Y88" s="26">
        <f t="shared" si="14"/>
        <v>0</v>
      </c>
      <c r="Z88" s="33" t="s">
        <v>15</v>
      </c>
      <c r="AA88" s="36" t="s">
        <v>16</v>
      </c>
      <c r="AB88" s="181">
        <f t="shared" si="15"/>
        <v>1</v>
      </c>
      <c r="AC88" s="181">
        <f t="shared" si="12"/>
        <v>3871.43</v>
      </c>
      <c r="AD88" s="181">
        <v>1.2</v>
      </c>
      <c r="AE88" s="181">
        <v>1.2</v>
      </c>
      <c r="AF88" s="101" t="str">
        <f t="shared" si="16"/>
        <v/>
      </c>
      <c r="AG88" s="190">
        <v>0</v>
      </c>
      <c r="AH88" s="69">
        <f t="shared" si="17"/>
        <v>1</v>
      </c>
    </row>
    <row r="89" spans="1:34" s="69" customFormat="1" ht="33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>
        <v>25380.34</v>
      </c>
      <c r="I89" s="75">
        <v>25380.34</v>
      </c>
      <c r="J89" s="91" t="s">
        <v>256</v>
      </c>
      <c r="K89" s="73"/>
      <c r="L89" s="46">
        <v>0</v>
      </c>
      <c r="M89" s="46">
        <v>0</v>
      </c>
      <c r="N89" s="46">
        <v>0</v>
      </c>
      <c r="O89" s="98"/>
      <c r="P89" s="23" t="s">
        <v>1453</v>
      </c>
      <c r="Q89" s="24" t="s">
        <v>255</v>
      </c>
      <c r="R89" s="25" t="s">
        <v>81</v>
      </c>
      <c r="S89" s="26">
        <v>1</v>
      </c>
      <c r="T89" s="26"/>
      <c r="U89" s="26">
        <f t="shared" si="10"/>
        <v>25380.34</v>
      </c>
      <c r="V89" s="26">
        <f t="shared" si="18"/>
        <v>0</v>
      </c>
      <c r="W89" s="26">
        <f t="shared" si="13"/>
        <v>0</v>
      </c>
      <c r="X89" s="26">
        <f t="shared" si="11"/>
        <v>0</v>
      </c>
      <c r="Y89" s="26">
        <f t="shared" si="14"/>
        <v>0</v>
      </c>
      <c r="Z89" s="33" t="s">
        <v>15</v>
      </c>
      <c r="AA89" s="36" t="s">
        <v>16</v>
      </c>
      <c r="AB89" s="181">
        <f t="shared" si="15"/>
        <v>1</v>
      </c>
      <c r="AC89" s="181">
        <f t="shared" si="12"/>
        <v>25380.34</v>
      </c>
      <c r="AD89" s="181">
        <v>1.2</v>
      </c>
      <c r="AE89" s="181">
        <v>1.2</v>
      </c>
      <c r="AF89" s="101" t="str">
        <f t="shared" si="16"/>
        <v/>
      </c>
      <c r="AG89" s="190">
        <v>0</v>
      </c>
      <c r="AH89" s="69">
        <f t="shared" si="17"/>
        <v>1</v>
      </c>
    </row>
    <row r="90" spans="1:34" s="69" customFormat="1" ht="33" x14ac:dyDescent="0.3">
      <c r="A90" s="55" t="s">
        <v>257</v>
      </c>
      <c r="B90" s="53" t="s">
        <v>258</v>
      </c>
      <c r="C90" s="54" t="s">
        <v>30</v>
      </c>
      <c r="D90" s="75">
        <v>13.9</v>
      </c>
      <c r="E90" s="75"/>
      <c r="F90" s="75"/>
      <c r="G90" s="75"/>
      <c r="H90" s="75">
        <v>1285.31</v>
      </c>
      <c r="I90" s="75">
        <v>17865.810000000001</v>
      </c>
      <c r="J90" s="91" t="s">
        <v>259</v>
      </c>
      <c r="K90" s="73"/>
      <c r="L90" s="46">
        <v>0</v>
      </c>
      <c r="M90" s="46">
        <v>0</v>
      </c>
      <c r="N90" s="46">
        <v>0</v>
      </c>
      <c r="O90" s="98"/>
      <c r="P90" s="23" t="s">
        <v>1454</v>
      </c>
      <c r="Q90" s="24" t="s">
        <v>258</v>
      </c>
      <c r="R90" s="25" t="s">
        <v>30</v>
      </c>
      <c r="S90" s="26">
        <v>13.9</v>
      </c>
      <c r="T90" s="26"/>
      <c r="U90" s="26">
        <f t="shared" si="10"/>
        <v>1285.31</v>
      </c>
      <c r="V90" s="26">
        <f t="shared" si="18"/>
        <v>0</v>
      </c>
      <c r="W90" s="26">
        <f t="shared" si="13"/>
        <v>0</v>
      </c>
      <c r="X90" s="26">
        <f t="shared" si="11"/>
        <v>0</v>
      </c>
      <c r="Y90" s="26">
        <f t="shared" si="14"/>
        <v>0</v>
      </c>
      <c r="Z90" s="33" t="s">
        <v>15</v>
      </c>
      <c r="AA90" s="36" t="s">
        <v>16</v>
      </c>
      <c r="AB90" s="181">
        <f t="shared" si="15"/>
        <v>13.9</v>
      </c>
      <c r="AC90" s="181">
        <f t="shared" si="12"/>
        <v>17865.810000000001</v>
      </c>
      <c r="AD90" s="181">
        <v>1.2</v>
      </c>
      <c r="AE90" s="181">
        <v>1.2</v>
      </c>
      <c r="AF90" s="101" t="str">
        <f t="shared" si="16"/>
        <v/>
      </c>
      <c r="AG90" s="190">
        <v>0</v>
      </c>
      <c r="AH90" s="69">
        <f t="shared" si="17"/>
        <v>13.9</v>
      </c>
    </row>
    <row r="91" spans="1:34" s="69" customFormat="1" ht="33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>
        <v>1976.06</v>
      </c>
      <c r="I91" s="75">
        <v>186046.05</v>
      </c>
      <c r="J91" s="91" t="s">
        <v>262</v>
      </c>
      <c r="K91" s="73"/>
      <c r="L91" s="46">
        <v>0</v>
      </c>
      <c r="M91" s="46">
        <v>0</v>
      </c>
      <c r="N91" s="46">
        <v>0</v>
      </c>
      <c r="O91" s="98"/>
      <c r="P91" s="23" t="s">
        <v>1455</v>
      </c>
      <c r="Q91" s="24" t="s">
        <v>261</v>
      </c>
      <c r="R91" s="25" t="s">
        <v>30</v>
      </c>
      <c r="S91" s="26">
        <v>94.15</v>
      </c>
      <c r="T91" s="26"/>
      <c r="U91" s="26">
        <f t="shared" si="10"/>
        <v>1976.06</v>
      </c>
      <c r="V91" s="26">
        <f t="shared" si="18"/>
        <v>0</v>
      </c>
      <c r="W91" s="26">
        <f t="shared" si="13"/>
        <v>0</v>
      </c>
      <c r="X91" s="26">
        <f t="shared" si="11"/>
        <v>0</v>
      </c>
      <c r="Y91" s="26">
        <f t="shared" si="14"/>
        <v>0</v>
      </c>
      <c r="Z91" s="33" t="s">
        <v>15</v>
      </c>
      <c r="AA91" s="36" t="s">
        <v>16</v>
      </c>
      <c r="AB91" s="181">
        <f t="shared" si="15"/>
        <v>94.15</v>
      </c>
      <c r="AC91" s="181">
        <f t="shared" si="12"/>
        <v>186046.05</v>
      </c>
      <c r="AD91" s="181">
        <v>1.2</v>
      </c>
      <c r="AE91" s="181">
        <v>1.2</v>
      </c>
      <c r="AF91" s="101" t="str">
        <f t="shared" si="16"/>
        <v/>
      </c>
      <c r="AG91" s="190">
        <v>0</v>
      </c>
      <c r="AH91" s="69">
        <f t="shared" si="17"/>
        <v>94.15</v>
      </c>
    </row>
    <row r="92" spans="1:34" s="69" customFormat="1" ht="33" x14ac:dyDescent="0.3">
      <c r="A92" s="55" t="s">
        <v>263</v>
      </c>
      <c r="B92" s="53" t="s">
        <v>264</v>
      </c>
      <c r="C92" s="54" t="s">
        <v>30</v>
      </c>
      <c r="D92" s="75">
        <v>13.5</v>
      </c>
      <c r="E92" s="75"/>
      <c r="F92" s="75"/>
      <c r="G92" s="75"/>
      <c r="H92" s="75">
        <v>1889.54</v>
      </c>
      <c r="I92" s="75">
        <v>25508.79</v>
      </c>
      <c r="J92" s="91" t="s">
        <v>265</v>
      </c>
      <c r="K92" s="73"/>
      <c r="L92" s="46">
        <v>0</v>
      </c>
      <c r="M92" s="46">
        <v>0</v>
      </c>
      <c r="N92" s="46">
        <v>0</v>
      </c>
      <c r="O92" s="98"/>
      <c r="P92" s="23" t="s">
        <v>1456</v>
      </c>
      <c r="Q92" s="24" t="s">
        <v>264</v>
      </c>
      <c r="R92" s="25" t="s">
        <v>30</v>
      </c>
      <c r="S92" s="26">
        <v>13.5</v>
      </c>
      <c r="T92" s="26"/>
      <c r="U92" s="26">
        <f t="shared" si="10"/>
        <v>1889.54</v>
      </c>
      <c r="V92" s="26">
        <f t="shared" si="18"/>
        <v>0</v>
      </c>
      <c r="W92" s="26">
        <f t="shared" si="13"/>
        <v>0</v>
      </c>
      <c r="X92" s="26">
        <f t="shared" si="11"/>
        <v>0</v>
      </c>
      <c r="Y92" s="26">
        <f t="shared" si="14"/>
        <v>0</v>
      </c>
      <c r="Z92" s="33" t="s">
        <v>15</v>
      </c>
      <c r="AA92" s="36" t="s">
        <v>16</v>
      </c>
      <c r="AB92" s="181">
        <f t="shared" si="15"/>
        <v>13.5</v>
      </c>
      <c r="AC92" s="181">
        <f t="shared" si="12"/>
        <v>25508.79</v>
      </c>
      <c r="AD92" s="181">
        <v>1.2</v>
      </c>
      <c r="AE92" s="181">
        <v>1.2</v>
      </c>
      <c r="AF92" s="101" t="str">
        <f t="shared" si="16"/>
        <v/>
      </c>
      <c r="AG92" s="190">
        <v>0</v>
      </c>
      <c r="AH92" s="69">
        <f t="shared" si="17"/>
        <v>13.5</v>
      </c>
    </row>
    <row r="93" spans="1:34" s="69" customFormat="1" ht="33" x14ac:dyDescent="0.3">
      <c r="A93" s="55" t="s">
        <v>266</v>
      </c>
      <c r="B93" s="53" t="s">
        <v>267</v>
      </c>
      <c r="C93" s="54" t="s">
        <v>30</v>
      </c>
      <c r="D93" s="75">
        <v>13.7</v>
      </c>
      <c r="E93" s="75"/>
      <c r="F93" s="75"/>
      <c r="G93" s="75"/>
      <c r="H93" s="75">
        <v>1778.66</v>
      </c>
      <c r="I93" s="75">
        <v>24367.64</v>
      </c>
      <c r="J93" s="91" t="s">
        <v>268</v>
      </c>
      <c r="K93" s="73"/>
      <c r="L93" s="46">
        <v>0</v>
      </c>
      <c r="M93" s="46">
        <v>0</v>
      </c>
      <c r="N93" s="46">
        <v>0</v>
      </c>
      <c r="O93" s="98"/>
      <c r="P93" s="23" t="s">
        <v>1457</v>
      </c>
      <c r="Q93" s="24" t="s">
        <v>267</v>
      </c>
      <c r="R93" s="25" t="s">
        <v>30</v>
      </c>
      <c r="S93" s="26">
        <v>13.7</v>
      </c>
      <c r="T93" s="26"/>
      <c r="U93" s="26">
        <f t="shared" si="10"/>
        <v>1778.66</v>
      </c>
      <c r="V93" s="26">
        <f t="shared" si="18"/>
        <v>0</v>
      </c>
      <c r="W93" s="26">
        <f t="shared" si="13"/>
        <v>0</v>
      </c>
      <c r="X93" s="26">
        <f t="shared" si="11"/>
        <v>0</v>
      </c>
      <c r="Y93" s="26">
        <f t="shared" si="14"/>
        <v>0</v>
      </c>
      <c r="Z93" s="33" t="s">
        <v>15</v>
      </c>
      <c r="AA93" s="36" t="s">
        <v>16</v>
      </c>
      <c r="AB93" s="181">
        <f t="shared" si="15"/>
        <v>13.7</v>
      </c>
      <c r="AC93" s="181">
        <f t="shared" si="12"/>
        <v>24367.64</v>
      </c>
      <c r="AD93" s="181">
        <v>1.2</v>
      </c>
      <c r="AE93" s="181">
        <v>1.2</v>
      </c>
      <c r="AF93" s="101" t="str">
        <f t="shared" si="16"/>
        <v/>
      </c>
      <c r="AG93" s="190">
        <v>0</v>
      </c>
      <c r="AH93" s="69">
        <f t="shared" si="17"/>
        <v>13.7</v>
      </c>
    </row>
    <row r="94" spans="1:34" s="69" customFormat="1" ht="33" x14ac:dyDescent="0.3">
      <c r="A94" s="55" t="s">
        <v>269</v>
      </c>
      <c r="B94" s="53" t="s">
        <v>270</v>
      </c>
      <c r="C94" s="54" t="s">
        <v>30</v>
      </c>
      <c r="D94" s="75">
        <v>17.920000000000002</v>
      </c>
      <c r="E94" s="75"/>
      <c r="F94" s="75"/>
      <c r="G94" s="75"/>
      <c r="H94" s="75">
        <v>2939.14</v>
      </c>
      <c r="I94" s="75">
        <v>52669.39</v>
      </c>
      <c r="J94" s="91" t="s">
        <v>271</v>
      </c>
      <c r="K94" s="73"/>
      <c r="L94" s="46">
        <v>0</v>
      </c>
      <c r="M94" s="46">
        <v>0</v>
      </c>
      <c r="N94" s="46">
        <v>0</v>
      </c>
      <c r="O94" s="98"/>
      <c r="P94" s="23" t="s">
        <v>1458</v>
      </c>
      <c r="Q94" s="24" t="s">
        <v>270</v>
      </c>
      <c r="R94" s="25" t="s">
        <v>30</v>
      </c>
      <c r="S94" s="26">
        <v>17.920000000000002</v>
      </c>
      <c r="T94" s="26"/>
      <c r="U94" s="26">
        <f t="shared" si="10"/>
        <v>2939.14</v>
      </c>
      <c r="V94" s="26">
        <f t="shared" si="18"/>
        <v>0</v>
      </c>
      <c r="W94" s="26">
        <f t="shared" si="13"/>
        <v>0</v>
      </c>
      <c r="X94" s="26">
        <f t="shared" si="11"/>
        <v>0</v>
      </c>
      <c r="Y94" s="26">
        <f t="shared" si="14"/>
        <v>0</v>
      </c>
      <c r="Z94" s="33" t="s">
        <v>15</v>
      </c>
      <c r="AA94" s="36" t="s">
        <v>16</v>
      </c>
      <c r="AB94" s="181">
        <f t="shared" si="15"/>
        <v>17.920000000000002</v>
      </c>
      <c r="AC94" s="181">
        <f t="shared" si="12"/>
        <v>52669.39</v>
      </c>
      <c r="AD94" s="181">
        <v>1.2</v>
      </c>
      <c r="AE94" s="181">
        <v>1.2</v>
      </c>
      <c r="AF94" s="101" t="str">
        <f t="shared" si="16"/>
        <v/>
      </c>
      <c r="AG94" s="190">
        <v>0</v>
      </c>
      <c r="AH94" s="69">
        <f t="shared" si="17"/>
        <v>17.920000000000002</v>
      </c>
    </row>
    <row r="95" spans="1:34" s="69" customFormat="1" ht="33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>
        <v>23030.799999999999</v>
      </c>
      <c r="I95" s="75">
        <v>23030.799999999999</v>
      </c>
      <c r="J95" s="91" t="s">
        <v>274</v>
      </c>
      <c r="K95" s="73"/>
      <c r="L95" s="46">
        <v>0</v>
      </c>
      <c r="M95" s="46">
        <v>0</v>
      </c>
      <c r="N95" s="46">
        <v>0</v>
      </c>
      <c r="O95" s="98"/>
      <c r="P95" s="23" t="s">
        <v>1459</v>
      </c>
      <c r="Q95" s="24" t="s">
        <v>273</v>
      </c>
      <c r="R95" s="25" t="s">
        <v>81</v>
      </c>
      <c r="S95" s="26">
        <v>1</v>
      </c>
      <c r="T95" s="26"/>
      <c r="U95" s="26">
        <f t="shared" si="10"/>
        <v>23030.799999999999</v>
      </c>
      <c r="V95" s="26">
        <f t="shared" si="18"/>
        <v>0</v>
      </c>
      <c r="W95" s="26">
        <f t="shared" si="13"/>
        <v>0</v>
      </c>
      <c r="X95" s="26">
        <f t="shared" si="11"/>
        <v>0</v>
      </c>
      <c r="Y95" s="26">
        <f t="shared" si="14"/>
        <v>0</v>
      </c>
      <c r="Z95" s="33" t="s">
        <v>15</v>
      </c>
      <c r="AA95" s="36" t="s">
        <v>16</v>
      </c>
      <c r="AB95" s="181">
        <f t="shared" si="15"/>
        <v>1</v>
      </c>
      <c r="AC95" s="181">
        <f t="shared" si="12"/>
        <v>23030.799999999999</v>
      </c>
      <c r="AD95" s="181">
        <v>1.2</v>
      </c>
      <c r="AE95" s="181">
        <v>1.2</v>
      </c>
      <c r="AF95" s="101" t="str">
        <f t="shared" si="16"/>
        <v/>
      </c>
      <c r="AG95" s="190">
        <v>0</v>
      </c>
      <c r="AH95" s="69">
        <f t="shared" si="17"/>
        <v>1</v>
      </c>
    </row>
    <row r="96" spans="1:34" s="69" customFormat="1" ht="33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>
        <v>18605.919999999998</v>
      </c>
      <c r="I96" s="75">
        <v>37211.839999999997</v>
      </c>
      <c r="J96" s="91" t="s">
        <v>277</v>
      </c>
      <c r="K96" s="73"/>
      <c r="L96" s="46">
        <v>0</v>
      </c>
      <c r="M96" s="46">
        <v>0</v>
      </c>
      <c r="N96" s="46">
        <v>0</v>
      </c>
      <c r="O96" s="98"/>
      <c r="P96" s="23" t="s">
        <v>1460</v>
      </c>
      <c r="Q96" s="24" t="s">
        <v>276</v>
      </c>
      <c r="R96" s="25" t="s">
        <v>81</v>
      </c>
      <c r="S96" s="26">
        <v>2</v>
      </c>
      <c r="T96" s="26"/>
      <c r="U96" s="26">
        <f t="shared" si="10"/>
        <v>18605.919999999998</v>
      </c>
      <c r="V96" s="26">
        <f t="shared" si="18"/>
        <v>0</v>
      </c>
      <c r="W96" s="26">
        <f t="shared" si="13"/>
        <v>0</v>
      </c>
      <c r="X96" s="26">
        <f t="shared" si="11"/>
        <v>0</v>
      </c>
      <c r="Y96" s="26">
        <f t="shared" si="14"/>
        <v>0</v>
      </c>
      <c r="Z96" s="33" t="s">
        <v>15</v>
      </c>
      <c r="AA96" s="36" t="s">
        <v>16</v>
      </c>
      <c r="AB96" s="181">
        <f t="shared" si="15"/>
        <v>2</v>
      </c>
      <c r="AC96" s="181">
        <f t="shared" si="12"/>
        <v>37211.839999999997</v>
      </c>
      <c r="AD96" s="181">
        <v>1.2</v>
      </c>
      <c r="AE96" s="181">
        <v>1.2</v>
      </c>
      <c r="AF96" s="101" t="str">
        <f t="shared" si="16"/>
        <v/>
      </c>
      <c r="AG96" s="190">
        <v>0</v>
      </c>
      <c r="AH96" s="69">
        <f t="shared" si="17"/>
        <v>2</v>
      </c>
    </row>
    <row r="97" spans="1:34" s="69" customFormat="1" ht="33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>
        <v>18605.919999999998</v>
      </c>
      <c r="I97" s="75">
        <v>18605.919999999998</v>
      </c>
      <c r="J97" s="91" t="s">
        <v>280</v>
      </c>
      <c r="K97" s="73"/>
      <c r="L97" s="46">
        <v>0</v>
      </c>
      <c r="M97" s="46">
        <v>0</v>
      </c>
      <c r="N97" s="46">
        <v>0</v>
      </c>
      <c r="O97" s="98"/>
      <c r="P97" s="23" t="s">
        <v>1461</v>
      </c>
      <c r="Q97" s="24" t="s">
        <v>279</v>
      </c>
      <c r="R97" s="25" t="s">
        <v>81</v>
      </c>
      <c r="S97" s="26">
        <v>1</v>
      </c>
      <c r="T97" s="26"/>
      <c r="U97" s="26">
        <f t="shared" si="10"/>
        <v>18605.919999999998</v>
      </c>
      <c r="V97" s="26">
        <f t="shared" si="18"/>
        <v>0</v>
      </c>
      <c r="W97" s="26">
        <f t="shared" si="13"/>
        <v>0</v>
      </c>
      <c r="X97" s="26">
        <f t="shared" si="11"/>
        <v>0</v>
      </c>
      <c r="Y97" s="26">
        <f t="shared" si="14"/>
        <v>0</v>
      </c>
      <c r="Z97" s="33" t="s">
        <v>15</v>
      </c>
      <c r="AA97" s="36" t="s">
        <v>16</v>
      </c>
      <c r="AB97" s="181">
        <f t="shared" si="15"/>
        <v>1</v>
      </c>
      <c r="AC97" s="181">
        <f t="shared" si="12"/>
        <v>18605.919999999998</v>
      </c>
      <c r="AD97" s="181">
        <v>1.2</v>
      </c>
      <c r="AE97" s="181">
        <v>1.2</v>
      </c>
      <c r="AF97" s="101" t="str">
        <f t="shared" si="16"/>
        <v/>
      </c>
      <c r="AG97" s="190">
        <v>0</v>
      </c>
      <c r="AH97" s="69">
        <f t="shared" si="17"/>
        <v>1</v>
      </c>
    </row>
    <row r="98" spans="1:34" s="69" customFormat="1" ht="33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>
        <v>11655.48</v>
      </c>
      <c r="I98" s="75">
        <v>34966.44</v>
      </c>
      <c r="J98" s="91" t="s">
        <v>283</v>
      </c>
      <c r="K98" s="73"/>
      <c r="L98" s="46">
        <v>0</v>
      </c>
      <c r="M98" s="46">
        <v>0</v>
      </c>
      <c r="N98" s="46">
        <v>0</v>
      </c>
      <c r="O98" s="98"/>
      <c r="P98" s="23" t="s">
        <v>1462</v>
      </c>
      <c r="Q98" s="24" t="s">
        <v>282</v>
      </c>
      <c r="R98" s="25" t="s">
        <v>81</v>
      </c>
      <c r="S98" s="26">
        <v>3</v>
      </c>
      <c r="T98" s="26"/>
      <c r="U98" s="26">
        <f t="shared" si="10"/>
        <v>11655.48</v>
      </c>
      <c r="V98" s="26">
        <f t="shared" si="18"/>
        <v>0</v>
      </c>
      <c r="W98" s="26">
        <f t="shared" si="13"/>
        <v>0</v>
      </c>
      <c r="X98" s="26">
        <f t="shared" si="11"/>
        <v>0</v>
      </c>
      <c r="Y98" s="26">
        <f t="shared" si="14"/>
        <v>0</v>
      </c>
      <c r="Z98" s="33" t="s">
        <v>15</v>
      </c>
      <c r="AA98" s="36" t="s">
        <v>16</v>
      </c>
      <c r="AB98" s="181">
        <f t="shared" si="15"/>
        <v>3</v>
      </c>
      <c r="AC98" s="181">
        <f t="shared" si="12"/>
        <v>34966.44</v>
      </c>
      <c r="AD98" s="181">
        <v>1.2</v>
      </c>
      <c r="AE98" s="181">
        <v>1.2</v>
      </c>
      <c r="AF98" s="101" t="str">
        <f t="shared" si="16"/>
        <v/>
      </c>
      <c r="AG98" s="190">
        <v>0</v>
      </c>
      <c r="AH98" s="69">
        <f t="shared" si="17"/>
        <v>3</v>
      </c>
    </row>
    <row r="99" spans="1:34" s="69" customFormat="1" ht="33" x14ac:dyDescent="0.3">
      <c r="A99" s="55" t="s">
        <v>284</v>
      </c>
      <c r="B99" s="53" t="s">
        <v>285</v>
      </c>
      <c r="C99" s="54" t="s">
        <v>81</v>
      </c>
      <c r="D99" s="75">
        <v>4</v>
      </c>
      <c r="E99" s="75"/>
      <c r="F99" s="75"/>
      <c r="G99" s="75"/>
      <c r="H99" s="75">
        <v>25108.91</v>
      </c>
      <c r="I99" s="75">
        <v>100435.64</v>
      </c>
      <c r="J99" s="91" t="s">
        <v>286</v>
      </c>
      <c r="K99" s="73"/>
      <c r="L99" s="46">
        <v>0</v>
      </c>
      <c r="M99" s="46">
        <v>0</v>
      </c>
      <c r="N99" s="46">
        <v>0</v>
      </c>
      <c r="O99" s="98"/>
      <c r="P99" s="23" t="s">
        <v>1463</v>
      </c>
      <c r="Q99" s="24" t="s">
        <v>285</v>
      </c>
      <c r="R99" s="25" t="s">
        <v>81</v>
      </c>
      <c r="S99" s="26">
        <v>4</v>
      </c>
      <c r="T99" s="26"/>
      <c r="U99" s="26">
        <f t="shared" si="10"/>
        <v>25108.91</v>
      </c>
      <c r="V99" s="26">
        <f t="shared" si="18"/>
        <v>0</v>
      </c>
      <c r="W99" s="26">
        <f t="shared" si="13"/>
        <v>0</v>
      </c>
      <c r="X99" s="26">
        <f t="shared" si="11"/>
        <v>0</v>
      </c>
      <c r="Y99" s="26">
        <f t="shared" si="14"/>
        <v>0</v>
      </c>
      <c r="Z99" s="33" t="s">
        <v>15</v>
      </c>
      <c r="AA99" s="36" t="s">
        <v>16</v>
      </c>
      <c r="AB99" s="181">
        <f t="shared" si="15"/>
        <v>4</v>
      </c>
      <c r="AC99" s="181">
        <f t="shared" si="12"/>
        <v>100435.64</v>
      </c>
      <c r="AD99" s="181">
        <v>1.2</v>
      </c>
      <c r="AE99" s="181">
        <v>1.2</v>
      </c>
      <c r="AF99" s="101" t="str">
        <f t="shared" si="16"/>
        <v/>
      </c>
      <c r="AG99" s="190">
        <v>0</v>
      </c>
      <c r="AH99" s="69">
        <f t="shared" si="17"/>
        <v>4</v>
      </c>
    </row>
    <row r="100" spans="1:34" s="69" customFormat="1" ht="33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>
        <v>22416.92</v>
      </c>
      <c r="I100" s="75">
        <v>112084.6</v>
      </c>
      <c r="J100" s="91" t="s">
        <v>289</v>
      </c>
      <c r="K100" s="73"/>
      <c r="L100" s="46">
        <v>0</v>
      </c>
      <c r="M100" s="46">
        <v>0</v>
      </c>
      <c r="N100" s="46">
        <v>0</v>
      </c>
      <c r="O100" s="98"/>
      <c r="P100" s="23" t="s">
        <v>1464</v>
      </c>
      <c r="Q100" s="24" t="s">
        <v>288</v>
      </c>
      <c r="R100" s="25" t="s">
        <v>81</v>
      </c>
      <c r="S100" s="26">
        <v>5</v>
      </c>
      <c r="T100" s="26"/>
      <c r="U100" s="26">
        <f t="shared" si="10"/>
        <v>22416.92</v>
      </c>
      <c r="V100" s="26">
        <f t="shared" si="18"/>
        <v>0</v>
      </c>
      <c r="W100" s="26">
        <f t="shared" si="13"/>
        <v>0</v>
      </c>
      <c r="X100" s="26">
        <f t="shared" si="11"/>
        <v>0</v>
      </c>
      <c r="Y100" s="26">
        <f t="shared" si="14"/>
        <v>0</v>
      </c>
      <c r="Z100" s="33" t="s">
        <v>15</v>
      </c>
      <c r="AA100" s="36" t="s">
        <v>16</v>
      </c>
      <c r="AB100" s="181">
        <f t="shared" si="15"/>
        <v>5</v>
      </c>
      <c r="AC100" s="181">
        <f t="shared" si="12"/>
        <v>112084.6</v>
      </c>
      <c r="AD100" s="181">
        <v>1.2</v>
      </c>
      <c r="AE100" s="181">
        <v>1.2</v>
      </c>
      <c r="AF100" s="101" t="str">
        <f t="shared" si="16"/>
        <v/>
      </c>
      <c r="AG100" s="190">
        <v>0</v>
      </c>
      <c r="AH100" s="69">
        <f t="shared" si="17"/>
        <v>5</v>
      </c>
    </row>
    <row r="101" spans="1:34" s="69" customFormat="1" ht="33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>
        <v>21724.76</v>
      </c>
      <c r="I101" s="75">
        <v>21724.76</v>
      </c>
      <c r="J101" s="91" t="s">
        <v>292</v>
      </c>
      <c r="K101" s="73"/>
      <c r="L101" s="46">
        <v>0</v>
      </c>
      <c r="M101" s="46">
        <v>0</v>
      </c>
      <c r="N101" s="46">
        <v>0</v>
      </c>
      <c r="O101" s="98"/>
      <c r="P101" s="23" t="s">
        <v>1465</v>
      </c>
      <c r="Q101" s="24" t="s">
        <v>291</v>
      </c>
      <c r="R101" s="25" t="s">
        <v>81</v>
      </c>
      <c r="S101" s="26">
        <v>1</v>
      </c>
      <c r="T101" s="26"/>
      <c r="U101" s="26">
        <f t="shared" si="10"/>
        <v>21724.76</v>
      </c>
      <c r="V101" s="26">
        <f t="shared" si="18"/>
        <v>0</v>
      </c>
      <c r="W101" s="26">
        <f t="shared" si="13"/>
        <v>0</v>
      </c>
      <c r="X101" s="26">
        <f t="shared" si="11"/>
        <v>0</v>
      </c>
      <c r="Y101" s="26">
        <f t="shared" si="14"/>
        <v>0</v>
      </c>
      <c r="Z101" s="33" t="s">
        <v>15</v>
      </c>
      <c r="AA101" s="36" t="s">
        <v>16</v>
      </c>
      <c r="AB101" s="181">
        <f t="shared" si="15"/>
        <v>1</v>
      </c>
      <c r="AC101" s="181">
        <f t="shared" si="12"/>
        <v>21724.76</v>
      </c>
      <c r="AD101" s="181">
        <v>1.2</v>
      </c>
      <c r="AE101" s="181">
        <v>1.2</v>
      </c>
      <c r="AF101" s="101" t="str">
        <f t="shared" si="16"/>
        <v/>
      </c>
      <c r="AG101" s="190">
        <v>0</v>
      </c>
      <c r="AH101" s="69">
        <f t="shared" si="17"/>
        <v>1</v>
      </c>
    </row>
    <row r="102" spans="1:34" s="69" customFormat="1" ht="33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>
        <v>17341.04</v>
      </c>
      <c r="I102" s="75">
        <v>34682.080000000002</v>
      </c>
      <c r="J102" s="91" t="s">
        <v>295</v>
      </c>
      <c r="K102" s="73"/>
      <c r="L102" s="46">
        <v>0</v>
      </c>
      <c r="M102" s="46">
        <v>0</v>
      </c>
      <c r="N102" s="46">
        <v>0</v>
      </c>
      <c r="O102" s="98"/>
      <c r="P102" s="23" t="s">
        <v>1466</v>
      </c>
      <c r="Q102" s="24" t="s">
        <v>294</v>
      </c>
      <c r="R102" s="25" t="s">
        <v>81</v>
      </c>
      <c r="S102" s="26">
        <v>2</v>
      </c>
      <c r="T102" s="26"/>
      <c r="U102" s="26">
        <f t="shared" si="10"/>
        <v>17341.04</v>
      </c>
      <c r="V102" s="26">
        <f t="shared" si="18"/>
        <v>0</v>
      </c>
      <c r="W102" s="26">
        <f t="shared" si="13"/>
        <v>0</v>
      </c>
      <c r="X102" s="26">
        <f t="shared" si="11"/>
        <v>0</v>
      </c>
      <c r="Y102" s="26">
        <f t="shared" si="14"/>
        <v>0</v>
      </c>
      <c r="Z102" s="33" t="s">
        <v>15</v>
      </c>
      <c r="AA102" s="36" t="s">
        <v>16</v>
      </c>
      <c r="AB102" s="181">
        <f t="shared" si="15"/>
        <v>2</v>
      </c>
      <c r="AC102" s="181">
        <f t="shared" si="12"/>
        <v>34682.080000000002</v>
      </c>
      <c r="AD102" s="181">
        <v>1.2</v>
      </c>
      <c r="AE102" s="181">
        <v>1.2</v>
      </c>
      <c r="AF102" s="101" t="str">
        <f t="shared" si="16"/>
        <v/>
      </c>
      <c r="AG102" s="190">
        <v>0</v>
      </c>
      <c r="AH102" s="69">
        <f t="shared" si="17"/>
        <v>2</v>
      </c>
    </row>
    <row r="103" spans="1:34" s="69" customFormat="1" ht="33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>
        <v>17341.04</v>
      </c>
      <c r="I103" s="75">
        <v>17341.04</v>
      </c>
      <c r="J103" s="91" t="s">
        <v>298</v>
      </c>
      <c r="K103" s="73"/>
      <c r="L103" s="46">
        <v>0</v>
      </c>
      <c r="M103" s="46">
        <v>0</v>
      </c>
      <c r="N103" s="46">
        <v>0</v>
      </c>
      <c r="O103" s="98"/>
      <c r="P103" s="23" t="s">
        <v>1467</v>
      </c>
      <c r="Q103" s="24" t="s">
        <v>297</v>
      </c>
      <c r="R103" s="25" t="s">
        <v>81</v>
      </c>
      <c r="S103" s="26">
        <v>1</v>
      </c>
      <c r="T103" s="26"/>
      <c r="U103" s="26">
        <f t="shared" ref="U103:U166" si="19">H103</f>
        <v>17341.04</v>
      </c>
      <c r="V103" s="26">
        <f t="shared" si="18"/>
        <v>0</v>
      </c>
      <c r="W103" s="26">
        <f t="shared" si="13"/>
        <v>0</v>
      </c>
      <c r="X103" s="26">
        <f t="shared" ref="X103:X132" si="20">Y103-N103</f>
        <v>0</v>
      </c>
      <c r="Y103" s="26">
        <f t="shared" si="14"/>
        <v>0</v>
      </c>
      <c r="Z103" s="33" t="s">
        <v>15</v>
      </c>
      <c r="AA103" s="36" t="s">
        <v>16</v>
      </c>
      <c r="AB103" s="181">
        <f t="shared" si="15"/>
        <v>1</v>
      </c>
      <c r="AC103" s="181">
        <f t="shared" si="12"/>
        <v>17341.04</v>
      </c>
      <c r="AD103" s="181">
        <v>1.2</v>
      </c>
      <c r="AE103" s="181">
        <v>1.2</v>
      </c>
      <c r="AF103" s="101" t="str">
        <f t="shared" si="16"/>
        <v/>
      </c>
      <c r="AG103" s="190">
        <v>0</v>
      </c>
      <c r="AH103" s="69">
        <f t="shared" si="17"/>
        <v>1</v>
      </c>
    </row>
    <row r="104" spans="1:34" s="69" customFormat="1" ht="33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>
        <v>17341.04</v>
      </c>
      <c r="I104" s="75">
        <v>104046.24</v>
      </c>
      <c r="J104" s="91" t="s">
        <v>301</v>
      </c>
      <c r="K104" s="73"/>
      <c r="L104" s="46">
        <v>0</v>
      </c>
      <c r="M104" s="46">
        <v>0</v>
      </c>
      <c r="N104" s="46">
        <v>0</v>
      </c>
      <c r="O104" s="98"/>
      <c r="P104" s="23" t="s">
        <v>1468</v>
      </c>
      <c r="Q104" s="24" t="s">
        <v>300</v>
      </c>
      <c r="R104" s="25" t="s">
        <v>81</v>
      </c>
      <c r="S104" s="26">
        <v>6</v>
      </c>
      <c r="T104" s="26"/>
      <c r="U104" s="26">
        <f t="shared" si="19"/>
        <v>17341.04</v>
      </c>
      <c r="V104" s="26">
        <f t="shared" si="18"/>
        <v>0</v>
      </c>
      <c r="W104" s="26">
        <f t="shared" si="13"/>
        <v>0</v>
      </c>
      <c r="X104" s="26">
        <f t="shared" si="20"/>
        <v>0</v>
      </c>
      <c r="Y104" s="26">
        <f t="shared" si="14"/>
        <v>0</v>
      </c>
      <c r="Z104" s="33" t="s">
        <v>15</v>
      </c>
      <c r="AA104" s="36" t="s">
        <v>16</v>
      </c>
      <c r="AB104" s="181">
        <f t="shared" si="15"/>
        <v>6</v>
      </c>
      <c r="AC104" s="181">
        <f t="shared" ref="AC104:AC132" si="21">ROUND(U104*AB104,2)</f>
        <v>104046.24</v>
      </c>
      <c r="AD104" s="181">
        <v>1.2</v>
      </c>
      <c r="AE104" s="181">
        <v>1.2</v>
      </c>
      <c r="AF104" s="101" t="str">
        <f t="shared" si="16"/>
        <v/>
      </c>
      <c r="AG104" s="190">
        <v>0</v>
      </c>
      <c r="AH104" s="69">
        <f t="shared" si="17"/>
        <v>6</v>
      </c>
    </row>
    <row r="105" spans="1:34" s="69" customFormat="1" ht="33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>
        <v>17497.64</v>
      </c>
      <c r="I105" s="75">
        <v>34995.279999999999</v>
      </c>
      <c r="J105" s="91" t="s">
        <v>304</v>
      </c>
      <c r="K105" s="73"/>
      <c r="L105" s="46">
        <v>0</v>
      </c>
      <c r="M105" s="46">
        <v>0</v>
      </c>
      <c r="N105" s="46">
        <v>0</v>
      </c>
      <c r="O105" s="98"/>
      <c r="P105" s="23" t="s">
        <v>1469</v>
      </c>
      <c r="Q105" s="24" t="s">
        <v>303</v>
      </c>
      <c r="R105" s="25" t="s">
        <v>81</v>
      </c>
      <c r="S105" s="26">
        <v>2</v>
      </c>
      <c r="T105" s="26"/>
      <c r="U105" s="26">
        <f t="shared" si="19"/>
        <v>17497.64</v>
      </c>
      <c r="V105" s="26">
        <f t="shared" si="18"/>
        <v>0</v>
      </c>
      <c r="W105" s="26">
        <f t="shared" si="13"/>
        <v>0</v>
      </c>
      <c r="X105" s="26">
        <f t="shared" si="20"/>
        <v>0</v>
      </c>
      <c r="Y105" s="26">
        <f t="shared" si="14"/>
        <v>0</v>
      </c>
      <c r="Z105" s="33" t="s">
        <v>15</v>
      </c>
      <c r="AA105" s="36" t="s">
        <v>16</v>
      </c>
      <c r="AB105" s="181">
        <f t="shared" si="15"/>
        <v>2</v>
      </c>
      <c r="AC105" s="181">
        <f t="shared" si="21"/>
        <v>34995.279999999999</v>
      </c>
      <c r="AD105" s="181">
        <v>1.2</v>
      </c>
      <c r="AE105" s="181">
        <v>1.2</v>
      </c>
      <c r="AF105" s="101" t="str">
        <f t="shared" si="16"/>
        <v/>
      </c>
      <c r="AG105" s="190">
        <v>0</v>
      </c>
      <c r="AH105" s="69">
        <f t="shared" si="17"/>
        <v>2</v>
      </c>
    </row>
    <row r="106" spans="1:34" s="69" customFormat="1" ht="33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>
        <v>1501.74</v>
      </c>
      <c r="I106" s="75">
        <v>3003.48</v>
      </c>
      <c r="J106" s="91" t="s">
        <v>307</v>
      </c>
      <c r="K106" s="73"/>
      <c r="L106" s="46">
        <v>0</v>
      </c>
      <c r="M106" s="46">
        <v>0</v>
      </c>
      <c r="N106" s="46">
        <v>0</v>
      </c>
      <c r="O106" s="98"/>
      <c r="P106" s="23" t="s">
        <v>1470</v>
      </c>
      <c r="Q106" s="24" t="s">
        <v>306</v>
      </c>
      <c r="R106" s="25" t="s">
        <v>81</v>
      </c>
      <c r="S106" s="26">
        <v>2</v>
      </c>
      <c r="T106" s="26"/>
      <c r="U106" s="26">
        <f t="shared" si="19"/>
        <v>1501.74</v>
      </c>
      <c r="V106" s="26">
        <f t="shared" si="18"/>
        <v>0</v>
      </c>
      <c r="W106" s="26">
        <f t="shared" si="13"/>
        <v>0</v>
      </c>
      <c r="X106" s="26">
        <f t="shared" si="20"/>
        <v>0</v>
      </c>
      <c r="Y106" s="26">
        <f t="shared" si="14"/>
        <v>0</v>
      </c>
      <c r="Z106" s="33" t="s">
        <v>15</v>
      </c>
      <c r="AA106" s="36" t="s">
        <v>16</v>
      </c>
      <c r="AB106" s="181">
        <f t="shared" si="15"/>
        <v>2</v>
      </c>
      <c r="AC106" s="181">
        <f t="shared" si="21"/>
        <v>3003.48</v>
      </c>
      <c r="AD106" s="181">
        <v>1.2</v>
      </c>
      <c r="AE106" s="181">
        <v>1.2</v>
      </c>
      <c r="AF106" s="101" t="str">
        <f t="shared" si="16"/>
        <v/>
      </c>
      <c r="AG106" s="190">
        <v>0</v>
      </c>
      <c r="AH106" s="69">
        <f t="shared" si="17"/>
        <v>2</v>
      </c>
    </row>
    <row r="107" spans="1:34" s="69" customFormat="1" ht="33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>
        <v>994.98</v>
      </c>
      <c r="I107" s="75">
        <v>994.98</v>
      </c>
      <c r="J107" s="91" t="s">
        <v>310</v>
      </c>
      <c r="K107" s="73"/>
      <c r="L107" s="46">
        <v>0</v>
      </c>
      <c r="M107" s="46">
        <v>0</v>
      </c>
      <c r="N107" s="46">
        <v>0</v>
      </c>
      <c r="O107" s="98"/>
      <c r="P107" s="23" t="s">
        <v>1471</v>
      </c>
      <c r="Q107" s="24" t="s">
        <v>309</v>
      </c>
      <c r="R107" s="25" t="s">
        <v>81</v>
      </c>
      <c r="S107" s="26">
        <v>1</v>
      </c>
      <c r="T107" s="26"/>
      <c r="U107" s="26">
        <f t="shared" si="19"/>
        <v>994.98</v>
      </c>
      <c r="V107" s="26">
        <f t="shared" si="18"/>
        <v>0</v>
      </c>
      <c r="W107" s="26">
        <f t="shared" si="13"/>
        <v>0</v>
      </c>
      <c r="X107" s="26">
        <f t="shared" si="20"/>
        <v>0</v>
      </c>
      <c r="Y107" s="26">
        <f t="shared" si="14"/>
        <v>0</v>
      </c>
      <c r="Z107" s="33" t="s">
        <v>15</v>
      </c>
      <c r="AA107" s="36" t="s">
        <v>16</v>
      </c>
      <c r="AB107" s="181">
        <f t="shared" si="15"/>
        <v>1</v>
      </c>
      <c r="AC107" s="181">
        <f t="shared" si="21"/>
        <v>994.98</v>
      </c>
      <c r="AD107" s="181">
        <v>1.2</v>
      </c>
      <c r="AE107" s="181">
        <v>1.2</v>
      </c>
      <c r="AF107" s="101" t="str">
        <f t="shared" si="16"/>
        <v/>
      </c>
      <c r="AG107" s="190">
        <v>0</v>
      </c>
      <c r="AH107" s="69">
        <f t="shared" si="17"/>
        <v>1</v>
      </c>
    </row>
    <row r="108" spans="1:34" s="69" customFormat="1" ht="33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>
        <v>331.66</v>
      </c>
      <c r="I108" s="75">
        <v>3979.92</v>
      </c>
      <c r="J108" s="91" t="s">
        <v>313</v>
      </c>
      <c r="K108" s="73"/>
      <c r="L108" s="46">
        <v>0</v>
      </c>
      <c r="M108" s="46">
        <v>0</v>
      </c>
      <c r="N108" s="46">
        <v>0</v>
      </c>
      <c r="O108" s="98"/>
      <c r="P108" s="23" t="s">
        <v>1472</v>
      </c>
      <c r="Q108" s="24" t="s">
        <v>312</v>
      </c>
      <c r="R108" s="25" t="s">
        <v>81</v>
      </c>
      <c r="S108" s="26">
        <v>12</v>
      </c>
      <c r="T108" s="26"/>
      <c r="U108" s="26">
        <f t="shared" si="19"/>
        <v>331.66</v>
      </c>
      <c r="V108" s="26">
        <f t="shared" si="18"/>
        <v>0</v>
      </c>
      <c r="W108" s="26">
        <f t="shared" si="13"/>
        <v>0</v>
      </c>
      <c r="X108" s="26">
        <f t="shared" si="20"/>
        <v>0</v>
      </c>
      <c r="Y108" s="26">
        <f t="shared" si="14"/>
        <v>0</v>
      </c>
      <c r="Z108" s="33" t="s">
        <v>15</v>
      </c>
      <c r="AA108" s="36" t="s">
        <v>16</v>
      </c>
      <c r="AB108" s="181">
        <f t="shared" si="15"/>
        <v>12</v>
      </c>
      <c r="AC108" s="181">
        <f t="shared" si="21"/>
        <v>3979.92</v>
      </c>
      <c r="AD108" s="181">
        <v>1.2</v>
      </c>
      <c r="AE108" s="181">
        <v>1.2</v>
      </c>
      <c r="AF108" s="101" t="str">
        <f t="shared" si="16"/>
        <v/>
      </c>
      <c r="AG108" s="190">
        <v>0</v>
      </c>
      <c r="AH108" s="69">
        <f t="shared" si="17"/>
        <v>12</v>
      </c>
    </row>
    <row r="109" spans="1:34" s="69" customFormat="1" ht="33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>
        <v>1096.44</v>
      </c>
      <c r="I109" s="75">
        <v>2192.88</v>
      </c>
      <c r="J109" s="91" t="s">
        <v>316</v>
      </c>
      <c r="K109" s="73"/>
      <c r="L109" s="46">
        <v>0</v>
      </c>
      <c r="M109" s="46">
        <v>0</v>
      </c>
      <c r="N109" s="46">
        <v>0</v>
      </c>
      <c r="O109" s="98"/>
      <c r="P109" s="23" t="s">
        <v>1473</v>
      </c>
      <c r="Q109" s="24" t="s">
        <v>315</v>
      </c>
      <c r="R109" s="25" t="s">
        <v>81</v>
      </c>
      <c r="S109" s="26">
        <v>2</v>
      </c>
      <c r="T109" s="26"/>
      <c r="U109" s="26">
        <f t="shared" si="19"/>
        <v>1096.44</v>
      </c>
      <c r="V109" s="26">
        <f t="shared" si="18"/>
        <v>0</v>
      </c>
      <c r="W109" s="26">
        <f t="shared" si="13"/>
        <v>0</v>
      </c>
      <c r="X109" s="26">
        <f t="shared" si="20"/>
        <v>0</v>
      </c>
      <c r="Y109" s="26">
        <f t="shared" si="14"/>
        <v>0</v>
      </c>
      <c r="Z109" s="33" t="s">
        <v>15</v>
      </c>
      <c r="AA109" s="36" t="s">
        <v>16</v>
      </c>
      <c r="AB109" s="181">
        <f t="shared" si="15"/>
        <v>2</v>
      </c>
      <c r="AC109" s="181">
        <f t="shared" si="21"/>
        <v>2192.88</v>
      </c>
      <c r="AD109" s="181">
        <v>1.2</v>
      </c>
      <c r="AE109" s="181">
        <v>1.2</v>
      </c>
      <c r="AF109" s="101" t="str">
        <f t="shared" si="16"/>
        <v/>
      </c>
      <c r="AG109" s="190">
        <v>0</v>
      </c>
      <c r="AH109" s="69">
        <f t="shared" si="17"/>
        <v>2</v>
      </c>
    </row>
    <row r="110" spans="1:34" s="69" customFormat="1" ht="33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>
        <v>952.24</v>
      </c>
      <c r="I110" s="75">
        <v>3808.96</v>
      </c>
      <c r="J110" s="91" t="s">
        <v>319</v>
      </c>
      <c r="K110" s="73"/>
      <c r="L110" s="46">
        <v>0</v>
      </c>
      <c r="M110" s="46">
        <v>0</v>
      </c>
      <c r="N110" s="46">
        <v>0</v>
      </c>
      <c r="O110" s="98"/>
      <c r="P110" s="23" t="s">
        <v>1474</v>
      </c>
      <c r="Q110" s="24" t="s">
        <v>318</v>
      </c>
      <c r="R110" s="25" t="s">
        <v>81</v>
      </c>
      <c r="S110" s="26">
        <v>4</v>
      </c>
      <c r="T110" s="26"/>
      <c r="U110" s="26">
        <f t="shared" si="19"/>
        <v>952.24</v>
      </c>
      <c r="V110" s="26">
        <f t="shared" si="18"/>
        <v>0</v>
      </c>
      <c r="W110" s="26">
        <f t="shared" si="13"/>
        <v>0</v>
      </c>
      <c r="X110" s="26">
        <f t="shared" si="20"/>
        <v>0</v>
      </c>
      <c r="Y110" s="26">
        <f t="shared" si="14"/>
        <v>0</v>
      </c>
      <c r="Z110" s="33" t="s">
        <v>15</v>
      </c>
      <c r="AA110" s="36" t="s">
        <v>16</v>
      </c>
      <c r="AB110" s="181">
        <f t="shared" si="15"/>
        <v>4</v>
      </c>
      <c r="AC110" s="181">
        <f t="shared" si="21"/>
        <v>3808.96</v>
      </c>
      <c r="AD110" s="181">
        <v>1.2</v>
      </c>
      <c r="AE110" s="181">
        <v>1.2</v>
      </c>
      <c r="AF110" s="101" t="str">
        <f t="shared" si="16"/>
        <v/>
      </c>
      <c r="AG110" s="190">
        <v>0</v>
      </c>
      <c r="AH110" s="69">
        <f t="shared" si="17"/>
        <v>4</v>
      </c>
    </row>
    <row r="111" spans="1:34" s="69" customFormat="1" ht="58.5" x14ac:dyDescent="0.3">
      <c r="A111" s="55" t="s">
        <v>320</v>
      </c>
      <c r="B111" s="53" t="s">
        <v>321</v>
      </c>
      <c r="C111" s="54" t="s">
        <v>50</v>
      </c>
      <c r="D111" s="75">
        <v>676.98</v>
      </c>
      <c r="E111" s="75">
        <v>773.78</v>
      </c>
      <c r="F111" s="75"/>
      <c r="G111" s="75"/>
      <c r="H111" s="75">
        <v>647.70000000000005</v>
      </c>
      <c r="I111" s="75">
        <v>501177.31</v>
      </c>
      <c r="J111" s="91" t="s">
        <v>322</v>
      </c>
      <c r="K111" s="73"/>
      <c r="L111" s="46">
        <v>239.83</v>
      </c>
      <c r="M111" s="46">
        <v>0</v>
      </c>
      <c r="N111" s="46">
        <v>155337.89000000001</v>
      </c>
      <c r="O111" s="98"/>
      <c r="P111" s="23" t="s">
        <v>1475</v>
      </c>
      <c r="Q111" s="24" t="s">
        <v>321</v>
      </c>
      <c r="R111" s="25" t="s">
        <v>50</v>
      </c>
      <c r="S111" s="26">
        <v>676.98</v>
      </c>
      <c r="T111" s="26">
        <v>773.78</v>
      </c>
      <c r="U111" s="26">
        <f t="shared" si="19"/>
        <v>647.70000000000005</v>
      </c>
      <c r="V111" s="127">
        <f t="shared" si="18"/>
        <v>0</v>
      </c>
      <c r="W111" s="127">
        <f t="shared" si="13"/>
        <v>239.83</v>
      </c>
      <c r="X111" s="127">
        <f t="shared" si="20"/>
        <v>0</v>
      </c>
      <c r="Y111" s="127">
        <f t="shared" si="14"/>
        <v>155337.89000000001</v>
      </c>
      <c r="Z111" s="27" t="s">
        <v>15</v>
      </c>
      <c r="AA111" s="36" t="s">
        <v>16</v>
      </c>
      <c r="AB111" s="181">
        <f t="shared" si="15"/>
        <v>773.78</v>
      </c>
      <c r="AC111" s="181">
        <f t="shared" si="21"/>
        <v>501177.31</v>
      </c>
      <c r="AD111" s="181">
        <v>1.2</v>
      </c>
      <c r="AE111" s="181">
        <v>1.2</v>
      </c>
      <c r="AF111" s="101" t="str">
        <f t="shared" si="16"/>
        <v/>
      </c>
      <c r="AG111" s="190">
        <v>239.83</v>
      </c>
      <c r="AH111" s="69">
        <f t="shared" si="17"/>
        <v>773.78</v>
      </c>
    </row>
    <row r="112" spans="1:34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>
        <v>10413.299999999999</v>
      </c>
      <c r="I112" s="75">
        <v>20826.599999999999</v>
      </c>
      <c r="J112" s="91" t="s">
        <v>326</v>
      </c>
      <c r="K112" s="73"/>
      <c r="L112" s="46">
        <v>0</v>
      </c>
      <c r="M112" s="46">
        <v>0</v>
      </c>
      <c r="N112" s="46">
        <v>0</v>
      </c>
      <c r="O112" s="98"/>
      <c r="P112" s="23" t="s">
        <v>1476</v>
      </c>
      <c r="Q112" s="24" t="s">
        <v>324</v>
      </c>
      <c r="R112" s="25" t="s">
        <v>325</v>
      </c>
      <c r="S112" s="26">
        <v>2</v>
      </c>
      <c r="T112" s="26"/>
      <c r="U112" s="26">
        <f t="shared" si="19"/>
        <v>10413.299999999999</v>
      </c>
      <c r="V112" s="26">
        <f t="shared" si="18"/>
        <v>0</v>
      </c>
      <c r="W112" s="26">
        <f t="shared" si="13"/>
        <v>0</v>
      </c>
      <c r="X112" s="26">
        <f t="shared" si="20"/>
        <v>0</v>
      </c>
      <c r="Y112" s="26">
        <f t="shared" si="14"/>
        <v>0</v>
      </c>
      <c r="Z112" s="33" t="s">
        <v>15</v>
      </c>
      <c r="AA112" s="36" t="s">
        <v>16</v>
      </c>
      <c r="AB112" s="181">
        <f t="shared" si="15"/>
        <v>2</v>
      </c>
      <c r="AC112" s="181">
        <f t="shared" si="21"/>
        <v>20826.599999999999</v>
      </c>
      <c r="AD112" s="181">
        <v>1.2</v>
      </c>
      <c r="AE112" s="181">
        <v>1.2</v>
      </c>
      <c r="AF112" s="101" t="str">
        <f t="shared" si="16"/>
        <v/>
      </c>
      <c r="AG112" s="190">
        <v>0</v>
      </c>
      <c r="AH112" s="69">
        <f t="shared" si="17"/>
        <v>2</v>
      </c>
    </row>
    <row r="113" spans="1:34" s="69" customFormat="1" ht="33" x14ac:dyDescent="0.3">
      <c r="A113" s="130" t="s">
        <v>327</v>
      </c>
      <c r="B113" s="131" t="s">
        <v>328</v>
      </c>
      <c r="C113" s="132" t="s">
        <v>81</v>
      </c>
      <c r="D113" s="133">
        <v>1</v>
      </c>
      <c r="E113" s="75"/>
      <c r="F113" s="75"/>
      <c r="G113" s="75"/>
      <c r="H113" s="75">
        <v>101421.35</v>
      </c>
      <c r="I113" s="75">
        <v>101421.35</v>
      </c>
      <c r="J113" s="91" t="s">
        <v>329</v>
      </c>
      <c r="K113" s="73"/>
      <c r="L113" s="46">
        <v>0</v>
      </c>
      <c r="M113" s="46">
        <v>0</v>
      </c>
      <c r="N113" s="46">
        <v>0</v>
      </c>
      <c r="O113" s="98"/>
      <c r="P113" s="23" t="s">
        <v>1477</v>
      </c>
      <c r="Q113" s="24" t="s">
        <v>328</v>
      </c>
      <c r="R113" s="25" t="s">
        <v>81</v>
      </c>
      <c r="S113" s="26">
        <v>1</v>
      </c>
      <c r="T113" s="26"/>
      <c r="U113" s="26">
        <f t="shared" si="19"/>
        <v>101421.35</v>
      </c>
      <c r="V113" s="128">
        <f t="shared" si="18"/>
        <v>1</v>
      </c>
      <c r="W113" s="127">
        <f t="shared" si="13"/>
        <v>1</v>
      </c>
      <c r="X113" s="127">
        <f t="shared" si="20"/>
        <v>101421.35</v>
      </c>
      <c r="Y113" s="127">
        <f t="shared" si="14"/>
        <v>101421.35</v>
      </c>
      <c r="Z113" s="33" t="s">
        <v>15</v>
      </c>
      <c r="AA113" s="36" t="s">
        <v>16</v>
      </c>
      <c r="AB113" s="181">
        <f t="shared" si="15"/>
        <v>1</v>
      </c>
      <c r="AC113" s="181">
        <f t="shared" si="21"/>
        <v>101421.35</v>
      </c>
      <c r="AD113" s="181">
        <v>1.2</v>
      </c>
      <c r="AE113" s="181">
        <v>1.2</v>
      </c>
      <c r="AF113" s="101" t="str">
        <f t="shared" si="16"/>
        <v/>
      </c>
      <c r="AG113" s="190">
        <f>1</f>
        <v>1</v>
      </c>
      <c r="AH113" s="69">
        <f t="shared" si="17"/>
        <v>1</v>
      </c>
    </row>
    <row r="114" spans="1:34" s="69" customFormat="1" ht="33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>
        <v>4575.26</v>
      </c>
      <c r="I114" s="75">
        <v>13725.78</v>
      </c>
      <c r="J114" s="91" t="s">
        <v>332</v>
      </c>
      <c r="K114" s="73"/>
      <c r="L114" s="46">
        <v>0</v>
      </c>
      <c r="M114" s="46">
        <v>0</v>
      </c>
      <c r="N114" s="46">
        <v>0</v>
      </c>
      <c r="O114" s="98"/>
      <c r="P114" s="23" t="s">
        <v>1478</v>
      </c>
      <c r="Q114" s="24" t="s">
        <v>331</v>
      </c>
      <c r="R114" s="25" t="s">
        <v>325</v>
      </c>
      <c r="S114" s="26">
        <v>3</v>
      </c>
      <c r="T114" s="26"/>
      <c r="U114" s="26">
        <f t="shared" si="19"/>
        <v>4575.26</v>
      </c>
      <c r="V114" s="26">
        <f t="shared" si="18"/>
        <v>0</v>
      </c>
      <c r="W114" s="26">
        <f t="shared" si="13"/>
        <v>0</v>
      </c>
      <c r="X114" s="26">
        <f t="shared" si="20"/>
        <v>0</v>
      </c>
      <c r="Y114" s="26">
        <f t="shared" si="14"/>
        <v>0</v>
      </c>
      <c r="Z114" s="33" t="s">
        <v>15</v>
      </c>
      <c r="AA114" s="36" t="s">
        <v>16</v>
      </c>
      <c r="AB114" s="181">
        <f t="shared" si="15"/>
        <v>3</v>
      </c>
      <c r="AC114" s="181">
        <f t="shared" si="21"/>
        <v>13725.78</v>
      </c>
      <c r="AD114" s="181">
        <v>1.2</v>
      </c>
      <c r="AE114" s="181">
        <v>1.2</v>
      </c>
      <c r="AF114" s="101" t="str">
        <f t="shared" si="16"/>
        <v/>
      </c>
      <c r="AG114" s="190">
        <v>0</v>
      </c>
      <c r="AH114" s="69">
        <f t="shared" si="17"/>
        <v>3</v>
      </c>
    </row>
    <row r="115" spans="1:34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>
        <v>12634.43</v>
      </c>
      <c r="I115" s="75">
        <v>12634.43</v>
      </c>
      <c r="J115" s="91" t="s">
        <v>335</v>
      </c>
      <c r="K115" s="73"/>
      <c r="L115" s="46">
        <v>0</v>
      </c>
      <c r="M115" s="46">
        <v>0</v>
      </c>
      <c r="N115" s="46">
        <v>0</v>
      </c>
      <c r="O115" s="98"/>
      <c r="P115" s="23" t="s">
        <v>1479</v>
      </c>
      <c r="Q115" s="24" t="s">
        <v>334</v>
      </c>
      <c r="R115" s="25" t="s">
        <v>81</v>
      </c>
      <c r="S115" s="26">
        <v>1</v>
      </c>
      <c r="T115" s="26"/>
      <c r="U115" s="26">
        <f t="shared" si="19"/>
        <v>12634.43</v>
      </c>
      <c r="V115" s="26">
        <f t="shared" si="18"/>
        <v>0</v>
      </c>
      <c r="W115" s="26">
        <f t="shared" si="13"/>
        <v>0</v>
      </c>
      <c r="X115" s="26">
        <f t="shared" si="20"/>
        <v>0</v>
      </c>
      <c r="Y115" s="26">
        <f t="shared" si="14"/>
        <v>0</v>
      </c>
      <c r="Z115" s="33" t="s">
        <v>15</v>
      </c>
      <c r="AA115" s="36" t="s">
        <v>16</v>
      </c>
      <c r="AB115" s="181">
        <f t="shared" si="15"/>
        <v>1</v>
      </c>
      <c r="AC115" s="181">
        <f t="shared" si="21"/>
        <v>12634.43</v>
      </c>
      <c r="AD115" s="181">
        <v>1.2</v>
      </c>
      <c r="AE115" s="181">
        <v>1.2</v>
      </c>
      <c r="AF115" s="101" t="str">
        <f t="shared" si="16"/>
        <v/>
      </c>
      <c r="AG115" s="190">
        <v>0</v>
      </c>
      <c r="AH115" s="69">
        <f t="shared" si="17"/>
        <v>1</v>
      </c>
    </row>
    <row r="116" spans="1:34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>
        <v>15300</v>
      </c>
      <c r="I116" s="75">
        <v>974304</v>
      </c>
      <c r="J116" s="91" t="s">
        <v>339</v>
      </c>
      <c r="K116" s="73"/>
      <c r="L116" s="46">
        <v>0</v>
      </c>
      <c r="M116" s="46">
        <v>0</v>
      </c>
      <c r="N116" s="46">
        <v>0</v>
      </c>
      <c r="O116" s="98"/>
      <c r="P116" s="23" t="s">
        <v>1480</v>
      </c>
      <c r="Q116" s="24" t="s">
        <v>337</v>
      </c>
      <c r="R116" s="25" t="s">
        <v>338</v>
      </c>
      <c r="S116" s="26">
        <v>63.68</v>
      </c>
      <c r="T116" s="26"/>
      <c r="U116" s="26">
        <f t="shared" si="19"/>
        <v>15300</v>
      </c>
      <c r="V116" s="26">
        <f t="shared" si="18"/>
        <v>0</v>
      </c>
      <c r="W116" s="26">
        <f t="shared" si="13"/>
        <v>0</v>
      </c>
      <c r="X116" s="26">
        <f t="shared" si="20"/>
        <v>0</v>
      </c>
      <c r="Y116" s="26">
        <f t="shared" si="14"/>
        <v>0</v>
      </c>
      <c r="Z116" s="33" t="s">
        <v>15</v>
      </c>
      <c r="AA116" s="36" t="s">
        <v>16</v>
      </c>
      <c r="AB116" s="181">
        <f t="shared" si="15"/>
        <v>63.68</v>
      </c>
      <c r="AC116" s="181">
        <f t="shared" si="21"/>
        <v>974304</v>
      </c>
      <c r="AD116" s="181">
        <v>1.2</v>
      </c>
      <c r="AE116" s="181">
        <v>1.2</v>
      </c>
      <c r="AF116" s="101" t="str">
        <f t="shared" si="16"/>
        <v/>
      </c>
      <c r="AG116" s="190">
        <v>0</v>
      </c>
      <c r="AH116" s="69">
        <f t="shared" si="17"/>
        <v>63.68</v>
      </c>
    </row>
    <row r="117" spans="1:34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>
        <v>4498.58</v>
      </c>
      <c r="I117" s="75">
        <v>278911.96000000002</v>
      </c>
      <c r="J117" s="91" t="s">
        <v>342</v>
      </c>
      <c r="K117" s="73"/>
      <c r="L117" s="46">
        <v>8</v>
      </c>
      <c r="M117" s="46">
        <v>0</v>
      </c>
      <c r="N117" s="46">
        <v>35988.639999999999</v>
      </c>
      <c r="O117" s="98"/>
      <c r="P117" s="23" t="s">
        <v>1481</v>
      </c>
      <c r="Q117" s="24" t="s">
        <v>341</v>
      </c>
      <c r="R117" s="25" t="s">
        <v>81</v>
      </c>
      <c r="S117" s="26">
        <v>62</v>
      </c>
      <c r="T117" s="26"/>
      <c r="U117" s="26">
        <f t="shared" si="19"/>
        <v>4498.58</v>
      </c>
      <c r="V117" s="128">
        <f t="shared" si="18"/>
        <v>0</v>
      </c>
      <c r="W117" s="26">
        <f t="shared" si="13"/>
        <v>8</v>
      </c>
      <c r="X117" s="26">
        <f t="shared" si="20"/>
        <v>0</v>
      </c>
      <c r="Y117" s="26">
        <f t="shared" si="14"/>
        <v>35988.639999999999</v>
      </c>
      <c r="Z117" s="33" t="s">
        <v>15</v>
      </c>
      <c r="AA117" s="36" t="s">
        <v>16</v>
      </c>
      <c r="AB117" s="181">
        <f t="shared" si="15"/>
        <v>62</v>
      </c>
      <c r="AC117" s="181">
        <f t="shared" si="21"/>
        <v>278911.96000000002</v>
      </c>
      <c r="AD117" s="181">
        <v>1.2</v>
      </c>
      <c r="AE117" s="181">
        <v>1.2</v>
      </c>
      <c r="AF117" s="101" t="str">
        <f t="shared" si="16"/>
        <v/>
      </c>
      <c r="AG117" s="190">
        <v>8</v>
      </c>
      <c r="AH117" s="69">
        <f t="shared" si="17"/>
        <v>62</v>
      </c>
    </row>
    <row r="118" spans="1:34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>
        <v>3353.68</v>
      </c>
      <c r="I118" s="75">
        <v>50305.2</v>
      </c>
      <c r="J118" s="91" t="s">
        <v>345</v>
      </c>
      <c r="K118" s="73"/>
      <c r="L118" s="46">
        <v>0</v>
      </c>
      <c r="M118" s="46">
        <v>0</v>
      </c>
      <c r="N118" s="46">
        <v>0</v>
      </c>
      <c r="O118" s="98"/>
      <c r="P118" s="23" t="s">
        <v>1482</v>
      </c>
      <c r="Q118" s="24" t="s">
        <v>344</v>
      </c>
      <c r="R118" s="25" t="s">
        <v>81</v>
      </c>
      <c r="S118" s="26">
        <v>15</v>
      </c>
      <c r="T118" s="26"/>
      <c r="U118" s="26">
        <f t="shared" si="19"/>
        <v>3353.68</v>
      </c>
      <c r="V118" s="26">
        <f t="shared" si="18"/>
        <v>0</v>
      </c>
      <c r="W118" s="26">
        <f t="shared" si="13"/>
        <v>0</v>
      </c>
      <c r="X118" s="26">
        <f t="shared" si="20"/>
        <v>0</v>
      </c>
      <c r="Y118" s="26">
        <f t="shared" si="14"/>
        <v>0</v>
      </c>
      <c r="Z118" s="33" t="s">
        <v>15</v>
      </c>
      <c r="AA118" s="36" t="s">
        <v>16</v>
      </c>
      <c r="AB118" s="181">
        <f t="shared" si="15"/>
        <v>15</v>
      </c>
      <c r="AC118" s="181">
        <f t="shared" si="21"/>
        <v>50305.2</v>
      </c>
      <c r="AD118" s="181">
        <v>1.2</v>
      </c>
      <c r="AE118" s="181">
        <v>1.2</v>
      </c>
      <c r="AF118" s="101" t="str">
        <f t="shared" si="16"/>
        <v/>
      </c>
      <c r="AG118" s="190">
        <v>0</v>
      </c>
      <c r="AH118" s="69">
        <f t="shared" si="17"/>
        <v>15</v>
      </c>
    </row>
    <row r="119" spans="1:34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>
        <v>9874.4</v>
      </c>
      <c r="I119" s="75">
        <v>128367.2</v>
      </c>
      <c r="J119" s="91" t="s">
        <v>348</v>
      </c>
      <c r="K119" s="73"/>
      <c r="L119" s="46">
        <v>0</v>
      </c>
      <c r="M119" s="46">
        <v>0</v>
      </c>
      <c r="N119" s="46">
        <v>0</v>
      </c>
      <c r="O119" s="98"/>
      <c r="P119" s="23" t="s">
        <v>1483</v>
      </c>
      <c r="Q119" s="24" t="s">
        <v>347</v>
      </c>
      <c r="R119" s="25" t="s">
        <v>30</v>
      </c>
      <c r="S119" s="26">
        <v>13</v>
      </c>
      <c r="T119" s="26"/>
      <c r="U119" s="26">
        <f t="shared" si="19"/>
        <v>9874.4</v>
      </c>
      <c r="V119" s="26">
        <f t="shared" si="18"/>
        <v>0</v>
      </c>
      <c r="W119" s="26">
        <f t="shared" si="13"/>
        <v>0</v>
      </c>
      <c r="X119" s="26">
        <f t="shared" si="20"/>
        <v>0</v>
      </c>
      <c r="Y119" s="26">
        <f t="shared" si="14"/>
        <v>0</v>
      </c>
      <c r="Z119" s="33" t="s">
        <v>15</v>
      </c>
      <c r="AA119" s="36" t="s">
        <v>16</v>
      </c>
      <c r="AB119" s="181">
        <f t="shared" si="15"/>
        <v>13</v>
      </c>
      <c r="AC119" s="181">
        <f t="shared" si="21"/>
        <v>128367.2</v>
      </c>
      <c r="AD119" s="181">
        <v>1.2</v>
      </c>
      <c r="AE119" s="181">
        <v>1.2</v>
      </c>
      <c r="AF119" s="101" t="str">
        <f t="shared" si="16"/>
        <v/>
      </c>
      <c r="AG119" s="190">
        <v>0</v>
      </c>
      <c r="AH119" s="69">
        <f t="shared" si="17"/>
        <v>13</v>
      </c>
    </row>
    <row r="120" spans="1:34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>
        <v>6554.37</v>
      </c>
      <c r="I120" s="75">
        <v>273317.23</v>
      </c>
      <c r="J120" s="91" t="s">
        <v>351</v>
      </c>
      <c r="K120" s="73"/>
      <c r="L120" s="46">
        <v>0</v>
      </c>
      <c r="M120" s="46">
        <v>0</v>
      </c>
      <c r="N120" s="46">
        <v>0</v>
      </c>
      <c r="O120" s="98"/>
      <c r="P120" s="23" t="s">
        <v>1484</v>
      </c>
      <c r="Q120" s="24" t="s">
        <v>350</v>
      </c>
      <c r="R120" s="25" t="s">
        <v>30</v>
      </c>
      <c r="S120" s="26">
        <v>41.7</v>
      </c>
      <c r="T120" s="26"/>
      <c r="U120" s="26">
        <f t="shared" si="19"/>
        <v>6554.37</v>
      </c>
      <c r="V120" s="26">
        <f t="shared" si="18"/>
        <v>0</v>
      </c>
      <c r="W120" s="26">
        <f t="shared" si="13"/>
        <v>0</v>
      </c>
      <c r="X120" s="26">
        <f t="shared" si="20"/>
        <v>0</v>
      </c>
      <c r="Y120" s="26">
        <f t="shared" si="14"/>
        <v>0</v>
      </c>
      <c r="Z120" s="33" t="s">
        <v>15</v>
      </c>
      <c r="AA120" s="36" t="s">
        <v>16</v>
      </c>
      <c r="AB120" s="181">
        <f t="shared" si="15"/>
        <v>41.7</v>
      </c>
      <c r="AC120" s="181">
        <f t="shared" si="21"/>
        <v>273317.23</v>
      </c>
      <c r="AD120" s="181">
        <v>1.2</v>
      </c>
      <c r="AE120" s="181">
        <v>1.2</v>
      </c>
      <c r="AF120" s="101" t="str">
        <f t="shared" si="16"/>
        <v/>
      </c>
      <c r="AG120" s="190">
        <v>0</v>
      </c>
      <c r="AH120" s="69">
        <f t="shared" si="17"/>
        <v>41.7</v>
      </c>
    </row>
    <row r="121" spans="1:34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>
        <v>8390.73</v>
      </c>
      <c r="I121" s="75">
        <v>10907.95</v>
      </c>
      <c r="J121" s="91" t="s">
        <v>354</v>
      </c>
      <c r="K121" s="73"/>
      <c r="L121" s="46">
        <v>0</v>
      </c>
      <c r="M121" s="46">
        <v>0</v>
      </c>
      <c r="N121" s="46">
        <v>0</v>
      </c>
      <c r="O121" s="98"/>
      <c r="P121" s="23" t="s">
        <v>1485</v>
      </c>
      <c r="Q121" s="24" t="s">
        <v>353</v>
      </c>
      <c r="R121" s="25" t="s">
        <v>30</v>
      </c>
      <c r="S121" s="26">
        <v>1.3</v>
      </c>
      <c r="T121" s="26"/>
      <c r="U121" s="26">
        <f t="shared" si="19"/>
        <v>8390.73</v>
      </c>
      <c r="V121" s="26">
        <f t="shared" si="18"/>
        <v>0</v>
      </c>
      <c r="W121" s="26">
        <f t="shared" si="13"/>
        <v>0</v>
      </c>
      <c r="X121" s="26">
        <f t="shared" si="20"/>
        <v>0</v>
      </c>
      <c r="Y121" s="26">
        <f t="shared" si="14"/>
        <v>0</v>
      </c>
      <c r="Z121" s="33" t="s">
        <v>15</v>
      </c>
      <c r="AA121" s="36" t="s">
        <v>16</v>
      </c>
      <c r="AB121" s="181">
        <f t="shared" si="15"/>
        <v>1.3</v>
      </c>
      <c r="AC121" s="181">
        <f t="shared" si="21"/>
        <v>10907.95</v>
      </c>
      <c r="AD121" s="181">
        <v>1.2</v>
      </c>
      <c r="AE121" s="181">
        <v>1.2</v>
      </c>
      <c r="AF121" s="101" t="str">
        <f t="shared" si="16"/>
        <v/>
      </c>
      <c r="AG121" s="190">
        <v>0</v>
      </c>
      <c r="AH121" s="69">
        <f t="shared" si="17"/>
        <v>1.3</v>
      </c>
    </row>
    <row r="122" spans="1:34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>
        <v>671.99</v>
      </c>
      <c r="I122" s="75">
        <v>82184.38</v>
      </c>
      <c r="J122" s="91" t="s">
        <v>357</v>
      </c>
      <c r="K122" s="73"/>
      <c r="L122" s="46">
        <v>0</v>
      </c>
      <c r="M122" s="46">
        <v>0</v>
      </c>
      <c r="N122" s="46">
        <v>0</v>
      </c>
      <c r="O122" s="98"/>
      <c r="P122" s="23" t="s">
        <v>1486</v>
      </c>
      <c r="Q122" s="24" t="s">
        <v>356</v>
      </c>
      <c r="R122" s="25" t="s">
        <v>30</v>
      </c>
      <c r="S122" s="26">
        <v>122.3</v>
      </c>
      <c r="T122" s="26"/>
      <c r="U122" s="26">
        <f t="shared" si="19"/>
        <v>671.99</v>
      </c>
      <c r="V122" s="26">
        <f t="shared" si="18"/>
        <v>0</v>
      </c>
      <c r="W122" s="26">
        <f t="shared" si="13"/>
        <v>0</v>
      </c>
      <c r="X122" s="26">
        <f t="shared" si="20"/>
        <v>0</v>
      </c>
      <c r="Y122" s="26">
        <f t="shared" si="14"/>
        <v>0</v>
      </c>
      <c r="Z122" s="33" t="s">
        <v>15</v>
      </c>
      <c r="AA122" s="36" t="s">
        <v>16</v>
      </c>
      <c r="AB122" s="181">
        <f t="shared" si="15"/>
        <v>122.3</v>
      </c>
      <c r="AC122" s="181">
        <f t="shared" si="21"/>
        <v>82184.38</v>
      </c>
      <c r="AD122" s="181">
        <v>1.2</v>
      </c>
      <c r="AE122" s="181">
        <v>1.2</v>
      </c>
      <c r="AF122" s="101" t="str">
        <f t="shared" si="16"/>
        <v/>
      </c>
      <c r="AG122" s="190">
        <v>0</v>
      </c>
      <c r="AH122" s="69">
        <f t="shared" si="17"/>
        <v>122.3</v>
      </c>
    </row>
    <row r="123" spans="1:34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>
        <v>935.67</v>
      </c>
      <c r="I123" s="75">
        <v>94512.03</v>
      </c>
      <c r="J123" s="91" t="s">
        <v>360</v>
      </c>
      <c r="K123" s="73"/>
      <c r="L123" s="46">
        <v>0</v>
      </c>
      <c r="M123" s="46">
        <v>0</v>
      </c>
      <c r="N123" s="46">
        <v>0</v>
      </c>
      <c r="O123" s="98"/>
      <c r="P123" s="23" t="s">
        <v>1487</v>
      </c>
      <c r="Q123" s="24" t="s">
        <v>359</v>
      </c>
      <c r="R123" s="25" t="s">
        <v>30</v>
      </c>
      <c r="S123" s="26">
        <v>101.01</v>
      </c>
      <c r="T123" s="26"/>
      <c r="U123" s="26">
        <f t="shared" si="19"/>
        <v>935.67</v>
      </c>
      <c r="V123" s="26">
        <f t="shared" si="18"/>
        <v>0</v>
      </c>
      <c r="W123" s="26">
        <f t="shared" si="13"/>
        <v>0</v>
      </c>
      <c r="X123" s="26">
        <f t="shared" si="20"/>
        <v>0</v>
      </c>
      <c r="Y123" s="26">
        <f t="shared" si="14"/>
        <v>0</v>
      </c>
      <c r="Z123" s="33" t="s">
        <v>15</v>
      </c>
      <c r="AA123" s="36" t="s">
        <v>16</v>
      </c>
      <c r="AB123" s="181">
        <f t="shared" si="15"/>
        <v>101.01</v>
      </c>
      <c r="AC123" s="181">
        <f t="shared" si="21"/>
        <v>94512.03</v>
      </c>
      <c r="AD123" s="181">
        <v>1.2</v>
      </c>
      <c r="AE123" s="181">
        <v>1.2</v>
      </c>
      <c r="AF123" s="101" t="str">
        <f t="shared" si="16"/>
        <v/>
      </c>
      <c r="AG123" s="190">
        <v>0</v>
      </c>
      <c r="AH123" s="69">
        <f t="shared" si="17"/>
        <v>101.01</v>
      </c>
    </row>
    <row r="124" spans="1:34" s="69" customFormat="1" ht="33" x14ac:dyDescent="0.3">
      <c r="A124" s="55" t="s">
        <v>361</v>
      </c>
      <c r="B124" s="53" t="s">
        <v>362</v>
      </c>
      <c r="C124" s="54" t="s">
        <v>30</v>
      </c>
      <c r="D124" s="75">
        <v>489</v>
      </c>
      <c r="E124" s="75"/>
      <c r="F124" s="75"/>
      <c r="G124" s="75"/>
      <c r="H124" s="75">
        <v>658.31</v>
      </c>
      <c r="I124" s="75">
        <v>321913.59000000003</v>
      </c>
      <c r="J124" s="91" t="s">
        <v>363</v>
      </c>
      <c r="K124" s="73"/>
      <c r="L124" s="46">
        <v>30</v>
      </c>
      <c r="M124" s="46">
        <v>0</v>
      </c>
      <c r="N124" s="46">
        <v>19749.3</v>
      </c>
      <c r="O124" s="98"/>
      <c r="P124" s="23" t="s">
        <v>1488</v>
      </c>
      <c r="Q124" s="24" t="s">
        <v>362</v>
      </c>
      <c r="R124" s="25" t="s">
        <v>30</v>
      </c>
      <c r="S124" s="26">
        <v>489</v>
      </c>
      <c r="T124" s="26"/>
      <c r="U124" s="26">
        <f t="shared" si="19"/>
        <v>658.31</v>
      </c>
      <c r="V124" s="128">
        <f t="shared" si="18"/>
        <v>102</v>
      </c>
      <c r="W124" s="26">
        <f t="shared" si="13"/>
        <v>132</v>
      </c>
      <c r="X124" s="26">
        <f t="shared" si="20"/>
        <v>67147.62</v>
      </c>
      <c r="Y124" s="26">
        <f t="shared" si="14"/>
        <v>86896.92</v>
      </c>
      <c r="Z124" s="33" t="s">
        <v>15</v>
      </c>
      <c r="AA124" s="36" t="s">
        <v>16</v>
      </c>
      <c r="AB124" s="181">
        <f t="shared" si="15"/>
        <v>489</v>
      </c>
      <c r="AC124" s="181">
        <f t="shared" si="21"/>
        <v>321913.59000000003</v>
      </c>
      <c r="AD124" s="181">
        <v>1.2</v>
      </c>
      <c r="AE124" s="181">
        <v>1.2</v>
      </c>
      <c r="AF124" s="101" t="str">
        <f t="shared" si="16"/>
        <v/>
      </c>
      <c r="AG124" s="190">
        <f>30+102</f>
        <v>132</v>
      </c>
      <c r="AH124" s="69">
        <f t="shared" si="17"/>
        <v>489</v>
      </c>
    </row>
    <row r="125" spans="1:34" s="69" customFormat="1" ht="33" x14ac:dyDescent="0.3">
      <c r="A125" s="55" t="s">
        <v>364</v>
      </c>
      <c r="B125" s="53" t="s">
        <v>3111</v>
      </c>
      <c r="C125" s="54" t="s">
        <v>30</v>
      </c>
      <c r="D125" s="75">
        <v>216</v>
      </c>
      <c r="E125" s="75"/>
      <c r="F125" s="75"/>
      <c r="G125" s="75"/>
      <c r="H125" s="75">
        <v>730.41</v>
      </c>
      <c r="I125" s="75">
        <v>157768.56</v>
      </c>
      <c r="J125" s="91" t="s">
        <v>366</v>
      </c>
      <c r="K125" s="73"/>
      <c r="L125" s="46">
        <v>120</v>
      </c>
      <c r="M125" s="46">
        <v>0</v>
      </c>
      <c r="N125" s="46">
        <v>87649.2</v>
      </c>
      <c r="O125" s="98"/>
      <c r="P125" s="23" t="s">
        <v>1489</v>
      </c>
      <c r="Q125" s="24" t="s">
        <v>365</v>
      </c>
      <c r="R125" s="25" t="s">
        <v>30</v>
      </c>
      <c r="S125" s="26">
        <v>216</v>
      </c>
      <c r="T125" s="26"/>
      <c r="U125" s="26">
        <f t="shared" si="19"/>
        <v>730.41</v>
      </c>
      <c r="V125" s="128">
        <f t="shared" si="18"/>
        <v>0</v>
      </c>
      <c r="W125" s="26">
        <f t="shared" si="13"/>
        <v>120</v>
      </c>
      <c r="X125" s="26">
        <f t="shared" si="20"/>
        <v>0</v>
      </c>
      <c r="Y125" s="26">
        <f t="shared" si="14"/>
        <v>87649.2</v>
      </c>
      <c r="Z125" s="33" t="s">
        <v>15</v>
      </c>
      <c r="AA125" s="36" t="s">
        <v>16</v>
      </c>
      <c r="AB125" s="181">
        <f t="shared" si="15"/>
        <v>216</v>
      </c>
      <c r="AC125" s="181">
        <f t="shared" si="21"/>
        <v>157768.56</v>
      </c>
      <c r="AD125" s="181">
        <v>1.2</v>
      </c>
      <c r="AE125" s="181">
        <v>1.2</v>
      </c>
      <c r="AF125" s="101" t="str">
        <f t="shared" si="16"/>
        <v/>
      </c>
      <c r="AG125" s="190">
        <v>120</v>
      </c>
      <c r="AH125" s="69">
        <f t="shared" si="17"/>
        <v>216</v>
      </c>
    </row>
    <row r="126" spans="1:34" s="69" customFormat="1" ht="33" x14ac:dyDescent="0.3">
      <c r="A126" s="55" t="s">
        <v>367</v>
      </c>
      <c r="B126" s="53" t="s">
        <v>368</v>
      </c>
      <c r="C126" s="54" t="s">
        <v>30</v>
      </c>
      <c r="D126" s="75">
        <v>45.16</v>
      </c>
      <c r="E126" s="75"/>
      <c r="F126" s="75"/>
      <c r="G126" s="75"/>
      <c r="H126" s="75">
        <v>406.4</v>
      </c>
      <c r="I126" s="75">
        <v>18353.02</v>
      </c>
      <c r="J126" s="91" t="s">
        <v>369</v>
      </c>
      <c r="K126" s="73"/>
      <c r="L126" s="46">
        <v>0</v>
      </c>
      <c r="M126" s="46">
        <v>0</v>
      </c>
      <c r="N126" s="46">
        <v>0</v>
      </c>
      <c r="O126" s="98"/>
      <c r="P126" s="23" t="s">
        <v>1398</v>
      </c>
      <c r="Q126" s="24" t="s">
        <v>368</v>
      </c>
      <c r="R126" s="25" t="s">
        <v>30</v>
      </c>
      <c r="S126" s="26">
        <v>45.16</v>
      </c>
      <c r="T126" s="26"/>
      <c r="U126" s="26">
        <f t="shared" si="19"/>
        <v>406.4</v>
      </c>
      <c r="V126" s="26">
        <f t="shared" si="18"/>
        <v>0</v>
      </c>
      <c r="W126" s="26">
        <f t="shared" si="13"/>
        <v>0</v>
      </c>
      <c r="X126" s="26">
        <f t="shared" si="20"/>
        <v>0</v>
      </c>
      <c r="Y126" s="26">
        <f t="shared" si="14"/>
        <v>0</v>
      </c>
      <c r="Z126" s="33" t="s">
        <v>15</v>
      </c>
      <c r="AA126" s="36" t="s">
        <v>16</v>
      </c>
      <c r="AB126" s="181">
        <f t="shared" si="15"/>
        <v>45.16</v>
      </c>
      <c r="AC126" s="181">
        <f t="shared" si="21"/>
        <v>18353.02</v>
      </c>
      <c r="AD126" s="181">
        <v>1.2</v>
      </c>
      <c r="AE126" s="181">
        <v>1.2</v>
      </c>
      <c r="AF126" s="101" t="str">
        <f t="shared" si="16"/>
        <v/>
      </c>
      <c r="AG126" s="190">
        <v>0</v>
      </c>
      <c r="AH126" s="69">
        <f t="shared" si="17"/>
        <v>45.16</v>
      </c>
    </row>
    <row r="127" spans="1:34" s="69" customFormat="1" ht="33" x14ac:dyDescent="0.3">
      <c r="A127" s="55" t="s">
        <v>370</v>
      </c>
      <c r="B127" s="53" t="s">
        <v>371</v>
      </c>
      <c r="C127" s="54" t="s">
        <v>30</v>
      </c>
      <c r="D127" s="75">
        <v>116.8</v>
      </c>
      <c r="E127" s="75"/>
      <c r="F127" s="75"/>
      <c r="G127" s="75"/>
      <c r="H127" s="75">
        <v>457.9</v>
      </c>
      <c r="I127" s="75">
        <v>53482.720000000001</v>
      </c>
      <c r="J127" s="91" t="s">
        <v>372</v>
      </c>
      <c r="K127" s="73"/>
      <c r="L127" s="46">
        <v>0</v>
      </c>
      <c r="M127" s="46">
        <v>0</v>
      </c>
      <c r="N127" s="46">
        <v>0</v>
      </c>
      <c r="O127" s="98"/>
      <c r="P127" s="23" t="s">
        <v>1399</v>
      </c>
      <c r="Q127" s="24" t="s">
        <v>371</v>
      </c>
      <c r="R127" s="25" t="s">
        <v>30</v>
      </c>
      <c r="S127" s="26">
        <v>116.8</v>
      </c>
      <c r="T127" s="26"/>
      <c r="U127" s="26">
        <f t="shared" si="19"/>
        <v>457.9</v>
      </c>
      <c r="V127" s="26">
        <f t="shared" si="18"/>
        <v>0</v>
      </c>
      <c r="W127" s="26">
        <f t="shared" si="13"/>
        <v>0</v>
      </c>
      <c r="X127" s="26">
        <f t="shared" si="20"/>
        <v>0</v>
      </c>
      <c r="Y127" s="26">
        <f t="shared" si="14"/>
        <v>0</v>
      </c>
      <c r="Z127" s="33" t="s">
        <v>15</v>
      </c>
      <c r="AA127" s="36" t="s">
        <v>16</v>
      </c>
      <c r="AB127" s="181">
        <f t="shared" si="15"/>
        <v>116.8</v>
      </c>
      <c r="AC127" s="181">
        <f t="shared" si="21"/>
        <v>53482.720000000001</v>
      </c>
      <c r="AD127" s="181">
        <v>1.2</v>
      </c>
      <c r="AE127" s="181">
        <v>1.2</v>
      </c>
      <c r="AF127" s="101" t="str">
        <f t="shared" si="16"/>
        <v/>
      </c>
      <c r="AG127" s="190">
        <v>0</v>
      </c>
      <c r="AH127" s="69">
        <f t="shared" si="17"/>
        <v>116.8</v>
      </c>
    </row>
    <row r="128" spans="1:34" s="69" customFormat="1" ht="33" x14ac:dyDescent="0.3">
      <c r="A128" s="55" t="s">
        <v>373</v>
      </c>
      <c r="B128" s="53" t="s">
        <v>374</v>
      </c>
      <c r="C128" s="54" t="s">
        <v>30</v>
      </c>
      <c r="D128" s="75">
        <v>25.8</v>
      </c>
      <c r="E128" s="75"/>
      <c r="F128" s="75"/>
      <c r="G128" s="75"/>
      <c r="H128" s="75">
        <v>499.1</v>
      </c>
      <c r="I128" s="75">
        <v>12876.78</v>
      </c>
      <c r="J128" s="91" t="s">
        <v>375</v>
      </c>
      <c r="K128" s="73"/>
      <c r="L128" s="46">
        <v>0</v>
      </c>
      <c r="M128" s="46">
        <v>0</v>
      </c>
      <c r="N128" s="46">
        <v>0</v>
      </c>
      <c r="O128" s="98"/>
      <c r="P128" s="23" t="s">
        <v>1490</v>
      </c>
      <c r="Q128" s="24" t="s">
        <v>374</v>
      </c>
      <c r="R128" s="25" t="s">
        <v>30</v>
      </c>
      <c r="S128" s="26">
        <v>25.8</v>
      </c>
      <c r="T128" s="26"/>
      <c r="U128" s="26">
        <f t="shared" si="19"/>
        <v>499.1</v>
      </c>
      <c r="V128" s="26">
        <f t="shared" si="18"/>
        <v>0</v>
      </c>
      <c r="W128" s="26">
        <f t="shared" si="13"/>
        <v>0</v>
      </c>
      <c r="X128" s="26">
        <f t="shared" si="20"/>
        <v>0</v>
      </c>
      <c r="Y128" s="26">
        <f t="shared" si="14"/>
        <v>0</v>
      </c>
      <c r="Z128" s="33" t="s">
        <v>15</v>
      </c>
      <c r="AA128" s="36" t="s">
        <v>16</v>
      </c>
      <c r="AB128" s="181">
        <f t="shared" si="15"/>
        <v>25.8</v>
      </c>
      <c r="AC128" s="181">
        <f t="shared" si="21"/>
        <v>12876.78</v>
      </c>
      <c r="AD128" s="181">
        <v>1.2</v>
      </c>
      <c r="AE128" s="181">
        <v>1.2</v>
      </c>
      <c r="AF128" s="101" t="str">
        <f t="shared" si="16"/>
        <v/>
      </c>
      <c r="AG128" s="190">
        <v>0</v>
      </c>
      <c r="AH128" s="69">
        <f t="shared" si="17"/>
        <v>25.8</v>
      </c>
    </row>
    <row r="129" spans="1:37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>
        <v>545.85</v>
      </c>
      <c r="I129" s="75">
        <v>29415.86</v>
      </c>
      <c r="J129" s="91" t="s">
        <v>378</v>
      </c>
      <c r="K129" s="73"/>
      <c r="L129" s="46">
        <v>0</v>
      </c>
      <c r="M129" s="46">
        <v>0</v>
      </c>
      <c r="N129" s="46">
        <v>0</v>
      </c>
      <c r="O129" s="98"/>
      <c r="P129" s="23" t="s">
        <v>1491</v>
      </c>
      <c r="Q129" s="24" t="s">
        <v>377</v>
      </c>
      <c r="R129" s="25" t="s">
        <v>30</v>
      </c>
      <c r="S129" s="26">
        <v>53.89</v>
      </c>
      <c r="T129" s="26"/>
      <c r="U129" s="26">
        <f t="shared" si="19"/>
        <v>545.85</v>
      </c>
      <c r="V129" s="26">
        <f t="shared" si="18"/>
        <v>0</v>
      </c>
      <c r="W129" s="26">
        <f t="shared" si="13"/>
        <v>0</v>
      </c>
      <c r="X129" s="26">
        <f t="shared" si="20"/>
        <v>0</v>
      </c>
      <c r="Y129" s="26">
        <f t="shared" si="14"/>
        <v>0</v>
      </c>
      <c r="Z129" s="33" t="s">
        <v>15</v>
      </c>
      <c r="AA129" s="36" t="s">
        <v>16</v>
      </c>
      <c r="AB129" s="181">
        <f t="shared" si="15"/>
        <v>53.89</v>
      </c>
      <c r="AC129" s="181">
        <f t="shared" si="21"/>
        <v>29415.86</v>
      </c>
      <c r="AD129" s="181">
        <v>1.2</v>
      </c>
      <c r="AE129" s="181">
        <v>1.2</v>
      </c>
      <c r="AF129" s="101" t="str">
        <f t="shared" si="16"/>
        <v/>
      </c>
      <c r="AG129" s="190">
        <v>0</v>
      </c>
      <c r="AH129" s="69">
        <f t="shared" si="17"/>
        <v>53.89</v>
      </c>
    </row>
    <row r="130" spans="1:37" s="69" customFormat="1" ht="33" x14ac:dyDescent="0.3">
      <c r="A130" s="55" t="s">
        <v>379</v>
      </c>
      <c r="B130" s="53" t="s">
        <v>380</v>
      </c>
      <c r="C130" s="54" t="s">
        <v>30</v>
      </c>
      <c r="D130" s="75">
        <v>21</v>
      </c>
      <c r="E130" s="75"/>
      <c r="F130" s="75"/>
      <c r="G130" s="75"/>
      <c r="H130" s="75">
        <v>644.09</v>
      </c>
      <c r="I130" s="75">
        <v>13525.89</v>
      </c>
      <c r="J130" s="91" t="s">
        <v>381</v>
      </c>
      <c r="K130" s="73"/>
      <c r="L130" s="46">
        <v>0</v>
      </c>
      <c r="M130" s="46">
        <v>0</v>
      </c>
      <c r="N130" s="46">
        <v>0</v>
      </c>
      <c r="O130" s="98"/>
      <c r="P130" s="23" t="s">
        <v>1492</v>
      </c>
      <c r="Q130" s="24" t="s">
        <v>380</v>
      </c>
      <c r="R130" s="25" t="s">
        <v>30</v>
      </c>
      <c r="S130" s="26">
        <v>21</v>
      </c>
      <c r="T130" s="26"/>
      <c r="U130" s="26">
        <f t="shared" si="19"/>
        <v>644.09</v>
      </c>
      <c r="V130" s="26">
        <f t="shared" si="18"/>
        <v>0</v>
      </c>
      <c r="W130" s="26">
        <f t="shared" si="13"/>
        <v>0</v>
      </c>
      <c r="X130" s="26">
        <f t="shared" si="20"/>
        <v>0</v>
      </c>
      <c r="Y130" s="26">
        <f t="shared" si="14"/>
        <v>0</v>
      </c>
      <c r="Z130" s="33" t="s">
        <v>15</v>
      </c>
      <c r="AA130" s="36" t="s">
        <v>16</v>
      </c>
      <c r="AB130" s="181">
        <f t="shared" si="15"/>
        <v>21</v>
      </c>
      <c r="AC130" s="181">
        <f t="shared" si="21"/>
        <v>13525.89</v>
      </c>
      <c r="AD130" s="181">
        <v>1.2</v>
      </c>
      <c r="AE130" s="181">
        <v>1.2</v>
      </c>
      <c r="AF130" s="101" t="str">
        <f t="shared" si="16"/>
        <v/>
      </c>
      <c r="AG130" s="190">
        <v>0</v>
      </c>
      <c r="AH130" s="69">
        <f t="shared" si="17"/>
        <v>21</v>
      </c>
    </row>
    <row r="131" spans="1:37" s="69" customFormat="1" ht="33" x14ac:dyDescent="0.3">
      <c r="A131" s="55" t="s">
        <v>382</v>
      </c>
      <c r="B131" s="53" t="s">
        <v>383</v>
      </c>
      <c r="C131" s="54" t="s">
        <v>30</v>
      </c>
      <c r="D131" s="75">
        <v>275.60000000000002</v>
      </c>
      <c r="E131" s="75"/>
      <c r="F131" s="75"/>
      <c r="G131" s="75"/>
      <c r="H131" s="75">
        <v>7340.41</v>
      </c>
      <c r="I131" s="75">
        <v>2023017</v>
      </c>
      <c r="J131" s="91" t="s">
        <v>384</v>
      </c>
      <c r="K131" s="73"/>
      <c r="L131" s="46">
        <v>0</v>
      </c>
      <c r="M131" s="46">
        <v>0</v>
      </c>
      <c r="N131" s="46">
        <v>0</v>
      </c>
      <c r="O131" s="98"/>
      <c r="P131" s="23" t="s">
        <v>1493</v>
      </c>
      <c r="Q131" s="24" t="s">
        <v>383</v>
      </c>
      <c r="R131" s="25" t="s">
        <v>30</v>
      </c>
      <c r="S131" s="26">
        <v>275.60000000000002</v>
      </c>
      <c r="T131" s="26"/>
      <c r="U131" s="26">
        <f t="shared" si="19"/>
        <v>7340.41</v>
      </c>
      <c r="V131" s="26">
        <f t="shared" si="18"/>
        <v>0</v>
      </c>
      <c r="W131" s="26">
        <f t="shared" si="13"/>
        <v>0</v>
      </c>
      <c r="X131" s="26">
        <f t="shared" si="20"/>
        <v>0</v>
      </c>
      <c r="Y131" s="26">
        <f t="shared" si="14"/>
        <v>0</v>
      </c>
      <c r="Z131" s="33" t="s">
        <v>15</v>
      </c>
      <c r="AA131" s="36" t="s">
        <v>16</v>
      </c>
      <c r="AB131" s="181">
        <f t="shared" si="15"/>
        <v>275.60000000000002</v>
      </c>
      <c r="AC131" s="181">
        <f t="shared" si="21"/>
        <v>2023017</v>
      </c>
      <c r="AD131" s="181">
        <v>1.2</v>
      </c>
      <c r="AE131" s="181">
        <v>1.2</v>
      </c>
      <c r="AF131" s="101" t="str">
        <f t="shared" si="16"/>
        <v/>
      </c>
      <c r="AG131" s="190">
        <v>0</v>
      </c>
      <c r="AH131" s="69">
        <f t="shared" si="17"/>
        <v>275.60000000000002</v>
      </c>
    </row>
    <row r="132" spans="1:37" s="69" customFormat="1" ht="33" x14ac:dyDescent="0.3">
      <c r="A132" s="130" t="s">
        <v>385</v>
      </c>
      <c r="B132" s="131" t="s">
        <v>386</v>
      </c>
      <c r="C132" s="132" t="s">
        <v>81</v>
      </c>
      <c r="D132" s="133">
        <v>1</v>
      </c>
      <c r="E132" s="75"/>
      <c r="F132" s="75"/>
      <c r="G132" s="75"/>
      <c r="H132" s="75">
        <v>913345.81</v>
      </c>
      <c r="I132" s="75">
        <v>913345.81</v>
      </c>
      <c r="J132" s="91" t="s">
        <v>387</v>
      </c>
      <c r="K132" s="73"/>
      <c r="L132" s="46">
        <v>1</v>
      </c>
      <c r="M132" s="46">
        <v>0</v>
      </c>
      <c r="N132" s="46">
        <v>913345.81</v>
      </c>
      <c r="O132" s="98"/>
      <c r="P132" s="23" t="s">
        <v>1494</v>
      </c>
      <c r="Q132" s="24" t="s">
        <v>386</v>
      </c>
      <c r="R132" s="25" t="s">
        <v>81</v>
      </c>
      <c r="S132" s="26">
        <v>1</v>
      </c>
      <c r="T132" s="26"/>
      <c r="U132" s="26">
        <f t="shared" si="19"/>
        <v>913345.81</v>
      </c>
      <c r="V132" s="127">
        <f t="shared" si="18"/>
        <v>0</v>
      </c>
      <c r="W132" s="127">
        <f t="shared" si="13"/>
        <v>1</v>
      </c>
      <c r="X132" s="127">
        <f t="shared" si="20"/>
        <v>0</v>
      </c>
      <c r="Y132" s="127">
        <f t="shared" si="14"/>
        <v>913345.81</v>
      </c>
      <c r="Z132" s="33" t="s">
        <v>15</v>
      </c>
      <c r="AA132" s="36" t="s">
        <v>16</v>
      </c>
      <c r="AB132" s="181">
        <f t="shared" si="15"/>
        <v>1</v>
      </c>
      <c r="AC132" s="181">
        <f t="shared" si="21"/>
        <v>913345.81</v>
      </c>
      <c r="AD132" s="181">
        <v>1.2</v>
      </c>
      <c r="AE132" s="181">
        <v>1.2</v>
      </c>
      <c r="AF132" s="101" t="str">
        <f t="shared" si="16"/>
        <v/>
      </c>
      <c r="AG132" s="191">
        <v>1</v>
      </c>
      <c r="AH132" s="69">
        <f t="shared" si="17"/>
        <v>1</v>
      </c>
    </row>
    <row r="133" spans="1:37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/>
      <c r="I133" s="82">
        <v>63133198.189999998</v>
      </c>
      <c r="J133" s="94" t="s">
        <v>15</v>
      </c>
      <c r="K133" s="73"/>
      <c r="L133" s="45">
        <v>1</v>
      </c>
      <c r="M133" s="45">
        <v>5296525.6500000004</v>
      </c>
      <c r="N133" s="45">
        <v>52625627.240000002</v>
      </c>
      <c r="O133" s="98"/>
      <c r="P133" s="18" t="s">
        <v>1381</v>
      </c>
      <c r="Q133" s="19" t="s">
        <v>389</v>
      </c>
      <c r="R133" s="20" t="s">
        <v>14</v>
      </c>
      <c r="S133" s="21">
        <v>1</v>
      </c>
      <c r="T133" s="21"/>
      <c r="U133" s="21">
        <f>SUMIFS(AC:AC,AD:AD,AD133)</f>
        <v>63133198.190000005</v>
      </c>
      <c r="V133" s="21">
        <f t="shared" ref="V133:W133" si="22">IF(X133=0,0,1)</f>
        <v>1</v>
      </c>
      <c r="W133" s="21">
        <f t="shared" si="22"/>
        <v>1</v>
      </c>
      <c r="X133" s="21">
        <f>SUMIFS(X:X,AE:AE,AD133)</f>
        <v>2767814.28</v>
      </c>
      <c r="Y133" s="21">
        <f>SUMIFS(Y:Y,AE:AE,AD133)</f>
        <v>55393441.520000011</v>
      </c>
      <c r="Z133" s="22" t="s">
        <v>15</v>
      </c>
      <c r="AA133" s="43" t="s">
        <v>16</v>
      </c>
      <c r="AB133" s="181">
        <f t="shared" si="15"/>
        <v>1</v>
      </c>
      <c r="AC133" s="184"/>
      <c r="AD133" s="184">
        <v>1.3</v>
      </c>
      <c r="AE133" s="184"/>
      <c r="AF133" s="101" t="str">
        <f t="shared" si="16"/>
        <v/>
      </c>
      <c r="AG133" s="190">
        <v>1</v>
      </c>
      <c r="AH133" s="69">
        <f t="shared" si="17"/>
        <v>1</v>
      </c>
    </row>
    <row r="134" spans="1:37" s="69" customFormat="1" ht="39" x14ac:dyDescent="0.3">
      <c r="A134" s="55" t="s">
        <v>390</v>
      </c>
      <c r="B134" s="53" t="s">
        <v>102</v>
      </c>
      <c r="C134" s="54" t="s">
        <v>103</v>
      </c>
      <c r="D134" s="75">
        <v>274.45</v>
      </c>
      <c r="E134" s="75"/>
      <c r="F134" s="75"/>
      <c r="G134" s="75"/>
      <c r="H134" s="75">
        <v>320.74</v>
      </c>
      <c r="I134" s="75">
        <v>88027.09</v>
      </c>
      <c r="J134" s="91" t="s">
        <v>104</v>
      </c>
      <c r="K134" s="73"/>
      <c r="L134" s="46">
        <v>225</v>
      </c>
      <c r="M134" s="46">
        <v>0</v>
      </c>
      <c r="N134" s="46">
        <v>72166.5</v>
      </c>
      <c r="O134" s="98"/>
      <c r="P134" s="23" t="s">
        <v>1421</v>
      </c>
      <c r="Q134" s="24" t="s">
        <v>102</v>
      </c>
      <c r="R134" s="25" t="s">
        <v>103</v>
      </c>
      <c r="S134" s="26">
        <v>274.45</v>
      </c>
      <c r="T134" s="26"/>
      <c r="U134" s="26">
        <f t="shared" si="19"/>
        <v>320.74</v>
      </c>
      <c r="V134" s="127">
        <f t="shared" ref="V134:V176" si="23">AG134-L134</f>
        <v>0</v>
      </c>
      <c r="W134" s="127">
        <f t="shared" ref="W134:W176" si="24">V134+L134</f>
        <v>225</v>
      </c>
      <c r="X134" s="127">
        <f t="shared" ref="X134:X176" si="25">Y134-N134</f>
        <v>0</v>
      </c>
      <c r="Y134" s="127">
        <f t="shared" si="14"/>
        <v>72166.5</v>
      </c>
      <c r="Z134" s="33" t="s">
        <v>15</v>
      </c>
      <c r="AA134" s="36" t="s">
        <v>16</v>
      </c>
      <c r="AB134" s="181">
        <f t="shared" si="15"/>
        <v>274.45</v>
      </c>
      <c r="AC134" s="181">
        <f t="shared" ref="AC134:AC176" si="26">ROUND(U134*AB134,2)</f>
        <v>88027.09</v>
      </c>
      <c r="AD134" s="181">
        <v>1.3</v>
      </c>
      <c r="AE134" s="181">
        <v>1.3</v>
      </c>
      <c r="AF134" s="101" t="str">
        <f t="shared" si="16"/>
        <v/>
      </c>
      <c r="AG134" s="190">
        <v>225</v>
      </c>
      <c r="AH134" s="69">
        <f t="shared" si="17"/>
        <v>274.45</v>
      </c>
    </row>
    <row r="135" spans="1:37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>
        <v>3115.13</v>
      </c>
      <c r="I135" s="75">
        <v>137751.04999999999</v>
      </c>
      <c r="J135" s="91" t="s">
        <v>114</v>
      </c>
      <c r="K135" s="73"/>
      <c r="L135" s="46">
        <v>16.79</v>
      </c>
      <c r="M135" s="46">
        <v>0</v>
      </c>
      <c r="N135" s="46">
        <v>52303.03</v>
      </c>
      <c r="O135" s="98"/>
      <c r="P135" s="23" t="s">
        <v>1426</v>
      </c>
      <c r="Q135" s="24" t="s">
        <v>392</v>
      </c>
      <c r="R135" s="25" t="s">
        <v>23</v>
      </c>
      <c r="S135" s="26">
        <v>44.22</v>
      </c>
      <c r="T135" s="26"/>
      <c r="U135" s="26">
        <f t="shared" si="19"/>
        <v>3115.13</v>
      </c>
      <c r="V135" s="26">
        <f t="shared" si="23"/>
        <v>0</v>
      </c>
      <c r="W135" s="26">
        <f t="shared" si="24"/>
        <v>16.79</v>
      </c>
      <c r="X135" s="26">
        <f t="shared" si="25"/>
        <v>0</v>
      </c>
      <c r="Y135" s="26">
        <f t="shared" si="14"/>
        <v>52303.03</v>
      </c>
      <c r="Z135" s="33" t="s">
        <v>15</v>
      </c>
      <c r="AA135" s="36" t="s">
        <v>16</v>
      </c>
      <c r="AB135" s="181">
        <f t="shared" si="15"/>
        <v>44.22</v>
      </c>
      <c r="AC135" s="181">
        <f t="shared" si="26"/>
        <v>137751.04999999999</v>
      </c>
      <c r="AD135" s="181">
        <v>1.3</v>
      </c>
      <c r="AE135" s="181">
        <v>1.3</v>
      </c>
      <c r="AF135" s="101" t="str">
        <f t="shared" si="16"/>
        <v/>
      </c>
      <c r="AG135" s="190">
        <v>16.79</v>
      </c>
      <c r="AH135" s="69">
        <f t="shared" si="17"/>
        <v>44.22</v>
      </c>
    </row>
    <row r="136" spans="1:37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>
        <v>3321.13</v>
      </c>
      <c r="I136" s="75">
        <v>318728.84999999998</v>
      </c>
      <c r="J136" s="91" t="s">
        <v>117</v>
      </c>
      <c r="K136" s="73"/>
      <c r="L136" s="46">
        <v>0</v>
      </c>
      <c r="M136" s="46">
        <v>0</v>
      </c>
      <c r="N136" s="46">
        <v>0</v>
      </c>
      <c r="O136" s="98"/>
      <c r="P136" s="23" t="s">
        <v>1402</v>
      </c>
      <c r="Q136" s="24" t="s">
        <v>116</v>
      </c>
      <c r="R136" s="25" t="s">
        <v>23</v>
      </c>
      <c r="S136" s="26">
        <v>95.97</v>
      </c>
      <c r="T136" s="26"/>
      <c r="U136" s="26">
        <f t="shared" si="19"/>
        <v>3321.13</v>
      </c>
      <c r="V136" s="128">
        <f t="shared" si="23"/>
        <v>26.5</v>
      </c>
      <c r="W136" s="26">
        <f t="shared" si="24"/>
        <v>26.5</v>
      </c>
      <c r="X136" s="26">
        <f t="shared" si="25"/>
        <v>88009.95</v>
      </c>
      <c r="Y136" s="26">
        <f t="shared" si="14"/>
        <v>88009.95</v>
      </c>
      <c r="Z136" s="33" t="s">
        <v>15</v>
      </c>
      <c r="AA136" s="36" t="s">
        <v>16</v>
      </c>
      <c r="AB136" s="181">
        <f t="shared" si="15"/>
        <v>95.97</v>
      </c>
      <c r="AC136" s="181">
        <f t="shared" si="26"/>
        <v>318728.84999999998</v>
      </c>
      <c r="AD136" s="181">
        <v>1.3</v>
      </c>
      <c r="AE136" s="181">
        <v>1.3</v>
      </c>
      <c r="AF136" s="101" t="str">
        <f t="shared" si="16"/>
        <v/>
      </c>
      <c r="AG136" s="191">
        <f>26.5</f>
        <v>26.5</v>
      </c>
      <c r="AH136" s="69">
        <f t="shared" si="17"/>
        <v>95.97</v>
      </c>
    </row>
    <row r="137" spans="1:37" s="69" customFormat="1" ht="39" x14ac:dyDescent="0.3">
      <c r="A137" s="130" t="s">
        <v>394</v>
      </c>
      <c r="B137" s="131" t="s">
        <v>395</v>
      </c>
      <c r="C137" s="132" t="s">
        <v>23</v>
      </c>
      <c r="D137" s="133">
        <v>1216.8</v>
      </c>
      <c r="E137" s="75"/>
      <c r="F137" s="75"/>
      <c r="G137" s="75"/>
      <c r="H137" s="75">
        <v>3643.73</v>
      </c>
      <c r="I137" s="75">
        <v>4433690.66</v>
      </c>
      <c r="J137" s="91" t="s">
        <v>396</v>
      </c>
      <c r="K137" s="73"/>
      <c r="L137" s="46">
        <v>645.58000000000004</v>
      </c>
      <c r="M137" s="46">
        <v>346883.08999999985</v>
      </c>
      <c r="N137" s="46">
        <v>2352319.21</v>
      </c>
      <c r="O137" s="98"/>
      <c r="P137" s="23" t="s">
        <v>1373</v>
      </c>
      <c r="Q137" s="24" t="s">
        <v>395</v>
      </c>
      <c r="R137" s="25" t="s">
        <v>23</v>
      </c>
      <c r="S137" s="26">
        <v>1216.8</v>
      </c>
      <c r="T137" s="26"/>
      <c r="U137" s="26">
        <f t="shared" si="19"/>
        <v>3643.73</v>
      </c>
      <c r="V137" s="127">
        <f t="shared" si="23"/>
        <v>0</v>
      </c>
      <c r="W137" s="127">
        <f t="shared" si="24"/>
        <v>645.58000000000004</v>
      </c>
      <c r="X137" s="127">
        <f t="shared" si="25"/>
        <v>0</v>
      </c>
      <c r="Y137" s="127">
        <f t="shared" si="14"/>
        <v>2352319.21</v>
      </c>
      <c r="Z137" s="33" t="s">
        <v>15</v>
      </c>
      <c r="AA137" s="36" t="s">
        <v>16</v>
      </c>
      <c r="AB137" s="181">
        <f t="shared" si="15"/>
        <v>1216.8</v>
      </c>
      <c r="AC137" s="181">
        <f t="shared" si="26"/>
        <v>4433690.66</v>
      </c>
      <c r="AD137" s="181">
        <v>1.3</v>
      </c>
      <c r="AE137" s="181">
        <v>1.3</v>
      </c>
      <c r="AF137" s="101" t="str">
        <f t="shared" si="16"/>
        <v/>
      </c>
      <c r="AG137" s="191">
        <f>68+115+49.88+152.5+165+95.2</f>
        <v>645.58000000000004</v>
      </c>
      <c r="AH137" s="69">
        <f t="shared" si="17"/>
        <v>1216.8</v>
      </c>
      <c r="AK137" s="195">
        <v>388.56</v>
      </c>
    </row>
    <row r="138" spans="1:37" s="69" customFormat="1" ht="33" x14ac:dyDescent="0.3">
      <c r="A138" s="130" t="s">
        <v>397</v>
      </c>
      <c r="B138" s="122" t="s">
        <v>109</v>
      </c>
      <c r="C138" s="132" t="s">
        <v>110</v>
      </c>
      <c r="D138" s="133">
        <v>4788.7700000000004</v>
      </c>
      <c r="E138" s="75"/>
      <c r="F138" s="75"/>
      <c r="G138" s="75"/>
      <c r="H138" s="75">
        <v>36.4</v>
      </c>
      <c r="I138" s="75">
        <v>174311.23</v>
      </c>
      <c r="J138" s="91" t="s">
        <v>111</v>
      </c>
      <c r="K138" s="73"/>
      <c r="L138" s="46">
        <v>4778</v>
      </c>
      <c r="M138" s="46">
        <v>0</v>
      </c>
      <c r="N138" s="46">
        <v>173919.2</v>
      </c>
      <c r="O138" s="98"/>
      <c r="P138" s="23" t="s">
        <v>1393</v>
      </c>
      <c r="Q138" s="24" t="s">
        <v>109</v>
      </c>
      <c r="R138" s="25" t="s">
        <v>110</v>
      </c>
      <c r="S138" s="26">
        <v>4788.7700000000004</v>
      </c>
      <c r="T138" s="26"/>
      <c r="U138" s="26">
        <f t="shared" si="19"/>
        <v>36.4</v>
      </c>
      <c r="V138" s="127">
        <f t="shared" si="23"/>
        <v>0</v>
      </c>
      <c r="W138" s="127">
        <f t="shared" si="24"/>
        <v>4778</v>
      </c>
      <c r="X138" s="127">
        <f t="shared" si="25"/>
        <v>0</v>
      </c>
      <c r="Y138" s="127">
        <f t="shared" si="14"/>
        <v>173919.2</v>
      </c>
      <c r="Z138" s="33" t="s">
        <v>15</v>
      </c>
      <c r="AA138" s="36" t="s">
        <v>16</v>
      </c>
      <c r="AB138" s="181">
        <f t="shared" si="15"/>
        <v>4788.7700000000004</v>
      </c>
      <c r="AC138" s="181">
        <f t="shared" si="26"/>
        <v>174311.23</v>
      </c>
      <c r="AD138" s="181">
        <v>1.3</v>
      </c>
      <c r="AE138" s="181">
        <v>1.3</v>
      </c>
      <c r="AF138" s="101" t="str">
        <f t="shared" si="16"/>
        <v/>
      </c>
      <c r="AG138" s="193">
        <f>2040+2126+612</f>
        <v>4778</v>
      </c>
      <c r="AH138" s="69">
        <f t="shared" si="17"/>
        <v>4788.7700000000004</v>
      </c>
      <c r="AK138" s="195">
        <v>4788.7700000000004</v>
      </c>
    </row>
    <row r="139" spans="1:37" s="69" customFormat="1" ht="33" x14ac:dyDescent="0.3">
      <c r="A139" s="130" t="s">
        <v>398</v>
      </c>
      <c r="B139" s="122" t="s">
        <v>399</v>
      </c>
      <c r="C139" s="132" t="s">
        <v>110</v>
      </c>
      <c r="D139" s="133">
        <v>205535.32</v>
      </c>
      <c r="E139" s="75"/>
      <c r="F139" s="75"/>
      <c r="G139" s="75"/>
      <c r="H139" s="75">
        <v>38.71</v>
      </c>
      <c r="I139" s="75">
        <v>7956272.2400000002</v>
      </c>
      <c r="J139" s="91" t="s">
        <v>400</v>
      </c>
      <c r="K139" s="73"/>
      <c r="L139" s="46">
        <v>202264.52000000002</v>
      </c>
      <c r="M139" s="46">
        <v>0</v>
      </c>
      <c r="N139" s="46">
        <v>7829659.5700000003</v>
      </c>
      <c r="O139" s="98"/>
      <c r="P139" s="23" t="s">
        <v>1403</v>
      </c>
      <c r="Q139" s="24" t="s">
        <v>399</v>
      </c>
      <c r="R139" s="25" t="s">
        <v>110</v>
      </c>
      <c r="S139" s="26">
        <v>205535.32</v>
      </c>
      <c r="T139" s="26"/>
      <c r="U139" s="26">
        <f t="shared" si="19"/>
        <v>38.71</v>
      </c>
      <c r="V139" s="127">
        <f t="shared" si="23"/>
        <v>0</v>
      </c>
      <c r="W139" s="127">
        <f t="shared" si="24"/>
        <v>202264.52000000002</v>
      </c>
      <c r="X139" s="127">
        <f t="shared" si="25"/>
        <v>0</v>
      </c>
      <c r="Y139" s="127">
        <f t="shared" ref="Y139:Y203" si="27">ROUND(U139*W139,2)</f>
        <v>7829659.5700000003</v>
      </c>
      <c r="Z139" s="33" t="s">
        <v>15</v>
      </c>
      <c r="AA139" s="36" t="s">
        <v>16</v>
      </c>
      <c r="AB139" s="181">
        <f t="shared" ref="AB139:AB202" si="28">IF(T139="",S139,T139)</f>
        <v>205535.32</v>
      </c>
      <c r="AC139" s="181">
        <f t="shared" si="26"/>
        <v>7956272.2400000002</v>
      </c>
      <c r="AD139" s="181">
        <v>1.3</v>
      </c>
      <c r="AE139" s="181">
        <v>1.3</v>
      </c>
      <c r="AF139" s="101" t="str">
        <f t="shared" ref="AF139:AF202" si="29">IF(W139&gt;AH139,"超估","")</f>
        <v/>
      </c>
      <c r="AG139" s="190">
        <f>82006.52+120258</f>
        <v>202264.52000000002</v>
      </c>
      <c r="AH139" s="69">
        <f t="shared" ref="AH139:AH202" si="30">IF(G139=0,IF(F139=0,IF(E139=0,D139,E139),F139),G139)</f>
        <v>205535.32</v>
      </c>
      <c r="AK139" s="195">
        <v>72641</v>
      </c>
    </row>
    <row r="140" spans="1:37" s="69" customFormat="1" ht="33" x14ac:dyDescent="0.3">
      <c r="A140" s="130" t="s">
        <v>401</v>
      </c>
      <c r="B140" s="131" t="s">
        <v>402</v>
      </c>
      <c r="C140" s="132" t="s">
        <v>50</v>
      </c>
      <c r="D140" s="133">
        <v>320.89999999999998</v>
      </c>
      <c r="E140" s="75"/>
      <c r="F140" s="75"/>
      <c r="G140" s="75"/>
      <c r="H140" s="75">
        <v>1154.98</v>
      </c>
      <c r="I140" s="75">
        <v>370633.08</v>
      </c>
      <c r="J140" s="91" t="s">
        <v>403</v>
      </c>
      <c r="K140" s="73"/>
      <c r="L140" s="46">
        <v>320.09000000000003</v>
      </c>
      <c r="M140" s="46">
        <v>96902.82</v>
      </c>
      <c r="N140" s="46">
        <v>369697.55</v>
      </c>
      <c r="O140" s="98"/>
      <c r="P140" s="23" t="s">
        <v>1427</v>
      </c>
      <c r="Q140" s="24" t="s">
        <v>402</v>
      </c>
      <c r="R140" s="25" t="s">
        <v>50</v>
      </c>
      <c r="S140" s="26">
        <v>320.89999999999998</v>
      </c>
      <c r="T140" s="26"/>
      <c r="U140" s="26">
        <f t="shared" si="19"/>
        <v>1154.98</v>
      </c>
      <c r="V140" s="127">
        <f t="shared" si="23"/>
        <v>0</v>
      </c>
      <c r="W140" s="127">
        <f t="shared" si="24"/>
        <v>320.09000000000003</v>
      </c>
      <c r="X140" s="127">
        <f t="shared" si="25"/>
        <v>0</v>
      </c>
      <c r="Y140" s="127">
        <f t="shared" si="27"/>
        <v>369697.55</v>
      </c>
      <c r="Z140" s="33" t="s">
        <v>15</v>
      </c>
      <c r="AA140" s="36" t="s">
        <v>16</v>
      </c>
      <c r="AB140" s="181">
        <f t="shared" si="28"/>
        <v>320.89999999999998</v>
      </c>
      <c r="AC140" s="181">
        <f t="shared" si="26"/>
        <v>370633.08</v>
      </c>
      <c r="AD140" s="181">
        <v>1.3</v>
      </c>
      <c r="AE140" s="181">
        <v>1.3</v>
      </c>
      <c r="AF140" s="101" t="str">
        <f t="shared" si="29"/>
        <v/>
      </c>
      <c r="AG140" s="191">
        <f>50.19+186+83.9</f>
        <v>320.09000000000003</v>
      </c>
      <c r="AH140" s="69">
        <f t="shared" si="30"/>
        <v>320.89999999999998</v>
      </c>
      <c r="AK140" s="195">
        <v>351.34</v>
      </c>
    </row>
    <row r="141" spans="1:37" s="69" customFormat="1" ht="57.75" x14ac:dyDescent="0.3">
      <c r="A141" s="130" t="s">
        <v>404</v>
      </c>
      <c r="B141" s="131" t="s">
        <v>405</v>
      </c>
      <c r="C141" s="132" t="s">
        <v>50</v>
      </c>
      <c r="D141" s="133">
        <v>493.85</v>
      </c>
      <c r="E141" s="203"/>
      <c r="F141" s="203"/>
      <c r="G141" s="203"/>
      <c r="H141" s="75">
        <v>982.98</v>
      </c>
      <c r="I141" s="75">
        <v>485444.67</v>
      </c>
      <c r="J141" s="91" t="s">
        <v>406</v>
      </c>
      <c r="K141" s="73"/>
      <c r="L141" s="46">
        <v>493.84999999999997</v>
      </c>
      <c r="M141" s="46">
        <v>0</v>
      </c>
      <c r="N141" s="46">
        <v>485444.67</v>
      </c>
      <c r="O141" s="98"/>
      <c r="P141" s="23" t="s">
        <v>1428</v>
      </c>
      <c r="Q141" s="24" t="s">
        <v>405</v>
      </c>
      <c r="R141" s="25" t="s">
        <v>50</v>
      </c>
      <c r="S141" s="26">
        <v>493.85</v>
      </c>
      <c r="T141" s="26"/>
      <c r="U141" s="26">
        <f t="shared" si="19"/>
        <v>982.98</v>
      </c>
      <c r="V141" s="127">
        <f t="shared" si="23"/>
        <v>0</v>
      </c>
      <c r="W141" s="127">
        <f t="shared" si="24"/>
        <v>493.84999999999997</v>
      </c>
      <c r="X141" s="127">
        <f t="shared" si="25"/>
        <v>0</v>
      </c>
      <c r="Y141" s="127">
        <f t="shared" si="27"/>
        <v>485444.67</v>
      </c>
      <c r="Z141" s="33" t="s">
        <v>15</v>
      </c>
      <c r="AA141" s="36" t="s">
        <v>16</v>
      </c>
      <c r="AB141" s="181">
        <f t="shared" si="28"/>
        <v>493.85</v>
      </c>
      <c r="AC141" s="181">
        <f t="shared" si="26"/>
        <v>485444.67</v>
      </c>
      <c r="AD141" s="181">
        <v>1.3</v>
      </c>
      <c r="AE141" s="181">
        <v>1.3</v>
      </c>
      <c r="AF141" s="101" t="str">
        <f t="shared" si="29"/>
        <v/>
      </c>
      <c r="AG141" s="192">
        <f>393.03+100.82</f>
        <v>493.84999999999997</v>
      </c>
      <c r="AH141" s="69">
        <f t="shared" si="30"/>
        <v>493.85</v>
      </c>
      <c r="AK141" s="195">
        <v>574.89200000000017</v>
      </c>
    </row>
    <row r="142" spans="1:37" s="69" customFormat="1" ht="41.25" x14ac:dyDescent="0.3">
      <c r="A142" s="130" t="s">
        <v>407</v>
      </c>
      <c r="B142" s="131" t="s">
        <v>408</v>
      </c>
      <c r="C142" s="132" t="s">
        <v>50</v>
      </c>
      <c r="D142" s="133">
        <v>126.48</v>
      </c>
      <c r="E142" s="203"/>
      <c r="F142" s="203"/>
      <c r="G142" s="203"/>
      <c r="H142" s="75">
        <v>804.79</v>
      </c>
      <c r="I142" s="75">
        <v>101789.84</v>
      </c>
      <c r="J142" s="91" t="s">
        <v>409</v>
      </c>
      <c r="K142" s="73"/>
      <c r="L142" s="46">
        <v>126.48</v>
      </c>
      <c r="M142" s="46">
        <v>0</v>
      </c>
      <c r="N142" s="46">
        <v>101789.84</v>
      </c>
      <c r="O142" s="98"/>
      <c r="P142" s="23" t="s">
        <v>1387</v>
      </c>
      <c r="Q142" s="24" t="s">
        <v>408</v>
      </c>
      <c r="R142" s="25" t="s">
        <v>50</v>
      </c>
      <c r="S142" s="26">
        <v>126.48</v>
      </c>
      <c r="T142" s="26"/>
      <c r="U142" s="26">
        <f t="shared" si="19"/>
        <v>804.79</v>
      </c>
      <c r="V142" s="127">
        <f t="shared" si="23"/>
        <v>0</v>
      </c>
      <c r="W142" s="127">
        <f t="shared" si="24"/>
        <v>126.48</v>
      </c>
      <c r="X142" s="127">
        <f t="shared" si="25"/>
        <v>0</v>
      </c>
      <c r="Y142" s="127">
        <f t="shared" si="27"/>
        <v>101789.84</v>
      </c>
      <c r="Z142" s="33" t="s">
        <v>15</v>
      </c>
      <c r="AA142" s="36" t="s">
        <v>16</v>
      </c>
      <c r="AB142" s="181">
        <f t="shared" si="28"/>
        <v>126.48</v>
      </c>
      <c r="AC142" s="181">
        <f t="shared" si="26"/>
        <v>101789.84</v>
      </c>
      <c r="AD142" s="181">
        <v>1.3</v>
      </c>
      <c r="AE142" s="181">
        <v>1.3</v>
      </c>
      <c r="AF142" s="101" t="str">
        <f t="shared" si="29"/>
        <v/>
      </c>
      <c r="AG142" s="192">
        <v>126.48</v>
      </c>
      <c r="AH142" s="69">
        <f t="shared" si="30"/>
        <v>126.48</v>
      </c>
      <c r="AK142" s="195">
        <v>120</v>
      </c>
    </row>
    <row r="143" spans="1:37" s="69" customFormat="1" ht="33" x14ac:dyDescent="0.3">
      <c r="A143" s="55" t="s">
        <v>410</v>
      </c>
      <c r="B143" s="53" t="s">
        <v>411</v>
      </c>
      <c r="C143" s="54" t="s">
        <v>412</v>
      </c>
      <c r="D143" s="75">
        <v>12205</v>
      </c>
      <c r="E143" s="75"/>
      <c r="F143" s="75"/>
      <c r="G143" s="75"/>
      <c r="H143" s="75">
        <v>75</v>
      </c>
      <c r="I143" s="75">
        <v>915375</v>
      </c>
      <c r="J143" s="91" t="s">
        <v>413</v>
      </c>
      <c r="K143" s="73"/>
      <c r="L143" s="46">
        <v>0</v>
      </c>
      <c r="M143" s="46">
        <v>0</v>
      </c>
      <c r="N143" s="46">
        <v>0</v>
      </c>
      <c r="O143" s="98"/>
      <c r="P143" s="23" t="s">
        <v>1405</v>
      </c>
      <c r="Q143" s="24" t="s">
        <v>411</v>
      </c>
      <c r="R143" s="25" t="s">
        <v>412</v>
      </c>
      <c r="S143" s="26">
        <v>12205</v>
      </c>
      <c r="T143" s="26"/>
      <c r="U143" s="26">
        <f t="shared" si="19"/>
        <v>75</v>
      </c>
      <c r="V143" s="128">
        <f t="shared" si="23"/>
        <v>0</v>
      </c>
      <c r="W143" s="26">
        <f t="shared" si="24"/>
        <v>0</v>
      </c>
      <c r="X143" s="26">
        <f t="shared" si="25"/>
        <v>0</v>
      </c>
      <c r="Y143" s="26">
        <f t="shared" si="27"/>
        <v>0</v>
      </c>
      <c r="Z143" s="33" t="s">
        <v>15</v>
      </c>
      <c r="AA143" s="36" t="s">
        <v>16</v>
      </c>
      <c r="AB143" s="181">
        <f t="shared" si="28"/>
        <v>12205</v>
      </c>
      <c r="AC143" s="181">
        <f t="shared" si="26"/>
        <v>915375</v>
      </c>
      <c r="AD143" s="181">
        <v>1.3</v>
      </c>
      <c r="AE143" s="181">
        <v>1.3</v>
      </c>
      <c r="AF143" s="101" t="str">
        <f t="shared" si="29"/>
        <v/>
      </c>
      <c r="AG143" s="191">
        <f>0</f>
        <v>0</v>
      </c>
      <c r="AH143" s="69">
        <f t="shared" si="30"/>
        <v>12205</v>
      </c>
    </row>
    <row r="144" spans="1:37" s="69" customFormat="1" ht="33" x14ac:dyDescent="0.3">
      <c r="A144" s="55" t="s">
        <v>414</v>
      </c>
      <c r="B144" s="53" t="s">
        <v>125</v>
      </c>
      <c r="C144" s="54" t="s">
        <v>110</v>
      </c>
      <c r="D144" s="75">
        <v>8317</v>
      </c>
      <c r="E144" s="75"/>
      <c r="F144" s="75"/>
      <c r="G144" s="75"/>
      <c r="H144" s="75">
        <v>60</v>
      </c>
      <c r="I144" s="75">
        <v>499020</v>
      </c>
      <c r="J144" s="91" t="s">
        <v>126</v>
      </c>
      <c r="K144" s="73"/>
      <c r="L144" s="46">
        <v>0</v>
      </c>
      <c r="M144" s="46">
        <v>0</v>
      </c>
      <c r="N144" s="46">
        <v>0</v>
      </c>
      <c r="O144" s="98"/>
      <c r="P144" s="23" t="s">
        <v>1406</v>
      </c>
      <c r="Q144" s="24" t="s">
        <v>125</v>
      </c>
      <c r="R144" s="25" t="s">
        <v>110</v>
      </c>
      <c r="S144" s="26">
        <v>8317</v>
      </c>
      <c r="T144" s="26"/>
      <c r="U144" s="26">
        <f t="shared" si="19"/>
        <v>60</v>
      </c>
      <c r="V144" s="26">
        <f t="shared" si="23"/>
        <v>0</v>
      </c>
      <c r="W144" s="26">
        <f t="shared" si="24"/>
        <v>0</v>
      </c>
      <c r="X144" s="26">
        <f t="shared" si="25"/>
        <v>0</v>
      </c>
      <c r="Y144" s="26">
        <f t="shared" si="27"/>
        <v>0</v>
      </c>
      <c r="Z144" s="33" t="s">
        <v>15</v>
      </c>
      <c r="AA144" s="36" t="s">
        <v>16</v>
      </c>
      <c r="AB144" s="181">
        <f t="shared" si="28"/>
        <v>8317</v>
      </c>
      <c r="AC144" s="181">
        <f t="shared" si="26"/>
        <v>499020</v>
      </c>
      <c r="AD144" s="181">
        <v>1.3</v>
      </c>
      <c r="AE144" s="181">
        <v>1.3</v>
      </c>
      <c r="AF144" s="101" t="str">
        <f t="shared" si="29"/>
        <v/>
      </c>
      <c r="AG144" s="190">
        <v>0</v>
      </c>
      <c r="AH144" s="69">
        <f t="shared" si="30"/>
        <v>8317</v>
      </c>
    </row>
    <row r="145" spans="1:34" s="69" customFormat="1" ht="39" x14ac:dyDescent="0.3">
      <c r="A145" s="55" t="s">
        <v>415</v>
      </c>
      <c r="B145" s="53" t="s">
        <v>128</v>
      </c>
      <c r="C145" s="54" t="s">
        <v>110</v>
      </c>
      <c r="D145" s="75">
        <v>8317</v>
      </c>
      <c r="E145" s="75"/>
      <c r="F145" s="75"/>
      <c r="G145" s="75"/>
      <c r="H145" s="75">
        <v>31.9</v>
      </c>
      <c r="I145" s="75">
        <v>265312.3</v>
      </c>
      <c r="J145" s="91" t="s">
        <v>129</v>
      </c>
      <c r="K145" s="73"/>
      <c r="L145" s="46">
        <v>0</v>
      </c>
      <c r="M145" s="46">
        <v>0</v>
      </c>
      <c r="N145" s="46">
        <v>0</v>
      </c>
      <c r="O145" s="98"/>
      <c r="P145" s="23" t="s">
        <v>1414</v>
      </c>
      <c r="Q145" s="24" t="s">
        <v>128</v>
      </c>
      <c r="R145" s="25" t="s">
        <v>110</v>
      </c>
      <c r="S145" s="26">
        <v>8317</v>
      </c>
      <c r="T145" s="26"/>
      <c r="U145" s="26">
        <f t="shared" si="19"/>
        <v>31.9</v>
      </c>
      <c r="V145" s="26">
        <f t="shared" si="23"/>
        <v>0</v>
      </c>
      <c r="W145" s="26">
        <f t="shared" si="24"/>
        <v>0</v>
      </c>
      <c r="X145" s="26">
        <f t="shared" si="25"/>
        <v>0</v>
      </c>
      <c r="Y145" s="26">
        <f t="shared" si="27"/>
        <v>0</v>
      </c>
      <c r="Z145" s="33" t="s">
        <v>15</v>
      </c>
      <c r="AA145" s="36" t="s">
        <v>16</v>
      </c>
      <c r="AB145" s="181">
        <f t="shared" si="28"/>
        <v>8317</v>
      </c>
      <c r="AC145" s="181">
        <f t="shared" si="26"/>
        <v>265312.3</v>
      </c>
      <c r="AD145" s="181">
        <v>1.3</v>
      </c>
      <c r="AE145" s="181">
        <v>1.3</v>
      </c>
      <c r="AF145" s="101" t="str">
        <f t="shared" si="29"/>
        <v/>
      </c>
      <c r="AG145" s="190">
        <v>0</v>
      </c>
      <c r="AH145" s="69">
        <f t="shared" si="30"/>
        <v>8317</v>
      </c>
    </row>
    <row r="146" spans="1:34" s="69" customFormat="1" ht="39" x14ac:dyDescent="0.3">
      <c r="A146" s="55" t="s">
        <v>416</v>
      </c>
      <c r="B146" s="53" t="s">
        <v>417</v>
      </c>
      <c r="C146" s="54" t="s">
        <v>110</v>
      </c>
      <c r="D146" s="75">
        <v>1087</v>
      </c>
      <c r="E146" s="75"/>
      <c r="F146" s="75"/>
      <c r="G146" s="75"/>
      <c r="H146" s="75">
        <v>278.10000000000002</v>
      </c>
      <c r="I146" s="75">
        <v>302294.7</v>
      </c>
      <c r="J146" s="91" t="s">
        <v>418</v>
      </c>
      <c r="K146" s="73"/>
      <c r="L146" s="46">
        <v>0</v>
      </c>
      <c r="M146" s="46">
        <v>0</v>
      </c>
      <c r="N146" s="46">
        <v>0</v>
      </c>
      <c r="O146" s="98"/>
      <c r="P146" s="23" t="s">
        <v>1429</v>
      </c>
      <c r="Q146" s="24" t="s">
        <v>417</v>
      </c>
      <c r="R146" s="25" t="s">
        <v>110</v>
      </c>
      <c r="S146" s="26">
        <v>1087</v>
      </c>
      <c r="T146" s="26"/>
      <c r="U146" s="26">
        <f t="shared" si="19"/>
        <v>278.10000000000002</v>
      </c>
      <c r="V146" s="26">
        <f t="shared" si="23"/>
        <v>0</v>
      </c>
      <c r="W146" s="26">
        <f t="shared" si="24"/>
        <v>0</v>
      </c>
      <c r="X146" s="26">
        <f t="shared" si="25"/>
        <v>0</v>
      </c>
      <c r="Y146" s="26">
        <f t="shared" si="27"/>
        <v>0</v>
      </c>
      <c r="Z146" s="33" t="s">
        <v>15</v>
      </c>
      <c r="AA146" s="36" t="s">
        <v>16</v>
      </c>
      <c r="AB146" s="181">
        <f t="shared" si="28"/>
        <v>1087</v>
      </c>
      <c r="AC146" s="181">
        <f t="shared" si="26"/>
        <v>302294.7</v>
      </c>
      <c r="AD146" s="181">
        <v>1.3</v>
      </c>
      <c r="AE146" s="181">
        <v>1.3</v>
      </c>
      <c r="AF146" s="101" t="str">
        <f t="shared" si="29"/>
        <v/>
      </c>
      <c r="AG146" s="190">
        <v>0</v>
      </c>
      <c r="AH146" s="69">
        <f t="shared" si="30"/>
        <v>1087</v>
      </c>
    </row>
    <row r="147" spans="1:34" s="69" customFormat="1" ht="39" x14ac:dyDescent="0.3">
      <c r="A147" s="55" t="s">
        <v>419</v>
      </c>
      <c r="B147" s="53" t="s">
        <v>420</v>
      </c>
      <c r="C147" s="54" t="s">
        <v>50</v>
      </c>
      <c r="D147" s="75">
        <v>172</v>
      </c>
      <c r="E147" s="75"/>
      <c r="F147" s="75"/>
      <c r="G147" s="75"/>
      <c r="H147" s="75">
        <v>1400</v>
      </c>
      <c r="I147" s="75">
        <v>240800</v>
      </c>
      <c r="J147" s="91" t="s">
        <v>421</v>
      </c>
      <c r="K147" s="73"/>
      <c r="L147" s="46">
        <v>0</v>
      </c>
      <c r="M147" s="46">
        <v>0</v>
      </c>
      <c r="N147" s="46">
        <v>0</v>
      </c>
      <c r="O147" s="98"/>
      <c r="P147" s="23" t="s">
        <v>1430</v>
      </c>
      <c r="Q147" s="24" t="s">
        <v>420</v>
      </c>
      <c r="R147" s="25" t="s">
        <v>50</v>
      </c>
      <c r="S147" s="26">
        <v>172</v>
      </c>
      <c r="T147" s="26"/>
      <c r="U147" s="26">
        <f t="shared" si="19"/>
        <v>1400</v>
      </c>
      <c r="V147" s="26">
        <f t="shared" si="23"/>
        <v>0</v>
      </c>
      <c r="W147" s="26">
        <f t="shared" si="24"/>
        <v>0</v>
      </c>
      <c r="X147" s="26">
        <f t="shared" si="25"/>
        <v>0</v>
      </c>
      <c r="Y147" s="26">
        <f t="shared" si="27"/>
        <v>0</v>
      </c>
      <c r="Z147" s="33" t="s">
        <v>15</v>
      </c>
      <c r="AA147" s="36" t="s">
        <v>16</v>
      </c>
      <c r="AB147" s="181">
        <f t="shared" si="28"/>
        <v>172</v>
      </c>
      <c r="AC147" s="181">
        <f t="shared" si="26"/>
        <v>240800</v>
      </c>
      <c r="AD147" s="181">
        <v>1.3</v>
      </c>
      <c r="AE147" s="181">
        <v>1.3</v>
      </c>
      <c r="AF147" s="101" t="str">
        <f t="shared" si="29"/>
        <v/>
      </c>
      <c r="AG147" s="190">
        <v>0</v>
      </c>
      <c r="AH147" s="69">
        <f t="shared" si="30"/>
        <v>172</v>
      </c>
    </row>
    <row r="148" spans="1:34" s="69" customFormat="1" ht="97.5" x14ac:dyDescent="0.3">
      <c r="A148" s="130" t="s">
        <v>422</v>
      </c>
      <c r="B148" s="131" t="s">
        <v>3070</v>
      </c>
      <c r="C148" s="132" t="s">
        <v>110</v>
      </c>
      <c r="D148" s="133">
        <v>150400</v>
      </c>
      <c r="E148" s="75"/>
      <c r="F148" s="75"/>
      <c r="G148" s="75"/>
      <c r="H148" s="75">
        <v>107.31</v>
      </c>
      <c r="I148" s="75">
        <v>16139424</v>
      </c>
      <c r="J148" s="91" t="s">
        <v>132</v>
      </c>
      <c r="K148" s="73"/>
      <c r="L148" s="46">
        <v>150350.58000000002</v>
      </c>
      <c r="M148" s="46">
        <v>1428403.4100000001</v>
      </c>
      <c r="N148" s="46">
        <v>16134120.74</v>
      </c>
      <c r="O148" s="98"/>
      <c r="P148" s="23" t="s">
        <v>1431</v>
      </c>
      <c r="Q148" s="24" t="s">
        <v>131</v>
      </c>
      <c r="R148" s="25" t="s">
        <v>110</v>
      </c>
      <c r="S148" s="26">
        <v>150400</v>
      </c>
      <c r="T148" s="26"/>
      <c r="U148" s="26">
        <f t="shared" si="19"/>
        <v>107.31</v>
      </c>
      <c r="V148" s="127">
        <f t="shared" si="23"/>
        <v>0</v>
      </c>
      <c r="W148" s="127">
        <f t="shared" si="24"/>
        <v>150350.58000000002</v>
      </c>
      <c r="X148" s="127">
        <f t="shared" si="25"/>
        <v>0</v>
      </c>
      <c r="Y148" s="127">
        <f t="shared" si="27"/>
        <v>16134120.74</v>
      </c>
      <c r="Z148" s="33" t="s">
        <v>15</v>
      </c>
      <c r="AA148" s="36" t="s">
        <v>16</v>
      </c>
      <c r="AB148" s="181">
        <f t="shared" si="28"/>
        <v>150400</v>
      </c>
      <c r="AC148" s="181">
        <f t="shared" si="26"/>
        <v>16139424</v>
      </c>
      <c r="AD148" s="181">
        <v>1.3</v>
      </c>
      <c r="AE148" s="181">
        <v>1.3</v>
      </c>
      <c r="AF148" s="101" t="str">
        <f t="shared" si="29"/>
        <v/>
      </c>
      <c r="AG148" s="191">
        <f>67289.58+8250*5+28500+13311</f>
        <v>150350.58000000002</v>
      </c>
      <c r="AH148" s="69">
        <f t="shared" si="30"/>
        <v>150400</v>
      </c>
    </row>
    <row r="149" spans="1:34" s="69" customFormat="1" ht="39" x14ac:dyDescent="0.3">
      <c r="A149" s="130" t="s">
        <v>423</v>
      </c>
      <c r="B149" s="131" t="s">
        <v>424</v>
      </c>
      <c r="C149" s="132" t="s">
        <v>50</v>
      </c>
      <c r="D149" s="133">
        <v>1140.1600000000001</v>
      </c>
      <c r="E149" s="75"/>
      <c r="F149" s="75"/>
      <c r="G149" s="75"/>
      <c r="H149" s="75">
        <v>692.16</v>
      </c>
      <c r="I149" s="75">
        <v>789173.15</v>
      </c>
      <c r="J149" s="91" t="s">
        <v>425</v>
      </c>
      <c r="K149" s="73"/>
      <c r="L149" s="46">
        <v>955.39</v>
      </c>
      <c r="M149" s="46">
        <v>77521.920000000042</v>
      </c>
      <c r="N149" s="46">
        <v>661282.74</v>
      </c>
      <c r="O149" s="98"/>
      <c r="P149" s="23" t="s">
        <v>1395</v>
      </c>
      <c r="Q149" s="24" t="s">
        <v>424</v>
      </c>
      <c r="R149" s="25" t="s">
        <v>50</v>
      </c>
      <c r="S149" s="26">
        <v>1140.1600000000001</v>
      </c>
      <c r="T149" s="26"/>
      <c r="U149" s="26">
        <f t="shared" si="19"/>
        <v>692.16</v>
      </c>
      <c r="V149" s="128">
        <f t="shared" si="23"/>
        <v>184.20999999999992</v>
      </c>
      <c r="W149" s="127">
        <f t="shared" si="24"/>
        <v>1139.5999999999999</v>
      </c>
      <c r="X149" s="127">
        <f t="shared" si="25"/>
        <v>127502.80000000005</v>
      </c>
      <c r="Y149" s="127">
        <f t="shared" si="27"/>
        <v>788785.54</v>
      </c>
      <c r="Z149" s="33" t="s">
        <v>15</v>
      </c>
      <c r="AA149" s="36" t="s">
        <v>16</v>
      </c>
      <c r="AB149" s="181">
        <f t="shared" si="28"/>
        <v>1140.1600000000001</v>
      </c>
      <c r="AC149" s="181">
        <f t="shared" si="26"/>
        <v>789173.15</v>
      </c>
      <c r="AD149" s="181">
        <v>1.3</v>
      </c>
      <c r="AE149" s="181">
        <v>1.3</v>
      </c>
      <c r="AF149" s="101" t="str">
        <f t="shared" si="29"/>
        <v/>
      </c>
      <c r="AG149" s="191">
        <f>506.39+225+112+112+184.21</f>
        <v>1139.5999999999999</v>
      </c>
      <c r="AH149" s="69">
        <f t="shared" si="30"/>
        <v>1140.1600000000001</v>
      </c>
    </row>
    <row r="150" spans="1:34" s="69" customFormat="1" ht="58.5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203"/>
      <c r="F150" s="203"/>
      <c r="G150" s="203"/>
      <c r="H150" s="75">
        <v>48.28</v>
      </c>
      <c r="I150" s="75">
        <v>25472.05</v>
      </c>
      <c r="J150" s="91" t="s">
        <v>35</v>
      </c>
      <c r="K150" s="73"/>
      <c r="L150" s="46">
        <v>527.59</v>
      </c>
      <c r="M150" s="46">
        <v>0</v>
      </c>
      <c r="N150" s="46">
        <v>25472.05</v>
      </c>
      <c r="O150" s="98"/>
      <c r="P150" s="23" t="s">
        <v>1432</v>
      </c>
      <c r="Q150" s="24" t="s">
        <v>33</v>
      </c>
      <c r="R150" s="25" t="s">
        <v>34</v>
      </c>
      <c r="S150" s="26">
        <v>527.59</v>
      </c>
      <c r="T150" s="26"/>
      <c r="U150" s="26">
        <f t="shared" si="19"/>
        <v>48.28</v>
      </c>
      <c r="V150" s="127">
        <f t="shared" si="23"/>
        <v>0</v>
      </c>
      <c r="W150" s="127">
        <f t="shared" si="24"/>
        <v>527.59</v>
      </c>
      <c r="X150" s="127">
        <f t="shared" si="25"/>
        <v>0</v>
      </c>
      <c r="Y150" s="127">
        <f t="shared" si="27"/>
        <v>25472.05</v>
      </c>
      <c r="Z150" s="33" t="s">
        <v>15</v>
      </c>
      <c r="AA150" s="36" t="s">
        <v>16</v>
      </c>
      <c r="AB150" s="181">
        <f t="shared" si="28"/>
        <v>527.59</v>
      </c>
      <c r="AC150" s="181">
        <f t="shared" si="26"/>
        <v>25472.05</v>
      </c>
      <c r="AD150" s="181">
        <v>1.3</v>
      </c>
      <c r="AE150" s="181">
        <v>1.3</v>
      </c>
      <c r="AF150" s="101" t="str">
        <f t="shared" si="29"/>
        <v/>
      </c>
      <c r="AG150" s="190">
        <v>527.59</v>
      </c>
      <c r="AH150" s="69">
        <f t="shared" si="30"/>
        <v>527.59</v>
      </c>
    </row>
    <row r="151" spans="1:34" s="69" customFormat="1" ht="39" x14ac:dyDescent="0.3">
      <c r="A151" s="130" t="s">
        <v>427</v>
      </c>
      <c r="B151" s="131" t="s">
        <v>428</v>
      </c>
      <c r="C151" s="132" t="s">
        <v>34</v>
      </c>
      <c r="D151" s="133">
        <v>355.42</v>
      </c>
      <c r="E151" s="203"/>
      <c r="F151" s="203"/>
      <c r="G151" s="203"/>
      <c r="H151" s="75">
        <v>721.06</v>
      </c>
      <c r="I151" s="75">
        <v>256279.15</v>
      </c>
      <c r="J151" s="91" t="s">
        <v>429</v>
      </c>
      <c r="K151" s="73"/>
      <c r="L151" s="46">
        <v>0</v>
      </c>
      <c r="M151" s="46">
        <v>0</v>
      </c>
      <c r="N151" s="46">
        <v>0</v>
      </c>
      <c r="O151" s="98"/>
      <c r="P151" s="23" t="s">
        <v>1433</v>
      </c>
      <c r="Q151" s="24" t="s">
        <v>428</v>
      </c>
      <c r="R151" s="25" t="s">
        <v>34</v>
      </c>
      <c r="S151" s="26">
        <v>355.42</v>
      </c>
      <c r="T151" s="26"/>
      <c r="U151" s="26">
        <f t="shared" si="19"/>
        <v>721.06</v>
      </c>
      <c r="V151" s="127">
        <f t="shared" si="23"/>
        <v>0</v>
      </c>
      <c r="W151" s="127">
        <f t="shared" si="24"/>
        <v>0</v>
      </c>
      <c r="X151" s="127">
        <f t="shared" si="25"/>
        <v>0</v>
      </c>
      <c r="Y151" s="127">
        <f t="shared" si="27"/>
        <v>0</v>
      </c>
      <c r="Z151" s="33" t="s">
        <v>15</v>
      </c>
      <c r="AA151" s="36" t="s">
        <v>16</v>
      </c>
      <c r="AB151" s="181">
        <f t="shared" si="28"/>
        <v>355.42</v>
      </c>
      <c r="AC151" s="181">
        <f t="shared" si="26"/>
        <v>256279.15</v>
      </c>
      <c r="AD151" s="181">
        <v>1.3</v>
      </c>
      <c r="AE151" s="181">
        <v>1.3</v>
      </c>
      <c r="AF151" s="101" t="str">
        <f t="shared" si="29"/>
        <v/>
      </c>
      <c r="AG151" s="190">
        <v>0</v>
      </c>
      <c r="AH151" s="69">
        <f t="shared" si="30"/>
        <v>355.42</v>
      </c>
    </row>
    <row r="152" spans="1:34" s="69" customFormat="1" ht="33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75">
        <v>28</v>
      </c>
      <c r="I152" s="75">
        <v>914900</v>
      </c>
      <c r="J152" s="91" t="s">
        <v>432</v>
      </c>
      <c r="K152" s="73"/>
      <c r="L152" s="46">
        <v>20127</v>
      </c>
      <c r="M152" s="46">
        <v>34300</v>
      </c>
      <c r="N152" s="46">
        <v>563556</v>
      </c>
      <c r="O152" s="98"/>
      <c r="P152" s="23" t="s">
        <v>1382</v>
      </c>
      <c r="Q152" s="24" t="s">
        <v>431</v>
      </c>
      <c r="R152" s="25" t="s">
        <v>50</v>
      </c>
      <c r="S152" s="26">
        <v>272</v>
      </c>
      <c r="T152" s="26">
        <v>32675</v>
      </c>
      <c r="U152" s="26">
        <f t="shared" si="19"/>
        <v>28</v>
      </c>
      <c r="V152" s="128">
        <f t="shared" si="23"/>
        <v>1236</v>
      </c>
      <c r="W152" s="26">
        <f t="shared" si="24"/>
        <v>21363</v>
      </c>
      <c r="X152" s="26">
        <f t="shared" si="25"/>
        <v>34608</v>
      </c>
      <c r="Y152" s="26">
        <f t="shared" si="27"/>
        <v>598164</v>
      </c>
      <c r="Z152" s="27" t="s">
        <v>15</v>
      </c>
      <c r="AA152" s="36" t="s">
        <v>16</v>
      </c>
      <c r="AB152" s="181">
        <f t="shared" si="28"/>
        <v>32675</v>
      </c>
      <c r="AC152" s="181">
        <f t="shared" si="26"/>
        <v>914900</v>
      </c>
      <c r="AD152" s="181">
        <v>1.3</v>
      </c>
      <c r="AE152" s="181">
        <v>1.3</v>
      </c>
      <c r="AF152" s="101" t="str">
        <f t="shared" si="29"/>
        <v/>
      </c>
      <c r="AG152" s="191">
        <f>14772+1565+2565+1225+1236</f>
        <v>21363</v>
      </c>
      <c r="AH152" s="69">
        <f t="shared" si="30"/>
        <v>32675</v>
      </c>
    </row>
    <row r="153" spans="1:34" s="69" customFormat="1" ht="39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203"/>
      <c r="F153" s="203"/>
      <c r="G153" s="203"/>
      <c r="H153" s="75">
        <v>19012.060000000001</v>
      </c>
      <c r="I153" s="75">
        <v>14144972.640000001</v>
      </c>
      <c r="J153" s="91" t="s">
        <v>435</v>
      </c>
      <c r="K153" s="73"/>
      <c r="L153" s="46">
        <v>744</v>
      </c>
      <c r="M153" s="46">
        <v>0</v>
      </c>
      <c r="N153" s="46">
        <v>14144972.640000001</v>
      </c>
      <c r="O153" s="98"/>
      <c r="P153" s="23" t="s">
        <v>1434</v>
      </c>
      <c r="Q153" s="24" t="s">
        <v>434</v>
      </c>
      <c r="R153" s="25" t="s">
        <v>30</v>
      </c>
      <c r="S153" s="26">
        <v>744</v>
      </c>
      <c r="T153" s="26"/>
      <c r="U153" s="26">
        <f t="shared" si="19"/>
        <v>19012.060000000001</v>
      </c>
      <c r="V153" s="127">
        <f t="shared" si="23"/>
        <v>0</v>
      </c>
      <c r="W153" s="127">
        <f t="shared" si="24"/>
        <v>744</v>
      </c>
      <c r="X153" s="127">
        <f t="shared" si="25"/>
        <v>0</v>
      </c>
      <c r="Y153" s="127">
        <f t="shared" si="27"/>
        <v>14144972.640000001</v>
      </c>
      <c r="Z153" s="33" t="s">
        <v>15</v>
      </c>
      <c r="AA153" s="36" t="s">
        <v>16</v>
      </c>
      <c r="AB153" s="181">
        <f t="shared" si="28"/>
        <v>744</v>
      </c>
      <c r="AC153" s="181">
        <f t="shared" si="26"/>
        <v>14144972.640000001</v>
      </c>
      <c r="AD153" s="181">
        <v>1.3</v>
      </c>
      <c r="AE153" s="181">
        <v>1.3</v>
      </c>
      <c r="AF153" s="101" t="str">
        <f t="shared" si="29"/>
        <v/>
      </c>
      <c r="AG153" s="190">
        <v>744</v>
      </c>
      <c r="AH153" s="69">
        <f t="shared" si="30"/>
        <v>744</v>
      </c>
    </row>
    <row r="154" spans="1:34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>
        <v>373.1</v>
      </c>
      <c r="I154" s="75">
        <v>50741.599999999999</v>
      </c>
      <c r="J154" s="91" t="s">
        <v>438</v>
      </c>
      <c r="K154" s="73"/>
      <c r="L154" s="46">
        <v>0</v>
      </c>
      <c r="M154" s="46">
        <v>0</v>
      </c>
      <c r="N154" s="46">
        <v>0</v>
      </c>
      <c r="O154" s="98"/>
      <c r="P154" s="23" t="s">
        <v>1388</v>
      </c>
      <c r="Q154" s="24" t="s">
        <v>437</v>
      </c>
      <c r="R154" s="25" t="s">
        <v>50</v>
      </c>
      <c r="S154" s="26">
        <v>136</v>
      </c>
      <c r="T154" s="26"/>
      <c r="U154" s="26">
        <f t="shared" si="19"/>
        <v>373.1</v>
      </c>
      <c r="V154" s="26">
        <f t="shared" si="23"/>
        <v>0</v>
      </c>
      <c r="W154" s="26">
        <f t="shared" si="24"/>
        <v>0</v>
      </c>
      <c r="X154" s="26">
        <f t="shared" si="25"/>
        <v>0</v>
      </c>
      <c r="Y154" s="26">
        <f t="shared" si="27"/>
        <v>0</v>
      </c>
      <c r="Z154" s="33" t="s">
        <v>15</v>
      </c>
      <c r="AA154" s="36" t="s">
        <v>16</v>
      </c>
      <c r="AB154" s="181">
        <f t="shared" si="28"/>
        <v>136</v>
      </c>
      <c r="AC154" s="181">
        <f t="shared" si="26"/>
        <v>50741.599999999999</v>
      </c>
      <c r="AD154" s="181">
        <v>1.3</v>
      </c>
      <c r="AE154" s="181">
        <v>1.3</v>
      </c>
      <c r="AF154" s="101" t="str">
        <f t="shared" si="29"/>
        <v/>
      </c>
      <c r="AG154" s="190">
        <v>0</v>
      </c>
      <c r="AH154" s="69">
        <f t="shared" si="30"/>
        <v>136</v>
      </c>
    </row>
    <row r="155" spans="1:34" s="69" customFormat="1" ht="39" x14ac:dyDescent="0.3">
      <c r="A155" s="55" t="s">
        <v>439</v>
      </c>
      <c r="B155" s="53" t="s">
        <v>440</v>
      </c>
      <c r="C155" s="54" t="s">
        <v>50</v>
      </c>
      <c r="D155" s="75">
        <v>136</v>
      </c>
      <c r="E155" s="75"/>
      <c r="F155" s="75"/>
      <c r="G155" s="75"/>
      <c r="H155" s="75">
        <v>616.53</v>
      </c>
      <c r="I155" s="75">
        <v>83848.08</v>
      </c>
      <c r="J155" s="91" t="s">
        <v>441</v>
      </c>
      <c r="K155" s="73"/>
      <c r="L155" s="46">
        <v>0</v>
      </c>
      <c r="M155" s="46">
        <v>0</v>
      </c>
      <c r="N155" s="46">
        <v>0</v>
      </c>
      <c r="O155" s="98"/>
      <c r="P155" s="23" t="s">
        <v>1389</v>
      </c>
      <c r="Q155" s="24" t="s">
        <v>440</v>
      </c>
      <c r="R155" s="25" t="s">
        <v>50</v>
      </c>
      <c r="S155" s="26">
        <v>136</v>
      </c>
      <c r="T155" s="26"/>
      <c r="U155" s="26">
        <f t="shared" si="19"/>
        <v>616.53</v>
      </c>
      <c r="V155" s="26">
        <f t="shared" si="23"/>
        <v>0</v>
      </c>
      <c r="W155" s="26">
        <f t="shared" si="24"/>
        <v>0</v>
      </c>
      <c r="X155" s="26">
        <f t="shared" si="25"/>
        <v>0</v>
      </c>
      <c r="Y155" s="26">
        <f t="shared" si="27"/>
        <v>0</v>
      </c>
      <c r="Z155" s="33" t="s">
        <v>15</v>
      </c>
      <c r="AA155" s="36" t="s">
        <v>16</v>
      </c>
      <c r="AB155" s="181">
        <f t="shared" si="28"/>
        <v>136</v>
      </c>
      <c r="AC155" s="181">
        <f t="shared" si="26"/>
        <v>83848.08</v>
      </c>
      <c r="AD155" s="181">
        <v>1.3</v>
      </c>
      <c r="AE155" s="181">
        <v>1.3</v>
      </c>
      <c r="AF155" s="101" t="str">
        <f t="shared" si="29"/>
        <v/>
      </c>
      <c r="AG155" s="190">
        <v>0</v>
      </c>
      <c r="AH155" s="69">
        <f t="shared" si="30"/>
        <v>136</v>
      </c>
    </row>
    <row r="156" spans="1:34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>
        <v>2664.06</v>
      </c>
      <c r="I156" s="75">
        <v>9590.6200000000008</v>
      </c>
      <c r="J156" s="91" t="s">
        <v>444</v>
      </c>
      <c r="K156" s="73"/>
      <c r="L156" s="46">
        <v>0</v>
      </c>
      <c r="M156" s="46">
        <v>0</v>
      </c>
      <c r="N156" s="46">
        <v>0</v>
      </c>
      <c r="O156" s="98"/>
      <c r="P156" s="23" t="s">
        <v>1390</v>
      </c>
      <c r="Q156" s="24" t="s">
        <v>443</v>
      </c>
      <c r="R156" s="25" t="s">
        <v>50</v>
      </c>
      <c r="S156" s="26">
        <v>3.6</v>
      </c>
      <c r="T156" s="26"/>
      <c r="U156" s="26">
        <f t="shared" si="19"/>
        <v>2664.06</v>
      </c>
      <c r="V156" s="26">
        <f t="shared" si="23"/>
        <v>0</v>
      </c>
      <c r="W156" s="26">
        <f t="shared" si="24"/>
        <v>0</v>
      </c>
      <c r="X156" s="26">
        <f t="shared" si="25"/>
        <v>0</v>
      </c>
      <c r="Y156" s="26">
        <f t="shared" si="27"/>
        <v>0</v>
      </c>
      <c r="Z156" s="33" t="s">
        <v>15</v>
      </c>
      <c r="AA156" s="36" t="s">
        <v>16</v>
      </c>
      <c r="AB156" s="181">
        <f t="shared" si="28"/>
        <v>3.6</v>
      </c>
      <c r="AC156" s="181">
        <f t="shared" si="26"/>
        <v>9590.6200000000008</v>
      </c>
      <c r="AD156" s="181">
        <v>1.3</v>
      </c>
      <c r="AE156" s="181">
        <v>1.3</v>
      </c>
      <c r="AF156" s="101" t="str">
        <f t="shared" si="29"/>
        <v/>
      </c>
      <c r="AG156" s="190">
        <v>0</v>
      </c>
      <c r="AH156" s="69">
        <f t="shared" si="30"/>
        <v>3.6</v>
      </c>
    </row>
    <row r="157" spans="1:34" s="69" customFormat="1" ht="39" x14ac:dyDescent="0.3">
      <c r="A157" s="55" t="s">
        <v>445</v>
      </c>
      <c r="B157" s="53" t="s">
        <v>446</v>
      </c>
      <c r="C157" s="54" t="s">
        <v>30</v>
      </c>
      <c r="D157" s="75">
        <v>44</v>
      </c>
      <c r="E157" s="75"/>
      <c r="F157" s="75"/>
      <c r="G157" s="75"/>
      <c r="H157" s="75">
        <v>5183.22</v>
      </c>
      <c r="I157" s="75">
        <v>228061.68</v>
      </c>
      <c r="J157" s="137" t="s">
        <v>447</v>
      </c>
      <c r="K157" s="73"/>
      <c r="L157" s="46">
        <v>0</v>
      </c>
      <c r="M157" s="46">
        <v>0</v>
      </c>
      <c r="N157" s="46">
        <v>0</v>
      </c>
      <c r="O157" s="98"/>
      <c r="P157" s="23" t="s">
        <v>1391</v>
      </c>
      <c r="Q157" s="24" t="s">
        <v>446</v>
      </c>
      <c r="R157" s="25" t="s">
        <v>30</v>
      </c>
      <c r="S157" s="26">
        <v>44</v>
      </c>
      <c r="T157" s="26"/>
      <c r="U157" s="26">
        <f t="shared" si="19"/>
        <v>5183.22</v>
      </c>
      <c r="V157" s="128">
        <f t="shared" si="23"/>
        <v>35</v>
      </c>
      <c r="W157" s="26">
        <f t="shared" si="24"/>
        <v>35</v>
      </c>
      <c r="X157" s="26">
        <f t="shared" si="25"/>
        <v>181412.7</v>
      </c>
      <c r="Y157" s="26">
        <f t="shared" si="27"/>
        <v>181412.7</v>
      </c>
      <c r="Z157" s="33" t="s">
        <v>15</v>
      </c>
      <c r="AA157" s="36" t="s">
        <v>16</v>
      </c>
      <c r="AB157" s="181">
        <f t="shared" si="28"/>
        <v>44</v>
      </c>
      <c r="AC157" s="181">
        <f t="shared" si="26"/>
        <v>228061.68</v>
      </c>
      <c r="AD157" s="181">
        <v>1.3</v>
      </c>
      <c r="AE157" s="181">
        <v>1.3</v>
      </c>
      <c r="AF157" s="101" t="str">
        <f t="shared" si="29"/>
        <v/>
      </c>
      <c r="AG157" s="191">
        <f>35</f>
        <v>35</v>
      </c>
      <c r="AH157" s="69">
        <f t="shared" si="30"/>
        <v>44</v>
      </c>
    </row>
    <row r="158" spans="1:34" s="69" customFormat="1" ht="39" x14ac:dyDescent="0.3">
      <c r="A158" s="55" t="s">
        <v>448</v>
      </c>
      <c r="B158" s="53" t="s">
        <v>449</v>
      </c>
      <c r="C158" s="54" t="s">
        <v>30</v>
      </c>
      <c r="D158" s="75">
        <v>94.14</v>
      </c>
      <c r="E158" s="75"/>
      <c r="F158" s="75"/>
      <c r="G158" s="75"/>
      <c r="H158" s="75">
        <v>9392.57</v>
      </c>
      <c r="I158" s="75">
        <v>884216.54</v>
      </c>
      <c r="J158" s="137" t="s">
        <v>450</v>
      </c>
      <c r="K158" s="73"/>
      <c r="L158" s="46">
        <v>0</v>
      </c>
      <c r="M158" s="46">
        <v>0</v>
      </c>
      <c r="N158" s="46">
        <v>0</v>
      </c>
      <c r="O158" s="98"/>
      <c r="P158" s="23" t="s">
        <v>1436</v>
      </c>
      <c r="Q158" s="24" t="s">
        <v>449</v>
      </c>
      <c r="R158" s="25" t="s">
        <v>30</v>
      </c>
      <c r="S158" s="26">
        <v>94.14</v>
      </c>
      <c r="T158" s="26"/>
      <c r="U158" s="26">
        <f t="shared" si="19"/>
        <v>9392.57</v>
      </c>
      <c r="V158" s="26">
        <f t="shared" si="23"/>
        <v>0</v>
      </c>
      <c r="W158" s="26">
        <f t="shared" si="24"/>
        <v>0</v>
      </c>
      <c r="X158" s="26">
        <f t="shared" si="25"/>
        <v>0</v>
      </c>
      <c r="Y158" s="26">
        <f t="shared" si="27"/>
        <v>0</v>
      </c>
      <c r="Z158" s="33" t="s">
        <v>15</v>
      </c>
      <c r="AA158" s="36" t="s">
        <v>16</v>
      </c>
      <c r="AB158" s="181">
        <f t="shared" si="28"/>
        <v>94.14</v>
      </c>
      <c r="AC158" s="181">
        <f t="shared" si="26"/>
        <v>884216.54</v>
      </c>
      <c r="AD158" s="181">
        <v>1.3</v>
      </c>
      <c r="AE158" s="181">
        <v>1.3</v>
      </c>
      <c r="AF158" s="101" t="str">
        <f t="shared" si="29"/>
        <v/>
      </c>
      <c r="AG158" s="190">
        <v>0</v>
      </c>
      <c r="AH158" s="69">
        <f t="shared" si="30"/>
        <v>94.14</v>
      </c>
    </row>
    <row r="159" spans="1:34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>
        <v>2388.5700000000002</v>
      </c>
      <c r="I159" s="75">
        <v>272296.98</v>
      </c>
      <c r="J159" s="137" t="s">
        <v>453</v>
      </c>
      <c r="K159" s="73"/>
      <c r="L159" s="46">
        <v>0</v>
      </c>
      <c r="M159" s="46">
        <v>0</v>
      </c>
      <c r="N159" s="46">
        <v>0</v>
      </c>
      <c r="O159" s="98"/>
      <c r="P159" s="23" t="s">
        <v>1374</v>
      </c>
      <c r="Q159" s="24" t="s">
        <v>452</v>
      </c>
      <c r="R159" s="25" t="s">
        <v>30</v>
      </c>
      <c r="S159" s="26">
        <v>114</v>
      </c>
      <c r="T159" s="26"/>
      <c r="U159" s="26">
        <f t="shared" si="19"/>
        <v>2388.5700000000002</v>
      </c>
      <c r="V159" s="26">
        <f t="shared" si="23"/>
        <v>0</v>
      </c>
      <c r="W159" s="26">
        <f t="shared" si="24"/>
        <v>0</v>
      </c>
      <c r="X159" s="26">
        <f t="shared" si="25"/>
        <v>0</v>
      </c>
      <c r="Y159" s="26">
        <f t="shared" si="27"/>
        <v>0</v>
      </c>
      <c r="Z159" s="33" t="s">
        <v>15</v>
      </c>
      <c r="AA159" s="36" t="s">
        <v>16</v>
      </c>
      <c r="AB159" s="181">
        <f t="shared" si="28"/>
        <v>114</v>
      </c>
      <c r="AC159" s="181">
        <f t="shared" si="26"/>
        <v>272296.98</v>
      </c>
      <c r="AD159" s="181">
        <v>1.3</v>
      </c>
      <c r="AE159" s="181">
        <v>1.3</v>
      </c>
      <c r="AF159" s="101" t="str">
        <f t="shared" si="29"/>
        <v/>
      </c>
      <c r="AG159" s="190">
        <v>0</v>
      </c>
      <c r="AH159" s="69">
        <f t="shared" si="30"/>
        <v>114</v>
      </c>
    </row>
    <row r="160" spans="1:34" s="69" customFormat="1" ht="39" x14ac:dyDescent="0.3">
      <c r="A160" s="55" t="s">
        <v>454</v>
      </c>
      <c r="B160" s="215" t="s">
        <v>455</v>
      </c>
      <c r="C160" s="54" t="s">
        <v>30</v>
      </c>
      <c r="D160" s="75">
        <v>44</v>
      </c>
      <c r="E160" s="75"/>
      <c r="F160" s="75"/>
      <c r="G160" s="75"/>
      <c r="H160" s="75">
        <v>80192.710000000006</v>
      </c>
      <c r="I160" s="75">
        <v>3528479.24</v>
      </c>
      <c r="J160" s="137" t="s">
        <v>456</v>
      </c>
      <c r="K160" s="73"/>
      <c r="L160" s="46">
        <v>32</v>
      </c>
      <c r="M160" s="46">
        <v>2566166.7200000002</v>
      </c>
      <c r="N160" s="46">
        <v>2566166.7200000002</v>
      </c>
      <c r="O160" s="98"/>
      <c r="P160" s="23" t="s">
        <v>1376</v>
      </c>
      <c r="Q160" s="24" t="s">
        <v>455</v>
      </c>
      <c r="R160" s="25" t="s">
        <v>30</v>
      </c>
      <c r="S160" s="26">
        <v>44</v>
      </c>
      <c r="T160" s="26"/>
      <c r="U160" s="26">
        <f t="shared" si="19"/>
        <v>80192.710000000006</v>
      </c>
      <c r="V160" s="128">
        <f t="shared" si="23"/>
        <v>3</v>
      </c>
      <c r="W160" s="26">
        <f t="shared" si="24"/>
        <v>35</v>
      </c>
      <c r="X160" s="26">
        <f t="shared" si="25"/>
        <v>240578.12999999989</v>
      </c>
      <c r="Y160" s="26">
        <f t="shared" si="27"/>
        <v>2806744.85</v>
      </c>
      <c r="Z160" s="33" t="s">
        <v>15</v>
      </c>
      <c r="AA160" s="36" t="s">
        <v>16</v>
      </c>
      <c r="AB160" s="181">
        <f t="shared" si="28"/>
        <v>44</v>
      </c>
      <c r="AC160" s="181">
        <f t="shared" si="26"/>
        <v>3528479.24</v>
      </c>
      <c r="AD160" s="181">
        <v>1.3</v>
      </c>
      <c r="AE160" s="181">
        <v>1.3</v>
      </c>
      <c r="AF160" s="101" t="str">
        <f t="shared" si="29"/>
        <v/>
      </c>
      <c r="AG160" s="191">
        <f>32+3</f>
        <v>35</v>
      </c>
      <c r="AH160" s="69">
        <f t="shared" si="30"/>
        <v>44</v>
      </c>
    </row>
    <row r="161" spans="1:34" s="69" customFormat="1" ht="58.5" x14ac:dyDescent="0.3">
      <c r="A161" s="55" t="s">
        <v>457</v>
      </c>
      <c r="B161" s="215" t="s">
        <v>458</v>
      </c>
      <c r="C161" s="54" t="s">
        <v>30</v>
      </c>
      <c r="D161" s="75">
        <v>90</v>
      </c>
      <c r="E161" s="75"/>
      <c r="F161" s="75"/>
      <c r="G161" s="75"/>
      <c r="H161" s="75">
        <v>9257.1299999999992</v>
      </c>
      <c r="I161" s="75">
        <v>833141.7</v>
      </c>
      <c r="J161" s="137" t="s">
        <v>459</v>
      </c>
      <c r="K161" s="73"/>
      <c r="L161" s="46">
        <v>0</v>
      </c>
      <c r="M161" s="46">
        <v>0</v>
      </c>
      <c r="N161" s="46">
        <v>0</v>
      </c>
      <c r="O161" s="98"/>
      <c r="P161" s="23" t="s">
        <v>1378</v>
      </c>
      <c r="Q161" s="24" t="s">
        <v>458</v>
      </c>
      <c r="R161" s="25" t="s">
        <v>30</v>
      </c>
      <c r="S161" s="26">
        <v>90</v>
      </c>
      <c r="T161" s="26"/>
      <c r="U161" s="26">
        <f t="shared" si="19"/>
        <v>9257.1299999999992</v>
      </c>
      <c r="V161" s="128">
        <f t="shared" si="23"/>
        <v>70</v>
      </c>
      <c r="W161" s="26">
        <f t="shared" si="24"/>
        <v>70</v>
      </c>
      <c r="X161" s="26">
        <f t="shared" si="25"/>
        <v>647999.1</v>
      </c>
      <c r="Y161" s="26">
        <f t="shared" si="27"/>
        <v>647999.1</v>
      </c>
      <c r="Z161" s="33" t="s">
        <v>15</v>
      </c>
      <c r="AA161" s="36" t="s">
        <v>16</v>
      </c>
      <c r="AB161" s="181">
        <f t="shared" si="28"/>
        <v>90</v>
      </c>
      <c r="AC161" s="181">
        <f t="shared" si="26"/>
        <v>833141.7</v>
      </c>
      <c r="AD161" s="181">
        <v>1.3</v>
      </c>
      <c r="AE161" s="181">
        <v>1.3</v>
      </c>
      <c r="AF161" s="101" t="str">
        <f t="shared" si="29"/>
        <v/>
      </c>
      <c r="AG161" s="191">
        <f>70</f>
        <v>70</v>
      </c>
      <c r="AH161" s="69">
        <f t="shared" si="30"/>
        <v>90</v>
      </c>
    </row>
    <row r="162" spans="1:34" s="69" customFormat="1" ht="33" x14ac:dyDescent="0.3">
      <c r="A162" s="55" t="s">
        <v>460</v>
      </c>
      <c r="B162" s="53" t="s">
        <v>461</v>
      </c>
      <c r="C162" s="54" t="s">
        <v>81</v>
      </c>
      <c r="D162" s="75">
        <v>1</v>
      </c>
      <c r="E162" s="75"/>
      <c r="F162" s="75"/>
      <c r="G162" s="75"/>
      <c r="H162" s="75">
        <v>58649</v>
      </c>
      <c r="I162" s="75">
        <v>58649</v>
      </c>
      <c r="J162" s="137" t="s">
        <v>462</v>
      </c>
      <c r="K162" s="73"/>
      <c r="L162" s="46">
        <v>0</v>
      </c>
      <c r="M162" s="46">
        <v>0</v>
      </c>
      <c r="N162" s="46">
        <v>0</v>
      </c>
      <c r="O162" s="98"/>
      <c r="P162" s="23" t="s">
        <v>1438</v>
      </c>
      <c r="Q162" s="24" t="s">
        <v>461</v>
      </c>
      <c r="R162" s="25" t="s">
        <v>81</v>
      </c>
      <c r="S162" s="26">
        <v>1</v>
      </c>
      <c r="T162" s="26"/>
      <c r="U162" s="26">
        <f t="shared" si="19"/>
        <v>58649</v>
      </c>
      <c r="V162" s="26">
        <f t="shared" si="23"/>
        <v>0</v>
      </c>
      <c r="W162" s="26">
        <f t="shared" si="24"/>
        <v>0</v>
      </c>
      <c r="X162" s="26">
        <f t="shared" si="25"/>
        <v>0</v>
      </c>
      <c r="Y162" s="26">
        <f t="shared" si="27"/>
        <v>0</v>
      </c>
      <c r="Z162" s="33" t="s">
        <v>15</v>
      </c>
      <c r="AA162" s="36" t="s">
        <v>16</v>
      </c>
      <c r="AB162" s="181">
        <f t="shared" si="28"/>
        <v>1</v>
      </c>
      <c r="AC162" s="181">
        <f t="shared" si="26"/>
        <v>58649</v>
      </c>
      <c r="AD162" s="181">
        <v>1.3</v>
      </c>
      <c r="AE162" s="181">
        <v>1.3</v>
      </c>
      <c r="AF162" s="101" t="str">
        <f t="shared" si="29"/>
        <v/>
      </c>
      <c r="AG162" s="190">
        <v>0</v>
      </c>
      <c r="AH162" s="69">
        <f t="shared" si="30"/>
        <v>1</v>
      </c>
    </row>
    <row r="163" spans="1:34" s="69" customFormat="1" ht="33" x14ac:dyDescent="0.3">
      <c r="A163" s="130" t="s">
        <v>463</v>
      </c>
      <c r="B163" s="131" t="s">
        <v>464</v>
      </c>
      <c r="C163" s="132" t="s">
        <v>81</v>
      </c>
      <c r="D163" s="133">
        <v>1</v>
      </c>
      <c r="E163" s="75"/>
      <c r="F163" s="75"/>
      <c r="G163" s="75"/>
      <c r="H163" s="75">
        <v>107614.5</v>
      </c>
      <c r="I163" s="75">
        <v>107614.5</v>
      </c>
      <c r="J163" s="137" t="s">
        <v>465</v>
      </c>
      <c r="K163" s="73"/>
      <c r="L163" s="46">
        <v>0</v>
      </c>
      <c r="M163" s="46">
        <v>0</v>
      </c>
      <c r="N163" s="46">
        <v>0</v>
      </c>
      <c r="O163" s="98"/>
      <c r="P163" s="23" t="s">
        <v>1439</v>
      </c>
      <c r="Q163" s="24" t="s">
        <v>464</v>
      </c>
      <c r="R163" s="25" t="s">
        <v>81</v>
      </c>
      <c r="S163" s="26">
        <v>1</v>
      </c>
      <c r="T163" s="26"/>
      <c r="U163" s="26">
        <f t="shared" si="19"/>
        <v>107614.5</v>
      </c>
      <c r="V163" s="26">
        <f t="shared" si="23"/>
        <v>0.8</v>
      </c>
      <c r="W163" s="127">
        <f t="shared" si="24"/>
        <v>0.8</v>
      </c>
      <c r="X163" s="127">
        <f t="shared" si="25"/>
        <v>86091.6</v>
      </c>
      <c r="Y163" s="127">
        <f t="shared" si="27"/>
        <v>86091.6</v>
      </c>
      <c r="Z163" s="33" t="s">
        <v>15</v>
      </c>
      <c r="AA163" s="36" t="s">
        <v>16</v>
      </c>
      <c r="AB163" s="181">
        <f t="shared" si="28"/>
        <v>1</v>
      </c>
      <c r="AC163" s="181">
        <f t="shared" si="26"/>
        <v>107614.5</v>
      </c>
      <c r="AD163" s="181">
        <v>1.3</v>
      </c>
      <c r="AE163" s="181">
        <v>1.3</v>
      </c>
      <c r="AF163" s="101" t="str">
        <f t="shared" si="29"/>
        <v/>
      </c>
      <c r="AG163" s="191">
        <f>0.8</f>
        <v>0.8</v>
      </c>
      <c r="AH163" s="69">
        <f t="shared" si="30"/>
        <v>1</v>
      </c>
    </row>
    <row r="164" spans="1:34" s="69" customFormat="1" ht="33" x14ac:dyDescent="0.3">
      <c r="A164" s="55" t="s">
        <v>466</v>
      </c>
      <c r="B164" s="53" t="s">
        <v>467</v>
      </c>
      <c r="C164" s="54" t="s">
        <v>30</v>
      </c>
      <c r="D164" s="75">
        <v>13.2</v>
      </c>
      <c r="E164" s="75"/>
      <c r="F164" s="75"/>
      <c r="G164" s="75"/>
      <c r="H164" s="75">
        <v>2809.33</v>
      </c>
      <c r="I164" s="75">
        <v>37083.160000000003</v>
      </c>
      <c r="J164" s="137" t="s">
        <v>468</v>
      </c>
      <c r="K164" s="73"/>
      <c r="L164" s="46">
        <v>0</v>
      </c>
      <c r="M164" s="46">
        <v>0</v>
      </c>
      <c r="N164" s="46">
        <v>0</v>
      </c>
      <c r="O164" s="98"/>
      <c r="P164" s="23" t="s">
        <v>1440</v>
      </c>
      <c r="Q164" s="24" t="s">
        <v>467</v>
      </c>
      <c r="R164" s="25" t="s">
        <v>30</v>
      </c>
      <c r="S164" s="26">
        <v>13.2</v>
      </c>
      <c r="T164" s="26"/>
      <c r="U164" s="26">
        <f t="shared" si="19"/>
        <v>2809.33</v>
      </c>
      <c r="V164" s="26">
        <f t="shared" si="23"/>
        <v>0</v>
      </c>
      <c r="W164" s="26">
        <f t="shared" si="24"/>
        <v>0</v>
      </c>
      <c r="X164" s="26">
        <f t="shared" si="25"/>
        <v>0</v>
      </c>
      <c r="Y164" s="26">
        <f t="shared" si="27"/>
        <v>0</v>
      </c>
      <c r="Z164" s="33" t="s">
        <v>15</v>
      </c>
      <c r="AA164" s="36" t="s">
        <v>16</v>
      </c>
      <c r="AB164" s="181">
        <f t="shared" si="28"/>
        <v>13.2</v>
      </c>
      <c r="AC164" s="181">
        <f t="shared" si="26"/>
        <v>37083.160000000003</v>
      </c>
      <c r="AD164" s="181">
        <v>1.3</v>
      </c>
      <c r="AE164" s="181">
        <v>1.3</v>
      </c>
      <c r="AF164" s="101" t="str">
        <f t="shared" si="29"/>
        <v/>
      </c>
      <c r="AG164" s="190">
        <v>0</v>
      </c>
      <c r="AH164" s="69">
        <f t="shared" si="30"/>
        <v>13.2</v>
      </c>
    </row>
    <row r="165" spans="1:34" s="69" customFormat="1" ht="33" x14ac:dyDescent="0.3">
      <c r="A165" s="55" t="s">
        <v>469</v>
      </c>
      <c r="B165" s="53" t="s">
        <v>470</v>
      </c>
      <c r="C165" s="54" t="s">
        <v>30</v>
      </c>
      <c r="D165" s="75">
        <v>3</v>
      </c>
      <c r="E165" s="75"/>
      <c r="F165" s="75"/>
      <c r="G165" s="75"/>
      <c r="H165" s="75">
        <v>2433.89</v>
      </c>
      <c r="I165" s="75">
        <v>7301.67</v>
      </c>
      <c r="J165" s="137" t="s">
        <v>471</v>
      </c>
      <c r="K165" s="73"/>
      <c r="L165" s="46">
        <v>0</v>
      </c>
      <c r="M165" s="46">
        <v>0</v>
      </c>
      <c r="N165" s="46">
        <v>0</v>
      </c>
      <c r="O165" s="98"/>
      <c r="P165" s="23" t="s">
        <v>1441</v>
      </c>
      <c r="Q165" s="24" t="s">
        <v>470</v>
      </c>
      <c r="R165" s="25" t="s">
        <v>30</v>
      </c>
      <c r="S165" s="26">
        <v>3</v>
      </c>
      <c r="T165" s="26"/>
      <c r="U165" s="26">
        <f t="shared" si="19"/>
        <v>2433.89</v>
      </c>
      <c r="V165" s="26">
        <f t="shared" si="23"/>
        <v>0</v>
      </c>
      <c r="W165" s="26">
        <f t="shared" si="24"/>
        <v>0</v>
      </c>
      <c r="X165" s="26">
        <f t="shared" si="25"/>
        <v>0</v>
      </c>
      <c r="Y165" s="26">
        <f t="shared" si="27"/>
        <v>0</v>
      </c>
      <c r="Z165" s="33" t="s">
        <v>15</v>
      </c>
      <c r="AA165" s="36" t="s">
        <v>16</v>
      </c>
      <c r="AB165" s="181">
        <f t="shared" si="28"/>
        <v>3</v>
      </c>
      <c r="AC165" s="181">
        <f t="shared" si="26"/>
        <v>7301.67</v>
      </c>
      <c r="AD165" s="181">
        <v>1.3</v>
      </c>
      <c r="AE165" s="181">
        <v>1.3</v>
      </c>
      <c r="AF165" s="101" t="str">
        <f t="shared" si="29"/>
        <v/>
      </c>
      <c r="AG165" s="190">
        <v>0</v>
      </c>
      <c r="AH165" s="69">
        <f t="shared" si="30"/>
        <v>3</v>
      </c>
    </row>
    <row r="166" spans="1:34" s="69" customFormat="1" ht="33" x14ac:dyDescent="0.3">
      <c r="A166" s="55" t="s">
        <v>472</v>
      </c>
      <c r="B166" s="53" t="s">
        <v>473</v>
      </c>
      <c r="C166" s="54" t="s">
        <v>30</v>
      </c>
      <c r="D166" s="75">
        <v>6</v>
      </c>
      <c r="E166" s="75"/>
      <c r="F166" s="75"/>
      <c r="G166" s="75"/>
      <c r="H166" s="75">
        <v>2888.64</v>
      </c>
      <c r="I166" s="75">
        <v>17331.84</v>
      </c>
      <c r="J166" s="137" t="s">
        <v>474</v>
      </c>
      <c r="K166" s="73"/>
      <c r="L166" s="46">
        <v>0</v>
      </c>
      <c r="M166" s="46">
        <v>0</v>
      </c>
      <c r="N166" s="46">
        <v>0</v>
      </c>
      <c r="O166" s="98"/>
      <c r="P166" s="23" t="s">
        <v>1442</v>
      </c>
      <c r="Q166" s="24" t="s">
        <v>473</v>
      </c>
      <c r="R166" s="25" t="s">
        <v>30</v>
      </c>
      <c r="S166" s="26">
        <v>6</v>
      </c>
      <c r="T166" s="26"/>
      <c r="U166" s="26">
        <f t="shared" si="19"/>
        <v>2888.64</v>
      </c>
      <c r="V166" s="26">
        <f t="shared" si="23"/>
        <v>0</v>
      </c>
      <c r="W166" s="26">
        <f t="shared" si="24"/>
        <v>0</v>
      </c>
      <c r="X166" s="26">
        <f t="shared" si="25"/>
        <v>0</v>
      </c>
      <c r="Y166" s="26">
        <f t="shared" si="27"/>
        <v>0</v>
      </c>
      <c r="Z166" s="33" t="s">
        <v>15</v>
      </c>
      <c r="AA166" s="36" t="s">
        <v>16</v>
      </c>
      <c r="AB166" s="181">
        <f t="shared" si="28"/>
        <v>6</v>
      </c>
      <c r="AC166" s="181">
        <f t="shared" si="26"/>
        <v>17331.84</v>
      </c>
      <c r="AD166" s="181">
        <v>1.3</v>
      </c>
      <c r="AE166" s="181">
        <v>1.3</v>
      </c>
      <c r="AF166" s="101" t="str">
        <f t="shared" si="29"/>
        <v/>
      </c>
      <c r="AG166" s="190">
        <v>0</v>
      </c>
      <c r="AH166" s="69">
        <f t="shared" si="30"/>
        <v>6</v>
      </c>
    </row>
    <row r="167" spans="1:34" s="69" customFormat="1" ht="39" x14ac:dyDescent="0.3">
      <c r="A167" s="130" t="s">
        <v>475</v>
      </c>
      <c r="B167" s="131" t="s">
        <v>476</v>
      </c>
      <c r="C167" s="132" t="s">
        <v>14</v>
      </c>
      <c r="D167" s="133">
        <v>1</v>
      </c>
      <c r="E167" s="75"/>
      <c r="F167" s="75"/>
      <c r="G167" s="75"/>
      <c r="H167" s="75">
        <v>430876.81</v>
      </c>
      <c r="I167" s="75">
        <v>430876.81</v>
      </c>
      <c r="J167" s="137" t="s">
        <v>477</v>
      </c>
      <c r="K167" s="73"/>
      <c r="L167" s="46">
        <v>0</v>
      </c>
      <c r="M167" s="46">
        <v>0</v>
      </c>
      <c r="N167" s="46">
        <v>0</v>
      </c>
      <c r="O167" s="98"/>
      <c r="P167" s="23" t="s">
        <v>1443</v>
      </c>
      <c r="Q167" s="24" t="s">
        <v>476</v>
      </c>
      <c r="R167" s="25" t="s">
        <v>14</v>
      </c>
      <c r="S167" s="26">
        <v>1</v>
      </c>
      <c r="T167" s="26"/>
      <c r="U167" s="26">
        <f t="shared" ref="U167:U176" si="31">H167</f>
        <v>430876.81</v>
      </c>
      <c r="V167" s="128">
        <f t="shared" si="23"/>
        <v>1</v>
      </c>
      <c r="W167" s="127">
        <f t="shared" si="24"/>
        <v>1</v>
      </c>
      <c r="X167" s="127">
        <f t="shared" si="25"/>
        <v>430876.81</v>
      </c>
      <c r="Y167" s="127">
        <f t="shared" si="27"/>
        <v>430876.81</v>
      </c>
      <c r="Z167" s="33" t="s">
        <v>15</v>
      </c>
      <c r="AA167" s="36" t="s">
        <v>16</v>
      </c>
      <c r="AB167" s="181">
        <f t="shared" si="28"/>
        <v>1</v>
      </c>
      <c r="AC167" s="181">
        <f t="shared" si="26"/>
        <v>430876.81</v>
      </c>
      <c r="AD167" s="181">
        <v>1.3</v>
      </c>
      <c r="AE167" s="181">
        <v>1.3</v>
      </c>
      <c r="AF167" s="101" t="str">
        <f t="shared" si="29"/>
        <v/>
      </c>
      <c r="AG167" s="191">
        <v>1</v>
      </c>
      <c r="AH167" s="69">
        <f t="shared" si="30"/>
        <v>1</v>
      </c>
    </row>
    <row r="168" spans="1:34" s="69" customFormat="1" ht="33" x14ac:dyDescent="0.3">
      <c r="A168" s="130" t="s">
        <v>478</v>
      </c>
      <c r="B168" s="131" t="s">
        <v>479</v>
      </c>
      <c r="C168" s="132" t="s">
        <v>81</v>
      </c>
      <c r="D168" s="133">
        <v>1</v>
      </c>
      <c r="E168" s="75"/>
      <c r="F168" s="75"/>
      <c r="G168" s="75"/>
      <c r="H168" s="75">
        <v>29563.21</v>
      </c>
      <c r="I168" s="75">
        <v>29563.21</v>
      </c>
      <c r="J168" s="137" t="s">
        <v>480</v>
      </c>
      <c r="K168" s="73"/>
      <c r="L168" s="46">
        <v>1</v>
      </c>
      <c r="M168" s="46">
        <v>0</v>
      </c>
      <c r="N168" s="46">
        <v>29563.21</v>
      </c>
      <c r="O168" s="98"/>
      <c r="P168" s="23" t="s">
        <v>1444</v>
      </c>
      <c r="Q168" s="24" t="s">
        <v>479</v>
      </c>
      <c r="R168" s="25" t="s">
        <v>81</v>
      </c>
      <c r="S168" s="26">
        <v>1</v>
      </c>
      <c r="T168" s="26"/>
      <c r="U168" s="26">
        <f t="shared" si="31"/>
        <v>29563.21</v>
      </c>
      <c r="V168" s="127">
        <f t="shared" si="23"/>
        <v>0</v>
      </c>
      <c r="W168" s="127">
        <f t="shared" si="24"/>
        <v>1</v>
      </c>
      <c r="X168" s="127">
        <f t="shared" si="25"/>
        <v>0</v>
      </c>
      <c r="Y168" s="127">
        <f t="shared" si="27"/>
        <v>29563.21</v>
      </c>
      <c r="Z168" s="33" t="s">
        <v>15</v>
      </c>
      <c r="AA168" s="36" t="s">
        <v>16</v>
      </c>
      <c r="AB168" s="181">
        <f t="shared" si="28"/>
        <v>1</v>
      </c>
      <c r="AC168" s="181">
        <f t="shared" si="26"/>
        <v>29563.21</v>
      </c>
      <c r="AD168" s="181">
        <v>1.3</v>
      </c>
      <c r="AE168" s="181">
        <v>1.3</v>
      </c>
      <c r="AF168" s="101" t="str">
        <f t="shared" si="29"/>
        <v/>
      </c>
      <c r="AG168" s="194">
        <f>1</f>
        <v>1</v>
      </c>
      <c r="AH168" s="69">
        <f t="shared" si="30"/>
        <v>1</v>
      </c>
    </row>
    <row r="169" spans="1:34" s="69" customFormat="1" ht="33" x14ac:dyDescent="0.3">
      <c r="A169" s="130" t="s">
        <v>481</v>
      </c>
      <c r="B169" s="131" t="s">
        <v>482</v>
      </c>
      <c r="C169" s="132" t="s">
        <v>81</v>
      </c>
      <c r="D169" s="133">
        <v>1</v>
      </c>
      <c r="E169" s="75"/>
      <c r="F169" s="75"/>
      <c r="G169" s="75"/>
      <c r="H169" s="75">
        <v>1061152.75</v>
      </c>
      <c r="I169" s="75">
        <v>1061152.75</v>
      </c>
      <c r="J169" s="137" t="s">
        <v>483</v>
      </c>
      <c r="K169" s="73"/>
      <c r="L169" s="46">
        <v>0.5</v>
      </c>
      <c r="M169" s="46">
        <v>530576.38</v>
      </c>
      <c r="N169" s="46">
        <v>530576.38</v>
      </c>
      <c r="O169" s="98"/>
      <c r="P169" s="23" t="s">
        <v>1408</v>
      </c>
      <c r="Q169" s="24" t="s">
        <v>482</v>
      </c>
      <c r="R169" s="25" t="s">
        <v>81</v>
      </c>
      <c r="S169" s="26">
        <v>1</v>
      </c>
      <c r="T169" s="26"/>
      <c r="U169" s="26">
        <f t="shared" si="31"/>
        <v>1061152.75</v>
      </c>
      <c r="V169" s="128">
        <f t="shared" si="23"/>
        <v>0.5</v>
      </c>
      <c r="W169" s="127">
        <f t="shared" si="24"/>
        <v>1</v>
      </c>
      <c r="X169" s="127">
        <f t="shared" si="25"/>
        <v>530576.37</v>
      </c>
      <c r="Y169" s="127">
        <f t="shared" si="27"/>
        <v>1061152.75</v>
      </c>
      <c r="Z169" s="33" t="s">
        <v>15</v>
      </c>
      <c r="AA169" s="36" t="s">
        <v>16</v>
      </c>
      <c r="AB169" s="181">
        <f t="shared" si="28"/>
        <v>1</v>
      </c>
      <c r="AC169" s="181">
        <f t="shared" si="26"/>
        <v>1061152.75</v>
      </c>
      <c r="AD169" s="181">
        <v>1.3</v>
      </c>
      <c r="AE169" s="181">
        <v>1.3</v>
      </c>
      <c r="AF169" s="101" t="str">
        <f t="shared" si="29"/>
        <v/>
      </c>
      <c r="AG169" s="191">
        <f>0.5+0.5</f>
        <v>1</v>
      </c>
      <c r="AH169" s="69">
        <f t="shared" si="30"/>
        <v>1</v>
      </c>
    </row>
    <row r="170" spans="1:34" s="69" customFormat="1" ht="33" x14ac:dyDescent="0.3">
      <c r="A170" s="130" t="s">
        <v>484</v>
      </c>
      <c r="B170" s="131" t="s">
        <v>485</v>
      </c>
      <c r="C170" s="132" t="s">
        <v>81</v>
      </c>
      <c r="D170" s="133">
        <v>1</v>
      </c>
      <c r="E170" s="75"/>
      <c r="F170" s="75"/>
      <c r="G170" s="75"/>
      <c r="H170" s="75">
        <v>2431046.88</v>
      </c>
      <c r="I170" s="75">
        <v>2431046.88</v>
      </c>
      <c r="J170" s="137" t="s">
        <v>486</v>
      </c>
      <c r="K170" s="73"/>
      <c r="L170" s="46">
        <v>1</v>
      </c>
      <c r="M170" s="46">
        <v>0</v>
      </c>
      <c r="N170" s="46">
        <v>2431046.88</v>
      </c>
      <c r="O170" s="98"/>
      <c r="P170" s="23" t="s">
        <v>1409</v>
      </c>
      <c r="Q170" s="24" t="s">
        <v>485</v>
      </c>
      <c r="R170" s="25" t="s">
        <v>81</v>
      </c>
      <c r="S170" s="26">
        <v>1</v>
      </c>
      <c r="T170" s="26"/>
      <c r="U170" s="26">
        <f t="shared" si="31"/>
        <v>2431046.88</v>
      </c>
      <c r="V170" s="127">
        <f t="shared" si="23"/>
        <v>0</v>
      </c>
      <c r="W170" s="127">
        <f t="shared" si="24"/>
        <v>1</v>
      </c>
      <c r="X170" s="127">
        <f t="shared" si="25"/>
        <v>0</v>
      </c>
      <c r="Y170" s="127">
        <f t="shared" si="27"/>
        <v>2431046.88</v>
      </c>
      <c r="Z170" s="33" t="s">
        <v>15</v>
      </c>
      <c r="AA170" s="36" t="s">
        <v>16</v>
      </c>
      <c r="AB170" s="181">
        <f t="shared" si="28"/>
        <v>1</v>
      </c>
      <c r="AC170" s="181">
        <f t="shared" si="26"/>
        <v>2431046.88</v>
      </c>
      <c r="AD170" s="181">
        <v>1.3</v>
      </c>
      <c r="AE170" s="181">
        <v>1.3</v>
      </c>
      <c r="AF170" s="101" t="str">
        <f t="shared" si="29"/>
        <v/>
      </c>
      <c r="AG170" s="194">
        <f>0.8+0.2</f>
        <v>1</v>
      </c>
      <c r="AH170" s="69">
        <f t="shared" si="30"/>
        <v>1</v>
      </c>
    </row>
    <row r="171" spans="1:34" s="69" customFormat="1" ht="33" x14ac:dyDescent="0.3">
      <c r="A171" s="134" t="s">
        <v>1312</v>
      </c>
      <c r="B171" s="135" t="s">
        <v>1313</v>
      </c>
      <c r="C171" s="204" t="s">
        <v>14</v>
      </c>
      <c r="D171" s="133"/>
      <c r="E171" s="59">
        <v>1</v>
      </c>
      <c r="F171" s="77"/>
      <c r="G171" s="77"/>
      <c r="H171" s="77">
        <v>87950.62</v>
      </c>
      <c r="I171" s="59">
        <v>87950.62</v>
      </c>
      <c r="J171" s="92"/>
      <c r="K171" s="73"/>
      <c r="L171" s="46">
        <v>1</v>
      </c>
      <c r="M171" s="46">
        <v>0</v>
      </c>
      <c r="N171" s="46">
        <v>87950.62</v>
      </c>
      <c r="O171" s="98"/>
      <c r="P171" s="23" t="s">
        <v>1410</v>
      </c>
      <c r="Q171" s="24" t="s">
        <v>1495</v>
      </c>
      <c r="R171" s="25" t="s">
        <v>14</v>
      </c>
      <c r="S171" s="26">
        <v>0</v>
      </c>
      <c r="T171" s="26">
        <v>1</v>
      </c>
      <c r="U171" s="26">
        <f t="shared" si="31"/>
        <v>87950.62</v>
      </c>
      <c r="V171" s="127">
        <f t="shared" si="23"/>
        <v>0</v>
      </c>
      <c r="W171" s="127">
        <f t="shared" si="24"/>
        <v>1</v>
      </c>
      <c r="X171" s="127">
        <f t="shared" si="25"/>
        <v>0</v>
      </c>
      <c r="Y171" s="127">
        <f t="shared" si="27"/>
        <v>87950.62</v>
      </c>
      <c r="Z171" s="27"/>
      <c r="AA171" s="36" t="s">
        <v>16</v>
      </c>
      <c r="AB171" s="181">
        <f t="shared" si="28"/>
        <v>1</v>
      </c>
      <c r="AC171" s="181">
        <f t="shared" si="26"/>
        <v>87950.62</v>
      </c>
      <c r="AD171" s="181">
        <v>1.3</v>
      </c>
      <c r="AE171" s="181">
        <v>1.3</v>
      </c>
      <c r="AF171" s="101" t="str">
        <f t="shared" si="29"/>
        <v/>
      </c>
      <c r="AG171" s="190">
        <v>1</v>
      </c>
      <c r="AH171" s="69">
        <f t="shared" si="30"/>
        <v>1</v>
      </c>
    </row>
    <row r="172" spans="1:34" s="69" customFormat="1" ht="33" x14ac:dyDescent="0.3">
      <c r="A172" s="134" t="s">
        <v>1314</v>
      </c>
      <c r="B172" s="135" t="s">
        <v>1315</v>
      </c>
      <c r="C172" s="204" t="s">
        <v>30</v>
      </c>
      <c r="D172" s="133"/>
      <c r="E172" s="59">
        <v>24</v>
      </c>
      <c r="F172" s="77"/>
      <c r="G172" s="77"/>
      <c r="H172" s="77">
        <v>4257.93</v>
      </c>
      <c r="I172" s="59">
        <v>102190.32</v>
      </c>
      <c r="J172" s="92"/>
      <c r="K172" s="73"/>
      <c r="L172" s="46">
        <v>24</v>
      </c>
      <c r="M172" s="46">
        <v>0</v>
      </c>
      <c r="N172" s="46">
        <v>102190.32</v>
      </c>
      <c r="O172" s="98"/>
      <c r="P172" s="23" t="s">
        <v>1411</v>
      </c>
      <c r="Q172" s="24" t="s">
        <v>1496</v>
      </c>
      <c r="R172" s="25" t="s">
        <v>30</v>
      </c>
      <c r="S172" s="26">
        <v>0</v>
      </c>
      <c r="T172" s="26">
        <v>24</v>
      </c>
      <c r="U172" s="26">
        <f t="shared" si="31"/>
        <v>4257.93</v>
      </c>
      <c r="V172" s="127">
        <f t="shared" si="23"/>
        <v>0</v>
      </c>
      <c r="W172" s="127">
        <f t="shared" si="24"/>
        <v>24</v>
      </c>
      <c r="X172" s="127">
        <f t="shared" si="25"/>
        <v>0</v>
      </c>
      <c r="Y172" s="127">
        <f t="shared" si="27"/>
        <v>102190.32</v>
      </c>
      <c r="Z172" s="27"/>
      <c r="AA172" s="36" t="s">
        <v>16</v>
      </c>
      <c r="AB172" s="181">
        <f t="shared" si="28"/>
        <v>24</v>
      </c>
      <c r="AC172" s="181">
        <f t="shared" si="26"/>
        <v>102190.32</v>
      </c>
      <c r="AD172" s="181">
        <v>1.3</v>
      </c>
      <c r="AE172" s="181">
        <v>1.3</v>
      </c>
      <c r="AF172" s="101" t="str">
        <f t="shared" si="29"/>
        <v/>
      </c>
      <c r="AG172" s="190">
        <v>24</v>
      </c>
      <c r="AH172" s="69">
        <f t="shared" si="30"/>
        <v>24</v>
      </c>
    </row>
    <row r="173" spans="1:34" s="69" customFormat="1" ht="33" x14ac:dyDescent="0.3">
      <c r="A173" s="134" t="s">
        <v>1316</v>
      </c>
      <c r="B173" s="135" t="s">
        <v>1317</v>
      </c>
      <c r="C173" s="204" t="s">
        <v>513</v>
      </c>
      <c r="D173" s="133"/>
      <c r="E173" s="59">
        <v>1</v>
      </c>
      <c r="F173" s="77"/>
      <c r="G173" s="77"/>
      <c r="H173" s="77">
        <v>200835.11</v>
      </c>
      <c r="I173" s="59">
        <v>200835.11</v>
      </c>
      <c r="J173" s="92"/>
      <c r="K173" s="73"/>
      <c r="L173" s="46">
        <v>1</v>
      </c>
      <c r="M173" s="46">
        <v>0</v>
      </c>
      <c r="N173" s="46">
        <v>200835.11</v>
      </c>
      <c r="O173" s="98"/>
      <c r="P173" s="23" t="s">
        <v>1445</v>
      </c>
      <c r="Q173" s="24" t="s">
        <v>1497</v>
      </c>
      <c r="R173" s="25" t="s">
        <v>513</v>
      </c>
      <c r="S173" s="26">
        <v>0</v>
      </c>
      <c r="T173" s="26">
        <v>1</v>
      </c>
      <c r="U173" s="26">
        <f t="shared" si="31"/>
        <v>200835.11</v>
      </c>
      <c r="V173" s="127">
        <f t="shared" si="23"/>
        <v>0</v>
      </c>
      <c r="W173" s="127">
        <f t="shared" si="24"/>
        <v>1</v>
      </c>
      <c r="X173" s="127">
        <f t="shared" si="25"/>
        <v>0</v>
      </c>
      <c r="Y173" s="127">
        <f t="shared" si="27"/>
        <v>200835.11</v>
      </c>
      <c r="Z173" s="27"/>
      <c r="AA173" s="36" t="s">
        <v>16</v>
      </c>
      <c r="AB173" s="181">
        <f t="shared" si="28"/>
        <v>1</v>
      </c>
      <c r="AC173" s="181">
        <f t="shared" si="26"/>
        <v>200835.11</v>
      </c>
      <c r="AD173" s="181">
        <v>1.3</v>
      </c>
      <c r="AE173" s="181">
        <v>1.3</v>
      </c>
      <c r="AF173" s="101" t="str">
        <f t="shared" si="29"/>
        <v/>
      </c>
      <c r="AG173" s="190">
        <v>1</v>
      </c>
      <c r="AH173" s="69">
        <f t="shared" si="30"/>
        <v>1</v>
      </c>
    </row>
    <row r="174" spans="1:34" ht="33" x14ac:dyDescent="0.3">
      <c r="A174" s="134" t="s">
        <v>1318</v>
      </c>
      <c r="B174" s="135" t="s">
        <v>1319</v>
      </c>
      <c r="C174" s="204" t="s">
        <v>412</v>
      </c>
      <c r="D174" s="133"/>
      <c r="E174" s="78"/>
      <c r="F174" s="116">
        <v>150400</v>
      </c>
      <c r="G174" s="141"/>
      <c r="H174" s="78">
        <v>16.21</v>
      </c>
      <c r="I174" s="62">
        <v>2437984</v>
      </c>
      <c r="J174" s="93"/>
      <c r="L174" s="46">
        <v>150350.58000000002</v>
      </c>
      <c r="M174" s="46">
        <v>215771.31000000006</v>
      </c>
      <c r="N174" s="46">
        <v>2437182.9</v>
      </c>
      <c r="O174" s="98"/>
      <c r="P174" s="23" t="s">
        <v>1383</v>
      </c>
      <c r="Q174" s="24" t="s">
        <v>1319</v>
      </c>
      <c r="R174" s="25" t="s">
        <v>412</v>
      </c>
      <c r="S174" s="26">
        <v>0</v>
      </c>
      <c r="T174" s="26">
        <v>150400</v>
      </c>
      <c r="U174" s="26">
        <f t="shared" si="31"/>
        <v>16.21</v>
      </c>
      <c r="V174" s="127">
        <f t="shared" si="23"/>
        <v>0</v>
      </c>
      <c r="W174" s="127">
        <f t="shared" si="24"/>
        <v>150350.58000000002</v>
      </c>
      <c r="X174" s="127">
        <f t="shared" si="25"/>
        <v>0</v>
      </c>
      <c r="Y174" s="127">
        <f t="shared" si="27"/>
        <v>2437182.9</v>
      </c>
      <c r="Z174" s="27"/>
      <c r="AA174" s="36" t="s">
        <v>16</v>
      </c>
      <c r="AB174" s="181">
        <f t="shared" si="28"/>
        <v>150400</v>
      </c>
      <c r="AC174" s="181">
        <f t="shared" si="26"/>
        <v>2437984</v>
      </c>
      <c r="AD174" s="181">
        <v>1.3</v>
      </c>
      <c r="AE174" s="181">
        <v>1.3</v>
      </c>
      <c r="AF174" s="101" t="str">
        <f t="shared" si="29"/>
        <v/>
      </c>
      <c r="AG174" s="191">
        <f>AG148</f>
        <v>150350.58000000002</v>
      </c>
      <c r="AH174" s="69">
        <f t="shared" si="30"/>
        <v>150400</v>
      </c>
    </row>
    <row r="175" spans="1:34" ht="33" x14ac:dyDescent="0.3">
      <c r="A175" s="134" t="s">
        <v>1320</v>
      </c>
      <c r="B175" s="135" t="s">
        <v>1321</v>
      </c>
      <c r="C175" s="204" t="s">
        <v>325</v>
      </c>
      <c r="D175" s="133"/>
      <c r="E175" s="78"/>
      <c r="F175" s="62">
        <v>18</v>
      </c>
      <c r="G175" s="62"/>
      <c r="H175" s="167">
        <v>79588.210000000006</v>
      </c>
      <c r="I175" s="62">
        <v>1432587.78</v>
      </c>
      <c r="J175" s="93"/>
      <c r="L175" s="46">
        <v>16</v>
      </c>
      <c r="M175" s="46">
        <v>0</v>
      </c>
      <c r="N175" s="46">
        <v>1273411.3600000001</v>
      </c>
      <c r="O175" s="98"/>
      <c r="P175" s="23" t="s">
        <v>1384</v>
      </c>
      <c r="Q175" s="24" t="s">
        <v>1321</v>
      </c>
      <c r="R175" s="25" t="s">
        <v>325</v>
      </c>
      <c r="S175" s="26">
        <v>0</v>
      </c>
      <c r="T175" s="26">
        <v>18</v>
      </c>
      <c r="U175" s="26">
        <f t="shared" si="31"/>
        <v>79588.210000000006</v>
      </c>
      <c r="V175" s="128">
        <f t="shared" si="23"/>
        <v>2</v>
      </c>
      <c r="W175" s="127">
        <f t="shared" si="24"/>
        <v>18</v>
      </c>
      <c r="X175" s="127">
        <f t="shared" si="25"/>
        <v>159176.41999999993</v>
      </c>
      <c r="Y175" s="127">
        <f t="shared" si="27"/>
        <v>1432587.78</v>
      </c>
      <c r="Z175" s="27"/>
      <c r="AA175" s="36" t="s">
        <v>16</v>
      </c>
      <c r="AB175" s="181">
        <f t="shared" si="28"/>
        <v>18</v>
      </c>
      <c r="AC175" s="181">
        <f t="shared" si="26"/>
        <v>1432587.78</v>
      </c>
      <c r="AD175" s="181">
        <v>1.3</v>
      </c>
      <c r="AE175" s="181">
        <v>1.3</v>
      </c>
      <c r="AF175" s="101" t="str">
        <f t="shared" si="29"/>
        <v/>
      </c>
      <c r="AG175" s="194">
        <f>12+4+2</f>
        <v>18</v>
      </c>
      <c r="AH175" s="69">
        <f t="shared" si="30"/>
        <v>18</v>
      </c>
    </row>
    <row r="176" spans="1:34" ht="33" x14ac:dyDescent="0.3">
      <c r="A176" s="134" t="s">
        <v>1322</v>
      </c>
      <c r="B176" s="135" t="s">
        <v>1323</v>
      </c>
      <c r="C176" s="204" t="s">
        <v>325</v>
      </c>
      <c r="D176" s="133"/>
      <c r="E176" s="78"/>
      <c r="F176" s="62">
        <v>2</v>
      </c>
      <c r="G176" s="140"/>
      <c r="H176" s="78">
        <v>120491.2</v>
      </c>
      <c r="I176" s="62">
        <v>240982.39999999999</v>
      </c>
      <c r="J176" s="93"/>
      <c r="L176" s="46">
        <v>0</v>
      </c>
      <c r="M176" s="46">
        <v>0</v>
      </c>
      <c r="N176" s="46">
        <v>0</v>
      </c>
      <c r="O176" s="98"/>
      <c r="P176" s="23" t="s">
        <v>1385</v>
      </c>
      <c r="Q176" s="24" t="s">
        <v>1323</v>
      </c>
      <c r="R176" s="25" t="s">
        <v>325</v>
      </c>
      <c r="S176" s="26">
        <v>0</v>
      </c>
      <c r="T176" s="26">
        <v>2</v>
      </c>
      <c r="U176" s="26">
        <f t="shared" si="31"/>
        <v>120491.2</v>
      </c>
      <c r="V176" s="128">
        <f t="shared" si="23"/>
        <v>2</v>
      </c>
      <c r="W176" s="127">
        <f t="shared" si="24"/>
        <v>2</v>
      </c>
      <c r="X176" s="127">
        <f t="shared" si="25"/>
        <v>240982.39999999999</v>
      </c>
      <c r="Y176" s="127">
        <f t="shared" si="27"/>
        <v>240982.39999999999</v>
      </c>
      <c r="Z176" s="27"/>
      <c r="AA176" s="36" t="s">
        <v>16</v>
      </c>
      <c r="AB176" s="181">
        <f t="shared" si="28"/>
        <v>2</v>
      </c>
      <c r="AC176" s="181">
        <f t="shared" si="26"/>
        <v>240982.39999999999</v>
      </c>
      <c r="AD176" s="181">
        <v>1.3</v>
      </c>
      <c r="AE176" s="181">
        <v>1.3</v>
      </c>
      <c r="AF176" s="101" t="str">
        <f t="shared" si="29"/>
        <v/>
      </c>
      <c r="AG176" s="191">
        <v>2</v>
      </c>
      <c r="AH176" s="69">
        <f t="shared" si="30"/>
        <v>2</v>
      </c>
    </row>
    <row r="177" spans="1:34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2"/>
      <c r="H177" s="82"/>
      <c r="I177" s="82">
        <v>18130103.780000001</v>
      </c>
      <c r="J177" s="94" t="s">
        <v>15</v>
      </c>
      <c r="K177" s="73"/>
      <c r="L177" s="45">
        <v>1</v>
      </c>
      <c r="M177" s="45">
        <v>1784220.14</v>
      </c>
      <c r="N177" s="45">
        <v>17755025.989999998</v>
      </c>
      <c r="O177" s="98"/>
      <c r="P177" s="18" t="s">
        <v>1386</v>
      </c>
      <c r="Q177" s="19" t="s">
        <v>488</v>
      </c>
      <c r="R177" s="20" t="s">
        <v>14</v>
      </c>
      <c r="S177" s="21">
        <v>1</v>
      </c>
      <c r="T177" s="21"/>
      <c r="U177" s="21">
        <f>SUMIFS(AC:AC,AD:AD,AD177)</f>
        <v>18130103.780000001</v>
      </c>
      <c r="V177" s="21">
        <f t="shared" ref="V177:W177" si="32">IF(X177=0,0,1)</f>
        <v>0</v>
      </c>
      <c r="W177" s="21">
        <f t="shared" si="32"/>
        <v>1</v>
      </c>
      <c r="X177" s="21">
        <f>SUMIFS(X:X,AE:AE,AD177)</f>
        <v>0</v>
      </c>
      <c r="Y177" s="21">
        <f>SUMIFS(Y:Y,AE:AE,AD177)</f>
        <v>17755025.989999998</v>
      </c>
      <c r="Z177" s="22" t="s">
        <v>15</v>
      </c>
      <c r="AA177" s="43" t="s">
        <v>16</v>
      </c>
      <c r="AB177" s="181">
        <f t="shared" si="28"/>
        <v>1</v>
      </c>
      <c r="AC177" s="184"/>
      <c r="AD177" s="184">
        <v>1.4</v>
      </c>
      <c r="AE177" s="184"/>
      <c r="AF177" s="101" t="str">
        <f t="shared" si="29"/>
        <v/>
      </c>
      <c r="AG177" s="190">
        <v>1</v>
      </c>
      <c r="AH177" s="69">
        <f t="shared" si="30"/>
        <v>1</v>
      </c>
    </row>
    <row r="178" spans="1:34" s="69" customFormat="1" ht="39" x14ac:dyDescent="0.3">
      <c r="A178" s="130" t="s">
        <v>489</v>
      </c>
      <c r="B178" s="131" t="s">
        <v>392</v>
      </c>
      <c r="C178" s="132" t="s">
        <v>23</v>
      </c>
      <c r="D178" s="133">
        <v>20</v>
      </c>
      <c r="E178" s="75"/>
      <c r="F178" s="75"/>
      <c r="G178" s="75"/>
      <c r="H178" s="75">
        <v>3115.13</v>
      </c>
      <c r="I178" s="75">
        <v>62302.6</v>
      </c>
      <c r="J178" s="91" t="s">
        <v>114</v>
      </c>
      <c r="K178" s="73"/>
      <c r="L178" s="46">
        <v>19.45</v>
      </c>
      <c r="M178" s="46">
        <v>22740.449999999997</v>
      </c>
      <c r="N178" s="46">
        <v>60589.279999999999</v>
      </c>
      <c r="O178" s="98"/>
      <c r="P178" s="23" t="s">
        <v>1421</v>
      </c>
      <c r="Q178" s="24" t="s">
        <v>392</v>
      </c>
      <c r="R178" s="25" t="s">
        <v>23</v>
      </c>
      <c r="S178" s="26">
        <v>20</v>
      </c>
      <c r="T178" s="26"/>
      <c r="U178" s="26">
        <f t="shared" ref="U178:U201" si="33">H178</f>
        <v>3115.13</v>
      </c>
      <c r="V178" s="127">
        <f t="shared" ref="V178:V201" si="34">AG178-L178</f>
        <v>0</v>
      </c>
      <c r="W178" s="127">
        <f t="shared" ref="W178:W241" si="35">V178+L178</f>
        <v>19.45</v>
      </c>
      <c r="X178" s="127">
        <f t="shared" ref="X178:X201" si="36">Y178-N178</f>
        <v>0</v>
      </c>
      <c r="Y178" s="127">
        <f t="shared" si="27"/>
        <v>60589.279999999999</v>
      </c>
      <c r="Z178" s="33" t="s">
        <v>15</v>
      </c>
      <c r="AA178" s="36" t="s">
        <v>16</v>
      </c>
      <c r="AB178" s="181">
        <f t="shared" si="28"/>
        <v>20</v>
      </c>
      <c r="AC178" s="181">
        <f t="shared" ref="AC178:AC219" si="37">ROUND(U178*AB178,2)</f>
        <v>62302.6</v>
      </c>
      <c r="AD178" s="181">
        <v>1.4</v>
      </c>
      <c r="AE178" s="181">
        <v>1.4</v>
      </c>
      <c r="AF178" s="101" t="str">
        <f t="shared" si="29"/>
        <v/>
      </c>
      <c r="AG178" s="191">
        <f>12.15+7.3</f>
        <v>19.45</v>
      </c>
      <c r="AH178" s="69">
        <f t="shared" si="30"/>
        <v>20</v>
      </c>
    </row>
    <row r="179" spans="1:34" s="69" customFormat="1" ht="39" x14ac:dyDescent="0.3">
      <c r="A179" s="130" t="s">
        <v>490</v>
      </c>
      <c r="B179" s="131" t="s">
        <v>116</v>
      </c>
      <c r="C179" s="132" t="s">
        <v>23</v>
      </c>
      <c r="D179" s="133">
        <v>354</v>
      </c>
      <c r="E179" s="75"/>
      <c r="F179" s="75"/>
      <c r="G179" s="75"/>
      <c r="H179" s="75">
        <v>3321.13</v>
      </c>
      <c r="I179" s="75">
        <v>1175680.02</v>
      </c>
      <c r="J179" s="91" t="s">
        <v>117</v>
      </c>
      <c r="K179" s="73"/>
      <c r="L179" s="46">
        <v>326.60000000000002</v>
      </c>
      <c r="M179" s="46">
        <v>1084681.06</v>
      </c>
      <c r="N179" s="46">
        <v>1084681.06</v>
      </c>
      <c r="O179" s="98"/>
      <c r="P179" s="23" t="s">
        <v>1426</v>
      </c>
      <c r="Q179" s="24" t="s">
        <v>116</v>
      </c>
      <c r="R179" s="25" t="s">
        <v>23</v>
      </c>
      <c r="S179" s="26">
        <v>354</v>
      </c>
      <c r="T179" s="26"/>
      <c r="U179" s="26">
        <f t="shared" si="33"/>
        <v>3321.13</v>
      </c>
      <c r="V179" s="127">
        <f t="shared" si="34"/>
        <v>0</v>
      </c>
      <c r="W179" s="127">
        <f t="shared" si="35"/>
        <v>326.60000000000002</v>
      </c>
      <c r="X179" s="127">
        <f t="shared" si="36"/>
        <v>0</v>
      </c>
      <c r="Y179" s="127">
        <f t="shared" si="27"/>
        <v>1084681.06</v>
      </c>
      <c r="Z179" s="33" t="s">
        <v>15</v>
      </c>
      <c r="AA179" s="36" t="s">
        <v>16</v>
      </c>
      <c r="AB179" s="181">
        <f t="shared" si="28"/>
        <v>354</v>
      </c>
      <c r="AC179" s="181">
        <f t="shared" si="37"/>
        <v>1175680.02</v>
      </c>
      <c r="AD179" s="181">
        <v>1.4</v>
      </c>
      <c r="AE179" s="181">
        <v>1.4</v>
      </c>
      <c r="AF179" s="101" t="str">
        <f t="shared" si="29"/>
        <v/>
      </c>
      <c r="AG179" s="191">
        <f>326.6</f>
        <v>326.60000000000002</v>
      </c>
      <c r="AH179" s="69">
        <f t="shared" si="30"/>
        <v>354</v>
      </c>
    </row>
    <row r="180" spans="1:34" s="69" customFormat="1" ht="39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203"/>
      <c r="F180" s="203"/>
      <c r="G180" s="203"/>
      <c r="H180" s="75">
        <v>3643.73</v>
      </c>
      <c r="I180" s="75">
        <v>0</v>
      </c>
      <c r="J180" s="91" t="s">
        <v>396</v>
      </c>
      <c r="K180" s="73"/>
      <c r="L180" s="46">
        <v>0</v>
      </c>
      <c r="M180" s="46">
        <v>0</v>
      </c>
      <c r="N180" s="46">
        <v>0</v>
      </c>
      <c r="O180" s="98"/>
      <c r="P180" s="23" t="s">
        <v>1402</v>
      </c>
      <c r="Q180" s="24" t="s">
        <v>395</v>
      </c>
      <c r="R180" s="25" t="s">
        <v>23</v>
      </c>
      <c r="S180" s="26">
        <v>690</v>
      </c>
      <c r="T180" s="26">
        <v>0</v>
      </c>
      <c r="U180" s="26">
        <f t="shared" si="33"/>
        <v>3643.73</v>
      </c>
      <c r="V180" s="127">
        <f t="shared" si="34"/>
        <v>0</v>
      </c>
      <c r="W180" s="127">
        <f t="shared" si="35"/>
        <v>0</v>
      </c>
      <c r="X180" s="127">
        <f t="shared" si="36"/>
        <v>0</v>
      </c>
      <c r="Y180" s="127">
        <f t="shared" si="27"/>
        <v>0</v>
      </c>
      <c r="Z180" s="33" t="s">
        <v>15</v>
      </c>
      <c r="AA180" s="36" t="s">
        <v>16</v>
      </c>
      <c r="AB180" s="181">
        <f t="shared" si="28"/>
        <v>0</v>
      </c>
      <c r="AC180" s="181">
        <f t="shared" si="37"/>
        <v>0</v>
      </c>
      <c r="AD180" s="181">
        <v>1.4</v>
      </c>
      <c r="AE180" s="181">
        <v>1.4</v>
      </c>
      <c r="AF180" s="101" t="str">
        <f t="shared" si="29"/>
        <v/>
      </c>
      <c r="AG180" s="194">
        <v>0</v>
      </c>
      <c r="AH180" s="69">
        <f t="shared" si="30"/>
        <v>690</v>
      </c>
    </row>
    <row r="181" spans="1:34" s="69" customFormat="1" ht="33" customHeight="1" x14ac:dyDescent="0.3">
      <c r="A181" s="130" t="s">
        <v>492</v>
      </c>
      <c r="B181" s="131" t="s">
        <v>493</v>
      </c>
      <c r="C181" s="132" t="s">
        <v>23</v>
      </c>
      <c r="D181" s="133">
        <v>1065</v>
      </c>
      <c r="E181" s="203"/>
      <c r="F181" s="203"/>
      <c r="G181" s="203"/>
      <c r="H181" s="75">
        <v>200</v>
      </c>
      <c r="I181" s="75">
        <v>213000</v>
      </c>
      <c r="J181" s="91" t="s">
        <v>494</v>
      </c>
      <c r="K181" s="73"/>
      <c r="L181" s="46">
        <v>1028.21</v>
      </c>
      <c r="M181" s="46">
        <v>66780</v>
      </c>
      <c r="N181" s="46">
        <v>205642</v>
      </c>
      <c r="O181" s="98"/>
      <c r="P181" s="23" t="s">
        <v>1373</v>
      </c>
      <c r="Q181" s="24" t="s">
        <v>493</v>
      </c>
      <c r="R181" s="25" t="s">
        <v>23</v>
      </c>
      <c r="S181" s="26">
        <v>1065</v>
      </c>
      <c r="T181" s="26"/>
      <c r="U181" s="26">
        <f t="shared" si="33"/>
        <v>200</v>
      </c>
      <c r="V181" s="220">
        <f>AG181-L181</f>
        <v>0</v>
      </c>
      <c r="W181" s="127">
        <f t="shared" si="35"/>
        <v>1028.21</v>
      </c>
      <c r="X181" s="127">
        <f t="shared" si="36"/>
        <v>0</v>
      </c>
      <c r="Y181" s="127">
        <f t="shared" si="27"/>
        <v>205642</v>
      </c>
      <c r="Z181" s="33" t="s">
        <v>15</v>
      </c>
      <c r="AA181" s="36" t="s">
        <v>16</v>
      </c>
      <c r="AB181" s="181">
        <f t="shared" si="28"/>
        <v>1065</v>
      </c>
      <c r="AC181" s="181">
        <f t="shared" si="37"/>
        <v>213000</v>
      </c>
      <c r="AD181" s="181">
        <v>1.4</v>
      </c>
      <c r="AE181" s="181">
        <v>1.4</v>
      </c>
      <c r="AF181" s="101" t="str">
        <f t="shared" si="29"/>
        <v/>
      </c>
      <c r="AG181" s="191">
        <f>AG178+AG180+AG200+AG179</f>
        <v>1028.21</v>
      </c>
      <c r="AH181" s="69">
        <f t="shared" si="30"/>
        <v>1065</v>
      </c>
    </row>
    <row r="182" spans="1:34" s="69" customFormat="1" ht="57.75" x14ac:dyDescent="0.3">
      <c r="A182" s="130" t="s">
        <v>495</v>
      </c>
      <c r="B182" s="131" t="s">
        <v>405</v>
      </c>
      <c r="C182" s="132" t="s">
        <v>50</v>
      </c>
      <c r="D182" s="133">
        <v>1229</v>
      </c>
      <c r="E182" s="203"/>
      <c r="F182" s="203"/>
      <c r="G182" s="203"/>
      <c r="H182" s="75">
        <v>982.98</v>
      </c>
      <c r="I182" s="75">
        <v>1208082.42</v>
      </c>
      <c r="J182" s="91" t="s">
        <v>406</v>
      </c>
      <c r="K182" s="73"/>
      <c r="L182" s="46">
        <v>1229</v>
      </c>
      <c r="M182" s="46">
        <v>0</v>
      </c>
      <c r="N182" s="46">
        <v>1208082.42</v>
      </c>
      <c r="O182" s="98"/>
      <c r="P182" s="23" t="s">
        <v>1393</v>
      </c>
      <c r="Q182" s="24" t="s">
        <v>405</v>
      </c>
      <c r="R182" s="25" t="s">
        <v>50</v>
      </c>
      <c r="S182" s="26">
        <v>1229</v>
      </c>
      <c r="T182" s="26"/>
      <c r="U182" s="26">
        <f t="shared" si="33"/>
        <v>982.98</v>
      </c>
      <c r="V182" s="127">
        <f t="shared" si="34"/>
        <v>0</v>
      </c>
      <c r="W182" s="127">
        <f t="shared" si="35"/>
        <v>1229</v>
      </c>
      <c r="X182" s="127">
        <f t="shared" si="36"/>
        <v>0</v>
      </c>
      <c r="Y182" s="127">
        <f t="shared" si="27"/>
        <v>1208082.42</v>
      </c>
      <c r="Z182" s="33" t="s">
        <v>15</v>
      </c>
      <c r="AA182" s="36" t="s">
        <v>16</v>
      </c>
      <c r="AB182" s="181">
        <f t="shared" si="28"/>
        <v>1229</v>
      </c>
      <c r="AC182" s="181">
        <f t="shared" si="37"/>
        <v>1208082.42</v>
      </c>
      <c r="AD182" s="181">
        <v>1.4</v>
      </c>
      <c r="AE182" s="181">
        <v>1.4</v>
      </c>
      <c r="AF182" s="101" t="str">
        <f t="shared" si="29"/>
        <v/>
      </c>
      <c r="AG182" s="194">
        <f>1032+197</f>
        <v>1229</v>
      </c>
      <c r="AH182" s="69">
        <f t="shared" si="30"/>
        <v>1229</v>
      </c>
    </row>
    <row r="183" spans="1:34" s="69" customFormat="1" ht="41.25" x14ac:dyDescent="0.3">
      <c r="A183" s="130" t="s">
        <v>496</v>
      </c>
      <c r="B183" s="131" t="s">
        <v>408</v>
      </c>
      <c r="C183" s="132" t="s">
        <v>50</v>
      </c>
      <c r="D183" s="133">
        <v>285</v>
      </c>
      <c r="E183" s="203"/>
      <c r="F183" s="203"/>
      <c r="G183" s="203"/>
      <c r="H183" s="75">
        <v>804.79</v>
      </c>
      <c r="I183" s="75">
        <v>229365.15</v>
      </c>
      <c r="J183" s="91" t="s">
        <v>409</v>
      </c>
      <c r="K183" s="73"/>
      <c r="L183" s="46">
        <v>285</v>
      </c>
      <c r="M183" s="46">
        <v>0</v>
      </c>
      <c r="N183" s="46">
        <v>229365.15</v>
      </c>
      <c r="O183" s="98"/>
      <c r="P183" s="23" t="s">
        <v>1403</v>
      </c>
      <c r="Q183" s="24" t="s">
        <v>408</v>
      </c>
      <c r="R183" s="25" t="s">
        <v>50</v>
      </c>
      <c r="S183" s="26">
        <v>285</v>
      </c>
      <c r="T183" s="26"/>
      <c r="U183" s="26">
        <f t="shared" si="33"/>
        <v>804.79</v>
      </c>
      <c r="V183" s="127">
        <f t="shared" si="34"/>
        <v>0</v>
      </c>
      <c r="W183" s="127">
        <f t="shared" si="35"/>
        <v>285</v>
      </c>
      <c r="X183" s="127">
        <f t="shared" si="36"/>
        <v>0</v>
      </c>
      <c r="Y183" s="127">
        <f t="shared" si="27"/>
        <v>229365.15</v>
      </c>
      <c r="Z183" s="33" t="s">
        <v>15</v>
      </c>
      <c r="AA183" s="36" t="s">
        <v>16</v>
      </c>
      <c r="AB183" s="181">
        <f t="shared" si="28"/>
        <v>285</v>
      </c>
      <c r="AC183" s="181">
        <f t="shared" si="37"/>
        <v>229365.15</v>
      </c>
      <c r="AD183" s="181">
        <v>1.4</v>
      </c>
      <c r="AE183" s="181">
        <v>1.4</v>
      </c>
      <c r="AF183" s="101" t="str">
        <f t="shared" si="29"/>
        <v/>
      </c>
      <c r="AG183" s="194">
        <f>220+65</f>
        <v>285</v>
      </c>
      <c r="AH183" s="69">
        <f t="shared" si="30"/>
        <v>285</v>
      </c>
    </row>
    <row r="184" spans="1:34" s="69" customFormat="1" ht="33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203"/>
      <c r="F184" s="203"/>
      <c r="G184" s="203"/>
      <c r="H184" s="75">
        <v>36.4</v>
      </c>
      <c r="I184" s="75">
        <v>499262.4</v>
      </c>
      <c r="J184" s="91" t="s">
        <v>111</v>
      </c>
      <c r="K184" s="73"/>
      <c r="L184" s="46">
        <v>13110.94</v>
      </c>
      <c r="M184" s="46">
        <v>0</v>
      </c>
      <c r="N184" s="46">
        <v>477238.22</v>
      </c>
      <c r="O184" s="98"/>
      <c r="P184" s="23" t="s">
        <v>1427</v>
      </c>
      <c r="Q184" s="24" t="s">
        <v>109</v>
      </c>
      <c r="R184" s="25" t="s">
        <v>110</v>
      </c>
      <c r="S184" s="26">
        <v>13716</v>
      </c>
      <c r="T184" s="26"/>
      <c r="U184" s="26">
        <f t="shared" si="33"/>
        <v>36.4</v>
      </c>
      <c r="V184" s="127">
        <f t="shared" si="34"/>
        <v>0</v>
      </c>
      <c r="W184" s="127">
        <f t="shared" si="35"/>
        <v>13110.94</v>
      </c>
      <c r="X184" s="127">
        <f t="shared" si="36"/>
        <v>0</v>
      </c>
      <c r="Y184" s="127">
        <f t="shared" si="27"/>
        <v>477238.22</v>
      </c>
      <c r="Z184" s="33" t="s">
        <v>15</v>
      </c>
      <c r="AA184" s="36" t="s">
        <v>16</v>
      </c>
      <c r="AB184" s="181">
        <f t="shared" si="28"/>
        <v>13716</v>
      </c>
      <c r="AC184" s="181">
        <f t="shared" si="37"/>
        <v>499262.4</v>
      </c>
      <c r="AD184" s="181">
        <v>1.4</v>
      </c>
      <c r="AE184" s="181">
        <v>1.4</v>
      </c>
      <c r="AF184" s="101" t="str">
        <f t="shared" si="29"/>
        <v/>
      </c>
      <c r="AG184" s="192">
        <v>13110.94</v>
      </c>
      <c r="AH184" s="69">
        <f t="shared" si="30"/>
        <v>13716</v>
      </c>
    </row>
    <row r="185" spans="1:34" s="69" customFormat="1" ht="33" x14ac:dyDescent="0.3">
      <c r="A185" s="130" t="s">
        <v>498</v>
      </c>
      <c r="B185" s="131" t="s">
        <v>399</v>
      </c>
      <c r="C185" s="132" t="s">
        <v>110</v>
      </c>
      <c r="D185" s="133">
        <v>13810</v>
      </c>
      <c r="E185" s="203"/>
      <c r="F185" s="203"/>
      <c r="G185" s="203"/>
      <c r="H185" s="75">
        <v>38.71</v>
      </c>
      <c r="I185" s="75">
        <v>534585.1</v>
      </c>
      <c r="J185" s="91" t="s">
        <v>400</v>
      </c>
      <c r="K185" s="73"/>
      <c r="L185" s="46">
        <v>13810</v>
      </c>
      <c r="M185" s="46">
        <v>0</v>
      </c>
      <c r="N185" s="46">
        <v>534585.1</v>
      </c>
      <c r="O185" s="98"/>
      <c r="P185" s="23" t="s">
        <v>1428</v>
      </c>
      <c r="Q185" s="24" t="s">
        <v>399</v>
      </c>
      <c r="R185" s="25" t="s">
        <v>110</v>
      </c>
      <c r="S185" s="26">
        <v>13810</v>
      </c>
      <c r="T185" s="26"/>
      <c r="U185" s="26">
        <f t="shared" si="33"/>
        <v>38.71</v>
      </c>
      <c r="V185" s="127">
        <f t="shared" si="34"/>
        <v>0</v>
      </c>
      <c r="W185" s="127">
        <f t="shared" si="35"/>
        <v>13810</v>
      </c>
      <c r="X185" s="127">
        <f t="shared" si="36"/>
        <v>0</v>
      </c>
      <c r="Y185" s="127">
        <f t="shared" si="27"/>
        <v>534585.1</v>
      </c>
      <c r="Z185" s="33" t="s">
        <v>15</v>
      </c>
      <c r="AA185" s="36" t="s">
        <v>16</v>
      </c>
      <c r="AB185" s="181">
        <f t="shared" si="28"/>
        <v>13810</v>
      </c>
      <c r="AC185" s="181">
        <f t="shared" si="37"/>
        <v>534585.1</v>
      </c>
      <c r="AD185" s="181">
        <v>1.4</v>
      </c>
      <c r="AE185" s="181">
        <v>1.4</v>
      </c>
      <c r="AF185" s="101" t="str">
        <f t="shared" si="29"/>
        <v/>
      </c>
      <c r="AG185" s="194">
        <f>13810</f>
        <v>13810</v>
      </c>
      <c r="AH185" s="69">
        <f t="shared" si="30"/>
        <v>13810</v>
      </c>
    </row>
    <row r="186" spans="1:34" s="69" customFormat="1" ht="33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203"/>
      <c r="F186" s="203">
        <v>754.47</v>
      </c>
      <c r="G186" s="203"/>
      <c r="H186" s="75">
        <v>2510.79</v>
      </c>
      <c r="I186" s="75">
        <v>1894315.73</v>
      </c>
      <c r="J186" s="91" t="s">
        <v>501</v>
      </c>
      <c r="K186" s="73"/>
      <c r="L186" s="46">
        <v>754.3</v>
      </c>
      <c r="M186" s="46">
        <v>0</v>
      </c>
      <c r="N186" s="46">
        <v>1893888.9</v>
      </c>
      <c r="O186" s="98"/>
      <c r="P186" s="23" t="s">
        <v>1387</v>
      </c>
      <c r="Q186" s="24" t="s">
        <v>500</v>
      </c>
      <c r="R186" s="25" t="s">
        <v>50</v>
      </c>
      <c r="S186" s="26">
        <v>699</v>
      </c>
      <c r="T186" s="26">
        <v>754.47</v>
      </c>
      <c r="U186" s="26">
        <f t="shared" si="33"/>
        <v>2510.79</v>
      </c>
      <c r="V186" s="127">
        <f t="shared" si="34"/>
        <v>0</v>
      </c>
      <c r="W186" s="127">
        <f t="shared" si="35"/>
        <v>754.3</v>
      </c>
      <c r="X186" s="127">
        <f t="shared" si="36"/>
        <v>0</v>
      </c>
      <c r="Y186" s="127">
        <f t="shared" si="27"/>
        <v>1893888.9</v>
      </c>
      <c r="Z186" s="27"/>
      <c r="AA186" s="36" t="s">
        <v>16</v>
      </c>
      <c r="AB186" s="181">
        <f t="shared" si="28"/>
        <v>754.47</v>
      </c>
      <c r="AC186" s="181">
        <f t="shared" si="37"/>
        <v>1894315.73</v>
      </c>
      <c r="AD186" s="181">
        <v>1.4</v>
      </c>
      <c r="AE186" s="181">
        <v>1.4</v>
      </c>
      <c r="AF186" s="101" t="str">
        <f t="shared" si="29"/>
        <v/>
      </c>
      <c r="AG186" s="194">
        <f>664.5+89.8</f>
        <v>754.3</v>
      </c>
      <c r="AH186" s="69">
        <f t="shared" si="30"/>
        <v>754.47</v>
      </c>
    </row>
    <row r="187" spans="1:34" s="69" customFormat="1" ht="39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203"/>
      <c r="F187" s="203"/>
      <c r="G187" s="203"/>
      <c r="H187" s="75">
        <v>3298.06</v>
      </c>
      <c r="I187" s="75">
        <v>906966.5</v>
      </c>
      <c r="J187" s="91" t="s">
        <v>504</v>
      </c>
      <c r="K187" s="73"/>
      <c r="L187" s="46">
        <v>275</v>
      </c>
      <c r="M187" s="46">
        <v>0</v>
      </c>
      <c r="N187" s="46">
        <v>906966.5</v>
      </c>
      <c r="O187" s="98"/>
      <c r="P187" s="23" t="s">
        <v>1405</v>
      </c>
      <c r="Q187" s="24" t="s">
        <v>503</v>
      </c>
      <c r="R187" s="25" t="s">
        <v>103</v>
      </c>
      <c r="S187" s="26">
        <v>275</v>
      </c>
      <c r="T187" s="26"/>
      <c r="U187" s="26">
        <f t="shared" si="33"/>
        <v>3298.06</v>
      </c>
      <c r="V187" s="127">
        <f t="shared" si="34"/>
        <v>0</v>
      </c>
      <c r="W187" s="127">
        <f t="shared" si="35"/>
        <v>275</v>
      </c>
      <c r="X187" s="127">
        <f t="shared" si="36"/>
        <v>0</v>
      </c>
      <c r="Y187" s="127">
        <f t="shared" si="27"/>
        <v>906966.5</v>
      </c>
      <c r="Z187" s="33"/>
      <c r="AA187" s="36" t="s">
        <v>16</v>
      </c>
      <c r="AB187" s="181">
        <f t="shared" si="28"/>
        <v>275</v>
      </c>
      <c r="AC187" s="181">
        <f t="shared" si="37"/>
        <v>906966.5</v>
      </c>
      <c r="AD187" s="181">
        <v>1.4</v>
      </c>
      <c r="AE187" s="181">
        <v>1.4</v>
      </c>
      <c r="AF187" s="101" t="str">
        <f t="shared" si="29"/>
        <v/>
      </c>
      <c r="AG187" s="190">
        <v>275</v>
      </c>
      <c r="AH187" s="69">
        <f t="shared" si="30"/>
        <v>275</v>
      </c>
    </row>
    <row r="188" spans="1:34" s="69" customFormat="1" ht="39" x14ac:dyDescent="0.3">
      <c r="A188" s="130" t="s">
        <v>505</v>
      </c>
      <c r="B188" s="131" t="s">
        <v>506</v>
      </c>
      <c r="C188" s="132" t="s">
        <v>50</v>
      </c>
      <c r="D188" s="133">
        <v>203</v>
      </c>
      <c r="E188" s="75"/>
      <c r="F188" s="75"/>
      <c r="G188" s="75"/>
      <c r="H188" s="75">
        <v>2952.19</v>
      </c>
      <c r="I188" s="75">
        <v>599294.56999999995</v>
      </c>
      <c r="J188" s="91" t="s">
        <v>507</v>
      </c>
      <c r="K188" s="73"/>
      <c r="L188" s="46">
        <v>203</v>
      </c>
      <c r="M188" s="46">
        <v>0</v>
      </c>
      <c r="N188" s="46">
        <v>599294.56999999995</v>
      </c>
      <c r="O188" s="98"/>
      <c r="P188" s="23" t="s">
        <v>1406</v>
      </c>
      <c r="Q188" s="24" t="s">
        <v>506</v>
      </c>
      <c r="R188" s="25" t="s">
        <v>50</v>
      </c>
      <c r="S188" s="26">
        <v>203</v>
      </c>
      <c r="T188" s="26"/>
      <c r="U188" s="26">
        <f t="shared" si="33"/>
        <v>2952.19</v>
      </c>
      <c r="V188" s="127">
        <f t="shared" si="34"/>
        <v>0</v>
      </c>
      <c r="W188" s="127">
        <f t="shared" si="35"/>
        <v>203</v>
      </c>
      <c r="X188" s="127">
        <f t="shared" si="36"/>
        <v>0</v>
      </c>
      <c r="Y188" s="127">
        <f t="shared" si="27"/>
        <v>599294.56999999995</v>
      </c>
      <c r="Z188" s="33" t="s">
        <v>15</v>
      </c>
      <c r="AA188" s="36" t="s">
        <v>16</v>
      </c>
      <c r="AB188" s="181">
        <f t="shared" si="28"/>
        <v>203</v>
      </c>
      <c r="AC188" s="181">
        <f t="shared" si="37"/>
        <v>599294.56999999995</v>
      </c>
      <c r="AD188" s="181">
        <v>1.4</v>
      </c>
      <c r="AE188" s="181">
        <v>1.4</v>
      </c>
      <c r="AF188" s="101" t="str">
        <f t="shared" si="29"/>
        <v/>
      </c>
      <c r="AG188" s="190">
        <f>129.8+73.2</f>
        <v>203</v>
      </c>
      <c r="AH188" s="69">
        <f t="shared" si="30"/>
        <v>203</v>
      </c>
    </row>
    <row r="189" spans="1:34" s="69" customFormat="1" ht="33" x14ac:dyDescent="0.3">
      <c r="A189" s="130" t="s">
        <v>508</v>
      </c>
      <c r="B189" s="131" t="s">
        <v>509</v>
      </c>
      <c r="C189" s="132" t="s">
        <v>50</v>
      </c>
      <c r="D189" s="133">
        <v>405</v>
      </c>
      <c r="E189" s="75"/>
      <c r="F189" s="75"/>
      <c r="G189" s="75"/>
      <c r="H189" s="75">
        <v>1454.57</v>
      </c>
      <c r="I189" s="75">
        <v>589100.85</v>
      </c>
      <c r="J189" s="91" t="s">
        <v>510</v>
      </c>
      <c r="K189" s="73"/>
      <c r="L189" s="46">
        <v>405</v>
      </c>
      <c r="M189" s="46">
        <v>589100.85</v>
      </c>
      <c r="N189" s="46">
        <v>589100.85</v>
      </c>
      <c r="O189" s="98"/>
      <c r="P189" s="23" t="s">
        <v>1414</v>
      </c>
      <c r="Q189" s="24" t="s">
        <v>509</v>
      </c>
      <c r="R189" s="25" t="s">
        <v>50</v>
      </c>
      <c r="S189" s="26">
        <v>405</v>
      </c>
      <c r="T189" s="26"/>
      <c r="U189" s="26">
        <f t="shared" si="33"/>
        <v>1454.57</v>
      </c>
      <c r="V189" s="127">
        <f t="shared" si="34"/>
        <v>0</v>
      </c>
      <c r="W189" s="127">
        <f t="shared" si="35"/>
        <v>405</v>
      </c>
      <c r="X189" s="127">
        <f t="shared" si="36"/>
        <v>0</v>
      </c>
      <c r="Y189" s="127">
        <f t="shared" si="27"/>
        <v>589100.85</v>
      </c>
      <c r="Z189" s="33" t="s">
        <v>15</v>
      </c>
      <c r="AA189" s="36" t="s">
        <v>16</v>
      </c>
      <c r="AB189" s="181">
        <f t="shared" si="28"/>
        <v>405</v>
      </c>
      <c r="AC189" s="181">
        <f t="shared" si="37"/>
        <v>589100.85</v>
      </c>
      <c r="AD189" s="181">
        <v>1.4</v>
      </c>
      <c r="AE189" s="181">
        <v>1.4</v>
      </c>
      <c r="AF189" s="101" t="str">
        <f t="shared" si="29"/>
        <v/>
      </c>
      <c r="AG189" s="191">
        <v>405</v>
      </c>
      <c r="AH189" s="69">
        <f t="shared" si="30"/>
        <v>405</v>
      </c>
    </row>
    <row r="190" spans="1:34" s="69" customFormat="1" ht="39" x14ac:dyDescent="0.3">
      <c r="A190" s="130" t="s">
        <v>511</v>
      </c>
      <c r="B190" s="131" t="s">
        <v>512</v>
      </c>
      <c r="C190" s="132" t="s">
        <v>513</v>
      </c>
      <c r="D190" s="133">
        <v>372</v>
      </c>
      <c r="E190" s="75"/>
      <c r="F190" s="75"/>
      <c r="G190" s="75"/>
      <c r="H190" s="75">
        <v>435</v>
      </c>
      <c r="I190" s="75">
        <v>161820</v>
      </c>
      <c r="J190" s="91" t="s">
        <v>514</v>
      </c>
      <c r="K190" s="73"/>
      <c r="L190" s="46">
        <v>292</v>
      </c>
      <c r="M190" s="46">
        <v>0</v>
      </c>
      <c r="N190" s="46">
        <v>127020</v>
      </c>
      <c r="O190" s="98"/>
      <c r="P190" s="23" t="s">
        <v>1429</v>
      </c>
      <c r="Q190" s="24" t="s">
        <v>512</v>
      </c>
      <c r="R190" s="25" t="s">
        <v>513</v>
      </c>
      <c r="S190" s="26">
        <v>372</v>
      </c>
      <c r="T190" s="26"/>
      <c r="U190" s="26">
        <f t="shared" si="33"/>
        <v>435</v>
      </c>
      <c r="V190" s="127">
        <f t="shared" si="34"/>
        <v>0</v>
      </c>
      <c r="W190" s="127">
        <f t="shared" si="35"/>
        <v>292</v>
      </c>
      <c r="X190" s="127">
        <f t="shared" si="36"/>
        <v>0</v>
      </c>
      <c r="Y190" s="127">
        <f t="shared" si="27"/>
        <v>127020</v>
      </c>
      <c r="Z190" s="33" t="s">
        <v>15</v>
      </c>
      <c r="AA190" s="36" t="s">
        <v>16</v>
      </c>
      <c r="AB190" s="181">
        <f t="shared" si="28"/>
        <v>372</v>
      </c>
      <c r="AC190" s="181">
        <f t="shared" si="37"/>
        <v>161820</v>
      </c>
      <c r="AD190" s="181">
        <v>1.4</v>
      </c>
      <c r="AE190" s="181">
        <v>1.4</v>
      </c>
      <c r="AF190" s="101" t="str">
        <f t="shared" si="29"/>
        <v/>
      </c>
      <c r="AG190" s="191">
        <f>210+82</f>
        <v>292</v>
      </c>
      <c r="AH190" s="69">
        <f t="shared" si="30"/>
        <v>372</v>
      </c>
    </row>
    <row r="191" spans="1:34" s="69" customFormat="1" ht="33" x14ac:dyDescent="0.3">
      <c r="A191" s="130" t="s">
        <v>515</v>
      </c>
      <c r="B191" s="131" t="s">
        <v>516</v>
      </c>
      <c r="C191" s="132" t="s">
        <v>50</v>
      </c>
      <c r="D191" s="133">
        <v>1984</v>
      </c>
      <c r="E191" s="75"/>
      <c r="F191" s="75"/>
      <c r="G191" s="75"/>
      <c r="H191" s="75">
        <v>885.8</v>
      </c>
      <c r="I191" s="75">
        <v>1757427.2</v>
      </c>
      <c r="J191" s="91" t="s">
        <v>517</v>
      </c>
      <c r="K191" s="73"/>
      <c r="L191" s="46">
        <v>1796.5</v>
      </c>
      <c r="M191" s="46">
        <v>0</v>
      </c>
      <c r="N191" s="46">
        <v>1591339.7</v>
      </c>
      <c r="O191" s="98"/>
      <c r="P191" s="23" t="s">
        <v>1430</v>
      </c>
      <c r="Q191" s="24" t="s">
        <v>516</v>
      </c>
      <c r="R191" s="25" t="s">
        <v>50</v>
      </c>
      <c r="S191" s="26">
        <v>1984</v>
      </c>
      <c r="T191" s="26"/>
      <c r="U191" s="26">
        <f t="shared" si="33"/>
        <v>885.8</v>
      </c>
      <c r="V191" s="127">
        <f t="shared" si="34"/>
        <v>0</v>
      </c>
      <c r="W191" s="127">
        <f t="shared" si="35"/>
        <v>1796.5</v>
      </c>
      <c r="X191" s="127">
        <f t="shared" si="36"/>
        <v>0</v>
      </c>
      <c r="Y191" s="127">
        <f t="shared" si="27"/>
        <v>1591339.7</v>
      </c>
      <c r="Z191" s="33" t="s">
        <v>15</v>
      </c>
      <c r="AA191" s="36" t="s">
        <v>16</v>
      </c>
      <c r="AB191" s="181">
        <f t="shared" si="28"/>
        <v>1984</v>
      </c>
      <c r="AC191" s="181">
        <f t="shared" si="37"/>
        <v>1757427.2</v>
      </c>
      <c r="AD191" s="181">
        <v>1.4</v>
      </c>
      <c r="AE191" s="181">
        <v>1.4</v>
      </c>
      <c r="AF191" s="101" t="str">
        <f t="shared" si="29"/>
        <v/>
      </c>
      <c r="AG191" s="190">
        <v>1796.5</v>
      </c>
      <c r="AH191" s="69">
        <f t="shared" si="30"/>
        <v>1984</v>
      </c>
    </row>
    <row r="192" spans="1:34" s="69" customFormat="1" ht="33" x14ac:dyDescent="0.3">
      <c r="A192" s="130" t="s">
        <v>518</v>
      </c>
      <c r="B192" s="131" t="s">
        <v>189</v>
      </c>
      <c r="C192" s="132" t="s">
        <v>30</v>
      </c>
      <c r="D192" s="133">
        <v>45</v>
      </c>
      <c r="E192" s="75"/>
      <c r="F192" s="75"/>
      <c r="G192" s="75"/>
      <c r="H192" s="75">
        <v>138.84</v>
      </c>
      <c r="I192" s="75">
        <v>6247.8</v>
      </c>
      <c r="J192" s="91" t="s">
        <v>190</v>
      </c>
      <c r="K192" s="73"/>
      <c r="L192" s="46">
        <v>36.96</v>
      </c>
      <c r="M192" s="46">
        <v>1666.08</v>
      </c>
      <c r="N192" s="46">
        <v>5131.53</v>
      </c>
      <c r="O192" s="98"/>
      <c r="P192" s="23" t="s">
        <v>1431</v>
      </c>
      <c r="Q192" s="24" t="s">
        <v>189</v>
      </c>
      <c r="R192" s="25" t="s">
        <v>30</v>
      </c>
      <c r="S192" s="26">
        <v>45</v>
      </c>
      <c r="T192" s="26"/>
      <c r="U192" s="26">
        <f t="shared" si="33"/>
        <v>138.84</v>
      </c>
      <c r="V192" s="127">
        <f t="shared" si="34"/>
        <v>0</v>
      </c>
      <c r="W192" s="127">
        <f t="shared" si="35"/>
        <v>36.96</v>
      </c>
      <c r="X192" s="127">
        <f t="shared" si="36"/>
        <v>0</v>
      </c>
      <c r="Y192" s="127">
        <f t="shared" si="27"/>
        <v>5131.53</v>
      </c>
      <c r="Z192" s="33" t="s">
        <v>15</v>
      </c>
      <c r="AA192" s="36" t="s">
        <v>16</v>
      </c>
      <c r="AB192" s="181">
        <f t="shared" si="28"/>
        <v>45</v>
      </c>
      <c r="AC192" s="181">
        <f t="shared" si="37"/>
        <v>6247.8</v>
      </c>
      <c r="AD192" s="181">
        <v>1.4</v>
      </c>
      <c r="AE192" s="181">
        <v>1.4</v>
      </c>
      <c r="AF192" s="101" t="str">
        <f t="shared" si="29"/>
        <v/>
      </c>
      <c r="AG192" s="191">
        <f>24.96+12</f>
        <v>36.96</v>
      </c>
      <c r="AH192" s="69">
        <f t="shared" si="30"/>
        <v>45</v>
      </c>
    </row>
    <row r="193" spans="1:37" s="69" customFormat="1" ht="33" x14ac:dyDescent="0.3">
      <c r="A193" s="130" t="s">
        <v>519</v>
      </c>
      <c r="B193" s="131" t="s">
        <v>520</v>
      </c>
      <c r="C193" s="132" t="s">
        <v>30</v>
      </c>
      <c r="D193" s="133">
        <v>62</v>
      </c>
      <c r="E193" s="75"/>
      <c r="F193" s="75"/>
      <c r="G193" s="75"/>
      <c r="H193" s="75">
        <v>326.3</v>
      </c>
      <c r="I193" s="75">
        <v>20230.599999999999</v>
      </c>
      <c r="J193" s="91" t="s">
        <v>521</v>
      </c>
      <c r="K193" s="73"/>
      <c r="L193" s="46">
        <v>59</v>
      </c>
      <c r="M193" s="46">
        <v>19251.7</v>
      </c>
      <c r="N193" s="46">
        <v>19251.7</v>
      </c>
      <c r="O193" s="98"/>
      <c r="P193" s="23" t="s">
        <v>1395</v>
      </c>
      <c r="Q193" s="24" t="s">
        <v>520</v>
      </c>
      <c r="R193" s="25" t="s">
        <v>30</v>
      </c>
      <c r="S193" s="26">
        <v>62</v>
      </c>
      <c r="T193" s="26"/>
      <c r="U193" s="26">
        <f t="shared" si="33"/>
        <v>326.3</v>
      </c>
      <c r="V193" s="127">
        <f t="shared" si="34"/>
        <v>0</v>
      </c>
      <c r="W193" s="127">
        <f t="shared" si="35"/>
        <v>59</v>
      </c>
      <c r="X193" s="127">
        <f t="shared" si="36"/>
        <v>0</v>
      </c>
      <c r="Y193" s="127">
        <f t="shared" si="27"/>
        <v>19251.7</v>
      </c>
      <c r="Z193" s="33" t="s">
        <v>15</v>
      </c>
      <c r="AA193" s="36" t="s">
        <v>16</v>
      </c>
      <c r="AB193" s="181">
        <f t="shared" si="28"/>
        <v>62</v>
      </c>
      <c r="AC193" s="181">
        <f t="shared" si="37"/>
        <v>20230.599999999999</v>
      </c>
      <c r="AD193" s="181">
        <v>1.4</v>
      </c>
      <c r="AE193" s="181">
        <v>1.4</v>
      </c>
      <c r="AF193" s="101" t="str">
        <f t="shared" si="29"/>
        <v/>
      </c>
      <c r="AG193" s="191">
        <f>59</f>
        <v>59</v>
      </c>
      <c r="AH193" s="69">
        <f t="shared" si="30"/>
        <v>62</v>
      </c>
    </row>
    <row r="194" spans="1:37" s="69" customFormat="1" ht="39" x14ac:dyDescent="0.3">
      <c r="A194" s="130" t="s">
        <v>522</v>
      </c>
      <c r="B194" s="131" t="s">
        <v>424</v>
      </c>
      <c r="C194" s="132" t="s">
        <v>50</v>
      </c>
      <c r="D194" s="133">
        <v>275</v>
      </c>
      <c r="E194" s="75"/>
      <c r="F194" s="75"/>
      <c r="G194" s="75"/>
      <c r="H194" s="75">
        <v>692.16</v>
      </c>
      <c r="I194" s="75">
        <v>190344</v>
      </c>
      <c r="J194" s="91" t="s">
        <v>425</v>
      </c>
      <c r="K194" s="73"/>
      <c r="L194" s="46">
        <v>275</v>
      </c>
      <c r="M194" s="46">
        <v>0</v>
      </c>
      <c r="N194" s="46">
        <v>190344</v>
      </c>
      <c r="O194" s="98"/>
      <c r="P194" s="23" t="s">
        <v>1432</v>
      </c>
      <c r="Q194" s="24" t="s">
        <v>424</v>
      </c>
      <c r="R194" s="25" t="s">
        <v>50</v>
      </c>
      <c r="S194" s="26">
        <v>275</v>
      </c>
      <c r="T194" s="26"/>
      <c r="U194" s="26">
        <f t="shared" si="33"/>
        <v>692.16</v>
      </c>
      <c r="V194" s="127">
        <f t="shared" si="34"/>
        <v>0</v>
      </c>
      <c r="W194" s="127">
        <f t="shared" si="35"/>
        <v>275</v>
      </c>
      <c r="X194" s="127">
        <f t="shared" si="36"/>
        <v>0</v>
      </c>
      <c r="Y194" s="127">
        <f t="shared" si="27"/>
        <v>190344</v>
      </c>
      <c r="Z194" s="33" t="s">
        <v>15</v>
      </c>
      <c r="AA194" s="36" t="s">
        <v>16</v>
      </c>
      <c r="AB194" s="181">
        <f t="shared" si="28"/>
        <v>275</v>
      </c>
      <c r="AC194" s="181">
        <f t="shared" si="37"/>
        <v>190344</v>
      </c>
      <c r="AD194" s="181">
        <v>1.4</v>
      </c>
      <c r="AE194" s="181">
        <v>1.4</v>
      </c>
      <c r="AF194" s="101" t="str">
        <f t="shared" si="29"/>
        <v/>
      </c>
      <c r="AG194" s="191">
        <f>93.6+112+69.4</f>
        <v>275</v>
      </c>
      <c r="AH194" s="69">
        <f t="shared" si="30"/>
        <v>275</v>
      </c>
    </row>
    <row r="195" spans="1:37" s="69" customFormat="1" ht="41.25" x14ac:dyDescent="0.3">
      <c r="A195" s="130" t="s">
        <v>523</v>
      </c>
      <c r="B195" s="131" t="s">
        <v>524</v>
      </c>
      <c r="C195" s="132" t="s">
        <v>30</v>
      </c>
      <c r="D195" s="133">
        <v>429</v>
      </c>
      <c r="E195" s="75"/>
      <c r="F195" s="75"/>
      <c r="G195" s="75"/>
      <c r="H195" s="75">
        <v>1707.13</v>
      </c>
      <c r="I195" s="75">
        <v>0</v>
      </c>
      <c r="J195" s="91" t="s">
        <v>525</v>
      </c>
      <c r="K195" s="73"/>
      <c r="L195" s="46">
        <v>0</v>
      </c>
      <c r="M195" s="46">
        <v>0</v>
      </c>
      <c r="N195" s="46">
        <v>0</v>
      </c>
      <c r="O195" s="98"/>
      <c r="P195" s="23" t="s">
        <v>1433</v>
      </c>
      <c r="Q195" s="24" t="s">
        <v>524</v>
      </c>
      <c r="R195" s="25" t="s">
        <v>30</v>
      </c>
      <c r="S195" s="26">
        <v>429</v>
      </c>
      <c r="T195" s="26">
        <v>0</v>
      </c>
      <c r="U195" s="26">
        <f t="shared" si="33"/>
        <v>1707.13</v>
      </c>
      <c r="V195" s="127">
        <f t="shared" si="34"/>
        <v>0</v>
      </c>
      <c r="W195" s="127">
        <f t="shared" si="35"/>
        <v>0</v>
      </c>
      <c r="X195" s="127">
        <f t="shared" si="36"/>
        <v>0</v>
      </c>
      <c r="Y195" s="127">
        <f t="shared" si="27"/>
        <v>0</v>
      </c>
      <c r="Z195" s="33" t="s">
        <v>15</v>
      </c>
      <c r="AA195" s="36" t="s">
        <v>16</v>
      </c>
      <c r="AB195" s="181">
        <f t="shared" si="28"/>
        <v>0</v>
      </c>
      <c r="AC195" s="181">
        <f t="shared" si="37"/>
        <v>0</v>
      </c>
      <c r="AD195" s="181">
        <v>1.4</v>
      </c>
      <c r="AE195" s="181">
        <v>1.4</v>
      </c>
      <c r="AF195" s="101" t="str">
        <f t="shared" si="29"/>
        <v/>
      </c>
      <c r="AG195" s="190">
        <v>0</v>
      </c>
      <c r="AH195" s="69">
        <f t="shared" si="30"/>
        <v>429</v>
      </c>
    </row>
    <row r="196" spans="1:37" s="69" customFormat="1" ht="39" x14ac:dyDescent="0.3">
      <c r="A196" s="130" t="s">
        <v>526</v>
      </c>
      <c r="B196" s="131" t="s">
        <v>527</v>
      </c>
      <c r="C196" s="132" t="s">
        <v>34</v>
      </c>
      <c r="D196" s="133">
        <v>1597.5</v>
      </c>
      <c r="E196" s="75"/>
      <c r="F196" s="75"/>
      <c r="G196" s="75"/>
      <c r="H196" s="75">
        <v>49</v>
      </c>
      <c r="I196" s="75">
        <v>78277.5</v>
      </c>
      <c r="J196" s="91" t="s">
        <v>528</v>
      </c>
      <c r="K196" s="73"/>
      <c r="L196" s="46">
        <v>1530</v>
      </c>
      <c r="M196" s="46">
        <v>0</v>
      </c>
      <c r="N196" s="46">
        <v>74970</v>
      </c>
      <c r="O196" s="98"/>
      <c r="P196" s="23" t="s">
        <v>1382</v>
      </c>
      <c r="Q196" s="24" t="s">
        <v>527</v>
      </c>
      <c r="R196" s="25" t="s">
        <v>34</v>
      </c>
      <c r="S196" s="26">
        <v>1597.5</v>
      </c>
      <c r="T196" s="26"/>
      <c r="U196" s="26">
        <f t="shared" si="33"/>
        <v>49</v>
      </c>
      <c r="V196" s="127">
        <f t="shared" si="34"/>
        <v>0</v>
      </c>
      <c r="W196" s="127">
        <f t="shared" si="35"/>
        <v>1530</v>
      </c>
      <c r="X196" s="127">
        <f t="shared" si="36"/>
        <v>0</v>
      </c>
      <c r="Y196" s="127">
        <f t="shared" si="27"/>
        <v>74970</v>
      </c>
      <c r="Z196" s="33" t="s">
        <v>15</v>
      </c>
      <c r="AA196" s="36" t="s">
        <v>16</v>
      </c>
      <c r="AB196" s="181">
        <f t="shared" si="28"/>
        <v>1597.5</v>
      </c>
      <c r="AC196" s="181">
        <f t="shared" si="37"/>
        <v>78277.5</v>
      </c>
      <c r="AD196" s="181">
        <v>1.4</v>
      </c>
      <c r="AE196" s="181">
        <v>1.4</v>
      </c>
      <c r="AF196" s="101" t="str">
        <f t="shared" si="29"/>
        <v/>
      </c>
      <c r="AG196" s="190">
        <v>1530</v>
      </c>
      <c r="AH196" s="69">
        <f t="shared" si="30"/>
        <v>1597.5</v>
      </c>
    </row>
    <row r="197" spans="1:37" s="69" customFormat="1" ht="39" x14ac:dyDescent="0.3">
      <c r="A197" s="134" t="s">
        <v>1324</v>
      </c>
      <c r="B197" s="135" t="s">
        <v>1325</v>
      </c>
      <c r="C197" s="204" t="s">
        <v>23</v>
      </c>
      <c r="D197" s="216"/>
      <c r="E197" s="117">
        <v>1362.5</v>
      </c>
      <c r="F197" s="77"/>
      <c r="G197" s="205"/>
      <c r="H197" s="77">
        <v>926.62</v>
      </c>
      <c r="I197" s="59">
        <v>1262519.75</v>
      </c>
      <c r="J197" s="92"/>
      <c r="K197" s="73"/>
      <c r="L197" s="46">
        <v>1345</v>
      </c>
      <c r="M197" s="46">
        <v>0</v>
      </c>
      <c r="N197" s="46">
        <v>1246303.8999999999</v>
      </c>
      <c r="O197" s="98"/>
      <c r="P197" s="23" t="s">
        <v>1434</v>
      </c>
      <c r="Q197" s="24" t="s">
        <v>1498</v>
      </c>
      <c r="R197" s="25" t="s">
        <v>23</v>
      </c>
      <c r="S197" s="26">
        <v>0</v>
      </c>
      <c r="T197" s="26">
        <v>1362.5</v>
      </c>
      <c r="U197" s="26">
        <f t="shared" si="33"/>
        <v>926.62</v>
      </c>
      <c r="V197" s="127">
        <f t="shared" si="34"/>
        <v>0</v>
      </c>
      <c r="W197" s="127">
        <f t="shared" si="35"/>
        <v>1345</v>
      </c>
      <c r="X197" s="127">
        <f t="shared" si="36"/>
        <v>0</v>
      </c>
      <c r="Y197" s="127">
        <f t="shared" si="27"/>
        <v>1246303.8999999999</v>
      </c>
      <c r="Z197" s="27"/>
      <c r="AA197" s="36" t="s">
        <v>16</v>
      </c>
      <c r="AB197" s="181">
        <f t="shared" si="28"/>
        <v>1362.5</v>
      </c>
      <c r="AC197" s="181">
        <f t="shared" si="37"/>
        <v>1262519.75</v>
      </c>
      <c r="AD197" s="181">
        <v>1.4</v>
      </c>
      <c r="AE197" s="181">
        <v>1.4</v>
      </c>
      <c r="AF197" s="101" t="str">
        <f t="shared" si="29"/>
        <v/>
      </c>
      <c r="AG197" s="191">
        <f>525+820</f>
        <v>1345</v>
      </c>
      <c r="AH197" s="69">
        <f t="shared" si="30"/>
        <v>1362.5</v>
      </c>
    </row>
    <row r="198" spans="1:37" ht="39" x14ac:dyDescent="0.3">
      <c r="A198" s="134" t="s">
        <v>1326</v>
      </c>
      <c r="B198" s="135" t="s">
        <v>3136</v>
      </c>
      <c r="C198" s="204" t="s">
        <v>50</v>
      </c>
      <c r="D198" s="216"/>
      <c r="E198" s="78"/>
      <c r="F198" s="62">
        <v>548.70000000000005</v>
      </c>
      <c r="G198" s="62"/>
      <c r="H198" s="167">
        <v>3120.78</v>
      </c>
      <c r="I198" s="62">
        <v>1712371.99</v>
      </c>
      <c r="J198" s="93"/>
      <c r="L198" s="46">
        <v>548.70000000000005</v>
      </c>
      <c r="M198" s="46">
        <v>0</v>
      </c>
      <c r="N198" s="46">
        <v>1712371.99</v>
      </c>
      <c r="O198" s="98"/>
      <c r="P198" s="23" t="s">
        <v>1388</v>
      </c>
      <c r="Q198" s="24" t="s">
        <v>1327</v>
      </c>
      <c r="R198" s="25" t="s">
        <v>50</v>
      </c>
      <c r="S198" s="26">
        <v>0</v>
      </c>
      <c r="T198" s="26">
        <v>548.70000000000005</v>
      </c>
      <c r="U198" s="26">
        <f t="shared" si="33"/>
        <v>3120.78</v>
      </c>
      <c r="V198" s="127">
        <f t="shared" si="34"/>
        <v>0</v>
      </c>
      <c r="W198" s="127">
        <f t="shared" si="35"/>
        <v>548.70000000000005</v>
      </c>
      <c r="X198" s="127">
        <f t="shared" si="36"/>
        <v>0</v>
      </c>
      <c r="Y198" s="127">
        <f>ROUND(U198*W198,2)</f>
        <v>1712371.99</v>
      </c>
      <c r="Z198" s="27"/>
      <c r="AA198" s="36" t="s">
        <v>16</v>
      </c>
      <c r="AB198" s="181">
        <f t="shared" si="28"/>
        <v>548.70000000000005</v>
      </c>
      <c r="AC198" s="181">
        <f t="shared" si="37"/>
        <v>1712371.99</v>
      </c>
      <c r="AD198" s="181">
        <v>1.4</v>
      </c>
      <c r="AE198" s="181">
        <v>1.4</v>
      </c>
      <c r="AF198" s="101" t="str">
        <f t="shared" si="29"/>
        <v/>
      </c>
      <c r="AG198" s="190">
        <v>548.70000000000005</v>
      </c>
      <c r="AH198" s="69">
        <f t="shared" si="30"/>
        <v>548.70000000000005</v>
      </c>
    </row>
    <row r="199" spans="1:37" ht="58.5" x14ac:dyDescent="0.3">
      <c r="A199" s="134" t="s">
        <v>1328</v>
      </c>
      <c r="B199" s="135" t="s">
        <v>1329</v>
      </c>
      <c r="C199" s="204" t="s">
        <v>30</v>
      </c>
      <c r="D199" s="216"/>
      <c r="E199" s="78"/>
      <c r="F199" s="62">
        <v>410</v>
      </c>
      <c r="G199" s="62"/>
      <c r="H199" s="167">
        <v>5733.63</v>
      </c>
      <c r="I199" s="62">
        <v>2350788.2999999998</v>
      </c>
      <c r="J199" s="93"/>
      <c r="L199" s="46">
        <v>410</v>
      </c>
      <c r="M199" s="46">
        <v>0</v>
      </c>
      <c r="N199" s="46">
        <v>2350788.2999999998</v>
      </c>
      <c r="O199" s="98"/>
      <c r="P199" s="23" t="s">
        <v>1389</v>
      </c>
      <c r="Q199" s="24" t="s">
        <v>1329</v>
      </c>
      <c r="R199" s="25" t="s">
        <v>30</v>
      </c>
      <c r="S199" s="26">
        <v>0</v>
      </c>
      <c r="T199" s="26">
        <v>410</v>
      </c>
      <c r="U199" s="26">
        <f t="shared" si="33"/>
        <v>5733.63</v>
      </c>
      <c r="V199" s="127">
        <f t="shared" si="34"/>
        <v>0</v>
      </c>
      <c r="W199" s="127">
        <f t="shared" si="35"/>
        <v>410</v>
      </c>
      <c r="X199" s="127">
        <f t="shared" si="36"/>
        <v>0</v>
      </c>
      <c r="Y199" s="127">
        <f t="shared" si="27"/>
        <v>2350788.2999999998</v>
      </c>
      <c r="Z199" s="27"/>
      <c r="AA199" s="36" t="s">
        <v>16</v>
      </c>
      <c r="AB199" s="181">
        <f t="shared" si="28"/>
        <v>410</v>
      </c>
      <c r="AC199" s="181">
        <f t="shared" si="37"/>
        <v>2350788.2999999998</v>
      </c>
      <c r="AD199" s="181">
        <v>1.4</v>
      </c>
      <c r="AE199" s="181">
        <v>1.4</v>
      </c>
      <c r="AF199" s="101" t="str">
        <f t="shared" si="29"/>
        <v/>
      </c>
      <c r="AG199" s="190">
        <v>410</v>
      </c>
      <c r="AH199" s="69">
        <f t="shared" si="30"/>
        <v>410</v>
      </c>
    </row>
    <row r="200" spans="1:37" ht="39" x14ac:dyDescent="0.3">
      <c r="A200" s="134" t="s">
        <v>1330</v>
      </c>
      <c r="B200" s="135" t="s">
        <v>3135</v>
      </c>
      <c r="C200" s="204" t="s">
        <v>23</v>
      </c>
      <c r="D200" s="216"/>
      <c r="E200" s="78"/>
      <c r="F200" s="62">
        <v>690</v>
      </c>
      <c r="G200" s="62"/>
      <c r="H200" s="167">
        <v>3832.97</v>
      </c>
      <c r="I200" s="62">
        <v>2644749.2999999998</v>
      </c>
      <c r="J200" s="93"/>
      <c r="L200" s="46">
        <v>682.16</v>
      </c>
      <c r="M200" s="46">
        <v>0</v>
      </c>
      <c r="N200" s="46">
        <v>2614698.8199999998</v>
      </c>
      <c r="O200" s="98"/>
      <c r="P200" s="23" t="s">
        <v>1390</v>
      </c>
      <c r="Q200" s="24" t="s">
        <v>1331</v>
      </c>
      <c r="R200" s="25" t="s">
        <v>23</v>
      </c>
      <c r="S200" s="26">
        <v>0</v>
      </c>
      <c r="T200" s="26">
        <v>690</v>
      </c>
      <c r="U200" s="26">
        <f t="shared" si="33"/>
        <v>3832.97</v>
      </c>
      <c r="V200" s="127">
        <f t="shared" si="34"/>
        <v>0</v>
      </c>
      <c r="W200" s="127">
        <f t="shared" si="35"/>
        <v>682.16</v>
      </c>
      <c r="X200" s="127">
        <f t="shared" si="36"/>
        <v>0</v>
      </c>
      <c r="Y200" s="127">
        <f t="shared" si="27"/>
        <v>2614698.8199999998</v>
      </c>
      <c r="Z200" s="27"/>
      <c r="AA200" s="36" t="s">
        <v>16</v>
      </c>
      <c r="AB200" s="181">
        <f t="shared" si="28"/>
        <v>690</v>
      </c>
      <c r="AC200" s="181">
        <f t="shared" si="37"/>
        <v>2644749.2999999998</v>
      </c>
      <c r="AD200" s="181">
        <v>1.4</v>
      </c>
      <c r="AE200" s="181">
        <v>1.4</v>
      </c>
      <c r="AF200" s="101" t="str">
        <f t="shared" si="29"/>
        <v/>
      </c>
      <c r="AG200" s="190">
        <v>682.16</v>
      </c>
      <c r="AH200" s="69">
        <f t="shared" si="30"/>
        <v>690</v>
      </c>
    </row>
    <row r="201" spans="1:37" ht="33" x14ac:dyDescent="0.3">
      <c r="A201" s="134" t="s">
        <v>1332</v>
      </c>
      <c r="B201" s="135" t="s">
        <v>1333</v>
      </c>
      <c r="C201" s="204" t="s">
        <v>50</v>
      </c>
      <c r="D201" s="216"/>
      <c r="E201" s="78"/>
      <c r="F201" s="62">
        <v>48</v>
      </c>
      <c r="G201" s="62"/>
      <c r="H201" s="167">
        <v>695.25</v>
      </c>
      <c r="I201" s="62">
        <v>33372</v>
      </c>
      <c r="J201" s="93"/>
      <c r="L201" s="46">
        <v>48</v>
      </c>
      <c r="M201" s="46">
        <v>0</v>
      </c>
      <c r="N201" s="46">
        <v>33372</v>
      </c>
      <c r="O201" s="98"/>
      <c r="P201" s="23" t="s">
        <v>1391</v>
      </c>
      <c r="Q201" s="24" t="s">
        <v>1333</v>
      </c>
      <c r="R201" s="25" t="s">
        <v>50</v>
      </c>
      <c r="S201" s="26">
        <v>0</v>
      </c>
      <c r="T201" s="26">
        <v>48</v>
      </c>
      <c r="U201" s="26">
        <f t="shared" si="33"/>
        <v>695.25</v>
      </c>
      <c r="V201" s="127">
        <f t="shared" si="34"/>
        <v>0</v>
      </c>
      <c r="W201" s="127">
        <f t="shared" si="35"/>
        <v>48</v>
      </c>
      <c r="X201" s="127">
        <f t="shared" si="36"/>
        <v>0</v>
      </c>
      <c r="Y201" s="127">
        <f t="shared" si="27"/>
        <v>33372</v>
      </c>
      <c r="Z201" s="27"/>
      <c r="AA201" s="36" t="s">
        <v>16</v>
      </c>
      <c r="AB201" s="181">
        <f t="shared" si="28"/>
        <v>48</v>
      </c>
      <c r="AC201" s="181">
        <f t="shared" si="37"/>
        <v>33372</v>
      </c>
      <c r="AD201" s="181">
        <v>1.4</v>
      </c>
      <c r="AE201" s="181">
        <v>1.4</v>
      </c>
      <c r="AF201" s="101" t="str">
        <f t="shared" si="29"/>
        <v/>
      </c>
      <c r="AG201" s="190">
        <v>48</v>
      </c>
      <c r="AH201" s="69">
        <f t="shared" si="30"/>
        <v>48</v>
      </c>
    </row>
    <row r="202" spans="1:37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84"/>
      <c r="H202" s="82"/>
      <c r="I202" s="82">
        <v>28425744.34</v>
      </c>
      <c r="J202" s="94" t="s">
        <v>15</v>
      </c>
      <c r="K202" s="73"/>
      <c r="L202" s="45">
        <v>1</v>
      </c>
      <c r="M202" s="45">
        <v>31559.200000000001</v>
      </c>
      <c r="N202" s="45">
        <v>26526598.089999996</v>
      </c>
      <c r="O202" s="98"/>
      <c r="P202" s="18" t="s">
        <v>1392</v>
      </c>
      <c r="Q202" s="19" t="s">
        <v>530</v>
      </c>
      <c r="R202" s="20" t="s">
        <v>14</v>
      </c>
      <c r="S202" s="21">
        <v>1</v>
      </c>
      <c r="T202" s="21"/>
      <c r="U202" s="21">
        <f>SUMIFS(AC:AC,AD:AD,AD202)</f>
        <v>28425744.340000007</v>
      </c>
      <c r="V202" s="21">
        <f t="shared" ref="V202:W202" si="38">IF(X202=0,0,1)</f>
        <v>1</v>
      </c>
      <c r="W202" s="21">
        <f t="shared" si="38"/>
        <v>1</v>
      </c>
      <c r="X202" s="21">
        <f>SUMIFS(X:X,AE:AE,AD202)</f>
        <v>298320.96000000002</v>
      </c>
      <c r="Y202" s="21">
        <f>SUMIFS(Y:Y,AE:AE,AD202)</f>
        <v>26824919.049999997</v>
      </c>
      <c r="Z202" s="22" t="s">
        <v>15</v>
      </c>
      <c r="AA202" s="43" t="s">
        <v>16</v>
      </c>
      <c r="AB202" s="181">
        <f t="shared" si="28"/>
        <v>1</v>
      </c>
      <c r="AC202" s="181"/>
      <c r="AD202" s="184">
        <v>1.5</v>
      </c>
      <c r="AE202" s="184"/>
      <c r="AF202" s="101" t="str">
        <f t="shared" si="29"/>
        <v/>
      </c>
      <c r="AG202" s="190">
        <v>1</v>
      </c>
      <c r="AH202" s="69">
        <f t="shared" si="30"/>
        <v>1</v>
      </c>
    </row>
    <row r="203" spans="1:37" s="69" customFormat="1" ht="49.5" customHeight="1" x14ac:dyDescent="0.3">
      <c r="A203" s="130" t="s">
        <v>531</v>
      </c>
      <c r="B203" s="131" t="s">
        <v>392</v>
      </c>
      <c r="C203" s="132" t="s">
        <v>23</v>
      </c>
      <c r="D203" s="133">
        <v>250</v>
      </c>
      <c r="E203" s="75"/>
      <c r="F203" s="75"/>
      <c r="G203" s="75"/>
      <c r="H203" s="75">
        <v>3115.13</v>
      </c>
      <c r="I203" s="75">
        <v>778782.5</v>
      </c>
      <c r="J203" s="91" t="s">
        <v>114</v>
      </c>
      <c r="K203" s="73"/>
      <c r="L203" s="46">
        <v>11.7</v>
      </c>
      <c r="M203" s="46">
        <v>0</v>
      </c>
      <c r="N203" s="46">
        <v>36447.019999999997</v>
      </c>
      <c r="O203" s="98"/>
      <c r="P203" s="23" t="s">
        <v>1421</v>
      </c>
      <c r="Q203" s="24" t="s">
        <v>392</v>
      </c>
      <c r="R203" s="25" t="s">
        <v>23</v>
      </c>
      <c r="S203" s="26">
        <v>250</v>
      </c>
      <c r="T203" s="26"/>
      <c r="U203" s="26">
        <v>3115.13</v>
      </c>
      <c r="V203" s="127">
        <f t="shared" ref="V203:V219" si="39">AG203-L203</f>
        <v>0</v>
      </c>
      <c r="W203" s="127">
        <f t="shared" si="35"/>
        <v>11.7</v>
      </c>
      <c r="X203" s="127">
        <f t="shared" ref="X203:X219" si="40">Y203-N203</f>
        <v>0</v>
      </c>
      <c r="Y203" s="127">
        <f t="shared" si="27"/>
        <v>36447.019999999997</v>
      </c>
      <c r="Z203" s="33" t="s">
        <v>15</v>
      </c>
      <c r="AA203" s="36" t="s">
        <v>16</v>
      </c>
      <c r="AB203" s="181">
        <f t="shared" ref="AB203:AB266" si="41">IF(T203="",S203,T203)</f>
        <v>250</v>
      </c>
      <c r="AC203" s="181">
        <f t="shared" si="37"/>
        <v>778782.5</v>
      </c>
      <c r="AD203" s="181">
        <v>1.5</v>
      </c>
      <c r="AE203" s="181">
        <v>1.5</v>
      </c>
      <c r="AF203" s="101" t="str">
        <f t="shared" ref="AF203:AF266" si="42">IF(W203&gt;AH203,"超估","")</f>
        <v/>
      </c>
      <c r="AG203" s="190">
        <f>11.7</f>
        <v>11.7</v>
      </c>
      <c r="AH203" s="69">
        <f t="shared" ref="AH203:AH266" si="43">IF(G203=0,IF(F203=0,IF(E203=0,D203,E203),F203),G203)</f>
        <v>250</v>
      </c>
    </row>
    <row r="204" spans="1:37" s="69" customFormat="1" ht="49.5" customHeight="1" x14ac:dyDescent="0.3">
      <c r="A204" s="130" t="s">
        <v>532</v>
      </c>
      <c r="B204" s="131" t="s">
        <v>116</v>
      </c>
      <c r="C204" s="132" t="s">
        <v>23</v>
      </c>
      <c r="D204" s="133">
        <v>2474</v>
      </c>
      <c r="E204" s="75"/>
      <c r="F204" s="75"/>
      <c r="G204" s="75"/>
      <c r="H204" s="75">
        <v>3321.13</v>
      </c>
      <c r="I204" s="75">
        <v>8216475.6200000001</v>
      </c>
      <c r="J204" s="91" t="s">
        <v>117</v>
      </c>
      <c r="K204" s="73"/>
      <c r="L204" s="46">
        <v>2473.35</v>
      </c>
      <c r="M204" s="46">
        <v>0</v>
      </c>
      <c r="N204" s="46">
        <v>8214316.8899999997</v>
      </c>
      <c r="O204" s="98"/>
      <c r="P204" s="23" t="s">
        <v>1426</v>
      </c>
      <c r="Q204" s="24" t="s">
        <v>116</v>
      </c>
      <c r="R204" s="25" t="s">
        <v>23</v>
      </c>
      <c r="S204" s="26">
        <v>2474</v>
      </c>
      <c r="T204" s="26"/>
      <c r="U204" s="26">
        <v>3321.13</v>
      </c>
      <c r="V204" s="127">
        <f t="shared" si="39"/>
        <v>0</v>
      </c>
      <c r="W204" s="127">
        <f t="shared" si="35"/>
        <v>2473.35</v>
      </c>
      <c r="X204" s="127">
        <f t="shared" si="40"/>
        <v>0</v>
      </c>
      <c r="Y204" s="127">
        <f t="shared" ref="Y204:Y267" si="44">ROUND(U204*W204,2)</f>
        <v>8214316.8899999997</v>
      </c>
      <c r="Z204" s="33" t="s">
        <v>15</v>
      </c>
      <c r="AA204" s="36" t="s">
        <v>16</v>
      </c>
      <c r="AB204" s="181">
        <f t="shared" si="41"/>
        <v>2474</v>
      </c>
      <c r="AC204" s="181">
        <f t="shared" si="37"/>
        <v>8216475.6200000001</v>
      </c>
      <c r="AD204" s="181">
        <v>1.5</v>
      </c>
      <c r="AE204" s="181">
        <v>1.5</v>
      </c>
      <c r="AF204" s="101" t="str">
        <f t="shared" si="42"/>
        <v/>
      </c>
      <c r="AG204" s="191">
        <f>1233.35+582+658</f>
        <v>2473.35</v>
      </c>
      <c r="AH204" s="69">
        <f t="shared" si="43"/>
        <v>2474</v>
      </c>
      <c r="AK204" s="196">
        <v>2782.2855</v>
      </c>
    </row>
    <row r="205" spans="1:37" s="69" customFormat="1" ht="49.5" customHeight="1" x14ac:dyDescent="0.3">
      <c r="A205" s="130" t="s">
        <v>533</v>
      </c>
      <c r="B205" s="131" t="s">
        <v>534</v>
      </c>
      <c r="C205" s="132" t="s">
        <v>23</v>
      </c>
      <c r="D205" s="133">
        <v>1187</v>
      </c>
      <c r="E205" s="75"/>
      <c r="F205" s="75"/>
      <c r="G205" s="75"/>
      <c r="H205" s="75">
        <v>1749.25</v>
      </c>
      <c r="I205" s="75">
        <v>2076359.75</v>
      </c>
      <c r="J205" s="91" t="s">
        <v>535</v>
      </c>
      <c r="K205" s="73"/>
      <c r="L205" s="46">
        <v>1187</v>
      </c>
      <c r="M205" s="46">
        <v>0</v>
      </c>
      <c r="N205" s="46">
        <v>2076359.75</v>
      </c>
      <c r="O205" s="98"/>
      <c r="P205" s="23" t="s">
        <v>1402</v>
      </c>
      <c r="Q205" s="24" t="s">
        <v>534</v>
      </c>
      <c r="R205" s="25" t="s">
        <v>23</v>
      </c>
      <c r="S205" s="26">
        <v>1187</v>
      </c>
      <c r="T205" s="26"/>
      <c r="U205" s="26">
        <v>1749.25</v>
      </c>
      <c r="V205" s="127">
        <f t="shared" si="39"/>
        <v>0</v>
      </c>
      <c r="W205" s="127">
        <f t="shared" si="35"/>
        <v>1187</v>
      </c>
      <c r="X205" s="127">
        <f t="shared" si="40"/>
        <v>0</v>
      </c>
      <c r="Y205" s="127">
        <f t="shared" si="44"/>
        <v>2076359.75</v>
      </c>
      <c r="Z205" s="33" t="s">
        <v>15</v>
      </c>
      <c r="AA205" s="36" t="s">
        <v>16</v>
      </c>
      <c r="AB205" s="181">
        <f t="shared" si="41"/>
        <v>1187</v>
      </c>
      <c r="AC205" s="181">
        <f t="shared" si="37"/>
        <v>2076359.75</v>
      </c>
      <c r="AD205" s="181">
        <v>1.5</v>
      </c>
      <c r="AE205" s="181">
        <v>1.5</v>
      </c>
      <c r="AF205" s="101" t="str">
        <f t="shared" si="42"/>
        <v/>
      </c>
      <c r="AG205" s="191">
        <f>93+95+57+528+414</f>
        <v>1187</v>
      </c>
      <c r="AH205" s="69">
        <f t="shared" si="43"/>
        <v>1187</v>
      </c>
      <c r="AK205" s="195">
        <v>1161.5828000000001</v>
      </c>
    </row>
    <row r="206" spans="1:37" s="69" customFormat="1" ht="39" x14ac:dyDescent="0.3">
      <c r="A206" s="130" t="s">
        <v>536</v>
      </c>
      <c r="B206" s="131" t="s">
        <v>493</v>
      </c>
      <c r="C206" s="132" t="s">
        <v>23</v>
      </c>
      <c r="D206" s="133">
        <v>3911</v>
      </c>
      <c r="E206" s="75"/>
      <c r="F206" s="75"/>
      <c r="G206" s="75"/>
      <c r="H206" s="75">
        <v>200</v>
      </c>
      <c r="I206" s="75">
        <v>782200</v>
      </c>
      <c r="J206" s="91" t="s">
        <v>494</v>
      </c>
      <c r="K206" s="73"/>
      <c r="L206" s="46">
        <v>3672.0499999999997</v>
      </c>
      <c r="M206" s="46">
        <v>0</v>
      </c>
      <c r="N206" s="46">
        <v>734410</v>
      </c>
      <c r="O206" s="98"/>
      <c r="P206" s="23" t="s">
        <v>1373</v>
      </c>
      <c r="Q206" s="24" t="s">
        <v>493</v>
      </c>
      <c r="R206" s="25" t="s">
        <v>23</v>
      </c>
      <c r="S206" s="26">
        <v>3911</v>
      </c>
      <c r="T206" s="26"/>
      <c r="U206" s="26">
        <v>200</v>
      </c>
      <c r="V206" s="127">
        <f t="shared" si="39"/>
        <v>0</v>
      </c>
      <c r="W206" s="127">
        <f t="shared" si="35"/>
        <v>3672.0499999999997</v>
      </c>
      <c r="X206" s="127">
        <f t="shared" si="40"/>
        <v>0</v>
      </c>
      <c r="Y206" s="127">
        <f t="shared" si="44"/>
        <v>734410</v>
      </c>
      <c r="Z206" s="33" t="s">
        <v>15</v>
      </c>
      <c r="AA206" s="36" t="s">
        <v>16</v>
      </c>
      <c r="AB206" s="181">
        <f t="shared" si="41"/>
        <v>3911</v>
      </c>
      <c r="AC206" s="181">
        <f t="shared" si="37"/>
        <v>782200</v>
      </c>
      <c r="AD206" s="181">
        <v>1.5</v>
      </c>
      <c r="AE206" s="181">
        <v>1.5</v>
      </c>
      <c r="AF206" s="101" t="str">
        <f t="shared" si="42"/>
        <v/>
      </c>
      <c r="AG206" s="191">
        <f>AG203+AG204+AG205</f>
        <v>3672.0499999999997</v>
      </c>
      <c r="AH206" s="69">
        <f t="shared" si="43"/>
        <v>3911</v>
      </c>
      <c r="AK206" s="198">
        <f>AK203+AK204+AK205</f>
        <v>3943.8683000000001</v>
      </c>
    </row>
    <row r="207" spans="1:37" s="69" customFormat="1" ht="57.75" x14ac:dyDescent="0.3">
      <c r="A207" s="130" t="s">
        <v>537</v>
      </c>
      <c r="B207" s="131" t="s">
        <v>405</v>
      </c>
      <c r="C207" s="132" t="s">
        <v>50</v>
      </c>
      <c r="D207" s="133">
        <v>3820</v>
      </c>
      <c r="E207" s="75"/>
      <c r="F207" s="75">
        <v>4730</v>
      </c>
      <c r="G207" s="75"/>
      <c r="H207" s="75">
        <v>982.98</v>
      </c>
      <c r="I207" s="75">
        <v>4649495.4000000004</v>
      </c>
      <c r="J207" s="91" t="s">
        <v>406</v>
      </c>
      <c r="K207" s="73"/>
      <c r="L207" s="46">
        <v>4730</v>
      </c>
      <c r="M207" s="46">
        <v>0</v>
      </c>
      <c r="N207" s="46">
        <v>4649495.4000000004</v>
      </c>
      <c r="O207" s="98"/>
      <c r="P207" s="23" t="s">
        <v>1393</v>
      </c>
      <c r="Q207" s="24" t="s">
        <v>405</v>
      </c>
      <c r="R207" s="25" t="s">
        <v>50</v>
      </c>
      <c r="S207" s="26">
        <v>3820</v>
      </c>
      <c r="T207" s="26">
        <v>4730</v>
      </c>
      <c r="U207" s="26">
        <v>982.98</v>
      </c>
      <c r="V207" s="127">
        <f t="shared" si="39"/>
        <v>0</v>
      </c>
      <c r="W207" s="127">
        <f t="shared" si="35"/>
        <v>4730</v>
      </c>
      <c r="X207" s="127">
        <f t="shared" si="40"/>
        <v>0</v>
      </c>
      <c r="Y207" s="127">
        <f t="shared" si="44"/>
        <v>4649495.4000000004</v>
      </c>
      <c r="Z207" s="27" t="s">
        <v>15</v>
      </c>
      <c r="AA207" s="36" t="s">
        <v>16</v>
      </c>
      <c r="AB207" s="181">
        <f t="shared" si="41"/>
        <v>4730</v>
      </c>
      <c r="AC207" s="181">
        <f t="shared" si="37"/>
        <v>4649495.4000000004</v>
      </c>
      <c r="AD207" s="181">
        <v>1.5</v>
      </c>
      <c r="AE207" s="181">
        <v>1.5</v>
      </c>
      <c r="AF207" s="101" t="str">
        <f t="shared" si="42"/>
        <v/>
      </c>
      <c r="AG207" s="191">
        <f>3454.8+959+316.2</f>
        <v>4730</v>
      </c>
      <c r="AH207" s="69">
        <f t="shared" si="43"/>
        <v>4730</v>
      </c>
      <c r="AK207" s="195">
        <v>5411.06</v>
      </c>
    </row>
    <row r="208" spans="1:37" s="69" customFormat="1" ht="41.25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203"/>
      <c r="F208" s="203"/>
      <c r="G208" s="203"/>
      <c r="H208" s="75">
        <v>804.79</v>
      </c>
      <c r="I208" s="75">
        <v>643832</v>
      </c>
      <c r="J208" s="91" t="s">
        <v>409</v>
      </c>
      <c r="K208" s="73"/>
      <c r="L208" s="46">
        <v>800</v>
      </c>
      <c r="M208" s="46">
        <v>0</v>
      </c>
      <c r="N208" s="46">
        <v>643832</v>
      </c>
      <c r="O208" s="98"/>
      <c r="P208" s="23" t="s">
        <v>1403</v>
      </c>
      <c r="Q208" s="24" t="s">
        <v>408</v>
      </c>
      <c r="R208" s="25" t="s">
        <v>50</v>
      </c>
      <c r="S208" s="26">
        <v>800</v>
      </c>
      <c r="T208" s="26"/>
      <c r="U208" s="26">
        <v>804.79</v>
      </c>
      <c r="V208" s="127">
        <f t="shared" si="39"/>
        <v>0</v>
      </c>
      <c r="W208" s="127">
        <f t="shared" si="35"/>
        <v>800</v>
      </c>
      <c r="X208" s="127">
        <f t="shared" si="40"/>
        <v>0</v>
      </c>
      <c r="Y208" s="127">
        <f t="shared" si="44"/>
        <v>643832</v>
      </c>
      <c r="Z208" s="33" t="s">
        <v>15</v>
      </c>
      <c r="AA208" s="36" t="s">
        <v>16</v>
      </c>
      <c r="AB208" s="181">
        <f t="shared" si="41"/>
        <v>800</v>
      </c>
      <c r="AC208" s="181">
        <f t="shared" si="37"/>
        <v>643832</v>
      </c>
      <c r="AD208" s="181">
        <v>1.5</v>
      </c>
      <c r="AE208" s="181">
        <v>1.5</v>
      </c>
      <c r="AF208" s="101" t="str">
        <f t="shared" si="42"/>
        <v/>
      </c>
      <c r="AG208" s="190">
        <v>800</v>
      </c>
      <c r="AH208" s="69">
        <f t="shared" si="43"/>
        <v>800</v>
      </c>
    </row>
    <row r="209" spans="1:34" s="69" customFormat="1" ht="41.25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203"/>
      <c r="F209" s="203"/>
      <c r="G209" s="203"/>
      <c r="H209" s="75">
        <v>533.64</v>
      </c>
      <c r="I209" s="75">
        <v>137679.12</v>
      </c>
      <c r="J209" s="91" t="s">
        <v>120</v>
      </c>
      <c r="K209" s="73"/>
      <c r="L209" s="46">
        <v>258</v>
      </c>
      <c r="M209" s="46">
        <v>0</v>
      </c>
      <c r="N209" s="46">
        <v>137679.12</v>
      </c>
      <c r="O209" s="98"/>
      <c r="P209" s="23" t="s">
        <v>1427</v>
      </c>
      <c r="Q209" s="24" t="s">
        <v>119</v>
      </c>
      <c r="R209" s="25" t="s">
        <v>50</v>
      </c>
      <c r="S209" s="26">
        <v>258</v>
      </c>
      <c r="T209" s="26"/>
      <c r="U209" s="26">
        <v>533.64</v>
      </c>
      <c r="V209" s="127">
        <f t="shared" si="39"/>
        <v>0</v>
      </c>
      <c r="W209" s="127">
        <f t="shared" si="35"/>
        <v>258</v>
      </c>
      <c r="X209" s="127">
        <f t="shared" si="40"/>
        <v>0</v>
      </c>
      <c r="Y209" s="127">
        <f t="shared" si="44"/>
        <v>137679.12</v>
      </c>
      <c r="Z209" s="33" t="s">
        <v>15</v>
      </c>
      <c r="AA209" s="36" t="s">
        <v>16</v>
      </c>
      <c r="AB209" s="181">
        <f t="shared" si="41"/>
        <v>258</v>
      </c>
      <c r="AC209" s="181">
        <f t="shared" si="37"/>
        <v>137679.12</v>
      </c>
      <c r="AD209" s="181">
        <v>1.5</v>
      </c>
      <c r="AE209" s="181">
        <v>1.5</v>
      </c>
      <c r="AF209" s="101" t="str">
        <f t="shared" si="42"/>
        <v/>
      </c>
      <c r="AG209" s="190">
        <v>258</v>
      </c>
      <c r="AH209" s="69">
        <f t="shared" si="43"/>
        <v>258</v>
      </c>
    </row>
    <row r="210" spans="1:34" s="69" customFormat="1" ht="33" x14ac:dyDescent="0.3">
      <c r="A210" s="130" t="s">
        <v>540</v>
      </c>
      <c r="B210" s="131" t="s">
        <v>109</v>
      </c>
      <c r="C210" s="132" t="s">
        <v>110</v>
      </c>
      <c r="D210" s="133">
        <v>133401</v>
      </c>
      <c r="E210" s="203"/>
      <c r="F210" s="203"/>
      <c r="G210" s="203"/>
      <c r="H210" s="75">
        <v>36.4</v>
      </c>
      <c r="I210" s="75">
        <v>4855796.4000000004</v>
      </c>
      <c r="J210" s="91" t="s">
        <v>111</v>
      </c>
      <c r="K210" s="73"/>
      <c r="L210" s="46">
        <v>132794.91999999998</v>
      </c>
      <c r="M210" s="46">
        <v>0</v>
      </c>
      <c r="N210" s="46">
        <v>4833735.09</v>
      </c>
      <c r="O210" s="98"/>
      <c r="P210" s="23" t="s">
        <v>1428</v>
      </c>
      <c r="Q210" s="24" t="s">
        <v>109</v>
      </c>
      <c r="R210" s="25" t="s">
        <v>110</v>
      </c>
      <c r="S210" s="26">
        <v>133401</v>
      </c>
      <c r="T210" s="26"/>
      <c r="U210" s="26">
        <v>36.4</v>
      </c>
      <c r="V210" s="127">
        <f t="shared" si="39"/>
        <v>0</v>
      </c>
      <c r="W210" s="127">
        <f t="shared" si="35"/>
        <v>132794.91999999998</v>
      </c>
      <c r="X210" s="127">
        <f t="shared" si="40"/>
        <v>0</v>
      </c>
      <c r="Y210" s="127">
        <f t="shared" si="44"/>
        <v>4833735.09</v>
      </c>
      <c r="Z210" s="33" t="s">
        <v>15</v>
      </c>
      <c r="AA210" s="36" t="s">
        <v>16</v>
      </c>
      <c r="AB210" s="181">
        <f t="shared" si="41"/>
        <v>133401</v>
      </c>
      <c r="AC210" s="181">
        <f t="shared" si="37"/>
        <v>4855796.4000000004</v>
      </c>
      <c r="AD210" s="181">
        <v>1.5</v>
      </c>
      <c r="AE210" s="181">
        <v>1.5</v>
      </c>
      <c r="AF210" s="101" t="str">
        <f t="shared" si="42"/>
        <v/>
      </c>
      <c r="AG210" s="191">
        <f>46044.92+32000+13550+41200</f>
        <v>132794.91999999998</v>
      </c>
      <c r="AH210" s="69">
        <f t="shared" si="43"/>
        <v>133401</v>
      </c>
    </row>
    <row r="211" spans="1:34" s="69" customFormat="1" ht="33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203"/>
      <c r="F211" s="203"/>
      <c r="G211" s="203"/>
      <c r="H211" s="75">
        <v>38.71</v>
      </c>
      <c r="I211" s="75">
        <v>4598825.42</v>
      </c>
      <c r="J211" s="91" t="s">
        <v>400</v>
      </c>
      <c r="K211" s="73"/>
      <c r="L211" s="46">
        <v>118802</v>
      </c>
      <c r="M211" s="46">
        <v>0</v>
      </c>
      <c r="N211" s="46">
        <v>4598825.42</v>
      </c>
      <c r="O211" s="98"/>
      <c r="P211" s="23" t="s">
        <v>1387</v>
      </c>
      <c r="Q211" s="24" t="s">
        <v>399</v>
      </c>
      <c r="R211" s="25" t="s">
        <v>110</v>
      </c>
      <c r="S211" s="26">
        <v>118802</v>
      </c>
      <c r="T211" s="26"/>
      <c r="U211" s="26">
        <v>38.71</v>
      </c>
      <c r="V211" s="127">
        <f t="shared" si="39"/>
        <v>0</v>
      </c>
      <c r="W211" s="127">
        <f t="shared" si="35"/>
        <v>118802</v>
      </c>
      <c r="X211" s="127">
        <f t="shared" si="40"/>
        <v>0</v>
      </c>
      <c r="Y211" s="127">
        <f t="shared" si="44"/>
        <v>4598825.42</v>
      </c>
      <c r="Z211" s="33" t="s">
        <v>15</v>
      </c>
      <c r="AA211" s="36" t="s">
        <v>16</v>
      </c>
      <c r="AB211" s="181">
        <f t="shared" si="41"/>
        <v>118802</v>
      </c>
      <c r="AC211" s="181">
        <f t="shared" si="37"/>
        <v>4598825.42</v>
      </c>
      <c r="AD211" s="181">
        <v>1.5</v>
      </c>
      <c r="AE211" s="181">
        <v>1.5</v>
      </c>
      <c r="AF211" s="101" t="str">
        <f t="shared" si="42"/>
        <v/>
      </c>
      <c r="AG211" s="191">
        <f>41802+77000</f>
        <v>118802</v>
      </c>
      <c r="AH211" s="69">
        <f t="shared" si="43"/>
        <v>118802</v>
      </c>
    </row>
    <row r="212" spans="1:34" s="69" customFormat="1" ht="58.5" x14ac:dyDescent="0.3">
      <c r="A212" s="55" t="s">
        <v>542</v>
      </c>
      <c r="B212" s="53" t="s">
        <v>543</v>
      </c>
      <c r="C212" s="54" t="s">
        <v>30</v>
      </c>
      <c r="D212" s="75">
        <v>129</v>
      </c>
      <c r="E212" s="75"/>
      <c r="F212" s="75"/>
      <c r="G212" s="75"/>
      <c r="H212" s="75">
        <v>2865.95</v>
      </c>
      <c r="I212" s="75">
        <v>369707.55</v>
      </c>
      <c r="J212" s="91" t="s">
        <v>544</v>
      </c>
      <c r="K212" s="73"/>
      <c r="L212" s="46">
        <v>0</v>
      </c>
      <c r="M212" s="46">
        <v>0</v>
      </c>
      <c r="N212" s="46">
        <v>0</v>
      </c>
      <c r="O212" s="98"/>
      <c r="P212" s="23" t="s">
        <v>1405</v>
      </c>
      <c r="Q212" s="24" t="s">
        <v>543</v>
      </c>
      <c r="R212" s="25" t="s">
        <v>30</v>
      </c>
      <c r="S212" s="26">
        <v>129</v>
      </c>
      <c r="T212" s="26"/>
      <c r="U212" s="26">
        <v>2865.95</v>
      </c>
      <c r="V212" s="26">
        <f t="shared" si="39"/>
        <v>0</v>
      </c>
      <c r="W212" s="26">
        <f t="shared" si="35"/>
        <v>0</v>
      </c>
      <c r="X212" s="26">
        <f t="shared" si="40"/>
        <v>0</v>
      </c>
      <c r="Y212" s="26">
        <f t="shared" si="44"/>
        <v>0</v>
      </c>
      <c r="Z212" s="33" t="s">
        <v>15</v>
      </c>
      <c r="AA212" s="36" t="s">
        <v>16</v>
      </c>
      <c r="AB212" s="181">
        <f t="shared" si="41"/>
        <v>129</v>
      </c>
      <c r="AC212" s="181">
        <f t="shared" si="37"/>
        <v>369707.55</v>
      </c>
      <c r="AD212" s="181">
        <v>1.5</v>
      </c>
      <c r="AE212" s="181">
        <v>1.5</v>
      </c>
      <c r="AF212" s="101" t="str">
        <f t="shared" si="42"/>
        <v/>
      </c>
      <c r="AG212" s="190">
        <v>0</v>
      </c>
      <c r="AH212" s="69">
        <f t="shared" si="43"/>
        <v>129</v>
      </c>
    </row>
    <row r="213" spans="1:34" s="69" customFormat="1" ht="39" x14ac:dyDescent="0.3">
      <c r="A213" s="55" t="s">
        <v>545</v>
      </c>
      <c r="B213" s="53" t="s">
        <v>546</v>
      </c>
      <c r="C213" s="54" t="s">
        <v>81</v>
      </c>
      <c r="D213" s="75">
        <v>54</v>
      </c>
      <c r="E213" s="75"/>
      <c r="F213" s="75"/>
      <c r="G213" s="75"/>
      <c r="H213" s="75">
        <v>1478.05</v>
      </c>
      <c r="I213" s="75">
        <v>79814.7</v>
      </c>
      <c r="J213" s="91" t="s">
        <v>547</v>
      </c>
      <c r="K213" s="73"/>
      <c r="L213" s="46">
        <v>0</v>
      </c>
      <c r="M213" s="46">
        <v>0</v>
      </c>
      <c r="N213" s="46">
        <v>0</v>
      </c>
      <c r="O213" s="98"/>
      <c r="P213" s="23" t="s">
        <v>1406</v>
      </c>
      <c r="Q213" s="24" t="s">
        <v>546</v>
      </c>
      <c r="R213" s="25" t="s">
        <v>81</v>
      </c>
      <c r="S213" s="26">
        <v>54</v>
      </c>
      <c r="T213" s="26"/>
      <c r="U213" s="26">
        <v>1478.05</v>
      </c>
      <c r="V213" s="26">
        <f t="shared" si="39"/>
        <v>0</v>
      </c>
      <c r="W213" s="26">
        <f t="shared" si="35"/>
        <v>0</v>
      </c>
      <c r="X213" s="26">
        <f t="shared" si="40"/>
        <v>0</v>
      </c>
      <c r="Y213" s="26">
        <f t="shared" si="44"/>
        <v>0</v>
      </c>
      <c r="Z213" s="33" t="s">
        <v>15</v>
      </c>
      <c r="AA213" s="36" t="s">
        <v>16</v>
      </c>
      <c r="AB213" s="181">
        <f t="shared" si="41"/>
        <v>54</v>
      </c>
      <c r="AC213" s="181">
        <f t="shared" si="37"/>
        <v>79814.7</v>
      </c>
      <c r="AD213" s="181">
        <v>1.5</v>
      </c>
      <c r="AE213" s="181">
        <v>1.5</v>
      </c>
      <c r="AF213" s="101" t="str">
        <f t="shared" si="42"/>
        <v/>
      </c>
      <c r="AG213" s="190">
        <v>0</v>
      </c>
      <c r="AH213" s="69">
        <f t="shared" si="43"/>
        <v>54</v>
      </c>
    </row>
    <row r="214" spans="1:34" s="69" customFormat="1" ht="58.5" x14ac:dyDescent="0.3">
      <c r="A214" s="55" t="s">
        <v>548</v>
      </c>
      <c r="B214" s="53" t="s">
        <v>549</v>
      </c>
      <c r="C214" s="54" t="s">
        <v>30</v>
      </c>
      <c r="D214" s="75">
        <v>170</v>
      </c>
      <c r="E214" s="75"/>
      <c r="F214" s="75"/>
      <c r="G214" s="75"/>
      <c r="H214" s="75">
        <v>151.72</v>
      </c>
      <c r="I214" s="75">
        <v>25792.400000000001</v>
      </c>
      <c r="J214" s="91" t="s">
        <v>550</v>
      </c>
      <c r="K214" s="73"/>
      <c r="L214" s="46">
        <v>0</v>
      </c>
      <c r="M214" s="46">
        <v>0</v>
      </c>
      <c r="N214" s="46">
        <v>0</v>
      </c>
      <c r="O214" s="98"/>
      <c r="P214" s="23" t="s">
        <v>1414</v>
      </c>
      <c r="Q214" s="24" t="s">
        <v>549</v>
      </c>
      <c r="R214" s="25" t="s">
        <v>30</v>
      </c>
      <c r="S214" s="26">
        <v>170</v>
      </c>
      <c r="T214" s="26"/>
      <c r="U214" s="26">
        <v>151.72</v>
      </c>
      <c r="V214" s="26">
        <f t="shared" si="39"/>
        <v>0</v>
      </c>
      <c r="W214" s="26">
        <f t="shared" si="35"/>
        <v>0</v>
      </c>
      <c r="X214" s="26">
        <f t="shared" si="40"/>
        <v>0</v>
      </c>
      <c r="Y214" s="26">
        <f t="shared" si="44"/>
        <v>0</v>
      </c>
      <c r="Z214" s="33" t="s">
        <v>15</v>
      </c>
      <c r="AA214" s="36" t="s">
        <v>16</v>
      </c>
      <c r="AB214" s="181">
        <f t="shared" si="41"/>
        <v>170</v>
      </c>
      <c r="AC214" s="181">
        <f t="shared" si="37"/>
        <v>25792.400000000001</v>
      </c>
      <c r="AD214" s="181">
        <v>1.5</v>
      </c>
      <c r="AE214" s="181">
        <v>1.5</v>
      </c>
      <c r="AF214" s="101" t="str">
        <f t="shared" si="42"/>
        <v/>
      </c>
      <c r="AG214" s="190">
        <v>0</v>
      </c>
      <c r="AH214" s="69">
        <f t="shared" si="43"/>
        <v>170</v>
      </c>
    </row>
    <row r="215" spans="1:34" s="69" customFormat="1" ht="39" x14ac:dyDescent="0.3">
      <c r="A215" s="55" t="s">
        <v>551</v>
      </c>
      <c r="B215" s="53" t="s">
        <v>552</v>
      </c>
      <c r="C215" s="54" t="s">
        <v>325</v>
      </c>
      <c r="D215" s="75">
        <v>4</v>
      </c>
      <c r="E215" s="75"/>
      <c r="F215" s="75"/>
      <c r="G215" s="75"/>
      <c r="H215" s="75">
        <v>15779.6</v>
      </c>
      <c r="I215" s="75">
        <v>63118.400000000001</v>
      </c>
      <c r="J215" s="91" t="s">
        <v>553</v>
      </c>
      <c r="K215" s="73"/>
      <c r="L215" s="46">
        <v>2</v>
      </c>
      <c r="M215" s="46">
        <v>31559.200000000001</v>
      </c>
      <c r="N215" s="46">
        <v>31559.200000000001</v>
      </c>
      <c r="O215" s="98"/>
      <c r="P215" s="23" t="s">
        <v>1429</v>
      </c>
      <c r="Q215" s="24" t="s">
        <v>552</v>
      </c>
      <c r="R215" s="25" t="s">
        <v>325</v>
      </c>
      <c r="S215" s="26">
        <v>4</v>
      </c>
      <c r="T215" s="26"/>
      <c r="U215" s="26">
        <v>15779.6</v>
      </c>
      <c r="V215" s="128">
        <f t="shared" si="39"/>
        <v>0</v>
      </c>
      <c r="W215" s="26">
        <f t="shared" si="35"/>
        <v>2</v>
      </c>
      <c r="X215" s="26">
        <f t="shared" si="40"/>
        <v>0</v>
      </c>
      <c r="Y215" s="26">
        <f t="shared" si="44"/>
        <v>31559.200000000001</v>
      </c>
      <c r="Z215" s="33" t="s">
        <v>15</v>
      </c>
      <c r="AA215" s="36" t="s">
        <v>16</v>
      </c>
      <c r="AB215" s="181">
        <f t="shared" si="41"/>
        <v>4</v>
      </c>
      <c r="AC215" s="181">
        <f t="shared" si="37"/>
        <v>63118.400000000001</v>
      </c>
      <c r="AD215" s="181">
        <v>1.5</v>
      </c>
      <c r="AE215" s="181">
        <v>1.5</v>
      </c>
      <c r="AF215" s="101" t="str">
        <f t="shared" si="42"/>
        <v/>
      </c>
      <c r="AG215" s="191">
        <f>2</f>
        <v>2</v>
      </c>
      <c r="AH215" s="69">
        <f t="shared" si="43"/>
        <v>4</v>
      </c>
    </row>
    <row r="216" spans="1:34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>
        <v>138.84</v>
      </c>
      <c r="I216" s="75">
        <v>62894.52</v>
      </c>
      <c r="J216" s="91" t="s">
        <v>190</v>
      </c>
      <c r="K216" s="73"/>
      <c r="L216" s="46">
        <v>285</v>
      </c>
      <c r="M216" s="46">
        <v>0</v>
      </c>
      <c r="N216" s="46">
        <v>39569.4</v>
      </c>
      <c r="O216" s="98"/>
      <c r="P216" s="23" t="s">
        <v>1430</v>
      </c>
      <c r="Q216" s="24" t="s">
        <v>189</v>
      </c>
      <c r="R216" s="25" t="s">
        <v>30</v>
      </c>
      <c r="S216" s="26">
        <v>453</v>
      </c>
      <c r="T216" s="26"/>
      <c r="U216" s="26">
        <v>138.84</v>
      </c>
      <c r="V216" s="128">
        <f t="shared" si="39"/>
        <v>0</v>
      </c>
      <c r="W216" s="26">
        <f t="shared" si="35"/>
        <v>285</v>
      </c>
      <c r="X216" s="26">
        <f t="shared" si="40"/>
        <v>0</v>
      </c>
      <c r="Y216" s="26">
        <f t="shared" si="44"/>
        <v>39569.4</v>
      </c>
      <c r="Z216" s="33" t="s">
        <v>15</v>
      </c>
      <c r="AA216" s="36" t="s">
        <v>16</v>
      </c>
      <c r="AB216" s="181">
        <f t="shared" si="41"/>
        <v>453</v>
      </c>
      <c r="AC216" s="181">
        <f t="shared" si="37"/>
        <v>62894.52</v>
      </c>
      <c r="AD216" s="181">
        <v>1.5</v>
      </c>
      <c r="AE216" s="181">
        <v>1.5</v>
      </c>
      <c r="AF216" s="101" t="str">
        <f t="shared" si="42"/>
        <v/>
      </c>
      <c r="AG216" s="191">
        <f>19*15</f>
        <v>285</v>
      </c>
      <c r="AH216" s="69">
        <f t="shared" si="43"/>
        <v>453</v>
      </c>
    </row>
    <row r="217" spans="1:34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>
        <v>326.3</v>
      </c>
      <c r="I217" s="75">
        <v>548184</v>
      </c>
      <c r="J217" s="91" t="s">
        <v>521</v>
      </c>
      <c r="K217" s="73"/>
      <c r="L217" s="46">
        <v>936</v>
      </c>
      <c r="M217" s="46">
        <v>0</v>
      </c>
      <c r="N217" s="46">
        <v>305416.8</v>
      </c>
      <c r="O217" s="98"/>
      <c r="P217" s="23" t="s">
        <v>1431</v>
      </c>
      <c r="Q217" s="24" t="s">
        <v>520</v>
      </c>
      <c r="R217" s="25" t="s">
        <v>30</v>
      </c>
      <c r="S217" s="26">
        <v>1680</v>
      </c>
      <c r="T217" s="26"/>
      <c r="U217" s="26">
        <v>326.3</v>
      </c>
      <c r="V217" s="128">
        <f t="shared" si="39"/>
        <v>0</v>
      </c>
      <c r="W217" s="26">
        <f t="shared" si="35"/>
        <v>936</v>
      </c>
      <c r="X217" s="26">
        <f t="shared" si="40"/>
        <v>0</v>
      </c>
      <c r="Y217" s="26">
        <f t="shared" si="44"/>
        <v>305416.8</v>
      </c>
      <c r="Z217" s="33" t="s">
        <v>15</v>
      </c>
      <c r="AA217" s="36" t="s">
        <v>16</v>
      </c>
      <c r="AB217" s="181">
        <f t="shared" si="41"/>
        <v>1680</v>
      </c>
      <c r="AC217" s="181">
        <f t="shared" si="37"/>
        <v>548184</v>
      </c>
      <c r="AD217" s="181">
        <v>1.5</v>
      </c>
      <c r="AE217" s="181">
        <v>1.5</v>
      </c>
      <c r="AF217" s="101" t="str">
        <f t="shared" si="42"/>
        <v/>
      </c>
      <c r="AG217" s="191">
        <f>312*3</f>
        <v>936</v>
      </c>
      <c r="AH217" s="69">
        <f t="shared" si="43"/>
        <v>1680</v>
      </c>
    </row>
    <row r="218" spans="1:34" s="69" customFormat="1" ht="39" x14ac:dyDescent="0.3">
      <c r="A218" s="130" t="s">
        <v>556</v>
      </c>
      <c r="B218" s="131" t="s">
        <v>424</v>
      </c>
      <c r="C218" s="132" t="s">
        <v>50</v>
      </c>
      <c r="D218" s="133">
        <v>756</v>
      </c>
      <c r="E218" s="75"/>
      <c r="F218" s="75"/>
      <c r="G218" s="75"/>
      <c r="H218" s="75">
        <v>692.16</v>
      </c>
      <c r="I218" s="75">
        <v>523272.96000000002</v>
      </c>
      <c r="J218" s="91" t="s">
        <v>425</v>
      </c>
      <c r="K218" s="73"/>
      <c r="L218" s="46">
        <v>325</v>
      </c>
      <c r="M218" s="46">
        <v>0</v>
      </c>
      <c r="N218" s="46">
        <v>224952</v>
      </c>
      <c r="O218" s="98"/>
      <c r="P218" s="23" t="s">
        <v>1395</v>
      </c>
      <c r="Q218" s="24" t="s">
        <v>424</v>
      </c>
      <c r="R218" s="25" t="s">
        <v>50</v>
      </c>
      <c r="S218" s="26">
        <v>756</v>
      </c>
      <c r="T218" s="26"/>
      <c r="U218" s="26">
        <v>692.16</v>
      </c>
      <c r="V218" s="128">
        <f t="shared" si="39"/>
        <v>431</v>
      </c>
      <c r="W218" s="127">
        <f t="shared" si="35"/>
        <v>756</v>
      </c>
      <c r="X218" s="127">
        <f t="shared" si="40"/>
        <v>298320.96000000002</v>
      </c>
      <c r="Y218" s="127">
        <f t="shared" si="44"/>
        <v>523272.96000000002</v>
      </c>
      <c r="Z218" s="33" t="s">
        <v>15</v>
      </c>
      <c r="AA218" s="36" t="s">
        <v>16</v>
      </c>
      <c r="AB218" s="181">
        <f t="shared" si="41"/>
        <v>756</v>
      </c>
      <c r="AC218" s="181">
        <f t="shared" si="37"/>
        <v>523272.96000000002</v>
      </c>
      <c r="AD218" s="181">
        <v>1.5</v>
      </c>
      <c r="AE218" s="181">
        <v>1.5</v>
      </c>
      <c r="AF218" s="101" t="str">
        <f t="shared" si="42"/>
        <v/>
      </c>
      <c r="AG218" s="191">
        <f>325+431</f>
        <v>756</v>
      </c>
      <c r="AH218" s="69">
        <f t="shared" si="43"/>
        <v>756</v>
      </c>
    </row>
    <row r="219" spans="1:34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>
        <v>422.3</v>
      </c>
      <c r="I219" s="75">
        <v>13513.6</v>
      </c>
      <c r="J219" s="91" t="s">
        <v>560</v>
      </c>
      <c r="K219" s="73"/>
      <c r="L219" s="46">
        <v>0</v>
      </c>
      <c r="M219" s="46">
        <v>0</v>
      </c>
      <c r="N219" s="46">
        <v>0</v>
      </c>
      <c r="O219" s="98"/>
      <c r="P219" s="23" t="s">
        <v>1432</v>
      </c>
      <c r="Q219" s="24" t="s">
        <v>558</v>
      </c>
      <c r="R219" s="25" t="s">
        <v>559</v>
      </c>
      <c r="S219" s="26">
        <v>32</v>
      </c>
      <c r="T219" s="26"/>
      <c r="U219" s="26">
        <v>422.3</v>
      </c>
      <c r="V219" s="26">
        <f t="shared" si="39"/>
        <v>0</v>
      </c>
      <c r="W219" s="26">
        <f t="shared" si="35"/>
        <v>0</v>
      </c>
      <c r="X219" s="26">
        <f t="shared" si="40"/>
        <v>0</v>
      </c>
      <c r="Y219" s="26">
        <f t="shared" si="44"/>
        <v>0</v>
      </c>
      <c r="Z219" s="33" t="s">
        <v>15</v>
      </c>
      <c r="AA219" s="36" t="s">
        <v>16</v>
      </c>
      <c r="AB219" s="181">
        <f t="shared" si="41"/>
        <v>32</v>
      </c>
      <c r="AC219" s="181">
        <f t="shared" si="37"/>
        <v>13513.6</v>
      </c>
      <c r="AD219" s="181">
        <v>1.5</v>
      </c>
      <c r="AE219" s="181">
        <v>1.5</v>
      </c>
      <c r="AF219" s="101" t="str">
        <f t="shared" si="42"/>
        <v/>
      </c>
      <c r="AG219" s="190">
        <v>0</v>
      </c>
      <c r="AH219" s="69">
        <f t="shared" si="43"/>
        <v>32</v>
      </c>
    </row>
    <row r="220" spans="1:34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/>
      <c r="I220" s="82">
        <v>11661827.369999999</v>
      </c>
      <c r="J220" s="94" t="s">
        <v>15</v>
      </c>
      <c r="K220" s="73"/>
      <c r="L220" s="45">
        <v>1</v>
      </c>
      <c r="M220" s="45">
        <v>9256.7999999999993</v>
      </c>
      <c r="N220" s="45">
        <v>1272990.3900000001</v>
      </c>
      <c r="O220" s="98"/>
      <c r="P220" s="18" t="s">
        <v>1394</v>
      </c>
      <c r="Q220" s="19" t="s">
        <v>562</v>
      </c>
      <c r="R220" s="20" t="s">
        <v>14</v>
      </c>
      <c r="S220" s="21">
        <v>1</v>
      </c>
      <c r="T220" s="21"/>
      <c r="U220" s="21">
        <f>SUMIFS(AC:AC,AD:AD,AD220)</f>
        <v>11661827.369999999</v>
      </c>
      <c r="V220" s="21">
        <f t="shared" ref="V220:W220" si="45">IF(X220=0,0,1)</f>
        <v>1</v>
      </c>
      <c r="W220" s="21">
        <f t="shared" si="45"/>
        <v>1</v>
      </c>
      <c r="X220" s="21">
        <f>SUMIFS(X:X,AE:AE,AD220)</f>
        <v>3142593.1700000004</v>
      </c>
      <c r="Y220" s="21">
        <f>SUMIFS(Y:Y,AE:AE,AD220)</f>
        <v>4415583.5599999996</v>
      </c>
      <c r="Z220" s="22" t="s">
        <v>15</v>
      </c>
      <c r="AA220" s="43" t="s">
        <v>16</v>
      </c>
      <c r="AB220" s="181">
        <f t="shared" si="41"/>
        <v>1</v>
      </c>
      <c r="AC220" s="184"/>
      <c r="AD220" s="184">
        <v>1.6</v>
      </c>
      <c r="AE220" s="184"/>
      <c r="AF220" s="101" t="str">
        <f t="shared" si="42"/>
        <v/>
      </c>
      <c r="AG220" s="190">
        <v>1</v>
      </c>
      <c r="AH220" s="69">
        <f t="shared" si="43"/>
        <v>1</v>
      </c>
    </row>
    <row r="221" spans="1:34" s="69" customFormat="1" ht="39" x14ac:dyDescent="0.3">
      <c r="A221" s="55" t="s">
        <v>563</v>
      </c>
      <c r="B221" s="53" t="s">
        <v>564</v>
      </c>
      <c r="C221" s="54" t="s">
        <v>23</v>
      </c>
      <c r="D221" s="75">
        <v>256</v>
      </c>
      <c r="E221" s="75"/>
      <c r="F221" s="75"/>
      <c r="G221" s="75"/>
      <c r="H221" s="75">
        <v>7517.56</v>
      </c>
      <c r="I221" s="75">
        <v>1924495.3600000001</v>
      </c>
      <c r="J221" s="91" t="s">
        <v>565</v>
      </c>
      <c r="K221" s="73"/>
      <c r="L221" s="46">
        <v>99.1</v>
      </c>
      <c r="M221" s="46">
        <v>0</v>
      </c>
      <c r="N221" s="46">
        <v>744990.2</v>
      </c>
      <c r="O221" s="98"/>
      <c r="P221" s="23" t="s">
        <v>1421</v>
      </c>
      <c r="Q221" s="24" t="s">
        <v>564</v>
      </c>
      <c r="R221" s="25" t="s">
        <v>23</v>
      </c>
      <c r="S221" s="26">
        <v>256</v>
      </c>
      <c r="T221" s="26"/>
      <c r="U221" s="26">
        <v>7517.56</v>
      </c>
      <c r="V221" s="128">
        <f t="shared" ref="V221:V236" si="46">AG221-L221</f>
        <v>0</v>
      </c>
      <c r="W221" s="26">
        <f t="shared" si="35"/>
        <v>99.1</v>
      </c>
      <c r="X221" s="26">
        <f t="shared" ref="X221:X236" si="47">Y221-N221</f>
        <v>0</v>
      </c>
      <c r="Y221" s="26">
        <f t="shared" si="44"/>
        <v>744990.2</v>
      </c>
      <c r="Z221" s="33" t="s">
        <v>15</v>
      </c>
      <c r="AA221" s="36" t="s">
        <v>16</v>
      </c>
      <c r="AB221" s="181">
        <f t="shared" si="41"/>
        <v>256</v>
      </c>
      <c r="AC221" s="181">
        <f t="shared" ref="AC221:AC236" si="48">ROUND(U221*AB221,2)</f>
        <v>1924495.3600000001</v>
      </c>
      <c r="AD221" s="181">
        <v>1.6</v>
      </c>
      <c r="AE221" s="181">
        <v>1.6</v>
      </c>
      <c r="AF221" s="101" t="str">
        <f t="shared" si="42"/>
        <v/>
      </c>
      <c r="AG221" s="191">
        <f>69.6+29.5</f>
        <v>99.1</v>
      </c>
      <c r="AH221" s="69">
        <f t="shared" si="43"/>
        <v>256</v>
      </c>
    </row>
    <row r="222" spans="1:34" s="69" customFormat="1" ht="39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7496.96</v>
      </c>
      <c r="I222" s="75">
        <v>5742671.3600000003</v>
      </c>
      <c r="J222" s="91" t="s">
        <v>568</v>
      </c>
      <c r="K222" s="73"/>
      <c r="L222" s="46">
        <v>62.3</v>
      </c>
      <c r="M222" s="46">
        <v>0</v>
      </c>
      <c r="N222" s="46">
        <v>467060.61</v>
      </c>
      <c r="O222" s="98"/>
      <c r="P222" s="23" t="s">
        <v>1426</v>
      </c>
      <c r="Q222" s="24" t="s">
        <v>567</v>
      </c>
      <c r="R222" s="25" t="s">
        <v>23</v>
      </c>
      <c r="S222" s="26">
        <v>766</v>
      </c>
      <c r="T222" s="26"/>
      <c r="U222" s="26">
        <v>7496.96</v>
      </c>
      <c r="V222" s="128">
        <f t="shared" si="46"/>
        <v>320</v>
      </c>
      <c r="W222" s="26">
        <f t="shared" si="35"/>
        <v>382.3</v>
      </c>
      <c r="X222" s="26">
        <f t="shared" si="47"/>
        <v>2399027.2000000002</v>
      </c>
      <c r="Y222" s="26">
        <f t="shared" si="44"/>
        <v>2866087.81</v>
      </c>
      <c r="Z222" s="33" t="s">
        <v>15</v>
      </c>
      <c r="AA222" s="36" t="s">
        <v>16</v>
      </c>
      <c r="AB222" s="181">
        <f t="shared" si="41"/>
        <v>766</v>
      </c>
      <c r="AC222" s="181">
        <f t="shared" si="48"/>
        <v>5742671.3600000003</v>
      </c>
      <c r="AD222" s="181">
        <v>1.6</v>
      </c>
      <c r="AE222" s="181">
        <v>1.6</v>
      </c>
      <c r="AF222" s="101" t="str">
        <f t="shared" si="42"/>
        <v/>
      </c>
      <c r="AG222" s="191">
        <f>23.2+39.1+320</f>
        <v>382.3</v>
      </c>
      <c r="AH222" s="69">
        <f t="shared" si="43"/>
        <v>766</v>
      </c>
    </row>
    <row r="223" spans="1:34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>
        <v>11.6</v>
      </c>
      <c r="I223" s="75">
        <v>59194.8</v>
      </c>
      <c r="J223" s="91" t="s">
        <v>571</v>
      </c>
      <c r="K223" s="73"/>
      <c r="L223" s="46">
        <v>798</v>
      </c>
      <c r="M223" s="46">
        <v>9256.7999999999993</v>
      </c>
      <c r="N223" s="46">
        <v>9256.7999999999993</v>
      </c>
      <c r="O223" s="98"/>
      <c r="P223" s="23" t="s">
        <v>1402</v>
      </c>
      <c r="Q223" s="24" t="s">
        <v>570</v>
      </c>
      <c r="R223" s="25" t="s">
        <v>50</v>
      </c>
      <c r="S223" s="26">
        <v>5103</v>
      </c>
      <c r="T223" s="26"/>
      <c r="U223" s="26">
        <v>11.6</v>
      </c>
      <c r="V223" s="128">
        <f t="shared" si="46"/>
        <v>0</v>
      </c>
      <c r="W223" s="26">
        <f t="shared" si="35"/>
        <v>798</v>
      </c>
      <c r="X223" s="26">
        <f t="shared" si="47"/>
        <v>0</v>
      </c>
      <c r="Y223" s="26">
        <f t="shared" si="44"/>
        <v>9256.7999999999993</v>
      </c>
      <c r="Z223" s="33" t="s">
        <v>15</v>
      </c>
      <c r="AA223" s="36" t="s">
        <v>16</v>
      </c>
      <c r="AB223" s="181">
        <f t="shared" si="41"/>
        <v>5103</v>
      </c>
      <c r="AC223" s="181">
        <f t="shared" si="48"/>
        <v>59194.8</v>
      </c>
      <c r="AD223" s="181">
        <v>1.6</v>
      </c>
      <c r="AE223" s="181">
        <v>1.6</v>
      </c>
      <c r="AF223" s="101" t="str">
        <f t="shared" si="42"/>
        <v/>
      </c>
      <c r="AG223" s="191">
        <f>3.8*210</f>
        <v>798</v>
      </c>
      <c r="AH223" s="69">
        <f t="shared" si="43"/>
        <v>5103</v>
      </c>
    </row>
    <row r="224" spans="1:34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42.46</v>
      </c>
      <c r="I224" s="75">
        <v>216673.38</v>
      </c>
      <c r="J224" s="91" t="s">
        <v>574</v>
      </c>
      <c r="K224" s="73"/>
      <c r="L224" s="46">
        <v>1021</v>
      </c>
      <c r="M224" s="46">
        <v>0</v>
      </c>
      <c r="N224" s="46">
        <v>43351.66</v>
      </c>
      <c r="O224" s="98"/>
      <c r="P224" s="23" t="s">
        <v>1373</v>
      </c>
      <c r="Q224" s="24" t="s">
        <v>573</v>
      </c>
      <c r="R224" s="25" t="s">
        <v>50</v>
      </c>
      <c r="S224" s="26">
        <v>5103</v>
      </c>
      <c r="T224" s="26"/>
      <c r="U224" s="26">
        <v>42.46</v>
      </c>
      <c r="V224" s="128">
        <f t="shared" si="46"/>
        <v>0</v>
      </c>
      <c r="W224" s="26">
        <f t="shared" si="35"/>
        <v>1021</v>
      </c>
      <c r="X224" s="26">
        <f t="shared" si="47"/>
        <v>0</v>
      </c>
      <c r="Y224" s="26">
        <f t="shared" si="44"/>
        <v>43351.66</v>
      </c>
      <c r="Z224" s="33" t="s">
        <v>15</v>
      </c>
      <c r="AA224" s="36" t="s">
        <v>16</v>
      </c>
      <c r="AB224" s="181">
        <f t="shared" si="41"/>
        <v>5103</v>
      </c>
      <c r="AC224" s="181">
        <f t="shared" si="48"/>
        <v>216673.38</v>
      </c>
      <c r="AD224" s="181">
        <v>1.6</v>
      </c>
      <c r="AE224" s="181">
        <v>1.6</v>
      </c>
      <c r="AF224" s="101" t="str">
        <f t="shared" si="42"/>
        <v/>
      </c>
      <c r="AG224" s="191">
        <f>696+325</f>
        <v>1021</v>
      </c>
      <c r="AH224" s="69">
        <f t="shared" si="43"/>
        <v>5103</v>
      </c>
    </row>
    <row r="225" spans="1:34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15.96</v>
      </c>
      <c r="I225" s="75">
        <v>244299.72</v>
      </c>
      <c r="J225" s="91" t="s">
        <v>577</v>
      </c>
      <c r="K225" s="73"/>
      <c r="L225" s="46">
        <v>522</v>
      </c>
      <c r="M225" s="46">
        <v>0</v>
      </c>
      <c r="N225" s="46">
        <v>8331.1200000000008</v>
      </c>
      <c r="O225" s="98"/>
      <c r="P225" s="23" t="s">
        <v>1393</v>
      </c>
      <c r="Q225" s="24" t="s">
        <v>576</v>
      </c>
      <c r="R225" s="25" t="s">
        <v>50</v>
      </c>
      <c r="S225" s="26">
        <v>15307</v>
      </c>
      <c r="T225" s="26"/>
      <c r="U225" s="26">
        <v>15.96</v>
      </c>
      <c r="V225" s="128">
        <f t="shared" si="46"/>
        <v>4744</v>
      </c>
      <c r="W225" s="26">
        <f t="shared" si="35"/>
        <v>5266</v>
      </c>
      <c r="X225" s="26">
        <f t="shared" si="47"/>
        <v>75714.240000000005</v>
      </c>
      <c r="Y225" s="26">
        <f t="shared" si="44"/>
        <v>84045.36</v>
      </c>
      <c r="Z225" s="33" t="s">
        <v>15</v>
      </c>
      <c r="AA225" s="36" t="s">
        <v>16</v>
      </c>
      <c r="AB225" s="181">
        <f t="shared" si="41"/>
        <v>15307</v>
      </c>
      <c r="AC225" s="181">
        <f t="shared" si="48"/>
        <v>244299.72</v>
      </c>
      <c r="AD225" s="181">
        <v>1.6</v>
      </c>
      <c r="AE225" s="181">
        <v>1.6</v>
      </c>
      <c r="AF225" s="101" t="str">
        <f t="shared" si="42"/>
        <v/>
      </c>
      <c r="AG225" s="191">
        <f>522+4744</f>
        <v>5266</v>
      </c>
      <c r="AH225" s="69">
        <f t="shared" si="43"/>
        <v>15307</v>
      </c>
    </row>
    <row r="226" spans="1:34" s="69" customFormat="1" ht="39" x14ac:dyDescent="0.3">
      <c r="A226" s="55" t="s">
        <v>578</v>
      </c>
      <c r="B226" s="53" t="s">
        <v>392</v>
      </c>
      <c r="C226" s="54" t="s">
        <v>23</v>
      </c>
      <c r="D226" s="75">
        <v>24</v>
      </c>
      <c r="E226" s="75"/>
      <c r="F226" s="75"/>
      <c r="G226" s="75"/>
      <c r="H226" s="75">
        <v>3115.13</v>
      </c>
      <c r="I226" s="75">
        <v>74763.12</v>
      </c>
      <c r="J226" s="91" t="s">
        <v>114</v>
      </c>
      <c r="K226" s="73"/>
      <c r="L226" s="46">
        <v>0</v>
      </c>
      <c r="M226" s="46">
        <v>0</v>
      </c>
      <c r="N226" s="46">
        <v>0</v>
      </c>
      <c r="O226" s="98"/>
      <c r="P226" s="23" t="s">
        <v>1403</v>
      </c>
      <c r="Q226" s="24" t="s">
        <v>392</v>
      </c>
      <c r="R226" s="25" t="s">
        <v>23</v>
      </c>
      <c r="S226" s="26">
        <v>24</v>
      </c>
      <c r="T226" s="26"/>
      <c r="U226" s="26">
        <v>3115.13</v>
      </c>
      <c r="V226" s="26">
        <f t="shared" si="46"/>
        <v>0</v>
      </c>
      <c r="W226" s="26">
        <f t="shared" si="35"/>
        <v>0</v>
      </c>
      <c r="X226" s="26">
        <f t="shared" si="47"/>
        <v>0</v>
      </c>
      <c r="Y226" s="26">
        <f t="shared" si="44"/>
        <v>0</v>
      </c>
      <c r="Z226" s="33" t="s">
        <v>15</v>
      </c>
      <c r="AA226" s="36" t="s">
        <v>16</v>
      </c>
      <c r="AB226" s="181">
        <f t="shared" si="41"/>
        <v>24</v>
      </c>
      <c r="AC226" s="181">
        <f t="shared" si="48"/>
        <v>74763.12</v>
      </c>
      <c r="AD226" s="181">
        <v>1.6</v>
      </c>
      <c r="AE226" s="181">
        <v>1.6</v>
      </c>
      <c r="AF226" s="101" t="str">
        <f t="shared" si="42"/>
        <v/>
      </c>
      <c r="AG226" s="190">
        <v>0</v>
      </c>
      <c r="AH226" s="69">
        <f t="shared" si="43"/>
        <v>24</v>
      </c>
    </row>
    <row r="227" spans="1:34" s="69" customFormat="1" ht="39" x14ac:dyDescent="0.3">
      <c r="A227" s="55" t="s">
        <v>579</v>
      </c>
      <c r="B227" s="53" t="s">
        <v>116</v>
      </c>
      <c r="C227" s="54" t="s">
        <v>23</v>
      </c>
      <c r="D227" s="75">
        <v>237</v>
      </c>
      <c r="E227" s="75"/>
      <c r="F227" s="75"/>
      <c r="G227" s="75"/>
      <c r="H227" s="75">
        <v>3321.13</v>
      </c>
      <c r="I227" s="75">
        <v>787107.81</v>
      </c>
      <c r="J227" s="91" t="s">
        <v>117</v>
      </c>
      <c r="K227" s="73"/>
      <c r="L227" s="46">
        <v>0</v>
      </c>
      <c r="M227" s="46">
        <v>0</v>
      </c>
      <c r="N227" s="46">
        <v>0</v>
      </c>
      <c r="O227" s="98"/>
      <c r="P227" s="23" t="s">
        <v>1427</v>
      </c>
      <c r="Q227" s="24" t="s">
        <v>116</v>
      </c>
      <c r="R227" s="25" t="s">
        <v>23</v>
      </c>
      <c r="S227" s="26">
        <v>237</v>
      </c>
      <c r="T227" s="26"/>
      <c r="U227" s="26">
        <v>3321.13</v>
      </c>
      <c r="V227" s="128">
        <f t="shared" si="46"/>
        <v>35.75</v>
      </c>
      <c r="W227" s="26">
        <f t="shared" si="35"/>
        <v>35.75</v>
      </c>
      <c r="X227" s="26">
        <f t="shared" si="47"/>
        <v>118730.4</v>
      </c>
      <c r="Y227" s="26">
        <f t="shared" si="44"/>
        <v>118730.4</v>
      </c>
      <c r="Z227" s="33" t="s">
        <v>15</v>
      </c>
      <c r="AA227" s="36" t="s">
        <v>16</v>
      </c>
      <c r="AB227" s="181">
        <f t="shared" si="41"/>
        <v>237</v>
      </c>
      <c r="AC227" s="181">
        <f t="shared" si="48"/>
        <v>787107.81</v>
      </c>
      <c r="AD227" s="181">
        <v>1.6</v>
      </c>
      <c r="AE227" s="181">
        <v>1.6</v>
      </c>
      <c r="AF227" s="101" t="str">
        <f t="shared" si="42"/>
        <v/>
      </c>
      <c r="AG227" s="191">
        <f>65*0.55</f>
        <v>35.75</v>
      </c>
      <c r="AH227" s="69">
        <f t="shared" si="43"/>
        <v>237</v>
      </c>
    </row>
    <row r="228" spans="1:34" s="69" customFormat="1" ht="39" x14ac:dyDescent="0.3">
      <c r="A228" s="55" t="s">
        <v>580</v>
      </c>
      <c r="B228" s="53" t="s">
        <v>493</v>
      </c>
      <c r="C228" s="54" t="s">
        <v>23</v>
      </c>
      <c r="D228" s="75">
        <v>261</v>
      </c>
      <c r="E228" s="75"/>
      <c r="F228" s="75"/>
      <c r="G228" s="75"/>
      <c r="H228" s="75">
        <v>200</v>
      </c>
      <c r="I228" s="75">
        <v>52200</v>
      </c>
      <c r="J228" s="91" t="s">
        <v>494</v>
      </c>
      <c r="K228" s="73"/>
      <c r="L228" s="46">
        <v>0</v>
      </c>
      <c r="M228" s="46">
        <v>0</v>
      </c>
      <c r="N228" s="46">
        <v>0</v>
      </c>
      <c r="O228" s="98"/>
      <c r="P228" s="23" t="s">
        <v>1428</v>
      </c>
      <c r="Q228" s="24" t="s">
        <v>493</v>
      </c>
      <c r="R228" s="25" t="s">
        <v>23</v>
      </c>
      <c r="S228" s="26">
        <v>261</v>
      </c>
      <c r="T228" s="26"/>
      <c r="U228" s="26">
        <v>200</v>
      </c>
      <c r="V228" s="128">
        <f t="shared" si="46"/>
        <v>35.75</v>
      </c>
      <c r="W228" s="26">
        <f t="shared" si="35"/>
        <v>35.75</v>
      </c>
      <c r="X228" s="26">
        <f t="shared" si="47"/>
        <v>7150</v>
      </c>
      <c r="Y228" s="26">
        <f t="shared" si="44"/>
        <v>7150</v>
      </c>
      <c r="Z228" s="33" t="s">
        <v>15</v>
      </c>
      <c r="AA228" s="36" t="s">
        <v>16</v>
      </c>
      <c r="AB228" s="181">
        <f t="shared" si="41"/>
        <v>261</v>
      </c>
      <c r="AC228" s="181">
        <f t="shared" si="48"/>
        <v>52200</v>
      </c>
      <c r="AD228" s="181">
        <v>1.6</v>
      </c>
      <c r="AE228" s="181">
        <v>1.6</v>
      </c>
      <c r="AF228" s="101" t="str">
        <f t="shared" si="42"/>
        <v/>
      </c>
      <c r="AG228" s="191">
        <f>AG226+AG227</f>
        <v>35.75</v>
      </c>
      <c r="AH228" s="69">
        <f t="shared" si="43"/>
        <v>261</v>
      </c>
    </row>
    <row r="229" spans="1:34" s="69" customFormat="1" ht="33" x14ac:dyDescent="0.3">
      <c r="A229" s="55" t="s">
        <v>581</v>
      </c>
      <c r="B229" s="53" t="s">
        <v>582</v>
      </c>
      <c r="C229" s="54" t="s">
        <v>50</v>
      </c>
      <c r="D229" s="75">
        <v>745</v>
      </c>
      <c r="E229" s="75"/>
      <c r="F229" s="75"/>
      <c r="G229" s="75"/>
      <c r="H229" s="75">
        <v>698.31</v>
      </c>
      <c r="I229" s="75">
        <v>520240.95</v>
      </c>
      <c r="J229" s="91" t="s">
        <v>583</v>
      </c>
      <c r="K229" s="73"/>
      <c r="L229" s="46">
        <v>0</v>
      </c>
      <c r="M229" s="46">
        <v>0</v>
      </c>
      <c r="N229" s="46">
        <v>0</v>
      </c>
      <c r="O229" s="98"/>
      <c r="P229" s="23" t="s">
        <v>1387</v>
      </c>
      <c r="Q229" s="24" t="s">
        <v>582</v>
      </c>
      <c r="R229" s="25" t="s">
        <v>50</v>
      </c>
      <c r="S229" s="26">
        <v>745</v>
      </c>
      <c r="T229" s="26"/>
      <c r="U229" s="26">
        <v>698.31</v>
      </c>
      <c r="V229" s="128">
        <f t="shared" si="46"/>
        <v>78</v>
      </c>
      <c r="W229" s="26">
        <f t="shared" si="35"/>
        <v>78</v>
      </c>
      <c r="X229" s="26">
        <f t="shared" si="47"/>
        <v>54468.18</v>
      </c>
      <c r="Y229" s="26">
        <f t="shared" si="44"/>
        <v>54468.18</v>
      </c>
      <c r="Z229" s="33" t="s">
        <v>15</v>
      </c>
      <c r="AA229" s="36" t="s">
        <v>16</v>
      </c>
      <c r="AB229" s="181">
        <f t="shared" si="41"/>
        <v>745</v>
      </c>
      <c r="AC229" s="181">
        <f t="shared" si="48"/>
        <v>520240.95</v>
      </c>
      <c r="AD229" s="181">
        <v>1.6</v>
      </c>
      <c r="AE229" s="181">
        <v>1.6</v>
      </c>
      <c r="AF229" s="101" t="str">
        <f t="shared" si="42"/>
        <v/>
      </c>
      <c r="AG229" s="191">
        <f>65*1.2</f>
        <v>78</v>
      </c>
      <c r="AH229" s="69">
        <f t="shared" si="43"/>
        <v>745</v>
      </c>
    </row>
    <row r="230" spans="1:34" s="69" customFormat="1" ht="41.25" x14ac:dyDescent="0.3">
      <c r="A230" s="55" t="s">
        <v>584</v>
      </c>
      <c r="B230" s="53" t="s">
        <v>119</v>
      </c>
      <c r="C230" s="54" t="s">
        <v>50</v>
      </c>
      <c r="D230" s="75">
        <v>915</v>
      </c>
      <c r="E230" s="75"/>
      <c r="F230" s="75"/>
      <c r="G230" s="75"/>
      <c r="H230" s="75">
        <v>533.64</v>
      </c>
      <c r="I230" s="75">
        <v>488280.6</v>
      </c>
      <c r="J230" s="91" t="s">
        <v>120</v>
      </c>
      <c r="K230" s="73"/>
      <c r="L230" s="46">
        <v>0</v>
      </c>
      <c r="M230" s="46">
        <v>0</v>
      </c>
      <c r="N230" s="46">
        <v>0</v>
      </c>
      <c r="O230" s="98"/>
      <c r="P230" s="23" t="s">
        <v>1405</v>
      </c>
      <c r="Q230" s="24" t="s">
        <v>119</v>
      </c>
      <c r="R230" s="25" t="s">
        <v>50</v>
      </c>
      <c r="S230" s="26">
        <v>915</v>
      </c>
      <c r="T230" s="26"/>
      <c r="U230" s="26">
        <v>533.64</v>
      </c>
      <c r="V230" s="128">
        <f t="shared" si="46"/>
        <v>71.5</v>
      </c>
      <c r="W230" s="26">
        <f t="shared" si="35"/>
        <v>71.5</v>
      </c>
      <c r="X230" s="26">
        <f t="shared" si="47"/>
        <v>38155.26</v>
      </c>
      <c r="Y230" s="26">
        <f t="shared" si="44"/>
        <v>38155.26</v>
      </c>
      <c r="Z230" s="33" t="s">
        <v>15</v>
      </c>
      <c r="AA230" s="36" t="s">
        <v>16</v>
      </c>
      <c r="AB230" s="181">
        <f t="shared" si="41"/>
        <v>915</v>
      </c>
      <c r="AC230" s="181">
        <f t="shared" si="48"/>
        <v>488280.6</v>
      </c>
      <c r="AD230" s="181">
        <v>1.6</v>
      </c>
      <c r="AE230" s="181">
        <v>1.6</v>
      </c>
      <c r="AF230" s="101" t="str">
        <f t="shared" si="42"/>
        <v/>
      </c>
      <c r="AG230" s="191">
        <f>65*1.1</f>
        <v>71.5</v>
      </c>
      <c r="AH230" s="69">
        <f t="shared" si="43"/>
        <v>915</v>
      </c>
    </row>
    <row r="231" spans="1:34" s="69" customFormat="1" ht="33" x14ac:dyDescent="0.3">
      <c r="A231" s="55" t="s">
        <v>585</v>
      </c>
      <c r="B231" s="53" t="s">
        <v>109</v>
      </c>
      <c r="C231" s="54" t="s">
        <v>110</v>
      </c>
      <c r="D231" s="75">
        <v>9227</v>
      </c>
      <c r="E231" s="75"/>
      <c r="F231" s="75"/>
      <c r="G231" s="75"/>
      <c r="H231" s="75">
        <v>36.4</v>
      </c>
      <c r="I231" s="75">
        <v>335862.8</v>
      </c>
      <c r="J231" s="91" t="s">
        <v>111</v>
      </c>
      <c r="K231" s="73"/>
      <c r="L231" s="46">
        <v>0</v>
      </c>
      <c r="M231" s="46">
        <v>0</v>
      </c>
      <c r="N231" s="46">
        <v>0</v>
      </c>
      <c r="O231" s="98"/>
      <c r="P231" s="23" t="s">
        <v>1406</v>
      </c>
      <c r="Q231" s="24" t="s">
        <v>109</v>
      </c>
      <c r="R231" s="25" t="s">
        <v>110</v>
      </c>
      <c r="S231" s="26">
        <v>9227</v>
      </c>
      <c r="T231" s="26"/>
      <c r="U231" s="26">
        <v>36.4</v>
      </c>
      <c r="V231" s="128">
        <f t="shared" si="46"/>
        <v>7765</v>
      </c>
      <c r="W231" s="26">
        <f t="shared" si="35"/>
        <v>7765</v>
      </c>
      <c r="X231" s="26">
        <f t="shared" si="47"/>
        <v>282646</v>
      </c>
      <c r="Y231" s="26">
        <f t="shared" si="44"/>
        <v>282646</v>
      </c>
      <c r="Z231" s="33" t="s">
        <v>15</v>
      </c>
      <c r="AA231" s="36" t="s">
        <v>16</v>
      </c>
      <c r="AB231" s="181">
        <f t="shared" si="41"/>
        <v>9227</v>
      </c>
      <c r="AC231" s="181">
        <f t="shared" si="48"/>
        <v>335862.8</v>
      </c>
      <c r="AD231" s="181">
        <v>1.6</v>
      </c>
      <c r="AE231" s="181">
        <v>1.6</v>
      </c>
      <c r="AF231" s="101" t="str">
        <f t="shared" si="42"/>
        <v/>
      </c>
      <c r="AG231" s="191">
        <f>7765</f>
        <v>7765</v>
      </c>
      <c r="AH231" s="69">
        <f t="shared" si="43"/>
        <v>9227</v>
      </c>
    </row>
    <row r="232" spans="1:34" s="69" customFormat="1" ht="39" x14ac:dyDescent="0.3">
      <c r="A232" s="55" t="s">
        <v>586</v>
      </c>
      <c r="B232" s="53" t="s">
        <v>587</v>
      </c>
      <c r="C232" s="54" t="s">
        <v>513</v>
      </c>
      <c r="D232" s="75">
        <v>189</v>
      </c>
      <c r="E232" s="75"/>
      <c r="F232" s="75"/>
      <c r="G232" s="75"/>
      <c r="H232" s="75">
        <v>40</v>
      </c>
      <c r="I232" s="75">
        <v>7560</v>
      </c>
      <c r="J232" s="91" t="s">
        <v>588</v>
      </c>
      <c r="K232" s="73"/>
      <c r="L232" s="46">
        <v>0</v>
      </c>
      <c r="M232" s="46">
        <v>0</v>
      </c>
      <c r="N232" s="46">
        <v>0</v>
      </c>
      <c r="O232" s="98"/>
      <c r="P232" s="23" t="s">
        <v>1414</v>
      </c>
      <c r="Q232" s="24" t="s">
        <v>587</v>
      </c>
      <c r="R232" s="25" t="s">
        <v>513</v>
      </c>
      <c r="S232" s="26">
        <v>189</v>
      </c>
      <c r="T232" s="26"/>
      <c r="U232" s="26">
        <v>40</v>
      </c>
      <c r="V232" s="26">
        <f t="shared" si="46"/>
        <v>0</v>
      </c>
      <c r="W232" s="26">
        <f t="shared" si="35"/>
        <v>0</v>
      </c>
      <c r="X232" s="26">
        <f t="shared" si="47"/>
        <v>0</v>
      </c>
      <c r="Y232" s="26">
        <f t="shared" si="44"/>
        <v>0</v>
      </c>
      <c r="Z232" s="33" t="s">
        <v>15</v>
      </c>
      <c r="AA232" s="36" t="s">
        <v>16</v>
      </c>
      <c r="AB232" s="181">
        <f t="shared" si="41"/>
        <v>189</v>
      </c>
      <c r="AC232" s="181">
        <f t="shared" si="48"/>
        <v>7560</v>
      </c>
      <c r="AD232" s="181">
        <v>1.6</v>
      </c>
      <c r="AE232" s="181">
        <v>1.6</v>
      </c>
      <c r="AF232" s="101" t="str">
        <f t="shared" si="42"/>
        <v/>
      </c>
      <c r="AG232" s="190">
        <v>0</v>
      </c>
      <c r="AH232" s="69">
        <f t="shared" si="43"/>
        <v>189</v>
      </c>
    </row>
    <row r="233" spans="1:34" s="69" customFormat="1" ht="39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>
        <v>3615.3</v>
      </c>
      <c r="I233" s="75">
        <v>426605.4</v>
      </c>
      <c r="J233" s="91" t="s">
        <v>591</v>
      </c>
      <c r="K233" s="73"/>
      <c r="L233" s="46">
        <v>0</v>
      </c>
      <c r="M233" s="46">
        <v>0</v>
      </c>
      <c r="N233" s="46">
        <v>0</v>
      </c>
      <c r="O233" s="98"/>
      <c r="P233" s="23" t="s">
        <v>1429</v>
      </c>
      <c r="Q233" s="24" t="s">
        <v>590</v>
      </c>
      <c r="R233" s="25" t="s">
        <v>325</v>
      </c>
      <c r="S233" s="26">
        <v>118</v>
      </c>
      <c r="T233" s="26"/>
      <c r="U233" s="26">
        <v>3615.3</v>
      </c>
      <c r="V233" s="128">
        <f t="shared" si="46"/>
        <v>22</v>
      </c>
      <c r="W233" s="26">
        <f t="shared" si="35"/>
        <v>22</v>
      </c>
      <c r="X233" s="26">
        <f t="shared" si="47"/>
        <v>79536.600000000006</v>
      </c>
      <c r="Y233" s="26">
        <f t="shared" si="44"/>
        <v>79536.600000000006</v>
      </c>
      <c r="Z233" s="33" t="s">
        <v>15</v>
      </c>
      <c r="AA233" s="36" t="s">
        <v>16</v>
      </c>
      <c r="AB233" s="181">
        <f t="shared" si="41"/>
        <v>118</v>
      </c>
      <c r="AC233" s="181">
        <f t="shared" si="48"/>
        <v>426605.4</v>
      </c>
      <c r="AD233" s="181">
        <v>1.6</v>
      </c>
      <c r="AE233" s="181">
        <v>1.6</v>
      </c>
      <c r="AF233" s="101" t="str">
        <f t="shared" si="42"/>
        <v/>
      </c>
      <c r="AG233" s="191">
        <f>22</f>
        <v>22</v>
      </c>
      <c r="AH233" s="69">
        <f t="shared" si="43"/>
        <v>118</v>
      </c>
    </row>
    <row r="234" spans="1:34" s="69" customFormat="1" ht="39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>
        <v>113.98</v>
      </c>
      <c r="I234" s="75">
        <v>316066.53999999998</v>
      </c>
      <c r="J234" s="91" t="s">
        <v>594</v>
      </c>
      <c r="K234" s="73"/>
      <c r="L234" s="46">
        <v>0</v>
      </c>
      <c r="M234" s="46">
        <v>0</v>
      </c>
      <c r="N234" s="46">
        <v>0</v>
      </c>
      <c r="O234" s="98"/>
      <c r="P234" s="23" t="s">
        <v>1430</v>
      </c>
      <c r="Q234" s="24" t="s">
        <v>593</v>
      </c>
      <c r="R234" s="25" t="s">
        <v>110</v>
      </c>
      <c r="S234" s="26">
        <v>2773</v>
      </c>
      <c r="T234" s="26"/>
      <c r="U234" s="26">
        <v>113.98</v>
      </c>
      <c r="V234" s="128">
        <f t="shared" si="46"/>
        <v>517</v>
      </c>
      <c r="W234" s="26">
        <f t="shared" si="35"/>
        <v>517</v>
      </c>
      <c r="X234" s="26">
        <f t="shared" si="47"/>
        <v>58927.66</v>
      </c>
      <c r="Y234" s="26">
        <f t="shared" si="44"/>
        <v>58927.66</v>
      </c>
      <c r="Z234" s="33" t="s">
        <v>15</v>
      </c>
      <c r="AA234" s="36" t="s">
        <v>16</v>
      </c>
      <c r="AB234" s="181">
        <f t="shared" si="41"/>
        <v>2773</v>
      </c>
      <c r="AC234" s="181">
        <f t="shared" si="48"/>
        <v>316066.53999999998</v>
      </c>
      <c r="AD234" s="181">
        <v>1.6</v>
      </c>
      <c r="AE234" s="181">
        <v>1.6</v>
      </c>
      <c r="AF234" s="101" t="str">
        <f t="shared" si="42"/>
        <v/>
      </c>
      <c r="AG234" s="191">
        <f>22*23.5</f>
        <v>517</v>
      </c>
      <c r="AH234" s="69">
        <f t="shared" si="43"/>
        <v>2773</v>
      </c>
    </row>
    <row r="235" spans="1:34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5">
        <v>138.84</v>
      </c>
      <c r="I235" s="75">
        <v>15550.08</v>
      </c>
      <c r="J235" s="91" t="s">
        <v>190</v>
      </c>
      <c r="K235" s="73"/>
      <c r="L235" s="46">
        <v>0</v>
      </c>
      <c r="M235" s="46">
        <v>0</v>
      </c>
      <c r="N235" s="46">
        <v>0</v>
      </c>
      <c r="O235" s="98"/>
      <c r="P235" s="23" t="s">
        <v>1431</v>
      </c>
      <c r="Q235" s="24" t="s">
        <v>189</v>
      </c>
      <c r="R235" s="25" t="s">
        <v>30</v>
      </c>
      <c r="S235" s="26">
        <v>112</v>
      </c>
      <c r="T235" s="26"/>
      <c r="U235" s="26">
        <v>138.84</v>
      </c>
      <c r="V235" s="26">
        <f t="shared" si="46"/>
        <v>0</v>
      </c>
      <c r="W235" s="26">
        <f t="shared" si="35"/>
        <v>0</v>
      </c>
      <c r="X235" s="26">
        <f t="shared" si="47"/>
        <v>0</v>
      </c>
      <c r="Y235" s="26">
        <f t="shared" si="44"/>
        <v>0</v>
      </c>
      <c r="Z235" s="33" t="s">
        <v>15</v>
      </c>
      <c r="AA235" s="36" t="s">
        <v>16</v>
      </c>
      <c r="AB235" s="181">
        <f t="shared" si="41"/>
        <v>112</v>
      </c>
      <c r="AC235" s="181">
        <f t="shared" si="48"/>
        <v>15550.08</v>
      </c>
      <c r="AD235" s="181">
        <v>1.6</v>
      </c>
      <c r="AE235" s="181">
        <v>1.6</v>
      </c>
      <c r="AF235" s="101" t="str">
        <f t="shared" si="42"/>
        <v/>
      </c>
      <c r="AG235" s="190">
        <v>0</v>
      </c>
      <c r="AH235" s="69">
        <f t="shared" si="43"/>
        <v>112</v>
      </c>
    </row>
    <row r="236" spans="1:34" ht="39" x14ac:dyDescent="0.3">
      <c r="A236" s="67" t="s">
        <v>1334</v>
      </c>
      <c r="B236" s="64" t="s">
        <v>1335</v>
      </c>
      <c r="C236" s="61" t="s">
        <v>50</v>
      </c>
      <c r="D236" s="78"/>
      <c r="E236" s="78"/>
      <c r="F236" s="62">
        <v>518.22</v>
      </c>
      <c r="G236" s="140"/>
      <c r="H236" s="78">
        <v>868.85</v>
      </c>
      <c r="I236" s="62">
        <v>450255.45</v>
      </c>
      <c r="J236" s="93"/>
      <c r="L236" s="46">
        <v>0</v>
      </c>
      <c r="M236" s="46">
        <v>0</v>
      </c>
      <c r="N236" s="46">
        <v>0</v>
      </c>
      <c r="O236" s="98"/>
      <c r="P236" s="23" t="s">
        <v>1395</v>
      </c>
      <c r="Q236" s="24" t="s">
        <v>1396</v>
      </c>
      <c r="R236" s="25" t="s">
        <v>50</v>
      </c>
      <c r="S236" s="26">
        <v>0</v>
      </c>
      <c r="T236" s="26">
        <v>518.22</v>
      </c>
      <c r="U236" s="26">
        <v>868.85</v>
      </c>
      <c r="V236" s="128">
        <f t="shared" si="46"/>
        <v>32.5</v>
      </c>
      <c r="W236" s="26">
        <f t="shared" si="35"/>
        <v>32.5</v>
      </c>
      <c r="X236" s="26">
        <f t="shared" si="47"/>
        <v>28237.63</v>
      </c>
      <c r="Y236" s="26">
        <f t="shared" si="44"/>
        <v>28237.63</v>
      </c>
      <c r="Z236" s="27"/>
      <c r="AA236" s="36" t="s">
        <v>16</v>
      </c>
      <c r="AB236" s="181">
        <f t="shared" si="41"/>
        <v>518.22</v>
      </c>
      <c r="AC236" s="181">
        <f t="shared" si="48"/>
        <v>450255.45</v>
      </c>
      <c r="AD236" s="181">
        <v>1.6</v>
      </c>
      <c r="AE236" s="181">
        <v>1.6</v>
      </c>
      <c r="AF236" s="101" t="str">
        <f t="shared" si="42"/>
        <v/>
      </c>
      <c r="AG236" s="191">
        <f>65*0.5</f>
        <v>32.5</v>
      </c>
      <c r="AH236" s="69">
        <f t="shared" si="43"/>
        <v>518.22</v>
      </c>
    </row>
    <row r="237" spans="1:34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2"/>
      <c r="I237" s="82">
        <v>7832216.5700000003</v>
      </c>
      <c r="J237" s="94" t="s">
        <v>15</v>
      </c>
      <c r="K237" s="73"/>
      <c r="L237" s="45">
        <v>1</v>
      </c>
      <c r="M237" s="45">
        <v>109905.12</v>
      </c>
      <c r="N237" s="45">
        <v>2567522.3200000003</v>
      </c>
      <c r="O237" s="98"/>
      <c r="P237" s="18" t="s">
        <v>1397</v>
      </c>
      <c r="Q237" s="19" t="s">
        <v>597</v>
      </c>
      <c r="R237" s="20" t="s">
        <v>14</v>
      </c>
      <c r="S237" s="21">
        <v>1</v>
      </c>
      <c r="T237" s="21"/>
      <c r="U237" s="21">
        <f>SUMIFS(AC:AC,AD:AD,AD237)</f>
        <v>7832216.5699999994</v>
      </c>
      <c r="V237" s="21">
        <f t="shared" ref="V237:W237" si="49">IF(X237=0,0,1)</f>
        <v>1</v>
      </c>
      <c r="W237" s="21">
        <f t="shared" si="49"/>
        <v>1</v>
      </c>
      <c r="X237" s="21">
        <f>SUMIFS(X:X,AE:AE,AD237)</f>
        <v>112723.20000000001</v>
      </c>
      <c r="Y237" s="21">
        <f>SUMIFS(Y:Y,AE:AE,AD237)</f>
        <v>2680245.5200000005</v>
      </c>
      <c r="Z237" s="22" t="s">
        <v>15</v>
      </c>
      <c r="AA237" s="43" t="s">
        <v>16</v>
      </c>
      <c r="AB237" s="181">
        <f t="shared" si="41"/>
        <v>1</v>
      </c>
      <c r="AC237" s="184"/>
      <c r="AD237" s="184">
        <v>1.7</v>
      </c>
      <c r="AE237" s="184"/>
      <c r="AF237" s="101" t="str">
        <f t="shared" si="42"/>
        <v/>
      </c>
      <c r="AG237" s="190">
        <v>1</v>
      </c>
      <c r="AH237" s="69">
        <f t="shared" si="43"/>
        <v>1</v>
      </c>
    </row>
    <row r="238" spans="1:34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>
        <v>704.52</v>
      </c>
      <c r="I238" s="75">
        <v>1829427.08</v>
      </c>
      <c r="J238" s="91" t="s">
        <v>600</v>
      </c>
      <c r="K238" s="73"/>
      <c r="L238" s="46">
        <v>156</v>
      </c>
      <c r="M238" s="46">
        <v>109905.12</v>
      </c>
      <c r="N238" s="46">
        <v>109905.12</v>
      </c>
      <c r="O238" s="98"/>
      <c r="P238" s="23" t="s">
        <v>1421</v>
      </c>
      <c r="Q238" s="24" t="s">
        <v>599</v>
      </c>
      <c r="R238" s="25" t="s">
        <v>103</v>
      </c>
      <c r="S238" s="26">
        <v>2596.6999999999998</v>
      </c>
      <c r="T238" s="26"/>
      <c r="U238" s="26">
        <v>704.52</v>
      </c>
      <c r="V238" s="128">
        <f t="shared" ref="V238:V301" si="50">AG238-L238</f>
        <v>160</v>
      </c>
      <c r="W238" s="26">
        <f t="shared" si="35"/>
        <v>316</v>
      </c>
      <c r="X238" s="26">
        <f t="shared" ref="X238:X301" si="51">Y238-N238</f>
        <v>112723.20000000001</v>
      </c>
      <c r="Y238" s="26">
        <f t="shared" si="44"/>
        <v>222628.32</v>
      </c>
      <c r="Z238" s="33" t="s">
        <v>15</v>
      </c>
      <c r="AA238" s="36" t="s">
        <v>16</v>
      </c>
      <c r="AB238" s="181">
        <f t="shared" si="41"/>
        <v>2596.6999999999998</v>
      </c>
      <c r="AC238" s="181">
        <f t="shared" ref="AC238:AC301" si="52">ROUND(U238*AB238,2)</f>
        <v>1829427.08</v>
      </c>
      <c r="AD238" s="181">
        <v>1.7</v>
      </c>
      <c r="AE238" s="181">
        <v>1.7</v>
      </c>
      <c r="AF238" s="101" t="str">
        <f t="shared" si="42"/>
        <v/>
      </c>
      <c r="AG238" s="191">
        <f>13*12+160</f>
        <v>316</v>
      </c>
      <c r="AH238" s="69">
        <f t="shared" si="43"/>
        <v>2596.6999999999998</v>
      </c>
    </row>
    <row r="239" spans="1:34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>
        <v>400</v>
      </c>
      <c r="I239" s="75">
        <v>50400</v>
      </c>
      <c r="J239" s="91" t="s">
        <v>603</v>
      </c>
      <c r="K239" s="73"/>
      <c r="L239" s="46">
        <v>0</v>
      </c>
      <c r="M239" s="46">
        <v>0</v>
      </c>
      <c r="N239" s="46">
        <v>0</v>
      </c>
      <c r="O239" s="98"/>
      <c r="P239" s="23" t="s">
        <v>1426</v>
      </c>
      <c r="Q239" s="24" t="s">
        <v>602</v>
      </c>
      <c r="R239" s="25" t="s">
        <v>559</v>
      </c>
      <c r="S239" s="26">
        <v>126</v>
      </c>
      <c r="T239" s="26"/>
      <c r="U239" s="26">
        <v>400</v>
      </c>
      <c r="V239" s="26">
        <f t="shared" si="50"/>
        <v>0</v>
      </c>
      <c r="W239" s="26">
        <f t="shared" si="35"/>
        <v>0</v>
      </c>
      <c r="X239" s="26">
        <f t="shared" si="51"/>
        <v>0</v>
      </c>
      <c r="Y239" s="26">
        <f t="shared" si="44"/>
        <v>0</v>
      </c>
      <c r="Z239" s="33" t="s">
        <v>15</v>
      </c>
      <c r="AA239" s="36" t="s">
        <v>16</v>
      </c>
      <c r="AB239" s="181">
        <f t="shared" si="41"/>
        <v>126</v>
      </c>
      <c r="AC239" s="181">
        <f t="shared" si="52"/>
        <v>50400</v>
      </c>
      <c r="AD239" s="181">
        <v>1.7</v>
      </c>
      <c r="AE239" s="181">
        <v>1.7</v>
      </c>
      <c r="AF239" s="101" t="str">
        <f t="shared" si="42"/>
        <v/>
      </c>
      <c r="AG239" s="190">
        <v>0</v>
      </c>
      <c r="AH239" s="69">
        <f t="shared" si="43"/>
        <v>126</v>
      </c>
    </row>
    <row r="240" spans="1:34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>
        <v>3569.95</v>
      </c>
      <c r="I240" s="75">
        <v>42839.4</v>
      </c>
      <c r="J240" s="91" t="s">
        <v>607</v>
      </c>
      <c r="K240" s="73"/>
      <c r="L240" s="46">
        <v>0</v>
      </c>
      <c r="M240" s="46">
        <v>0</v>
      </c>
      <c r="N240" s="46">
        <v>0</v>
      </c>
      <c r="O240" s="98"/>
      <c r="P240" s="23" t="s">
        <v>1402</v>
      </c>
      <c r="Q240" s="24" t="s">
        <v>605</v>
      </c>
      <c r="R240" s="25" t="s">
        <v>606</v>
      </c>
      <c r="S240" s="26">
        <v>12</v>
      </c>
      <c r="T240" s="26"/>
      <c r="U240" s="26">
        <v>3569.95</v>
      </c>
      <c r="V240" s="26">
        <f t="shared" si="50"/>
        <v>0</v>
      </c>
      <c r="W240" s="26">
        <f t="shared" si="35"/>
        <v>0</v>
      </c>
      <c r="X240" s="26">
        <f t="shared" si="51"/>
        <v>0</v>
      </c>
      <c r="Y240" s="26">
        <f t="shared" si="44"/>
        <v>0</v>
      </c>
      <c r="Z240" s="33" t="s">
        <v>15</v>
      </c>
      <c r="AA240" s="36" t="s">
        <v>16</v>
      </c>
      <c r="AB240" s="181">
        <f t="shared" si="41"/>
        <v>12</v>
      </c>
      <c r="AC240" s="181">
        <f t="shared" si="52"/>
        <v>42839.4</v>
      </c>
      <c r="AD240" s="181">
        <v>1.7</v>
      </c>
      <c r="AE240" s="181">
        <v>1.7</v>
      </c>
      <c r="AF240" s="101" t="str">
        <f t="shared" si="42"/>
        <v/>
      </c>
      <c r="AG240" s="190">
        <v>0</v>
      </c>
      <c r="AH240" s="69">
        <f t="shared" si="43"/>
        <v>12</v>
      </c>
    </row>
    <row r="241" spans="1:34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>
        <v>4083.1</v>
      </c>
      <c r="I241" s="75">
        <v>73495.8</v>
      </c>
      <c r="J241" s="91" t="s">
        <v>610</v>
      </c>
      <c r="K241" s="73"/>
      <c r="L241" s="46">
        <v>5</v>
      </c>
      <c r="M241" s="46">
        <v>0</v>
      </c>
      <c r="N241" s="46">
        <v>20415.5</v>
      </c>
      <c r="O241" s="98"/>
      <c r="P241" s="23" t="s">
        <v>1373</v>
      </c>
      <c r="Q241" s="24" t="s">
        <v>609</v>
      </c>
      <c r="R241" s="25" t="s">
        <v>606</v>
      </c>
      <c r="S241" s="26">
        <v>18</v>
      </c>
      <c r="T241" s="26"/>
      <c r="U241" s="26">
        <v>4083.1</v>
      </c>
      <c r="V241" s="26">
        <f t="shared" si="50"/>
        <v>0</v>
      </c>
      <c r="W241" s="26">
        <f t="shared" si="35"/>
        <v>5</v>
      </c>
      <c r="X241" s="26">
        <f t="shared" si="51"/>
        <v>0</v>
      </c>
      <c r="Y241" s="26">
        <f t="shared" si="44"/>
        <v>20415.5</v>
      </c>
      <c r="Z241" s="33" t="s">
        <v>15</v>
      </c>
      <c r="AA241" s="36" t="s">
        <v>16</v>
      </c>
      <c r="AB241" s="181">
        <f t="shared" si="41"/>
        <v>18</v>
      </c>
      <c r="AC241" s="181">
        <f t="shared" si="52"/>
        <v>73495.8</v>
      </c>
      <c r="AD241" s="181">
        <v>1.7</v>
      </c>
      <c r="AE241" s="181">
        <v>1.7</v>
      </c>
      <c r="AF241" s="101" t="str">
        <f t="shared" si="42"/>
        <v/>
      </c>
      <c r="AG241" s="190">
        <v>5</v>
      </c>
      <c r="AH241" s="69">
        <f t="shared" si="43"/>
        <v>18</v>
      </c>
    </row>
    <row r="242" spans="1:34" s="69" customFormat="1" ht="39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203"/>
      <c r="F242" s="203"/>
      <c r="G242" s="203"/>
      <c r="H242" s="75">
        <v>7408.5</v>
      </c>
      <c r="I242" s="75">
        <v>37042.5</v>
      </c>
      <c r="J242" s="91" t="s">
        <v>613</v>
      </c>
      <c r="K242" s="73"/>
      <c r="L242" s="46">
        <v>5</v>
      </c>
      <c r="M242" s="46">
        <v>0</v>
      </c>
      <c r="N242" s="46">
        <v>37042.5</v>
      </c>
      <c r="O242" s="98"/>
      <c r="P242" s="23" t="s">
        <v>1393</v>
      </c>
      <c r="Q242" s="24" t="s">
        <v>612</v>
      </c>
      <c r="R242" s="25" t="s">
        <v>606</v>
      </c>
      <c r="S242" s="26">
        <v>5</v>
      </c>
      <c r="T242" s="26"/>
      <c r="U242" s="26">
        <v>7408.5</v>
      </c>
      <c r="V242" s="127">
        <f t="shared" si="50"/>
        <v>0</v>
      </c>
      <c r="W242" s="127">
        <f t="shared" ref="W242:W305" si="53">V242+L242</f>
        <v>5</v>
      </c>
      <c r="X242" s="127">
        <f t="shared" si="51"/>
        <v>0</v>
      </c>
      <c r="Y242" s="127">
        <f t="shared" si="44"/>
        <v>37042.5</v>
      </c>
      <c r="Z242" s="33" t="s">
        <v>15</v>
      </c>
      <c r="AA242" s="36" t="s">
        <v>16</v>
      </c>
      <c r="AB242" s="181">
        <f t="shared" si="41"/>
        <v>5</v>
      </c>
      <c r="AC242" s="181">
        <f t="shared" si="52"/>
        <v>37042.5</v>
      </c>
      <c r="AD242" s="181">
        <v>1.7</v>
      </c>
      <c r="AE242" s="181">
        <v>1.7</v>
      </c>
      <c r="AF242" s="101" t="str">
        <f t="shared" si="42"/>
        <v/>
      </c>
      <c r="AG242" s="190">
        <v>5</v>
      </c>
      <c r="AH242" s="69">
        <f t="shared" si="43"/>
        <v>5</v>
      </c>
    </row>
    <row r="243" spans="1:34" s="69" customFormat="1" ht="39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203"/>
      <c r="F243" s="203"/>
      <c r="G243" s="203"/>
      <c r="H243" s="75">
        <v>10319.280000000001</v>
      </c>
      <c r="I243" s="75">
        <v>51596.4</v>
      </c>
      <c r="J243" s="91" t="s">
        <v>616</v>
      </c>
      <c r="K243" s="73"/>
      <c r="L243" s="46">
        <v>5</v>
      </c>
      <c r="M243" s="46">
        <v>0</v>
      </c>
      <c r="N243" s="46">
        <v>51596.4</v>
      </c>
      <c r="O243" s="98"/>
      <c r="P243" s="23" t="s">
        <v>1403</v>
      </c>
      <c r="Q243" s="24" t="s">
        <v>615</v>
      </c>
      <c r="R243" s="25" t="s">
        <v>606</v>
      </c>
      <c r="S243" s="26">
        <v>5</v>
      </c>
      <c r="T243" s="26"/>
      <c r="U243" s="26">
        <v>10319.280000000001</v>
      </c>
      <c r="V243" s="127">
        <f t="shared" si="50"/>
        <v>0</v>
      </c>
      <c r="W243" s="127">
        <f t="shared" si="53"/>
        <v>5</v>
      </c>
      <c r="X243" s="127">
        <f t="shared" si="51"/>
        <v>0</v>
      </c>
      <c r="Y243" s="127">
        <f t="shared" si="44"/>
        <v>51596.4</v>
      </c>
      <c r="Z243" s="33" t="s">
        <v>15</v>
      </c>
      <c r="AA243" s="36" t="s">
        <v>16</v>
      </c>
      <c r="AB243" s="181">
        <f t="shared" si="41"/>
        <v>5</v>
      </c>
      <c r="AC243" s="181">
        <f t="shared" si="52"/>
        <v>51596.4</v>
      </c>
      <c r="AD243" s="181">
        <v>1.7</v>
      </c>
      <c r="AE243" s="181">
        <v>1.7</v>
      </c>
      <c r="AF243" s="101" t="str">
        <f t="shared" si="42"/>
        <v/>
      </c>
      <c r="AG243" s="190">
        <v>5</v>
      </c>
      <c r="AH243" s="69">
        <f t="shared" si="43"/>
        <v>5</v>
      </c>
    </row>
    <row r="244" spans="1:34" s="69" customFormat="1" ht="39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203"/>
      <c r="F244" s="203"/>
      <c r="G244" s="203"/>
      <c r="H244" s="75">
        <v>15164.14</v>
      </c>
      <c r="I244" s="75">
        <v>30328.28</v>
      </c>
      <c r="J244" s="91" t="s">
        <v>619</v>
      </c>
      <c r="K244" s="73"/>
      <c r="L244" s="46">
        <v>2</v>
      </c>
      <c r="M244" s="46">
        <v>0</v>
      </c>
      <c r="N244" s="46">
        <v>30328.28</v>
      </c>
      <c r="O244" s="98"/>
      <c r="P244" s="23" t="s">
        <v>1427</v>
      </c>
      <c r="Q244" s="24" t="s">
        <v>618</v>
      </c>
      <c r="R244" s="25" t="s">
        <v>606</v>
      </c>
      <c r="S244" s="26">
        <v>2</v>
      </c>
      <c r="T244" s="26"/>
      <c r="U244" s="26">
        <v>15164.14</v>
      </c>
      <c r="V244" s="127">
        <f t="shared" si="50"/>
        <v>0</v>
      </c>
      <c r="W244" s="127">
        <f t="shared" si="53"/>
        <v>2</v>
      </c>
      <c r="X244" s="127">
        <f t="shared" si="51"/>
        <v>0</v>
      </c>
      <c r="Y244" s="127">
        <f t="shared" si="44"/>
        <v>30328.28</v>
      </c>
      <c r="Z244" s="33" t="s">
        <v>15</v>
      </c>
      <c r="AA244" s="36" t="s">
        <v>16</v>
      </c>
      <c r="AB244" s="181">
        <f t="shared" si="41"/>
        <v>2</v>
      </c>
      <c r="AC244" s="181">
        <f t="shared" si="52"/>
        <v>30328.28</v>
      </c>
      <c r="AD244" s="181">
        <v>1.7</v>
      </c>
      <c r="AE244" s="181">
        <v>1.7</v>
      </c>
      <c r="AF244" s="101" t="str">
        <f t="shared" si="42"/>
        <v/>
      </c>
      <c r="AG244" s="190">
        <v>2</v>
      </c>
      <c r="AH244" s="69">
        <f t="shared" si="43"/>
        <v>2</v>
      </c>
    </row>
    <row r="245" spans="1:34" s="69" customFormat="1" ht="39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203"/>
      <c r="F245" s="203"/>
      <c r="G245" s="203"/>
      <c r="H245" s="75">
        <v>21803.06</v>
      </c>
      <c r="I245" s="75">
        <v>130818.36</v>
      </c>
      <c r="J245" s="91" t="s">
        <v>622</v>
      </c>
      <c r="K245" s="73"/>
      <c r="L245" s="46">
        <v>6</v>
      </c>
      <c r="M245" s="46">
        <v>0</v>
      </c>
      <c r="N245" s="46">
        <v>130818.36</v>
      </c>
      <c r="O245" s="98"/>
      <c r="P245" s="23" t="s">
        <v>1428</v>
      </c>
      <c r="Q245" s="24" t="s">
        <v>621</v>
      </c>
      <c r="R245" s="25" t="s">
        <v>606</v>
      </c>
      <c r="S245" s="26">
        <v>6</v>
      </c>
      <c r="T245" s="26"/>
      <c r="U245" s="26">
        <v>21803.06</v>
      </c>
      <c r="V245" s="127">
        <f t="shared" si="50"/>
        <v>0</v>
      </c>
      <c r="W245" s="127">
        <f t="shared" si="53"/>
        <v>6</v>
      </c>
      <c r="X245" s="127">
        <f t="shared" si="51"/>
        <v>0</v>
      </c>
      <c r="Y245" s="127">
        <f t="shared" si="44"/>
        <v>130818.36</v>
      </c>
      <c r="Z245" s="33" t="s">
        <v>15</v>
      </c>
      <c r="AA245" s="36" t="s">
        <v>16</v>
      </c>
      <c r="AB245" s="181">
        <f t="shared" si="41"/>
        <v>6</v>
      </c>
      <c r="AC245" s="181">
        <f t="shared" si="52"/>
        <v>130818.36</v>
      </c>
      <c r="AD245" s="181">
        <v>1.7</v>
      </c>
      <c r="AE245" s="181">
        <v>1.7</v>
      </c>
      <c r="AF245" s="101" t="str">
        <f t="shared" si="42"/>
        <v/>
      </c>
      <c r="AG245" s="190">
        <v>6</v>
      </c>
      <c r="AH245" s="69">
        <f t="shared" si="43"/>
        <v>6</v>
      </c>
    </row>
    <row r="246" spans="1:34" s="69" customFormat="1" ht="39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203"/>
      <c r="F246" s="203"/>
      <c r="G246" s="203"/>
      <c r="H246" s="75">
        <v>26196.51</v>
      </c>
      <c r="I246" s="75">
        <v>78589.53</v>
      </c>
      <c r="J246" s="91" t="s">
        <v>625</v>
      </c>
      <c r="K246" s="73"/>
      <c r="L246" s="46">
        <v>3</v>
      </c>
      <c r="M246" s="46">
        <v>0</v>
      </c>
      <c r="N246" s="46">
        <v>78589.53</v>
      </c>
      <c r="O246" s="98"/>
      <c r="P246" s="23" t="s">
        <v>1387</v>
      </c>
      <c r="Q246" s="24" t="s">
        <v>624</v>
      </c>
      <c r="R246" s="25" t="s">
        <v>606</v>
      </c>
      <c r="S246" s="26">
        <v>3</v>
      </c>
      <c r="T246" s="26"/>
      <c r="U246" s="26">
        <v>26196.51</v>
      </c>
      <c r="V246" s="127">
        <f t="shared" si="50"/>
        <v>0</v>
      </c>
      <c r="W246" s="127">
        <f t="shared" si="53"/>
        <v>3</v>
      </c>
      <c r="X246" s="127">
        <f t="shared" si="51"/>
        <v>0</v>
      </c>
      <c r="Y246" s="127">
        <f t="shared" si="44"/>
        <v>78589.53</v>
      </c>
      <c r="Z246" s="33" t="s">
        <v>15</v>
      </c>
      <c r="AA246" s="36" t="s">
        <v>16</v>
      </c>
      <c r="AB246" s="181">
        <f t="shared" si="41"/>
        <v>3</v>
      </c>
      <c r="AC246" s="181">
        <f t="shared" si="52"/>
        <v>78589.53</v>
      </c>
      <c r="AD246" s="181">
        <v>1.7</v>
      </c>
      <c r="AE246" s="181">
        <v>1.7</v>
      </c>
      <c r="AF246" s="101" t="str">
        <f t="shared" si="42"/>
        <v/>
      </c>
      <c r="AG246" s="190">
        <v>3</v>
      </c>
      <c r="AH246" s="69">
        <f t="shared" si="43"/>
        <v>3</v>
      </c>
    </row>
    <row r="247" spans="1:34" s="69" customFormat="1" ht="39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203"/>
      <c r="F247" s="203"/>
      <c r="G247" s="203"/>
      <c r="H247" s="75">
        <v>29984.85</v>
      </c>
      <c r="I247" s="75">
        <v>59969.7</v>
      </c>
      <c r="J247" s="91" t="s">
        <v>628</v>
      </c>
      <c r="K247" s="73"/>
      <c r="L247" s="46">
        <v>2</v>
      </c>
      <c r="M247" s="46">
        <v>0</v>
      </c>
      <c r="N247" s="46">
        <v>59969.7</v>
      </c>
      <c r="O247" s="98"/>
      <c r="P247" s="23" t="s">
        <v>1405</v>
      </c>
      <c r="Q247" s="24" t="s">
        <v>627</v>
      </c>
      <c r="R247" s="25" t="s">
        <v>606</v>
      </c>
      <c r="S247" s="26">
        <v>2</v>
      </c>
      <c r="T247" s="26"/>
      <c r="U247" s="26">
        <v>29984.85</v>
      </c>
      <c r="V247" s="127">
        <f t="shared" si="50"/>
        <v>0</v>
      </c>
      <c r="W247" s="127">
        <f t="shared" si="53"/>
        <v>2</v>
      </c>
      <c r="X247" s="127">
        <f t="shared" si="51"/>
        <v>0</v>
      </c>
      <c r="Y247" s="127">
        <f t="shared" si="44"/>
        <v>59969.7</v>
      </c>
      <c r="Z247" s="33" t="s">
        <v>15</v>
      </c>
      <c r="AA247" s="36" t="s">
        <v>16</v>
      </c>
      <c r="AB247" s="181">
        <f t="shared" si="41"/>
        <v>2</v>
      </c>
      <c r="AC247" s="181">
        <f t="shared" si="52"/>
        <v>59969.7</v>
      </c>
      <c r="AD247" s="181">
        <v>1.7</v>
      </c>
      <c r="AE247" s="181">
        <v>1.7</v>
      </c>
      <c r="AF247" s="101" t="str">
        <f t="shared" si="42"/>
        <v/>
      </c>
      <c r="AG247" s="190">
        <v>2</v>
      </c>
      <c r="AH247" s="69">
        <f t="shared" si="43"/>
        <v>2</v>
      </c>
    </row>
    <row r="248" spans="1:34" s="69" customFormat="1" ht="39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203"/>
      <c r="F248" s="203"/>
      <c r="G248" s="203"/>
      <c r="H248" s="75">
        <v>38914.949999999997</v>
      </c>
      <c r="I248" s="75">
        <v>116744.85</v>
      </c>
      <c r="J248" s="91" t="s">
        <v>631</v>
      </c>
      <c r="K248" s="73"/>
      <c r="L248" s="46">
        <v>3</v>
      </c>
      <c r="M248" s="46">
        <v>0</v>
      </c>
      <c r="N248" s="46">
        <v>116744.85</v>
      </c>
      <c r="O248" s="98"/>
      <c r="P248" s="23" t="s">
        <v>1406</v>
      </c>
      <c r="Q248" s="24" t="s">
        <v>630</v>
      </c>
      <c r="R248" s="25" t="s">
        <v>606</v>
      </c>
      <c r="S248" s="26">
        <v>3</v>
      </c>
      <c r="T248" s="26"/>
      <c r="U248" s="26">
        <v>38914.949999999997</v>
      </c>
      <c r="V248" s="127">
        <f t="shared" si="50"/>
        <v>0</v>
      </c>
      <c r="W248" s="127">
        <f t="shared" si="53"/>
        <v>3</v>
      </c>
      <c r="X248" s="127">
        <f t="shared" si="51"/>
        <v>0</v>
      </c>
      <c r="Y248" s="127">
        <f t="shared" si="44"/>
        <v>116744.85</v>
      </c>
      <c r="Z248" s="33" t="s">
        <v>15</v>
      </c>
      <c r="AA248" s="36" t="s">
        <v>16</v>
      </c>
      <c r="AB248" s="181">
        <f t="shared" si="41"/>
        <v>3</v>
      </c>
      <c r="AC248" s="181">
        <f t="shared" si="52"/>
        <v>116744.85</v>
      </c>
      <c r="AD248" s="181">
        <v>1.7</v>
      </c>
      <c r="AE248" s="181">
        <v>1.7</v>
      </c>
      <c r="AF248" s="101" t="str">
        <f t="shared" si="42"/>
        <v/>
      </c>
      <c r="AG248" s="190">
        <v>3</v>
      </c>
      <c r="AH248" s="69">
        <f t="shared" si="43"/>
        <v>3</v>
      </c>
    </row>
    <row r="249" spans="1:34" s="69" customFormat="1" ht="39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203"/>
      <c r="F249" s="203"/>
      <c r="G249" s="203"/>
      <c r="H249" s="75">
        <v>43624.88</v>
      </c>
      <c r="I249" s="75">
        <v>130874.64</v>
      </c>
      <c r="J249" s="91" t="s">
        <v>634</v>
      </c>
      <c r="K249" s="73"/>
      <c r="L249" s="46">
        <v>3</v>
      </c>
      <c r="M249" s="46">
        <v>0</v>
      </c>
      <c r="N249" s="46">
        <v>130874.64</v>
      </c>
      <c r="O249" s="98"/>
      <c r="P249" s="23" t="s">
        <v>1414</v>
      </c>
      <c r="Q249" s="24" t="s">
        <v>633</v>
      </c>
      <c r="R249" s="25" t="s">
        <v>606</v>
      </c>
      <c r="S249" s="26">
        <v>3</v>
      </c>
      <c r="T249" s="26"/>
      <c r="U249" s="26">
        <v>43624.88</v>
      </c>
      <c r="V249" s="127">
        <f t="shared" si="50"/>
        <v>0</v>
      </c>
      <c r="W249" s="127">
        <f t="shared" si="53"/>
        <v>3</v>
      </c>
      <c r="X249" s="127">
        <f t="shared" si="51"/>
        <v>0</v>
      </c>
      <c r="Y249" s="127">
        <f t="shared" si="44"/>
        <v>130874.64</v>
      </c>
      <c r="Z249" s="33" t="s">
        <v>15</v>
      </c>
      <c r="AA249" s="36" t="s">
        <v>16</v>
      </c>
      <c r="AB249" s="181">
        <f t="shared" si="41"/>
        <v>3</v>
      </c>
      <c r="AC249" s="181">
        <f t="shared" si="52"/>
        <v>130874.64</v>
      </c>
      <c r="AD249" s="181">
        <v>1.7</v>
      </c>
      <c r="AE249" s="181">
        <v>1.7</v>
      </c>
      <c r="AF249" s="101" t="str">
        <f t="shared" si="42"/>
        <v/>
      </c>
      <c r="AG249" s="190">
        <v>3</v>
      </c>
      <c r="AH249" s="69">
        <f t="shared" si="43"/>
        <v>3</v>
      </c>
    </row>
    <row r="250" spans="1:34" s="69" customFormat="1" ht="39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203"/>
      <c r="F250" s="203"/>
      <c r="G250" s="203"/>
      <c r="H250" s="75">
        <v>73088.800000000003</v>
      </c>
      <c r="I250" s="75">
        <v>73088.800000000003</v>
      </c>
      <c r="J250" s="91" t="s">
        <v>637</v>
      </c>
      <c r="K250" s="73"/>
      <c r="L250" s="46">
        <v>1</v>
      </c>
      <c r="M250" s="46">
        <v>0</v>
      </c>
      <c r="N250" s="46">
        <v>73088.800000000003</v>
      </c>
      <c r="O250" s="98"/>
      <c r="P250" s="23" t="s">
        <v>1429</v>
      </c>
      <c r="Q250" s="24" t="s">
        <v>636</v>
      </c>
      <c r="R250" s="25" t="s">
        <v>606</v>
      </c>
      <c r="S250" s="26">
        <v>1</v>
      </c>
      <c r="T250" s="26"/>
      <c r="U250" s="26">
        <v>73088.800000000003</v>
      </c>
      <c r="V250" s="127">
        <f t="shared" si="50"/>
        <v>0</v>
      </c>
      <c r="W250" s="127">
        <f t="shared" si="53"/>
        <v>1</v>
      </c>
      <c r="X250" s="127">
        <f t="shared" si="51"/>
        <v>0</v>
      </c>
      <c r="Y250" s="127">
        <f t="shared" si="44"/>
        <v>73088.800000000003</v>
      </c>
      <c r="Z250" s="33" t="s">
        <v>15</v>
      </c>
      <c r="AA250" s="36" t="s">
        <v>16</v>
      </c>
      <c r="AB250" s="181">
        <f t="shared" si="41"/>
        <v>1</v>
      </c>
      <c r="AC250" s="181">
        <f t="shared" si="52"/>
        <v>73088.800000000003</v>
      </c>
      <c r="AD250" s="181">
        <v>1.7</v>
      </c>
      <c r="AE250" s="181">
        <v>1.7</v>
      </c>
      <c r="AF250" s="101" t="str">
        <f t="shared" si="42"/>
        <v/>
      </c>
      <c r="AG250" s="190">
        <v>1</v>
      </c>
      <c r="AH250" s="69">
        <f t="shared" si="43"/>
        <v>1</v>
      </c>
    </row>
    <row r="251" spans="1:34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>
        <v>22814.5</v>
      </c>
      <c r="I251" s="75">
        <v>136887</v>
      </c>
      <c r="J251" s="91" t="s">
        <v>640</v>
      </c>
      <c r="K251" s="73"/>
      <c r="L251" s="46">
        <v>0</v>
      </c>
      <c r="M251" s="46">
        <v>0</v>
      </c>
      <c r="N251" s="46">
        <v>0</v>
      </c>
      <c r="O251" s="98"/>
      <c r="P251" s="23" t="s">
        <v>1430</v>
      </c>
      <c r="Q251" s="24" t="s">
        <v>639</v>
      </c>
      <c r="R251" s="25" t="s">
        <v>606</v>
      </c>
      <c r="S251" s="26">
        <v>6</v>
      </c>
      <c r="T251" s="26"/>
      <c r="U251" s="26">
        <v>22814.5</v>
      </c>
      <c r="V251" s="26">
        <f t="shared" si="50"/>
        <v>0</v>
      </c>
      <c r="W251" s="26">
        <f t="shared" si="53"/>
        <v>0</v>
      </c>
      <c r="X251" s="26">
        <f t="shared" si="51"/>
        <v>0</v>
      </c>
      <c r="Y251" s="26">
        <f t="shared" si="44"/>
        <v>0</v>
      </c>
      <c r="Z251" s="33" t="s">
        <v>15</v>
      </c>
      <c r="AA251" s="36" t="s">
        <v>16</v>
      </c>
      <c r="AB251" s="181">
        <f t="shared" si="41"/>
        <v>6</v>
      </c>
      <c r="AC251" s="181">
        <f t="shared" si="52"/>
        <v>136887</v>
      </c>
      <c r="AD251" s="181">
        <v>1.7</v>
      </c>
      <c r="AE251" s="181">
        <v>1.7</v>
      </c>
      <c r="AF251" s="101" t="str">
        <f t="shared" si="42"/>
        <v/>
      </c>
      <c r="AG251" s="190">
        <v>0</v>
      </c>
      <c r="AH251" s="69">
        <f t="shared" si="43"/>
        <v>6</v>
      </c>
    </row>
    <row r="252" spans="1:34" s="69" customFormat="1" ht="58.5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203"/>
      <c r="F252" s="203"/>
      <c r="G252" s="203"/>
      <c r="H252" s="75">
        <v>1963.3</v>
      </c>
      <c r="I252" s="75">
        <v>5889.9</v>
      </c>
      <c r="J252" s="91" t="s">
        <v>643</v>
      </c>
      <c r="K252" s="73"/>
      <c r="L252" s="46">
        <v>3</v>
      </c>
      <c r="M252" s="46">
        <v>0</v>
      </c>
      <c r="N252" s="46">
        <v>5889.9</v>
      </c>
      <c r="O252" s="98"/>
      <c r="P252" s="23" t="s">
        <v>1431</v>
      </c>
      <c r="Q252" s="24" t="s">
        <v>642</v>
      </c>
      <c r="R252" s="25" t="s">
        <v>606</v>
      </c>
      <c r="S252" s="26">
        <v>3</v>
      </c>
      <c r="T252" s="26"/>
      <c r="U252" s="26">
        <v>1963.3</v>
      </c>
      <c r="V252" s="127">
        <f t="shared" si="50"/>
        <v>0</v>
      </c>
      <c r="W252" s="127">
        <f t="shared" si="53"/>
        <v>3</v>
      </c>
      <c r="X252" s="127">
        <f t="shared" si="51"/>
        <v>0</v>
      </c>
      <c r="Y252" s="127">
        <f t="shared" si="44"/>
        <v>5889.9</v>
      </c>
      <c r="Z252" s="33" t="s">
        <v>15</v>
      </c>
      <c r="AA252" s="36" t="s">
        <v>16</v>
      </c>
      <c r="AB252" s="181">
        <f t="shared" si="41"/>
        <v>3</v>
      </c>
      <c r="AC252" s="181">
        <f t="shared" si="52"/>
        <v>5889.9</v>
      </c>
      <c r="AD252" s="181">
        <v>1.7</v>
      </c>
      <c r="AE252" s="181">
        <v>1.7</v>
      </c>
      <c r="AF252" s="101" t="str">
        <f t="shared" si="42"/>
        <v/>
      </c>
      <c r="AG252" s="190">
        <v>3</v>
      </c>
      <c r="AH252" s="69">
        <f t="shared" si="43"/>
        <v>3</v>
      </c>
    </row>
    <row r="253" spans="1:34" s="69" customFormat="1" ht="58.5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203"/>
      <c r="F253" s="203"/>
      <c r="G253" s="203"/>
      <c r="H253" s="75">
        <v>2216.6</v>
      </c>
      <c r="I253" s="75">
        <v>11083</v>
      </c>
      <c r="J253" s="91" t="s">
        <v>646</v>
      </c>
      <c r="K253" s="73"/>
      <c r="L253" s="46">
        <v>5</v>
      </c>
      <c r="M253" s="46">
        <v>0</v>
      </c>
      <c r="N253" s="46">
        <v>11083</v>
      </c>
      <c r="O253" s="98"/>
      <c r="P253" s="23" t="s">
        <v>1395</v>
      </c>
      <c r="Q253" s="24" t="s">
        <v>645</v>
      </c>
      <c r="R253" s="25" t="s">
        <v>606</v>
      </c>
      <c r="S253" s="26">
        <v>5</v>
      </c>
      <c r="T253" s="26"/>
      <c r="U253" s="26">
        <v>2216.6</v>
      </c>
      <c r="V253" s="127">
        <f t="shared" si="50"/>
        <v>0</v>
      </c>
      <c r="W253" s="127">
        <f t="shared" si="53"/>
        <v>5</v>
      </c>
      <c r="X253" s="127">
        <f t="shared" si="51"/>
        <v>0</v>
      </c>
      <c r="Y253" s="127">
        <f t="shared" si="44"/>
        <v>11083</v>
      </c>
      <c r="Z253" s="33" t="s">
        <v>15</v>
      </c>
      <c r="AA253" s="36" t="s">
        <v>16</v>
      </c>
      <c r="AB253" s="181">
        <f t="shared" si="41"/>
        <v>5</v>
      </c>
      <c r="AC253" s="181">
        <f t="shared" si="52"/>
        <v>11083</v>
      </c>
      <c r="AD253" s="181">
        <v>1.7</v>
      </c>
      <c r="AE253" s="181">
        <v>1.7</v>
      </c>
      <c r="AF253" s="101" t="str">
        <f t="shared" si="42"/>
        <v/>
      </c>
      <c r="AG253" s="190">
        <v>5</v>
      </c>
      <c r="AH253" s="69">
        <f t="shared" si="43"/>
        <v>5</v>
      </c>
    </row>
    <row r="254" spans="1:34" s="69" customFormat="1" ht="58.5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75">
        <v>2999.02</v>
      </c>
      <c r="I254" s="75">
        <v>50983.34</v>
      </c>
      <c r="J254" s="91" t="s">
        <v>649</v>
      </c>
      <c r="K254" s="73"/>
      <c r="L254" s="46">
        <v>7</v>
      </c>
      <c r="M254" s="46">
        <v>0</v>
      </c>
      <c r="N254" s="46">
        <v>20993.14</v>
      </c>
      <c r="O254" s="98"/>
      <c r="P254" s="23" t="s">
        <v>1432</v>
      </c>
      <c r="Q254" s="24" t="s">
        <v>648</v>
      </c>
      <c r="R254" s="25" t="s">
        <v>606</v>
      </c>
      <c r="S254" s="26">
        <v>7</v>
      </c>
      <c r="T254" s="26">
        <v>17</v>
      </c>
      <c r="U254" s="26">
        <v>2999.02</v>
      </c>
      <c r="V254" s="26">
        <f t="shared" si="50"/>
        <v>0</v>
      </c>
      <c r="W254" s="26">
        <f t="shared" si="53"/>
        <v>7</v>
      </c>
      <c r="X254" s="26">
        <f t="shared" si="51"/>
        <v>0</v>
      </c>
      <c r="Y254" s="26">
        <f t="shared" si="44"/>
        <v>20993.14</v>
      </c>
      <c r="Z254" s="27" t="s">
        <v>15</v>
      </c>
      <c r="AA254" s="36" t="s">
        <v>16</v>
      </c>
      <c r="AB254" s="181">
        <f t="shared" si="41"/>
        <v>17</v>
      </c>
      <c r="AC254" s="181">
        <f t="shared" si="52"/>
        <v>50983.34</v>
      </c>
      <c r="AD254" s="181">
        <v>1.7</v>
      </c>
      <c r="AE254" s="181">
        <v>1.7</v>
      </c>
      <c r="AF254" s="101" t="str">
        <f t="shared" si="42"/>
        <v/>
      </c>
      <c r="AG254" s="190">
        <v>7</v>
      </c>
      <c r="AH254" s="69">
        <f t="shared" si="43"/>
        <v>17</v>
      </c>
    </row>
    <row r="255" spans="1:34" s="69" customFormat="1" ht="58.5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203"/>
      <c r="F255" s="203"/>
      <c r="G255" s="203"/>
      <c r="H255" s="75">
        <v>4720.5600000000004</v>
      </c>
      <c r="I255" s="75">
        <v>14161.68</v>
      </c>
      <c r="J255" s="91" t="s">
        <v>652</v>
      </c>
      <c r="K255" s="73"/>
      <c r="L255" s="46">
        <v>3</v>
      </c>
      <c r="M255" s="46">
        <v>0</v>
      </c>
      <c r="N255" s="46">
        <v>14161.68</v>
      </c>
      <c r="O255" s="98"/>
      <c r="P255" s="23" t="s">
        <v>1433</v>
      </c>
      <c r="Q255" s="24" t="s">
        <v>651</v>
      </c>
      <c r="R255" s="25" t="s">
        <v>606</v>
      </c>
      <c r="S255" s="26">
        <v>3</v>
      </c>
      <c r="T255" s="26"/>
      <c r="U255" s="26">
        <v>4720.5600000000004</v>
      </c>
      <c r="V255" s="127">
        <f t="shared" si="50"/>
        <v>0</v>
      </c>
      <c r="W255" s="127">
        <f t="shared" si="53"/>
        <v>3</v>
      </c>
      <c r="X255" s="127">
        <f t="shared" si="51"/>
        <v>0</v>
      </c>
      <c r="Y255" s="127">
        <f t="shared" si="44"/>
        <v>14161.68</v>
      </c>
      <c r="Z255" s="33" t="s">
        <v>15</v>
      </c>
      <c r="AA255" s="36" t="s">
        <v>16</v>
      </c>
      <c r="AB255" s="181">
        <f t="shared" si="41"/>
        <v>3</v>
      </c>
      <c r="AC255" s="181">
        <f t="shared" si="52"/>
        <v>14161.68</v>
      </c>
      <c r="AD255" s="181">
        <v>1.7</v>
      </c>
      <c r="AE255" s="181">
        <v>1.7</v>
      </c>
      <c r="AF255" s="101" t="str">
        <f t="shared" si="42"/>
        <v/>
      </c>
      <c r="AG255" s="190">
        <v>3</v>
      </c>
      <c r="AH255" s="69">
        <f t="shared" si="43"/>
        <v>3</v>
      </c>
    </row>
    <row r="256" spans="1:34" s="69" customFormat="1" ht="58.5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203"/>
      <c r="F256" s="203"/>
      <c r="G256" s="203"/>
      <c r="H256" s="75">
        <v>5897.9</v>
      </c>
      <c r="I256" s="75">
        <v>23591.599999999999</v>
      </c>
      <c r="J256" s="91" t="s">
        <v>655</v>
      </c>
      <c r="K256" s="73"/>
      <c r="L256" s="46">
        <v>4</v>
      </c>
      <c r="M256" s="46">
        <v>0</v>
      </c>
      <c r="N256" s="46">
        <v>23591.599999999999</v>
      </c>
      <c r="O256" s="98"/>
      <c r="P256" s="23" t="s">
        <v>1382</v>
      </c>
      <c r="Q256" s="24" t="s">
        <v>654</v>
      </c>
      <c r="R256" s="25" t="s">
        <v>606</v>
      </c>
      <c r="S256" s="26">
        <v>4</v>
      </c>
      <c r="T256" s="26"/>
      <c r="U256" s="26">
        <v>5897.9</v>
      </c>
      <c r="V256" s="127">
        <f t="shared" si="50"/>
        <v>0</v>
      </c>
      <c r="W256" s="127">
        <f t="shared" si="53"/>
        <v>4</v>
      </c>
      <c r="X256" s="127">
        <f t="shared" si="51"/>
        <v>0</v>
      </c>
      <c r="Y256" s="127">
        <f t="shared" si="44"/>
        <v>23591.599999999999</v>
      </c>
      <c r="Z256" s="33" t="s">
        <v>15</v>
      </c>
      <c r="AA256" s="36" t="s">
        <v>16</v>
      </c>
      <c r="AB256" s="181">
        <f t="shared" si="41"/>
        <v>4</v>
      </c>
      <c r="AC256" s="181">
        <f t="shared" si="52"/>
        <v>23591.599999999999</v>
      </c>
      <c r="AD256" s="181">
        <v>1.7</v>
      </c>
      <c r="AE256" s="181">
        <v>1.7</v>
      </c>
      <c r="AF256" s="101" t="str">
        <f t="shared" si="42"/>
        <v/>
      </c>
      <c r="AG256" s="190">
        <v>4</v>
      </c>
      <c r="AH256" s="69">
        <f t="shared" si="43"/>
        <v>4</v>
      </c>
    </row>
    <row r="257" spans="1:34" s="69" customFormat="1" ht="39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203"/>
      <c r="F257" s="203"/>
      <c r="G257" s="203"/>
      <c r="H257" s="75">
        <v>9356.16</v>
      </c>
      <c r="I257" s="75">
        <v>9356.16</v>
      </c>
      <c r="J257" s="91" t="s">
        <v>658</v>
      </c>
      <c r="K257" s="73"/>
      <c r="L257" s="46">
        <v>1</v>
      </c>
      <c r="M257" s="46">
        <v>0</v>
      </c>
      <c r="N257" s="46">
        <v>9356.16</v>
      </c>
      <c r="O257" s="98"/>
      <c r="P257" s="23" t="s">
        <v>1434</v>
      </c>
      <c r="Q257" s="24" t="s">
        <v>657</v>
      </c>
      <c r="R257" s="25" t="s">
        <v>606</v>
      </c>
      <c r="S257" s="26">
        <v>1</v>
      </c>
      <c r="T257" s="26"/>
      <c r="U257" s="26">
        <v>9356.16</v>
      </c>
      <c r="V257" s="127">
        <f t="shared" si="50"/>
        <v>0</v>
      </c>
      <c r="W257" s="127">
        <f t="shared" si="53"/>
        <v>1</v>
      </c>
      <c r="X257" s="127">
        <f t="shared" si="51"/>
        <v>0</v>
      </c>
      <c r="Y257" s="127">
        <f t="shared" si="44"/>
        <v>9356.16</v>
      </c>
      <c r="Z257" s="33" t="s">
        <v>15</v>
      </c>
      <c r="AA257" s="36" t="s">
        <v>16</v>
      </c>
      <c r="AB257" s="181">
        <f t="shared" si="41"/>
        <v>1</v>
      </c>
      <c r="AC257" s="181">
        <f t="shared" si="52"/>
        <v>9356.16</v>
      </c>
      <c r="AD257" s="181">
        <v>1.7</v>
      </c>
      <c r="AE257" s="181">
        <v>1.7</v>
      </c>
      <c r="AF257" s="101" t="str">
        <f t="shared" si="42"/>
        <v/>
      </c>
      <c r="AG257" s="190">
        <v>1</v>
      </c>
      <c r="AH257" s="69">
        <f t="shared" si="43"/>
        <v>1</v>
      </c>
    </row>
    <row r="258" spans="1:34" s="69" customFormat="1" ht="39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203"/>
      <c r="F258" s="203"/>
      <c r="G258" s="203"/>
      <c r="H258" s="75">
        <v>13184.01</v>
      </c>
      <c r="I258" s="75">
        <v>13184.01</v>
      </c>
      <c r="J258" s="91" t="s">
        <v>661</v>
      </c>
      <c r="K258" s="73"/>
      <c r="L258" s="46">
        <v>1</v>
      </c>
      <c r="M258" s="46">
        <v>0</v>
      </c>
      <c r="N258" s="46">
        <v>13184.01</v>
      </c>
      <c r="O258" s="98"/>
      <c r="P258" s="23" t="s">
        <v>1388</v>
      </c>
      <c r="Q258" s="24" t="s">
        <v>660</v>
      </c>
      <c r="R258" s="25" t="s">
        <v>606</v>
      </c>
      <c r="S258" s="26">
        <v>1</v>
      </c>
      <c r="T258" s="26"/>
      <c r="U258" s="26">
        <v>13184.01</v>
      </c>
      <c r="V258" s="127">
        <f t="shared" si="50"/>
        <v>0</v>
      </c>
      <c r="W258" s="127">
        <f t="shared" si="53"/>
        <v>1</v>
      </c>
      <c r="X258" s="127">
        <f t="shared" si="51"/>
        <v>0</v>
      </c>
      <c r="Y258" s="127">
        <f t="shared" si="44"/>
        <v>13184.01</v>
      </c>
      <c r="Z258" s="33" t="s">
        <v>15</v>
      </c>
      <c r="AA258" s="36" t="s">
        <v>16</v>
      </c>
      <c r="AB258" s="181">
        <f t="shared" si="41"/>
        <v>1</v>
      </c>
      <c r="AC258" s="181">
        <f t="shared" si="52"/>
        <v>13184.01</v>
      </c>
      <c r="AD258" s="181">
        <v>1.7</v>
      </c>
      <c r="AE258" s="181">
        <v>1.7</v>
      </c>
      <c r="AF258" s="101" t="str">
        <f t="shared" si="42"/>
        <v/>
      </c>
      <c r="AG258" s="190">
        <v>1</v>
      </c>
      <c r="AH258" s="69">
        <f t="shared" si="43"/>
        <v>1</v>
      </c>
    </row>
    <row r="259" spans="1:34" s="69" customFormat="1" ht="39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203"/>
      <c r="F259" s="203"/>
      <c r="G259" s="203"/>
      <c r="H259" s="75">
        <v>1859.87</v>
      </c>
      <c r="I259" s="75">
        <v>87432.49</v>
      </c>
      <c r="J259" s="91" t="s">
        <v>664</v>
      </c>
      <c r="K259" s="73"/>
      <c r="L259" s="46">
        <v>47.01</v>
      </c>
      <c r="M259" s="46">
        <v>0</v>
      </c>
      <c r="N259" s="46">
        <v>87432.49</v>
      </c>
      <c r="O259" s="98"/>
      <c r="P259" s="23" t="s">
        <v>1389</v>
      </c>
      <c r="Q259" s="24" t="s">
        <v>663</v>
      </c>
      <c r="R259" s="25" t="s">
        <v>30</v>
      </c>
      <c r="S259" s="26">
        <v>47.01</v>
      </c>
      <c r="T259" s="26"/>
      <c r="U259" s="26">
        <v>1859.87</v>
      </c>
      <c r="V259" s="127">
        <f t="shared" si="50"/>
        <v>0</v>
      </c>
      <c r="W259" s="127">
        <f t="shared" si="53"/>
        <v>47.01</v>
      </c>
      <c r="X259" s="127">
        <f t="shared" si="51"/>
        <v>0</v>
      </c>
      <c r="Y259" s="127">
        <f t="shared" si="44"/>
        <v>87432.49</v>
      </c>
      <c r="Z259" s="33" t="s">
        <v>15</v>
      </c>
      <c r="AA259" s="36" t="s">
        <v>16</v>
      </c>
      <c r="AB259" s="181">
        <f t="shared" si="41"/>
        <v>47.01</v>
      </c>
      <c r="AC259" s="181">
        <f t="shared" si="52"/>
        <v>87432.49</v>
      </c>
      <c r="AD259" s="181">
        <v>1.7</v>
      </c>
      <c r="AE259" s="181">
        <v>1.7</v>
      </c>
      <c r="AF259" s="101" t="str">
        <f t="shared" si="42"/>
        <v/>
      </c>
      <c r="AG259" s="190">
        <v>47.01</v>
      </c>
      <c r="AH259" s="69">
        <f t="shared" si="43"/>
        <v>47.01</v>
      </c>
    </row>
    <row r="260" spans="1:34" s="69" customFormat="1" ht="39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203"/>
      <c r="F260" s="203"/>
      <c r="G260" s="203"/>
      <c r="H260" s="75">
        <v>40</v>
      </c>
      <c r="I260" s="75">
        <v>2520</v>
      </c>
      <c r="J260" s="91" t="s">
        <v>667</v>
      </c>
      <c r="K260" s="73"/>
      <c r="L260" s="46">
        <v>63</v>
      </c>
      <c r="M260" s="46">
        <v>0</v>
      </c>
      <c r="N260" s="46">
        <v>2520</v>
      </c>
      <c r="O260" s="98"/>
      <c r="P260" s="23" t="s">
        <v>1390</v>
      </c>
      <c r="Q260" s="24" t="s">
        <v>666</v>
      </c>
      <c r="R260" s="25" t="s">
        <v>325</v>
      </c>
      <c r="S260" s="26">
        <v>63</v>
      </c>
      <c r="T260" s="26"/>
      <c r="U260" s="26">
        <v>40</v>
      </c>
      <c r="V260" s="127">
        <f t="shared" si="50"/>
        <v>0</v>
      </c>
      <c r="W260" s="127">
        <f t="shared" si="53"/>
        <v>63</v>
      </c>
      <c r="X260" s="127">
        <f t="shared" si="51"/>
        <v>0</v>
      </c>
      <c r="Y260" s="127">
        <f t="shared" si="44"/>
        <v>2520</v>
      </c>
      <c r="Z260" s="33" t="s">
        <v>15</v>
      </c>
      <c r="AA260" s="36" t="s">
        <v>16</v>
      </c>
      <c r="AB260" s="181">
        <f t="shared" si="41"/>
        <v>63</v>
      </c>
      <c r="AC260" s="181">
        <f t="shared" si="52"/>
        <v>2520</v>
      </c>
      <c r="AD260" s="181">
        <v>1.7</v>
      </c>
      <c r="AE260" s="181">
        <v>1.7</v>
      </c>
      <c r="AF260" s="101" t="str">
        <f t="shared" si="42"/>
        <v/>
      </c>
      <c r="AG260" s="190">
        <v>63</v>
      </c>
      <c r="AH260" s="69">
        <f t="shared" si="43"/>
        <v>63</v>
      </c>
    </row>
    <row r="261" spans="1:34" s="69" customFormat="1" ht="58.5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203"/>
      <c r="F261" s="203"/>
      <c r="G261" s="203"/>
      <c r="H261" s="75">
        <v>35</v>
      </c>
      <c r="I261" s="75">
        <v>11025</v>
      </c>
      <c r="J261" s="91" t="s">
        <v>670</v>
      </c>
      <c r="K261" s="73"/>
      <c r="L261" s="46">
        <v>315</v>
      </c>
      <c r="M261" s="46">
        <v>0</v>
      </c>
      <c r="N261" s="46">
        <v>11025</v>
      </c>
      <c r="O261" s="98"/>
      <c r="P261" s="23" t="s">
        <v>1391</v>
      </c>
      <c r="Q261" s="24" t="s">
        <v>669</v>
      </c>
      <c r="R261" s="25" t="s">
        <v>162</v>
      </c>
      <c r="S261" s="26">
        <v>315</v>
      </c>
      <c r="T261" s="26"/>
      <c r="U261" s="26">
        <v>35</v>
      </c>
      <c r="V261" s="127">
        <f t="shared" si="50"/>
        <v>0</v>
      </c>
      <c r="W261" s="127">
        <f t="shared" si="53"/>
        <v>315</v>
      </c>
      <c r="X261" s="127">
        <f t="shared" si="51"/>
        <v>0</v>
      </c>
      <c r="Y261" s="127">
        <f t="shared" si="44"/>
        <v>11025</v>
      </c>
      <c r="Z261" s="33" t="s">
        <v>15</v>
      </c>
      <c r="AA261" s="36" t="s">
        <v>16</v>
      </c>
      <c r="AB261" s="181">
        <f t="shared" si="41"/>
        <v>315</v>
      </c>
      <c r="AC261" s="181">
        <f t="shared" si="52"/>
        <v>11025</v>
      </c>
      <c r="AD261" s="181">
        <v>1.7</v>
      </c>
      <c r="AE261" s="181">
        <v>1.7</v>
      </c>
      <c r="AF261" s="101" t="str">
        <f t="shared" si="42"/>
        <v/>
      </c>
      <c r="AG261" s="190">
        <v>315</v>
      </c>
      <c r="AH261" s="69">
        <f t="shared" si="43"/>
        <v>315</v>
      </c>
    </row>
    <row r="262" spans="1:34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>
        <v>10</v>
      </c>
      <c r="I262" s="75">
        <v>12000</v>
      </c>
      <c r="J262" s="91" t="s">
        <v>673</v>
      </c>
      <c r="K262" s="73"/>
      <c r="L262" s="46">
        <v>0</v>
      </c>
      <c r="M262" s="46">
        <v>0</v>
      </c>
      <c r="N262" s="46">
        <v>0</v>
      </c>
      <c r="O262" s="98"/>
      <c r="P262" s="23" t="s">
        <v>1436</v>
      </c>
      <c r="Q262" s="24" t="s">
        <v>672</v>
      </c>
      <c r="R262" s="25" t="s">
        <v>30</v>
      </c>
      <c r="S262" s="26">
        <v>1200</v>
      </c>
      <c r="T262" s="26"/>
      <c r="U262" s="26">
        <v>10</v>
      </c>
      <c r="V262" s="26">
        <f t="shared" si="50"/>
        <v>0</v>
      </c>
      <c r="W262" s="26">
        <f t="shared" si="53"/>
        <v>0</v>
      </c>
      <c r="X262" s="26">
        <f t="shared" si="51"/>
        <v>0</v>
      </c>
      <c r="Y262" s="26">
        <f t="shared" si="44"/>
        <v>0</v>
      </c>
      <c r="Z262" s="33" t="s">
        <v>15</v>
      </c>
      <c r="AA262" s="36" t="s">
        <v>16</v>
      </c>
      <c r="AB262" s="181">
        <f t="shared" si="41"/>
        <v>1200</v>
      </c>
      <c r="AC262" s="181">
        <f t="shared" si="52"/>
        <v>12000</v>
      </c>
      <c r="AD262" s="181">
        <v>1.7</v>
      </c>
      <c r="AE262" s="181">
        <v>1.7</v>
      </c>
      <c r="AF262" s="101" t="str">
        <f t="shared" si="42"/>
        <v/>
      </c>
      <c r="AG262" s="190">
        <v>0</v>
      </c>
      <c r="AH262" s="69">
        <f t="shared" si="43"/>
        <v>1200</v>
      </c>
    </row>
    <row r="263" spans="1:34" s="69" customFormat="1" ht="33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203"/>
      <c r="F263" s="203"/>
      <c r="G263" s="203"/>
      <c r="H263" s="75">
        <v>531</v>
      </c>
      <c r="I263" s="75">
        <v>16381.35</v>
      </c>
      <c r="J263" s="91" t="s">
        <v>676</v>
      </c>
      <c r="K263" s="73"/>
      <c r="L263" s="46">
        <v>30.85</v>
      </c>
      <c r="M263" s="46">
        <v>0</v>
      </c>
      <c r="N263" s="46">
        <v>16381.35</v>
      </c>
      <c r="O263" s="98"/>
      <c r="P263" s="23" t="s">
        <v>1374</v>
      </c>
      <c r="Q263" s="24" t="s">
        <v>675</v>
      </c>
      <c r="R263" s="25" t="s">
        <v>50</v>
      </c>
      <c r="S263" s="26">
        <v>30.85</v>
      </c>
      <c r="T263" s="26"/>
      <c r="U263" s="26">
        <v>531</v>
      </c>
      <c r="V263" s="127">
        <f t="shared" si="50"/>
        <v>0</v>
      </c>
      <c r="W263" s="127">
        <f t="shared" si="53"/>
        <v>30.85</v>
      </c>
      <c r="X263" s="127">
        <f t="shared" si="51"/>
        <v>0</v>
      </c>
      <c r="Y263" s="127">
        <f t="shared" si="44"/>
        <v>16381.35</v>
      </c>
      <c r="Z263" s="33" t="s">
        <v>15</v>
      </c>
      <c r="AA263" s="36" t="s">
        <v>16</v>
      </c>
      <c r="AB263" s="181">
        <f t="shared" si="41"/>
        <v>30.85</v>
      </c>
      <c r="AC263" s="181">
        <f t="shared" si="52"/>
        <v>16381.35</v>
      </c>
      <c r="AD263" s="181">
        <v>1.7</v>
      </c>
      <c r="AE263" s="181">
        <v>1.7</v>
      </c>
      <c r="AF263" s="101" t="str">
        <f t="shared" si="42"/>
        <v/>
      </c>
      <c r="AG263" s="190">
        <v>30.85</v>
      </c>
      <c r="AH263" s="69">
        <f t="shared" si="43"/>
        <v>30.85</v>
      </c>
    </row>
    <row r="264" spans="1:34" s="69" customFormat="1" ht="33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203"/>
      <c r="F264" s="203"/>
      <c r="G264" s="203"/>
      <c r="H264" s="75">
        <v>3386.57</v>
      </c>
      <c r="I264" s="75">
        <v>12530.31</v>
      </c>
      <c r="J264" s="91" t="s">
        <v>679</v>
      </c>
      <c r="K264" s="73"/>
      <c r="L264" s="46">
        <v>3.7</v>
      </c>
      <c r="M264" s="46">
        <v>0</v>
      </c>
      <c r="N264" s="46">
        <v>12530.31</v>
      </c>
      <c r="O264" s="98"/>
      <c r="P264" s="23" t="s">
        <v>1376</v>
      </c>
      <c r="Q264" s="24" t="s">
        <v>678</v>
      </c>
      <c r="R264" s="25" t="s">
        <v>23</v>
      </c>
      <c r="S264" s="26">
        <v>3.7</v>
      </c>
      <c r="T264" s="26"/>
      <c r="U264" s="26">
        <v>3386.57</v>
      </c>
      <c r="V264" s="127">
        <f t="shared" si="50"/>
        <v>0</v>
      </c>
      <c r="W264" s="127">
        <f t="shared" si="53"/>
        <v>3.7</v>
      </c>
      <c r="X264" s="127">
        <f t="shared" si="51"/>
        <v>0</v>
      </c>
      <c r="Y264" s="127">
        <f t="shared" si="44"/>
        <v>12530.31</v>
      </c>
      <c r="Z264" s="33" t="s">
        <v>15</v>
      </c>
      <c r="AA264" s="36" t="s">
        <v>16</v>
      </c>
      <c r="AB264" s="181">
        <f t="shared" si="41"/>
        <v>3.7</v>
      </c>
      <c r="AC264" s="181">
        <f t="shared" si="52"/>
        <v>12530.31</v>
      </c>
      <c r="AD264" s="181">
        <v>1.7</v>
      </c>
      <c r="AE264" s="181">
        <v>1.7</v>
      </c>
      <c r="AF264" s="101" t="str">
        <f t="shared" si="42"/>
        <v/>
      </c>
      <c r="AG264" s="190">
        <v>3.7</v>
      </c>
      <c r="AH264" s="69">
        <f t="shared" si="43"/>
        <v>3.7</v>
      </c>
    </row>
    <row r="265" spans="1:34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75"/>
      <c r="H265" s="75">
        <v>108000</v>
      </c>
      <c r="I265" s="75">
        <v>108000</v>
      </c>
      <c r="J265" s="91" t="s">
        <v>682</v>
      </c>
      <c r="K265" s="73"/>
      <c r="L265" s="46">
        <v>0</v>
      </c>
      <c r="M265" s="46">
        <v>0</v>
      </c>
      <c r="N265" s="46">
        <v>0</v>
      </c>
      <c r="O265" s="98"/>
      <c r="P265" s="23" t="s">
        <v>1378</v>
      </c>
      <c r="Q265" s="24" t="s">
        <v>681</v>
      </c>
      <c r="R265" s="25" t="s">
        <v>14</v>
      </c>
      <c r="S265" s="26">
        <v>1</v>
      </c>
      <c r="T265" s="26"/>
      <c r="U265" s="26">
        <v>108000</v>
      </c>
      <c r="V265" s="26">
        <f t="shared" si="50"/>
        <v>0</v>
      </c>
      <c r="W265" s="26">
        <f t="shared" si="53"/>
        <v>0</v>
      </c>
      <c r="X265" s="26">
        <f t="shared" si="51"/>
        <v>0</v>
      </c>
      <c r="Y265" s="26">
        <f t="shared" si="44"/>
        <v>0</v>
      </c>
      <c r="Z265" s="33" t="s">
        <v>15</v>
      </c>
      <c r="AA265" s="36" t="s">
        <v>16</v>
      </c>
      <c r="AB265" s="181">
        <f t="shared" si="41"/>
        <v>1</v>
      </c>
      <c r="AC265" s="181">
        <f t="shared" si="52"/>
        <v>108000</v>
      </c>
      <c r="AD265" s="181">
        <v>1.7</v>
      </c>
      <c r="AE265" s="181">
        <v>1.7</v>
      </c>
      <c r="AF265" s="101" t="str">
        <f t="shared" si="42"/>
        <v/>
      </c>
      <c r="AG265" s="190">
        <v>0</v>
      </c>
      <c r="AH265" s="69">
        <f t="shared" si="43"/>
        <v>1</v>
      </c>
    </row>
    <row r="266" spans="1:34" s="69" customFormat="1" ht="33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75"/>
      <c r="H266" s="75">
        <v>500</v>
      </c>
      <c r="I266" s="75">
        <v>724160</v>
      </c>
      <c r="J266" s="91" t="s">
        <v>685</v>
      </c>
      <c r="K266" s="73"/>
      <c r="L266" s="46">
        <v>0</v>
      </c>
      <c r="M266" s="46">
        <v>0</v>
      </c>
      <c r="N266" s="46">
        <v>0</v>
      </c>
      <c r="O266" s="98"/>
      <c r="P266" s="23" t="s">
        <v>1438</v>
      </c>
      <c r="Q266" s="24" t="s">
        <v>684</v>
      </c>
      <c r="R266" s="25" t="s">
        <v>50</v>
      </c>
      <c r="S266" s="26">
        <v>1448.32</v>
      </c>
      <c r="T266" s="26"/>
      <c r="U266" s="26">
        <v>500</v>
      </c>
      <c r="V266" s="26">
        <f t="shared" si="50"/>
        <v>0</v>
      </c>
      <c r="W266" s="26">
        <f t="shared" si="53"/>
        <v>0</v>
      </c>
      <c r="X266" s="26">
        <f t="shared" si="51"/>
        <v>0</v>
      </c>
      <c r="Y266" s="26">
        <f t="shared" si="44"/>
        <v>0</v>
      </c>
      <c r="Z266" s="33" t="s">
        <v>15</v>
      </c>
      <c r="AA266" s="36" t="s">
        <v>16</v>
      </c>
      <c r="AB266" s="181">
        <f t="shared" si="41"/>
        <v>1448.32</v>
      </c>
      <c r="AC266" s="181">
        <f t="shared" si="52"/>
        <v>724160</v>
      </c>
      <c r="AD266" s="181">
        <v>1.7</v>
      </c>
      <c r="AE266" s="181">
        <v>1.7</v>
      </c>
      <c r="AF266" s="101" t="str">
        <f t="shared" si="42"/>
        <v/>
      </c>
      <c r="AG266" s="190">
        <v>0</v>
      </c>
      <c r="AH266" s="69">
        <f t="shared" si="43"/>
        <v>1448.32</v>
      </c>
    </row>
    <row r="267" spans="1:34" s="69" customFormat="1" ht="58.5" hidden="1" x14ac:dyDescent="0.3">
      <c r="A267" s="55" t="s">
        <v>686</v>
      </c>
      <c r="B267" s="53" t="s">
        <v>687</v>
      </c>
      <c r="C267" s="54" t="s">
        <v>606</v>
      </c>
      <c r="D267" s="75">
        <v>42</v>
      </c>
      <c r="E267" s="75"/>
      <c r="F267" s="75"/>
      <c r="G267" s="75"/>
      <c r="H267" s="75">
        <v>10176.969999999999</v>
      </c>
      <c r="I267" s="75">
        <v>427432.74</v>
      </c>
      <c r="J267" s="91" t="s">
        <v>688</v>
      </c>
      <c r="K267" s="73"/>
      <c r="L267" s="46">
        <v>0</v>
      </c>
      <c r="M267" s="46">
        <v>0</v>
      </c>
      <c r="N267" s="46">
        <v>0</v>
      </c>
      <c r="O267" s="98"/>
      <c r="P267" s="23" t="s">
        <v>1439</v>
      </c>
      <c r="Q267" s="24" t="s">
        <v>687</v>
      </c>
      <c r="R267" s="25" t="s">
        <v>606</v>
      </c>
      <c r="S267" s="26">
        <v>42</v>
      </c>
      <c r="T267" s="26"/>
      <c r="U267" s="26">
        <v>10176.969999999999</v>
      </c>
      <c r="V267" s="26">
        <f t="shared" si="50"/>
        <v>0</v>
      </c>
      <c r="W267" s="26">
        <f t="shared" si="53"/>
        <v>0</v>
      </c>
      <c r="X267" s="26">
        <f t="shared" si="51"/>
        <v>0</v>
      </c>
      <c r="Y267" s="26">
        <f t="shared" si="44"/>
        <v>0</v>
      </c>
      <c r="Z267" s="33" t="s">
        <v>15</v>
      </c>
      <c r="AA267" s="36" t="s">
        <v>16</v>
      </c>
      <c r="AB267" s="181">
        <f t="shared" ref="AB267:AB330" si="54">IF(T267="",S267,T267)</f>
        <v>42</v>
      </c>
      <c r="AC267" s="181">
        <f t="shared" si="52"/>
        <v>427432.74</v>
      </c>
      <c r="AD267" s="181">
        <v>1.7</v>
      </c>
      <c r="AE267" s="181">
        <v>1.7</v>
      </c>
      <c r="AF267" s="101" t="str">
        <f t="shared" ref="AF267:AF330" si="55">IF(W267&gt;AH267,"超估","")</f>
        <v/>
      </c>
      <c r="AG267" s="190">
        <v>0</v>
      </c>
      <c r="AH267" s="69">
        <f t="shared" ref="AH267:AH330" si="56">IF(G267=0,IF(F267=0,IF(E267=0,D267,E267),F267),G267)</f>
        <v>42</v>
      </c>
    </row>
    <row r="268" spans="1:34" s="69" customFormat="1" ht="58.5" hidden="1" x14ac:dyDescent="0.3">
      <c r="A268" s="55" t="s">
        <v>689</v>
      </c>
      <c r="B268" s="53" t="s">
        <v>690</v>
      </c>
      <c r="C268" s="54" t="s">
        <v>606</v>
      </c>
      <c r="D268" s="75">
        <v>19</v>
      </c>
      <c r="E268" s="75"/>
      <c r="F268" s="75"/>
      <c r="G268" s="75"/>
      <c r="H268" s="75">
        <v>13526.18</v>
      </c>
      <c r="I268" s="75">
        <v>256997.42</v>
      </c>
      <c r="J268" s="91" t="s">
        <v>691</v>
      </c>
      <c r="K268" s="73"/>
      <c r="L268" s="46">
        <v>0</v>
      </c>
      <c r="M268" s="46">
        <v>0</v>
      </c>
      <c r="N268" s="46">
        <v>0</v>
      </c>
      <c r="O268" s="98"/>
      <c r="P268" s="23" t="s">
        <v>1440</v>
      </c>
      <c r="Q268" s="24" t="s">
        <v>690</v>
      </c>
      <c r="R268" s="25" t="s">
        <v>606</v>
      </c>
      <c r="S268" s="26">
        <v>19</v>
      </c>
      <c r="T268" s="26"/>
      <c r="U268" s="26">
        <v>13526.18</v>
      </c>
      <c r="V268" s="26">
        <f t="shared" si="50"/>
        <v>0</v>
      </c>
      <c r="W268" s="26">
        <f t="shared" si="53"/>
        <v>0</v>
      </c>
      <c r="X268" s="26">
        <f t="shared" si="51"/>
        <v>0</v>
      </c>
      <c r="Y268" s="26">
        <f t="shared" ref="Y268:Y331" si="57">ROUND(U268*W268,2)</f>
        <v>0</v>
      </c>
      <c r="Z268" s="33" t="s">
        <v>15</v>
      </c>
      <c r="AA268" s="36" t="s">
        <v>16</v>
      </c>
      <c r="AB268" s="181">
        <f t="shared" si="54"/>
        <v>19</v>
      </c>
      <c r="AC268" s="181">
        <f t="shared" si="52"/>
        <v>256997.42</v>
      </c>
      <c r="AD268" s="181">
        <v>1.7</v>
      </c>
      <c r="AE268" s="181">
        <v>1.7</v>
      </c>
      <c r="AF268" s="101" t="str">
        <f t="shared" si="55"/>
        <v/>
      </c>
      <c r="AG268" s="190">
        <v>0</v>
      </c>
      <c r="AH268" s="69">
        <f t="shared" si="56"/>
        <v>19</v>
      </c>
    </row>
    <row r="269" spans="1:34" s="69" customFormat="1" ht="58.5" hidden="1" x14ac:dyDescent="0.3">
      <c r="A269" s="55" t="s">
        <v>692</v>
      </c>
      <c r="B269" s="53" t="s">
        <v>693</v>
      </c>
      <c r="C269" s="54" t="s">
        <v>606</v>
      </c>
      <c r="D269" s="75">
        <v>8</v>
      </c>
      <c r="E269" s="75"/>
      <c r="F269" s="75"/>
      <c r="G269" s="75"/>
      <c r="H269" s="75">
        <v>8660.64</v>
      </c>
      <c r="I269" s="75">
        <v>69285.119999999995</v>
      </c>
      <c r="J269" s="91" t="s">
        <v>694</v>
      </c>
      <c r="K269" s="73"/>
      <c r="L269" s="46">
        <v>0</v>
      </c>
      <c r="M269" s="46">
        <v>0</v>
      </c>
      <c r="N269" s="46">
        <v>0</v>
      </c>
      <c r="O269" s="98"/>
      <c r="P269" s="23" t="s">
        <v>1441</v>
      </c>
      <c r="Q269" s="24" t="s">
        <v>693</v>
      </c>
      <c r="R269" s="25" t="s">
        <v>606</v>
      </c>
      <c r="S269" s="26">
        <v>8</v>
      </c>
      <c r="T269" s="26"/>
      <c r="U269" s="26">
        <v>8660.64</v>
      </c>
      <c r="V269" s="26">
        <f t="shared" si="50"/>
        <v>0</v>
      </c>
      <c r="W269" s="26">
        <f t="shared" si="53"/>
        <v>0</v>
      </c>
      <c r="X269" s="26">
        <f t="shared" si="51"/>
        <v>0</v>
      </c>
      <c r="Y269" s="26">
        <f t="shared" si="57"/>
        <v>0</v>
      </c>
      <c r="Z269" s="33" t="s">
        <v>15</v>
      </c>
      <c r="AA269" s="36" t="s">
        <v>16</v>
      </c>
      <c r="AB269" s="181">
        <f t="shared" si="54"/>
        <v>8</v>
      </c>
      <c r="AC269" s="181">
        <f t="shared" si="52"/>
        <v>69285.119999999995</v>
      </c>
      <c r="AD269" s="181">
        <v>1.7</v>
      </c>
      <c r="AE269" s="181">
        <v>1.7</v>
      </c>
      <c r="AF269" s="101" t="str">
        <f t="shared" si="55"/>
        <v/>
      </c>
      <c r="AG269" s="190">
        <v>0</v>
      </c>
      <c r="AH269" s="69">
        <f t="shared" si="56"/>
        <v>8</v>
      </c>
    </row>
    <row r="270" spans="1:34" s="69" customFormat="1" ht="58.5" hidden="1" x14ac:dyDescent="0.3">
      <c r="A270" s="55" t="s">
        <v>695</v>
      </c>
      <c r="B270" s="53" t="s">
        <v>696</v>
      </c>
      <c r="C270" s="54" t="s">
        <v>606</v>
      </c>
      <c r="D270" s="75">
        <v>8</v>
      </c>
      <c r="E270" s="75"/>
      <c r="F270" s="75"/>
      <c r="G270" s="75"/>
      <c r="H270" s="75">
        <v>17930.64</v>
      </c>
      <c r="I270" s="75">
        <v>143445.12</v>
      </c>
      <c r="J270" s="91" t="s">
        <v>697</v>
      </c>
      <c r="K270" s="73"/>
      <c r="L270" s="46">
        <v>0</v>
      </c>
      <c r="M270" s="46">
        <v>0</v>
      </c>
      <c r="N270" s="46">
        <v>0</v>
      </c>
      <c r="O270" s="98"/>
      <c r="P270" s="23" t="s">
        <v>1442</v>
      </c>
      <c r="Q270" s="24" t="s">
        <v>696</v>
      </c>
      <c r="R270" s="25" t="s">
        <v>606</v>
      </c>
      <c r="S270" s="26">
        <v>8</v>
      </c>
      <c r="T270" s="26"/>
      <c r="U270" s="26">
        <v>17930.64</v>
      </c>
      <c r="V270" s="26">
        <f t="shared" si="50"/>
        <v>0</v>
      </c>
      <c r="W270" s="26">
        <f t="shared" si="53"/>
        <v>0</v>
      </c>
      <c r="X270" s="26">
        <f t="shared" si="51"/>
        <v>0</v>
      </c>
      <c r="Y270" s="26">
        <f t="shared" si="57"/>
        <v>0</v>
      </c>
      <c r="Z270" s="33" t="s">
        <v>15</v>
      </c>
      <c r="AA270" s="36" t="s">
        <v>16</v>
      </c>
      <c r="AB270" s="181">
        <f t="shared" si="54"/>
        <v>8</v>
      </c>
      <c r="AC270" s="181">
        <f t="shared" si="52"/>
        <v>143445.12</v>
      </c>
      <c r="AD270" s="181">
        <v>1.7</v>
      </c>
      <c r="AE270" s="181">
        <v>1.7</v>
      </c>
      <c r="AF270" s="101" t="str">
        <f t="shared" si="55"/>
        <v/>
      </c>
      <c r="AG270" s="190">
        <v>0</v>
      </c>
      <c r="AH270" s="69">
        <f t="shared" si="56"/>
        <v>8</v>
      </c>
    </row>
    <row r="271" spans="1:34" s="69" customFormat="1" ht="58.5" hidden="1" x14ac:dyDescent="0.3">
      <c r="A271" s="55" t="s">
        <v>698</v>
      </c>
      <c r="B271" s="53" t="s">
        <v>699</v>
      </c>
      <c r="C271" s="54" t="s">
        <v>606</v>
      </c>
      <c r="D271" s="75">
        <v>14</v>
      </c>
      <c r="E271" s="75"/>
      <c r="F271" s="75"/>
      <c r="G271" s="75"/>
      <c r="H271" s="75">
        <v>5272.95</v>
      </c>
      <c r="I271" s="75">
        <v>73821.3</v>
      </c>
      <c r="J271" s="91" t="s">
        <v>700</v>
      </c>
      <c r="K271" s="73"/>
      <c r="L271" s="46">
        <v>0</v>
      </c>
      <c r="M271" s="46">
        <v>0</v>
      </c>
      <c r="N271" s="46">
        <v>0</v>
      </c>
      <c r="O271" s="98"/>
      <c r="P271" s="23" t="s">
        <v>1443</v>
      </c>
      <c r="Q271" s="24" t="s">
        <v>699</v>
      </c>
      <c r="R271" s="25" t="s">
        <v>606</v>
      </c>
      <c r="S271" s="26">
        <v>14</v>
      </c>
      <c r="T271" s="26"/>
      <c r="U271" s="26">
        <v>5272.95</v>
      </c>
      <c r="V271" s="26">
        <f t="shared" si="50"/>
        <v>0</v>
      </c>
      <c r="W271" s="26">
        <f t="shared" si="53"/>
        <v>0</v>
      </c>
      <c r="X271" s="26">
        <f t="shared" si="51"/>
        <v>0</v>
      </c>
      <c r="Y271" s="26">
        <f t="shared" si="57"/>
        <v>0</v>
      </c>
      <c r="Z271" s="33" t="s">
        <v>15</v>
      </c>
      <c r="AA271" s="36" t="s">
        <v>16</v>
      </c>
      <c r="AB271" s="181">
        <f t="shared" si="54"/>
        <v>14</v>
      </c>
      <c r="AC271" s="181">
        <f t="shared" si="52"/>
        <v>73821.3</v>
      </c>
      <c r="AD271" s="181">
        <v>1.7</v>
      </c>
      <c r="AE271" s="181">
        <v>1.7</v>
      </c>
      <c r="AF271" s="101" t="str">
        <f t="shared" si="55"/>
        <v/>
      </c>
      <c r="AG271" s="190">
        <v>0</v>
      </c>
      <c r="AH271" s="69">
        <f t="shared" si="56"/>
        <v>14</v>
      </c>
    </row>
    <row r="272" spans="1:34" s="69" customFormat="1" ht="58.5" hidden="1" x14ac:dyDescent="0.3">
      <c r="A272" s="55" t="s">
        <v>701</v>
      </c>
      <c r="B272" s="53" t="s">
        <v>702</v>
      </c>
      <c r="C272" s="54" t="s">
        <v>606</v>
      </c>
      <c r="D272" s="75">
        <v>15</v>
      </c>
      <c r="E272" s="75"/>
      <c r="F272" s="75"/>
      <c r="G272" s="75"/>
      <c r="H272" s="75">
        <v>5272.95</v>
      </c>
      <c r="I272" s="75">
        <v>79094.25</v>
      </c>
      <c r="J272" s="91" t="s">
        <v>703</v>
      </c>
      <c r="K272" s="73"/>
      <c r="L272" s="46">
        <v>0</v>
      </c>
      <c r="M272" s="46">
        <v>0</v>
      </c>
      <c r="N272" s="46">
        <v>0</v>
      </c>
      <c r="O272" s="98"/>
      <c r="P272" s="23" t="s">
        <v>1444</v>
      </c>
      <c r="Q272" s="24" t="s">
        <v>702</v>
      </c>
      <c r="R272" s="25" t="s">
        <v>606</v>
      </c>
      <c r="S272" s="26">
        <v>15</v>
      </c>
      <c r="T272" s="26"/>
      <c r="U272" s="26">
        <v>5272.95</v>
      </c>
      <c r="V272" s="26">
        <f t="shared" si="50"/>
        <v>0</v>
      </c>
      <c r="W272" s="26">
        <f t="shared" si="53"/>
        <v>0</v>
      </c>
      <c r="X272" s="26">
        <f t="shared" si="51"/>
        <v>0</v>
      </c>
      <c r="Y272" s="26">
        <f t="shared" si="57"/>
        <v>0</v>
      </c>
      <c r="Z272" s="33" t="s">
        <v>15</v>
      </c>
      <c r="AA272" s="36" t="s">
        <v>16</v>
      </c>
      <c r="AB272" s="181">
        <f t="shared" si="54"/>
        <v>15</v>
      </c>
      <c r="AC272" s="181">
        <f t="shared" si="52"/>
        <v>79094.25</v>
      </c>
      <c r="AD272" s="181">
        <v>1.7</v>
      </c>
      <c r="AE272" s="181">
        <v>1.7</v>
      </c>
      <c r="AF272" s="101" t="str">
        <f t="shared" si="55"/>
        <v/>
      </c>
      <c r="AG272" s="190">
        <v>0</v>
      </c>
      <c r="AH272" s="69">
        <f t="shared" si="56"/>
        <v>15</v>
      </c>
    </row>
    <row r="273" spans="1:34" s="69" customFormat="1" ht="58.5" hidden="1" x14ac:dyDescent="0.3">
      <c r="A273" s="55" t="s">
        <v>704</v>
      </c>
      <c r="B273" s="53" t="s">
        <v>705</v>
      </c>
      <c r="C273" s="54" t="s">
        <v>606</v>
      </c>
      <c r="D273" s="75">
        <v>1</v>
      </c>
      <c r="E273" s="75"/>
      <c r="F273" s="75"/>
      <c r="G273" s="75"/>
      <c r="H273" s="75">
        <v>7859.47</v>
      </c>
      <c r="I273" s="75">
        <v>7859.47</v>
      </c>
      <c r="J273" s="91" t="s">
        <v>706</v>
      </c>
      <c r="K273" s="73"/>
      <c r="L273" s="46">
        <v>0</v>
      </c>
      <c r="M273" s="46">
        <v>0</v>
      </c>
      <c r="N273" s="46">
        <v>0</v>
      </c>
      <c r="O273" s="98"/>
      <c r="P273" s="23" t="s">
        <v>1408</v>
      </c>
      <c r="Q273" s="24" t="s">
        <v>705</v>
      </c>
      <c r="R273" s="25" t="s">
        <v>606</v>
      </c>
      <c r="S273" s="26">
        <v>1</v>
      </c>
      <c r="T273" s="26"/>
      <c r="U273" s="26">
        <v>7859.47</v>
      </c>
      <c r="V273" s="26">
        <f t="shared" si="50"/>
        <v>0</v>
      </c>
      <c r="W273" s="26">
        <f t="shared" si="53"/>
        <v>0</v>
      </c>
      <c r="X273" s="26">
        <f t="shared" si="51"/>
        <v>0</v>
      </c>
      <c r="Y273" s="26">
        <f t="shared" si="57"/>
        <v>0</v>
      </c>
      <c r="Z273" s="33" t="s">
        <v>15</v>
      </c>
      <c r="AA273" s="36" t="s">
        <v>16</v>
      </c>
      <c r="AB273" s="181">
        <f t="shared" si="54"/>
        <v>1</v>
      </c>
      <c r="AC273" s="181">
        <f t="shared" si="52"/>
        <v>7859.47</v>
      </c>
      <c r="AD273" s="181">
        <v>1.7</v>
      </c>
      <c r="AE273" s="181">
        <v>1.7</v>
      </c>
      <c r="AF273" s="101" t="str">
        <f t="shared" si="55"/>
        <v/>
      </c>
      <c r="AG273" s="190">
        <v>0</v>
      </c>
      <c r="AH273" s="69">
        <f t="shared" si="56"/>
        <v>1</v>
      </c>
    </row>
    <row r="274" spans="1:34" s="69" customFormat="1" ht="58.5" hidden="1" x14ac:dyDescent="0.3">
      <c r="A274" s="55" t="s">
        <v>707</v>
      </c>
      <c r="B274" s="53" t="s">
        <v>708</v>
      </c>
      <c r="C274" s="54" t="s">
        <v>606</v>
      </c>
      <c r="D274" s="75">
        <v>1</v>
      </c>
      <c r="E274" s="75"/>
      <c r="F274" s="75"/>
      <c r="G274" s="75"/>
      <c r="H274" s="75">
        <v>5839.45</v>
      </c>
      <c r="I274" s="75">
        <v>5839.45</v>
      </c>
      <c r="J274" s="91" t="s">
        <v>709</v>
      </c>
      <c r="K274" s="73"/>
      <c r="L274" s="46">
        <v>0</v>
      </c>
      <c r="M274" s="46">
        <v>0</v>
      </c>
      <c r="N274" s="46">
        <v>0</v>
      </c>
      <c r="O274" s="98"/>
      <c r="P274" s="23" t="s">
        <v>1409</v>
      </c>
      <c r="Q274" s="24" t="s">
        <v>708</v>
      </c>
      <c r="R274" s="25" t="s">
        <v>606</v>
      </c>
      <c r="S274" s="26">
        <v>1</v>
      </c>
      <c r="T274" s="26"/>
      <c r="U274" s="26">
        <v>5839.45</v>
      </c>
      <c r="V274" s="26">
        <f t="shared" si="50"/>
        <v>0</v>
      </c>
      <c r="W274" s="26">
        <f t="shared" si="53"/>
        <v>0</v>
      </c>
      <c r="X274" s="26">
        <f t="shared" si="51"/>
        <v>0</v>
      </c>
      <c r="Y274" s="26">
        <f t="shared" si="57"/>
        <v>0</v>
      </c>
      <c r="Z274" s="33" t="s">
        <v>15</v>
      </c>
      <c r="AA274" s="36" t="s">
        <v>16</v>
      </c>
      <c r="AB274" s="181">
        <f t="shared" si="54"/>
        <v>1</v>
      </c>
      <c r="AC274" s="181">
        <f t="shared" si="52"/>
        <v>5839.45</v>
      </c>
      <c r="AD274" s="181">
        <v>1.7</v>
      </c>
      <c r="AE274" s="181">
        <v>1.7</v>
      </c>
      <c r="AF274" s="101" t="str">
        <f t="shared" si="55"/>
        <v/>
      </c>
      <c r="AG274" s="190">
        <v>0</v>
      </c>
      <c r="AH274" s="69">
        <f t="shared" si="56"/>
        <v>1</v>
      </c>
    </row>
    <row r="275" spans="1:34" s="69" customFormat="1" ht="58.5" hidden="1" x14ac:dyDescent="0.3">
      <c r="A275" s="55" t="s">
        <v>710</v>
      </c>
      <c r="B275" s="53" t="s">
        <v>711</v>
      </c>
      <c r="C275" s="54" t="s">
        <v>606</v>
      </c>
      <c r="D275" s="75">
        <v>1</v>
      </c>
      <c r="E275" s="75"/>
      <c r="F275" s="75"/>
      <c r="G275" s="75"/>
      <c r="H275" s="75">
        <v>7189.97</v>
      </c>
      <c r="I275" s="75">
        <v>7189.97</v>
      </c>
      <c r="J275" s="91" t="s">
        <v>712</v>
      </c>
      <c r="K275" s="73"/>
      <c r="L275" s="46">
        <v>0</v>
      </c>
      <c r="M275" s="46">
        <v>0</v>
      </c>
      <c r="N275" s="46">
        <v>0</v>
      </c>
      <c r="O275" s="98"/>
      <c r="P275" s="23" t="s">
        <v>1410</v>
      </c>
      <c r="Q275" s="24" t="s">
        <v>711</v>
      </c>
      <c r="R275" s="25" t="s">
        <v>606</v>
      </c>
      <c r="S275" s="26">
        <v>1</v>
      </c>
      <c r="T275" s="26"/>
      <c r="U275" s="26">
        <v>7189.97</v>
      </c>
      <c r="V275" s="26">
        <f t="shared" si="50"/>
        <v>0</v>
      </c>
      <c r="W275" s="26">
        <f t="shared" si="53"/>
        <v>0</v>
      </c>
      <c r="X275" s="26">
        <f t="shared" si="51"/>
        <v>0</v>
      </c>
      <c r="Y275" s="26">
        <f t="shared" si="57"/>
        <v>0</v>
      </c>
      <c r="Z275" s="33" t="s">
        <v>15</v>
      </c>
      <c r="AA275" s="36" t="s">
        <v>16</v>
      </c>
      <c r="AB275" s="181">
        <f t="shared" si="54"/>
        <v>1</v>
      </c>
      <c r="AC275" s="181">
        <f t="shared" si="52"/>
        <v>7189.97</v>
      </c>
      <c r="AD275" s="181">
        <v>1.7</v>
      </c>
      <c r="AE275" s="181">
        <v>1.7</v>
      </c>
      <c r="AF275" s="101" t="str">
        <f t="shared" si="55"/>
        <v/>
      </c>
      <c r="AG275" s="190">
        <v>0</v>
      </c>
      <c r="AH275" s="69">
        <f t="shared" si="56"/>
        <v>1</v>
      </c>
    </row>
    <row r="276" spans="1:34" s="69" customFormat="1" ht="58.5" hidden="1" x14ac:dyDescent="0.3">
      <c r="A276" s="55" t="s">
        <v>713</v>
      </c>
      <c r="B276" s="53" t="s">
        <v>714</v>
      </c>
      <c r="C276" s="54" t="s">
        <v>606</v>
      </c>
      <c r="D276" s="75">
        <v>4</v>
      </c>
      <c r="E276" s="75"/>
      <c r="F276" s="75"/>
      <c r="G276" s="75"/>
      <c r="H276" s="75">
        <v>4860.95</v>
      </c>
      <c r="I276" s="75">
        <v>19443.8</v>
      </c>
      <c r="J276" s="91" t="s">
        <v>715</v>
      </c>
      <c r="K276" s="73"/>
      <c r="L276" s="46">
        <v>0</v>
      </c>
      <c r="M276" s="46">
        <v>0</v>
      </c>
      <c r="N276" s="46">
        <v>0</v>
      </c>
      <c r="O276" s="98"/>
      <c r="P276" s="23" t="s">
        <v>1411</v>
      </c>
      <c r="Q276" s="24" t="s">
        <v>714</v>
      </c>
      <c r="R276" s="25" t="s">
        <v>606</v>
      </c>
      <c r="S276" s="26">
        <v>4</v>
      </c>
      <c r="T276" s="26"/>
      <c r="U276" s="26">
        <v>4860.95</v>
      </c>
      <c r="V276" s="26">
        <f t="shared" si="50"/>
        <v>0</v>
      </c>
      <c r="W276" s="26">
        <f t="shared" si="53"/>
        <v>0</v>
      </c>
      <c r="X276" s="26">
        <f t="shared" si="51"/>
        <v>0</v>
      </c>
      <c r="Y276" s="26">
        <f t="shared" si="57"/>
        <v>0</v>
      </c>
      <c r="Z276" s="33" t="s">
        <v>15</v>
      </c>
      <c r="AA276" s="36" t="s">
        <v>16</v>
      </c>
      <c r="AB276" s="181">
        <f t="shared" si="54"/>
        <v>4</v>
      </c>
      <c r="AC276" s="181">
        <f t="shared" si="52"/>
        <v>19443.8</v>
      </c>
      <c r="AD276" s="181">
        <v>1.7</v>
      </c>
      <c r="AE276" s="181">
        <v>1.7</v>
      </c>
      <c r="AF276" s="101" t="str">
        <f t="shared" si="55"/>
        <v/>
      </c>
      <c r="AG276" s="190">
        <v>0</v>
      </c>
      <c r="AH276" s="69">
        <f t="shared" si="56"/>
        <v>4</v>
      </c>
    </row>
    <row r="277" spans="1:34" s="69" customFormat="1" ht="58.5" hidden="1" x14ac:dyDescent="0.3">
      <c r="A277" s="55" t="s">
        <v>716</v>
      </c>
      <c r="B277" s="53" t="s">
        <v>717</v>
      </c>
      <c r="C277" s="54" t="s">
        <v>606</v>
      </c>
      <c r="D277" s="75">
        <v>1</v>
      </c>
      <c r="E277" s="75"/>
      <c r="F277" s="75"/>
      <c r="G277" s="75"/>
      <c r="H277" s="75">
        <v>14800.45</v>
      </c>
      <c r="I277" s="75">
        <v>14800.45</v>
      </c>
      <c r="J277" s="91" t="s">
        <v>718</v>
      </c>
      <c r="K277" s="73"/>
      <c r="L277" s="46">
        <v>0</v>
      </c>
      <c r="M277" s="46">
        <v>0</v>
      </c>
      <c r="N277" s="46">
        <v>0</v>
      </c>
      <c r="O277" s="98"/>
      <c r="P277" s="23" t="s">
        <v>1445</v>
      </c>
      <c r="Q277" s="24" t="s">
        <v>717</v>
      </c>
      <c r="R277" s="25" t="s">
        <v>606</v>
      </c>
      <c r="S277" s="26">
        <v>1</v>
      </c>
      <c r="T277" s="26"/>
      <c r="U277" s="26">
        <v>14800.45</v>
      </c>
      <c r="V277" s="26">
        <f t="shared" si="50"/>
        <v>0</v>
      </c>
      <c r="W277" s="26">
        <f t="shared" si="53"/>
        <v>0</v>
      </c>
      <c r="X277" s="26">
        <f t="shared" si="51"/>
        <v>0</v>
      </c>
      <c r="Y277" s="26">
        <f t="shared" si="57"/>
        <v>0</v>
      </c>
      <c r="Z277" s="33" t="s">
        <v>15</v>
      </c>
      <c r="AA277" s="36" t="s">
        <v>16</v>
      </c>
      <c r="AB277" s="181">
        <f t="shared" si="54"/>
        <v>1</v>
      </c>
      <c r="AC277" s="181">
        <f t="shared" si="52"/>
        <v>14800.45</v>
      </c>
      <c r="AD277" s="181">
        <v>1.7</v>
      </c>
      <c r="AE277" s="181">
        <v>1.7</v>
      </c>
      <c r="AF277" s="101" t="str">
        <f t="shared" si="55"/>
        <v/>
      </c>
      <c r="AG277" s="190">
        <v>0</v>
      </c>
      <c r="AH277" s="69">
        <f t="shared" si="56"/>
        <v>1</v>
      </c>
    </row>
    <row r="278" spans="1:34" s="69" customFormat="1" ht="58.5" hidden="1" x14ac:dyDescent="0.3">
      <c r="A278" s="55" t="s">
        <v>719</v>
      </c>
      <c r="B278" s="53" t="s">
        <v>720</v>
      </c>
      <c r="C278" s="54" t="s">
        <v>606</v>
      </c>
      <c r="D278" s="75">
        <v>1</v>
      </c>
      <c r="E278" s="75"/>
      <c r="F278" s="75"/>
      <c r="G278" s="75"/>
      <c r="H278" s="75">
        <v>6661.47</v>
      </c>
      <c r="I278" s="75">
        <v>6661.47</v>
      </c>
      <c r="J278" s="91" t="s">
        <v>721</v>
      </c>
      <c r="K278" s="73"/>
      <c r="L278" s="46">
        <v>0</v>
      </c>
      <c r="M278" s="46">
        <v>0</v>
      </c>
      <c r="N278" s="46">
        <v>0</v>
      </c>
      <c r="O278" s="98"/>
      <c r="P278" s="23" t="s">
        <v>1383</v>
      </c>
      <c r="Q278" s="24" t="s">
        <v>720</v>
      </c>
      <c r="R278" s="25" t="s">
        <v>606</v>
      </c>
      <c r="S278" s="26">
        <v>1</v>
      </c>
      <c r="T278" s="26"/>
      <c r="U278" s="26">
        <v>6661.47</v>
      </c>
      <c r="V278" s="26">
        <f t="shared" si="50"/>
        <v>0</v>
      </c>
      <c r="W278" s="26">
        <f t="shared" si="53"/>
        <v>0</v>
      </c>
      <c r="X278" s="26">
        <f t="shared" si="51"/>
        <v>0</v>
      </c>
      <c r="Y278" s="26">
        <f t="shared" si="57"/>
        <v>0</v>
      </c>
      <c r="Z278" s="33" t="s">
        <v>15</v>
      </c>
      <c r="AA278" s="36" t="s">
        <v>16</v>
      </c>
      <c r="AB278" s="181">
        <f t="shared" si="54"/>
        <v>1</v>
      </c>
      <c r="AC278" s="181">
        <f t="shared" si="52"/>
        <v>6661.47</v>
      </c>
      <c r="AD278" s="181">
        <v>1.7</v>
      </c>
      <c r="AE278" s="181">
        <v>1.7</v>
      </c>
      <c r="AF278" s="101" t="str">
        <f t="shared" si="55"/>
        <v/>
      </c>
      <c r="AG278" s="190">
        <v>0</v>
      </c>
      <c r="AH278" s="69">
        <f t="shared" si="56"/>
        <v>1</v>
      </c>
    </row>
    <row r="279" spans="1:34" s="69" customFormat="1" ht="58.5" hidden="1" x14ac:dyDescent="0.3">
      <c r="A279" s="55" t="s">
        <v>722</v>
      </c>
      <c r="B279" s="53" t="s">
        <v>723</v>
      </c>
      <c r="C279" s="54" t="s">
        <v>606</v>
      </c>
      <c r="D279" s="75">
        <v>1</v>
      </c>
      <c r="E279" s="75"/>
      <c r="F279" s="75"/>
      <c r="G279" s="75"/>
      <c r="H279" s="75">
        <v>15584.47</v>
      </c>
      <c r="I279" s="75">
        <v>15584.47</v>
      </c>
      <c r="J279" s="91" t="s">
        <v>724</v>
      </c>
      <c r="K279" s="73"/>
      <c r="L279" s="46">
        <v>0</v>
      </c>
      <c r="M279" s="46">
        <v>0</v>
      </c>
      <c r="N279" s="46">
        <v>0</v>
      </c>
      <c r="O279" s="98"/>
      <c r="P279" s="23" t="s">
        <v>1384</v>
      </c>
      <c r="Q279" s="24" t="s">
        <v>723</v>
      </c>
      <c r="R279" s="25" t="s">
        <v>606</v>
      </c>
      <c r="S279" s="26">
        <v>1</v>
      </c>
      <c r="T279" s="26"/>
      <c r="U279" s="26">
        <v>15584.47</v>
      </c>
      <c r="V279" s="26">
        <f t="shared" si="50"/>
        <v>0</v>
      </c>
      <c r="W279" s="26">
        <f t="shared" si="53"/>
        <v>0</v>
      </c>
      <c r="X279" s="26">
        <f t="shared" si="51"/>
        <v>0</v>
      </c>
      <c r="Y279" s="26">
        <f t="shared" si="57"/>
        <v>0</v>
      </c>
      <c r="Z279" s="33" t="s">
        <v>15</v>
      </c>
      <c r="AA279" s="36" t="s">
        <v>16</v>
      </c>
      <c r="AB279" s="181">
        <f t="shared" si="54"/>
        <v>1</v>
      </c>
      <c r="AC279" s="181">
        <f t="shared" si="52"/>
        <v>15584.47</v>
      </c>
      <c r="AD279" s="181">
        <v>1.7</v>
      </c>
      <c r="AE279" s="181">
        <v>1.7</v>
      </c>
      <c r="AF279" s="101" t="str">
        <f t="shared" si="55"/>
        <v/>
      </c>
      <c r="AG279" s="190">
        <v>0</v>
      </c>
      <c r="AH279" s="69">
        <f t="shared" si="56"/>
        <v>1</v>
      </c>
    </row>
    <row r="280" spans="1:34" s="69" customFormat="1" ht="58.5" hidden="1" x14ac:dyDescent="0.3">
      <c r="A280" s="55" t="s">
        <v>725</v>
      </c>
      <c r="B280" s="53" t="s">
        <v>726</v>
      </c>
      <c r="C280" s="54" t="s">
        <v>606</v>
      </c>
      <c r="D280" s="75">
        <v>4</v>
      </c>
      <c r="E280" s="75"/>
      <c r="F280" s="75"/>
      <c r="G280" s="75"/>
      <c r="H280" s="75">
        <v>3949.4</v>
      </c>
      <c r="I280" s="75">
        <v>15797.6</v>
      </c>
      <c r="J280" s="91" t="s">
        <v>727</v>
      </c>
      <c r="K280" s="73"/>
      <c r="L280" s="46">
        <v>0</v>
      </c>
      <c r="M280" s="46">
        <v>0</v>
      </c>
      <c r="N280" s="46">
        <v>0</v>
      </c>
      <c r="O280" s="98"/>
      <c r="P280" s="23" t="s">
        <v>1385</v>
      </c>
      <c r="Q280" s="24" t="s">
        <v>726</v>
      </c>
      <c r="R280" s="25" t="s">
        <v>606</v>
      </c>
      <c r="S280" s="26">
        <v>4</v>
      </c>
      <c r="T280" s="26"/>
      <c r="U280" s="26">
        <v>3949.4</v>
      </c>
      <c r="V280" s="26">
        <f t="shared" si="50"/>
        <v>0</v>
      </c>
      <c r="W280" s="26">
        <f t="shared" si="53"/>
        <v>0</v>
      </c>
      <c r="X280" s="26">
        <f t="shared" si="51"/>
        <v>0</v>
      </c>
      <c r="Y280" s="26">
        <f t="shared" si="57"/>
        <v>0</v>
      </c>
      <c r="Z280" s="33" t="s">
        <v>15</v>
      </c>
      <c r="AA280" s="36" t="s">
        <v>16</v>
      </c>
      <c r="AB280" s="181">
        <f t="shared" si="54"/>
        <v>4</v>
      </c>
      <c r="AC280" s="181">
        <f t="shared" si="52"/>
        <v>15797.6</v>
      </c>
      <c r="AD280" s="181">
        <v>1.7</v>
      </c>
      <c r="AE280" s="181">
        <v>1.7</v>
      </c>
      <c r="AF280" s="101" t="str">
        <f t="shared" si="55"/>
        <v/>
      </c>
      <c r="AG280" s="190">
        <v>0</v>
      </c>
      <c r="AH280" s="69">
        <f t="shared" si="56"/>
        <v>4</v>
      </c>
    </row>
    <row r="281" spans="1:34" s="69" customFormat="1" ht="39" hidden="1" x14ac:dyDescent="0.3">
      <c r="A281" s="55" t="s">
        <v>728</v>
      </c>
      <c r="B281" s="53" t="s">
        <v>729</v>
      </c>
      <c r="C281" s="54" t="s">
        <v>606</v>
      </c>
      <c r="D281" s="75">
        <v>1</v>
      </c>
      <c r="E281" s="75"/>
      <c r="F281" s="75"/>
      <c r="G281" s="75"/>
      <c r="H281" s="75">
        <v>227.07</v>
      </c>
      <c r="I281" s="75">
        <v>227.07</v>
      </c>
      <c r="J281" s="91" t="s">
        <v>730</v>
      </c>
      <c r="K281" s="73"/>
      <c r="L281" s="46">
        <v>0</v>
      </c>
      <c r="M281" s="46">
        <v>0</v>
      </c>
      <c r="N281" s="46">
        <v>0</v>
      </c>
      <c r="O281" s="98"/>
      <c r="P281" s="23" t="s">
        <v>1446</v>
      </c>
      <c r="Q281" s="24" t="s">
        <v>729</v>
      </c>
      <c r="R281" s="25" t="s">
        <v>606</v>
      </c>
      <c r="S281" s="26">
        <v>1</v>
      </c>
      <c r="T281" s="26"/>
      <c r="U281" s="26">
        <v>227.07</v>
      </c>
      <c r="V281" s="26">
        <f t="shared" si="50"/>
        <v>0</v>
      </c>
      <c r="W281" s="26">
        <f t="shared" si="53"/>
        <v>0</v>
      </c>
      <c r="X281" s="26">
        <f t="shared" si="51"/>
        <v>0</v>
      </c>
      <c r="Y281" s="26">
        <f t="shared" si="57"/>
        <v>0</v>
      </c>
      <c r="Z281" s="33" t="s">
        <v>15</v>
      </c>
      <c r="AA281" s="36" t="s">
        <v>16</v>
      </c>
      <c r="AB281" s="181">
        <f t="shared" si="54"/>
        <v>1</v>
      </c>
      <c r="AC281" s="181">
        <f t="shared" si="52"/>
        <v>227.07</v>
      </c>
      <c r="AD281" s="181">
        <v>1.7</v>
      </c>
      <c r="AE281" s="181">
        <v>1.7</v>
      </c>
      <c r="AF281" s="101" t="str">
        <f t="shared" si="55"/>
        <v/>
      </c>
      <c r="AG281" s="190">
        <v>0</v>
      </c>
      <c r="AH281" s="69">
        <f t="shared" si="56"/>
        <v>1</v>
      </c>
    </row>
    <row r="282" spans="1:34" s="69" customFormat="1" ht="39" hidden="1" x14ac:dyDescent="0.3">
      <c r="A282" s="55" t="s">
        <v>731</v>
      </c>
      <c r="B282" s="53" t="s">
        <v>732</v>
      </c>
      <c r="C282" s="54" t="s">
        <v>606</v>
      </c>
      <c r="D282" s="75">
        <v>1</v>
      </c>
      <c r="E282" s="75"/>
      <c r="F282" s="75"/>
      <c r="G282" s="75"/>
      <c r="H282" s="75">
        <v>277.02999999999997</v>
      </c>
      <c r="I282" s="75">
        <v>277.02999999999997</v>
      </c>
      <c r="J282" s="91" t="s">
        <v>733</v>
      </c>
      <c r="K282" s="73"/>
      <c r="L282" s="46">
        <v>0</v>
      </c>
      <c r="M282" s="46">
        <v>0</v>
      </c>
      <c r="N282" s="46">
        <v>0</v>
      </c>
      <c r="O282" s="98"/>
      <c r="P282" s="23" t="s">
        <v>1447</v>
      </c>
      <c r="Q282" s="24" t="s">
        <v>732</v>
      </c>
      <c r="R282" s="25" t="s">
        <v>606</v>
      </c>
      <c r="S282" s="26">
        <v>1</v>
      </c>
      <c r="T282" s="26"/>
      <c r="U282" s="26">
        <v>277.02999999999997</v>
      </c>
      <c r="V282" s="26">
        <f t="shared" si="50"/>
        <v>0</v>
      </c>
      <c r="W282" s="26">
        <f t="shared" si="53"/>
        <v>0</v>
      </c>
      <c r="X282" s="26">
        <f t="shared" si="51"/>
        <v>0</v>
      </c>
      <c r="Y282" s="26">
        <f t="shared" si="57"/>
        <v>0</v>
      </c>
      <c r="Z282" s="33" t="s">
        <v>15</v>
      </c>
      <c r="AA282" s="36" t="s">
        <v>16</v>
      </c>
      <c r="AB282" s="181">
        <f t="shared" si="54"/>
        <v>1</v>
      </c>
      <c r="AC282" s="181">
        <f t="shared" si="52"/>
        <v>277.02999999999997</v>
      </c>
      <c r="AD282" s="181">
        <v>1.7</v>
      </c>
      <c r="AE282" s="181">
        <v>1.7</v>
      </c>
      <c r="AF282" s="101" t="str">
        <f t="shared" si="55"/>
        <v/>
      </c>
      <c r="AG282" s="190">
        <v>0</v>
      </c>
      <c r="AH282" s="69">
        <f t="shared" si="56"/>
        <v>1</v>
      </c>
    </row>
    <row r="283" spans="1:34" s="69" customFormat="1" ht="39" hidden="1" x14ac:dyDescent="0.3">
      <c r="A283" s="55" t="s">
        <v>734</v>
      </c>
      <c r="B283" s="53" t="s">
        <v>735</v>
      </c>
      <c r="C283" s="54" t="s">
        <v>606</v>
      </c>
      <c r="D283" s="75">
        <v>1</v>
      </c>
      <c r="E283" s="75"/>
      <c r="F283" s="75"/>
      <c r="G283" s="75"/>
      <c r="H283" s="75">
        <v>286.3</v>
      </c>
      <c r="I283" s="75">
        <v>286.3</v>
      </c>
      <c r="J283" s="91" t="s">
        <v>736</v>
      </c>
      <c r="K283" s="73"/>
      <c r="L283" s="46">
        <v>0</v>
      </c>
      <c r="M283" s="46">
        <v>0</v>
      </c>
      <c r="N283" s="46">
        <v>0</v>
      </c>
      <c r="O283" s="98"/>
      <c r="P283" s="23" t="s">
        <v>1448</v>
      </c>
      <c r="Q283" s="24" t="s">
        <v>735</v>
      </c>
      <c r="R283" s="25" t="s">
        <v>606</v>
      </c>
      <c r="S283" s="26">
        <v>1</v>
      </c>
      <c r="T283" s="26"/>
      <c r="U283" s="26">
        <v>286.3</v>
      </c>
      <c r="V283" s="26">
        <f t="shared" si="50"/>
        <v>0</v>
      </c>
      <c r="W283" s="26">
        <f t="shared" si="53"/>
        <v>0</v>
      </c>
      <c r="X283" s="26">
        <f t="shared" si="51"/>
        <v>0</v>
      </c>
      <c r="Y283" s="26">
        <f t="shared" si="57"/>
        <v>0</v>
      </c>
      <c r="Z283" s="33" t="s">
        <v>15</v>
      </c>
      <c r="AA283" s="36" t="s">
        <v>16</v>
      </c>
      <c r="AB283" s="181">
        <f t="shared" si="54"/>
        <v>1</v>
      </c>
      <c r="AC283" s="181">
        <f t="shared" si="52"/>
        <v>286.3</v>
      </c>
      <c r="AD283" s="181">
        <v>1.7</v>
      </c>
      <c r="AE283" s="181">
        <v>1.7</v>
      </c>
      <c r="AF283" s="101" t="str">
        <f t="shared" si="55"/>
        <v/>
      </c>
      <c r="AG283" s="190">
        <v>0</v>
      </c>
      <c r="AH283" s="69">
        <f t="shared" si="56"/>
        <v>1</v>
      </c>
    </row>
    <row r="284" spans="1:34" s="69" customFormat="1" ht="39" hidden="1" x14ac:dyDescent="0.3">
      <c r="A284" s="55" t="s">
        <v>737</v>
      </c>
      <c r="B284" s="53" t="s">
        <v>738</v>
      </c>
      <c r="C284" s="54" t="s">
        <v>606</v>
      </c>
      <c r="D284" s="75">
        <v>1</v>
      </c>
      <c r="E284" s="75"/>
      <c r="F284" s="75"/>
      <c r="G284" s="75"/>
      <c r="H284" s="75">
        <v>134.37</v>
      </c>
      <c r="I284" s="75">
        <v>134.37</v>
      </c>
      <c r="J284" s="91" t="s">
        <v>739</v>
      </c>
      <c r="K284" s="73"/>
      <c r="L284" s="46">
        <v>0</v>
      </c>
      <c r="M284" s="46">
        <v>0</v>
      </c>
      <c r="N284" s="46">
        <v>0</v>
      </c>
      <c r="O284" s="98"/>
      <c r="P284" s="23" t="s">
        <v>1449</v>
      </c>
      <c r="Q284" s="24" t="s">
        <v>738</v>
      </c>
      <c r="R284" s="25" t="s">
        <v>606</v>
      </c>
      <c r="S284" s="26">
        <v>1</v>
      </c>
      <c r="T284" s="26"/>
      <c r="U284" s="26">
        <v>134.37</v>
      </c>
      <c r="V284" s="26">
        <f t="shared" si="50"/>
        <v>0</v>
      </c>
      <c r="W284" s="26">
        <f t="shared" si="53"/>
        <v>0</v>
      </c>
      <c r="X284" s="26">
        <f t="shared" si="51"/>
        <v>0</v>
      </c>
      <c r="Y284" s="26">
        <f t="shared" si="57"/>
        <v>0</v>
      </c>
      <c r="Z284" s="33" t="s">
        <v>15</v>
      </c>
      <c r="AA284" s="36" t="s">
        <v>16</v>
      </c>
      <c r="AB284" s="181">
        <f t="shared" si="54"/>
        <v>1</v>
      </c>
      <c r="AC284" s="181">
        <f t="shared" si="52"/>
        <v>134.37</v>
      </c>
      <c r="AD284" s="181">
        <v>1.7</v>
      </c>
      <c r="AE284" s="181">
        <v>1.7</v>
      </c>
      <c r="AF284" s="101" t="str">
        <f t="shared" si="55"/>
        <v/>
      </c>
      <c r="AG284" s="190">
        <v>0</v>
      </c>
      <c r="AH284" s="69">
        <f t="shared" si="56"/>
        <v>1</v>
      </c>
    </row>
    <row r="285" spans="1:34" s="69" customFormat="1" ht="39" hidden="1" x14ac:dyDescent="0.3">
      <c r="A285" s="55" t="s">
        <v>740</v>
      </c>
      <c r="B285" s="53" t="s">
        <v>741</v>
      </c>
      <c r="C285" s="54" t="s">
        <v>606</v>
      </c>
      <c r="D285" s="75">
        <v>1</v>
      </c>
      <c r="E285" s="75"/>
      <c r="F285" s="75"/>
      <c r="G285" s="75"/>
      <c r="H285" s="75">
        <v>142.1</v>
      </c>
      <c r="I285" s="75">
        <v>142.1</v>
      </c>
      <c r="J285" s="91" t="s">
        <v>742</v>
      </c>
      <c r="K285" s="73"/>
      <c r="L285" s="46">
        <v>0</v>
      </c>
      <c r="M285" s="46">
        <v>0</v>
      </c>
      <c r="N285" s="46">
        <v>0</v>
      </c>
      <c r="O285" s="98"/>
      <c r="P285" s="23" t="s">
        <v>1450</v>
      </c>
      <c r="Q285" s="24" t="s">
        <v>741</v>
      </c>
      <c r="R285" s="25" t="s">
        <v>606</v>
      </c>
      <c r="S285" s="26">
        <v>1</v>
      </c>
      <c r="T285" s="26"/>
      <c r="U285" s="26">
        <v>142.1</v>
      </c>
      <c r="V285" s="26">
        <f t="shared" si="50"/>
        <v>0</v>
      </c>
      <c r="W285" s="26">
        <f t="shared" si="53"/>
        <v>0</v>
      </c>
      <c r="X285" s="26">
        <f t="shared" si="51"/>
        <v>0</v>
      </c>
      <c r="Y285" s="26">
        <f t="shared" si="57"/>
        <v>0</v>
      </c>
      <c r="Z285" s="33" t="s">
        <v>15</v>
      </c>
      <c r="AA285" s="36" t="s">
        <v>16</v>
      </c>
      <c r="AB285" s="181">
        <f t="shared" si="54"/>
        <v>1</v>
      </c>
      <c r="AC285" s="181">
        <f t="shared" si="52"/>
        <v>142.1</v>
      </c>
      <c r="AD285" s="181">
        <v>1.7</v>
      </c>
      <c r="AE285" s="181">
        <v>1.7</v>
      </c>
      <c r="AF285" s="101" t="str">
        <f t="shared" si="55"/>
        <v/>
      </c>
      <c r="AG285" s="190">
        <v>0</v>
      </c>
      <c r="AH285" s="69">
        <f t="shared" si="56"/>
        <v>1</v>
      </c>
    </row>
    <row r="286" spans="1:34" s="69" customFormat="1" ht="39" hidden="1" x14ac:dyDescent="0.3">
      <c r="A286" s="55" t="s">
        <v>743</v>
      </c>
      <c r="B286" s="53" t="s">
        <v>744</v>
      </c>
      <c r="C286" s="54" t="s">
        <v>606</v>
      </c>
      <c r="D286" s="75">
        <v>1</v>
      </c>
      <c r="E286" s="75"/>
      <c r="F286" s="75"/>
      <c r="G286" s="75"/>
      <c r="H286" s="75">
        <v>90.32</v>
      </c>
      <c r="I286" s="75">
        <v>90.32</v>
      </c>
      <c r="J286" s="91" t="s">
        <v>745</v>
      </c>
      <c r="K286" s="73"/>
      <c r="L286" s="46">
        <v>0</v>
      </c>
      <c r="M286" s="46">
        <v>0</v>
      </c>
      <c r="N286" s="46">
        <v>0</v>
      </c>
      <c r="O286" s="98"/>
      <c r="P286" s="23" t="s">
        <v>1451</v>
      </c>
      <c r="Q286" s="24" t="s">
        <v>744</v>
      </c>
      <c r="R286" s="25" t="s">
        <v>606</v>
      </c>
      <c r="S286" s="26">
        <v>1</v>
      </c>
      <c r="T286" s="26"/>
      <c r="U286" s="26">
        <v>90.32</v>
      </c>
      <c r="V286" s="26">
        <f t="shared" si="50"/>
        <v>0</v>
      </c>
      <c r="W286" s="26">
        <f t="shared" si="53"/>
        <v>0</v>
      </c>
      <c r="X286" s="26">
        <f t="shared" si="51"/>
        <v>0</v>
      </c>
      <c r="Y286" s="26">
        <f t="shared" si="57"/>
        <v>0</v>
      </c>
      <c r="Z286" s="33" t="s">
        <v>15</v>
      </c>
      <c r="AA286" s="36" t="s">
        <v>16</v>
      </c>
      <c r="AB286" s="181">
        <f t="shared" si="54"/>
        <v>1</v>
      </c>
      <c r="AC286" s="181">
        <f t="shared" si="52"/>
        <v>90.32</v>
      </c>
      <c r="AD286" s="181">
        <v>1.7</v>
      </c>
      <c r="AE286" s="181">
        <v>1.7</v>
      </c>
      <c r="AF286" s="101" t="str">
        <f t="shared" si="55"/>
        <v/>
      </c>
      <c r="AG286" s="190">
        <v>0</v>
      </c>
      <c r="AH286" s="69">
        <f t="shared" si="56"/>
        <v>1</v>
      </c>
    </row>
    <row r="287" spans="1:34" s="69" customFormat="1" ht="39" hidden="1" x14ac:dyDescent="0.3">
      <c r="A287" s="55" t="s">
        <v>746</v>
      </c>
      <c r="B287" s="53" t="s">
        <v>747</v>
      </c>
      <c r="C287" s="54" t="s">
        <v>606</v>
      </c>
      <c r="D287" s="75">
        <v>1</v>
      </c>
      <c r="E287" s="75"/>
      <c r="F287" s="75"/>
      <c r="G287" s="75"/>
      <c r="H287" s="75">
        <v>125.1</v>
      </c>
      <c r="I287" s="75">
        <v>125.1</v>
      </c>
      <c r="J287" s="91" t="s">
        <v>748</v>
      </c>
      <c r="K287" s="73"/>
      <c r="L287" s="46">
        <v>0</v>
      </c>
      <c r="M287" s="46">
        <v>0</v>
      </c>
      <c r="N287" s="46">
        <v>0</v>
      </c>
      <c r="O287" s="98"/>
      <c r="P287" s="23" t="s">
        <v>1452</v>
      </c>
      <c r="Q287" s="24" t="s">
        <v>747</v>
      </c>
      <c r="R287" s="25" t="s">
        <v>606</v>
      </c>
      <c r="S287" s="26">
        <v>1</v>
      </c>
      <c r="T287" s="26"/>
      <c r="U287" s="26">
        <v>125.1</v>
      </c>
      <c r="V287" s="26">
        <f t="shared" si="50"/>
        <v>0</v>
      </c>
      <c r="W287" s="26">
        <f t="shared" si="53"/>
        <v>0</v>
      </c>
      <c r="X287" s="26">
        <f t="shared" si="51"/>
        <v>0</v>
      </c>
      <c r="Y287" s="26">
        <f t="shared" si="57"/>
        <v>0</v>
      </c>
      <c r="Z287" s="33" t="s">
        <v>15</v>
      </c>
      <c r="AA287" s="36" t="s">
        <v>16</v>
      </c>
      <c r="AB287" s="181">
        <f t="shared" si="54"/>
        <v>1</v>
      </c>
      <c r="AC287" s="181">
        <f t="shared" si="52"/>
        <v>125.1</v>
      </c>
      <c r="AD287" s="181">
        <v>1.7</v>
      </c>
      <c r="AE287" s="181">
        <v>1.7</v>
      </c>
      <c r="AF287" s="101" t="str">
        <f t="shared" si="55"/>
        <v/>
      </c>
      <c r="AG287" s="190">
        <v>0</v>
      </c>
      <c r="AH287" s="69">
        <f t="shared" si="56"/>
        <v>1</v>
      </c>
    </row>
    <row r="288" spans="1:34" s="69" customFormat="1" ht="39" hidden="1" x14ac:dyDescent="0.3">
      <c r="A288" s="55" t="s">
        <v>749</v>
      </c>
      <c r="B288" s="53" t="s">
        <v>750</v>
      </c>
      <c r="C288" s="54" t="s">
        <v>606</v>
      </c>
      <c r="D288" s="75">
        <v>1</v>
      </c>
      <c r="E288" s="75"/>
      <c r="F288" s="75"/>
      <c r="G288" s="75"/>
      <c r="H288" s="75">
        <v>137.04</v>
      </c>
      <c r="I288" s="75">
        <v>137.04</v>
      </c>
      <c r="J288" s="91" t="s">
        <v>751</v>
      </c>
      <c r="K288" s="73"/>
      <c r="L288" s="46">
        <v>0</v>
      </c>
      <c r="M288" s="46">
        <v>0</v>
      </c>
      <c r="N288" s="46">
        <v>0</v>
      </c>
      <c r="O288" s="98"/>
      <c r="P288" s="23" t="s">
        <v>1453</v>
      </c>
      <c r="Q288" s="24" t="s">
        <v>750</v>
      </c>
      <c r="R288" s="25" t="s">
        <v>606</v>
      </c>
      <c r="S288" s="26">
        <v>1</v>
      </c>
      <c r="T288" s="26"/>
      <c r="U288" s="26">
        <v>137.04</v>
      </c>
      <c r="V288" s="26">
        <f t="shared" si="50"/>
        <v>0</v>
      </c>
      <c r="W288" s="26">
        <f t="shared" si="53"/>
        <v>0</v>
      </c>
      <c r="X288" s="26">
        <f t="shared" si="51"/>
        <v>0</v>
      </c>
      <c r="Y288" s="26">
        <f t="shared" si="57"/>
        <v>0</v>
      </c>
      <c r="Z288" s="33" t="s">
        <v>15</v>
      </c>
      <c r="AA288" s="36" t="s">
        <v>16</v>
      </c>
      <c r="AB288" s="181">
        <f t="shared" si="54"/>
        <v>1</v>
      </c>
      <c r="AC288" s="181">
        <f t="shared" si="52"/>
        <v>137.04</v>
      </c>
      <c r="AD288" s="181">
        <v>1.7</v>
      </c>
      <c r="AE288" s="181">
        <v>1.7</v>
      </c>
      <c r="AF288" s="101" t="str">
        <f t="shared" si="55"/>
        <v/>
      </c>
      <c r="AG288" s="190">
        <v>0</v>
      </c>
      <c r="AH288" s="69">
        <f t="shared" si="56"/>
        <v>1</v>
      </c>
    </row>
    <row r="289" spans="1:34" s="69" customFormat="1" ht="39" hidden="1" x14ac:dyDescent="0.3">
      <c r="A289" s="55" t="s">
        <v>752</v>
      </c>
      <c r="B289" s="53" t="s">
        <v>753</v>
      </c>
      <c r="C289" s="54" t="s">
        <v>606</v>
      </c>
      <c r="D289" s="75">
        <v>1</v>
      </c>
      <c r="E289" s="75"/>
      <c r="F289" s="75"/>
      <c r="G289" s="75"/>
      <c r="H289" s="75">
        <v>107.12</v>
      </c>
      <c r="I289" s="75">
        <v>107.12</v>
      </c>
      <c r="J289" s="91" t="s">
        <v>754</v>
      </c>
      <c r="K289" s="73"/>
      <c r="L289" s="46">
        <v>0</v>
      </c>
      <c r="M289" s="46">
        <v>0</v>
      </c>
      <c r="N289" s="46">
        <v>0</v>
      </c>
      <c r="O289" s="98"/>
      <c r="P289" s="23" t="s">
        <v>1454</v>
      </c>
      <c r="Q289" s="24" t="s">
        <v>753</v>
      </c>
      <c r="R289" s="25" t="s">
        <v>606</v>
      </c>
      <c r="S289" s="26">
        <v>1</v>
      </c>
      <c r="T289" s="26"/>
      <c r="U289" s="26">
        <v>107.12</v>
      </c>
      <c r="V289" s="26">
        <f t="shared" si="50"/>
        <v>0</v>
      </c>
      <c r="W289" s="26">
        <f t="shared" si="53"/>
        <v>0</v>
      </c>
      <c r="X289" s="26">
        <f t="shared" si="51"/>
        <v>0</v>
      </c>
      <c r="Y289" s="26">
        <f t="shared" si="57"/>
        <v>0</v>
      </c>
      <c r="Z289" s="33" t="s">
        <v>15</v>
      </c>
      <c r="AA289" s="36" t="s">
        <v>16</v>
      </c>
      <c r="AB289" s="181">
        <f t="shared" si="54"/>
        <v>1</v>
      </c>
      <c r="AC289" s="181">
        <f t="shared" si="52"/>
        <v>107.12</v>
      </c>
      <c r="AD289" s="181">
        <v>1.7</v>
      </c>
      <c r="AE289" s="181">
        <v>1.7</v>
      </c>
      <c r="AF289" s="101" t="str">
        <f t="shared" si="55"/>
        <v/>
      </c>
      <c r="AG289" s="190">
        <v>0</v>
      </c>
      <c r="AH289" s="69">
        <f t="shared" si="56"/>
        <v>1</v>
      </c>
    </row>
    <row r="290" spans="1:34" s="69" customFormat="1" ht="39" hidden="1" x14ac:dyDescent="0.3">
      <c r="A290" s="55" t="s">
        <v>755</v>
      </c>
      <c r="B290" s="53" t="s">
        <v>756</v>
      </c>
      <c r="C290" s="54" t="s">
        <v>606</v>
      </c>
      <c r="D290" s="75">
        <v>1</v>
      </c>
      <c r="E290" s="75"/>
      <c r="F290" s="75"/>
      <c r="G290" s="75"/>
      <c r="H290" s="75">
        <v>124.17</v>
      </c>
      <c r="I290" s="75">
        <v>124.17</v>
      </c>
      <c r="J290" s="91" t="s">
        <v>757</v>
      </c>
      <c r="K290" s="73"/>
      <c r="L290" s="46">
        <v>0</v>
      </c>
      <c r="M290" s="46">
        <v>0</v>
      </c>
      <c r="N290" s="46">
        <v>0</v>
      </c>
      <c r="O290" s="98"/>
      <c r="P290" s="23" t="s">
        <v>1455</v>
      </c>
      <c r="Q290" s="24" t="s">
        <v>756</v>
      </c>
      <c r="R290" s="25" t="s">
        <v>606</v>
      </c>
      <c r="S290" s="26">
        <v>1</v>
      </c>
      <c r="T290" s="26"/>
      <c r="U290" s="26">
        <v>124.17</v>
      </c>
      <c r="V290" s="26">
        <f t="shared" si="50"/>
        <v>0</v>
      </c>
      <c r="W290" s="26">
        <f t="shared" si="53"/>
        <v>0</v>
      </c>
      <c r="X290" s="26">
        <f t="shared" si="51"/>
        <v>0</v>
      </c>
      <c r="Y290" s="26">
        <f t="shared" si="57"/>
        <v>0</v>
      </c>
      <c r="Z290" s="33" t="s">
        <v>15</v>
      </c>
      <c r="AA290" s="36" t="s">
        <v>16</v>
      </c>
      <c r="AB290" s="181">
        <f t="shared" si="54"/>
        <v>1</v>
      </c>
      <c r="AC290" s="181">
        <f t="shared" si="52"/>
        <v>124.17</v>
      </c>
      <c r="AD290" s="181">
        <v>1.7</v>
      </c>
      <c r="AE290" s="181">
        <v>1.7</v>
      </c>
      <c r="AF290" s="101" t="str">
        <f t="shared" si="55"/>
        <v/>
      </c>
      <c r="AG290" s="190">
        <v>0</v>
      </c>
      <c r="AH290" s="69">
        <f t="shared" si="56"/>
        <v>1</v>
      </c>
    </row>
    <row r="291" spans="1:34" s="69" customFormat="1" ht="39" hidden="1" x14ac:dyDescent="0.3">
      <c r="A291" s="55" t="s">
        <v>758</v>
      </c>
      <c r="B291" s="53" t="s">
        <v>759</v>
      </c>
      <c r="C291" s="54" t="s">
        <v>606</v>
      </c>
      <c r="D291" s="75">
        <v>1</v>
      </c>
      <c r="E291" s="75"/>
      <c r="F291" s="75"/>
      <c r="G291" s="75"/>
      <c r="H291" s="75">
        <v>121.59</v>
      </c>
      <c r="I291" s="75">
        <v>121.59</v>
      </c>
      <c r="J291" s="91" t="s">
        <v>760</v>
      </c>
      <c r="K291" s="73"/>
      <c r="L291" s="46">
        <v>0</v>
      </c>
      <c r="M291" s="46">
        <v>0</v>
      </c>
      <c r="N291" s="46">
        <v>0</v>
      </c>
      <c r="O291" s="98"/>
      <c r="P291" s="23" t="s">
        <v>1456</v>
      </c>
      <c r="Q291" s="24" t="s">
        <v>759</v>
      </c>
      <c r="R291" s="25" t="s">
        <v>606</v>
      </c>
      <c r="S291" s="26">
        <v>1</v>
      </c>
      <c r="T291" s="26"/>
      <c r="U291" s="26">
        <v>121.59</v>
      </c>
      <c r="V291" s="26">
        <f t="shared" si="50"/>
        <v>0</v>
      </c>
      <c r="W291" s="26">
        <f t="shared" si="53"/>
        <v>0</v>
      </c>
      <c r="X291" s="26">
        <f t="shared" si="51"/>
        <v>0</v>
      </c>
      <c r="Y291" s="26">
        <f t="shared" si="57"/>
        <v>0</v>
      </c>
      <c r="Z291" s="33" t="s">
        <v>15</v>
      </c>
      <c r="AA291" s="36" t="s">
        <v>16</v>
      </c>
      <c r="AB291" s="181">
        <f t="shared" si="54"/>
        <v>1</v>
      </c>
      <c r="AC291" s="181">
        <f t="shared" si="52"/>
        <v>121.59</v>
      </c>
      <c r="AD291" s="181">
        <v>1.7</v>
      </c>
      <c r="AE291" s="181">
        <v>1.7</v>
      </c>
      <c r="AF291" s="101" t="str">
        <f t="shared" si="55"/>
        <v/>
      </c>
      <c r="AG291" s="190">
        <v>0</v>
      </c>
      <c r="AH291" s="69">
        <f t="shared" si="56"/>
        <v>1</v>
      </c>
    </row>
    <row r="292" spans="1:34" s="69" customFormat="1" ht="39" hidden="1" x14ac:dyDescent="0.3">
      <c r="A292" s="55" t="s">
        <v>761</v>
      </c>
      <c r="B292" s="53" t="s">
        <v>762</v>
      </c>
      <c r="C292" s="54" t="s">
        <v>606</v>
      </c>
      <c r="D292" s="75">
        <v>1</v>
      </c>
      <c r="E292" s="75"/>
      <c r="F292" s="75"/>
      <c r="G292" s="75"/>
      <c r="H292" s="75">
        <v>154.51</v>
      </c>
      <c r="I292" s="75">
        <v>154.51</v>
      </c>
      <c r="J292" s="91" t="s">
        <v>763</v>
      </c>
      <c r="K292" s="73"/>
      <c r="L292" s="46">
        <v>0</v>
      </c>
      <c r="M292" s="46">
        <v>0</v>
      </c>
      <c r="N292" s="46">
        <v>0</v>
      </c>
      <c r="O292" s="98"/>
      <c r="P292" s="23" t="s">
        <v>1457</v>
      </c>
      <c r="Q292" s="24" t="s">
        <v>762</v>
      </c>
      <c r="R292" s="25" t="s">
        <v>606</v>
      </c>
      <c r="S292" s="26">
        <v>1</v>
      </c>
      <c r="T292" s="26"/>
      <c r="U292" s="26">
        <v>154.51</v>
      </c>
      <c r="V292" s="26">
        <f t="shared" si="50"/>
        <v>0</v>
      </c>
      <c r="W292" s="26">
        <f t="shared" si="53"/>
        <v>0</v>
      </c>
      <c r="X292" s="26">
        <f t="shared" si="51"/>
        <v>0</v>
      </c>
      <c r="Y292" s="26">
        <f t="shared" si="57"/>
        <v>0</v>
      </c>
      <c r="Z292" s="33" t="s">
        <v>15</v>
      </c>
      <c r="AA292" s="36" t="s">
        <v>16</v>
      </c>
      <c r="AB292" s="181">
        <f t="shared" si="54"/>
        <v>1</v>
      </c>
      <c r="AC292" s="181">
        <f t="shared" si="52"/>
        <v>154.51</v>
      </c>
      <c r="AD292" s="181">
        <v>1.7</v>
      </c>
      <c r="AE292" s="181">
        <v>1.7</v>
      </c>
      <c r="AF292" s="101" t="str">
        <f t="shared" si="55"/>
        <v/>
      </c>
      <c r="AG292" s="190">
        <v>0</v>
      </c>
      <c r="AH292" s="69">
        <f t="shared" si="56"/>
        <v>1</v>
      </c>
    </row>
    <row r="293" spans="1:34" s="69" customFormat="1" ht="39" hidden="1" x14ac:dyDescent="0.3">
      <c r="A293" s="55" t="s">
        <v>764</v>
      </c>
      <c r="B293" s="53" t="s">
        <v>765</v>
      </c>
      <c r="C293" s="54" t="s">
        <v>606</v>
      </c>
      <c r="D293" s="75">
        <v>1</v>
      </c>
      <c r="E293" s="75"/>
      <c r="F293" s="75"/>
      <c r="G293" s="75"/>
      <c r="H293" s="75">
        <v>36.549999999999997</v>
      </c>
      <c r="I293" s="75">
        <v>36.549999999999997</v>
      </c>
      <c r="J293" s="91" t="s">
        <v>766</v>
      </c>
      <c r="K293" s="73"/>
      <c r="L293" s="46">
        <v>0</v>
      </c>
      <c r="M293" s="46">
        <v>0</v>
      </c>
      <c r="N293" s="46">
        <v>0</v>
      </c>
      <c r="O293" s="98"/>
      <c r="P293" s="23" t="s">
        <v>1458</v>
      </c>
      <c r="Q293" s="24" t="s">
        <v>765</v>
      </c>
      <c r="R293" s="25" t="s">
        <v>606</v>
      </c>
      <c r="S293" s="26">
        <v>1</v>
      </c>
      <c r="T293" s="26"/>
      <c r="U293" s="26">
        <v>36.549999999999997</v>
      </c>
      <c r="V293" s="26">
        <f t="shared" si="50"/>
        <v>0</v>
      </c>
      <c r="W293" s="26">
        <f t="shared" si="53"/>
        <v>0</v>
      </c>
      <c r="X293" s="26">
        <f t="shared" si="51"/>
        <v>0</v>
      </c>
      <c r="Y293" s="26">
        <f t="shared" si="57"/>
        <v>0</v>
      </c>
      <c r="Z293" s="33" t="s">
        <v>15</v>
      </c>
      <c r="AA293" s="36" t="s">
        <v>16</v>
      </c>
      <c r="AB293" s="181">
        <f t="shared" si="54"/>
        <v>1</v>
      </c>
      <c r="AC293" s="181">
        <f t="shared" si="52"/>
        <v>36.549999999999997</v>
      </c>
      <c r="AD293" s="181">
        <v>1.7</v>
      </c>
      <c r="AE293" s="181">
        <v>1.7</v>
      </c>
      <c r="AF293" s="101" t="str">
        <f t="shared" si="55"/>
        <v/>
      </c>
      <c r="AG293" s="190">
        <v>0</v>
      </c>
      <c r="AH293" s="69">
        <f t="shared" si="56"/>
        <v>1</v>
      </c>
    </row>
    <row r="294" spans="1:34" s="69" customFormat="1" ht="39" hidden="1" x14ac:dyDescent="0.3">
      <c r="A294" s="55" t="s">
        <v>767</v>
      </c>
      <c r="B294" s="53" t="s">
        <v>768</v>
      </c>
      <c r="C294" s="54" t="s">
        <v>606</v>
      </c>
      <c r="D294" s="75">
        <v>1</v>
      </c>
      <c r="E294" s="75"/>
      <c r="F294" s="75"/>
      <c r="G294" s="75"/>
      <c r="H294" s="75">
        <v>27.8</v>
      </c>
      <c r="I294" s="75">
        <v>27.8</v>
      </c>
      <c r="J294" s="91" t="s">
        <v>769</v>
      </c>
      <c r="K294" s="73"/>
      <c r="L294" s="46">
        <v>0</v>
      </c>
      <c r="M294" s="46">
        <v>0</v>
      </c>
      <c r="N294" s="46">
        <v>0</v>
      </c>
      <c r="O294" s="98"/>
      <c r="P294" s="23" t="s">
        <v>1459</v>
      </c>
      <c r="Q294" s="24" t="s">
        <v>768</v>
      </c>
      <c r="R294" s="25" t="s">
        <v>606</v>
      </c>
      <c r="S294" s="26">
        <v>1</v>
      </c>
      <c r="T294" s="26"/>
      <c r="U294" s="26">
        <v>27.8</v>
      </c>
      <c r="V294" s="26">
        <f t="shared" si="50"/>
        <v>0</v>
      </c>
      <c r="W294" s="26">
        <f t="shared" si="53"/>
        <v>0</v>
      </c>
      <c r="X294" s="26">
        <f t="shared" si="51"/>
        <v>0</v>
      </c>
      <c r="Y294" s="26">
        <f t="shared" si="57"/>
        <v>0</v>
      </c>
      <c r="Z294" s="33" t="s">
        <v>15</v>
      </c>
      <c r="AA294" s="36" t="s">
        <v>16</v>
      </c>
      <c r="AB294" s="181">
        <f t="shared" si="54"/>
        <v>1</v>
      </c>
      <c r="AC294" s="181">
        <f t="shared" si="52"/>
        <v>27.8</v>
      </c>
      <c r="AD294" s="181">
        <v>1.7</v>
      </c>
      <c r="AE294" s="181">
        <v>1.7</v>
      </c>
      <c r="AF294" s="101" t="str">
        <f t="shared" si="55"/>
        <v/>
      </c>
      <c r="AG294" s="190">
        <v>0</v>
      </c>
      <c r="AH294" s="69">
        <f t="shared" si="56"/>
        <v>1</v>
      </c>
    </row>
    <row r="295" spans="1:34" s="69" customFormat="1" ht="39" hidden="1" x14ac:dyDescent="0.3">
      <c r="A295" s="55" t="s">
        <v>770</v>
      </c>
      <c r="B295" s="53" t="s">
        <v>771</v>
      </c>
      <c r="C295" s="54" t="s">
        <v>606</v>
      </c>
      <c r="D295" s="75">
        <v>1</v>
      </c>
      <c r="E295" s="75"/>
      <c r="F295" s="75"/>
      <c r="G295" s="75"/>
      <c r="H295" s="75">
        <v>105.13</v>
      </c>
      <c r="I295" s="75">
        <v>105.13</v>
      </c>
      <c r="J295" s="91" t="s">
        <v>772</v>
      </c>
      <c r="K295" s="73"/>
      <c r="L295" s="46">
        <v>0</v>
      </c>
      <c r="M295" s="46">
        <v>0</v>
      </c>
      <c r="N295" s="46">
        <v>0</v>
      </c>
      <c r="O295" s="98"/>
      <c r="P295" s="23" t="s">
        <v>1460</v>
      </c>
      <c r="Q295" s="24" t="s">
        <v>771</v>
      </c>
      <c r="R295" s="25" t="s">
        <v>606</v>
      </c>
      <c r="S295" s="26">
        <v>1</v>
      </c>
      <c r="T295" s="26"/>
      <c r="U295" s="26">
        <v>105.13</v>
      </c>
      <c r="V295" s="26">
        <f t="shared" si="50"/>
        <v>0</v>
      </c>
      <c r="W295" s="26">
        <f t="shared" si="53"/>
        <v>0</v>
      </c>
      <c r="X295" s="26">
        <f t="shared" si="51"/>
        <v>0</v>
      </c>
      <c r="Y295" s="26">
        <f t="shared" si="57"/>
        <v>0</v>
      </c>
      <c r="Z295" s="33" t="s">
        <v>15</v>
      </c>
      <c r="AA295" s="36" t="s">
        <v>16</v>
      </c>
      <c r="AB295" s="181">
        <f t="shared" si="54"/>
        <v>1</v>
      </c>
      <c r="AC295" s="181">
        <f t="shared" si="52"/>
        <v>105.13</v>
      </c>
      <c r="AD295" s="181">
        <v>1.7</v>
      </c>
      <c r="AE295" s="181">
        <v>1.7</v>
      </c>
      <c r="AF295" s="101" t="str">
        <f t="shared" si="55"/>
        <v/>
      </c>
      <c r="AG295" s="190">
        <v>0</v>
      </c>
      <c r="AH295" s="69">
        <f t="shared" si="56"/>
        <v>1</v>
      </c>
    </row>
    <row r="296" spans="1:34" s="69" customFormat="1" ht="39" hidden="1" x14ac:dyDescent="0.3">
      <c r="A296" s="55" t="s">
        <v>773</v>
      </c>
      <c r="B296" s="53" t="s">
        <v>774</v>
      </c>
      <c r="C296" s="54" t="s">
        <v>606</v>
      </c>
      <c r="D296" s="75">
        <v>1</v>
      </c>
      <c r="E296" s="75"/>
      <c r="F296" s="75"/>
      <c r="G296" s="75"/>
      <c r="H296" s="75">
        <v>53.12</v>
      </c>
      <c r="I296" s="75">
        <v>53.12</v>
      </c>
      <c r="J296" s="91" t="s">
        <v>775</v>
      </c>
      <c r="K296" s="73"/>
      <c r="L296" s="46">
        <v>0</v>
      </c>
      <c r="M296" s="46">
        <v>0</v>
      </c>
      <c r="N296" s="46">
        <v>0</v>
      </c>
      <c r="O296" s="98"/>
      <c r="P296" s="23" t="s">
        <v>1461</v>
      </c>
      <c r="Q296" s="24" t="s">
        <v>774</v>
      </c>
      <c r="R296" s="25" t="s">
        <v>606</v>
      </c>
      <c r="S296" s="26">
        <v>1</v>
      </c>
      <c r="T296" s="26"/>
      <c r="U296" s="26">
        <v>53.12</v>
      </c>
      <c r="V296" s="26">
        <f t="shared" si="50"/>
        <v>0</v>
      </c>
      <c r="W296" s="26">
        <f t="shared" si="53"/>
        <v>0</v>
      </c>
      <c r="X296" s="26">
        <f t="shared" si="51"/>
        <v>0</v>
      </c>
      <c r="Y296" s="26">
        <f t="shared" si="57"/>
        <v>0</v>
      </c>
      <c r="Z296" s="33" t="s">
        <v>15</v>
      </c>
      <c r="AA296" s="36" t="s">
        <v>16</v>
      </c>
      <c r="AB296" s="181">
        <f t="shared" si="54"/>
        <v>1</v>
      </c>
      <c r="AC296" s="181">
        <f t="shared" si="52"/>
        <v>53.12</v>
      </c>
      <c r="AD296" s="181">
        <v>1.7</v>
      </c>
      <c r="AE296" s="181">
        <v>1.7</v>
      </c>
      <c r="AF296" s="101" t="str">
        <f t="shared" si="55"/>
        <v/>
      </c>
      <c r="AG296" s="190">
        <v>0</v>
      </c>
      <c r="AH296" s="69">
        <f t="shared" si="56"/>
        <v>1</v>
      </c>
    </row>
    <row r="297" spans="1:34" s="69" customFormat="1" ht="39" hidden="1" x14ac:dyDescent="0.3">
      <c r="A297" s="55" t="s">
        <v>776</v>
      </c>
      <c r="B297" s="53" t="s">
        <v>777</v>
      </c>
      <c r="C297" s="54" t="s">
        <v>606</v>
      </c>
      <c r="D297" s="75">
        <v>1</v>
      </c>
      <c r="E297" s="75"/>
      <c r="F297" s="75"/>
      <c r="G297" s="75"/>
      <c r="H297" s="75">
        <v>36.380000000000003</v>
      </c>
      <c r="I297" s="75">
        <v>36.380000000000003</v>
      </c>
      <c r="J297" s="91" t="s">
        <v>778</v>
      </c>
      <c r="K297" s="73"/>
      <c r="L297" s="46">
        <v>0</v>
      </c>
      <c r="M297" s="46">
        <v>0</v>
      </c>
      <c r="N297" s="46">
        <v>0</v>
      </c>
      <c r="O297" s="98"/>
      <c r="P297" s="23" t="s">
        <v>1462</v>
      </c>
      <c r="Q297" s="24" t="s">
        <v>777</v>
      </c>
      <c r="R297" s="25" t="s">
        <v>606</v>
      </c>
      <c r="S297" s="26">
        <v>1</v>
      </c>
      <c r="T297" s="26"/>
      <c r="U297" s="26">
        <v>36.380000000000003</v>
      </c>
      <c r="V297" s="26">
        <f t="shared" si="50"/>
        <v>0</v>
      </c>
      <c r="W297" s="26">
        <f t="shared" si="53"/>
        <v>0</v>
      </c>
      <c r="X297" s="26">
        <f t="shared" si="51"/>
        <v>0</v>
      </c>
      <c r="Y297" s="26">
        <f t="shared" si="57"/>
        <v>0</v>
      </c>
      <c r="Z297" s="33" t="s">
        <v>15</v>
      </c>
      <c r="AA297" s="36" t="s">
        <v>16</v>
      </c>
      <c r="AB297" s="181">
        <f t="shared" si="54"/>
        <v>1</v>
      </c>
      <c r="AC297" s="181">
        <f t="shared" si="52"/>
        <v>36.380000000000003</v>
      </c>
      <c r="AD297" s="181">
        <v>1.7</v>
      </c>
      <c r="AE297" s="181">
        <v>1.7</v>
      </c>
      <c r="AF297" s="101" t="str">
        <f t="shared" si="55"/>
        <v/>
      </c>
      <c r="AG297" s="190">
        <v>0</v>
      </c>
      <c r="AH297" s="69">
        <f t="shared" si="56"/>
        <v>1</v>
      </c>
    </row>
    <row r="298" spans="1:34" s="69" customFormat="1" ht="39" hidden="1" x14ac:dyDescent="0.3">
      <c r="A298" s="55" t="s">
        <v>779</v>
      </c>
      <c r="B298" s="53" t="s">
        <v>780</v>
      </c>
      <c r="C298" s="54" t="s">
        <v>606</v>
      </c>
      <c r="D298" s="75">
        <v>1</v>
      </c>
      <c r="E298" s="75"/>
      <c r="F298" s="75"/>
      <c r="G298" s="75"/>
      <c r="H298" s="75">
        <v>59.74</v>
      </c>
      <c r="I298" s="75">
        <v>59.74</v>
      </c>
      <c r="J298" s="91" t="s">
        <v>781</v>
      </c>
      <c r="K298" s="73"/>
      <c r="L298" s="46">
        <v>0</v>
      </c>
      <c r="M298" s="46">
        <v>0</v>
      </c>
      <c r="N298" s="46">
        <v>0</v>
      </c>
      <c r="O298" s="98"/>
      <c r="P298" s="23" t="s">
        <v>1463</v>
      </c>
      <c r="Q298" s="24" t="s">
        <v>780</v>
      </c>
      <c r="R298" s="25" t="s">
        <v>606</v>
      </c>
      <c r="S298" s="26">
        <v>1</v>
      </c>
      <c r="T298" s="26"/>
      <c r="U298" s="26">
        <v>59.74</v>
      </c>
      <c r="V298" s="26">
        <f t="shared" si="50"/>
        <v>0</v>
      </c>
      <c r="W298" s="26">
        <f t="shared" si="53"/>
        <v>0</v>
      </c>
      <c r="X298" s="26">
        <f t="shared" si="51"/>
        <v>0</v>
      </c>
      <c r="Y298" s="26">
        <f t="shared" si="57"/>
        <v>0</v>
      </c>
      <c r="Z298" s="33" t="s">
        <v>15</v>
      </c>
      <c r="AA298" s="36" t="s">
        <v>16</v>
      </c>
      <c r="AB298" s="181">
        <f t="shared" si="54"/>
        <v>1</v>
      </c>
      <c r="AC298" s="181">
        <f t="shared" si="52"/>
        <v>59.74</v>
      </c>
      <c r="AD298" s="181">
        <v>1.7</v>
      </c>
      <c r="AE298" s="181">
        <v>1.7</v>
      </c>
      <c r="AF298" s="101" t="str">
        <f t="shared" si="55"/>
        <v/>
      </c>
      <c r="AG298" s="190">
        <v>0</v>
      </c>
      <c r="AH298" s="69">
        <f t="shared" si="56"/>
        <v>1</v>
      </c>
    </row>
    <row r="299" spans="1:34" s="69" customFormat="1" ht="39" hidden="1" x14ac:dyDescent="0.3">
      <c r="A299" s="55" t="s">
        <v>782</v>
      </c>
      <c r="B299" s="53" t="s">
        <v>783</v>
      </c>
      <c r="C299" s="54" t="s">
        <v>606</v>
      </c>
      <c r="D299" s="75">
        <v>1</v>
      </c>
      <c r="E299" s="75"/>
      <c r="F299" s="75"/>
      <c r="G299" s="75"/>
      <c r="H299" s="75">
        <v>80.41</v>
      </c>
      <c r="I299" s="75">
        <v>80.41</v>
      </c>
      <c r="J299" s="91" t="s">
        <v>784</v>
      </c>
      <c r="K299" s="73"/>
      <c r="L299" s="46">
        <v>0</v>
      </c>
      <c r="M299" s="46">
        <v>0</v>
      </c>
      <c r="N299" s="46">
        <v>0</v>
      </c>
      <c r="O299" s="98"/>
      <c r="P299" s="23" t="s">
        <v>1464</v>
      </c>
      <c r="Q299" s="24" t="s">
        <v>783</v>
      </c>
      <c r="R299" s="25" t="s">
        <v>606</v>
      </c>
      <c r="S299" s="26">
        <v>1</v>
      </c>
      <c r="T299" s="26"/>
      <c r="U299" s="26">
        <v>80.41</v>
      </c>
      <c r="V299" s="26">
        <f t="shared" si="50"/>
        <v>0</v>
      </c>
      <c r="W299" s="26">
        <f t="shared" si="53"/>
        <v>0</v>
      </c>
      <c r="X299" s="26">
        <f t="shared" si="51"/>
        <v>0</v>
      </c>
      <c r="Y299" s="26">
        <f t="shared" si="57"/>
        <v>0</v>
      </c>
      <c r="Z299" s="33" t="s">
        <v>15</v>
      </c>
      <c r="AA299" s="36" t="s">
        <v>16</v>
      </c>
      <c r="AB299" s="181">
        <f t="shared" si="54"/>
        <v>1</v>
      </c>
      <c r="AC299" s="181">
        <f t="shared" si="52"/>
        <v>80.41</v>
      </c>
      <c r="AD299" s="181">
        <v>1.7</v>
      </c>
      <c r="AE299" s="181">
        <v>1.7</v>
      </c>
      <c r="AF299" s="101" t="str">
        <f t="shared" si="55"/>
        <v/>
      </c>
      <c r="AG299" s="190">
        <v>0</v>
      </c>
      <c r="AH299" s="69">
        <f t="shared" si="56"/>
        <v>1</v>
      </c>
    </row>
    <row r="300" spans="1:34" s="69" customFormat="1" ht="39" hidden="1" x14ac:dyDescent="0.3">
      <c r="A300" s="55" t="s">
        <v>785</v>
      </c>
      <c r="B300" s="53" t="s">
        <v>786</v>
      </c>
      <c r="C300" s="54" t="s">
        <v>606</v>
      </c>
      <c r="D300" s="75">
        <v>1</v>
      </c>
      <c r="E300" s="75"/>
      <c r="F300" s="75"/>
      <c r="G300" s="75"/>
      <c r="H300" s="75">
        <v>64.959999999999994</v>
      </c>
      <c r="I300" s="75">
        <v>64.959999999999994</v>
      </c>
      <c r="J300" s="91" t="s">
        <v>787</v>
      </c>
      <c r="K300" s="73"/>
      <c r="L300" s="46">
        <v>0</v>
      </c>
      <c r="M300" s="46">
        <v>0</v>
      </c>
      <c r="N300" s="46">
        <v>0</v>
      </c>
      <c r="O300" s="98"/>
      <c r="P300" s="23" t="s">
        <v>1465</v>
      </c>
      <c r="Q300" s="24" t="s">
        <v>786</v>
      </c>
      <c r="R300" s="25" t="s">
        <v>606</v>
      </c>
      <c r="S300" s="26">
        <v>1</v>
      </c>
      <c r="T300" s="26"/>
      <c r="U300" s="26">
        <v>64.959999999999994</v>
      </c>
      <c r="V300" s="26">
        <f t="shared" si="50"/>
        <v>0</v>
      </c>
      <c r="W300" s="26">
        <f t="shared" si="53"/>
        <v>0</v>
      </c>
      <c r="X300" s="26">
        <f t="shared" si="51"/>
        <v>0</v>
      </c>
      <c r="Y300" s="26">
        <f t="shared" si="57"/>
        <v>0</v>
      </c>
      <c r="Z300" s="33" t="s">
        <v>15</v>
      </c>
      <c r="AA300" s="36" t="s">
        <v>16</v>
      </c>
      <c r="AB300" s="181">
        <f t="shared" si="54"/>
        <v>1</v>
      </c>
      <c r="AC300" s="181">
        <f t="shared" si="52"/>
        <v>64.959999999999994</v>
      </c>
      <c r="AD300" s="181">
        <v>1.7</v>
      </c>
      <c r="AE300" s="181">
        <v>1.7</v>
      </c>
      <c r="AF300" s="101" t="str">
        <f t="shared" si="55"/>
        <v/>
      </c>
      <c r="AG300" s="190">
        <v>0</v>
      </c>
      <c r="AH300" s="69">
        <f t="shared" si="56"/>
        <v>1</v>
      </c>
    </row>
    <row r="301" spans="1:34" s="69" customFormat="1" ht="39" hidden="1" x14ac:dyDescent="0.3">
      <c r="A301" s="55" t="s">
        <v>788</v>
      </c>
      <c r="B301" s="53" t="s">
        <v>789</v>
      </c>
      <c r="C301" s="54" t="s">
        <v>606</v>
      </c>
      <c r="D301" s="75">
        <v>1</v>
      </c>
      <c r="E301" s="75"/>
      <c r="F301" s="75"/>
      <c r="G301" s="75"/>
      <c r="H301" s="75">
        <v>95.86</v>
      </c>
      <c r="I301" s="75">
        <v>95.86</v>
      </c>
      <c r="J301" s="91" t="s">
        <v>790</v>
      </c>
      <c r="K301" s="73"/>
      <c r="L301" s="46">
        <v>0</v>
      </c>
      <c r="M301" s="46">
        <v>0</v>
      </c>
      <c r="N301" s="46">
        <v>0</v>
      </c>
      <c r="O301" s="98"/>
      <c r="P301" s="23" t="s">
        <v>1466</v>
      </c>
      <c r="Q301" s="24" t="s">
        <v>789</v>
      </c>
      <c r="R301" s="25" t="s">
        <v>606</v>
      </c>
      <c r="S301" s="26">
        <v>1</v>
      </c>
      <c r="T301" s="26"/>
      <c r="U301" s="26">
        <v>95.86</v>
      </c>
      <c r="V301" s="26">
        <f t="shared" si="50"/>
        <v>0</v>
      </c>
      <c r="W301" s="26">
        <f t="shared" si="53"/>
        <v>0</v>
      </c>
      <c r="X301" s="26">
        <f t="shared" si="51"/>
        <v>0</v>
      </c>
      <c r="Y301" s="26">
        <f t="shared" si="57"/>
        <v>0</v>
      </c>
      <c r="Z301" s="33" t="s">
        <v>15</v>
      </c>
      <c r="AA301" s="36" t="s">
        <v>16</v>
      </c>
      <c r="AB301" s="181">
        <f t="shared" si="54"/>
        <v>1</v>
      </c>
      <c r="AC301" s="181">
        <f t="shared" si="52"/>
        <v>95.86</v>
      </c>
      <c r="AD301" s="181">
        <v>1.7</v>
      </c>
      <c r="AE301" s="181">
        <v>1.7</v>
      </c>
      <c r="AF301" s="101" t="str">
        <f t="shared" si="55"/>
        <v/>
      </c>
      <c r="AG301" s="190">
        <v>0</v>
      </c>
      <c r="AH301" s="69">
        <f t="shared" si="56"/>
        <v>1</v>
      </c>
    </row>
    <row r="302" spans="1:34" s="69" customFormat="1" ht="39" hidden="1" x14ac:dyDescent="0.3">
      <c r="A302" s="55" t="s">
        <v>791</v>
      </c>
      <c r="B302" s="53" t="s">
        <v>792</v>
      </c>
      <c r="C302" s="54" t="s">
        <v>606</v>
      </c>
      <c r="D302" s="75">
        <v>1</v>
      </c>
      <c r="E302" s="75"/>
      <c r="F302" s="75"/>
      <c r="G302" s="75"/>
      <c r="H302" s="75">
        <v>93.29</v>
      </c>
      <c r="I302" s="75">
        <v>93.29</v>
      </c>
      <c r="J302" s="91" t="s">
        <v>793</v>
      </c>
      <c r="K302" s="73"/>
      <c r="L302" s="46">
        <v>0</v>
      </c>
      <c r="M302" s="46">
        <v>0</v>
      </c>
      <c r="N302" s="46">
        <v>0</v>
      </c>
      <c r="O302" s="98"/>
      <c r="P302" s="23" t="s">
        <v>1467</v>
      </c>
      <c r="Q302" s="24" t="s">
        <v>792</v>
      </c>
      <c r="R302" s="25" t="s">
        <v>606</v>
      </c>
      <c r="S302" s="26">
        <v>1</v>
      </c>
      <c r="T302" s="26"/>
      <c r="U302" s="26">
        <v>93.29</v>
      </c>
      <c r="V302" s="26">
        <f t="shared" ref="V302:V326" si="58">AG302-L302</f>
        <v>0</v>
      </c>
      <c r="W302" s="26">
        <f t="shared" si="53"/>
        <v>0</v>
      </c>
      <c r="X302" s="26">
        <f t="shared" ref="X302:X326" si="59">Y302-N302</f>
        <v>0</v>
      </c>
      <c r="Y302" s="26">
        <f t="shared" si="57"/>
        <v>0</v>
      </c>
      <c r="Z302" s="33" t="s">
        <v>15</v>
      </c>
      <c r="AA302" s="36" t="s">
        <v>16</v>
      </c>
      <c r="AB302" s="181">
        <f t="shared" si="54"/>
        <v>1</v>
      </c>
      <c r="AC302" s="181">
        <f t="shared" ref="AC302:AC365" si="60">ROUND(U302*AB302,2)</f>
        <v>93.29</v>
      </c>
      <c r="AD302" s="181">
        <v>1.7</v>
      </c>
      <c r="AE302" s="181">
        <v>1.7</v>
      </c>
      <c r="AF302" s="101" t="str">
        <f t="shared" si="55"/>
        <v/>
      </c>
      <c r="AG302" s="190">
        <v>0</v>
      </c>
      <c r="AH302" s="69">
        <f t="shared" si="56"/>
        <v>1</v>
      </c>
    </row>
    <row r="303" spans="1:34" s="69" customFormat="1" ht="39" hidden="1" x14ac:dyDescent="0.3">
      <c r="A303" s="55" t="s">
        <v>794</v>
      </c>
      <c r="B303" s="53" t="s">
        <v>795</v>
      </c>
      <c r="C303" s="54" t="s">
        <v>606</v>
      </c>
      <c r="D303" s="75">
        <v>1</v>
      </c>
      <c r="E303" s="75"/>
      <c r="F303" s="75"/>
      <c r="G303" s="75"/>
      <c r="H303" s="75">
        <v>93.8</v>
      </c>
      <c r="I303" s="75">
        <v>93.8</v>
      </c>
      <c r="J303" s="91" t="s">
        <v>796</v>
      </c>
      <c r="K303" s="73"/>
      <c r="L303" s="46">
        <v>0</v>
      </c>
      <c r="M303" s="46">
        <v>0</v>
      </c>
      <c r="N303" s="46">
        <v>0</v>
      </c>
      <c r="O303" s="98"/>
      <c r="P303" s="23" t="s">
        <v>1468</v>
      </c>
      <c r="Q303" s="24" t="s">
        <v>795</v>
      </c>
      <c r="R303" s="25" t="s">
        <v>606</v>
      </c>
      <c r="S303" s="26">
        <v>1</v>
      </c>
      <c r="T303" s="26"/>
      <c r="U303" s="26">
        <v>93.8</v>
      </c>
      <c r="V303" s="26">
        <f t="shared" si="58"/>
        <v>0</v>
      </c>
      <c r="W303" s="26">
        <f t="shared" si="53"/>
        <v>0</v>
      </c>
      <c r="X303" s="26">
        <f t="shared" si="59"/>
        <v>0</v>
      </c>
      <c r="Y303" s="26">
        <f t="shared" si="57"/>
        <v>0</v>
      </c>
      <c r="Z303" s="33" t="s">
        <v>15</v>
      </c>
      <c r="AA303" s="36" t="s">
        <v>16</v>
      </c>
      <c r="AB303" s="181">
        <f t="shared" si="54"/>
        <v>1</v>
      </c>
      <c r="AC303" s="181">
        <f t="shared" si="60"/>
        <v>93.8</v>
      </c>
      <c r="AD303" s="181">
        <v>1.7</v>
      </c>
      <c r="AE303" s="181">
        <v>1.7</v>
      </c>
      <c r="AF303" s="101" t="str">
        <f t="shared" si="55"/>
        <v/>
      </c>
      <c r="AG303" s="190">
        <v>0</v>
      </c>
      <c r="AH303" s="69">
        <f t="shared" si="56"/>
        <v>1</v>
      </c>
    </row>
    <row r="304" spans="1:34" s="69" customFormat="1" ht="39" hidden="1" x14ac:dyDescent="0.3">
      <c r="A304" s="55" t="s">
        <v>797</v>
      </c>
      <c r="B304" s="53" t="s">
        <v>798</v>
      </c>
      <c r="C304" s="54" t="s">
        <v>606</v>
      </c>
      <c r="D304" s="75">
        <v>1</v>
      </c>
      <c r="E304" s="75"/>
      <c r="F304" s="75"/>
      <c r="G304" s="75"/>
      <c r="H304" s="75">
        <v>63.35</v>
      </c>
      <c r="I304" s="75">
        <v>63.35</v>
      </c>
      <c r="J304" s="91" t="s">
        <v>799</v>
      </c>
      <c r="K304" s="73"/>
      <c r="L304" s="46">
        <v>0</v>
      </c>
      <c r="M304" s="46">
        <v>0</v>
      </c>
      <c r="N304" s="46">
        <v>0</v>
      </c>
      <c r="O304" s="98"/>
      <c r="P304" s="23" t="s">
        <v>1469</v>
      </c>
      <c r="Q304" s="24" t="s">
        <v>798</v>
      </c>
      <c r="R304" s="25" t="s">
        <v>606</v>
      </c>
      <c r="S304" s="26">
        <v>1</v>
      </c>
      <c r="T304" s="26"/>
      <c r="U304" s="26">
        <v>63.35</v>
      </c>
      <c r="V304" s="26">
        <f t="shared" si="58"/>
        <v>0</v>
      </c>
      <c r="W304" s="26">
        <f t="shared" si="53"/>
        <v>0</v>
      </c>
      <c r="X304" s="26">
        <f t="shared" si="59"/>
        <v>0</v>
      </c>
      <c r="Y304" s="26">
        <f t="shared" si="57"/>
        <v>0</v>
      </c>
      <c r="Z304" s="33" t="s">
        <v>15</v>
      </c>
      <c r="AA304" s="36" t="s">
        <v>16</v>
      </c>
      <c r="AB304" s="181">
        <f t="shared" si="54"/>
        <v>1</v>
      </c>
      <c r="AC304" s="181">
        <f t="shared" si="60"/>
        <v>63.35</v>
      </c>
      <c r="AD304" s="181">
        <v>1.7</v>
      </c>
      <c r="AE304" s="181">
        <v>1.7</v>
      </c>
      <c r="AF304" s="101" t="str">
        <f t="shared" si="55"/>
        <v/>
      </c>
      <c r="AG304" s="190">
        <v>0</v>
      </c>
      <c r="AH304" s="69">
        <f t="shared" si="56"/>
        <v>1</v>
      </c>
    </row>
    <row r="305" spans="1:34" s="69" customFormat="1" ht="39" hidden="1" x14ac:dyDescent="0.3">
      <c r="A305" s="55" t="s">
        <v>800</v>
      </c>
      <c r="B305" s="53" t="s">
        <v>801</v>
      </c>
      <c r="C305" s="54" t="s">
        <v>606</v>
      </c>
      <c r="D305" s="75">
        <v>1</v>
      </c>
      <c r="E305" s="75"/>
      <c r="F305" s="75"/>
      <c r="G305" s="75"/>
      <c r="H305" s="75">
        <v>156.05000000000001</v>
      </c>
      <c r="I305" s="75">
        <v>156.05000000000001</v>
      </c>
      <c r="J305" s="91" t="s">
        <v>802</v>
      </c>
      <c r="K305" s="73"/>
      <c r="L305" s="46">
        <v>0</v>
      </c>
      <c r="M305" s="46">
        <v>0</v>
      </c>
      <c r="N305" s="46">
        <v>0</v>
      </c>
      <c r="O305" s="98"/>
      <c r="P305" s="23" t="s">
        <v>1470</v>
      </c>
      <c r="Q305" s="24" t="s">
        <v>801</v>
      </c>
      <c r="R305" s="25" t="s">
        <v>606</v>
      </c>
      <c r="S305" s="26">
        <v>1</v>
      </c>
      <c r="T305" s="26"/>
      <c r="U305" s="26">
        <v>156.05000000000001</v>
      </c>
      <c r="V305" s="26">
        <f t="shared" si="58"/>
        <v>0</v>
      </c>
      <c r="W305" s="26">
        <f t="shared" si="53"/>
        <v>0</v>
      </c>
      <c r="X305" s="26">
        <f t="shared" si="59"/>
        <v>0</v>
      </c>
      <c r="Y305" s="26">
        <f t="shared" si="57"/>
        <v>0</v>
      </c>
      <c r="Z305" s="33" t="s">
        <v>15</v>
      </c>
      <c r="AA305" s="36" t="s">
        <v>16</v>
      </c>
      <c r="AB305" s="181">
        <f t="shared" si="54"/>
        <v>1</v>
      </c>
      <c r="AC305" s="181">
        <f t="shared" si="60"/>
        <v>156.05000000000001</v>
      </c>
      <c r="AD305" s="181">
        <v>1.7</v>
      </c>
      <c r="AE305" s="181">
        <v>1.7</v>
      </c>
      <c r="AF305" s="101" t="str">
        <f t="shared" si="55"/>
        <v/>
      </c>
      <c r="AG305" s="190">
        <v>0</v>
      </c>
      <c r="AH305" s="69">
        <f t="shared" si="56"/>
        <v>1</v>
      </c>
    </row>
    <row r="306" spans="1:34" s="69" customFormat="1" ht="39" hidden="1" x14ac:dyDescent="0.3">
      <c r="A306" s="55" t="s">
        <v>803</v>
      </c>
      <c r="B306" s="53" t="s">
        <v>804</v>
      </c>
      <c r="C306" s="54" t="s">
        <v>606</v>
      </c>
      <c r="D306" s="75">
        <v>1</v>
      </c>
      <c r="E306" s="75"/>
      <c r="F306" s="75"/>
      <c r="G306" s="75"/>
      <c r="H306" s="75">
        <v>69.08</v>
      </c>
      <c r="I306" s="75">
        <v>69.08</v>
      </c>
      <c r="J306" s="91" t="s">
        <v>805</v>
      </c>
      <c r="K306" s="73"/>
      <c r="L306" s="46">
        <v>0</v>
      </c>
      <c r="M306" s="46">
        <v>0</v>
      </c>
      <c r="N306" s="46">
        <v>0</v>
      </c>
      <c r="O306" s="98"/>
      <c r="P306" s="23" t="s">
        <v>1471</v>
      </c>
      <c r="Q306" s="24" t="s">
        <v>804</v>
      </c>
      <c r="R306" s="25" t="s">
        <v>606</v>
      </c>
      <c r="S306" s="26">
        <v>1</v>
      </c>
      <c r="T306" s="26"/>
      <c r="U306" s="26">
        <v>69.08</v>
      </c>
      <c r="V306" s="26">
        <f t="shared" si="58"/>
        <v>0</v>
      </c>
      <c r="W306" s="26">
        <f t="shared" ref="W306:W370" si="61">V306+L306</f>
        <v>0</v>
      </c>
      <c r="X306" s="26">
        <f t="shared" si="59"/>
        <v>0</v>
      </c>
      <c r="Y306" s="26">
        <f t="shared" si="57"/>
        <v>0</v>
      </c>
      <c r="Z306" s="33" t="s">
        <v>15</v>
      </c>
      <c r="AA306" s="36" t="s">
        <v>16</v>
      </c>
      <c r="AB306" s="181">
        <f t="shared" si="54"/>
        <v>1</v>
      </c>
      <c r="AC306" s="181">
        <f t="shared" si="60"/>
        <v>69.08</v>
      </c>
      <c r="AD306" s="181">
        <v>1.7</v>
      </c>
      <c r="AE306" s="181">
        <v>1.7</v>
      </c>
      <c r="AF306" s="101" t="str">
        <f t="shared" si="55"/>
        <v/>
      </c>
      <c r="AG306" s="190">
        <v>0</v>
      </c>
      <c r="AH306" s="69">
        <f t="shared" si="56"/>
        <v>1</v>
      </c>
    </row>
    <row r="307" spans="1:34" s="69" customFormat="1" ht="39" hidden="1" x14ac:dyDescent="0.3">
      <c r="A307" s="55" t="s">
        <v>806</v>
      </c>
      <c r="B307" s="53" t="s">
        <v>807</v>
      </c>
      <c r="C307" s="54" t="s">
        <v>606</v>
      </c>
      <c r="D307" s="75">
        <v>1</v>
      </c>
      <c r="E307" s="75"/>
      <c r="F307" s="75"/>
      <c r="G307" s="75"/>
      <c r="H307" s="75">
        <v>55.62</v>
      </c>
      <c r="I307" s="75">
        <v>55.62</v>
      </c>
      <c r="J307" s="91" t="s">
        <v>808</v>
      </c>
      <c r="K307" s="73"/>
      <c r="L307" s="46">
        <v>0</v>
      </c>
      <c r="M307" s="46">
        <v>0</v>
      </c>
      <c r="N307" s="46">
        <v>0</v>
      </c>
      <c r="O307" s="98"/>
      <c r="P307" s="23" t="s">
        <v>1472</v>
      </c>
      <c r="Q307" s="24" t="s">
        <v>807</v>
      </c>
      <c r="R307" s="25" t="s">
        <v>606</v>
      </c>
      <c r="S307" s="26">
        <v>1</v>
      </c>
      <c r="T307" s="26"/>
      <c r="U307" s="26">
        <v>55.62</v>
      </c>
      <c r="V307" s="26">
        <f t="shared" si="58"/>
        <v>0</v>
      </c>
      <c r="W307" s="26">
        <f t="shared" si="61"/>
        <v>0</v>
      </c>
      <c r="X307" s="26">
        <f t="shared" si="59"/>
        <v>0</v>
      </c>
      <c r="Y307" s="26">
        <f t="shared" si="57"/>
        <v>0</v>
      </c>
      <c r="Z307" s="33" t="s">
        <v>15</v>
      </c>
      <c r="AA307" s="36" t="s">
        <v>16</v>
      </c>
      <c r="AB307" s="181">
        <f t="shared" si="54"/>
        <v>1</v>
      </c>
      <c r="AC307" s="181">
        <f t="shared" si="60"/>
        <v>55.62</v>
      </c>
      <c r="AD307" s="181">
        <v>1.7</v>
      </c>
      <c r="AE307" s="181">
        <v>1.7</v>
      </c>
      <c r="AF307" s="101" t="str">
        <f t="shared" si="55"/>
        <v/>
      </c>
      <c r="AG307" s="190">
        <v>0</v>
      </c>
      <c r="AH307" s="69">
        <f t="shared" si="56"/>
        <v>1</v>
      </c>
    </row>
    <row r="308" spans="1:34" s="69" customFormat="1" ht="39" hidden="1" x14ac:dyDescent="0.3">
      <c r="A308" s="55" t="s">
        <v>809</v>
      </c>
      <c r="B308" s="53" t="s">
        <v>810</v>
      </c>
      <c r="C308" s="54" t="s">
        <v>606</v>
      </c>
      <c r="D308" s="75">
        <v>1</v>
      </c>
      <c r="E308" s="75"/>
      <c r="F308" s="75"/>
      <c r="G308" s="75"/>
      <c r="H308" s="75">
        <v>91.67</v>
      </c>
      <c r="I308" s="75">
        <v>91.67</v>
      </c>
      <c r="J308" s="91" t="s">
        <v>811</v>
      </c>
      <c r="K308" s="73"/>
      <c r="L308" s="46">
        <v>0</v>
      </c>
      <c r="M308" s="46">
        <v>0</v>
      </c>
      <c r="N308" s="46">
        <v>0</v>
      </c>
      <c r="O308" s="98"/>
      <c r="P308" s="23" t="s">
        <v>1473</v>
      </c>
      <c r="Q308" s="24" t="s">
        <v>810</v>
      </c>
      <c r="R308" s="25" t="s">
        <v>606</v>
      </c>
      <c r="S308" s="26">
        <v>1</v>
      </c>
      <c r="T308" s="26"/>
      <c r="U308" s="26">
        <v>91.67</v>
      </c>
      <c r="V308" s="26">
        <f t="shared" si="58"/>
        <v>0</v>
      </c>
      <c r="W308" s="26">
        <f t="shared" si="61"/>
        <v>0</v>
      </c>
      <c r="X308" s="26">
        <f t="shared" si="59"/>
        <v>0</v>
      </c>
      <c r="Y308" s="26">
        <f t="shared" si="57"/>
        <v>0</v>
      </c>
      <c r="Z308" s="33" t="s">
        <v>15</v>
      </c>
      <c r="AA308" s="36" t="s">
        <v>16</v>
      </c>
      <c r="AB308" s="181">
        <f t="shared" si="54"/>
        <v>1</v>
      </c>
      <c r="AC308" s="181">
        <f t="shared" si="60"/>
        <v>91.67</v>
      </c>
      <c r="AD308" s="181">
        <v>1.7</v>
      </c>
      <c r="AE308" s="181">
        <v>1.7</v>
      </c>
      <c r="AF308" s="101" t="str">
        <f t="shared" si="55"/>
        <v/>
      </c>
      <c r="AG308" s="190">
        <v>0</v>
      </c>
      <c r="AH308" s="69">
        <f t="shared" si="56"/>
        <v>1</v>
      </c>
    </row>
    <row r="309" spans="1:34" s="69" customFormat="1" ht="39" hidden="1" x14ac:dyDescent="0.3">
      <c r="A309" s="55" t="s">
        <v>812</v>
      </c>
      <c r="B309" s="53" t="s">
        <v>813</v>
      </c>
      <c r="C309" s="54" t="s">
        <v>606</v>
      </c>
      <c r="D309" s="75">
        <v>1</v>
      </c>
      <c r="E309" s="75"/>
      <c r="F309" s="75"/>
      <c r="G309" s="75"/>
      <c r="H309" s="75">
        <v>68.5</v>
      </c>
      <c r="I309" s="75">
        <v>68.5</v>
      </c>
      <c r="J309" s="91" t="s">
        <v>814</v>
      </c>
      <c r="K309" s="73"/>
      <c r="L309" s="46">
        <v>0</v>
      </c>
      <c r="M309" s="46">
        <v>0</v>
      </c>
      <c r="N309" s="46">
        <v>0</v>
      </c>
      <c r="O309" s="98"/>
      <c r="P309" s="23" t="s">
        <v>1474</v>
      </c>
      <c r="Q309" s="24" t="s">
        <v>813</v>
      </c>
      <c r="R309" s="25" t="s">
        <v>606</v>
      </c>
      <c r="S309" s="26">
        <v>1</v>
      </c>
      <c r="T309" s="26"/>
      <c r="U309" s="26">
        <v>68.5</v>
      </c>
      <c r="V309" s="26">
        <f t="shared" si="58"/>
        <v>0</v>
      </c>
      <c r="W309" s="26">
        <f t="shared" si="61"/>
        <v>0</v>
      </c>
      <c r="X309" s="26">
        <f t="shared" si="59"/>
        <v>0</v>
      </c>
      <c r="Y309" s="26">
        <f t="shared" si="57"/>
        <v>0</v>
      </c>
      <c r="Z309" s="33" t="s">
        <v>15</v>
      </c>
      <c r="AA309" s="36" t="s">
        <v>16</v>
      </c>
      <c r="AB309" s="181">
        <f t="shared" si="54"/>
        <v>1</v>
      </c>
      <c r="AC309" s="181">
        <f t="shared" si="60"/>
        <v>68.5</v>
      </c>
      <c r="AD309" s="181">
        <v>1.7</v>
      </c>
      <c r="AE309" s="181">
        <v>1.7</v>
      </c>
      <c r="AF309" s="101" t="str">
        <f t="shared" si="55"/>
        <v/>
      </c>
      <c r="AG309" s="190">
        <v>0</v>
      </c>
      <c r="AH309" s="69">
        <f t="shared" si="56"/>
        <v>1</v>
      </c>
    </row>
    <row r="310" spans="1:34" s="69" customFormat="1" ht="39" hidden="1" x14ac:dyDescent="0.3">
      <c r="A310" s="55" t="s">
        <v>815</v>
      </c>
      <c r="B310" s="53" t="s">
        <v>816</v>
      </c>
      <c r="C310" s="54" t="s">
        <v>606</v>
      </c>
      <c r="D310" s="75">
        <v>1</v>
      </c>
      <c r="E310" s="75"/>
      <c r="F310" s="75"/>
      <c r="G310" s="75"/>
      <c r="H310" s="75">
        <v>58.2</v>
      </c>
      <c r="I310" s="75">
        <v>58.2</v>
      </c>
      <c r="J310" s="91" t="s">
        <v>817</v>
      </c>
      <c r="K310" s="73"/>
      <c r="L310" s="46">
        <v>0</v>
      </c>
      <c r="M310" s="46">
        <v>0</v>
      </c>
      <c r="N310" s="46">
        <v>0</v>
      </c>
      <c r="O310" s="98"/>
      <c r="P310" s="23" t="s">
        <v>1475</v>
      </c>
      <c r="Q310" s="24" t="s">
        <v>816</v>
      </c>
      <c r="R310" s="25" t="s">
        <v>606</v>
      </c>
      <c r="S310" s="26">
        <v>1</v>
      </c>
      <c r="T310" s="26"/>
      <c r="U310" s="26">
        <v>58.2</v>
      </c>
      <c r="V310" s="26">
        <f t="shared" si="58"/>
        <v>0</v>
      </c>
      <c r="W310" s="26">
        <f t="shared" si="61"/>
        <v>0</v>
      </c>
      <c r="X310" s="26">
        <f t="shared" si="59"/>
        <v>0</v>
      </c>
      <c r="Y310" s="26">
        <f t="shared" si="57"/>
        <v>0</v>
      </c>
      <c r="Z310" s="33" t="s">
        <v>15</v>
      </c>
      <c r="AA310" s="36" t="s">
        <v>16</v>
      </c>
      <c r="AB310" s="181">
        <f t="shared" si="54"/>
        <v>1</v>
      </c>
      <c r="AC310" s="181">
        <f t="shared" si="60"/>
        <v>58.2</v>
      </c>
      <c r="AD310" s="181">
        <v>1.7</v>
      </c>
      <c r="AE310" s="181">
        <v>1.7</v>
      </c>
      <c r="AF310" s="101" t="str">
        <f t="shared" si="55"/>
        <v/>
      </c>
      <c r="AG310" s="190">
        <v>0</v>
      </c>
      <c r="AH310" s="69">
        <f t="shared" si="56"/>
        <v>1</v>
      </c>
    </row>
    <row r="311" spans="1:34" s="69" customFormat="1" ht="39" hidden="1" x14ac:dyDescent="0.3">
      <c r="A311" s="55" t="s">
        <v>818</v>
      </c>
      <c r="B311" s="53" t="s">
        <v>819</v>
      </c>
      <c r="C311" s="54" t="s">
        <v>606</v>
      </c>
      <c r="D311" s="75">
        <v>1</v>
      </c>
      <c r="E311" s="75"/>
      <c r="F311" s="75"/>
      <c r="G311" s="75"/>
      <c r="H311" s="75">
        <v>70.040000000000006</v>
      </c>
      <c r="I311" s="75">
        <v>70.040000000000006</v>
      </c>
      <c r="J311" s="91" t="s">
        <v>820</v>
      </c>
      <c r="K311" s="73"/>
      <c r="L311" s="46">
        <v>0</v>
      </c>
      <c r="M311" s="46">
        <v>0</v>
      </c>
      <c r="N311" s="46">
        <v>0</v>
      </c>
      <c r="O311" s="98"/>
      <c r="P311" s="23" t="s">
        <v>1476</v>
      </c>
      <c r="Q311" s="24" t="s">
        <v>819</v>
      </c>
      <c r="R311" s="25" t="s">
        <v>606</v>
      </c>
      <c r="S311" s="26">
        <v>1</v>
      </c>
      <c r="T311" s="26"/>
      <c r="U311" s="26">
        <v>70.040000000000006</v>
      </c>
      <c r="V311" s="26">
        <f t="shared" si="58"/>
        <v>0</v>
      </c>
      <c r="W311" s="26">
        <f t="shared" si="61"/>
        <v>0</v>
      </c>
      <c r="X311" s="26">
        <f t="shared" si="59"/>
        <v>0</v>
      </c>
      <c r="Y311" s="26">
        <f t="shared" si="57"/>
        <v>0</v>
      </c>
      <c r="Z311" s="33" t="s">
        <v>15</v>
      </c>
      <c r="AA311" s="36" t="s">
        <v>16</v>
      </c>
      <c r="AB311" s="181">
        <f t="shared" si="54"/>
        <v>1</v>
      </c>
      <c r="AC311" s="181">
        <f t="shared" si="60"/>
        <v>70.040000000000006</v>
      </c>
      <c r="AD311" s="181">
        <v>1.7</v>
      </c>
      <c r="AE311" s="181">
        <v>1.7</v>
      </c>
      <c r="AF311" s="101" t="str">
        <f t="shared" si="55"/>
        <v/>
      </c>
      <c r="AG311" s="190">
        <v>0</v>
      </c>
      <c r="AH311" s="69">
        <f t="shared" si="56"/>
        <v>1</v>
      </c>
    </row>
    <row r="312" spans="1:34" s="69" customFormat="1" ht="39" hidden="1" x14ac:dyDescent="0.3">
      <c r="A312" s="55" t="s">
        <v>821</v>
      </c>
      <c r="B312" s="53" t="s">
        <v>822</v>
      </c>
      <c r="C312" s="54" t="s">
        <v>606</v>
      </c>
      <c r="D312" s="75">
        <v>1</v>
      </c>
      <c r="E312" s="75"/>
      <c r="F312" s="75"/>
      <c r="G312" s="75"/>
      <c r="H312" s="75">
        <v>61.29</v>
      </c>
      <c r="I312" s="75">
        <v>61.29</v>
      </c>
      <c r="J312" s="91" t="s">
        <v>823</v>
      </c>
      <c r="K312" s="73"/>
      <c r="L312" s="46">
        <v>0</v>
      </c>
      <c r="M312" s="46">
        <v>0</v>
      </c>
      <c r="N312" s="46">
        <v>0</v>
      </c>
      <c r="O312" s="98"/>
      <c r="P312" s="23" t="s">
        <v>1477</v>
      </c>
      <c r="Q312" s="24" t="s">
        <v>822</v>
      </c>
      <c r="R312" s="25" t="s">
        <v>606</v>
      </c>
      <c r="S312" s="26">
        <v>1</v>
      </c>
      <c r="T312" s="26"/>
      <c r="U312" s="26">
        <v>61.29</v>
      </c>
      <c r="V312" s="26">
        <f t="shared" si="58"/>
        <v>0</v>
      </c>
      <c r="W312" s="26">
        <f t="shared" si="61"/>
        <v>0</v>
      </c>
      <c r="X312" s="26">
        <f t="shared" si="59"/>
        <v>0</v>
      </c>
      <c r="Y312" s="26">
        <f t="shared" si="57"/>
        <v>0</v>
      </c>
      <c r="Z312" s="33" t="s">
        <v>15</v>
      </c>
      <c r="AA312" s="36" t="s">
        <v>16</v>
      </c>
      <c r="AB312" s="181">
        <f t="shared" si="54"/>
        <v>1</v>
      </c>
      <c r="AC312" s="181">
        <f t="shared" si="60"/>
        <v>61.29</v>
      </c>
      <c r="AD312" s="181">
        <v>1.7</v>
      </c>
      <c r="AE312" s="181">
        <v>1.7</v>
      </c>
      <c r="AF312" s="101" t="str">
        <f t="shared" si="55"/>
        <v/>
      </c>
      <c r="AG312" s="190">
        <v>0</v>
      </c>
      <c r="AH312" s="69">
        <f t="shared" si="56"/>
        <v>1</v>
      </c>
    </row>
    <row r="313" spans="1:34" s="69" customFormat="1" ht="39" hidden="1" x14ac:dyDescent="0.3">
      <c r="A313" s="55" t="s">
        <v>824</v>
      </c>
      <c r="B313" s="53" t="s">
        <v>825</v>
      </c>
      <c r="C313" s="54" t="s">
        <v>606</v>
      </c>
      <c r="D313" s="75">
        <v>1</v>
      </c>
      <c r="E313" s="75"/>
      <c r="F313" s="75"/>
      <c r="G313" s="75"/>
      <c r="H313" s="75">
        <v>59.74</v>
      </c>
      <c r="I313" s="75">
        <v>59.74</v>
      </c>
      <c r="J313" s="91" t="s">
        <v>826</v>
      </c>
      <c r="K313" s="73"/>
      <c r="L313" s="46">
        <v>0</v>
      </c>
      <c r="M313" s="46">
        <v>0</v>
      </c>
      <c r="N313" s="46">
        <v>0</v>
      </c>
      <c r="O313" s="98"/>
      <c r="P313" s="23" t="s">
        <v>1478</v>
      </c>
      <c r="Q313" s="24" t="s">
        <v>825</v>
      </c>
      <c r="R313" s="25" t="s">
        <v>606</v>
      </c>
      <c r="S313" s="26">
        <v>1</v>
      </c>
      <c r="T313" s="26"/>
      <c r="U313" s="26">
        <v>59.74</v>
      </c>
      <c r="V313" s="26">
        <f t="shared" si="58"/>
        <v>0</v>
      </c>
      <c r="W313" s="26">
        <f t="shared" si="61"/>
        <v>0</v>
      </c>
      <c r="X313" s="26">
        <f t="shared" si="59"/>
        <v>0</v>
      </c>
      <c r="Y313" s="26">
        <f t="shared" si="57"/>
        <v>0</v>
      </c>
      <c r="Z313" s="33" t="s">
        <v>15</v>
      </c>
      <c r="AA313" s="36" t="s">
        <v>16</v>
      </c>
      <c r="AB313" s="181">
        <f t="shared" si="54"/>
        <v>1</v>
      </c>
      <c r="AC313" s="181">
        <f t="shared" si="60"/>
        <v>59.74</v>
      </c>
      <c r="AD313" s="181">
        <v>1.7</v>
      </c>
      <c r="AE313" s="181">
        <v>1.7</v>
      </c>
      <c r="AF313" s="101" t="str">
        <f t="shared" si="55"/>
        <v/>
      </c>
      <c r="AG313" s="190">
        <v>0</v>
      </c>
      <c r="AH313" s="69">
        <f t="shared" si="56"/>
        <v>1</v>
      </c>
    </row>
    <row r="314" spans="1:34" s="69" customFormat="1" ht="39" hidden="1" x14ac:dyDescent="0.3">
      <c r="A314" s="55" t="s">
        <v>827</v>
      </c>
      <c r="B314" s="53" t="s">
        <v>828</v>
      </c>
      <c r="C314" s="54" t="s">
        <v>606</v>
      </c>
      <c r="D314" s="75">
        <v>1</v>
      </c>
      <c r="E314" s="75"/>
      <c r="F314" s="75"/>
      <c r="G314" s="75"/>
      <c r="H314" s="75">
        <v>69.58</v>
      </c>
      <c r="I314" s="75">
        <v>69.58</v>
      </c>
      <c r="J314" s="91" t="s">
        <v>829</v>
      </c>
      <c r="K314" s="73"/>
      <c r="L314" s="46">
        <v>0</v>
      </c>
      <c r="M314" s="46">
        <v>0</v>
      </c>
      <c r="N314" s="46">
        <v>0</v>
      </c>
      <c r="O314" s="98"/>
      <c r="P314" s="23" t="s">
        <v>1479</v>
      </c>
      <c r="Q314" s="24" t="s">
        <v>828</v>
      </c>
      <c r="R314" s="25" t="s">
        <v>606</v>
      </c>
      <c r="S314" s="26">
        <v>1</v>
      </c>
      <c r="T314" s="26"/>
      <c r="U314" s="26">
        <v>69.58</v>
      </c>
      <c r="V314" s="26">
        <f t="shared" si="58"/>
        <v>0</v>
      </c>
      <c r="W314" s="26">
        <f t="shared" si="61"/>
        <v>0</v>
      </c>
      <c r="X314" s="26">
        <f t="shared" si="59"/>
        <v>0</v>
      </c>
      <c r="Y314" s="26">
        <f t="shared" si="57"/>
        <v>0</v>
      </c>
      <c r="Z314" s="33" t="s">
        <v>15</v>
      </c>
      <c r="AA314" s="36" t="s">
        <v>16</v>
      </c>
      <c r="AB314" s="181">
        <f t="shared" si="54"/>
        <v>1</v>
      </c>
      <c r="AC314" s="181">
        <f t="shared" si="60"/>
        <v>69.58</v>
      </c>
      <c r="AD314" s="181">
        <v>1.7</v>
      </c>
      <c r="AE314" s="181">
        <v>1.7</v>
      </c>
      <c r="AF314" s="101" t="str">
        <f t="shared" si="55"/>
        <v/>
      </c>
      <c r="AG314" s="190">
        <v>0</v>
      </c>
      <c r="AH314" s="69">
        <f t="shared" si="56"/>
        <v>1</v>
      </c>
    </row>
    <row r="315" spans="1:34" s="69" customFormat="1" ht="39" hidden="1" x14ac:dyDescent="0.3">
      <c r="A315" s="55" t="s">
        <v>830</v>
      </c>
      <c r="B315" s="53" t="s">
        <v>831</v>
      </c>
      <c r="C315" s="54" t="s">
        <v>606</v>
      </c>
      <c r="D315" s="75">
        <v>1</v>
      </c>
      <c r="E315" s="75"/>
      <c r="F315" s="75"/>
      <c r="G315" s="75"/>
      <c r="H315" s="75">
        <v>112.84</v>
      </c>
      <c r="I315" s="75">
        <v>112.84</v>
      </c>
      <c r="J315" s="91" t="s">
        <v>832</v>
      </c>
      <c r="K315" s="73"/>
      <c r="L315" s="46">
        <v>0</v>
      </c>
      <c r="M315" s="46">
        <v>0</v>
      </c>
      <c r="N315" s="46">
        <v>0</v>
      </c>
      <c r="O315" s="98"/>
      <c r="P315" s="23" t="s">
        <v>1480</v>
      </c>
      <c r="Q315" s="24" t="s">
        <v>831</v>
      </c>
      <c r="R315" s="25" t="s">
        <v>606</v>
      </c>
      <c r="S315" s="26">
        <v>1</v>
      </c>
      <c r="T315" s="26"/>
      <c r="U315" s="26">
        <v>112.84</v>
      </c>
      <c r="V315" s="26">
        <f t="shared" si="58"/>
        <v>0</v>
      </c>
      <c r="W315" s="26">
        <f t="shared" si="61"/>
        <v>0</v>
      </c>
      <c r="X315" s="26">
        <f t="shared" si="59"/>
        <v>0</v>
      </c>
      <c r="Y315" s="26">
        <f t="shared" si="57"/>
        <v>0</v>
      </c>
      <c r="Z315" s="33" t="s">
        <v>15</v>
      </c>
      <c r="AA315" s="36" t="s">
        <v>16</v>
      </c>
      <c r="AB315" s="181">
        <f t="shared" si="54"/>
        <v>1</v>
      </c>
      <c r="AC315" s="181">
        <f t="shared" si="60"/>
        <v>112.84</v>
      </c>
      <c r="AD315" s="181">
        <v>1.7</v>
      </c>
      <c r="AE315" s="181">
        <v>1.7</v>
      </c>
      <c r="AF315" s="101" t="str">
        <f t="shared" si="55"/>
        <v/>
      </c>
      <c r="AG315" s="190">
        <v>0</v>
      </c>
      <c r="AH315" s="69">
        <f t="shared" si="56"/>
        <v>1</v>
      </c>
    </row>
    <row r="316" spans="1:34" s="69" customFormat="1" ht="39" hidden="1" x14ac:dyDescent="0.3">
      <c r="A316" s="55" t="s">
        <v>833</v>
      </c>
      <c r="B316" s="53" t="s">
        <v>834</v>
      </c>
      <c r="C316" s="54" t="s">
        <v>606</v>
      </c>
      <c r="D316" s="75">
        <v>1</v>
      </c>
      <c r="E316" s="75"/>
      <c r="F316" s="75"/>
      <c r="G316" s="75"/>
      <c r="H316" s="75">
        <v>102.54</v>
      </c>
      <c r="I316" s="75">
        <v>102.54</v>
      </c>
      <c r="J316" s="91" t="s">
        <v>835</v>
      </c>
      <c r="K316" s="73"/>
      <c r="L316" s="46">
        <v>0</v>
      </c>
      <c r="M316" s="46">
        <v>0</v>
      </c>
      <c r="N316" s="46">
        <v>0</v>
      </c>
      <c r="O316" s="98"/>
      <c r="P316" s="23" t="s">
        <v>1481</v>
      </c>
      <c r="Q316" s="24" t="s">
        <v>834</v>
      </c>
      <c r="R316" s="25" t="s">
        <v>606</v>
      </c>
      <c r="S316" s="26">
        <v>1</v>
      </c>
      <c r="T316" s="26"/>
      <c r="U316" s="26">
        <v>102.54</v>
      </c>
      <c r="V316" s="26">
        <f t="shared" si="58"/>
        <v>0</v>
      </c>
      <c r="W316" s="26">
        <f t="shared" si="61"/>
        <v>0</v>
      </c>
      <c r="X316" s="26">
        <f t="shared" si="59"/>
        <v>0</v>
      </c>
      <c r="Y316" s="26">
        <f t="shared" si="57"/>
        <v>0</v>
      </c>
      <c r="Z316" s="33" t="s">
        <v>15</v>
      </c>
      <c r="AA316" s="36" t="s">
        <v>16</v>
      </c>
      <c r="AB316" s="181">
        <f t="shared" si="54"/>
        <v>1</v>
      </c>
      <c r="AC316" s="181">
        <f t="shared" si="60"/>
        <v>102.54</v>
      </c>
      <c r="AD316" s="181">
        <v>1.7</v>
      </c>
      <c r="AE316" s="181">
        <v>1.7</v>
      </c>
      <c r="AF316" s="101" t="str">
        <f t="shared" si="55"/>
        <v/>
      </c>
      <c r="AG316" s="190">
        <v>0</v>
      </c>
      <c r="AH316" s="69">
        <f t="shared" si="56"/>
        <v>1</v>
      </c>
    </row>
    <row r="317" spans="1:34" s="69" customFormat="1" ht="39" hidden="1" x14ac:dyDescent="0.3">
      <c r="A317" s="55" t="s">
        <v>836</v>
      </c>
      <c r="B317" s="53" t="s">
        <v>837</v>
      </c>
      <c r="C317" s="54" t="s">
        <v>606</v>
      </c>
      <c r="D317" s="75">
        <v>1</v>
      </c>
      <c r="E317" s="75"/>
      <c r="F317" s="75"/>
      <c r="G317" s="75"/>
      <c r="H317" s="75">
        <v>82.99</v>
      </c>
      <c r="I317" s="75">
        <v>82.99</v>
      </c>
      <c r="J317" s="91" t="s">
        <v>838</v>
      </c>
      <c r="K317" s="73"/>
      <c r="L317" s="46">
        <v>0</v>
      </c>
      <c r="M317" s="46">
        <v>0</v>
      </c>
      <c r="N317" s="46">
        <v>0</v>
      </c>
      <c r="O317" s="98"/>
      <c r="P317" s="23" t="s">
        <v>1482</v>
      </c>
      <c r="Q317" s="24" t="s">
        <v>837</v>
      </c>
      <c r="R317" s="25" t="s">
        <v>606</v>
      </c>
      <c r="S317" s="26">
        <v>1</v>
      </c>
      <c r="T317" s="26"/>
      <c r="U317" s="26">
        <v>82.99</v>
      </c>
      <c r="V317" s="26">
        <f t="shared" si="58"/>
        <v>0</v>
      </c>
      <c r="W317" s="26">
        <f t="shared" si="61"/>
        <v>0</v>
      </c>
      <c r="X317" s="26">
        <f t="shared" si="59"/>
        <v>0</v>
      </c>
      <c r="Y317" s="26">
        <f t="shared" si="57"/>
        <v>0</v>
      </c>
      <c r="Z317" s="33" t="s">
        <v>15</v>
      </c>
      <c r="AA317" s="36" t="s">
        <v>16</v>
      </c>
      <c r="AB317" s="181">
        <f t="shared" si="54"/>
        <v>1</v>
      </c>
      <c r="AC317" s="181">
        <f t="shared" si="60"/>
        <v>82.99</v>
      </c>
      <c r="AD317" s="181">
        <v>1.7</v>
      </c>
      <c r="AE317" s="181">
        <v>1.7</v>
      </c>
      <c r="AF317" s="101" t="str">
        <f t="shared" si="55"/>
        <v/>
      </c>
      <c r="AG317" s="190">
        <v>0</v>
      </c>
      <c r="AH317" s="69">
        <f t="shared" si="56"/>
        <v>1</v>
      </c>
    </row>
    <row r="318" spans="1:34" s="69" customFormat="1" ht="39" hidden="1" x14ac:dyDescent="0.3">
      <c r="A318" s="55" t="s">
        <v>839</v>
      </c>
      <c r="B318" s="53" t="s">
        <v>840</v>
      </c>
      <c r="C318" s="54" t="s">
        <v>606</v>
      </c>
      <c r="D318" s="75">
        <v>1</v>
      </c>
      <c r="E318" s="75"/>
      <c r="F318" s="75"/>
      <c r="G318" s="75"/>
      <c r="H318" s="75">
        <v>80.41</v>
      </c>
      <c r="I318" s="75">
        <v>80.41</v>
      </c>
      <c r="J318" s="91" t="s">
        <v>841</v>
      </c>
      <c r="K318" s="73"/>
      <c r="L318" s="46">
        <v>0</v>
      </c>
      <c r="M318" s="46">
        <v>0</v>
      </c>
      <c r="N318" s="46">
        <v>0</v>
      </c>
      <c r="O318" s="98"/>
      <c r="P318" s="23" t="s">
        <v>1483</v>
      </c>
      <c r="Q318" s="24" t="s">
        <v>840</v>
      </c>
      <c r="R318" s="25" t="s">
        <v>606</v>
      </c>
      <c r="S318" s="26">
        <v>1</v>
      </c>
      <c r="T318" s="26"/>
      <c r="U318" s="26">
        <v>80.41</v>
      </c>
      <c r="V318" s="26">
        <f t="shared" si="58"/>
        <v>0</v>
      </c>
      <c r="W318" s="26">
        <f t="shared" si="61"/>
        <v>0</v>
      </c>
      <c r="X318" s="26">
        <f t="shared" si="59"/>
        <v>0</v>
      </c>
      <c r="Y318" s="26">
        <f t="shared" si="57"/>
        <v>0</v>
      </c>
      <c r="Z318" s="33" t="s">
        <v>15</v>
      </c>
      <c r="AA318" s="36" t="s">
        <v>16</v>
      </c>
      <c r="AB318" s="181">
        <f t="shared" si="54"/>
        <v>1</v>
      </c>
      <c r="AC318" s="181">
        <f t="shared" si="60"/>
        <v>80.41</v>
      </c>
      <c r="AD318" s="181">
        <v>1.7</v>
      </c>
      <c r="AE318" s="181">
        <v>1.7</v>
      </c>
      <c r="AF318" s="101" t="str">
        <f t="shared" si="55"/>
        <v/>
      </c>
      <c r="AG318" s="190">
        <v>0</v>
      </c>
      <c r="AH318" s="69">
        <f t="shared" si="56"/>
        <v>1</v>
      </c>
    </row>
    <row r="319" spans="1:34" s="69" customFormat="1" ht="39" hidden="1" x14ac:dyDescent="0.3">
      <c r="A319" s="55" t="s">
        <v>842</v>
      </c>
      <c r="B319" s="53" t="s">
        <v>843</v>
      </c>
      <c r="C319" s="54" t="s">
        <v>606</v>
      </c>
      <c r="D319" s="75">
        <v>1</v>
      </c>
      <c r="E319" s="75"/>
      <c r="F319" s="75"/>
      <c r="G319" s="75"/>
      <c r="H319" s="75">
        <v>101.01</v>
      </c>
      <c r="I319" s="75">
        <v>101.01</v>
      </c>
      <c r="J319" s="91" t="s">
        <v>844</v>
      </c>
      <c r="K319" s="73"/>
      <c r="L319" s="46">
        <v>0</v>
      </c>
      <c r="M319" s="46">
        <v>0</v>
      </c>
      <c r="N319" s="46">
        <v>0</v>
      </c>
      <c r="O319" s="98"/>
      <c r="P319" s="23" t="s">
        <v>1484</v>
      </c>
      <c r="Q319" s="24" t="s">
        <v>843</v>
      </c>
      <c r="R319" s="25" t="s">
        <v>606</v>
      </c>
      <c r="S319" s="26">
        <v>1</v>
      </c>
      <c r="T319" s="26"/>
      <c r="U319" s="26">
        <v>101.01</v>
      </c>
      <c r="V319" s="26">
        <f t="shared" si="58"/>
        <v>0</v>
      </c>
      <c r="W319" s="26">
        <f t="shared" si="61"/>
        <v>0</v>
      </c>
      <c r="X319" s="26">
        <f t="shared" si="59"/>
        <v>0</v>
      </c>
      <c r="Y319" s="26">
        <f t="shared" si="57"/>
        <v>0</v>
      </c>
      <c r="Z319" s="33" t="s">
        <v>15</v>
      </c>
      <c r="AA319" s="36" t="s">
        <v>16</v>
      </c>
      <c r="AB319" s="181">
        <f t="shared" si="54"/>
        <v>1</v>
      </c>
      <c r="AC319" s="181">
        <f t="shared" si="60"/>
        <v>101.01</v>
      </c>
      <c r="AD319" s="181">
        <v>1.7</v>
      </c>
      <c r="AE319" s="181">
        <v>1.7</v>
      </c>
      <c r="AF319" s="101" t="str">
        <f t="shared" si="55"/>
        <v/>
      </c>
      <c r="AG319" s="190">
        <v>0</v>
      </c>
      <c r="AH319" s="69">
        <f t="shared" si="56"/>
        <v>1</v>
      </c>
    </row>
    <row r="320" spans="1:34" s="69" customFormat="1" ht="39" hidden="1" x14ac:dyDescent="0.3">
      <c r="A320" s="55" t="s">
        <v>845</v>
      </c>
      <c r="B320" s="53" t="s">
        <v>846</v>
      </c>
      <c r="C320" s="54" t="s">
        <v>606</v>
      </c>
      <c r="D320" s="75">
        <v>1</v>
      </c>
      <c r="E320" s="75"/>
      <c r="F320" s="75"/>
      <c r="G320" s="75"/>
      <c r="H320" s="75">
        <v>76.290000000000006</v>
      </c>
      <c r="I320" s="75">
        <v>76.290000000000006</v>
      </c>
      <c r="J320" s="91" t="s">
        <v>847</v>
      </c>
      <c r="K320" s="73"/>
      <c r="L320" s="46">
        <v>0</v>
      </c>
      <c r="M320" s="46">
        <v>0</v>
      </c>
      <c r="N320" s="46">
        <v>0</v>
      </c>
      <c r="O320" s="98"/>
      <c r="P320" s="23" t="s">
        <v>1485</v>
      </c>
      <c r="Q320" s="24" t="s">
        <v>846</v>
      </c>
      <c r="R320" s="25" t="s">
        <v>606</v>
      </c>
      <c r="S320" s="26">
        <v>1</v>
      </c>
      <c r="T320" s="26"/>
      <c r="U320" s="26">
        <v>76.290000000000006</v>
      </c>
      <c r="V320" s="26">
        <f t="shared" si="58"/>
        <v>0</v>
      </c>
      <c r="W320" s="26">
        <f t="shared" si="61"/>
        <v>0</v>
      </c>
      <c r="X320" s="26">
        <f t="shared" si="59"/>
        <v>0</v>
      </c>
      <c r="Y320" s="26">
        <f t="shared" si="57"/>
        <v>0</v>
      </c>
      <c r="Z320" s="33" t="s">
        <v>15</v>
      </c>
      <c r="AA320" s="36" t="s">
        <v>16</v>
      </c>
      <c r="AB320" s="181">
        <f t="shared" si="54"/>
        <v>1</v>
      </c>
      <c r="AC320" s="181">
        <f t="shared" si="60"/>
        <v>76.290000000000006</v>
      </c>
      <c r="AD320" s="181">
        <v>1.7</v>
      </c>
      <c r="AE320" s="181">
        <v>1.7</v>
      </c>
      <c r="AF320" s="101" t="str">
        <f t="shared" si="55"/>
        <v/>
      </c>
      <c r="AG320" s="190">
        <v>0</v>
      </c>
      <c r="AH320" s="69">
        <f t="shared" si="56"/>
        <v>1</v>
      </c>
    </row>
    <row r="321" spans="1:34" s="69" customFormat="1" ht="39" hidden="1" x14ac:dyDescent="0.3">
      <c r="A321" s="55" t="s">
        <v>848</v>
      </c>
      <c r="B321" s="53" t="s">
        <v>849</v>
      </c>
      <c r="C321" s="54" t="s">
        <v>606</v>
      </c>
      <c r="D321" s="75">
        <v>1</v>
      </c>
      <c r="E321" s="75"/>
      <c r="F321" s="75"/>
      <c r="G321" s="75"/>
      <c r="H321" s="75">
        <v>73.650000000000006</v>
      </c>
      <c r="I321" s="75">
        <v>73.650000000000006</v>
      </c>
      <c r="J321" s="91" t="s">
        <v>850</v>
      </c>
      <c r="K321" s="73"/>
      <c r="L321" s="46">
        <v>0</v>
      </c>
      <c r="M321" s="46">
        <v>0</v>
      </c>
      <c r="N321" s="46">
        <v>0</v>
      </c>
      <c r="O321" s="98"/>
      <c r="P321" s="23" t="s">
        <v>1486</v>
      </c>
      <c r="Q321" s="24" t="s">
        <v>849</v>
      </c>
      <c r="R321" s="25" t="s">
        <v>606</v>
      </c>
      <c r="S321" s="26">
        <v>1</v>
      </c>
      <c r="T321" s="26"/>
      <c r="U321" s="26">
        <v>73.650000000000006</v>
      </c>
      <c r="V321" s="26">
        <f t="shared" si="58"/>
        <v>0</v>
      </c>
      <c r="W321" s="26">
        <f t="shared" si="61"/>
        <v>0</v>
      </c>
      <c r="X321" s="26">
        <f t="shared" si="59"/>
        <v>0</v>
      </c>
      <c r="Y321" s="26">
        <f t="shared" si="57"/>
        <v>0</v>
      </c>
      <c r="Z321" s="33" t="s">
        <v>15</v>
      </c>
      <c r="AA321" s="36" t="s">
        <v>16</v>
      </c>
      <c r="AB321" s="181">
        <f t="shared" si="54"/>
        <v>1</v>
      </c>
      <c r="AC321" s="181">
        <f t="shared" si="60"/>
        <v>73.650000000000006</v>
      </c>
      <c r="AD321" s="181">
        <v>1.7</v>
      </c>
      <c r="AE321" s="181">
        <v>1.7</v>
      </c>
      <c r="AF321" s="101" t="str">
        <f t="shared" si="55"/>
        <v/>
      </c>
      <c r="AG321" s="190">
        <v>0</v>
      </c>
      <c r="AH321" s="69">
        <f t="shared" si="56"/>
        <v>1</v>
      </c>
    </row>
    <row r="322" spans="1:34" s="69" customFormat="1" ht="39" hidden="1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75"/>
      <c r="H322" s="75">
        <v>43.78</v>
      </c>
      <c r="I322" s="75">
        <v>43.78</v>
      </c>
      <c r="J322" s="91" t="s">
        <v>853</v>
      </c>
      <c r="K322" s="73"/>
      <c r="L322" s="46">
        <v>0</v>
      </c>
      <c r="M322" s="46">
        <v>0</v>
      </c>
      <c r="N322" s="46">
        <v>0</v>
      </c>
      <c r="O322" s="98"/>
      <c r="P322" s="23" t="s">
        <v>1487</v>
      </c>
      <c r="Q322" s="24" t="s">
        <v>852</v>
      </c>
      <c r="R322" s="25" t="s">
        <v>50</v>
      </c>
      <c r="S322" s="26">
        <v>1</v>
      </c>
      <c r="T322" s="26"/>
      <c r="U322" s="26">
        <v>43.78</v>
      </c>
      <c r="V322" s="26">
        <f t="shared" si="58"/>
        <v>0</v>
      </c>
      <c r="W322" s="26">
        <f t="shared" si="61"/>
        <v>0</v>
      </c>
      <c r="X322" s="26">
        <f t="shared" si="59"/>
        <v>0</v>
      </c>
      <c r="Y322" s="26">
        <f t="shared" si="57"/>
        <v>0</v>
      </c>
      <c r="Z322" s="33" t="s">
        <v>15</v>
      </c>
      <c r="AA322" s="36" t="s">
        <v>16</v>
      </c>
      <c r="AB322" s="181">
        <f t="shared" si="54"/>
        <v>1</v>
      </c>
      <c r="AC322" s="181">
        <f t="shared" si="60"/>
        <v>43.78</v>
      </c>
      <c r="AD322" s="181">
        <v>1.7</v>
      </c>
      <c r="AE322" s="181">
        <v>1.7</v>
      </c>
      <c r="AF322" s="101" t="str">
        <f t="shared" si="55"/>
        <v/>
      </c>
      <c r="AG322" s="190">
        <v>0</v>
      </c>
      <c r="AH322" s="69">
        <f t="shared" si="56"/>
        <v>1</v>
      </c>
    </row>
    <row r="323" spans="1:34" s="69" customFormat="1" ht="39" hidden="1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75"/>
      <c r="H323" s="75">
        <v>28.11</v>
      </c>
      <c r="I323" s="75">
        <v>28.11</v>
      </c>
      <c r="J323" s="91" t="s">
        <v>857</v>
      </c>
      <c r="K323" s="73"/>
      <c r="L323" s="46">
        <v>0</v>
      </c>
      <c r="M323" s="46">
        <v>0</v>
      </c>
      <c r="N323" s="46">
        <v>0</v>
      </c>
      <c r="O323" s="98"/>
      <c r="P323" s="23" t="s">
        <v>1488</v>
      </c>
      <c r="Q323" s="24" t="s">
        <v>855</v>
      </c>
      <c r="R323" s="25" t="s">
        <v>856</v>
      </c>
      <c r="S323" s="26">
        <v>1</v>
      </c>
      <c r="T323" s="26"/>
      <c r="U323" s="26">
        <v>28.11</v>
      </c>
      <c r="V323" s="26">
        <f t="shared" si="58"/>
        <v>0</v>
      </c>
      <c r="W323" s="26">
        <f t="shared" si="61"/>
        <v>0</v>
      </c>
      <c r="X323" s="26">
        <f t="shared" si="59"/>
        <v>0</v>
      </c>
      <c r="Y323" s="26">
        <f t="shared" si="57"/>
        <v>0</v>
      </c>
      <c r="Z323" s="33" t="s">
        <v>15</v>
      </c>
      <c r="AA323" s="36" t="s">
        <v>16</v>
      </c>
      <c r="AB323" s="181">
        <f t="shared" si="54"/>
        <v>1</v>
      </c>
      <c r="AC323" s="181">
        <f t="shared" si="60"/>
        <v>28.11</v>
      </c>
      <c r="AD323" s="181">
        <v>1.7</v>
      </c>
      <c r="AE323" s="181">
        <v>1.7</v>
      </c>
      <c r="AF323" s="101" t="str">
        <f t="shared" si="55"/>
        <v/>
      </c>
      <c r="AG323" s="190">
        <v>0</v>
      </c>
      <c r="AH323" s="69">
        <f t="shared" si="56"/>
        <v>1</v>
      </c>
    </row>
    <row r="324" spans="1:34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76"/>
      <c r="H324" s="75">
        <v>245.47</v>
      </c>
      <c r="I324" s="75">
        <v>245.47</v>
      </c>
      <c r="J324" s="91" t="s">
        <v>860</v>
      </c>
      <c r="K324" s="73"/>
      <c r="L324" s="46">
        <v>0</v>
      </c>
      <c r="M324" s="46">
        <v>0</v>
      </c>
      <c r="N324" s="46">
        <v>0</v>
      </c>
      <c r="O324" s="98"/>
      <c r="P324" s="23" t="s">
        <v>1489</v>
      </c>
      <c r="Q324" s="24" t="s">
        <v>859</v>
      </c>
      <c r="R324" s="25" t="s">
        <v>50</v>
      </c>
      <c r="S324" s="26">
        <v>1</v>
      </c>
      <c r="T324" s="26"/>
      <c r="U324" s="26">
        <v>245.47</v>
      </c>
      <c r="V324" s="26">
        <f t="shared" si="58"/>
        <v>0</v>
      </c>
      <c r="W324" s="26">
        <f t="shared" si="61"/>
        <v>0</v>
      </c>
      <c r="X324" s="26">
        <f t="shared" si="59"/>
        <v>0</v>
      </c>
      <c r="Y324" s="26">
        <f t="shared" si="57"/>
        <v>0</v>
      </c>
      <c r="Z324" s="33" t="s">
        <v>15</v>
      </c>
      <c r="AA324" s="36" t="s">
        <v>16</v>
      </c>
      <c r="AB324" s="181">
        <f t="shared" si="54"/>
        <v>1</v>
      </c>
      <c r="AC324" s="181">
        <f t="shared" si="60"/>
        <v>245.47</v>
      </c>
      <c r="AD324" s="181">
        <v>1.7</v>
      </c>
      <c r="AE324" s="181">
        <v>1.7</v>
      </c>
      <c r="AF324" s="101" t="str">
        <f t="shared" si="55"/>
        <v/>
      </c>
      <c r="AG324" s="190">
        <v>0</v>
      </c>
      <c r="AH324" s="69">
        <f t="shared" si="56"/>
        <v>1</v>
      </c>
    </row>
    <row r="325" spans="1:34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62"/>
      <c r="H325" s="167">
        <v>839.94</v>
      </c>
      <c r="I325" s="62">
        <v>61718.79</v>
      </c>
      <c r="J325" s="93"/>
      <c r="L325" s="46">
        <v>0</v>
      </c>
      <c r="M325" s="46">
        <v>0</v>
      </c>
      <c r="N325" s="46">
        <v>0</v>
      </c>
      <c r="O325" s="98"/>
      <c r="P325" s="23" t="s">
        <v>1398</v>
      </c>
      <c r="Q325" s="24" t="s">
        <v>1337</v>
      </c>
      <c r="R325" s="25" t="s">
        <v>30</v>
      </c>
      <c r="S325" s="26">
        <v>0</v>
      </c>
      <c r="T325" s="26">
        <v>73.48</v>
      </c>
      <c r="U325" s="26">
        <v>839.94</v>
      </c>
      <c r="V325" s="26">
        <f t="shared" si="58"/>
        <v>0</v>
      </c>
      <c r="W325" s="26">
        <f t="shared" si="61"/>
        <v>0</v>
      </c>
      <c r="X325" s="26">
        <f t="shared" si="59"/>
        <v>0</v>
      </c>
      <c r="Y325" s="26">
        <f>ROUND(U325*W325,2)</f>
        <v>0</v>
      </c>
      <c r="Z325" s="27"/>
      <c r="AA325" s="36" t="s">
        <v>16</v>
      </c>
      <c r="AB325" s="181">
        <f t="shared" si="54"/>
        <v>73.48</v>
      </c>
      <c r="AC325" s="181">
        <f t="shared" si="60"/>
        <v>61718.79</v>
      </c>
      <c r="AD325" s="181">
        <v>1.7</v>
      </c>
      <c r="AE325" s="181">
        <v>1.7</v>
      </c>
      <c r="AF325" s="101" t="str">
        <f t="shared" si="55"/>
        <v/>
      </c>
      <c r="AG325" s="190">
        <v>0</v>
      </c>
      <c r="AH325" s="69">
        <f t="shared" si="56"/>
        <v>73.48</v>
      </c>
    </row>
    <row r="326" spans="1:34" ht="33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62"/>
      <c r="H326" s="167">
        <v>150</v>
      </c>
      <c r="I326" s="62">
        <v>2678400</v>
      </c>
      <c r="J326" s="93"/>
      <c r="L326" s="46">
        <v>10000</v>
      </c>
      <c r="M326" s="46">
        <v>0</v>
      </c>
      <c r="N326" s="46">
        <v>1500000</v>
      </c>
      <c r="O326" s="98"/>
      <c r="P326" s="23" t="s">
        <v>1399</v>
      </c>
      <c r="Q326" s="24" t="s">
        <v>1339</v>
      </c>
      <c r="R326" s="25" t="s">
        <v>1359</v>
      </c>
      <c r="S326" s="26">
        <v>0</v>
      </c>
      <c r="T326" s="26">
        <v>17856</v>
      </c>
      <c r="U326" s="26">
        <v>150</v>
      </c>
      <c r="V326" s="26">
        <f t="shared" si="58"/>
        <v>0</v>
      </c>
      <c r="W326" s="26">
        <f t="shared" si="61"/>
        <v>10000</v>
      </c>
      <c r="X326" s="26">
        <f t="shared" si="59"/>
        <v>0</v>
      </c>
      <c r="Y326" s="26">
        <f t="shared" si="57"/>
        <v>1500000</v>
      </c>
      <c r="Z326" s="27"/>
      <c r="AA326" s="36" t="s">
        <v>16</v>
      </c>
      <c r="AB326" s="181">
        <f t="shared" si="54"/>
        <v>17856</v>
      </c>
      <c r="AC326" s="181">
        <f t="shared" si="60"/>
        <v>2678400</v>
      </c>
      <c r="AD326" s="181">
        <v>1.7</v>
      </c>
      <c r="AE326" s="181">
        <v>1.7</v>
      </c>
      <c r="AF326" s="101" t="str">
        <f t="shared" si="55"/>
        <v/>
      </c>
      <c r="AG326" s="190">
        <v>10000</v>
      </c>
      <c r="AH326" s="69">
        <f t="shared" si="56"/>
        <v>17856</v>
      </c>
    </row>
    <row r="327" spans="1:34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2"/>
      <c r="I327" s="82">
        <v>5831452.4900000002</v>
      </c>
      <c r="J327" s="94" t="s">
        <v>15</v>
      </c>
      <c r="K327" s="73"/>
      <c r="L327" s="45">
        <v>0</v>
      </c>
      <c r="M327" s="45">
        <v>0</v>
      </c>
      <c r="N327" s="45">
        <v>0</v>
      </c>
      <c r="O327" s="98"/>
      <c r="P327" s="18" t="s">
        <v>1400</v>
      </c>
      <c r="Q327" s="19" t="s">
        <v>862</v>
      </c>
      <c r="R327" s="20" t="s">
        <v>14</v>
      </c>
      <c r="S327" s="21">
        <v>1</v>
      </c>
      <c r="T327" s="21"/>
      <c r="U327" s="21">
        <f>SUMIFS(AC:AC,AD:AD,AD327)</f>
        <v>5831452.4899999993</v>
      </c>
      <c r="V327" s="21">
        <f t="shared" ref="V327:W327" si="62">IF(X327=0,0,1)</f>
        <v>0</v>
      </c>
      <c r="W327" s="21">
        <f t="shared" si="62"/>
        <v>0</v>
      </c>
      <c r="X327" s="21">
        <f>SUMIFS(X:X,AE:AE,AD327)</f>
        <v>0</v>
      </c>
      <c r="Y327" s="21">
        <f>SUMIFS(Y:Y,AE:AE,AD327)</f>
        <v>0</v>
      </c>
      <c r="Z327" s="22" t="s">
        <v>15</v>
      </c>
      <c r="AA327" s="43" t="s">
        <v>16</v>
      </c>
      <c r="AB327" s="181">
        <f t="shared" si="54"/>
        <v>1</v>
      </c>
      <c r="AC327" s="184"/>
      <c r="AD327" s="184">
        <v>1.8</v>
      </c>
      <c r="AE327" s="184"/>
      <c r="AF327" s="101" t="str">
        <f t="shared" si="55"/>
        <v/>
      </c>
      <c r="AG327" s="190">
        <v>0</v>
      </c>
      <c r="AH327" s="69">
        <f t="shared" si="56"/>
        <v>1</v>
      </c>
    </row>
    <row r="328" spans="1:34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>
        <v>69458</v>
      </c>
      <c r="I328" s="75">
        <v>69458</v>
      </c>
      <c r="J328" s="91" t="s">
        <v>865</v>
      </c>
      <c r="K328" s="73"/>
      <c r="L328" s="46">
        <v>0</v>
      </c>
      <c r="M328" s="46">
        <v>0</v>
      </c>
      <c r="N328" s="46">
        <v>0</v>
      </c>
      <c r="O328" s="98"/>
      <c r="P328" s="23" t="s">
        <v>1421</v>
      </c>
      <c r="Q328" s="24" t="s">
        <v>864</v>
      </c>
      <c r="R328" s="25" t="s">
        <v>14</v>
      </c>
      <c r="S328" s="26">
        <v>1</v>
      </c>
      <c r="T328" s="26"/>
      <c r="U328" s="26">
        <v>69458</v>
      </c>
      <c r="V328" s="26">
        <f t="shared" ref="V328:V368" si="63">AG328-L328</f>
        <v>0</v>
      </c>
      <c r="W328" s="26">
        <f t="shared" si="61"/>
        <v>0</v>
      </c>
      <c r="X328" s="26">
        <f t="shared" ref="X328:X368" si="64">Y328-N328</f>
        <v>0</v>
      </c>
      <c r="Y328" s="26">
        <f t="shared" si="57"/>
        <v>0</v>
      </c>
      <c r="Z328" s="33" t="s">
        <v>15</v>
      </c>
      <c r="AA328" s="36" t="s">
        <v>16</v>
      </c>
      <c r="AB328" s="181">
        <f t="shared" si="54"/>
        <v>1</v>
      </c>
      <c r="AC328" s="181">
        <f t="shared" si="60"/>
        <v>69458</v>
      </c>
      <c r="AD328" s="181">
        <v>1.8</v>
      </c>
      <c r="AE328" s="181">
        <v>1.8</v>
      </c>
      <c r="AF328" s="101" t="str">
        <f t="shared" si="55"/>
        <v/>
      </c>
      <c r="AG328" s="190">
        <v>0</v>
      </c>
      <c r="AH328" s="69">
        <f t="shared" si="56"/>
        <v>1</v>
      </c>
    </row>
    <row r="329" spans="1:34" s="69" customFormat="1" ht="33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>
        <v>94852.479999999996</v>
      </c>
      <c r="I329" s="75">
        <v>94852.479999999996</v>
      </c>
      <c r="J329" s="91" t="s">
        <v>868</v>
      </c>
      <c r="K329" s="73"/>
      <c r="L329" s="46">
        <v>0</v>
      </c>
      <c r="M329" s="46">
        <v>0</v>
      </c>
      <c r="N329" s="46">
        <v>0</v>
      </c>
      <c r="O329" s="98"/>
      <c r="P329" s="23" t="s">
        <v>1426</v>
      </c>
      <c r="Q329" s="24" t="s">
        <v>867</v>
      </c>
      <c r="R329" s="25" t="s">
        <v>14</v>
      </c>
      <c r="S329" s="26">
        <v>1</v>
      </c>
      <c r="T329" s="26"/>
      <c r="U329" s="26">
        <v>94852.479999999996</v>
      </c>
      <c r="V329" s="26">
        <f t="shared" si="63"/>
        <v>0</v>
      </c>
      <c r="W329" s="26">
        <f t="shared" si="61"/>
        <v>0</v>
      </c>
      <c r="X329" s="26">
        <f t="shared" si="64"/>
        <v>0</v>
      </c>
      <c r="Y329" s="26">
        <f t="shared" si="57"/>
        <v>0</v>
      </c>
      <c r="Z329" s="33" t="s">
        <v>15</v>
      </c>
      <c r="AA329" s="36" t="s">
        <v>16</v>
      </c>
      <c r="AB329" s="181">
        <f t="shared" si="54"/>
        <v>1</v>
      </c>
      <c r="AC329" s="181">
        <f t="shared" si="60"/>
        <v>94852.479999999996</v>
      </c>
      <c r="AD329" s="181">
        <v>1.8</v>
      </c>
      <c r="AE329" s="181">
        <v>1.8</v>
      </c>
      <c r="AF329" s="101" t="str">
        <f t="shared" si="55"/>
        <v/>
      </c>
      <c r="AG329" s="190">
        <v>0</v>
      </c>
      <c r="AH329" s="69">
        <f t="shared" si="56"/>
        <v>1</v>
      </c>
    </row>
    <row r="330" spans="1:34" s="69" customFormat="1" ht="39" x14ac:dyDescent="0.3">
      <c r="A330" s="55" t="s">
        <v>869</v>
      </c>
      <c r="B330" s="53" t="s">
        <v>870</v>
      </c>
      <c r="C330" s="54" t="s">
        <v>14</v>
      </c>
      <c r="D330" s="75">
        <v>1</v>
      </c>
      <c r="E330" s="75"/>
      <c r="F330" s="75"/>
      <c r="G330" s="75"/>
      <c r="H330" s="75">
        <v>251510</v>
      </c>
      <c r="I330" s="75">
        <v>251510</v>
      </c>
      <c r="J330" s="91" t="s">
        <v>871</v>
      </c>
      <c r="K330" s="73"/>
      <c r="L330" s="46">
        <v>0</v>
      </c>
      <c r="M330" s="46">
        <v>0</v>
      </c>
      <c r="N330" s="46">
        <v>0</v>
      </c>
      <c r="O330" s="98"/>
      <c r="P330" s="23" t="s">
        <v>1402</v>
      </c>
      <c r="Q330" s="24" t="s">
        <v>870</v>
      </c>
      <c r="R330" s="25" t="s">
        <v>14</v>
      </c>
      <c r="S330" s="26">
        <v>1</v>
      </c>
      <c r="T330" s="26"/>
      <c r="U330" s="26">
        <v>251510</v>
      </c>
      <c r="V330" s="26">
        <f t="shared" si="63"/>
        <v>0</v>
      </c>
      <c r="W330" s="26">
        <f t="shared" si="61"/>
        <v>0</v>
      </c>
      <c r="X330" s="26">
        <f t="shared" si="64"/>
        <v>0</v>
      </c>
      <c r="Y330" s="26">
        <f t="shared" si="57"/>
        <v>0</v>
      </c>
      <c r="Z330" s="33" t="s">
        <v>15</v>
      </c>
      <c r="AA330" s="36" t="s">
        <v>16</v>
      </c>
      <c r="AB330" s="181">
        <f t="shared" si="54"/>
        <v>1</v>
      </c>
      <c r="AC330" s="181">
        <f t="shared" si="60"/>
        <v>251510</v>
      </c>
      <c r="AD330" s="181">
        <v>1.8</v>
      </c>
      <c r="AE330" s="181">
        <v>1.8</v>
      </c>
      <c r="AF330" s="101" t="str">
        <f t="shared" si="55"/>
        <v/>
      </c>
      <c r="AG330" s="190">
        <v>0</v>
      </c>
      <c r="AH330" s="69">
        <f t="shared" si="56"/>
        <v>1</v>
      </c>
    </row>
    <row r="331" spans="1:34" s="69" customFormat="1" ht="33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>
        <v>174688.22</v>
      </c>
      <c r="I331" s="75">
        <v>174688.22</v>
      </c>
      <c r="J331" s="91" t="s">
        <v>874</v>
      </c>
      <c r="K331" s="73"/>
      <c r="L331" s="46">
        <v>0</v>
      </c>
      <c r="M331" s="46">
        <v>0</v>
      </c>
      <c r="N331" s="46">
        <v>0</v>
      </c>
      <c r="O331" s="98"/>
      <c r="P331" s="23" t="s">
        <v>1373</v>
      </c>
      <c r="Q331" s="24" t="s">
        <v>873</v>
      </c>
      <c r="R331" s="25" t="s">
        <v>14</v>
      </c>
      <c r="S331" s="26">
        <v>1</v>
      </c>
      <c r="T331" s="26"/>
      <c r="U331" s="26">
        <v>174688.22</v>
      </c>
      <c r="V331" s="26">
        <f t="shared" si="63"/>
        <v>0</v>
      </c>
      <c r="W331" s="26">
        <f t="shared" si="61"/>
        <v>0</v>
      </c>
      <c r="X331" s="26">
        <f t="shared" si="64"/>
        <v>0</v>
      </c>
      <c r="Y331" s="26">
        <f t="shared" si="57"/>
        <v>0</v>
      </c>
      <c r="Z331" s="33" t="s">
        <v>15</v>
      </c>
      <c r="AA331" s="36" t="s">
        <v>16</v>
      </c>
      <c r="AB331" s="181">
        <f t="shared" ref="AB331:AB411" si="65">IF(T331="",S331,T331)</f>
        <v>1</v>
      </c>
      <c r="AC331" s="181">
        <f t="shared" si="60"/>
        <v>174688.22</v>
      </c>
      <c r="AD331" s="181">
        <v>1.8</v>
      </c>
      <c r="AE331" s="181">
        <v>1.8</v>
      </c>
      <c r="AF331" s="101" t="str">
        <f t="shared" ref="AF331:AF411" si="66">IF(W331&gt;AH331,"超估","")</f>
        <v/>
      </c>
      <c r="AG331" s="190">
        <v>0</v>
      </c>
      <c r="AH331" s="69">
        <f t="shared" ref="AH331:AH394" si="67">IF(G331=0,IF(F331=0,IF(E331=0,D331,E331),F331),G331)</f>
        <v>1</v>
      </c>
    </row>
    <row r="332" spans="1:34" s="69" customFormat="1" ht="33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>
        <v>21221.84</v>
      </c>
      <c r="I332" s="75">
        <v>21221.84</v>
      </c>
      <c r="J332" s="91" t="s">
        <v>877</v>
      </c>
      <c r="K332" s="73"/>
      <c r="L332" s="46">
        <v>0</v>
      </c>
      <c r="M332" s="46">
        <v>0</v>
      </c>
      <c r="N332" s="46">
        <v>0</v>
      </c>
      <c r="O332" s="98"/>
      <c r="P332" s="23" t="s">
        <v>1393</v>
      </c>
      <c r="Q332" s="24" t="s">
        <v>876</v>
      </c>
      <c r="R332" s="25" t="s">
        <v>14</v>
      </c>
      <c r="S332" s="26">
        <v>1</v>
      </c>
      <c r="T332" s="26"/>
      <c r="U332" s="26">
        <v>21221.84</v>
      </c>
      <c r="V332" s="26">
        <f t="shared" si="63"/>
        <v>0</v>
      </c>
      <c r="W332" s="26">
        <f t="shared" si="61"/>
        <v>0</v>
      </c>
      <c r="X332" s="26">
        <f t="shared" si="64"/>
        <v>0</v>
      </c>
      <c r="Y332" s="26">
        <f t="shared" ref="Y332:Y368" si="68">ROUND(U332*W332,2)</f>
        <v>0</v>
      </c>
      <c r="Z332" s="33" t="s">
        <v>15</v>
      </c>
      <c r="AA332" s="36" t="s">
        <v>16</v>
      </c>
      <c r="AB332" s="181">
        <f t="shared" si="65"/>
        <v>1</v>
      </c>
      <c r="AC332" s="181">
        <f t="shared" si="60"/>
        <v>21221.84</v>
      </c>
      <c r="AD332" s="181">
        <v>1.8</v>
      </c>
      <c r="AE332" s="181">
        <v>1.8</v>
      </c>
      <c r="AF332" s="101" t="str">
        <f t="shared" si="66"/>
        <v/>
      </c>
      <c r="AG332" s="190">
        <v>0</v>
      </c>
      <c r="AH332" s="69">
        <f t="shared" si="67"/>
        <v>1</v>
      </c>
    </row>
    <row r="333" spans="1:34" s="69" customFormat="1" ht="58.5" x14ac:dyDescent="0.3">
      <c r="A333" s="55" t="s">
        <v>878</v>
      </c>
      <c r="B333" s="53" t="s">
        <v>879</v>
      </c>
      <c r="C333" s="54" t="s">
        <v>81</v>
      </c>
      <c r="D333" s="75">
        <v>12</v>
      </c>
      <c r="E333" s="75"/>
      <c r="F333" s="75"/>
      <c r="G333" s="75"/>
      <c r="H333" s="75">
        <v>42800</v>
      </c>
      <c r="I333" s="75">
        <v>513600</v>
      </c>
      <c r="J333" s="91" t="s">
        <v>880</v>
      </c>
      <c r="K333" s="73"/>
      <c r="L333" s="46">
        <v>0</v>
      </c>
      <c r="M333" s="46">
        <v>0</v>
      </c>
      <c r="N333" s="46">
        <v>0</v>
      </c>
      <c r="O333" s="98"/>
      <c r="P333" s="23" t="s">
        <v>1403</v>
      </c>
      <c r="Q333" s="24" t="s">
        <v>879</v>
      </c>
      <c r="R333" s="25" t="s">
        <v>81</v>
      </c>
      <c r="S333" s="26">
        <v>12</v>
      </c>
      <c r="T333" s="26"/>
      <c r="U333" s="26">
        <v>42800</v>
      </c>
      <c r="V333" s="26">
        <f t="shared" si="63"/>
        <v>0</v>
      </c>
      <c r="W333" s="26">
        <f t="shared" si="61"/>
        <v>0</v>
      </c>
      <c r="X333" s="26">
        <f t="shared" si="64"/>
        <v>0</v>
      </c>
      <c r="Y333" s="26">
        <f t="shared" si="68"/>
        <v>0</v>
      </c>
      <c r="Z333" s="33" t="s">
        <v>15</v>
      </c>
      <c r="AA333" s="36" t="s">
        <v>16</v>
      </c>
      <c r="AB333" s="181">
        <f t="shared" si="65"/>
        <v>12</v>
      </c>
      <c r="AC333" s="181">
        <f t="shared" si="60"/>
        <v>513600</v>
      </c>
      <c r="AD333" s="181">
        <v>1.8</v>
      </c>
      <c r="AE333" s="181">
        <v>1.8</v>
      </c>
      <c r="AF333" s="101" t="str">
        <f t="shared" si="66"/>
        <v/>
      </c>
      <c r="AG333" s="190">
        <v>0</v>
      </c>
      <c r="AH333" s="69">
        <f t="shared" si="67"/>
        <v>12</v>
      </c>
    </row>
    <row r="334" spans="1:34" s="69" customFormat="1" ht="58.5" x14ac:dyDescent="0.3">
      <c r="A334" s="55" t="s">
        <v>881</v>
      </c>
      <c r="B334" s="53" t="s">
        <v>882</v>
      </c>
      <c r="C334" s="54" t="s">
        <v>81</v>
      </c>
      <c r="D334" s="75">
        <v>7</v>
      </c>
      <c r="E334" s="75"/>
      <c r="F334" s="75"/>
      <c r="G334" s="75"/>
      <c r="H334" s="75">
        <v>60400</v>
      </c>
      <c r="I334" s="75">
        <v>422800</v>
      </c>
      <c r="J334" s="91" t="s">
        <v>883</v>
      </c>
      <c r="K334" s="73"/>
      <c r="L334" s="46">
        <v>0</v>
      </c>
      <c r="M334" s="46">
        <v>0</v>
      </c>
      <c r="N334" s="46">
        <v>0</v>
      </c>
      <c r="O334" s="98"/>
      <c r="P334" s="23" t="s">
        <v>1427</v>
      </c>
      <c r="Q334" s="24" t="s">
        <v>882</v>
      </c>
      <c r="R334" s="25" t="s">
        <v>81</v>
      </c>
      <c r="S334" s="26">
        <v>7</v>
      </c>
      <c r="T334" s="26"/>
      <c r="U334" s="26">
        <v>60400</v>
      </c>
      <c r="V334" s="26">
        <f t="shared" si="63"/>
        <v>0</v>
      </c>
      <c r="W334" s="26">
        <f t="shared" si="61"/>
        <v>0</v>
      </c>
      <c r="X334" s="26">
        <f t="shared" si="64"/>
        <v>0</v>
      </c>
      <c r="Y334" s="26">
        <f t="shared" si="68"/>
        <v>0</v>
      </c>
      <c r="Z334" s="33" t="s">
        <v>15</v>
      </c>
      <c r="AA334" s="36" t="s">
        <v>16</v>
      </c>
      <c r="AB334" s="181">
        <f t="shared" si="65"/>
        <v>7</v>
      </c>
      <c r="AC334" s="181">
        <f t="shared" si="60"/>
        <v>422800</v>
      </c>
      <c r="AD334" s="181">
        <v>1.8</v>
      </c>
      <c r="AE334" s="181">
        <v>1.8</v>
      </c>
      <c r="AF334" s="101" t="str">
        <f t="shared" si="66"/>
        <v/>
      </c>
      <c r="AG334" s="190">
        <v>0</v>
      </c>
      <c r="AH334" s="69">
        <f t="shared" si="67"/>
        <v>7</v>
      </c>
    </row>
    <row r="335" spans="1:34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>
        <v>35000</v>
      </c>
      <c r="I335" s="75">
        <v>455000</v>
      </c>
      <c r="J335" s="91" t="s">
        <v>886</v>
      </c>
      <c r="K335" s="73"/>
      <c r="L335" s="46">
        <v>0</v>
      </c>
      <c r="M335" s="46">
        <v>0</v>
      </c>
      <c r="N335" s="46">
        <v>0</v>
      </c>
      <c r="O335" s="98"/>
      <c r="P335" s="23" t="s">
        <v>1428</v>
      </c>
      <c r="Q335" s="24" t="s">
        <v>885</v>
      </c>
      <c r="R335" s="25" t="s">
        <v>81</v>
      </c>
      <c r="S335" s="26">
        <v>13</v>
      </c>
      <c r="T335" s="26"/>
      <c r="U335" s="26">
        <v>35000</v>
      </c>
      <c r="V335" s="26">
        <f t="shared" si="63"/>
        <v>0</v>
      </c>
      <c r="W335" s="26">
        <f t="shared" si="61"/>
        <v>0</v>
      </c>
      <c r="X335" s="26">
        <f t="shared" si="64"/>
        <v>0</v>
      </c>
      <c r="Y335" s="26">
        <f t="shared" si="68"/>
        <v>0</v>
      </c>
      <c r="Z335" s="33" t="s">
        <v>15</v>
      </c>
      <c r="AA335" s="36" t="s">
        <v>16</v>
      </c>
      <c r="AB335" s="181">
        <f t="shared" si="65"/>
        <v>13</v>
      </c>
      <c r="AC335" s="181">
        <f t="shared" si="60"/>
        <v>455000</v>
      </c>
      <c r="AD335" s="181">
        <v>1.8</v>
      </c>
      <c r="AE335" s="181">
        <v>1.8</v>
      </c>
      <c r="AF335" s="101" t="str">
        <f t="shared" si="66"/>
        <v/>
      </c>
      <c r="AG335" s="190">
        <v>0</v>
      </c>
      <c r="AH335" s="69">
        <f t="shared" si="67"/>
        <v>13</v>
      </c>
    </row>
    <row r="336" spans="1:34" s="69" customFormat="1" ht="39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>
        <v>10000</v>
      </c>
      <c r="I336" s="75">
        <v>130000</v>
      </c>
      <c r="J336" s="91" t="s">
        <v>889</v>
      </c>
      <c r="K336" s="73"/>
      <c r="L336" s="46">
        <v>0</v>
      </c>
      <c r="M336" s="46">
        <v>0</v>
      </c>
      <c r="N336" s="46">
        <v>0</v>
      </c>
      <c r="O336" s="98"/>
      <c r="P336" s="23" t="s">
        <v>1387</v>
      </c>
      <c r="Q336" s="24" t="s">
        <v>888</v>
      </c>
      <c r="R336" s="25" t="s">
        <v>81</v>
      </c>
      <c r="S336" s="26">
        <v>13</v>
      </c>
      <c r="T336" s="26"/>
      <c r="U336" s="26">
        <v>10000</v>
      </c>
      <c r="V336" s="26">
        <f t="shared" si="63"/>
        <v>0</v>
      </c>
      <c r="W336" s="26">
        <f t="shared" si="61"/>
        <v>0</v>
      </c>
      <c r="X336" s="26">
        <f t="shared" si="64"/>
        <v>0</v>
      </c>
      <c r="Y336" s="26">
        <f t="shared" si="68"/>
        <v>0</v>
      </c>
      <c r="Z336" s="33" t="s">
        <v>15</v>
      </c>
      <c r="AA336" s="36" t="s">
        <v>16</v>
      </c>
      <c r="AB336" s="181">
        <f t="shared" si="65"/>
        <v>13</v>
      </c>
      <c r="AC336" s="181">
        <f t="shared" si="60"/>
        <v>130000</v>
      </c>
      <c r="AD336" s="181">
        <v>1.8</v>
      </c>
      <c r="AE336" s="181">
        <v>1.8</v>
      </c>
      <c r="AF336" s="101" t="str">
        <f t="shared" si="66"/>
        <v/>
      </c>
      <c r="AG336" s="190">
        <v>0</v>
      </c>
      <c r="AH336" s="69">
        <f t="shared" si="67"/>
        <v>13</v>
      </c>
    </row>
    <row r="337" spans="1:34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>
        <v>1500</v>
      </c>
      <c r="I337" s="75">
        <v>3000</v>
      </c>
      <c r="J337" s="91" t="s">
        <v>892</v>
      </c>
      <c r="K337" s="73"/>
      <c r="L337" s="46">
        <v>0</v>
      </c>
      <c r="M337" s="46">
        <v>0</v>
      </c>
      <c r="N337" s="46">
        <v>0</v>
      </c>
      <c r="O337" s="98"/>
      <c r="P337" s="23" t="s">
        <v>1405</v>
      </c>
      <c r="Q337" s="24" t="s">
        <v>891</v>
      </c>
      <c r="R337" s="25" t="s">
        <v>325</v>
      </c>
      <c r="S337" s="26">
        <v>2</v>
      </c>
      <c r="T337" s="26"/>
      <c r="U337" s="26">
        <v>1500</v>
      </c>
      <c r="V337" s="26">
        <f t="shared" si="63"/>
        <v>0</v>
      </c>
      <c r="W337" s="26">
        <f t="shared" si="61"/>
        <v>0</v>
      </c>
      <c r="X337" s="26">
        <f t="shared" si="64"/>
        <v>0</v>
      </c>
      <c r="Y337" s="26">
        <f t="shared" si="68"/>
        <v>0</v>
      </c>
      <c r="Z337" s="33" t="s">
        <v>15</v>
      </c>
      <c r="AA337" s="36" t="s">
        <v>16</v>
      </c>
      <c r="AB337" s="181">
        <f t="shared" si="65"/>
        <v>2</v>
      </c>
      <c r="AC337" s="181">
        <f t="shared" si="60"/>
        <v>3000</v>
      </c>
      <c r="AD337" s="181">
        <v>1.8</v>
      </c>
      <c r="AE337" s="181">
        <v>1.8</v>
      </c>
      <c r="AF337" s="101" t="str">
        <f t="shared" si="66"/>
        <v/>
      </c>
      <c r="AG337" s="190">
        <v>0</v>
      </c>
      <c r="AH337" s="69">
        <f t="shared" si="67"/>
        <v>2</v>
      </c>
    </row>
    <row r="338" spans="1:34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>
        <v>4000</v>
      </c>
      <c r="I338" s="75">
        <v>8000</v>
      </c>
      <c r="J338" s="91" t="s">
        <v>895</v>
      </c>
      <c r="K338" s="73"/>
      <c r="L338" s="46">
        <v>0</v>
      </c>
      <c r="M338" s="46">
        <v>0</v>
      </c>
      <c r="N338" s="46">
        <v>0</v>
      </c>
      <c r="O338" s="98"/>
      <c r="P338" s="23" t="s">
        <v>1406</v>
      </c>
      <c r="Q338" s="24" t="s">
        <v>894</v>
      </c>
      <c r="R338" s="25" t="s">
        <v>325</v>
      </c>
      <c r="S338" s="26">
        <v>2</v>
      </c>
      <c r="T338" s="26"/>
      <c r="U338" s="26">
        <v>4000</v>
      </c>
      <c r="V338" s="26">
        <f t="shared" si="63"/>
        <v>0</v>
      </c>
      <c r="W338" s="26">
        <f t="shared" si="61"/>
        <v>0</v>
      </c>
      <c r="X338" s="26">
        <f t="shared" si="64"/>
        <v>0</v>
      </c>
      <c r="Y338" s="26">
        <f t="shared" si="68"/>
        <v>0</v>
      </c>
      <c r="Z338" s="33" t="s">
        <v>15</v>
      </c>
      <c r="AA338" s="36" t="s">
        <v>16</v>
      </c>
      <c r="AB338" s="181">
        <f t="shared" si="65"/>
        <v>2</v>
      </c>
      <c r="AC338" s="181">
        <f t="shared" si="60"/>
        <v>8000</v>
      </c>
      <c r="AD338" s="181">
        <v>1.8</v>
      </c>
      <c r="AE338" s="181">
        <v>1.8</v>
      </c>
      <c r="AF338" s="101" t="str">
        <f t="shared" si="66"/>
        <v/>
      </c>
      <c r="AG338" s="190">
        <v>0</v>
      </c>
      <c r="AH338" s="69">
        <f t="shared" si="67"/>
        <v>2</v>
      </c>
    </row>
    <row r="339" spans="1:34" s="69" customFormat="1" ht="33" x14ac:dyDescent="0.3">
      <c r="A339" s="55" t="s">
        <v>896</v>
      </c>
      <c r="B339" s="53" t="s">
        <v>897</v>
      </c>
      <c r="C339" s="54" t="s">
        <v>30</v>
      </c>
      <c r="D339" s="75">
        <v>216.55</v>
      </c>
      <c r="E339" s="75"/>
      <c r="F339" s="75"/>
      <c r="G339" s="75"/>
      <c r="H339" s="75">
        <v>800</v>
      </c>
      <c r="I339" s="75">
        <v>173240</v>
      </c>
      <c r="J339" s="91" t="s">
        <v>898</v>
      </c>
      <c r="K339" s="73"/>
      <c r="L339" s="46">
        <v>0</v>
      </c>
      <c r="M339" s="46">
        <v>0</v>
      </c>
      <c r="N339" s="46">
        <v>0</v>
      </c>
      <c r="O339" s="98"/>
      <c r="P339" s="23" t="s">
        <v>1414</v>
      </c>
      <c r="Q339" s="24" t="s">
        <v>897</v>
      </c>
      <c r="R339" s="25" t="s">
        <v>30</v>
      </c>
      <c r="S339" s="26">
        <v>216.55</v>
      </c>
      <c r="T339" s="26"/>
      <c r="U339" s="26">
        <v>800</v>
      </c>
      <c r="V339" s="26">
        <f t="shared" si="63"/>
        <v>0</v>
      </c>
      <c r="W339" s="26">
        <f t="shared" si="61"/>
        <v>0</v>
      </c>
      <c r="X339" s="26">
        <f t="shared" si="64"/>
        <v>0</v>
      </c>
      <c r="Y339" s="26">
        <f t="shared" si="68"/>
        <v>0</v>
      </c>
      <c r="Z339" s="33" t="s">
        <v>15</v>
      </c>
      <c r="AA339" s="36" t="s">
        <v>16</v>
      </c>
      <c r="AB339" s="181">
        <f t="shared" si="65"/>
        <v>216.55</v>
      </c>
      <c r="AC339" s="181">
        <f t="shared" si="60"/>
        <v>173240</v>
      </c>
      <c r="AD339" s="181">
        <v>1.8</v>
      </c>
      <c r="AE339" s="181">
        <v>1.8</v>
      </c>
      <c r="AF339" s="101" t="str">
        <f t="shared" si="66"/>
        <v/>
      </c>
      <c r="AG339" s="190">
        <v>0</v>
      </c>
      <c r="AH339" s="69">
        <f t="shared" si="67"/>
        <v>216.55</v>
      </c>
    </row>
    <row r="340" spans="1:34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>
        <v>11300</v>
      </c>
      <c r="I340" s="75">
        <v>56500</v>
      </c>
      <c r="J340" s="91" t="s">
        <v>901</v>
      </c>
      <c r="K340" s="73"/>
      <c r="L340" s="46">
        <v>0</v>
      </c>
      <c r="M340" s="46">
        <v>0</v>
      </c>
      <c r="N340" s="46">
        <v>0</v>
      </c>
      <c r="O340" s="98"/>
      <c r="P340" s="23" t="s">
        <v>1429</v>
      </c>
      <c r="Q340" s="24" t="s">
        <v>900</v>
      </c>
      <c r="R340" s="25" t="s">
        <v>325</v>
      </c>
      <c r="S340" s="26">
        <v>5</v>
      </c>
      <c r="T340" s="26"/>
      <c r="U340" s="26">
        <v>11300</v>
      </c>
      <c r="V340" s="26">
        <f t="shared" si="63"/>
        <v>0</v>
      </c>
      <c r="W340" s="26">
        <f t="shared" si="61"/>
        <v>0</v>
      </c>
      <c r="X340" s="26">
        <f t="shared" si="64"/>
        <v>0</v>
      </c>
      <c r="Y340" s="26">
        <f t="shared" si="68"/>
        <v>0</v>
      </c>
      <c r="Z340" s="33" t="s">
        <v>15</v>
      </c>
      <c r="AA340" s="36" t="s">
        <v>16</v>
      </c>
      <c r="AB340" s="181">
        <f t="shared" si="65"/>
        <v>5</v>
      </c>
      <c r="AC340" s="181">
        <f t="shared" si="60"/>
        <v>56500</v>
      </c>
      <c r="AD340" s="181">
        <v>1.8</v>
      </c>
      <c r="AE340" s="181">
        <v>1.8</v>
      </c>
      <c r="AF340" s="101" t="str">
        <f t="shared" si="66"/>
        <v/>
      </c>
      <c r="AG340" s="190">
        <v>0</v>
      </c>
      <c r="AH340" s="69">
        <f t="shared" si="67"/>
        <v>5</v>
      </c>
    </row>
    <row r="341" spans="1:34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>
        <v>13500</v>
      </c>
      <c r="I341" s="75">
        <v>108000</v>
      </c>
      <c r="J341" s="91" t="s">
        <v>904</v>
      </c>
      <c r="K341" s="73"/>
      <c r="L341" s="46">
        <v>0</v>
      </c>
      <c r="M341" s="46">
        <v>0</v>
      </c>
      <c r="N341" s="46">
        <v>0</v>
      </c>
      <c r="O341" s="98"/>
      <c r="P341" s="23" t="s">
        <v>1430</v>
      </c>
      <c r="Q341" s="24" t="s">
        <v>903</v>
      </c>
      <c r="R341" s="25" t="s">
        <v>325</v>
      </c>
      <c r="S341" s="26">
        <v>8</v>
      </c>
      <c r="T341" s="26"/>
      <c r="U341" s="26">
        <v>13500</v>
      </c>
      <c r="V341" s="26">
        <f t="shared" si="63"/>
        <v>0</v>
      </c>
      <c r="W341" s="26">
        <f t="shared" si="61"/>
        <v>0</v>
      </c>
      <c r="X341" s="26">
        <f t="shared" si="64"/>
        <v>0</v>
      </c>
      <c r="Y341" s="26">
        <f t="shared" si="68"/>
        <v>0</v>
      </c>
      <c r="Z341" s="33" t="s">
        <v>15</v>
      </c>
      <c r="AA341" s="36" t="s">
        <v>16</v>
      </c>
      <c r="AB341" s="181">
        <f t="shared" si="65"/>
        <v>8</v>
      </c>
      <c r="AC341" s="181">
        <f t="shared" si="60"/>
        <v>108000</v>
      </c>
      <c r="AD341" s="181">
        <v>1.8</v>
      </c>
      <c r="AE341" s="181">
        <v>1.8</v>
      </c>
      <c r="AF341" s="101" t="str">
        <f t="shared" si="66"/>
        <v/>
      </c>
      <c r="AG341" s="190">
        <v>0</v>
      </c>
      <c r="AH341" s="69">
        <f t="shared" si="67"/>
        <v>8</v>
      </c>
    </row>
    <row r="342" spans="1:34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>
        <v>112963.49</v>
      </c>
      <c r="I342" s="75">
        <v>112963.49</v>
      </c>
      <c r="J342" s="91" t="s">
        <v>907</v>
      </c>
      <c r="K342" s="73"/>
      <c r="L342" s="46">
        <v>0</v>
      </c>
      <c r="M342" s="46">
        <v>0</v>
      </c>
      <c r="N342" s="46">
        <v>0</v>
      </c>
      <c r="O342" s="98"/>
      <c r="P342" s="23" t="s">
        <v>1431</v>
      </c>
      <c r="Q342" s="24" t="s">
        <v>906</v>
      </c>
      <c r="R342" s="25" t="s">
        <v>73</v>
      </c>
      <c r="S342" s="26">
        <v>1</v>
      </c>
      <c r="T342" s="26"/>
      <c r="U342" s="26">
        <v>112963.49</v>
      </c>
      <c r="V342" s="26">
        <f t="shared" si="63"/>
        <v>0</v>
      </c>
      <c r="W342" s="26">
        <f t="shared" si="61"/>
        <v>0</v>
      </c>
      <c r="X342" s="26">
        <f t="shared" si="64"/>
        <v>0</v>
      </c>
      <c r="Y342" s="26">
        <f t="shared" si="68"/>
        <v>0</v>
      </c>
      <c r="Z342" s="33" t="s">
        <v>15</v>
      </c>
      <c r="AA342" s="36" t="s">
        <v>16</v>
      </c>
      <c r="AB342" s="181">
        <f t="shared" si="65"/>
        <v>1</v>
      </c>
      <c r="AC342" s="181">
        <f t="shared" si="60"/>
        <v>112963.49</v>
      </c>
      <c r="AD342" s="181">
        <v>1.8</v>
      </c>
      <c r="AE342" s="181">
        <v>1.8</v>
      </c>
      <c r="AF342" s="101" t="str">
        <f t="shared" si="66"/>
        <v/>
      </c>
      <c r="AG342" s="190">
        <v>0</v>
      </c>
      <c r="AH342" s="69">
        <f t="shared" si="67"/>
        <v>1</v>
      </c>
    </row>
    <row r="343" spans="1:34" s="69" customFormat="1" ht="33" x14ac:dyDescent="0.3">
      <c r="A343" s="55" t="s">
        <v>908</v>
      </c>
      <c r="B343" s="211" t="s">
        <v>909</v>
      </c>
      <c r="C343" s="212" t="s">
        <v>14</v>
      </c>
      <c r="D343" s="213">
        <v>1</v>
      </c>
      <c r="E343" s="75"/>
      <c r="F343" s="75"/>
      <c r="G343" s="75"/>
      <c r="H343" s="75">
        <v>322500</v>
      </c>
      <c r="I343" s="75">
        <v>322500</v>
      </c>
      <c r="J343" s="91" t="s">
        <v>910</v>
      </c>
      <c r="K343" s="73"/>
      <c r="L343" s="46">
        <v>0</v>
      </c>
      <c r="M343" s="46">
        <v>0</v>
      </c>
      <c r="N343" s="46">
        <v>0</v>
      </c>
      <c r="O343" s="98"/>
      <c r="P343" s="23" t="s">
        <v>1395</v>
      </c>
      <c r="Q343" s="24" t="s">
        <v>909</v>
      </c>
      <c r="R343" s="25" t="s">
        <v>14</v>
      </c>
      <c r="S343" s="26">
        <v>1</v>
      </c>
      <c r="T343" s="26"/>
      <c r="U343" s="26">
        <v>322500</v>
      </c>
      <c r="V343" s="26">
        <f t="shared" si="63"/>
        <v>0</v>
      </c>
      <c r="W343" s="26">
        <f t="shared" si="61"/>
        <v>0</v>
      </c>
      <c r="X343" s="26">
        <f t="shared" si="64"/>
        <v>0</v>
      </c>
      <c r="Y343" s="26">
        <f t="shared" si="68"/>
        <v>0</v>
      </c>
      <c r="Z343" s="33" t="s">
        <v>15</v>
      </c>
      <c r="AA343" s="36" t="s">
        <v>16</v>
      </c>
      <c r="AB343" s="181">
        <f t="shared" si="65"/>
        <v>1</v>
      </c>
      <c r="AC343" s="181">
        <f t="shared" si="60"/>
        <v>322500</v>
      </c>
      <c r="AD343" s="181">
        <v>1.8</v>
      </c>
      <c r="AE343" s="181">
        <v>1.8</v>
      </c>
      <c r="AF343" s="101" t="str">
        <f t="shared" si="66"/>
        <v/>
      </c>
      <c r="AG343" s="190">
        <v>0</v>
      </c>
      <c r="AH343" s="69">
        <f t="shared" si="67"/>
        <v>1</v>
      </c>
    </row>
    <row r="344" spans="1:34" s="69" customFormat="1" ht="33" x14ac:dyDescent="0.3">
      <c r="A344" s="55" t="s">
        <v>911</v>
      </c>
      <c r="B344" s="211" t="s">
        <v>912</v>
      </c>
      <c r="C344" s="212" t="s">
        <v>325</v>
      </c>
      <c r="D344" s="213">
        <v>7</v>
      </c>
      <c r="E344" s="75"/>
      <c r="F344" s="75"/>
      <c r="G344" s="75"/>
      <c r="H344" s="75">
        <v>15500</v>
      </c>
      <c r="I344" s="75">
        <v>108500</v>
      </c>
      <c r="J344" s="91" t="s">
        <v>913</v>
      </c>
      <c r="K344" s="73"/>
      <c r="L344" s="46">
        <v>0</v>
      </c>
      <c r="M344" s="46">
        <v>0</v>
      </c>
      <c r="N344" s="46">
        <v>0</v>
      </c>
      <c r="O344" s="98"/>
      <c r="P344" s="23" t="s">
        <v>1432</v>
      </c>
      <c r="Q344" s="24" t="s">
        <v>912</v>
      </c>
      <c r="R344" s="25" t="s">
        <v>325</v>
      </c>
      <c r="S344" s="26">
        <v>7</v>
      </c>
      <c r="T344" s="26"/>
      <c r="U344" s="26">
        <v>15500</v>
      </c>
      <c r="V344" s="26">
        <f t="shared" si="63"/>
        <v>0</v>
      </c>
      <c r="W344" s="26">
        <f t="shared" si="61"/>
        <v>0</v>
      </c>
      <c r="X344" s="26">
        <f t="shared" si="64"/>
        <v>0</v>
      </c>
      <c r="Y344" s="26">
        <f t="shared" si="68"/>
        <v>0</v>
      </c>
      <c r="Z344" s="33" t="s">
        <v>15</v>
      </c>
      <c r="AA344" s="36" t="s">
        <v>16</v>
      </c>
      <c r="AB344" s="181">
        <f t="shared" si="65"/>
        <v>7</v>
      </c>
      <c r="AC344" s="181">
        <f t="shared" si="60"/>
        <v>108500</v>
      </c>
      <c r="AD344" s="181">
        <v>1.8</v>
      </c>
      <c r="AE344" s="181">
        <v>1.8</v>
      </c>
      <c r="AF344" s="101" t="str">
        <f t="shared" si="66"/>
        <v/>
      </c>
      <c r="AG344" s="190">
        <v>0</v>
      </c>
      <c r="AH344" s="69">
        <f t="shared" si="67"/>
        <v>7</v>
      </c>
    </row>
    <row r="345" spans="1:34" s="69" customFormat="1" ht="33" x14ac:dyDescent="0.3">
      <c r="A345" s="55" t="s">
        <v>914</v>
      </c>
      <c r="B345" s="211" t="s">
        <v>915</v>
      </c>
      <c r="C345" s="212" t="s">
        <v>325</v>
      </c>
      <c r="D345" s="213">
        <v>2</v>
      </c>
      <c r="E345" s="75"/>
      <c r="F345" s="75"/>
      <c r="G345" s="75"/>
      <c r="H345" s="75">
        <v>113300</v>
      </c>
      <c r="I345" s="75">
        <v>226600</v>
      </c>
      <c r="J345" s="91" t="s">
        <v>916</v>
      </c>
      <c r="K345" s="73"/>
      <c r="L345" s="46">
        <v>0</v>
      </c>
      <c r="M345" s="46">
        <v>0</v>
      </c>
      <c r="N345" s="46">
        <v>0</v>
      </c>
      <c r="O345" s="98"/>
      <c r="P345" s="23" t="s">
        <v>1433</v>
      </c>
      <c r="Q345" s="24" t="s">
        <v>915</v>
      </c>
      <c r="R345" s="25" t="s">
        <v>325</v>
      </c>
      <c r="S345" s="26">
        <v>2</v>
      </c>
      <c r="T345" s="26"/>
      <c r="U345" s="26">
        <v>113300</v>
      </c>
      <c r="V345" s="26">
        <f t="shared" si="63"/>
        <v>0</v>
      </c>
      <c r="W345" s="26">
        <f t="shared" si="61"/>
        <v>0</v>
      </c>
      <c r="X345" s="26">
        <f t="shared" si="64"/>
        <v>0</v>
      </c>
      <c r="Y345" s="26">
        <f t="shared" si="68"/>
        <v>0</v>
      </c>
      <c r="Z345" s="33" t="s">
        <v>15</v>
      </c>
      <c r="AA345" s="36" t="s">
        <v>16</v>
      </c>
      <c r="AB345" s="181">
        <f t="shared" si="65"/>
        <v>2</v>
      </c>
      <c r="AC345" s="181">
        <f t="shared" si="60"/>
        <v>226600</v>
      </c>
      <c r="AD345" s="181">
        <v>1.8</v>
      </c>
      <c r="AE345" s="181">
        <v>1.8</v>
      </c>
      <c r="AF345" s="101" t="str">
        <f t="shared" si="66"/>
        <v/>
      </c>
      <c r="AG345" s="190">
        <v>0</v>
      </c>
      <c r="AH345" s="69">
        <f t="shared" si="67"/>
        <v>2</v>
      </c>
    </row>
    <row r="346" spans="1:34" s="69" customFormat="1" ht="33" x14ac:dyDescent="0.3">
      <c r="A346" s="55" t="s">
        <v>917</v>
      </c>
      <c r="B346" s="53" t="s">
        <v>918</v>
      </c>
      <c r="C346" s="54" t="s">
        <v>325</v>
      </c>
      <c r="D346" s="75">
        <v>9</v>
      </c>
      <c r="E346" s="75"/>
      <c r="F346" s="75"/>
      <c r="G346" s="75"/>
      <c r="H346" s="75">
        <v>100000</v>
      </c>
      <c r="I346" s="75">
        <v>900000</v>
      </c>
      <c r="J346" s="91" t="s">
        <v>919</v>
      </c>
      <c r="K346" s="73"/>
      <c r="L346" s="46">
        <v>0</v>
      </c>
      <c r="M346" s="46">
        <v>0</v>
      </c>
      <c r="N346" s="46">
        <v>0</v>
      </c>
      <c r="O346" s="98"/>
      <c r="P346" s="23" t="s">
        <v>1382</v>
      </c>
      <c r="Q346" s="24" t="s">
        <v>918</v>
      </c>
      <c r="R346" s="25" t="s">
        <v>325</v>
      </c>
      <c r="S346" s="26">
        <v>9</v>
      </c>
      <c r="T346" s="26"/>
      <c r="U346" s="26">
        <v>100000</v>
      </c>
      <c r="V346" s="26">
        <f t="shared" si="63"/>
        <v>0</v>
      </c>
      <c r="W346" s="26">
        <f t="shared" si="61"/>
        <v>0</v>
      </c>
      <c r="X346" s="26">
        <f t="shared" si="64"/>
        <v>0</v>
      </c>
      <c r="Y346" s="26">
        <f t="shared" si="68"/>
        <v>0</v>
      </c>
      <c r="Z346" s="33" t="s">
        <v>15</v>
      </c>
      <c r="AA346" s="36" t="s">
        <v>16</v>
      </c>
      <c r="AB346" s="181">
        <f t="shared" si="65"/>
        <v>9</v>
      </c>
      <c r="AC346" s="181">
        <f t="shared" si="60"/>
        <v>900000</v>
      </c>
      <c r="AD346" s="181">
        <v>1.8</v>
      </c>
      <c r="AE346" s="181">
        <v>1.8</v>
      </c>
      <c r="AF346" s="101" t="str">
        <f t="shared" si="66"/>
        <v/>
      </c>
      <c r="AG346" s="190">
        <v>0</v>
      </c>
      <c r="AH346" s="69">
        <f t="shared" si="67"/>
        <v>9</v>
      </c>
    </row>
    <row r="347" spans="1:34" s="69" customFormat="1" ht="33" x14ac:dyDescent="0.3">
      <c r="A347" s="55" t="s">
        <v>920</v>
      </c>
      <c r="B347" s="53" t="s">
        <v>921</v>
      </c>
      <c r="C347" s="54" t="s">
        <v>81</v>
      </c>
      <c r="D347" s="75">
        <v>2</v>
      </c>
      <c r="E347" s="75"/>
      <c r="F347" s="75"/>
      <c r="G347" s="75"/>
      <c r="H347" s="75">
        <v>15000</v>
      </c>
      <c r="I347" s="75">
        <v>30000</v>
      </c>
      <c r="J347" s="91" t="s">
        <v>922</v>
      </c>
      <c r="K347" s="73"/>
      <c r="L347" s="46">
        <v>0</v>
      </c>
      <c r="M347" s="46">
        <v>0</v>
      </c>
      <c r="N347" s="46">
        <v>0</v>
      </c>
      <c r="O347" s="98"/>
      <c r="P347" s="23" t="s">
        <v>1434</v>
      </c>
      <c r="Q347" s="24" t="s">
        <v>921</v>
      </c>
      <c r="R347" s="25" t="s">
        <v>81</v>
      </c>
      <c r="S347" s="26">
        <v>2</v>
      </c>
      <c r="T347" s="26"/>
      <c r="U347" s="26">
        <v>15000</v>
      </c>
      <c r="V347" s="26">
        <f t="shared" si="63"/>
        <v>0</v>
      </c>
      <c r="W347" s="26">
        <f t="shared" si="61"/>
        <v>0</v>
      </c>
      <c r="X347" s="26">
        <f t="shared" si="64"/>
        <v>0</v>
      </c>
      <c r="Y347" s="26">
        <f t="shared" si="68"/>
        <v>0</v>
      </c>
      <c r="Z347" s="33" t="s">
        <v>15</v>
      </c>
      <c r="AA347" s="36" t="s">
        <v>16</v>
      </c>
      <c r="AB347" s="181">
        <f t="shared" si="65"/>
        <v>2</v>
      </c>
      <c r="AC347" s="181">
        <f t="shared" si="60"/>
        <v>30000</v>
      </c>
      <c r="AD347" s="181">
        <v>1.8</v>
      </c>
      <c r="AE347" s="181">
        <v>1.8</v>
      </c>
      <c r="AF347" s="101" t="str">
        <f t="shared" si="66"/>
        <v/>
      </c>
      <c r="AG347" s="190">
        <v>0</v>
      </c>
      <c r="AH347" s="69">
        <f t="shared" si="67"/>
        <v>2</v>
      </c>
    </row>
    <row r="348" spans="1:34" s="69" customFormat="1" ht="33" x14ac:dyDescent="0.3">
      <c r="A348" s="55" t="s">
        <v>923</v>
      </c>
      <c r="B348" s="53" t="s">
        <v>924</v>
      </c>
      <c r="C348" s="54" t="s">
        <v>925</v>
      </c>
      <c r="D348" s="75">
        <v>1</v>
      </c>
      <c r="E348" s="75"/>
      <c r="F348" s="75"/>
      <c r="G348" s="75"/>
      <c r="H348" s="75">
        <v>15000</v>
      </c>
      <c r="I348" s="75">
        <v>15000</v>
      </c>
      <c r="J348" s="91" t="s">
        <v>926</v>
      </c>
      <c r="K348" s="73"/>
      <c r="L348" s="46">
        <v>0</v>
      </c>
      <c r="M348" s="46">
        <v>0</v>
      </c>
      <c r="N348" s="46">
        <v>0</v>
      </c>
      <c r="O348" s="98"/>
      <c r="P348" s="23" t="s">
        <v>1388</v>
      </c>
      <c r="Q348" s="24" t="s">
        <v>924</v>
      </c>
      <c r="R348" s="25" t="s">
        <v>925</v>
      </c>
      <c r="S348" s="26">
        <v>1</v>
      </c>
      <c r="T348" s="26"/>
      <c r="U348" s="26">
        <v>15000</v>
      </c>
      <c r="V348" s="26">
        <f t="shared" si="63"/>
        <v>0</v>
      </c>
      <c r="W348" s="26">
        <f t="shared" si="61"/>
        <v>0</v>
      </c>
      <c r="X348" s="26">
        <f t="shared" si="64"/>
        <v>0</v>
      </c>
      <c r="Y348" s="26">
        <f t="shared" si="68"/>
        <v>0</v>
      </c>
      <c r="Z348" s="33" t="s">
        <v>15</v>
      </c>
      <c r="AA348" s="36" t="s">
        <v>16</v>
      </c>
      <c r="AB348" s="181">
        <f t="shared" si="65"/>
        <v>1</v>
      </c>
      <c r="AC348" s="181">
        <f t="shared" si="60"/>
        <v>15000</v>
      </c>
      <c r="AD348" s="181">
        <v>1.8</v>
      </c>
      <c r="AE348" s="181">
        <v>1.8</v>
      </c>
      <c r="AF348" s="101" t="str">
        <f t="shared" si="66"/>
        <v/>
      </c>
      <c r="AG348" s="190">
        <v>0</v>
      </c>
      <c r="AH348" s="69">
        <f t="shared" si="67"/>
        <v>1</v>
      </c>
    </row>
    <row r="349" spans="1:34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>
        <v>1500</v>
      </c>
      <c r="I349" s="75">
        <v>1500</v>
      </c>
      <c r="J349" s="91" t="s">
        <v>929</v>
      </c>
      <c r="K349" s="73"/>
      <c r="L349" s="46">
        <v>0</v>
      </c>
      <c r="M349" s="46">
        <v>0</v>
      </c>
      <c r="N349" s="46">
        <v>0</v>
      </c>
      <c r="O349" s="98"/>
      <c r="P349" s="23" t="s">
        <v>1389</v>
      </c>
      <c r="Q349" s="24" t="s">
        <v>928</v>
      </c>
      <c r="R349" s="25" t="s">
        <v>325</v>
      </c>
      <c r="S349" s="26">
        <v>1</v>
      </c>
      <c r="T349" s="26"/>
      <c r="U349" s="26">
        <v>1500</v>
      </c>
      <c r="V349" s="26">
        <f t="shared" si="63"/>
        <v>0</v>
      </c>
      <c r="W349" s="26">
        <f t="shared" si="61"/>
        <v>0</v>
      </c>
      <c r="X349" s="26">
        <f t="shared" si="64"/>
        <v>0</v>
      </c>
      <c r="Y349" s="26">
        <f t="shared" si="68"/>
        <v>0</v>
      </c>
      <c r="Z349" s="33" t="s">
        <v>15</v>
      </c>
      <c r="AA349" s="36" t="s">
        <v>16</v>
      </c>
      <c r="AB349" s="181">
        <f t="shared" si="65"/>
        <v>1</v>
      </c>
      <c r="AC349" s="181">
        <f t="shared" si="60"/>
        <v>1500</v>
      </c>
      <c r="AD349" s="181">
        <v>1.8</v>
      </c>
      <c r="AE349" s="181">
        <v>1.8</v>
      </c>
      <c r="AF349" s="101" t="str">
        <f t="shared" si="66"/>
        <v/>
      </c>
      <c r="AG349" s="190">
        <v>0</v>
      </c>
      <c r="AH349" s="69">
        <f t="shared" si="67"/>
        <v>1</v>
      </c>
    </row>
    <row r="350" spans="1:34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>
        <v>2600</v>
      </c>
      <c r="I350" s="75">
        <v>7800</v>
      </c>
      <c r="J350" s="91" t="s">
        <v>933</v>
      </c>
      <c r="K350" s="73"/>
      <c r="L350" s="46">
        <v>0</v>
      </c>
      <c r="M350" s="46">
        <v>0</v>
      </c>
      <c r="N350" s="46">
        <v>0</v>
      </c>
      <c r="O350" s="98"/>
      <c r="P350" s="23" t="s">
        <v>1390</v>
      </c>
      <c r="Q350" s="24" t="s">
        <v>931</v>
      </c>
      <c r="R350" s="25" t="s">
        <v>932</v>
      </c>
      <c r="S350" s="26">
        <v>3</v>
      </c>
      <c r="T350" s="26"/>
      <c r="U350" s="26">
        <v>2600</v>
      </c>
      <c r="V350" s="26">
        <f t="shared" si="63"/>
        <v>0</v>
      </c>
      <c r="W350" s="26">
        <f t="shared" si="61"/>
        <v>0</v>
      </c>
      <c r="X350" s="26">
        <f t="shared" si="64"/>
        <v>0</v>
      </c>
      <c r="Y350" s="26">
        <f t="shared" si="68"/>
        <v>0</v>
      </c>
      <c r="Z350" s="33" t="s">
        <v>15</v>
      </c>
      <c r="AA350" s="36" t="s">
        <v>16</v>
      </c>
      <c r="AB350" s="181">
        <f t="shared" si="65"/>
        <v>3</v>
      </c>
      <c r="AC350" s="181">
        <f t="shared" si="60"/>
        <v>7800</v>
      </c>
      <c r="AD350" s="181">
        <v>1.8</v>
      </c>
      <c r="AE350" s="181">
        <v>1.8</v>
      </c>
      <c r="AF350" s="101" t="str">
        <f t="shared" si="66"/>
        <v/>
      </c>
      <c r="AG350" s="190">
        <v>0</v>
      </c>
      <c r="AH350" s="69">
        <f t="shared" si="67"/>
        <v>3</v>
      </c>
    </row>
    <row r="351" spans="1:34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>
        <v>4460</v>
      </c>
      <c r="I351" s="75">
        <v>169480</v>
      </c>
      <c r="J351" s="91" t="s">
        <v>936</v>
      </c>
      <c r="K351" s="73"/>
      <c r="L351" s="46">
        <v>0</v>
      </c>
      <c r="M351" s="46">
        <v>0</v>
      </c>
      <c r="N351" s="46">
        <v>0</v>
      </c>
      <c r="O351" s="98"/>
      <c r="P351" s="23" t="s">
        <v>1391</v>
      </c>
      <c r="Q351" s="24" t="s">
        <v>935</v>
      </c>
      <c r="R351" s="25" t="s">
        <v>932</v>
      </c>
      <c r="S351" s="26">
        <v>38</v>
      </c>
      <c r="T351" s="26"/>
      <c r="U351" s="26">
        <v>4460</v>
      </c>
      <c r="V351" s="26">
        <f t="shared" si="63"/>
        <v>0</v>
      </c>
      <c r="W351" s="26">
        <f t="shared" si="61"/>
        <v>0</v>
      </c>
      <c r="X351" s="26">
        <f t="shared" si="64"/>
        <v>0</v>
      </c>
      <c r="Y351" s="26">
        <f t="shared" si="68"/>
        <v>0</v>
      </c>
      <c r="Z351" s="33" t="s">
        <v>15</v>
      </c>
      <c r="AA351" s="36" t="s">
        <v>16</v>
      </c>
      <c r="AB351" s="181">
        <f t="shared" si="65"/>
        <v>38</v>
      </c>
      <c r="AC351" s="181">
        <f t="shared" si="60"/>
        <v>169480</v>
      </c>
      <c r="AD351" s="181">
        <v>1.8</v>
      </c>
      <c r="AE351" s="181">
        <v>1.8</v>
      </c>
      <c r="AF351" s="101" t="str">
        <f t="shared" si="66"/>
        <v/>
      </c>
      <c r="AG351" s="190">
        <v>0</v>
      </c>
      <c r="AH351" s="69">
        <f t="shared" si="67"/>
        <v>38</v>
      </c>
    </row>
    <row r="352" spans="1:34" s="69" customFormat="1" ht="39" x14ac:dyDescent="0.3">
      <c r="A352" s="55" t="s">
        <v>937</v>
      </c>
      <c r="B352" s="53" t="s">
        <v>938</v>
      </c>
      <c r="C352" s="54" t="s">
        <v>30</v>
      </c>
      <c r="D352" s="75">
        <v>1352</v>
      </c>
      <c r="E352" s="75"/>
      <c r="F352" s="75"/>
      <c r="G352" s="75"/>
      <c r="H352" s="75">
        <v>30.59</v>
      </c>
      <c r="I352" s="75">
        <v>41357.68</v>
      </c>
      <c r="J352" s="91" t="s">
        <v>939</v>
      </c>
      <c r="K352" s="73"/>
      <c r="L352" s="46">
        <v>0</v>
      </c>
      <c r="M352" s="46">
        <v>0</v>
      </c>
      <c r="N352" s="46">
        <v>0</v>
      </c>
      <c r="O352" s="98"/>
      <c r="P352" s="23" t="s">
        <v>1436</v>
      </c>
      <c r="Q352" s="24" t="s">
        <v>938</v>
      </c>
      <c r="R352" s="25" t="s">
        <v>30</v>
      </c>
      <c r="S352" s="26">
        <v>1352</v>
      </c>
      <c r="T352" s="26"/>
      <c r="U352" s="26">
        <v>30.59</v>
      </c>
      <c r="V352" s="26">
        <f t="shared" si="63"/>
        <v>0</v>
      </c>
      <c r="W352" s="26">
        <f t="shared" si="61"/>
        <v>0</v>
      </c>
      <c r="X352" s="26">
        <f t="shared" si="64"/>
        <v>0</v>
      </c>
      <c r="Y352" s="26">
        <f t="shared" si="68"/>
        <v>0</v>
      </c>
      <c r="Z352" s="33" t="s">
        <v>15</v>
      </c>
      <c r="AA352" s="36" t="s">
        <v>16</v>
      </c>
      <c r="AB352" s="181">
        <f t="shared" si="65"/>
        <v>1352</v>
      </c>
      <c r="AC352" s="181">
        <f t="shared" si="60"/>
        <v>41357.68</v>
      </c>
      <c r="AD352" s="181">
        <v>1.8</v>
      </c>
      <c r="AE352" s="181">
        <v>1.8</v>
      </c>
      <c r="AF352" s="101" t="str">
        <f t="shared" si="66"/>
        <v/>
      </c>
      <c r="AG352" s="190">
        <v>0</v>
      </c>
      <c r="AH352" s="69">
        <f t="shared" si="67"/>
        <v>1352</v>
      </c>
    </row>
    <row r="353" spans="1:34" s="69" customFormat="1" ht="39" x14ac:dyDescent="0.3">
      <c r="A353" s="55" t="s">
        <v>940</v>
      </c>
      <c r="B353" s="53" t="s">
        <v>941</v>
      </c>
      <c r="C353" s="54" t="s">
        <v>30</v>
      </c>
      <c r="D353" s="75">
        <v>300</v>
      </c>
      <c r="E353" s="75"/>
      <c r="F353" s="75"/>
      <c r="G353" s="75"/>
      <c r="H353" s="75">
        <v>972.45</v>
      </c>
      <c r="I353" s="75">
        <v>291735</v>
      </c>
      <c r="J353" s="91" t="s">
        <v>942</v>
      </c>
      <c r="K353" s="73"/>
      <c r="L353" s="46">
        <v>0</v>
      </c>
      <c r="M353" s="46">
        <v>0</v>
      </c>
      <c r="N353" s="46">
        <v>0</v>
      </c>
      <c r="O353" s="98"/>
      <c r="P353" s="23" t="s">
        <v>1374</v>
      </c>
      <c r="Q353" s="24" t="s">
        <v>941</v>
      </c>
      <c r="R353" s="25" t="s">
        <v>30</v>
      </c>
      <c r="S353" s="26">
        <v>300</v>
      </c>
      <c r="T353" s="26"/>
      <c r="U353" s="26">
        <v>972.45</v>
      </c>
      <c r="V353" s="26">
        <f t="shared" si="63"/>
        <v>0</v>
      </c>
      <c r="W353" s="26">
        <f t="shared" si="61"/>
        <v>0</v>
      </c>
      <c r="X353" s="26">
        <f t="shared" si="64"/>
        <v>0</v>
      </c>
      <c r="Y353" s="26">
        <f t="shared" si="68"/>
        <v>0</v>
      </c>
      <c r="Z353" s="33" t="s">
        <v>15</v>
      </c>
      <c r="AA353" s="36" t="s">
        <v>16</v>
      </c>
      <c r="AB353" s="181">
        <f t="shared" si="65"/>
        <v>300</v>
      </c>
      <c r="AC353" s="181">
        <f t="shared" si="60"/>
        <v>291735</v>
      </c>
      <c r="AD353" s="181">
        <v>1.8</v>
      </c>
      <c r="AE353" s="181">
        <v>1.8</v>
      </c>
      <c r="AF353" s="101" t="str">
        <f t="shared" si="66"/>
        <v/>
      </c>
      <c r="AG353" s="190">
        <v>0</v>
      </c>
      <c r="AH353" s="69">
        <f t="shared" si="67"/>
        <v>300</v>
      </c>
    </row>
    <row r="354" spans="1:34" s="69" customFormat="1" ht="39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>
        <v>628.34</v>
      </c>
      <c r="I354" s="75">
        <v>158341.68</v>
      </c>
      <c r="J354" s="91" t="s">
        <v>945</v>
      </c>
      <c r="K354" s="73"/>
      <c r="L354" s="46">
        <v>0</v>
      </c>
      <c r="M354" s="46">
        <v>0</v>
      </c>
      <c r="N354" s="46">
        <v>0</v>
      </c>
      <c r="O354" s="98"/>
      <c r="P354" s="23" t="s">
        <v>1376</v>
      </c>
      <c r="Q354" s="24" t="s">
        <v>944</v>
      </c>
      <c r="R354" s="25" t="s">
        <v>30</v>
      </c>
      <c r="S354" s="26">
        <v>252</v>
      </c>
      <c r="T354" s="26"/>
      <c r="U354" s="26">
        <v>628.34</v>
      </c>
      <c r="V354" s="26">
        <f t="shared" si="63"/>
        <v>0</v>
      </c>
      <c r="W354" s="26">
        <f t="shared" si="61"/>
        <v>0</v>
      </c>
      <c r="X354" s="26">
        <f t="shared" si="64"/>
        <v>0</v>
      </c>
      <c r="Y354" s="26">
        <f t="shared" si="68"/>
        <v>0</v>
      </c>
      <c r="Z354" s="33" t="s">
        <v>15</v>
      </c>
      <c r="AA354" s="36" t="s">
        <v>16</v>
      </c>
      <c r="AB354" s="181">
        <f t="shared" si="65"/>
        <v>252</v>
      </c>
      <c r="AC354" s="181">
        <f t="shared" si="60"/>
        <v>158341.68</v>
      </c>
      <c r="AD354" s="181">
        <v>1.8</v>
      </c>
      <c r="AE354" s="181">
        <v>1.8</v>
      </c>
      <c r="AF354" s="101" t="str">
        <f t="shared" si="66"/>
        <v/>
      </c>
      <c r="AG354" s="190">
        <v>0</v>
      </c>
      <c r="AH354" s="69">
        <f t="shared" si="67"/>
        <v>252</v>
      </c>
    </row>
    <row r="355" spans="1:34" s="69" customFormat="1" ht="39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>
        <v>497.09</v>
      </c>
      <c r="I355" s="75">
        <v>17895.240000000002</v>
      </c>
      <c r="J355" s="91" t="s">
        <v>948</v>
      </c>
      <c r="K355" s="73"/>
      <c r="L355" s="46">
        <v>0</v>
      </c>
      <c r="M355" s="46">
        <v>0</v>
      </c>
      <c r="N355" s="46">
        <v>0</v>
      </c>
      <c r="O355" s="98"/>
      <c r="P355" s="23" t="s">
        <v>1378</v>
      </c>
      <c r="Q355" s="24" t="s">
        <v>947</v>
      </c>
      <c r="R355" s="25" t="s">
        <v>30</v>
      </c>
      <c r="S355" s="26">
        <v>36</v>
      </c>
      <c r="T355" s="26"/>
      <c r="U355" s="26">
        <v>497.09</v>
      </c>
      <c r="V355" s="26">
        <f t="shared" si="63"/>
        <v>0</v>
      </c>
      <c r="W355" s="26">
        <f t="shared" si="61"/>
        <v>0</v>
      </c>
      <c r="X355" s="26">
        <f t="shared" si="64"/>
        <v>0</v>
      </c>
      <c r="Y355" s="26">
        <f t="shared" si="68"/>
        <v>0</v>
      </c>
      <c r="Z355" s="33" t="s">
        <v>15</v>
      </c>
      <c r="AA355" s="36" t="s">
        <v>16</v>
      </c>
      <c r="AB355" s="181">
        <f t="shared" si="65"/>
        <v>36</v>
      </c>
      <c r="AC355" s="181">
        <f t="shared" si="60"/>
        <v>17895.240000000002</v>
      </c>
      <c r="AD355" s="181">
        <v>1.8</v>
      </c>
      <c r="AE355" s="181">
        <v>1.8</v>
      </c>
      <c r="AF355" s="101" t="str">
        <f t="shared" si="66"/>
        <v/>
      </c>
      <c r="AG355" s="190">
        <v>0</v>
      </c>
      <c r="AH355" s="69">
        <f t="shared" si="67"/>
        <v>36</v>
      </c>
    </row>
    <row r="356" spans="1:34" s="69" customFormat="1" ht="39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>
        <v>270.2</v>
      </c>
      <c r="I356" s="75">
        <v>42961.8</v>
      </c>
      <c r="J356" s="91" t="s">
        <v>951</v>
      </c>
      <c r="K356" s="73"/>
      <c r="L356" s="46">
        <v>0</v>
      </c>
      <c r="M356" s="46">
        <v>0</v>
      </c>
      <c r="N356" s="46">
        <v>0</v>
      </c>
      <c r="O356" s="98"/>
      <c r="P356" s="23" t="s">
        <v>1438</v>
      </c>
      <c r="Q356" s="24" t="s">
        <v>950</v>
      </c>
      <c r="R356" s="25" t="s">
        <v>30</v>
      </c>
      <c r="S356" s="26">
        <v>159</v>
      </c>
      <c r="T356" s="26"/>
      <c r="U356" s="26">
        <v>270.2</v>
      </c>
      <c r="V356" s="26">
        <f t="shared" si="63"/>
        <v>0</v>
      </c>
      <c r="W356" s="26">
        <f t="shared" si="61"/>
        <v>0</v>
      </c>
      <c r="X356" s="26">
        <f t="shared" si="64"/>
        <v>0</v>
      </c>
      <c r="Y356" s="26">
        <f t="shared" si="68"/>
        <v>0</v>
      </c>
      <c r="Z356" s="33" t="s">
        <v>15</v>
      </c>
      <c r="AA356" s="36" t="s">
        <v>16</v>
      </c>
      <c r="AB356" s="181">
        <f t="shared" si="65"/>
        <v>159</v>
      </c>
      <c r="AC356" s="181">
        <f t="shared" si="60"/>
        <v>42961.8</v>
      </c>
      <c r="AD356" s="181">
        <v>1.8</v>
      </c>
      <c r="AE356" s="181">
        <v>1.8</v>
      </c>
      <c r="AF356" s="101" t="str">
        <f t="shared" si="66"/>
        <v/>
      </c>
      <c r="AG356" s="190">
        <v>0</v>
      </c>
      <c r="AH356" s="69">
        <f t="shared" si="67"/>
        <v>159</v>
      </c>
    </row>
    <row r="357" spans="1:34" s="69" customFormat="1" ht="39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>
        <v>152.94</v>
      </c>
      <c r="I357" s="75">
        <v>183375.06</v>
      </c>
      <c r="J357" s="91" t="s">
        <v>954</v>
      </c>
      <c r="K357" s="73"/>
      <c r="L357" s="46">
        <v>0</v>
      </c>
      <c r="M357" s="46">
        <v>0</v>
      </c>
      <c r="N357" s="46">
        <v>0</v>
      </c>
      <c r="O357" s="98"/>
      <c r="P357" s="23" t="s">
        <v>1439</v>
      </c>
      <c r="Q357" s="24" t="s">
        <v>953</v>
      </c>
      <c r="R357" s="25" t="s">
        <v>30</v>
      </c>
      <c r="S357" s="26">
        <v>1199</v>
      </c>
      <c r="T357" s="26"/>
      <c r="U357" s="26">
        <v>152.94</v>
      </c>
      <c r="V357" s="26">
        <f t="shared" si="63"/>
        <v>0</v>
      </c>
      <c r="W357" s="26">
        <f t="shared" si="61"/>
        <v>0</v>
      </c>
      <c r="X357" s="26">
        <f t="shared" si="64"/>
        <v>0</v>
      </c>
      <c r="Y357" s="26">
        <f t="shared" si="68"/>
        <v>0</v>
      </c>
      <c r="Z357" s="33" t="s">
        <v>15</v>
      </c>
      <c r="AA357" s="36" t="s">
        <v>16</v>
      </c>
      <c r="AB357" s="181">
        <f t="shared" si="65"/>
        <v>1199</v>
      </c>
      <c r="AC357" s="181">
        <f t="shared" si="60"/>
        <v>183375.06</v>
      </c>
      <c r="AD357" s="181">
        <v>1.8</v>
      </c>
      <c r="AE357" s="181">
        <v>1.8</v>
      </c>
      <c r="AF357" s="101" t="str">
        <f t="shared" si="66"/>
        <v/>
      </c>
      <c r="AG357" s="190">
        <v>0</v>
      </c>
      <c r="AH357" s="69">
        <f t="shared" si="67"/>
        <v>1199</v>
      </c>
    </row>
    <row r="358" spans="1:34" s="69" customFormat="1" ht="39" x14ac:dyDescent="0.3">
      <c r="A358" s="55" t="s">
        <v>955</v>
      </c>
      <c r="B358" s="53" t="s">
        <v>956</v>
      </c>
      <c r="C358" s="54" t="s">
        <v>30</v>
      </c>
      <c r="D358" s="75">
        <v>144</v>
      </c>
      <c r="E358" s="75"/>
      <c r="F358" s="75"/>
      <c r="G358" s="75"/>
      <c r="H358" s="75">
        <v>228.14</v>
      </c>
      <c r="I358" s="75">
        <v>32852.160000000003</v>
      </c>
      <c r="J358" s="91" t="s">
        <v>957</v>
      </c>
      <c r="K358" s="73"/>
      <c r="L358" s="46">
        <v>0</v>
      </c>
      <c r="M358" s="46">
        <v>0</v>
      </c>
      <c r="N358" s="46">
        <v>0</v>
      </c>
      <c r="O358" s="98"/>
      <c r="P358" s="23" t="s">
        <v>1440</v>
      </c>
      <c r="Q358" s="24" t="s">
        <v>956</v>
      </c>
      <c r="R358" s="25" t="s">
        <v>30</v>
      </c>
      <c r="S358" s="26">
        <v>144</v>
      </c>
      <c r="T358" s="26"/>
      <c r="U358" s="26">
        <v>228.14</v>
      </c>
      <c r="V358" s="26">
        <f t="shared" si="63"/>
        <v>0</v>
      </c>
      <c r="W358" s="26">
        <f t="shared" si="61"/>
        <v>0</v>
      </c>
      <c r="X358" s="26">
        <f t="shared" si="64"/>
        <v>0</v>
      </c>
      <c r="Y358" s="26">
        <f t="shared" si="68"/>
        <v>0</v>
      </c>
      <c r="Z358" s="33" t="s">
        <v>15</v>
      </c>
      <c r="AA358" s="36" t="s">
        <v>16</v>
      </c>
      <c r="AB358" s="181">
        <f t="shared" si="65"/>
        <v>144</v>
      </c>
      <c r="AC358" s="181">
        <f t="shared" si="60"/>
        <v>32852.160000000003</v>
      </c>
      <c r="AD358" s="181">
        <v>1.8</v>
      </c>
      <c r="AE358" s="181">
        <v>1.8</v>
      </c>
      <c r="AF358" s="101" t="str">
        <f t="shared" si="66"/>
        <v/>
      </c>
      <c r="AG358" s="190">
        <v>0</v>
      </c>
      <c r="AH358" s="69">
        <f t="shared" si="67"/>
        <v>144</v>
      </c>
    </row>
    <row r="359" spans="1:34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>
        <v>90448.13</v>
      </c>
      <c r="I359" s="75">
        <v>90448.13</v>
      </c>
      <c r="J359" s="91" t="s">
        <v>960</v>
      </c>
      <c r="K359" s="73"/>
      <c r="L359" s="46">
        <v>0</v>
      </c>
      <c r="M359" s="46">
        <v>0</v>
      </c>
      <c r="N359" s="46">
        <v>0</v>
      </c>
      <c r="O359" s="98"/>
      <c r="P359" s="23" t="s">
        <v>1441</v>
      </c>
      <c r="Q359" s="24" t="s">
        <v>959</v>
      </c>
      <c r="R359" s="25" t="s">
        <v>14</v>
      </c>
      <c r="S359" s="26">
        <v>1</v>
      </c>
      <c r="T359" s="26"/>
      <c r="U359" s="26">
        <v>90448.13</v>
      </c>
      <c r="V359" s="26">
        <f t="shared" si="63"/>
        <v>0</v>
      </c>
      <c r="W359" s="26">
        <f t="shared" si="61"/>
        <v>0</v>
      </c>
      <c r="X359" s="26">
        <f t="shared" si="64"/>
        <v>0</v>
      </c>
      <c r="Y359" s="26">
        <f t="shared" si="68"/>
        <v>0</v>
      </c>
      <c r="Z359" s="33" t="s">
        <v>15</v>
      </c>
      <c r="AA359" s="36" t="s">
        <v>16</v>
      </c>
      <c r="AB359" s="181">
        <f t="shared" si="65"/>
        <v>1</v>
      </c>
      <c r="AC359" s="181">
        <f t="shared" si="60"/>
        <v>90448.13</v>
      </c>
      <c r="AD359" s="181">
        <v>1.8</v>
      </c>
      <c r="AE359" s="181">
        <v>1.8</v>
      </c>
      <c r="AF359" s="101" t="str">
        <f t="shared" si="66"/>
        <v/>
      </c>
      <c r="AG359" s="190">
        <v>0</v>
      </c>
      <c r="AH359" s="69">
        <f t="shared" si="67"/>
        <v>1</v>
      </c>
    </row>
    <row r="360" spans="1:34" s="69" customFormat="1" ht="58.5" x14ac:dyDescent="0.3">
      <c r="A360" s="55" t="s">
        <v>961</v>
      </c>
      <c r="B360" s="53" t="s">
        <v>962</v>
      </c>
      <c r="C360" s="54" t="s">
        <v>30</v>
      </c>
      <c r="D360" s="75">
        <v>2702</v>
      </c>
      <c r="E360" s="75"/>
      <c r="F360" s="75"/>
      <c r="G360" s="75"/>
      <c r="H360" s="75">
        <v>81.569999999999993</v>
      </c>
      <c r="I360" s="75">
        <v>220402.14</v>
      </c>
      <c r="J360" s="91" t="s">
        <v>963</v>
      </c>
      <c r="K360" s="73"/>
      <c r="L360" s="46">
        <v>0</v>
      </c>
      <c r="M360" s="46">
        <v>0</v>
      </c>
      <c r="N360" s="46">
        <v>0</v>
      </c>
      <c r="O360" s="98"/>
      <c r="P360" s="23" t="s">
        <v>1442</v>
      </c>
      <c r="Q360" s="24" t="s">
        <v>962</v>
      </c>
      <c r="R360" s="25" t="s">
        <v>30</v>
      </c>
      <c r="S360" s="26">
        <v>2702</v>
      </c>
      <c r="T360" s="26"/>
      <c r="U360" s="26">
        <v>81.569999999999993</v>
      </c>
      <c r="V360" s="26">
        <f t="shared" si="63"/>
        <v>0</v>
      </c>
      <c r="W360" s="26">
        <f t="shared" si="61"/>
        <v>0</v>
      </c>
      <c r="X360" s="26">
        <f t="shared" si="64"/>
        <v>0</v>
      </c>
      <c r="Y360" s="26">
        <f t="shared" si="68"/>
        <v>0</v>
      </c>
      <c r="Z360" s="33" t="s">
        <v>15</v>
      </c>
      <c r="AA360" s="36" t="s">
        <v>16</v>
      </c>
      <c r="AB360" s="181">
        <f t="shared" si="65"/>
        <v>2702</v>
      </c>
      <c r="AC360" s="181">
        <f t="shared" si="60"/>
        <v>220402.14</v>
      </c>
      <c r="AD360" s="181">
        <v>1.8</v>
      </c>
      <c r="AE360" s="181">
        <v>1.8</v>
      </c>
      <c r="AF360" s="101" t="str">
        <f t="shared" si="66"/>
        <v/>
      </c>
      <c r="AG360" s="190">
        <v>0</v>
      </c>
      <c r="AH360" s="69">
        <f t="shared" si="67"/>
        <v>2702</v>
      </c>
    </row>
    <row r="361" spans="1:34" s="69" customFormat="1" ht="39" x14ac:dyDescent="0.3">
      <c r="A361" s="55" t="s">
        <v>964</v>
      </c>
      <c r="B361" s="53" t="s">
        <v>965</v>
      </c>
      <c r="C361" s="54" t="s">
        <v>14</v>
      </c>
      <c r="D361" s="75">
        <v>1</v>
      </c>
      <c r="E361" s="75"/>
      <c r="F361" s="75"/>
      <c r="G361" s="75"/>
      <c r="H361" s="75">
        <v>25939</v>
      </c>
      <c r="I361" s="75">
        <v>25939</v>
      </c>
      <c r="J361" s="91" t="s">
        <v>966</v>
      </c>
      <c r="K361" s="73"/>
      <c r="L361" s="46">
        <v>0</v>
      </c>
      <c r="M361" s="46">
        <v>0</v>
      </c>
      <c r="N361" s="46">
        <v>0</v>
      </c>
      <c r="O361" s="98"/>
      <c r="P361" s="23" t="s">
        <v>1443</v>
      </c>
      <c r="Q361" s="24" t="s">
        <v>965</v>
      </c>
      <c r="R361" s="25" t="s">
        <v>14</v>
      </c>
      <c r="S361" s="26">
        <v>1</v>
      </c>
      <c r="T361" s="26"/>
      <c r="U361" s="26">
        <v>25939</v>
      </c>
      <c r="V361" s="26">
        <f t="shared" si="63"/>
        <v>0</v>
      </c>
      <c r="W361" s="26">
        <f t="shared" si="61"/>
        <v>0</v>
      </c>
      <c r="X361" s="26">
        <f t="shared" si="64"/>
        <v>0</v>
      </c>
      <c r="Y361" s="26">
        <f t="shared" si="68"/>
        <v>0</v>
      </c>
      <c r="Z361" s="33" t="s">
        <v>15</v>
      </c>
      <c r="AA361" s="36" t="s">
        <v>16</v>
      </c>
      <c r="AB361" s="181">
        <f t="shared" si="65"/>
        <v>1</v>
      </c>
      <c r="AC361" s="181">
        <f t="shared" si="60"/>
        <v>25939</v>
      </c>
      <c r="AD361" s="181">
        <v>1.8</v>
      </c>
      <c r="AE361" s="181">
        <v>1.8</v>
      </c>
      <c r="AF361" s="101" t="str">
        <f t="shared" si="66"/>
        <v/>
      </c>
      <c r="AG361" s="190">
        <v>0</v>
      </c>
      <c r="AH361" s="69">
        <f t="shared" si="67"/>
        <v>1</v>
      </c>
    </row>
    <row r="362" spans="1:34" s="69" customFormat="1" ht="39" x14ac:dyDescent="0.3">
      <c r="A362" s="55" t="s">
        <v>967</v>
      </c>
      <c r="B362" s="53" t="s">
        <v>968</v>
      </c>
      <c r="C362" s="54" t="s">
        <v>30</v>
      </c>
      <c r="D362" s="75">
        <v>1272</v>
      </c>
      <c r="E362" s="75"/>
      <c r="F362" s="75"/>
      <c r="G362" s="75"/>
      <c r="H362" s="75">
        <v>36.96</v>
      </c>
      <c r="I362" s="75">
        <v>47013.120000000003</v>
      </c>
      <c r="J362" s="91" t="s">
        <v>969</v>
      </c>
      <c r="K362" s="73"/>
      <c r="L362" s="46">
        <v>0</v>
      </c>
      <c r="M362" s="46">
        <v>0</v>
      </c>
      <c r="N362" s="46">
        <v>0</v>
      </c>
      <c r="O362" s="98"/>
      <c r="P362" s="23" t="s">
        <v>1444</v>
      </c>
      <c r="Q362" s="24" t="s">
        <v>968</v>
      </c>
      <c r="R362" s="25" t="s">
        <v>30</v>
      </c>
      <c r="S362" s="26">
        <v>1272</v>
      </c>
      <c r="T362" s="26"/>
      <c r="U362" s="26">
        <v>36.96</v>
      </c>
      <c r="V362" s="26">
        <f t="shared" si="63"/>
        <v>0</v>
      </c>
      <c r="W362" s="26">
        <f t="shared" si="61"/>
        <v>0</v>
      </c>
      <c r="X362" s="26">
        <f t="shared" si="64"/>
        <v>0</v>
      </c>
      <c r="Y362" s="26">
        <f t="shared" si="68"/>
        <v>0</v>
      </c>
      <c r="Z362" s="33" t="s">
        <v>15</v>
      </c>
      <c r="AA362" s="36" t="s">
        <v>16</v>
      </c>
      <c r="AB362" s="181">
        <f t="shared" si="65"/>
        <v>1272</v>
      </c>
      <c r="AC362" s="181">
        <f t="shared" si="60"/>
        <v>47013.120000000003</v>
      </c>
      <c r="AD362" s="181">
        <v>1.8</v>
      </c>
      <c r="AE362" s="181">
        <v>1.8</v>
      </c>
      <c r="AF362" s="101" t="str">
        <f t="shared" si="66"/>
        <v/>
      </c>
      <c r="AG362" s="190">
        <v>0</v>
      </c>
      <c r="AH362" s="69">
        <f t="shared" si="67"/>
        <v>1272</v>
      </c>
    </row>
    <row r="363" spans="1:34" s="69" customFormat="1" ht="39" x14ac:dyDescent="0.3">
      <c r="A363" s="55" t="s">
        <v>970</v>
      </c>
      <c r="B363" s="53" t="s">
        <v>971</v>
      </c>
      <c r="C363" s="54" t="s">
        <v>30</v>
      </c>
      <c r="D363" s="75">
        <v>1470</v>
      </c>
      <c r="E363" s="75"/>
      <c r="F363" s="75"/>
      <c r="G363" s="75"/>
      <c r="H363" s="75">
        <v>62.45</v>
      </c>
      <c r="I363" s="75">
        <v>91801.5</v>
      </c>
      <c r="J363" s="91" t="s">
        <v>972</v>
      </c>
      <c r="K363" s="73"/>
      <c r="L363" s="46">
        <v>0</v>
      </c>
      <c r="M363" s="46">
        <v>0</v>
      </c>
      <c r="N363" s="46">
        <v>0</v>
      </c>
      <c r="O363" s="98"/>
      <c r="P363" s="23" t="s">
        <v>1408</v>
      </c>
      <c r="Q363" s="24" t="s">
        <v>971</v>
      </c>
      <c r="R363" s="25" t="s">
        <v>30</v>
      </c>
      <c r="S363" s="26">
        <v>1470</v>
      </c>
      <c r="T363" s="26"/>
      <c r="U363" s="26">
        <v>62.45</v>
      </c>
      <c r="V363" s="26">
        <f t="shared" si="63"/>
        <v>0</v>
      </c>
      <c r="W363" s="26">
        <f t="shared" si="61"/>
        <v>0</v>
      </c>
      <c r="X363" s="26">
        <f t="shared" si="64"/>
        <v>0</v>
      </c>
      <c r="Y363" s="26">
        <f t="shared" si="68"/>
        <v>0</v>
      </c>
      <c r="Z363" s="33" t="s">
        <v>15</v>
      </c>
      <c r="AA363" s="36" t="s">
        <v>16</v>
      </c>
      <c r="AB363" s="181">
        <f t="shared" si="65"/>
        <v>1470</v>
      </c>
      <c r="AC363" s="181">
        <f t="shared" si="60"/>
        <v>91801.5</v>
      </c>
      <c r="AD363" s="181">
        <v>1.8</v>
      </c>
      <c r="AE363" s="181">
        <v>1.8</v>
      </c>
      <c r="AF363" s="101" t="str">
        <f t="shared" si="66"/>
        <v/>
      </c>
      <c r="AG363" s="190">
        <v>0</v>
      </c>
      <c r="AH363" s="69">
        <f t="shared" si="67"/>
        <v>1470</v>
      </c>
    </row>
    <row r="364" spans="1:34" s="69" customFormat="1" ht="39" x14ac:dyDescent="0.3">
      <c r="A364" s="55" t="s">
        <v>973</v>
      </c>
      <c r="B364" s="53" t="s">
        <v>974</v>
      </c>
      <c r="C364" s="54" t="s">
        <v>30</v>
      </c>
      <c r="D364" s="75">
        <v>407</v>
      </c>
      <c r="E364" s="75"/>
      <c r="F364" s="75"/>
      <c r="G364" s="75"/>
      <c r="H364" s="75">
        <v>90.49</v>
      </c>
      <c r="I364" s="75">
        <v>36829.43</v>
      </c>
      <c r="J364" s="91" t="s">
        <v>975</v>
      </c>
      <c r="K364" s="73"/>
      <c r="L364" s="46">
        <v>0</v>
      </c>
      <c r="M364" s="46">
        <v>0</v>
      </c>
      <c r="N364" s="46">
        <v>0</v>
      </c>
      <c r="O364" s="98"/>
      <c r="P364" s="23" t="s">
        <v>1409</v>
      </c>
      <c r="Q364" s="24" t="s">
        <v>974</v>
      </c>
      <c r="R364" s="25" t="s">
        <v>30</v>
      </c>
      <c r="S364" s="26">
        <v>407</v>
      </c>
      <c r="T364" s="26"/>
      <c r="U364" s="26">
        <v>90.49</v>
      </c>
      <c r="V364" s="26">
        <f t="shared" si="63"/>
        <v>0</v>
      </c>
      <c r="W364" s="26">
        <f t="shared" si="61"/>
        <v>0</v>
      </c>
      <c r="X364" s="26">
        <f t="shared" si="64"/>
        <v>0</v>
      </c>
      <c r="Y364" s="26">
        <f t="shared" si="68"/>
        <v>0</v>
      </c>
      <c r="Z364" s="33" t="s">
        <v>15</v>
      </c>
      <c r="AA364" s="36" t="s">
        <v>16</v>
      </c>
      <c r="AB364" s="181">
        <f t="shared" si="65"/>
        <v>407</v>
      </c>
      <c r="AC364" s="181">
        <f t="shared" si="60"/>
        <v>36829.43</v>
      </c>
      <c r="AD364" s="181">
        <v>1.8</v>
      </c>
      <c r="AE364" s="181">
        <v>1.8</v>
      </c>
      <c r="AF364" s="101" t="str">
        <f t="shared" si="66"/>
        <v/>
      </c>
      <c r="AG364" s="190">
        <v>0</v>
      </c>
      <c r="AH364" s="69">
        <f t="shared" si="67"/>
        <v>407</v>
      </c>
    </row>
    <row r="365" spans="1:34" s="69" customFormat="1" ht="39" x14ac:dyDescent="0.3">
      <c r="A365" s="55" t="s">
        <v>976</v>
      </c>
      <c r="B365" s="53" t="s">
        <v>977</v>
      </c>
      <c r="C365" s="54" t="s">
        <v>30</v>
      </c>
      <c r="D365" s="75">
        <v>55</v>
      </c>
      <c r="E365" s="75"/>
      <c r="F365" s="75"/>
      <c r="G365" s="75"/>
      <c r="H365" s="75">
        <v>186.08</v>
      </c>
      <c r="I365" s="75">
        <v>10234.4</v>
      </c>
      <c r="J365" s="91" t="s">
        <v>978</v>
      </c>
      <c r="K365" s="73"/>
      <c r="L365" s="46">
        <v>0</v>
      </c>
      <c r="M365" s="46">
        <v>0</v>
      </c>
      <c r="N365" s="46">
        <v>0</v>
      </c>
      <c r="O365" s="98"/>
      <c r="P365" s="23" t="s">
        <v>1410</v>
      </c>
      <c r="Q365" s="24" t="s">
        <v>977</v>
      </c>
      <c r="R365" s="25" t="s">
        <v>30</v>
      </c>
      <c r="S365" s="26">
        <v>55</v>
      </c>
      <c r="T365" s="26"/>
      <c r="U365" s="26">
        <v>186.08</v>
      </c>
      <c r="V365" s="26">
        <f t="shared" si="63"/>
        <v>0</v>
      </c>
      <c r="W365" s="26">
        <f t="shared" si="61"/>
        <v>0</v>
      </c>
      <c r="X365" s="26">
        <f t="shared" si="64"/>
        <v>0</v>
      </c>
      <c r="Y365" s="26">
        <f t="shared" si="68"/>
        <v>0</v>
      </c>
      <c r="Z365" s="33" t="s">
        <v>15</v>
      </c>
      <c r="AA365" s="36" t="s">
        <v>16</v>
      </c>
      <c r="AB365" s="181">
        <f t="shared" si="65"/>
        <v>55</v>
      </c>
      <c r="AC365" s="181">
        <f t="shared" si="60"/>
        <v>10234.4</v>
      </c>
      <c r="AD365" s="181">
        <v>1.8</v>
      </c>
      <c r="AE365" s="181">
        <v>1.8</v>
      </c>
      <c r="AF365" s="101" t="str">
        <f t="shared" si="66"/>
        <v/>
      </c>
      <c r="AG365" s="190">
        <v>0</v>
      </c>
      <c r="AH365" s="69">
        <f t="shared" si="67"/>
        <v>55</v>
      </c>
    </row>
    <row r="366" spans="1:34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>
        <v>51046</v>
      </c>
      <c r="I366" s="75">
        <v>51046</v>
      </c>
      <c r="J366" s="91" t="s">
        <v>981</v>
      </c>
      <c r="K366" s="73"/>
      <c r="L366" s="46">
        <v>0</v>
      </c>
      <c r="M366" s="46">
        <v>0</v>
      </c>
      <c r="N366" s="46">
        <v>0</v>
      </c>
      <c r="O366" s="98"/>
      <c r="P366" s="23" t="s">
        <v>1411</v>
      </c>
      <c r="Q366" s="24" t="s">
        <v>980</v>
      </c>
      <c r="R366" s="25" t="s">
        <v>14</v>
      </c>
      <c r="S366" s="26">
        <v>1</v>
      </c>
      <c r="T366" s="26"/>
      <c r="U366" s="26">
        <v>51046</v>
      </c>
      <c r="V366" s="26">
        <f t="shared" si="63"/>
        <v>0</v>
      </c>
      <c r="W366" s="26">
        <f t="shared" si="61"/>
        <v>0</v>
      </c>
      <c r="X366" s="26">
        <f t="shared" si="64"/>
        <v>0</v>
      </c>
      <c r="Y366" s="26">
        <f t="shared" si="68"/>
        <v>0</v>
      </c>
      <c r="Z366" s="33" t="s">
        <v>15</v>
      </c>
      <c r="AA366" s="36" t="s">
        <v>16</v>
      </c>
      <c r="AB366" s="181">
        <f t="shared" si="65"/>
        <v>1</v>
      </c>
      <c r="AC366" s="181">
        <f t="shared" ref="AC366:AC368" si="69">ROUND(U366*AB366,2)</f>
        <v>51046</v>
      </c>
      <c r="AD366" s="181">
        <v>1.8</v>
      </c>
      <c r="AE366" s="181">
        <v>1.8</v>
      </c>
      <c r="AF366" s="101" t="str">
        <f t="shared" si="66"/>
        <v/>
      </c>
      <c r="AG366" s="190">
        <v>0</v>
      </c>
      <c r="AH366" s="69">
        <f t="shared" si="67"/>
        <v>1</v>
      </c>
    </row>
    <row r="367" spans="1:34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>
        <v>671.66</v>
      </c>
      <c r="I367" s="75">
        <v>88659.12</v>
      </c>
      <c r="J367" s="91" t="s">
        <v>984</v>
      </c>
      <c r="K367" s="73"/>
      <c r="L367" s="46">
        <v>0</v>
      </c>
      <c r="M367" s="46">
        <v>0</v>
      </c>
      <c r="N367" s="46">
        <v>0</v>
      </c>
      <c r="O367" s="98"/>
      <c r="P367" s="23" t="s">
        <v>1445</v>
      </c>
      <c r="Q367" s="24" t="s">
        <v>983</v>
      </c>
      <c r="R367" s="25" t="s">
        <v>30</v>
      </c>
      <c r="S367" s="26">
        <v>132</v>
      </c>
      <c r="T367" s="26"/>
      <c r="U367" s="26">
        <v>671.66</v>
      </c>
      <c r="V367" s="26">
        <f t="shared" si="63"/>
        <v>0</v>
      </c>
      <c r="W367" s="26">
        <f t="shared" si="61"/>
        <v>0</v>
      </c>
      <c r="X367" s="26">
        <f t="shared" si="64"/>
        <v>0</v>
      </c>
      <c r="Y367" s="26">
        <f t="shared" si="68"/>
        <v>0</v>
      </c>
      <c r="Z367" s="33" t="s">
        <v>15</v>
      </c>
      <c r="AA367" s="36" t="s">
        <v>16</v>
      </c>
      <c r="AB367" s="181">
        <f t="shared" si="65"/>
        <v>132</v>
      </c>
      <c r="AC367" s="181">
        <f t="shared" si="69"/>
        <v>88659.12</v>
      </c>
      <c r="AD367" s="181">
        <v>1.8</v>
      </c>
      <c r="AE367" s="181">
        <v>1.8</v>
      </c>
      <c r="AF367" s="101" t="str">
        <f t="shared" si="66"/>
        <v/>
      </c>
      <c r="AG367" s="190">
        <v>0</v>
      </c>
      <c r="AH367" s="69">
        <f t="shared" si="67"/>
        <v>132</v>
      </c>
    </row>
    <row r="368" spans="1:34" s="69" customFormat="1" ht="33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>
        <v>24347</v>
      </c>
      <c r="I368" s="75">
        <v>24347</v>
      </c>
      <c r="J368" s="91" t="s">
        <v>987</v>
      </c>
      <c r="K368" s="73"/>
      <c r="L368" s="46">
        <v>0</v>
      </c>
      <c r="M368" s="46">
        <v>0</v>
      </c>
      <c r="N368" s="46">
        <v>0</v>
      </c>
      <c r="O368" s="98"/>
      <c r="P368" s="23" t="s">
        <v>1383</v>
      </c>
      <c r="Q368" s="24" t="s">
        <v>986</v>
      </c>
      <c r="R368" s="25" t="s">
        <v>14</v>
      </c>
      <c r="S368" s="26">
        <v>1</v>
      </c>
      <c r="T368" s="26"/>
      <c r="U368" s="26">
        <v>24347</v>
      </c>
      <c r="V368" s="26">
        <f t="shared" si="63"/>
        <v>0</v>
      </c>
      <c r="W368" s="26">
        <f t="shared" si="61"/>
        <v>0</v>
      </c>
      <c r="X368" s="26">
        <f t="shared" si="64"/>
        <v>0</v>
      </c>
      <c r="Y368" s="26">
        <f t="shared" si="68"/>
        <v>0</v>
      </c>
      <c r="Z368" s="33" t="s">
        <v>15</v>
      </c>
      <c r="AA368" s="36" t="s">
        <v>16</v>
      </c>
      <c r="AB368" s="181">
        <f t="shared" si="65"/>
        <v>1</v>
      </c>
      <c r="AC368" s="181">
        <f t="shared" si="69"/>
        <v>24347</v>
      </c>
      <c r="AD368" s="181">
        <v>1.8</v>
      </c>
      <c r="AE368" s="181">
        <v>1.8</v>
      </c>
      <c r="AF368" s="101" t="str">
        <f t="shared" si="66"/>
        <v/>
      </c>
      <c r="AG368" s="190">
        <v>0</v>
      </c>
      <c r="AH368" s="69">
        <f t="shared" si="67"/>
        <v>1</v>
      </c>
    </row>
    <row r="369" spans="1:34" s="69" customFormat="1" ht="33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/>
      <c r="I369" s="82">
        <v>7585016.1699999999</v>
      </c>
      <c r="J369" s="94" t="s">
        <v>15</v>
      </c>
      <c r="K369" s="73"/>
      <c r="L369" s="45">
        <v>1</v>
      </c>
      <c r="M369" s="45">
        <v>52142.719999999972</v>
      </c>
      <c r="N369" s="45">
        <v>6585218.6500000004</v>
      </c>
      <c r="O369" s="98"/>
      <c r="P369" s="18" t="s">
        <v>1401</v>
      </c>
      <c r="Q369" s="19" t="s">
        <v>989</v>
      </c>
      <c r="R369" s="20" t="s">
        <v>14</v>
      </c>
      <c r="S369" s="21">
        <v>1</v>
      </c>
      <c r="T369" s="21"/>
      <c r="U369" s="21">
        <f>SUMIFS(AC:AC,AD:AD,AD369)</f>
        <v>7585016.1699999999</v>
      </c>
      <c r="V369" s="21">
        <f t="shared" ref="V369:W369" si="70">IF(X369=0,0,1)</f>
        <v>1</v>
      </c>
      <c r="W369" s="21">
        <f t="shared" si="70"/>
        <v>1</v>
      </c>
      <c r="X369" s="21">
        <f>SUMIFS(X:X,AE:AE,AD369)</f>
        <v>163877.11999999988</v>
      </c>
      <c r="Y369" s="21">
        <f>SUMIFS(Y:Y,AE:AE,AD369)</f>
        <v>6749095.7699999996</v>
      </c>
      <c r="Z369" s="22" t="s">
        <v>15</v>
      </c>
      <c r="AA369" s="43" t="s">
        <v>16</v>
      </c>
      <c r="AB369" s="181">
        <f t="shared" si="65"/>
        <v>1</v>
      </c>
      <c r="AC369" s="184"/>
      <c r="AD369" s="184">
        <v>1.9</v>
      </c>
      <c r="AE369" s="184"/>
      <c r="AF369" s="101" t="str">
        <f t="shared" si="66"/>
        <v/>
      </c>
      <c r="AG369" s="190">
        <v>1</v>
      </c>
      <c r="AH369" s="69">
        <f t="shared" si="67"/>
        <v>1</v>
      </c>
    </row>
    <row r="370" spans="1:34" s="69" customFormat="1" ht="39" x14ac:dyDescent="0.3">
      <c r="A370" s="130" t="s">
        <v>990</v>
      </c>
      <c r="B370" s="131" t="s">
        <v>991</v>
      </c>
      <c r="C370" s="132" t="s">
        <v>30</v>
      </c>
      <c r="D370" s="133">
        <v>1088</v>
      </c>
      <c r="E370" s="75">
        <v>975</v>
      </c>
      <c r="F370" s="75"/>
      <c r="G370" s="75"/>
      <c r="H370" s="75">
        <v>247.2</v>
      </c>
      <c r="I370" s="75">
        <v>241020</v>
      </c>
      <c r="J370" s="91" t="s">
        <v>992</v>
      </c>
      <c r="K370" s="73"/>
      <c r="L370" s="46">
        <v>975</v>
      </c>
      <c r="M370" s="46">
        <v>0</v>
      </c>
      <c r="N370" s="46">
        <v>241020</v>
      </c>
      <c r="O370" s="98"/>
      <c r="P370" s="23" t="s">
        <v>1421</v>
      </c>
      <c r="Q370" s="24" t="s">
        <v>991</v>
      </c>
      <c r="R370" s="25" t="s">
        <v>30</v>
      </c>
      <c r="S370" s="26">
        <v>1088</v>
      </c>
      <c r="T370" s="26">
        <v>975</v>
      </c>
      <c r="U370" s="26">
        <v>247.2</v>
      </c>
      <c r="V370" s="127">
        <f t="shared" ref="V370:V376" si="71">AG370-L370</f>
        <v>0</v>
      </c>
      <c r="W370" s="127">
        <f t="shared" si="61"/>
        <v>975</v>
      </c>
      <c r="X370" s="127">
        <f t="shared" ref="X370:X376" si="72">Y370-N370</f>
        <v>0</v>
      </c>
      <c r="Y370" s="127">
        <f t="shared" ref="Y370:Y376" si="73">ROUND(U370*W370,2)</f>
        <v>241020</v>
      </c>
      <c r="Z370" s="27" t="s">
        <v>15</v>
      </c>
      <c r="AA370" s="36" t="s">
        <v>16</v>
      </c>
      <c r="AB370" s="181">
        <f t="shared" si="65"/>
        <v>975</v>
      </c>
      <c r="AC370" s="181">
        <f t="shared" ref="AC370:AC376" si="74">ROUND(U370*AB370,2)</f>
        <v>241020</v>
      </c>
      <c r="AD370" s="181">
        <v>1.9</v>
      </c>
      <c r="AE370" s="181">
        <v>1.9</v>
      </c>
      <c r="AF370" s="101" t="str">
        <f t="shared" si="66"/>
        <v/>
      </c>
      <c r="AG370" s="191">
        <f>360+205+410</f>
        <v>975</v>
      </c>
      <c r="AH370" s="69">
        <f t="shared" si="67"/>
        <v>975</v>
      </c>
    </row>
    <row r="371" spans="1:34" s="69" customFormat="1" ht="39" x14ac:dyDescent="0.3">
      <c r="A371" s="130" t="s">
        <v>993</v>
      </c>
      <c r="B371" s="131" t="s">
        <v>994</v>
      </c>
      <c r="C371" s="132" t="s">
        <v>30</v>
      </c>
      <c r="D371" s="133">
        <v>1088</v>
      </c>
      <c r="E371" s="75">
        <v>975</v>
      </c>
      <c r="F371" s="75"/>
      <c r="G371" s="75"/>
      <c r="H371" s="75">
        <v>236.9</v>
      </c>
      <c r="I371" s="75">
        <v>230977.5</v>
      </c>
      <c r="J371" s="91" t="s">
        <v>995</v>
      </c>
      <c r="K371" s="73"/>
      <c r="L371" s="46">
        <v>975</v>
      </c>
      <c r="M371" s="46">
        <v>0</v>
      </c>
      <c r="N371" s="46">
        <v>230977.5</v>
      </c>
      <c r="O371" s="98"/>
      <c r="P371" s="23" t="s">
        <v>1426</v>
      </c>
      <c r="Q371" s="24" t="s">
        <v>994</v>
      </c>
      <c r="R371" s="25" t="s">
        <v>30</v>
      </c>
      <c r="S371" s="26">
        <v>1088</v>
      </c>
      <c r="T371" s="26">
        <v>975</v>
      </c>
      <c r="U371" s="26">
        <v>236.9</v>
      </c>
      <c r="V371" s="127">
        <f t="shared" si="71"/>
        <v>0</v>
      </c>
      <c r="W371" s="127">
        <f t="shared" ref="W371:W376" si="75">V371+L371</f>
        <v>975</v>
      </c>
      <c r="X371" s="127">
        <f>Y371-N371</f>
        <v>0</v>
      </c>
      <c r="Y371" s="127">
        <f t="shared" si="73"/>
        <v>230977.5</v>
      </c>
      <c r="Z371" s="27" t="s">
        <v>15</v>
      </c>
      <c r="AA371" s="36" t="s">
        <v>16</v>
      </c>
      <c r="AB371" s="181">
        <f t="shared" si="65"/>
        <v>975</v>
      </c>
      <c r="AC371" s="181">
        <f t="shared" si="74"/>
        <v>230977.5</v>
      </c>
      <c r="AD371" s="181">
        <v>1.9</v>
      </c>
      <c r="AE371" s="181">
        <v>1.9</v>
      </c>
      <c r="AF371" s="101" t="str">
        <f t="shared" si="66"/>
        <v/>
      </c>
      <c r="AG371" s="191">
        <f>AG370</f>
        <v>975</v>
      </c>
      <c r="AH371" s="69">
        <f t="shared" si="67"/>
        <v>975</v>
      </c>
    </row>
    <row r="372" spans="1:34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252.35</v>
      </c>
      <c r="I372" s="75">
        <v>2206548.4</v>
      </c>
      <c r="J372" s="91" t="s">
        <v>999</v>
      </c>
      <c r="K372" s="73"/>
      <c r="L372" s="46">
        <v>7744</v>
      </c>
      <c r="M372" s="46">
        <v>0</v>
      </c>
      <c r="N372" s="46">
        <v>1954198.4</v>
      </c>
      <c r="O372" s="98"/>
      <c r="P372" s="23" t="s">
        <v>1402</v>
      </c>
      <c r="Q372" s="24" t="s">
        <v>997</v>
      </c>
      <c r="R372" s="25" t="s">
        <v>998</v>
      </c>
      <c r="S372" s="26">
        <v>6984</v>
      </c>
      <c r="T372" s="26">
        <v>8744</v>
      </c>
      <c r="U372" s="26">
        <v>252.35</v>
      </c>
      <c r="V372" s="26">
        <f t="shared" si="71"/>
        <v>0</v>
      </c>
      <c r="W372" s="26">
        <f t="shared" si="75"/>
        <v>7744</v>
      </c>
      <c r="X372" s="26">
        <f t="shared" si="72"/>
        <v>0</v>
      </c>
      <c r="Y372" s="26">
        <f t="shared" si="73"/>
        <v>1954198.4</v>
      </c>
      <c r="Z372" s="27" t="s">
        <v>15</v>
      </c>
      <c r="AA372" s="36" t="s">
        <v>16</v>
      </c>
      <c r="AB372" s="181">
        <f t="shared" si="65"/>
        <v>8744</v>
      </c>
      <c r="AC372" s="181">
        <f t="shared" si="74"/>
        <v>2206548.4</v>
      </c>
      <c r="AD372" s="181">
        <v>1.9</v>
      </c>
      <c r="AE372" s="181">
        <v>1.9</v>
      </c>
      <c r="AF372" s="101" t="str">
        <f t="shared" si="66"/>
        <v/>
      </c>
      <c r="AG372" s="190">
        <v>7744</v>
      </c>
      <c r="AH372" s="69">
        <f t="shared" si="67"/>
        <v>8744</v>
      </c>
    </row>
    <row r="373" spans="1:34" s="69" customFormat="1" ht="58.5" x14ac:dyDescent="0.3">
      <c r="A373" s="55" t="s">
        <v>1000</v>
      </c>
      <c r="B373" s="53" t="s">
        <v>1001</v>
      </c>
      <c r="C373" s="54" t="s">
        <v>14</v>
      </c>
      <c r="D373" s="75">
        <v>1</v>
      </c>
      <c r="E373" s="75"/>
      <c r="F373" s="75"/>
      <c r="G373" s="75"/>
      <c r="H373" s="75">
        <v>350000</v>
      </c>
      <c r="I373" s="75">
        <v>350000</v>
      </c>
      <c r="J373" s="91" t="s">
        <v>1002</v>
      </c>
      <c r="K373" s="73"/>
      <c r="L373" s="46">
        <v>1</v>
      </c>
      <c r="M373" s="46">
        <v>0</v>
      </c>
      <c r="N373" s="46">
        <v>157500</v>
      </c>
      <c r="O373" s="98"/>
      <c r="P373" s="23" t="s">
        <v>1373</v>
      </c>
      <c r="Q373" s="24" t="s">
        <v>1001</v>
      </c>
      <c r="R373" s="25" t="s">
        <v>14</v>
      </c>
      <c r="S373" s="26">
        <v>1</v>
      </c>
      <c r="T373" s="26"/>
      <c r="U373" s="26">
        <v>350000</v>
      </c>
      <c r="V373" s="26">
        <f>IF(X373=0,0,1)</f>
        <v>0</v>
      </c>
      <c r="W373" s="26">
        <f>IF(Y373=0,0,1)</f>
        <v>1</v>
      </c>
      <c r="X373" s="26">
        <f t="shared" si="72"/>
        <v>0</v>
      </c>
      <c r="Y373" s="26">
        <v>157500</v>
      </c>
      <c r="Z373" s="123">
        <f>Y373/I373</f>
        <v>0.45</v>
      </c>
      <c r="AA373" s="36" t="s">
        <v>16</v>
      </c>
      <c r="AB373" s="181">
        <f t="shared" si="65"/>
        <v>1</v>
      </c>
      <c r="AC373" s="181">
        <f t="shared" si="74"/>
        <v>350000</v>
      </c>
      <c r="AD373" s="181">
        <v>1.9</v>
      </c>
      <c r="AE373" s="181">
        <v>1.9</v>
      </c>
      <c r="AF373" s="101" t="str">
        <f t="shared" si="66"/>
        <v/>
      </c>
      <c r="AG373" s="190">
        <v>1</v>
      </c>
      <c r="AH373" s="69">
        <f t="shared" si="67"/>
        <v>1</v>
      </c>
    </row>
    <row r="374" spans="1:34" s="69" customFormat="1" ht="39" x14ac:dyDescent="0.3">
      <c r="A374" s="55" t="s">
        <v>1003</v>
      </c>
      <c r="B374" s="53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931.12</v>
      </c>
      <c r="I374" s="75">
        <v>2309177.6</v>
      </c>
      <c r="J374" s="91" t="s">
        <v>1005</v>
      </c>
      <c r="K374" s="73"/>
      <c r="L374" s="46">
        <v>1884</v>
      </c>
      <c r="M374" s="46">
        <v>52142.719999999972</v>
      </c>
      <c r="N374" s="46">
        <v>1754230.08</v>
      </c>
      <c r="O374" s="98"/>
      <c r="P374" s="23" t="s">
        <v>1393</v>
      </c>
      <c r="Q374" s="24" t="s">
        <v>1004</v>
      </c>
      <c r="R374" s="25" t="s">
        <v>97</v>
      </c>
      <c r="S374" s="26">
        <v>1</v>
      </c>
      <c r="T374" s="26">
        <v>2480</v>
      </c>
      <c r="U374" s="26">
        <v>931.12</v>
      </c>
      <c r="V374" s="128">
        <f t="shared" si="71"/>
        <v>176</v>
      </c>
      <c r="W374" s="26">
        <f t="shared" si="75"/>
        <v>2060</v>
      </c>
      <c r="X374" s="26">
        <f t="shared" si="72"/>
        <v>163877.11999999988</v>
      </c>
      <c r="Y374" s="26">
        <f t="shared" si="73"/>
        <v>1918107.2</v>
      </c>
      <c r="Z374" s="27" t="s">
        <v>15</v>
      </c>
      <c r="AA374" s="36" t="s">
        <v>16</v>
      </c>
      <c r="AB374" s="181">
        <f t="shared" si="65"/>
        <v>2480</v>
      </c>
      <c r="AC374" s="181">
        <f t="shared" si="74"/>
        <v>2309177.6</v>
      </c>
      <c r="AD374" s="181">
        <v>1.9</v>
      </c>
      <c r="AE374" s="181">
        <v>1.9</v>
      </c>
      <c r="AF374" s="101" t="str">
        <f t="shared" si="66"/>
        <v/>
      </c>
      <c r="AG374" s="191">
        <f>1500+8*3*7+8*5+8*15+8*7+15*8+7*8</f>
        <v>2060</v>
      </c>
      <c r="AH374" s="69">
        <f t="shared" si="67"/>
        <v>2480</v>
      </c>
    </row>
    <row r="375" spans="1:34" s="69" customFormat="1" ht="33" x14ac:dyDescent="0.3">
      <c r="A375" s="130" t="s">
        <v>1006</v>
      </c>
      <c r="B375" s="131" t="s">
        <v>678</v>
      </c>
      <c r="C375" s="132" t="s">
        <v>23</v>
      </c>
      <c r="D375" s="133">
        <v>1</v>
      </c>
      <c r="E375" s="203">
        <v>91</v>
      </c>
      <c r="F375" s="203">
        <v>291</v>
      </c>
      <c r="G375" s="203"/>
      <c r="H375" s="75">
        <v>3386.57</v>
      </c>
      <c r="I375" s="75">
        <v>985491.87</v>
      </c>
      <c r="J375" s="91" t="s">
        <v>679</v>
      </c>
      <c r="K375" s="73"/>
      <c r="L375" s="46">
        <v>291</v>
      </c>
      <c r="M375" s="46">
        <v>0</v>
      </c>
      <c r="N375" s="46">
        <v>985491.87</v>
      </c>
      <c r="O375" s="98"/>
      <c r="P375" s="23" t="s">
        <v>1403</v>
      </c>
      <c r="Q375" s="24" t="s">
        <v>678</v>
      </c>
      <c r="R375" s="25" t="s">
        <v>23</v>
      </c>
      <c r="S375" s="26">
        <v>1</v>
      </c>
      <c r="T375" s="26">
        <v>291</v>
      </c>
      <c r="U375" s="26">
        <v>3386.57</v>
      </c>
      <c r="V375" s="127">
        <f t="shared" si="71"/>
        <v>0</v>
      </c>
      <c r="W375" s="127">
        <f t="shared" si="75"/>
        <v>291</v>
      </c>
      <c r="X375" s="127">
        <f t="shared" si="72"/>
        <v>0</v>
      </c>
      <c r="Y375" s="127">
        <f t="shared" si="73"/>
        <v>985491.87</v>
      </c>
      <c r="Z375" s="27" t="s">
        <v>15</v>
      </c>
      <c r="AA375" s="36" t="s">
        <v>16</v>
      </c>
      <c r="AB375" s="181">
        <f t="shared" si="65"/>
        <v>291</v>
      </c>
      <c r="AC375" s="181">
        <f t="shared" si="74"/>
        <v>985491.87</v>
      </c>
      <c r="AD375" s="181">
        <v>1.9</v>
      </c>
      <c r="AE375" s="181">
        <v>1.9</v>
      </c>
      <c r="AF375" s="101" t="str">
        <f t="shared" si="66"/>
        <v/>
      </c>
      <c r="AG375" s="190">
        <v>291</v>
      </c>
      <c r="AH375" s="69">
        <f t="shared" si="67"/>
        <v>291</v>
      </c>
    </row>
    <row r="376" spans="1:34" s="69" customFormat="1" ht="58.5" x14ac:dyDescent="0.3">
      <c r="A376" s="134" t="s">
        <v>1340</v>
      </c>
      <c r="B376" s="135" t="s">
        <v>3137</v>
      </c>
      <c r="C376" s="204" t="s">
        <v>30</v>
      </c>
      <c r="D376" s="133"/>
      <c r="E376" s="59">
        <v>130</v>
      </c>
      <c r="F376" s="77"/>
      <c r="G376" s="77"/>
      <c r="H376" s="77">
        <v>9706.16</v>
      </c>
      <c r="I376" s="59">
        <v>1261800.8</v>
      </c>
      <c r="J376" s="92"/>
      <c r="K376" s="73"/>
      <c r="L376" s="46">
        <v>130</v>
      </c>
      <c r="M376" s="46">
        <v>0</v>
      </c>
      <c r="N376" s="46">
        <v>1261800.8</v>
      </c>
      <c r="O376" s="98"/>
      <c r="P376" s="23" t="s">
        <v>1427</v>
      </c>
      <c r="Q376" s="24" t="s">
        <v>1500</v>
      </c>
      <c r="R376" s="25" t="s">
        <v>30</v>
      </c>
      <c r="S376" s="26">
        <v>0</v>
      </c>
      <c r="T376" s="26">
        <v>130</v>
      </c>
      <c r="U376" s="26">
        <v>9706.16</v>
      </c>
      <c r="V376" s="127">
        <f t="shared" si="71"/>
        <v>0</v>
      </c>
      <c r="W376" s="127">
        <f t="shared" si="75"/>
        <v>130</v>
      </c>
      <c r="X376" s="127">
        <f t="shared" si="72"/>
        <v>0</v>
      </c>
      <c r="Y376" s="127">
        <f t="shared" si="73"/>
        <v>1261800.8</v>
      </c>
      <c r="Z376" s="27"/>
      <c r="AA376" s="36" t="s">
        <v>16</v>
      </c>
      <c r="AB376" s="181">
        <f t="shared" si="65"/>
        <v>130</v>
      </c>
      <c r="AC376" s="181">
        <f t="shared" si="74"/>
        <v>1261800.8</v>
      </c>
      <c r="AD376" s="181">
        <v>1.9</v>
      </c>
      <c r="AE376" s="181">
        <v>1.9</v>
      </c>
      <c r="AF376" s="101" t="str">
        <f t="shared" si="66"/>
        <v/>
      </c>
      <c r="AG376" s="191">
        <f>74+56</f>
        <v>130</v>
      </c>
      <c r="AH376" s="69">
        <f t="shared" si="67"/>
        <v>130</v>
      </c>
    </row>
    <row r="377" spans="1:34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/>
      <c r="I377" s="88">
        <v>27450638.109999999</v>
      </c>
      <c r="J377" s="95" t="s">
        <v>15</v>
      </c>
      <c r="K377" s="73"/>
      <c r="L377" s="42">
        <v>1</v>
      </c>
      <c r="M377" s="42">
        <v>369410</v>
      </c>
      <c r="N377" s="42">
        <v>22517197.620000005</v>
      </c>
      <c r="O377" s="98"/>
      <c r="P377" s="13" t="s">
        <v>1404</v>
      </c>
      <c r="Q377" s="14" t="s">
        <v>1008</v>
      </c>
      <c r="R377" s="15" t="s">
        <v>14</v>
      </c>
      <c r="S377" s="16">
        <v>1</v>
      </c>
      <c r="T377" s="16"/>
      <c r="U377" s="16">
        <f>SUMIFS(AC:AC,AD:AD,AD377)</f>
        <v>27450638.110000003</v>
      </c>
      <c r="V377" s="16">
        <f t="shared" ref="V377:W377" si="76">IF(X377=0,0,1)</f>
        <v>1</v>
      </c>
      <c r="W377" s="16">
        <f t="shared" si="76"/>
        <v>1</v>
      </c>
      <c r="X377" s="16">
        <f>SUMIFS(X:X,AE:AE,AD377)</f>
        <v>447759.6799999997</v>
      </c>
      <c r="Y377" s="16">
        <f>SUMIFS(Y:Y,AE:AE,AD377)</f>
        <v>22964957.300000004</v>
      </c>
      <c r="Z377" s="17" t="s">
        <v>15</v>
      </c>
      <c r="AA377" s="40" t="s">
        <v>16</v>
      </c>
      <c r="AB377" s="181">
        <f t="shared" si="65"/>
        <v>1</v>
      </c>
      <c r="AC377" s="183"/>
      <c r="AD377" s="183">
        <v>2</v>
      </c>
      <c r="AE377" s="183"/>
      <c r="AF377" s="101" t="str">
        <f t="shared" si="66"/>
        <v/>
      </c>
      <c r="AG377" s="190">
        <v>1</v>
      </c>
      <c r="AH377" s="69">
        <f t="shared" si="67"/>
        <v>1</v>
      </c>
    </row>
    <row r="378" spans="1:34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>
        <v>711302</v>
      </c>
      <c r="I378" s="75">
        <v>711302</v>
      </c>
      <c r="J378" s="91" t="s">
        <v>1011</v>
      </c>
      <c r="K378" s="73"/>
      <c r="L378" s="46">
        <v>0</v>
      </c>
      <c r="M378" s="46">
        <v>0</v>
      </c>
      <c r="N378" s="46">
        <v>0</v>
      </c>
      <c r="O378" s="98"/>
      <c r="P378" s="23" t="s">
        <v>1421</v>
      </c>
      <c r="Q378" s="24" t="s">
        <v>1010</v>
      </c>
      <c r="R378" s="25" t="s">
        <v>14</v>
      </c>
      <c r="S378" s="26">
        <v>1</v>
      </c>
      <c r="T378" s="26"/>
      <c r="U378" s="26">
        <v>711302</v>
      </c>
      <c r="V378" s="26">
        <f t="shared" ref="V378:V405" si="77">AG378-L378</f>
        <v>0</v>
      </c>
      <c r="W378" s="26">
        <f t="shared" ref="W378:W457" si="78">V378+L378</f>
        <v>0</v>
      </c>
      <c r="X378" s="26">
        <f t="shared" ref="X378:X405" si="79">Y378-N378</f>
        <v>0</v>
      </c>
      <c r="Y378" s="26">
        <f t="shared" ref="Y378:Y405" si="80">ROUND(U378*W378,2)</f>
        <v>0</v>
      </c>
      <c r="Z378" s="33" t="s">
        <v>15</v>
      </c>
      <c r="AA378" s="36" t="s">
        <v>16</v>
      </c>
      <c r="AB378" s="181">
        <f t="shared" si="65"/>
        <v>1</v>
      </c>
      <c r="AC378" s="181">
        <f t="shared" ref="AC378:AC405" si="81">ROUND(U378*AB378,2)</f>
        <v>711302</v>
      </c>
      <c r="AD378" s="181">
        <v>2</v>
      </c>
      <c r="AE378" s="181">
        <v>2</v>
      </c>
      <c r="AF378" s="101" t="str">
        <f t="shared" si="66"/>
        <v/>
      </c>
      <c r="AG378" s="190">
        <v>0</v>
      </c>
      <c r="AH378" s="69">
        <f t="shared" si="67"/>
        <v>1</v>
      </c>
    </row>
    <row r="379" spans="1:34" s="69" customFormat="1" ht="33" customHeight="1" x14ac:dyDescent="0.3">
      <c r="A379" s="55" t="s">
        <v>1012</v>
      </c>
      <c r="B379" s="53" t="s">
        <v>1013</v>
      </c>
      <c r="C379" s="54" t="s">
        <v>1014</v>
      </c>
      <c r="D379" s="75">
        <v>7</v>
      </c>
      <c r="E379" s="75"/>
      <c r="F379" s="75"/>
      <c r="G379" s="75"/>
      <c r="H379" s="75">
        <v>50000</v>
      </c>
      <c r="I379" s="75">
        <v>350000</v>
      </c>
      <c r="J379" s="91" t="s">
        <v>1015</v>
      </c>
      <c r="K379" s="73"/>
      <c r="L379" s="46">
        <v>0</v>
      </c>
      <c r="M379" s="46">
        <v>0</v>
      </c>
      <c r="N379" s="46">
        <v>0</v>
      </c>
      <c r="O379" s="98"/>
      <c r="P379" s="23" t="s">
        <v>1426</v>
      </c>
      <c r="Q379" s="24" t="s">
        <v>1013</v>
      </c>
      <c r="R379" s="25" t="s">
        <v>1014</v>
      </c>
      <c r="S379" s="26">
        <v>7</v>
      </c>
      <c r="T379" s="26"/>
      <c r="U379" s="26">
        <v>50000</v>
      </c>
      <c r="V379" s="26">
        <f t="shared" si="77"/>
        <v>0</v>
      </c>
      <c r="W379" s="26">
        <f t="shared" si="78"/>
        <v>0</v>
      </c>
      <c r="X379" s="26">
        <f t="shared" si="79"/>
        <v>0</v>
      </c>
      <c r="Y379" s="26">
        <f t="shared" si="80"/>
        <v>0</v>
      </c>
      <c r="Z379" s="33" t="s">
        <v>15</v>
      </c>
      <c r="AA379" s="36" t="s">
        <v>16</v>
      </c>
      <c r="AB379" s="181">
        <f t="shared" si="65"/>
        <v>7</v>
      </c>
      <c r="AC379" s="181">
        <f t="shared" si="81"/>
        <v>350000</v>
      </c>
      <c r="AD379" s="181">
        <v>2</v>
      </c>
      <c r="AE379" s="181">
        <v>2</v>
      </c>
      <c r="AF379" s="101" t="str">
        <f t="shared" si="66"/>
        <v/>
      </c>
      <c r="AG379" s="190">
        <v>0</v>
      </c>
      <c r="AH379" s="69">
        <f t="shared" si="67"/>
        <v>7</v>
      </c>
    </row>
    <row r="380" spans="1:34" s="69" customFormat="1" ht="33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75"/>
      <c r="F380" s="75">
        <v>400</v>
      </c>
      <c r="G380" s="76"/>
      <c r="H380" s="75">
        <v>22500</v>
      </c>
      <c r="I380" s="75">
        <v>9000000</v>
      </c>
      <c r="J380" s="91" t="s">
        <v>1018</v>
      </c>
      <c r="K380" s="73"/>
      <c r="L380" s="46">
        <v>400</v>
      </c>
      <c r="M380" s="46">
        <v>0</v>
      </c>
      <c r="N380" s="46">
        <v>9000000</v>
      </c>
      <c r="O380" s="98"/>
      <c r="P380" s="23" t="s">
        <v>1402</v>
      </c>
      <c r="Q380" s="24" t="s">
        <v>1017</v>
      </c>
      <c r="R380" s="25" t="s">
        <v>50</v>
      </c>
      <c r="S380" s="26">
        <v>360</v>
      </c>
      <c r="T380" s="26">
        <v>400</v>
      </c>
      <c r="U380" s="26">
        <v>22500</v>
      </c>
      <c r="V380" s="127">
        <f t="shared" si="77"/>
        <v>0</v>
      </c>
      <c r="W380" s="127">
        <f t="shared" si="78"/>
        <v>400</v>
      </c>
      <c r="X380" s="127">
        <f t="shared" si="79"/>
        <v>0</v>
      </c>
      <c r="Y380" s="127">
        <f t="shared" si="80"/>
        <v>9000000</v>
      </c>
      <c r="Z380" s="27" t="s">
        <v>15</v>
      </c>
      <c r="AA380" s="36" t="s">
        <v>16</v>
      </c>
      <c r="AB380" s="181">
        <f t="shared" si="65"/>
        <v>400</v>
      </c>
      <c r="AC380" s="181">
        <f t="shared" si="81"/>
        <v>9000000</v>
      </c>
      <c r="AD380" s="181">
        <v>2</v>
      </c>
      <c r="AE380" s="181">
        <v>2</v>
      </c>
      <c r="AF380" s="101" t="str">
        <f t="shared" si="66"/>
        <v/>
      </c>
      <c r="AG380" s="190">
        <v>400</v>
      </c>
      <c r="AH380" s="69">
        <f t="shared" si="67"/>
        <v>400</v>
      </c>
    </row>
    <row r="381" spans="1:34" s="69" customFormat="1" ht="78" x14ac:dyDescent="0.3">
      <c r="A381" s="55" t="s">
        <v>1019</v>
      </c>
      <c r="B381" s="53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158"/>
      <c r="H381" s="166">
        <v>806</v>
      </c>
      <c r="I381" s="75">
        <v>2941900</v>
      </c>
      <c r="J381" s="91" t="s">
        <v>1022</v>
      </c>
      <c r="K381" s="73"/>
      <c r="L381" s="46">
        <v>1760</v>
      </c>
      <c r="M381" s="46">
        <v>189410</v>
      </c>
      <c r="N381" s="46">
        <v>1418560</v>
      </c>
      <c r="O381" s="98"/>
      <c r="P381" s="23" t="s">
        <v>1373</v>
      </c>
      <c r="Q381" s="24" t="s">
        <v>1020</v>
      </c>
      <c r="R381" s="25" t="s">
        <v>1021</v>
      </c>
      <c r="S381" s="26">
        <v>730</v>
      </c>
      <c r="T381" s="26">
        <v>3650</v>
      </c>
      <c r="U381" s="26">
        <v>806</v>
      </c>
      <c r="V381" s="102">
        <f t="shared" si="77"/>
        <v>124</v>
      </c>
      <c r="W381" s="26">
        <f t="shared" si="78"/>
        <v>1884</v>
      </c>
      <c r="X381" s="26">
        <f t="shared" si="79"/>
        <v>99944</v>
      </c>
      <c r="Y381" s="26">
        <f t="shared" si="80"/>
        <v>1518504</v>
      </c>
      <c r="Z381" s="27" t="s">
        <v>15</v>
      </c>
      <c r="AA381" s="36" t="s">
        <v>16</v>
      </c>
      <c r="AB381" s="181">
        <f t="shared" si="65"/>
        <v>3650</v>
      </c>
      <c r="AC381" s="181">
        <f t="shared" si="81"/>
        <v>2941900</v>
      </c>
      <c r="AD381" s="181">
        <v>2</v>
      </c>
      <c r="AE381" s="181">
        <v>2</v>
      </c>
      <c r="AF381" s="101" t="str">
        <f t="shared" si="66"/>
        <v/>
      </c>
      <c r="AG381" s="191">
        <f>1156+124+120+124+124+112+124</f>
        <v>1884</v>
      </c>
      <c r="AH381" s="69">
        <f t="shared" si="67"/>
        <v>3650</v>
      </c>
    </row>
    <row r="382" spans="1:34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75">
        <v>4</v>
      </c>
      <c r="F382" s="161">
        <v>5</v>
      </c>
      <c r="G382" s="158"/>
      <c r="H382" s="166">
        <v>50000</v>
      </c>
      <c r="I382" s="75">
        <v>250000</v>
      </c>
      <c r="J382" s="91" t="s">
        <v>1025</v>
      </c>
      <c r="K382" s="73"/>
      <c r="L382" s="46">
        <v>5</v>
      </c>
      <c r="M382" s="46">
        <v>0</v>
      </c>
      <c r="N382" s="46">
        <v>250000</v>
      </c>
      <c r="O382" s="98"/>
      <c r="P382" s="23" t="s">
        <v>1393</v>
      </c>
      <c r="Q382" s="24" t="s">
        <v>1024</v>
      </c>
      <c r="R382" s="25" t="s">
        <v>1014</v>
      </c>
      <c r="S382" s="26">
        <v>2</v>
      </c>
      <c r="T382" s="26">
        <v>5</v>
      </c>
      <c r="U382" s="26">
        <v>50000</v>
      </c>
      <c r="V382" s="127">
        <f t="shared" si="77"/>
        <v>0</v>
      </c>
      <c r="W382" s="127">
        <f t="shared" si="78"/>
        <v>5</v>
      </c>
      <c r="X382" s="127">
        <f t="shared" si="79"/>
        <v>0</v>
      </c>
      <c r="Y382" s="127">
        <f t="shared" si="80"/>
        <v>250000</v>
      </c>
      <c r="Z382" s="27" t="s">
        <v>15</v>
      </c>
      <c r="AA382" s="36" t="s">
        <v>16</v>
      </c>
      <c r="AB382" s="181">
        <f t="shared" si="65"/>
        <v>5</v>
      </c>
      <c r="AC382" s="181">
        <f t="shared" si="81"/>
        <v>250000</v>
      </c>
      <c r="AD382" s="181">
        <v>2</v>
      </c>
      <c r="AE382" s="181">
        <v>2</v>
      </c>
      <c r="AF382" s="101" t="str">
        <f t="shared" si="66"/>
        <v/>
      </c>
      <c r="AG382" s="190">
        <v>5</v>
      </c>
      <c r="AH382" s="69">
        <f t="shared" si="67"/>
        <v>5</v>
      </c>
    </row>
    <row r="383" spans="1:34" s="69" customFormat="1" ht="36.75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158"/>
      <c r="H383" s="166">
        <v>180000</v>
      </c>
      <c r="I383" s="75">
        <v>4320000</v>
      </c>
      <c r="J383" s="91" t="s">
        <v>1029</v>
      </c>
      <c r="K383" s="73"/>
      <c r="L383" s="46">
        <v>15</v>
      </c>
      <c r="M383" s="46">
        <v>180000</v>
      </c>
      <c r="N383" s="46">
        <v>2700000</v>
      </c>
      <c r="O383" s="98"/>
      <c r="P383" s="23" t="s">
        <v>1403</v>
      </c>
      <c r="Q383" s="24" t="s">
        <v>1027</v>
      </c>
      <c r="R383" s="25" t="s">
        <v>1028</v>
      </c>
      <c r="S383" s="26">
        <v>24</v>
      </c>
      <c r="T383" s="26"/>
      <c r="U383" s="26">
        <v>180000</v>
      </c>
      <c r="V383" s="102">
        <f t="shared" si="77"/>
        <v>0</v>
      </c>
      <c r="W383" s="26">
        <f t="shared" si="78"/>
        <v>15</v>
      </c>
      <c r="X383" s="26">
        <f t="shared" si="79"/>
        <v>0</v>
      </c>
      <c r="Y383" s="26">
        <f t="shared" si="80"/>
        <v>2700000</v>
      </c>
      <c r="Z383" s="33" t="s">
        <v>15</v>
      </c>
      <c r="AA383" s="36" t="s">
        <v>16</v>
      </c>
      <c r="AB383" s="181">
        <f t="shared" si="65"/>
        <v>24</v>
      </c>
      <c r="AC383" s="181">
        <f t="shared" si="81"/>
        <v>4320000</v>
      </c>
      <c r="AD383" s="181">
        <v>2</v>
      </c>
      <c r="AE383" s="181">
        <v>2</v>
      </c>
      <c r="AF383" s="101" t="str">
        <f t="shared" si="66"/>
        <v/>
      </c>
      <c r="AG383" s="191">
        <f>8+1+1+2+1+1+1</f>
        <v>15</v>
      </c>
      <c r="AH383" s="69">
        <f t="shared" si="67"/>
        <v>24</v>
      </c>
    </row>
    <row r="384" spans="1:34" s="69" customFormat="1" ht="49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158"/>
      <c r="H384" s="166">
        <v>205982.81</v>
      </c>
      <c r="I384" s="75">
        <v>205982.81</v>
      </c>
      <c r="J384" s="91" t="s">
        <v>1032</v>
      </c>
      <c r="K384" s="73"/>
      <c r="L384" s="46">
        <v>0</v>
      </c>
      <c r="M384" s="46">
        <v>0</v>
      </c>
      <c r="N384" s="46">
        <v>0</v>
      </c>
      <c r="O384" s="98"/>
      <c r="P384" s="23" t="s">
        <v>1427</v>
      </c>
      <c r="Q384" s="24" t="s">
        <v>1031</v>
      </c>
      <c r="R384" s="25" t="s">
        <v>14</v>
      </c>
      <c r="S384" s="26">
        <v>1</v>
      </c>
      <c r="T384" s="26"/>
      <c r="U384" s="26">
        <v>205982.81</v>
      </c>
      <c r="V384" s="26">
        <f t="shared" si="77"/>
        <v>0</v>
      </c>
      <c r="W384" s="26">
        <f t="shared" si="78"/>
        <v>0</v>
      </c>
      <c r="X384" s="26">
        <f t="shared" si="79"/>
        <v>0</v>
      </c>
      <c r="Y384" s="26">
        <f t="shared" si="80"/>
        <v>0</v>
      </c>
      <c r="Z384" s="33" t="s">
        <v>15</v>
      </c>
      <c r="AA384" s="36" t="s">
        <v>16</v>
      </c>
      <c r="AB384" s="181">
        <f t="shared" si="65"/>
        <v>1</v>
      </c>
      <c r="AC384" s="181">
        <f t="shared" si="81"/>
        <v>205982.81</v>
      </c>
      <c r="AD384" s="181">
        <v>2</v>
      </c>
      <c r="AE384" s="181">
        <v>2</v>
      </c>
      <c r="AF384" s="101" t="str">
        <f t="shared" si="66"/>
        <v/>
      </c>
      <c r="AG384" s="190">
        <v>0</v>
      </c>
      <c r="AH384" s="69">
        <f t="shared" si="67"/>
        <v>1</v>
      </c>
    </row>
    <row r="385" spans="1:34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75"/>
      <c r="F385" s="161"/>
      <c r="G385" s="158"/>
      <c r="H385" s="166">
        <v>2425000</v>
      </c>
      <c r="I385" s="75">
        <v>2425000</v>
      </c>
      <c r="J385" s="91" t="s">
        <v>1035</v>
      </c>
      <c r="K385" s="73"/>
      <c r="L385" s="46">
        <v>1</v>
      </c>
      <c r="M385" s="46">
        <v>0</v>
      </c>
      <c r="N385" s="46">
        <v>2425000</v>
      </c>
      <c r="O385" s="98"/>
      <c r="P385" s="23" t="s">
        <v>1428</v>
      </c>
      <c r="Q385" s="24" t="s">
        <v>1034</v>
      </c>
      <c r="R385" s="25" t="s">
        <v>14</v>
      </c>
      <c r="S385" s="26">
        <v>1</v>
      </c>
      <c r="T385" s="26"/>
      <c r="U385" s="26">
        <v>2425000</v>
      </c>
      <c r="V385" s="127">
        <f t="shared" si="77"/>
        <v>0</v>
      </c>
      <c r="W385" s="127">
        <f t="shared" si="78"/>
        <v>1</v>
      </c>
      <c r="X385" s="127">
        <f t="shared" si="79"/>
        <v>0</v>
      </c>
      <c r="Y385" s="127">
        <f t="shared" si="80"/>
        <v>2425000</v>
      </c>
      <c r="Z385" s="33" t="s">
        <v>1499</v>
      </c>
      <c r="AA385" s="36" t="s">
        <v>16</v>
      </c>
      <c r="AB385" s="181">
        <f t="shared" si="65"/>
        <v>1</v>
      </c>
      <c r="AC385" s="181">
        <f t="shared" si="81"/>
        <v>2425000</v>
      </c>
      <c r="AD385" s="181">
        <v>2</v>
      </c>
      <c r="AE385" s="181">
        <v>2</v>
      </c>
      <c r="AF385" s="101" t="str">
        <f t="shared" si="66"/>
        <v/>
      </c>
      <c r="AG385" s="190">
        <v>1</v>
      </c>
      <c r="AH385" s="69">
        <f t="shared" si="67"/>
        <v>1</v>
      </c>
    </row>
    <row r="386" spans="1:34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158"/>
      <c r="H386" s="166">
        <v>350000</v>
      </c>
      <c r="I386" s="75">
        <v>350000</v>
      </c>
      <c r="J386" s="91" t="s">
        <v>1038</v>
      </c>
      <c r="K386" s="73"/>
      <c r="L386" s="46">
        <v>0.5</v>
      </c>
      <c r="M386" s="46">
        <v>0</v>
      </c>
      <c r="N386" s="46">
        <v>175000</v>
      </c>
      <c r="O386" s="98"/>
      <c r="P386" s="23" t="s">
        <v>1387</v>
      </c>
      <c r="Q386" s="24" t="s">
        <v>1037</v>
      </c>
      <c r="R386" s="25" t="s">
        <v>14</v>
      </c>
      <c r="S386" s="26">
        <v>1</v>
      </c>
      <c r="T386" s="26"/>
      <c r="U386" s="26">
        <v>350000</v>
      </c>
      <c r="V386" s="128">
        <f t="shared" si="77"/>
        <v>0</v>
      </c>
      <c r="W386" s="26">
        <f t="shared" si="78"/>
        <v>0.5</v>
      </c>
      <c r="X386" s="26">
        <f t="shared" si="79"/>
        <v>0</v>
      </c>
      <c r="Y386" s="26">
        <f t="shared" si="80"/>
        <v>175000</v>
      </c>
      <c r="Z386" s="33" t="s">
        <v>15</v>
      </c>
      <c r="AA386" s="36" t="s">
        <v>16</v>
      </c>
      <c r="AB386" s="181">
        <f t="shared" si="65"/>
        <v>1</v>
      </c>
      <c r="AC386" s="181">
        <f t="shared" si="81"/>
        <v>350000</v>
      </c>
      <c r="AD386" s="181">
        <v>2</v>
      </c>
      <c r="AE386" s="181">
        <v>2</v>
      </c>
      <c r="AF386" s="101" t="str">
        <f t="shared" si="66"/>
        <v/>
      </c>
      <c r="AG386" s="191">
        <f>0.5</f>
        <v>0.5</v>
      </c>
      <c r="AH386" s="69">
        <f t="shared" si="67"/>
        <v>1</v>
      </c>
    </row>
    <row r="387" spans="1:34" ht="33" x14ac:dyDescent="0.3">
      <c r="A387" s="134" t="s">
        <v>1342</v>
      </c>
      <c r="B387" s="135" t="s">
        <v>1343</v>
      </c>
      <c r="C387" s="204" t="s">
        <v>50</v>
      </c>
      <c r="D387" s="133"/>
      <c r="E387" s="78"/>
      <c r="F387" s="163">
        <v>320</v>
      </c>
      <c r="G387" s="62"/>
      <c r="H387" s="167">
        <v>10869.24</v>
      </c>
      <c r="I387" s="62">
        <v>3478156.8</v>
      </c>
      <c r="J387" s="93"/>
      <c r="L387" s="46">
        <v>288</v>
      </c>
      <c r="M387" s="46">
        <v>0</v>
      </c>
      <c r="N387" s="46">
        <v>3130341.12</v>
      </c>
      <c r="O387" s="98"/>
      <c r="P387" s="23" t="s">
        <v>1405</v>
      </c>
      <c r="Q387" s="24" t="s">
        <v>1343</v>
      </c>
      <c r="R387" s="25" t="s">
        <v>50</v>
      </c>
      <c r="S387" s="26">
        <v>0</v>
      </c>
      <c r="T387" s="26">
        <v>320</v>
      </c>
      <c r="U387" s="26">
        <v>10869.24</v>
      </c>
      <c r="V387" s="128">
        <f t="shared" si="77"/>
        <v>32</v>
      </c>
      <c r="W387" s="127">
        <f t="shared" si="78"/>
        <v>320</v>
      </c>
      <c r="X387" s="127">
        <f t="shared" si="79"/>
        <v>347815.6799999997</v>
      </c>
      <c r="Y387" s="127">
        <f t="shared" si="80"/>
        <v>3478156.8</v>
      </c>
      <c r="Z387" s="27"/>
      <c r="AA387" s="36" t="s">
        <v>16</v>
      </c>
      <c r="AB387" s="181">
        <f t="shared" si="65"/>
        <v>320</v>
      </c>
      <c r="AC387" s="181">
        <f t="shared" si="81"/>
        <v>3478156.8</v>
      </c>
      <c r="AD387" s="181">
        <v>2</v>
      </c>
      <c r="AE387" s="181">
        <v>2</v>
      </c>
      <c r="AF387" s="101" t="str">
        <f t="shared" si="66"/>
        <v/>
      </c>
      <c r="AG387" s="191">
        <f>320</f>
        <v>320</v>
      </c>
      <c r="AH387" s="69">
        <f t="shared" si="67"/>
        <v>320</v>
      </c>
    </row>
    <row r="388" spans="1:34" ht="33" x14ac:dyDescent="0.3">
      <c r="A388" s="144" t="s">
        <v>1344</v>
      </c>
      <c r="B388" s="145" t="s">
        <v>1345</v>
      </c>
      <c r="C388" s="206" t="s">
        <v>325</v>
      </c>
      <c r="D388" s="170"/>
      <c r="E388" s="147"/>
      <c r="F388" s="164">
        <v>2</v>
      </c>
      <c r="G388" s="62"/>
      <c r="H388" s="168">
        <v>60995.57</v>
      </c>
      <c r="I388" s="148">
        <v>121991.14</v>
      </c>
      <c r="J388" s="149"/>
      <c r="L388" s="46">
        <v>2</v>
      </c>
      <c r="M388" s="46">
        <v>0</v>
      </c>
      <c r="N388" s="46">
        <v>121991.14</v>
      </c>
      <c r="O388" s="98"/>
      <c r="P388" s="23" t="s">
        <v>1406</v>
      </c>
      <c r="Q388" s="24" t="s">
        <v>1345</v>
      </c>
      <c r="R388" s="25" t="s">
        <v>325</v>
      </c>
      <c r="S388" s="26">
        <v>0</v>
      </c>
      <c r="T388" s="26">
        <v>2</v>
      </c>
      <c r="U388" s="26">
        <v>60995.57</v>
      </c>
      <c r="V388" s="127">
        <f t="shared" si="77"/>
        <v>0</v>
      </c>
      <c r="W388" s="127">
        <f t="shared" si="78"/>
        <v>2</v>
      </c>
      <c r="X388" s="127">
        <f t="shared" si="79"/>
        <v>0</v>
      </c>
      <c r="Y388" s="127">
        <f t="shared" si="80"/>
        <v>121991.14</v>
      </c>
      <c r="Z388" s="27"/>
      <c r="AA388" s="36" t="s">
        <v>16</v>
      </c>
      <c r="AB388" s="181">
        <f t="shared" si="65"/>
        <v>2</v>
      </c>
      <c r="AC388" s="181">
        <f t="shared" si="81"/>
        <v>121991.14</v>
      </c>
      <c r="AD388" s="181">
        <v>2</v>
      </c>
      <c r="AE388" s="181">
        <v>2</v>
      </c>
      <c r="AF388" s="101" t="str">
        <f t="shared" si="66"/>
        <v/>
      </c>
      <c r="AG388" s="190">
        <v>2</v>
      </c>
      <c r="AH388" s="69">
        <f t="shared" si="67"/>
        <v>2</v>
      </c>
    </row>
    <row r="389" spans="1:34" ht="39" x14ac:dyDescent="0.3">
      <c r="A389" s="207" t="s">
        <v>3072</v>
      </c>
      <c r="B389" s="208" t="s">
        <v>3073</v>
      </c>
      <c r="C389" s="204" t="s">
        <v>97</v>
      </c>
      <c r="D389" s="171"/>
      <c r="E389" s="158"/>
      <c r="F389" s="165"/>
      <c r="G389" s="159">
        <v>220</v>
      </c>
      <c r="H389" s="169">
        <v>1159.82</v>
      </c>
      <c r="I389" s="159">
        <v>255160.4</v>
      </c>
      <c r="J389" s="172"/>
      <c r="L389" s="46">
        <v>220</v>
      </c>
      <c r="M389" s="46">
        <v>0</v>
      </c>
      <c r="N389" s="46">
        <v>255160.4</v>
      </c>
      <c r="O389" s="98"/>
      <c r="P389" s="23" t="s">
        <v>1414</v>
      </c>
      <c r="Q389" s="24" t="s">
        <v>3073</v>
      </c>
      <c r="R389" s="25" t="s">
        <v>97</v>
      </c>
      <c r="S389" s="26"/>
      <c r="T389" s="26"/>
      <c r="U389" s="169">
        <v>1159.82</v>
      </c>
      <c r="V389" s="127">
        <f t="shared" si="77"/>
        <v>0</v>
      </c>
      <c r="W389" s="127">
        <f>V389+L389</f>
        <v>220</v>
      </c>
      <c r="X389" s="127">
        <f t="shared" si="79"/>
        <v>0</v>
      </c>
      <c r="Y389" s="127">
        <f t="shared" si="80"/>
        <v>255160.4</v>
      </c>
      <c r="Z389" s="27"/>
      <c r="AA389" s="36"/>
      <c r="AB389" s="200">
        <v>220</v>
      </c>
      <c r="AC389" s="181">
        <f t="shared" si="81"/>
        <v>255160.4</v>
      </c>
      <c r="AD389" s="181">
        <v>2</v>
      </c>
      <c r="AE389" s="181">
        <v>2</v>
      </c>
      <c r="AF389" s="101"/>
      <c r="AG389" s="190">
        <f>G389</f>
        <v>220</v>
      </c>
      <c r="AH389" s="69">
        <f t="shared" si="67"/>
        <v>220</v>
      </c>
    </row>
    <row r="390" spans="1:34" ht="39" x14ac:dyDescent="0.3">
      <c r="A390" s="207" t="s">
        <v>3074</v>
      </c>
      <c r="B390" s="208" t="s">
        <v>3075</v>
      </c>
      <c r="C390" s="204" t="s">
        <v>97</v>
      </c>
      <c r="D390" s="171"/>
      <c r="E390" s="158"/>
      <c r="F390" s="165"/>
      <c r="G390" s="159">
        <v>264.5</v>
      </c>
      <c r="H390" s="169">
        <v>689.89</v>
      </c>
      <c r="I390" s="159">
        <v>182475.91</v>
      </c>
      <c r="J390" s="172"/>
      <c r="L390" s="46">
        <v>264.5</v>
      </c>
      <c r="M390" s="46">
        <v>0</v>
      </c>
      <c r="N390" s="46">
        <v>182475.91</v>
      </c>
      <c r="O390" s="98"/>
      <c r="P390" s="23" t="s">
        <v>1429</v>
      </c>
      <c r="Q390" s="24" t="s">
        <v>3075</v>
      </c>
      <c r="R390" s="25" t="s">
        <v>97</v>
      </c>
      <c r="S390" s="26"/>
      <c r="T390" s="26"/>
      <c r="U390" s="169">
        <v>689.89</v>
      </c>
      <c r="V390" s="127">
        <f t="shared" si="77"/>
        <v>0</v>
      </c>
      <c r="W390" s="127">
        <f t="shared" ref="W390:W405" si="82">V390+L390</f>
        <v>264.5</v>
      </c>
      <c r="X390" s="127">
        <f t="shared" si="79"/>
        <v>0</v>
      </c>
      <c r="Y390" s="127">
        <f t="shared" si="80"/>
        <v>182475.91</v>
      </c>
      <c r="Z390" s="27"/>
      <c r="AA390" s="36"/>
      <c r="AB390" s="200">
        <v>264.5</v>
      </c>
      <c r="AC390" s="181">
        <f t="shared" si="81"/>
        <v>182475.91</v>
      </c>
      <c r="AD390" s="181">
        <v>2</v>
      </c>
      <c r="AE390" s="181">
        <v>2</v>
      </c>
      <c r="AF390" s="101"/>
      <c r="AG390" s="190">
        <f t="shared" ref="AG390:AG405" si="83">G390</f>
        <v>264.5</v>
      </c>
      <c r="AH390" s="69">
        <f t="shared" si="67"/>
        <v>264.5</v>
      </c>
    </row>
    <row r="391" spans="1:34" ht="58.5" x14ac:dyDescent="0.3">
      <c r="A391" s="207" t="s">
        <v>3076</v>
      </c>
      <c r="B391" s="208" t="s">
        <v>3077</v>
      </c>
      <c r="C391" s="204" t="s">
        <v>97</v>
      </c>
      <c r="D391" s="171"/>
      <c r="E391" s="158"/>
      <c r="F391" s="165"/>
      <c r="G391" s="159">
        <v>218.5</v>
      </c>
      <c r="H391" s="169">
        <v>899.86</v>
      </c>
      <c r="I391" s="159">
        <v>196619.41</v>
      </c>
      <c r="J391" s="172"/>
      <c r="L391" s="46">
        <v>218.5</v>
      </c>
      <c r="M391" s="46">
        <v>0</v>
      </c>
      <c r="N391" s="46">
        <v>196619.41</v>
      </c>
      <c r="O391" s="98"/>
      <c r="P391" s="23" t="s">
        <v>1430</v>
      </c>
      <c r="Q391" s="24" t="s">
        <v>3077</v>
      </c>
      <c r="R391" s="25" t="s">
        <v>97</v>
      </c>
      <c r="S391" s="26"/>
      <c r="T391" s="26"/>
      <c r="U391" s="169">
        <v>899.86</v>
      </c>
      <c r="V391" s="127">
        <f t="shared" si="77"/>
        <v>0</v>
      </c>
      <c r="W391" s="127">
        <f t="shared" si="82"/>
        <v>218.5</v>
      </c>
      <c r="X391" s="127">
        <f t="shared" si="79"/>
        <v>0</v>
      </c>
      <c r="Y391" s="127">
        <f t="shared" si="80"/>
        <v>196619.41</v>
      </c>
      <c r="Z391" s="27"/>
      <c r="AA391" s="36"/>
      <c r="AB391" s="200">
        <v>218.5</v>
      </c>
      <c r="AC391" s="181">
        <f t="shared" si="81"/>
        <v>196619.41</v>
      </c>
      <c r="AD391" s="181">
        <v>2</v>
      </c>
      <c r="AE391" s="181">
        <v>2</v>
      </c>
      <c r="AF391" s="101"/>
      <c r="AG391" s="190">
        <f t="shared" si="83"/>
        <v>218.5</v>
      </c>
      <c r="AH391" s="69">
        <f t="shared" si="67"/>
        <v>218.5</v>
      </c>
    </row>
    <row r="392" spans="1:34" ht="39" x14ac:dyDescent="0.3">
      <c r="A392" s="207" t="s">
        <v>3078</v>
      </c>
      <c r="B392" s="208" t="s">
        <v>3079</v>
      </c>
      <c r="C392" s="204" t="s">
        <v>97</v>
      </c>
      <c r="D392" s="171"/>
      <c r="E392" s="158"/>
      <c r="F392" s="165"/>
      <c r="G392" s="159">
        <v>87.5</v>
      </c>
      <c r="H392" s="169">
        <v>1499.76</v>
      </c>
      <c r="I392" s="159">
        <v>131229</v>
      </c>
      <c r="J392" s="172"/>
      <c r="L392" s="46">
        <v>87.5</v>
      </c>
      <c r="M392" s="46">
        <v>0</v>
      </c>
      <c r="N392" s="46">
        <v>131229</v>
      </c>
      <c r="O392" s="98"/>
      <c r="P392" s="23" t="s">
        <v>1431</v>
      </c>
      <c r="Q392" s="24" t="s">
        <v>3079</v>
      </c>
      <c r="R392" s="25" t="s">
        <v>97</v>
      </c>
      <c r="S392" s="26"/>
      <c r="T392" s="26"/>
      <c r="U392" s="169">
        <v>1499.76</v>
      </c>
      <c r="V392" s="127">
        <f t="shared" si="77"/>
        <v>0</v>
      </c>
      <c r="W392" s="127">
        <f t="shared" si="82"/>
        <v>87.5</v>
      </c>
      <c r="X392" s="127">
        <f t="shared" si="79"/>
        <v>0</v>
      </c>
      <c r="Y392" s="127">
        <f t="shared" si="80"/>
        <v>131229</v>
      </c>
      <c r="Z392" s="27"/>
      <c r="AA392" s="36"/>
      <c r="AB392" s="200">
        <v>87.5</v>
      </c>
      <c r="AC392" s="181">
        <f t="shared" si="81"/>
        <v>131229</v>
      </c>
      <c r="AD392" s="181">
        <v>2</v>
      </c>
      <c r="AE392" s="181">
        <v>2</v>
      </c>
      <c r="AF392" s="101"/>
      <c r="AG392" s="190">
        <f t="shared" si="83"/>
        <v>87.5</v>
      </c>
      <c r="AH392" s="69">
        <f t="shared" si="67"/>
        <v>87.5</v>
      </c>
    </row>
    <row r="393" spans="1:34" x14ac:dyDescent="0.3">
      <c r="A393" s="207" t="s">
        <v>3080</v>
      </c>
      <c r="B393" s="208" t="s">
        <v>3081</v>
      </c>
      <c r="C393" s="204" t="s">
        <v>97</v>
      </c>
      <c r="D393" s="171"/>
      <c r="E393" s="158"/>
      <c r="F393" s="159"/>
      <c r="G393" s="159">
        <v>144.5</v>
      </c>
      <c r="H393" s="158">
        <v>1419.78</v>
      </c>
      <c r="I393" s="159">
        <v>205158.21</v>
      </c>
      <c r="J393" s="172"/>
      <c r="L393" s="46">
        <v>144.5</v>
      </c>
      <c r="M393" s="46">
        <v>0</v>
      </c>
      <c r="N393" s="46">
        <v>205158.21</v>
      </c>
      <c r="O393" s="98"/>
      <c r="P393" s="23" t="s">
        <v>1395</v>
      </c>
      <c r="Q393" s="24" t="s">
        <v>3081</v>
      </c>
      <c r="R393" s="25" t="s">
        <v>97</v>
      </c>
      <c r="S393" s="26"/>
      <c r="T393" s="26"/>
      <c r="U393" s="158">
        <v>1419.78</v>
      </c>
      <c r="V393" s="127">
        <f t="shared" si="77"/>
        <v>0</v>
      </c>
      <c r="W393" s="127">
        <f t="shared" si="82"/>
        <v>144.5</v>
      </c>
      <c r="X393" s="127">
        <f t="shared" si="79"/>
        <v>0</v>
      </c>
      <c r="Y393" s="127">
        <f t="shared" si="80"/>
        <v>205158.21</v>
      </c>
      <c r="Z393" s="27"/>
      <c r="AA393" s="36"/>
      <c r="AB393" s="200">
        <v>144.5</v>
      </c>
      <c r="AC393" s="181">
        <f t="shared" si="81"/>
        <v>205158.21</v>
      </c>
      <c r="AD393" s="181">
        <v>2</v>
      </c>
      <c r="AE393" s="181">
        <v>2</v>
      </c>
      <c r="AF393" s="101"/>
      <c r="AG393" s="190">
        <f t="shared" si="83"/>
        <v>144.5</v>
      </c>
      <c r="AH393" s="69">
        <f t="shared" si="67"/>
        <v>144.5</v>
      </c>
    </row>
    <row r="394" spans="1:34" x14ac:dyDescent="0.3">
      <c r="A394" s="207" t="s">
        <v>3082</v>
      </c>
      <c r="B394" s="208" t="s">
        <v>3083</v>
      </c>
      <c r="C394" s="204" t="s">
        <v>97</v>
      </c>
      <c r="D394" s="171"/>
      <c r="E394" s="158"/>
      <c r="F394" s="159"/>
      <c r="G394" s="159">
        <v>27</v>
      </c>
      <c r="H394" s="158">
        <v>2999.53</v>
      </c>
      <c r="I394" s="159">
        <v>80987.31</v>
      </c>
      <c r="J394" s="172"/>
      <c r="L394" s="46">
        <v>27</v>
      </c>
      <c r="M394" s="46">
        <v>0</v>
      </c>
      <c r="N394" s="46">
        <v>80987.31</v>
      </c>
      <c r="O394" s="98"/>
      <c r="P394" s="23" t="s">
        <v>1432</v>
      </c>
      <c r="Q394" s="24" t="s">
        <v>3083</v>
      </c>
      <c r="R394" s="25" t="s">
        <v>97</v>
      </c>
      <c r="S394" s="26"/>
      <c r="T394" s="26"/>
      <c r="U394" s="158">
        <v>2999.53</v>
      </c>
      <c r="V394" s="127">
        <f t="shared" si="77"/>
        <v>0</v>
      </c>
      <c r="W394" s="127">
        <f t="shared" si="82"/>
        <v>27</v>
      </c>
      <c r="X394" s="127">
        <f t="shared" si="79"/>
        <v>0</v>
      </c>
      <c r="Y394" s="127">
        <f t="shared" si="80"/>
        <v>80987.31</v>
      </c>
      <c r="Z394" s="27"/>
      <c r="AA394" s="36"/>
      <c r="AB394" s="200">
        <v>27</v>
      </c>
      <c r="AC394" s="181">
        <f t="shared" si="81"/>
        <v>80987.31</v>
      </c>
      <c r="AD394" s="181">
        <v>2</v>
      </c>
      <c r="AE394" s="181">
        <v>2</v>
      </c>
      <c r="AF394" s="101"/>
      <c r="AG394" s="190">
        <f t="shared" si="83"/>
        <v>27</v>
      </c>
      <c r="AH394" s="69">
        <f t="shared" si="67"/>
        <v>27</v>
      </c>
    </row>
    <row r="395" spans="1:34" x14ac:dyDescent="0.3">
      <c r="A395" s="207" t="s">
        <v>3084</v>
      </c>
      <c r="B395" s="208" t="s">
        <v>3085</v>
      </c>
      <c r="C395" s="204" t="s">
        <v>97</v>
      </c>
      <c r="D395" s="171"/>
      <c r="E395" s="158"/>
      <c r="F395" s="159"/>
      <c r="G395" s="159">
        <v>28</v>
      </c>
      <c r="H395" s="158">
        <v>1364.78</v>
      </c>
      <c r="I395" s="159">
        <v>38213.839999999997</v>
      </c>
      <c r="J395" s="172"/>
      <c r="L395" s="46">
        <v>28</v>
      </c>
      <c r="M395" s="46">
        <v>0</v>
      </c>
      <c r="N395" s="46">
        <v>38213.839999999997</v>
      </c>
      <c r="O395" s="98"/>
      <c r="P395" s="23" t="s">
        <v>1433</v>
      </c>
      <c r="Q395" s="24" t="s">
        <v>3085</v>
      </c>
      <c r="R395" s="25" t="s">
        <v>97</v>
      </c>
      <c r="S395" s="26"/>
      <c r="T395" s="26"/>
      <c r="U395" s="158">
        <v>1364.78</v>
      </c>
      <c r="V395" s="127">
        <f t="shared" si="77"/>
        <v>0</v>
      </c>
      <c r="W395" s="127">
        <f t="shared" si="82"/>
        <v>28</v>
      </c>
      <c r="X395" s="127">
        <f t="shared" si="79"/>
        <v>0</v>
      </c>
      <c r="Y395" s="127">
        <f t="shared" si="80"/>
        <v>38213.839999999997</v>
      </c>
      <c r="Z395" s="27"/>
      <c r="AA395" s="36"/>
      <c r="AB395" s="200">
        <v>28</v>
      </c>
      <c r="AC395" s="181">
        <f t="shared" si="81"/>
        <v>38213.839999999997</v>
      </c>
      <c r="AD395" s="181">
        <v>2</v>
      </c>
      <c r="AE395" s="181">
        <v>2</v>
      </c>
      <c r="AF395" s="101"/>
      <c r="AG395" s="190">
        <f t="shared" si="83"/>
        <v>28</v>
      </c>
      <c r="AH395" s="69">
        <f t="shared" ref="AH395:AH458" si="84">IF(G395=0,IF(F395=0,IF(E395=0,D395,E395),F395),G395)</f>
        <v>28</v>
      </c>
    </row>
    <row r="396" spans="1:34" x14ac:dyDescent="0.3">
      <c r="A396" s="207" t="s">
        <v>3086</v>
      </c>
      <c r="B396" s="208" t="s">
        <v>3087</v>
      </c>
      <c r="C396" s="204" t="s">
        <v>97</v>
      </c>
      <c r="D396" s="171"/>
      <c r="E396" s="158"/>
      <c r="F396" s="159"/>
      <c r="G396" s="159">
        <v>156</v>
      </c>
      <c r="H396" s="158">
        <v>771.88</v>
      </c>
      <c r="I396" s="159">
        <v>120413.28</v>
      </c>
      <c r="J396" s="172"/>
      <c r="L396" s="46">
        <v>156</v>
      </c>
      <c r="M396" s="46">
        <v>0</v>
      </c>
      <c r="N396" s="46">
        <v>120413.28</v>
      </c>
      <c r="O396" s="98"/>
      <c r="P396" s="23" t="s">
        <v>1382</v>
      </c>
      <c r="Q396" s="24" t="s">
        <v>3087</v>
      </c>
      <c r="R396" s="25" t="s">
        <v>97</v>
      </c>
      <c r="S396" s="26"/>
      <c r="T396" s="26"/>
      <c r="U396" s="158">
        <v>771.88</v>
      </c>
      <c r="V396" s="127">
        <f t="shared" si="77"/>
        <v>0</v>
      </c>
      <c r="W396" s="127">
        <f t="shared" si="82"/>
        <v>156</v>
      </c>
      <c r="X396" s="127">
        <f t="shared" si="79"/>
        <v>0</v>
      </c>
      <c r="Y396" s="127">
        <f t="shared" si="80"/>
        <v>120413.28</v>
      </c>
      <c r="Z396" s="27"/>
      <c r="AA396" s="36"/>
      <c r="AB396" s="200">
        <v>156</v>
      </c>
      <c r="AC396" s="181">
        <f t="shared" si="81"/>
        <v>120413.28</v>
      </c>
      <c r="AD396" s="181">
        <v>2</v>
      </c>
      <c r="AE396" s="181">
        <v>2</v>
      </c>
      <c r="AF396" s="101"/>
      <c r="AG396" s="190">
        <f t="shared" si="83"/>
        <v>156</v>
      </c>
      <c r="AH396" s="69">
        <f t="shared" si="84"/>
        <v>156</v>
      </c>
    </row>
    <row r="397" spans="1:34" ht="39" x14ac:dyDescent="0.3">
      <c r="A397" s="207" t="s">
        <v>3088</v>
      </c>
      <c r="B397" s="208" t="s">
        <v>3089</v>
      </c>
      <c r="C397" s="204" t="s">
        <v>97</v>
      </c>
      <c r="D397" s="171"/>
      <c r="E397" s="158"/>
      <c r="F397" s="159"/>
      <c r="G397" s="219">
        <v>1917</v>
      </c>
      <c r="H397" s="158">
        <v>400.94</v>
      </c>
      <c r="I397" s="159">
        <v>768601.98</v>
      </c>
      <c r="J397" s="172"/>
      <c r="L397" s="46">
        <v>1917</v>
      </c>
      <c r="M397" s="46">
        <v>0</v>
      </c>
      <c r="N397" s="46">
        <v>768601.98</v>
      </c>
      <c r="O397" s="98"/>
      <c r="P397" s="23" t="s">
        <v>1434</v>
      </c>
      <c r="Q397" s="24" t="s">
        <v>3089</v>
      </c>
      <c r="R397" s="25" t="s">
        <v>97</v>
      </c>
      <c r="S397" s="26"/>
      <c r="T397" s="26"/>
      <c r="U397" s="158">
        <v>400.94</v>
      </c>
      <c r="V397" s="127">
        <f t="shared" si="77"/>
        <v>0</v>
      </c>
      <c r="W397" s="127">
        <f t="shared" si="82"/>
        <v>1917</v>
      </c>
      <c r="X397" s="127">
        <f t="shared" si="79"/>
        <v>0</v>
      </c>
      <c r="Y397" s="127">
        <f t="shared" si="80"/>
        <v>768601.98</v>
      </c>
      <c r="Z397" s="27"/>
      <c r="AA397" s="36"/>
      <c r="AB397" s="200">
        <v>1917</v>
      </c>
      <c r="AC397" s="181">
        <f t="shared" si="81"/>
        <v>768601.98</v>
      </c>
      <c r="AD397" s="181">
        <v>2</v>
      </c>
      <c r="AE397" s="181">
        <v>2</v>
      </c>
      <c r="AF397" s="101"/>
      <c r="AG397" s="190">
        <f t="shared" si="83"/>
        <v>1917</v>
      </c>
      <c r="AH397" s="69">
        <f t="shared" si="84"/>
        <v>1917</v>
      </c>
    </row>
    <row r="398" spans="1:34" x14ac:dyDescent="0.3">
      <c r="A398" s="207" t="s">
        <v>3090</v>
      </c>
      <c r="B398" s="208" t="s">
        <v>3091</v>
      </c>
      <c r="C398" s="204" t="s">
        <v>97</v>
      </c>
      <c r="D398" s="171"/>
      <c r="E398" s="158"/>
      <c r="F398" s="159"/>
      <c r="G398" s="159">
        <v>380</v>
      </c>
      <c r="H398" s="158">
        <v>280.95999999999998</v>
      </c>
      <c r="I398" s="159">
        <v>106764.8</v>
      </c>
      <c r="J398" s="172"/>
      <c r="L398" s="46">
        <v>380</v>
      </c>
      <c r="M398" s="46">
        <v>0</v>
      </c>
      <c r="N398" s="46">
        <v>106764.8</v>
      </c>
      <c r="O398" s="98"/>
      <c r="P398" s="23" t="s">
        <v>1388</v>
      </c>
      <c r="Q398" s="24" t="s">
        <v>3091</v>
      </c>
      <c r="R398" s="25" t="s">
        <v>97</v>
      </c>
      <c r="S398" s="26"/>
      <c r="T398" s="26"/>
      <c r="U398" s="158">
        <v>280.95999999999998</v>
      </c>
      <c r="V398" s="127">
        <f t="shared" si="77"/>
        <v>0</v>
      </c>
      <c r="W398" s="127">
        <f t="shared" si="82"/>
        <v>380</v>
      </c>
      <c r="X398" s="127">
        <f t="shared" si="79"/>
        <v>0</v>
      </c>
      <c r="Y398" s="127">
        <f t="shared" si="80"/>
        <v>106764.8</v>
      </c>
      <c r="Z398" s="27"/>
      <c r="AA398" s="36"/>
      <c r="AB398" s="200">
        <v>380</v>
      </c>
      <c r="AC398" s="181">
        <f t="shared" si="81"/>
        <v>106764.8</v>
      </c>
      <c r="AD398" s="181">
        <v>2</v>
      </c>
      <c r="AE398" s="181">
        <v>2</v>
      </c>
      <c r="AF398" s="101"/>
      <c r="AG398" s="190">
        <f t="shared" si="83"/>
        <v>380</v>
      </c>
      <c r="AH398" s="69">
        <f t="shared" si="84"/>
        <v>380</v>
      </c>
    </row>
    <row r="399" spans="1:34" ht="39" x14ac:dyDescent="0.3">
      <c r="A399" s="207" t="s">
        <v>3092</v>
      </c>
      <c r="B399" s="208" t="s">
        <v>3093</v>
      </c>
      <c r="C399" s="204" t="s">
        <v>97</v>
      </c>
      <c r="D399" s="171"/>
      <c r="E399" s="158"/>
      <c r="F399" s="159"/>
      <c r="G399" s="159">
        <v>660.5</v>
      </c>
      <c r="H399" s="158">
        <v>800.87</v>
      </c>
      <c r="I399" s="159">
        <v>528974.64</v>
      </c>
      <c r="J399" s="172"/>
      <c r="L399" s="46">
        <v>660.5</v>
      </c>
      <c r="M399" s="46">
        <v>0</v>
      </c>
      <c r="N399" s="46">
        <v>528974.64</v>
      </c>
      <c r="O399" s="98"/>
      <c r="P399" s="23" t="s">
        <v>1389</v>
      </c>
      <c r="Q399" s="24" t="s">
        <v>3093</v>
      </c>
      <c r="R399" s="25" t="s">
        <v>97</v>
      </c>
      <c r="S399" s="26"/>
      <c r="T399" s="26"/>
      <c r="U399" s="158">
        <v>800.87</v>
      </c>
      <c r="V399" s="127">
        <f t="shared" si="77"/>
        <v>0</v>
      </c>
      <c r="W399" s="127">
        <f t="shared" si="82"/>
        <v>660.5</v>
      </c>
      <c r="X399" s="127">
        <f t="shared" si="79"/>
        <v>0</v>
      </c>
      <c r="Y399" s="127">
        <f t="shared" si="80"/>
        <v>528974.64</v>
      </c>
      <c r="Z399" s="27"/>
      <c r="AA399" s="36"/>
      <c r="AB399" s="200">
        <v>660.5</v>
      </c>
      <c r="AC399" s="181">
        <f t="shared" si="81"/>
        <v>528974.64</v>
      </c>
      <c r="AD399" s="181">
        <v>2</v>
      </c>
      <c r="AE399" s="181">
        <v>2</v>
      </c>
      <c r="AF399" s="101"/>
      <c r="AG399" s="190">
        <f t="shared" si="83"/>
        <v>660.5</v>
      </c>
      <c r="AH399" s="69">
        <f t="shared" si="84"/>
        <v>660.5</v>
      </c>
    </row>
    <row r="400" spans="1:34" x14ac:dyDescent="0.3">
      <c r="A400" s="207" t="s">
        <v>3094</v>
      </c>
      <c r="B400" s="208" t="s">
        <v>3095</v>
      </c>
      <c r="C400" s="204" t="s">
        <v>97</v>
      </c>
      <c r="D400" s="171"/>
      <c r="E400" s="158"/>
      <c r="F400" s="159"/>
      <c r="G400" s="159">
        <v>288.5</v>
      </c>
      <c r="H400" s="158">
        <v>561.91</v>
      </c>
      <c r="I400" s="159">
        <v>162111.04000000001</v>
      </c>
      <c r="J400" s="172"/>
      <c r="L400" s="46">
        <v>288.5</v>
      </c>
      <c r="M400" s="46">
        <v>0</v>
      </c>
      <c r="N400" s="46">
        <v>162111.04000000001</v>
      </c>
      <c r="O400" s="98"/>
      <c r="P400" s="23" t="s">
        <v>1390</v>
      </c>
      <c r="Q400" s="24" t="s">
        <v>3095</v>
      </c>
      <c r="R400" s="25" t="s">
        <v>97</v>
      </c>
      <c r="S400" s="26"/>
      <c r="T400" s="26"/>
      <c r="U400" s="158">
        <v>561.91</v>
      </c>
      <c r="V400" s="127">
        <f t="shared" si="77"/>
        <v>0</v>
      </c>
      <c r="W400" s="127">
        <f t="shared" si="82"/>
        <v>288.5</v>
      </c>
      <c r="X400" s="127">
        <f t="shared" si="79"/>
        <v>0</v>
      </c>
      <c r="Y400" s="127">
        <f t="shared" si="80"/>
        <v>162111.04000000001</v>
      </c>
      <c r="Z400" s="27"/>
      <c r="AA400" s="36"/>
      <c r="AB400" s="200">
        <v>288.5</v>
      </c>
      <c r="AC400" s="181">
        <f t="shared" si="81"/>
        <v>162111.04000000001</v>
      </c>
      <c r="AD400" s="181">
        <v>2</v>
      </c>
      <c r="AE400" s="181">
        <v>2</v>
      </c>
      <c r="AF400" s="101"/>
      <c r="AG400" s="190">
        <f t="shared" si="83"/>
        <v>288.5</v>
      </c>
      <c r="AH400" s="69">
        <f t="shared" si="84"/>
        <v>288.5</v>
      </c>
    </row>
    <row r="401" spans="1:37" ht="39" x14ac:dyDescent="0.3">
      <c r="A401" s="207" t="s">
        <v>3096</v>
      </c>
      <c r="B401" s="208" t="s">
        <v>3097</v>
      </c>
      <c r="C401" s="204" t="s">
        <v>97</v>
      </c>
      <c r="D401" s="171"/>
      <c r="E401" s="158"/>
      <c r="F401" s="159"/>
      <c r="G401" s="159">
        <v>438</v>
      </c>
      <c r="H401" s="158">
        <v>519.91999999999996</v>
      </c>
      <c r="I401" s="159">
        <v>227724.96</v>
      </c>
      <c r="J401" s="172"/>
      <c r="L401" s="46">
        <v>438</v>
      </c>
      <c r="M401" s="46">
        <v>0</v>
      </c>
      <c r="N401" s="46">
        <v>227724.96</v>
      </c>
      <c r="O401" s="98"/>
      <c r="P401" s="23" t="s">
        <v>1391</v>
      </c>
      <c r="Q401" s="24" t="s">
        <v>3097</v>
      </c>
      <c r="R401" s="25" t="s">
        <v>97</v>
      </c>
      <c r="S401" s="26"/>
      <c r="T401" s="26"/>
      <c r="U401" s="158">
        <v>519.91999999999996</v>
      </c>
      <c r="V401" s="127">
        <f t="shared" si="77"/>
        <v>0</v>
      </c>
      <c r="W401" s="127">
        <f t="shared" si="82"/>
        <v>438</v>
      </c>
      <c r="X401" s="127">
        <f t="shared" si="79"/>
        <v>0</v>
      </c>
      <c r="Y401" s="127">
        <f t="shared" si="80"/>
        <v>227724.96</v>
      </c>
      <c r="Z401" s="27"/>
      <c r="AA401" s="36"/>
      <c r="AB401" s="200">
        <v>438</v>
      </c>
      <c r="AC401" s="181">
        <f t="shared" si="81"/>
        <v>227724.96</v>
      </c>
      <c r="AD401" s="181">
        <v>2</v>
      </c>
      <c r="AE401" s="181">
        <v>2</v>
      </c>
      <c r="AF401" s="101"/>
      <c r="AG401" s="190">
        <f t="shared" si="83"/>
        <v>438</v>
      </c>
      <c r="AH401" s="69">
        <f t="shared" si="84"/>
        <v>438</v>
      </c>
    </row>
    <row r="402" spans="1:37" x14ac:dyDescent="0.3">
      <c r="A402" s="207" t="s">
        <v>3098</v>
      </c>
      <c r="B402" s="208" t="s">
        <v>3099</v>
      </c>
      <c r="C402" s="204" t="s">
        <v>97</v>
      </c>
      <c r="D402" s="171"/>
      <c r="E402" s="158"/>
      <c r="F402" s="159"/>
      <c r="G402" s="159">
        <v>54</v>
      </c>
      <c r="H402" s="158">
        <v>1579.75</v>
      </c>
      <c r="I402" s="159">
        <v>85306.5</v>
      </c>
      <c r="J402" s="172"/>
      <c r="L402" s="46">
        <v>54</v>
      </c>
      <c r="M402" s="46">
        <v>0</v>
      </c>
      <c r="N402" s="46">
        <v>85306.5</v>
      </c>
      <c r="O402" s="98"/>
      <c r="P402" s="23" t="s">
        <v>1436</v>
      </c>
      <c r="Q402" s="24" t="s">
        <v>3099</v>
      </c>
      <c r="R402" s="25" t="s">
        <v>97</v>
      </c>
      <c r="S402" s="26"/>
      <c r="T402" s="26"/>
      <c r="U402" s="158">
        <v>1579.75</v>
      </c>
      <c r="V402" s="127">
        <f t="shared" si="77"/>
        <v>0</v>
      </c>
      <c r="W402" s="127">
        <f t="shared" si="82"/>
        <v>54</v>
      </c>
      <c r="X402" s="127">
        <f t="shared" si="79"/>
        <v>0</v>
      </c>
      <c r="Y402" s="127">
        <f t="shared" si="80"/>
        <v>85306.5</v>
      </c>
      <c r="Z402" s="27"/>
      <c r="AA402" s="36"/>
      <c r="AB402" s="200">
        <v>54</v>
      </c>
      <c r="AC402" s="181">
        <f t="shared" si="81"/>
        <v>85306.5</v>
      </c>
      <c r="AD402" s="181">
        <v>2</v>
      </c>
      <c r="AE402" s="181">
        <v>2</v>
      </c>
      <c r="AF402" s="101"/>
      <c r="AG402" s="190">
        <f t="shared" si="83"/>
        <v>54</v>
      </c>
      <c r="AH402" s="69">
        <f t="shared" si="84"/>
        <v>54</v>
      </c>
    </row>
    <row r="403" spans="1:37" x14ac:dyDescent="0.3">
      <c r="A403" s="207" t="s">
        <v>3100</v>
      </c>
      <c r="B403" s="208" t="s">
        <v>3101</v>
      </c>
      <c r="C403" s="204" t="s">
        <v>97</v>
      </c>
      <c r="D403" s="171"/>
      <c r="E403" s="158"/>
      <c r="F403" s="159"/>
      <c r="G403" s="159">
        <v>519.5</v>
      </c>
      <c r="H403" s="158">
        <v>209.97</v>
      </c>
      <c r="I403" s="159">
        <v>109079.42</v>
      </c>
      <c r="J403" s="172"/>
      <c r="L403" s="46">
        <v>519.5</v>
      </c>
      <c r="M403" s="46">
        <v>0</v>
      </c>
      <c r="N403" s="46">
        <v>109079.42</v>
      </c>
      <c r="O403" s="98"/>
      <c r="P403" s="23" t="s">
        <v>1374</v>
      </c>
      <c r="Q403" s="24" t="s">
        <v>3101</v>
      </c>
      <c r="R403" s="25" t="s">
        <v>97</v>
      </c>
      <c r="S403" s="26"/>
      <c r="T403" s="26"/>
      <c r="U403" s="158">
        <v>209.97</v>
      </c>
      <c r="V403" s="127">
        <f t="shared" si="77"/>
        <v>0</v>
      </c>
      <c r="W403" s="127">
        <f t="shared" si="82"/>
        <v>519.5</v>
      </c>
      <c r="X403" s="127">
        <f t="shared" si="79"/>
        <v>0</v>
      </c>
      <c r="Y403" s="127">
        <f t="shared" si="80"/>
        <v>109079.42</v>
      </c>
      <c r="Z403" s="27"/>
      <c r="AA403" s="36"/>
      <c r="AB403" s="200">
        <v>519.5</v>
      </c>
      <c r="AC403" s="181">
        <f t="shared" si="81"/>
        <v>109079.42</v>
      </c>
      <c r="AD403" s="181">
        <v>2</v>
      </c>
      <c r="AE403" s="181">
        <v>2</v>
      </c>
      <c r="AF403" s="101"/>
      <c r="AG403" s="190">
        <f t="shared" si="83"/>
        <v>519.5</v>
      </c>
      <c r="AH403" s="69">
        <f t="shared" si="84"/>
        <v>519.5</v>
      </c>
    </row>
    <row r="404" spans="1:37" ht="58.5" x14ac:dyDescent="0.3">
      <c r="A404" s="207" t="s">
        <v>3102</v>
      </c>
      <c r="B404" s="208" t="s">
        <v>3103</v>
      </c>
      <c r="C404" s="204" t="s">
        <v>66</v>
      </c>
      <c r="D404" s="171"/>
      <c r="E404" s="158"/>
      <c r="F404" s="159"/>
      <c r="G404" s="159">
        <v>5</v>
      </c>
      <c r="H404" s="158">
        <v>10798.3</v>
      </c>
      <c r="I404" s="159">
        <v>53991.5</v>
      </c>
      <c r="J404" s="172"/>
      <c r="L404" s="46">
        <v>5</v>
      </c>
      <c r="M404" s="46">
        <v>0</v>
      </c>
      <c r="N404" s="46">
        <v>53991.5</v>
      </c>
      <c r="O404" s="98"/>
      <c r="P404" s="23" t="s">
        <v>1376</v>
      </c>
      <c r="Q404" s="24" t="s">
        <v>3103</v>
      </c>
      <c r="R404" s="25" t="s">
        <v>66</v>
      </c>
      <c r="S404" s="26"/>
      <c r="T404" s="26"/>
      <c r="U404" s="158">
        <v>10798.3</v>
      </c>
      <c r="V404" s="127">
        <f t="shared" si="77"/>
        <v>0</v>
      </c>
      <c r="W404" s="127">
        <f t="shared" si="82"/>
        <v>5</v>
      </c>
      <c r="X404" s="127">
        <f t="shared" si="79"/>
        <v>0</v>
      </c>
      <c r="Y404" s="127">
        <f t="shared" si="80"/>
        <v>53991.5</v>
      </c>
      <c r="Z404" s="27"/>
      <c r="AA404" s="36"/>
      <c r="AB404" s="200">
        <v>5</v>
      </c>
      <c r="AC404" s="181">
        <f t="shared" si="81"/>
        <v>53991.5</v>
      </c>
      <c r="AD404" s="181">
        <v>2</v>
      </c>
      <c r="AE404" s="181">
        <v>2</v>
      </c>
      <c r="AF404" s="101"/>
      <c r="AG404" s="190">
        <f t="shared" si="83"/>
        <v>5</v>
      </c>
      <c r="AH404" s="69">
        <f t="shared" si="84"/>
        <v>5</v>
      </c>
    </row>
    <row r="405" spans="1:37" ht="58.5" x14ac:dyDescent="0.3">
      <c r="A405" s="207" t="s">
        <v>3104</v>
      </c>
      <c r="B405" s="208" t="s">
        <v>3105</v>
      </c>
      <c r="C405" s="204" t="s">
        <v>66</v>
      </c>
      <c r="D405" s="171"/>
      <c r="E405" s="158"/>
      <c r="F405" s="159"/>
      <c r="G405" s="159">
        <v>6</v>
      </c>
      <c r="H405" s="158">
        <v>7248.86</v>
      </c>
      <c r="I405" s="159">
        <v>43493.16</v>
      </c>
      <c r="J405" s="172"/>
      <c r="L405" s="46">
        <v>6</v>
      </c>
      <c r="M405" s="46">
        <v>0</v>
      </c>
      <c r="N405" s="46">
        <v>43493.16</v>
      </c>
      <c r="O405" s="98"/>
      <c r="P405" s="23" t="s">
        <v>1378</v>
      </c>
      <c r="Q405" s="24" t="s">
        <v>3105</v>
      </c>
      <c r="R405" s="25" t="s">
        <v>66</v>
      </c>
      <c r="S405" s="26"/>
      <c r="T405" s="26"/>
      <c r="U405" s="158">
        <v>7248.86</v>
      </c>
      <c r="V405" s="127">
        <f t="shared" si="77"/>
        <v>0</v>
      </c>
      <c r="W405" s="127">
        <f t="shared" si="82"/>
        <v>6</v>
      </c>
      <c r="X405" s="127">
        <f t="shared" si="79"/>
        <v>0</v>
      </c>
      <c r="Y405" s="127">
        <f t="shared" si="80"/>
        <v>43493.16</v>
      </c>
      <c r="Z405" s="27"/>
      <c r="AA405" s="36"/>
      <c r="AB405" s="200">
        <v>6</v>
      </c>
      <c r="AC405" s="181">
        <f t="shared" si="81"/>
        <v>43493.16</v>
      </c>
      <c r="AD405" s="181">
        <v>2</v>
      </c>
      <c r="AE405" s="181">
        <v>2</v>
      </c>
      <c r="AF405" s="101"/>
      <c r="AG405" s="190">
        <f t="shared" si="83"/>
        <v>6</v>
      </c>
      <c r="AH405" s="69">
        <f t="shared" si="84"/>
        <v>6</v>
      </c>
    </row>
    <row r="406" spans="1:37" s="69" customFormat="1" ht="33" customHeight="1" x14ac:dyDescent="0.3">
      <c r="A406" s="150" t="s">
        <v>1039</v>
      </c>
      <c r="B406" s="151" t="s">
        <v>1040</v>
      </c>
      <c r="C406" s="152" t="s">
        <v>14</v>
      </c>
      <c r="D406" s="153">
        <v>1</v>
      </c>
      <c r="E406" s="153"/>
      <c r="F406" s="153"/>
      <c r="G406" s="153"/>
      <c r="H406" s="153"/>
      <c r="I406" s="153">
        <v>3727423.71</v>
      </c>
      <c r="J406" s="154" t="s">
        <v>15</v>
      </c>
      <c r="K406" s="73"/>
      <c r="L406" s="42">
        <v>1</v>
      </c>
      <c r="M406" s="42">
        <v>0</v>
      </c>
      <c r="N406" s="42">
        <v>2038723.71</v>
      </c>
      <c r="O406" s="98"/>
      <c r="P406" s="13" t="s">
        <v>1407</v>
      </c>
      <c r="Q406" s="14" t="s">
        <v>1040</v>
      </c>
      <c r="R406" s="15" t="s">
        <v>14</v>
      </c>
      <c r="S406" s="16">
        <v>1</v>
      </c>
      <c r="T406" s="16"/>
      <c r="U406" s="16">
        <f>SUMIFS(AC:AC,AD:AD,AD406)</f>
        <v>3727423.7099999995</v>
      </c>
      <c r="V406" s="16">
        <f t="shared" ref="V406:W406" si="85">IF(X406=0,0,1)</f>
        <v>0</v>
      </c>
      <c r="W406" s="16">
        <f t="shared" si="85"/>
        <v>1</v>
      </c>
      <c r="X406" s="16">
        <f>SUMIFS(X:X,AE:AE,AD406)</f>
        <v>0</v>
      </c>
      <c r="Y406" s="16">
        <f>SUMIFS(Y:Y,AE:AE,AD406)</f>
        <v>2038723.71</v>
      </c>
      <c r="Z406" s="17" t="s">
        <v>15</v>
      </c>
      <c r="AA406" s="40" t="s">
        <v>16</v>
      </c>
      <c r="AB406" s="181">
        <f t="shared" si="65"/>
        <v>1</v>
      </c>
      <c r="AC406" s="183"/>
      <c r="AD406" s="183">
        <v>3</v>
      </c>
      <c r="AE406" s="183"/>
      <c r="AF406" s="101" t="str">
        <f t="shared" si="66"/>
        <v/>
      </c>
      <c r="AG406" s="190">
        <v>1</v>
      </c>
      <c r="AH406" s="69">
        <f t="shared" si="84"/>
        <v>1</v>
      </c>
    </row>
    <row r="407" spans="1:37" s="69" customFormat="1" ht="49.5" x14ac:dyDescent="0.3">
      <c r="A407" s="55" t="s">
        <v>1041</v>
      </c>
      <c r="B407" s="138" t="s">
        <v>1042</v>
      </c>
      <c r="C407" s="54" t="s">
        <v>162</v>
      </c>
      <c r="D407" s="75">
        <v>340</v>
      </c>
      <c r="E407" s="75"/>
      <c r="F407" s="75"/>
      <c r="G407" s="75"/>
      <c r="H407" s="75">
        <v>300</v>
      </c>
      <c r="I407" s="75">
        <v>102000</v>
      </c>
      <c r="J407" s="91" t="s">
        <v>1043</v>
      </c>
      <c r="K407" s="73"/>
      <c r="L407" s="46">
        <v>219</v>
      </c>
      <c r="M407" s="46">
        <v>0</v>
      </c>
      <c r="N407" s="46">
        <v>65700</v>
      </c>
      <c r="O407" s="98"/>
      <c r="P407" s="23" t="s">
        <v>1421</v>
      </c>
      <c r="Q407" s="24" t="s">
        <v>1042</v>
      </c>
      <c r="R407" s="25" t="s">
        <v>162</v>
      </c>
      <c r="S407" s="26">
        <v>340</v>
      </c>
      <c r="T407" s="26"/>
      <c r="U407" s="26">
        <v>300</v>
      </c>
      <c r="V407" s="128">
        <f t="shared" ref="V407:V445" si="86">AG407-L407</f>
        <v>0</v>
      </c>
      <c r="W407" s="26">
        <f t="shared" si="78"/>
        <v>219</v>
      </c>
      <c r="X407" s="26">
        <f t="shared" ref="X407:X445" si="87">Y407-N407</f>
        <v>0</v>
      </c>
      <c r="Y407" s="26">
        <f t="shared" ref="Y407:Y445" si="88">ROUND(U407*W407,2)</f>
        <v>65700</v>
      </c>
      <c r="Z407" s="33" t="s">
        <v>15</v>
      </c>
      <c r="AA407" s="36" t="s">
        <v>16</v>
      </c>
      <c r="AB407" s="181">
        <f t="shared" si="65"/>
        <v>340</v>
      </c>
      <c r="AC407" s="181">
        <f t="shared" ref="AC407:AC445" si="89">ROUND(U407*AB407,2)</f>
        <v>102000</v>
      </c>
      <c r="AD407" s="181">
        <v>3</v>
      </c>
      <c r="AE407" s="181">
        <v>3</v>
      </c>
      <c r="AF407" s="101" t="str">
        <f t="shared" si="66"/>
        <v/>
      </c>
      <c r="AG407" s="190">
        <f>219</f>
        <v>219</v>
      </c>
      <c r="AH407" s="69">
        <f t="shared" si="84"/>
        <v>340</v>
      </c>
      <c r="AK407" s="69">
        <v>0</v>
      </c>
    </row>
    <row r="408" spans="1:37" s="69" customFormat="1" ht="49.5" x14ac:dyDescent="0.3">
      <c r="A408" s="55" t="s">
        <v>1044</v>
      </c>
      <c r="B408" s="138" t="s">
        <v>1045</v>
      </c>
      <c r="C408" s="54" t="s">
        <v>325</v>
      </c>
      <c r="D408" s="75">
        <v>68</v>
      </c>
      <c r="E408" s="75"/>
      <c r="F408" s="75"/>
      <c r="G408" s="75"/>
      <c r="H408" s="75">
        <v>3000</v>
      </c>
      <c r="I408" s="75">
        <v>204000</v>
      </c>
      <c r="J408" s="91" t="s">
        <v>1046</v>
      </c>
      <c r="K408" s="73"/>
      <c r="L408" s="46">
        <v>52</v>
      </c>
      <c r="M408" s="46">
        <v>0</v>
      </c>
      <c r="N408" s="46">
        <v>156000</v>
      </c>
      <c r="O408" s="98"/>
      <c r="P408" s="23" t="s">
        <v>1426</v>
      </c>
      <c r="Q408" s="24" t="s">
        <v>1045</v>
      </c>
      <c r="R408" s="25" t="s">
        <v>325</v>
      </c>
      <c r="S408" s="26">
        <v>68</v>
      </c>
      <c r="T408" s="26"/>
      <c r="U408" s="26">
        <v>3000</v>
      </c>
      <c r="V408" s="128">
        <f t="shared" si="86"/>
        <v>0</v>
      </c>
      <c r="W408" s="26">
        <f t="shared" si="78"/>
        <v>52</v>
      </c>
      <c r="X408" s="26">
        <f t="shared" si="87"/>
        <v>0</v>
      </c>
      <c r="Y408" s="26">
        <f t="shared" si="88"/>
        <v>156000</v>
      </c>
      <c r="Z408" s="33" t="s">
        <v>15</v>
      </c>
      <c r="AA408" s="36" t="s">
        <v>16</v>
      </c>
      <c r="AB408" s="181">
        <f t="shared" si="65"/>
        <v>68</v>
      </c>
      <c r="AC408" s="181">
        <f t="shared" si="89"/>
        <v>204000</v>
      </c>
      <c r="AD408" s="181">
        <v>3</v>
      </c>
      <c r="AE408" s="181">
        <v>3</v>
      </c>
      <c r="AF408" s="101" t="str">
        <f t="shared" si="66"/>
        <v/>
      </c>
      <c r="AG408" s="190">
        <v>52</v>
      </c>
      <c r="AH408" s="69">
        <f t="shared" si="84"/>
        <v>68</v>
      </c>
      <c r="AK408" s="69">
        <v>0</v>
      </c>
    </row>
    <row r="409" spans="1:37" s="69" customFormat="1" ht="33" x14ac:dyDescent="0.3">
      <c r="A409" s="55" t="s">
        <v>1047</v>
      </c>
      <c r="B409" s="138" t="s">
        <v>1048</v>
      </c>
      <c r="C409" s="54" t="s">
        <v>325</v>
      </c>
      <c r="D409" s="75">
        <v>68</v>
      </c>
      <c r="E409" s="75"/>
      <c r="F409" s="75"/>
      <c r="G409" s="75"/>
      <c r="H409" s="75">
        <v>150</v>
      </c>
      <c r="I409" s="75">
        <v>10200</v>
      </c>
      <c r="J409" s="91" t="s">
        <v>1049</v>
      </c>
      <c r="K409" s="73"/>
      <c r="L409" s="46">
        <v>52</v>
      </c>
      <c r="M409" s="46">
        <v>0</v>
      </c>
      <c r="N409" s="46">
        <v>7800</v>
      </c>
      <c r="O409" s="98"/>
      <c r="P409" s="23" t="s">
        <v>1402</v>
      </c>
      <c r="Q409" s="24" t="s">
        <v>1048</v>
      </c>
      <c r="R409" s="25" t="s">
        <v>325</v>
      </c>
      <c r="S409" s="26">
        <v>68</v>
      </c>
      <c r="T409" s="26"/>
      <c r="U409" s="26">
        <v>150</v>
      </c>
      <c r="V409" s="128">
        <f t="shared" si="86"/>
        <v>0</v>
      </c>
      <c r="W409" s="26">
        <f t="shared" si="78"/>
        <v>52</v>
      </c>
      <c r="X409" s="26">
        <f t="shared" si="87"/>
        <v>0</v>
      </c>
      <c r="Y409" s="26">
        <f t="shared" si="88"/>
        <v>7800</v>
      </c>
      <c r="Z409" s="33" t="s">
        <v>15</v>
      </c>
      <c r="AA409" s="36" t="s">
        <v>16</v>
      </c>
      <c r="AB409" s="181">
        <f t="shared" si="65"/>
        <v>68</v>
      </c>
      <c r="AC409" s="181">
        <f t="shared" si="89"/>
        <v>10200</v>
      </c>
      <c r="AD409" s="181">
        <v>3</v>
      </c>
      <c r="AE409" s="181">
        <v>3</v>
      </c>
      <c r="AF409" s="101" t="str">
        <f t="shared" si="66"/>
        <v/>
      </c>
      <c r="AG409" s="190">
        <v>52</v>
      </c>
      <c r="AH409" s="69">
        <f t="shared" si="84"/>
        <v>68</v>
      </c>
      <c r="AK409" s="69">
        <v>0</v>
      </c>
    </row>
    <row r="410" spans="1:37" s="69" customFormat="1" ht="49.5" x14ac:dyDescent="0.3">
      <c r="A410" s="55" t="s">
        <v>1050</v>
      </c>
      <c r="B410" s="138" t="s">
        <v>1051</v>
      </c>
      <c r="C410" s="54" t="s">
        <v>1052</v>
      </c>
      <c r="D410" s="75">
        <v>9</v>
      </c>
      <c r="E410" s="75"/>
      <c r="F410" s="75"/>
      <c r="G410" s="75"/>
      <c r="H410" s="75">
        <v>1200</v>
      </c>
      <c r="I410" s="75">
        <v>10800</v>
      </c>
      <c r="J410" s="91" t="s">
        <v>1053</v>
      </c>
      <c r="K410" s="73"/>
      <c r="L410" s="46">
        <v>0</v>
      </c>
      <c r="M410" s="46">
        <v>0</v>
      </c>
      <c r="N410" s="46">
        <v>0</v>
      </c>
      <c r="O410" s="98"/>
      <c r="P410" s="23" t="s">
        <v>1373</v>
      </c>
      <c r="Q410" s="24" t="s">
        <v>1051</v>
      </c>
      <c r="R410" s="25" t="s">
        <v>1052</v>
      </c>
      <c r="S410" s="26">
        <v>9</v>
      </c>
      <c r="T410" s="26"/>
      <c r="U410" s="26">
        <v>1200</v>
      </c>
      <c r="V410" s="26">
        <f t="shared" si="86"/>
        <v>0</v>
      </c>
      <c r="W410" s="26">
        <f t="shared" si="78"/>
        <v>0</v>
      </c>
      <c r="X410" s="26">
        <f t="shared" si="87"/>
        <v>0</v>
      </c>
      <c r="Y410" s="26">
        <f t="shared" si="88"/>
        <v>0</v>
      </c>
      <c r="Z410" s="33" t="s">
        <v>15</v>
      </c>
      <c r="AA410" s="36" t="s">
        <v>16</v>
      </c>
      <c r="AB410" s="181">
        <f t="shared" si="65"/>
        <v>9</v>
      </c>
      <c r="AC410" s="181">
        <f t="shared" si="89"/>
        <v>10800</v>
      </c>
      <c r="AD410" s="181">
        <v>3</v>
      </c>
      <c r="AE410" s="181">
        <v>3</v>
      </c>
      <c r="AF410" s="101" t="str">
        <f t="shared" si="66"/>
        <v/>
      </c>
      <c r="AG410" s="190">
        <v>0</v>
      </c>
      <c r="AH410" s="69">
        <f t="shared" si="84"/>
        <v>9</v>
      </c>
      <c r="AK410" s="69">
        <v>0</v>
      </c>
    </row>
    <row r="411" spans="1:37" s="69" customFormat="1" ht="49.5" x14ac:dyDescent="0.3">
      <c r="A411" s="55" t="s">
        <v>1054</v>
      </c>
      <c r="B411" s="138" t="s">
        <v>3114</v>
      </c>
      <c r="C411" s="54" t="s">
        <v>325</v>
      </c>
      <c r="D411" s="75">
        <v>38</v>
      </c>
      <c r="E411" s="75"/>
      <c r="F411" s="75"/>
      <c r="G411" s="75"/>
      <c r="H411" s="75">
        <v>650</v>
      </c>
      <c r="I411" s="75">
        <v>24700</v>
      </c>
      <c r="J411" s="91" t="s">
        <v>1056</v>
      </c>
      <c r="K411" s="73"/>
      <c r="L411" s="46">
        <v>12</v>
      </c>
      <c r="M411" s="46">
        <v>0</v>
      </c>
      <c r="N411" s="46">
        <v>7800</v>
      </c>
      <c r="O411" s="98"/>
      <c r="P411" s="23" t="s">
        <v>1393</v>
      </c>
      <c r="Q411" s="24" t="s">
        <v>1055</v>
      </c>
      <c r="R411" s="25" t="s">
        <v>325</v>
      </c>
      <c r="S411" s="26">
        <v>38</v>
      </c>
      <c r="T411" s="26"/>
      <c r="U411" s="26">
        <v>650</v>
      </c>
      <c r="V411" s="128">
        <f t="shared" si="86"/>
        <v>0</v>
      </c>
      <c r="W411" s="26">
        <f t="shared" si="78"/>
        <v>12</v>
      </c>
      <c r="X411" s="26">
        <f t="shared" si="87"/>
        <v>0</v>
      </c>
      <c r="Y411" s="26">
        <f t="shared" si="88"/>
        <v>7800</v>
      </c>
      <c r="Z411" s="33" t="s">
        <v>15</v>
      </c>
      <c r="AA411" s="36" t="s">
        <v>16</v>
      </c>
      <c r="AB411" s="181">
        <f t="shared" si="65"/>
        <v>38</v>
      </c>
      <c r="AC411" s="181">
        <f t="shared" si="89"/>
        <v>24700</v>
      </c>
      <c r="AD411" s="181">
        <v>3</v>
      </c>
      <c r="AE411" s="181">
        <v>3</v>
      </c>
      <c r="AF411" s="101" t="str">
        <f t="shared" si="66"/>
        <v/>
      </c>
      <c r="AG411" s="190">
        <v>12</v>
      </c>
      <c r="AH411" s="69">
        <f t="shared" si="84"/>
        <v>38</v>
      </c>
      <c r="AK411" s="69">
        <v>0</v>
      </c>
    </row>
    <row r="412" spans="1:37" s="69" customFormat="1" ht="66" customHeight="1" x14ac:dyDescent="0.3">
      <c r="A412" s="55" t="s">
        <v>1057</v>
      </c>
      <c r="B412" s="138" t="s">
        <v>3115</v>
      </c>
      <c r="C412" s="54" t="s">
        <v>325</v>
      </c>
      <c r="D412" s="75">
        <v>38</v>
      </c>
      <c r="E412" s="75"/>
      <c r="F412" s="75"/>
      <c r="G412" s="75"/>
      <c r="H412" s="75">
        <v>1300</v>
      </c>
      <c r="I412" s="75">
        <v>49400</v>
      </c>
      <c r="J412" s="91" t="s">
        <v>1059</v>
      </c>
      <c r="K412" s="73"/>
      <c r="L412" s="46">
        <v>12</v>
      </c>
      <c r="M412" s="46">
        <v>0</v>
      </c>
      <c r="N412" s="46">
        <v>15600</v>
      </c>
      <c r="O412" s="98"/>
      <c r="P412" s="23" t="s">
        <v>1403</v>
      </c>
      <c r="Q412" s="24" t="s">
        <v>1058</v>
      </c>
      <c r="R412" s="25" t="s">
        <v>325</v>
      </c>
      <c r="S412" s="26">
        <v>38</v>
      </c>
      <c r="T412" s="26"/>
      <c r="U412" s="26">
        <v>1300</v>
      </c>
      <c r="V412" s="128">
        <f t="shared" si="86"/>
        <v>0</v>
      </c>
      <c r="W412" s="26">
        <f t="shared" si="78"/>
        <v>12</v>
      </c>
      <c r="X412" s="26">
        <f t="shared" si="87"/>
        <v>0</v>
      </c>
      <c r="Y412" s="26">
        <f t="shared" si="88"/>
        <v>15600</v>
      </c>
      <c r="Z412" s="33" t="s">
        <v>15</v>
      </c>
      <c r="AA412" s="36" t="s">
        <v>16</v>
      </c>
      <c r="AB412" s="181">
        <f t="shared" ref="AB412:AB476" si="90">IF(T412="",S412,T412)</f>
        <v>38</v>
      </c>
      <c r="AC412" s="181">
        <f t="shared" si="89"/>
        <v>49400</v>
      </c>
      <c r="AD412" s="181">
        <v>3</v>
      </c>
      <c r="AE412" s="181">
        <v>3</v>
      </c>
      <c r="AF412" s="101" t="str">
        <f t="shared" ref="AF412:AF476" si="91">IF(W412&gt;AH412,"超估","")</f>
        <v/>
      </c>
      <c r="AG412" s="190">
        <v>12</v>
      </c>
      <c r="AH412" s="69">
        <f t="shared" si="84"/>
        <v>38</v>
      </c>
      <c r="AK412" s="69">
        <v>0</v>
      </c>
    </row>
    <row r="413" spans="1:37" s="69" customFormat="1" ht="66" customHeight="1" x14ac:dyDescent="0.3">
      <c r="A413" s="55" t="s">
        <v>1060</v>
      </c>
      <c r="B413" s="138" t="s">
        <v>3116</v>
      </c>
      <c r="C413" s="54" t="s">
        <v>325</v>
      </c>
      <c r="D413" s="75">
        <v>7</v>
      </c>
      <c r="E413" s="75"/>
      <c r="F413" s="75"/>
      <c r="G413" s="75"/>
      <c r="H413" s="75">
        <v>3500</v>
      </c>
      <c r="I413" s="75">
        <v>24500</v>
      </c>
      <c r="J413" s="91" t="s">
        <v>1062</v>
      </c>
      <c r="K413" s="73"/>
      <c r="L413" s="46">
        <v>0</v>
      </c>
      <c r="M413" s="46">
        <v>0</v>
      </c>
      <c r="N413" s="46">
        <v>0</v>
      </c>
      <c r="O413" s="98"/>
      <c r="P413" s="23" t="s">
        <v>1427</v>
      </c>
      <c r="Q413" s="24" t="s">
        <v>1061</v>
      </c>
      <c r="R413" s="25" t="s">
        <v>325</v>
      </c>
      <c r="S413" s="26">
        <v>7</v>
      </c>
      <c r="T413" s="26"/>
      <c r="U413" s="26">
        <v>3500</v>
      </c>
      <c r="V413" s="26">
        <f t="shared" si="86"/>
        <v>0</v>
      </c>
      <c r="W413" s="26">
        <f t="shared" si="78"/>
        <v>0</v>
      </c>
      <c r="X413" s="26">
        <f t="shared" si="87"/>
        <v>0</v>
      </c>
      <c r="Y413" s="26">
        <f t="shared" si="88"/>
        <v>0</v>
      </c>
      <c r="Z413" s="33" t="s">
        <v>15</v>
      </c>
      <c r="AA413" s="36" t="s">
        <v>16</v>
      </c>
      <c r="AB413" s="181">
        <f t="shared" si="90"/>
        <v>7</v>
      </c>
      <c r="AC413" s="181">
        <f t="shared" si="89"/>
        <v>24500</v>
      </c>
      <c r="AD413" s="181">
        <v>3</v>
      </c>
      <c r="AE413" s="181">
        <v>3</v>
      </c>
      <c r="AF413" s="101" t="str">
        <f t="shared" si="91"/>
        <v/>
      </c>
      <c r="AG413" s="190">
        <v>0</v>
      </c>
      <c r="AH413" s="69">
        <f t="shared" si="84"/>
        <v>7</v>
      </c>
      <c r="AK413" s="69">
        <v>0</v>
      </c>
    </row>
    <row r="414" spans="1:37" s="69" customFormat="1" ht="66" customHeight="1" x14ac:dyDescent="0.3">
      <c r="A414" s="55" t="s">
        <v>1063</v>
      </c>
      <c r="B414" s="138" t="s">
        <v>1064</v>
      </c>
      <c r="C414" s="54" t="s">
        <v>325</v>
      </c>
      <c r="D414" s="75">
        <v>5</v>
      </c>
      <c r="E414" s="75"/>
      <c r="F414" s="75"/>
      <c r="G414" s="75"/>
      <c r="H414" s="75">
        <v>700</v>
      </c>
      <c r="I414" s="75">
        <v>3500</v>
      </c>
      <c r="J414" s="91" t="s">
        <v>1065</v>
      </c>
      <c r="K414" s="73"/>
      <c r="L414" s="46">
        <v>0</v>
      </c>
      <c r="M414" s="46">
        <v>0</v>
      </c>
      <c r="N414" s="46">
        <v>0</v>
      </c>
      <c r="O414" s="98"/>
      <c r="P414" s="23" t="s">
        <v>1428</v>
      </c>
      <c r="Q414" s="24" t="s">
        <v>1064</v>
      </c>
      <c r="R414" s="25" t="s">
        <v>325</v>
      </c>
      <c r="S414" s="26">
        <v>5</v>
      </c>
      <c r="T414" s="26"/>
      <c r="U414" s="26">
        <v>700</v>
      </c>
      <c r="V414" s="26">
        <f t="shared" si="86"/>
        <v>0</v>
      </c>
      <c r="W414" s="26">
        <f t="shared" si="78"/>
        <v>0</v>
      </c>
      <c r="X414" s="26">
        <f t="shared" si="87"/>
        <v>0</v>
      </c>
      <c r="Y414" s="26">
        <f t="shared" si="88"/>
        <v>0</v>
      </c>
      <c r="Z414" s="33" t="s">
        <v>15</v>
      </c>
      <c r="AA414" s="36" t="s">
        <v>16</v>
      </c>
      <c r="AB414" s="181">
        <f t="shared" si="90"/>
        <v>5</v>
      </c>
      <c r="AC414" s="181">
        <f t="shared" si="89"/>
        <v>3500</v>
      </c>
      <c r="AD414" s="181">
        <v>3</v>
      </c>
      <c r="AE414" s="181">
        <v>3</v>
      </c>
      <c r="AF414" s="101" t="str">
        <f t="shared" si="91"/>
        <v/>
      </c>
      <c r="AG414" s="190">
        <v>0</v>
      </c>
      <c r="AH414" s="69">
        <f t="shared" si="84"/>
        <v>5</v>
      </c>
      <c r="AK414" s="69">
        <v>0</v>
      </c>
    </row>
    <row r="415" spans="1:37" s="69" customFormat="1" ht="49.5" customHeight="1" x14ac:dyDescent="0.3">
      <c r="A415" s="55" t="s">
        <v>1066</v>
      </c>
      <c r="B415" s="138" t="s">
        <v>1067</v>
      </c>
      <c r="C415" s="54" t="s">
        <v>66</v>
      </c>
      <c r="D415" s="75">
        <v>1</v>
      </c>
      <c r="E415" s="75"/>
      <c r="F415" s="75"/>
      <c r="G415" s="75"/>
      <c r="H415" s="75">
        <v>15000</v>
      </c>
      <c r="I415" s="75">
        <v>15000</v>
      </c>
      <c r="J415" s="91" t="s">
        <v>1068</v>
      </c>
      <c r="K415" s="73"/>
      <c r="L415" s="46">
        <v>0</v>
      </c>
      <c r="M415" s="46">
        <v>0</v>
      </c>
      <c r="N415" s="46">
        <v>0</v>
      </c>
      <c r="O415" s="98"/>
      <c r="P415" s="23" t="s">
        <v>1387</v>
      </c>
      <c r="Q415" s="24" t="s">
        <v>1067</v>
      </c>
      <c r="R415" s="25" t="s">
        <v>66</v>
      </c>
      <c r="S415" s="26">
        <v>1</v>
      </c>
      <c r="T415" s="26"/>
      <c r="U415" s="26">
        <v>15000</v>
      </c>
      <c r="V415" s="26">
        <f t="shared" si="86"/>
        <v>0</v>
      </c>
      <c r="W415" s="26">
        <f t="shared" si="78"/>
        <v>0</v>
      </c>
      <c r="X415" s="26">
        <f t="shared" si="87"/>
        <v>0</v>
      </c>
      <c r="Y415" s="26">
        <f t="shared" si="88"/>
        <v>0</v>
      </c>
      <c r="Z415" s="33" t="s">
        <v>15</v>
      </c>
      <c r="AA415" s="36" t="s">
        <v>16</v>
      </c>
      <c r="AB415" s="181">
        <f t="shared" si="90"/>
        <v>1</v>
      </c>
      <c r="AC415" s="181">
        <f t="shared" si="89"/>
        <v>15000</v>
      </c>
      <c r="AD415" s="181">
        <v>3</v>
      </c>
      <c r="AE415" s="181">
        <v>3</v>
      </c>
      <c r="AF415" s="101" t="str">
        <f t="shared" si="91"/>
        <v/>
      </c>
      <c r="AG415" s="190">
        <v>0</v>
      </c>
      <c r="AH415" s="69">
        <f t="shared" si="84"/>
        <v>1</v>
      </c>
      <c r="AK415" s="69">
        <v>0</v>
      </c>
    </row>
    <row r="416" spans="1:37" s="69" customFormat="1" ht="49.5" customHeight="1" x14ac:dyDescent="0.3">
      <c r="A416" s="55" t="s">
        <v>1069</v>
      </c>
      <c r="B416" s="138" t="s">
        <v>1070</v>
      </c>
      <c r="C416" s="54" t="s">
        <v>325</v>
      </c>
      <c r="D416" s="75">
        <v>1</v>
      </c>
      <c r="E416" s="75"/>
      <c r="F416" s="75"/>
      <c r="G416" s="75"/>
      <c r="H416" s="75">
        <v>6000</v>
      </c>
      <c r="I416" s="75">
        <v>6000</v>
      </c>
      <c r="J416" s="91" t="s">
        <v>1071</v>
      </c>
      <c r="K416" s="73"/>
      <c r="L416" s="46">
        <v>0</v>
      </c>
      <c r="M416" s="46">
        <v>0</v>
      </c>
      <c r="N416" s="46">
        <v>0</v>
      </c>
      <c r="O416" s="98"/>
      <c r="P416" s="23" t="s">
        <v>1405</v>
      </c>
      <c r="Q416" s="24" t="s">
        <v>1070</v>
      </c>
      <c r="R416" s="25" t="s">
        <v>325</v>
      </c>
      <c r="S416" s="26">
        <v>1</v>
      </c>
      <c r="T416" s="26"/>
      <c r="U416" s="26">
        <v>6000</v>
      </c>
      <c r="V416" s="26">
        <f t="shared" si="86"/>
        <v>0</v>
      </c>
      <c r="W416" s="26">
        <f t="shared" si="78"/>
        <v>0</v>
      </c>
      <c r="X416" s="26">
        <f t="shared" si="87"/>
        <v>0</v>
      </c>
      <c r="Y416" s="26">
        <f t="shared" si="88"/>
        <v>0</v>
      </c>
      <c r="Z416" s="33" t="s">
        <v>15</v>
      </c>
      <c r="AA416" s="36" t="s">
        <v>16</v>
      </c>
      <c r="AB416" s="181">
        <f t="shared" si="90"/>
        <v>1</v>
      </c>
      <c r="AC416" s="181">
        <f t="shared" si="89"/>
        <v>6000</v>
      </c>
      <c r="AD416" s="181">
        <v>3</v>
      </c>
      <c r="AE416" s="181">
        <v>3</v>
      </c>
      <c r="AF416" s="101" t="str">
        <f t="shared" si="91"/>
        <v/>
      </c>
      <c r="AG416" s="190">
        <v>0</v>
      </c>
      <c r="AH416" s="69">
        <f t="shared" si="84"/>
        <v>1</v>
      </c>
      <c r="AK416" s="69">
        <v>0</v>
      </c>
    </row>
    <row r="417" spans="1:37" s="69" customFormat="1" ht="92.25" customHeight="1" x14ac:dyDescent="0.3">
      <c r="A417" s="55" t="s">
        <v>1072</v>
      </c>
      <c r="B417" s="138" t="s">
        <v>3117</v>
      </c>
      <c r="C417" s="54" t="s">
        <v>325</v>
      </c>
      <c r="D417" s="75">
        <v>1</v>
      </c>
      <c r="E417" s="75"/>
      <c r="F417" s="75"/>
      <c r="G417" s="75"/>
      <c r="H417" s="75">
        <v>49500</v>
      </c>
      <c r="I417" s="75">
        <v>49500</v>
      </c>
      <c r="J417" s="91" t="s">
        <v>1074</v>
      </c>
      <c r="K417" s="73"/>
      <c r="L417" s="46">
        <v>0</v>
      </c>
      <c r="M417" s="46">
        <v>0</v>
      </c>
      <c r="N417" s="46">
        <v>0</v>
      </c>
      <c r="O417" s="98"/>
      <c r="P417" s="23" t="s">
        <v>1406</v>
      </c>
      <c r="Q417" s="24" t="s">
        <v>1073</v>
      </c>
      <c r="R417" s="25" t="s">
        <v>325</v>
      </c>
      <c r="S417" s="26">
        <v>1</v>
      </c>
      <c r="T417" s="26"/>
      <c r="U417" s="26">
        <v>49500</v>
      </c>
      <c r="V417" s="26">
        <f t="shared" si="86"/>
        <v>0</v>
      </c>
      <c r="W417" s="26">
        <f t="shared" si="78"/>
        <v>0</v>
      </c>
      <c r="X417" s="26">
        <f t="shared" si="87"/>
        <v>0</v>
      </c>
      <c r="Y417" s="26">
        <f t="shared" si="88"/>
        <v>0</v>
      </c>
      <c r="Z417" s="33" t="s">
        <v>15</v>
      </c>
      <c r="AA417" s="36" t="s">
        <v>16</v>
      </c>
      <c r="AB417" s="181">
        <f t="shared" si="90"/>
        <v>1</v>
      </c>
      <c r="AC417" s="181">
        <f t="shared" si="89"/>
        <v>49500</v>
      </c>
      <c r="AD417" s="181">
        <v>3</v>
      </c>
      <c r="AE417" s="181">
        <v>3</v>
      </c>
      <c r="AF417" s="101" t="str">
        <f t="shared" si="91"/>
        <v/>
      </c>
      <c r="AG417" s="190">
        <v>0</v>
      </c>
      <c r="AH417" s="69">
        <f t="shared" si="84"/>
        <v>1</v>
      </c>
      <c r="AK417" s="69">
        <v>0</v>
      </c>
    </row>
    <row r="418" spans="1:37" s="69" customFormat="1" ht="66" customHeight="1" x14ac:dyDescent="0.3">
      <c r="A418" s="55" t="s">
        <v>1075</v>
      </c>
      <c r="B418" s="138" t="s">
        <v>3118</v>
      </c>
      <c r="C418" s="54" t="s">
        <v>325</v>
      </c>
      <c r="D418" s="75">
        <v>8</v>
      </c>
      <c r="E418" s="75"/>
      <c r="F418" s="75"/>
      <c r="G418" s="75"/>
      <c r="H418" s="75">
        <v>3000</v>
      </c>
      <c r="I418" s="75">
        <v>24000</v>
      </c>
      <c r="J418" s="91" t="s">
        <v>1077</v>
      </c>
      <c r="K418" s="73"/>
      <c r="L418" s="46">
        <v>0</v>
      </c>
      <c r="M418" s="46">
        <v>0</v>
      </c>
      <c r="N418" s="46">
        <v>0</v>
      </c>
      <c r="O418" s="98"/>
      <c r="P418" s="23" t="s">
        <v>1414</v>
      </c>
      <c r="Q418" s="24" t="s">
        <v>1076</v>
      </c>
      <c r="R418" s="25" t="s">
        <v>325</v>
      </c>
      <c r="S418" s="26">
        <v>8</v>
      </c>
      <c r="T418" s="26"/>
      <c r="U418" s="26">
        <v>3000</v>
      </c>
      <c r="V418" s="26">
        <f t="shared" si="86"/>
        <v>0</v>
      </c>
      <c r="W418" s="26">
        <f t="shared" si="78"/>
        <v>0</v>
      </c>
      <c r="X418" s="26">
        <f t="shared" si="87"/>
        <v>0</v>
      </c>
      <c r="Y418" s="26">
        <f t="shared" si="88"/>
        <v>0</v>
      </c>
      <c r="Z418" s="33" t="s">
        <v>15</v>
      </c>
      <c r="AA418" s="36" t="s">
        <v>16</v>
      </c>
      <c r="AB418" s="181">
        <f t="shared" si="90"/>
        <v>8</v>
      </c>
      <c r="AC418" s="181">
        <f t="shared" si="89"/>
        <v>24000</v>
      </c>
      <c r="AD418" s="181">
        <v>3</v>
      </c>
      <c r="AE418" s="181">
        <v>3</v>
      </c>
      <c r="AF418" s="101" t="str">
        <f t="shared" si="91"/>
        <v/>
      </c>
      <c r="AG418" s="190">
        <v>0</v>
      </c>
      <c r="AH418" s="69">
        <f t="shared" si="84"/>
        <v>8</v>
      </c>
      <c r="AK418" s="69">
        <v>0</v>
      </c>
    </row>
    <row r="419" spans="1:37" s="69" customFormat="1" ht="33" customHeight="1" x14ac:dyDescent="0.3">
      <c r="A419" s="55" t="s">
        <v>1078</v>
      </c>
      <c r="B419" s="138" t="s">
        <v>1079</v>
      </c>
      <c r="C419" s="54" t="s">
        <v>66</v>
      </c>
      <c r="D419" s="75">
        <v>75</v>
      </c>
      <c r="E419" s="75"/>
      <c r="F419" s="75"/>
      <c r="G419" s="75"/>
      <c r="H419" s="75">
        <v>12000</v>
      </c>
      <c r="I419" s="75">
        <v>900000</v>
      </c>
      <c r="J419" s="91" t="s">
        <v>1080</v>
      </c>
      <c r="K419" s="73"/>
      <c r="L419" s="46">
        <v>50</v>
      </c>
      <c r="M419" s="46">
        <v>0</v>
      </c>
      <c r="N419" s="46">
        <v>600000</v>
      </c>
      <c r="O419" s="98"/>
      <c r="P419" s="23" t="s">
        <v>1429</v>
      </c>
      <c r="Q419" s="24" t="s">
        <v>1079</v>
      </c>
      <c r="R419" s="25" t="s">
        <v>66</v>
      </c>
      <c r="S419" s="26">
        <v>75</v>
      </c>
      <c r="T419" s="26"/>
      <c r="U419" s="26">
        <v>12000</v>
      </c>
      <c r="V419" s="128">
        <f t="shared" si="86"/>
        <v>0</v>
      </c>
      <c r="W419" s="26">
        <f t="shared" si="78"/>
        <v>50</v>
      </c>
      <c r="X419" s="26">
        <f t="shared" si="87"/>
        <v>0</v>
      </c>
      <c r="Y419" s="26">
        <f t="shared" si="88"/>
        <v>600000</v>
      </c>
      <c r="Z419" s="33" t="s">
        <v>15</v>
      </c>
      <c r="AA419" s="36" t="s">
        <v>16</v>
      </c>
      <c r="AB419" s="181">
        <f t="shared" si="90"/>
        <v>75</v>
      </c>
      <c r="AC419" s="181">
        <f t="shared" si="89"/>
        <v>900000</v>
      </c>
      <c r="AD419" s="181">
        <v>3</v>
      </c>
      <c r="AE419" s="181">
        <v>3</v>
      </c>
      <c r="AF419" s="101" t="str">
        <f t="shared" si="91"/>
        <v/>
      </c>
      <c r="AG419" s="191">
        <f>32+18</f>
        <v>50</v>
      </c>
      <c r="AH419" s="69">
        <f t="shared" si="84"/>
        <v>75</v>
      </c>
      <c r="AK419" s="69">
        <v>0</v>
      </c>
    </row>
    <row r="420" spans="1:37" s="69" customFormat="1" ht="33" customHeight="1" x14ac:dyDescent="0.3">
      <c r="A420" s="55" t="s">
        <v>1081</v>
      </c>
      <c r="B420" s="138" t="s">
        <v>1082</v>
      </c>
      <c r="C420" s="54" t="s">
        <v>1014</v>
      </c>
      <c r="D420" s="75">
        <v>75</v>
      </c>
      <c r="E420" s="75"/>
      <c r="F420" s="75"/>
      <c r="G420" s="75"/>
      <c r="H420" s="75">
        <v>1500</v>
      </c>
      <c r="I420" s="75">
        <v>112500</v>
      </c>
      <c r="J420" s="91" t="s">
        <v>1083</v>
      </c>
      <c r="K420" s="73"/>
      <c r="L420" s="46">
        <v>0</v>
      </c>
      <c r="M420" s="46">
        <v>0</v>
      </c>
      <c r="N420" s="46">
        <v>0</v>
      </c>
      <c r="O420" s="98"/>
      <c r="P420" s="23" t="s">
        <v>1430</v>
      </c>
      <c r="Q420" s="24" t="s">
        <v>1082</v>
      </c>
      <c r="R420" s="25" t="s">
        <v>1014</v>
      </c>
      <c r="S420" s="26">
        <v>75</v>
      </c>
      <c r="T420" s="26"/>
      <c r="U420" s="26">
        <v>1500</v>
      </c>
      <c r="V420" s="26">
        <f t="shared" si="86"/>
        <v>0</v>
      </c>
      <c r="W420" s="26">
        <f t="shared" si="78"/>
        <v>0</v>
      </c>
      <c r="X420" s="26">
        <f t="shared" si="87"/>
        <v>0</v>
      </c>
      <c r="Y420" s="26">
        <f t="shared" si="88"/>
        <v>0</v>
      </c>
      <c r="Z420" s="33" t="s">
        <v>15</v>
      </c>
      <c r="AA420" s="36" t="s">
        <v>16</v>
      </c>
      <c r="AB420" s="181">
        <f t="shared" si="90"/>
        <v>75</v>
      </c>
      <c r="AC420" s="181">
        <f t="shared" si="89"/>
        <v>112500</v>
      </c>
      <c r="AD420" s="181">
        <v>3</v>
      </c>
      <c r="AE420" s="181">
        <v>3</v>
      </c>
      <c r="AF420" s="101" t="str">
        <f t="shared" si="91"/>
        <v/>
      </c>
      <c r="AG420" s="190">
        <v>0</v>
      </c>
      <c r="AH420" s="69">
        <f t="shared" si="84"/>
        <v>75</v>
      </c>
      <c r="AK420" s="69">
        <v>0</v>
      </c>
    </row>
    <row r="421" spans="1:37" s="69" customFormat="1" ht="66" customHeight="1" x14ac:dyDescent="0.3">
      <c r="A421" s="55" t="s">
        <v>1084</v>
      </c>
      <c r="B421" s="138" t="s">
        <v>1085</v>
      </c>
      <c r="C421" s="54" t="s">
        <v>325</v>
      </c>
      <c r="D421" s="75">
        <v>1</v>
      </c>
      <c r="E421" s="75"/>
      <c r="F421" s="75"/>
      <c r="G421" s="75"/>
      <c r="H421" s="75">
        <v>12000</v>
      </c>
      <c r="I421" s="75">
        <v>12000</v>
      </c>
      <c r="J421" s="91" t="s">
        <v>1086</v>
      </c>
      <c r="K421" s="73"/>
      <c r="L421" s="46">
        <v>0</v>
      </c>
      <c r="M421" s="46">
        <v>0</v>
      </c>
      <c r="N421" s="46">
        <v>0</v>
      </c>
      <c r="O421" s="98"/>
      <c r="P421" s="23" t="s">
        <v>1431</v>
      </c>
      <c r="Q421" s="24" t="s">
        <v>1085</v>
      </c>
      <c r="R421" s="25" t="s">
        <v>325</v>
      </c>
      <c r="S421" s="26">
        <v>1</v>
      </c>
      <c r="T421" s="26"/>
      <c r="U421" s="26">
        <v>12000</v>
      </c>
      <c r="V421" s="26">
        <f t="shared" si="86"/>
        <v>0</v>
      </c>
      <c r="W421" s="26">
        <f t="shared" si="78"/>
        <v>0</v>
      </c>
      <c r="X421" s="26">
        <f t="shared" si="87"/>
        <v>0</v>
      </c>
      <c r="Y421" s="26">
        <f t="shared" si="88"/>
        <v>0</v>
      </c>
      <c r="Z421" s="33" t="s">
        <v>15</v>
      </c>
      <c r="AA421" s="36" t="s">
        <v>16</v>
      </c>
      <c r="AB421" s="181">
        <f t="shared" si="90"/>
        <v>1</v>
      </c>
      <c r="AC421" s="181">
        <f t="shared" si="89"/>
        <v>12000</v>
      </c>
      <c r="AD421" s="181">
        <v>3</v>
      </c>
      <c r="AE421" s="181">
        <v>3</v>
      </c>
      <c r="AF421" s="101" t="str">
        <f t="shared" si="91"/>
        <v/>
      </c>
      <c r="AG421" s="190">
        <v>0</v>
      </c>
      <c r="AH421" s="69">
        <f t="shared" si="84"/>
        <v>1</v>
      </c>
      <c r="AK421" s="69">
        <v>0</v>
      </c>
    </row>
    <row r="422" spans="1:37" s="69" customFormat="1" ht="49.5" customHeight="1" x14ac:dyDescent="0.3">
      <c r="A422" s="55" t="s">
        <v>1087</v>
      </c>
      <c r="B422" s="138" t="s">
        <v>1088</v>
      </c>
      <c r="C422" s="54" t="s">
        <v>325</v>
      </c>
      <c r="D422" s="75">
        <v>1</v>
      </c>
      <c r="E422" s="75"/>
      <c r="F422" s="75"/>
      <c r="G422" s="75"/>
      <c r="H422" s="75">
        <v>2000</v>
      </c>
      <c r="I422" s="75">
        <v>2000</v>
      </c>
      <c r="J422" s="91" t="s">
        <v>1089</v>
      </c>
      <c r="K422" s="73"/>
      <c r="L422" s="46">
        <v>0</v>
      </c>
      <c r="M422" s="46">
        <v>0</v>
      </c>
      <c r="N422" s="46">
        <v>0</v>
      </c>
      <c r="O422" s="98"/>
      <c r="P422" s="23" t="s">
        <v>1395</v>
      </c>
      <c r="Q422" s="24" t="s">
        <v>1088</v>
      </c>
      <c r="R422" s="25" t="s">
        <v>325</v>
      </c>
      <c r="S422" s="26">
        <v>1</v>
      </c>
      <c r="T422" s="26"/>
      <c r="U422" s="26">
        <v>2000</v>
      </c>
      <c r="V422" s="26">
        <f t="shared" si="86"/>
        <v>0</v>
      </c>
      <c r="W422" s="26">
        <f t="shared" si="78"/>
        <v>0</v>
      </c>
      <c r="X422" s="26">
        <f t="shared" si="87"/>
        <v>0</v>
      </c>
      <c r="Y422" s="26">
        <f t="shared" si="88"/>
        <v>0</v>
      </c>
      <c r="Z422" s="33" t="s">
        <v>15</v>
      </c>
      <c r="AA422" s="36" t="s">
        <v>16</v>
      </c>
      <c r="AB422" s="181">
        <f t="shared" si="90"/>
        <v>1</v>
      </c>
      <c r="AC422" s="181">
        <f t="shared" si="89"/>
        <v>2000</v>
      </c>
      <c r="AD422" s="181">
        <v>3</v>
      </c>
      <c r="AE422" s="181">
        <v>3</v>
      </c>
      <c r="AF422" s="101" t="str">
        <f t="shared" si="91"/>
        <v/>
      </c>
      <c r="AG422" s="190">
        <v>0</v>
      </c>
      <c r="AH422" s="69">
        <f t="shared" si="84"/>
        <v>1</v>
      </c>
      <c r="AK422" s="69">
        <v>0</v>
      </c>
    </row>
    <row r="423" spans="1:37" s="69" customFormat="1" ht="66" customHeight="1" x14ac:dyDescent="0.3">
      <c r="A423" s="55" t="s">
        <v>1090</v>
      </c>
      <c r="B423" s="138" t="s">
        <v>3119</v>
      </c>
      <c r="C423" s="54" t="s">
        <v>325</v>
      </c>
      <c r="D423" s="75">
        <v>14</v>
      </c>
      <c r="E423" s="75"/>
      <c r="F423" s="75"/>
      <c r="G423" s="75"/>
      <c r="H423" s="75">
        <v>3000</v>
      </c>
      <c r="I423" s="75">
        <v>42000</v>
      </c>
      <c r="J423" s="91" t="s">
        <v>1092</v>
      </c>
      <c r="K423" s="73"/>
      <c r="L423" s="46">
        <v>0</v>
      </c>
      <c r="M423" s="46">
        <v>0</v>
      </c>
      <c r="N423" s="46">
        <v>0</v>
      </c>
      <c r="O423" s="98"/>
      <c r="P423" s="23" t="s">
        <v>1432</v>
      </c>
      <c r="Q423" s="24" t="s">
        <v>1091</v>
      </c>
      <c r="R423" s="25" t="s">
        <v>325</v>
      </c>
      <c r="S423" s="26">
        <v>14</v>
      </c>
      <c r="T423" s="26"/>
      <c r="U423" s="26">
        <v>3000</v>
      </c>
      <c r="V423" s="26">
        <f t="shared" si="86"/>
        <v>0</v>
      </c>
      <c r="W423" s="26">
        <f t="shared" si="78"/>
        <v>0</v>
      </c>
      <c r="X423" s="26">
        <f t="shared" si="87"/>
        <v>0</v>
      </c>
      <c r="Y423" s="26">
        <f t="shared" si="88"/>
        <v>0</v>
      </c>
      <c r="Z423" s="33" t="s">
        <v>15</v>
      </c>
      <c r="AA423" s="36" t="s">
        <v>16</v>
      </c>
      <c r="AB423" s="181">
        <f t="shared" si="90"/>
        <v>14</v>
      </c>
      <c r="AC423" s="181">
        <f t="shared" si="89"/>
        <v>42000</v>
      </c>
      <c r="AD423" s="181">
        <v>3</v>
      </c>
      <c r="AE423" s="181">
        <v>3</v>
      </c>
      <c r="AF423" s="101" t="str">
        <f t="shared" si="91"/>
        <v/>
      </c>
      <c r="AG423" s="190">
        <v>0</v>
      </c>
      <c r="AH423" s="69">
        <f t="shared" si="84"/>
        <v>14</v>
      </c>
      <c r="AK423" s="69">
        <v>0</v>
      </c>
    </row>
    <row r="424" spans="1:37" s="69" customFormat="1" ht="49.5" customHeight="1" x14ac:dyDescent="0.3">
      <c r="A424" s="55" t="s">
        <v>1093</v>
      </c>
      <c r="B424" s="138" t="s">
        <v>1094</v>
      </c>
      <c r="C424" s="54" t="s">
        <v>325</v>
      </c>
      <c r="D424" s="75">
        <v>3</v>
      </c>
      <c r="E424" s="75"/>
      <c r="F424" s="75"/>
      <c r="G424" s="75"/>
      <c r="H424" s="75">
        <v>1400</v>
      </c>
      <c r="I424" s="75">
        <v>4200</v>
      </c>
      <c r="J424" s="91" t="s">
        <v>1095</v>
      </c>
      <c r="K424" s="73"/>
      <c r="L424" s="46">
        <v>0</v>
      </c>
      <c r="M424" s="46">
        <v>0</v>
      </c>
      <c r="N424" s="46">
        <v>0</v>
      </c>
      <c r="O424" s="98"/>
      <c r="P424" s="23" t="s">
        <v>1433</v>
      </c>
      <c r="Q424" s="24" t="s">
        <v>1094</v>
      </c>
      <c r="R424" s="25" t="s">
        <v>325</v>
      </c>
      <c r="S424" s="26">
        <v>3</v>
      </c>
      <c r="T424" s="26"/>
      <c r="U424" s="26">
        <v>1400</v>
      </c>
      <c r="V424" s="26">
        <f t="shared" si="86"/>
        <v>0</v>
      </c>
      <c r="W424" s="26">
        <f t="shared" si="78"/>
        <v>0</v>
      </c>
      <c r="X424" s="26">
        <f t="shared" si="87"/>
        <v>0</v>
      </c>
      <c r="Y424" s="26">
        <f t="shared" si="88"/>
        <v>0</v>
      </c>
      <c r="Z424" s="33" t="s">
        <v>15</v>
      </c>
      <c r="AA424" s="36" t="s">
        <v>16</v>
      </c>
      <c r="AB424" s="181">
        <f t="shared" si="90"/>
        <v>3</v>
      </c>
      <c r="AC424" s="181">
        <f t="shared" si="89"/>
        <v>4200</v>
      </c>
      <c r="AD424" s="181">
        <v>3</v>
      </c>
      <c r="AE424" s="181">
        <v>3</v>
      </c>
      <c r="AF424" s="101" t="str">
        <f t="shared" si="91"/>
        <v/>
      </c>
      <c r="AG424" s="190">
        <v>0</v>
      </c>
      <c r="AH424" s="69">
        <f t="shared" si="84"/>
        <v>3</v>
      </c>
      <c r="AK424" s="69">
        <v>0</v>
      </c>
    </row>
    <row r="425" spans="1:37" s="69" customFormat="1" ht="66" customHeight="1" x14ac:dyDescent="0.3">
      <c r="A425" s="55" t="s">
        <v>1096</v>
      </c>
      <c r="B425" s="138" t="s">
        <v>1097</v>
      </c>
      <c r="C425" s="54" t="s">
        <v>66</v>
      </c>
      <c r="D425" s="75">
        <v>5</v>
      </c>
      <c r="E425" s="75"/>
      <c r="F425" s="75"/>
      <c r="G425" s="75"/>
      <c r="H425" s="75">
        <v>18000</v>
      </c>
      <c r="I425" s="75">
        <v>90000</v>
      </c>
      <c r="J425" s="91" t="s">
        <v>1098</v>
      </c>
      <c r="K425" s="73"/>
      <c r="L425" s="46">
        <v>0</v>
      </c>
      <c r="M425" s="46">
        <v>0</v>
      </c>
      <c r="N425" s="46">
        <v>0</v>
      </c>
      <c r="O425" s="98"/>
      <c r="P425" s="23" t="s">
        <v>1382</v>
      </c>
      <c r="Q425" s="24" t="s">
        <v>1097</v>
      </c>
      <c r="R425" s="25" t="s">
        <v>66</v>
      </c>
      <c r="S425" s="26">
        <v>5</v>
      </c>
      <c r="T425" s="26"/>
      <c r="U425" s="26">
        <v>18000</v>
      </c>
      <c r="V425" s="26">
        <f t="shared" si="86"/>
        <v>0</v>
      </c>
      <c r="W425" s="26">
        <f t="shared" si="78"/>
        <v>0</v>
      </c>
      <c r="X425" s="26">
        <f t="shared" si="87"/>
        <v>0</v>
      </c>
      <c r="Y425" s="26">
        <f t="shared" si="88"/>
        <v>0</v>
      </c>
      <c r="Z425" s="33" t="s">
        <v>15</v>
      </c>
      <c r="AA425" s="36" t="s">
        <v>16</v>
      </c>
      <c r="AB425" s="181">
        <f t="shared" si="90"/>
        <v>5</v>
      </c>
      <c r="AC425" s="181">
        <f t="shared" si="89"/>
        <v>90000</v>
      </c>
      <c r="AD425" s="181">
        <v>3</v>
      </c>
      <c r="AE425" s="181">
        <v>3</v>
      </c>
      <c r="AF425" s="101" t="str">
        <f t="shared" si="91"/>
        <v/>
      </c>
      <c r="AG425" s="190">
        <v>0</v>
      </c>
      <c r="AH425" s="69">
        <f t="shared" si="84"/>
        <v>5</v>
      </c>
      <c r="AK425" s="69">
        <v>0</v>
      </c>
    </row>
    <row r="426" spans="1:37" s="69" customFormat="1" ht="49.5" customHeight="1" x14ac:dyDescent="0.3">
      <c r="A426" s="55" t="s">
        <v>1099</v>
      </c>
      <c r="B426" s="138" t="s">
        <v>1100</v>
      </c>
      <c r="C426" s="54" t="s">
        <v>66</v>
      </c>
      <c r="D426" s="75">
        <v>1</v>
      </c>
      <c r="E426" s="75"/>
      <c r="F426" s="75"/>
      <c r="G426" s="75"/>
      <c r="H426" s="75">
        <v>9000</v>
      </c>
      <c r="I426" s="75">
        <v>9000</v>
      </c>
      <c r="J426" s="91" t="s">
        <v>1101</v>
      </c>
      <c r="K426" s="73"/>
      <c r="L426" s="46">
        <v>0</v>
      </c>
      <c r="M426" s="46">
        <v>0</v>
      </c>
      <c r="N426" s="46">
        <v>0</v>
      </c>
      <c r="O426" s="98"/>
      <c r="P426" s="23" t="s">
        <v>1434</v>
      </c>
      <c r="Q426" s="24" t="s">
        <v>1100</v>
      </c>
      <c r="R426" s="25" t="s">
        <v>66</v>
      </c>
      <c r="S426" s="26">
        <v>1</v>
      </c>
      <c r="T426" s="26"/>
      <c r="U426" s="26">
        <v>9000</v>
      </c>
      <c r="V426" s="26">
        <f t="shared" si="86"/>
        <v>0</v>
      </c>
      <c r="W426" s="26">
        <f t="shared" si="78"/>
        <v>0</v>
      </c>
      <c r="X426" s="26">
        <f t="shared" si="87"/>
        <v>0</v>
      </c>
      <c r="Y426" s="26">
        <f t="shared" si="88"/>
        <v>0</v>
      </c>
      <c r="Z426" s="33" t="s">
        <v>15</v>
      </c>
      <c r="AA426" s="36" t="s">
        <v>16</v>
      </c>
      <c r="AB426" s="181">
        <f t="shared" si="90"/>
        <v>1</v>
      </c>
      <c r="AC426" s="181">
        <f t="shared" si="89"/>
        <v>9000</v>
      </c>
      <c r="AD426" s="181">
        <v>3</v>
      </c>
      <c r="AE426" s="181">
        <v>3</v>
      </c>
      <c r="AF426" s="101" t="str">
        <f t="shared" si="91"/>
        <v/>
      </c>
      <c r="AG426" s="190">
        <v>0</v>
      </c>
      <c r="AH426" s="69">
        <f t="shared" si="84"/>
        <v>1</v>
      </c>
      <c r="AK426" s="69">
        <v>0</v>
      </c>
    </row>
    <row r="427" spans="1:37" s="69" customFormat="1" ht="49.5" customHeight="1" x14ac:dyDescent="0.3">
      <c r="A427" s="55" t="s">
        <v>1102</v>
      </c>
      <c r="B427" s="138" t="s">
        <v>3120</v>
      </c>
      <c r="C427" s="54" t="s">
        <v>325</v>
      </c>
      <c r="D427" s="75">
        <v>3</v>
      </c>
      <c r="E427" s="75"/>
      <c r="F427" s="75"/>
      <c r="G427" s="75"/>
      <c r="H427" s="75">
        <v>6000</v>
      </c>
      <c r="I427" s="75">
        <v>18000</v>
      </c>
      <c r="J427" s="91" t="s">
        <v>1104</v>
      </c>
      <c r="K427" s="73"/>
      <c r="L427" s="46">
        <v>0</v>
      </c>
      <c r="M427" s="46">
        <v>0</v>
      </c>
      <c r="N427" s="46">
        <v>0</v>
      </c>
      <c r="O427" s="98"/>
      <c r="P427" s="23" t="s">
        <v>1388</v>
      </c>
      <c r="Q427" s="24" t="s">
        <v>1103</v>
      </c>
      <c r="R427" s="25" t="s">
        <v>325</v>
      </c>
      <c r="S427" s="26">
        <v>3</v>
      </c>
      <c r="T427" s="26"/>
      <c r="U427" s="26">
        <v>6000</v>
      </c>
      <c r="V427" s="26">
        <f t="shared" si="86"/>
        <v>0</v>
      </c>
      <c r="W427" s="26">
        <f t="shared" si="78"/>
        <v>0</v>
      </c>
      <c r="X427" s="26">
        <f t="shared" si="87"/>
        <v>0</v>
      </c>
      <c r="Y427" s="26">
        <f t="shared" si="88"/>
        <v>0</v>
      </c>
      <c r="Z427" s="33" t="s">
        <v>15</v>
      </c>
      <c r="AA427" s="36" t="s">
        <v>16</v>
      </c>
      <c r="AB427" s="181">
        <f t="shared" si="90"/>
        <v>3</v>
      </c>
      <c r="AC427" s="181">
        <f t="shared" si="89"/>
        <v>18000</v>
      </c>
      <c r="AD427" s="181">
        <v>3</v>
      </c>
      <c r="AE427" s="181">
        <v>3</v>
      </c>
      <c r="AF427" s="101" t="str">
        <f t="shared" si="91"/>
        <v/>
      </c>
      <c r="AG427" s="190">
        <v>0</v>
      </c>
      <c r="AH427" s="69">
        <f t="shared" si="84"/>
        <v>3</v>
      </c>
      <c r="AK427" s="69">
        <v>0</v>
      </c>
    </row>
    <row r="428" spans="1:37" s="69" customFormat="1" ht="49.5" customHeight="1" x14ac:dyDescent="0.3">
      <c r="A428" s="55" t="s">
        <v>1105</v>
      </c>
      <c r="B428" s="138" t="s">
        <v>3121</v>
      </c>
      <c r="C428" s="54" t="s">
        <v>66</v>
      </c>
      <c r="D428" s="75">
        <v>1</v>
      </c>
      <c r="E428" s="75"/>
      <c r="F428" s="75"/>
      <c r="G428" s="75"/>
      <c r="H428" s="75">
        <v>2500</v>
      </c>
      <c r="I428" s="75">
        <v>2500</v>
      </c>
      <c r="J428" s="91" t="s">
        <v>1107</v>
      </c>
      <c r="K428" s="73"/>
      <c r="L428" s="46">
        <v>0</v>
      </c>
      <c r="M428" s="46">
        <v>0</v>
      </c>
      <c r="N428" s="46">
        <v>0</v>
      </c>
      <c r="O428" s="98"/>
      <c r="P428" s="23" t="s">
        <v>1389</v>
      </c>
      <c r="Q428" s="24" t="s">
        <v>1106</v>
      </c>
      <c r="R428" s="25" t="s">
        <v>66</v>
      </c>
      <c r="S428" s="26">
        <v>1</v>
      </c>
      <c r="T428" s="26"/>
      <c r="U428" s="26">
        <v>2500</v>
      </c>
      <c r="V428" s="26">
        <f t="shared" si="86"/>
        <v>0</v>
      </c>
      <c r="W428" s="26">
        <f t="shared" si="78"/>
        <v>0</v>
      </c>
      <c r="X428" s="26">
        <f t="shared" si="87"/>
        <v>0</v>
      </c>
      <c r="Y428" s="26">
        <f t="shared" si="88"/>
        <v>0</v>
      </c>
      <c r="Z428" s="33" t="s">
        <v>15</v>
      </c>
      <c r="AA428" s="36" t="s">
        <v>16</v>
      </c>
      <c r="AB428" s="181">
        <f t="shared" si="90"/>
        <v>1</v>
      </c>
      <c r="AC428" s="181">
        <f t="shared" si="89"/>
        <v>2500</v>
      </c>
      <c r="AD428" s="181">
        <v>3</v>
      </c>
      <c r="AE428" s="181">
        <v>3</v>
      </c>
      <c r="AF428" s="101" t="str">
        <f t="shared" si="91"/>
        <v/>
      </c>
      <c r="AG428" s="190">
        <v>0</v>
      </c>
      <c r="AH428" s="69">
        <f t="shared" si="84"/>
        <v>1</v>
      </c>
      <c r="AK428" s="69">
        <v>0</v>
      </c>
    </row>
    <row r="429" spans="1:37" s="69" customFormat="1" ht="49.5" customHeight="1" x14ac:dyDescent="0.3">
      <c r="A429" s="55" t="s">
        <v>1108</v>
      </c>
      <c r="B429" s="138" t="s">
        <v>1109</v>
      </c>
      <c r="C429" s="54" t="s">
        <v>66</v>
      </c>
      <c r="D429" s="75">
        <v>1</v>
      </c>
      <c r="E429" s="75"/>
      <c r="F429" s="75"/>
      <c r="G429" s="75"/>
      <c r="H429" s="75">
        <v>2500</v>
      </c>
      <c r="I429" s="75">
        <v>2500</v>
      </c>
      <c r="J429" s="91" t="s">
        <v>1110</v>
      </c>
      <c r="K429" s="73"/>
      <c r="L429" s="46">
        <v>0</v>
      </c>
      <c r="M429" s="46">
        <v>0</v>
      </c>
      <c r="N429" s="46">
        <v>0</v>
      </c>
      <c r="O429" s="98"/>
      <c r="P429" s="23" t="s">
        <v>1390</v>
      </c>
      <c r="Q429" s="24" t="s">
        <v>1109</v>
      </c>
      <c r="R429" s="25" t="s">
        <v>66</v>
      </c>
      <c r="S429" s="26">
        <v>1</v>
      </c>
      <c r="T429" s="26"/>
      <c r="U429" s="26">
        <v>2500</v>
      </c>
      <c r="V429" s="26">
        <f t="shared" si="86"/>
        <v>0</v>
      </c>
      <c r="W429" s="26">
        <f t="shared" si="78"/>
        <v>0</v>
      </c>
      <c r="X429" s="26">
        <f t="shared" si="87"/>
        <v>0</v>
      </c>
      <c r="Y429" s="26">
        <f t="shared" si="88"/>
        <v>0</v>
      </c>
      <c r="Z429" s="33" t="s">
        <v>15</v>
      </c>
      <c r="AA429" s="36" t="s">
        <v>16</v>
      </c>
      <c r="AB429" s="181">
        <f t="shared" si="90"/>
        <v>1</v>
      </c>
      <c r="AC429" s="181">
        <f t="shared" si="89"/>
        <v>2500</v>
      </c>
      <c r="AD429" s="181">
        <v>3</v>
      </c>
      <c r="AE429" s="181">
        <v>3</v>
      </c>
      <c r="AF429" s="101" t="str">
        <f t="shared" si="91"/>
        <v/>
      </c>
      <c r="AG429" s="190">
        <v>0</v>
      </c>
      <c r="AH429" s="69">
        <f t="shared" si="84"/>
        <v>1</v>
      </c>
      <c r="AK429" s="69">
        <v>0</v>
      </c>
    </row>
    <row r="430" spans="1:37" s="69" customFormat="1" ht="49.5" customHeight="1" x14ac:dyDescent="0.3">
      <c r="A430" s="55" t="s">
        <v>1111</v>
      </c>
      <c r="B430" s="138" t="s">
        <v>3122</v>
      </c>
      <c r="C430" s="54" t="s">
        <v>325</v>
      </c>
      <c r="D430" s="75">
        <v>4</v>
      </c>
      <c r="E430" s="75"/>
      <c r="F430" s="75"/>
      <c r="G430" s="75"/>
      <c r="H430" s="75">
        <v>3000</v>
      </c>
      <c r="I430" s="75">
        <v>12000</v>
      </c>
      <c r="J430" s="91" t="s">
        <v>1113</v>
      </c>
      <c r="K430" s="73"/>
      <c r="L430" s="46">
        <v>0</v>
      </c>
      <c r="M430" s="46">
        <v>0</v>
      </c>
      <c r="N430" s="46">
        <v>0</v>
      </c>
      <c r="O430" s="98"/>
      <c r="P430" s="23" t="s">
        <v>1391</v>
      </c>
      <c r="Q430" s="24" t="s">
        <v>1112</v>
      </c>
      <c r="R430" s="25" t="s">
        <v>325</v>
      </c>
      <c r="S430" s="26">
        <v>4</v>
      </c>
      <c r="T430" s="26"/>
      <c r="U430" s="26">
        <v>3000</v>
      </c>
      <c r="V430" s="26">
        <f t="shared" si="86"/>
        <v>0</v>
      </c>
      <c r="W430" s="26">
        <f t="shared" si="78"/>
        <v>0</v>
      </c>
      <c r="X430" s="26">
        <f t="shared" si="87"/>
        <v>0</v>
      </c>
      <c r="Y430" s="26">
        <f t="shared" si="88"/>
        <v>0</v>
      </c>
      <c r="Z430" s="33" t="s">
        <v>15</v>
      </c>
      <c r="AA430" s="36" t="s">
        <v>16</v>
      </c>
      <c r="AB430" s="181">
        <f t="shared" si="90"/>
        <v>4</v>
      </c>
      <c r="AC430" s="181">
        <f t="shared" si="89"/>
        <v>12000</v>
      </c>
      <c r="AD430" s="181">
        <v>3</v>
      </c>
      <c r="AE430" s="181">
        <v>3</v>
      </c>
      <c r="AF430" s="101" t="str">
        <f t="shared" si="91"/>
        <v/>
      </c>
      <c r="AG430" s="190">
        <v>0</v>
      </c>
      <c r="AH430" s="69">
        <f t="shared" si="84"/>
        <v>4</v>
      </c>
      <c r="AK430" s="69">
        <v>0</v>
      </c>
    </row>
    <row r="431" spans="1:37" s="69" customFormat="1" ht="66" customHeight="1" x14ac:dyDescent="0.3">
      <c r="A431" s="55" t="s">
        <v>1114</v>
      </c>
      <c r="B431" s="138" t="s">
        <v>3123</v>
      </c>
      <c r="C431" s="54" t="s">
        <v>325</v>
      </c>
      <c r="D431" s="75">
        <v>2</v>
      </c>
      <c r="E431" s="75"/>
      <c r="F431" s="75"/>
      <c r="G431" s="75"/>
      <c r="H431" s="75">
        <v>20000</v>
      </c>
      <c r="I431" s="75">
        <v>40000</v>
      </c>
      <c r="J431" s="91" t="s">
        <v>1116</v>
      </c>
      <c r="K431" s="73"/>
      <c r="L431" s="46">
        <v>0</v>
      </c>
      <c r="M431" s="46">
        <v>0</v>
      </c>
      <c r="N431" s="46">
        <v>0</v>
      </c>
      <c r="O431" s="98"/>
      <c r="P431" s="23" t="s">
        <v>1436</v>
      </c>
      <c r="Q431" s="24" t="s">
        <v>1115</v>
      </c>
      <c r="R431" s="25" t="s">
        <v>325</v>
      </c>
      <c r="S431" s="26">
        <v>2</v>
      </c>
      <c r="T431" s="26"/>
      <c r="U431" s="26">
        <v>20000</v>
      </c>
      <c r="V431" s="26">
        <f t="shared" si="86"/>
        <v>0</v>
      </c>
      <c r="W431" s="26">
        <f t="shared" si="78"/>
        <v>0</v>
      </c>
      <c r="X431" s="26">
        <f t="shared" si="87"/>
        <v>0</v>
      </c>
      <c r="Y431" s="26">
        <f t="shared" si="88"/>
        <v>0</v>
      </c>
      <c r="Z431" s="33" t="s">
        <v>15</v>
      </c>
      <c r="AA431" s="36" t="s">
        <v>16</v>
      </c>
      <c r="AB431" s="181">
        <f t="shared" si="90"/>
        <v>2</v>
      </c>
      <c r="AC431" s="181">
        <f t="shared" si="89"/>
        <v>40000</v>
      </c>
      <c r="AD431" s="181">
        <v>3</v>
      </c>
      <c r="AE431" s="181">
        <v>3</v>
      </c>
      <c r="AF431" s="101" t="str">
        <f t="shared" si="91"/>
        <v/>
      </c>
      <c r="AG431" s="190">
        <v>0</v>
      </c>
      <c r="AH431" s="69">
        <f t="shared" si="84"/>
        <v>2</v>
      </c>
      <c r="AK431" s="69">
        <v>0</v>
      </c>
    </row>
    <row r="432" spans="1:37" s="69" customFormat="1" ht="49.5" customHeight="1" x14ac:dyDescent="0.3">
      <c r="A432" s="55" t="s">
        <v>1117</v>
      </c>
      <c r="B432" s="138" t="s">
        <v>1118</v>
      </c>
      <c r="C432" s="54" t="s">
        <v>66</v>
      </c>
      <c r="D432" s="75">
        <v>1</v>
      </c>
      <c r="E432" s="75"/>
      <c r="F432" s="75"/>
      <c r="G432" s="75"/>
      <c r="H432" s="75">
        <v>15000</v>
      </c>
      <c r="I432" s="75">
        <v>15000</v>
      </c>
      <c r="J432" s="91" t="s">
        <v>1119</v>
      </c>
      <c r="K432" s="73"/>
      <c r="L432" s="46">
        <v>0</v>
      </c>
      <c r="M432" s="46">
        <v>0</v>
      </c>
      <c r="N432" s="46">
        <v>0</v>
      </c>
      <c r="O432" s="98"/>
      <c r="P432" s="23" t="s">
        <v>1374</v>
      </c>
      <c r="Q432" s="24" t="s">
        <v>1118</v>
      </c>
      <c r="R432" s="25" t="s">
        <v>66</v>
      </c>
      <c r="S432" s="26">
        <v>1</v>
      </c>
      <c r="T432" s="26"/>
      <c r="U432" s="26">
        <v>15000</v>
      </c>
      <c r="V432" s="26">
        <f t="shared" si="86"/>
        <v>0</v>
      </c>
      <c r="W432" s="26">
        <f t="shared" si="78"/>
        <v>0</v>
      </c>
      <c r="X432" s="26">
        <f t="shared" si="87"/>
        <v>0</v>
      </c>
      <c r="Y432" s="26">
        <f t="shared" si="88"/>
        <v>0</v>
      </c>
      <c r="Z432" s="33" t="s">
        <v>15</v>
      </c>
      <c r="AA432" s="36" t="s">
        <v>16</v>
      </c>
      <c r="AB432" s="181">
        <f t="shared" si="90"/>
        <v>1</v>
      </c>
      <c r="AC432" s="181">
        <f t="shared" si="89"/>
        <v>15000</v>
      </c>
      <c r="AD432" s="181">
        <v>3</v>
      </c>
      <c r="AE432" s="181">
        <v>3</v>
      </c>
      <c r="AF432" s="101" t="str">
        <f t="shared" si="91"/>
        <v/>
      </c>
      <c r="AG432" s="190">
        <v>0</v>
      </c>
      <c r="AH432" s="69">
        <f t="shared" si="84"/>
        <v>1</v>
      </c>
      <c r="AK432" s="69">
        <v>0</v>
      </c>
    </row>
    <row r="433" spans="1:37" s="69" customFormat="1" ht="49.5" customHeight="1" x14ac:dyDescent="0.3">
      <c r="A433" s="55" t="s">
        <v>1120</v>
      </c>
      <c r="B433" s="138" t="s">
        <v>1121</v>
      </c>
      <c r="C433" s="54" t="s">
        <v>1122</v>
      </c>
      <c r="D433" s="75">
        <v>3</v>
      </c>
      <c r="E433" s="75"/>
      <c r="F433" s="75"/>
      <c r="G433" s="75"/>
      <c r="H433" s="75">
        <v>1300</v>
      </c>
      <c r="I433" s="75">
        <v>3900</v>
      </c>
      <c r="J433" s="91" t="s">
        <v>1123</v>
      </c>
      <c r="K433" s="73"/>
      <c r="L433" s="46">
        <v>0</v>
      </c>
      <c r="M433" s="46">
        <v>0</v>
      </c>
      <c r="N433" s="46">
        <v>0</v>
      </c>
      <c r="O433" s="98"/>
      <c r="P433" s="23" t="s">
        <v>1376</v>
      </c>
      <c r="Q433" s="24" t="s">
        <v>1121</v>
      </c>
      <c r="R433" s="25" t="s">
        <v>1122</v>
      </c>
      <c r="S433" s="26">
        <v>3</v>
      </c>
      <c r="T433" s="26"/>
      <c r="U433" s="26">
        <v>1300</v>
      </c>
      <c r="V433" s="26">
        <f t="shared" si="86"/>
        <v>0</v>
      </c>
      <c r="W433" s="26">
        <f t="shared" si="78"/>
        <v>0</v>
      </c>
      <c r="X433" s="26">
        <f t="shared" si="87"/>
        <v>0</v>
      </c>
      <c r="Y433" s="26">
        <f t="shared" si="88"/>
        <v>0</v>
      </c>
      <c r="Z433" s="33" t="s">
        <v>15</v>
      </c>
      <c r="AA433" s="36" t="s">
        <v>16</v>
      </c>
      <c r="AB433" s="181">
        <f t="shared" si="90"/>
        <v>3</v>
      </c>
      <c r="AC433" s="181">
        <f t="shared" si="89"/>
        <v>3900</v>
      </c>
      <c r="AD433" s="181">
        <v>3</v>
      </c>
      <c r="AE433" s="181">
        <v>3</v>
      </c>
      <c r="AF433" s="101" t="str">
        <f t="shared" si="91"/>
        <v/>
      </c>
      <c r="AG433" s="190">
        <v>0</v>
      </c>
      <c r="AH433" s="69">
        <f t="shared" si="84"/>
        <v>3</v>
      </c>
      <c r="AK433" s="69">
        <v>0</v>
      </c>
    </row>
    <row r="434" spans="1:37" s="69" customFormat="1" ht="33" customHeight="1" x14ac:dyDescent="0.3">
      <c r="A434" s="55" t="s">
        <v>1124</v>
      </c>
      <c r="B434" s="138" t="s">
        <v>3124</v>
      </c>
      <c r="C434" s="54" t="s">
        <v>1122</v>
      </c>
      <c r="D434" s="75">
        <v>6</v>
      </c>
      <c r="E434" s="75"/>
      <c r="F434" s="75"/>
      <c r="G434" s="75"/>
      <c r="H434" s="75">
        <v>1000</v>
      </c>
      <c r="I434" s="75">
        <v>6000</v>
      </c>
      <c r="J434" s="91" t="s">
        <v>1126</v>
      </c>
      <c r="K434" s="73"/>
      <c r="L434" s="46">
        <v>0</v>
      </c>
      <c r="M434" s="46">
        <v>0</v>
      </c>
      <c r="N434" s="46">
        <v>0</v>
      </c>
      <c r="O434" s="98"/>
      <c r="P434" s="23" t="s">
        <v>1378</v>
      </c>
      <c r="Q434" s="24" t="s">
        <v>1125</v>
      </c>
      <c r="R434" s="25" t="s">
        <v>1122</v>
      </c>
      <c r="S434" s="26">
        <v>6</v>
      </c>
      <c r="T434" s="26"/>
      <c r="U434" s="26">
        <v>1000</v>
      </c>
      <c r="V434" s="26">
        <f t="shared" si="86"/>
        <v>0</v>
      </c>
      <c r="W434" s="26">
        <f t="shared" si="78"/>
        <v>0</v>
      </c>
      <c r="X434" s="26">
        <f t="shared" si="87"/>
        <v>0</v>
      </c>
      <c r="Y434" s="26">
        <f t="shared" si="88"/>
        <v>0</v>
      </c>
      <c r="Z434" s="33" t="s">
        <v>15</v>
      </c>
      <c r="AA434" s="36" t="s">
        <v>16</v>
      </c>
      <c r="AB434" s="181">
        <f t="shared" si="90"/>
        <v>6</v>
      </c>
      <c r="AC434" s="181">
        <f t="shared" si="89"/>
        <v>6000</v>
      </c>
      <c r="AD434" s="181">
        <v>3</v>
      </c>
      <c r="AE434" s="181">
        <v>3</v>
      </c>
      <c r="AF434" s="101" t="str">
        <f t="shared" si="91"/>
        <v/>
      </c>
      <c r="AG434" s="190">
        <v>0</v>
      </c>
      <c r="AH434" s="69">
        <f t="shared" si="84"/>
        <v>6</v>
      </c>
      <c r="AK434" s="69">
        <v>0</v>
      </c>
    </row>
    <row r="435" spans="1:37" s="69" customFormat="1" ht="33" customHeight="1" x14ac:dyDescent="0.3">
      <c r="A435" s="55" t="s">
        <v>1127</v>
      </c>
      <c r="B435" s="138" t="s">
        <v>1128</v>
      </c>
      <c r="C435" s="54" t="s">
        <v>325</v>
      </c>
      <c r="D435" s="75">
        <v>2</v>
      </c>
      <c r="E435" s="75"/>
      <c r="F435" s="75"/>
      <c r="G435" s="75"/>
      <c r="H435" s="75">
        <v>9000</v>
      </c>
      <c r="I435" s="75">
        <v>18000</v>
      </c>
      <c r="J435" s="91" t="s">
        <v>1129</v>
      </c>
      <c r="K435" s="73"/>
      <c r="L435" s="46">
        <v>0</v>
      </c>
      <c r="M435" s="46">
        <v>0</v>
      </c>
      <c r="N435" s="46">
        <v>0</v>
      </c>
      <c r="O435" s="98"/>
      <c r="P435" s="23" t="s">
        <v>1438</v>
      </c>
      <c r="Q435" s="24" t="s">
        <v>1128</v>
      </c>
      <c r="R435" s="25" t="s">
        <v>325</v>
      </c>
      <c r="S435" s="26">
        <v>2</v>
      </c>
      <c r="T435" s="26"/>
      <c r="U435" s="26">
        <v>9000</v>
      </c>
      <c r="V435" s="26">
        <f t="shared" si="86"/>
        <v>0</v>
      </c>
      <c r="W435" s="26">
        <f t="shared" si="78"/>
        <v>0</v>
      </c>
      <c r="X435" s="26">
        <f t="shared" si="87"/>
        <v>0</v>
      </c>
      <c r="Y435" s="26">
        <f t="shared" si="88"/>
        <v>0</v>
      </c>
      <c r="Z435" s="33" t="s">
        <v>15</v>
      </c>
      <c r="AA435" s="36" t="s">
        <v>16</v>
      </c>
      <c r="AB435" s="181">
        <f t="shared" si="90"/>
        <v>2</v>
      </c>
      <c r="AC435" s="181">
        <f t="shared" si="89"/>
        <v>18000</v>
      </c>
      <c r="AD435" s="181">
        <v>3</v>
      </c>
      <c r="AE435" s="181">
        <v>3</v>
      </c>
      <c r="AF435" s="101" t="str">
        <f t="shared" si="91"/>
        <v/>
      </c>
      <c r="AG435" s="190">
        <v>0</v>
      </c>
      <c r="AH435" s="69">
        <f t="shared" si="84"/>
        <v>2</v>
      </c>
      <c r="AK435" s="69">
        <v>0</v>
      </c>
    </row>
    <row r="436" spans="1:37" s="69" customFormat="1" ht="49.5" customHeight="1" x14ac:dyDescent="0.3">
      <c r="A436" s="55" t="s">
        <v>1130</v>
      </c>
      <c r="B436" s="138" t="s">
        <v>3127</v>
      </c>
      <c r="C436" s="54" t="s">
        <v>325</v>
      </c>
      <c r="D436" s="75">
        <v>3</v>
      </c>
      <c r="E436" s="75"/>
      <c r="F436" s="75"/>
      <c r="G436" s="75"/>
      <c r="H436" s="75">
        <v>4200</v>
      </c>
      <c r="I436" s="75">
        <v>12600</v>
      </c>
      <c r="J436" s="91" t="s">
        <v>1132</v>
      </c>
      <c r="K436" s="73"/>
      <c r="L436" s="46">
        <v>0</v>
      </c>
      <c r="M436" s="46">
        <v>0</v>
      </c>
      <c r="N436" s="46">
        <v>0</v>
      </c>
      <c r="O436" s="98"/>
      <c r="P436" s="23" t="s">
        <v>1439</v>
      </c>
      <c r="Q436" s="24" t="s">
        <v>1131</v>
      </c>
      <c r="R436" s="25" t="s">
        <v>325</v>
      </c>
      <c r="S436" s="26">
        <v>3</v>
      </c>
      <c r="T436" s="26"/>
      <c r="U436" s="26">
        <v>4200</v>
      </c>
      <c r="V436" s="26">
        <f t="shared" si="86"/>
        <v>0</v>
      </c>
      <c r="W436" s="26">
        <f t="shared" si="78"/>
        <v>0</v>
      </c>
      <c r="X436" s="26">
        <f t="shared" si="87"/>
        <v>0</v>
      </c>
      <c r="Y436" s="26">
        <f t="shared" si="88"/>
        <v>0</v>
      </c>
      <c r="Z436" s="33" t="s">
        <v>15</v>
      </c>
      <c r="AA436" s="36" t="s">
        <v>16</v>
      </c>
      <c r="AB436" s="181">
        <f t="shared" si="90"/>
        <v>3</v>
      </c>
      <c r="AC436" s="181">
        <f t="shared" si="89"/>
        <v>12600</v>
      </c>
      <c r="AD436" s="181">
        <v>3</v>
      </c>
      <c r="AE436" s="181">
        <v>3</v>
      </c>
      <c r="AF436" s="101" t="str">
        <f t="shared" si="91"/>
        <v/>
      </c>
      <c r="AG436" s="190">
        <v>0</v>
      </c>
      <c r="AH436" s="69">
        <f t="shared" si="84"/>
        <v>3</v>
      </c>
    </row>
    <row r="437" spans="1:37" s="69" customFormat="1" ht="49.5" customHeight="1" x14ac:dyDescent="0.3">
      <c r="A437" s="55" t="s">
        <v>1133</v>
      </c>
      <c r="B437" s="138" t="s">
        <v>3126</v>
      </c>
      <c r="C437" s="54" t="s">
        <v>66</v>
      </c>
      <c r="D437" s="75">
        <v>4</v>
      </c>
      <c r="E437" s="75"/>
      <c r="F437" s="75"/>
      <c r="G437" s="75"/>
      <c r="H437" s="75">
        <v>1000</v>
      </c>
      <c r="I437" s="75">
        <v>4000</v>
      </c>
      <c r="J437" s="91" t="s">
        <v>1135</v>
      </c>
      <c r="K437" s="73"/>
      <c r="L437" s="46">
        <v>0</v>
      </c>
      <c r="M437" s="46">
        <v>0</v>
      </c>
      <c r="N437" s="46">
        <v>0</v>
      </c>
      <c r="O437" s="98"/>
      <c r="P437" s="23" t="s">
        <v>1440</v>
      </c>
      <c r="Q437" s="24" t="s">
        <v>1134</v>
      </c>
      <c r="R437" s="25" t="s">
        <v>66</v>
      </c>
      <c r="S437" s="26">
        <v>4</v>
      </c>
      <c r="T437" s="26"/>
      <c r="U437" s="26">
        <v>1000</v>
      </c>
      <c r="V437" s="26">
        <f t="shared" si="86"/>
        <v>0</v>
      </c>
      <c r="W437" s="26">
        <f t="shared" si="78"/>
        <v>0</v>
      </c>
      <c r="X437" s="26">
        <f t="shared" si="87"/>
        <v>0</v>
      </c>
      <c r="Y437" s="26">
        <f t="shared" si="88"/>
        <v>0</v>
      </c>
      <c r="Z437" s="33" t="s">
        <v>15</v>
      </c>
      <c r="AA437" s="36" t="s">
        <v>16</v>
      </c>
      <c r="AB437" s="181">
        <f t="shared" si="90"/>
        <v>4</v>
      </c>
      <c r="AC437" s="181">
        <f t="shared" si="89"/>
        <v>4000</v>
      </c>
      <c r="AD437" s="181">
        <v>3</v>
      </c>
      <c r="AE437" s="181">
        <v>3</v>
      </c>
      <c r="AF437" s="101" t="str">
        <f t="shared" si="91"/>
        <v/>
      </c>
      <c r="AG437" s="190">
        <v>0</v>
      </c>
      <c r="AH437" s="69">
        <f t="shared" si="84"/>
        <v>4</v>
      </c>
    </row>
    <row r="438" spans="1:37" s="69" customFormat="1" ht="49.5" customHeight="1" x14ac:dyDescent="0.3">
      <c r="A438" s="55" t="s">
        <v>1136</v>
      </c>
      <c r="B438" s="138" t="s">
        <v>3125</v>
      </c>
      <c r="C438" s="54" t="s">
        <v>325</v>
      </c>
      <c r="D438" s="75">
        <v>15</v>
      </c>
      <c r="E438" s="75"/>
      <c r="F438" s="75"/>
      <c r="G438" s="75"/>
      <c r="H438" s="75">
        <v>4500</v>
      </c>
      <c r="I438" s="75">
        <v>67500</v>
      </c>
      <c r="J438" s="91" t="s">
        <v>1138</v>
      </c>
      <c r="K438" s="73"/>
      <c r="L438" s="46">
        <v>0</v>
      </c>
      <c r="M438" s="46">
        <v>0</v>
      </c>
      <c r="N438" s="46">
        <v>0</v>
      </c>
      <c r="O438" s="98"/>
      <c r="P438" s="23" t="s">
        <v>1441</v>
      </c>
      <c r="Q438" s="24" t="s">
        <v>1137</v>
      </c>
      <c r="R438" s="25" t="s">
        <v>325</v>
      </c>
      <c r="S438" s="26">
        <v>15</v>
      </c>
      <c r="T438" s="26"/>
      <c r="U438" s="26">
        <v>4500</v>
      </c>
      <c r="V438" s="26">
        <f t="shared" si="86"/>
        <v>0</v>
      </c>
      <c r="W438" s="26">
        <f t="shared" si="78"/>
        <v>0</v>
      </c>
      <c r="X438" s="26">
        <f t="shared" si="87"/>
        <v>0</v>
      </c>
      <c r="Y438" s="26">
        <f t="shared" si="88"/>
        <v>0</v>
      </c>
      <c r="Z438" s="33" t="s">
        <v>15</v>
      </c>
      <c r="AA438" s="36" t="s">
        <v>16</v>
      </c>
      <c r="AB438" s="181">
        <f t="shared" si="90"/>
        <v>15</v>
      </c>
      <c r="AC438" s="181">
        <f t="shared" si="89"/>
        <v>67500</v>
      </c>
      <c r="AD438" s="181">
        <v>3</v>
      </c>
      <c r="AE438" s="181">
        <v>3</v>
      </c>
      <c r="AF438" s="101" t="str">
        <f t="shared" si="91"/>
        <v/>
      </c>
      <c r="AG438" s="190">
        <v>0</v>
      </c>
      <c r="AH438" s="69">
        <f t="shared" si="84"/>
        <v>15</v>
      </c>
    </row>
    <row r="439" spans="1:37" s="69" customFormat="1" ht="33" customHeight="1" x14ac:dyDescent="0.3">
      <c r="A439" s="55" t="s">
        <v>1139</v>
      </c>
      <c r="B439" s="138" t="s">
        <v>3128</v>
      </c>
      <c r="C439" s="54" t="s">
        <v>325</v>
      </c>
      <c r="D439" s="75">
        <v>2</v>
      </c>
      <c r="E439" s="75"/>
      <c r="F439" s="75"/>
      <c r="G439" s="75"/>
      <c r="H439" s="75">
        <v>636300</v>
      </c>
      <c r="I439" s="75">
        <v>1272600</v>
      </c>
      <c r="J439" s="91" t="s">
        <v>1141</v>
      </c>
      <c r="K439" s="73"/>
      <c r="L439" s="46">
        <v>1</v>
      </c>
      <c r="M439" s="46">
        <v>0</v>
      </c>
      <c r="N439" s="46">
        <v>636300</v>
      </c>
      <c r="O439" s="98"/>
      <c r="P439" s="23" t="s">
        <v>1442</v>
      </c>
      <c r="Q439" s="24" t="s">
        <v>1140</v>
      </c>
      <c r="R439" s="25" t="s">
        <v>325</v>
      </c>
      <c r="S439" s="26">
        <v>2</v>
      </c>
      <c r="T439" s="26"/>
      <c r="U439" s="26">
        <v>636300</v>
      </c>
      <c r="V439" s="26">
        <f t="shared" si="86"/>
        <v>0</v>
      </c>
      <c r="W439" s="26">
        <f t="shared" si="78"/>
        <v>1</v>
      </c>
      <c r="X439" s="26">
        <f t="shared" si="87"/>
        <v>0</v>
      </c>
      <c r="Y439" s="26">
        <f t="shared" si="88"/>
        <v>636300</v>
      </c>
      <c r="Z439" s="33" t="s">
        <v>15</v>
      </c>
      <c r="AA439" s="36" t="s">
        <v>16</v>
      </c>
      <c r="AB439" s="181">
        <f t="shared" si="90"/>
        <v>2</v>
      </c>
      <c r="AC439" s="181">
        <f t="shared" si="89"/>
        <v>1272600</v>
      </c>
      <c r="AD439" s="181">
        <v>3</v>
      </c>
      <c r="AE439" s="181">
        <v>3</v>
      </c>
      <c r="AF439" s="101" t="str">
        <f t="shared" si="91"/>
        <v/>
      </c>
      <c r="AG439" s="190">
        <v>1</v>
      </c>
      <c r="AH439" s="69">
        <f t="shared" si="84"/>
        <v>2</v>
      </c>
    </row>
    <row r="440" spans="1:37" s="69" customFormat="1" ht="49.5" customHeight="1" x14ac:dyDescent="0.3">
      <c r="A440" s="55" t="s">
        <v>1142</v>
      </c>
      <c r="B440" s="138" t="s">
        <v>3131</v>
      </c>
      <c r="C440" s="54" t="s">
        <v>1144</v>
      </c>
      <c r="D440" s="75">
        <v>4</v>
      </c>
      <c r="E440" s="75"/>
      <c r="F440" s="75"/>
      <c r="G440" s="75"/>
      <c r="H440" s="75">
        <v>2000</v>
      </c>
      <c r="I440" s="75">
        <v>8000</v>
      </c>
      <c r="J440" s="91" t="s">
        <v>1145</v>
      </c>
      <c r="K440" s="73"/>
      <c r="L440" s="46">
        <v>0</v>
      </c>
      <c r="M440" s="46">
        <v>0</v>
      </c>
      <c r="N440" s="46">
        <v>0</v>
      </c>
      <c r="O440" s="98"/>
      <c r="P440" s="23" t="s">
        <v>1443</v>
      </c>
      <c r="Q440" s="24" t="s">
        <v>1143</v>
      </c>
      <c r="R440" s="25" t="s">
        <v>1144</v>
      </c>
      <c r="S440" s="26">
        <v>4</v>
      </c>
      <c r="T440" s="26"/>
      <c r="U440" s="26">
        <v>2000</v>
      </c>
      <c r="V440" s="26">
        <f t="shared" si="86"/>
        <v>0</v>
      </c>
      <c r="W440" s="26">
        <f t="shared" si="78"/>
        <v>0</v>
      </c>
      <c r="X440" s="26">
        <f t="shared" si="87"/>
        <v>0</v>
      </c>
      <c r="Y440" s="26">
        <f t="shared" si="88"/>
        <v>0</v>
      </c>
      <c r="Z440" s="33" t="s">
        <v>15</v>
      </c>
      <c r="AA440" s="36" t="s">
        <v>16</v>
      </c>
      <c r="AB440" s="181">
        <f t="shared" si="90"/>
        <v>4</v>
      </c>
      <c r="AC440" s="181">
        <f t="shared" si="89"/>
        <v>8000</v>
      </c>
      <c r="AD440" s="181">
        <v>3</v>
      </c>
      <c r="AE440" s="181">
        <v>3</v>
      </c>
      <c r="AF440" s="101" t="str">
        <f t="shared" si="91"/>
        <v/>
      </c>
      <c r="AG440" s="190">
        <v>0</v>
      </c>
      <c r="AH440" s="69">
        <f t="shared" si="84"/>
        <v>4</v>
      </c>
    </row>
    <row r="441" spans="1:37" s="69" customFormat="1" ht="33" x14ac:dyDescent="0.3">
      <c r="A441" s="134">
        <v>3.35</v>
      </c>
      <c r="B441" s="135" t="s">
        <v>1346</v>
      </c>
      <c r="C441" s="204" t="s">
        <v>325</v>
      </c>
      <c r="D441" s="133"/>
      <c r="E441" s="59">
        <v>1</v>
      </c>
      <c r="F441" s="77"/>
      <c r="G441" s="205"/>
      <c r="H441" s="77">
        <v>119161.05</v>
      </c>
      <c r="I441" s="59">
        <v>119161.05</v>
      </c>
      <c r="J441" s="92"/>
      <c r="K441" s="73"/>
      <c r="L441" s="46">
        <v>1</v>
      </c>
      <c r="M441" s="46">
        <v>0</v>
      </c>
      <c r="N441" s="46">
        <v>119161.05</v>
      </c>
      <c r="O441" s="98"/>
      <c r="P441" s="23" t="s">
        <v>1444</v>
      </c>
      <c r="Q441" s="24" t="s">
        <v>1501</v>
      </c>
      <c r="R441" s="25" t="s">
        <v>325</v>
      </c>
      <c r="S441" s="26">
        <v>0</v>
      </c>
      <c r="T441" s="26">
        <v>1</v>
      </c>
      <c r="U441" s="26">
        <v>119161.05</v>
      </c>
      <c r="V441" s="127">
        <f t="shared" si="86"/>
        <v>0</v>
      </c>
      <c r="W441" s="127">
        <f t="shared" si="78"/>
        <v>1</v>
      </c>
      <c r="X441" s="127">
        <f t="shared" si="87"/>
        <v>0</v>
      </c>
      <c r="Y441" s="127">
        <f t="shared" si="88"/>
        <v>119161.05</v>
      </c>
      <c r="Z441" s="27"/>
      <c r="AA441" s="36" t="s">
        <v>16</v>
      </c>
      <c r="AB441" s="181">
        <f t="shared" si="90"/>
        <v>1</v>
      </c>
      <c r="AC441" s="181">
        <f t="shared" si="89"/>
        <v>119161.05</v>
      </c>
      <c r="AD441" s="181">
        <v>3</v>
      </c>
      <c r="AE441" s="181">
        <v>3</v>
      </c>
      <c r="AF441" s="101" t="str">
        <f t="shared" si="91"/>
        <v/>
      </c>
      <c r="AG441" s="190">
        <v>1</v>
      </c>
      <c r="AH441" s="69">
        <f t="shared" si="84"/>
        <v>1</v>
      </c>
    </row>
    <row r="442" spans="1:37" ht="39" x14ac:dyDescent="0.3">
      <c r="A442" s="134" t="s">
        <v>1347</v>
      </c>
      <c r="B442" s="135" t="s">
        <v>1348</v>
      </c>
      <c r="C442" s="204" t="s">
        <v>325</v>
      </c>
      <c r="D442" s="133"/>
      <c r="E442" s="78"/>
      <c r="F442" s="62">
        <v>1</v>
      </c>
      <c r="G442" s="62"/>
      <c r="H442" s="167">
        <v>74988.5</v>
      </c>
      <c r="I442" s="62">
        <v>74988.5</v>
      </c>
      <c r="J442" s="93"/>
      <c r="L442" s="46">
        <v>1</v>
      </c>
      <c r="M442" s="46">
        <v>0</v>
      </c>
      <c r="N442" s="46">
        <v>74988.5</v>
      </c>
      <c r="O442" s="98"/>
      <c r="P442" s="23" t="s">
        <v>1408</v>
      </c>
      <c r="Q442" s="24" t="s">
        <v>1348</v>
      </c>
      <c r="R442" s="25" t="s">
        <v>325</v>
      </c>
      <c r="S442" s="26">
        <v>0</v>
      </c>
      <c r="T442" s="26">
        <v>1</v>
      </c>
      <c r="U442" s="26">
        <v>74988.5</v>
      </c>
      <c r="V442" s="127">
        <f t="shared" si="86"/>
        <v>0</v>
      </c>
      <c r="W442" s="127">
        <f t="shared" si="78"/>
        <v>1</v>
      </c>
      <c r="X442" s="127">
        <f t="shared" si="87"/>
        <v>0</v>
      </c>
      <c r="Y442" s="127">
        <f t="shared" si="88"/>
        <v>74988.5</v>
      </c>
      <c r="Z442" s="27"/>
      <c r="AA442" s="36" t="s">
        <v>16</v>
      </c>
      <c r="AB442" s="181">
        <f t="shared" si="90"/>
        <v>1</v>
      </c>
      <c r="AC442" s="181">
        <f t="shared" si="89"/>
        <v>74988.5</v>
      </c>
      <c r="AD442" s="181">
        <v>3</v>
      </c>
      <c r="AE442" s="181">
        <v>3</v>
      </c>
      <c r="AF442" s="101" t="str">
        <f t="shared" si="91"/>
        <v/>
      </c>
      <c r="AG442" s="190">
        <v>1</v>
      </c>
      <c r="AH442" s="69">
        <f t="shared" si="84"/>
        <v>1</v>
      </c>
    </row>
    <row r="443" spans="1:37" ht="49.5" x14ac:dyDescent="0.3">
      <c r="A443" s="134" t="s">
        <v>1349</v>
      </c>
      <c r="B443" s="139" t="s">
        <v>3132</v>
      </c>
      <c r="C443" s="204" t="s">
        <v>325</v>
      </c>
      <c r="D443" s="133"/>
      <c r="E443" s="78"/>
      <c r="F443" s="62">
        <v>2</v>
      </c>
      <c r="G443" s="62"/>
      <c r="H443" s="167">
        <v>83493.929999999993</v>
      </c>
      <c r="I443" s="62">
        <v>166987.85999999999</v>
      </c>
      <c r="J443" s="93"/>
      <c r="L443" s="46">
        <v>2</v>
      </c>
      <c r="M443" s="46">
        <v>0</v>
      </c>
      <c r="N443" s="46">
        <v>166987.85999999999</v>
      </c>
      <c r="O443" s="98"/>
      <c r="P443" s="23" t="s">
        <v>1409</v>
      </c>
      <c r="Q443" s="24" t="s">
        <v>1350</v>
      </c>
      <c r="R443" s="25" t="s">
        <v>325</v>
      </c>
      <c r="S443" s="26">
        <v>0</v>
      </c>
      <c r="T443" s="26">
        <v>2</v>
      </c>
      <c r="U443" s="26">
        <v>83493.929999999993</v>
      </c>
      <c r="V443" s="127">
        <f t="shared" si="86"/>
        <v>0</v>
      </c>
      <c r="W443" s="127">
        <f t="shared" si="78"/>
        <v>2</v>
      </c>
      <c r="X443" s="127">
        <f t="shared" si="87"/>
        <v>0</v>
      </c>
      <c r="Y443" s="127">
        <f t="shared" si="88"/>
        <v>166987.85999999999</v>
      </c>
      <c r="Z443" s="27"/>
      <c r="AA443" s="36" t="s">
        <v>16</v>
      </c>
      <c r="AB443" s="181">
        <f t="shared" si="90"/>
        <v>2</v>
      </c>
      <c r="AC443" s="181">
        <f t="shared" si="89"/>
        <v>166987.85999999999</v>
      </c>
      <c r="AD443" s="181">
        <v>3</v>
      </c>
      <c r="AE443" s="181">
        <v>3</v>
      </c>
      <c r="AF443" s="101" t="str">
        <f t="shared" si="91"/>
        <v/>
      </c>
      <c r="AG443" s="190">
        <v>2</v>
      </c>
      <c r="AH443" s="69">
        <f t="shared" si="84"/>
        <v>2</v>
      </c>
    </row>
    <row r="444" spans="1:37" ht="49.5" x14ac:dyDescent="0.3">
      <c r="A444" s="134" t="s">
        <v>1351</v>
      </c>
      <c r="B444" s="139" t="s">
        <v>3133</v>
      </c>
      <c r="C444" s="204" t="s">
        <v>325</v>
      </c>
      <c r="D444" s="133"/>
      <c r="E444" s="78"/>
      <c r="F444" s="62">
        <v>2</v>
      </c>
      <c r="G444" s="62"/>
      <c r="H444" s="167">
        <v>76194.460000000006</v>
      </c>
      <c r="I444" s="62">
        <v>152388.92000000001</v>
      </c>
      <c r="J444" s="93"/>
      <c r="L444" s="46">
        <v>2</v>
      </c>
      <c r="M444" s="46">
        <v>0</v>
      </c>
      <c r="N444" s="46">
        <v>152388.92000000001</v>
      </c>
      <c r="O444" s="98"/>
      <c r="P444" s="23" t="s">
        <v>1410</v>
      </c>
      <c r="Q444" s="24" t="s">
        <v>1352</v>
      </c>
      <c r="R444" s="25" t="s">
        <v>325</v>
      </c>
      <c r="S444" s="26">
        <v>0</v>
      </c>
      <c r="T444" s="26">
        <v>2</v>
      </c>
      <c r="U444" s="26">
        <v>76194.460000000006</v>
      </c>
      <c r="V444" s="127">
        <f t="shared" si="86"/>
        <v>0</v>
      </c>
      <c r="W444" s="127">
        <f t="shared" si="78"/>
        <v>2</v>
      </c>
      <c r="X444" s="127">
        <f t="shared" si="87"/>
        <v>0</v>
      </c>
      <c r="Y444" s="127">
        <f t="shared" si="88"/>
        <v>152388.92000000001</v>
      </c>
      <c r="Z444" s="27"/>
      <c r="AA444" s="36" t="s">
        <v>16</v>
      </c>
      <c r="AB444" s="181">
        <f t="shared" si="90"/>
        <v>2</v>
      </c>
      <c r="AC444" s="181">
        <f t="shared" si="89"/>
        <v>152388.92000000001</v>
      </c>
      <c r="AD444" s="181">
        <v>3</v>
      </c>
      <c r="AE444" s="181">
        <v>3</v>
      </c>
      <c r="AF444" s="101" t="str">
        <f t="shared" si="91"/>
        <v/>
      </c>
      <c r="AG444" s="190">
        <v>2</v>
      </c>
      <c r="AH444" s="69">
        <f t="shared" si="84"/>
        <v>2</v>
      </c>
    </row>
    <row r="445" spans="1:37" ht="33" x14ac:dyDescent="0.3">
      <c r="A445" s="134" t="s">
        <v>1353</v>
      </c>
      <c r="B445" s="139" t="s">
        <v>3134</v>
      </c>
      <c r="C445" s="204" t="s">
        <v>325</v>
      </c>
      <c r="D445" s="133"/>
      <c r="E445" s="78"/>
      <c r="F445" s="62">
        <v>2</v>
      </c>
      <c r="G445" s="62"/>
      <c r="H445" s="167">
        <v>17998.689999999999</v>
      </c>
      <c r="I445" s="62">
        <v>35997.379999999997</v>
      </c>
      <c r="J445" s="93"/>
      <c r="L445" s="46">
        <v>2</v>
      </c>
      <c r="M445" s="46">
        <v>0</v>
      </c>
      <c r="N445" s="46">
        <v>35997.379999999997</v>
      </c>
      <c r="O445" s="98"/>
      <c r="P445" s="23" t="s">
        <v>1411</v>
      </c>
      <c r="Q445" s="24" t="s">
        <v>1354</v>
      </c>
      <c r="R445" s="25" t="s">
        <v>325</v>
      </c>
      <c r="S445" s="26">
        <v>0</v>
      </c>
      <c r="T445" s="26">
        <v>2</v>
      </c>
      <c r="U445" s="26">
        <v>17998.689999999999</v>
      </c>
      <c r="V445" s="127">
        <f t="shared" si="86"/>
        <v>0</v>
      </c>
      <c r="W445" s="127">
        <f t="shared" si="78"/>
        <v>2</v>
      </c>
      <c r="X445" s="127">
        <f t="shared" si="87"/>
        <v>0</v>
      </c>
      <c r="Y445" s="127">
        <f t="shared" si="88"/>
        <v>35997.379999999997</v>
      </c>
      <c r="Z445" s="27"/>
      <c r="AA445" s="36" t="s">
        <v>16</v>
      </c>
      <c r="AB445" s="181">
        <f t="shared" si="90"/>
        <v>2</v>
      </c>
      <c r="AC445" s="181">
        <f t="shared" si="89"/>
        <v>35997.379999999997</v>
      </c>
      <c r="AD445" s="181">
        <v>3</v>
      </c>
      <c r="AE445" s="181">
        <v>3</v>
      </c>
      <c r="AF445" s="101" t="str">
        <f t="shared" si="91"/>
        <v/>
      </c>
      <c r="AG445" s="190">
        <v>2</v>
      </c>
      <c r="AH445" s="69">
        <f t="shared" si="84"/>
        <v>2</v>
      </c>
    </row>
    <row r="446" spans="1:37" s="69" customFormat="1" ht="33" customHeight="1" x14ac:dyDescent="0.3">
      <c r="A446" s="85" t="s">
        <v>1146</v>
      </c>
      <c r="B446" s="86" t="s">
        <v>1147</v>
      </c>
      <c r="C446" s="87" t="s">
        <v>14</v>
      </c>
      <c r="D446" s="88">
        <v>1</v>
      </c>
      <c r="E446" s="88"/>
      <c r="F446" s="88"/>
      <c r="G446" s="153"/>
      <c r="H446" s="88"/>
      <c r="I446" s="88">
        <v>2798664.24</v>
      </c>
      <c r="J446" s="95" t="s">
        <v>15</v>
      </c>
      <c r="K446" s="73"/>
      <c r="L446" s="42">
        <v>1</v>
      </c>
      <c r="M446" s="42">
        <v>56022.739999999991</v>
      </c>
      <c r="N446" s="42">
        <v>1023431.1799999999</v>
      </c>
      <c r="O446" s="98"/>
      <c r="P446" s="13" t="s">
        <v>1412</v>
      </c>
      <c r="Q446" s="14" t="s">
        <v>1147</v>
      </c>
      <c r="R446" s="15" t="s">
        <v>14</v>
      </c>
      <c r="S446" s="16">
        <v>1</v>
      </c>
      <c r="T446" s="16"/>
      <c r="U446" s="16">
        <f>SUMIFS(AC:AC,AD:AD,AD446)</f>
        <v>2798664.24</v>
      </c>
      <c r="V446" s="16">
        <f t="shared" ref="V446:W446" si="92">IF(X446=0,0,1)</f>
        <v>1</v>
      </c>
      <c r="W446" s="16">
        <f t="shared" si="92"/>
        <v>1</v>
      </c>
      <c r="X446" s="16">
        <f>SUMIFS(X:X,AE:AE,AD446)</f>
        <v>129913.70000000008</v>
      </c>
      <c r="Y446" s="16">
        <f>SUMIFS(Y:Y,AE:AE,AD446)</f>
        <v>1153344.8800000001</v>
      </c>
      <c r="Z446" s="17" t="s">
        <v>15</v>
      </c>
      <c r="AA446" s="40" t="s">
        <v>16</v>
      </c>
      <c r="AB446" s="181">
        <f t="shared" si="90"/>
        <v>1</v>
      </c>
      <c r="AC446" s="183"/>
      <c r="AD446" s="183">
        <v>4</v>
      </c>
      <c r="AE446" s="183"/>
      <c r="AF446" s="101" t="str">
        <f t="shared" si="91"/>
        <v/>
      </c>
      <c r="AG446" s="190">
        <v>1</v>
      </c>
      <c r="AH446" s="69">
        <f t="shared" si="84"/>
        <v>1</v>
      </c>
    </row>
    <row r="447" spans="1:37" s="69" customFormat="1" ht="49.5" customHeight="1" x14ac:dyDescent="0.3">
      <c r="A447" s="55" t="s">
        <v>1148</v>
      </c>
      <c r="B447" s="53" t="s">
        <v>1149</v>
      </c>
      <c r="C447" s="54" t="s">
        <v>1150</v>
      </c>
      <c r="D447" s="75">
        <v>48</v>
      </c>
      <c r="E447" s="75"/>
      <c r="F447" s="75"/>
      <c r="G447" s="75"/>
      <c r="H447" s="75">
        <v>13068.13</v>
      </c>
      <c r="I447" s="75">
        <v>627270.24</v>
      </c>
      <c r="J447" s="91" t="s">
        <v>1151</v>
      </c>
      <c r="K447" s="73"/>
      <c r="L447" s="46">
        <v>26</v>
      </c>
      <c r="M447" s="46">
        <v>26136.260000000009</v>
      </c>
      <c r="N447" s="46">
        <v>339771.38</v>
      </c>
      <c r="O447" s="98"/>
      <c r="P447" s="23" t="s">
        <v>1421</v>
      </c>
      <c r="Q447" s="24" t="s">
        <v>1149</v>
      </c>
      <c r="R447" s="25" t="s">
        <v>1150</v>
      </c>
      <c r="S447" s="26">
        <v>48</v>
      </c>
      <c r="T447" s="26"/>
      <c r="U447" s="26">
        <v>13068.13</v>
      </c>
      <c r="V447" s="102">
        <f t="shared" ref="V447:V449" si="93">AG447-L447</f>
        <v>2</v>
      </c>
      <c r="W447" s="26">
        <f t="shared" si="78"/>
        <v>28</v>
      </c>
      <c r="X447" s="26">
        <f>Y447-N447</f>
        <v>26136.260000000009</v>
      </c>
      <c r="Y447" s="26">
        <f t="shared" ref="Y447:Y449" si="94">ROUND(U447*W447,2)</f>
        <v>365907.64</v>
      </c>
      <c r="Z447" s="33" t="s">
        <v>15</v>
      </c>
      <c r="AA447" s="36" t="s">
        <v>16</v>
      </c>
      <c r="AB447" s="181">
        <f t="shared" si="90"/>
        <v>48</v>
      </c>
      <c r="AC447" s="181">
        <f t="shared" ref="AC447:AC449" si="95">ROUND(U447*AB447,2)</f>
        <v>627270.24</v>
      </c>
      <c r="AD447" s="181">
        <v>4</v>
      </c>
      <c r="AE447" s="181">
        <v>4</v>
      </c>
      <c r="AF447" s="101" t="str">
        <f t="shared" si="91"/>
        <v/>
      </c>
      <c r="AG447" s="191">
        <f>16+2+2+2+2+2+2</f>
        <v>28</v>
      </c>
      <c r="AH447" s="69">
        <f t="shared" si="84"/>
        <v>48</v>
      </c>
    </row>
    <row r="448" spans="1:37" s="69" customFormat="1" ht="66" customHeight="1" x14ac:dyDescent="0.3">
      <c r="A448" s="55" t="s">
        <v>1152</v>
      </c>
      <c r="B448" s="53" t="s">
        <v>1153</v>
      </c>
      <c r="C448" s="54" t="s">
        <v>998</v>
      </c>
      <c r="D448" s="75">
        <v>6720</v>
      </c>
      <c r="E448" s="75"/>
      <c r="F448" s="75"/>
      <c r="G448" s="75"/>
      <c r="H448" s="75">
        <v>54.57</v>
      </c>
      <c r="I448" s="75">
        <v>366710.4</v>
      </c>
      <c r="J448" s="91" t="s">
        <v>1154</v>
      </c>
      <c r="K448" s="73"/>
      <c r="L448" s="46">
        <v>1680</v>
      </c>
      <c r="M448" s="46">
        <v>0</v>
      </c>
      <c r="N448" s="46">
        <v>91677.6</v>
      </c>
      <c r="O448" s="98"/>
      <c r="P448" s="23" t="s">
        <v>1426</v>
      </c>
      <c r="Q448" s="24" t="s">
        <v>1153</v>
      </c>
      <c r="R448" s="25" t="s">
        <v>998</v>
      </c>
      <c r="S448" s="26">
        <v>6720</v>
      </c>
      <c r="T448" s="26"/>
      <c r="U448" s="26">
        <v>54.57</v>
      </c>
      <c r="V448" s="102">
        <f t="shared" si="93"/>
        <v>680</v>
      </c>
      <c r="W448" s="26">
        <f t="shared" si="78"/>
        <v>2360</v>
      </c>
      <c r="X448" s="26">
        <f>Y448-N448</f>
        <v>37107.599999999991</v>
      </c>
      <c r="Y448" s="26">
        <f t="shared" si="94"/>
        <v>128785.2</v>
      </c>
      <c r="Z448" s="33" t="s">
        <v>15</v>
      </c>
      <c r="AA448" s="36" t="s">
        <v>16</v>
      </c>
      <c r="AB448" s="181">
        <f t="shared" si="90"/>
        <v>6720</v>
      </c>
      <c r="AC448" s="181">
        <f t="shared" si="95"/>
        <v>366710.4</v>
      </c>
      <c r="AD448" s="181">
        <v>4</v>
      </c>
      <c r="AE448" s="181">
        <v>4</v>
      </c>
      <c r="AF448" s="101" t="str">
        <f t="shared" si="91"/>
        <v/>
      </c>
      <c r="AG448" s="190">
        <f>1400+280+680</f>
        <v>2360</v>
      </c>
      <c r="AH448" s="69">
        <f t="shared" si="84"/>
        <v>6720</v>
      </c>
    </row>
    <row r="449" spans="1:34" s="69" customFormat="1" ht="33" x14ac:dyDescent="0.3">
      <c r="A449" s="66">
        <v>4.3</v>
      </c>
      <c r="B449" s="57" t="s">
        <v>1355</v>
      </c>
      <c r="C449" s="58" t="s">
        <v>1360</v>
      </c>
      <c r="D449" s="77"/>
      <c r="E449" s="117">
        <v>1570</v>
      </c>
      <c r="F449" s="59"/>
      <c r="G449" s="142"/>
      <c r="H449" s="77">
        <v>1149.48</v>
      </c>
      <c r="I449" s="59">
        <v>1804683.6</v>
      </c>
      <c r="J449" s="92"/>
      <c r="K449" s="73"/>
      <c r="L449" s="46">
        <v>515</v>
      </c>
      <c r="M449" s="46">
        <v>29886.479999999981</v>
      </c>
      <c r="N449" s="46">
        <v>591982.19999999995</v>
      </c>
      <c r="O449" s="98"/>
      <c r="P449" s="23" t="s">
        <v>1402</v>
      </c>
      <c r="Q449" s="24" t="s">
        <v>1502</v>
      </c>
      <c r="R449" s="25" t="s">
        <v>1360</v>
      </c>
      <c r="S449" s="26">
        <v>0</v>
      </c>
      <c r="T449" s="26">
        <v>1570</v>
      </c>
      <c r="U449" s="26">
        <v>1149.48</v>
      </c>
      <c r="V449" s="102">
        <f t="shared" si="93"/>
        <v>58</v>
      </c>
      <c r="W449" s="26">
        <f t="shared" si="78"/>
        <v>573</v>
      </c>
      <c r="X449" s="26">
        <f>Y449-N449</f>
        <v>66669.840000000084</v>
      </c>
      <c r="Y449" s="26">
        <f t="shared" si="94"/>
        <v>658652.04</v>
      </c>
      <c r="Z449" s="27"/>
      <c r="AA449" s="36" t="s">
        <v>16</v>
      </c>
      <c r="AB449" s="181">
        <f t="shared" si="90"/>
        <v>1570</v>
      </c>
      <c r="AC449" s="181">
        <f t="shared" si="95"/>
        <v>1804683.6</v>
      </c>
      <c r="AD449" s="181">
        <v>4</v>
      </c>
      <c r="AE449" s="181">
        <v>4</v>
      </c>
      <c r="AF449" s="101" t="str">
        <f t="shared" si="91"/>
        <v/>
      </c>
      <c r="AG449" s="191">
        <f>384+35+32+38+26+58</f>
        <v>573</v>
      </c>
      <c r="AH449" s="69">
        <f t="shared" si="84"/>
        <v>1570</v>
      </c>
    </row>
    <row r="450" spans="1:34" s="69" customFormat="1" ht="33" customHeight="1" x14ac:dyDescent="0.3">
      <c r="A450" s="85" t="s">
        <v>1155</v>
      </c>
      <c r="B450" s="86" t="s">
        <v>1156</v>
      </c>
      <c r="C450" s="87" t="s">
        <v>14</v>
      </c>
      <c r="D450" s="88">
        <v>1</v>
      </c>
      <c r="E450" s="88"/>
      <c r="F450" s="88"/>
      <c r="G450" s="88"/>
      <c r="H450" s="88"/>
      <c r="I450" s="88">
        <v>10715306.710000001</v>
      </c>
      <c r="J450" s="95" t="s">
        <v>15</v>
      </c>
      <c r="K450" s="73"/>
      <c r="L450" s="42">
        <v>1</v>
      </c>
      <c r="M450" s="42">
        <v>101187.8</v>
      </c>
      <c r="N450" s="42">
        <v>9251875.9499999993</v>
      </c>
      <c r="O450" s="98"/>
      <c r="P450" s="13" t="s">
        <v>1413</v>
      </c>
      <c r="Q450" s="14" t="s">
        <v>1156</v>
      </c>
      <c r="R450" s="15" t="s">
        <v>14</v>
      </c>
      <c r="S450" s="16">
        <v>1</v>
      </c>
      <c r="T450" s="16"/>
      <c r="U450" s="16">
        <f>SUMIFS(AC:AC,AD:AD,AD450)</f>
        <v>10715306.709999999</v>
      </c>
      <c r="V450" s="16">
        <f t="shared" ref="V450:W450" si="96">IF(X450=0,0,1)</f>
        <v>1</v>
      </c>
      <c r="W450" s="16">
        <f t="shared" si="96"/>
        <v>1</v>
      </c>
      <c r="X450" s="16">
        <f>SUMIFS(X:X,AE:AE,AD450)</f>
        <v>114820</v>
      </c>
      <c r="Y450" s="16">
        <f>SUMIFS(Y:Y,AE:AE,AD450)</f>
        <v>9366695.9499999993</v>
      </c>
      <c r="Z450" s="17" t="s">
        <v>15</v>
      </c>
      <c r="AA450" s="40" t="s">
        <v>16</v>
      </c>
      <c r="AB450" s="181">
        <f t="shared" si="90"/>
        <v>1</v>
      </c>
      <c r="AC450" s="183"/>
      <c r="AD450" s="183">
        <v>5</v>
      </c>
      <c r="AE450" s="183"/>
      <c r="AF450" s="101" t="str">
        <f t="shared" si="91"/>
        <v/>
      </c>
      <c r="AG450" s="190">
        <v>1</v>
      </c>
      <c r="AH450" s="69">
        <f t="shared" si="84"/>
        <v>1</v>
      </c>
    </row>
    <row r="451" spans="1:34" s="69" customFormat="1" ht="49.5" customHeight="1" x14ac:dyDescent="0.3">
      <c r="A451" s="130" t="s">
        <v>1157</v>
      </c>
      <c r="B451" s="131" t="s">
        <v>1158</v>
      </c>
      <c r="C451" s="132" t="s">
        <v>30</v>
      </c>
      <c r="D451" s="133">
        <v>1698.29</v>
      </c>
      <c r="E451" s="75"/>
      <c r="F451" s="75"/>
      <c r="G451" s="75"/>
      <c r="H451" s="75">
        <v>3662.23</v>
      </c>
      <c r="I451" s="75">
        <v>6219528.5899999999</v>
      </c>
      <c r="J451" s="91" t="s">
        <v>1159</v>
      </c>
      <c r="K451" s="73"/>
      <c r="L451" s="46">
        <v>1698.29</v>
      </c>
      <c r="M451" s="46">
        <v>0</v>
      </c>
      <c r="N451" s="46">
        <v>6219528.5899999999</v>
      </c>
      <c r="O451" s="98"/>
      <c r="P451" s="23" t="s">
        <v>1421</v>
      </c>
      <c r="Q451" s="24" t="s">
        <v>1158</v>
      </c>
      <c r="R451" s="25" t="s">
        <v>30</v>
      </c>
      <c r="S451" s="26">
        <v>1698.29</v>
      </c>
      <c r="T451" s="26"/>
      <c r="U451" s="26">
        <v>3662.23</v>
      </c>
      <c r="V451" s="127">
        <f t="shared" ref="V451:V470" si="97">AG451-L451</f>
        <v>0</v>
      </c>
      <c r="W451" s="127">
        <f t="shared" si="78"/>
        <v>1698.29</v>
      </c>
      <c r="X451" s="127">
        <f t="shared" ref="X451:X470" si="98">Y451-N451</f>
        <v>0</v>
      </c>
      <c r="Y451" s="127">
        <f t="shared" ref="Y451:Y470" si="99">ROUND(U451*W451,2)</f>
        <v>6219528.5899999999</v>
      </c>
      <c r="Z451" s="33" t="s">
        <v>15</v>
      </c>
      <c r="AA451" s="36" t="s">
        <v>16</v>
      </c>
      <c r="AB451" s="181">
        <f t="shared" si="90"/>
        <v>1698.29</v>
      </c>
      <c r="AC451" s="181">
        <f t="shared" ref="AC451:AC470" si="100">ROUND(U451*AB451,2)</f>
        <v>6219528.5899999999</v>
      </c>
      <c r="AD451" s="181">
        <v>5</v>
      </c>
      <c r="AE451" s="181">
        <v>5</v>
      </c>
      <c r="AF451" s="101" t="str">
        <f t="shared" si="91"/>
        <v/>
      </c>
      <c r="AG451" s="190">
        <v>1698.29</v>
      </c>
      <c r="AH451" s="69">
        <f t="shared" si="84"/>
        <v>1698.29</v>
      </c>
    </row>
    <row r="452" spans="1:34" s="69" customFormat="1" ht="58.5" x14ac:dyDescent="0.3">
      <c r="A452" s="130" t="s">
        <v>1160</v>
      </c>
      <c r="B452" s="131" t="s">
        <v>1161</v>
      </c>
      <c r="C452" s="132" t="s">
        <v>50</v>
      </c>
      <c r="D452" s="133">
        <v>2123.4</v>
      </c>
      <c r="E452" s="75"/>
      <c r="F452" s="75"/>
      <c r="G452" s="75"/>
      <c r="H452" s="75">
        <v>353</v>
      </c>
      <c r="I452" s="75">
        <v>749560.2</v>
      </c>
      <c r="J452" s="91" t="s">
        <v>1162</v>
      </c>
      <c r="K452" s="73"/>
      <c r="L452" s="46">
        <v>2123.4</v>
      </c>
      <c r="M452" s="46">
        <v>0</v>
      </c>
      <c r="N452" s="46">
        <v>749560.2</v>
      </c>
      <c r="O452" s="98"/>
      <c r="P452" s="23" t="s">
        <v>1426</v>
      </c>
      <c r="Q452" s="24" t="s">
        <v>1161</v>
      </c>
      <c r="R452" s="25" t="s">
        <v>50</v>
      </c>
      <c r="S452" s="26">
        <v>2123.4</v>
      </c>
      <c r="T452" s="26"/>
      <c r="U452" s="26">
        <v>353</v>
      </c>
      <c r="V452" s="127">
        <f t="shared" si="97"/>
        <v>0</v>
      </c>
      <c r="W452" s="127">
        <v>2123.4</v>
      </c>
      <c r="X452" s="127">
        <f t="shared" si="98"/>
        <v>0</v>
      </c>
      <c r="Y452" s="127">
        <f t="shared" si="99"/>
        <v>749560.2</v>
      </c>
      <c r="Z452" s="33" t="s">
        <v>15</v>
      </c>
      <c r="AA452" s="36" t="s">
        <v>16</v>
      </c>
      <c r="AB452" s="181">
        <f t="shared" si="90"/>
        <v>2123.4</v>
      </c>
      <c r="AC452" s="181">
        <f t="shared" si="100"/>
        <v>749560.2</v>
      </c>
      <c r="AD452" s="181">
        <v>5</v>
      </c>
      <c r="AE452" s="181">
        <v>5</v>
      </c>
      <c r="AF452" s="101" t="str">
        <f t="shared" si="91"/>
        <v/>
      </c>
      <c r="AG452" s="190">
        <v>2123.4</v>
      </c>
      <c r="AH452" s="69">
        <f t="shared" si="84"/>
        <v>2123.4</v>
      </c>
    </row>
    <row r="453" spans="1:34" s="69" customFormat="1" ht="49.5" customHeight="1" x14ac:dyDescent="0.3">
      <c r="A453" s="55" t="s">
        <v>1163</v>
      </c>
      <c r="B453" s="53" t="s">
        <v>1164</v>
      </c>
      <c r="C453" s="54" t="s">
        <v>162</v>
      </c>
      <c r="D453" s="75">
        <v>59</v>
      </c>
      <c r="E453" s="75"/>
      <c r="F453" s="75"/>
      <c r="G453" s="75"/>
      <c r="H453" s="75">
        <v>217.02</v>
      </c>
      <c r="I453" s="75">
        <v>12804.18</v>
      </c>
      <c r="J453" s="91" t="s">
        <v>1165</v>
      </c>
      <c r="K453" s="73"/>
      <c r="L453" s="46">
        <v>30</v>
      </c>
      <c r="M453" s="46">
        <v>0</v>
      </c>
      <c r="N453" s="46">
        <v>6510.6</v>
      </c>
      <c r="O453" s="98"/>
      <c r="P453" s="23" t="s">
        <v>1402</v>
      </c>
      <c r="Q453" s="24" t="s">
        <v>1164</v>
      </c>
      <c r="R453" s="25" t="s">
        <v>162</v>
      </c>
      <c r="S453" s="26">
        <v>59</v>
      </c>
      <c r="T453" s="26"/>
      <c r="U453" s="26">
        <v>217.02</v>
      </c>
      <c r="V453" s="26">
        <f t="shared" si="97"/>
        <v>0</v>
      </c>
      <c r="W453" s="26">
        <f t="shared" si="78"/>
        <v>30</v>
      </c>
      <c r="X453" s="26">
        <f t="shared" si="98"/>
        <v>0</v>
      </c>
      <c r="Y453" s="26">
        <f t="shared" si="99"/>
        <v>6510.6</v>
      </c>
      <c r="Z453" s="33" t="s">
        <v>15</v>
      </c>
      <c r="AA453" s="36" t="s">
        <v>16</v>
      </c>
      <c r="AB453" s="181">
        <f t="shared" si="90"/>
        <v>59</v>
      </c>
      <c r="AC453" s="181">
        <f t="shared" si="100"/>
        <v>12804.18</v>
      </c>
      <c r="AD453" s="181">
        <v>5</v>
      </c>
      <c r="AE453" s="181">
        <v>5</v>
      </c>
      <c r="AF453" s="101" t="str">
        <f t="shared" si="91"/>
        <v/>
      </c>
      <c r="AG453" s="190">
        <v>30</v>
      </c>
      <c r="AH453" s="69">
        <f t="shared" si="84"/>
        <v>59</v>
      </c>
    </row>
    <row r="454" spans="1:34" s="69" customFormat="1" ht="33" customHeight="1" x14ac:dyDescent="0.3">
      <c r="A454" s="55" t="s">
        <v>1166</v>
      </c>
      <c r="B454" s="53" t="s">
        <v>1167</v>
      </c>
      <c r="C454" s="54" t="s">
        <v>559</v>
      </c>
      <c r="D454" s="75">
        <v>30</v>
      </c>
      <c r="E454" s="75"/>
      <c r="F454" s="75"/>
      <c r="G454" s="75"/>
      <c r="H454" s="75">
        <v>50</v>
      </c>
      <c r="I454" s="75">
        <v>1500</v>
      </c>
      <c r="J454" s="91" t="s">
        <v>1168</v>
      </c>
      <c r="K454" s="73"/>
      <c r="L454" s="46">
        <v>20</v>
      </c>
      <c r="M454" s="46">
        <v>0</v>
      </c>
      <c r="N454" s="46">
        <v>1000</v>
      </c>
      <c r="O454" s="98"/>
      <c r="P454" s="23" t="s">
        <v>1373</v>
      </c>
      <c r="Q454" s="24" t="s">
        <v>1167</v>
      </c>
      <c r="R454" s="25" t="s">
        <v>559</v>
      </c>
      <c r="S454" s="26">
        <v>30</v>
      </c>
      <c r="T454" s="26"/>
      <c r="U454" s="26">
        <v>50</v>
      </c>
      <c r="V454" s="26">
        <f t="shared" si="97"/>
        <v>0</v>
      </c>
      <c r="W454" s="26">
        <f t="shared" si="78"/>
        <v>20</v>
      </c>
      <c r="X454" s="26">
        <f t="shared" si="98"/>
        <v>0</v>
      </c>
      <c r="Y454" s="26">
        <f t="shared" si="99"/>
        <v>1000</v>
      </c>
      <c r="Z454" s="33" t="s">
        <v>15</v>
      </c>
      <c r="AA454" s="36" t="s">
        <v>16</v>
      </c>
      <c r="AB454" s="181">
        <f t="shared" si="90"/>
        <v>30</v>
      </c>
      <c r="AC454" s="181">
        <f t="shared" si="100"/>
        <v>1500</v>
      </c>
      <c r="AD454" s="181">
        <v>5</v>
      </c>
      <c r="AE454" s="181">
        <v>5</v>
      </c>
      <c r="AF454" s="101" t="str">
        <f t="shared" si="91"/>
        <v/>
      </c>
      <c r="AG454" s="190">
        <v>20</v>
      </c>
      <c r="AH454" s="69">
        <f t="shared" si="84"/>
        <v>30</v>
      </c>
    </row>
    <row r="455" spans="1:34" s="69" customFormat="1" ht="49.5" customHeight="1" x14ac:dyDescent="0.3">
      <c r="A455" s="130" t="s">
        <v>1169</v>
      </c>
      <c r="B455" s="131" t="s">
        <v>1170</v>
      </c>
      <c r="C455" s="132" t="s">
        <v>81</v>
      </c>
      <c r="D455" s="133">
        <v>9</v>
      </c>
      <c r="E455" s="75"/>
      <c r="F455" s="75"/>
      <c r="G455" s="75"/>
      <c r="H455" s="75">
        <v>1900.97</v>
      </c>
      <c r="I455" s="75">
        <v>17108.73</v>
      </c>
      <c r="J455" s="91" t="s">
        <v>1171</v>
      </c>
      <c r="K455" s="73"/>
      <c r="L455" s="46">
        <v>9</v>
      </c>
      <c r="M455" s="46">
        <v>0</v>
      </c>
      <c r="N455" s="46">
        <v>17108.73</v>
      </c>
      <c r="O455" s="98"/>
      <c r="P455" s="23" t="s">
        <v>1393</v>
      </c>
      <c r="Q455" s="24" t="s">
        <v>1170</v>
      </c>
      <c r="R455" s="25" t="s">
        <v>81</v>
      </c>
      <c r="S455" s="26">
        <v>9</v>
      </c>
      <c r="T455" s="26"/>
      <c r="U455" s="26">
        <v>1900.97</v>
      </c>
      <c r="V455" s="127">
        <f t="shared" si="97"/>
        <v>0</v>
      </c>
      <c r="W455" s="127">
        <f t="shared" si="78"/>
        <v>9</v>
      </c>
      <c r="X455" s="127">
        <f t="shared" si="98"/>
        <v>0</v>
      </c>
      <c r="Y455" s="127">
        <f t="shared" si="99"/>
        <v>17108.73</v>
      </c>
      <c r="Z455" s="33" t="s">
        <v>15</v>
      </c>
      <c r="AA455" s="36" t="s">
        <v>16</v>
      </c>
      <c r="AB455" s="181">
        <f t="shared" si="90"/>
        <v>9</v>
      </c>
      <c r="AC455" s="181">
        <f t="shared" si="100"/>
        <v>17108.73</v>
      </c>
      <c r="AD455" s="181">
        <v>5</v>
      </c>
      <c r="AE455" s="181">
        <v>5</v>
      </c>
      <c r="AF455" s="101" t="str">
        <f t="shared" si="91"/>
        <v/>
      </c>
      <c r="AG455" s="190">
        <v>9</v>
      </c>
      <c r="AH455" s="69">
        <f t="shared" si="84"/>
        <v>9</v>
      </c>
    </row>
    <row r="456" spans="1:34" s="69" customFormat="1" ht="49.5" customHeight="1" x14ac:dyDescent="0.3">
      <c r="A456" s="130" t="s">
        <v>1172</v>
      </c>
      <c r="B456" s="131" t="s">
        <v>1173</v>
      </c>
      <c r="C456" s="132" t="s">
        <v>81</v>
      </c>
      <c r="D456" s="133">
        <v>5</v>
      </c>
      <c r="E456" s="75"/>
      <c r="F456" s="75"/>
      <c r="G456" s="75"/>
      <c r="H456" s="75">
        <v>1230.75</v>
      </c>
      <c r="I456" s="75">
        <v>6153.75</v>
      </c>
      <c r="J456" s="91" t="s">
        <v>1174</v>
      </c>
      <c r="K456" s="73"/>
      <c r="L456" s="46">
        <v>5</v>
      </c>
      <c r="M456" s="46">
        <v>0</v>
      </c>
      <c r="N456" s="46">
        <v>6153.75</v>
      </c>
      <c r="O456" s="98"/>
      <c r="P456" s="23" t="s">
        <v>1403</v>
      </c>
      <c r="Q456" s="24" t="s">
        <v>1173</v>
      </c>
      <c r="R456" s="25" t="s">
        <v>81</v>
      </c>
      <c r="S456" s="26">
        <v>5</v>
      </c>
      <c r="T456" s="26"/>
      <c r="U456" s="26">
        <v>1230.75</v>
      </c>
      <c r="V456" s="127">
        <f t="shared" si="97"/>
        <v>0</v>
      </c>
      <c r="W456" s="127">
        <f t="shared" si="78"/>
        <v>5</v>
      </c>
      <c r="X456" s="127">
        <f t="shared" si="98"/>
        <v>0</v>
      </c>
      <c r="Y456" s="127">
        <f t="shared" si="99"/>
        <v>6153.75</v>
      </c>
      <c r="Z456" s="33" t="s">
        <v>15</v>
      </c>
      <c r="AA456" s="36" t="s">
        <v>16</v>
      </c>
      <c r="AB456" s="181">
        <f t="shared" si="90"/>
        <v>5</v>
      </c>
      <c r="AC456" s="181">
        <f t="shared" si="100"/>
        <v>6153.75</v>
      </c>
      <c r="AD456" s="181">
        <v>5</v>
      </c>
      <c r="AE456" s="181">
        <v>5</v>
      </c>
      <c r="AF456" s="101" t="str">
        <f t="shared" si="91"/>
        <v/>
      </c>
      <c r="AG456" s="190">
        <v>5</v>
      </c>
      <c r="AH456" s="69">
        <f t="shared" si="84"/>
        <v>5</v>
      </c>
    </row>
    <row r="457" spans="1:34" s="69" customFormat="1" ht="33" x14ac:dyDescent="0.3">
      <c r="A457" s="55" t="s">
        <v>1175</v>
      </c>
      <c r="B457" s="53" t="s">
        <v>1176</v>
      </c>
      <c r="C457" s="54" t="s">
        <v>81</v>
      </c>
      <c r="D457" s="75">
        <v>756</v>
      </c>
      <c r="E457" s="75"/>
      <c r="F457" s="75"/>
      <c r="G457" s="75"/>
      <c r="H457" s="75">
        <v>1666.11</v>
      </c>
      <c r="I457" s="75">
        <v>1259579.1599999999</v>
      </c>
      <c r="J457" s="91" t="s">
        <v>1177</v>
      </c>
      <c r="K457" s="73"/>
      <c r="L457" s="46">
        <v>400</v>
      </c>
      <c r="M457" s="46">
        <v>0</v>
      </c>
      <c r="N457" s="46">
        <v>666444</v>
      </c>
      <c r="O457" s="98"/>
      <c r="P457" s="23" t="s">
        <v>1427</v>
      </c>
      <c r="Q457" s="24" t="s">
        <v>1176</v>
      </c>
      <c r="R457" s="25" t="s">
        <v>81</v>
      </c>
      <c r="S457" s="26">
        <v>756</v>
      </c>
      <c r="T457" s="26"/>
      <c r="U457" s="26">
        <v>1666.11</v>
      </c>
      <c r="V457" s="26">
        <f t="shared" si="97"/>
        <v>0</v>
      </c>
      <c r="W457" s="26">
        <f t="shared" si="78"/>
        <v>400</v>
      </c>
      <c r="X457" s="26">
        <f t="shared" si="98"/>
        <v>0</v>
      </c>
      <c r="Y457" s="26">
        <f t="shared" si="99"/>
        <v>666444</v>
      </c>
      <c r="Z457" s="33" t="s">
        <v>15</v>
      </c>
      <c r="AA457" s="36" t="s">
        <v>16</v>
      </c>
      <c r="AB457" s="181">
        <f t="shared" si="90"/>
        <v>756</v>
      </c>
      <c r="AC457" s="181">
        <f t="shared" si="100"/>
        <v>1259579.1599999999</v>
      </c>
      <c r="AD457" s="181">
        <v>5</v>
      </c>
      <c r="AE457" s="181">
        <v>5</v>
      </c>
      <c r="AF457" s="101" t="str">
        <f t="shared" si="91"/>
        <v/>
      </c>
      <c r="AG457" s="190">
        <v>400</v>
      </c>
      <c r="AH457" s="69">
        <f t="shared" si="84"/>
        <v>756</v>
      </c>
    </row>
    <row r="458" spans="1:34" s="69" customFormat="1" ht="49.5" customHeight="1" x14ac:dyDescent="0.3">
      <c r="A458" s="130" t="s">
        <v>1178</v>
      </c>
      <c r="B458" s="131" t="s">
        <v>1179</v>
      </c>
      <c r="C458" s="132" t="s">
        <v>81</v>
      </c>
      <c r="D458" s="133">
        <v>2</v>
      </c>
      <c r="E458" s="75"/>
      <c r="F458" s="75"/>
      <c r="G458" s="75"/>
      <c r="H458" s="75">
        <v>48513</v>
      </c>
      <c r="I458" s="75">
        <v>97026</v>
      </c>
      <c r="J458" s="91" t="s">
        <v>1180</v>
      </c>
      <c r="K458" s="73"/>
      <c r="L458" s="46">
        <v>2</v>
      </c>
      <c r="M458" s="46">
        <v>0</v>
      </c>
      <c r="N458" s="46">
        <v>97026</v>
      </c>
      <c r="O458" s="98"/>
      <c r="P458" s="23" t="s">
        <v>1428</v>
      </c>
      <c r="Q458" s="24" t="s">
        <v>1179</v>
      </c>
      <c r="R458" s="25" t="s">
        <v>81</v>
      </c>
      <c r="S458" s="26">
        <v>2</v>
      </c>
      <c r="T458" s="26"/>
      <c r="U458" s="26">
        <v>48513</v>
      </c>
      <c r="V458" s="127">
        <f t="shared" si="97"/>
        <v>0</v>
      </c>
      <c r="W458" s="127">
        <v>2</v>
      </c>
      <c r="X458" s="127">
        <f t="shared" si="98"/>
        <v>0</v>
      </c>
      <c r="Y458" s="127">
        <f t="shared" si="99"/>
        <v>97026</v>
      </c>
      <c r="Z458" s="33" t="s">
        <v>15</v>
      </c>
      <c r="AA458" s="36" t="s">
        <v>16</v>
      </c>
      <c r="AB458" s="181">
        <f t="shared" si="90"/>
        <v>2</v>
      </c>
      <c r="AC458" s="181">
        <f t="shared" si="100"/>
        <v>97026</v>
      </c>
      <c r="AD458" s="181">
        <v>5</v>
      </c>
      <c r="AE458" s="181">
        <v>5</v>
      </c>
      <c r="AF458" s="101" t="str">
        <f t="shared" si="91"/>
        <v/>
      </c>
      <c r="AG458" s="190">
        <v>2</v>
      </c>
      <c r="AH458" s="69">
        <f t="shared" si="84"/>
        <v>2</v>
      </c>
    </row>
    <row r="459" spans="1:34" s="69" customFormat="1" ht="41.25" x14ac:dyDescent="0.3">
      <c r="A459" s="130" t="s">
        <v>1181</v>
      </c>
      <c r="B459" s="131" t="s">
        <v>1182</v>
      </c>
      <c r="C459" s="132" t="s">
        <v>1183</v>
      </c>
      <c r="D459" s="133">
        <v>18</v>
      </c>
      <c r="E459" s="75">
        <v>38</v>
      </c>
      <c r="F459" s="75"/>
      <c r="G459" s="75"/>
      <c r="H459" s="75">
        <v>587.1</v>
      </c>
      <c r="I459" s="75">
        <v>22309.8</v>
      </c>
      <c r="J459" s="91" t="s">
        <v>1184</v>
      </c>
      <c r="K459" s="73"/>
      <c r="L459" s="46">
        <v>38</v>
      </c>
      <c r="M459" s="46">
        <v>10567.8</v>
      </c>
      <c r="N459" s="46">
        <v>22309.8</v>
      </c>
      <c r="O459" s="98"/>
      <c r="P459" s="23" t="s">
        <v>1387</v>
      </c>
      <c r="Q459" s="24" t="s">
        <v>1182</v>
      </c>
      <c r="R459" s="25" t="s">
        <v>1183</v>
      </c>
      <c r="S459" s="26">
        <v>18</v>
      </c>
      <c r="T459" s="26">
        <v>38</v>
      </c>
      <c r="U459" s="26">
        <v>587.1</v>
      </c>
      <c r="V459" s="128">
        <f t="shared" si="97"/>
        <v>0</v>
      </c>
      <c r="W459" s="127">
        <f t="shared" ref="W459:W493" si="101">V459+L459</f>
        <v>38</v>
      </c>
      <c r="X459" s="127">
        <f t="shared" si="98"/>
        <v>0</v>
      </c>
      <c r="Y459" s="127">
        <f t="shared" si="99"/>
        <v>22309.8</v>
      </c>
      <c r="Z459" s="27" t="s">
        <v>15</v>
      </c>
      <c r="AA459" s="36" t="s">
        <v>16</v>
      </c>
      <c r="AB459" s="181">
        <f t="shared" si="90"/>
        <v>38</v>
      </c>
      <c r="AC459" s="181">
        <f t="shared" si="100"/>
        <v>22309.8</v>
      </c>
      <c r="AD459" s="181">
        <v>5</v>
      </c>
      <c r="AE459" s="181">
        <v>5</v>
      </c>
      <c r="AF459" s="101" t="str">
        <f t="shared" si="91"/>
        <v/>
      </c>
      <c r="AG459" s="191">
        <f>20+18</f>
        <v>38</v>
      </c>
      <c r="AH459" s="69">
        <f t="shared" ref="AH459:AH502" si="102">IF(G459=0,IF(F459=0,IF(E459=0,D459,E459),F459),G459)</f>
        <v>38</v>
      </c>
    </row>
    <row r="460" spans="1:34" s="69" customFormat="1" ht="49.5" customHeight="1" x14ac:dyDescent="0.3">
      <c r="A460" s="55" t="s">
        <v>1185</v>
      </c>
      <c r="B460" s="53" t="s">
        <v>1186</v>
      </c>
      <c r="C460" s="54" t="s">
        <v>162</v>
      </c>
      <c r="D460" s="75">
        <v>9</v>
      </c>
      <c r="E460" s="75"/>
      <c r="F460" s="75"/>
      <c r="G460" s="75"/>
      <c r="H460" s="75">
        <v>664.14</v>
      </c>
      <c r="I460" s="75">
        <v>5977.26</v>
      </c>
      <c r="J460" s="91" t="s">
        <v>1187</v>
      </c>
      <c r="K460" s="73"/>
      <c r="L460" s="46">
        <v>0</v>
      </c>
      <c r="M460" s="46">
        <v>0</v>
      </c>
      <c r="N460" s="46">
        <v>0</v>
      </c>
      <c r="O460" s="98"/>
      <c r="P460" s="23" t="s">
        <v>1405</v>
      </c>
      <c r="Q460" s="24" t="s">
        <v>1186</v>
      </c>
      <c r="R460" s="25" t="s">
        <v>162</v>
      </c>
      <c r="S460" s="26">
        <v>9</v>
      </c>
      <c r="T460" s="26"/>
      <c r="U460" s="26">
        <v>664.14</v>
      </c>
      <c r="V460" s="26">
        <f t="shared" si="97"/>
        <v>0</v>
      </c>
      <c r="W460" s="26">
        <f t="shared" si="101"/>
        <v>0</v>
      </c>
      <c r="X460" s="26">
        <f t="shared" si="98"/>
        <v>0</v>
      </c>
      <c r="Y460" s="26">
        <f t="shared" si="99"/>
        <v>0</v>
      </c>
      <c r="Z460" s="33" t="s">
        <v>15</v>
      </c>
      <c r="AA460" s="36" t="s">
        <v>16</v>
      </c>
      <c r="AB460" s="181">
        <f t="shared" si="90"/>
        <v>9</v>
      </c>
      <c r="AC460" s="181">
        <f t="shared" si="100"/>
        <v>5977.26</v>
      </c>
      <c r="AD460" s="181">
        <v>5</v>
      </c>
      <c r="AE460" s="181">
        <v>5</v>
      </c>
      <c r="AF460" s="101" t="str">
        <f t="shared" si="91"/>
        <v/>
      </c>
      <c r="AG460" s="190">
        <v>0</v>
      </c>
      <c r="AH460" s="69">
        <f t="shared" si="102"/>
        <v>9</v>
      </c>
    </row>
    <row r="461" spans="1:34" s="69" customFormat="1" ht="33" x14ac:dyDescent="0.3">
      <c r="A461" s="55" t="s">
        <v>1188</v>
      </c>
      <c r="B461" s="53" t="s">
        <v>1189</v>
      </c>
      <c r="C461" s="54" t="s">
        <v>81</v>
      </c>
      <c r="D461" s="75">
        <v>68</v>
      </c>
      <c r="E461" s="75"/>
      <c r="F461" s="75"/>
      <c r="G461" s="75"/>
      <c r="H461" s="75">
        <v>847.07</v>
      </c>
      <c r="I461" s="75">
        <v>57600.76</v>
      </c>
      <c r="J461" s="91" t="s">
        <v>1190</v>
      </c>
      <c r="K461" s="73"/>
      <c r="L461" s="46">
        <v>40</v>
      </c>
      <c r="M461" s="46">
        <v>0</v>
      </c>
      <c r="N461" s="46">
        <v>33882.800000000003</v>
      </c>
      <c r="O461" s="98"/>
      <c r="P461" s="23" t="s">
        <v>1406</v>
      </c>
      <c r="Q461" s="24" t="s">
        <v>1189</v>
      </c>
      <c r="R461" s="25" t="s">
        <v>81</v>
      </c>
      <c r="S461" s="26">
        <v>68</v>
      </c>
      <c r="T461" s="26"/>
      <c r="U461" s="26">
        <v>847.07</v>
      </c>
      <c r="V461" s="26">
        <f t="shared" si="97"/>
        <v>0</v>
      </c>
      <c r="W461" s="26">
        <f t="shared" si="101"/>
        <v>40</v>
      </c>
      <c r="X461" s="26">
        <f t="shared" si="98"/>
        <v>0</v>
      </c>
      <c r="Y461" s="26">
        <f t="shared" si="99"/>
        <v>33882.800000000003</v>
      </c>
      <c r="Z461" s="33" t="s">
        <v>15</v>
      </c>
      <c r="AA461" s="36" t="s">
        <v>16</v>
      </c>
      <c r="AB461" s="181">
        <f t="shared" si="90"/>
        <v>68</v>
      </c>
      <c r="AC461" s="181">
        <f t="shared" si="100"/>
        <v>57600.76</v>
      </c>
      <c r="AD461" s="181">
        <v>5</v>
      </c>
      <c r="AE461" s="181">
        <v>5</v>
      </c>
      <c r="AF461" s="101" t="str">
        <f t="shared" si="91"/>
        <v/>
      </c>
      <c r="AG461" s="190">
        <v>40</v>
      </c>
      <c r="AH461" s="69">
        <f t="shared" si="102"/>
        <v>68</v>
      </c>
    </row>
    <row r="462" spans="1:34" s="69" customFormat="1" ht="41.25" x14ac:dyDescent="0.3">
      <c r="A462" s="130" t="s">
        <v>1191</v>
      </c>
      <c r="B462" s="131" t="s">
        <v>1192</v>
      </c>
      <c r="C462" s="132" t="s">
        <v>30</v>
      </c>
      <c r="D462" s="133">
        <v>27.54</v>
      </c>
      <c r="E462" s="75"/>
      <c r="F462" s="75">
        <v>87.54</v>
      </c>
      <c r="G462" s="75"/>
      <c r="H462" s="75">
        <v>293.74</v>
      </c>
      <c r="I462" s="75">
        <v>25714</v>
      </c>
      <c r="J462" s="91" t="s">
        <v>1193</v>
      </c>
      <c r="K462" s="73"/>
      <c r="L462" s="46">
        <v>87.54</v>
      </c>
      <c r="M462" s="46">
        <v>0</v>
      </c>
      <c r="N462" s="46">
        <v>25714</v>
      </c>
      <c r="O462" s="98"/>
      <c r="P462" s="23" t="s">
        <v>1414</v>
      </c>
      <c r="Q462" s="24" t="s">
        <v>1192</v>
      </c>
      <c r="R462" s="25" t="s">
        <v>30</v>
      </c>
      <c r="S462" s="26">
        <v>27.54</v>
      </c>
      <c r="T462" s="26">
        <v>87.54</v>
      </c>
      <c r="U462" s="26">
        <v>293.74</v>
      </c>
      <c r="V462" s="127">
        <f t="shared" si="97"/>
        <v>0</v>
      </c>
      <c r="W462" s="127">
        <f t="shared" si="101"/>
        <v>87.54</v>
      </c>
      <c r="X462" s="127">
        <f t="shared" si="98"/>
        <v>0</v>
      </c>
      <c r="Y462" s="127">
        <f t="shared" si="99"/>
        <v>25714</v>
      </c>
      <c r="Z462" s="27" t="s">
        <v>15</v>
      </c>
      <c r="AA462" s="36" t="s">
        <v>16</v>
      </c>
      <c r="AB462" s="181">
        <f t="shared" si="90"/>
        <v>87.54</v>
      </c>
      <c r="AC462" s="181">
        <f t="shared" si="100"/>
        <v>25714</v>
      </c>
      <c r="AD462" s="181">
        <v>5</v>
      </c>
      <c r="AE462" s="181">
        <v>5</v>
      </c>
      <c r="AF462" s="101" t="str">
        <f t="shared" si="91"/>
        <v/>
      </c>
      <c r="AG462" s="190">
        <v>87.54</v>
      </c>
      <c r="AH462" s="69">
        <f t="shared" si="102"/>
        <v>87.54</v>
      </c>
    </row>
    <row r="463" spans="1:34" s="69" customFormat="1" ht="33" customHeight="1" x14ac:dyDescent="0.3">
      <c r="A463" s="130" t="s">
        <v>1194</v>
      </c>
      <c r="B463" s="131" t="s">
        <v>1195</v>
      </c>
      <c r="C463" s="132" t="s">
        <v>1196</v>
      </c>
      <c r="D463" s="133">
        <v>2</v>
      </c>
      <c r="E463" s="75"/>
      <c r="F463" s="75"/>
      <c r="G463" s="75"/>
      <c r="H463" s="75">
        <v>10000</v>
      </c>
      <c r="I463" s="75">
        <v>20000</v>
      </c>
      <c r="J463" s="91" t="s">
        <v>1197</v>
      </c>
      <c r="K463" s="73"/>
      <c r="L463" s="46">
        <v>2</v>
      </c>
      <c r="M463" s="46">
        <v>0</v>
      </c>
      <c r="N463" s="46">
        <v>20000</v>
      </c>
      <c r="O463" s="98"/>
      <c r="P463" s="23" t="s">
        <v>1429</v>
      </c>
      <c r="Q463" s="24" t="s">
        <v>1195</v>
      </c>
      <c r="R463" s="25" t="s">
        <v>1196</v>
      </c>
      <c r="S463" s="26">
        <v>2</v>
      </c>
      <c r="T463" s="26"/>
      <c r="U463" s="26">
        <v>10000</v>
      </c>
      <c r="V463" s="127">
        <f t="shared" si="97"/>
        <v>0</v>
      </c>
      <c r="W463" s="127">
        <f t="shared" si="101"/>
        <v>2</v>
      </c>
      <c r="X463" s="127">
        <f t="shared" si="98"/>
        <v>0</v>
      </c>
      <c r="Y463" s="127">
        <f t="shared" si="99"/>
        <v>20000</v>
      </c>
      <c r="Z463" s="33" t="s">
        <v>15</v>
      </c>
      <c r="AA463" s="36" t="s">
        <v>16</v>
      </c>
      <c r="AB463" s="181">
        <f t="shared" si="90"/>
        <v>2</v>
      </c>
      <c r="AC463" s="181">
        <f t="shared" si="100"/>
        <v>20000</v>
      </c>
      <c r="AD463" s="181">
        <v>5</v>
      </c>
      <c r="AE463" s="181">
        <v>5</v>
      </c>
      <c r="AF463" s="101" t="str">
        <f t="shared" si="91"/>
        <v/>
      </c>
      <c r="AG463" s="190">
        <v>2</v>
      </c>
      <c r="AH463" s="69">
        <f t="shared" si="102"/>
        <v>2</v>
      </c>
    </row>
    <row r="464" spans="1:34" s="69" customFormat="1" ht="33" customHeight="1" x14ac:dyDescent="0.3">
      <c r="A464" s="55" t="s">
        <v>1198</v>
      </c>
      <c r="B464" s="53" t="s">
        <v>1199</v>
      </c>
      <c r="C464" s="54" t="s">
        <v>30</v>
      </c>
      <c r="D464" s="75">
        <v>1064.31</v>
      </c>
      <c r="E464" s="75"/>
      <c r="F464" s="75"/>
      <c r="G464" s="75"/>
      <c r="H464" s="75">
        <v>210</v>
      </c>
      <c r="I464" s="75">
        <v>223505.1</v>
      </c>
      <c r="J464" s="91" t="s">
        <v>1200</v>
      </c>
      <c r="K464" s="73"/>
      <c r="L464" s="46">
        <v>652</v>
      </c>
      <c r="M464" s="46">
        <v>10920</v>
      </c>
      <c r="N464" s="46">
        <v>136920</v>
      </c>
      <c r="O464" s="98"/>
      <c r="P464" s="23" t="s">
        <v>1430</v>
      </c>
      <c r="Q464" s="24" t="s">
        <v>1199</v>
      </c>
      <c r="R464" s="25" t="s">
        <v>30</v>
      </c>
      <c r="S464" s="26">
        <v>1064.31</v>
      </c>
      <c r="T464" s="26"/>
      <c r="U464" s="26">
        <v>210</v>
      </c>
      <c r="V464" s="128">
        <f t="shared" si="97"/>
        <v>102</v>
      </c>
      <c r="W464" s="26">
        <f t="shared" si="101"/>
        <v>754</v>
      </c>
      <c r="X464" s="26">
        <f t="shared" si="98"/>
        <v>21420</v>
      </c>
      <c r="Y464" s="26">
        <f t="shared" si="99"/>
        <v>158340</v>
      </c>
      <c r="Z464" s="33" t="s">
        <v>15</v>
      </c>
      <c r="AA464" s="36" t="s">
        <v>16</v>
      </c>
      <c r="AB464" s="181">
        <f t="shared" si="90"/>
        <v>1064.31</v>
      </c>
      <c r="AC464" s="181">
        <f t="shared" si="100"/>
        <v>223505.1</v>
      </c>
      <c r="AD464" s="181">
        <v>5</v>
      </c>
      <c r="AE464" s="181">
        <v>5</v>
      </c>
      <c r="AF464" s="101" t="str">
        <f t="shared" si="91"/>
        <v/>
      </c>
      <c r="AG464" s="191">
        <f>600+52+102</f>
        <v>754</v>
      </c>
      <c r="AH464" s="69">
        <f t="shared" si="102"/>
        <v>1064.31</v>
      </c>
    </row>
    <row r="465" spans="1:34" s="69" customFormat="1" ht="33" x14ac:dyDescent="0.3">
      <c r="A465" s="55" t="s">
        <v>1201</v>
      </c>
      <c r="B465" s="53" t="s">
        <v>1202</v>
      </c>
      <c r="C465" s="54" t="s">
        <v>30</v>
      </c>
      <c r="D465" s="75">
        <v>1910.54</v>
      </c>
      <c r="E465" s="75"/>
      <c r="F465" s="75"/>
      <c r="G465" s="75"/>
      <c r="H465" s="75">
        <v>300</v>
      </c>
      <c r="I465" s="75">
        <v>573162</v>
      </c>
      <c r="J465" s="91" t="s">
        <v>1203</v>
      </c>
      <c r="K465" s="73"/>
      <c r="L465" s="46">
        <v>764</v>
      </c>
      <c r="M465" s="46">
        <v>32100</v>
      </c>
      <c r="N465" s="46">
        <v>229200</v>
      </c>
      <c r="O465" s="98"/>
      <c r="P465" s="23" t="s">
        <v>1431</v>
      </c>
      <c r="Q465" s="24" t="s">
        <v>1202</v>
      </c>
      <c r="R465" s="25" t="s">
        <v>30</v>
      </c>
      <c r="S465" s="26">
        <v>1910.54</v>
      </c>
      <c r="T465" s="26"/>
      <c r="U465" s="26">
        <v>300</v>
      </c>
      <c r="V465" s="128">
        <f t="shared" si="97"/>
        <v>210</v>
      </c>
      <c r="W465" s="26">
        <f t="shared" si="101"/>
        <v>974</v>
      </c>
      <c r="X465" s="26">
        <f t="shared" si="98"/>
        <v>63000</v>
      </c>
      <c r="Y465" s="26">
        <f t="shared" si="99"/>
        <v>292200</v>
      </c>
      <c r="Z465" s="33" t="s">
        <v>15</v>
      </c>
      <c r="AA465" s="36" t="s">
        <v>16</v>
      </c>
      <c r="AB465" s="181">
        <f t="shared" si="90"/>
        <v>1910.54</v>
      </c>
      <c r="AC465" s="181">
        <f t="shared" si="100"/>
        <v>573162</v>
      </c>
      <c r="AD465" s="181">
        <v>5</v>
      </c>
      <c r="AE465" s="181">
        <v>5</v>
      </c>
      <c r="AF465" s="101" t="str">
        <f t="shared" si="91"/>
        <v/>
      </c>
      <c r="AG465" s="191">
        <f>120+215+322+107+210</f>
        <v>974</v>
      </c>
      <c r="AH465" s="69">
        <f t="shared" si="102"/>
        <v>1910.54</v>
      </c>
    </row>
    <row r="466" spans="1:34" s="69" customFormat="1" ht="33" x14ac:dyDescent="0.3">
      <c r="A466" s="55" t="s">
        <v>1204</v>
      </c>
      <c r="B466" s="53" t="s">
        <v>1205</v>
      </c>
      <c r="C466" s="54" t="s">
        <v>30</v>
      </c>
      <c r="D466" s="75">
        <v>2738.45</v>
      </c>
      <c r="E466" s="75"/>
      <c r="F466" s="75"/>
      <c r="G466" s="75"/>
      <c r="H466" s="75">
        <v>200</v>
      </c>
      <c r="I466" s="75">
        <v>547690</v>
      </c>
      <c r="J466" s="91" t="s">
        <v>1206</v>
      </c>
      <c r="K466" s="73"/>
      <c r="L466" s="46">
        <v>938.7</v>
      </c>
      <c r="M466" s="46">
        <v>47600</v>
      </c>
      <c r="N466" s="46">
        <v>187740</v>
      </c>
      <c r="O466" s="98"/>
      <c r="P466" s="23" t="s">
        <v>1395</v>
      </c>
      <c r="Q466" s="24" t="s">
        <v>1205</v>
      </c>
      <c r="R466" s="25" t="s">
        <v>30</v>
      </c>
      <c r="S466" s="26">
        <v>2738.45</v>
      </c>
      <c r="T466" s="26"/>
      <c r="U466" s="26">
        <v>200</v>
      </c>
      <c r="V466" s="128">
        <f t="shared" si="97"/>
        <v>152</v>
      </c>
      <c r="W466" s="26">
        <f t="shared" si="101"/>
        <v>1090.7</v>
      </c>
      <c r="X466" s="26">
        <f t="shared" si="98"/>
        <v>30400</v>
      </c>
      <c r="Y466" s="26">
        <f t="shared" si="99"/>
        <v>218140</v>
      </c>
      <c r="Z466" s="33" t="s">
        <v>15</v>
      </c>
      <c r="AA466" s="36" t="s">
        <v>16</v>
      </c>
      <c r="AB466" s="181">
        <f t="shared" si="90"/>
        <v>2738.45</v>
      </c>
      <c r="AC466" s="181">
        <f t="shared" si="100"/>
        <v>547690</v>
      </c>
      <c r="AD466" s="181">
        <v>5</v>
      </c>
      <c r="AE466" s="181">
        <v>5</v>
      </c>
      <c r="AF466" s="101" t="str">
        <f t="shared" si="91"/>
        <v/>
      </c>
      <c r="AG466" s="191">
        <f>172.5+312.2+216+238+152</f>
        <v>1090.7</v>
      </c>
      <c r="AH466" s="69">
        <f t="shared" si="102"/>
        <v>2738.45</v>
      </c>
    </row>
    <row r="467" spans="1:34" s="69" customFormat="1" ht="33" customHeight="1" x14ac:dyDescent="0.3">
      <c r="A467" s="55" t="s">
        <v>1207</v>
      </c>
      <c r="B467" s="53" t="s">
        <v>1208</v>
      </c>
      <c r="C467" s="54" t="s">
        <v>14</v>
      </c>
      <c r="D467" s="75">
        <v>1</v>
      </c>
      <c r="E467" s="75"/>
      <c r="F467" s="76"/>
      <c r="G467" s="76"/>
      <c r="H467" s="75">
        <v>21460.9</v>
      </c>
      <c r="I467" s="75">
        <v>21460.9</v>
      </c>
      <c r="J467" s="91" t="s">
        <v>1209</v>
      </c>
      <c r="K467" s="73"/>
      <c r="L467" s="46">
        <v>0</v>
      </c>
      <c r="M467" s="46">
        <v>0</v>
      </c>
      <c r="N467" s="46">
        <v>0</v>
      </c>
      <c r="O467" s="98"/>
      <c r="P467" s="23" t="s">
        <v>1432</v>
      </c>
      <c r="Q467" s="24" t="s">
        <v>1208</v>
      </c>
      <c r="R467" s="25" t="s">
        <v>14</v>
      </c>
      <c r="S467" s="26">
        <v>1</v>
      </c>
      <c r="T467" s="26"/>
      <c r="U467" s="26">
        <v>21460.9</v>
      </c>
      <c r="V467" s="26">
        <f t="shared" si="97"/>
        <v>0</v>
      </c>
      <c r="W467" s="26">
        <f t="shared" si="101"/>
        <v>0</v>
      </c>
      <c r="X467" s="136">
        <f t="shared" si="98"/>
        <v>0</v>
      </c>
      <c r="Y467" s="26">
        <f t="shared" si="99"/>
        <v>0</v>
      </c>
      <c r="Z467" s="33" t="s">
        <v>15</v>
      </c>
      <c r="AA467" s="36" t="s">
        <v>16</v>
      </c>
      <c r="AB467" s="181">
        <f t="shared" si="90"/>
        <v>1</v>
      </c>
      <c r="AC467" s="181">
        <f t="shared" si="100"/>
        <v>21460.9</v>
      </c>
      <c r="AD467" s="181">
        <v>5</v>
      </c>
      <c r="AE467" s="181">
        <v>5</v>
      </c>
      <c r="AF467" s="101" t="str">
        <f t="shared" si="91"/>
        <v/>
      </c>
      <c r="AG467" s="190">
        <v>0</v>
      </c>
      <c r="AH467" s="69">
        <f t="shared" si="102"/>
        <v>1</v>
      </c>
    </row>
    <row r="468" spans="1:34" s="69" customFormat="1" ht="39" x14ac:dyDescent="0.3">
      <c r="A468" s="66">
        <v>5.18</v>
      </c>
      <c r="B468" s="57" t="s">
        <v>1356</v>
      </c>
      <c r="C468" s="58" t="s">
        <v>97</v>
      </c>
      <c r="D468" s="65"/>
      <c r="E468" s="59">
        <v>720</v>
      </c>
      <c r="F468" s="180"/>
      <c r="G468" s="180"/>
      <c r="H468" s="178">
        <v>273.11</v>
      </c>
      <c r="I468" s="59">
        <v>196639.2</v>
      </c>
      <c r="J468" s="92"/>
      <c r="K468" s="73"/>
      <c r="L468" s="46">
        <v>640</v>
      </c>
      <c r="M468" s="46">
        <v>0</v>
      </c>
      <c r="N468" s="46">
        <v>174790.39999999999</v>
      </c>
      <c r="O468" s="98"/>
      <c r="P468" s="23" t="s">
        <v>1433</v>
      </c>
      <c r="Q468" s="24" t="s">
        <v>1503</v>
      </c>
      <c r="R468" s="25" t="s">
        <v>97</v>
      </c>
      <c r="S468" s="26">
        <v>0</v>
      </c>
      <c r="T468" s="26">
        <v>720</v>
      </c>
      <c r="U468" s="26">
        <v>273.11</v>
      </c>
      <c r="V468" s="26">
        <f t="shared" si="97"/>
        <v>0</v>
      </c>
      <c r="W468" s="26">
        <f t="shared" si="101"/>
        <v>640</v>
      </c>
      <c r="X468" s="26">
        <f t="shared" si="98"/>
        <v>0</v>
      </c>
      <c r="Y468" s="26">
        <f t="shared" si="99"/>
        <v>174790.39999999999</v>
      </c>
      <c r="Z468" s="27"/>
      <c r="AA468" s="36" t="s">
        <v>16</v>
      </c>
      <c r="AB468" s="181">
        <f t="shared" si="90"/>
        <v>720</v>
      </c>
      <c r="AC468" s="181">
        <f t="shared" si="100"/>
        <v>196639.2</v>
      </c>
      <c r="AD468" s="181">
        <v>5</v>
      </c>
      <c r="AE468" s="181">
        <v>5</v>
      </c>
      <c r="AF468" s="101" t="str">
        <f t="shared" si="91"/>
        <v/>
      </c>
      <c r="AG468" s="190">
        <v>640</v>
      </c>
      <c r="AH468" s="69">
        <f t="shared" si="102"/>
        <v>720</v>
      </c>
    </row>
    <row r="469" spans="1:34" s="69" customFormat="1" ht="39" x14ac:dyDescent="0.3">
      <c r="A469" s="144">
        <v>5.19</v>
      </c>
      <c r="B469" s="145" t="s">
        <v>1357</v>
      </c>
      <c r="C469" s="206" t="s">
        <v>30</v>
      </c>
      <c r="D469" s="221"/>
      <c r="E469" s="175">
        <v>212</v>
      </c>
      <c r="F469" s="180"/>
      <c r="G469" s="180"/>
      <c r="H469" s="179">
        <v>1859.87</v>
      </c>
      <c r="I469" s="175">
        <v>394292.44</v>
      </c>
      <c r="J469" s="176"/>
      <c r="K469" s="73"/>
      <c r="L469" s="46">
        <v>212</v>
      </c>
      <c r="M469" s="46">
        <v>0</v>
      </c>
      <c r="N469" s="46">
        <v>394292.44</v>
      </c>
      <c r="O469" s="98"/>
      <c r="P469" s="23" t="s">
        <v>1382</v>
      </c>
      <c r="Q469" s="24" t="s">
        <v>1504</v>
      </c>
      <c r="R469" s="25" t="s">
        <v>30</v>
      </c>
      <c r="S469" s="26">
        <v>0</v>
      </c>
      <c r="T469" s="26">
        <v>212</v>
      </c>
      <c r="U469" s="26">
        <v>1859.87</v>
      </c>
      <c r="V469" s="127">
        <f t="shared" si="97"/>
        <v>0</v>
      </c>
      <c r="W469" s="127">
        <f t="shared" si="101"/>
        <v>212</v>
      </c>
      <c r="X469" s="127">
        <f t="shared" si="98"/>
        <v>0</v>
      </c>
      <c r="Y469" s="127">
        <f t="shared" si="99"/>
        <v>394292.44</v>
      </c>
      <c r="Z469" s="27"/>
      <c r="AA469" s="36" t="s">
        <v>16</v>
      </c>
      <c r="AB469" s="181">
        <f t="shared" si="90"/>
        <v>212</v>
      </c>
      <c r="AC469" s="181">
        <f t="shared" si="100"/>
        <v>394292.44</v>
      </c>
      <c r="AD469" s="181">
        <v>5</v>
      </c>
      <c r="AE469" s="181">
        <v>5</v>
      </c>
      <c r="AF469" s="101" t="str">
        <f t="shared" si="91"/>
        <v/>
      </c>
      <c r="AG469" s="190">
        <v>212</v>
      </c>
      <c r="AH469" s="69">
        <f t="shared" si="102"/>
        <v>212</v>
      </c>
    </row>
    <row r="470" spans="1:34" s="69" customFormat="1" ht="39" x14ac:dyDescent="0.3">
      <c r="A470" s="210" t="s">
        <v>3106</v>
      </c>
      <c r="B470" s="208" t="s">
        <v>3107</v>
      </c>
      <c r="C470" s="204" t="s">
        <v>14</v>
      </c>
      <c r="D470" s="208"/>
      <c r="E470" s="159"/>
      <c r="F470" s="156"/>
      <c r="G470" s="156">
        <v>1</v>
      </c>
      <c r="H470" s="158"/>
      <c r="I470" s="159">
        <v>263694.64</v>
      </c>
      <c r="J470" s="160"/>
      <c r="K470" s="73"/>
      <c r="L470" s="46">
        <v>1</v>
      </c>
      <c r="M470" s="46">
        <v>0</v>
      </c>
      <c r="N470" s="46">
        <v>263694.64</v>
      </c>
      <c r="O470" s="98"/>
      <c r="P470" s="23" t="s">
        <v>3108</v>
      </c>
      <c r="Q470" s="24" t="s">
        <v>3107</v>
      </c>
      <c r="R470" s="25" t="s">
        <v>14</v>
      </c>
      <c r="S470" s="26"/>
      <c r="T470" s="26">
        <v>1</v>
      </c>
      <c r="U470" s="26">
        <v>263694.64</v>
      </c>
      <c r="V470" s="127">
        <f t="shared" si="97"/>
        <v>0</v>
      </c>
      <c r="W470" s="127">
        <f t="shared" si="101"/>
        <v>1</v>
      </c>
      <c r="X470" s="127">
        <f t="shared" si="98"/>
        <v>0</v>
      </c>
      <c r="Y470" s="127">
        <f t="shared" si="99"/>
        <v>263694.64</v>
      </c>
      <c r="Z470" s="27"/>
      <c r="AA470" s="36"/>
      <c r="AB470" s="181">
        <f t="shared" si="90"/>
        <v>1</v>
      </c>
      <c r="AC470" s="181">
        <f t="shared" si="100"/>
        <v>263694.64</v>
      </c>
      <c r="AD470" s="181">
        <v>5</v>
      </c>
      <c r="AE470" s="181">
        <v>5</v>
      </c>
      <c r="AF470" s="101"/>
      <c r="AG470" s="193">
        <v>1</v>
      </c>
      <c r="AH470" s="69">
        <f t="shared" si="102"/>
        <v>1</v>
      </c>
    </row>
    <row r="471" spans="1:34" s="69" customFormat="1" ht="33" x14ac:dyDescent="0.3">
      <c r="A471" s="150" t="s">
        <v>1210</v>
      </c>
      <c r="B471" s="151" t="s">
        <v>1211</v>
      </c>
      <c r="C471" s="152" t="s">
        <v>14</v>
      </c>
      <c r="D471" s="153">
        <v>1</v>
      </c>
      <c r="E471" s="153"/>
      <c r="F471" s="153"/>
      <c r="G471" s="153"/>
      <c r="H471" s="153"/>
      <c r="I471" s="153">
        <v>3143726.96</v>
      </c>
      <c r="J471" s="154" t="s">
        <v>15</v>
      </c>
      <c r="K471" s="73"/>
      <c r="L471" s="42">
        <v>1</v>
      </c>
      <c r="M471" s="42">
        <v>230916.38</v>
      </c>
      <c r="N471" s="42">
        <v>2274321.37</v>
      </c>
      <c r="O471" s="98"/>
      <c r="P471" s="13" t="s">
        <v>1415</v>
      </c>
      <c r="Q471" s="14" t="s">
        <v>1211</v>
      </c>
      <c r="R471" s="15" t="s">
        <v>14</v>
      </c>
      <c r="S471" s="16">
        <v>1</v>
      </c>
      <c r="T471" s="16"/>
      <c r="U471" s="16">
        <f>SUMIFS(AC:AC,AD:AD,AD471)</f>
        <v>3143726.9600000004</v>
      </c>
      <c r="V471" s="16">
        <f t="shared" ref="V471:W471" si="103">IF(X471=0,0,1)</f>
        <v>1</v>
      </c>
      <c r="W471" s="16">
        <f t="shared" si="103"/>
        <v>1</v>
      </c>
      <c r="X471" s="16">
        <f>SUMIFS(X:X,AE:AE,AD471)</f>
        <v>94936</v>
      </c>
      <c r="Y471" s="16">
        <f>SUMIFS(Y:Y,AE:AE,AD471)</f>
        <v>2369257.37</v>
      </c>
      <c r="Z471" s="17" t="s">
        <v>15</v>
      </c>
      <c r="AA471" s="40" t="s">
        <v>16</v>
      </c>
      <c r="AB471" s="181">
        <f t="shared" si="90"/>
        <v>1</v>
      </c>
      <c r="AC471" s="183"/>
      <c r="AD471" s="183">
        <v>6</v>
      </c>
      <c r="AE471" s="183"/>
      <c r="AF471" s="101" t="str">
        <f t="shared" si="91"/>
        <v/>
      </c>
      <c r="AG471" s="190">
        <v>1</v>
      </c>
      <c r="AH471" s="69">
        <f t="shared" si="102"/>
        <v>1</v>
      </c>
    </row>
    <row r="472" spans="1:34" s="69" customFormat="1" ht="33" customHeight="1" x14ac:dyDescent="0.3">
      <c r="A472" s="130" t="s">
        <v>1212</v>
      </c>
      <c r="B472" s="131" t="s">
        <v>1213</v>
      </c>
      <c r="C472" s="132" t="s">
        <v>1014</v>
      </c>
      <c r="D472" s="133">
        <v>10</v>
      </c>
      <c r="E472" s="75"/>
      <c r="F472" s="75"/>
      <c r="G472" s="75"/>
      <c r="H472" s="75">
        <v>770</v>
      </c>
      <c r="I472" s="75">
        <v>7700</v>
      </c>
      <c r="J472" s="91" t="s">
        <v>1214</v>
      </c>
      <c r="K472" s="73"/>
      <c r="L472" s="46">
        <v>10</v>
      </c>
      <c r="M472" s="46">
        <v>0</v>
      </c>
      <c r="N472" s="46">
        <v>7700</v>
      </c>
      <c r="O472" s="98"/>
      <c r="P472" s="23" t="s">
        <v>1421</v>
      </c>
      <c r="Q472" s="24" t="s">
        <v>1213</v>
      </c>
      <c r="R472" s="25" t="s">
        <v>1014</v>
      </c>
      <c r="S472" s="26">
        <v>10</v>
      </c>
      <c r="T472" s="26"/>
      <c r="U472" s="26">
        <v>770</v>
      </c>
      <c r="V472" s="127">
        <f t="shared" ref="V472:V490" si="104">AG472-L472</f>
        <v>0</v>
      </c>
      <c r="W472" s="127">
        <f t="shared" si="101"/>
        <v>10</v>
      </c>
      <c r="X472" s="127">
        <f t="shared" ref="X472:X490" si="105">Y472-N472</f>
        <v>0</v>
      </c>
      <c r="Y472" s="127">
        <f t="shared" ref="Y472:Y490" si="106">ROUND(U472*W472,2)</f>
        <v>7700</v>
      </c>
      <c r="Z472" s="33" t="s">
        <v>15</v>
      </c>
      <c r="AA472" s="36" t="s">
        <v>16</v>
      </c>
      <c r="AB472" s="181">
        <f t="shared" si="90"/>
        <v>10</v>
      </c>
      <c r="AC472" s="181">
        <f t="shared" ref="AC472:AC490" si="107">ROUND(U472*AB472,2)</f>
        <v>7700</v>
      </c>
      <c r="AD472" s="181">
        <v>6</v>
      </c>
      <c r="AE472" s="181">
        <v>6</v>
      </c>
      <c r="AF472" s="101" t="str">
        <f t="shared" si="91"/>
        <v/>
      </c>
      <c r="AG472" s="190">
        <v>10</v>
      </c>
      <c r="AH472" s="69">
        <f t="shared" si="102"/>
        <v>10</v>
      </c>
    </row>
    <row r="473" spans="1:34" s="69" customFormat="1" ht="33" customHeight="1" x14ac:dyDescent="0.3">
      <c r="A473" s="130" t="s">
        <v>1215</v>
      </c>
      <c r="B473" s="131" t="s">
        <v>1216</v>
      </c>
      <c r="C473" s="132" t="s">
        <v>1217</v>
      </c>
      <c r="D473" s="133">
        <v>100</v>
      </c>
      <c r="E473" s="75"/>
      <c r="F473" s="75"/>
      <c r="G473" s="75"/>
      <c r="H473" s="75">
        <v>201</v>
      </c>
      <c r="I473" s="75">
        <v>20100</v>
      </c>
      <c r="J473" s="91" t="s">
        <v>1218</v>
      </c>
      <c r="K473" s="73"/>
      <c r="L473" s="46">
        <v>100</v>
      </c>
      <c r="M473" s="46">
        <v>0</v>
      </c>
      <c r="N473" s="46">
        <v>20100</v>
      </c>
      <c r="O473" s="98"/>
      <c r="P473" s="23" t="s">
        <v>1426</v>
      </c>
      <c r="Q473" s="24" t="s">
        <v>1216</v>
      </c>
      <c r="R473" s="25" t="s">
        <v>1217</v>
      </c>
      <c r="S473" s="26">
        <v>100</v>
      </c>
      <c r="T473" s="26"/>
      <c r="U473" s="26">
        <v>201</v>
      </c>
      <c r="V473" s="127">
        <f t="shared" si="104"/>
        <v>0</v>
      </c>
      <c r="W473" s="127">
        <f t="shared" si="101"/>
        <v>100</v>
      </c>
      <c r="X473" s="127">
        <f t="shared" si="105"/>
        <v>0</v>
      </c>
      <c r="Y473" s="127">
        <f t="shared" si="106"/>
        <v>20100</v>
      </c>
      <c r="Z473" s="33" t="s">
        <v>15</v>
      </c>
      <c r="AA473" s="36" t="s">
        <v>16</v>
      </c>
      <c r="AB473" s="181">
        <f t="shared" si="90"/>
        <v>100</v>
      </c>
      <c r="AC473" s="181">
        <f t="shared" si="107"/>
        <v>20100</v>
      </c>
      <c r="AD473" s="181">
        <v>6</v>
      </c>
      <c r="AE473" s="181">
        <v>6</v>
      </c>
      <c r="AF473" s="101" t="str">
        <f t="shared" si="91"/>
        <v/>
      </c>
      <c r="AG473" s="190">
        <v>100</v>
      </c>
      <c r="AH473" s="69">
        <f t="shared" si="102"/>
        <v>100</v>
      </c>
    </row>
    <row r="474" spans="1:34" s="69" customFormat="1" ht="39" x14ac:dyDescent="0.3">
      <c r="A474" s="130" t="s">
        <v>1219</v>
      </c>
      <c r="B474" s="131" t="s">
        <v>1220</v>
      </c>
      <c r="C474" s="132" t="s">
        <v>1221</v>
      </c>
      <c r="D474" s="133">
        <v>50</v>
      </c>
      <c r="E474" s="75"/>
      <c r="F474" s="75"/>
      <c r="G474" s="75"/>
      <c r="H474" s="75">
        <v>300</v>
      </c>
      <c r="I474" s="75">
        <v>15000</v>
      </c>
      <c r="J474" s="91" t="s">
        <v>1222</v>
      </c>
      <c r="K474" s="73"/>
      <c r="L474" s="46">
        <v>50</v>
      </c>
      <c r="M474" s="46">
        <v>0</v>
      </c>
      <c r="N474" s="46">
        <v>15000</v>
      </c>
      <c r="O474" s="98"/>
      <c r="P474" s="23" t="s">
        <v>1402</v>
      </c>
      <c r="Q474" s="24" t="s">
        <v>1220</v>
      </c>
      <c r="R474" s="25" t="s">
        <v>1221</v>
      </c>
      <c r="S474" s="26">
        <v>50</v>
      </c>
      <c r="T474" s="26"/>
      <c r="U474" s="26">
        <v>300</v>
      </c>
      <c r="V474" s="127">
        <f t="shared" si="104"/>
        <v>0</v>
      </c>
      <c r="W474" s="127">
        <f t="shared" si="101"/>
        <v>50</v>
      </c>
      <c r="X474" s="127">
        <f t="shared" si="105"/>
        <v>0</v>
      </c>
      <c r="Y474" s="127">
        <f t="shared" si="106"/>
        <v>15000</v>
      </c>
      <c r="Z474" s="33" t="s">
        <v>15</v>
      </c>
      <c r="AA474" s="36" t="s">
        <v>16</v>
      </c>
      <c r="AB474" s="181">
        <f t="shared" si="90"/>
        <v>50</v>
      </c>
      <c r="AC474" s="181">
        <f t="shared" si="107"/>
        <v>15000</v>
      </c>
      <c r="AD474" s="181">
        <v>6</v>
      </c>
      <c r="AE474" s="181">
        <v>6</v>
      </c>
      <c r="AF474" s="101" t="str">
        <f t="shared" si="91"/>
        <v/>
      </c>
      <c r="AG474" s="190">
        <v>50</v>
      </c>
      <c r="AH474" s="69">
        <f t="shared" si="102"/>
        <v>50</v>
      </c>
    </row>
    <row r="475" spans="1:34" s="69" customFormat="1" ht="33" customHeight="1" x14ac:dyDescent="0.3">
      <c r="A475" s="130" t="s">
        <v>1223</v>
      </c>
      <c r="B475" s="131" t="s">
        <v>1224</v>
      </c>
      <c r="C475" s="132" t="s">
        <v>325</v>
      </c>
      <c r="D475" s="133">
        <v>75</v>
      </c>
      <c r="E475" s="75"/>
      <c r="F475" s="75"/>
      <c r="G475" s="75"/>
      <c r="H475" s="75">
        <v>650</v>
      </c>
      <c r="I475" s="75">
        <v>48750</v>
      </c>
      <c r="J475" s="91" t="s">
        <v>1225</v>
      </c>
      <c r="K475" s="73"/>
      <c r="L475" s="46">
        <v>75</v>
      </c>
      <c r="M475" s="46">
        <v>0</v>
      </c>
      <c r="N475" s="46">
        <v>48750</v>
      </c>
      <c r="O475" s="98"/>
      <c r="P475" s="23" t="s">
        <v>1373</v>
      </c>
      <c r="Q475" s="24" t="s">
        <v>1224</v>
      </c>
      <c r="R475" s="25" t="s">
        <v>325</v>
      </c>
      <c r="S475" s="26">
        <v>75</v>
      </c>
      <c r="T475" s="26"/>
      <c r="U475" s="26">
        <v>650</v>
      </c>
      <c r="V475" s="127">
        <f t="shared" si="104"/>
        <v>0</v>
      </c>
      <c r="W475" s="127">
        <f t="shared" si="101"/>
        <v>75</v>
      </c>
      <c r="X475" s="127">
        <f t="shared" si="105"/>
        <v>0</v>
      </c>
      <c r="Y475" s="127">
        <f t="shared" si="106"/>
        <v>48750</v>
      </c>
      <c r="Z475" s="33" t="s">
        <v>15</v>
      </c>
      <c r="AA475" s="36" t="s">
        <v>16</v>
      </c>
      <c r="AB475" s="181">
        <f t="shared" si="90"/>
        <v>75</v>
      </c>
      <c r="AC475" s="181">
        <f t="shared" si="107"/>
        <v>48750</v>
      </c>
      <c r="AD475" s="181">
        <v>6</v>
      </c>
      <c r="AE475" s="181">
        <v>6</v>
      </c>
      <c r="AF475" s="101" t="str">
        <f t="shared" si="91"/>
        <v/>
      </c>
      <c r="AG475" s="190">
        <v>75</v>
      </c>
      <c r="AH475" s="69">
        <f t="shared" si="102"/>
        <v>75</v>
      </c>
    </row>
    <row r="476" spans="1:34" s="69" customFormat="1" ht="33" customHeight="1" x14ac:dyDescent="0.3">
      <c r="A476" s="130" t="s">
        <v>1226</v>
      </c>
      <c r="B476" s="131" t="s">
        <v>1227</v>
      </c>
      <c r="C476" s="132" t="s">
        <v>1228</v>
      </c>
      <c r="D476" s="133">
        <v>200</v>
      </c>
      <c r="E476" s="75"/>
      <c r="F476" s="75"/>
      <c r="G476" s="75"/>
      <c r="H476" s="75">
        <v>28</v>
      </c>
      <c r="I476" s="75">
        <v>5600</v>
      </c>
      <c r="J476" s="91" t="s">
        <v>1229</v>
      </c>
      <c r="K476" s="73"/>
      <c r="L476" s="46">
        <v>200</v>
      </c>
      <c r="M476" s="46">
        <v>0</v>
      </c>
      <c r="N476" s="46">
        <v>5600</v>
      </c>
      <c r="O476" s="98"/>
      <c r="P476" s="23" t="s">
        <v>1393</v>
      </c>
      <c r="Q476" s="24" t="s">
        <v>1227</v>
      </c>
      <c r="R476" s="25" t="s">
        <v>1228</v>
      </c>
      <c r="S476" s="26">
        <v>200</v>
      </c>
      <c r="T476" s="26"/>
      <c r="U476" s="26">
        <v>28</v>
      </c>
      <c r="V476" s="127">
        <f t="shared" si="104"/>
        <v>0</v>
      </c>
      <c r="W476" s="127">
        <f t="shared" si="101"/>
        <v>200</v>
      </c>
      <c r="X476" s="127">
        <f t="shared" si="105"/>
        <v>0</v>
      </c>
      <c r="Y476" s="127">
        <f t="shared" si="106"/>
        <v>5600</v>
      </c>
      <c r="Z476" s="33" t="s">
        <v>15</v>
      </c>
      <c r="AA476" s="36" t="s">
        <v>16</v>
      </c>
      <c r="AB476" s="181">
        <f t="shared" si="90"/>
        <v>200</v>
      </c>
      <c r="AC476" s="181">
        <f t="shared" si="107"/>
        <v>5600</v>
      </c>
      <c r="AD476" s="181">
        <v>6</v>
      </c>
      <c r="AE476" s="181">
        <v>6</v>
      </c>
      <c r="AF476" s="101" t="str">
        <f t="shared" si="91"/>
        <v/>
      </c>
      <c r="AG476" s="190">
        <v>200</v>
      </c>
      <c r="AH476" s="69">
        <f t="shared" si="102"/>
        <v>200</v>
      </c>
    </row>
    <row r="477" spans="1:34" s="69" customFormat="1" ht="33" customHeight="1" x14ac:dyDescent="0.3">
      <c r="A477" s="55" t="s">
        <v>1230</v>
      </c>
      <c r="B477" s="53" t="s">
        <v>1231</v>
      </c>
      <c r="C477" s="54" t="s">
        <v>1228</v>
      </c>
      <c r="D477" s="75">
        <v>100</v>
      </c>
      <c r="E477" s="75"/>
      <c r="F477" s="75"/>
      <c r="G477" s="75"/>
      <c r="H477" s="75">
        <v>500</v>
      </c>
      <c r="I477" s="75">
        <v>50000</v>
      </c>
      <c r="J477" s="91" t="s">
        <v>1232</v>
      </c>
      <c r="K477" s="73"/>
      <c r="L477" s="46">
        <v>62</v>
      </c>
      <c r="M477" s="46">
        <v>31000</v>
      </c>
      <c r="N477" s="46">
        <v>31000</v>
      </c>
      <c r="O477" s="98"/>
      <c r="P477" s="23" t="s">
        <v>1403</v>
      </c>
      <c r="Q477" s="24" t="s">
        <v>1231</v>
      </c>
      <c r="R477" s="25" t="s">
        <v>1228</v>
      </c>
      <c r="S477" s="26">
        <v>100</v>
      </c>
      <c r="T477" s="26"/>
      <c r="U477" s="26">
        <v>500</v>
      </c>
      <c r="V477" s="128">
        <f t="shared" si="104"/>
        <v>0</v>
      </c>
      <c r="W477" s="26">
        <f t="shared" si="101"/>
        <v>62</v>
      </c>
      <c r="X477" s="26">
        <f t="shared" si="105"/>
        <v>0</v>
      </c>
      <c r="Y477" s="26">
        <f t="shared" si="106"/>
        <v>31000</v>
      </c>
      <c r="Z477" s="33" t="s">
        <v>15</v>
      </c>
      <c r="AA477" s="36" t="s">
        <v>16</v>
      </c>
      <c r="AB477" s="181">
        <f t="shared" ref="AB477:AB498" si="108">IF(T477="",S477,T477)</f>
        <v>100</v>
      </c>
      <c r="AC477" s="181">
        <f t="shared" si="107"/>
        <v>50000</v>
      </c>
      <c r="AD477" s="181">
        <v>6</v>
      </c>
      <c r="AE477" s="181">
        <v>6</v>
      </c>
      <c r="AF477" s="101" t="str">
        <f t="shared" ref="AF477:AF502" si="109">IF(W477&gt;AH477,"超估","")</f>
        <v/>
      </c>
      <c r="AG477" s="191">
        <f>62</f>
        <v>62</v>
      </c>
      <c r="AH477" s="69">
        <f t="shared" si="102"/>
        <v>100</v>
      </c>
    </row>
    <row r="478" spans="1:34" s="69" customFormat="1" ht="33" customHeight="1" x14ac:dyDescent="0.3">
      <c r="A478" s="55" t="s">
        <v>1233</v>
      </c>
      <c r="B478" s="53" t="s">
        <v>1234</v>
      </c>
      <c r="C478" s="54" t="s">
        <v>1235</v>
      </c>
      <c r="D478" s="75">
        <v>75</v>
      </c>
      <c r="E478" s="75"/>
      <c r="F478" s="75"/>
      <c r="G478" s="75"/>
      <c r="H478" s="75">
        <v>280</v>
      </c>
      <c r="I478" s="75">
        <v>21000</v>
      </c>
      <c r="J478" s="91" t="s">
        <v>1236</v>
      </c>
      <c r="K478" s="73"/>
      <c r="L478" s="46">
        <v>38</v>
      </c>
      <c r="M478" s="46">
        <v>10640</v>
      </c>
      <c r="N478" s="46">
        <v>10640</v>
      </c>
      <c r="O478" s="98"/>
      <c r="P478" s="23" t="s">
        <v>1427</v>
      </c>
      <c r="Q478" s="24" t="s">
        <v>1234</v>
      </c>
      <c r="R478" s="25" t="s">
        <v>1235</v>
      </c>
      <c r="S478" s="26">
        <v>75</v>
      </c>
      <c r="T478" s="26"/>
      <c r="U478" s="26">
        <v>280</v>
      </c>
      <c r="V478" s="128">
        <f t="shared" si="104"/>
        <v>0</v>
      </c>
      <c r="W478" s="26">
        <f t="shared" si="101"/>
        <v>38</v>
      </c>
      <c r="X478" s="26">
        <f t="shared" si="105"/>
        <v>0</v>
      </c>
      <c r="Y478" s="26">
        <f t="shared" si="106"/>
        <v>10640</v>
      </c>
      <c r="Z478" s="33" t="s">
        <v>15</v>
      </c>
      <c r="AA478" s="36" t="s">
        <v>16</v>
      </c>
      <c r="AB478" s="181">
        <f t="shared" si="108"/>
        <v>75</v>
      </c>
      <c r="AC478" s="181">
        <f t="shared" si="107"/>
        <v>21000</v>
      </c>
      <c r="AD478" s="181">
        <v>6</v>
      </c>
      <c r="AE478" s="181">
        <v>6</v>
      </c>
      <c r="AF478" s="101" t="str">
        <f t="shared" si="109"/>
        <v/>
      </c>
      <c r="AG478" s="191">
        <f>38</f>
        <v>38</v>
      </c>
      <c r="AH478" s="69">
        <f t="shared" si="102"/>
        <v>75</v>
      </c>
    </row>
    <row r="479" spans="1:34" s="69" customFormat="1" ht="78" x14ac:dyDescent="0.3">
      <c r="A479" s="130" t="s">
        <v>1237</v>
      </c>
      <c r="B479" s="131" t="s">
        <v>1238</v>
      </c>
      <c r="C479" s="132" t="s">
        <v>1235</v>
      </c>
      <c r="D479" s="133">
        <v>50</v>
      </c>
      <c r="E479" s="75"/>
      <c r="F479" s="75"/>
      <c r="G479" s="75"/>
      <c r="H479" s="75">
        <v>350</v>
      </c>
      <c r="I479" s="75">
        <v>17500</v>
      </c>
      <c r="J479" s="91" t="s">
        <v>1239</v>
      </c>
      <c r="K479" s="73"/>
      <c r="L479" s="46">
        <v>50</v>
      </c>
      <c r="M479" s="46">
        <v>0</v>
      </c>
      <c r="N479" s="46">
        <v>17500</v>
      </c>
      <c r="O479" s="98"/>
      <c r="P479" s="23" t="s">
        <v>1428</v>
      </c>
      <c r="Q479" s="24" t="s">
        <v>1238</v>
      </c>
      <c r="R479" s="25" t="s">
        <v>1235</v>
      </c>
      <c r="S479" s="26">
        <v>50</v>
      </c>
      <c r="T479" s="26"/>
      <c r="U479" s="26">
        <v>350</v>
      </c>
      <c r="V479" s="127">
        <f t="shared" si="104"/>
        <v>0</v>
      </c>
      <c r="W479" s="127">
        <f t="shared" si="101"/>
        <v>50</v>
      </c>
      <c r="X479" s="127">
        <f t="shared" si="105"/>
        <v>0</v>
      </c>
      <c r="Y479" s="127">
        <f t="shared" si="106"/>
        <v>17500</v>
      </c>
      <c r="Z479" s="33" t="s">
        <v>15</v>
      </c>
      <c r="AA479" s="36" t="s">
        <v>16</v>
      </c>
      <c r="AB479" s="181">
        <f t="shared" si="108"/>
        <v>50</v>
      </c>
      <c r="AC479" s="181">
        <f t="shared" si="107"/>
        <v>17500</v>
      </c>
      <c r="AD479" s="181">
        <v>6</v>
      </c>
      <c r="AE479" s="181">
        <v>6</v>
      </c>
      <c r="AF479" s="101" t="str">
        <f t="shared" si="109"/>
        <v/>
      </c>
      <c r="AG479" s="190">
        <v>50</v>
      </c>
      <c r="AH479" s="69">
        <f t="shared" si="102"/>
        <v>50</v>
      </c>
    </row>
    <row r="480" spans="1:34" s="69" customFormat="1" ht="33" customHeight="1" x14ac:dyDescent="0.3">
      <c r="A480" s="130" t="s">
        <v>1240</v>
      </c>
      <c r="B480" s="131" t="s">
        <v>1241</v>
      </c>
      <c r="C480" s="132" t="s">
        <v>325</v>
      </c>
      <c r="D480" s="133">
        <v>10</v>
      </c>
      <c r="E480" s="75"/>
      <c r="F480" s="75"/>
      <c r="G480" s="75"/>
      <c r="H480" s="75">
        <v>560</v>
      </c>
      <c r="I480" s="75">
        <v>5600</v>
      </c>
      <c r="J480" s="91" t="s">
        <v>1242</v>
      </c>
      <c r="K480" s="73"/>
      <c r="L480" s="46">
        <v>10</v>
      </c>
      <c r="M480" s="46">
        <v>5600</v>
      </c>
      <c r="N480" s="46">
        <v>5600</v>
      </c>
      <c r="O480" s="98"/>
      <c r="P480" s="23" t="s">
        <v>1387</v>
      </c>
      <c r="Q480" s="24" t="s">
        <v>1241</v>
      </c>
      <c r="R480" s="25" t="s">
        <v>325</v>
      </c>
      <c r="S480" s="26">
        <v>10</v>
      </c>
      <c r="T480" s="26"/>
      <c r="U480" s="26">
        <v>560</v>
      </c>
      <c r="V480" s="127">
        <f t="shared" si="104"/>
        <v>0</v>
      </c>
      <c r="W480" s="127">
        <f t="shared" si="101"/>
        <v>10</v>
      </c>
      <c r="X480" s="127">
        <f t="shared" si="105"/>
        <v>0</v>
      </c>
      <c r="Y480" s="127">
        <f t="shared" si="106"/>
        <v>5600</v>
      </c>
      <c r="Z480" s="33" t="s">
        <v>15</v>
      </c>
      <c r="AA480" s="36" t="s">
        <v>16</v>
      </c>
      <c r="AB480" s="181">
        <f t="shared" si="108"/>
        <v>10</v>
      </c>
      <c r="AC480" s="181">
        <f t="shared" si="107"/>
        <v>5600</v>
      </c>
      <c r="AD480" s="181">
        <v>6</v>
      </c>
      <c r="AE480" s="181">
        <v>6</v>
      </c>
      <c r="AF480" s="101" t="str">
        <f t="shared" si="109"/>
        <v/>
      </c>
      <c r="AG480" s="191">
        <f>10</f>
        <v>10</v>
      </c>
      <c r="AH480" s="69">
        <f t="shared" si="102"/>
        <v>10</v>
      </c>
    </row>
    <row r="481" spans="1:34" s="69" customFormat="1" ht="33" customHeight="1" x14ac:dyDescent="0.3">
      <c r="A481" s="130" t="s">
        <v>1243</v>
      </c>
      <c r="B481" s="131" t="s">
        <v>1244</v>
      </c>
      <c r="C481" s="132" t="s">
        <v>162</v>
      </c>
      <c r="D481" s="133">
        <v>4</v>
      </c>
      <c r="E481" s="75"/>
      <c r="F481" s="75"/>
      <c r="G481" s="75"/>
      <c r="H481" s="75">
        <v>250</v>
      </c>
      <c r="I481" s="75">
        <v>1000</v>
      </c>
      <c r="J481" s="91" t="s">
        <v>1245</v>
      </c>
      <c r="K481" s="73"/>
      <c r="L481" s="46">
        <v>4</v>
      </c>
      <c r="M481" s="46">
        <v>0</v>
      </c>
      <c r="N481" s="46">
        <v>1000</v>
      </c>
      <c r="O481" s="98"/>
      <c r="P481" s="23" t="s">
        <v>1405</v>
      </c>
      <c r="Q481" s="24" t="s">
        <v>1244</v>
      </c>
      <c r="R481" s="25" t="s">
        <v>162</v>
      </c>
      <c r="S481" s="26">
        <v>4</v>
      </c>
      <c r="T481" s="26"/>
      <c r="U481" s="26">
        <v>250</v>
      </c>
      <c r="V481" s="127">
        <f t="shared" si="104"/>
        <v>0</v>
      </c>
      <c r="W481" s="127">
        <f t="shared" si="101"/>
        <v>4</v>
      </c>
      <c r="X481" s="127">
        <f t="shared" si="105"/>
        <v>0</v>
      </c>
      <c r="Y481" s="127">
        <f t="shared" si="106"/>
        <v>1000</v>
      </c>
      <c r="Z481" s="33" t="s">
        <v>15</v>
      </c>
      <c r="AA481" s="36" t="s">
        <v>16</v>
      </c>
      <c r="AB481" s="181">
        <f t="shared" si="108"/>
        <v>4</v>
      </c>
      <c r="AC481" s="181">
        <f t="shared" si="107"/>
        <v>1000</v>
      </c>
      <c r="AD481" s="181">
        <v>6</v>
      </c>
      <c r="AE481" s="181">
        <v>6</v>
      </c>
      <c r="AF481" s="101" t="str">
        <f t="shared" si="109"/>
        <v/>
      </c>
      <c r="AG481" s="190">
        <v>4</v>
      </c>
      <c r="AH481" s="69">
        <f t="shared" si="102"/>
        <v>4</v>
      </c>
    </row>
    <row r="482" spans="1:34" s="69" customFormat="1" ht="49.5" customHeight="1" x14ac:dyDescent="0.3">
      <c r="A482" s="130" t="s">
        <v>1246</v>
      </c>
      <c r="B482" s="131" t="s">
        <v>1247</v>
      </c>
      <c r="C482" s="132" t="s">
        <v>325</v>
      </c>
      <c r="D482" s="133">
        <v>5</v>
      </c>
      <c r="E482" s="75"/>
      <c r="F482" s="75"/>
      <c r="G482" s="75"/>
      <c r="H482" s="75">
        <v>8300</v>
      </c>
      <c r="I482" s="75">
        <v>41500</v>
      </c>
      <c r="J482" s="91" t="s">
        <v>1248</v>
      </c>
      <c r="K482" s="73"/>
      <c r="L482" s="46">
        <v>5</v>
      </c>
      <c r="M482" s="46">
        <v>0</v>
      </c>
      <c r="N482" s="46">
        <v>41500</v>
      </c>
      <c r="O482" s="98"/>
      <c r="P482" s="23" t="s">
        <v>1406</v>
      </c>
      <c r="Q482" s="24" t="s">
        <v>1247</v>
      </c>
      <c r="R482" s="25" t="s">
        <v>325</v>
      </c>
      <c r="S482" s="26">
        <v>5</v>
      </c>
      <c r="T482" s="26"/>
      <c r="U482" s="26">
        <v>8300</v>
      </c>
      <c r="V482" s="127">
        <f t="shared" si="104"/>
        <v>0</v>
      </c>
      <c r="W482" s="127">
        <f t="shared" si="101"/>
        <v>5</v>
      </c>
      <c r="X482" s="127">
        <f t="shared" si="105"/>
        <v>0</v>
      </c>
      <c r="Y482" s="127">
        <f t="shared" si="106"/>
        <v>41500</v>
      </c>
      <c r="Z482" s="33" t="s">
        <v>15</v>
      </c>
      <c r="AA482" s="36" t="s">
        <v>16</v>
      </c>
      <c r="AB482" s="181">
        <f t="shared" si="108"/>
        <v>5</v>
      </c>
      <c r="AC482" s="181">
        <f t="shared" si="107"/>
        <v>41500</v>
      </c>
      <c r="AD482" s="181">
        <v>6</v>
      </c>
      <c r="AE482" s="181">
        <v>6</v>
      </c>
      <c r="AF482" s="101" t="str">
        <f t="shared" si="109"/>
        <v/>
      </c>
      <c r="AG482" s="190">
        <v>5</v>
      </c>
      <c r="AH482" s="69">
        <f t="shared" si="102"/>
        <v>5</v>
      </c>
    </row>
    <row r="483" spans="1:34" s="69" customFormat="1" ht="33" customHeight="1" x14ac:dyDescent="0.3">
      <c r="A483" s="130" t="s">
        <v>1249</v>
      </c>
      <c r="B483" s="131" t="s">
        <v>1250</v>
      </c>
      <c r="C483" s="132" t="s">
        <v>325</v>
      </c>
      <c r="D483" s="133">
        <v>5</v>
      </c>
      <c r="E483" s="75"/>
      <c r="F483" s="75"/>
      <c r="G483" s="75"/>
      <c r="H483" s="75">
        <v>1160</v>
      </c>
      <c r="I483" s="75">
        <v>5800</v>
      </c>
      <c r="J483" s="91" t="s">
        <v>1251</v>
      </c>
      <c r="K483" s="73"/>
      <c r="L483" s="46">
        <v>5</v>
      </c>
      <c r="M483" s="46">
        <v>0</v>
      </c>
      <c r="N483" s="46">
        <v>5800</v>
      </c>
      <c r="O483" s="98"/>
      <c r="P483" s="23" t="s">
        <v>1414</v>
      </c>
      <c r="Q483" s="24" t="s">
        <v>1250</v>
      </c>
      <c r="R483" s="25" t="s">
        <v>325</v>
      </c>
      <c r="S483" s="26">
        <v>5</v>
      </c>
      <c r="T483" s="26"/>
      <c r="U483" s="26">
        <v>1160</v>
      </c>
      <c r="V483" s="127">
        <f t="shared" si="104"/>
        <v>0</v>
      </c>
      <c r="W483" s="127">
        <f t="shared" si="101"/>
        <v>5</v>
      </c>
      <c r="X483" s="127">
        <f t="shared" si="105"/>
        <v>0</v>
      </c>
      <c r="Y483" s="127">
        <f t="shared" si="106"/>
        <v>5800</v>
      </c>
      <c r="Z483" s="33" t="s">
        <v>15</v>
      </c>
      <c r="AA483" s="36" t="s">
        <v>16</v>
      </c>
      <c r="AB483" s="181">
        <f t="shared" si="108"/>
        <v>5</v>
      </c>
      <c r="AC483" s="181">
        <f t="shared" si="107"/>
        <v>5800</v>
      </c>
      <c r="AD483" s="181">
        <v>6</v>
      </c>
      <c r="AE483" s="181">
        <v>6</v>
      </c>
      <c r="AF483" s="101" t="str">
        <f t="shared" si="109"/>
        <v/>
      </c>
      <c r="AG483" s="190">
        <v>5</v>
      </c>
      <c r="AH483" s="69">
        <f t="shared" si="102"/>
        <v>5</v>
      </c>
    </row>
    <row r="484" spans="1:34" s="69" customFormat="1" ht="58.5" x14ac:dyDescent="0.3">
      <c r="A484" s="130" t="s">
        <v>1252</v>
      </c>
      <c r="B484" s="131" t="s">
        <v>1253</v>
      </c>
      <c r="C484" s="132" t="s">
        <v>325</v>
      </c>
      <c r="D484" s="133">
        <v>5</v>
      </c>
      <c r="E484" s="75"/>
      <c r="F484" s="75"/>
      <c r="G484" s="75"/>
      <c r="H484" s="75">
        <v>600</v>
      </c>
      <c r="I484" s="75">
        <v>3000</v>
      </c>
      <c r="J484" s="91" t="s">
        <v>1254</v>
      </c>
      <c r="K484" s="73"/>
      <c r="L484" s="46">
        <v>5</v>
      </c>
      <c r="M484" s="46">
        <v>0</v>
      </c>
      <c r="N484" s="46">
        <v>3000</v>
      </c>
      <c r="O484" s="98"/>
      <c r="P484" s="23" t="s">
        <v>1429</v>
      </c>
      <c r="Q484" s="24" t="s">
        <v>1253</v>
      </c>
      <c r="R484" s="25" t="s">
        <v>325</v>
      </c>
      <c r="S484" s="26">
        <v>5</v>
      </c>
      <c r="T484" s="26"/>
      <c r="U484" s="26">
        <v>600</v>
      </c>
      <c r="V484" s="127">
        <f t="shared" si="104"/>
        <v>0</v>
      </c>
      <c r="W484" s="127">
        <f t="shared" si="101"/>
        <v>5</v>
      </c>
      <c r="X484" s="127">
        <f t="shared" si="105"/>
        <v>0</v>
      </c>
      <c r="Y484" s="127">
        <f t="shared" si="106"/>
        <v>3000</v>
      </c>
      <c r="Z484" s="33" t="s">
        <v>15</v>
      </c>
      <c r="AA484" s="36" t="s">
        <v>16</v>
      </c>
      <c r="AB484" s="181">
        <f t="shared" si="108"/>
        <v>5</v>
      </c>
      <c r="AC484" s="181">
        <f t="shared" si="107"/>
        <v>3000</v>
      </c>
      <c r="AD484" s="181">
        <v>6</v>
      </c>
      <c r="AE484" s="181">
        <v>6</v>
      </c>
      <c r="AF484" s="101" t="str">
        <f t="shared" si="109"/>
        <v/>
      </c>
      <c r="AG484" s="190">
        <v>5</v>
      </c>
      <c r="AH484" s="69">
        <f t="shared" si="102"/>
        <v>5</v>
      </c>
    </row>
    <row r="485" spans="1:34" s="69" customFormat="1" ht="49.5" customHeight="1" x14ac:dyDescent="0.3">
      <c r="A485" s="130" t="s">
        <v>1255</v>
      </c>
      <c r="B485" s="131" t="s">
        <v>1256</v>
      </c>
      <c r="C485" s="132" t="s">
        <v>325</v>
      </c>
      <c r="D485" s="133">
        <v>5</v>
      </c>
      <c r="E485" s="75"/>
      <c r="F485" s="75"/>
      <c r="G485" s="75"/>
      <c r="H485" s="75">
        <v>1800</v>
      </c>
      <c r="I485" s="75">
        <v>9000</v>
      </c>
      <c r="J485" s="91" t="s">
        <v>1257</v>
      </c>
      <c r="K485" s="73"/>
      <c r="L485" s="46">
        <v>5</v>
      </c>
      <c r="M485" s="46">
        <v>0</v>
      </c>
      <c r="N485" s="46">
        <v>9000</v>
      </c>
      <c r="O485" s="98"/>
      <c r="P485" s="23" t="s">
        <v>1430</v>
      </c>
      <c r="Q485" s="24" t="s">
        <v>1256</v>
      </c>
      <c r="R485" s="25" t="s">
        <v>325</v>
      </c>
      <c r="S485" s="26">
        <v>5</v>
      </c>
      <c r="T485" s="26"/>
      <c r="U485" s="26">
        <v>1800</v>
      </c>
      <c r="V485" s="127">
        <f t="shared" si="104"/>
        <v>0</v>
      </c>
      <c r="W485" s="127">
        <f t="shared" si="101"/>
        <v>5</v>
      </c>
      <c r="X485" s="127">
        <f t="shared" si="105"/>
        <v>0</v>
      </c>
      <c r="Y485" s="127">
        <f t="shared" si="106"/>
        <v>9000</v>
      </c>
      <c r="Z485" s="33" t="s">
        <v>15</v>
      </c>
      <c r="AA485" s="36" t="s">
        <v>16</v>
      </c>
      <c r="AB485" s="181">
        <f t="shared" si="108"/>
        <v>5</v>
      </c>
      <c r="AC485" s="181">
        <f t="shared" si="107"/>
        <v>9000</v>
      </c>
      <c r="AD485" s="181">
        <v>6</v>
      </c>
      <c r="AE485" s="181">
        <v>6</v>
      </c>
      <c r="AF485" s="101" t="str">
        <f t="shared" si="109"/>
        <v/>
      </c>
      <c r="AG485" s="190">
        <v>5</v>
      </c>
      <c r="AH485" s="69">
        <f t="shared" si="102"/>
        <v>5</v>
      </c>
    </row>
    <row r="486" spans="1:34" s="69" customFormat="1" ht="39" x14ac:dyDescent="0.3">
      <c r="A486" s="55" t="s">
        <v>1258</v>
      </c>
      <c r="B486" s="53" t="s">
        <v>1259</v>
      </c>
      <c r="C486" s="54" t="s">
        <v>325</v>
      </c>
      <c r="D486" s="75">
        <v>80</v>
      </c>
      <c r="E486" s="75"/>
      <c r="F486" s="75"/>
      <c r="G486" s="75"/>
      <c r="H486" s="75">
        <v>2200</v>
      </c>
      <c r="I486" s="75">
        <v>176000</v>
      </c>
      <c r="J486" s="91" t="s">
        <v>1260</v>
      </c>
      <c r="K486" s="73"/>
      <c r="L486" s="46">
        <v>50</v>
      </c>
      <c r="M486" s="46">
        <v>22000</v>
      </c>
      <c r="N486" s="46">
        <v>110000</v>
      </c>
      <c r="O486" s="98"/>
      <c r="P486" s="23" t="s">
        <v>1431</v>
      </c>
      <c r="Q486" s="24" t="s">
        <v>1259</v>
      </c>
      <c r="R486" s="25" t="s">
        <v>325</v>
      </c>
      <c r="S486" s="26">
        <v>80</v>
      </c>
      <c r="T486" s="26"/>
      <c r="U486" s="26">
        <v>2200</v>
      </c>
      <c r="V486" s="128">
        <f t="shared" si="104"/>
        <v>0</v>
      </c>
      <c r="W486" s="26">
        <f t="shared" si="101"/>
        <v>50</v>
      </c>
      <c r="X486" s="26">
        <f t="shared" si="105"/>
        <v>0</v>
      </c>
      <c r="Y486" s="26">
        <f t="shared" si="106"/>
        <v>110000</v>
      </c>
      <c r="Z486" s="33" t="s">
        <v>15</v>
      </c>
      <c r="AA486" s="36" t="s">
        <v>16</v>
      </c>
      <c r="AB486" s="181">
        <f t="shared" si="108"/>
        <v>80</v>
      </c>
      <c r="AC486" s="181">
        <f t="shared" si="107"/>
        <v>176000</v>
      </c>
      <c r="AD486" s="181">
        <v>6</v>
      </c>
      <c r="AE486" s="181">
        <v>6</v>
      </c>
      <c r="AF486" s="101" t="str">
        <f t="shared" si="109"/>
        <v/>
      </c>
      <c r="AG486" s="191">
        <f>40+10</f>
        <v>50</v>
      </c>
      <c r="AH486" s="69">
        <f t="shared" si="102"/>
        <v>80</v>
      </c>
    </row>
    <row r="487" spans="1:34" s="69" customFormat="1" ht="42" x14ac:dyDescent="0.3">
      <c r="A487" s="130" t="s">
        <v>1261</v>
      </c>
      <c r="B487" s="131" t="s">
        <v>1262</v>
      </c>
      <c r="C487" s="132" t="s">
        <v>14</v>
      </c>
      <c r="D487" s="133">
        <v>1</v>
      </c>
      <c r="E487" s="75"/>
      <c r="F487" s="75"/>
      <c r="G487" s="75"/>
      <c r="H487" s="75">
        <v>261478.99</v>
      </c>
      <c r="I487" s="75">
        <v>261478.99</v>
      </c>
      <c r="J487" s="91" t="s">
        <v>1263</v>
      </c>
      <c r="K487" s="73"/>
      <c r="L487" s="46">
        <v>1</v>
      </c>
      <c r="M487" s="46">
        <v>0</v>
      </c>
      <c r="N487" s="46">
        <v>261478.99</v>
      </c>
      <c r="O487" s="98"/>
      <c r="P487" s="23" t="s">
        <v>1395</v>
      </c>
      <c r="Q487" s="24" t="s">
        <v>1262</v>
      </c>
      <c r="R487" s="25" t="s">
        <v>14</v>
      </c>
      <c r="S487" s="26">
        <v>1</v>
      </c>
      <c r="T487" s="26"/>
      <c r="U487" s="26">
        <v>261478.99</v>
      </c>
      <c r="V487" s="127">
        <f t="shared" si="104"/>
        <v>0</v>
      </c>
      <c r="W487" s="127">
        <f t="shared" si="101"/>
        <v>1</v>
      </c>
      <c r="X487" s="127">
        <f t="shared" si="105"/>
        <v>0</v>
      </c>
      <c r="Y487" s="127">
        <f t="shared" si="106"/>
        <v>261478.99</v>
      </c>
      <c r="Z487" s="33" t="s">
        <v>1499</v>
      </c>
      <c r="AA487" s="36" t="s">
        <v>16</v>
      </c>
      <c r="AB487" s="181">
        <f t="shared" si="108"/>
        <v>1</v>
      </c>
      <c r="AC487" s="181">
        <f t="shared" si="107"/>
        <v>261478.99</v>
      </c>
      <c r="AD487" s="181">
        <v>6</v>
      </c>
      <c r="AE487" s="181">
        <v>6</v>
      </c>
      <c r="AF487" s="101" t="str">
        <f t="shared" si="109"/>
        <v/>
      </c>
      <c r="AG487" s="190">
        <v>1</v>
      </c>
      <c r="AH487" s="69">
        <f t="shared" si="102"/>
        <v>1</v>
      </c>
    </row>
    <row r="488" spans="1:34" s="69" customFormat="1" ht="33" x14ac:dyDescent="0.3">
      <c r="A488" s="55" t="s">
        <v>1264</v>
      </c>
      <c r="B488" s="53" t="s">
        <v>1265</v>
      </c>
      <c r="C488" s="54" t="s">
        <v>30</v>
      </c>
      <c r="D488" s="75">
        <v>5000</v>
      </c>
      <c r="E488" s="75"/>
      <c r="F488" s="75"/>
      <c r="G488" s="75"/>
      <c r="H488" s="75">
        <v>13</v>
      </c>
      <c r="I488" s="75">
        <v>65000</v>
      </c>
      <c r="J488" s="91" t="s">
        <v>1266</v>
      </c>
      <c r="K488" s="73"/>
      <c r="L488" s="46">
        <v>0</v>
      </c>
      <c r="M488" s="46">
        <v>0</v>
      </c>
      <c r="N488" s="46">
        <v>0</v>
      </c>
      <c r="O488" s="98"/>
      <c r="P488" s="23" t="s">
        <v>1432</v>
      </c>
      <c r="Q488" s="24" t="s">
        <v>1265</v>
      </c>
      <c r="R488" s="25" t="s">
        <v>30</v>
      </c>
      <c r="S488" s="26">
        <v>5000</v>
      </c>
      <c r="T488" s="26"/>
      <c r="U488" s="26">
        <v>13</v>
      </c>
      <c r="V488" s="26">
        <f t="shared" si="104"/>
        <v>0</v>
      </c>
      <c r="W488" s="26">
        <f t="shared" si="101"/>
        <v>0</v>
      </c>
      <c r="X488" s="26">
        <f t="shared" si="105"/>
        <v>0</v>
      </c>
      <c r="Y488" s="26">
        <f t="shared" si="106"/>
        <v>0</v>
      </c>
      <c r="Z488" s="33" t="s">
        <v>15</v>
      </c>
      <c r="AA488" s="36" t="s">
        <v>16</v>
      </c>
      <c r="AB488" s="181">
        <f t="shared" si="108"/>
        <v>5000</v>
      </c>
      <c r="AC488" s="181">
        <f t="shared" si="107"/>
        <v>65000</v>
      </c>
      <c r="AD488" s="181">
        <v>6</v>
      </c>
      <c r="AE488" s="181">
        <v>6</v>
      </c>
      <c r="AF488" s="101" t="str">
        <f t="shared" si="109"/>
        <v/>
      </c>
      <c r="AG488" s="190">
        <v>0</v>
      </c>
      <c r="AH488" s="69">
        <f t="shared" si="102"/>
        <v>5000</v>
      </c>
    </row>
    <row r="489" spans="1:34" s="69" customFormat="1" ht="39" x14ac:dyDescent="0.3">
      <c r="A489" s="55" t="s">
        <v>1267</v>
      </c>
      <c r="B489" s="53" t="s">
        <v>1268</v>
      </c>
      <c r="C489" s="54" t="s">
        <v>1269</v>
      </c>
      <c r="D489" s="75">
        <v>48</v>
      </c>
      <c r="E489" s="75"/>
      <c r="F489" s="75"/>
      <c r="G489" s="75"/>
      <c r="H489" s="75">
        <v>47468</v>
      </c>
      <c r="I489" s="75">
        <v>2278464</v>
      </c>
      <c r="J489" s="91" t="s">
        <v>1270</v>
      </c>
      <c r="K489" s="73"/>
      <c r="L489" s="46">
        <v>34</v>
      </c>
      <c r="M489" s="46">
        <v>94936</v>
      </c>
      <c r="N489" s="46">
        <v>1613912</v>
      </c>
      <c r="O489" s="98"/>
      <c r="P489" s="23" t="s">
        <v>1433</v>
      </c>
      <c r="Q489" s="24" t="s">
        <v>1268</v>
      </c>
      <c r="R489" s="25" t="s">
        <v>1269</v>
      </c>
      <c r="S489" s="26">
        <v>48</v>
      </c>
      <c r="T489" s="26"/>
      <c r="U489" s="26">
        <v>47468</v>
      </c>
      <c r="V489" s="102">
        <f t="shared" si="104"/>
        <v>2</v>
      </c>
      <c r="W489" s="26">
        <f t="shared" si="101"/>
        <v>36</v>
      </c>
      <c r="X489" s="26">
        <f>Y489-N489</f>
        <v>94936</v>
      </c>
      <c r="Y489" s="26">
        <f t="shared" si="106"/>
        <v>1708848</v>
      </c>
      <c r="Z489" s="33" t="s">
        <v>15</v>
      </c>
      <c r="AA489" s="36" t="s">
        <v>16</v>
      </c>
      <c r="AB489" s="181">
        <f t="shared" si="108"/>
        <v>48</v>
      </c>
      <c r="AC489" s="181">
        <f t="shared" si="107"/>
        <v>2278464</v>
      </c>
      <c r="AD489" s="181">
        <v>6</v>
      </c>
      <c r="AE489" s="181">
        <v>6</v>
      </c>
      <c r="AF489" s="101" t="str">
        <f t="shared" si="109"/>
        <v/>
      </c>
      <c r="AG489" s="191">
        <f>24+2+2+2+2+2+2</f>
        <v>36</v>
      </c>
      <c r="AH489" s="69">
        <f t="shared" si="102"/>
        <v>48</v>
      </c>
    </row>
    <row r="490" spans="1:34" s="69" customFormat="1" ht="39" x14ac:dyDescent="0.3">
      <c r="A490" s="55" t="s">
        <v>1271</v>
      </c>
      <c r="B490" s="53" t="s">
        <v>1272</v>
      </c>
      <c r="C490" s="54" t="s">
        <v>14</v>
      </c>
      <c r="D490" s="75">
        <v>1</v>
      </c>
      <c r="E490" s="75"/>
      <c r="F490" s="75"/>
      <c r="G490" s="75"/>
      <c r="H490" s="75">
        <v>111233.97</v>
      </c>
      <c r="I490" s="75">
        <v>111233.97</v>
      </c>
      <c r="J490" s="91" t="s">
        <v>1273</v>
      </c>
      <c r="K490" s="73"/>
      <c r="L490" s="46">
        <v>0.6</v>
      </c>
      <c r="M490" s="46">
        <v>66740.38</v>
      </c>
      <c r="N490" s="46">
        <v>66740.38</v>
      </c>
      <c r="O490" s="98"/>
      <c r="P490" s="23" t="s">
        <v>1382</v>
      </c>
      <c r="Q490" s="24" t="s">
        <v>1272</v>
      </c>
      <c r="R490" s="25" t="s">
        <v>14</v>
      </c>
      <c r="S490" s="26">
        <v>1</v>
      </c>
      <c r="T490" s="26"/>
      <c r="U490" s="26">
        <v>111233.97</v>
      </c>
      <c r="V490" s="128">
        <f t="shared" si="104"/>
        <v>0</v>
      </c>
      <c r="W490" s="26">
        <f t="shared" si="101"/>
        <v>0.6</v>
      </c>
      <c r="X490" s="136">
        <f t="shared" si="105"/>
        <v>0</v>
      </c>
      <c r="Y490" s="26">
        <f t="shared" si="106"/>
        <v>66740.38</v>
      </c>
      <c r="Z490" s="33" t="s">
        <v>15</v>
      </c>
      <c r="AA490" s="36" t="s">
        <v>16</v>
      </c>
      <c r="AB490" s="181">
        <f t="shared" si="108"/>
        <v>1</v>
      </c>
      <c r="AC490" s="181">
        <f t="shared" si="107"/>
        <v>111233.97</v>
      </c>
      <c r="AD490" s="181">
        <v>6</v>
      </c>
      <c r="AE490" s="181">
        <v>6</v>
      </c>
      <c r="AF490" s="101" t="str">
        <f t="shared" si="109"/>
        <v/>
      </c>
      <c r="AG490" s="191">
        <f>0.6</f>
        <v>0.6</v>
      </c>
      <c r="AH490" s="69">
        <f t="shared" si="102"/>
        <v>1</v>
      </c>
    </row>
    <row r="491" spans="1:34" s="69" customFormat="1" ht="33" x14ac:dyDescent="0.3">
      <c r="A491" s="85" t="s">
        <v>1274</v>
      </c>
      <c r="B491" s="86" t="s">
        <v>1275</v>
      </c>
      <c r="C491" s="87" t="s">
        <v>14</v>
      </c>
      <c r="D491" s="88">
        <v>1</v>
      </c>
      <c r="E491" s="88"/>
      <c r="F491" s="88"/>
      <c r="G491" s="88"/>
      <c r="H491" s="88"/>
      <c r="I491" s="88">
        <v>2884379.96</v>
      </c>
      <c r="J491" s="95" t="s">
        <v>15</v>
      </c>
      <c r="K491" s="73"/>
      <c r="L491" s="42">
        <v>1</v>
      </c>
      <c r="M491" s="42">
        <v>155527.60000000003</v>
      </c>
      <c r="N491" s="42">
        <v>1977461.58</v>
      </c>
      <c r="O491" s="98"/>
      <c r="P491" s="13" t="s">
        <v>1416</v>
      </c>
      <c r="Q491" s="14" t="s">
        <v>1275</v>
      </c>
      <c r="R491" s="15" t="s">
        <v>14</v>
      </c>
      <c r="S491" s="16">
        <v>1</v>
      </c>
      <c r="T491" s="16"/>
      <c r="U491" s="16">
        <f>SUMIFS(AC:AC,AD:AD,AD491)</f>
        <v>2884379.96</v>
      </c>
      <c r="V491" s="16">
        <f t="shared" ref="V491:W491" si="110">IF(X491=0,0,1)</f>
        <v>1</v>
      </c>
      <c r="W491" s="16">
        <f t="shared" si="110"/>
        <v>1</v>
      </c>
      <c r="X491" s="16">
        <f>SUMIFS(X:X,AE:AE,AD491)</f>
        <v>155527.58999999997</v>
      </c>
      <c r="Y491" s="16">
        <f>SUMIFS(Y:Y,AE:AE,AD491)</f>
        <v>2132989.17</v>
      </c>
      <c r="Z491" s="17" t="s">
        <v>15</v>
      </c>
      <c r="AA491" s="40" t="s">
        <v>16</v>
      </c>
      <c r="AB491" s="181">
        <f t="shared" si="108"/>
        <v>1</v>
      </c>
      <c r="AC491" s="183"/>
      <c r="AD491" s="183">
        <v>7</v>
      </c>
      <c r="AE491" s="183"/>
      <c r="AF491" s="101" t="str">
        <f t="shared" si="109"/>
        <v/>
      </c>
      <c r="AG491" s="190">
        <v>1</v>
      </c>
      <c r="AH491" s="69">
        <f t="shared" si="102"/>
        <v>1</v>
      </c>
    </row>
    <row r="492" spans="1:34" s="69" customFormat="1" ht="39" x14ac:dyDescent="0.3">
      <c r="A492" s="55" t="s">
        <v>1276</v>
      </c>
      <c r="B492" s="53" t="s">
        <v>1277</v>
      </c>
      <c r="C492" s="54" t="s">
        <v>1269</v>
      </c>
      <c r="D492" s="75">
        <v>48</v>
      </c>
      <c r="E492" s="75"/>
      <c r="F492" s="75"/>
      <c r="G492" s="75"/>
      <c r="H492" s="75">
        <v>47468</v>
      </c>
      <c r="I492" s="75">
        <v>2278464</v>
      </c>
      <c r="J492" s="91" t="s">
        <v>1278</v>
      </c>
      <c r="K492" s="73"/>
      <c r="L492" s="46">
        <v>34</v>
      </c>
      <c r="M492" s="46">
        <v>94936</v>
      </c>
      <c r="N492" s="46">
        <v>1613912</v>
      </c>
      <c r="O492" s="98"/>
      <c r="P492" s="23" t="s">
        <v>1421</v>
      </c>
      <c r="Q492" s="24" t="s">
        <v>1277</v>
      </c>
      <c r="R492" s="25" t="s">
        <v>1269</v>
      </c>
      <c r="S492" s="26">
        <v>48</v>
      </c>
      <c r="T492" s="26"/>
      <c r="U492" s="26">
        <v>47468</v>
      </c>
      <c r="V492" s="102">
        <f t="shared" ref="V492:V493" si="111">AG492-L492</f>
        <v>2</v>
      </c>
      <c r="W492" s="26">
        <f t="shared" si="101"/>
        <v>36</v>
      </c>
      <c r="X492" s="26">
        <f>Y492-N492</f>
        <v>94936</v>
      </c>
      <c r="Y492" s="26">
        <f t="shared" ref="Y492:Y493" si="112">ROUND(U492*W492,2)</f>
        <v>1708848</v>
      </c>
      <c r="Z492" s="33" t="s">
        <v>15</v>
      </c>
      <c r="AA492" s="36" t="s">
        <v>16</v>
      </c>
      <c r="AB492" s="181">
        <f t="shared" si="108"/>
        <v>48</v>
      </c>
      <c r="AC492" s="181">
        <f t="shared" ref="AC492:AC493" si="113">ROUND(U492*AB492,2)</f>
        <v>2278464</v>
      </c>
      <c r="AD492" s="181">
        <v>7</v>
      </c>
      <c r="AE492" s="181">
        <v>7</v>
      </c>
      <c r="AF492" s="101" t="str">
        <f t="shared" si="109"/>
        <v/>
      </c>
      <c r="AG492" s="191">
        <f>24+2+2+2+2+2+2</f>
        <v>36</v>
      </c>
      <c r="AH492" s="69">
        <f t="shared" si="102"/>
        <v>48</v>
      </c>
    </row>
    <row r="493" spans="1:34" s="69" customFormat="1" ht="33" x14ac:dyDescent="0.3">
      <c r="A493" s="55" t="s">
        <v>1279</v>
      </c>
      <c r="B493" s="53" t="s">
        <v>1280</v>
      </c>
      <c r="C493" s="54" t="s">
        <v>14</v>
      </c>
      <c r="D493" s="75">
        <v>1</v>
      </c>
      <c r="E493" s="75"/>
      <c r="F493" s="75"/>
      <c r="G493" s="75"/>
      <c r="H493" s="75">
        <v>605915.96</v>
      </c>
      <c r="I493" s="75">
        <v>605915.96</v>
      </c>
      <c r="J493" s="91" t="s">
        <v>1281</v>
      </c>
      <c r="K493" s="73"/>
      <c r="L493" s="46">
        <v>0.6</v>
      </c>
      <c r="M493" s="46">
        <v>60591.600000000035</v>
      </c>
      <c r="N493" s="46">
        <v>363549.58</v>
      </c>
      <c r="O493" s="98"/>
      <c r="P493" s="23" t="s">
        <v>1426</v>
      </c>
      <c r="Q493" s="24" t="s">
        <v>1280</v>
      </c>
      <c r="R493" s="25" t="s">
        <v>14</v>
      </c>
      <c r="S493" s="26">
        <v>1</v>
      </c>
      <c r="T493" s="26"/>
      <c r="U493" s="26">
        <v>605915.96</v>
      </c>
      <c r="V493" s="128">
        <f t="shared" si="111"/>
        <v>9.9999999999999978E-2</v>
      </c>
      <c r="W493" s="26">
        <f t="shared" si="101"/>
        <v>0.7</v>
      </c>
      <c r="X493" s="136">
        <f>Y493-N493</f>
        <v>60591.589999999967</v>
      </c>
      <c r="Y493" s="26">
        <f t="shared" si="112"/>
        <v>424141.17</v>
      </c>
      <c r="Z493" s="33" t="s">
        <v>15</v>
      </c>
      <c r="AA493" s="36" t="s">
        <v>16</v>
      </c>
      <c r="AB493" s="181">
        <f t="shared" si="108"/>
        <v>1</v>
      </c>
      <c r="AC493" s="181">
        <f t="shared" si="113"/>
        <v>605915.96</v>
      </c>
      <c r="AD493" s="181">
        <v>7</v>
      </c>
      <c r="AE493" s="181">
        <v>7</v>
      </c>
      <c r="AF493" s="101" t="str">
        <f t="shared" si="109"/>
        <v/>
      </c>
      <c r="AG493" s="191">
        <f>0.5+0.1+0.1</f>
        <v>0.7</v>
      </c>
      <c r="AH493" s="69">
        <f t="shared" si="102"/>
        <v>1</v>
      </c>
    </row>
    <row r="494" spans="1:34" s="69" customFormat="1" ht="63" x14ac:dyDescent="0.3">
      <c r="A494" s="85" t="s">
        <v>1282</v>
      </c>
      <c r="B494" s="86" t="s">
        <v>1283</v>
      </c>
      <c r="C494" s="87" t="s">
        <v>14</v>
      </c>
      <c r="D494" s="88">
        <v>1</v>
      </c>
      <c r="E494" s="88"/>
      <c r="F494" s="88"/>
      <c r="G494" s="88"/>
      <c r="H494" s="88"/>
      <c r="I494" s="88">
        <v>35719969.310000002</v>
      </c>
      <c r="J494" s="95" t="s">
        <v>1284</v>
      </c>
      <c r="K494" s="73"/>
      <c r="L494" s="42">
        <v>1</v>
      </c>
      <c r="M494" s="42">
        <v>1111755.4099999741</v>
      </c>
      <c r="N494" s="42">
        <v>24158548.969999991</v>
      </c>
      <c r="O494" s="98"/>
      <c r="P494" s="28" t="s">
        <v>1417</v>
      </c>
      <c r="Q494" s="29" t="s">
        <v>1283</v>
      </c>
      <c r="R494" s="30" t="s">
        <v>14</v>
      </c>
      <c r="S494" s="31">
        <v>1</v>
      </c>
      <c r="T494" s="31"/>
      <c r="U494" s="31">
        <v>35719969.310000002</v>
      </c>
      <c r="V494" s="31">
        <f t="shared" ref="V494:W495" si="114">IF(X494=0,0,1)</f>
        <v>1</v>
      </c>
      <c r="W494" s="31">
        <f t="shared" si="114"/>
        <v>1</v>
      </c>
      <c r="X494" s="31">
        <f>Y494-N494</f>
        <v>1335897.1199999675</v>
      </c>
      <c r="Y494" s="31">
        <f>Y7-Y8-Y377-Y406-Y446-Y450-Y471-Y491-Y495-Y497</f>
        <v>25494446.089999959</v>
      </c>
      <c r="Z494" s="32" t="s">
        <v>1418</v>
      </c>
      <c r="AA494" s="40" t="s">
        <v>16</v>
      </c>
      <c r="AB494" s="181">
        <f t="shared" si="108"/>
        <v>1</v>
      </c>
      <c r="AC494" s="183"/>
      <c r="AD494" s="183">
        <v>8</v>
      </c>
      <c r="AE494" s="183"/>
      <c r="AF494" s="101" t="str">
        <f t="shared" si="109"/>
        <v/>
      </c>
      <c r="AG494" s="190">
        <v>1</v>
      </c>
      <c r="AH494" s="69">
        <f t="shared" si="102"/>
        <v>1</v>
      </c>
    </row>
    <row r="495" spans="1:34" s="69" customFormat="1" ht="157.5" x14ac:dyDescent="0.3">
      <c r="A495" s="85" t="s">
        <v>1285</v>
      </c>
      <c r="B495" s="86" t="s">
        <v>1286</v>
      </c>
      <c r="C495" s="87" t="s">
        <v>14</v>
      </c>
      <c r="D495" s="88">
        <v>1</v>
      </c>
      <c r="E495" s="88"/>
      <c r="F495" s="88"/>
      <c r="G495" s="88"/>
      <c r="H495" s="88"/>
      <c r="I495" s="88">
        <v>3336000</v>
      </c>
      <c r="J495" s="95" t="s">
        <v>1287</v>
      </c>
      <c r="K495" s="73"/>
      <c r="L495" s="42">
        <v>1</v>
      </c>
      <c r="M495" s="42">
        <v>2664000</v>
      </c>
      <c r="N495" s="42">
        <v>2664000</v>
      </c>
      <c r="O495" s="98"/>
      <c r="P495" s="13" t="s">
        <v>1419</v>
      </c>
      <c r="Q495" s="14" t="s">
        <v>1286</v>
      </c>
      <c r="R495" s="15" t="s">
        <v>14</v>
      </c>
      <c r="S495" s="16">
        <v>1</v>
      </c>
      <c r="T495" s="16"/>
      <c r="U495" s="16">
        <f>SUMIFS(AC:AC,AD:AD,AD495)</f>
        <v>3336000</v>
      </c>
      <c r="V495" s="16">
        <f t="shared" si="114"/>
        <v>1</v>
      </c>
      <c r="W495" s="16">
        <f t="shared" si="114"/>
        <v>1</v>
      </c>
      <c r="X495" s="16">
        <f>SUMIFS(X:X,AE:AE,AD495)</f>
        <v>199500</v>
      </c>
      <c r="Y495" s="16">
        <f>SUMIFS(Y:Y,AE:AE,AD495)</f>
        <v>2863500</v>
      </c>
      <c r="Z495" s="17" t="s">
        <v>1287</v>
      </c>
      <c r="AA495" s="40" t="s">
        <v>16</v>
      </c>
      <c r="AB495" s="181">
        <f t="shared" si="108"/>
        <v>1</v>
      </c>
      <c r="AC495" s="183"/>
      <c r="AD495" s="183">
        <v>9</v>
      </c>
      <c r="AE495" s="183"/>
      <c r="AF495" s="101" t="str">
        <f t="shared" si="109"/>
        <v/>
      </c>
      <c r="AG495" s="190">
        <v>0</v>
      </c>
      <c r="AH495" s="69">
        <f t="shared" si="102"/>
        <v>1</v>
      </c>
    </row>
    <row r="496" spans="1:34" s="69" customFormat="1" ht="33" x14ac:dyDescent="0.3">
      <c r="A496" s="55" t="s">
        <v>1288</v>
      </c>
      <c r="B496" s="53" t="s">
        <v>1286</v>
      </c>
      <c r="C496" s="54" t="s">
        <v>23</v>
      </c>
      <c r="D496" s="75">
        <v>22240</v>
      </c>
      <c r="E496" s="75"/>
      <c r="F496" s="75"/>
      <c r="G496" s="75"/>
      <c r="H496" s="75">
        <v>150</v>
      </c>
      <c r="I496" s="75">
        <v>3336000</v>
      </c>
      <c r="J496" s="91" t="s">
        <v>1289</v>
      </c>
      <c r="K496" s="73"/>
      <c r="L496" s="46">
        <v>17760</v>
      </c>
      <c r="M496" s="46">
        <v>2664000</v>
      </c>
      <c r="N496" s="46">
        <v>2664000</v>
      </c>
      <c r="O496" s="98"/>
      <c r="P496" s="23" t="s">
        <v>1421</v>
      </c>
      <c r="Q496" s="24" t="s">
        <v>1286</v>
      </c>
      <c r="R496" s="25" t="s">
        <v>23</v>
      </c>
      <c r="S496" s="26">
        <v>22240</v>
      </c>
      <c r="T496" s="26"/>
      <c r="U496" s="26">
        <v>150</v>
      </c>
      <c r="V496" s="103">
        <f t="shared" ref="V496" si="115">AG496-L496</f>
        <v>1330</v>
      </c>
      <c r="W496" s="26">
        <f t="shared" ref="W496" si="116">V496+L496</f>
        <v>19090</v>
      </c>
      <c r="X496" s="26">
        <f>Y496-N496</f>
        <v>199500</v>
      </c>
      <c r="Y496" s="26">
        <f>ROUND(U496*W496,2)</f>
        <v>2863500</v>
      </c>
      <c r="Z496" s="33" t="s">
        <v>15</v>
      </c>
      <c r="AA496" s="36" t="s">
        <v>16</v>
      </c>
      <c r="AB496" s="181">
        <f t="shared" si="108"/>
        <v>22240</v>
      </c>
      <c r="AC496" s="181">
        <f t="shared" ref="AC496" si="117">ROUND(U496*AB496,2)</f>
        <v>3336000</v>
      </c>
      <c r="AD496" s="181">
        <v>9</v>
      </c>
      <c r="AE496" s="181">
        <v>9</v>
      </c>
      <c r="AF496" s="101" t="str">
        <f t="shared" si="109"/>
        <v/>
      </c>
      <c r="AG496" s="190">
        <f>AG16</f>
        <v>19090</v>
      </c>
      <c r="AH496" s="69">
        <f t="shared" si="102"/>
        <v>22240</v>
      </c>
    </row>
    <row r="497" spans="1:34" s="69" customFormat="1" ht="178.5" x14ac:dyDescent="0.3">
      <c r="A497" s="85" t="s">
        <v>1290</v>
      </c>
      <c r="B497" s="86" t="s">
        <v>1291</v>
      </c>
      <c r="C497" s="87" t="s">
        <v>14</v>
      </c>
      <c r="D497" s="88">
        <v>1</v>
      </c>
      <c r="E497" s="88"/>
      <c r="F497" s="88"/>
      <c r="G497" s="88"/>
      <c r="H497" s="88"/>
      <c r="I497" s="88">
        <v>212800</v>
      </c>
      <c r="J497" s="95" t="s">
        <v>1292</v>
      </c>
      <c r="K497" s="73"/>
      <c r="L497" s="42">
        <v>1</v>
      </c>
      <c r="M497" s="42">
        <v>0</v>
      </c>
      <c r="N497" s="42">
        <v>212800</v>
      </c>
      <c r="O497" s="98"/>
      <c r="P497" s="13" t="s">
        <v>1420</v>
      </c>
      <c r="Q497" s="14" t="s">
        <v>1291</v>
      </c>
      <c r="R497" s="15" t="s">
        <v>14</v>
      </c>
      <c r="S497" s="16">
        <v>1</v>
      </c>
      <c r="T497" s="16"/>
      <c r="U497" s="16">
        <f>SUMIFS(AC:AC,AD:AD,AD497)</f>
        <v>212800</v>
      </c>
      <c r="V497" s="16">
        <f t="shared" ref="V497:W497" si="118">IF(X497=0,0,1)</f>
        <v>0</v>
      </c>
      <c r="W497" s="16">
        <f t="shared" si="118"/>
        <v>1</v>
      </c>
      <c r="X497" s="16">
        <f>SUMIFS(X:X,AE:AE,AD497)</f>
        <v>0</v>
      </c>
      <c r="Y497" s="16">
        <f>SUMIFS(Y:Y,AE:AE,AD497)</f>
        <v>212800</v>
      </c>
      <c r="Z497" s="17" t="s">
        <v>1292</v>
      </c>
      <c r="AA497" s="40" t="s">
        <v>16</v>
      </c>
      <c r="AB497" s="181">
        <f t="shared" si="108"/>
        <v>1</v>
      </c>
      <c r="AC497" s="183"/>
      <c r="AD497" s="183">
        <v>10</v>
      </c>
      <c r="AE497" s="183"/>
      <c r="AF497" s="101" t="str">
        <f t="shared" si="109"/>
        <v/>
      </c>
      <c r="AG497" s="190">
        <v>1</v>
      </c>
      <c r="AH497" s="69">
        <f t="shared" si="102"/>
        <v>1</v>
      </c>
    </row>
    <row r="498" spans="1:34" s="69" customFormat="1" ht="33" x14ac:dyDescent="0.3">
      <c r="A498" s="55" t="s">
        <v>1293</v>
      </c>
      <c r="B498" s="53" t="s">
        <v>1294</v>
      </c>
      <c r="C498" s="54" t="s">
        <v>50</v>
      </c>
      <c r="D498" s="75">
        <v>3800</v>
      </c>
      <c r="E498" s="75"/>
      <c r="F498" s="75"/>
      <c r="G498" s="75"/>
      <c r="H498" s="75">
        <v>56</v>
      </c>
      <c r="I498" s="75">
        <v>212800</v>
      </c>
      <c r="J498" s="91" t="s">
        <v>1295</v>
      </c>
      <c r="K498" s="73"/>
      <c r="L498" s="46">
        <v>3800</v>
      </c>
      <c r="M498" s="46">
        <v>0</v>
      </c>
      <c r="N498" s="46">
        <v>212800</v>
      </c>
      <c r="O498" s="98"/>
      <c r="P498" s="23" t="s">
        <v>1421</v>
      </c>
      <c r="Q498" s="24" t="s">
        <v>1294</v>
      </c>
      <c r="R498" s="25" t="s">
        <v>50</v>
      </c>
      <c r="S498" s="26">
        <v>3800</v>
      </c>
      <c r="T498" s="26"/>
      <c r="U498" s="26">
        <v>56</v>
      </c>
      <c r="V498" s="26">
        <f t="shared" ref="V498" si="119">AG498-L498</f>
        <v>0</v>
      </c>
      <c r="W498" s="26">
        <f t="shared" ref="W498" si="120">V498+L498</f>
        <v>3800</v>
      </c>
      <c r="X498" s="26">
        <v>0</v>
      </c>
      <c r="Y498" s="26">
        <f t="shared" ref="Y498" si="121">ROUND(U498*W498,2)</f>
        <v>212800</v>
      </c>
      <c r="Z498" s="33" t="s">
        <v>15</v>
      </c>
      <c r="AA498" s="36" t="s">
        <v>16</v>
      </c>
      <c r="AB498" s="181">
        <f t="shared" si="108"/>
        <v>3800</v>
      </c>
      <c r="AC498" s="181">
        <f t="shared" ref="AC498" si="122">ROUND(U498*AB498,2)</f>
        <v>212800</v>
      </c>
      <c r="AD498" s="181">
        <v>10</v>
      </c>
      <c r="AE498" s="181">
        <v>10</v>
      </c>
      <c r="AF498" s="101" t="str">
        <f t="shared" si="109"/>
        <v/>
      </c>
      <c r="AG498" s="190">
        <v>3800</v>
      </c>
      <c r="AH498" s="69">
        <f t="shared" si="102"/>
        <v>3800</v>
      </c>
    </row>
    <row r="499" spans="1:34" s="69" customFormat="1" ht="33" x14ac:dyDescent="0.3">
      <c r="A499" s="52"/>
      <c r="B499" s="53" t="s">
        <v>1296</v>
      </c>
      <c r="C499" s="54"/>
      <c r="D499" s="75"/>
      <c r="E499" s="75"/>
      <c r="F499" s="75"/>
      <c r="G499" s="75"/>
      <c r="H499" s="75"/>
      <c r="I499" s="75"/>
      <c r="J499" s="91"/>
      <c r="K499" s="73"/>
      <c r="L499" s="46"/>
      <c r="M499" s="46">
        <v>24734600.000000007</v>
      </c>
      <c r="N499" s="46">
        <v>218898800</v>
      </c>
      <c r="O499" s="98"/>
      <c r="P499" s="23" t="s">
        <v>1421</v>
      </c>
      <c r="Q499" s="24" t="s">
        <v>1422</v>
      </c>
      <c r="R499" s="25"/>
      <c r="S499" s="26"/>
      <c r="T499" s="26"/>
      <c r="U499" s="26"/>
      <c r="V499" s="26"/>
      <c r="W499" s="26"/>
      <c r="X499" s="26">
        <f>X8+X377+X406+X446+X450+X471+X491+X494+X495+X497</f>
        <v>13735699.999999963</v>
      </c>
      <c r="Y499" s="26">
        <f>ROUNDDOWN((Y8+Y377+Y406+Y446+Y450+Y471+Y491+Y495+Y497+(Y8+Y377+Y406+Y446+Y450+Y471+Y491)*0.1095000004)/1000,1)*1000</f>
        <v>261397100</v>
      </c>
      <c r="Z499" s="33"/>
      <c r="AA499" s="36" t="s">
        <v>16</v>
      </c>
      <c r="AB499" s="181"/>
      <c r="AC499" s="181"/>
      <c r="AD499" s="181"/>
      <c r="AE499" s="181"/>
      <c r="AF499" s="101" t="str">
        <f t="shared" si="109"/>
        <v/>
      </c>
      <c r="AG499" s="190"/>
      <c r="AH499" s="69">
        <f t="shared" si="102"/>
        <v>0</v>
      </c>
    </row>
    <row r="500" spans="1:34" s="69" customFormat="1" ht="33" x14ac:dyDescent="0.3">
      <c r="A500" s="52"/>
      <c r="B500" s="53" t="s">
        <v>1297</v>
      </c>
      <c r="C500" s="54"/>
      <c r="D500" s="75"/>
      <c r="E500" s="75"/>
      <c r="F500" s="75"/>
      <c r="G500" s="75"/>
      <c r="H500" s="75"/>
      <c r="I500" s="75"/>
      <c r="J500" s="91"/>
      <c r="K500" s="73"/>
      <c r="L500" s="39"/>
      <c r="M500" s="39">
        <v>9675</v>
      </c>
      <c r="N500" s="39">
        <v>19291</v>
      </c>
      <c r="O500" s="98"/>
      <c r="P500" s="8" t="s">
        <v>1505</v>
      </c>
      <c r="Q500" s="9" t="s">
        <v>1506</v>
      </c>
      <c r="R500" s="10" t="s">
        <v>14</v>
      </c>
      <c r="S500" s="11"/>
      <c r="T500" s="11"/>
      <c r="U500" s="11"/>
      <c r="V500" s="11"/>
      <c r="W500" s="11"/>
      <c r="X500" s="11">
        <v>9675</v>
      </c>
      <c r="Y500" s="11">
        <v>19291</v>
      </c>
      <c r="Z500" s="12" t="s">
        <v>15</v>
      </c>
      <c r="AA500" s="37" t="s">
        <v>16</v>
      </c>
      <c r="AB500" s="182"/>
      <c r="AC500" s="182">
        <v>295040.74</v>
      </c>
      <c r="AD500" s="182">
        <v>12929586.060000001</v>
      </c>
      <c r="AE500" s="182"/>
      <c r="AF500" s="101" t="str">
        <f t="shared" si="109"/>
        <v/>
      </c>
      <c r="AG500" s="190"/>
      <c r="AH500" s="69">
        <f t="shared" si="102"/>
        <v>0</v>
      </c>
    </row>
    <row r="501" spans="1:34" s="69" customFormat="1" ht="33" x14ac:dyDescent="0.3">
      <c r="A501" s="382" t="s">
        <v>1298</v>
      </c>
      <c r="B501" s="383"/>
      <c r="C501" s="383"/>
      <c r="D501" s="383"/>
      <c r="E501" s="383"/>
      <c r="F501" s="383"/>
      <c r="G501" s="383"/>
      <c r="H501" s="383"/>
      <c r="I501" s="383"/>
      <c r="J501" s="384"/>
      <c r="K501" s="89"/>
      <c r="L501" s="46"/>
      <c r="M501" s="46">
        <v>2999475</v>
      </c>
      <c r="N501" s="46">
        <v>131240691</v>
      </c>
      <c r="O501" s="98"/>
      <c r="P501" s="23" t="s">
        <v>1421</v>
      </c>
      <c r="Q501" s="24" t="s">
        <v>1507</v>
      </c>
      <c r="R501" s="25"/>
      <c r="S501" s="26"/>
      <c r="T501" s="26"/>
      <c r="U501" s="26"/>
      <c r="V501" s="26"/>
      <c r="W501" s="26"/>
      <c r="X501" s="26">
        <v>2999475</v>
      </c>
      <c r="Y501" s="26">
        <v>131240691</v>
      </c>
      <c r="Z501" s="33"/>
      <c r="AA501" s="36" t="s">
        <v>16</v>
      </c>
      <c r="AB501" s="181"/>
      <c r="AC501" s="181"/>
      <c r="AD501" s="181"/>
      <c r="AE501" s="181"/>
      <c r="AF501" s="101" t="str">
        <f t="shared" si="109"/>
        <v/>
      </c>
      <c r="AG501" s="190"/>
      <c r="AH501" s="69">
        <f t="shared" si="102"/>
        <v>0</v>
      </c>
    </row>
    <row r="502" spans="1:34" s="69" customFormat="1" ht="153" customHeight="1" x14ac:dyDescent="0.3">
      <c r="A502" s="390" t="s">
        <v>1299</v>
      </c>
      <c r="B502" s="391"/>
      <c r="C502" s="391"/>
      <c r="D502" s="391"/>
      <c r="E502" s="391"/>
      <c r="F502" s="391"/>
      <c r="G502" s="391"/>
      <c r="H502" s="391"/>
      <c r="I502" s="391"/>
      <c r="J502" s="392"/>
      <c r="K502" s="90"/>
      <c r="L502" s="39"/>
      <c r="M502" s="39">
        <v>0</v>
      </c>
      <c r="N502" s="39">
        <v>737520</v>
      </c>
      <c r="O502" s="98"/>
      <c r="P502" s="8" t="s">
        <v>1508</v>
      </c>
      <c r="Q502" s="9" t="s">
        <v>1509</v>
      </c>
      <c r="R502" s="10" t="s">
        <v>14</v>
      </c>
      <c r="S502" s="11"/>
      <c r="T502" s="11"/>
      <c r="U502" s="11"/>
      <c r="V502" s="11"/>
      <c r="W502" s="11"/>
      <c r="X502" s="11">
        <v>0</v>
      </c>
      <c r="Y502" s="11">
        <f>SUM(Y503:Y505)</f>
        <v>737520</v>
      </c>
      <c r="Z502" s="12" t="s">
        <v>15</v>
      </c>
      <c r="AA502" s="37" t="s">
        <v>16</v>
      </c>
      <c r="AB502" s="182"/>
      <c r="AC502" s="182"/>
      <c r="AD502" s="182"/>
      <c r="AE502" s="182"/>
      <c r="AF502" s="101" t="str">
        <f t="shared" si="109"/>
        <v/>
      </c>
      <c r="AG502" s="190"/>
      <c r="AH502" s="69">
        <f t="shared" si="102"/>
        <v>0</v>
      </c>
    </row>
    <row r="503" spans="1:34" ht="33" x14ac:dyDescent="0.3">
      <c r="L503" s="46">
        <v>519.42999999999995</v>
      </c>
      <c r="M503" s="46">
        <v>0</v>
      </c>
      <c r="N503" s="46">
        <v>298672</v>
      </c>
      <c r="O503" s="98"/>
      <c r="P503" s="23" t="s">
        <v>1421</v>
      </c>
      <c r="Q503" s="24" t="s">
        <v>1510</v>
      </c>
      <c r="R503" s="25" t="s">
        <v>23</v>
      </c>
      <c r="S503" s="26"/>
      <c r="T503" s="26"/>
      <c r="U503" s="26">
        <v>575</v>
      </c>
      <c r="V503" s="26">
        <f>W503-L503</f>
        <v>0</v>
      </c>
      <c r="W503" s="26">
        <v>519.42999999999995</v>
      </c>
      <c r="X503" s="26">
        <f>Y503-N503</f>
        <v>0</v>
      </c>
      <c r="Y503" s="26">
        <f>ROUNDDOWN(U503*W503,0)</f>
        <v>298672</v>
      </c>
      <c r="Z503" s="33" t="s">
        <v>15</v>
      </c>
      <c r="AA503" s="36" t="s">
        <v>16</v>
      </c>
      <c r="AF503" s="101"/>
      <c r="AG503" s="185">
        <v>519.42999999999995</v>
      </c>
      <c r="AH503" s="69"/>
    </row>
    <row r="504" spans="1:34" ht="33" x14ac:dyDescent="0.3">
      <c r="L504" s="46">
        <v>0</v>
      </c>
      <c r="M504" s="46">
        <v>0</v>
      </c>
      <c r="N504" s="46">
        <v>0</v>
      </c>
      <c r="O504" s="98"/>
      <c r="P504" s="23" t="s">
        <v>1426</v>
      </c>
      <c r="Q504" s="24" t="s">
        <v>1511</v>
      </c>
      <c r="R504" s="25" t="s">
        <v>110</v>
      </c>
      <c r="S504" s="26"/>
      <c r="T504" s="26"/>
      <c r="U504" s="26">
        <v>20</v>
      </c>
      <c r="V504" s="26">
        <f>W504-L504</f>
        <v>0</v>
      </c>
      <c r="W504" s="26">
        <v>0</v>
      </c>
      <c r="X504" s="26">
        <f>Y504-N504</f>
        <v>0</v>
      </c>
      <c r="Y504" s="26">
        <f>ROUNDDOWN(U504*W504,0)</f>
        <v>0</v>
      </c>
      <c r="Z504" s="33" t="s">
        <v>15</v>
      </c>
      <c r="AA504" s="36" t="s">
        <v>16</v>
      </c>
      <c r="AF504" s="101"/>
      <c r="AG504" s="185">
        <v>0</v>
      </c>
      <c r="AH504" s="69"/>
    </row>
    <row r="505" spans="1:34" ht="33" x14ac:dyDescent="0.3">
      <c r="L505" s="46">
        <v>54856</v>
      </c>
      <c r="M505" s="46">
        <v>0</v>
      </c>
      <c r="N505" s="46">
        <v>438848</v>
      </c>
      <c r="O505" s="98"/>
      <c r="P505" s="23" t="s">
        <v>1402</v>
      </c>
      <c r="Q505" s="24" t="s">
        <v>1512</v>
      </c>
      <c r="R505" s="25" t="s">
        <v>110</v>
      </c>
      <c r="S505" s="26"/>
      <c r="T505" s="26"/>
      <c r="U505" s="26">
        <v>8</v>
      </c>
      <c r="V505" s="26">
        <f>W505-L505</f>
        <v>0</v>
      </c>
      <c r="W505" s="26">
        <v>54856</v>
      </c>
      <c r="X505" s="26">
        <f>Y505-N505</f>
        <v>0</v>
      </c>
      <c r="Y505" s="26">
        <f>ROUNDDOWN(U505*W505,0)</f>
        <v>438848</v>
      </c>
      <c r="Z505" s="33" t="s">
        <v>15</v>
      </c>
      <c r="AA505" s="36" t="s">
        <v>16</v>
      </c>
      <c r="AF505" s="101"/>
      <c r="AG505" s="185">
        <v>54856</v>
      </c>
      <c r="AH505" s="69"/>
    </row>
  </sheetData>
  <autoFilter ref="A6:J502" xr:uid="{745AA45A-1115-4D12-8076-1F56B440D015}"/>
  <mergeCells count="13">
    <mergeCell ref="A502:J502"/>
    <mergeCell ref="A5:H5"/>
    <mergeCell ref="I5:J5"/>
    <mergeCell ref="L5:N5"/>
    <mergeCell ref="P5:W5"/>
    <mergeCell ref="Y5:Z5"/>
    <mergeCell ref="A501:J501"/>
    <mergeCell ref="A1:J1"/>
    <mergeCell ref="A2:J2"/>
    <mergeCell ref="A3:J3"/>
    <mergeCell ref="P3:Z3"/>
    <mergeCell ref="A4:J4"/>
    <mergeCell ref="P4:Z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6DCE-D70E-478C-86FA-59EE9C3426C7}">
  <sheetPr>
    <tabColor rgb="FFFF0000"/>
  </sheetPr>
  <dimension ref="A1:AL506"/>
  <sheetViews>
    <sheetView view="pageBreakPreview" topLeftCell="A5" zoomScale="80" zoomScaleNormal="80" zoomScaleSheetLayoutView="80" workbookViewId="0">
      <pane ySplit="1470" topLeftCell="A105" activePane="bottomLeft"/>
      <selection activeCell="Z5" sqref="Z5:AA5"/>
      <selection pane="bottomLeft" activeCell="H108" sqref="H108"/>
    </sheetView>
  </sheetViews>
  <sheetFormatPr defaultColWidth="8.5" defaultRowHeight="19.5" x14ac:dyDescent="0.3"/>
  <cols>
    <col min="1" max="1" width="5.25" style="72" customWidth="1"/>
    <col min="2" max="2" width="26.25" style="73" customWidth="1"/>
    <col min="3" max="3" width="5.5" style="73" customWidth="1"/>
    <col min="4" max="4" width="12.75" style="73" customWidth="1"/>
    <col min="5" max="5" width="14" style="73" customWidth="1"/>
    <col min="6" max="6" width="14.375" style="73" customWidth="1"/>
    <col min="7" max="7" width="10.75" style="73" customWidth="1"/>
    <col min="8" max="8" width="15.375" style="73" customWidth="1"/>
    <col min="9" max="9" width="14.75" style="73" customWidth="1"/>
    <col min="10" max="10" width="23" style="73" customWidth="1"/>
    <col min="11" max="11" width="10.875" style="73" customWidth="1"/>
    <col min="12" max="12" width="1.5" style="73" customWidth="1"/>
    <col min="13" max="15" width="11.5" style="2" customWidth="1"/>
    <col min="16" max="16" width="1.25" style="96" customWidth="1"/>
    <col min="17" max="17" width="4.25" style="3" hidden="1" customWidth="1"/>
    <col min="18" max="18" width="35.25" hidden="1" customWidth="1"/>
    <col min="19" max="19" width="5.75" hidden="1" customWidth="1"/>
    <col min="20" max="20" width="9" hidden="1" customWidth="1"/>
    <col min="21" max="21" width="9.375" hidden="1" customWidth="1"/>
    <col min="22" max="22" width="12" hidden="1" customWidth="1"/>
    <col min="23" max="23" width="11.375" customWidth="1"/>
    <col min="24" max="24" width="11.75" customWidth="1"/>
    <col min="25" max="25" width="12.875" customWidth="1"/>
    <col min="26" max="26" width="12" customWidth="1"/>
    <col min="27" max="27" width="5.25" style="34" customWidth="1"/>
    <col min="28" max="28" width="1.125" customWidth="1"/>
    <col min="29" max="32" width="1.125" style="181" customWidth="1"/>
    <col min="33" max="33" width="1.125" style="71" customWidth="1"/>
    <col min="34" max="34" width="16.5" style="185" customWidth="1"/>
    <col min="35" max="35" width="15.375" style="70" customWidth="1"/>
    <col min="36" max="36" width="8.375" style="70" customWidth="1"/>
    <col min="37" max="37" width="1.625" style="70" customWidth="1"/>
    <col min="38" max="38" width="15" style="70" bestFit="1" customWidth="1"/>
    <col min="39" max="224" width="8.5" style="70"/>
    <col min="225" max="225" width="5.25" style="70" customWidth="1"/>
    <col min="226" max="226" width="26.25" style="70" customWidth="1"/>
    <col min="227" max="227" width="5.5" style="70" customWidth="1"/>
    <col min="228" max="228" width="8.5" style="70"/>
    <col min="229" max="230" width="10.875" style="70" customWidth="1"/>
    <col min="231" max="231" width="15.25" style="70" customWidth="1"/>
    <col min="232" max="232" width="0.75" style="70" customWidth="1"/>
    <col min="233" max="235" width="0.625" style="70" customWidth="1"/>
    <col min="236" max="480" width="8.5" style="70"/>
    <col min="481" max="481" width="5.25" style="70" customWidth="1"/>
    <col min="482" max="482" width="26.25" style="70" customWidth="1"/>
    <col min="483" max="483" width="5.5" style="70" customWidth="1"/>
    <col min="484" max="484" width="8.5" style="70"/>
    <col min="485" max="486" width="10.875" style="70" customWidth="1"/>
    <col min="487" max="487" width="15.25" style="70" customWidth="1"/>
    <col min="488" max="488" width="0.75" style="70" customWidth="1"/>
    <col min="489" max="491" width="0.625" style="70" customWidth="1"/>
    <col min="492" max="736" width="8.5" style="70"/>
    <col min="737" max="737" width="5.25" style="70" customWidth="1"/>
    <col min="738" max="738" width="26.25" style="70" customWidth="1"/>
    <col min="739" max="739" width="5.5" style="70" customWidth="1"/>
    <col min="740" max="740" width="8.5" style="70"/>
    <col min="741" max="742" width="10.875" style="70" customWidth="1"/>
    <col min="743" max="743" width="15.25" style="70" customWidth="1"/>
    <col min="744" max="744" width="0.75" style="70" customWidth="1"/>
    <col min="745" max="747" width="0.625" style="70" customWidth="1"/>
    <col min="748" max="992" width="8.5" style="70"/>
    <col min="993" max="993" width="5.25" style="70" customWidth="1"/>
    <col min="994" max="994" width="26.25" style="70" customWidth="1"/>
    <col min="995" max="995" width="5.5" style="70" customWidth="1"/>
    <col min="996" max="996" width="8.5" style="70"/>
    <col min="997" max="998" width="10.875" style="70" customWidth="1"/>
    <col min="999" max="999" width="15.25" style="70" customWidth="1"/>
    <col min="1000" max="1000" width="0.75" style="70" customWidth="1"/>
    <col min="1001" max="1003" width="0.625" style="70" customWidth="1"/>
    <col min="1004" max="1248" width="8.5" style="70"/>
    <col min="1249" max="1249" width="5.25" style="70" customWidth="1"/>
    <col min="1250" max="1250" width="26.25" style="70" customWidth="1"/>
    <col min="1251" max="1251" width="5.5" style="70" customWidth="1"/>
    <col min="1252" max="1252" width="8.5" style="70"/>
    <col min="1253" max="1254" width="10.875" style="70" customWidth="1"/>
    <col min="1255" max="1255" width="15.25" style="70" customWidth="1"/>
    <col min="1256" max="1256" width="0.75" style="70" customWidth="1"/>
    <col min="1257" max="1259" width="0.625" style="70" customWidth="1"/>
    <col min="1260" max="1504" width="8.5" style="70"/>
    <col min="1505" max="1505" width="5.25" style="70" customWidth="1"/>
    <col min="1506" max="1506" width="26.25" style="70" customWidth="1"/>
    <col min="1507" max="1507" width="5.5" style="70" customWidth="1"/>
    <col min="1508" max="1508" width="8.5" style="70"/>
    <col min="1509" max="1510" width="10.875" style="70" customWidth="1"/>
    <col min="1511" max="1511" width="15.25" style="70" customWidth="1"/>
    <col min="1512" max="1512" width="0.75" style="70" customWidth="1"/>
    <col min="1513" max="1515" width="0.625" style="70" customWidth="1"/>
    <col min="1516" max="1760" width="8.5" style="70"/>
    <col min="1761" max="1761" width="5.25" style="70" customWidth="1"/>
    <col min="1762" max="1762" width="26.25" style="70" customWidth="1"/>
    <col min="1763" max="1763" width="5.5" style="70" customWidth="1"/>
    <col min="1764" max="1764" width="8.5" style="70"/>
    <col min="1765" max="1766" width="10.875" style="70" customWidth="1"/>
    <col min="1767" max="1767" width="15.25" style="70" customWidth="1"/>
    <col min="1768" max="1768" width="0.75" style="70" customWidth="1"/>
    <col min="1769" max="1771" width="0.625" style="70" customWidth="1"/>
    <col min="1772" max="2016" width="8.5" style="70"/>
    <col min="2017" max="2017" width="5.25" style="70" customWidth="1"/>
    <col min="2018" max="2018" width="26.25" style="70" customWidth="1"/>
    <col min="2019" max="2019" width="5.5" style="70" customWidth="1"/>
    <col min="2020" max="2020" width="8.5" style="70"/>
    <col min="2021" max="2022" width="10.875" style="70" customWidth="1"/>
    <col min="2023" max="2023" width="15.25" style="70" customWidth="1"/>
    <col min="2024" max="2024" width="0.75" style="70" customWidth="1"/>
    <col min="2025" max="2027" width="0.625" style="70" customWidth="1"/>
    <col min="2028" max="2272" width="8.5" style="70"/>
    <col min="2273" max="2273" width="5.25" style="70" customWidth="1"/>
    <col min="2274" max="2274" width="26.25" style="70" customWidth="1"/>
    <col min="2275" max="2275" width="5.5" style="70" customWidth="1"/>
    <col min="2276" max="2276" width="8.5" style="70"/>
    <col min="2277" max="2278" width="10.875" style="70" customWidth="1"/>
    <col min="2279" max="2279" width="15.25" style="70" customWidth="1"/>
    <col min="2280" max="2280" width="0.75" style="70" customWidth="1"/>
    <col min="2281" max="2283" width="0.625" style="70" customWidth="1"/>
    <col min="2284" max="2528" width="8.5" style="70"/>
    <col min="2529" max="2529" width="5.25" style="70" customWidth="1"/>
    <col min="2530" max="2530" width="26.25" style="70" customWidth="1"/>
    <col min="2531" max="2531" width="5.5" style="70" customWidth="1"/>
    <col min="2532" max="2532" width="8.5" style="70"/>
    <col min="2533" max="2534" width="10.875" style="70" customWidth="1"/>
    <col min="2535" max="2535" width="15.25" style="70" customWidth="1"/>
    <col min="2536" max="2536" width="0.75" style="70" customWidth="1"/>
    <col min="2537" max="2539" width="0.625" style="70" customWidth="1"/>
    <col min="2540" max="2784" width="8.5" style="70"/>
    <col min="2785" max="2785" width="5.25" style="70" customWidth="1"/>
    <col min="2786" max="2786" width="26.25" style="70" customWidth="1"/>
    <col min="2787" max="2787" width="5.5" style="70" customWidth="1"/>
    <col min="2788" max="2788" width="8.5" style="70"/>
    <col min="2789" max="2790" width="10.875" style="70" customWidth="1"/>
    <col min="2791" max="2791" width="15.25" style="70" customWidth="1"/>
    <col min="2792" max="2792" width="0.75" style="70" customWidth="1"/>
    <col min="2793" max="2795" width="0.625" style="70" customWidth="1"/>
    <col min="2796" max="3040" width="8.5" style="70"/>
    <col min="3041" max="3041" width="5.25" style="70" customWidth="1"/>
    <col min="3042" max="3042" width="26.25" style="70" customWidth="1"/>
    <col min="3043" max="3043" width="5.5" style="70" customWidth="1"/>
    <col min="3044" max="3044" width="8.5" style="70"/>
    <col min="3045" max="3046" width="10.875" style="70" customWidth="1"/>
    <col min="3047" max="3047" width="15.25" style="70" customWidth="1"/>
    <col min="3048" max="3048" width="0.75" style="70" customWidth="1"/>
    <col min="3049" max="3051" width="0.625" style="70" customWidth="1"/>
    <col min="3052" max="3296" width="8.5" style="70"/>
    <col min="3297" max="3297" width="5.25" style="70" customWidth="1"/>
    <col min="3298" max="3298" width="26.25" style="70" customWidth="1"/>
    <col min="3299" max="3299" width="5.5" style="70" customWidth="1"/>
    <col min="3300" max="3300" width="8.5" style="70"/>
    <col min="3301" max="3302" width="10.875" style="70" customWidth="1"/>
    <col min="3303" max="3303" width="15.25" style="70" customWidth="1"/>
    <col min="3304" max="3304" width="0.75" style="70" customWidth="1"/>
    <col min="3305" max="3307" width="0.625" style="70" customWidth="1"/>
    <col min="3308" max="3552" width="8.5" style="70"/>
    <col min="3553" max="3553" width="5.25" style="70" customWidth="1"/>
    <col min="3554" max="3554" width="26.25" style="70" customWidth="1"/>
    <col min="3555" max="3555" width="5.5" style="70" customWidth="1"/>
    <col min="3556" max="3556" width="8.5" style="70"/>
    <col min="3557" max="3558" width="10.875" style="70" customWidth="1"/>
    <col min="3559" max="3559" width="15.25" style="70" customWidth="1"/>
    <col min="3560" max="3560" width="0.75" style="70" customWidth="1"/>
    <col min="3561" max="3563" width="0.625" style="70" customWidth="1"/>
    <col min="3564" max="3808" width="8.5" style="70"/>
    <col min="3809" max="3809" width="5.25" style="70" customWidth="1"/>
    <col min="3810" max="3810" width="26.25" style="70" customWidth="1"/>
    <col min="3811" max="3811" width="5.5" style="70" customWidth="1"/>
    <col min="3812" max="3812" width="8.5" style="70"/>
    <col min="3813" max="3814" width="10.875" style="70" customWidth="1"/>
    <col min="3815" max="3815" width="15.25" style="70" customWidth="1"/>
    <col min="3816" max="3816" width="0.75" style="70" customWidth="1"/>
    <col min="3817" max="3819" width="0.625" style="70" customWidth="1"/>
    <col min="3820" max="4064" width="8.5" style="70"/>
    <col min="4065" max="4065" width="5.25" style="70" customWidth="1"/>
    <col min="4066" max="4066" width="26.25" style="70" customWidth="1"/>
    <col min="4067" max="4067" width="5.5" style="70" customWidth="1"/>
    <col min="4068" max="4068" width="8.5" style="70"/>
    <col min="4069" max="4070" width="10.875" style="70" customWidth="1"/>
    <col min="4071" max="4071" width="15.25" style="70" customWidth="1"/>
    <col min="4072" max="4072" width="0.75" style="70" customWidth="1"/>
    <col min="4073" max="4075" width="0.625" style="70" customWidth="1"/>
    <col min="4076" max="4320" width="8.5" style="70"/>
    <col min="4321" max="4321" width="5.25" style="70" customWidth="1"/>
    <col min="4322" max="4322" width="26.25" style="70" customWidth="1"/>
    <col min="4323" max="4323" width="5.5" style="70" customWidth="1"/>
    <col min="4324" max="4324" width="8.5" style="70"/>
    <col min="4325" max="4326" width="10.875" style="70" customWidth="1"/>
    <col min="4327" max="4327" width="15.25" style="70" customWidth="1"/>
    <col min="4328" max="4328" width="0.75" style="70" customWidth="1"/>
    <col min="4329" max="4331" width="0.625" style="70" customWidth="1"/>
    <col min="4332" max="4576" width="8.5" style="70"/>
    <col min="4577" max="4577" width="5.25" style="70" customWidth="1"/>
    <col min="4578" max="4578" width="26.25" style="70" customWidth="1"/>
    <col min="4579" max="4579" width="5.5" style="70" customWidth="1"/>
    <col min="4580" max="4580" width="8.5" style="70"/>
    <col min="4581" max="4582" width="10.875" style="70" customWidth="1"/>
    <col min="4583" max="4583" width="15.25" style="70" customWidth="1"/>
    <col min="4584" max="4584" width="0.75" style="70" customWidth="1"/>
    <col min="4585" max="4587" width="0.625" style="70" customWidth="1"/>
    <col min="4588" max="4832" width="8.5" style="70"/>
    <col min="4833" max="4833" width="5.25" style="70" customWidth="1"/>
    <col min="4834" max="4834" width="26.25" style="70" customWidth="1"/>
    <col min="4835" max="4835" width="5.5" style="70" customWidth="1"/>
    <col min="4836" max="4836" width="8.5" style="70"/>
    <col min="4837" max="4838" width="10.875" style="70" customWidth="1"/>
    <col min="4839" max="4839" width="15.25" style="70" customWidth="1"/>
    <col min="4840" max="4840" width="0.75" style="70" customWidth="1"/>
    <col min="4841" max="4843" width="0.625" style="70" customWidth="1"/>
    <col min="4844" max="5088" width="8.5" style="70"/>
    <col min="5089" max="5089" width="5.25" style="70" customWidth="1"/>
    <col min="5090" max="5090" width="26.25" style="70" customWidth="1"/>
    <col min="5091" max="5091" width="5.5" style="70" customWidth="1"/>
    <col min="5092" max="5092" width="8.5" style="70"/>
    <col min="5093" max="5094" width="10.875" style="70" customWidth="1"/>
    <col min="5095" max="5095" width="15.25" style="70" customWidth="1"/>
    <col min="5096" max="5096" width="0.75" style="70" customWidth="1"/>
    <col min="5097" max="5099" width="0.625" style="70" customWidth="1"/>
    <col min="5100" max="5344" width="8.5" style="70"/>
    <col min="5345" max="5345" width="5.25" style="70" customWidth="1"/>
    <col min="5346" max="5346" width="26.25" style="70" customWidth="1"/>
    <col min="5347" max="5347" width="5.5" style="70" customWidth="1"/>
    <col min="5348" max="5348" width="8.5" style="70"/>
    <col min="5349" max="5350" width="10.875" style="70" customWidth="1"/>
    <col min="5351" max="5351" width="15.25" style="70" customWidth="1"/>
    <col min="5352" max="5352" width="0.75" style="70" customWidth="1"/>
    <col min="5353" max="5355" width="0.625" style="70" customWidth="1"/>
    <col min="5356" max="5600" width="8.5" style="70"/>
    <col min="5601" max="5601" width="5.25" style="70" customWidth="1"/>
    <col min="5602" max="5602" width="26.25" style="70" customWidth="1"/>
    <col min="5603" max="5603" width="5.5" style="70" customWidth="1"/>
    <col min="5604" max="5604" width="8.5" style="70"/>
    <col min="5605" max="5606" width="10.875" style="70" customWidth="1"/>
    <col min="5607" max="5607" width="15.25" style="70" customWidth="1"/>
    <col min="5608" max="5608" width="0.75" style="70" customWidth="1"/>
    <col min="5609" max="5611" width="0.625" style="70" customWidth="1"/>
    <col min="5612" max="5856" width="8.5" style="70"/>
    <col min="5857" max="5857" width="5.25" style="70" customWidth="1"/>
    <col min="5858" max="5858" width="26.25" style="70" customWidth="1"/>
    <col min="5859" max="5859" width="5.5" style="70" customWidth="1"/>
    <col min="5860" max="5860" width="8.5" style="70"/>
    <col min="5861" max="5862" width="10.875" style="70" customWidth="1"/>
    <col min="5863" max="5863" width="15.25" style="70" customWidth="1"/>
    <col min="5864" max="5864" width="0.75" style="70" customWidth="1"/>
    <col min="5865" max="5867" width="0.625" style="70" customWidth="1"/>
    <col min="5868" max="6112" width="8.5" style="70"/>
    <col min="6113" max="6113" width="5.25" style="70" customWidth="1"/>
    <col min="6114" max="6114" width="26.25" style="70" customWidth="1"/>
    <col min="6115" max="6115" width="5.5" style="70" customWidth="1"/>
    <col min="6116" max="6116" width="8.5" style="70"/>
    <col min="6117" max="6118" width="10.875" style="70" customWidth="1"/>
    <col min="6119" max="6119" width="15.25" style="70" customWidth="1"/>
    <col min="6120" max="6120" width="0.75" style="70" customWidth="1"/>
    <col min="6121" max="6123" width="0.625" style="70" customWidth="1"/>
    <col min="6124" max="6368" width="8.5" style="70"/>
    <col min="6369" max="6369" width="5.25" style="70" customWidth="1"/>
    <col min="6370" max="6370" width="26.25" style="70" customWidth="1"/>
    <col min="6371" max="6371" width="5.5" style="70" customWidth="1"/>
    <col min="6372" max="6372" width="8.5" style="70"/>
    <col min="6373" max="6374" width="10.875" style="70" customWidth="1"/>
    <col min="6375" max="6375" width="15.25" style="70" customWidth="1"/>
    <col min="6376" max="6376" width="0.75" style="70" customWidth="1"/>
    <col min="6377" max="6379" width="0.625" style="70" customWidth="1"/>
    <col min="6380" max="6624" width="8.5" style="70"/>
    <col min="6625" max="6625" width="5.25" style="70" customWidth="1"/>
    <col min="6626" max="6626" width="26.25" style="70" customWidth="1"/>
    <col min="6627" max="6627" width="5.5" style="70" customWidth="1"/>
    <col min="6628" max="6628" width="8.5" style="70"/>
    <col min="6629" max="6630" width="10.875" style="70" customWidth="1"/>
    <col min="6631" max="6631" width="15.25" style="70" customWidth="1"/>
    <col min="6632" max="6632" width="0.75" style="70" customWidth="1"/>
    <col min="6633" max="6635" width="0.625" style="70" customWidth="1"/>
    <col min="6636" max="6880" width="8.5" style="70"/>
    <col min="6881" max="6881" width="5.25" style="70" customWidth="1"/>
    <col min="6882" max="6882" width="26.25" style="70" customWidth="1"/>
    <col min="6883" max="6883" width="5.5" style="70" customWidth="1"/>
    <col min="6884" max="6884" width="8.5" style="70"/>
    <col min="6885" max="6886" width="10.875" style="70" customWidth="1"/>
    <col min="6887" max="6887" width="15.25" style="70" customWidth="1"/>
    <col min="6888" max="6888" width="0.75" style="70" customWidth="1"/>
    <col min="6889" max="6891" width="0.625" style="70" customWidth="1"/>
    <col min="6892" max="7136" width="8.5" style="70"/>
    <col min="7137" max="7137" width="5.25" style="70" customWidth="1"/>
    <col min="7138" max="7138" width="26.25" style="70" customWidth="1"/>
    <col min="7139" max="7139" width="5.5" style="70" customWidth="1"/>
    <col min="7140" max="7140" width="8.5" style="70"/>
    <col min="7141" max="7142" width="10.875" style="70" customWidth="1"/>
    <col min="7143" max="7143" width="15.25" style="70" customWidth="1"/>
    <col min="7144" max="7144" width="0.75" style="70" customWidth="1"/>
    <col min="7145" max="7147" width="0.625" style="70" customWidth="1"/>
    <col min="7148" max="7392" width="8.5" style="70"/>
    <col min="7393" max="7393" width="5.25" style="70" customWidth="1"/>
    <col min="7394" max="7394" width="26.25" style="70" customWidth="1"/>
    <col min="7395" max="7395" width="5.5" style="70" customWidth="1"/>
    <col min="7396" max="7396" width="8.5" style="70"/>
    <col min="7397" max="7398" width="10.875" style="70" customWidth="1"/>
    <col min="7399" max="7399" width="15.25" style="70" customWidth="1"/>
    <col min="7400" max="7400" width="0.75" style="70" customWidth="1"/>
    <col min="7401" max="7403" width="0.625" style="70" customWidth="1"/>
    <col min="7404" max="7648" width="8.5" style="70"/>
    <col min="7649" max="7649" width="5.25" style="70" customWidth="1"/>
    <col min="7650" max="7650" width="26.25" style="70" customWidth="1"/>
    <col min="7651" max="7651" width="5.5" style="70" customWidth="1"/>
    <col min="7652" max="7652" width="8.5" style="70"/>
    <col min="7653" max="7654" width="10.875" style="70" customWidth="1"/>
    <col min="7655" max="7655" width="15.25" style="70" customWidth="1"/>
    <col min="7656" max="7656" width="0.75" style="70" customWidth="1"/>
    <col min="7657" max="7659" width="0.625" style="70" customWidth="1"/>
    <col min="7660" max="7904" width="8.5" style="70"/>
    <col min="7905" max="7905" width="5.25" style="70" customWidth="1"/>
    <col min="7906" max="7906" width="26.25" style="70" customWidth="1"/>
    <col min="7907" max="7907" width="5.5" style="70" customWidth="1"/>
    <col min="7908" max="7908" width="8.5" style="70"/>
    <col min="7909" max="7910" width="10.875" style="70" customWidth="1"/>
    <col min="7911" max="7911" width="15.25" style="70" customWidth="1"/>
    <col min="7912" max="7912" width="0.75" style="70" customWidth="1"/>
    <col min="7913" max="7915" width="0.625" style="70" customWidth="1"/>
    <col min="7916" max="8160" width="8.5" style="70"/>
    <col min="8161" max="8161" width="5.25" style="70" customWidth="1"/>
    <col min="8162" max="8162" width="26.25" style="70" customWidth="1"/>
    <col min="8163" max="8163" width="5.5" style="70" customWidth="1"/>
    <col min="8164" max="8164" width="8.5" style="70"/>
    <col min="8165" max="8166" width="10.875" style="70" customWidth="1"/>
    <col min="8167" max="8167" width="15.25" style="70" customWidth="1"/>
    <col min="8168" max="8168" width="0.75" style="70" customWidth="1"/>
    <col min="8169" max="8171" width="0.625" style="70" customWidth="1"/>
    <col min="8172" max="8416" width="8.5" style="70"/>
    <col min="8417" max="8417" width="5.25" style="70" customWidth="1"/>
    <col min="8418" max="8418" width="26.25" style="70" customWidth="1"/>
    <col min="8419" max="8419" width="5.5" style="70" customWidth="1"/>
    <col min="8420" max="8420" width="8.5" style="70"/>
    <col min="8421" max="8422" width="10.875" style="70" customWidth="1"/>
    <col min="8423" max="8423" width="15.25" style="70" customWidth="1"/>
    <col min="8424" max="8424" width="0.75" style="70" customWidth="1"/>
    <col min="8425" max="8427" width="0.625" style="70" customWidth="1"/>
    <col min="8428" max="8672" width="8.5" style="70"/>
    <col min="8673" max="8673" width="5.25" style="70" customWidth="1"/>
    <col min="8674" max="8674" width="26.25" style="70" customWidth="1"/>
    <col min="8675" max="8675" width="5.5" style="70" customWidth="1"/>
    <col min="8676" max="8676" width="8.5" style="70"/>
    <col min="8677" max="8678" width="10.875" style="70" customWidth="1"/>
    <col min="8679" max="8679" width="15.25" style="70" customWidth="1"/>
    <col min="8680" max="8680" width="0.75" style="70" customWidth="1"/>
    <col min="8681" max="8683" width="0.625" style="70" customWidth="1"/>
    <col min="8684" max="8928" width="8.5" style="70"/>
    <col min="8929" max="8929" width="5.25" style="70" customWidth="1"/>
    <col min="8930" max="8930" width="26.25" style="70" customWidth="1"/>
    <col min="8931" max="8931" width="5.5" style="70" customWidth="1"/>
    <col min="8932" max="8932" width="8.5" style="70"/>
    <col min="8933" max="8934" width="10.875" style="70" customWidth="1"/>
    <col min="8935" max="8935" width="15.25" style="70" customWidth="1"/>
    <col min="8936" max="8936" width="0.75" style="70" customWidth="1"/>
    <col min="8937" max="8939" width="0.625" style="70" customWidth="1"/>
    <col min="8940" max="9184" width="8.5" style="70"/>
    <col min="9185" max="9185" width="5.25" style="70" customWidth="1"/>
    <col min="9186" max="9186" width="26.25" style="70" customWidth="1"/>
    <col min="9187" max="9187" width="5.5" style="70" customWidth="1"/>
    <col min="9188" max="9188" width="8.5" style="70"/>
    <col min="9189" max="9190" width="10.875" style="70" customWidth="1"/>
    <col min="9191" max="9191" width="15.25" style="70" customWidth="1"/>
    <col min="9192" max="9192" width="0.75" style="70" customWidth="1"/>
    <col min="9193" max="9195" width="0.625" style="70" customWidth="1"/>
    <col min="9196" max="9440" width="8.5" style="70"/>
    <col min="9441" max="9441" width="5.25" style="70" customWidth="1"/>
    <col min="9442" max="9442" width="26.25" style="70" customWidth="1"/>
    <col min="9443" max="9443" width="5.5" style="70" customWidth="1"/>
    <col min="9444" max="9444" width="8.5" style="70"/>
    <col min="9445" max="9446" width="10.875" style="70" customWidth="1"/>
    <col min="9447" max="9447" width="15.25" style="70" customWidth="1"/>
    <col min="9448" max="9448" width="0.75" style="70" customWidth="1"/>
    <col min="9449" max="9451" width="0.625" style="70" customWidth="1"/>
    <col min="9452" max="9696" width="8.5" style="70"/>
    <col min="9697" max="9697" width="5.25" style="70" customWidth="1"/>
    <col min="9698" max="9698" width="26.25" style="70" customWidth="1"/>
    <col min="9699" max="9699" width="5.5" style="70" customWidth="1"/>
    <col min="9700" max="9700" width="8.5" style="70"/>
    <col min="9701" max="9702" width="10.875" style="70" customWidth="1"/>
    <col min="9703" max="9703" width="15.25" style="70" customWidth="1"/>
    <col min="9704" max="9704" width="0.75" style="70" customWidth="1"/>
    <col min="9705" max="9707" width="0.625" style="70" customWidth="1"/>
    <col min="9708" max="9952" width="8.5" style="70"/>
    <col min="9953" max="9953" width="5.25" style="70" customWidth="1"/>
    <col min="9954" max="9954" width="26.25" style="70" customWidth="1"/>
    <col min="9955" max="9955" width="5.5" style="70" customWidth="1"/>
    <col min="9956" max="9956" width="8.5" style="70"/>
    <col min="9957" max="9958" width="10.875" style="70" customWidth="1"/>
    <col min="9959" max="9959" width="15.25" style="70" customWidth="1"/>
    <col min="9960" max="9960" width="0.75" style="70" customWidth="1"/>
    <col min="9961" max="9963" width="0.625" style="70" customWidth="1"/>
    <col min="9964" max="10208" width="8.5" style="70"/>
    <col min="10209" max="10209" width="5.25" style="70" customWidth="1"/>
    <col min="10210" max="10210" width="26.25" style="70" customWidth="1"/>
    <col min="10211" max="10211" width="5.5" style="70" customWidth="1"/>
    <col min="10212" max="10212" width="8.5" style="70"/>
    <col min="10213" max="10214" width="10.875" style="70" customWidth="1"/>
    <col min="10215" max="10215" width="15.25" style="70" customWidth="1"/>
    <col min="10216" max="10216" width="0.75" style="70" customWidth="1"/>
    <col min="10217" max="10219" width="0.625" style="70" customWidth="1"/>
    <col min="10220" max="10464" width="8.5" style="70"/>
    <col min="10465" max="10465" width="5.25" style="70" customWidth="1"/>
    <col min="10466" max="10466" width="26.25" style="70" customWidth="1"/>
    <col min="10467" max="10467" width="5.5" style="70" customWidth="1"/>
    <col min="10468" max="10468" width="8.5" style="70"/>
    <col min="10469" max="10470" width="10.875" style="70" customWidth="1"/>
    <col min="10471" max="10471" width="15.25" style="70" customWidth="1"/>
    <col min="10472" max="10472" width="0.75" style="70" customWidth="1"/>
    <col min="10473" max="10475" width="0.625" style="70" customWidth="1"/>
    <col min="10476" max="10720" width="8.5" style="70"/>
    <col min="10721" max="10721" width="5.25" style="70" customWidth="1"/>
    <col min="10722" max="10722" width="26.25" style="70" customWidth="1"/>
    <col min="10723" max="10723" width="5.5" style="70" customWidth="1"/>
    <col min="10724" max="10724" width="8.5" style="70"/>
    <col min="10725" max="10726" width="10.875" style="70" customWidth="1"/>
    <col min="10727" max="10727" width="15.25" style="70" customWidth="1"/>
    <col min="10728" max="10728" width="0.75" style="70" customWidth="1"/>
    <col min="10729" max="10731" width="0.625" style="70" customWidth="1"/>
    <col min="10732" max="10976" width="8.5" style="70"/>
    <col min="10977" max="10977" width="5.25" style="70" customWidth="1"/>
    <col min="10978" max="10978" width="26.25" style="70" customWidth="1"/>
    <col min="10979" max="10979" width="5.5" style="70" customWidth="1"/>
    <col min="10980" max="10980" width="8.5" style="70"/>
    <col min="10981" max="10982" width="10.875" style="70" customWidth="1"/>
    <col min="10983" max="10983" width="15.25" style="70" customWidth="1"/>
    <col min="10984" max="10984" width="0.75" style="70" customWidth="1"/>
    <col min="10985" max="10987" width="0.625" style="70" customWidth="1"/>
    <col min="10988" max="11232" width="8.5" style="70"/>
    <col min="11233" max="11233" width="5.25" style="70" customWidth="1"/>
    <col min="11234" max="11234" width="26.25" style="70" customWidth="1"/>
    <col min="11235" max="11235" width="5.5" style="70" customWidth="1"/>
    <col min="11236" max="11236" width="8.5" style="70"/>
    <col min="11237" max="11238" width="10.875" style="70" customWidth="1"/>
    <col min="11239" max="11239" width="15.25" style="70" customWidth="1"/>
    <col min="11240" max="11240" width="0.75" style="70" customWidth="1"/>
    <col min="11241" max="11243" width="0.625" style="70" customWidth="1"/>
    <col min="11244" max="11488" width="8.5" style="70"/>
    <col min="11489" max="11489" width="5.25" style="70" customWidth="1"/>
    <col min="11490" max="11490" width="26.25" style="70" customWidth="1"/>
    <col min="11491" max="11491" width="5.5" style="70" customWidth="1"/>
    <col min="11492" max="11492" width="8.5" style="70"/>
    <col min="11493" max="11494" width="10.875" style="70" customWidth="1"/>
    <col min="11495" max="11495" width="15.25" style="70" customWidth="1"/>
    <col min="11496" max="11496" width="0.75" style="70" customWidth="1"/>
    <col min="11497" max="11499" width="0.625" style="70" customWidth="1"/>
    <col min="11500" max="11744" width="8.5" style="70"/>
    <col min="11745" max="11745" width="5.25" style="70" customWidth="1"/>
    <col min="11746" max="11746" width="26.25" style="70" customWidth="1"/>
    <col min="11747" max="11747" width="5.5" style="70" customWidth="1"/>
    <col min="11748" max="11748" width="8.5" style="70"/>
    <col min="11749" max="11750" width="10.875" style="70" customWidth="1"/>
    <col min="11751" max="11751" width="15.25" style="70" customWidth="1"/>
    <col min="11752" max="11752" width="0.75" style="70" customWidth="1"/>
    <col min="11753" max="11755" width="0.625" style="70" customWidth="1"/>
    <col min="11756" max="12000" width="8.5" style="70"/>
    <col min="12001" max="12001" width="5.25" style="70" customWidth="1"/>
    <col min="12002" max="12002" width="26.25" style="70" customWidth="1"/>
    <col min="12003" max="12003" width="5.5" style="70" customWidth="1"/>
    <col min="12004" max="12004" width="8.5" style="70"/>
    <col min="12005" max="12006" width="10.875" style="70" customWidth="1"/>
    <col min="12007" max="12007" width="15.25" style="70" customWidth="1"/>
    <col min="12008" max="12008" width="0.75" style="70" customWidth="1"/>
    <col min="12009" max="12011" width="0.625" style="70" customWidth="1"/>
    <col min="12012" max="12256" width="8.5" style="70"/>
    <col min="12257" max="12257" width="5.25" style="70" customWidth="1"/>
    <col min="12258" max="12258" width="26.25" style="70" customWidth="1"/>
    <col min="12259" max="12259" width="5.5" style="70" customWidth="1"/>
    <col min="12260" max="12260" width="8.5" style="70"/>
    <col min="12261" max="12262" width="10.875" style="70" customWidth="1"/>
    <col min="12263" max="12263" width="15.25" style="70" customWidth="1"/>
    <col min="12264" max="12264" width="0.75" style="70" customWidth="1"/>
    <col min="12265" max="12267" width="0.625" style="70" customWidth="1"/>
    <col min="12268" max="12512" width="8.5" style="70"/>
    <col min="12513" max="12513" width="5.25" style="70" customWidth="1"/>
    <col min="12514" max="12514" width="26.25" style="70" customWidth="1"/>
    <col min="12515" max="12515" width="5.5" style="70" customWidth="1"/>
    <col min="12516" max="12516" width="8.5" style="70"/>
    <col min="12517" max="12518" width="10.875" style="70" customWidth="1"/>
    <col min="12519" max="12519" width="15.25" style="70" customWidth="1"/>
    <col min="12520" max="12520" width="0.75" style="70" customWidth="1"/>
    <col min="12521" max="12523" width="0.625" style="70" customWidth="1"/>
    <col min="12524" max="12768" width="8.5" style="70"/>
    <col min="12769" max="12769" width="5.25" style="70" customWidth="1"/>
    <col min="12770" max="12770" width="26.25" style="70" customWidth="1"/>
    <col min="12771" max="12771" width="5.5" style="70" customWidth="1"/>
    <col min="12772" max="12772" width="8.5" style="70"/>
    <col min="12773" max="12774" width="10.875" style="70" customWidth="1"/>
    <col min="12775" max="12775" width="15.25" style="70" customWidth="1"/>
    <col min="12776" max="12776" width="0.75" style="70" customWidth="1"/>
    <col min="12777" max="12779" width="0.625" style="70" customWidth="1"/>
    <col min="12780" max="13024" width="8.5" style="70"/>
    <col min="13025" max="13025" width="5.25" style="70" customWidth="1"/>
    <col min="13026" max="13026" width="26.25" style="70" customWidth="1"/>
    <col min="13027" max="13027" width="5.5" style="70" customWidth="1"/>
    <col min="13028" max="13028" width="8.5" style="70"/>
    <col min="13029" max="13030" width="10.875" style="70" customWidth="1"/>
    <col min="13031" max="13031" width="15.25" style="70" customWidth="1"/>
    <col min="13032" max="13032" width="0.75" style="70" customWidth="1"/>
    <col min="13033" max="13035" width="0.625" style="70" customWidth="1"/>
    <col min="13036" max="13280" width="8.5" style="70"/>
    <col min="13281" max="13281" width="5.25" style="70" customWidth="1"/>
    <col min="13282" max="13282" width="26.25" style="70" customWidth="1"/>
    <col min="13283" max="13283" width="5.5" style="70" customWidth="1"/>
    <col min="13284" max="13284" width="8.5" style="70"/>
    <col min="13285" max="13286" width="10.875" style="70" customWidth="1"/>
    <col min="13287" max="13287" width="15.25" style="70" customWidth="1"/>
    <col min="13288" max="13288" width="0.75" style="70" customWidth="1"/>
    <col min="13289" max="13291" width="0.625" style="70" customWidth="1"/>
    <col min="13292" max="13536" width="8.5" style="70"/>
    <col min="13537" max="13537" width="5.25" style="70" customWidth="1"/>
    <col min="13538" max="13538" width="26.25" style="70" customWidth="1"/>
    <col min="13539" max="13539" width="5.5" style="70" customWidth="1"/>
    <col min="13540" max="13540" width="8.5" style="70"/>
    <col min="13541" max="13542" width="10.875" style="70" customWidth="1"/>
    <col min="13543" max="13543" width="15.25" style="70" customWidth="1"/>
    <col min="13544" max="13544" width="0.75" style="70" customWidth="1"/>
    <col min="13545" max="13547" width="0.625" style="70" customWidth="1"/>
    <col min="13548" max="13792" width="8.5" style="70"/>
    <col min="13793" max="13793" width="5.25" style="70" customWidth="1"/>
    <col min="13794" max="13794" width="26.25" style="70" customWidth="1"/>
    <col min="13795" max="13795" width="5.5" style="70" customWidth="1"/>
    <col min="13796" max="13796" width="8.5" style="70"/>
    <col min="13797" max="13798" width="10.875" style="70" customWidth="1"/>
    <col min="13799" max="13799" width="15.25" style="70" customWidth="1"/>
    <col min="13800" max="13800" width="0.75" style="70" customWidth="1"/>
    <col min="13801" max="13803" width="0.625" style="70" customWidth="1"/>
    <col min="13804" max="14048" width="8.5" style="70"/>
    <col min="14049" max="14049" width="5.25" style="70" customWidth="1"/>
    <col min="14050" max="14050" width="26.25" style="70" customWidth="1"/>
    <col min="14051" max="14051" width="5.5" style="70" customWidth="1"/>
    <col min="14052" max="14052" width="8.5" style="70"/>
    <col min="14053" max="14054" width="10.875" style="70" customWidth="1"/>
    <col min="14055" max="14055" width="15.25" style="70" customWidth="1"/>
    <col min="14056" max="14056" width="0.75" style="70" customWidth="1"/>
    <col min="14057" max="14059" width="0.625" style="70" customWidth="1"/>
    <col min="14060" max="14304" width="8.5" style="70"/>
    <col min="14305" max="14305" width="5.25" style="70" customWidth="1"/>
    <col min="14306" max="14306" width="26.25" style="70" customWidth="1"/>
    <col min="14307" max="14307" width="5.5" style="70" customWidth="1"/>
    <col min="14308" max="14308" width="8.5" style="70"/>
    <col min="14309" max="14310" width="10.875" style="70" customWidth="1"/>
    <col min="14311" max="14311" width="15.25" style="70" customWidth="1"/>
    <col min="14312" max="14312" width="0.75" style="70" customWidth="1"/>
    <col min="14313" max="14315" width="0.625" style="70" customWidth="1"/>
    <col min="14316" max="14560" width="8.5" style="70"/>
    <col min="14561" max="14561" width="5.25" style="70" customWidth="1"/>
    <col min="14562" max="14562" width="26.25" style="70" customWidth="1"/>
    <col min="14563" max="14563" width="5.5" style="70" customWidth="1"/>
    <col min="14564" max="14564" width="8.5" style="70"/>
    <col min="14565" max="14566" width="10.875" style="70" customWidth="1"/>
    <col min="14567" max="14567" width="15.25" style="70" customWidth="1"/>
    <col min="14568" max="14568" width="0.75" style="70" customWidth="1"/>
    <col min="14569" max="14571" width="0.625" style="70" customWidth="1"/>
    <col min="14572" max="14816" width="8.5" style="70"/>
    <col min="14817" max="14817" width="5.25" style="70" customWidth="1"/>
    <col min="14818" max="14818" width="26.25" style="70" customWidth="1"/>
    <col min="14819" max="14819" width="5.5" style="70" customWidth="1"/>
    <col min="14820" max="14820" width="8.5" style="70"/>
    <col min="14821" max="14822" width="10.875" style="70" customWidth="1"/>
    <col min="14823" max="14823" width="15.25" style="70" customWidth="1"/>
    <col min="14824" max="14824" width="0.75" style="70" customWidth="1"/>
    <col min="14825" max="14827" width="0.625" style="70" customWidth="1"/>
    <col min="14828" max="15072" width="8.5" style="70"/>
    <col min="15073" max="15073" width="5.25" style="70" customWidth="1"/>
    <col min="15074" max="15074" width="26.25" style="70" customWidth="1"/>
    <col min="15075" max="15075" width="5.5" style="70" customWidth="1"/>
    <col min="15076" max="15076" width="8.5" style="70"/>
    <col min="15077" max="15078" width="10.875" style="70" customWidth="1"/>
    <col min="15079" max="15079" width="15.25" style="70" customWidth="1"/>
    <col min="15080" max="15080" width="0.75" style="70" customWidth="1"/>
    <col min="15081" max="15083" width="0.625" style="70" customWidth="1"/>
    <col min="15084" max="15328" width="8.5" style="70"/>
    <col min="15329" max="15329" width="5.25" style="70" customWidth="1"/>
    <col min="15330" max="15330" width="26.25" style="70" customWidth="1"/>
    <col min="15331" max="15331" width="5.5" style="70" customWidth="1"/>
    <col min="15332" max="15332" width="8.5" style="70"/>
    <col min="15333" max="15334" width="10.875" style="70" customWidth="1"/>
    <col min="15335" max="15335" width="15.25" style="70" customWidth="1"/>
    <col min="15336" max="15336" width="0.75" style="70" customWidth="1"/>
    <col min="15337" max="15339" width="0.625" style="70" customWidth="1"/>
    <col min="15340" max="15584" width="8.5" style="70"/>
    <col min="15585" max="15585" width="5.25" style="70" customWidth="1"/>
    <col min="15586" max="15586" width="26.25" style="70" customWidth="1"/>
    <col min="15587" max="15587" width="5.5" style="70" customWidth="1"/>
    <col min="15588" max="15588" width="8.5" style="70"/>
    <col min="15589" max="15590" width="10.875" style="70" customWidth="1"/>
    <col min="15591" max="15591" width="15.25" style="70" customWidth="1"/>
    <col min="15592" max="15592" width="0.75" style="70" customWidth="1"/>
    <col min="15593" max="15595" width="0.625" style="70" customWidth="1"/>
    <col min="15596" max="15840" width="8.5" style="70"/>
    <col min="15841" max="15841" width="5.25" style="70" customWidth="1"/>
    <col min="15842" max="15842" width="26.25" style="70" customWidth="1"/>
    <col min="15843" max="15843" width="5.5" style="70" customWidth="1"/>
    <col min="15844" max="15844" width="8.5" style="70"/>
    <col min="15845" max="15846" width="10.875" style="70" customWidth="1"/>
    <col min="15847" max="15847" width="15.25" style="70" customWidth="1"/>
    <col min="15848" max="15848" width="0.75" style="70" customWidth="1"/>
    <col min="15849" max="15851" width="0.625" style="70" customWidth="1"/>
    <col min="15852" max="16096" width="8.5" style="70"/>
    <col min="16097" max="16097" width="5.25" style="70" customWidth="1"/>
    <col min="16098" max="16098" width="26.25" style="70" customWidth="1"/>
    <col min="16099" max="16099" width="5.5" style="70" customWidth="1"/>
    <col min="16100" max="16100" width="8.5" style="70"/>
    <col min="16101" max="16102" width="10.875" style="70" customWidth="1"/>
    <col min="16103" max="16103" width="15.25" style="70" customWidth="1"/>
    <col min="16104" max="16104" width="0.75" style="70" customWidth="1"/>
    <col min="16105" max="16107" width="0.625" style="70" customWidth="1"/>
    <col min="16108" max="16384" width="8.5" style="70"/>
  </cols>
  <sheetData>
    <row r="1" spans="1:38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47"/>
      <c r="W1" s="99"/>
      <c r="X1" s="99"/>
      <c r="Y1" s="99"/>
      <c r="Z1" s="99"/>
      <c r="AA1" s="100"/>
    </row>
    <row r="2" spans="1:38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47"/>
    </row>
    <row r="3" spans="1:38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47"/>
      <c r="Q3" s="386" t="s">
        <v>0</v>
      </c>
      <c r="R3" s="387"/>
      <c r="S3" s="387"/>
      <c r="T3" s="387"/>
      <c r="U3" s="387"/>
      <c r="V3" s="387"/>
      <c r="W3" s="387"/>
      <c r="X3" s="387"/>
      <c r="Y3" s="387"/>
      <c r="Z3" s="387"/>
      <c r="AA3" s="387"/>
    </row>
    <row r="4" spans="1:38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48"/>
      <c r="Q4" s="389">
        <v>20</v>
      </c>
      <c r="R4" s="387"/>
      <c r="S4" s="387"/>
      <c r="T4" s="387"/>
      <c r="U4" s="387"/>
      <c r="V4" s="387"/>
      <c r="W4" s="387"/>
      <c r="X4" s="387"/>
      <c r="Y4" s="387"/>
      <c r="Z4" s="387"/>
      <c r="AA4" s="387"/>
    </row>
    <row r="5" spans="1:38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93" t="s">
        <v>4</v>
      </c>
      <c r="K5" s="393"/>
      <c r="L5" s="74"/>
      <c r="M5" s="394" t="s">
        <v>3142</v>
      </c>
      <c r="N5" s="394"/>
      <c r="O5" s="394"/>
      <c r="P5" s="96"/>
      <c r="Q5" s="395" t="s">
        <v>2</v>
      </c>
      <c r="R5" s="396"/>
      <c r="S5" s="396"/>
      <c r="T5" s="396"/>
      <c r="U5" s="396"/>
      <c r="V5" s="396"/>
      <c r="W5" s="396"/>
      <c r="X5" s="396"/>
      <c r="Y5" s="4" t="s">
        <v>1361</v>
      </c>
      <c r="Z5" s="380">
        <v>45777</v>
      </c>
      <c r="AA5" s="381"/>
      <c r="AB5"/>
      <c r="AC5" s="181"/>
      <c r="AD5" s="181"/>
      <c r="AE5" s="181"/>
      <c r="AF5" s="181"/>
    </row>
    <row r="6" spans="1:38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1" t="s">
        <v>9</v>
      </c>
      <c r="J6" s="51" t="s">
        <v>3068</v>
      </c>
      <c r="K6" s="50" t="s">
        <v>11</v>
      </c>
      <c r="L6" s="47"/>
      <c r="M6" s="1" t="s">
        <v>1423</v>
      </c>
      <c r="N6" s="1" t="s">
        <v>1424</v>
      </c>
      <c r="O6" s="1" t="s">
        <v>1425</v>
      </c>
      <c r="P6" s="97"/>
      <c r="Q6" s="5" t="s">
        <v>5</v>
      </c>
      <c r="R6" s="6" t="s">
        <v>1362</v>
      </c>
      <c r="S6" s="6" t="s">
        <v>7</v>
      </c>
      <c r="T6" s="6" t="s">
        <v>1363</v>
      </c>
      <c r="U6" s="6" t="s">
        <v>1364</v>
      </c>
      <c r="V6" s="6" t="s">
        <v>1365</v>
      </c>
      <c r="W6" s="6" t="s">
        <v>1366</v>
      </c>
      <c r="X6" s="214" t="s">
        <v>1367</v>
      </c>
      <c r="Y6" s="214" t="s">
        <v>1368</v>
      </c>
      <c r="Z6" s="214" t="s">
        <v>1369</v>
      </c>
      <c r="AA6" s="7" t="s">
        <v>1370</v>
      </c>
      <c r="AB6" s="36"/>
      <c r="AH6" s="222">
        <f>AJ7</f>
        <v>0.71762099999999995</v>
      </c>
      <c r="AI6" s="104">
        <f>AJ9</f>
        <v>3.6498312533790926E-2</v>
      </c>
      <c r="AJ6" s="197" t="s">
        <v>1513</v>
      </c>
      <c r="AL6" s="68" t="s">
        <v>3110</v>
      </c>
    </row>
    <row r="7" spans="1:38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>
        <v>383773907</v>
      </c>
      <c r="K7" s="53" t="s">
        <v>15</v>
      </c>
      <c r="L7" s="73"/>
      <c r="M7" s="39">
        <v>1</v>
      </c>
      <c r="N7" s="39">
        <v>13735699.999999963</v>
      </c>
      <c r="O7" s="39">
        <v>261397100</v>
      </c>
      <c r="P7" s="98"/>
      <c r="Q7" s="8" t="s">
        <v>12</v>
      </c>
      <c r="R7" s="9" t="s">
        <v>13</v>
      </c>
      <c r="S7" s="10" t="s">
        <v>14</v>
      </c>
      <c r="T7" s="11">
        <v>1</v>
      </c>
      <c r="U7" s="11"/>
      <c r="V7" s="11">
        <f>V8+V377+V407+V447+V451+V472+V492+V495+V496+V498</f>
        <v>383773907</v>
      </c>
      <c r="W7" s="11">
        <f>IF(Y7=0,0,1)</f>
        <v>1</v>
      </c>
      <c r="X7" s="11">
        <f>IF(Z7=0,0,1)</f>
        <v>1</v>
      </c>
      <c r="Y7" s="11">
        <f>Y8+Y377+Y407+Y447+Y451+Y472+Y492+Y495+Y496+Y498</f>
        <v>14007100.000000013</v>
      </c>
      <c r="Z7" s="11">
        <f>ROUNDDOWN((Z8+Z377+Z407+Z447+Z451+Z472+Z492+Z496+Z498+(Z8+Z377+Z407+Z447+Z451+Z472+Z492)*0.1095000004)/1000,1)*1000</f>
        <v>275404200</v>
      </c>
      <c r="AA7" s="12" t="s">
        <v>15</v>
      </c>
      <c r="AB7" s="232"/>
      <c r="AC7" s="182"/>
      <c r="AD7" s="182"/>
      <c r="AE7" s="182"/>
      <c r="AF7" s="182"/>
      <c r="AG7" s="101"/>
      <c r="AH7" s="187"/>
      <c r="AI7" s="126">
        <f>V7</f>
        <v>383773907</v>
      </c>
      <c r="AJ7" s="201">
        <f>ROUND(Z7/AI7,6)</f>
        <v>0.71762099999999995</v>
      </c>
    </row>
    <row r="8" spans="1:38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>
        <v>291889770.98000002</v>
      </c>
      <c r="K8" s="86" t="s">
        <v>15</v>
      </c>
      <c r="L8" s="73"/>
      <c r="M8" s="42">
        <v>1</v>
      </c>
      <c r="N8" s="42">
        <v>11257345.909999996</v>
      </c>
      <c r="O8" s="42">
        <v>192800385.53000003</v>
      </c>
      <c r="P8" s="98"/>
      <c r="Q8" s="13" t="s">
        <v>1371</v>
      </c>
      <c r="R8" s="14" t="s">
        <v>18</v>
      </c>
      <c r="S8" s="15" t="s">
        <v>14</v>
      </c>
      <c r="T8" s="16">
        <v>1</v>
      </c>
      <c r="U8" s="16"/>
      <c r="V8" s="16">
        <f>V9+V38+V133+V177+V202+V220+V237+V327+V369</f>
        <v>291889770.98000008</v>
      </c>
      <c r="W8" s="16">
        <f t="shared" ref="W8:X9" si="0">IF(Y8=0,0,1)</f>
        <v>1</v>
      </c>
      <c r="X8" s="16">
        <f t="shared" si="0"/>
        <v>1</v>
      </c>
      <c r="Y8" s="16">
        <f>Y9+Y38+Y133+Y177+Y202+Y220+Y237+Y327+Y369</f>
        <v>11883089.449999999</v>
      </c>
      <c r="Z8" s="16">
        <f>Z9+Z38+Z133+Z177+Z202+Z220+Z237+Z327+Z369</f>
        <v>204683474.98000002</v>
      </c>
      <c r="AA8" s="17" t="s">
        <v>15</v>
      </c>
      <c r="AB8" s="40" t="s">
        <v>16</v>
      </c>
      <c r="AC8" s="183"/>
      <c r="AD8" s="183"/>
      <c r="AE8" s="183"/>
      <c r="AF8" s="183"/>
      <c r="AG8" s="101"/>
      <c r="AH8" s="188"/>
      <c r="AJ8" s="124" t="s">
        <v>1514</v>
      </c>
    </row>
    <row r="9" spans="1:38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>
        <v>90137193.75</v>
      </c>
      <c r="K9" s="80" t="s">
        <v>15</v>
      </c>
      <c r="L9" s="73"/>
      <c r="M9" s="45">
        <v>1</v>
      </c>
      <c r="N9" s="45">
        <v>1609121.8999999985</v>
      </c>
      <c r="O9" s="45">
        <v>73598111.340000004</v>
      </c>
      <c r="P9" s="98"/>
      <c r="Q9" s="18" t="s">
        <v>1372</v>
      </c>
      <c r="R9" s="19" t="s">
        <v>20</v>
      </c>
      <c r="S9" s="20" t="s">
        <v>14</v>
      </c>
      <c r="T9" s="21">
        <v>1</v>
      </c>
      <c r="U9" s="21"/>
      <c r="V9" s="21">
        <f>SUMIFS(AD:AD,AE:AE,AE9)</f>
        <v>90137193.75000003</v>
      </c>
      <c r="W9" s="21">
        <f t="shared" si="0"/>
        <v>1</v>
      </c>
      <c r="X9" s="21">
        <f t="shared" si="0"/>
        <v>1</v>
      </c>
      <c r="Y9" s="21">
        <f>SUMIFS(Y:Y,AF:AF,AE9)</f>
        <v>200846.25999999983</v>
      </c>
      <c r="Z9" s="21">
        <f>SUMIFS(Z:Z,AF:AF,AE9)</f>
        <v>73798957.600000009</v>
      </c>
      <c r="AA9" s="22" t="s">
        <v>15</v>
      </c>
      <c r="AB9" s="43" t="s">
        <v>16</v>
      </c>
      <c r="AC9" s="184">
        <f>IF(U9=0,T9,U9)</f>
        <v>1</v>
      </c>
      <c r="AD9" s="184"/>
      <c r="AE9" s="181">
        <v>1.1000000000000001</v>
      </c>
      <c r="AF9" s="181"/>
      <c r="AG9" s="101"/>
      <c r="AH9" s="189" t="s">
        <v>3061</v>
      </c>
      <c r="AJ9" s="125">
        <f>Y7/AI7</f>
        <v>3.6498312533790926E-2</v>
      </c>
      <c r="AL9" s="101" t="s">
        <v>3062</v>
      </c>
    </row>
    <row r="10" spans="1:38" s="69" customFormat="1" ht="39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 t="s">
        <v>15</v>
      </c>
      <c r="I10" s="75">
        <v>193.12</v>
      </c>
      <c r="J10" s="75">
        <v>105184.74</v>
      </c>
      <c r="K10" s="91" t="s">
        <v>24</v>
      </c>
      <c r="L10" s="73"/>
      <c r="M10" s="46">
        <v>408.7</v>
      </c>
      <c r="N10" s="46">
        <v>0</v>
      </c>
      <c r="O10" s="46">
        <v>78928.14</v>
      </c>
      <c r="P10" s="98"/>
      <c r="Q10" s="23" t="s">
        <v>1421</v>
      </c>
      <c r="R10" s="24" t="s">
        <v>22</v>
      </c>
      <c r="S10" s="25" t="s">
        <v>23</v>
      </c>
      <c r="T10" s="26">
        <v>544.66</v>
      </c>
      <c r="U10" s="26">
        <v>544.66</v>
      </c>
      <c r="V10" s="26">
        <v>193.12</v>
      </c>
      <c r="W10" s="127">
        <f>AH10-M10</f>
        <v>0</v>
      </c>
      <c r="X10" s="127">
        <f>W10+M10</f>
        <v>408.7</v>
      </c>
      <c r="Y10" s="127">
        <f t="shared" ref="Y10:Y37" si="1">Z10-O10</f>
        <v>0</v>
      </c>
      <c r="Z10" s="127">
        <f>ROUND(V10*X10,2)</f>
        <v>78928.14</v>
      </c>
      <c r="AA10" s="33" t="s">
        <v>15</v>
      </c>
      <c r="AB10" s="36" t="s">
        <v>16</v>
      </c>
      <c r="AC10" s="181">
        <f>IF(U10="",T10,U10)</f>
        <v>544.66</v>
      </c>
      <c r="AD10" s="181">
        <f t="shared" ref="AD10:AD37" si="2">ROUND(V10*AC10,2)</f>
        <v>105184.74</v>
      </c>
      <c r="AE10" s="181">
        <v>1.1000000000000001</v>
      </c>
      <c r="AF10" s="181">
        <v>1.1000000000000001</v>
      </c>
      <c r="AG10" s="101" t="str">
        <f>IF(X10&gt;AI10,"超估","")</f>
        <v/>
      </c>
      <c r="AH10" s="190">
        <v>408.7</v>
      </c>
      <c r="AI10" s="69">
        <f>IF(G10=0,IF(F10=0,IF(E10=0,D10,E10),F10),G10)</f>
        <v>544.66</v>
      </c>
    </row>
    <row r="11" spans="1:38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 t="s">
        <v>15</v>
      </c>
      <c r="I11" s="75">
        <v>1046.22</v>
      </c>
      <c r="J11" s="75">
        <v>7417092.9900000002</v>
      </c>
      <c r="K11" s="91" t="s">
        <v>27</v>
      </c>
      <c r="L11" s="73"/>
      <c r="M11" s="46">
        <v>6531.11</v>
      </c>
      <c r="N11" s="46">
        <v>0</v>
      </c>
      <c r="O11" s="46">
        <v>6832977.9000000004</v>
      </c>
      <c r="P11" s="98"/>
      <c r="Q11" s="23" t="s">
        <v>1426</v>
      </c>
      <c r="R11" s="24" t="s">
        <v>26</v>
      </c>
      <c r="S11" s="25" t="s">
        <v>23</v>
      </c>
      <c r="T11" s="26">
        <v>7089.42</v>
      </c>
      <c r="U11" s="26">
        <v>7089.42</v>
      </c>
      <c r="V11" s="26">
        <v>1046.22</v>
      </c>
      <c r="W11" s="128">
        <f>AH11-M11</f>
        <v>0</v>
      </c>
      <c r="X11" s="26">
        <f t="shared" ref="X11:X74" si="3">W11+M11</f>
        <v>6531.11</v>
      </c>
      <c r="Y11" s="26">
        <f t="shared" si="1"/>
        <v>0</v>
      </c>
      <c r="Z11" s="26">
        <f t="shared" ref="Z11:Z74" si="4">ROUND(V11*X11,2)</f>
        <v>6832977.9000000004</v>
      </c>
      <c r="AA11" s="33" t="s">
        <v>15</v>
      </c>
      <c r="AB11" s="36" t="s">
        <v>16</v>
      </c>
      <c r="AC11" s="181">
        <f t="shared" ref="AC11:AC74" si="5">IF(U11="",T11,U11)</f>
        <v>7089.42</v>
      </c>
      <c r="AD11" s="181">
        <f t="shared" si="2"/>
        <v>7417092.9900000002</v>
      </c>
      <c r="AE11" s="181">
        <v>1.1000000000000001</v>
      </c>
      <c r="AF11" s="181">
        <v>1.1000000000000001</v>
      </c>
      <c r="AG11" s="101" t="str">
        <f t="shared" ref="AG11:AG74" si="6">IF(X11&gt;AI11,"超估","")</f>
        <v/>
      </c>
      <c r="AH11" s="193">
        <f>5362.11+512+657</f>
        <v>6531.11</v>
      </c>
      <c r="AI11" s="69">
        <f t="shared" ref="AI11:AI74" si="7">IF(G11=0,IF(F11=0,IF(E11=0,D11,E11),F11),G11)</f>
        <v>7089.42</v>
      </c>
    </row>
    <row r="12" spans="1:38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 t="s">
        <v>15</v>
      </c>
      <c r="I12" s="75">
        <v>6200</v>
      </c>
      <c r="J12" s="75">
        <v>28619200</v>
      </c>
      <c r="K12" s="91" t="s">
        <v>31</v>
      </c>
      <c r="L12" s="73"/>
      <c r="M12" s="46">
        <v>4610.7</v>
      </c>
      <c r="N12" s="46">
        <v>0</v>
      </c>
      <c r="O12" s="46">
        <v>28586340</v>
      </c>
      <c r="P12" s="98"/>
      <c r="Q12" s="23" t="s">
        <v>1402</v>
      </c>
      <c r="R12" s="24" t="s">
        <v>29</v>
      </c>
      <c r="S12" s="25" t="s">
        <v>30</v>
      </c>
      <c r="T12" s="26">
        <v>4616</v>
      </c>
      <c r="U12" s="26">
        <v>4616</v>
      </c>
      <c r="V12" s="26">
        <v>6200</v>
      </c>
      <c r="W12" s="127">
        <f t="shared" ref="W12:W75" si="8">AH12-M12</f>
        <v>0</v>
      </c>
      <c r="X12" s="127">
        <f t="shared" si="3"/>
        <v>4610.7</v>
      </c>
      <c r="Y12" s="127">
        <f t="shared" si="1"/>
        <v>0</v>
      </c>
      <c r="Z12" s="127">
        <f t="shared" si="4"/>
        <v>28586340</v>
      </c>
      <c r="AA12" s="33" t="s">
        <v>15</v>
      </c>
      <c r="AB12" s="36" t="s">
        <v>16</v>
      </c>
      <c r="AC12" s="181">
        <f t="shared" si="5"/>
        <v>4616</v>
      </c>
      <c r="AD12" s="181">
        <f t="shared" si="2"/>
        <v>28619200</v>
      </c>
      <c r="AE12" s="181">
        <v>1.1000000000000001</v>
      </c>
      <c r="AF12" s="181">
        <v>1.1000000000000001</v>
      </c>
      <c r="AG12" s="101" t="str">
        <f t="shared" si="6"/>
        <v/>
      </c>
      <c r="AH12" s="193">
        <f>3630+980.7</f>
        <v>4610.7</v>
      </c>
      <c r="AI12" s="69">
        <f t="shared" si="7"/>
        <v>4616</v>
      </c>
    </row>
    <row r="13" spans="1:38" s="69" customFormat="1" ht="58.5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 t="s">
        <v>15</v>
      </c>
      <c r="I13" s="75">
        <v>48.28</v>
      </c>
      <c r="J13" s="75">
        <v>1533324.52</v>
      </c>
      <c r="K13" s="91" t="s">
        <v>35</v>
      </c>
      <c r="L13" s="73"/>
      <c r="M13" s="46">
        <v>28290.799999999999</v>
      </c>
      <c r="N13" s="46">
        <v>0</v>
      </c>
      <c r="O13" s="46">
        <v>1365879.82</v>
      </c>
      <c r="P13" s="98"/>
      <c r="Q13" s="23" t="s">
        <v>1373</v>
      </c>
      <c r="R13" s="24" t="s">
        <v>33</v>
      </c>
      <c r="S13" s="25" t="s">
        <v>34</v>
      </c>
      <c r="T13" s="26">
        <v>29759</v>
      </c>
      <c r="U13" s="26">
        <v>31759</v>
      </c>
      <c r="V13" s="26">
        <v>48.28</v>
      </c>
      <c r="W13" s="128">
        <f t="shared" si="8"/>
        <v>652</v>
      </c>
      <c r="X13" s="127">
        <f t="shared" si="3"/>
        <v>28942.799999999999</v>
      </c>
      <c r="Y13" s="127">
        <f t="shared" si="1"/>
        <v>31478.559999999823</v>
      </c>
      <c r="Z13" s="127">
        <f t="shared" si="4"/>
        <v>1397358.38</v>
      </c>
      <c r="AA13" s="27" t="s">
        <v>15</v>
      </c>
      <c r="AB13" s="36" t="s">
        <v>16</v>
      </c>
      <c r="AC13" s="181">
        <f t="shared" si="5"/>
        <v>31759</v>
      </c>
      <c r="AD13" s="181">
        <f t="shared" si="2"/>
        <v>1533324.52</v>
      </c>
      <c r="AE13" s="181">
        <v>1.1000000000000001</v>
      </c>
      <c r="AF13" s="181">
        <v>1.1000000000000001</v>
      </c>
      <c r="AG13" s="101" t="str">
        <f t="shared" si="6"/>
        <v/>
      </c>
      <c r="AH13" s="191">
        <f>28290.8+652</f>
        <v>28942.799999999999</v>
      </c>
      <c r="AI13" s="69">
        <f t="shared" si="7"/>
        <v>31759</v>
      </c>
    </row>
    <row r="14" spans="1:38" s="69" customFormat="1" ht="39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 t="s">
        <v>15</v>
      </c>
      <c r="I14" s="75">
        <v>599.75</v>
      </c>
      <c r="J14" s="75">
        <v>438681.14</v>
      </c>
      <c r="K14" s="91" t="s">
        <v>38</v>
      </c>
      <c r="L14" s="73"/>
      <c r="M14" s="46">
        <v>519.42999999999995</v>
      </c>
      <c r="N14" s="46">
        <v>0</v>
      </c>
      <c r="O14" s="46">
        <v>311528.14</v>
      </c>
      <c r="P14" s="98"/>
      <c r="Q14" s="23" t="s">
        <v>1393</v>
      </c>
      <c r="R14" s="24" t="s">
        <v>37</v>
      </c>
      <c r="S14" s="25" t="s">
        <v>23</v>
      </c>
      <c r="T14" s="26">
        <v>731.44</v>
      </c>
      <c r="U14" s="26">
        <v>731.44</v>
      </c>
      <c r="V14" s="26">
        <v>599.75</v>
      </c>
      <c r="W14" s="127">
        <f t="shared" si="8"/>
        <v>0</v>
      </c>
      <c r="X14" s="127">
        <f t="shared" si="3"/>
        <v>519.42999999999995</v>
      </c>
      <c r="Y14" s="127">
        <f t="shared" si="1"/>
        <v>0</v>
      </c>
      <c r="Z14" s="127">
        <f t="shared" si="4"/>
        <v>311528.14</v>
      </c>
      <c r="AA14" s="33" t="s">
        <v>15</v>
      </c>
      <c r="AB14" s="36" t="s">
        <v>16</v>
      </c>
      <c r="AC14" s="181">
        <f t="shared" si="5"/>
        <v>731.44</v>
      </c>
      <c r="AD14" s="181">
        <f t="shared" si="2"/>
        <v>438681.14</v>
      </c>
      <c r="AE14" s="181">
        <v>1.1000000000000001</v>
      </c>
      <c r="AF14" s="181">
        <v>1.1000000000000001</v>
      </c>
      <c r="AG14" s="101" t="str">
        <f t="shared" si="6"/>
        <v/>
      </c>
      <c r="AH14" s="190">
        <v>519.42999999999995</v>
      </c>
      <c r="AI14" s="69">
        <f t="shared" si="7"/>
        <v>731.44</v>
      </c>
    </row>
    <row r="15" spans="1:38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 t="s">
        <v>15</v>
      </c>
      <c r="I15" s="75">
        <v>104.64</v>
      </c>
      <c r="J15" s="75">
        <v>786788.16</v>
      </c>
      <c r="K15" s="91" t="s">
        <v>41</v>
      </c>
      <c r="L15" s="73"/>
      <c r="M15" s="46">
        <v>2219</v>
      </c>
      <c r="N15" s="46">
        <v>0</v>
      </c>
      <c r="O15" s="46">
        <v>232196.16</v>
      </c>
      <c r="P15" s="98"/>
      <c r="Q15" s="23" t="s">
        <v>1403</v>
      </c>
      <c r="R15" s="24" t="s">
        <v>40</v>
      </c>
      <c r="S15" s="25" t="s">
        <v>23</v>
      </c>
      <c r="T15" s="26">
        <v>7519</v>
      </c>
      <c r="U15" s="26">
        <v>7519</v>
      </c>
      <c r="V15" s="26">
        <v>104.64</v>
      </c>
      <c r="W15" s="128">
        <f t="shared" si="8"/>
        <v>0</v>
      </c>
      <c r="X15" s="26">
        <f t="shared" si="3"/>
        <v>2219</v>
      </c>
      <c r="Y15" s="26">
        <f t="shared" si="1"/>
        <v>0</v>
      </c>
      <c r="Z15" s="26">
        <f t="shared" si="4"/>
        <v>232196.16</v>
      </c>
      <c r="AA15" s="33" t="s">
        <v>15</v>
      </c>
      <c r="AB15" s="36" t="s">
        <v>16</v>
      </c>
      <c r="AC15" s="181">
        <f t="shared" si="5"/>
        <v>7519</v>
      </c>
      <c r="AD15" s="181">
        <f t="shared" si="2"/>
        <v>786788.16</v>
      </c>
      <c r="AE15" s="181">
        <v>1.1000000000000001</v>
      </c>
      <c r="AF15" s="181">
        <v>1.1000000000000001</v>
      </c>
      <c r="AG15" s="101" t="str">
        <f t="shared" si="6"/>
        <v/>
      </c>
      <c r="AH15" s="193">
        <f>962+295+962</f>
        <v>2219</v>
      </c>
      <c r="AI15" s="69">
        <f t="shared" si="7"/>
        <v>7519</v>
      </c>
    </row>
    <row r="16" spans="1:38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 t="s">
        <v>15</v>
      </c>
      <c r="I16" s="75">
        <v>1027.43</v>
      </c>
      <c r="J16" s="75">
        <v>22850043.199999999</v>
      </c>
      <c r="K16" s="91" t="s">
        <v>44</v>
      </c>
      <c r="L16" s="73"/>
      <c r="M16" s="46">
        <v>19090</v>
      </c>
      <c r="N16" s="46">
        <v>1366481.8999999985</v>
      </c>
      <c r="O16" s="46">
        <v>19613638.699999999</v>
      </c>
      <c r="P16" s="98"/>
      <c r="Q16" s="23" t="s">
        <v>1427</v>
      </c>
      <c r="R16" s="24" t="s">
        <v>43</v>
      </c>
      <c r="S16" s="25" t="s">
        <v>34</v>
      </c>
      <c r="T16" s="26">
        <v>22240</v>
      </c>
      <c r="U16" s="26">
        <v>22240</v>
      </c>
      <c r="V16" s="26">
        <v>1027.43</v>
      </c>
      <c r="W16" s="128">
        <f t="shared" si="8"/>
        <v>0</v>
      </c>
      <c r="X16" s="121">
        <f t="shared" si="3"/>
        <v>19090</v>
      </c>
      <c r="Y16" s="26">
        <f t="shared" si="1"/>
        <v>0</v>
      </c>
      <c r="Z16" s="26">
        <f t="shared" si="4"/>
        <v>19613638.699999999</v>
      </c>
      <c r="AA16" s="33" t="s">
        <v>15</v>
      </c>
      <c r="AB16" s="36" t="s">
        <v>16</v>
      </c>
      <c r="AC16" s="181">
        <f t="shared" si="5"/>
        <v>22240</v>
      </c>
      <c r="AD16" s="181">
        <f t="shared" si="2"/>
        <v>22850043.199999999</v>
      </c>
      <c r="AE16" s="181">
        <v>1.1000000000000001</v>
      </c>
      <c r="AF16" s="181">
        <v>1.1000000000000001</v>
      </c>
      <c r="AG16" s="101" t="str">
        <f t="shared" si="6"/>
        <v/>
      </c>
      <c r="AH16" s="193">
        <f>19932-842</f>
        <v>19090</v>
      </c>
      <c r="AI16" s="69">
        <f t="shared" si="7"/>
        <v>22240</v>
      </c>
    </row>
    <row r="17" spans="1:35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 t="s">
        <v>15</v>
      </c>
      <c r="I17" s="75">
        <v>1085.04</v>
      </c>
      <c r="J17" s="75">
        <v>7302774.9199999999</v>
      </c>
      <c r="K17" s="91" t="s">
        <v>47</v>
      </c>
      <c r="L17" s="73"/>
      <c r="M17" s="46">
        <v>4956</v>
      </c>
      <c r="N17" s="46">
        <v>0</v>
      </c>
      <c r="O17" s="46">
        <v>5377458.2400000002</v>
      </c>
      <c r="P17" s="98"/>
      <c r="Q17" s="23" t="s">
        <v>1428</v>
      </c>
      <c r="R17" s="24" t="s">
        <v>46</v>
      </c>
      <c r="S17" s="25" t="s">
        <v>23</v>
      </c>
      <c r="T17" s="26">
        <v>6730.42</v>
      </c>
      <c r="U17" s="26">
        <v>6730.42</v>
      </c>
      <c r="V17" s="26">
        <v>1085.04</v>
      </c>
      <c r="W17" s="26">
        <f t="shared" si="8"/>
        <v>0</v>
      </c>
      <c r="X17" s="121">
        <f t="shared" si="3"/>
        <v>4956</v>
      </c>
      <c r="Y17" s="26">
        <f t="shared" si="1"/>
        <v>0</v>
      </c>
      <c r="Z17" s="26">
        <f t="shared" si="4"/>
        <v>5377458.2400000002</v>
      </c>
      <c r="AA17" s="33" t="s">
        <v>15</v>
      </c>
      <c r="AB17" s="36" t="s">
        <v>16</v>
      </c>
      <c r="AC17" s="181">
        <f t="shared" si="5"/>
        <v>6730.42</v>
      </c>
      <c r="AD17" s="181">
        <f t="shared" si="2"/>
        <v>7302774.9199999999</v>
      </c>
      <c r="AE17" s="181">
        <v>1.1000000000000001</v>
      </c>
      <c r="AF17" s="181">
        <v>1.1000000000000001</v>
      </c>
      <c r="AG17" s="101" t="str">
        <f t="shared" si="6"/>
        <v/>
      </c>
      <c r="AH17" s="190">
        <v>4956</v>
      </c>
      <c r="AI17" s="69">
        <f t="shared" si="7"/>
        <v>6730.42</v>
      </c>
    </row>
    <row r="18" spans="1:35" s="69" customFormat="1" ht="78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 t="s">
        <v>15</v>
      </c>
      <c r="I18" s="75">
        <v>30.45</v>
      </c>
      <c r="J18" s="75">
        <v>113745.98</v>
      </c>
      <c r="K18" s="91" t="s">
        <v>51</v>
      </c>
      <c r="L18" s="73"/>
      <c r="M18" s="46">
        <v>2100</v>
      </c>
      <c r="N18" s="46">
        <v>0</v>
      </c>
      <c r="O18" s="46">
        <v>63945</v>
      </c>
      <c r="P18" s="98"/>
      <c r="Q18" s="23" t="s">
        <v>1387</v>
      </c>
      <c r="R18" s="24" t="s">
        <v>49</v>
      </c>
      <c r="S18" s="25" t="s">
        <v>50</v>
      </c>
      <c r="T18" s="26">
        <v>3735.5</v>
      </c>
      <c r="U18" s="26">
        <v>3735.5</v>
      </c>
      <c r="V18" s="26">
        <v>30.45</v>
      </c>
      <c r="W18" s="127">
        <f t="shared" si="8"/>
        <v>0</v>
      </c>
      <c r="X18" s="127">
        <f t="shared" si="3"/>
        <v>2100</v>
      </c>
      <c r="Y18" s="127">
        <f t="shared" si="1"/>
        <v>0</v>
      </c>
      <c r="Z18" s="127">
        <f t="shared" si="4"/>
        <v>63945</v>
      </c>
      <c r="AA18" s="33" t="s">
        <v>15</v>
      </c>
      <c r="AB18" s="36" t="s">
        <v>16</v>
      </c>
      <c r="AC18" s="181">
        <f t="shared" si="5"/>
        <v>3735.5</v>
      </c>
      <c r="AD18" s="181">
        <f t="shared" si="2"/>
        <v>113745.98</v>
      </c>
      <c r="AE18" s="181">
        <v>1.1000000000000001</v>
      </c>
      <c r="AF18" s="181">
        <v>1.1000000000000001</v>
      </c>
      <c r="AG18" s="101" t="str">
        <f t="shared" si="6"/>
        <v/>
      </c>
      <c r="AH18" s="190">
        <v>2100</v>
      </c>
      <c r="AI18" s="69">
        <f t="shared" si="7"/>
        <v>3735.5</v>
      </c>
    </row>
    <row r="19" spans="1:35" s="69" customFormat="1" ht="58.5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 t="s">
        <v>15</v>
      </c>
      <c r="I19" s="75">
        <v>28.48</v>
      </c>
      <c r="J19" s="75">
        <v>290638.40000000002</v>
      </c>
      <c r="K19" s="91" t="s">
        <v>54</v>
      </c>
      <c r="L19" s="73"/>
      <c r="M19" s="46">
        <v>300</v>
      </c>
      <c r="N19" s="46">
        <v>0</v>
      </c>
      <c r="O19" s="46">
        <v>8544</v>
      </c>
      <c r="P19" s="98"/>
      <c r="Q19" s="23" t="s">
        <v>1405</v>
      </c>
      <c r="R19" s="24" t="s">
        <v>53</v>
      </c>
      <c r="S19" s="25" t="s">
        <v>50</v>
      </c>
      <c r="T19" s="26">
        <v>10205</v>
      </c>
      <c r="U19" s="26">
        <v>10205</v>
      </c>
      <c r="V19" s="26">
        <v>28.48</v>
      </c>
      <c r="W19" s="127">
        <f t="shared" si="8"/>
        <v>0</v>
      </c>
      <c r="X19" s="127">
        <f t="shared" si="3"/>
        <v>300</v>
      </c>
      <c r="Y19" s="127">
        <f t="shared" si="1"/>
        <v>0</v>
      </c>
      <c r="Z19" s="127">
        <f t="shared" si="4"/>
        <v>8544</v>
      </c>
      <c r="AA19" s="33" t="s">
        <v>15</v>
      </c>
      <c r="AB19" s="36" t="s">
        <v>16</v>
      </c>
      <c r="AC19" s="181">
        <f t="shared" si="5"/>
        <v>10205</v>
      </c>
      <c r="AD19" s="181">
        <f t="shared" si="2"/>
        <v>290638.40000000002</v>
      </c>
      <c r="AE19" s="181">
        <v>1.1000000000000001</v>
      </c>
      <c r="AF19" s="181">
        <v>1.1000000000000001</v>
      </c>
      <c r="AG19" s="101" t="str">
        <f t="shared" si="6"/>
        <v/>
      </c>
      <c r="AH19" s="190">
        <v>300</v>
      </c>
      <c r="AI19" s="69">
        <f t="shared" si="7"/>
        <v>10205</v>
      </c>
    </row>
    <row r="20" spans="1:35" s="69" customFormat="1" ht="58.5" x14ac:dyDescent="0.3">
      <c r="A20" s="55" t="s">
        <v>55</v>
      </c>
      <c r="B20" s="53" t="s">
        <v>56</v>
      </c>
      <c r="C20" s="54" t="s">
        <v>30</v>
      </c>
      <c r="D20" s="75">
        <v>142.6</v>
      </c>
      <c r="E20" s="75"/>
      <c r="F20" s="75"/>
      <c r="G20" s="75"/>
      <c r="H20" s="75" t="s">
        <v>15</v>
      </c>
      <c r="I20" s="75">
        <v>65.400000000000006</v>
      </c>
      <c r="J20" s="75">
        <v>9326.0400000000009</v>
      </c>
      <c r="K20" s="91" t="s">
        <v>57</v>
      </c>
      <c r="L20" s="73"/>
      <c r="M20" s="46">
        <v>60</v>
      </c>
      <c r="N20" s="46">
        <v>0</v>
      </c>
      <c r="O20" s="46">
        <v>3924</v>
      </c>
      <c r="P20" s="98"/>
      <c r="Q20" s="23" t="s">
        <v>1406</v>
      </c>
      <c r="R20" s="24" t="s">
        <v>56</v>
      </c>
      <c r="S20" s="25" t="s">
        <v>30</v>
      </c>
      <c r="T20" s="26">
        <v>142.6</v>
      </c>
      <c r="U20" s="26">
        <v>142.6</v>
      </c>
      <c r="V20" s="26">
        <v>65.400000000000006</v>
      </c>
      <c r="W20" s="128">
        <f t="shared" si="8"/>
        <v>13</v>
      </c>
      <c r="X20" s="26">
        <f t="shared" si="3"/>
        <v>73</v>
      </c>
      <c r="Y20" s="26">
        <f t="shared" si="1"/>
        <v>850.19999999999982</v>
      </c>
      <c r="Z20" s="26">
        <f t="shared" si="4"/>
        <v>4774.2</v>
      </c>
      <c r="AA20" s="33" t="s">
        <v>15</v>
      </c>
      <c r="AB20" s="36" t="s">
        <v>16</v>
      </c>
      <c r="AC20" s="181">
        <f t="shared" si="5"/>
        <v>142.6</v>
      </c>
      <c r="AD20" s="181">
        <f t="shared" si="2"/>
        <v>9326.0400000000009</v>
      </c>
      <c r="AE20" s="181">
        <v>1.1000000000000001</v>
      </c>
      <c r="AF20" s="181">
        <v>1.1000000000000001</v>
      </c>
      <c r="AG20" s="101" t="str">
        <f t="shared" si="6"/>
        <v/>
      </c>
      <c r="AH20" s="191">
        <f>60+13</f>
        <v>73</v>
      </c>
      <c r="AI20" s="69">
        <f t="shared" si="7"/>
        <v>142.6</v>
      </c>
    </row>
    <row r="21" spans="1:35" s="69" customFormat="1" ht="39" x14ac:dyDescent="0.3">
      <c r="A21" s="55" t="s">
        <v>58</v>
      </c>
      <c r="B21" s="53" t="s">
        <v>59</v>
      </c>
      <c r="C21" s="54" t="s">
        <v>50</v>
      </c>
      <c r="D21" s="75">
        <v>8459.2999999999993</v>
      </c>
      <c r="E21" s="75"/>
      <c r="F21" s="75"/>
      <c r="G21" s="75"/>
      <c r="H21" s="75" t="s">
        <v>15</v>
      </c>
      <c r="I21" s="75">
        <v>20.190000000000001</v>
      </c>
      <c r="J21" s="75">
        <v>170793.27</v>
      </c>
      <c r="K21" s="91" t="s">
        <v>60</v>
      </c>
      <c r="L21" s="73"/>
      <c r="M21" s="46">
        <v>6584</v>
      </c>
      <c r="N21" s="46">
        <v>0</v>
      </c>
      <c r="O21" s="46">
        <v>132930.96</v>
      </c>
      <c r="P21" s="98"/>
      <c r="Q21" s="23" t="s">
        <v>1414</v>
      </c>
      <c r="R21" s="24" t="s">
        <v>59</v>
      </c>
      <c r="S21" s="25" t="s">
        <v>50</v>
      </c>
      <c r="T21" s="26">
        <v>8459.2999999999993</v>
      </c>
      <c r="U21" s="26">
        <v>8459.2999999999993</v>
      </c>
      <c r="V21" s="26">
        <v>20.190000000000001</v>
      </c>
      <c r="W21" s="128">
        <f t="shared" si="8"/>
        <v>1250</v>
      </c>
      <c r="X21" s="26">
        <f t="shared" si="3"/>
        <v>7834</v>
      </c>
      <c r="Y21" s="26">
        <f t="shared" si="1"/>
        <v>25237.5</v>
      </c>
      <c r="Z21" s="26">
        <f t="shared" si="4"/>
        <v>158168.46</v>
      </c>
      <c r="AA21" s="33" t="s">
        <v>15</v>
      </c>
      <c r="AB21" s="36" t="s">
        <v>16</v>
      </c>
      <c r="AC21" s="181">
        <f t="shared" si="5"/>
        <v>8459.2999999999993</v>
      </c>
      <c r="AD21" s="181">
        <f t="shared" si="2"/>
        <v>170793.27</v>
      </c>
      <c r="AE21" s="181">
        <v>1.1000000000000001</v>
      </c>
      <c r="AF21" s="181">
        <v>1.1000000000000001</v>
      </c>
      <c r="AG21" s="101" t="str">
        <f t="shared" si="6"/>
        <v/>
      </c>
      <c r="AH21" s="191">
        <f>6584+1250</f>
        <v>7834</v>
      </c>
      <c r="AI21" s="69">
        <f t="shared" si="7"/>
        <v>8459.2999999999993</v>
      </c>
    </row>
    <row r="22" spans="1:35" s="69" customFormat="1" ht="39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 t="s">
        <v>15</v>
      </c>
      <c r="I22" s="75">
        <v>2492.81</v>
      </c>
      <c r="J22" s="75">
        <v>3163126.61</v>
      </c>
      <c r="K22" s="91" t="s">
        <v>63</v>
      </c>
      <c r="L22" s="73"/>
      <c r="M22" s="46">
        <v>108</v>
      </c>
      <c r="N22" s="46">
        <v>0</v>
      </c>
      <c r="O22" s="46">
        <v>269223.48</v>
      </c>
      <c r="P22" s="98"/>
      <c r="Q22" s="23" t="s">
        <v>1429</v>
      </c>
      <c r="R22" s="24" t="s">
        <v>62</v>
      </c>
      <c r="S22" s="25" t="s">
        <v>23</v>
      </c>
      <c r="T22" s="26">
        <v>1268.9000000000001</v>
      </c>
      <c r="U22" s="26">
        <v>1268.9000000000001</v>
      </c>
      <c r="V22" s="26">
        <v>2492.81</v>
      </c>
      <c r="W22" s="26">
        <f t="shared" si="8"/>
        <v>0</v>
      </c>
      <c r="X22" s="121">
        <f t="shared" si="3"/>
        <v>108</v>
      </c>
      <c r="Y22" s="26">
        <f t="shared" si="1"/>
        <v>0</v>
      </c>
      <c r="Z22" s="26">
        <f t="shared" si="4"/>
        <v>269223.48</v>
      </c>
      <c r="AA22" s="33" t="s">
        <v>15</v>
      </c>
      <c r="AB22" s="36" t="s">
        <v>16</v>
      </c>
      <c r="AC22" s="181">
        <f t="shared" si="5"/>
        <v>1268.9000000000001</v>
      </c>
      <c r="AD22" s="181">
        <f t="shared" si="2"/>
        <v>3163126.61</v>
      </c>
      <c r="AE22" s="181">
        <v>1.1000000000000001</v>
      </c>
      <c r="AF22" s="181">
        <v>1.1000000000000001</v>
      </c>
      <c r="AG22" s="101" t="str">
        <f t="shared" si="6"/>
        <v/>
      </c>
      <c r="AH22" s="190">
        <v>108</v>
      </c>
      <c r="AI22" s="69">
        <f t="shared" si="7"/>
        <v>1268.9000000000001</v>
      </c>
    </row>
    <row r="23" spans="1:35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 t="s">
        <v>15</v>
      </c>
      <c r="I23" s="75">
        <v>521.17999999999995</v>
      </c>
      <c r="J23" s="75">
        <v>343457.62</v>
      </c>
      <c r="K23" s="91" t="s">
        <v>67</v>
      </c>
      <c r="L23" s="73"/>
      <c r="M23" s="46">
        <v>659</v>
      </c>
      <c r="N23" s="46">
        <v>0</v>
      </c>
      <c r="O23" s="46">
        <v>343457.62</v>
      </c>
      <c r="P23" s="98"/>
      <c r="Q23" s="23" t="s">
        <v>1430</v>
      </c>
      <c r="R23" s="24" t="s">
        <v>65</v>
      </c>
      <c r="S23" s="25" t="s">
        <v>66</v>
      </c>
      <c r="T23" s="26">
        <v>659</v>
      </c>
      <c r="U23" s="26">
        <v>659</v>
      </c>
      <c r="V23" s="26">
        <v>521.17999999999995</v>
      </c>
      <c r="W23" s="127">
        <f t="shared" si="8"/>
        <v>0</v>
      </c>
      <c r="X23" s="127">
        <f t="shared" si="3"/>
        <v>659</v>
      </c>
      <c r="Y23" s="127">
        <f t="shared" si="1"/>
        <v>0</v>
      </c>
      <c r="Z23" s="127">
        <f t="shared" si="4"/>
        <v>343457.62</v>
      </c>
      <c r="AA23" s="33" t="s">
        <v>15</v>
      </c>
      <c r="AB23" s="36" t="s">
        <v>16</v>
      </c>
      <c r="AC23" s="181">
        <f t="shared" si="5"/>
        <v>659</v>
      </c>
      <c r="AD23" s="181">
        <f t="shared" si="2"/>
        <v>343457.62</v>
      </c>
      <c r="AE23" s="181">
        <v>1.1000000000000001</v>
      </c>
      <c r="AF23" s="181">
        <v>1.1000000000000001</v>
      </c>
      <c r="AG23" s="101" t="str">
        <f t="shared" si="6"/>
        <v/>
      </c>
      <c r="AH23" s="193">
        <f>561+98</f>
        <v>659</v>
      </c>
      <c r="AI23" s="69">
        <f t="shared" si="7"/>
        <v>659</v>
      </c>
    </row>
    <row r="24" spans="1:35" s="69" customFormat="1" ht="39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 t="s">
        <v>15</v>
      </c>
      <c r="I24" s="75">
        <v>289.69</v>
      </c>
      <c r="J24" s="75">
        <v>73378.48</v>
      </c>
      <c r="K24" s="91" t="s">
        <v>70</v>
      </c>
      <c r="L24" s="73"/>
      <c r="M24" s="46">
        <v>250</v>
      </c>
      <c r="N24" s="46">
        <v>0</v>
      </c>
      <c r="O24" s="46">
        <v>72422.5</v>
      </c>
      <c r="P24" s="98"/>
      <c r="Q24" s="23" t="s">
        <v>1431</v>
      </c>
      <c r="R24" s="24" t="s">
        <v>69</v>
      </c>
      <c r="S24" s="25" t="s">
        <v>30</v>
      </c>
      <c r="T24" s="26">
        <v>253.3</v>
      </c>
      <c r="U24" s="26">
        <v>253.3</v>
      </c>
      <c r="V24" s="26">
        <v>289.69</v>
      </c>
      <c r="W24" s="127">
        <f t="shared" si="8"/>
        <v>0</v>
      </c>
      <c r="X24" s="127">
        <f t="shared" si="3"/>
        <v>250</v>
      </c>
      <c r="Y24" s="127">
        <f t="shared" si="1"/>
        <v>0</v>
      </c>
      <c r="Z24" s="127">
        <f t="shared" si="4"/>
        <v>72422.5</v>
      </c>
      <c r="AA24" s="33" t="s">
        <v>15</v>
      </c>
      <c r="AB24" s="36" t="s">
        <v>16</v>
      </c>
      <c r="AC24" s="181">
        <f t="shared" si="5"/>
        <v>253.3</v>
      </c>
      <c r="AD24" s="181">
        <f t="shared" si="2"/>
        <v>73378.48</v>
      </c>
      <c r="AE24" s="181">
        <v>1.1000000000000001</v>
      </c>
      <c r="AF24" s="181">
        <v>1.1000000000000001</v>
      </c>
      <c r="AG24" s="101" t="str">
        <f t="shared" si="6"/>
        <v/>
      </c>
      <c r="AH24" s="190">
        <v>250</v>
      </c>
      <c r="AI24" s="69">
        <f t="shared" si="7"/>
        <v>253.3</v>
      </c>
    </row>
    <row r="25" spans="1:35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 t="s">
        <v>15</v>
      </c>
      <c r="I25" s="75">
        <v>3311.45</v>
      </c>
      <c r="J25" s="75">
        <v>264916</v>
      </c>
      <c r="K25" s="91" t="s">
        <v>74</v>
      </c>
      <c r="L25" s="73"/>
      <c r="M25" s="46">
        <v>0</v>
      </c>
      <c r="N25" s="46">
        <v>0</v>
      </c>
      <c r="O25" s="46">
        <v>0</v>
      </c>
      <c r="P25" s="98"/>
      <c r="Q25" s="23" t="s">
        <v>1395</v>
      </c>
      <c r="R25" s="24" t="s">
        <v>72</v>
      </c>
      <c r="S25" s="25" t="s">
        <v>73</v>
      </c>
      <c r="T25" s="26">
        <v>80</v>
      </c>
      <c r="U25" s="26">
        <v>80</v>
      </c>
      <c r="V25" s="26">
        <v>3311.45</v>
      </c>
      <c r="W25" s="26">
        <f t="shared" si="8"/>
        <v>0</v>
      </c>
      <c r="X25" s="26">
        <f t="shared" si="3"/>
        <v>0</v>
      </c>
      <c r="Y25" s="26">
        <f t="shared" si="1"/>
        <v>0</v>
      </c>
      <c r="Z25" s="26">
        <f t="shared" si="4"/>
        <v>0</v>
      </c>
      <c r="AA25" s="33" t="s">
        <v>15</v>
      </c>
      <c r="AB25" s="36" t="s">
        <v>16</v>
      </c>
      <c r="AC25" s="181">
        <f t="shared" si="5"/>
        <v>80</v>
      </c>
      <c r="AD25" s="181">
        <f t="shared" si="2"/>
        <v>264916</v>
      </c>
      <c r="AE25" s="181">
        <v>1.1000000000000001</v>
      </c>
      <c r="AF25" s="181">
        <v>1.1000000000000001</v>
      </c>
      <c r="AG25" s="101" t="str">
        <f t="shared" si="6"/>
        <v/>
      </c>
      <c r="AH25" s="190">
        <v>0</v>
      </c>
      <c r="AI25" s="69">
        <f t="shared" si="7"/>
        <v>80</v>
      </c>
    </row>
    <row r="26" spans="1:35" s="69" customFormat="1" ht="33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 t="s">
        <v>15</v>
      </c>
      <c r="I26" s="75">
        <v>3082.28</v>
      </c>
      <c r="J26" s="75">
        <v>3939153.84</v>
      </c>
      <c r="K26" s="91" t="s">
        <v>78</v>
      </c>
      <c r="L26" s="73"/>
      <c r="M26" s="46">
        <v>1153</v>
      </c>
      <c r="N26" s="46">
        <v>0</v>
      </c>
      <c r="O26" s="46">
        <v>3553868.84</v>
      </c>
      <c r="P26" s="98"/>
      <c r="Q26" s="23" t="s">
        <v>1432</v>
      </c>
      <c r="R26" s="24" t="s">
        <v>76</v>
      </c>
      <c r="S26" s="25" t="s">
        <v>77</v>
      </c>
      <c r="T26" s="26">
        <v>1278</v>
      </c>
      <c r="U26" s="26">
        <v>1278</v>
      </c>
      <c r="V26" s="26">
        <v>3082.28</v>
      </c>
      <c r="W26" s="128">
        <f t="shared" si="8"/>
        <v>0</v>
      </c>
      <c r="X26" s="121">
        <f t="shared" si="3"/>
        <v>1153</v>
      </c>
      <c r="Y26" s="26">
        <f t="shared" si="1"/>
        <v>0</v>
      </c>
      <c r="Z26" s="26">
        <f t="shared" si="4"/>
        <v>3553868.84</v>
      </c>
      <c r="AA26" s="33" t="s">
        <v>15</v>
      </c>
      <c r="AB26" s="36" t="s">
        <v>16</v>
      </c>
      <c r="AC26" s="181">
        <f t="shared" si="5"/>
        <v>1278</v>
      </c>
      <c r="AD26" s="181">
        <f t="shared" si="2"/>
        <v>3939153.84</v>
      </c>
      <c r="AE26" s="181">
        <v>1.1000000000000001</v>
      </c>
      <c r="AF26" s="181">
        <v>1.1000000000000001</v>
      </c>
      <c r="AG26" s="101" t="str">
        <f t="shared" si="6"/>
        <v/>
      </c>
      <c r="AH26" s="192">
        <f>1045+108</f>
        <v>1153</v>
      </c>
      <c r="AI26" s="69">
        <f t="shared" si="7"/>
        <v>1278</v>
      </c>
    </row>
    <row r="27" spans="1:35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 t="s">
        <v>15</v>
      </c>
      <c r="I27" s="75">
        <v>1200</v>
      </c>
      <c r="J27" s="75">
        <v>36000</v>
      </c>
      <c r="K27" s="91" t="s">
        <v>82</v>
      </c>
      <c r="L27" s="73"/>
      <c r="M27" s="46">
        <v>0</v>
      </c>
      <c r="N27" s="46">
        <v>0</v>
      </c>
      <c r="O27" s="46">
        <v>0</v>
      </c>
      <c r="P27" s="98"/>
      <c r="Q27" s="23" t="s">
        <v>1433</v>
      </c>
      <c r="R27" s="24" t="s">
        <v>80</v>
      </c>
      <c r="S27" s="25" t="s">
        <v>81</v>
      </c>
      <c r="T27" s="26">
        <v>30</v>
      </c>
      <c r="U27" s="26">
        <v>30</v>
      </c>
      <c r="V27" s="26">
        <v>1200</v>
      </c>
      <c r="W27" s="26">
        <f t="shared" si="8"/>
        <v>0</v>
      </c>
      <c r="X27" s="26">
        <f t="shared" si="3"/>
        <v>0</v>
      </c>
      <c r="Y27" s="26">
        <f t="shared" si="1"/>
        <v>0</v>
      </c>
      <c r="Z27" s="26">
        <f t="shared" si="4"/>
        <v>0</v>
      </c>
      <c r="AA27" s="33" t="s">
        <v>15</v>
      </c>
      <c r="AB27" s="36" t="s">
        <v>16</v>
      </c>
      <c r="AC27" s="181">
        <f t="shared" si="5"/>
        <v>30</v>
      </c>
      <c r="AD27" s="181">
        <f t="shared" si="2"/>
        <v>36000</v>
      </c>
      <c r="AE27" s="181">
        <v>1.1000000000000001</v>
      </c>
      <c r="AF27" s="181">
        <v>1.1000000000000001</v>
      </c>
      <c r="AG27" s="101" t="str">
        <f t="shared" si="6"/>
        <v/>
      </c>
      <c r="AH27" s="192">
        <v>0</v>
      </c>
      <c r="AI27" s="69">
        <f t="shared" si="7"/>
        <v>30</v>
      </c>
    </row>
    <row r="28" spans="1:35" s="69" customFormat="1" ht="33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 t="s">
        <v>15</v>
      </c>
      <c r="I28" s="75">
        <v>3000</v>
      </c>
      <c r="J28" s="75">
        <v>36000</v>
      </c>
      <c r="K28" s="91" t="s">
        <v>85</v>
      </c>
      <c r="L28" s="73"/>
      <c r="M28" s="46">
        <v>12</v>
      </c>
      <c r="N28" s="46">
        <v>0</v>
      </c>
      <c r="O28" s="46">
        <v>36000</v>
      </c>
      <c r="P28" s="98"/>
      <c r="Q28" s="23" t="s">
        <v>1382</v>
      </c>
      <c r="R28" s="24" t="s">
        <v>84</v>
      </c>
      <c r="S28" s="25" t="s">
        <v>81</v>
      </c>
      <c r="T28" s="26">
        <v>12</v>
      </c>
      <c r="U28" s="26">
        <v>12</v>
      </c>
      <c r="V28" s="26">
        <v>3000</v>
      </c>
      <c r="W28" s="127">
        <f t="shared" si="8"/>
        <v>0</v>
      </c>
      <c r="X28" s="127">
        <f t="shared" si="3"/>
        <v>12</v>
      </c>
      <c r="Y28" s="127">
        <f t="shared" si="1"/>
        <v>0</v>
      </c>
      <c r="Z28" s="127">
        <f t="shared" si="4"/>
        <v>36000</v>
      </c>
      <c r="AA28" s="33" t="s">
        <v>15</v>
      </c>
      <c r="AB28" s="36" t="s">
        <v>16</v>
      </c>
      <c r="AC28" s="181">
        <f t="shared" si="5"/>
        <v>12</v>
      </c>
      <c r="AD28" s="181">
        <f t="shared" si="2"/>
        <v>36000</v>
      </c>
      <c r="AE28" s="181">
        <v>1.1000000000000001</v>
      </c>
      <c r="AF28" s="181">
        <v>1.1000000000000001</v>
      </c>
      <c r="AG28" s="101" t="str">
        <f t="shared" si="6"/>
        <v/>
      </c>
      <c r="AH28" s="192">
        <v>12</v>
      </c>
      <c r="AI28" s="69">
        <f t="shared" si="7"/>
        <v>12</v>
      </c>
    </row>
    <row r="29" spans="1:35" s="69" customFormat="1" ht="33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 t="s">
        <v>15</v>
      </c>
      <c r="I29" s="75">
        <v>3000</v>
      </c>
      <c r="J29" s="75">
        <v>60000</v>
      </c>
      <c r="K29" s="91" t="s">
        <v>88</v>
      </c>
      <c r="L29" s="73"/>
      <c r="M29" s="46">
        <v>20</v>
      </c>
      <c r="N29" s="46">
        <v>0</v>
      </c>
      <c r="O29" s="46">
        <v>60000</v>
      </c>
      <c r="P29" s="98"/>
      <c r="Q29" s="23" t="s">
        <v>1434</v>
      </c>
      <c r="R29" s="24" t="s">
        <v>87</v>
      </c>
      <c r="S29" s="25" t="s">
        <v>81</v>
      </c>
      <c r="T29" s="26">
        <v>20</v>
      </c>
      <c r="U29" s="26">
        <v>20</v>
      </c>
      <c r="V29" s="26">
        <v>3000</v>
      </c>
      <c r="W29" s="127">
        <f t="shared" si="8"/>
        <v>0</v>
      </c>
      <c r="X29" s="127">
        <f t="shared" si="3"/>
        <v>20</v>
      </c>
      <c r="Y29" s="127">
        <f t="shared" si="1"/>
        <v>0</v>
      </c>
      <c r="Z29" s="127">
        <f t="shared" si="4"/>
        <v>60000</v>
      </c>
      <c r="AA29" s="33" t="s">
        <v>15</v>
      </c>
      <c r="AB29" s="36" t="s">
        <v>16</v>
      </c>
      <c r="AC29" s="181">
        <f t="shared" si="5"/>
        <v>20</v>
      </c>
      <c r="AD29" s="181">
        <f t="shared" si="2"/>
        <v>60000</v>
      </c>
      <c r="AE29" s="181">
        <v>1.1000000000000001</v>
      </c>
      <c r="AF29" s="181">
        <v>1.1000000000000001</v>
      </c>
      <c r="AG29" s="101" t="str">
        <f t="shared" si="6"/>
        <v/>
      </c>
      <c r="AH29" s="192">
        <v>20</v>
      </c>
      <c r="AI29" s="69">
        <f t="shared" si="7"/>
        <v>20</v>
      </c>
    </row>
    <row r="30" spans="1:35" s="69" customFormat="1" ht="33" x14ac:dyDescent="0.3">
      <c r="A30" s="55" t="s">
        <v>89</v>
      </c>
      <c r="B30" s="53" t="s">
        <v>90</v>
      </c>
      <c r="C30" s="54" t="s">
        <v>81</v>
      </c>
      <c r="D30" s="75">
        <v>19</v>
      </c>
      <c r="E30" s="75"/>
      <c r="F30" s="75"/>
      <c r="G30" s="75"/>
      <c r="H30" s="75" t="s">
        <v>15</v>
      </c>
      <c r="I30" s="75">
        <v>3000</v>
      </c>
      <c r="J30" s="75">
        <v>57000</v>
      </c>
      <c r="K30" s="91" t="s">
        <v>91</v>
      </c>
      <c r="L30" s="73"/>
      <c r="M30" s="46">
        <v>1</v>
      </c>
      <c r="N30" s="46">
        <v>0</v>
      </c>
      <c r="O30" s="46">
        <v>3000</v>
      </c>
      <c r="P30" s="98"/>
      <c r="Q30" s="23" t="s">
        <v>1388</v>
      </c>
      <c r="R30" s="24" t="s">
        <v>90</v>
      </c>
      <c r="S30" s="25" t="s">
        <v>81</v>
      </c>
      <c r="T30" s="26">
        <v>19</v>
      </c>
      <c r="U30" s="26">
        <v>19</v>
      </c>
      <c r="V30" s="26">
        <v>3000</v>
      </c>
      <c r="W30" s="128">
        <f t="shared" si="8"/>
        <v>15</v>
      </c>
      <c r="X30" s="26">
        <f t="shared" si="3"/>
        <v>16</v>
      </c>
      <c r="Y30" s="26">
        <f t="shared" si="1"/>
        <v>45000</v>
      </c>
      <c r="Z30" s="26">
        <f t="shared" si="4"/>
        <v>48000</v>
      </c>
      <c r="AA30" s="33" t="s">
        <v>15</v>
      </c>
      <c r="AB30" s="36" t="s">
        <v>16</v>
      </c>
      <c r="AC30" s="181">
        <f t="shared" si="5"/>
        <v>19</v>
      </c>
      <c r="AD30" s="181">
        <f t="shared" si="2"/>
        <v>57000</v>
      </c>
      <c r="AE30" s="181">
        <v>1.1000000000000001</v>
      </c>
      <c r="AF30" s="181">
        <v>1.1000000000000001</v>
      </c>
      <c r="AG30" s="101" t="str">
        <f t="shared" si="6"/>
        <v/>
      </c>
      <c r="AH30" s="191">
        <f>1+15</f>
        <v>16</v>
      </c>
      <c r="AI30" s="69">
        <f t="shared" si="7"/>
        <v>19</v>
      </c>
    </row>
    <row r="31" spans="1:35" s="69" customFormat="1" ht="39" x14ac:dyDescent="0.3">
      <c r="A31" s="55" t="s">
        <v>92</v>
      </c>
      <c r="B31" s="53" t="s">
        <v>93</v>
      </c>
      <c r="C31" s="54" t="s">
        <v>14</v>
      </c>
      <c r="D31" s="75">
        <v>1</v>
      </c>
      <c r="E31" s="75"/>
      <c r="F31" s="75"/>
      <c r="G31" s="75"/>
      <c r="H31" s="75" t="s">
        <v>15</v>
      </c>
      <c r="I31" s="75">
        <v>400000</v>
      </c>
      <c r="J31" s="75">
        <v>400000</v>
      </c>
      <c r="K31" s="91" t="s">
        <v>94</v>
      </c>
      <c r="L31" s="73"/>
      <c r="M31" s="46">
        <v>0.5</v>
      </c>
      <c r="N31" s="46">
        <v>0</v>
      </c>
      <c r="O31" s="46">
        <v>200000</v>
      </c>
      <c r="P31" s="98"/>
      <c r="Q31" s="23" t="s">
        <v>1389</v>
      </c>
      <c r="R31" s="24" t="s">
        <v>93</v>
      </c>
      <c r="S31" s="25" t="s">
        <v>14</v>
      </c>
      <c r="T31" s="26">
        <v>1</v>
      </c>
      <c r="U31" s="26">
        <v>1</v>
      </c>
      <c r="V31" s="26">
        <v>400000</v>
      </c>
      <c r="W31" s="128">
        <f t="shared" si="8"/>
        <v>0</v>
      </c>
      <c r="X31" s="26">
        <f t="shared" si="3"/>
        <v>0.5</v>
      </c>
      <c r="Y31" s="26">
        <f t="shared" si="1"/>
        <v>0</v>
      </c>
      <c r="Z31" s="26">
        <f t="shared" si="4"/>
        <v>200000</v>
      </c>
      <c r="AA31" s="33" t="s">
        <v>15</v>
      </c>
      <c r="AB31" s="36" t="s">
        <v>16</v>
      </c>
      <c r="AC31" s="181">
        <f t="shared" si="5"/>
        <v>1</v>
      </c>
      <c r="AD31" s="181">
        <f t="shared" si="2"/>
        <v>400000</v>
      </c>
      <c r="AE31" s="181">
        <v>1.1000000000000001</v>
      </c>
      <c r="AF31" s="181">
        <v>1.1000000000000001</v>
      </c>
      <c r="AG31" s="101" t="str">
        <f t="shared" si="6"/>
        <v/>
      </c>
      <c r="AH31" s="192">
        <f>0.5</f>
        <v>0.5</v>
      </c>
      <c r="AI31" s="69">
        <f t="shared" si="7"/>
        <v>1</v>
      </c>
    </row>
    <row r="32" spans="1:35" s="69" customFormat="1" ht="58.5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6" t="s">
        <v>15</v>
      </c>
      <c r="I32" s="75">
        <v>280</v>
      </c>
      <c r="J32" s="75">
        <v>8624000</v>
      </c>
      <c r="K32" s="91" t="s">
        <v>98</v>
      </c>
      <c r="L32" s="73"/>
      <c r="M32" s="46">
        <v>12176</v>
      </c>
      <c r="N32" s="46">
        <v>122640</v>
      </c>
      <c r="O32" s="46">
        <v>3409280</v>
      </c>
      <c r="P32" s="98"/>
      <c r="Q32" s="23" t="s">
        <v>1390</v>
      </c>
      <c r="R32" s="24" t="s">
        <v>96</v>
      </c>
      <c r="S32" s="25" t="s">
        <v>97</v>
      </c>
      <c r="T32" s="26">
        <v>30800</v>
      </c>
      <c r="U32" s="26">
        <v>30800</v>
      </c>
      <c r="V32" s="26">
        <v>280</v>
      </c>
      <c r="W32" s="128">
        <f t="shared" si="8"/>
        <v>351</v>
      </c>
      <c r="X32" s="26">
        <f t="shared" si="3"/>
        <v>12527</v>
      </c>
      <c r="Y32" s="26">
        <f t="shared" si="1"/>
        <v>98280</v>
      </c>
      <c r="Z32" s="26">
        <f t="shared" si="4"/>
        <v>3507560</v>
      </c>
      <c r="AA32" s="33" t="s">
        <v>15</v>
      </c>
      <c r="AB32" s="36" t="s">
        <v>16</v>
      </c>
      <c r="AC32" s="181">
        <f t="shared" si="5"/>
        <v>30800</v>
      </c>
      <c r="AD32" s="181">
        <f t="shared" si="2"/>
        <v>8624000</v>
      </c>
      <c r="AE32" s="181">
        <v>1.1000000000000001</v>
      </c>
      <c r="AF32" s="181">
        <v>1.1000000000000001</v>
      </c>
      <c r="AG32" s="101" t="str">
        <f t="shared" si="6"/>
        <v/>
      </c>
      <c r="AH32" s="191">
        <f>8320+1260+356+762+515+525+438+351</f>
        <v>12527</v>
      </c>
      <c r="AI32" s="69">
        <f t="shared" si="7"/>
        <v>30800</v>
      </c>
    </row>
    <row r="33" spans="1:35" s="69" customFormat="1" ht="39" x14ac:dyDescent="0.3">
      <c r="A33" s="134" t="s">
        <v>1302</v>
      </c>
      <c r="B33" s="135" t="s">
        <v>1303</v>
      </c>
      <c r="C33" s="204" t="s">
        <v>50</v>
      </c>
      <c r="D33" s="216"/>
      <c r="E33" s="59">
        <v>2405</v>
      </c>
      <c r="F33" s="59"/>
      <c r="G33" s="59"/>
      <c r="H33" s="59" t="s">
        <v>15</v>
      </c>
      <c r="I33" s="58">
        <v>70.23</v>
      </c>
      <c r="J33" s="59">
        <v>168903.15</v>
      </c>
      <c r="K33" s="92"/>
      <c r="L33" s="73"/>
      <c r="M33" s="46">
        <v>2405</v>
      </c>
      <c r="N33" s="46">
        <v>0</v>
      </c>
      <c r="O33" s="46">
        <v>168903.15</v>
      </c>
      <c r="P33" s="98"/>
      <c r="Q33" s="23" t="s">
        <v>1391</v>
      </c>
      <c r="R33" s="24" t="s">
        <v>1435</v>
      </c>
      <c r="S33" s="25" t="s">
        <v>50</v>
      </c>
      <c r="T33" s="26">
        <v>0</v>
      </c>
      <c r="U33" s="26">
        <v>2405</v>
      </c>
      <c r="V33" s="26">
        <v>70.23</v>
      </c>
      <c r="W33" s="127">
        <f t="shared" si="8"/>
        <v>0</v>
      </c>
      <c r="X33" s="127">
        <f t="shared" si="3"/>
        <v>2405</v>
      </c>
      <c r="Y33" s="127">
        <f t="shared" si="1"/>
        <v>0</v>
      </c>
      <c r="Z33" s="127">
        <f t="shared" si="4"/>
        <v>168903.15</v>
      </c>
      <c r="AA33" s="27" t="s">
        <v>15</v>
      </c>
      <c r="AB33" s="36" t="s">
        <v>16</v>
      </c>
      <c r="AC33" s="181">
        <f t="shared" si="5"/>
        <v>2405</v>
      </c>
      <c r="AD33" s="181">
        <f t="shared" si="2"/>
        <v>168903.15</v>
      </c>
      <c r="AE33" s="181">
        <v>1.1000000000000001</v>
      </c>
      <c r="AF33" s="181">
        <v>1.1000000000000001</v>
      </c>
      <c r="AG33" s="101" t="str">
        <f t="shared" si="6"/>
        <v/>
      </c>
      <c r="AH33" s="190">
        <v>2405</v>
      </c>
      <c r="AI33" s="69">
        <f t="shared" si="7"/>
        <v>2405</v>
      </c>
    </row>
    <row r="34" spans="1:35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 t="s">
        <v>15</v>
      </c>
      <c r="I34" s="61">
        <v>20000</v>
      </c>
      <c r="J34" s="62">
        <v>3000000</v>
      </c>
      <c r="K34" s="93"/>
      <c r="M34" s="46">
        <v>127</v>
      </c>
      <c r="N34" s="46">
        <v>120000</v>
      </c>
      <c r="O34" s="46">
        <v>2540000</v>
      </c>
      <c r="P34" s="98"/>
      <c r="Q34" s="23" t="s">
        <v>1436</v>
      </c>
      <c r="R34" s="24" t="s">
        <v>1437</v>
      </c>
      <c r="S34" s="25" t="s">
        <v>1358</v>
      </c>
      <c r="T34" s="26">
        <v>0</v>
      </c>
      <c r="U34" s="26">
        <v>150</v>
      </c>
      <c r="V34" s="26">
        <v>20000</v>
      </c>
      <c r="W34" s="128">
        <f t="shared" si="8"/>
        <v>0</v>
      </c>
      <c r="X34" s="26">
        <f t="shared" si="3"/>
        <v>127</v>
      </c>
      <c r="Y34" s="26">
        <f t="shared" si="1"/>
        <v>0</v>
      </c>
      <c r="Z34" s="26">
        <f t="shared" si="4"/>
        <v>2540000</v>
      </c>
      <c r="AA34" s="27"/>
      <c r="AB34" s="36" t="s">
        <v>16</v>
      </c>
      <c r="AC34" s="181">
        <f t="shared" si="5"/>
        <v>150</v>
      </c>
      <c r="AD34" s="181">
        <f t="shared" si="2"/>
        <v>3000000</v>
      </c>
      <c r="AE34" s="181">
        <v>1.1000000000000001</v>
      </c>
      <c r="AF34" s="181">
        <v>1.1000000000000001</v>
      </c>
      <c r="AG34" s="101" t="str">
        <f t="shared" si="6"/>
        <v/>
      </c>
      <c r="AH34" s="193">
        <f>100+6+7+8+6</f>
        <v>127</v>
      </c>
      <c r="AI34" s="69">
        <f t="shared" si="7"/>
        <v>150</v>
      </c>
    </row>
    <row r="35" spans="1:35" ht="42" customHeight="1" x14ac:dyDescent="0.3">
      <c r="A35" s="134" t="s">
        <v>1306</v>
      </c>
      <c r="B35" s="217" t="s">
        <v>1307</v>
      </c>
      <c r="C35" s="204" t="s">
        <v>50</v>
      </c>
      <c r="D35" s="216"/>
      <c r="E35" s="63"/>
      <c r="F35" s="62">
        <v>138.05000000000001</v>
      </c>
      <c r="G35" s="62"/>
      <c r="H35" s="62" t="s">
        <v>15</v>
      </c>
      <c r="I35" s="61">
        <v>165.22</v>
      </c>
      <c r="J35" s="62">
        <v>22808.62</v>
      </c>
      <c r="K35" s="93"/>
      <c r="M35" s="46">
        <v>138.05000000000001</v>
      </c>
      <c r="N35" s="46">
        <v>0</v>
      </c>
      <c r="O35" s="46">
        <v>22808.62</v>
      </c>
      <c r="P35" s="98"/>
      <c r="Q35" s="23" t="s">
        <v>1374</v>
      </c>
      <c r="R35" s="24" t="s">
        <v>1375</v>
      </c>
      <c r="S35" s="25" t="s">
        <v>50</v>
      </c>
      <c r="T35" s="26">
        <v>0</v>
      </c>
      <c r="U35" s="26">
        <v>138.05000000000001</v>
      </c>
      <c r="V35" s="26">
        <v>165.22</v>
      </c>
      <c r="W35" s="127">
        <f t="shared" si="8"/>
        <v>0</v>
      </c>
      <c r="X35" s="127">
        <f t="shared" si="3"/>
        <v>138.05000000000001</v>
      </c>
      <c r="Y35" s="127">
        <f t="shared" si="1"/>
        <v>0</v>
      </c>
      <c r="Z35" s="127">
        <f t="shared" si="4"/>
        <v>22808.62</v>
      </c>
      <c r="AA35" s="27"/>
      <c r="AB35" s="36" t="s">
        <v>16</v>
      </c>
      <c r="AC35" s="181">
        <f t="shared" si="5"/>
        <v>138.05000000000001</v>
      </c>
      <c r="AD35" s="181">
        <f t="shared" si="2"/>
        <v>22808.62</v>
      </c>
      <c r="AE35" s="181">
        <v>1.1000000000000001</v>
      </c>
      <c r="AF35" s="181">
        <v>1.1000000000000001</v>
      </c>
      <c r="AG35" s="101" t="str">
        <f t="shared" si="6"/>
        <v/>
      </c>
      <c r="AH35" s="190">
        <v>138.05000000000001</v>
      </c>
      <c r="AI35" s="69">
        <f t="shared" si="7"/>
        <v>138.05000000000001</v>
      </c>
    </row>
    <row r="36" spans="1:35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62">
        <v>2000</v>
      </c>
      <c r="G36" s="62"/>
      <c r="H36" s="62" t="s">
        <v>15</v>
      </c>
      <c r="I36" s="61">
        <v>100</v>
      </c>
      <c r="J36" s="62">
        <v>200000</v>
      </c>
      <c r="K36" s="93"/>
      <c r="M36" s="46">
        <v>2000</v>
      </c>
      <c r="N36" s="46">
        <v>0</v>
      </c>
      <c r="O36" s="46">
        <v>200000</v>
      </c>
      <c r="P36" s="98"/>
      <c r="Q36" s="23" t="s">
        <v>1376</v>
      </c>
      <c r="R36" s="24" t="s">
        <v>1377</v>
      </c>
      <c r="S36" s="25" t="s">
        <v>34</v>
      </c>
      <c r="T36" s="26">
        <v>0</v>
      </c>
      <c r="U36" s="26">
        <v>2000</v>
      </c>
      <c r="V36" s="26">
        <v>100</v>
      </c>
      <c r="W36" s="127">
        <f t="shared" si="8"/>
        <v>0</v>
      </c>
      <c r="X36" s="127">
        <f t="shared" si="3"/>
        <v>2000</v>
      </c>
      <c r="Y36" s="127">
        <f t="shared" si="1"/>
        <v>0</v>
      </c>
      <c r="Z36" s="127">
        <f t="shared" si="4"/>
        <v>200000</v>
      </c>
      <c r="AA36" s="27"/>
      <c r="AB36" s="36" t="s">
        <v>16</v>
      </c>
      <c r="AC36" s="181">
        <f t="shared" si="5"/>
        <v>2000</v>
      </c>
      <c r="AD36" s="181">
        <f t="shared" si="2"/>
        <v>200000</v>
      </c>
      <c r="AE36" s="181">
        <v>1.1000000000000001</v>
      </c>
      <c r="AF36" s="181">
        <v>1.1000000000000001</v>
      </c>
      <c r="AG36" s="101" t="str">
        <f t="shared" si="6"/>
        <v/>
      </c>
      <c r="AH36" s="190">
        <v>2000</v>
      </c>
      <c r="AI36" s="69">
        <f t="shared" si="7"/>
        <v>2000</v>
      </c>
    </row>
    <row r="37" spans="1:35" ht="33" x14ac:dyDescent="0.3">
      <c r="A37" s="134" t="s">
        <v>1310</v>
      </c>
      <c r="B37" s="217" t="s">
        <v>1311</v>
      </c>
      <c r="C37" s="204" t="s">
        <v>50</v>
      </c>
      <c r="D37" s="216"/>
      <c r="E37" s="63"/>
      <c r="F37" s="62">
        <v>3324.02</v>
      </c>
      <c r="G37" s="62"/>
      <c r="H37" s="62" t="s">
        <v>15</v>
      </c>
      <c r="I37" s="61">
        <v>33.35</v>
      </c>
      <c r="J37" s="62">
        <v>110856.07</v>
      </c>
      <c r="K37" s="93"/>
      <c r="M37" s="46">
        <v>3324.02</v>
      </c>
      <c r="N37" s="46">
        <v>0</v>
      </c>
      <c r="O37" s="46">
        <v>110856.07</v>
      </c>
      <c r="P37" s="98"/>
      <c r="Q37" s="23" t="s">
        <v>1378</v>
      </c>
      <c r="R37" s="24" t="s">
        <v>1379</v>
      </c>
      <c r="S37" s="25" t="s">
        <v>50</v>
      </c>
      <c r="T37" s="26">
        <v>0</v>
      </c>
      <c r="U37" s="26">
        <v>3324.02</v>
      </c>
      <c r="V37" s="26">
        <v>33.35</v>
      </c>
      <c r="W37" s="127">
        <f t="shared" si="8"/>
        <v>0</v>
      </c>
      <c r="X37" s="127">
        <f t="shared" si="3"/>
        <v>3324.02</v>
      </c>
      <c r="Y37" s="127">
        <f t="shared" si="1"/>
        <v>0</v>
      </c>
      <c r="Z37" s="127">
        <f t="shared" si="4"/>
        <v>110856.07</v>
      </c>
      <c r="AA37" s="27"/>
      <c r="AB37" s="36" t="s">
        <v>16</v>
      </c>
      <c r="AC37" s="181">
        <f t="shared" si="5"/>
        <v>3324.02</v>
      </c>
      <c r="AD37" s="181">
        <f t="shared" si="2"/>
        <v>110856.07</v>
      </c>
      <c r="AE37" s="181">
        <v>1.1000000000000001</v>
      </c>
      <c r="AF37" s="181">
        <v>1.1000000000000001</v>
      </c>
      <c r="AG37" s="101" t="str">
        <f t="shared" si="6"/>
        <v/>
      </c>
      <c r="AH37" s="190">
        <v>3324.02</v>
      </c>
      <c r="AI37" s="69">
        <f t="shared" si="7"/>
        <v>3324.02</v>
      </c>
    </row>
    <row r="38" spans="1:35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4" t="s">
        <v>15</v>
      </c>
      <c r="I38" s="82"/>
      <c r="J38" s="82">
        <v>42752872.340000004</v>
      </c>
      <c r="K38" s="94" t="s">
        <v>15</v>
      </c>
      <c r="L38" s="73"/>
      <c r="M38" s="45">
        <v>1</v>
      </c>
      <c r="N38" s="45">
        <v>3162895.28</v>
      </c>
      <c r="O38" s="45">
        <v>5383962.7799999993</v>
      </c>
      <c r="P38" s="98"/>
      <c r="Q38" s="18" t="s">
        <v>1380</v>
      </c>
      <c r="R38" s="19" t="s">
        <v>100</v>
      </c>
      <c r="S38" s="20" t="s">
        <v>14</v>
      </c>
      <c r="T38" s="21">
        <v>1</v>
      </c>
      <c r="U38" s="21"/>
      <c r="V38" s="21">
        <f>SUMIFS(AD:AD,AE:AE,AE38)</f>
        <v>42752872.340000033</v>
      </c>
      <c r="W38" s="21">
        <f t="shared" ref="W38:X38" si="9">IF(Y38=0,0,1)</f>
        <v>1</v>
      </c>
      <c r="X38" s="21">
        <f t="shared" si="9"/>
        <v>1</v>
      </c>
      <c r="Y38" s="21">
        <f>SUMIFS(Y:Y,AF:AF,AE38)</f>
        <v>3134475.45</v>
      </c>
      <c r="Z38" s="21">
        <f>SUMIFS(Z:Z,AF:AF,AE38)</f>
        <v>8518438.2300000004</v>
      </c>
      <c r="AA38" s="22" t="s">
        <v>15</v>
      </c>
      <c r="AB38" s="43" t="s">
        <v>16</v>
      </c>
      <c r="AC38" s="181">
        <f t="shared" si="5"/>
        <v>1</v>
      </c>
      <c r="AD38" s="184"/>
      <c r="AE38" s="181">
        <v>1.2</v>
      </c>
      <c r="AF38" s="181"/>
      <c r="AG38" s="101" t="str">
        <f t="shared" si="6"/>
        <v/>
      </c>
      <c r="AH38" s="190">
        <v>1</v>
      </c>
      <c r="AI38" s="69">
        <f t="shared" si="7"/>
        <v>1</v>
      </c>
    </row>
    <row r="39" spans="1:35" s="69" customFormat="1" ht="39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 t="s">
        <v>15</v>
      </c>
      <c r="I39" s="75">
        <v>320.74</v>
      </c>
      <c r="J39" s="75">
        <v>753030.16</v>
      </c>
      <c r="K39" s="91" t="s">
        <v>104</v>
      </c>
      <c r="L39" s="73"/>
      <c r="M39" s="46">
        <v>0</v>
      </c>
      <c r="N39" s="46">
        <v>0</v>
      </c>
      <c r="O39" s="46">
        <v>0</v>
      </c>
      <c r="P39" s="98"/>
      <c r="Q39" s="23" t="s">
        <v>1421</v>
      </c>
      <c r="R39" s="24" t="s">
        <v>102</v>
      </c>
      <c r="S39" s="25" t="s">
        <v>103</v>
      </c>
      <c r="T39" s="26">
        <v>2347.79</v>
      </c>
      <c r="U39" s="26">
        <v>2347.79</v>
      </c>
      <c r="V39" s="26">
        <f t="shared" ref="V39:V102" si="10">I39</f>
        <v>320.74</v>
      </c>
      <c r="W39" s="26">
        <f t="shared" si="8"/>
        <v>0</v>
      </c>
      <c r="X39" s="26">
        <f t="shared" si="3"/>
        <v>0</v>
      </c>
      <c r="Y39" s="26">
        <f t="shared" ref="Y39:Y102" si="11">Z39-O39</f>
        <v>0</v>
      </c>
      <c r="Z39" s="26">
        <f t="shared" si="4"/>
        <v>0</v>
      </c>
      <c r="AA39" s="33" t="s">
        <v>15</v>
      </c>
      <c r="AB39" s="36" t="s">
        <v>16</v>
      </c>
      <c r="AC39" s="181">
        <f t="shared" si="5"/>
        <v>2347.79</v>
      </c>
      <c r="AD39" s="181">
        <f>ROUND(V39*AC39,2)</f>
        <v>753030.16</v>
      </c>
      <c r="AE39" s="181">
        <v>1.2</v>
      </c>
      <c r="AF39" s="181">
        <v>1.2</v>
      </c>
      <c r="AG39" s="101" t="str">
        <f t="shared" si="6"/>
        <v/>
      </c>
      <c r="AH39" s="190">
        <v>0</v>
      </c>
      <c r="AI39" s="69">
        <f t="shared" si="7"/>
        <v>2347.79</v>
      </c>
    </row>
    <row r="40" spans="1:35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 t="s">
        <v>15</v>
      </c>
      <c r="I40" s="75">
        <v>346.08</v>
      </c>
      <c r="J40" s="75">
        <v>261553.42</v>
      </c>
      <c r="K40" s="91" t="s">
        <v>107</v>
      </c>
      <c r="L40" s="73"/>
      <c r="M40" s="46">
        <v>0</v>
      </c>
      <c r="N40" s="46">
        <v>0</v>
      </c>
      <c r="O40" s="46">
        <v>0</v>
      </c>
      <c r="P40" s="98"/>
      <c r="Q40" s="23" t="s">
        <v>1426</v>
      </c>
      <c r="R40" s="24" t="s">
        <v>106</v>
      </c>
      <c r="S40" s="25" t="s">
        <v>103</v>
      </c>
      <c r="T40" s="26">
        <v>755.76</v>
      </c>
      <c r="U40" s="26">
        <v>755.76</v>
      </c>
      <c r="V40" s="26">
        <f t="shared" si="10"/>
        <v>346.08</v>
      </c>
      <c r="W40" s="26">
        <f t="shared" si="8"/>
        <v>0</v>
      </c>
      <c r="X40" s="26">
        <f t="shared" si="3"/>
        <v>0</v>
      </c>
      <c r="Y40" s="26">
        <f t="shared" si="11"/>
        <v>0</v>
      </c>
      <c r="Z40" s="26">
        <f t="shared" si="4"/>
        <v>0</v>
      </c>
      <c r="AA40" s="33" t="s">
        <v>15</v>
      </c>
      <c r="AB40" s="36" t="s">
        <v>16</v>
      </c>
      <c r="AC40" s="181">
        <f t="shared" si="5"/>
        <v>755.76</v>
      </c>
      <c r="AD40" s="181">
        <f t="shared" ref="AD40:AD103" si="12">ROUND(V40*AC40,2)</f>
        <v>261553.42</v>
      </c>
      <c r="AE40" s="181">
        <v>1.2</v>
      </c>
      <c r="AF40" s="181">
        <v>1.2</v>
      </c>
      <c r="AG40" s="101" t="str">
        <f t="shared" si="6"/>
        <v/>
      </c>
      <c r="AH40" s="190">
        <v>0</v>
      </c>
      <c r="AI40" s="69">
        <f t="shared" si="7"/>
        <v>755.76</v>
      </c>
    </row>
    <row r="41" spans="1:35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 t="s">
        <v>15</v>
      </c>
      <c r="I41" s="75">
        <v>36.4</v>
      </c>
      <c r="J41" s="75">
        <v>1355298.67</v>
      </c>
      <c r="K41" s="91" t="s">
        <v>111</v>
      </c>
      <c r="L41" s="73"/>
      <c r="M41" s="46">
        <v>0</v>
      </c>
      <c r="N41" s="46">
        <v>0</v>
      </c>
      <c r="O41" s="46">
        <v>0</v>
      </c>
      <c r="P41" s="98"/>
      <c r="Q41" s="23" t="s">
        <v>1402</v>
      </c>
      <c r="R41" s="24" t="s">
        <v>109</v>
      </c>
      <c r="S41" s="25" t="s">
        <v>110</v>
      </c>
      <c r="T41" s="26">
        <v>37233.480000000003</v>
      </c>
      <c r="U41" s="26">
        <v>37233.480000000003</v>
      </c>
      <c r="V41" s="26">
        <f t="shared" si="10"/>
        <v>36.4</v>
      </c>
      <c r="W41" s="128">
        <f t="shared" si="8"/>
        <v>2260</v>
      </c>
      <c r="X41" s="26">
        <f t="shared" si="3"/>
        <v>2260</v>
      </c>
      <c r="Y41" s="26">
        <f t="shared" si="11"/>
        <v>82264</v>
      </c>
      <c r="Z41" s="26">
        <f t="shared" si="4"/>
        <v>82264</v>
      </c>
      <c r="AA41" s="33" t="s">
        <v>15</v>
      </c>
      <c r="AB41" s="36" t="s">
        <v>16</v>
      </c>
      <c r="AC41" s="181">
        <f t="shared" si="5"/>
        <v>37233.480000000003</v>
      </c>
      <c r="AD41" s="181">
        <f t="shared" si="12"/>
        <v>1355298.67</v>
      </c>
      <c r="AE41" s="181">
        <v>1.2</v>
      </c>
      <c r="AF41" s="181">
        <v>1.2</v>
      </c>
      <c r="AG41" s="101" t="str">
        <f t="shared" si="6"/>
        <v/>
      </c>
      <c r="AH41" s="191">
        <f>2260</f>
        <v>2260</v>
      </c>
      <c r="AI41" s="69">
        <f t="shared" si="7"/>
        <v>37233.480000000003</v>
      </c>
    </row>
    <row r="42" spans="1:35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 t="s">
        <v>15</v>
      </c>
      <c r="I42" s="75">
        <v>3115.13</v>
      </c>
      <c r="J42" s="75">
        <v>918901.05</v>
      </c>
      <c r="K42" s="91" t="s">
        <v>114</v>
      </c>
      <c r="L42" s="73"/>
      <c r="M42" s="46">
        <v>0</v>
      </c>
      <c r="N42" s="46">
        <v>0</v>
      </c>
      <c r="O42" s="46">
        <v>0</v>
      </c>
      <c r="P42" s="98"/>
      <c r="Q42" s="23" t="s">
        <v>1373</v>
      </c>
      <c r="R42" s="24" t="s">
        <v>392</v>
      </c>
      <c r="S42" s="25" t="s">
        <v>23</v>
      </c>
      <c r="T42" s="26">
        <v>294.98</v>
      </c>
      <c r="U42" s="26">
        <v>294.98</v>
      </c>
      <c r="V42" s="26">
        <f t="shared" si="10"/>
        <v>3115.13</v>
      </c>
      <c r="W42" s="128">
        <f t="shared" si="8"/>
        <v>33</v>
      </c>
      <c r="X42" s="26">
        <f t="shared" si="3"/>
        <v>33</v>
      </c>
      <c r="Y42" s="26">
        <f t="shared" si="11"/>
        <v>102799.29</v>
      </c>
      <c r="Z42" s="26">
        <f t="shared" si="4"/>
        <v>102799.29</v>
      </c>
      <c r="AA42" s="33" t="s">
        <v>15</v>
      </c>
      <c r="AB42" s="36" t="s">
        <v>16</v>
      </c>
      <c r="AC42" s="181">
        <f t="shared" si="5"/>
        <v>294.98</v>
      </c>
      <c r="AD42" s="181">
        <f t="shared" si="12"/>
        <v>918901.05</v>
      </c>
      <c r="AE42" s="181">
        <v>1.2</v>
      </c>
      <c r="AF42" s="181">
        <v>1.2</v>
      </c>
      <c r="AG42" s="101" t="str">
        <f t="shared" si="6"/>
        <v/>
      </c>
      <c r="AH42" s="191">
        <f>33</f>
        <v>33</v>
      </c>
      <c r="AI42" s="69">
        <f t="shared" si="7"/>
        <v>294.98</v>
      </c>
    </row>
    <row r="43" spans="1:35" s="69" customFormat="1" ht="39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 t="s">
        <v>15</v>
      </c>
      <c r="I43" s="75">
        <v>3321.13</v>
      </c>
      <c r="J43" s="75">
        <v>2811934.35</v>
      </c>
      <c r="K43" s="91" t="s">
        <v>117</v>
      </c>
      <c r="L43" s="73"/>
      <c r="M43" s="46">
        <v>0</v>
      </c>
      <c r="N43" s="46">
        <v>0</v>
      </c>
      <c r="O43" s="46">
        <v>0</v>
      </c>
      <c r="P43" s="98"/>
      <c r="Q43" s="23" t="s">
        <v>1393</v>
      </c>
      <c r="R43" s="24" t="s">
        <v>116</v>
      </c>
      <c r="S43" s="25" t="s">
        <v>23</v>
      </c>
      <c r="T43" s="26">
        <v>846.68</v>
      </c>
      <c r="U43" s="26">
        <v>846.68</v>
      </c>
      <c r="V43" s="26">
        <f t="shared" si="10"/>
        <v>3321.13</v>
      </c>
      <c r="W43" s="128">
        <f t="shared" si="8"/>
        <v>185</v>
      </c>
      <c r="X43" s="26">
        <f t="shared" si="3"/>
        <v>185</v>
      </c>
      <c r="Y43" s="26">
        <f t="shared" si="11"/>
        <v>614409.05000000005</v>
      </c>
      <c r="Z43" s="26">
        <f t="shared" si="4"/>
        <v>614409.05000000005</v>
      </c>
      <c r="AA43" s="33" t="s">
        <v>15</v>
      </c>
      <c r="AB43" s="36" t="s">
        <v>16</v>
      </c>
      <c r="AC43" s="181">
        <f t="shared" si="5"/>
        <v>846.68</v>
      </c>
      <c r="AD43" s="181">
        <f t="shared" si="12"/>
        <v>2811934.35</v>
      </c>
      <c r="AE43" s="181">
        <v>1.2</v>
      </c>
      <c r="AF43" s="181">
        <v>1.2</v>
      </c>
      <c r="AG43" s="101" t="str">
        <f t="shared" si="6"/>
        <v/>
      </c>
      <c r="AH43" s="191">
        <f>185</f>
        <v>185</v>
      </c>
      <c r="AI43" s="69">
        <f t="shared" si="7"/>
        <v>846.68</v>
      </c>
    </row>
    <row r="44" spans="1:35" s="69" customFormat="1" ht="26.1" customHeight="1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 t="s">
        <v>15</v>
      </c>
      <c r="I44" s="75">
        <v>533.64</v>
      </c>
      <c r="J44" s="75">
        <v>1273974.78</v>
      </c>
      <c r="K44" s="91" t="s">
        <v>120</v>
      </c>
      <c r="L44" s="73"/>
      <c r="M44" s="46">
        <v>0</v>
      </c>
      <c r="N44" s="46">
        <v>0</v>
      </c>
      <c r="O44" s="46">
        <v>0</v>
      </c>
      <c r="P44" s="98"/>
      <c r="Q44" s="23" t="s">
        <v>1403</v>
      </c>
      <c r="R44" s="24" t="s">
        <v>119</v>
      </c>
      <c r="S44" s="25" t="s">
        <v>50</v>
      </c>
      <c r="T44" s="26">
        <v>2387.33</v>
      </c>
      <c r="U44" s="26">
        <v>2387.33</v>
      </c>
      <c r="V44" s="26">
        <f t="shared" si="10"/>
        <v>533.64</v>
      </c>
      <c r="W44" s="128">
        <f t="shared" si="8"/>
        <v>620</v>
      </c>
      <c r="X44" s="26">
        <f t="shared" si="3"/>
        <v>620</v>
      </c>
      <c r="Y44" s="26">
        <f t="shared" si="11"/>
        <v>330856.8</v>
      </c>
      <c r="Z44" s="26">
        <f t="shared" si="4"/>
        <v>330856.8</v>
      </c>
      <c r="AA44" s="33" t="s">
        <v>15</v>
      </c>
      <c r="AB44" s="36" t="s">
        <v>16</v>
      </c>
      <c r="AC44" s="181">
        <f t="shared" si="5"/>
        <v>2387.33</v>
      </c>
      <c r="AD44" s="181">
        <f t="shared" si="12"/>
        <v>1273974.78</v>
      </c>
      <c r="AE44" s="181">
        <v>1.2</v>
      </c>
      <c r="AF44" s="181">
        <v>1.2</v>
      </c>
      <c r="AG44" s="101" t="str">
        <f t="shared" si="6"/>
        <v/>
      </c>
      <c r="AH44" s="191">
        <f>620</f>
        <v>620</v>
      </c>
      <c r="AI44" s="69">
        <f t="shared" si="7"/>
        <v>2387.33</v>
      </c>
    </row>
    <row r="45" spans="1:35" s="69" customFormat="1" ht="26.1" customHeight="1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 t="s">
        <v>15</v>
      </c>
      <c r="I45" s="75">
        <v>1299.8900000000001</v>
      </c>
      <c r="J45" s="75">
        <v>1770710.16</v>
      </c>
      <c r="K45" s="91" t="s">
        <v>123</v>
      </c>
      <c r="L45" s="73"/>
      <c r="M45" s="46">
        <v>0</v>
      </c>
      <c r="N45" s="46">
        <v>0</v>
      </c>
      <c r="O45" s="46">
        <v>0</v>
      </c>
      <c r="P45" s="98"/>
      <c r="Q45" s="23" t="s">
        <v>1427</v>
      </c>
      <c r="R45" s="24" t="s">
        <v>122</v>
      </c>
      <c r="S45" s="25" t="s">
        <v>50</v>
      </c>
      <c r="T45" s="26">
        <v>1362.2</v>
      </c>
      <c r="U45" s="26">
        <v>1362.2</v>
      </c>
      <c r="V45" s="26">
        <f t="shared" si="10"/>
        <v>1299.8900000000001</v>
      </c>
      <c r="W45" s="26">
        <f t="shared" si="8"/>
        <v>0</v>
      </c>
      <c r="X45" s="26">
        <f t="shared" si="3"/>
        <v>0</v>
      </c>
      <c r="Y45" s="26">
        <f t="shared" si="11"/>
        <v>0</v>
      </c>
      <c r="Z45" s="26">
        <f t="shared" si="4"/>
        <v>0</v>
      </c>
      <c r="AA45" s="33" t="s">
        <v>15</v>
      </c>
      <c r="AB45" s="36" t="s">
        <v>16</v>
      </c>
      <c r="AC45" s="181">
        <f t="shared" si="5"/>
        <v>1362.2</v>
      </c>
      <c r="AD45" s="181">
        <f t="shared" si="12"/>
        <v>1770710.16</v>
      </c>
      <c r="AE45" s="181">
        <v>1.2</v>
      </c>
      <c r="AF45" s="181">
        <v>1.2</v>
      </c>
      <c r="AG45" s="101" t="str">
        <f t="shared" si="6"/>
        <v/>
      </c>
      <c r="AH45" s="190">
        <v>0</v>
      </c>
      <c r="AI45" s="69">
        <f t="shared" si="7"/>
        <v>1362.2</v>
      </c>
    </row>
    <row r="46" spans="1:35" s="69" customFormat="1" ht="26.1" customHeight="1" x14ac:dyDescent="0.3">
      <c r="A46" s="55" t="s">
        <v>124</v>
      </c>
      <c r="B46" s="53" t="s">
        <v>125</v>
      </c>
      <c r="C46" s="54" t="s">
        <v>110</v>
      </c>
      <c r="D46" s="75">
        <v>4781.5600000000004</v>
      </c>
      <c r="E46" s="75"/>
      <c r="F46" s="75"/>
      <c r="G46" s="75"/>
      <c r="H46" s="75" t="s">
        <v>15</v>
      </c>
      <c r="I46" s="75">
        <v>60</v>
      </c>
      <c r="J46" s="75">
        <v>286893.59999999998</v>
      </c>
      <c r="K46" s="91" t="s">
        <v>126</v>
      </c>
      <c r="L46" s="73"/>
      <c r="M46" s="46">
        <v>2115</v>
      </c>
      <c r="N46" s="46">
        <v>126900</v>
      </c>
      <c r="O46" s="46">
        <v>126900</v>
      </c>
      <c r="P46" s="98"/>
      <c r="Q46" s="23" t="s">
        <v>1428</v>
      </c>
      <c r="R46" s="24" t="s">
        <v>125</v>
      </c>
      <c r="S46" s="25" t="s">
        <v>110</v>
      </c>
      <c r="T46" s="26">
        <v>4781.5600000000004</v>
      </c>
      <c r="U46" s="26">
        <v>4781.5600000000004</v>
      </c>
      <c r="V46" s="26">
        <f t="shared" si="10"/>
        <v>60</v>
      </c>
      <c r="W46" s="128">
        <f t="shared" si="8"/>
        <v>765</v>
      </c>
      <c r="X46" s="26">
        <f t="shared" si="3"/>
        <v>2880</v>
      </c>
      <c r="Y46" s="26">
        <f t="shared" si="11"/>
        <v>45900</v>
      </c>
      <c r="Z46" s="26">
        <f t="shared" si="4"/>
        <v>172800</v>
      </c>
      <c r="AA46" s="33" t="s">
        <v>15</v>
      </c>
      <c r="AB46" s="36" t="s">
        <v>16</v>
      </c>
      <c r="AC46" s="181">
        <f t="shared" si="5"/>
        <v>4781.5600000000004</v>
      </c>
      <c r="AD46" s="181">
        <f t="shared" si="12"/>
        <v>286893.59999999998</v>
      </c>
      <c r="AE46" s="181">
        <v>1.2</v>
      </c>
      <c r="AF46" s="181">
        <v>1.2</v>
      </c>
      <c r="AG46" s="101" t="str">
        <f t="shared" si="6"/>
        <v/>
      </c>
      <c r="AH46" s="191">
        <f>2115+765</f>
        <v>2880</v>
      </c>
      <c r="AI46" s="69">
        <f t="shared" si="7"/>
        <v>4781.5600000000004</v>
      </c>
    </row>
    <row r="47" spans="1:35" s="69" customFormat="1" ht="39" x14ac:dyDescent="0.3">
      <c r="A47" s="55" t="s">
        <v>127</v>
      </c>
      <c r="B47" s="53" t="s">
        <v>128</v>
      </c>
      <c r="C47" s="54" t="s">
        <v>110</v>
      </c>
      <c r="D47" s="75">
        <v>4781.5600000000004</v>
      </c>
      <c r="E47" s="75"/>
      <c r="F47" s="75"/>
      <c r="G47" s="75"/>
      <c r="H47" s="75" t="s">
        <v>15</v>
      </c>
      <c r="I47" s="75">
        <v>31.9</v>
      </c>
      <c r="J47" s="75">
        <v>152531.76</v>
      </c>
      <c r="K47" s="91" t="s">
        <v>129</v>
      </c>
      <c r="L47" s="73"/>
      <c r="M47" s="46">
        <v>2115</v>
      </c>
      <c r="N47" s="46">
        <v>67468.5</v>
      </c>
      <c r="O47" s="46">
        <v>67468.5</v>
      </c>
      <c r="P47" s="98"/>
      <c r="Q47" s="23" t="s">
        <v>1387</v>
      </c>
      <c r="R47" s="24" t="s">
        <v>128</v>
      </c>
      <c r="S47" s="25" t="s">
        <v>110</v>
      </c>
      <c r="T47" s="26">
        <v>4781.5600000000004</v>
      </c>
      <c r="U47" s="26">
        <v>4781.5600000000004</v>
      </c>
      <c r="V47" s="26">
        <f t="shared" si="10"/>
        <v>31.9</v>
      </c>
      <c r="W47" s="128">
        <f t="shared" si="8"/>
        <v>765</v>
      </c>
      <c r="X47" s="26">
        <f t="shared" si="3"/>
        <v>2880</v>
      </c>
      <c r="Y47" s="26">
        <f t="shared" si="11"/>
        <v>24403.5</v>
      </c>
      <c r="Z47" s="26">
        <f t="shared" si="4"/>
        <v>91872</v>
      </c>
      <c r="AA47" s="33" t="s">
        <v>15</v>
      </c>
      <c r="AB47" s="36" t="s">
        <v>16</v>
      </c>
      <c r="AC47" s="181">
        <f t="shared" si="5"/>
        <v>4781.5600000000004</v>
      </c>
      <c r="AD47" s="181">
        <f t="shared" si="12"/>
        <v>152531.76</v>
      </c>
      <c r="AE47" s="181">
        <v>1.2</v>
      </c>
      <c r="AF47" s="181">
        <v>1.2</v>
      </c>
      <c r="AG47" s="101" t="str">
        <f t="shared" si="6"/>
        <v/>
      </c>
      <c r="AH47" s="191">
        <f>AH46</f>
        <v>2880</v>
      </c>
      <c r="AI47" s="69">
        <f t="shared" si="7"/>
        <v>4781.5600000000004</v>
      </c>
    </row>
    <row r="48" spans="1:35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 t="s">
        <v>15</v>
      </c>
      <c r="I48" s="75">
        <v>107.31</v>
      </c>
      <c r="J48" s="75">
        <v>246905.29</v>
      </c>
      <c r="K48" s="91" t="s">
        <v>132</v>
      </c>
      <c r="L48" s="73"/>
      <c r="M48" s="46">
        <v>1855</v>
      </c>
      <c r="N48" s="46">
        <v>199060.05</v>
      </c>
      <c r="O48" s="46">
        <v>199060.05</v>
      </c>
      <c r="P48" s="98"/>
      <c r="Q48" s="23" t="s">
        <v>1405</v>
      </c>
      <c r="R48" s="24" t="s">
        <v>131</v>
      </c>
      <c r="S48" s="25" t="s">
        <v>110</v>
      </c>
      <c r="T48" s="26">
        <v>2300.86</v>
      </c>
      <c r="U48" s="26">
        <v>2300.86</v>
      </c>
      <c r="V48" s="26">
        <f t="shared" si="10"/>
        <v>107.31</v>
      </c>
      <c r="W48" s="128">
        <f t="shared" si="8"/>
        <v>0</v>
      </c>
      <c r="X48" s="26">
        <f t="shared" si="3"/>
        <v>1855</v>
      </c>
      <c r="Y48" s="26">
        <f t="shared" si="11"/>
        <v>0</v>
      </c>
      <c r="Z48" s="26">
        <f t="shared" si="4"/>
        <v>199060.05</v>
      </c>
      <c r="AA48" s="33" t="s">
        <v>15</v>
      </c>
      <c r="AB48" s="36" t="s">
        <v>16</v>
      </c>
      <c r="AC48" s="181">
        <f t="shared" si="5"/>
        <v>2300.86</v>
      </c>
      <c r="AD48" s="181">
        <f t="shared" si="12"/>
        <v>246905.29</v>
      </c>
      <c r="AE48" s="181">
        <v>1.2</v>
      </c>
      <c r="AF48" s="181">
        <v>1.2</v>
      </c>
      <c r="AG48" s="101" t="str">
        <f t="shared" si="6"/>
        <v/>
      </c>
      <c r="AH48" s="191">
        <f>1855</f>
        <v>1855</v>
      </c>
      <c r="AI48" s="69">
        <f t="shared" si="7"/>
        <v>2300.86</v>
      </c>
    </row>
    <row r="49" spans="1:35" s="69" customFormat="1" ht="33" x14ac:dyDescent="0.3">
      <c r="A49" s="55" t="s">
        <v>133</v>
      </c>
      <c r="B49" s="215" t="s">
        <v>134</v>
      </c>
      <c r="C49" s="54" t="s">
        <v>50</v>
      </c>
      <c r="D49" s="75">
        <v>5207.01</v>
      </c>
      <c r="E49" s="75"/>
      <c r="F49" s="75"/>
      <c r="G49" s="75"/>
      <c r="H49" s="75" t="s">
        <v>15</v>
      </c>
      <c r="I49" s="75">
        <v>2964</v>
      </c>
      <c r="J49" s="75">
        <v>15433577.640000001</v>
      </c>
      <c r="K49" s="137" t="s">
        <v>135</v>
      </c>
      <c r="L49" s="73"/>
      <c r="M49" s="46">
        <v>1071</v>
      </c>
      <c r="N49" s="46">
        <v>2525328</v>
      </c>
      <c r="O49" s="46">
        <v>3174444</v>
      </c>
      <c r="P49" s="98"/>
      <c r="Q49" s="23" t="s">
        <v>1406</v>
      </c>
      <c r="R49" s="24" t="s">
        <v>134</v>
      </c>
      <c r="S49" s="25" t="s">
        <v>50</v>
      </c>
      <c r="T49" s="26">
        <v>5207.01</v>
      </c>
      <c r="U49" s="26">
        <v>5207.01</v>
      </c>
      <c r="V49" s="26">
        <f t="shared" si="10"/>
        <v>2964</v>
      </c>
      <c r="W49" s="128">
        <f t="shared" si="8"/>
        <v>420</v>
      </c>
      <c r="X49" s="26">
        <f t="shared" si="3"/>
        <v>1491</v>
      </c>
      <c r="Y49" s="26">
        <f t="shared" si="11"/>
        <v>1244880</v>
      </c>
      <c r="Z49" s="26">
        <f t="shared" si="4"/>
        <v>4419324</v>
      </c>
      <c r="AA49" s="33" t="s">
        <v>15</v>
      </c>
      <c r="AB49" s="36" t="s">
        <v>16</v>
      </c>
      <c r="AC49" s="181">
        <f t="shared" si="5"/>
        <v>5207.01</v>
      </c>
      <c r="AD49" s="181">
        <f t="shared" si="12"/>
        <v>15433577.640000001</v>
      </c>
      <c r="AE49" s="181">
        <v>1.2</v>
      </c>
      <c r="AF49" s="181">
        <v>1.2</v>
      </c>
      <c r="AG49" s="101" t="str">
        <f t="shared" si="6"/>
        <v/>
      </c>
      <c r="AH49" s="191">
        <f>219+852+420</f>
        <v>1491</v>
      </c>
      <c r="AI49" s="69">
        <f t="shared" si="7"/>
        <v>5207.01</v>
      </c>
    </row>
    <row r="50" spans="1:35" s="69" customFormat="1" ht="39" x14ac:dyDescent="0.3">
      <c r="A50" s="55" t="s">
        <v>136</v>
      </c>
      <c r="B50" s="53" t="s">
        <v>3138</v>
      </c>
      <c r="C50" s="54" t="s">
        <v>50</v>
      </c>
      <c r="D50" s="75">
        <v>693.8</v>
      </c>
      <c r="E50" s="75"/>
      <c r="F50" s="75"/>
      <c r="G50" s="75"/>
      <c r="H50" s="75" t="s">
        <v>15</v>
      </c>
      <c r="I50" s="75">
        <v>3961.57</v>
      </c>
      <c r="J50" s="75">
        <v>2748537.27</v>
      </c>
      <c r="K50" s="137" t="s">
        <v>138</v>
      </c>
      <c r="L50" s="73"/>
      <c r="M50" s="46">
        <v>0</v>
      </c>
      <c r="N50" s="46">
        <v>0</v>
      </c>
      <c r="O50" s="46">
        <v>0</v>
      </c>
      <c r="P50" s="98"/>
      <c r="Q50" s="23" t="s">
        <v>1414</v>
      </c>
      <c r="R50" s="24" t="s">
        <v>137</v>
      </c>
      <c r="S50" s="25" t="s">
        <v>50</v>
      </c>
      <c r="T50" s="26">
        <v>693.8</v>
      </c>
      <c r="U50" s="26">
        <v>693.8</v>
      </c>
      <c r="V50" s="26">
        <f t="shared" si="10"/>
        <v>3961.57</v>
      </c>
      <c r="W50" s="26">
        <f t="shared" si="8"/>
        <v>0</v>
      </c>
      <c r="X50" s="26">
        <f t="shared" si="3"/>
        <v>0</v>
      </c>
      <c r="Y50" s="26">
        <f t="shared" si="11"/>
        <v>0</v>
      </c>
      <c r="Z50" s="26">
        <f t="shared" si="4"/>
        <v>0</v>
      </c>
      <c r="AA50" s="33" t="s">
        <v>15</v>
      </c>
      <c r="AB50" s="36" t="s">
        <v>16</v>
      </c>
      <c r="AC50" s="181">
        <f t="shared" si="5"/>
        <v>693.8</v>
      </c>
      <c r="AD50" s="181">
        <f t="shared" si="12"/>
        <v>2748537.27</v>
      </c>
      <c r="AE50" s="181">
        <v>1.2</v>
      </c>
      <c r="AF50" s="181">
        <v>1.2</v>
      </c>
      <c r="AG50" s="101" t="str">
        <f t="shared" si="6"/>
        <v/>
      </c>
      <c r="AH50" s="190">
        <v>0</v>
      </c>
      <c r="AI50" s="69">
        <f t="shared" si="7"/>
        <v>693.8</v>
      </c>
    </row>
    <row r="51" spans="1:35" s="69" customFormat="1" ht="26.1" customHeight="1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 t="s">
        <v>15</v>
      </c>
      <c r="I51" s="75">
        <v>3965.81</v>
      </c>
      <c r="J51" s="75">
        <v>1488090.89</v>
      </c>
      <c r="K51" s="137" t="s">
        <v>141</v>
      </c>
      <c r="L51" s="73"/>
      <c r="M51" s="46">
        <v>0</v>
      </c>
      <c r="N51" s="46">
        <v>0</v>
      </c>
      <c r="O51" s="46">
        <v>0</v>
      </c>
      <c r="P51" s="98"/>
      <c r="Q51" s="23" t="s">
        <v>1429</v>
      </c>
      <c r="R51" s="24" t="s">
        <v>140</v>
      </c>
      <c r="S51" s="25" t="s">
        <v>50</v>
      </c>
      <c r="T51" s="26">
        <v>375.23</v>
      </c>
      <c r="U51" s="26">
        <v>375.23</v>
      </c>
      <c r="V51" s="26">
        <f t="shared" si="10"/>
        <v>3965.81</v>
      </c>
      <c r="W51" s="26">
        <f t="shared" si="8"/>
        <v>0</v>
      </c>
      <c r="X51" s="26">
        <f t="shared" si="3"/>
        <v>0</v>
      </c>
      <c r="Y51" s="26">
        <f t="shared" si="11"/>
        <v>0</v>
      </c>
      <c r="Z51" s="26">
        <f t="shared" si="4"/>
        <v>0</v>
      </c>
      <c r="AA51" s="33" t="s">
        <v>15</v>
      </c>
      <c r="AB51" s="36" t="s">
        <v>16</v>
      </c>
      <c r="AC51" s="181">
        <f t="shared" si="5"/>
        <v>375.23</v>
      </c>
      <c r="AD51" s="181">
        <f t="shared" si="12"/>
        <v>1488090.89</v>
      </c>
      <c r="AE51" s="181">
        <v>1.2</v>
      </c>
      <c r="AF51" s="181">
        <v>1.2</v>
      </c>
      <c r="AG51" s="101" t="str">
        <f t="shared" si="6"/>
        <v/>
      </c>
      <c r="AH51" s="190">
        <v>0</v>
      </c>
      <c r="AI51" s="69">
        <f t="shared" si="7"/>
        <v>375.23</v>
      </c>
    </row>
    <row r="52" spans="1:35" s="69" customFormat="1" ht="26.1" customHeight="1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 t="s">
        <v>15</v>
      </c>
      <c r="I52" s="75">
        <v>773.88</v>
      </c>
      <c r="J52" s="75">
        <v>26931.02</v>
      </c>
      <c r="K52" s="91" t="s">
        <v>144</v>
      </c>
      <c r="L52" s="73"/>
      <c r="M52" s="46">
        <v>0</v>
      </c>
      <c r="N52" s="46">
        <v>0</v>
      </c>
      <c r="O52" s="46">
        <v>0</v>
      </c>
      <c r="P52" s="98"/>
      <c r="Q52" s="23" t="s">
        <v>1430</v>
      </c>
      <c r="R52" s="24" t="s">
        <v>143</v>
      </c>
      <c r="S52" s="25" t="s">
        <v>50</v>
      </c>
      <c r="T52" s="26">
        <v>34.799999999999997</v>
      </c>
      <c r="U52" s="26">
        <v>34.799999999999997</v>
      </c>
      <c r="V52" s="26">
        <f t="shared" si="10"/>
        <v>773.88</v>
      </c>
      <c r="W52" s="26">
        <f t="shared" si="8"/>
        <v>0</v>
      </c>
      <c r="X52" s="26">
        <f t="shared" si="3"/>
        <v>0</v>
      </c>
      <c r="Y52" s="26">
        <f t="shared" si="11"/>
        <v>0</v>
      </c>
      <c r="Z52" s="26">
        <f t="shared" si="4"/>
        <v>0</v>
      </c>
      <c r="AA52" s="33" t="s">
        <v>15</v>
      </c>
      <c r="AB52" s="36" t="s">
        <v>16</v>
      </c>
      <c r="AC52" s="181">
        <f t="shared" si="5"/>
        <v>34.799999999999997</v>
      </c>
      <c r="AD52" s="181">
        <f t="shared" si="12"/>
        <v>26931.02</v>
      </c>
      <c r="AE52" s="181">
        <v>1.2</v>
      </c>
      <c r="AF52" s="181">
        <v>1.2</v>
      </c>
      <c r="AG52" s="101" t="str">
        <f t="shared" si="6"/>
        <v/>
      </c>
      <c r="AH52" s="190">
        <v>0</v>
      </c>
      <c r="AI52" s="69">
        <f t="shared" si="7"/>
        <v>34.799999999999997</v>
      </c>
    </row>
    <row r="53" spans="1:35" s="69" customFormat="1" ht="26.1" customHeight="1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 t="s">
        <v>15</v>
      </c>
      <c r="I53" s="75">
        <v>948.4</v>
      </c>
      <c r="J53" s="75">
        <v>11361.83</v>
      </c>
      <c r="K53" s="91" t="s">
        <v>147</v>
      </c>
      <c r="L53" s="73"/>
      <c r="M53" s="46">
        <v>0</v>
      </c>
      <c r="N53" s="46">
        <v>0</v>
      </c>
      <c r="O53" s="46">
        <v>0</v>
      </c>
      <c r="P53" s="98"/>
      <c r="Q53" s="23" t="s">
        <v>1431</v>
      </c>
      <c r="R53" s="24" t="s">
        <v>146</v>
      </c>
      <c r="S53" s="25" t="s">
        <v>50</v>
      </c>
      <c r="T53" s="26">
        <v>11.98</v>
      </c>
      <c r="U53" s="26">
        <v>11.98</v>
      </c>
      <c r="V53" s="26">
        <f t="shared" si="10"/>
        <v>948.4</v>
      </c>
      <c r="W53" s="26">
        <f t="shared" si="8"/>
        <v>0</v>
      </c>
      <c r="X53" s="26">
        <f t="shared" si="3"/>
        <v>0</v>
      </c>
      <c r="Y53" s="26">
        <f t="shared" si="11"/>
        <v>0</v>
      </c>
      <c r="Z53" s="26">
        <f t="shared" si="4"/>
        <v>0</v>
      </c>
      <c r="AA53" s="33" t="s">
        <v>15</v>
      </c>
      <c r="AB53" s="36" t="s">
        <v>16</v>
      </c>
      <c r="AC53" s="181">
        <f t="shared" si="5"/>
        <v>11.98</v>
      </c>
      <c r="AD53" s="181">
        <f t="shared" si="12"/>
        <v>11361.83</v>
      </c>
      <c r="AE53" s="181">
        <v>1.2</v>
      </c>
      <c r="AF53" s="181">
        <v>1.2</v>
      </c>
      <c r="AG53" s="101" t="str">
        <f t="shared" si="6"/>
        <v/>
      </c>
      <c r="AH53" s="190">
        <v>0</v>
      </c>
      <c r="AI53" s="69">
        <f t="shared" si="7"/>
        <v>11.98</v>
      </c>
    </row>
    <row r="54" spans="1:35" s="69" customFormat="1" ht="26.1" customHeight="1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 t="s">
        <v>15</v>
      </c>
      <c r="I54" s="75">
        <v>6163.46</v>
      </c>
      <c r="J54" s="75">
        <v>870650.36</v>
      </c>
      <c r="K54" s="91" t="s">
        <v>150</v>
      </c>
      <c r="L54" s="73"/>
      <c r="M54" s="46">
        <v>0</v>
      </c>
      <c r="N54" s="46">
        <v>0</v>
      </c>
      <c r="O54" s="46">
        <v>0</v>
      </c>
      <c r="P54" s="98"/>
      <c r="Q54" s="23" t="s">
        <v>1395</v>
      </c>
      <c r="R54" s="24" t="s">
        <v>149</v>
      </c>
      <c r="S54" s="25" t="s">
        <v>50</v>
      </c>
      <c r="T54" s="26">
        <v>141.26</v>
      </c>
      <c r="U54" s="26">
        <v>141.26</v>
      </c>
      <c r="V54" s="26">
        <f t="shared" si="10"/>
        <v>6163.46</v>
      </c>
      <c r="W54" s="26">
        <f t="shared" si="8"/>
        <v>0</v>
      </c>
      <c r="X54" s="26">
        <f t="shared" si="3"/>
        <v>0</v>
      </c>
      <c r="Y54" s="26">
        <f t="shared" si="11"/>
        <v>0</v>
      </c>
      <c r="Z54" s="26">
        <f t="shared" si="4"/>
        <v>0</v>
      </c>
      <c r="AA54" s="33" t="s">
        <v>15</v>
      </c>
      <c r="AB54" s="36" t="s">
        <v>16</v>
      </c>
      <c r="AC54" s="181">
        <f t="shared" si="5"/>
        <v>141.26</v>
      </c>
      <c r="AD54" s="181">
        <f t="shared" si="12"/>
        <v>870650.36</v>
      </c>
      <c r="AE54" s="181">
        <v>1.2</v>
      </c>
      <c r="AF54" s="181">
        <v>1.2</v>
      </c>
      <c r="AG54" s="101" t="str">
        <f t="shared" si="6"/>
        <v/>
      </c>
      <c r="AH54" s="190">
        <v>0</v>
      </c>
      <c r="AI54" s="69">
        <f t="shared" si="7"/>
        <v>141.26</v>
      </c>
    </row>
    <row r="55" spans="1:35" s="69" customFormat="1" ht="26.1" customHeight="1" x14ac:dyDescent="0.3">
      <c r="A55" s="55" t="s">
        <v>151</v>
      </c>
      <c r="B55" s="53" t="s">
        <v>152</v>
      </c>
      <c r="C55" s="54" t="s">
        <v>81</v>
      </c>
      <c r="D55" s="75">
        <v>1</v>
      </c>
      <c r="E55" s="75"/>
      <c r="F55" s="75"/>
      <c r="G55" s="75"/>
      <c r="H55" s="75" t="s">
        <v>15</v>
      </c>
      <c r="I55" s="75">
        <v>169519.61</v>
      </c>
      <c r="J55" s="75">
        <v>169519.61</v>
      </c>
      <c r="K55" s="91" t="s">
        <v>153</v>
      </c>
      <c r="L55" s="73"/>
      <c r="M55" s="46">
        <v>0</v>
      </c>
      <c r="N55" s="46">
        <v>0</v>
      </c>
      <c r="O55" s="46">
        <v>0</v>
      </c>
      <c r="P55" s="98"/>
      <c r="Q55" s="23" t="s">
        <v>1432</v>
      </c>
      <c r="R55" s="24" t="s">
        <v>152</v>
      </c>
      <c r="S55" s="25" t="s">
        <v>81</v>
      </c>
      <c r="T55" s="26">
        <v>1</v>
      </c>
      <c r="U55" s="26">
        <v>1</v>
      </c>
      <c r="V55" s="26">
        <f t="shared" si="10"/>
        <v>169519.61</v>
      </c>
      <c r="W55" s="26">
        <f t="shared" si="8"/>
        <v>0</v>
      </c>
      <c r="X55" s="26">
        <f t="shared" si="3"/>
        <v>0</v>
      </c>
      <c r="Y55" s="26">
        <f t="shared" si="11"/>
        <v>0</v>
      </c>
      <c r="Z55" s="26">
        <f t="shared" si="4"/>
        <v>0</v>
      </c>
      <c r="AA55" s="33" t="s">
        <v>15</v>
      </c>
      <c r="AB55" s="36" t="s">
        <v>16</v>
      </c>
      <c r="AC55" s="181">
        <f t="shared" si="5"/>
        <v>1</v>
      </c>
      <c r="AD55" s="181">
        <f t="shared" si="12"/>
        <v>169519.61</v>
      </c>
      <c r="AE55" s="181">
        <v>1.2</v>
      </c>
      <c r="AF55" s="181">
        <v>1.2</v>
      </c>
      <c r="AG55" s="101" t="str">
        <f t="shared" si="6"/>
        <v/>
      </c>
      <c r="AH55" s="190">
        <v>0</v>
      </c>
      <c r="AI55" s="69">
        <f t="shared" si="7"/>
        <v>1</v>
      </c>
    </row>
    <row r="56" spans="1:35" s="69" customFormat="1" ht="26.1" customHeight="1" x14ac:dyDescent="0.3">
      <c r="A56" s="55" t="s">
        <v>154</v>
      </c>
      <c r="B56" s="53" t="s">
        <v>155</v>
      </c>
      <c r="C56" s="54" t="s">
        <v>81</v>
      </c>
      <c r="D56" s="75">
        <v>1</v>
      </c>
      <c r="E56" s="75"/>
      <c r="F56" s="75"/>
      <c r="G56" s="75"/>
      <c r="H56" s="75" t="s">
        <v>15</v>
      </c>
      <c r="I56" s="75">
        <v>350211.64</v>
      </c>
      <c r="J56" s="75">
        <v>350211.64</v>
      </c>
      <c r="K56" s="91" t="s">
        <v>156</v>
      </c>
      <c r="L56" s="73"/>
      <c r="M56" s="46">
        <v>0</v>
      </c>
      <c r="N56" s="46">
        <v>0</v>
      </c>
      <c r="O56" s="46">
        <v>0</v>
      </c>
      <c r="P56" s="98"/>
      <c r="Q56" s="23" t="s">
        <v>1433</v>
      </c>
      <c r="R56" s="24" t="s">
        <v>155</v>
      </c>
      <c r="S56" s="25" t="s">
        <v>81</v>
      </c>
      <c r="T56" s="26">
        <v>1</v>
      </c>
      <c r="U56" s="26">
        <v>1</v>
      </c>
      <c r="V56" s="26">
        <f t="shared" si="10"/>
        <v>350211.64</v>
      </c>
      <c r="W56" s="26">
        <f t="shared" si="8"/>
        <v>0</v>
      </c>
      <c r="X56" s="26">
        <f t="shared" si="3"/>
        <v>0</v>
      </c>
      <c r="Y56" s="26">
        <f t="shared" si="11"/>
        <v>0</v>
      </c>
      <c r="Z56" s="26">
        <f t="shared" si="4"/>
        <v>0</v>
      </c>
      <c r="AA56" s="33" t="s">
        <v>15</v>
      </c>
      <c r="AB56" s="36" t="s">
        <v>16</v>
      </c>
      <c r="AC56" s="181">
        <f t="shared" si="5"/>
        <v>1</v>
      </c>
      <c r="AD56" s="181">
        <f t="shared" si="12"/>
        <v>350211.64</v>
      </c>
      <c r="AE56" s="181">
        <v>1.2</v>
      </c>
      <c r="AF56" s="181">
        <v>1.2</v>
      </c>
      <c r="AG56" s="101" t="str">
        <f t="shared" si="6"/>
        <v/>
      </c>
      <c r="AH56" s="190">
        <v>0</v>
      </c>
      <c r="AI56" s="69">
        <f t="shared" si="7"/>
        <v>1</v>
      </c>
    </row>
    <row r="57" spans="1:35" s="69" customFormat="1" ht="26.1" customHeight="1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 t="s">
        <v>15</v>
      </c>
      <c r="I57" s="75">
        <v>309726.87</v>
      </c>
      <c r="J57" s="75">
        <v>309726.87</v>
      </c>
      <c r="K57" s="91" t="s">
        <v>159</v>
      </c>
      <c r="L57" s="73"/>
      <c r="M57" s="46">
        <v>0</v>
      </c>
      <c r="N57" s="46">
        <v>0</v>
      </c>
      <c r="O57" s="46">
        <v>0</v>
      </c>
      <c r="P57" s="98"/>
      <c r="Q57" s="23" t="s">
        <v>1382</v>
      </c>
      <c r="R57" s="24" t="s">
        <v>158</v>
      </c>
      <c r="S57" s="25" t="s">
        <v>81</v>
      </c>
      <c r="T57" s="26">
        <v>1</v>
      </c>
      <c r="U57" s="26">
        <v>1</v>
      </c>
      <c r="V57" s="26">
        <f t="shared" si="10"/>
        <v>309726.87</v>
      </c>
      <c r="W57" s="26">
        <f t="shared" si="8"/>
        <v>0</v>
      </c>
      <c r="X57" s="26">
        <f t="shared" si="3"/>
        <v>0</v>
      </c>
      <c r="Y57" s="26">
        <f t="shared" si="11"/>
        <v>0</v>
      </c>
      <c r="Z57" s="26">
        <f t="shared" si="4"/>
        <v>0</v>
      </c>
      <c r="AA57" s="33" t="s">
        <v>15</v>
      </c>
      <c r="AB57" s="36" t="s">
        <v>16</v>
      </c>
      <c r="AC57" s="181">
        <f t="shared" si="5"/>
        <v>1</v>
      </c>
      <c r="AD57" s="181">
        <f t="shared" si="12"/>
        <v>309726.87</v>
      </c>
      <c r="AE57" s="181">
        <v>1.2</v>
      </c>
      <c r="AF57" s="181">
        <v>1.2</v>
      </c>
      <c r="AG57" s="101" t="str">
        <f t="shared" si="6"/>
        <v/>
      </c>
      <c r="AH57" s="190">
        <v>0</v>
      </c>
      <c r="AI57" s="69">
        <f t="shared" si="7"/>
        <v>1</v>
      </c>
    </row>
    <row r="58" spans="1:35" s="69" customFormat="1" ht="26.1" customHeight="1" x14ac:dyDescent="0.3">
      <c r="A58" s="55" t="s">
        <v>160</v>
      </c>
      <c r="B58" s="53" t="s">
        <v>161</v>
      </c>
      <c r="C58" s="54" t="s">
        <v>162</v>
      </c>
      <c r="D58" s="75">
        <v>19</v>
      </c>
      <c r="E58" s="75"/>
      <c r="F58" s="75"/>
      <c r="G58" s="75"/>
      <c r="H58" s="75" t="s">
        <v>15</v>
      </c>
      <c r="I58" s="75">
        <v>1134.56</v>
      </c>
      <c r="J58" s="75">
        <v>21556.639999999999</v>
      </c>
      <c r="K58" s="91" t="s">
        <v>163</v>
      </c>
      <c r="L58" s="73"/>
      <c r="M58" s="46">
        <v>0</v>
      </c>
      <c r="N58" s="46">
        <v>0</v>
      </c>
      <c r="O58" s="46">
        <v>0</v>
      </c>
      <c r="P58" s="98"/>
      <c r="Q58" s="23" t="s">
        <v>1434</v>
      </c>
      <c r="R58" s="24" t="s">
        <v>161</v>
      </c>
      <c r="S58" s="25" t="s">
        <v>162</v>
      </c>
      <c r="T58" s="26">
        <v>19</v>
      </c>
      <c r="U58" s="26">
        <v>19</v>
      </c>
      <c r="V58" s="26">
        <f t="shared" si="10"/>
        <v>1134.56</v>
      </c>
      <c r="W58" s="26">
        <f t="shared" si="8"/>
        <v>0</v>
      </c>
      <c r="X58" s="26">
        <f t="shared" si="3"/>
        <v>0</v>
      </c>
      <c r="Y58" s="26">
        <f t="shared" si="11"/>
        <v>0</v>
      </c>
      <c r="Z58" s="26">
        <f t="shared" si="4"/>
        <v>0</v>
      </c>
      <c r="AA58" s="33" t="s">
        <v>15</v>
      </c>
      <c r="AB58" s="36" t="s">
        <v>16</v>
      </c>
      <c r="AC58" s="181">
        <f t="shared" si="5"/>
        <v>19</v>
      </c>
      <c r="AD58" s="181">
        <f t="shared" si="12"/>
        <v>21556.639999999999</v>
      </c>
      <c r="AE58" s="181">
        <v>1.2</v>
      </c>
      <c r="AF58" s="181">
        <v>1.2</v>
      </c>
      <c r="AG58" s="101" t="str">
        <f t="shared" si="6"/>
        <v/>
      </c>
      <c r="AH58" s="190">
        <v>0</v>
      </c>
      <c r="AI58" s="69">
        <f t="shared" si="7"/>
        <v>19</v>
      </c>
    </row>
    <row r="59" spans="1:35" s="69" customFormat="1" ht="26.1" customHeight="1" x14ac:dyDescent="0.3">
      <c r="A59" s="55" t="s">
        <v>164</v>
      </c>
      <c r="B59" s="118" t="s">
        <v>165</v>
      </c>
      <c r="C59" s="54" t="s">
        <v>103</v>
      </c>
      <c r="D59" s="75">
        <v>179.11</v>
      </c>
      <c r="E59" s="75"/>
      <c r="F59" s="75"/>
      <c r="G59" s="75"/>
      <c r="H59" s="75" t="s">
        <v>15</v>
      </c>
      <c r="I59" s="120">
        <v>145.21</v>
      </c>
      <c r="J59" s="75">
        <v>26008.560000000001</v>
      </c>
      <c r="K59" s="91" t="s">
        <v>166</v>
      </c>
      <c r="L59" s="73"/>
      <c r="M59" s="46">
        <v>0</v>
      </c>
      <c r="N59" s="46">
        <v>0</v>
      </c>
      <c r="O59" s="46">
        <v>0</v>
      </c>
      <c r="P59" s="98"/>
      <c r="Q59" s="23" t="s">
        <v>1388</v>
      </c>
      <c r="R59" s="24" t="s">
        <v>165</v>
      </c>
      <c r="S59" s="25" t="s">
        <v>103</v>
      </c>
      <c r="T59" s="26">
        <v>179.11</v>
      </c>
      <c r="U59" s="26">
        <v>179.11</v>
      </c>
      <c r="V59" s="26">
        <f t="shared" si="10"/>
        <v>145.21</v>
      </c>
      <c r="W59" s="26">
        <f t="shared" si="8"/>
        <v>0</v>
      </c>
      <c r="X59" s="26">
        <f t="shared" si="3"/>
        <v>0</v>
      </c>
      <c r="Y59" s="26">
        <f t="shared" si="11"/>
        <v>0</v>
      </c>
      <c r="Z59" s="26">
        <f t="shared" si="4"/>
        <v>0</v>
      </c>
      <c r="AA59" s="33" t="s">
        <v>15</v>
      </c>
      <c r="AB59" s="36" t="s">
        <v>16</v>
      </c>
      <c r="AC59" s="181">
        <f t="shared" si="5"/>
        <v>179.11</v>
      </c>
      <c r="AD59" s="181">
        <f t="shared" si="12"/>
        <v>26008.560000000001</v>
      </c>
      <c r="AE59" s="181">
        <v>1.2</v>
      </c>
      <c r="AF59" s="181">
        <v>1.2</v>
      </c>
      <c r="AG59" s="101" t="str">
        <f t="shared" si="6"/>
        <v/>
      </c>
      <c r="AH59" s="190">
        <v>0</v>
      </c>
      <c r="AI59" s="69">
        <f t="shared" si="7"/>
        <v>179.11</v>
      </c>
    </row>
    <row r="60" spans="1:35" s="69" customFormat="1" ht="26.1" customHeight="1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 t="s">
        <v>15</v>
      </c>
      <c r="I60" s="75">
        <v>2755.97</v>
      </c>
      <c r="J60" s="75">
        <v>2176665.11</v>
      </c>
      <c r="K60" s="91" t="s">
        <v>169</v>
      </c>
      <c r="L60" s="73"/>
      <c r="M60" s="46">
        <v>0</v>
      </c>
      <c r="N60" s="46">
        <v>0</v>
      </c>
      <c r="O60" s="46">
        <v>0</v>
      </c>
      <c r="P60" s="98"/>
      <c r="Q60" s="23" t="s">
        <v>1389</v>
      </c>
      <c r="R60" s="24" t="s">
        <v>168</v>
      </c>
      <c r="S60" s="25" t="s">
        <v>30</v>
      </c>
      <c r="T60" s="26">
        <v>789.8</v>
      </c>
      <c r="U60" s="26">
        <v>789.8</v>
      </c>
      <c r="V60" s="26">
        <f t="shared" si="10"/>
        <v>2755.97</v>
      </c>
      <c r="W60" s="128">
        <f t="shared" si="8"/>
        <v>52</v>
      </c>
      <c r="X60" s="26">
        <f t="shared" si="3"/>
        <v>52</v>
      </c>
      <c r="Y60" s="26">
        <f t="shared" si="11"/>
        <v>143310.44</v>
      </c>
      <c r="Z60" s="26">
        <f t="shared" si="4"/>
        <v>143310.44</v>
      </c>
      <c r="AA60" s="33" t="s">
        <v>15</v>
      </c>
      <c r="AB60" s="36" t="s">
        <v>16</v>
      </c>
      <c r="AC60" s="181">
        <f t="shared" si="5"/>
        <v>789.8</v>
      </c>
      <c r="AD60" s="181">
        <f t="shared" si="12"/>
        <v>2176665.11</v>
      </c>
      <c r="AE60" s="181">
        <v>1.2</v>
      </c>
      <c r="AF60" s="181">
        <v>1.2</v>
      </c>
      <c r="AG60" s="101" t="str">
        <f t="shared" si="6"/>
        <v/>
      </c>
      <c r="AH60" s="191">
        <f>52</f>
        <v>52</v>
      </c>
      <c r="AI60" s="69">
        <f t="shared" si="7"/>
        <v>789.8</v>
      </c>
    </row>
    <row r="61" spans="1:35" s="69" customFormat="1" ht="26.1" customHeight="1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 t="s">
        <v>15</v>
      </c>
      <c r="I61" s="75">
        <v>576.79999999999995</v>
      </c>
      <c r="J61" s="75">
        <v>18053.84</v>
      </c>
      <c r="K61" s="91" t="s">
        <v>172</v>
      </c>
      <c r="L61" s="73"/>
      <c r="M61" s="46">
        <v>0</v>
      </c>
      <c r="N61" s="46">
        <v>0</v>
      </c>
      <c r="O61" s="46">
        <v>0</v>
      </c>
      <c r="P61" s="98"/>
      <c r="Q61" s="23" t="s">
        <v>1390</v>
      </c>
      <c r="R61" s="24" t="s">
        <v>171</v>
      </c>
      <c r="S61" s="25" t="s">
        <v>30</v>
      </c>
      <c r="T61" s="26">
        <v>31.3</v>
      </c>
      <c r="U61" s="26">
        <v>31.3</v>
      </c>
      <c r="V61" s="26">
        <f t="shared" si="10"/>
        <v>576.79999999999995</v>
      </c>
      <c r="W61" s="26">
        <f t="shared" si="8"/>
        <v>0</v>
      </c>
      <c r="X61" s="26">
        <f t="shared" si="3"/>
        <v>0</v>
      </c>
      <c r="Y61" s="26">
        <f t="shared" si="11"/>
        <v>0</v>
      </c>
      <c r="Z61" s="26">
        <f t="shared" si="4"/>
        <v>0</v>
      </c>
      <c r="AA61" s="33" t="s">
        <v>15</v>
      </c>
      <c r="AB61" s="36" t="s">
        <v>16</v>
      </c>
      <c r="AC61" s="181">
        <f t="shared" si="5"/>
        <v>31.3</v>
      </c>
      <c r="AD61" s="181">
        <f t="shared" si="12"/>
        <v>18053.84</v>
      </c>
      <c r="AE61" s="181">
        <v>1.2</v>
      </c>
      <c r="AF61" s="181">
        <v>1.2</v>
      </c>
      <c r="AG61" s="101" t="str">
        <f t="shared" si="6"/>
        <v/>
      </c>
      <c r="AH61" s="190">
        <v>0</v>
      </c>
      <c r="AI61" s="69">
        <f t="shared" si="7"/>
        <v>31.3</v>
      </c>
    </row>
    <row r="62" spans="1:35" s="69" customFormat="1" ht="26.1" customHeight="1" x14ac:dyDescent="0.3">
      <c r="A62" s="55" t="s">
        <v>173</v>
      </c>
      <c r="B62" s="215" t="s">
        <v>174</v>
      </c>
      <c r="C62" s="54" t="s">
        <v>30</v>
      </c>
      <c r="D62" s="75">
        <v>360.35</v>
      </c>
      <c r="E62" s="75"/>
      <c r="F62" s="75"/>
      <c r="G62" s="75"/>
      <c r="H62" s="75" t="s">
        <v>15</v>
      </c>
      <c r="I62" s="75">
        <v>615.34</v>
      </c>
      <c r="J62" s="75">
        <v>221737.77</v>
      </c>
      <c r="K62" s="91" t="s">
        <v>175</v>
      </c>
      <c r="L62" s="73"/>
      <c r="M62" s="46">
        <v>102</v>
      </c>
      <c r="N62" s="46">
        <v>0</v>
      </c>
      <c r="O62" s="46">
        <v>62764.68</v>
      </c>
      <c r="P62" s="98"/>
      <c r="Q62" s="23" t="s">
        <v>1391</v>
      </c>
      <c r="R62" s="24" t="s">
        <v>174</v>
      </c>
      <c r="S62" s="25" t="s">
        <v>30</v>
      </c>
      <c r="T62" s="26">
        <v>360.35</v>
      </c>
      <c r="U62" s="26">
        <v>360.35</v>
      </c>
      <c r="V62" s="26">
        <f t="shared" si="10"/>
        <v>615.34</v>
      </c>
      <c r="W62" s="128">
        <f t="shared" si="8"/>
        <v>30</v>
      </c>
      <c r="X62" s="26">
        <f t="shared" si="3"/>
        <v>132</v>
      </c>
      <c r="Y62" s="26">
        <f t="shared" si="11"/>
        <v>18460.200000000004</v>
      </c>
      <c r="Z62" s="26">
        <f t="shared" si="4"/>
        <v>81224.88</v>
      </c>
      <c r="AA62" s="33" t="s">
        <v>15</v>
      </c>
      <c r="AB62" s="36" t="s">
        <v>16</v>
      </c>
      <c r="AC62" s="181">
        <f t="shared" si="5"/>
        <v>360.35</v>
      </c>
      <c r="AD62" s="181">
        <f t="shared" si="12"/>
        <v>221737.77</v>
      </c>
      <c r="AE62" s="181">
        <v>1.2</v>
      </c>
      <c r="AF62" s="181">
        <v>1.2</v>
      </c>
      <c r="AG62" s="101" t="str">
        <f t="shared" si="6"/>
        <v/>
      </c>
      <c r="AH62" s="191">
        <f>102+30</f>
        <v>132</v>
      </c>
      <c r="AI62" s="69">
        <f t="shared" si="7"/>
        <v>360.35</v>
      </c>
    </row>
    <row r="63" spans="1:35" s="69" customFormat="1" ht="26.1" customHeight="1" x14ac:dyDescent="0.3">
      <c r="A63" s="55" t="s">
        <v>176</v>
      </c>
      <c r="B63" s="215" t="s">
        <v>177</v>
      </c>
      <c r="C63" s="54" t="s">
        <v>30</v>
      </c>
      <c r="D63" s="75">
        <v>691.14</v>
      </c>
      <c r="E63" s="75"/>
      <c r="F63" s="75"/>
      <c r="G63" s="75"/>
      <c r="H63" s="75" t="s">
        <v>15</v>
      </c>
      <c r="I63" s="75">
        <v>685.3</v>
      </c>
      <c r="J63" s="75">
        <v>473638.24</v>
      </c>
      <c r="K63" s="91" t="s">
        <v>178</v>
      </c>
      <c r="L63" s="73"/>
      <c r="M63" s="46">
        <v>261</v>
      </c>
      <c r="N63" s="46">
        <v>0</v>
      </c>
      <c r="O63" s="46">
        <v>178863.3</v>
      </c>
      <c r="P63" s="98"/>
      <c r="Q63" s="23" t="s">
        <v>1436</v>
      </c>
      <c r="R63" s="24" t="s">
        <v>177</v>
      </c>
      <c r="S63" s="25" t="s">
        <v>30</v>
      </c>
      <c r="T63" s="26">
        <v>691.14</v>
      </c>
      <c r="U63" s="26">
        <v>691.14</v>
      </c>
      <c r="V63" s="26">
        <f t="shared" si="10"/>
        <v>685.3</v>
      </c>
      <c r="W63" s="128">
        <f t="shared" si="8"/>
        <v>160</v>
      </c>
      <c r="X63" s="26">
        <f t="shared" si="3"/>
        <v>421</v>
      </c>
      <c r="Y63" s="26">
        <f t="shared" si="11"/>
        <v>109648</v>
      </c>
      <c r="Z63" s="26">
        <f t="shared" si="4"/>
        <v>288511.3</v>
      </c>
      <c r="AA63" s="33" t="s">
        <v>15</v>
      </c>
      <c r="AB63" s="36" t="s">
        <v>16</v>
      </c>
      <c r="AC63" s="181">
        <f t="shared" si="5"/>
        <v>691.14</v>
      </c>
      <c r="AD63" s="181">
        <f t="shared" si="12"/>
        <v>473638.24</v>
      </c>
      <c r="AE63" s="181">
        <v>1.2</v>
      </c>
      <c r="AF63" s="181">
        <v>1.2</v>
      </c>
      <c r="AG63" s="101" t="str">
        <f t="shared" si="6"/>
        <v/>
      </c>
      <c r="AH63" s="191">
        <f>185+76+160</f>
        <v>421</v>
      </c>
      <c r="AI63" s="69">
        <f t="shared" si="7"/>
        <v>691.14</v>
      </c>
    </row>
    <row r="64" spans="1:35" s="69" customFormat="1" ht="26.1" customHeight="1" x14ac:dyDescent="0.3">
      <c r="A64" s="55" t="s">
        <v>179</v>
      </c>
      <c r="B64" s="215" t="s">
        <v>180</v>
      </c>
      <c r="C64" s="54" t="s">
        <v>30</v>
      </c>
      <c r="D64" s="75">
        <v>890.62</v>
      </c>
      <c r="E64" s="75"/>
      <c r="F64" s="75"/>
      <c r="G64" s="75"/>
      <c r="H64" s="75" t="s">
        <v>15</v>
      </c>
      <c r="I64" s="75">
        <v>699.72</v>
      </c>
      <c r="J64" s="75">
        <v>623184.63</v>
      </c>
      <c r="K64" s="91" t="s">
        <v>181</v>
      </c>
      <c r="L64" s="73"/>
      <c r="M64" s="46">
        <v>277</v>
      </c>
      <c r="N64" s="46">
        <v>75569.760000000009</v>
      </c>
      <c r="O64" s="46">
        <v>193822.44</v>
      </c>
      <c r="P64" s="98"/>
      <c r="Q64" s="23" t="s">
        <v>1374</v>
      </c>
      <c r="R64" s="24" t="s">
        <v>180</v>
      </c>
      <c r="S64" s="25" t="s">
        <v>30</v>
      </c>
      <c r="T64" s="26">
        <v>890.62</v>
      </c>
      <c r="U64" s="26">
        <v>890.62</v>
      </c>
      <c r="V64" s="26">
        <f t="shared" si="10"/>
        <v>699.72</v>
      </c>
      <c r="W64" s="128">
        <f t="shared" si="8"/>
        <v>180</v>
      </c>
      <c r="X64" s="26">
        <f t="shared" si="3"/>
        <v>457</v>
      </c>
      <c r="Y64" s="26">
        <f t="shared" si="11"/>
        <v>125949.59999999998</v>
      </c>
      <c r="Z64" s="26">
        <f t="shared" si="4"/>
        <v>319772.03999999998</v>
      </c>
      <c r="AA64" s="33" t="s">
        <v>15</v>
      </c>
      <c r="AB64" s="36" t="s">
        <v>16</v>
      </c>
      <c r="AC64" s="181">
        <f t="shared" si="5"/>
        <v>890.62</v>
      </c>
      <c r="AD64" s="181">
        <f t="shared" si="12"/>
        <v>623184.63</v>
      </c>
      <c r="AE64" s="181">
        <v>1.2</v>
      </c>
      <c r="AF64" s="181">
        <v>1.2</v>
      </c>
      <c r="AG64" s="101" t="str">
        <f t="shared" si="6"/>
        <v/>
      </c>
      <c r="AH64" s="191">
        <f>32+137+108+180</f>
        <v>457</v>
      </c>
      <c r="AI64" s="69">
        <f t="shared" si="7"/>
        <v>890.62</v>
      </c>
    </row>
    <row r="65" spans="1:35" s="69" customFormat="1" ht="26.1" customHeight="1" x14ac:dyDescent="0.3">
      <c r="A65" s="55" t="s">
        <v>182</v>
      </c>
      <c r="B65" s="53" t="s">
        <v>183</v>
      </c>
      <c r="C65" s="54" t="s">
        <v>30</v>
      </c>
      <c r="D65" s="75">
        <v>85.77</v>
      </c>
      <c r="E65" s="75"/>
      <c r="F65" s="75"/>
      <c r="G65" s="75"/>
      <c r="H65" s="75" t="s">
        <v>15</v>
      </c>
      <c r="I65" s="75">
        <v>1199.33</v>
      </c>
      <c r="J65" s="75">
        <v>102866.53</v>
      </c>
      <c r="K65" s="91" t="s">
        <v>184</v>
      </c>
      <c r="L65" s="73"/>
      <c r="M65" s="46">
        <v>0</v>
      </c>
      <c r="N65" s="46">
        <v>0</v>
      </c>
      <c r="O65" s="46">
        <v>0</v>
      </c>
      <c r="P65" s="98"/>
      <c r="Q65" s="23" t="s">
        <v>1376</v>
      </c>
      <c r="R65" s="24" t="s">
        <v>183</v>
      </c>
      <c r="S65" s="25" t="s">
        <v>30</v>
      </c>
      <c r="T65" s="26">
        <v>85.77</v>
      </c>
      <c r="U65" s="26">
        <v>85.77</v>
      </c>
      <c r="V65" s="26">
        <f t="shared" si="10"/>
        <v>1199.33</v>
      </c>
      <c r="W65" s="26">
        <f t="shared" si="8"/>
        <v>0</v>
      </c>
      <c r="X65" s="26">
        <f t="shared" si="3"/>
        <v>0</v>
      </c>
      <c r="Y65" s="26">
        <f t="shared" si="11"/>
        <v>0</v>
      </c>
      <c r="Z65" s="26">
        <f t="shared" si="4"/>
        <v>0</v>
      </c>
      <c r="AA65" s="33" t="s">
        <v>15</v>
      </c>
      <c r="AB65" s="36" t="s">
        <v>16</v>
      </c>
      <c r="AC65" s="181">
        <f t="shared" si="5"/>
        <v>85.77</v>
      </c>
      <c r="AD65" s="181">
        <f t="shared" si="12"/>
        <v>102866.53</v>
      </c>
      <c r="AE65" s="181">
        <v>1.2</v>
      </c>
      <c r="AF65" s="181">
        <v>1.2</v>
      </c>
      <c r="AG65" s="101" t="str">
        <f t="shared" si="6"/>
        <v/>
      </c>
      <c r="AH65" s="190">
        <v>0</v>
      </c>
      <c r="AI65" s="69">
        <f t="shared" si="7"/>
        <v>85.77</v>
      </c>
    </row>
    <row r="66" spans="1:35" s="69" customFormat="1" ht="26.1" customHeight="1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 t="s">
        <v>15</v>
      </c>
      <c r="I66" s="75">
        <v>57.68</v>
      </c>
      <c r="J66" s="75">
        <v>10833.46</v>
      </c>
      <c r="K66" s="91" t="s">
        <v>187</v>
      </c>
      <c r="L66" s="73"/>
      <c r="M66" s="46">
        <v>0</v>
      </c>
      <c r="N66" s="46">
        <v>0</v>
      </c>
      <c r="O66" s="46">
        <v>0</v>
      </c>
      <c r="P66" s="98"/>
      <c r="Q66" s="23" t="s">
        <v>1378</v>
      </c>
      <c r="R66" s="24" t="s">
        <v>186</v>
      </c>
      <c r="S66" s="25" t="s">
        <v>30</v>
      </c>
      <c r="T66" s="26">
        <v>187.82</v>
      </c>
      <c r="U66" s="26">
        <v>187.82</v>
      </c>
      <c r="V66" s="26">
        <f t="shared" si="10"/>
        <v>57.68</v>
      </c>
      <c r="W66" s="26">
        <f t="shared" si="8"/>
        <v>0</v>
      </c>
      <c r="X66" s="26">
        <f t="shared" si="3"/>
        <v>0</v>
      </c>
      <c r="Y66" s="26">
        <f t="shared" si="11"/>
        <v>0</v>
      </c>
      <c r="Z66" s="26">
        <f t="shared" si="4"/>
        <v>0</v>
      </c>
      <c r="AA66" s="33" t="s">
        <v>15</v>
      </c>
      <c r="AB66" s="36" t="s">
        <v>16</v>
      </c>
      <c r="AC66" s="181">
        <f t="shared" si="5"/>
        <v>187.82</v>
      </c>
      <c r="AD66" s="181">
        <f t="shared" si="12"/>
        <v>10833.46</v>
      </c>
      <c r="AE66" s="181">
        <v>1.2</v>
      </c>
      <c r="AF66" s="181">
        <v>1.2</v>
      </c>
      <c r="AG66" s="101" t="str">
        <f t="shared" si="6"/>
        <v/>
      </c>
      <c r="AH66" s="190">
        <v>0</v>
      </c>
      <c r="AI66" s="69">
        <f t="shared" si="7"/>
        <v>187.82</v>
      </c>
    </row>
    <row r="67" spans="1:35" s="69" customFormat="1" ht="26.1" customHeight="1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 t="s">
        <v>15</v>
      </c>
      <c r="I67" s="75">
        <v>138.84</v>
      </c>
      <c r="J67" s="75">
        <v>2611.58</v>
      </c>
      <c r="K67" s="91" t="s">
        <v>190</v>
      </c>
      <c r="L67" s="73"/>
      <c r="M67" s="46">
        <v>0</v>
      </c>
      <c r="N67" s="46">
        <v>0</v>
      </c>
      <c r="O67" s="46">
        <v>0</v>
      </c>
      <c r="P67" s="98"/>
      <c r="Q67" s="23" t="s">
        <v>1438</v>
      </c>
      <c r="R67" s="24" t="s">
        <v>189</v>
      </c>
      <c r="S67" s="25" t="s">
        <v>30</v>
      </c>
      <c r="T67" s="26">
        <v>18.809999999999999</v>
      </c>
      <c r="U67" s="26">
        <v>18.809999999999999</v>
      </c>
      <c r="V67" s="26">
        <f t="shared" si="10"/>
        <v>138.84</v>
      </c>
      <c r="W67" s="26">
        <f t="shared" si="8"/>
        <v>0</v>
      </c>
      <c r="X67" s="26">
        <f t="shared" si="3"/>
        <v>0</v>
      </c>
      <c r="Y67" s="26">
        <f t="shared" si="11"/>
        <v>0</v>
      </c>
      <c r="Z67" s="26">
        <f t="shared" si="4"/>
        <v>0</v>
      </c>
      <c r="AA67" s="33" t="s">
        <v>15</v>
      </c>
      <c r="AB67" s="36" t="s">
        <v>16</v>
      </c>
      <c r="AC67" s="181">
        <f t="shared" si="5"/>
        <v>18.809999999999999</v>
      </c>
      <c r="AD67" s="181">
        <f t="shared" si="12"/>
        <v>2611.58</v>
      </c>
      <c r="AE67" s="181">
        <v>1.2</v>
      </c>
      <c r="AF67" s="181">
        <v>1.2</v>
      </c>
      <c r="AG67" s="101" t="str">
        <f t="shared" si="6"/>
        <v/>
      </c>
      <c r="AH67" s="190">
        <v>0</v>
      </c>
      <c r="AI67" s="69">
        <f t="shared" si="7"/>
        <v>18.809999999999999</v>
      </c>
    </row>
    <row r="68" spans="1:35" s="69" customFormat="1" ht="26.1" customHeight="1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 t="s">
        <v>15</v>
      </c>
      <c r="I68" s="75">
        <v>2145.42</v>
      </c>
      <c r="J68" s="75">
        <v>43938.2</v>
      </c>
      <c r="K68" s="91" t="s">
        <v>193</v>
      </c>
      <c r="L68" s="73"/>
      <c r="M68" s="46">
        <v>0</v>
      </c>
      <c r="N68" s="46">
        <v>0</v>
      </c>
      <c r="O68" s="46">
        <v>0</v>
      </c>
      <c r="P68" s="98"/>
      <c r="Q68" s="23" t="s">
        <v>1439</v>
      </c>
      <c r="R68" s="24" t="s">
        <v>192</v>
      </c>
      <c r="S68" s="25" t="s">
        <v>50</v>
      </c>
      <c r="T68" s="26">
        <v>20.48</v>
      </c>
      <c r="U68" s="26">
        <v>20.48</v>
      </c>
      <c r="V68" s="26">
        <f t="shared" si="10"/>
        <v>2145.42</v>
      </c>
      <c r="W68" s="26">
        <f t="shared" si="8"/>
        <v>0</v>
      </c>
      <c r="X68" s="26">
        <f t="shared" si="3"/>
        <v>0</v>
      </c>
      <c r="Y68" s="26">
        <f t="shared" si="11"/>
        <v>0</v>
      </c>
      <c r="Z68" s="26">
        <f t="shared" si="4"/>
        <v>0</v>
      </c>
      <c r="AA68" s="33" t="s">
        <v>15</v>
      </c>
      <c r="AB68" s="36" t="s">
        <v>16</v>
      </c>
      <c r="AC68" s="181">
        <f t="shared" si="5"/>
        <v>20.48</v>
      </c>
      <c r="AD68" s="181">
        <f t="shared" si="12"/>
        <v>43938.2</v>
      </c>
      <c r="AE68" s="181">
        <v>1.2</v>
      </c>
      <c r="AF68" s="181">
        <v>1.2</v>
      </c>
      <c r="AG68" s="101" t="str">
        <f t="shared" si="6"/>
        <v/>
      </c>
      <c r="AH68" s="190">
        <v>0</v>
      </c>
      <c r="AI68" s="69">
        <f t="shared" si="7"/>
        <v>20.48</v>
      </c>
    </row>
    <row r="69" spans="1:35" s="69" customFormat="1" ht="26.1" customHeight="1" x14ac:dyDescent="0.3">
      <c r="A69" s="55" t="s">
        <v>194</v>
      </c>
      <c r="B69" s="53" t="s">
        <v>195</v>
      </c>
      <c r="C69" s="54" t="s">
        <v>30</v>
      </c>
      <c r="D69" s="75">
        <v>354.7</v>
      </c>
      <c r="E69" s="75"/>
      <c r="F69" s="75"/>
      <c r="G69" s="75"/>
      <c r="H69" s="75" t="s">
        <v>15</v>
      </c>
      <c r="I69" s="75">
        <v>511.4</v>
      </c>
      <c r="J69" s="75">
        <v>181393.58</v>
      </c>
      <c r="K69" s="91" t="s">
        <v>196</v>
      </c>
      <c r="L69" s="73"/>
      <c r="M69" s="46">
        <v>0</v>
      </c>
      <c r="N69" s="46">
        <v>0</v>
      </c>
      <c r="O69" s="46">
        <v>0</v>
      </c>
      <c r="P69" s="98"/>
      <c r="Q69" s="23" t="s">
        <v>1440</v>
      </c>
      <c r="R69" s="24" t="s">
        <v>195</v>
      </c>
      <c r="S69" s="25" t="s">
        <v>30</v>
      </c>
      <c r="T69" s="26">
        <v>354.7</v>
      </c>
      <c r="U69" s="26">
        <v>354.7</v>
      </c>
      <c r="V69" s="26">
        <f t="shared" si="10"/>
        <v>511.4</v>
      </c>
      <c r="W69" s="26">
        <f t="shared" si="8"/>
        <v>0</v>
      </c>
      <c r="X69" s="26">
        <f t="shared" si="3"/>
        <v>0</v>
      </c>
      <c r="Y69" s="26">
        <f t="shared" si="11"/>
        <v>0</v>
      </c>
      <c r="Z69" s="26">
        <f t="shared" si="4"/>
        <v>0</v>
      </c>
      <c r="AA69" s="33" t="s">
        <v>15</v>
      </c>
      <c r="AB69" s="36" t="s">
        <v>16</v>
      </c>
      <c r="AC69" s="181">
        <f t="shared" si="5"/>
        <v>354.7</v>
      </c>
      <c r="AD69" s="181">
        <f t="shared" si="12"/>
        <v>181393.58</v>
      </c>
      <c r="AE69" s="181">
        <v>1.2</v>
      </c>
      <c r="AF69" s="181">
        <v>1.2</v>
      </c>
      <c r="AG69" s="101" t="str">
        <f t="shared" si="6"/>
        <v/>
      </c>
      <c r="AH69" s="190">
        <v>0</v>
      </c>
      <c r="AI69" s="69">
        <f t="shared" si="7"/>
        <v>354.7</v>
      </c>
    </row>
    <row r="70" spans="1:35" s="69" customFormat="1" ht="26.1" customHeight="1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 t="s">
        <v>15</v>
      </c>
      <c r="I70" s="75">
        <v>578.86</v>
      </c>
      <c r="J70" s="75">
        <v>25875.040000000001</v>
      </c>
      <c r="K70" s="91" t="s">
        <v>199</v>
      </c>
      <c r="L70" s="73"/>
      <c r="M70" s="46">
        <v>0</v>
      </c>
      <c r="N70" s="46">
        <v>0</v>
      </c>
      <c r="O70" s="46">
        <v>0</v>
      </c>
      <c r="P70" s="98"/>
      <c r="Q70" s="23" t="s">
        <v>1441</v>
      </c>
      <c r="R70" s="24" t="s">
        <v>198</v>
      </c>
      <c r="S70" s="25" t="s">
        <v>30</v>
      </c>
      <c r="T70" s="26">
        <v>44.7</v>
      </c>
      <c r="U70" s="26">
        <v>44.7</v>
      </c>
      <c r="V70" s="26">
        <f t="shared" si="10"/>
        <v>578.86</v>
      </c>
      <c r="W70" s="26">
        <f t="shared" si="8"/>
        <v>0</v>
      </c>
      <c r="X70" s="26">
        <f t="shared" si="3"/>
        <v>0</v>
      </c>
      <c r="Y70" s="26">
        <f t="shared" si="11"/>
        <v>0</v>
      </c>
      <c r="Z70" s="26">
        <f t="shared" si="4"/>
        <v>0</v>
      </c>
      <c r="AA70" s="33" t="s">
        <v>15</v>
      </c>
      <c r="AB70" s="36" t="s">
        <v>16</v>
      </c>
      <c r="AC70" s="181">
        <f t="shared" si="5"/>
        <v>44.7</v>
      </c>
      <c r="AD70" s="181">
        <f t="shared" si="12"/>
        <v>25875.040000000001</v>
      </c>
      <c r="AE70" s="181">
        <v>1.2</v>
      </c>
      <c r="AF70" s="181">
        <v>1.2</v>
      </c>
      <c r="AG70" s="101" t="str">
        <f t="shared" si="6"/>
        <v/>
      </c>
      <c r="AH70" s="190">
        <v>0</v>
      </c>
      <c r="AI70" s="69">
        <f t="shared" si="7"/>
        <v>44.7</v>
      </c>
    </row>
    <row r="71" spans="1:35" s="69" customFormat="1" ht="26.1" customHeight="1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 t="s">
        <v>15</v>
      </c>
      <c r="I71" s="75">
        <v>723.06</v>
      </c>
      <c r="J71" s="75">
        <v>22414.86</v>
      </c>
      <c r="K71" s="91" t="s">
        <v>202</v>
      </c>
      <c r="L71" s="73"/>
      <c r="M71" s="46">
        <v>0</v>
      </c>
      <c r="N71" s="46">
        <v>0</v>
      </c>
      <c r="O71" s="46">
        <v>0</v>
      </c>
      <c r="P71" s="98"/>
      <c r="Q71" s="23" t="s">
        <v>1442</v>
      </c>
      <c r="R71" s="24" t="s">
        <v>201</v>
      </c>
      <c r="S71" s="25" t="s">
        <v>30</v>
      </c>
      <c r="T71" s="26">
        <v>31</v>
      </c>
      <c r="U71" s="26">
        <v>31</v>
      </c>
      <c r="V71" s="26">
        <f t="shared" si="10"/>
        <v>723.06</v>
      </c>
      <c r="W71" s="26">
        <f t="shared" si="8"/>
        <v>0</v>
      </c>
      <c r="X71" s="26">
        <f t="shared" si="3"/>
        <v>0</v>
      </c>
      <c r="Y71" s="26">
        <f t="shared" si="11"/>
        <v>0</v>
      </c>
      <c r="Z71" s="26">
        <f t="shared" si="4"/>
        <v>0</v>
      </c>
      <c r="AA71" s="33" t="s">
        <v>15</v>
      </c>
      <c r="AB71" s="36" t="s">
        <v>16</v>
      </c>
      <c r="AC71" s="181">
        <f t="shared" si="5"/>
        <v>31</v>
      </c>
      <c r="AD71" s="181">
        <f t="shared" si="12"/>
        <v>22414.86</v>
      </c>
      <c r="AE71" s="181">
        <v>1.2</v>
      </c>
      <c r="AF71" s="181">
        <v>1.2</v>
      </c>
      <c r="AG71" s="101" t="str">
        <f t="shared" si="6"/>
        <v/>
      </c>
      <c r="AH71" s="190">
        <v>0</v>
      </c>
      <c r="AI71" s="69">
        <f t="shared" si="7"/>
        <v>31</v>
      </c>
    </row>
    <row r="72" spans="1:35" s="69" customFormat="1" ht="26.1" customHeight="1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 t="s">
        <v>15</v>
      </c>
      <c r="I72" s="75">
        <v>829.15</v>
      </c>
      <c r="J72" s="75">
        <v>15007.62</v>
      </c>
      <c r="K72" s="91" t="s">
        <v>205</v>
      </c>
      <c r="L72" s="73"/>
      <c r="M72" s="46">
        <v>0</v>
      </c>
      <c r="N72" s="46">
        <v>0</v>
      </c>
      <c r="O72" s="46">
        <v>0</v>
      </c>
      <c r="P72" s="98"/>
      <c r="Q72" s="23" t="s">
        <v>1443</v>
      </c>
      <c r="R72" s="24" t="s">
        <v>204</v>
      </c>
      <c r="S72" s="25" t="s">
        <v>30</v>
      </c>
      <c r="T72" s="26">
        <v>18.100000000000001</v>
      </c>
      <c r="U72" s="26">
        <v>18.100000000000001</v>
      </c>
      <c r="V72" s="26">
        <f t="shared" si="10"/>
        <v>829.15</v>
      </c>
      <c r="W72" s="26">
        <f t="shared" si="8"/>
        <v>0</v>
      </c>
      <c r="X72" s="26">
        <f t="shared" si="3"/>
        <v>0</v>
      </c>
      <c r="Y72" s="26">
        <f t="shared" si="11"/>
        <v>0</v>
      </c>
      <c r="Z72" s="26">
        <f t="shared" si="4"/>
        <v>0</v>
      </c>
      <c r="AA72" s="33" t="s">
        <v>15</v>
      </c>
      <c r="AB72" s="36" t="s">
        <v>16</v>
      </c>
      <c r="AC72" s="181">
        <f t="shared" si="5"/>
        <v>18.100000000000001</v>
      </c>
      <c r="AD72" s="181">
        <f t="shared" si="12"/>
        <v>15007.62</v>
      </c>
      <c r="AE72" s="181">
        <v>1.2</v>
      </c>
      <c r="AF72" s="181">
        <v>1.2</v>
      </c>
      <c r="AG72" s="101" t="str">
        <f t="shared" si="6"/>
        <v/>
      </c>
      <c r="AH72" s="190">
        <v>0</v>
      </c>
      <c r="AI72" s="69">
        <f t="shared" si="7"/>
        <v>18.100000000000001</v>
      </c>
    </row>
    <row r="73" spans="1:35" s="69" customFormat="1" ht="26.1" customHeight="1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 t="s">
        <v>15</v>
      </c>
      <c r="I73" s="75">
        <v>443.93</v>
      </c>
      <c r="J73" s="75">
        <v>80084.97</v>
      </c>
      <c r="K73" s="91" t="s">
        <v>208</v>
      </c>
      <c r="L73" s="73"/>
      <c r="M73" s="46">
        <v>0</v>
      </c>
      <c r="N73" s="46">
        <v>0</v>
      </c>
      <c r="O73" s="46">
        <v>0</v>
      </c>
      <c r="P73" s="98"/>
      <c r="Q73" s="23" t="s">
        <v>1444</v>
      </c>
      <c r="R73" s="24" t="s">
        <v>207</v>
      </c>
      <c r="S73" s="25" t="s">
        <v>30</v>
      </c>
      <c r="T73" s="26">
        <v>180.4</v>
      </c>
      <c r="U73" s="26">
        <v>180.4</v>
      </c>
      <c r="V73" s="26">
        <f t="shared" si="10"/>
        <v>443.93</v>
      </c>
      <c r="W73" s="26">
        <f t="shared" si="8"/>
        <v>0</v>
      </c>
      <c r="X73" s="26">
        <f t="shared" si="3"/>
        <v>0</v>
      </c>
      <c r="Y73" s="26">
        <f t="shared" si="11"/>
        <v>0</v>
      </c>
      <c r="Z73" s="26">
        <f t="shared" si="4"/>
        <v>0</v>
      </c>
      <c r="AA73" s="33" t="s">
        <v>15</v>
      </c>
      <c r="AB73" s="36" t="s">
        <v>16</v>
      </c>
      <c r="AC73" s="181">
        <f t="shared" si="5"/>
        <v>180.4</v>
      </c>
      <c r="AD73" s="181">
        <f t="shared" si="12"/>
        <v>80084.97</v>
      </c>
      <c r="AE73" s="181">
        <v>1.2</v>
      </c>
      <c r="AF73" s="181">
        <v>1.2</v>
      </c>
      <c r="AG73" s="101" t="str">
        <f t="shared" si="6"/>
        <v/>
      </c>
      <c r="AH73" s="190">
        <v>0</v>
      </c>
      <c r="AI73" s="69">
        <f t="shared" si="7"/>
        <v>180.4</v>
      </c>
    </row>
    <row r="74" spans="1:35" s="69" customFormat="1" ht="26.1" customHeight="1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 t="s">
        <v>15</v>
      </c>
      <c r="I74" s="75">
        <v>578.86</v>
      </c>
      <c r="J74" s="75">
        <v>14818.82</v>
      </c>
      <c r="K74" s="91" t="s">
        <v>211</v>
      </c>
      <c r="L74" s="73"/>
      <c r="M74" s="46">
        <v>0</v>
      </c>
      <c r="N74" s="46">
        <v>0</v>
      </c>
      <c r="O74" s="46">
        <v>0</v>
      </c>
      <c r="P74" s="98"/>
      <c r="Q74" s="23" t="s">
        <v>1408</v>
      </c>
      <c r="R74" s="24" t="s">
        <v>210</v>
      </c>
      <c r="S74" s="25" t="s">
        <v>30</v>
      </c>
      <c r="T74" s="26">
        <v>25.6</v>
      </c>
      <c r="U74" s="26">
        <v>25.6</v>
      </c>
      <c r="V74" s="26">
        <f t="shared" si="10"/>
        <v>578.86</v>
      </c>
      <c r="W74" s="26">
        <f t="shared" si="8"/>
        <v>0</v>
      </c>
      <c r="X74" s="26">
        <f t="shared" si="3"/>
        <v>0</v>
      </c>
      <c r="Y74" s="26">
        <f t="shared" si="11"/>
        <v>0</v>
      </c>
      <c r="Z74" s="26">
        <f t="shared" si="4"/>
        <v>0</v>
      </c>
      <c r="AA74" s="33" t="s">
        <v>15</v>
      </c>
      <c r="AB74" s="36" t="s">
        <v>16</v>
      </c>
      <c r="AC74" s="181">
        <f t="shared" si="5"/>
        <v>25.6</v>
      </c>
      <c r="AD74" s="181">
        <f t="shared" si="12"/>
        <v>14818.82</v>
      </c>
      <c r="AE74" s="181">
        <v>1.2</v>
      </c>
      <c r="AF74" s="181">
        <v>1.2</v>
      </c>
      <c r="AG74" s="101" t="str">
        <f t="shared" si="6"/>
        <v/>
      </c>
      <c r="AH74" s="190">
        <v>0</v>
      </c>
      <c r="AI74" s="69">
        <f t="shared" si="7"/>
        <v>25.6</v>
      </c>
    </row>
    <row r="75" spans="1:35" s="69" customFormat="1" ht="26.1" customHeight="1" x14ac:dyDescent="0.3">
      <c r="A75" s="55" t="s">
        <v>212</v>
      </c>
      <c r="B75" s="53" t="s">
        <v>213</v>
      </c>
      <c r="C75" s="54" t="s">
        <v>81</v>
      </c>
      <c r="D75" s="75">
        <v>7</v>
      </c>
      <c r="E75" s="75"/>
      <c r="F75" s="75"/>
      <c r="G75" s="75"/>
      <c r="H75" s="75" t="s">
        <v>15</v>
      </c>
      <c r="I75" s="75">
        <v>17307.09</v>
      </c>
      <c r="J75" s="75">
        <v>121149.63</v>
      </c>
      <c r="K75" s="91" t="s">
        <v>214</v>
      </c>
      <c r="L75" s="73"/>
      <c r="M75" s="46">
        <v>0</v>
      </c>
      <c r="N75" s="46">
        <v>0</v>
      </c>
      <c r="O75" s="46">
        <v>0</v>
      </c>
      <c r="P75" s="98"/>
      <c r="Q75" s="23" t="s">
        <v>1409</v>
      </c>
      <c r="R75" s="24" t="s">
        <v>213</v>
      </c>
      <c r="S75" s="25" t="s">
        <v>81</v>
      </c>
      <c r="T75" s="26">
        <v>7</v>
      </c>
      <c r="U75" s="26">
        <v>7</v>
      </c>
      <c r="V75" s="26">
        <f t="shared" si="10"/>
        <v>17307.09</v>
      </c>
      <c r="W75" s="26">
        <f t="shared" si="8"/>
        <v>0</v>
      </c>
      <c r="X75" s="26">
        <f t="shared" ref="X75:X132" si="13">W75+M75</f>
        <v>0</v>
      </c>
      <c r="Y75" s="26">
        <f t="shared" si="11"/>
        <v>0</v>
      </c>
      <c r="Z75" s="26">
        <f t="shared" ref="Z75:Z138" si="14">ROUND(V75*X75,2)</f>
        <v>0</v>
      </c>
      <c r="AA75" s="33" t="s">
        <v>15</v>
      </c>
      <c r="AB75" s="36" t="s">
        <v>16</v>
      </c>
      <c r="AC75" s="181">
        <f t="shared" ref="AC75:AC138" si="15">IF(U75="",T75,U75)</f>
        <v>7</v>
      </c>
      <c r="AD75" s="181">
        <f t="shared" si="12"/>
        <v>121149.63</v>
      </c>
      <c r="AE75" s="181">
        <v>1.2</v>
      </c>
      <c r="AF75" s="181">
        <v>1.2</v>
      </c>
      <c r="AG75" s="101" t="str">
        <f t="shared" ref="AG75:AG138" si="16">IF(X75&gt;AI75,"超估","")</f>
        <v/>
      </c>
      <c r="AH75" s="190">
        <v>0</v>
      </c>
      <c r="AI75" s="69">
        <f t="shared" ref="AI75:AI138" si="17">IF(G75=0,IF(F75=0,IF(E75=0,D75,E75),F75),G75)</f>
        <v>7</v>
      </c>
    </row>
    <row r="76" spans="1:35" s="69" customFormat="1" ht="26.1" customHeight="1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 t="s">
        <v>15</v>
      </c>
      <c r="I76" s="75">
        <v>443.93</v>
      </c>
      <c r="J76" s="75">
        <v>3462.65</v>
      </c>
      <c r="K76" s="91" t="s">
        <v>217</v>
      </c>
      <c r="L76" s="73"/>
      <c r="M76" s="46">
        <v>0</v>
      </c>
      <c r="N76" s="46">
        <v>0</v>
      </c>
      <c r="O76" s="46">
        <v>0</v>
      </c>
      <c r="P76" s="98"/>
      <c r="Q76" s="23" t="s">
        <v>1410</v>
      </c>
      <c r="R76" s="24" t="s">
        <v>216</v>
      </c>
      <c r="S76" s="25" t="s">
        <v>30</v>
      </c>
      <c r="T76" s="26">
        <v>7.8</v>
      </c>
      <c r="U76" s="26">
        <v>7.8</v>
      </c>
      <c r="V76" s="26">
        <f t="shared" si="10"/>
        <v>443.93</v>
      </c>
      <c r="W76" s="26">
        <f t="shared" ref="W76:W132" si="18">AH76-M76</f>
        <v>0</v>
      </c>
      <c r="X76" s="26">
        <f t="shared" si="13"/>
        <v>0</v>
      </c>
      <c r="Y76" s="26">
        <f t="shared" si="11"/>
        <v>0</v>
      </c>
      <c r="Z76" s="26">
        <f t="shared" si="14"/>
        <v>0</v>
      </c>
      <c r="AA76" s="33" t="s">
        <v>15</v>
      </c>
      <c r="AB76" s="36" t="s">
        <v>16</v>
      </c>
      <c r="AC76" s="181">
        <f t="shared" si="15"/>
        <v>7.8</v>
      </c>
      <c r="AD76" s="181">
        <f t="shared" si="12"/>
        <v>3462.65</v>
      </c>
      <c r="AE76" s="181">
        <v>1.2</v>
      </c>
      <c r="AF76" s="181">
        <v>1.2</v>
      </c>
      <c r="AG76" s="101" t="str">
        <f t="shared" si="16"/>
        <v/>
      </c>
      <c r="AH76" s="190">
        <v>0</v>
      </c>
      <c r="AI76" s="69">
        <f t="shared" si="17"/>
        <v>7.8</v>
      </c>
    </row>
    <row r="77" spans="1:35" s="69" customFormat="1" ht="26.1" customHeight="1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 t="s">
        <v>15</v>
      </c>
      <c r="I77" s="75">
        <v>13705.7</v>
      </c>
      <c r="J77" s="75">
        <v>27411.4</v>
      </c>
      <c r="K77" s="91" t="s">
        <v>220</v>
      </c>
      <c r="L77" s="73"/>
      <c r="M77" s="46">
        <v>0</v>
      </c>
      <c r="N77" s="46">
        <v>0</v>
      </c>
      <c r="O77" s="46">
        <v>0</v>
      </c>
      <c r="P77" s="98"/>
      <c r="Q77" s="23" t="s">
        <v>1411</v>
      </c>
      <c r="R77" s="24" t="s">
        <v>219</v>
      </c>
      <c r="S77" s="25" t="s">
        <v>81</v>
      </c>
      <c r="T77" s="26">
        <v>2</v>
      </c>
      <c r="U77" s="26">
        <v>2</v>
      </c>
      <c r="V77" s="26">
        <f t="shared" si="10"/>
        <v>13705.7</v>
      </c>
      <c r="W77" s="26">
        <f t="shared" si="18"/>
        <v>0</v>
      </c>
      <c r="X77" s="26">
        <f t="shared" si="13"/>
        <v>0</v>
      </c>
      <c r="Y77" s="26">
        <f t="shared" si="11"/>
        <v>0</v>
      </c>
      <c r="Z77" s="26">
        <f t="shared" si="14"/>
        <v>0</v>
      </c>
      <c r="AA77" s="33" t="s">
        <v>15</v>
      </c>
      <c r="AB77" s="36" t="s">
        <v>16</v>
      </c>
      <c r="AC77" s="181">
        <f t="shared" si="15"/>
        <v>2</v>
      </c>
      <c r="AD77" s="181">
        <f t="shared" si="12"/>
        <v>27411.4</v>
      </c>
      <c r="AE77" s="181">
        <v>1.2</v>
      </c>
      <c r="AF77" s="181">
        <v>1.2</v>
      </c>
      <c r="AG77" s="101" t="str">
        <f t="shared" si="16"/>
        <v/>
      </c>
      <c r="AH77" s="190">
        <v>0</v>
      </c>
      <c r="AI77" s="69">
        <f t="shared" si="17"/>
        <v>2</v>
      </c>
    </row>
    <row r="78" spans="1:35" s="69" customFormat="1" ht="26.1" customHeight="1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 t="s">
        <v>15</v>
      </c>
      <c r="I78" s="75">
        <v>25126.95</v>
      </c>
      <c r="J78" s="75">
        <v>75380.850000000006</v>
      </c>
      <c r="K78" s="91" t="s">
        <v>223</v>
      </c>
      <c r="L78" s="73"/>
      <c r="M78" s="46">
        <v>0</v>
      </c>
      <c r="N78" s="46">
        <v>0</v>
      </c>
      <c r="O78" s="46">
        <v>0</v>
      </c>
      <c r="P78" s="98"/>
      <c r="Q78" s="23" t="s">
        <v>1445</v>
      </c>
      <c r="R78" s="24" t="s">
        <v>222</v>
      </c>
      <c r="S78" s="25" t="s">
        <v>81</v>
      </c>
      <c r="T78" s="26">
        <v>3</v>
      </c>
      <c r="U78" s="26">
        <v>3</v>
      </c>
      <c r="V78" s="26">
        <f t="shared" si="10"/>
        <v>25126.95</v>
      </c>
      <c r="W78" s="26">
        <f t="shared" si="18"/>
        <v>0</v>
      </c>
      <c r="X78" s="26">
        <f t="shared" si="13"/>
        <v>0</v>
      </c>
      <c r="Y78" s="26">
        <f t="shared" si="11"/>
        <v>0</v>
      </c>
      <c r="Z78" s="26">
        <f t="shared" si="14"/>
        <v>0</v>
      </c>
      <c r="AA78" s="33" t="s">
        <v>15</v>
      </c>
      <c r="AB78" s="36" t="s">
        <v>16</v>
      </c>
      <c r="AC78" s="181">
        <f t="shared" si="15"/>
        <v>3</v>
      </c>
      <c r="AD78" s="181">
        <f t="shared" si="12"/>
        <v>75380.850000000006</v>
      </c>
      <c r="AE78" s="181">
        <v>1.2</v>
      </c>
      <c r="AF78" s="181">
        <v>1.2</v>
      </c>
      <c r="AG78" s="101" t="str">
        <f t="shared" si="16"/>
        <v/>
      </c>
      <c r="AH78" s="190">
        <v>0</v>
      </c>
      <c r="AI78" s="69">
        <f t="shared" si="17"/>
        <v>3</v>
      </c>
    </row>
    <row r="79" spans="1:35" s="69" customFormat="1" ht="26.1" customHeight="1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 t="s">
        <v>15</v>
      </c>
      <c r="I79" s="75">
        <v>2901.57</v>
      </c>
      <c r="J79" s="75">
        <v>52228.26</v>
      </c>
      <c r="K79" s="91" t="s">
        <v>226</v>
      </c>
      <c r="L79" s="73"/>
      <c r="M79" s="46">
        <v>0</v>
      </c>
      <c r="N79" s="46">
        <v>0</v>
      </c>
      <c r="O79" s="46">
        <v>0</v>
      </c>
      <c r="P79" s="98"/>
      <c r="Q79" s="23" t="s">
        <v>1383</v>
      </c>
      <c r="R79" s="24" t="s">
        <v>225</v>
      </c>
      <c r="S79" s="25" t="s">
        <v>30</v>
      </c>
      <c r="T79" s="26">
        <v>18</v>
      </c>
      <c r="U79" s="26">
        <v>18</v>
      </c>
      <c r="V79" s="26">
        <f t="shared" si="10"/>
        <v>2901.57</v>
      </c>
      <c r="W79" s="26">
        <f t="shared" si="18"/>
        <v>0</v>
      </c>
      <c r="X79" s="26">
        <f t="shared" si="13"/>
        <v>0</v>
      </c>
      <c r="Y79" s="26">
        <f t="shared" si="11"/>
        <v>0</v>
      </c>
      <c r="Z79" s="26">
        <f t="shared" si="14"/>
        <v>0</v>
      </c>
      <c r="AA79" s="33" t="s">
        <v>15</v>
      </c>
      <c r="AB79" s="36" t="s">
        <v>16</v>
      </c>
      <c r="AC79" s="181">
        <f t="shared" si="15"/>
        <v>18</v>
      </c>
      <c r="AD79" s="181">
        <f t="shared" si="12"/>
        <v>52228.26</v>
      </c>
      <c r="AE79" s="181">
        <v>1.2</v>
      </c>
      <c r="AF79" s="181">
        <v>1.2</v>
      </c>
      <c r="AG79" s="101" t="str">
        <f t="shared" si="16"/>
        <v/>
      </c>
      <c r="AH79" s="190">
        <v>0</v>
      </c>
      <c r="AI79" s="69">
        <f t="shared" si="17"/>
        <v>18</v>
      </c>
    </row>
    <row r="80" spans="1:35" s="69" customFormat="1" ht="26.1" customHeight="1" x14ac:dyDescent="0.3">
      <c r="A80" s="130" t="s">
        <v>227</v>
      </c>
      <c r="B80" s="131" t="s">
        <v>228</v>
      </c>
      <c r="C80" s="132" t="s">
        <v>30</v>
      </c>
      <c r="D80" s="133">
        <v>17.100000000000001</v>
      </c>
      <c r="E80" s="75"/>
      <c r="F80" s="75"/>
      <c r="G80" s="75"/>
      <c r="H80" s="75" t="s">
        <v>15</v>
      </c>
      <c r="I80" s="75">
        <v>1762.96</v>
      </c>
      <c r="J80" s="75">
        <v>30146.62</v>
      </c>
      <c r="K80" s="91" t="s">
        <v>229</v>
      </c>
      <c r="L80" s="73"/>
      <c r="M80" s="46">
        <v>0</v>
      </c>
      <c r="N80" s="46">
        <v>0</v>
      </c>
      <c r="O80" s="46">
        <v>0</v>
      </c>
      <c r="P80" s="98"/>
      <c r="Q80" s="23" t="s">
        <v>1384</v>
      </c>
      <c r="R80" s="24" t="s">
        <v>228</v>
      </c>
      <c r="S80" s="25" t="s">
        <v>30</v>
      </c>
      <c r="T80" s="26">
        <v>17.100000000000001</v>
      </c>
      <c r="U80" s="26">
        <v>17.100000000000001</v>
      </c>
      <c r="V80" s="26">
        <f t="shared" si="10"/>
        <v>1762.96</v>
      </c>
      <c r="W80" s="243">
        <f t="shared" si="18"/>
        <v>17.100000000000001</v>
      </c>
      <c r="X80" s="209">
        <f t="shared" si="13"/>
        <v>17.100000000000001</v>
      </c>
      <c r="Y80" s="127">
        <f t="shared" si="11"/>
        <v>30146.62</v>
      </c>
      <c r="Z80" s="127">
        <f t="shared" si="14"/>
        <v>30146.62</v>
      </c>
      <c r="AA80" s="33" t="s">
        <v>15</v>
      </c>
      <c r="AB80" s="36" t="s">
        <v>16</v>
      </c>
      <c r="AC80" s="181">
        <f t="shared" si="15"/>
        <v>17.100000000000001</v>
      </c>
      <c r="AD80" s="181">
        <f t="shared" si="12"/>
        <v>30146.62</v>
      </c>
      <c r="AE80" s="181">
        <v>1.2</v>
      </c>
      <c r="AF80" s="181">
        <v>1.2</v>
      </c>
      <c r="AG80" s="101" t="str">
        <f t="shared" si="16"/>
        <v/>
      </c>
      <c r="AH80" s="191">
        <f>17.1</f>
        <v>17.100000000000001</v>
      </c>
      <c r="AI80" s="69">
        <f t="shared" si="17"/>
        <v>17.100000000000001</v>
      </c>
    </row>
    <row r="81" spans="1:35" s="69" customFormat="1" ht="26.1" customHeight="1" x14ac:dyDescent="0.3">
      <c r="A81" s="55" t="s">
        <v>230</v>
      </c>
      <c r="B81" s="215" t="s">
        <v>231</v>
      </c>
      <c r="C81" s="54" t="s">
        <v>30</v>
      </c>
      <c r="D81" s="75">
        <v>77.400000000000006</v>
      </c>
      <c r="E81" s="75"/>
      <c r="F81" s="75"/>
      <c r="G81" s="75"/>
      <c r="H81" s="75" t="s">
        <v>15</v>
      </c>
      <c r="I81" s="75">
        <v>1224.3</v>
      </c>
      <c r="J81" s="75">
        <v>94760.82</v>
      </c>
      <c r="K81" s="91" t="s">
        <v>232</v>
      </c>
      <c r="L81" s="73"/>
      <c r="M81" s="46">
        <v>0</v>
      </c>
      <c r="N81" s="46">
        <v>0</v>
      </c>
      <c r="O81" s="46">
        <v>0</v>
      </c>
      <c r="P81" s="98"/>
      <c r="Q81" s="23" t="s">
        <v>1385</v>
      </c>
      <c r="R81" s="24" t="s">
        <v>231</v>
      </c>
      <c r="S81" s="25" t="s">
        <v>30</v>
      </c>
      <c r="T81" s="26">
        <v>77.400000000000006</v>
      </c>
      <c r="U81" s="26">
        <v>77.400000000000006</v>
      </c>
      <c r="V81" s="26">
        <f t="shared" si="10"/>
        <v>1224.3</v>
      </c>
      <c r="W81" s="128">
        <f t="shared" si="18"/>
        <v>56</v>
      </c>
      <c r="X81" s="26">
        <f t="shared" si="13"/>
        <v>56</v>
      </c>
      <c r="Y81" s="26">
        <f t="shared" si="11"/>
        <v>68560.800000000003</v>
      </c>
      <c r="Z81" s="26">
        <f t="shared" si="14"/>
        <v>68560.800000000003</v>
      </c>
      <c r="AA81" s="33" t="s">
        <v>15</v>
      </c>
      <c r="AB81" s="36" t="s">
        <v>16</v>
      </c>
      <c r="AC81" s="181">
        <f t="shared" si="15"/>
        <v>77.400000000000006</v>
      </c>
      <c r="AD81" s="181">
        <f t="shared" si="12"/>
        <v>94760.82</v>
      </c>
      <c r="AE81" s="181">
        <v>1.2</v>
      </c>
      <c r="AF81" s="181">
        <v>1.2</v>
      </c>
      <c r="AG81" s="101" t="str">
        <f t="shared" si="16"/>
        <v/>
      </c>
      <c r="AH81" s="191">
        <f>56</f>
        <v>56</v>
      </c>
      <c r="AI81" s="69">
        <f t="shared" si="17"/>
        <v>77.400000000000006</v>
      </c>
    </row>
    <row r="82" spans="1:35" s="69" customFormat="1" ht="26.1" customHeight="1" x14ac:dyDescent="0.3">
      <c r="A82" s="55" t="s">
        <v>233</v>
      </c>
      <c r="B82" s="215" t="s">
        <v>234</v>
      </c>
      <c r="C82" s="54" t="s">
        <v>30</v>
      </c>
      <c r="D82" s="75">
        <v>32.5</v>
      </c>
      <c r="E82" s="75"/>
      <c r="F82" s="75"/>
      <c r="G82" s="75"/>
      <c r="H82" s="75" t="s">
        <v>15</v>
      </c>
      <c r="I82" s="75">
        <v>1148.7</v>
      </c>
      <c r="J82" s="75">
        <v>37332.75</v>
      </c>
      <c r="K82" s="91" t="s">
        <v>235</v>
      </c>
      <c r="L82" s="73"/>
      <c r="M82" s="46">
        <v>0</v>
      </c>
      <c r="N82" s="46">
        <v>0</v>
      </c>
      <c r="O82" s="46">
        <v>0</v>
      </c>
      <c r="P82" s="98"/>
      <c r="Q82" s="23" t="s">
        <v>1446</v>
      </c>
      <c r="R82" s="24" t="s">
        <v>234</v>
      </c>
      <c r="S82" s="25" t="s">
        <v>30</v>
      </c>
      <c r="T82" s="26">
        <v>32.5</v>
      </c>
      <c r="U82" s="26">
        <v>32.5</v>
      </c>
      <c r="V82" s="26">
        <f t="shared" si="10"/>
        <v>1148.7</v>
      </c>
      <c r="W82" s="26">
        <f t="shared" si="18"/>
        <v>0</v>
      </c>
      <c r="X82" s="26">
        <f t="shared" si="13"/>
        <v>0</v>
      </c>
      <c r="Y82" s="26">
        <f t="shared" si="11"/>
        <v>0</v>
      </c>
      <c r="Z82" s="26">
        <f t="shared" si="14"/>
        <v>0</v>
      </c>
      <c r="AA82" s="33" t="s">
        <v>15</v>
      </c>
      <c r="AB82" s="36" t="s">
        <v>16</v>
      </c>
      <c r="AC82" s="181">
        <f t="shared" si="15"/>
        <v>32.5</v>
      </c>
      <c r="AD82" s="181">
        <f t="shared" si="12"/>
        <v>37332.75</v>
      </c>
      <c r="AE82" s="181">
        <v>1.2</v>
      </c>
      <c r="AF82" s="181">
        <v>1.2</v>
      </c>
      <c r="AG82" s="101" t="str">
        <f t="shared" si="16"/>
        <v/>
      </c>
      <c r="AH82" s="190">
        <v>0</v>
      </c>
      <c r="AI82" s="69">
        <f t="shared" si="17"/>
        <v>32.5</v>
      </c>
    </row>
    <row r="83" spans="1:35" s="69" customFormat="1" ht="26.1" customHeight="1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 t="s">
        <v>15</v>
      </c>
      <c r="I83" s="75">
        <v>19780.169999999998</v>
      </c>
      <c r="J83" s="75">
        <v>19780.169999999998</v>
      </c>
      <c r="K83" s="91" t="s">
        <v>238</v>
      </c>
      <c r="L83" s="73"/>
      <c r="M83" s="46">
        <v>0</v>
      </c>
      <c r="N83" s="46">
        <v>0</v>
      </c>
      <c r="O83" s="46">
        <v>0</v>
      </c>
      <c r="P83" s="98"/>
      <c r="Q83" s="23" t="s">
        <v>1447</v>
      </c>
      <c r="R83" s="24" t="s">
        <v>237</v>
      </c>
      <c r="S83" s="25" t="s">
        <v>81</v>
      </c>
      <c r="T83" s="26">
        <v>1</v>
      </c>
      <c r="U83" s="26">
        <v>1</v>
      </c>
      <c r="V83" s="26">
        <f t="shared" si="10"/>
        <v>19780.169999999998</v>
      </c>
      <c r="W83" s="26">
        <f t="shared" si="18"/>
        <v>0</v>
      </c>
      <c r="X83" s="26">
        <f t="shared" si="13"/>
        <v>0</v>
      </c>
      <c r="Y83" s="26">
        <f t="shared" si="11"/>
        <v>0</v>
      </c>
      <c r="Z83" s="26">
        <f t="shared" si="14"/>
        <v>0</v>
      </c>
      <c r="AA83" s="33" t="s">
        <v>15</v>
      </c>
      <c r="AB83" s="36" t="s">
        <v>16</v>
      </c>
      <c r="AC83" s="181">
        <f t="shared" si="15"/>
        <v>1</v>
      </c>
      <c r="AD83" s="181">
        <f t="shared" si="12"/>
        <v>19780.169999999998</v>
      </c>
      <c r="AE83" s="181">
        <v>1.2</v>
      </c>
      <c r="AF83" s="181">
        <v>1.2</v>
      </c>
      <c r="AG83" s="101" t="str">
        <f t="shared" si="16"/>
        <v/>
      </c>
      <c r="AH83" s="190">
        <v>0</v>
      </c>
      <c r="AI83" s="69">
        <f t="shared" si="17"/>
        <v>1</v>
      </c>
    </row>
    <row r="84" spans="1:35" s="69" customFormat="1" ht="26.1" customHeight="1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 t="s">
        <v>15</v>
      </c>
      <c r="I84" s="75">
        <v>1218.03</v>
      </c>
      <c r="J84" s="75">
        <v>1218.03</v>
      </c>
      <c r="K84" s="91" t="s">
        <v>241</v>
      </c>
      <c r="L84" s="73"/>
      <c r="M84" s="46">
        <v>0</v>
      </c>
      <c r="N84" s="46">
        <v>0</v>
      </c>
      <c r="O84" s="46">
        <v>0</v>
      </c>
      <c r="P84" s="98"/>
      <c r="Q84" s="23" t="s">
        <v>1448</v>
      </c>
      <c r="R84" s="24" t="s">
        <v>240</v>
      </c>
      <c r="S84" s="25" t="s">
        <v>81</v>
      </c>
      <c r="T84" s="26">
        <v>1</v>
      </c>
      <c r="U84" s="26">
        <v>1</v>
      </c>
      <c r="V84" s="26">
        <f t="shared" si="10"/>
        <v>1218.03</v>
      </c>
      <c r="W84" s="26">
        <f t="shared" si="18"/>
        <v>0</v>
      </c>
      <c r="X84" s="26">
        <f t="shared" si="13"/>
        <v>0</v>
      </c>
      <c r="Y84" s="26">
        <f t="shared" si="11"/>
        <v>0</v>
      </c>
      <c r="Z84" s="26">
        <f t="shared" si="14"/>
        <v>0</v>
      </c>
      <c r="AA84" s="33" t="s">
        <v>15</v>
      </c>
      <c r="AB84" s="36" t="s">
        <v>16</v>
      </c>
      <c r="AC84" s="181">
        <f t="shared" si="15"/>
        <v>1</v>
      </c>
      <c r="AD84" s="181">
        <f t="shared" si="12"/>
        <v>1218.03</v>
      </c>
      <c r="AE84" s="181">
        <v>1.2</v>
      </c>
      <c r="AF84" s="181">
        <v>1.2</v>
      </c>
      <c r="AG84" s="101" t="str">
        <f t="shared" si="16"/>
        <v/>
      </c>
      <c r="AH84" s="190">
        <v>0</v>
      </c>
      <c r="AI84" s="69">
        <f t="shared" si="17"/>
        <v>1</v>
      </c>
    </row>
    <row r="85" spans="1:35" s="69" customFormat="1" ht="26.1" customHeight="1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 t="s">
        <v>15</v>
      </c>
      <c r="I85" s="75">
        <v>3110.7</v>
      </c>
      <c r="J85" s="75">
        <v>3110.7</v>
      </c>
      <c r="K85" s="91" t="s">
        <v>244</v>
      </c>
      <c r="L85" s="73"/>
      <c r="M85" s="46">
        <v>0</v>
      </c>
      <c r="N85" s="46">
        <v>0</v>
      </c>
      <c r="O85" s="46">
        <v>0</v>
      </c>
      <c r="P85" s="98"/>
      <c r="Q85" s="23" t="s">
        <v>1449</v>
      </c>
      <c r="R85" s="24" t="s">
        <v>243</v>
      </c>
      <c r="S85" s="25" t="s">
        <v>81</v>
      </c>
      <c r="T85" s="26">
        <v>1</v>
      </c>
      <c r="U85" s="26">
        <v>1</v>
      </c>
      <c r="V85" s="26">
        <f t="shared" si="10"/>
        <v>3110.7</v>
      </c>
      <c r="W85" s="26">
        <f t="shared" si="18"/>
        <v>0</v>
      </c>
      <c r="X85" s="26">
        <f t="shared" si="13"/>
        <v>0</v>
      </c>
      <c r="Y85" s="26">
        <f t="shared" si="11"/>
        <v>0</v>
      </c>
      <c r="Z85" s="26">
        <f t="shared" si="14"/>
        <v>0</v>
      </c>
      <c r="AA85" s="33" t="s">
        <v>15</v>
      </c>
      <c r="AB85" s="36" t="s">
        <v>16</v>
      </c>
      <c r="AC85" s="181">
        <f t="shared" si="15"/>
        <v>1</v>
      </c>
      <c r="AD85" s="181">
        <f t="shared" si="12"/>
        <v>3110.7</v>
      </c>
      <c r="AE85" s="181">
        <v>1.2</v>
      </c>
      <c r="AF85" s="181">
        <v>1.2</v>
      </c>
      <c r="AG85" s="101" t="str">
        <f t="shared" si="16"/>
        <v/>
      </c>
      <c r="AH85" s="190">
        <v>0</v>
      </c>
      <c r="AI85" s="69">
        <f t="shared" si="17"/>
        <v>1</v>
      </c>
    </row>
    <row r="86" spans="1:35" s="69" customFormat="1" ht="26.1" customHeight="1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 t="s">
        <v>15</v>
      </c>
      <c r="I86" s="75">
        <v>1251.0999999999999</v>
      </c>
      <c r="J86" s="75">
        <v>1251.0999999999999</v>
      </c>
      <c r="K86" s="91" t="s">
        <v>247</v>
      </c>
      <c r="L86" s="73"/>
      <c r="M86" s="46">
        <v>0</v>
      </c>
      <c r="N86" s="46">
        <v>0</v>
      </c>
      <c r="O86" s="46">
        <v>0</v>
      </c>
      <c r="P86" s="98"/>
      <c r="Q86" s="23" t="s">
        <v>1450</v>
      </c>
      <c r="R86" s="24" t="s">
        <v>246</v>
      </c>
      <c r="S86" s="25" t="s">
        <v>81</v>
      </c>
      <c r="T86" s="26">
        <v>1</v>
      </c>
      <c r="U86" s="26">
        <v>1</v>
      </c>
      <c r="V86" s="26">
        <f t="shared" si="10"/>
        <v>1251.0999999999999</v>
      </c>
      <c r="W86" s="26">
        <f t="shared" si="18"/>
        <v>0</v>
      </c>
      <c r="X86" s="26">
        <f t="shared" si="13"/>
        <v>0</v>
      </c>
      <c r="Y86" s="26">
        <f t="shared" si="11"/>
        <v>0</v>
      </c>
      <c r="Z86" s="26">
        <f t="shared" si="14"/>
        <v>0</v>
      </c>
      <c r="AA86" s="33" t="s">
        <v>15</v>
      </c>
      <c r="AB86" s="36" t="s">
        <v>16</v>
      </c>
      <c r="AC86" s="181">
        <f t="shared" si="15"/>
        <v>1</v>
      </c>
      <c r="AD86" s="181">
        <f t="shared" si="12"/>
        <v>1251.0999999999999</v>
      </c>
      <c r="AE86" s="181">
        <v>1.2</v>
      </c>
      <c r="AF86" s="181">
        <v>1.2</v>
      </c>
      <c r="AG86" s="101" t="str">
        <f t="shared" si="16"/>
        <v/>
      </c>
      <c r="AH86" s="190">
        <v>0</v>
      </c>
      <c r="AI86" s="69">
        <f t="shared" si="17"/>
        <v>1</v>
      </c>
    </row>
    <row r="87" spans="1:35" s="69" customFormat="1" ht="26.1" customHeight="1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 t="s">
        <v>15</v>
      </c>
      <c r="I87" s="75">
        <v>9500.58</v>
      </c>
      <c r="J87" s="75">
        <v>9500.58</v>
      </c>
      <c r="K87" s="91" t="s">
        <v>250</v>
      </c>
      <c r="L87" s="73"/>
      <c r="M87" s="46">
        <v>0</v>
      </c>
      <c r="N87" s="46">
        <v>0</v>
      </c>
      <c r="O87" s="46">
        <v>0</v>
      </c>
      <c r="P87" s="98"/>
      <c r="Q87" s="23" t="s">
        <v>1451</v>
      </c>
      <c r="R87" s="24" t="s">
        <v>249</v>
      </c>
      <c r="S87" s="25" t="s">
        <v>81</v>
      </c>
      <c r="T87" s="26">
        <v>1</v>
      </c>
      <c r="U87" s="26">
        <v>1</v>
      </c>
      <c r="V87" s="26">
        <f t="shared" si="10"/>
        <v>9500.58</v>
      </c>
      <c r="W87" s="26">
        <f t="shared" si="18"/>
        <v>0</v>
      </c>
      <c r="X87" s="26">
        <f t="shared" si="13"/>
        <v>0</v>
      </c>
      <c r="Y87" s="26">
        <f t="shared" si="11"/>
        <v>0</v>
      </c>
      <c r="Z87" s="26">
        <f t="shared" si="14"/>
        <v>0</v>
      </c>
      <c r="AA87" s="33" t="s">
        <v>15</v>
      </c>
      <c r="AB87" s="36" t="s">
        <v>16</v>
      </c>
      <c r="AC87" s="181">
        <f t="shared" si="15"/>
        <v>1</v>
      </c>
      <c r="AD87" s="181">
        <f t="shared" si="12"/>
        <v>9500.58</v>
      </c>
      <c r="AE87" s="181">
        <v>1.2</v>
      </c>
      <c r="AF87" s="181">
        <v>1.2</v>
      </c>
      <c r="AG87" s="101" t="str">
        <f t="shared" si="16"/>
        <v/>
      </c>
      <c r="AH87" s="190">
        <v>0</v>
      </c>
      <c r="AI87" s="69">
        <f t="shared" si="17"/>
        <v>1</v>
      </c>
    </row>
    <row r="88" spans="1:35" s="69" customFormat="1" ht="26.1" customHeight="1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 t="s">
        <v>15</v>
      </c>
      <c r="I88" s="75">
        <v>3871.43</v>
      </c>
      <c r="J88" s="75">
        <v>3871.43</v>
      </c>
      <c r="K88" s="91" t="s">
        <v>253</v>
      </c>
      <c r="L88" s="73"/>
      <c r="M88" s="46">
        <v>0</v>
      </c>
      <c r="N88" s="46">
        <v>0</v>
      </c>
      <c r="O88" s="46">
        <v>0</v>
      </c>
      <c r="P88" s="98"/>
      <c r="Q88" s="23" t="s">
        <v>1452</v>
      </c>
      <c r="R88" s="24" t="s">
        <v>252</v>
      </c>
      <c r="S88" s="25" t="s">
        <v>81</v>
      </c>
      <c r="T88" s="26">
        <v>1</v>
      </c>
      <c r="U88" s="26">
        <v>1</v>
      </c>
      <c r="V88" s="26">
        <f t="shared" si="10"/>
        <v>3871.43</v>
      </c>
      <c r="W88" s="26">
        <f t="shared" si="18"/>
        <v>0</v>
      </c>
      <c r="X88" s="26">
        <f t="shared" si="13"/>
        <v>0</v>
      </c>
      <c r="Y88" s="26">
        <f t="shared" si="11"/>
        <v>0</v>
      </c>
      <c r="Z88" s="26">
        <f t="shared" si="14"/>
        <v>0</v>
      </c>
      <c r="AA88" s="33" t="s">
        <v>15</v>
      </c>
      <c r="AB88" s="36" t="s">
        <v>16</v>
      </c>
      <c r="AC88" s="181">
        <f t="shared" si="15"/>
        <v>1</v>
      </c>
      <c r="AD88" s="181">
        <f t="shared" si="12"/>
        <v>3871.43</v>
      </c>
      <c r="AE88" s="181">
        <v>1.2</v>
      </c>
      <c r="AF88" s="181">
        <v>1.2</v>
      </c>
      <c r="AG88" s="101" t="str">
        <f t="shared" si="16"/>
        <v/>
      </c>
      <c r="AH88" s="190">
        <v>0</v>
      </c>
      <c r="AI88" s="69">
        <f t="shared" si="17"/>
        <v>1</v>
      </c>
    </row>
    <row r="89" spans="1:35" s="69" customFormat="1" ht="26.1" customHeight="1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 t="s">
        <v>15</v>
      </c>
      <c r="I89" s="75">
        <v>25380.34</v>
      </c>
      <c r="J89" s="75">
        <v>25380.34</v>
      </c>
      <c r="K89" s="91" t="s">
        <v>256</v>
      </c>
      <c r="L89" s="73"/>
      <c r="M89" s="46">
        <v>0</v>
      </c>
      <c r="N89" s="46">
        <v>0</v>
      </c>
      <c r="O89" s="46">
        <v>0</v>
      </c>
      <c r="P89" s="98"/>
      <c r="Q89" s="23" t="s">
        <v>1453</v>
      </c>
      <c r="R89" s="24" t="s">
        <v>255</v>
      </c>
      <c r="S89" s="25" t="s">
        <v>81</v>
      </c>
      <c r="T89" s="26">
        <v>1</v>
      </c>
      <c r="U89" s="26">
        <v>1</v>
      </c>
      <c r="V89" s="26">
        <f t="shared" si="10"/>
        <v>25380.34</v>
      </c>
      <c r="W89" s="26">
        <f t="shared" si="18"/>
        <v>0</v>
      </c>
      <c r="X89" s="26">
        <f t="shared" si="13"/>
        <v>0</v>
      </c>
      <c r="Y89" s="26">
        <f t="shared" si="11"/>
        <v>0</v>
      </c>
      <c r="Z89" s="26">
        <f t="shared" si="14"/>
        <v>0</v>
      </c>
      <c r="AA89" s="33" t="s">
        <v>15</v>
      </c>
      <c r="AB89" s="36" t="s">
        <v>16</v>
      </c>
      <c r="AC89" s="181">
        <f t="shared" si="15"/>
        <v>1</v>
      </c>
      <c r="AD89" s="181">
        <f t="shared" si="12"/>
        <v>25380.34</v>
      </c>
      <c r="AE89" s="181">
        <v>1.2</v>
      </c>
      <c r="AF89" s="181">
        <v>1.2</v>
      </c>
      <c r="AG89" s="101" t="str">
        <f t="shared" si="16"/>
        <v/>
      </c>
      <c r="AH89" s="190">
        <v>0</v>
      </c>
      <c r="AI89" s="69">
        <f t="shared" si="17"/>
        <v>1</v>
      </c>
    </row>
    <row r="90" spans="1:35" s="69" customFormat="1" ht="26.1" customHeight="1" x14ac:dyDescent="0.3">
      <c r="A90" s="55" t="s">
        <v>257</v>
      </c>
      <c r="B90" s="53" t="s">
        <v>258</v>
      </c>
      <c r="C90" s="54" t="s">
        <v>30</v>
      </c>
      <c r="D90" s="75">
        <v>13.9</v>
      </c>
      <c r="E90" s="75"/>
      <c r="F90" s="75"/>
      <c r="G90" s="75"/>
      <c r="H90" s="75" t="s">
        <v>15</v>
      </c>
      <c r="I90" s="75">
        <v>1285.31</v>
      </c>
      <c r="J90" s="75">
        <v>17865.810000000001</v>
      </c>
      <c r="K90" s="91" t="s">
        <v>259</v>
      </c>
      <c r="L90" s="73"/>
      <c r="M90" s="46">
        <v>0</v>
      </c>
      <c r="N90" s="46">
        <v>0</v>
      </c>
      <c r="O90" s="46">
        <v>0</v>
      </c>
      <c r="P90" s="98"/>
      <c r="Q90" s="23" t="s">
        <v>1454</v>
      </c>
      <c r="R90" s="24" t="s">
        <v>258</v>
      </c>
      <c r="S90" s="25" t="s">
        <v>30</v>
      </c>
      <c r="T90" s="26">
        <v>13.9</v>
      </c>
      <c r="U90" s="26">
        <v>13.9</v>
      </c>
      <c r="V90" s="26">
        <f t="shared" si="10"/>
        <v>1285.31</v>
      </c>
      <c r="W90" s="26">
        <f t="shared" si="18"/>
        <v>0</v>
      </c>
      <c r="X90" s="26">
        <f t="shared" si="13"/>
        <v>0</v>
      </c>
      <c r="Y90" s="26">
        <f t="shared" si="11"/>
        <v>0</v>
      </c>
      <c r="Z90" s="26">
        <f t="shared" si="14"/>
        <v>0</v>
      </c>
      <c r="AA90" s="33" t="s">
        <v>15</v>
      </c>
      <c r="AB90" s="36" t="s">
        <v>16</v>
      </c>
      <c r="AC90" s="181">
        <f t="shared" si="15"/>
        <v>13.9</v>
      </c>
      <c r="AD90" s="181">
        <f t="shared" si="12"/>
        <v>17865.810000000001</v>
      </c>
      <c r="AE90" s="181">
        <v>1.2</v>
      </c>
      <c r="AF90" s="181">
        <v>1.2</v>
      </c>
      <c r="AG90" s="101" t="str">
        <f t="shared" si="16"/>
        <v/>
      </c>
      <c r="AH90" s="190">
        <v>0</v>
      </c>
      <c r="AI90" s="69">
        <f t="shared" si="17"/>
        <v>13.9</v>
      </c>
    </row>
    <row r="91" spans="1:35" s="69" customFormat="1" ht="26.1" customHeight="1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 t="s">
        <v>15</v>
      </c>
      <c r="I91" s="75">
        <v>1976.06</v>
      </c>
      <c r="J91" s="75">
        <v>186046.05</v>
      </c>
      <c r="K91" s="91" t="s">
        <v>262</v>
      </c>
      <c r="L91" s="73"/>
      <c r="M91" s="46">
        <v>0</v>
      </c>
      <c r="N91" s="46">
        <v>0</v>
      </c>
      <c r="O91" s="46">
        <v>0</v>
      </c>
      <c r="P91" s="98"/>
      <c r="Q91" s="23" t="s">
        <v>1455</v>
      </c>
      <c r="R91" s="24" t="s">
        <v>261</v>
      </c>
      <c r="S91" s="25" t="s">
        <v>30</v>
      </c>
      <c r="T91" s="26">
        <v>94.15</v>
      </c>
      <c r="U91" s="26">
        <v>94.15</v>
      </c>
      <c r="V91" s="26">
        <f t="shared" si="10"/>
        <v>1976.06</v>
      </c>
      <c r="W91" s="26">
        <f t="shared" si="18"/>
        <v>0</v>
      </c>
      <c r="X91" s="26">
        <f t="shared" si="13"/>
        <v>0</v>
      </c>
      <c r="Y91" s="26">
        <f t="shared" si="11"/>
        <v>0</v>
      </c>
      <c r="Z91" s="26">
        <f t="shared" si="14"/>
        <v>0</v>
      </c>
      <c r="AA91" s="33" t="s">
        <v>15</v>
      </c>
      <c r="AB91" s="36" t="s">
        <v>16</v>
      </c>
      <c r="AC91" s="181">
        <f t="shared" si="15"/>
        <v>94.15</v>
      </c>
      <c r="AD91" s="181">
        <f t="shared" si="12"/>
        <v>186046.05</v>
      </c>
      <c r="AE91" s="181">
        <v>1.2</v>
      </c>
      <c r="AF91" s="181">
        <v>1.2</v>
      </c>
      <c r="AG91" s="101" t="str">
        <f t="shared" si="16"/>
        <v/>
      </c>
      <c r="AH91" s="190">
        <v>0</v>
      </c>
      <c r="AI91" s="69">
        <f t="shared" si="17"/>
        <v>94.15</v>
      </c>
    </row>
    <row r="92" spans="1:35" s="69" customFormat="1" ht="26.1" customHeight="1" x14ac:dyDescent="0.3">
      <c r="A92" s="55" t="s">
        <v>263</v>
      </c>
      <c r="B92" s="53" t="s">
        <v>264</v>
      </c>
      <c r="C92" s="54" t="s">
        <v>30</v>
      </c>
      <c r="D92" s="75">
        <v>13.5</v>
      </c>
      <c r="E92" s="75"/>
      <c r="F92" s="75"/>
      <c r="G92" s="75"/>
      <c r="H92" s="75" t="s">
        <v>15</v>
      </c>
      <c r="I92" s="75">
        <v>1889.54</v>
      </c>
      <c r="J92" s="75">
        <v>25508.79</v>
      </c>
      <c r="K92" s="91" t="s">
        <v>265</v>
      </c>
      <c r="L92" s="73"/>
      <c r="M92" s="46">
        <v>0</v>
      </c>
      <c r="N92" s="46">
        <v>0</v>
      </c>
      <c r="O92" s="46">
        <v>0</v>
      </c>
      <c r="P92" s="98"/>
      <c r="Q92" s="23" t="s">
        <v>1456</v>
      </c>
      <c r="R92" s="24" t="s">
        <v>264</v>
      </c>
      <c r="S92" s="25" t="s">
        <v>30</v>
      </c>
      <c r="T92" s="26">
        <v>13.5</v>
      </c>
      <c r="U92" s="26">
        <v>13.5</v>
      </c>
      <c r="V92" s="26">
        <f t="shared" si="10"/>
        <v>1889.54</v>
      </c>
      <c r="W92" s="26">
        <f t="shared" si="18"/>
        <v>0</v>
      </c>
      <c r="X92" s="26">
        <f t="shared" si="13"/>
        <v>0</v>
      </c>
      <c r="Y92" s="26">
        <f t="shared" si="11"/>
        <v>0</v>
      </c>
      <c r="Z92" s="26">
        <f t="shared" si="14"/>
        <v>0</v>
      </c>
      <c r="AA92" s="33" t="s">
        <v>15</v>
      </c>
      <c r="AB92" s="36" t="s">
        <v>16</v>
      </c>
      <c r="AC92" s="181">
        <f t="shared" si="15"/>
        <v>13.5</v>
      </c>
      <c r="AD92" s="181">
        <f t="shared" si="12"/>
        <v>25508.79</v>
      </c>
      <c r="AE92" s="181">
        <v>1.2</v>
      </c>
      <c r="AF92" s="181">
        <v>1.2</v>
      </c>
      <c r="AG92" s="101" t="str">
        <f t="shared" si="16"/>
        <v/>
      </c>
      <c r="AH92" s="190">
        <v>0</v>
      </c>
      <c r="AI92" s="69">
        <f t="shared" si="17"/>
        <v>13.5</v>
      </c>
    </row>
    <row r="93" spans="1:35" s="69" customFormat="1" ht="33" x14ac:dyDescent="0.3">
      <c r="A93" s="55" t="s">
        <v>266</v>
      </c>
      <c r="B93" s="53" t="s">
        <v>267</v>
      </c>
      <c r="C93" s="54" t="s">
        <v>30</v>
      </c>
      <c r="D93" s="75">
        <v>13.7</v>
      </c>
      <c r="E93" s="75"/>
      <c r="F93" s="75"/>
      <c r="G93" s="75"/>
      <c r="H93" s="75" t="s">
        <v>15</v>
      </c>
      <c r="I93" s="75">
        <v>1778.66</v>
      </c>
      <c r="J93" s="75">
        <v>24367.64</v>
      </c>
      <c r="K93" s="91" t="s">
        <v>268</v>
      </c>
      <c r="L93" s="73"/>
      <c r="M93" s="46">
        <v>0</v>
      </c>
      <c r="N93" s="46">
        <v>0</v>
      </c>
      <c r="O93" s="46">
        <v>0</v>
      </c>
      <c r="P93" s="98"/>
      <c r="Q93" s="23" t="s">
        <v>1457</v>
      </c>
      <c r="R93" s="24" t="s">
        <v>267</v>
      </c>
      <c r="S93" s="25" t="s">
        <v>30</v>
      </c>
      <c r="T93" s="26">
        <v>13.7</v>
      </c>
      <c r="U93" s="26">
        <v>13.7</v>
      </c>
      <c r="V93" s="26">
        <f t="shared" si="10"/>
        <v>1778.66</v>
      </c>
      <c r="W93" s="26">
        <f t="shared" si="18"/>
        <v>0</v>
      </c>
      <c r="X93" s="26">
        <f t="shared" si="13"/>
        <v>0</v>
      </c>
      <c r="Y93" s="26">
        <f t="shared" si="11"/>
        <v>0</v>
      </c>
      <c r="Z93" s="26">
        <f t="shared" si="14"/>
        <v>0</v>
      </c>
      <c r="AA93" s="33" t="s">
        <v>15</v>
      </c>
      <c r="AB93" s="36" t="s">
        <v>16</v>
      </c>
      <c r="AC93" s="181">
        <f t="shared" si="15"/>
        <v>13.7</v>
      </c>
      <c r="AD93" s="181">
        <f t="shared" si="12"/>
        <v>24367.64</v>
      </c>
      <c r="AE93" s="181">
        <v>1.2</v>
      </c>
      <c r="AF93" s="181">
        <v>1.2</v>
      </c>
      <c r="AG93" s="101" t="str">
        <f t="shared" si="16"/>
        <v/>
      </c>
      <c r="AH93" s="190">
        <v>0</v>
      </c>
      <c r="AI93" s="69">
        <f t="shared" si="17"/>
        <v>13.7</v>
      </c>
    </row>
    <row r="94" spans="1:35" s="69" customFormat="1" ht="26.1" customHeight="1" x14ac:dyDescent="0.3">
      <c r="A94" s="55" t="s">
        <v>269</v>
      </c>
      <c r="B94" s="53" t="s">
        <v>270</v>
      </c>
      <c r="C94" s="54" t="s">
        <v>30</v>
      </c>
      <c r="D94" s="75">
        <v>17.920000000000002</v>
      </c>
      <c r="E94" s="75"/>
      <c r="F94" s="75"/>
      <c r="G94" s="75"/>
      <c r="H94" s="75" t="s">
        <v>15</v>
      </c>
      <c r="I94" s="75">
        <v>2939.14</v>
      </c>
      <c r="J94" s="75">
        <v>52669.39</v>
      </c>
      <c r="K94" s="91" t="s">
        <v>271</v>
      </c>
      <c r="L94" s="73"/>
      <c r="M94" s="46">
        <v>0</v>
      </c>
      <c r="N94" s="46">
        <v>0</v>
      </c>
      <c r="O94" s="46">
        <v>0</v>
      </c>
      <c r="P94" s="98"/>
      <c r="Q94" s="23" t="s">
        <v>1458</v>
      </c>
      <c r="R94" s="24" t="s">
        <v>270</v>
      </c>
      <c r="S94" s="25" t="s">
        <v>30</v>
      </c>
      <c r="T94" s="26">
        <v>17.920000000000002</v>
      </c>
      <c r="U94" s="26">
        <v>17.920000000000002</v>
      </c>
      <c r="V94" s="26">
        <f t="shared" si="10"/>
        <v>2939.14</v>
      </c>
      <c r="W94" s="26">
        <f t="shared" si="18"/>
        <v>0</v>
      </c>
      <c r="X94" s="26">
        <f t="shared" si="13"/>
        <v>0</v>
      </c>
      <c r="Y94" s="26">
        <f t="shared" si="11"/>
        <v>0</v>
      </c>
      <c r="Z94" s="26">
        <f t="shared" si="14"/>
        <v>0</v>
      </c>
      <c r="AA94" s="33" t="s">
        <v>15</v>
      </c>
      <c r="AB94" s="36" t="s">
        <v>16</v>
      </c>
      <c r="AC94" s="181">
        <f t="shared" si="15"/>
        <v>17.920000000000002</v>
      </c>
      <c r="AD94" s="181">
        <f t="shared" si="12"/>
        <v>52669.39</v>
      </c>
      <c r="AE94" s="181">
        <v>1.2</v>
      </c>
      <c r="AF94" s="181">
        <v>1.2</v>
      </c>
      <c r="AG94" s="101" t="str">
        <f t="shared" si="16"/>
        <v/>
      </c>
      <c r="AH94" s="190">
        <v>0</v>
      </c>
      <c r="AI94" s="69">
        <f t="shared" si="17"/>
        <v>17.920000000000002</v>
      </c>
    </row>
    <row r="95" spans="1:35" s="69" customFormat="1" ht="26.1" customHeight="1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 t="s">
        <v>15</v>
      </c>
      <c r="I95" s="75">
        <v>23030.799999999999</v>
      </c>
      <c r="J95" s="75">
        <v>23030.799999999999</v>
      </c>
      <c r="K95" s="91" t="s">
        <v>274</v>
      </c>
      <c r="L95" s="73"/>
      <c r="M95" s="46">
        <v>0</v>
      </c>
      <c r="N95" s="46">
        <v>0</v>
      </c>
      <c r="O95" s="46">
        <v>0</v>
      </c>
      <c r="P95" s="98"/>
      <c r="Q95" s="23" t="s">
        <v>1459</v>
      </c>
      <c r="R95" s="24" t="s">
        <v>273</v>
      </c>
      <c r="S95" s="25" t="s">
        <v>81</v>
      </c>
      <c r="T95" s="26">
        <v>1</v>
      </c>
      <c r="U95" s="26">
        <v>1</v>
      </c>
      <c r="V95" s="26">
        <f t="shared" si="10"/>
        <v>23030.799999999999</v>
      </c>
      <c r="W95" s="26">
        <f t="shared" si="18"/>
        <v>0</v>
      </c>
      <c r="X95" s="26">
        <f t="shared" si="13"/>
        <v>0</v>
      </c>
      <c r="Y95" s="26">
        <f t="shared" si="11"/>
        <v>0</v>
      </c>
      <c r="Z95" s="26">
        <f t="shared" si="14"/>
        <v>0</v>
      </c>
      <c r="AA95" s="33" t="s">
        <v>15</v>
      </c>
      <c r="AB95" s="36" t="s">
        <v>16</v>
      </c>
      <c r="AC95" s="181">
        <f t="shared" si="15"/>
        <v>1</v>
      </c>
      <c r="AD95" s="181">
        <f t="shared" si="12"/>
        <v>23030.799999999999</v>
      </c>
      <c r="AE95" s="181">
        <v>1.2</v>
      </c>
      <c r="AF95" s="181">
        <v>1.2</v>
      </c>
      <c r="AG95" s="101" t="str">
        <f t="shared" si="16"/>
        <v/>
      </c>
      <c r="AH95" s="190">
        <v>0</v>
      </c>
      <c r="AI95" s="69">
        <f t="shared" si="17"/>
        <v>1</v>
      </c>
    </row>
    <row r="96" spans="1:35" s="69" customFormat="1" ht="26.1" customHeight="1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 t="s">
        <v>15</v>
      </c>
      <c r="I96" s="75">
        <v>18605.919999999998</v>
      </c>
      <c r="J96" s="75">
        <v>37211.839999999997</v>
      </c>
      <c r="K96" s="91" t="s">
        <v>277</v>
      </c>
      <c r="L96" s="73"/>
      <c r="M96" s="46">
        <v>0</v>
      </c>
      <c r="N96" s="46">
        <v>0</v>
      </c>
      <c r="O96" s="46">
        <v>0</v>
      </c>
      <c r="P96" s="98"/>
      <c r="Q96" s="23" t="s">
        <v>1460</v>
      </c>
      <c r="R96" s="24" t="s">
        <v>276</v>
      </c>
      <c r="S96" s="25" t="s">
        <v>81</v>
      </c>
      <c r="T96" s="26">
        <v>2</v>
      </c>
      <c r="U96" s="26">
        <v>2</v>
      </c>
      <c r="V96" s="26">
        <f t="shared" si="10"/>
        <v>18605.919999999998</v>
      </c>
      <c r="W96" s="26">
        <f t="shared" si="18"/>
        <v>0</v>
      </c>
      <c r="X96" s="26">
        <f t="shared" si="13"/>
        <v>0</v>
      </c>
      <c r="Y96" s="26">
        <f t="shared" si="11"/>
        <v>0</v>
      </c>
      <c r="Z96" s="26">
        <f t="shared" si="14"/>
        <v>0</v>
      </c>
      <c r="AA96" s="33" t="s">
        <v>15</v>
      </c>
      <c r="AB96" s="36" t="s">
        <v>16</v>
      </c>
      <c r="AC96" s="181">
        <f t="shared" si="15"/>
        <v>2</v>
      </c>
      <c r="AD96" s="181">
        <f t="shared" si="12"/>
        <v>37211.839999999997</v>
      </c>
      <c r="AE96" s="181">
        <v>1.2</v>
      </c>
      <c r="AF96" s="181">
        <v>1.2</v>
      </c>
      <c r="AG96" s="101" t="str">
        <f t="shared" si="16"/>
        <v/>
      </c>
      <c r="AH96" s="190">
        <v>0</v>
      </c>
      <c r="AI96" s="69">
        <f t="shared" si="17"/>
        <v>2</v>
      </c>
    </row>
    <row r="97" spans="1:35" s="69" customFormat="1" ht="26.1" customHeight="1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 t="s">
        <v>15</v>
      </c>
      <c r="I97" s="75">
        <v>18605.919999999998</v>
      </c>
      <c r="J97" s="75">
        <v>18605.919999999998</v>
      </c>
      <c r="K97" s="91" t="s">
        <v>280</v>
      </c>
      <c r="L97" s="73"/>
      <c r="M97" s="46">
        <v>0</v>
      </c>
      <c r="N97" s="46">
        <v>0</v>
      </c>
      <c r="O97" s="46">
        <v>0</v>
      </c>
      <c r="P97" s="98"/>
      <c r="Q97" s="23" t="s">
        <v>1461</v>
      </c>
      <c r="R97" s="24" t="s">
        <v>279</v>
      </c>
      <c r="S97" s="25" t="s">
        <v>81</v>
      </c>
      <c r="T97" s="26">
        <v>1</v>
      </c>
      <c r="U97" s="26">
        <v>1</v>
      </c>
      <c r="V97" s="26">
        <f t="shared" si="10"/>
        <v>18605.919999999998</v>
      </c>
      <c r="W97" s="26">
        <f t="shared" si="18"/>
        <v>0</v>
      </c>
      <c r="X97" s="26">
        <f t="shared" si="13"/>
        <v>0</v>
      </c>
      <c r="Y97" s="26">
        <f t="shared" si="11"/>
        <v>0</v>
      </c>
      <c r="Z97" s="26">
        <f t="shared" si="14"/>
        <v>0</v>
      </c>
      <c r="AA97" s="33" t="s">
        <v>15</v>
      </c>
      <c r="AB97" s="36" t="s">
        <v>16</v>
      </c>
      <c r="AC97" s="181">
        <f t="shared" si="15"/>
        <v>1</v>
      </c>
      <c r="AD97" s="181">
        <f t="shared" si="12"/>
        <v>18605.919999999998</v>
      </c>
      <c r="AE97" s="181">
        <v>1.2</v>
      </c>
      <c r="AF97" s="181">
        <v>1.2</v>
      </c>
      <c r="AG97" s="101" t="str">
        <f t="shared" si="16"/>
        <v/>
      </c>
      <c r="AH97" s="190">
        <v>0</v>
      </c>
      <c r="AI97" s="69">
        <f t="shared" si="17"/>
        <v>1</v>
      </c>
    </row>
    <row r="98" spans="1:35" s="69" customFormat="1" ht="26.1" customHeight="1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 t="s">
        <v>15</v>
      </c>
      <c r="I98" s="75">
        <v>11655.48</v>
      </c>
      <c r="J98" s="75">
        <v>34966.44</v>
      </c>
      <c r="K98" s="91" t="s">
        <v>283</v>
      </c>
      <c r="L98" s="73"/>
      <c r="M98" s="46">
        <v>0</v>
      </c>
      <c r="N98" s="46">
        <v>0</v>
      </c>
      <c r="O98" s="46">
        <v>0</v>
      </c>
      <c r="P98" s="98"/>
      <c r="Q98" s="23" t="s">
        <v>1462</v>
      </c>
      <c r="R98" s="24" t="s">
        <v>282</v>
      </c>
      <c r="S98" s="25" t="s">
        <v>81</v>
      </c>
      <c r="T98" s="26">
        <v>3</v>
      </c>
      <c r="U98" s="26">
        <v>3</v>
      </c>
      <c r="V98" s="26">
        <f t="shared" si="10"/>
        <v>11655.48</v>
      </c>
      <c r="W98" s="26">
        <f t="shared" si="18"/>
        <v>0</v>
      </c>
      <c r="X98" s="26">
        <f t="shared" si="13"/>
        <v>0</v>
      </c>
      <c r="Y98" s="26">
        <f t="shared" si="11"/>
        <v>0</v>
      </c>
      <c r="Z98" s="26">
        <f t="shared" si="14"/>
        <v>0</v>
      </c>
      <c r="AA98" s="33" t="s">
        <v>15</v>
      </c>
      <c r="AB98" s="36" t="s">
        <v>16</v>
      </c>
      <c r="AC98" s="181">
        <f t="shared" si="15"/>
        <v>3</v>
      </c>
      <c r="AD98" s="181">
        <f t="shared" si="12"/>
        <v>34966.44</v>
      </c>
      <c r="AE98" s="181">
        <v>1.2</v>
      </c>
      <c r="AF98" s="181">
        <v>1.2</v>
      </c>
      <c r="AG98" s="101" t="str">
        <f t="shared" si="16"/>
        <v/>
      </c>
      <c r="AH98" s="190">
        <v>0</v>
      </c>
      <c r="AI98" s="69">
        <f t="shared" si="17"/>
        <v>3</v>
      </c>
    </row>
    <row r="99" spans="1:35" s="69" customFormat="1" ht="26.1" customHeight="1" x14ac:dyDescent="0.3">
      <c r="A99" s="55" t="s">
        <v>284</v>
      </c>
      <c r="B99" s="53" t="s">
        <v>285</v>
      </c>
      <c r="C99" s="54" t="s">
        <v>81</v>
      </c>
      <c r="D99" s="75">
        <v>4</v>
      </c>
      <c r="E99" s="75"/>
      <c r="F99" s="75"/>
      <c r="G99" s="75"/>
      <c r="H99" s="75" t="s">
        <v>15</v>
      </c>
      <c r="I99" s="75">
        <v>25108.91</v>
      </c>
      <c r="J99" s="75">
        <v>100435.64</v>
      </c>
      <c r="K99" s="91" t="s">
        <v>286</v>
      </c>
      <c r="L99" s="73"/>
      <c r="M99" s="46">
        <v>0</v>
      </c>
      <c r="N99" s="46">
        <v>0</v>
      </c>
      <c r="O99" s="46">
        <v>0</v>
      </c>
      <c r="P99" s="98"/>
      <c r="Q99" s="23" t="s">
        <v>1463</v>
      </c>
      <c r="R99" s="24" t="s">
        <v>285</v>
      </c>
      <c r="S99" s="25" t="s">
        <v>81</v>
      </c>
      <c r="T99" s="26">
        <v>4</v>
      </c>
      <c r="U99" s="26">
        <v>4</v>
      </c>
      <c r="V99" s="26">
        <f t="shared" si="10"/>
        <v>25108.91</v>
      </c>
      <c r="W99" s="26">
        <f t="shared" si="18"/>
        <v>0</v>
      </c>
      <c r="X99" s="26">
        <f t="shared" si="13"/>
        <v>0</v>
      </c>
      <c r="Y99" s="26">
        <f t="shared" si="11"/>
        <v>0</v>
      </c>
      <c r="Z99" s="26">
        <f t="shared" si="14"/>
        <v>0</v>
      </c>
      <c r="AA99" s="33" t="s">
        <v>15</v>
      </c>
      <c r="AB99" s="36" t="s">
        <v>16</v>
      </c>
      <c r="AC99" s="181">
        <f t="shared" si="15"/>
        <v>4</v>
      </c>
      <c r="AD99" s="181">
        <f t="shared" si="12"/>
        <v>100435.64</v>
      </c>
      <c r="AE99" s="181">
        <v>1.2</v>
      </c>
      <c r="AF99" s="181">
        <v>1.2</v>
      </c>
      <c r="AG99" s="101" t="str">
        <f t="shared" si="16"/>
        <v/>
      </c>
      <c r="AH99" s="190">
        <v>0</v>
      </c>
      <c r="AI99" s="69">
        <f t="shared" si="17"/>
        <v>4</v>
      </c>
    </row>
    <row r="100" spans="1:35" s="69" customFormat="1" ht="26.1" customHeight="1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 t="s">
        <v>15</v>
      </c>
      <c r="I100" s="75">
        <v>22416.92</v>
      </c>
      <c r="J100" s="75">
        <v>112084.6</v>
      </c>
      <c r="K100" s="91" t="s">
        <v>289</v>
      </c>
      <c r="L100" s="73"/>
      <c r="M100" s="46">
        <v>0</v>
      </c>
      <c r="N100" s="46">
        <v>0</v>
      </c>
      <c r="O100" s="46">
        <v>0</v>
      </c>
      <c r="P100" s="98"/>
      <c r="Q100" s="23" t="s">
        <v>1464</v>
      </c>
      <c r="R100" s="24" t="s">
        <v>288</v>
      </c>
      <c r="S100" s="25" t="s">
        <v>81</v>
      </c>
      <c r="T100" s="26">
        <v>5</v>
      </c>
      <c r="U100" s="26">
        <v>5</v>
      </c>
      <c r="V100" s="26">
        <f t="shared" si="10"/>
        <v>22416.92</v>
      </c>
      <c r="W100" s="26">
        <f t="shared" si="18"/>
        <v>0</v>
      </c>
      <c r="X100" s="26">
        <f t="shared" si="13"/>
        <v>0</v>
      </c>
      <c r="Y100" s="26">
        <f t="shared" si="11"/>
        <v>0</v>
      </c>
      <c r="Z100" s="26">
        <f t="shared" si="14"/>
        <v>0</v>
      </c>
      <c r="AA100" s="33" t="s">
        <v>15</v>
      </c>
      <c r="AB100" s="36" t="s">
        <v>16</v>
      </c>
      <c r="AC100" s="181">
        <f t="shared" si="15"/>
        <v>5</v>
      </c>
      <c r="AD100" s="181">
        <f t="shared" si="12"/>
        <v>112084.6</v>
      </c>
      <c r="AE100" s="181">
        <v>1.2</v>
      </c>
      <c r="AF100" s="181">
        <v>1.2</v>
      </c>
      <c r="AG100" s="101" t="str">
        <f t="shared" si="16"/>
        <v/>
      </c>
      <c r="AH100" s="190">
        <v>0</v>
      </c>
      <c r="AI100" s="69">
        <f t="shared" si="17"/>
        <v>5</v>
      </c>
    </row>
    <row r="101" spans="1:35" s="69" customFormat="1" ht="26.1" customHeight="1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 t="s">
        <v>15</v>
      </c>
      <c r="I101" s="75">
        <v>21724.76</v>
      </c>
      <c r="J101" s="75">
        <v>21724.76</v>
      </c>
      <c r="K101" s="91" t="s">
        <v>292</v>
      </c>
      <c r="L101" s="73"/>
      <c r="M101" s="46">
        <v>0</v>
      </c>
      <c r="N101" s="46">
        <v>0</v>
      </c>
      <c r="O101" s="46">
        <v>0</v>
      </c>
      <c r="P101" s="98"/>
      <c r="Q101" s="23" t="s">
        <v>1465</v>
      </c>
      <c r="R101" s="24" t="s">
        <v>291</v>
      </c>
      <c r="S101" s="25" t="s">
        <v>81</v>
      </c>
      <c r="T101" s="26">
        <v>1</v>
      </c>
      <c r="U101" s="26">
        <v>1</v>
      </c>
      <c r="V101" s="26">
        <f t="shared" si="10"/>
        <v>21724.76</v>
      </c>
      <c r="W101" s="26">
        <f t="shared" si="18"/>
        <v>0</v>
      </c>
      <c r="X101" s="26">
        <f t="shared" si="13"/>
        <v>0</v>
      </c>
      <c r="Y101" s="26">
        <f t="shared" si="11"/>
        <v>0</v>
      </c>
      <c r="Z101" s="26">
        <f t="shared" si="14"/>
        <v>0</v>
      </c>
      <c r="AA101" s="33" t="s">
        <v>15</v>
      </c>
      <c r="AB101" s="36" t="s">
        <v>16</v>
      </c>
      <c r="AC101" s="181">
        <f t="shared" si="15"/>
        <v>1</v>
      </c>
      <c r="AD101" s="181">
        <f t="shared" si="12"/>
        <v>21724.76</v>
      </c>
      <c r="AE101" s="181">
        <v>1.2</v>
      </c>
      <c r="AF101" s="181">
        <v>1.2</v>
      </c>
      <c r="AG101" s="101" t="str">
        <f t="shared" si="16"/>
        <v/>
      </c>
      <c r="AH101" s="190">
        <v>0</v>
      </c>
      <c r="AI101" s="69">
        <f t="shared" si="17"/>
        <v>1</v>
      </c>
    </row>
    <row r="102" spans="1:35" s="69" customFormat="1" ht="26.1" customHeight="1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 t="s">
        <v>15</v>
      </c>
      <c r="I102" s="75">
        <v>17341.04</v>
      </c>
      <c r="J102" s="75">
        <v>34682.080000000002</v>
      </c>
      <c r="K102" s="91" t="s">
        <v>295</v>
      </c>
      <c r="L102" s="73"/>
      <c r="M102" s="46">
        <v>0</v>
      </c>
      <c r="N102" s="46">
        <v>0</v>
      </c>
      <c r="O102" s="46">
        <v>0</v>
      </c>
      <c r="P102" s="98"/>
      <c r="Q102" s="23" t="s">
        <v>1466</v>
      </c>
      <c r="R102" s="24" t="s">
        <v>294</v>
      </c>
      <c r="S102" s="25" t="s">
        <v>81</v>
      </c>
      <c r="T102" s="26">
        <v>2</v>
      </c>
      <c r="U102" s="26">
        <v>2</v>
      </c>
      <c r="V102" s="26">
        <f t="shared" si="10"/>
        <v>17341.04</v>
      </c>
      <c r="W102" s="26">
        <f t="shared" si="18"/>
        <v>0</v>
      </c>
      <c r="X102" s="26">
        <f t="shared" si="13"/>
        <v>0</v>
      </c>
      <c r="Y102" s="26">
        <f t="shared" si="11"/>
        <v>0</v>
      </c>
      <c r="Z102" s="26">
        <f t="shared" si="14"/>
        <v>0</v>
      </c>
      <c r="AA102" s="33" t="s">
        <v>15</v>
      </c>
      <c r="AB102" s="36" t="s">
        <v>16</v>
      </c>
      <c r="AC102" s="181">
        <f t="shared" si="15"/>
        <v>2</v>
      </c>
      <c r="AD102" s="181">
        <f t="shared" si="12"/>
        <v>34682.080000000002</v>
      </c>
      <c r="AE102" s="181">
        <v>1.2</v>
      </c>
      <c r="AF102" s="181">
        <v>1.2</v>
      </c>
      <c r="AG102" s="101" t="str">
        <f t="shared" si="16"/>
        <v/>
      </c>
      <c r="AH102" s="190">
        <v>0</v>
      </c>
      <c r="AI102" s="69">
        <f t="shared" si="17"/>
        <v>2</v>
      </c>
    </row>
    <row r="103" spans="1:35" s="69" customFormat="1" ht="26.1" customHeight="1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 t="s">
        <v>15</v>
      </c>
      <c r="I103" s="75">
        <v>17341.04</v>
      </c>
      <c r="J103" s="75">
        <v>17341.04</v>
      </c>
      <c r="K103" s="91" t="s">
        <v>298</v>
      </c>
      <c r="L103" s="73"/>
      <c r="M103" s="46">
        <v>0</v>
      </c>
      <c r="N103" s="46">
        <v>0</v>
      </c>
      <c r="O103" s="46">
        <v>0</v>
      </c>
      <c r="P103" s="98"/>
      <c r="Q103" s="23" t="s">
        <v>1467</v>
      </c>
      <c r="R103" s="24" t="s">
        <v>297</v>
      </c>
      <c r="S103" s="25" t="s">
        <v>81</v>
      </c>
      <c r="T103" s="26">
        <v>1</v>
      </c>
      <c r="U103" s="26">
        <v>1</v>
      </c>
      <c r="V103" s="26">
        <f t="shared" ref="V103:V166" si="19">I103</f>
        <v>17341.04</v>
      </c>
      <c r="W103" s="26">
        <f t="shared" si="18"/>
        <v>0</v>
      </c>
      <c r="X103" s="26">
        <f t="shared" si="13"/>
        <v>0</v>
      </c>
      <c r="Y103" s="26">
        <f t="shared" ref="Y103:Y132" si="20">Z103-O103</f>
        <v>0</v>
      </c>
      <c r="Z103" s="26">
        <f t="shared" si="14"/>
        <v>0</v>
      </c>
      <c r="AA103" s="33" t="s">
        <v>15</v>
      </c>
      <c r="AB103" s="36" t="s">
        <v>16</v>
      </c>
      <c r="AC103" s="181">
        <f t="shared" si="15"/>
        <v>1</v>
      </c>
      <c r="AD103" s="181">
        <f t="shared" si="12"/>
        <v>17341.04</v>
      </c>
      <c r="AE103" s="181">
        <v>1.2</v>
      </c>
      <c r="AF103" s="181">
        <v>1.2</v>
      </c>
      <c r="AG103" s="101" t="str">
        <f t="shared" si="16"/>
        <v/>
      </c>
      <c r="AH103" s="190">
        <v>0</v>
      </c>
      <c r="AI103" s="69">
        <f t="shared" si="17"/>
        <v>1</v>
      </c>
    </row>
    <row r="104" spans="1:35" s="69" customFormat="1" ht="26.1" customHeight="1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 t="s">
        <v>15</v>
      </c>
      <c r="I104" s="75">
        <v>17341.04</v>
      </c>
      <c r="J104" s="75">
        <v>104046.24</v>
      </c>
      <c r="K104" s="91" t="s">
        <v>301</v>
      </c>
      <c r="L104" s="73"/>
      <c r="M104" s="46">
        <v>0</v>
      </c>
      <c r="N104" s="46">
        <v>0</v>
      </c>
      <c r="O104" s="46">
        <v>0</v>
      </c>
      <c r="P104" s="98"/>
      <c r="Q104" s="23" t="s">
        <v>1468</v>
      </c>
      <c r="R104" s="24" t="s">
        <v>300</v>
      </c>
      <c r="S104" s="25" t="s">
        <v>81</v>
      </c>
      <c r="T104" s="26">
        <v>6</v>
      </c>
      <c r="U104" s="26">
        <v>6</v>
      </c>
      <c r="V104" s="26">
        <f t="shared" si="19"/>
        <v>17341.04</v>
      </c>
      <c r="W104" s="26">
        <f t="shared" si="18"/>
        <v>0</v>
      </c>
      <c r="X104" s="26">
        <f t="shared" si="13"/>
        <v>0</v>
      </c>
      <c r="Y104" s="26">
        <f t="shared" si="20"/>
        <v>0</v>
      </c>
      <c r="Z104" s="26">
        <f t="shared" si="14"/>
        <v>0</v>
      </c>
      <c r="AA104" s="33" t="s">
        <v>15</v>
      </c>
      <c r="AB104" s="36" t="s">
        <v>16</v>
      </c>
      <c r="AC104" s="181">
        <f t="shared" si="15"/>
        <v>6</v>
      </c>
      <c r="AD104" s="181">
        <f t="shared" ref="AD104:AD132" si="21">ROUND(V104*AC104,2)</f>
        <v>104046.24</v>
      </c>
      <c r="AE104" s="181">
        <v>1.2</v>
      </c>
      <c r="AF104" s="181">
        <v>1.2</v>
      </c>
      <c r="AG104" s="101" t="str">
        <f t="shared" si="16"/>
        <v/>
      </c>
      <c r="AH104" s="190">
        <v>0</v>
      </c>
      <c r="AI104" s="69">
        <f t="shared" si="17"/>
        <v>6</v>
      </c>
    </row>
    <row r="105" spans="1:35" s="69" customFormat="1" ht="26.1" customHeight="1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 t="s">
        <v>15</v>
      </c>
      <c r="I105" s="75">
        <v>17497.64</v>
      </c>
      <c r="J105" s="75">
        <v>34995.279999999999</v>
      </c>
      <c r="K105" s="91" t="s">
        <v>304</v>
      </c>
      <c r="L105" s="73"/>
      <c r="M105" s="46">
        <v>0</v>
      </c>
      <c r="N105" s="46">
        <v>0</v>
      </c>
      <c r="O105" s="46">
        <v>0</v>
      </c>
      <c r="P105" s="98"/>
      <c r="Q105" s="23" t="s">
        <v>1469</v>
      </c>
      <c r="R105" s="24" t="s">
        <v>303</v>
      </c>
      <c r="S105" s="25" t="s">
        <v>81</v>
      </c>
      <c r="T105" s="26">
        <v>2</v>
      </c>
      <c r="U105" s="26">
        <v>2</v>
      </c>
      <c r="V105" s="26">
        <f t="shared" si="19"/>
        <v>17497.64</v>
      </c>
      <c r="W105" s="26">
        <f t="shared" si="18"/>
        <v>0</v>
      </c>
      <c r="X105" s="26">
        <f t="shared" si="13"/>
        <v>0</v>
      </c>
      <c r="Y105" s="26">
        <f t="shared" si="20"/>
        <v>0</v>
      </c>
      <c r="Z105" s="26">
        <f t="shared" si="14"/>
        <v>0</v>
      </c>
      <c r="AA105" s="33" t="s">
        <v>15</v>
      </c>
      <c r="AB105" s="36" t="s">
        <v>16</v>
      </c>
      <c r="AC105" s="181">
        <f t="shared" si="15"/>
        <v>2</v>
      </c>
      <c r="AD105" s="181">
        <f t="shared" si="21"/>
        <v>34995.279999999999</v>
      </c>
      <c r="AE105" s="181">
        <v>1.2</v>
      </c>
      <c r="AF105" s="181">
        <v>1.2</v>
      </c>
      <c r="AG105" s="101" t="str">
        <f t="shared" si="16"/>
        <v/>
      </c>
      <c r="AH105" s="190">
        <v>0</v>
      </c>
      <c r="AI105" s="69">
        <f t="shared" si="17"/>
        <v>2</v>
      </c>
    </row>
    <row r="106" spans="1:35" s="69" customFormat="1" ht="26.1" customHeight="1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 t="s">
        <v>15</v>
      </c>
      <c r="I106" s="75">
        <v>1501.74</v>
      </c>
      <c r="J106" s="75">
        <v>3003.48</v>
      </c>
      <c r="K106" s="91" t="s">
        <v>307</v>
      </c>
      <c r="L106" s="73"/>
      <c r="M106" s="46">
        <v>0</v>
      </c>
      <c r="N106" s="46">
        <v>0</v>
      </c>
      <c r="O106" s="46">
        <v>0</v>
      </c>
      <c r="P106" s="98"/>
      <c r="Q106" s="23" t="s">
        <v>1470</v>
      </c>
      <c r="R106" s="24" t="s">
        <v>306</v>
      </c>
      <c r="S106" s="25" t="s">
        <v>81</v>
      </c>
      <c r="T106" s="26">
        <v>2</v>
      </c>
      <c r="U106" s="26">
        <v>2</v>
      </c>
      <c r="V106" s="26">
        <f t="shared" si="19"/>
        <v>1501.74</v>
      </c>
      <c r="W106" s="26">
        <f t="shared" si="18"/>
        <v>0</v>
      </c>
      <c r="X106" s="26">
        <f t="shared" si="13"/>
        <v>0</v>
      </c>
      <c r="Y106" s="26">
        <f t="shared" si="20"/>
        <v>0</v>
      </c>
      <c r="Z106" s="26">
        <f t="shared" si="14"/>
        <v>0</v>
      </c>
      <c r="AA106" s="33" t="s">
        <v>15</v>
      </c>
      <c r="AB106" s="36" t="s">
        <v>16</v>
      </c>
      <c r="AC106" s="181">
        <f t="shared" si="15"/>
        <v>2</v>
      </c>
      <c r="AD106" s="181">
        <f t="shared" si="21"/>
        <v>3003.48</v>
      </c>
      <c r="AE106" s="181">
        <v>1.2</v>
      </c>
      <c r="AF106" s="181">
        <v>1.2</v>
      </c>
      <c r="AG106" s="101" t="str">
        <f t="shared" si="16"/>
        <v/>
      </c>
      <c r="AH106" s="190">
        <v>0</v>
      </c>
      <c r="AI106" s="69">
        <f t="shared" si="17"/>
        <v>2</v>
      </c>
    </row>
    <row r="107" spans="1:35" s="69" customFormat="1" ht="26.1" customHeight="1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 t="s">
        <v>15</v>
      </c>
      <c r="I107" s="75">
        <v>994.98</v>
      </c>
      <c r="J107" s="75">
        <v>994.98</v>
      </c>
      <c r="K107" s="91" t="s">
        <v>310</v>
      </c>
      <c r="L107" s="73"/>
      <c r="M107" s="46">
        <v>0</v>
      </c>
      <c r="N107" s="46">
        <v>0</v>
      </c>
      <c r="O107" s="46">
        <v>0</v>
      </c>
      <c r="P107" s="98"/>
      <c r="Q107" s="23" t="s">
        <v>1471</v>
      </c>
      <c r="R107" s="24" t="s">
        <v>309</v>
      </c>
      <c r="S107" s="25" t="s">
        <v>81</v>
      </c>
      <c r="T107" s="26">
        <v>1</v>
      </c>
      <c r="U107" s="26">
        <v>1</v>
      </c>
      <c r="V107" s="26">
        <f t="shared" si="19"/>
        <v>994.98</v>
      </c>
      <c r="W107" s="26">
        <f t="shared" si="18"/>
        <v>0</v>
      </c>
      <c r="X107" s="26">
        <f t="shared" si="13"/>
        <v>0</v>
      </c>
      <c r="Y107" s="26">
        <f t="shared" si="20"/>
        <v>0</v>
      </c>
      <c r="Z107" s="26">
        <f t="shared" si="14"/>
        <v>0</v>
      </c>
      <c r="AA107" s="33" t="s">
        <v>15</v>
      </c>
      <c r="AB107" s="36" t="s">
        <v>16</v>
      </c>
      <c r="AC107" s="181">
        <f t="shared" si="15"/>
        <v>1</v>
      </c>
      <c r="AD107" s="181">
        <f t="shared" si="21"/>
        <v>994.98</v>
      </c>
      <c r="AE107" s="181">
        <v>1.2</v>
      </c>
      <c r="AF107" s="181">
        <v>1.2</v>
      </c>
      <c r="AG107" s="101" t="str">
        <f t="shared" si="16"/>
        <v/>
      </c>
      <c r="AH107" s="190">
        <v>0</v>
      </c>
      <c r="AI107" s="69">
        <f t="shared" si="17"/>
        <v>1</v>
      </c>
    </row>
    <row r="108" spans="1:35" s="69" customFormat="1" ht="26.1" customHeight="1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 t="s">
        <v>15</v>
      </c>
      <c r="I108" s="75">
        <v>331.66</v>
      </c>
      <c r="J108" s="75">
        <v>3979.92</v>
      </c>
      <c r="K108" s="91" t="s">
        <v>313</v>
      </c>
      <c r="L108" s="73"/>
      <c r="M108" s="46">
        <v>0</v>
      </c>
      <c r="N108" s="46">
        <v>0</v>
      </c>
      <c r="O108" s="46">
        <v>0</v>
      </c>
      <c r="P108" s="98"/>
      <c r="Q108" s="23" t="s">
        <v>1472</v>
      </c>
      <c r="R108" s="24" t="s">
        <v>312</v>
      </c>
      <c r="S108" s="25" t="s">
        <v>81</v>
      </c>
      <c r="T108" s="26">
        <v>12</v>
      </c>
      <c r="U108" s="26">
        <v>12</v>
      </c>
      <c r="V108" s="26">
        <f t="shared" si="19"/>
        <v>331.66</v>
      </c>
      <c r="W108" s="26">
        <f t="shared" si="18"/>
        <v>0</v>
      </c>
      <c r="X108" s="26">
        <f t="shared" si="13"/>
        <v>0</v>
      </c>
      <c r="Y108" s="26">
        <f t="shared" si="20"/>
        <v>0</v>
      </c>
      <c r="Z108" s="26">
        <f t="shared" si="14"/>
        <v>0</v>
      </c>
      <c r="AA108" s="33" t="s">
        <v>15</v>
      </c>
      <c r="AB108" s="36" t="s">
        <v>16</v>
      </c>
      <c r="AC108" s="181">
        <f t="shared" si="15"/>
        <v>12</v>
      </c>
      <c r="AD108" s="181">
        <f t="shared" si="21"/>
        <v>3979.92</v>
      </c>
      <c r="AE108" s="181">
        <v>1.2</v>
      </c>
      <c r="AF108" s="181">
        <v>1.2</v>
      </c>
      <c r="AG108" s="101" t="str">
        <f t="shared" si="16"/>
        <v/>
      </c>
      <c r="AH108" s="190">
        <v>0</v>
      </c>
      <c r="AI108" s="69">
        <f t="shared" si="17"/>
        <v>12</v>
      </c>
    </row>
    <row r="109" spans="1:35" s="69" customFormat="1" ht="26.1" customHeight="1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 t="s">
        <v>15</v>
      </c>
      <c r="I109" s="75">
        <v>1096.44</v>
      </c>
      <c r="J109" s="75">
        <v>2192.88</v>
      </c>
      <c r="K109" s="91" t="s">
        <v>316</v>
      </c>
      <c r="L109" s="73"/>
      <c r="M109" s="46">
        <v>0</v>
      </c>
      <c r="N109" s="46">
        <v>0</v>
      </c>
      <c r="O109" s="46">
        <v>0</v>
      </c>
      <c r="P109" s="98"/>
      <c r="Q109" s="23" t="s">
        <v>1473</v>
      </c>
      <c r="R109" s="24" t="s">
        <v>315</v>
      </c>
      <c r="S109" s="25" t="s">
        <v>81</v>
      </c>
      <c r="T109" s="26">
        <v>2</v>
      </c>
      <c r="U109" s="26">
        <v>2</v>
      </c>
      <c r="V109" s="26">
        <f t="shared" si="19"/>
        <v>1096.44</v>
      </c>
      <c r="W109" s="26">
        <f t="shared" si="18"/>
        <v>0</v>
      </c>
      <c r="X109" s="26">
        <f t="shared" si="13"/>
        <v>0</v>
      </c>
      <c r="Y109" s="26">
        <f t="shared" si="20"/>
        <v>0</v>
      </c>
      <c r="Z109" s="26">
        <f t="shared" si="14"/>
        <v>0</v>
      </c>
      <c r="AA109" s="33" t="s">
        <v>15</v>
      </c>
      <c r="AB109" s="36" t="s">
        <v>16</v>
      </c>
      <c r="AC109" s="181">
        <f t="shared" si="15"/>
        <v>2</v>
      </c>
      <c r="AD109" s="181">
        <f t="shared" si="21"/>
        <v>2192.88</v>
      </c>
      <c r="AE109" s="181">
        <v>1.2</v>
      </c>
      <c r="AF109" s="181">
        <v>1.2</v>
      </c>
      <c r="AG109" s="101" t="str">
        <f t="shared" si="16"/>
        <v/>
      </c>
      <c r="AH109" s="190">
        <v>0</v>
      </c>
      <c r="AI109" s="69">
        <f t="shared" si="17"/>
        <v>2</v>
      </c>
    </row>
    <row r="110" spans="1:35" s="69" customFormat="1" ht="26.1" customHeight="1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 t="s">
        <v>15</v>
      </c>
      <c r="I110" s="75">
        <v>952.24</v>
      </c>
      <c r="J110" s="75">
        <v>3808.96</v>
      </c>
      <c r="K110" s="91" t="s">
        <v>319</v>
      </c>
      <c r="L110" s="73"/>
      <c r="M110" s="46">
        <v>0</v>
      </c>
      <c r="N110" s="46">
        <v>0</v>
      </c>
      <c r="O110" s="46">
        <v>0</v>
      </c>
      <c r="P110" s="98"/>
      <c r="Q110" s="23" t="s">
        <v>1474</v>
      </c>
      <c r="R110" s="24" t="s">
        <v>318</v>
      </c>
      <c r="S110" s="25" t="s">
        <v>81</v>
      </c>
      <c r="T110" s="26">
        <v>4</v>
      </c>
      <c r="U110" s="26">
        <v>4</v>
      </c>
      <c r="V110" s="26">
        <f t="shared" si="19"/>
        <v>952.24</v>
      </c>
      <c r="W110" s="26">
        <f t="shared" si="18"/>
        <v>0</v>
      </c>
      <c r="X110" s="26">
        <f t="shared" si="13"/>
        <v>0</v>
      </c>
      <c r="Y110" s="26">
        <f t="shared" si="20"/>
        <v>0</v>
      </c>
      <c r="Z110" s="26">
        <f t="shared" si="14"/>
        <v>0</v>
      </c>
      <c r="AA110" s="33" t="s">
        <v>15</v>
      </c>
      <c r="AB110" s="36" t="s">
        <v>16</v>
      </c>
      <c r="AC110" s="181">
        <f t="shared" si="15"/>
        <v>4</v>
      </c>
      <c r="AD110" s="181">
        <f t="shared" si="21"/>
        <v>3808.96</v>
      </c>
      <c r="AE110" s="181">
        <v>1.2</v>
      </c>
      <c r="AF110" s="181">
        <v>1.2</v>
      </c>
      <c r="AG110" s="101" t="str">
        <f t="shared" si="16"/>
        <v/>
      </c>
      <c r="AH110" s="190">
        <v>0</v>
      </c>
      <c r="AI110" s="69">
        <f t="shared" si="17"/>
        <v>4</v>
      </c>
    </row>
    <row r="111" spans="1:35" s="69" customFormat="1" ht="49.5" x14ac:dyDescent="0.3">
      <c r="A111" s="55" t="s">
        <v>320</v>
      </c>
      <c r="B111" s="138" t="s">
        <v>321</v>
      </c>
      <c r="C111" s="54" t="s">
        <v>50</v>
      </c>
      <c r="D111" s="75">
        <v>676.98</v>
      </c>
      <c r="E111" s="75">
        <v>773.78</v>
      </c>
      <c r="F111" s="75"/>
      <c r="G111" s="75"/>
      <c r="H111" s="75" t="s">
        <v>15</v>
      </c>
      <c r="I111" s="75">
        <v>647.70000000000005</v>
      </c>
      <c r="J111" s="75">
        <v>501177.31</v>
      </c>
      <c r="K111" s="91" t="s">
        <v>322</v>
      </c>
      <c r="L111" s="73"/>
      <c r="M111" s="46">
        <v>239.83</v>
      </c>
      <c r="N111" s="46">
        <v>0</v>
      </c>
      <c r="O111" s="46">
        <v>155337.89000000001</v>
      </c>
      <c r="P111" s="98"/>
      <c r="Q111" s="23" t="s">
        <v>1475</v>
      </c>
      <c r="R111" s="24" t="s">
        <v>321</v>
      </c>
      <c r="S111" s="25" t="s">
        <v>50</v>
      </c>
      <c r="T111" s="26">
        <v>676.98</v>
      </c>
      <c r="U111" s="26">
        <v>773.78</v>
      </c>
      <c r="V111" s="26">
        <f t="shared" si="19"/>
        <v>647.70000000000005</v>
      </c>
      <c r="W111" s="127">
        <f t="shared" si="18"/>
        <v>115.00000000000003</v>
      </c>
      <c r="X111" s="127">
        <f t="shared" si="13"/>
        <v>354.83000000000004</v>
      </c>
      <c r="Y111" s="127">
        <f t="shared" si="20"/>
        <v>74485.5</v>
      </c>
      <c r="Z111" s="127">
        <f t="shared" si="14"/>
        <v>229823.39</v>
      </c>
      <c r="AA111" s="27" t="s">
        <v>15</v>
      </c>
      <c r="AB111" s="36" t="s">
        <v>16</v>
      </c>
      <c r="AC111" s="181">
        <f t="shared" si="15"/>
        <v>773.78</v>
      </c>
      <c r="AD111" s="181">
        <f t="shared" si="21"/>
        <v>501177.31</v>
      </c>
      <c r="AE111" s="181">
        <v>1.2</v>
      </c>
      <c r="AF111" s="181">
        <v>1.2</v>
      </c>
      <c r="AG111" s="101" t="str">
        <f t="shared" si="16"/>
        <v/>
      </c>
      <c r="AH111" s="191">
        <f>239.83+115</f>
        <v>354.83000000000004</v>
      </c>
      <c r="AI111" s="69">
        <f t="shared" si="17"/>
        <v>773.78</v>
      </c>
    </row>
    <row r="112" spans="1:35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 t="s">
        <v>15</v>
      </c>
      <c r="I112" s="75">
        <v>10413.299999999999</v>
      </c>
      <c r="J112" s="75">
        <v>20826.599999999999</v>
      </c>
      <c r="K112" s="91" t="s">
        <v>326</v>
      </c>
      <c r="L112" s="73"/>
      <c r="M112" s="46">
        <v>0</v>
      </c>
      <c r="N112" s="46">
        <v>0</v>
      </c>
      <c r="O112" s="46">
        <v>0</v>
      </c>
      <c r="P112" s="98"/>
      <c r="Q112" s="23" t="s">
        <v>1476</v>
      </c>
      <c r="R112" s="24" t="s">
        <v>324</v>
      </c>
      <c r="S112" s="25" t="s">
        <v>325</v>
      </c>
      <c r="T112" s="26">
        <v>2</v>
      </c>
      <c r="U112" s="26">
        <v>2</v>
      </c>
      <c r="V112" s="26">
        <f t="shared" si="19"/>
        <v>10413.299999999999</v>
      </c>
      <c r="W112" s="26">
        <f t="shared" si="18"/>
        <v>0</v>
      </c>
      <c r="X112" s="26">
        <f t="shared" si="13"/>
        <v>0</v>
      </c>
      <c r="Y112" s="26">
        <f t="shared" si="20"/>
        <v>0</v>
      </c>
      <c r="Z112" s="26">
        <f t="shared" si="14"/>
        <v>0</v>
      </c>
      <c r="AA112" s="33" t="s">
        <v>15</v>
      </c>
      <c r="AB112" s="36" t="s">
        <v>16</v>
      </c>
      <c r="AC112" s="181">
        <f t="shared" si="15"/>
        <v>2</v>
      </c>
      <c r="AD112" s="181">
        <f t="shared" si="21"/>
        <v>20826.599999999999</v>
      </c>
      <c r="AE112" s="181">
        <v>1.2</v>
      </c>
      <c r="AF112" s="181">
        <v>1.2</v>
      </c>
      <c r="AG112" s="101" t="str">
        <f t="shared" si="16"/>
        <v/>
      </c>
      <c r="AH112" s="190">
        <v>0</v>
      </c>
      <c r="AI112" s="69">
        <f t="shared" si="17"/>
        <v>2</v>
      </c>
    </row>
    <row r="113" spans="1:35" s="69" customFormat="1" ht="33" x14ac:dyDescent="0.3">
      <c r="A113" s="130" t="s">
        <v>327</v>
      </c>
      <c r="B113" s="131" t="s">
        <v>328</v>
      </c>
      <c r="C113" s="132" t="s">
        <v>81</v>
      </c>
      <c r="D113" s="133">
        <v>1</v>
      </c>
      <c r="E113" s="75"/>
      <c r="F113" s="75"/>
      <c r="G113" s="75"/>
      <c r="H113" s="75" t="s">
        <v>15</v>
      </c>
      <c r="I113" s="75">
        <v>101421.35</v>
      </c>
      <c r="J113" s="75">
        <v>101421.35</v>
      </c>
      <c r="K113" s="91" t="s">
        <v>329</v>
      </c>
      <c r="L113" s="73"/>
      <c r="M113" s="46">
        <v>1</v>
      </c>
      <c r="N113" s="46">
        <v>101421.35</v>
      </c>
      <c r="O113" s="46">
        <v>101421.35</v>
      </c>
      <c r="P113" s="98"/>
      <c r="Q113" s="23" t="s">
        <v>1477</v>
      </c>
      <c r="R113" s="24" t="s">
        <v>328</v>
      </c>
      <c r="S113" s="25" t="s">
        <v>81</v>
      </c>
      <c r="T113" s="26">
        <v>1</v>
      </c>
      <c r="U113" s="26">
        <v>1</v>
      </c>
      <c r="V113" s="26">
        <f t="shared" si="19"/>
        <v>101421.35</v>
      </c>
      <c r="W113" s="127">
        <f t="shared" si="18"/>
        <v>0</v>
      </c>
      <c r="X113" s="127">
        <f t="shared" si="13"/>
        <v>1</v>
      </c>
      <c r="Y113" s="127">
        <f t="shared" si="20"/>
        <v>0</v>
      </c>
      <c r="Z113" s="127">
        <f t="shared" si="14"/>
        <v>101421.35</v>
      </c>
      <c r="AA113" s="33" t="s">
        <v>15</v>
      </c>
      <c r="AB113" s="36" t="s">
        <v>16</v>
      </c>
      <c r="AC113" s="181">
        <f t="shared" si="15"/>
        <v>1</v>
      </c>
      <c r="AD113" s="181">
        <f t="shared" si="21"/>
        <v>101421.35</v>
      </c>
      <c r="AE113" s="181">
        <v>1.2</v>
      </c>
      <c r="AF113" s="181">
        <v>1.2</v>
      </c>
      <c r="AG113" s="101" t="str">
        <f t="shared" si="16"/>
        <v/>
      </c>
      <c r="AH113" s="190">
        <f>1</f>
        <v>1</v>
      </c>
      <c r="AI113" s="69">
        <f t="shared" si="17"/>
        <v>1</v>
      </c>
    </row>
    <row r="114" spans="1:35" s="69" customFormat="1" ht="33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 t="s">
        <v>15</v>
      </c>
      <c r="I114" s="75">
        <v>4575.26</v>
      </c>
      <c r="J114" s="75">
        <v>13725.78</v>
      </c>
      <c r="K114" s="91" t="s">
        <v>332</v>
      </c>
      <c r="L114" s="73"/>
      <c r="M114" s="46">
        <v>0</v>
      </c>
      <c r="N114" s="46">
        <v>0</v>
      </c>
      <c r="O114" s="46">
        <v>0</v>
      </c>
      <c r="P114" s="98"/>
      <c r="Q114" s="23" t="s">
        <v>1478</v>
      </c>
      <c r="R114" s="24" t="s">
        <v>331</v>
      </c>
      <c r="S114" s="25" t="s">
        <v>325</v>
      </c>
      <c r="T114" s="26">
        <v>3</v>
      </c>
      <c r="U114" s="26">
        <v>3</v>
      </c>
      <c r="V114" s="26">
        <f t="shared" si="19"/>
        <v>4575.26</v>
      </c>
      <c r="W114" s="26">
        <f t="shared" si="18"/>
        <v>0</v>
      </c>
      <c r="X114" s="26">
        <f t="shared" si="13"/>
        <v>0</v>
      </c>
      <c r="Y114" s="26">
        <f t="shared" si="20"/>
        <v>0</v>
      </c>
      <c r="Z114" s="26">
        <f t="shared" si="14"/>
        <v>0</v>
      </c>
      <c r="AA114" s="33" t="s">
        <v>15</v>
      </c>
      <c r="AB114" s="36" t="s">
        <v>16</v>
      </c>
      <c r="AC114" s="181">
        <f t="shared" si="15"/>
        <v>3</v>
      </c>
      <c r="AD114" s="181">
        <f t="shared" si="21"/>
        <v>13725.78</v>
      </c>
      <c r="AE114" s="181">
        <v>1.2</v>
      </c>
      <c r="AF114" s="181">
        <v>1.2</v>
      </c>
      <c r="AG114" s="101" t="str">
        <f t="shared" si="16"/>
        <v/>
      </c>
      <c r="AH114" s="190">
        <v>0</v>
      </c>
      <c r="AI114" s="69">
        <f t="shared" si="17"/>
        <v>3</v>
      </c>
    </row>
    <row r="115" spans="1:35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 t="s">
        <v>15</v>
      </c>
      <c r="I115" s="75">
        <v>12634.43</v>
      </c>
      <c r="J115" s="75">
        <v>12634.43</v>
      </c>
      <c r="K115" s="91" t="s">
        <v>335</v>
      </c>
      <c r="L115" s="73"/>
      <c r="M115" s="46">
        <v>0</v>
      </c>
      <c r="N115" s="46">
        <v>0</v>
      </c>
      <c r="O115" s="46">
        <v>0</v>
      </c>
      <c r="P115" s="98"/>
      <c r="Q115" s="23" t="s">
        <v>1479</v>
      </c>
      <c r="R115" s="24" t="s">
        <v>334</v>
      </c>
      <c r="S115" s="25" t="s">
        <v>81</v>
      </c>
      <c r="T115" s="26">
        <v>1</v>
      </c>
      <c r="U115" s="26">
        <v>1</v>
      </c>
      <c r="V115" s="26">
        <f t="shared" si="19"/>
        <v>12634.43</v>
      </c>
      <c r="W115" s="26">
        <f t="shared" si="18"/>
        <v>0</v>
      </c>
      <c r="X115" s="26">
        <f t="shared" si="13"/>
        <v>0</v>
      </c>
      <c r="Y115" s="26">
        <f t="shared" si="20"/>
        <v>0</v>
      </c>
      <c r="Z115" s="26">
        <f t="shared" si="14"/>
        <v>0</v>
      </c>
      <c r="AA115" s="33" t="s">
        <v>15</v>
      </c>
      <c r="AB115" s="36" t="s">
        <v>16</v>
      </c>
      <c r="AC115" s="181">
        <f t="shared" si="15"/>
        <v>1</v>
      </c>
      <c r="AD115" s="181">
        <f t="shared" si="21"/>
        <v>12634.43</v>
      </c>
      <c r="AE115" s="181">
        <v>1.2</v>
      </c>
      <c r="AF115" s="181">
        <v>1.2</v>
      </c>
      <c r="AG115" s="101" t="str">
        <f t="shared" si="16"/>
        <v/>
      </c>
      <c r="AH115" s="190">
        <v>0</v>
      </c>
      <c r="AI115" s="69">
        <f t="shared" si="17"/>
        <v>1</v>
      </c>
    </row>
    <row r="116" spans="1:35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 t="s">
        <v>15</v>
      </c>
      <c r="I116" s="75">
        <v>15300</v>
      </c>
      <c r="J116" s="75">
        <v>974304</v>
      </c>
      <c r="K116" s="91" t="s">
        <v>339</v>
      </c>
      <c r="L116" s="73"/>
      <c r="M116" s="46">
        <v>0</v>
      </c>
      <c r="N116" s="46">
        <v>0</v>
      </c>
      <c r="O116" s="46">
        <v>0</v>
      </c>
      <c r="P116" s="98"/>
      <c r="Q116" s="23" t="s">
        <v>1480</v>
      </c>
      <c r="R116" s="24" t="s">
        <v>337</v>
      </c>
      <c r="S116" s="25" t="s">
        <v>338</v>
      </c>
      <c r="T116" s="26">
        <v>63.68</v>
      </c>
      <c r="U116" s="26">
        <v>63.68</v>
      </c>
      <c r="V116" s="26">
        <f t="shared" si="19"/>
        <v>15300</v>
      </c>
      <c r="W116" s="26">
        <f t="shared" si="18"/>
        <v>0</v>
      </c>
      <c r="X116" s="26">
        <f t="shared" si="13"/>
        <v>0</v>
      </c>
      <c r="Y116" s="26">
        <f t="shared" si="20"/>
        <v>0</v>
      </c>
      <c r="Z116" s="26">
        <f t="shared" si="14"/>
        <v>0</v>
      </c>
      <c r="AA116" s="33" t="s">
        <v>15</v>
      </c>
      <c r="AB116" s="36" t="s">
        <v>16</v>
      </c>
      <c r="AC116" s="181">
        <f t="shared" si="15"/>
        <v>63.68</v>
      </c>
      <c r="AD116" s="181">
        <f t="shared" si="21"/>
        <v>974304</v>
      </c>
      <c r="AE116" s="181">
        <v>1.2</v>
      </c>
      <c r="AF116" s="181">
        <v>1.2</v>
      </c>
      <c r="AG116" s="101" t="str">
        <f t="shared" si="16"/>
        <v/>
      </c>
      <c r="AH116" s="190">
        <v>0</v>
      </c>
      <c r="AI116" s="69">
        <f t="shared" si="17"/>
        <v>63.68</v>
      </c>
    </row>
    <row r="117" spans="1:35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 t="s">
        <v>15</v>
      </c>
      <c r="I117" s="75">
        <v>4498.58</v>
      </c>
      <c r="J117" s="75">
        <v>278911.96000000002</v>
      </c>
      <c r="K117" s="91" t="s">
        <v>342</v>
      </c>
      <c r="L117" s="73"/>
      <c r="M117" s="46">
        <v>8</v>
      </c>
      <c r="N117" s="46">
        <v>0</v>
      </c>
      <c r="O117" s="46">
        <v>35988.639999999999</v>
      </c>
      <c r="P117" s="98"/>
      <c r="Q117" s="23" t="s">
        <v>1481</v>
      </c>
      <c r="R117" s="24" t="s">
        <v>341</v>
      </c>
      <c r="S117" s="25" t="s">
        <v>81</v>
      </c>
      <c r="T117" s="26">
        <v>62</v>
      </c>
      <c r="U117" s="26">
        <v>62</v>
      </c>
      <c r="V117" s="26">
        <f t="shared" si="19"/>
        <v>4498.58</v>
      </c>
      <c r="W117" s="128">
        <f t="shared" si="18"/>
        <v>8</v>
      </c>
      <c r="X117" s="26">
        <f t="shared" si="13"/>
        <v>16</v>
      </c>
      <c r="Y117" s="26">
        <f t="shared" si="20"/>
        <v>35988.639999999999</v>
      </c>
      <c r="Z117" s="26">
        <f t="shared" si="14"/>
        <v>71977.279999999999</v>
      </c>
      <c r="AA117" s="33" t="s">
        <v>15</v>
      </c>
      <c r="AB117" s="36" t="s">
        <v>16</v>
      </c>
      <c r="AC117" s="181">
        <f t="shared" si="15"/>
        <v>62</v>
      </c>
      <c r="AD117" s="181">
        <f t="shared" si="21"/>
        <v>278911.96000000002</v>
      </c>
      <c r="AE117" s="181">
        <v>1.2</v>
      </c>
      <c r="AF117" s="181">
        <v>1.2</v>
      </c>
      <c r="AG117" s="101" t="str">
        <f t="shared" si="16"/>
        <v/>
      </c>
      <c r="AH117" s="191">
        <f>8+8</f>
        <v>16</v>
      </c>
      <c r="AI117" s="69">
        <f t="shared" si="17"/>
        <v>62</v>
      </c>
    </row>
    <row r="118" spans="1:35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 t="s">
        <v>15</v>
      </c>
      <c r="I118" s="75">
        <v>3353.68</v>
      </c>
      <c r="J118" s="75">
        <v>50305.2</v>
      </c>
      <c r="K118" s="91" t="s">
        <v>345</v>
      </c>
      <c r="L118" s="73"/>
      <c r="M118" s="46">
        <v>0</v>
      </c>
      <c r="N118" s="46">
        <v>0</v>
      </c>
      <c r="O118" s="46">
        <v>0</v>
      </c>
      <c r="P118" s="98"/>
      <c r="Q118" s="23" t="s">
        <v>1482</v>
      </c>
      <c r="R118" s="24" t="s">
        <v>344</v>
      </c>
      <c r="S118" s="25" t="s">
        <v>81</v>
      </c>
      <c r="T118" s="26">
        <v>15</v>
      </c>
      <c r="U118" s="26">
        <v>15</v>
      </c>
      <c r="V118" s="26">
        <f t="shared" si="19"/>
        <v>3353.68</v>
      </c>
      <c r="W118" s="26">
        <f t="shared" si="18"/>
        <v>2</v>
      </c>
      <c r="X118" s="26">
        <f t="shared" si="13"/>
        <v>2</v>
      </c>
      <c r="Y118" s="26">
        <f t="shared" si="20"/>
        <v>6707.36</v>
      </c>
      <c r="Z118" s="26">
        <f t="shared" si="14"/>
        <v>6707.36</v>
      </c>
      <c r="AA118" s="33" t="s">
        <v>15</v>
      </c>
      <c r="AB118" s="36" t="s">
        <v>16</v>
      </c>
      <c r="AC118" s="181">
        <f t="shared" si="15"/>
        <v>15</v>
      </c>
      <c r="AD118" s="181">
        <f t="shared" si="21"/>
        <v>50305.2</v>
      </c>
      <c r="AE118" s="181">
        <v>1.2</v>
      </c>
      <c r="AF118" s="181">
        <v>1.2</v>
      </c>
      <c r="AG118" s="101" t="str">
        <f t="shared" si="16"/>
        <v/>
      </c>
      <c r="AH118" s="191">
        <f>2</f>
        <v>2</v>
      </c>
      <c r="AI118" s="69">
        <f t="shared" si="17"/>
        <v>15</v>
      </c>
    </row>
    <row r="119" spans="1:35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 t="s">
        <v>15</v>
      </c>
      <c r="I119" s="75">
        <v>9874.4</v>
      </c>
      <c r="J119" s="75">
        <v>128367.2</v>
      </c>
      <c r="K119" s="91" t="s">
        <v>348</v>
      </c>
      <c r="L119" s="73"/>
      <c r="M119" s="46">
        <v>0</v>
      </c>
      <c r="N119" s="46">
        <v>0</v>
      </c>
      <c r="O119" s="46">
        <v>0</v>
      </c>
      <c r="P119" s="98"/>
      <c r="Q119" s="23" t="s">
        <v>1483</v>
      </c>
      <c r="R119" s="24" t="s">
        <v>347</v>
      </c>
      <c r="S119" s="25" t="s">
        <v>30</v>
      </c>
      <c r="T119" s="26">
        <v>13</v>
      </c>
      <c r="U119" s="26">
        <v>13</v>
      </c>
      <c r="V119" s="26">
        <f t="shared" si="19"/>
        <v>9874.4</v>
      </c>
      <c r="W119" s="26">
        <f t="shared" si="18"/>
        <v>0</v>
      </c>
      <c r="X119" s="26">
        <f t="shared" si="13"/>
        <v>0</v>
      </c>
      <c r="Y119" s="26">
        <f t="shared" si="20"/>
        <v>0</v>
      </c>
      <c r="Z119" s="26">
        <f t="shared" si="14"/>
        <v>0</v>
      </c>
      <c r="AA119" s="33" t="s">
        <v>15</v>
      </c>
      <c r="AB119" s="36" t="s">
        <v>16</v>
      </c>
      <c r="AC119" s="181">
        <f t="shared" si="15"/>
        <v>13</v>
      </c>
      <c r="AD119" s="181">
        <f t="shared" si="21"/>
        <v>128367.2</v>
      </c>
      <c r="AE119" s="181">
        <v>1.2</v>
      </c>
      <c r="AF119" s="181">
        <v>1.2</v>
      </c>
      <c r="AG119" s="101" t="str">
        <f t="shared" si="16"/>
        <v/>
      </c>
      <c r="AH119" s="190">
        <v>0</v>
      </c>
      <c r="AI119" s="69">
        <f t="shared" si="17"/>
        <v>13</v>
      </c>
    </row>
    <row r="120" spans="1:35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 t="s">
        <v>15</v>
      </c>
      <c r="I120" s="75">
        <v>6554.37</v>
      </c>
      <c r="J120" s="75">
        <v>273317.23</v>
      </c>
      <c r="K120" s="91" t="s">
        <v>351</v>
      </c>
      <c r="L120" s="73"/>
      <c r="M120" s="46">
        <v>0</v>
      </c>
      <c r="N120" s="46">
        <v>0</v>
      </c>
      <c r="O120" s="46">
        <v>0</v>
      </c>
      <c r="P120" s="98"/>
      <c r="Q120" s="23" t="s">
        <v>1484</v>
      </c>
      <c r="R120" s="24" t="s">
        <v>350</v>
      </c>
      <c r="S120" s="25" t="s">
        <v>30</v>
      </c>
      <c r="T120" s="26">
        <v>41.7</v>
      </c>
      <c r="U120" s="26">
        <v>41.7</v>
      </c>
      <c r="V120" s="26">
        <f t="shared" si="19"/>
        <v>6554.37</v>
      </c>
      <c r="W120" s="26">
        <f t="shared" si="18"/>
        <v>0</v>
      </c>
      <c r="X120" s="26">
        <f t="shared" si="13"/>
        <v>0</v>
      </c>
      <c r="Y120" s="26">
        <f t="shared" si="20"/>
        <v>0</v>
      </c>
      <c r="Z120" s="26">
        <f t="shared" si="14"/>
        <v>0</v>
      </c>
      <c r="AA120" s="33" t="s">
        <v>15</v>
      </c>
      <c r="AB120" s="36" t="s">
        <v>16</v>
      </c>
      <c r="AC120" s="181">
        <f t="shared" si="15"/>
        <v>41.7</v>
      </c>
      <c r="AD120" s="181">
        <f t="shared" si="21"/>
        <v>273317.23</v>
      </c>
      <c r="AE120" s="181">
        <v>1.2</v>
      </c>
      <c r="AF120" s="181">
        <v>1.2</v>
      </c>
      <c r="AG120" s="101" t="str">
        <f t="shared" si="16"/>
        <v/>
      </c>
      <c r="AH120" s="190">
        <v>0</v>
      </c>
      <c r="AI120" s="69">
        <f t="shared" si="17"/>
        <v>41.7</v>
      </c>
    </row>
    <row r="121" spans="1:35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 t="s">
        <v>15</v>
      </c>
      <c r="I121" s="75">
        <v>8390.73</v>
      </c>
      <c r="J121" s="75">
        <v>10907.95</v>
      </c>
      <c r="K121" s="91" t="s">
        <v>354</v>
      </c>
      <c r="L121" s="73"/>
      <c r="M121" s="46">
        <v>0</v>
      </c>
      <c r="N121" s="46">
        <v>0</v>
      </c>
      <c r="O121" s="46">
        <v>0</v>
      </c>
      <c r="P121" s="98"/>
      <c r="Q121" s="23" t="s">
        <v>1485</v>
      </c>
      <c r="R121" s="24" t="s">
        <v>353</v>
      </c>
      <c r="S121" s="25" t="s">
        <v>30</v>
      </c>
      <c r="T121" s="26">
        <v>1.3</v>
      </c>
      <c r="U121" s="26">
        <v>1.3</v>
      </c>
      <c r="V121" s="26">
        <f t="shared" si="19"/>
        <v>8390.73</v>
      </c>
      <c r="W121" s="26">
        <f t="shared" si="18"/>
        <v>0</v>
      </c>
      <c r="X121" s="26">
        <f t="shared" si="13"/>
        <v>0</v>
      </c>
      <c r="Y121" s="26">
        <f t="shared" si="20"/>
        <v>0</v>
      </c>
      <c r="Z121" s="26">
        <f t="shared" si="14"/>
        <v>0</v>
      </c>
      <c r="AA121" s="33" t="s">
        <v>15</v>
      </c>
      <c r="AB121" s="36" t="s">
        <v>16</v>
      </c>
      <c r="AC121" s="181">
        <f t="shared" si="15"/>
        <v>1.3</v>
      </c>
      <c r="AD121" s="181">
        <f t="shared" si="21"/>
        <v>10907.95</v>
      </c>
      <c r="AE121" s="181">
        <v>1.2</v>
      </c>
      <c r="AF121" s="181">
        <v>1.2</v>
      </c>
      <c r="AG121" s="101" t="str">
        <f t="shared" si="16"/>
        <v/>
      </c>
      <c r="AH121" s="190">
        <v>0</v>
      </c>
      <c r="AI121" s="69">
        <f t="shared" si="17"/>
        <v>1.3</v>
      </c>
    </row>
    <row r="122" spans="1:35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 t="s">
        <v>15</v>
      </c>
      <c r="I122" s="75">
        <v>671.99</v>
      </c>
      <c r="J122" s="75">
        <v>82184.38</v>
      </c>
      <c r="K122" s="91" t="s">
        <v>357</v>
      </c>
      <c r="L122" s="73"/>
      <c r="M122" s="46">
        <v>0</v>
      </c>
      <c r="N122" s="46">
        <v>0</v>
      </c>
      <c r="O122" s="46">
        <v>0</v>
      </c>
      <c r="P122" s="98"/>
      <c r="Q122" s="23" t="s">
        <v>1486</v>
      </c>
      <c r="R122" s="24" t="s">
        <v>356</v>
      </c>
      <c r="S122" s="25" t="s">
        <v>30</v>
      </c>
      <c r="T122" s="26">
        <v>122.3</v>
      </c>
      <c r="U122" s="26">
        <v>122.3</v>
      </c>
      <c r="V122" s="26">
        <f t="shared" si="19"/>
        <v>671.99</v>
      </c>
      <c r="W122" s="26">
        <f t="shared" si="18"/>
        <v>0</v>
      </c>
      <c r="X122" s="26">
        <f t="shared" si="13"/>
        <v>0</v>
      </c>
      <c r="Y122" s="26">
        <f t="shared" si="20"/>
        <v>0</v>
      </c>
      <c r="Z122" s="26">
        <f t="shared" si="14"/>
        <v>0</v>
      </c>
      <c r="AA122" s="33" t="s">
        <v>15</v>
      </c>
      <c r="AB122" s="36" t="s">
        <v>16</v>
      </c>
      <c r="AC122" s="181">
        <f t="shared" si="15"/>
        <v>122.3</v>
      </c>
      <c r="AD122" s="181">
        <f t="shared" si="21"/>
        <v>82184.38</v>
      </c>
      <c r="AE122" s="181">
        <v>1.2</v>
      </c>
      <c r="AF122" s="181">
        <v>1.2</v>
      </c>
      <c r="AG122" s="101" t="str">
        <f t="shared" si="16"/>
        <v/>
      </c>
      <c r="AH122" s="190">
        <v>0</v>
      </c>
      <c r="AI122" s="69">
        <f t="shared" si="17"/>
        <v>122.3</v>
      </c>
    </row>
    <row r="123" spans="1:35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 t="s">
        <v>15</v>
      </c>
      <c r="I123" s="75">
        <v>935.67</v>
      </c>
      <c r="J123" s="75">
        <v>94512.03</v>
      </c>
      <c r="K123" s="91" t="s">
        <v>360</v>
      </c>
      <c r="L123" s="73"/>
      <c r="M123" s="46">
        <v>0</v>
      </c>
      <c r="N123" s="46">
        <v>0</v>
      </c>
      <c r="O123" s="46">
        <v>0</v>
      </c>
      <c r="P123" s="98"/>
      <c r="Q123" s="23" t="s">
        <v>1487</v>
      </c>
      <c r="R123" s="24" t="s">
        <v>359</v>
      </c>
      <c r="S123" s="25" t="s">
        <v>30</v>
      </c>
      <c r="T123" s="26">
        <v>101.01</v>
      </c>
      <c r="U123" s="26">
        <v>101.01</v>
      </c>
      <c r="V123" s="26">
        <f t="shared" si="19"/>
        <v>935.67</v>
      </c>
      <c r="W123" s="26">
        <f t="shared" si="18"/>
        <v>0</v>
      </c>
      <c r="X123" s="26">
        <f t="shared" si="13"/>
        <v>0</v>
      </c>
      <c r="Y123" s="26">
        <f t="shared" si="20"/>
        <v>0</v>
      </c>
      <c r="Z123" s="26">
        <f t="shared" si="14"/>
        <v>0</v>
      </c>
      <c r="AA123" s="33" t="s">
        <v>15</v>
      </c>
      <c r="AB123" s="36" t="s">
        <v>16</v>
      </c>
      <c r="AC123" s="181">
        <f t="shared" si="15"/>
        <v>101.01</v>
      </c>
      <c r="AD123" s="181">
        <f t="shared" si="21"/>
        <v>94512.03</v>
      </c>
      <c r="AE123" s="181">
        <v>1.2</v>
      </c>
      <c r="AF123" s="181">
        <v>1.2</v>
      </c>
      <c r="AG123" s="101" t="str">
        <f t="shared" si="16"/>
        <v/>
      </c>
      <c r="AH123" s="190">
        <v>0</v>
      </c>
      <c r="AI123" s="69">
        <f t="shared" si="17"/>
        <v>101.01</v>
      </c>
    </row>
    <row r="124" spans="1:35" s="69" customFormat="1" ht="33" x14ac:dyDescent="0.3">
      <c r="A124" s="55" t="s">
        <v>361</v>
      </c>
      <c r="B124" s="53" t="s">
        <v>362</v>
      </c>
      <c r="C124" s="54" t="s">
        <v>30</v>
      </c>
      <c r="D124" s="75">
        <v>489</v>
      </c>
      <c r="E124" s="75"/>
      <c r="F124" s="75"/>
      <c r="G124" s="75"/>
      <c r="H124" s="75" t="s">
        <v>15</v>
      </c>
      <c r="I124" s="75">
        <v>658.31</v>
      </c>
      <c r="J124" s="75">
        <v>321913.59000000003</v>
      </c>
      <c r="K124" s="91" t="s">
        <v>363</v>
      </c>
      <c r="L124" s="73"/>
      <c r="M124" s="46">
        <v>132</v>
      </c>
      <c r="N124" s="46">
        <v>67147.62</v>
      </c>
      <c r="O124" s="46">
        <v>86896.92</v>
      </c>
      <c r="P124" s="98"/>
      <c r="Q124" s="23" t="s">
        <v>1488</v>
      </c>
      <c r="R124" s="24" t="s">
        <v>362</v>
      </c>
      <c r="S124" s="25" t="s">
        <v>30</v>
      </c>
      <c r="T124" s="26">
        <v>489</v>
      </c>
      <c r="U124" s="26">
        <v>489</v>
      </c>
      <c r="V124" s="26">
        <f t="shared" si="19"/>
        <v>658.31</v>
      </c>
      <c r="W124" s="128">
        <f t="shared" si="18"/>
        <v>115</v>
      </c>
      <c r="X124" s="26">
        <f t="shared" si="13"/>
        <v>247</v>
      </c>
      <c r="Y124" s="26">
        <f t="shared" si="20"/>
        <v>75705.650000000009</v>
      </c>
      <c r="Z124" s="26">
        <f t="shared" si="14"/>
        <v>162602.57</v>
      </c>
      <c r="AA124" s="33" t="s">
        <v>15</v>
      </c>
      <c r="AB124" s="36" t="s">
        <v>16</v>
      </c>
      <c r="AC124" s="181">
        <f t="shared" si="15"/>
        <v>489</v>
      </c>
      <c r="AD124" s="181">
        <f t="shared" si="21"/>
        <v>321913.59000000003</v>
      </c>
      <c r="AE124" s="181">
        <v>1.2</v>
      </c>
      <c r="AF124" s="181">
        <v>1.2</v>
      </c>
      <c r="AG124" s="101" t="str">
        <f t="shared" si="16"/>
        <v/>
      </c>
      <c r="AH124" s="191">
        <f>30+102+115</f>
        <v>247</v>
      </c>
      <c r="AI124" s="69">
        <f t="shared" si="17"/>
        <v>489</v>
      </c>
    </row>
    <row r="125" spans="1:35" s="69" customFormat="1" ht="33" x14ac:dyDescent="0.3">
      <c r="A125" s="55" t="s">
        <v>364</v>
      </c>
      <c r="B125" s="53" t="s">
        <v>3111</v>
      </c>
      <c r="C125" s="54" t="s">
        <v>30</v>
      </c>
      <c r="D125" s="75">
        <v>216</v>
      </c>
      <c r="E125" s="75"/>
      <c r="F125" s="75"/>
      <c r="G125" s="75"/>
      <c r="H125" s="75" t="s">
        <v>15</v>
      </c>
      <c r="I125" s="75">
        <v>730.41</v>
      </c>
      <c r="J125" s="75">
        <v>157768.56</v>
      </c>
      <c r="K125" s="91" t="s">
        <v>366</v>
      </c>
      <c r="L125" s="73"/>
      <c r="M125" s="46">
        <v>120</v>
      </c>
      <c r="N125" s="46">
        <v>0</v>
      </c>
      <c r="O125" s="46">
        <v>87649.2</v>
      </c>
      <c r="P125" s="98"/>
      <c r="Q125" s="23" t="s">
        <v>1489</v>
      </c>
      <c r="R125" s="24" t="s">
        <v>365</v>
      </c>
      <c r="S125" s="25" t="s">
        <v>30</v>
      </c>
      <c r="T125" s="26">
        <v>216</v>
      </c>
      <c r="U125" s="26">
        <v>216</v>
      </c>
      <c r="V125" s="26">
        <f t="shared" si="19"/>
        <v>730.41</v>
      </c>
      <c r="W125" s="128">
        <f t="shared" si="18"/>
        <v>0</v>
      </c>
      <c r="X125" s="26">
        <f t="shared" si="13"/>
        <v>120</v>
      </c>
      <c r="Y125" s="26">
        <f t="shared" si="20"/>
        <v>0</v>
      </c>
      <c r="Z125" s="26">
        <f t="shared" si="14"/>
        <v>87649.2</v>
      </c>
      <c r="AA125" s="33" t="s">
        <v>15</v>
      </c>
      <c r="AB125" s="36" t="s">
        <v>16</v>
      </c>
      <c r="AC125" s="181">
        <f t="shared" si="15"/>
        <v>216</v>
      </c>
      <c r="AD125" s="181">
        <f t="shared" si="21"/>
        <v>157768.56</v>
      </c>
      <c r="AE125" s="181">
        <v>1.2</v>
      </c>
      <c r="AF125" s="181">
        <v>1.2</v>
      </c>
      <c r="AG125" s="101" t="str">
        <f t="shared" si="16"/>
        <v/>
      </c>
      <c r="AH125" s="190">
        <v>120</v>
      </c>
      <c r="AI125" s="69">
        <f t="shared" si="17"/>
        <v>216</v>
      </c>
    </row>
    <row r="126" spans="1:35" s="69" customFormat="1" ht="33" x14ac:dyDescent="0.3">
      <c r="A126" s="55" t="s">
        <v>367</v>
      </c>
      <c r="B126" s="53" t="s">
        <v>368</v>
      </c>
      <c r="C126" s="54" t="s">
        <v>30</v>
      </c>
      <c r="D126" s="75">
        <v>45.16</v>
      </c>
      <c r="E126" s="75"/>
      <c r="F126" s="75"/>
      <c r="G126" s="75"/>
      <c r="H126" s="75" t="s">
        <v>15</v>
      </c>
      <c r="I126" s="75">
        <v>406.4</v>
      </c>
      <c r="J126" s="75">
        <v>18353.02</v>
      </c>
      <c r="K126" s="91" t="s">
        <v>369</v>
      </c>
      <c r="L126" s="73"/>
      <c r="M126" s="46">
        <v>0</v>
      </c>
      <c r="N126" s="46">
        <v>0</v>
      </c>
      <c r="O126" s="46">
        <v>0</v>
      </c>
      <c r="P126" s="98"/>
      <c r="Q126" s="23" t="s">
        <v>1398</v>
      </c>
      <c r="R126" s="24" t="s">
        <v>368</v>
      </c>
      <c r="S126" s="25" t="s">
        <v>30</v>
      </c>
      <c r="T126" s="26">
        <v>45.16</v>
      </c>
      <c r="U126" s="26">
        <v>45.16</v>
      </c>
      <c r="V126" s="26">
        <f t="shared" si="19"/>
        <v>406.4</v>
      </c>
      <c r="W126" s="26">
        <f t="shared" si="18"/>
        <v>0</v>
      </c>
      <c r="X126" s="26">
        <f t="shared" si="13"/>
        <v>0</v>
      </c>
      <c r="Y126" s="26">
        <f t="shared" si="20"/>
        <v>0</v>
      </c>
      <c r="Z126" s="26">
        <f t="shared" si="14"/>
        <v>0</v>
      </c>
      <c r="AA126" s="33" t="s">
        <v>15</v>
      </c>
      <c r="AB126" s="36" t="s">
        <v>16</v>
      </c>
      <c r="AC126" s="181">
        <f t="shared" si="15"/>
        <v>45.16</v>
      </c>
      <c r="AD126" s="181">
        <f t="shared" si="21"/>
        <v>18353.02</v>
      </c>
      <c r="AE126" s="181">
        <v>1.2</v>
      </c>
      <c r="AF126" s="181">
        <v>1.2</v>
      </c>
      <c r="AG126" s="101" t="str">
        <f t="shared" si="16"/>
        <v/>
      </c>
      <c r="AH126" s="190">
        <v>0</v>
      </c>
      <c r="AI126" s="69">
        <f t="shared" si="17"/>
        <v>45.16</v>
      </c>
    </row>
    <row r="127" spans="1:35" s="69" customFormat="1" ht="33" x14ac:dyDescent="0.3">
      <c r="A127" s="55" t="s">
        <v>370</v>
      </c>
      <c r="B127" s="53" t="s">
        <v>371</v>
      </c>
      <c r="C127" s="54" t="s">
        <v>30</v>
      </c>
      <c r="D127" s="75">
        <v>116.8</v>
      </c>
      <c r="E127" s="75"/>
      <c r="F127" s="75"/>
      <c r="G127" s="75"/>
      <c r="H127" s="75" t="s">
        <v>15</v>
      </c>
      <c r="I127" s="75">
        <v>457.9</v>
      </c>
      <c r="J127" s="75">
        <v>53482.720000000001</v>
      </c>
      <c r="K127" s="91" t="s">
        <v>372</v>
      </c>
      <c r="L127" s="73"/>
      <c r="M127" s="46">
        <v>0</v>
      </c>
      <c r="N127" s="46">
        <v>0</v>
      </c>
      <c r="O127" s="46">
        <v>0</v>
      </c>
      <c r="P127" s="98"/>
      <c r="Q127" s="23" t="s">
        <v>1399</v>
      </c>
      <c r="R127" s="24" t="s">
        <v>371</v>
      </c>
      <c r="S127" s="25" t="s">
        <v>30</v>
      </c>
      <c r="T127" s="26">
        <v>116.8</v>
      </c>
      <c r="U127" s="26">
        <v>116.8</v>
      </c>
      <c r="V127" s="26">
        <f t="shared" si="19"/>
        <v>457.9</v>
      </c>
      <c r="W127" s="26">
        <f t="shared" si="18"/>
        <v>0</v>
      </c>
      <c r="X127" s="26">
        <f t="shared" si="13"/>
        <v>0</v>
      </c>
      <c r="Y127" s="26">
        <f t="shared" si="20"/>
        <v>0</v>
      </c>
      <c r="Z127" s="26">
        <f t="shared" si="14"/>
        <v>0</v>
      </c>
      <c r="AA127" s="33" t="s">
        <v>15</v>
      </c>
      <c r="AB127" s="36" t="s">
        <v>16</v>
      </c>
      <c r="AC127" s="181">
        <f t="shared" si="15"/>
        <v>116.8</v>
      </c>
      <c r="AD127" s="181">
        <f t="shared" si="21"/>
        <v>53482.720000000001</v>
      </c>
      <c r="AE127" s="181">
        <v>1.2</v>
      </c>
      <c r="AF127" s="181">
        <v>1.2</v>
      </c>
      <c r="AG127" s="101" t="str">
        <f t="shared" si="16"/>
        <v/>
      </c>
      <c r="AH127" s="190">
        <v>0</v>
      </c>
      <c r="AI127" s="69">
        <f t="shared" si="17"/>
        <v>116.8</v>
      </c>
    </row>
    <row r="128" spans="1:35" s="69" customFormat="1" ht="39" x14ac:dyDescent="0.3">
      <c r="A128" s="55" t="s">
        <v>373</v>
      </c>
      <c r="B128" s="53" t="s">
        <v>374</v>
      </c>
      <c r="C128" s="54" t="s">
        <v>30</v>
      </c>
      <c r="D128" s="75">
        <v>25.8</v>
      </c>
      <c r="E128" s="75"/>
      <c r="F128" s="75"/>
      <c r="G128" s="75"/>
      <c r="H128" s="75" t="s">
        <v>15</v>
      </c>
      <c r="I128" s="75">
        <v>499.1</v>
      </c>
      <c r="J128" s="75">
        <v>12876.78</v>
      </c>
      <c r="K128" s="91" t="s">
        <v>375</v>
      </c>
      <c r="L128" s="73"/>
      <c r="M128" s="46">
        <v>0</v>
      </c>
      <c r="N128" s="46">
        <v>0</v>
      </c>
      <c r="O128" s="46">
        <v>0</v>
      </c>
      <c r="P128" s="98"/>
      <c r="Q128" s="23" t="s">
        <v>1490</v>
      </c>
      <c r="R128" s="24" t="s">
        <v>374</v>
      </c>
      <c r="S128" s="25" t="s">
        <v>30</v>
      </c>
      <c r="T128" s="26">
        <v>25.8</v>
      </c>
      <c r="U128" s="26">
        <v>25.8</v>
      </c>
      <c r="V128" s="26">
        <f t="shared" si="19"/>
        <v>499.1</v>
      </c>
      <c r="W128" s="26">
        <f t="shared" si="18"/>
        <v>0</v>
      </c>
      <c r="X128" s="26">
        <f t="shared" si="13"/>
        <v>0</v>
      </c>
      <c r="Y128" s="26">
        <f t="shared" si="20"/>
        <v>0</v>
      </c>
      <c r="Z128" s="26">
        <f t="shared" si="14"/>
        <v>0</v>
      </c>
      <c r="AA128" s="33" t="s">
        <v>15</v>
      </c>
      <c r="AB128" s="36" t="s">
        <v>16</v>
      </c>
      <c r="AC128" s="181">
        <f t="shared" si="15"/>
        <v>25.8</v>
      </c>
      <c r="AD128" s="181">
        <f t="shared" si="21"/>
        <v>12876.78</v>
      </c>
      <c r="AE128" s="181">
        <v>1.2</v>
      </c>
      <c r="AF128" s="181">
        <v>1.2</v>
      </c>
      <c r="AG128" s="101" t="str">
        <f t="shared" si="16"/>
        <v/>
      </c>
      <c r="AH128" s="190">
        <v>0</v>
      </c>
      <c r="AI128" s="69">
        <f t="shared" si="17"/>
        <v>25.8</v>
      </c>
    </row>
    <row r="129" spans="1:38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 t="s">
        <v>15</v>
      </c>
      <c r="I129" s="75">
        <v>545.85</v>
      </c>
      <c r="J129" s="75">
        <v>29415.86</v>
      </c>
      <c r="K129" s="91" t="s">
        <v>378</v>
      </c>
      <c r="L129" s="73"/>
      <c r="M129" s="46">
        <v>0</v>
      </c>
      <c r="N129" s="46">
        <v>0</v>
      </c>
      <c r="O129" s="46">
        <v>0</v>
      </c>
      <c r="P129" s="98"/>
      <c r="Q129" s="23" t="s">
        <v>1491</v>
      </c>
      <c r="R129" s="24" t="s">
        <v>377</v>
      </c>
      <c r="S129" s="25" t="s">
        <v>30</v>
      </c>
      <c r="T129" s="26">
        <v>53.89</v>
      </c>
      <c r="U129" s="26">
        <v>53.89</v>
      </c>
      <c r="V129" s="26">
        <f t="shared" si="19"/>
        <v>545.85</v>
      </c>
      <c r="W129" s="26">
        <f t="shared" si="18"/>
        <v>0</v>
      </c>
      <c r="X129" s="26">
        <f t="shared" si="13"/>
        <v>0</v>
      </c>
      <c r="Y129" s="26">
        <f t="shared" si="20"/>
        <v>0</v>
      </c>
      <c r="Z129" s="26">
        <f t="shared" si="14"/>
        <v>0</v>
      </c>
      <c r="AA129" s="33" t="s">
        <v>15</v>
      </c>
      <c r="AB129" s="36" t="s">
        <v>16</v>
      </c>
      <c r="AC129" s="181">
        <f t="shared" si="15"/>
        <v>53.89</v>
      </c>
      <c r="AD129" s="181">
        <f t="shared" si="21"/>
        <v>29415.86</v>
      </c>
      <c r="AE129" s="181">
        <v>1.2</v>
      </c>
      <c r="AF129" s="181">
        <v>1.2</v>
      </c>
      <c r="AG129" s="101" t="str">
        <f t="shared" si="16"/>
        <v/>
      </c>
      <c r="AH129" s="190">
        <v>0</v>
      </c>
      <c r="AI129" s="69">
        <f t="shared" si="17"/>
        <v>53.89</v>
      </c>
    </row>
    <row r="130" spans="1:38" s="69" customFormat="1" ht="33" x14ac:dyDescent="0.3">
      <c r="A130" s="55" t="s">
        <v>379</v>
      </c>
      <c r="B130" s="53" t="s">
        <v>380</v>
      </c>
      <c r="C130" s="54" t="s">
        <v>30</v>
      </c>
      <c r="D130" s="75">
        <v>21</v>
      </c>
      <c r="E130" s="75"/>
      <c r="F130" s="75"/>
      <c r="G130" s="75"/>
      <c r="H130" s="75" t="s">
        <v>15</v>
      </c>
      <c r="I130" s="75">
        <v>644.09</v>
      </c>
      <c r="J130" s="75">
        <v>13525.89</v>
      </c>
      <c r="K130" s="91" t="s">
        <v>381</v>
      </c>
      <c r="L130" s="73"/>
      <c r="M130" s="46">
        <v>0</v>
      </c>
      <c r="N130" s="46">
        <v>0</v>
      </c>
      <c r="O130" s="46">
        <v>0</v>
      </c>
      <c r="P130" s="98"/>
      <c r="Q130" s="23" t="s">
        <v>1492</v>
      </c>
      <c r="R130" s="24" t="s">
        <v>380</v>
      </c>
      <c r="S130" s="25" t="s">
        <v>30</v>
      </c>
      <c r="T130" s="26">
        <v>21</v>
      </c>
      <c r="U130" s="26">
        <v>21</v>
      </c>
      <c r="V130" s="26">
        <f t="shared" si="19"/>
        <v>644.09</v>
      </c>
      <c r="W130" s="26">
        <f t="shared" si="18"/>
        <v>0</v>
      </c>
      <c r="X130" s="26">
        <f t="shared" si="13"/>
        <v>0</v>
      </c>
      <c r="Y130" s="26">
        <f t="shared" si="20"/>
        <v>0</v>
      </c>
      <c r="Z130" s="26">
        <f t="shared" si="14"/>
        <v>0</v>
      </c>
      <c r="AA130" s="33" t="s">
        <v>15</v>
      </c>
      <c r="AB130" s="36" t="s">
        <v>16</v>
      </c>
      <c r="AC130" s="181">
        <f t="shared" si="15"/>
        <v>21</v>
      </c>
      <c r="AD130" s="181">
        <f t="shared" si="21"/>
        <v>13525.89</v>
      </c>
      <c r="AE130" s="181">
        <v>1.2</v>
      </c>
      <c r="AF130" s="181">
        <v>1.2</v>
      </c>
      <c r="AG130" s="101" t="str">
        <f t="shared" si="16"/>
        <v/>
      </c>
      <c r="AH130" s="190">
        <v>0</v>
      </c>
      <c r="AI130" s="69">
        <f t="shared" si="17"/>
        <v>21</v>
      </c>
    </row>
    <row r="131" spans="1:38" s="69" customFormat="1" ht="33" x14ac:dyDescent="0.3">
      <c r="A131" s="55" t="s">
        <v>382</v>
      </c>
      <c r="B131" s="53" t="s">
        <v>383</v>
      </c>
      <c r="C131" s="54" t="s">
        <v>30</v>
      </c>
      <c r="D131" s="75">
        <v>275.60000000000002</v>
      </c>
      <c r="E131" s="75"/>
      <c r="F131" s="75"/>
      <c r="G131" s="75"/>
      <c r="H131" s="75" t="s">
        <v>15</v>
      </c>
      <c r="I131" s="75">
        <v>7340.41</v>
      </c>
      <c r="J131" s="75">
        <v>2023017</v>
      </c>
      <c r="K131" s="91" t="s">
        <v>384</v>
      </c>
      <c r="L131" s="73"/>
      <c r="M131" s="46">
        <v>0</v>
      </c>
      <c r="N131" s="46">
        <v>0</v>
      </c>
      <c r="O131" s="46">
        <v>0</v>
      </c>
      <c r="P131" s="98"/>
      <c r="Q131" s="23" t="s">
        <v>1493</v>
      </c>
      <c r="R131" s="24" t="s">
        <v>383</v>
      </c>
      <c r="S131" s="25" t="s">
        <v>30</v>
      </c>
      <c r="T131" s="26">
        <v>275.60000000000002</v>
      </c>
      <c r="U131" s="26">
        <v>275.60000000000002</v>
      </c>
      <c r="V131" s="26">
        <f t="shared" si="19"/>
        <v>7340.41</v>
      </c>
      <c r="W131" s="26">
        <f t="shared" si="18"/>
        <v>0</v>
      </c>
      <c r="X131" s="26">
        <f t="shared" si="13"/>
        <v>0</v>
      </c>
      <c r="Y131" s="26">
        <f t="shared" si="20"/>
        <v>0</v>
      </c>
      <c r="Z131" s="26">
        <f t="shared" si="14"/>
        <v>0</v>
      </c>
      <c r="AA131" s="33" t="s">
        <v>15</v>
      </c>
      <c r="AB131" s="36" t="s">
        <v>16</v>
      </c>
      <c r="AC131" s="181">
        <f t="shared" si="15"/>
        <v>275.60000000000002</v>
      </c>
      <c r="AD131" s="181">
        <f t="shared" si="21"/>
        <v>2023017</v>
      </c>
      <c r="AE131" s="181">
        <v>1.2</v>
      </c>
      <c r="AF131" s="181">
        <v>1.2</v>
      </c>
      <c r="AG131" s="101" t="str">
        <f t="shared" si="16"/>
        <v/>
      </c>
      <c r="AH131" s="190">
        <v>0</v>
      </c>
      <c r="AI131" s="69">
        <f t="shared" si="17"/>
        <v>275.60000000000002</v>
      </c>
    </row>
    <row r="132" spans="1:38" s="69" customFormat="1" ht="33" x14ac:dyDescent="0.3">
      <c r="A132" s="130" t="s">
        <v>385</v>
      </c>
      <c r="B132" s="131" t="s">
        <v>386</v>
      </c>
      <c r="C132" s="132" t="s">
        <v>81</v>
      </c>
      <c r="D132" s="133">
        <v>1</v>
      </c>
      <c r="E132" s="75"/>
      <c r="F132" s="75"/>
      <c r="G132" s="75"/>
      <c r="H132" s="75" t="s">
        <v>15</v>
      </c>
      <c r="I132" s="75">
        <v>913345.81</v>
      </c>
      <c r="J132" s="75">
        <v>913345.81</v>
      </c>
      <c r="K132" s="91" t="s">
        <v>387</v>
      </c>
      <c r="L132" s="73"/>
      <c r="M132" s="46">
        <v>1</v>
      </c>
      <c r="N132" s="46">
        <v>0</v>
      </c>
      <c r="O132" s="46">
        <v>913345.81</v>
      </c>
      <c r="P132" s="98"/>
      <c r="Q132" s="23" t="s">
        <v>1494</v>
      </c>
      <c r="R132" s="24" t="s">
        <v>386</v>
      </c>
      <c r="S132" s="25" t="s">
        <v>81</v>
      </c>
      <c r="T132" s="26">
        <v>1</v>
      </c>
      <c r="U132" s="26">
        <v>1</v>
      </c>
      <c r="V132" s="26">
        <f t="shared" si="19"/>
        <v>913345.81</v>
      </c>
      <c r="W132" s="127">
        <f t="shared" si="18"/>
        <v>0</v>
      </c>
      <c r="X132" s="127">
        <f t="shared" si="13"/>
        <v>1</v>
      </c>
      <c r="Y132" s="127">
        <f t="shared" si="20"/>
        <v>0</v>
      </c>
      <c r="Z132" s="127">
        <f t="shared" si="14"/>
        <v>913345.81</v>
      </c>
      <c r="AA132" s="33" t="s">
        <v>15</v>
      </c>
      <c r="AB132" s="36" t="s">
        <v>16</v>
      </c>
      <c r="AC132" s="181">
        <f t="shared" si="15"/>
        <v>1</v>
      </c>
      <c r="AD132" s="181">
        <f t="shared" si="21"/>
        <v>913345.81</v>
      </c>
      <c r="AE132" s="181">
        <v>1.2</v>
      </c>
      <c r="AF132" s="181">
        <v>1.2</v>
      </c>
      <c r="AG132" s="101" t="str">
        <f t="shared" si="16"/>
        <v/>
      </c>
      <c r="AH132" s="191">
        <v>1</v>
      </c>
      <c r="AI132" s="69">
        <f t="shared" si="17"/>
        <v>1</v>
      </c>
    </row>
    <row r="133" spans="1:38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 t="s">
        <v>15</v>
      </c>
      <c r="I133" s="82"/>
      <c r="J133" s="82">
        <v>62087911.219999999</v>
      </c>
      <c r="K133" s="94" t="s">
        <v>15</v>
      </c>
      <c r="L133" s="73"/>
      <c r="M133" s="45">
        <v>1</v>
      </c>
      <c r="N133" s="45">
        <v>2767814.28</v>
      </c>
      <c r="O133" s="45">
        <v>55393441.520000011</v>
      </c>
      <c r="P133" s="98"/>
      <c r="Q133" s="18" t="s">
        <v>1381</v>
      </c>
      <c r="R133" s="19" t="s">
        <v>389</v>
      </c>
      <c r="S133" s="20" t="s">
        <v>14</v>
      </c>
      <c r="T133" s="21">
        <v>1</v>
      </c>
      <c r="U133" s="21"/>
      <c r="V133" s="21">
        <f>SUMIFS(AD:AD,AE:AE,AE133)</f>
        <v>62087911.219999999</v>
      </c>
      <c r="W133" s="21">
        <f t="shared" ref="W133:X133" si="22">IF(Y133=0,0,1)</f>
        <v>1</v>
      </c>
      <c r="X133" s="21">
        <f t="shared" si="22"/>
        <v>1</v>
      </c>
      <c r="Y133" s="21">
        <f>SUMIFS(Y:Y,AF:AF,AE133)</f>
        <v>703446.39999999991</v>
      </c>
      <c r="Z133" s="21">
        <f>SUMIFS(Z:Z,AF:AF,AE133)</f>
        <v>56096887.920000017</v>
      </c>
      <c r="AA133" s="22" t="s">
        <v>15</v>
      </c>
      <c r="AB133" s="43" t="s">
        <v>16</v>
      </c>
      <c r="AC133" s="181">
        <f t="shared" si="15"/>
        <v>1</v>
      </c>
      <c r="AD133" s="184"/>
      <c r="AE133" s="184">
        <v>1.3</v>
      </c>
      <c r="AF133" s="184"/>
      <c r="AG133" s="101" t="str">
        <f t="shared" si="16"/>
        <v/>
      </c>
      <c r="AH133" s="190">
        <v>1</v>
      </c>
      <c r="AI133" s="69">
        <f t="shared" si="17"/>
        <v>1</v>
      </c>
    </row>
    <row r="134" spans="1:38" s="69" customFormat="1" ht="39" x14ac:dyDescent="0.3">
      <c r="A134" s="55" t="s">
        <v>390</v>
      </c>
      <c r="B134" s="53" t="s">
        <v>102</v>
      </c>
      <c r="C134" s="54" t="s">
        <v>103</v>
      </c>
      <c r="D134" s="75">
        <v>274.45</v>
      </c>
      <c r="E134" s="75"/>
      <c r="F134" s="75"/>
      <c r="G134" s="75"/>
      <c r="H134" s="75" t="s">
        <v>15</v>
      </c>
      <c r="I134" s="75">
        <v>320.74</v>
      </c>
      <c r="J134" s="75">
        <v>88027.09</v>
      </c>
      <c r="K134" s="91" t="s">
        <v>104</v>
      </c>
      <c r="L134" s="73"/>
      <c r="M134" s="46">
        <v>225</v>
      </c>
      <c r="N134" s="46">
        <v>0</v>
      </c>
      <c r="O134" s="46">
        <v>72166.5</v>
      </c>
      <c r="P134" s="98"/>
      <c r="Q134" s="23" t="s">
        <v>1421</v>
      </c>
      <c r="R134" s="24" t="s">
        <v>102</v>
      </c>
      <c r="S134" s="25" t="s">
        <v>103</v>
      </c>
      <c r="T134" s="26">
        <v>274.45</v>
      </c>
      <c r="U134" s="26">
        <v>274.45</v>
      </c>
      <c r="V134" s="26">
        <f t="shared" si="19"/>
        <v>320.74</v>
      </c>
      <c r="W134" s="127">
        <f t="shared" ref="W134:W176" si="23">AH134-M134</f>
        <v>0</v>
      </c>
      <c r="X134" s="127">
        <f t="shared" ref="X134:X176" si="24">W134+M134</f>
        <v>225</v>
      </c>
      <c r="Y134" s="127">
        <f t="shared" ref="Y134:Y176" si="25">Z134-O134</f>
        <v>0</v>
      </c>
      <c r="Z134" s="127">
        <f t="shared" si="14"/>
        <v>72166.5</v>
      </c>
      <c r="AA134" s="33" t="s">
        <v>15</v>
      </c>
      <c r="AB134" s="36" t="s">
        <v>16</v>
      </c>
      <c r="AC134" s="181">
        <f t="shared" si="15"/>
        <v>274.45</v>
      </c>
      <c r="AD134" s="181">
        <f t="shared" ref="AD134:AD176" si="26">ROUND(V134*AC134,2)</f>
        <v>88027.09</v>
      </c>
      <c r="AE134" s="181">
        <v>1.3</v>
      </c>
      <c r="AF134" s="181">
        <v>1.3</v>
      </c>
      <c r="AG134" s="101" t="str">
        <f t="shared" si="16"/>
        <v/>
      </c>
      <c r="AH134" s="190">
        <v>225</v>
      </c>
      <c r="AI134" s="69">
        <f t="shared" si="17"/>
        <v>274.45</v>
      </c>
    </row>
    <row r="135" spans="1:38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 t="s">
        <v>15</v>
      </c>
      <c r="I135" s="75">
        <v>3115.13</v>
      </c>
      <c r="J135" s="75">
        <v>137751.04999999999</v>
      </c>
      <c r="K135" s="91" t="s">
        <v>114</v>
      </c>
      <c r="L135" s="73"/>
      <c r="M135" s="46">
        <v>16.79</v>
      </c>
      <c r="N135" s="46">
        <v>0</v>
      </c>
      <c r="O135" s="46">
        <v>52303.03</v>
      </c>
      <c r="P135" s="98"/>
      <c r="Q135" s="23" t="s">
        <v>1426</v>
      </c>
      <c r="R135" s="24" t="s">
        <v>392</v>
      </c>
      <c r="S135" s="25" t="s">
        <v>23</v>
      </c>
      <c r="T135" s="26">
        <v>44.22</v>
      </c>
      <c r="U135" s="26">
        <v>44.22</v>
      </c>
      <c r="V135" s="26">
        <f t="shared" si="19"/>
        <v>3115.13</v>
      </c>
      <c r="W135" s="26">
        <f t="shared" si="23"/>
        <v>0</v>
      </c>
      <c r="X135" s="26">
        <f t="shared" si="24"/>
        <v>16.79</v>
      </c>
      <c r="Y135" s="26">
        <f t="shared" si="25"/>
        <v>0</v>
      </c>
      <c r="Z135" s="26">
        <f t="shared" si="14"/>
        <v>52303.03</v>
      </c>
      <c r="AA135" s="33" t="s">
        <v>15</v>
      </c>
      <c r="AB135" s="36" t="s">
        <v>16</v>
      </c>
      <c r="AC135" s="181">
        <f t="shared" si="15"/>
        <v>44.22</v>
      </c>
      <c r="AD135" s="181">
        <f t="shared" si="26"/>
        <v>137751.04999999999</v>
      </c>
      <c r="AE135" s="181">
        <v>1.3</v>
      </c>
      <c r="AF135" s="181">
        <v>1.3</v>
      </c>
      <c r="AG135" s="101" t="str">
        <f t="shared" si="16"/>
        <v/>
      </c>
      <c r="AH135" s="190">
        <v>16.79</v>
      </c>
      <c r="AI135" s="69">
        <f t="shared" si="17"/>
        <v>44.22</v>
      </c>
    </row>
    <row r="136" spans="1:38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 t="s">
        <v>15</v>
      </c>
      <c r="I136" s="75">
        <v>3321.13</v>
      </c>
      <c r="J136" s="75">
        <v>318728.84999999998</v>
      </c>
      <c r="K136" s="91" t="s">
        <v>117</v>
      </c>
      <c r="L136" s="73"/>
      <c r="M136" s="46">
        <v>26.5</v>
      </c>
      <c r="N136" s="46">
        <v>88009.95</v>
      </c>
      <c r="O136" s="46">
        <v>88009.95</v>
      </c>
      <c r="P136" s="98"/>
      <c r="Q136" s="23" t="s">
        <v>1402</v>
      </c>
      <c r="R136" s="24" t="s">
        <v>116</v>
      </c>
      <c r="S136" s="25" t="s">
        <v>23</v>
      </c>
      <c r="T136" s="26">
        <v>95.97</v>
      </c>
      <c r="U136" s="26">
        <v>95.97</v>
      </c>
      <c r="V136" s="26">
        <f t="shared" si="19"/>
        <v>3321.13</v>
      </c>
      <c r="W136" s="128">
        <f t="shared" si="23"/>
        <v>0</v>
      </c>
      <c r="X136" s="26">
        <f t="shared" si="24"/>
        <v>26.5</v>
      </c>
      <c r="Y136" s="26">
        <f t="shared" si="25"/>
        <v>0</v>
      </c>
      <c r="Z136" s="26">
        <f t="shared" si="14"/>
        <v>88009.95</v>
      </c>
      <c r="AA136" s="33" t="s">
        <v>15</v>
      </c>
      <c r="AB136" s="36" t="s">
        <v>16</v>
      </c>
      <c r="AC136" s="181">
        <f t="shared" si="15"/>
        <v>95.97</v>
      </c>
      <c r="AD136" s="181">
        <f t="shared" si="26"/>
        <v>318728.84999999998</v>
      </c>
      <c r="AE136" s="181">
        <v>1.3</v>
      </c>
      <c r="AF136" s="181">
        <v>1.3</v>
      </c>
      <c r="AG136" s="101" t="str">
        <f t="shared" si="16"/>
        <v/>
      </c>
      <c r="AH136" s="191">
        <f>26.5</f>
        <v>26.5</v>
      </c>
      <c r="AI136" s="69">
        <f t="shared" si="17"/>
        <v>95.97</v>
      </c>
    </row>
    <row r="137" spans="1:38" s="69" customFormat="1" ht="39" x14ac:dyDescent="0.3">
      <c r="A137" s="130" t="s">
        <v>394</v>
      </c>
      <c r="B137" s="131" t="s">
        <v>395</v>
      </c>
      <c r="C137" s="132" t="s">
        <v>23</v>
      </c>
      <c r="D137" s="133">
        <v>1216.8</v>
      </c>
      <c r="E137" s="75"/>
      <c r="F137" s="75"/>
      <c r="G137" s="75"/>
      <c r="H137" s="133">
        <v>709.04</v>
      </c>
      <c r="I137" s="75">
        <v>3643.73</v>
      </c>
      <c r="J137" s="75">
        <v>2583550.3199999998</v>
      </c>
      <c r="K137" s="91" t="s">
        <v>396</v>
      </c>
      <c r="L137" s="73"/>
      <c r="M137" s="46">
        <v>645.58000000000004</v>
      </c>
      <c r="N137" s="46">
        <v>0</v>
      </c>
      <c r="O137" s="46">
        <v>2352319.21</v>
      </c>
      <c r="P137" s="98"/>
      <c r="Q137" s="23" t="s">
        <v>1373</v>
      </c>
      <c r="R137" s="24" t="s">
        <v>395</v>
      </c>
      <c r="S137" s="25" t="s">
        <v>23</v>
      </c>
      <c r="T137" s="26">
        <v>1216.8</v>
      </c>
      <c r="U137" s="26">
        <v>709.04</v>
      </c>
      <c r="V137" s="26">
        <f t="shared" si="19"/>
        <v>3643.73</v>
      </c>
      <c r="W137" s="127">
        <f t="shared" si="23"/>
        <v>0</v>
      </c>
      <c r="X137" s="127">
        <f t="shared" si="24"/>
        <v>645.58000000000004</v>
      </c>
      <c r="Y137" s="127">
        <f t="shared" si="25"/>
        <v>0</v>
      </c>
      <c r="Z137" s="127">
        <f t="shared" si="14"/>
        <v>2352319.21</v>
      </c>
      <c r="AA137" s="33" t="s">
        <v>15</v>
      </c>
      <c r="AB137" s="36" t="s">
        <v>16</v>
      </c>
      <c r="AC137" s="181">
        <f t="shared" si="15"/>
        <v>709.04</v>
      </c>
      <c r="AD137" s="181">
        <f t="shared" si="26"/>
        <v>2583550.3199999998</v>
      </c>
      <c r="AE137" s="181">
        <v>1.3</v>
      </c>
      <c r="AF137" s="181">
        <v>1.3</v>
      </c>
      <c r="AG137" s="101" t="str">
        <f t="shared" si="16"/>
        <v/>
      </c>
      <c r="AH137" s="191">
        <f>68+115+49.88+152.5+165+95.2</f>
        <v>645.58000000000004</v>
      </c>
      <c r="AI137" s="69">
        <f t="shared" si="17"/>
        <v>1216.8</v>
      </c>
      <c r="AL137" s="195">
        <v>388.56</v>
      </c>
    </row>
    <row r="138" spans="1:38" s="69" customFormat="1" ht="33" x14ac:dyDescent="0.3">
      <c r="A138" s="130" t="s">
        <v>397</v>
      </c>
      <c r="B138" s="122" t="s">
        <v>109</v>
      </c>
      <c r="C138" s="132" t="s">
        <v>110</v>
      </c>
      <c r="D138" s="133">
        <v>4788.7700000000004</v>
      </c>
      <c r="E138" s="75"/>
      <c r="F138" s="75"/>
      <c r="G138" s="75"/>
      <c r="H138" s="75" t="s">
        <v>15</v>
      </c>
      <c r="I138" s="75">
        <v>36.4</v>
      </c>
      <c r="J138" s="75">
        <v>174311.23</v>
      </c>
      <c r="K138" s="91" t="s">
        <v>111</v>
      </c>
      <c r="L138" s="73"/>
      <c r="M138" s="46">
        <v>4778</v>
      </c>
      <c r="N138" s="46">
        <v>0</v>
      </c>
      <c r="O138" s="46">
        <v>173919.2</v>
      </c>
      <c r="P138" s="98"/>
      <c r="Q138" s="23" t="s">
        <v>1393</v>
      </c>
      <c r="R138" s="24" t="s">
        <v>109</v>
      </c>
      <c r="S138" s="25" t="s">
        <v>110</v>
      </c>
      <c r="T138" s="26">
        <v>4788.7700000000004</v>
      </c>
      <c r="U138" s="26">
        <v>4788.7700000000004</v>
      </c>
      <c r="V138" s="26">
        <f t="shared" si="19"/>
        <v>36.4</v>
      </c>
      <c r="W138" s="127">
        <f t="shared" si="23"/>
        <v>0</v>
      </c>
      <c r="X138" s="127">
        <f t="shared" si="24"/>
        <v>4778</v>
      </c>
      <c r="Y138" s="127">
        <f t="shared" si="25"/>
        <v>0</v>
      </c>
      <c r="Z138" s="127">
        <f t="shared" si="14"/>
        <v>173919.2</v>
      </c>
      <c r="AA138" s="33" t="s">
        <v>15</v>
      </c>
      <c r="AB138" s="36" t="s">
        <v>16</v>
      </c>
      <c r="AC138" s="181">
        <f t="shared" si="15"/>
        <v>4788.7700000000004</v>
      </c>
      <c r="AD138" s="181">
        <f t="shared" si="26"/>
        <v>174311.23</v>
      </c>
      <c r="AE138" s="181">
        <v>1.3</v>
      </c>
      <c r="AF138" s="181">
        <v>1.3</v>
      </c>
      <c r="AG138" s="101" t="str">
        <f t="shared" si="16"/>
        <v/>
      </c>
      <c r="AH138" s="193">
        <f>2040+2126+612</f>
        <v>4778</v>
      </c>
      <c r="AI138" s="69">
        <f t="shared" si="17"/>
        <v>4788.7700000000004</v>
      </c>
      <c r="AL138" s="195">
        <v>4788.7700000000004</v>
      </c>
    </row>
    <row r="139" spans="1:38" s="69" customFormat="1" ht="33" x14ac:dyDescent="0.3">
      <c r="A139" s="130" t="s">
        <v>398</v>
      </c>
      <c r="B139" s="122" t="s">
        <v>399</v>
      </c>
      <c r="C139" s="132" t="s">
        <v>110</v>
      </c>
      <c r="D139" s="133">
        <v>205535.32</v>
      </c>
      <c r="E139" s="75"/>
      <c r="F139" s="75"/>
      <c r="G139" s="75"/>
      <c r="H139" s="75" t="s">
        <v>15</v>
      </c>
      <c r="I139" s="75">
        <v>38.71</v>
      </c>
      <c r="J139" s="75">
        <v>7956272.2400000002</v>
      </c>
      <c r="K139" s="91" t="s">
        <v>400</v>
      </c>
      <c r="L139" s="73"/>
      <c r="M139" s="46">
        <v>202264.52000000002</v>
      </c>
      <c r="N139" s="46">
        <v>0</v>
      </c>
      <c r="O139" s="46">
        <v>7829659.5700000003</v>
      </c>
      <c r="P139" s="98"/>
      <c r="Q139" s="23" t="s">
        <v>1403</v>
      </c>
      <c r="R139" s="24" t="s">
        <v>399</v>
      </c>
      <c r="S139" s="25" t="s">
        <v>110</v>
      </c>
      <c r="T139" s="26">
        <v>205535.32</v>
      </c>
      <c r="U139" s="26">
        <v>205535.32</v>
      </c>
      <c r="V139" s="26">
        <f t="shared" si="19"/>
        <v>38.71</v>
      </c>
      <c r="W139" s="127">
        <f t="shared" si="23"/>
        <v>0</v>
      </c>
      <c r="X139" s="127">
        <f t="shared" si="24"/>
        <v>202264.52000000002</v>
      </c>
      <c r="Y139" s="127">
        <f t="shared" si="25"/>
        <v>0</v>
      </c>
      <c r="Z139" s="127">
        <f t="shared" ref="Z139:Z203" si="27">ROUND(V139*X139,2)</f>
        <v>7829659.5700000003</v>
      </c>
      <c r="AA139" s="33" t="s">
        <v>15</v>
      </c>
      <c r="AB139" s="36" t="s">
        <v>16</v>
      </c>
      <c r="AC139" s="181">
        <f t="shared" ref="AC139:AC202" si="28">IF(U139="",T139,U139)</f>
        <v>205535.32</v>
      </c>
      <c r="AD139" s="181">
        <f t="shared" si="26"/>
        <v>7956272.2400000002</v>
      </c>
      <c r="AE139" s="181">
        <v>1.3</v>
      </c>
      <c r="AF139" s="181">
        <v>1.3</v>
      </c>
      <c r="AG139" s="101" t="str">
        <f t="shared" ref="AG139:AG202" si="29">IF(X139&gt;AI139,"超估","")</f>
        <v/>
      </c>
      <c r="AH139" s="190">
        <f>82006.52+120258</f>
        <v>202264.52000000002</v>
      </c>
      <c r="AI139" s="69">
        <f t="shared" ref="AI139:AI202" si="30">IF(G139=0,IF(F139=0,IF(E139=0,D139,E139),F139),G139)</f>
        <v>205535.32</v>
      </c>
      <c r="AL139" s="195">
        <v>72641</v>
      </c>
    </row>
    <row r="140" spans="1:38" s="69" customFormat="1" ht="33" x14ac:dyDescent="0.3">
      <c r="A140" s="130" t="s">
        <v>401</v>
      </c>
      <c r="B140" s="131" t="s">
        <v>402</v>
      </c>
      <c r="C140" s="132" t="s">
        <v>50</v>
      </c>
      <c r="D140" s="133">
        <v>320.89999999999998</v>
      </c>
      <c r="E140" s="75"/>
      <c r="F140" s="75"/>
      <c r="G140" s="75"/>
      <c r="H140" s="133">
        <v>351.33</v>
      </c>
      <c r="I140" s="75">
        <v>1154.98</v>
      </c>
      <c r="J140" s="75">
        <v>405779.12</v>
      </c>
      <c r="K140" s="91" t="s">
        <v>403</v>
      </c>
      <c r="L140" s="73"/>
      <c r="M140" s="46">
        <v>320.09000000000003</v>
      </c>
      <c r="N140" s="46">
        <v>0</v>
      </c>
      <c r="O140" s="46">
        <v>369697.55</v>
      </c>
      <c r="P140" s="98"/>
      <c r="Q140" s="23" t="s">
        <v>1427</v>
      </c>
      <c r="R140" s="24" t="s">
        <v>402</v>
      </c>
      <c r="S140" s="25" t="s">
        <v>50</v>
      </c>
      <c r="T140" s="26">
        <v>320.89999999999998</v>
      </c>
      <c r="U140" s="26">
        <v>351.33</v>
      </c>
      <c r="V140" s="26">
        <f t="shared" si="19"/>
        <v>1154.98</v>
      </c>
      <c r="W140" s="127">
        <f t="shared" si="23"/>
        <v>0</v>
      </c>
      <c r="X140" s="127">
        <f t="shared" si="24"/>
        <v>320.09000000000003</v>
      </c>
      <c r="Y140" s="127">
        <f t="shared" si="25"/>
        <v>0</v>
      </c>
      <c r="Z140" s="127">
        <f t="shared" si="27"/>
        <v>369697.55</v>
      </c>
      <c r="AA140" s="33" t="s">
        <v>15</v>
      </c>
      <c r="AB140" s="36" t="s">
        <v>16</v>
      </c>
      <c r="AC140" s="181">
        <f t="shared" si="28"/>
        <v>351.33</v>
      </c>
      <c r="AD140" s="181">
        <f t="shared" si="26"/>
        <v>405779.12</v>
      </c>
      <c r="AE140" s="181">
        <v>1.3</v>
      </c>
      <c r="AF140" s="181">
        <v>1.3</v>
      </c>
      <c r="AG140" s="101" t="str">
        <f t="shared" si="29"/>
        <v/>
      </c>
      <c r="AH140" s="191">
        <f>50.19+186+83.9</f>
        <v>320.09000000000003</v>
      </c>
      <c r="AI140" s="69">
        <f t="shared" si="30"/>
        <v>320.89999999999998</v>
      </c>
      <c r="AL140" s="195">
        <v>351.34</v>
      </c>
    </row>
    <row r="141" spans="1:38" s="69" customFormat="1" ht="57.75" x14ac:dyDescent="0.3">
      <c r="A141" s="130" t="s">
        <v>404</v>
      </c>
      <c r="B141" s="131" t="s">
        <v>405</v>
      </c>
      <c r="C141" s="132" t="s">
        <v>50</v>
      </c>
      <c r="D141" s="133">
        <v>493.85</v>
      </c>
      <c r="E141" s="203"/>
      <c r="F141" s="203"/>
      <c r="G141" s="203"/>
      <c r="H141" s="133">
        <v>574.89</v>
      </c>
      <c r="I141" s="75">
        <v>982.98</v>
      </c>
      <c r="J141" s="75">
        <v>565105.37</v>
      </c>
      <c r="K141" s="91" t="s">
        <v>406</v>
      </c>
      <c r="L141" s="73"/>
      <c r="M141" s="46">
        <v>493.84999999999997</v>
      </c>
      <c r="N141" s="46">
        <v>0</v>
      </c>
      <c r="O141" s="46">
        <v>485444.67</v>
      </c>
      <c r="P141" s="98"/>
      <c r="Q141" s="23" t="s">
        <v>1428</v>
      </c>
      <c r="R141" s="24" t="s">
        <v>405</v>
      </c>
      <c r="S141" s="25" t="s">
        <v>50</v>
      </c>
      <c r="T141" s="26">
        <v>493.85</v>
      </c>
      <c r="U141" s="26">
        <v>574.89</v>
      </c>
      <c r="V141" s="26">
        <f t="shared" si="19"/>
        <v>982.98</v>
      </c>
      <c r="W141" s="127">
        <f t="shared" si="23"/>
        <v>0</v>
      </c>
      <c r="X141" s="127">
        <f t="shared" si="24"/>
        <v>493.84999999999997</v>
      </c>
      <c r="Y141" s="127">
        <f t="shared" si="25"/>
        <v>0</v>
      </c>
      <c r="Z141" s="127">
        <f t="shared" si="27"/>
        <v>485444.67</v>
      </c>
      <c r="AA141" s="33" t="s">
        <v>15</v>
      </c>
      <c r="AB141" s="36" t="s">
        <v>16</v>
      </c>
      <c r="AC141" s="181">
        <f t="shared" si="28"/>
        <v>574.89</v>
      </c>
      <c r="AD141" s="181">
        <f t="shared" si="26"/>
        <v>565105.37</v>
      </c>
      <c r="AE141" s="181">
        <v>1.3</v>
      </c>
      <c r="AF141" s="181">
        <v>1.3</v>
      </c>
      <c r="AG141" s="101" t="str">
        <f t="shared" si="29"/>
        <v/>
      </c>
      <c r="AH141" s="192">
        <f>393.03+100.82</f>
        <v>493.84999999999997</v>
      </c>
      <c r="AI141" s="69">
        <f t="shared" si="30"/>
        <v>493.85</v>
      </c>
      <c r="AL141" s="195">
        <v>574.89200000000017</v>
      </c>
    </row>
    <row r="142" spans="1:38" s="69" customFormat="1" ht="41.25" x14ac:dyDescent="0.3">
      <c r="A142" s="130" t="s">
        <v>407</v>
      </c>
      <c r="B142" s="131" t="s">
        <v>408</v>
      </c>
      <c r="C142" s="132" t="s">
        <v>50</v>
      </c>
      <c r="D142" s="133">
        <v>126.48</v>
      </c>
      <c r="E142" s="203"/>
      <c r="F142" s="203"/>
      <c r="G142" s="203"/>
      <c r="H142" s="133">
        <v>138</v>
      </c>
      <c r="I142" s="75">
        <v>804.79</v>
      </c>
      <c r="J142" s="75">
        <v>111061.02</v>
      </c>
      <c r="K142" s="91" t="s">
        <v>409</v>
      </c>
      <c r="L142" s="73"/>
      <c r="M142" s="46">
        <v>126.48</v>
      </c>
      <c r="N142" s="46">
        <v>0</v>
      </c>
      <c r="O142" s="46">
        <v>101789.84</v>
      </c>
      <c r="P142" s="98"/>
      <c r="Q142" s="23" t="s">
        <v>1387</v>
      </c>
      <c r="R142" s="24" t="s">
        <v>408</v>
      </c>
      <c r="S142" s="25" t="s">
        <v>50</v>
      </c>
      <c r="T142" s="26">
        <v>126.48</v>
      </c>
      <c r="U142" s="26">
        <v>138</v>
      </c>
      <c r="V142" s="26">
        <f t="shared" si="19"/>
        <v>804.79</v>
      </c>
      <c r="W142" s="127">
        <f t="shared" si="23"/>
        <v>0</v>
      </c>
      <c r="X142" s="127">
        <f t="shared" si="24"/>
        <v>126.48</v>
      </c>
      <c r="Y142" s="127">
        <f t="shared" si="25"/>
        <v>0</v>
      </c>
      <c r="Z142" s="127">
        <f t="shared" si="27"/>
        <v>101789.84</v>
      </c>
      <c r="AA142" s="33" t="s">
        <v>15</v>
      </c>
      <c r="AB142" s="36" t="s">
        <v>16</v>
      </c>
      <c r="AC142" s="181">
        <f t="shared" si="28"/>
        <v>138</v>
      </c>
      <c r="AD142" s="181">
        <f t="shared" si="26"/>
        <v>111061.02</v>
      </c>
      <c r="AE142" s="181">
        <v>1.3</v>
      </c>
      <c r="AF142" s="181">
        <v>1.3</v>
      </c>
      <c r="AG142" s="101" t="str">
        <f t="shared" si="29"/>
        <v/>
      </c>
      <c r="AH142" s="192">
        <v>126.48</v>
      </c>
      <c r="AI142" s="69">
        <f t="shared" si="30"/>
        <v>126.48</v>
      </c>
      <c r="AL142" s="195">
        <v>120</v>
      </c>
    </row>
    <row r="143" spans="1:38" s="69" customFormat="1" ht="33" x14ac:dyDescent="0.3">
      <c r="A143" s="55" t="s">
        <v>410</v>
      </c>
      <c r="B143" s="53" t="s">
        <v>411</v>
      </c>
      <c r="C143" s="54" t="s">
        <v>412</v>
      </c>
      <c r="D143" s="75">
        <v>12205</v>
      </c>
      <c r="E143" s="75"/>
      <c r="F143" s="75"/>
      <c r="G143" s="75"/>
      <c r="H143" s="75" t="s">
        <v>15</v>
      </c>
      <c r="I143" s="75">
        <v>75</v>
      </c>
      <c r="J143" s="75">
        <v>915375</v>
      </c>
      <c r="K143" s="91" t="s">
        <v>413</v>
      </c>
      <c r="L143" s="73"/>
      <c r="M143" s="46">
        <v>0</v>
      </c>
      <c r="N143" s="46">
        <v>0</v>
      </c>
      <c r="O143" s="46">
        <v>0</v>
      </c>
      <c r="P143" s="98"/>
      <c r="Q143" s="23" t="s">
        <v>1405</v>
      </c>
      <c r="R143" s="24" t="s">
        <v>411</v>
      </c>
      <c r="S143" s="25" t="s">
        <v>412</v>
      </c>
      <c r="T143" s="26">
        <v>12205</v>
      </c>
      <c r="U143" s="26">
        <v>12205</v>
      </c>
      <c r="V143" s="26">
        <f t="shared" si="19"/>
        <v>75</v>
      </c>
      <c r="W143" s="128">
        <f t="shared" si="23"/>
        <v>0</v>
      </c>
      <c r="X143" s="26">
        <f t="shared" si="24"/>
        <v>0</v>
      </c>
      <c r="Y143" s="26">
        <f t="shared" si="25"/>
        <v>0</v>
      </c>
      <c r="Z143" s="26">
        <f t="shared" si="27"/>
        <v>0</v>
      </c>
      <c r="AA143" s="33" t="s">
        <v>15</v>
      </c>
      <c r="AB143" s="36" t="s">
        <v>16</v>
      </c>
      <c r="AC143" s="181">
        <f t="shared" si="28"/>
        <v>12205</v>
      </c>
      <c r="AD143" s="181">
        <f t="shared" si="26"/>
        <v>915375</v>
      </c>
      <c r="AE143" s="181">
        <v>1.3</v>
      </c>
      <c r="AF143" s="181">
        <v>1.3</v>
      </c>
      <c r="AG143" s="101" t="str">
        <f t="shared" si="29"/>
        <v/>
      </c>
      <c r="AH143" s="191">
        <f>0</f>
        <v>0</v>
      </c>
      <c r="AI143" s="69">
        <f t="shared" si="30"/>
        <v>12205</v>
      </c>
    </row>
    <row r="144" spans="1:38" s="69" customFormat="1" ht="33" x14ac:dyDescent="0.3">
      <c r="A144" s="55" t="s">
        <v>414</v>
      </c>
      <c r="B144" s="53" t="s">
        <v>125</v>
      </c>
      <c r="C144" s="54" t="s">
        <v>110</v>
      </c>
      <c r="D144" s="75">
        <v>8317</v>
      </c>
      <c r="E144" s="75"/>
      <c r="F144" s="75"/>
      <c r="G144" s="75"/>
      <c r="H144" s="75" t="s">
        <v>15</v>
      </c>
      <c r="I144" s="75">
        <v>60</v>
      </c>
      <c r="J144" s="75">
        <v>499020</v>
      </c>
      <c r="K144" s="91" t="s">
        <v>126</v>
      </c>
      <c r="L144" s="73"/>
      <c r="M144" s="46">
        <v>0</v>
      </c>
      <c r="N144" s="46">
        <v>0</v>
      </c>
      <c r="O144" s="46">
        <v>0</v>
      </c>
      <c r="P144" s="98"/>
      <c r="Q144" s="23" t="s">
        <v>1406</v>
      </c>
      <c r="R144" s="24" t="s">
        <v>125</v>
      </c>
      <c r="S144" s="25" t="s">
        <v>110</v>
      </c>
      <c r="T144" s="26">
        <v>8317</v>
      </c>
      <c r="U144" s="26">
        <v>8317</v>
      </c>
      <c r="V144" s="26">
        <f t="shared" si="19"/>
        <v>60</v>
      </c>
      <c r="W144" s="128">
        <f t="shared" si="23"/>
        <v>5520</v>
      </c>
      <c r="X144" s="26">
        <f t="shared" si="24"/>
        <v>5520</v>
      </c>
      <c r="Y144" s="26">
        <f t="shared" si="25"/>
        <v>331200</v>
      </c>
      <c r="Z144" s="26">
        <f t="shared" si="27"/>
        <v>331200</v>
      </c>
      <c r="AA144" s="33" t="s">
        <v>15</v>
      </c>
      <c r="AB144" s="36" t="s">
        <v>16</v>
      </c>
      <c r="AC144" s="181">
        <f t="shared" si="28"/>
        <v>8317</v>
      </c>
      <c r="AD144" s="181">
        <f t="shared" si="26"/>
        <v>499020</v>
      </c>
      <c r="AE144" s="181">
        <v>1.3</v>
      </c>
      <c r="AF144" s="181">
        <v>1.3</v>
      </c>
      <c r="AG144" s="101" t="str">
        <f t="shared" si="29"/>
        <v/>
      </c>
      <c r="AH144" s="191">
        <f>5520</f>
        <v>5520</v>
      </c>
      <c r="AI144" s="69">
        <f t="shared" si="30"/>
        <v>8317</v>
      </c>
    </row>
    <row r="145" spans="1:35" s="69" customFormat="1" ht="39" x14ac:dyDescent="0.3">
      <c r="A145" s="55" t="s">
        <v>415</v>
      </c>
      <c r="B145" s="53" t="s">
        <v>128</v>
      </c>
      <c r="C145" s="54" t="s">
        <v>110</v>
      </c>
      <c r="D145" s="75">
        <v>8317</v>
      </c>
      <c r="E145" s="75"/>
      <c r="F145" s="75"/>
      <c r="G145" s="75"/>
      <c r="H145" s="75" t="s">
        <v>15</v>
      </c>
      <c r="I145" s="75">
        <v>31.9</v>
      </c>
      <c r="J145" s="75">
        <v>265312.3</v>
      </c>
      <c r="K145" s="91" t="s">
        <v>129</v>
      </c>
      <c r="L145" s="73"/>
      <c r="M145" s="46">
        <v>0</v>
      </c>
      <c r="N145" s="46">
        <v>0</v>
      </c>
      <c r="O145" s="46">
        <v>0</v>
      </c>
      <c r="P145" s="98"/>
      <c r="Q145" s="23" t="s">
        <v>1414</v>
      </c>
      <c r="R145" s="24" t="s">
        <v>128</v>
      </c>
      <c r="S145" s="25" t="s">
        <v>110</v>
      </c>
      <c r="T145" s="26">
        <v>8317</v>
      </c>
      <c r="U145" s="26">
        <v>8317</v>
      </c>
      <c r="V145" s="26">
        <f t="shared" si="19"/>
        <v>31.9</v>
      </c>
      <c r="W145" s="128">
        <f t="shared" si="23"/>
        <v>5520</v>
      </c>
      <c r="X145" s="26">
        <f t="shared" si="24"/>
        <v>5520</v>
      </c>
      <c r="Y145" s="26">
        <f t="shared" si="25"/>
        <v>176088</v>
      </c>
      <c r="Z145" s="26">
        <f t="shared" si="27"/>
        <v>176088</v>
      </c>
      <c r="AA145" s="33" t="s">
        <v>15</v>
      </c>
      <c r="AB145" s="36" t="s">
        <v>16</v>
      </c>
      <c r="AC145" s="181">
        <f t="shared" si="28"/>
        <v>8317</v>
      </c>
      <c r="AD145" s="181">
        <f t="shared" si="26"/>
        <v>265312.3</v>
      </c>
      <c r="AE145" s="181">
        <v>1.3</v>
      </c>
      <c r="AF145" s="181">
        <v>1.3</v>
      </c>
      <c r="AG145" s="101" t="str">
        <f t="shared" si="29"/>
        <v/>
      </c>
      <c r="AH145" s="191">
        <f>AH144</f>
        <v>5520</v>
      </c>
      <c r="AI145" s="69">
        <f t="shared" si="30"/>
        <v>8317</v>
      </c>
    </row>
    <row r="146" spans="1:35" s="69" customFormat="1" ht="39" x14ac:dyDescent="0.3">
      <c r="A146" s="55" t="s">
        <v>416</v>
      </c>
      <c r="B146" s="53" t="s">
        <v>417</v>
      </c>
      <c r="C146" s="54" t="s">
        <v>110</v>
      </c>
      <c r="D146" s="75">
        <v>1087</v>
      </c>
      <c r="E146" s="75"/>
      <c r="F146" s="75"/>
      <c r="G146" s="75"/>
      <c r="H146" s="75" t="s">
        <v>15</v>
      </c>
      <c r="I146" s="75">
        <v>278.10000000000002</v>
      </c>
      <c r="J146" s="75">
        <v>302294.7</v>
      </c>
      <c r="K146" s="91" t="s">
        <v>418</v>
      </c>
      <c r="L146" s="73"/>
      <c r="M146" s="46">
        <v>0</v>
      </c>
      <c r="N146" s="46">
        <v>0</v>
      </c>
      <c r="O146" s="46">
        <v>0</v>
      </c>
      <c r="P146" s="98"/>
      <c r="Q146" s="23" t="s">
        <v>1429</v>
      </c>
      <c r="R146" s="24" t="s">
        <v>417</v>
      </c>
      <c r="S146" s="25" t="s">
        <v>110</v>
      </c>
      <c r="T146" s="26">
        <v>1087</v>
      </c>
      <c r="U146" s="26">
        <v>1087</v>
      </c>
      <c r="V146" s="26">
        <f t="shared" si="19"/>
        <v>278.10000000000002</v>
      </c>
      <c r="W146" s="128">
        <f t="shared" si="23"/>
        <v>0</v>
      </c>
      <c r="X146" s="26">
        <f t="shared" si="24"/>
        <v>0</v>
      </c>
      <c r="Y146" s="26">
        <f t="shared" si="25"/>
        <v>0</v>
      </c>
      <c r="Z146" s="26">
        <f t="shared" si="27"/>
        <v>0</v>
      </c>
      <c r="AA146" s="33" t="s">
        <v>15</v>
      </c>
      <c r="AB146" s="36" t="s">
        <v>16</v>
      </c>
      <c r="AC146" s="181">
        <f t="shared" si="28"/>
        <v>1087</v>
      </c>
      <c r="AD146" s="181">
        <f t="shared" si="26"/>
        <v>302294.7</v>
      </c>
      <c r="AE146" s="181">
        <v>1.3</v>
      </c>
      <c r="AF146" s="181">
        <v>1.3</v>
      </c>
      <c r="AG146" s="101" t="str">
        <f t="shared" si="29"/>
        <v/>
      </c>
      <c r="AH146" s="191">
        <v>0</v>
      </c>
      <c r="AI146" s="69">
        <f t="shared" si="30"/>
        <v>1087</v>
      </c>
    </row>
    <row r="147" spans="1:35" s="69" customFormat="1" ht="58.5" x14ac:dyDescent="0.3">
      <c r="A147" s="55" t="s">
        <v>419</v>
      </c>
      <c r="B147" s="53" t="s">
        <v>420</v>
      </c>
      <c r="C147" s="54" t="s">
        <v>50</v>
      </c>
      <c r="D147" s="75">
        <v>172</v>
      </c>
      <c r="E147" s="75"/>
      <c r="F147" s="75"/>
      <c r="G147" s="75"/>
      <c r="H147" s="75" t="s">
        <v>15</v>
      </c>
      <c r="I147" s="75">
        <v>1400</v>
      </c>
      <c r="J147" s="75">
        <v>240800</v>
      </c>
      <c r="K147" s="91" t="s">
        <v>421</v>
      </c>
      <c r="L147" s="73"/>
      <c r="M147" s="46">
        <v>0</v>
      </c>
      <c r="N147" s="46">
        <v>0</v>
      </c>
      <c r="O147" s="46">
        <v>0</v>
      </c>
      <c r="P147" s="98"/>
      <c r="Q147" s="23" t="s">
        <v>1430</v>
      </c>
      <c r="R147" s="24" t="s">
        <v>420</v>
      </c>
      <c r="S147" s="25" t="s">
        <v>50</v>
      </c>
      <c r="T147" s="26">
        <v>172</v>
      </c>
      <c r="U147" s="26">
        <v>172</v>
      </c>
      <c r="V147" s="26">
        <f t="shared" si="19"/>
        <v>1400</v>
      </c>
      <c r="W147" s="26">
        <f t="shared" si="23"/>
        <v>0</v>
      </c>
      <c r="X147" s="26">
        <f t="shared" si="24"/>
        <v>0</v>
      </c>
      <c r="Y147" s="26">
        <f t="shared" si="25"/>
        <v>0</v>
      </c>
      <c r="Z147" s="26">
        <f t="shared" si="27"/>
        <v>0</v>
      </c>
      <c r="AA147" s="33" t="s">
        <v>15</v>
      </c>
      <c r="AB147" s="36" t="s">
        <v>16</v>
      </c>
      <c r="AC147" s="181">
        <f t="shared" si="28"/>
        <v>172</v>
      </c>
      <c r="AD147" s="181">
        <f t="shared" si="26"/>
        <v>240800</v>
      </c>
      <c r="AE147" s="181">
        <v>1.3</v>
      </c>
      <c r="AF147" s="181">
        <v>1.3</v>
      </c>
      <c r="AG147" s="101" t="str">
        <f t="shared" si="29"/>
        <v/>
      </c>
      <c r="AH147" s="190">
        <v>0</v>
      </c>
      <c r="AI147" s="69">
        <f t="shared" si="30"/>
        <v>172</v>
      </c>
    </row>
    <row r="148" spans="1:35" s="69" customFormat="1" ht="97.5" x14ac:dyDescent="0.3">
      <c r="A148" s="130" t="s">
        <v>422</v>
      </c>
      <c r="B148" s="131" t="s">
        <v>3070</v>
      </c>
      <c r="C148" s="132" t="s">
        <v>110</v>
      </c>
      <c r="D148" s="133">
        <v>150400</v>
      </c>
      <c r="E148" s="75"/>
      <c r="F148" s="75"/>
      <c r="G148" s="75"/>
      <c r="H148" s="75">
        <v>154935.98000000001</v>
      </c>
      <c r="I148" s="75">
        <v>107.31</v>
      </c>
      <c r="J148" s="75">
        <v>16626180.01</v>
      </c>
      <c r="K148" s="91" t="s">
        <v>132</v>
      </c>
      <c r="L148" s="73"/>
      <c r="M148" s="46">
        <v>150350.58000000002</v>
      </c>
      <c r="N148" s="46">
        <v>0</v>
      </c>
      <c r="O148" s="46">
        <v>16134120.74</v>
      </c>
      <c r="P148" s="98"/>
      <c r="Q148" s="23" t="s">
        <v>1431</v>
      </c>
      <c r="R148" s="24" t="s">
        <v>131</v>
      </c>
      <c r="S148" s="25" t="s">
        <v>110</v>
      </c>
      <c r="T148" s="26">
        <v>150400</v>
      </c>
      <c r="U148" s="26">
        <v>154935.98000000001</v>
      </c>
      <c r="V148" s="26">
        <f t="shared" si="19"/>
        <v>107.31</v>
      </c>
      <c r="W148" s="127">
        <f t="shared" si="23"/>
        <v>0</v>
      </c>
      <c r="X148" s="127">
        <f t="shared" si="24"/>
        <v>150350.58000000002</v>
      </c>
      <c r="Y148" s="127">
        <f t="shared" si="25"/>
        <v>0</v>
      </c>
      <c r="Z148" s="127">
        <f t="shared" si="27"/>
        <v>16134120.74</v>
      </c>
      <c r="AA148" s="33" t="s">
        <v>15</v>
      </c>
      <c r="AB148" s="36" t="s">
        <v>16</v>
      </c>
      <c r="AC148" s="181">
        <f t="shared" si="28"/>
        <v>154935.98000000001</v>
      </c>
      <c r="AD148" s="181">
        <f t="shared" si="26"/>
        <v>16626180.01</v>
      </c>
      <c r="AE148" s="181">
        <v>1.3</v>
      </c>
      <c r="AF148" s="181">
        <v>1.3</v>
      </c>
      <c r="AG148" s="101" t="str">
        <f t="shared" si="29"/>
        <v/>
      </c>
      <c r="AH148" s="191">
        <f>67289.58+8250*5+28500+13311</f>
        <v>150350.58000000002</v>
      </c>
      <c r="AI148" s="69">
        <f t="shared" si="30"/>
        <v>150400</v>
      </c>
    </row>
    <row r="149" spans="1:35" s="69" customFormat="1" ht="39" x14ac:dyDescent="0.3">
      <c r="A149" s="130" t="s">
        <v>423</v>
      </c>
      <c r="B149" s="131" t="s">
        <v>424</v>
      </c>
      <c r="C149" s="132" t="s">
        <v>50</v>
      </c>
      <c r="D149" s="133">
        <v>1140.1600000000001</v>
      </c>
      <c r="E149" s="75"/>
      <c r="F149" s="75"/>
      <c r="G149" s="75"/>
      <c r="H149" s="75" t="s">
        <v>15</v>
      </c>
      <c r="I149" s="75">
        <v>692.16</v>
      </c>
      <c r="J149" s="75">
        <v>789173.15</v>
      </c>
      <c r="K149" s="91" t="s">
        <v>425</v>
      </c>
      <c r="L149" s="73"/>
      <c r="M149" s="46">
        <v>1139.5999999999999</v>
      </c>
      <c r="N149" s="46">
        <v>127502.80000000005</v>
      </c>
      <c r="O149" s="46">
        <v>788785.54</v>
      </c>
      <c r="P149" s="98"/>
      <c r="Q149" s="23" t="s">
        <v>1395</v>
      </c>
      <c r="R149" s="24" t="s">
        <v>424</v>
      </c>
      <c r="S149" s="25" t="s">
        <v>50</v>
      </c>
      <c r="T149" s="26">
        <v>1140.1600000000001</v>
      </c>
      <c r="U149" s="26">
        <v>1140.1600000000001</v>
      </c>
      <c r="V149" s="26">
        <f t="shared" si="19"/>
        <v>692.16</v>
      </c>
      <c r="W149" s="128">
        <f t="shared" si="23"/>
        <v>0</v>
      </c>
      <c r="X149" s="127">
        <f t="shared" si="24"/>
        <v>1139.5999999999999</v>
      </c>
      <c r="Y149" s="127">
        <f t="shared" si="25"/>
        <v>0</v>
      </c>
      <c r="Z149" s="127">
        <f t="shared" si="27"/>
        <v>788785.54</v>
      </c>
      <c r="AA149" s="33" t="s">
        <v>15</v>
      </c>
      <c r="AB149" s="36" t="s">
        <v>16</v>
      </c>
      <c r="AC149" s="181">
        <f t="shared" si="28"/>
        <v>1140.1600000000001</v>
      </c>
      <c r="AD149" s="181">
        <f t="shared" si="26"/>
        <v>789173.15</v>
      </c>
      <c r="AE149" s="181">
        <v>1.3</v>
      </c>
      <c r="AF149" s="181">
        <v>1.3</v>
      </c>
      <c r="AG149" s="101" t="str">
        <f t="shared" si="29"/>
        <v/>
      </c>
      <c r="AH149" s="191">
        <f>506.39+225+112+112+184.21</f>
        <v>1139.5999999999999</v>
      </c>
      <c r="AI149" s="69">
        <f t="shared" si="30"/>
        <v>1140.1600000000001</v>
      </c>
    </row>
    <row r="150" spans="1:35" s="69" customFormat="1" ht="58.5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203"/>
      <c r="F150" s="203"/>
      <c r="G150" s="203"/>
      <c r="H150" s="203" t="s">
        <v>15</v>
      </c>
      <c r="I150" s="75">
        <v>48.28</v>
      </c>
      <c r="J150" s="75">
        <v>25472.05</v>
      </c>
      <c r="K150" s="91" t="s">
        <v>35</v>
      </c>
      <c r="L150" s="73"/>
      <c r="M150" s="46">
        <v>527.59</v>
      </c>
      <c r="N150" s="46">
        <v>0</v>
      </c>
      <c r="O150" s="46">
        <v>25472.05</v>
      </c>
      <c r="P150" s="98"/>
      <c r="Q150" s="23" t="s">
        <v>1432</v>
      </c>
      <c r="R150" s="24" t="s">
        <v>33</v>
      </c>
      <c r="S150" s="25" t="s">
        <v>34</v>
      </c>
      <c r="T150" s="26">
        <v>527.59</v>
      </c>
      <c r="U150" s="26">
        <v>527.59</v>
      </c>
      <c r="V150" s="26">
        <f t="shared" si="19"/>
        <v>48.28</v>
      </c>
      <c r="W150" s="127">
        <f t="shared" si="23"/>
        <v>0</v>
      </c>
      <c r="X150" s="127">
        <f t="shared" si="24"/>
        <v>527.59</v>
      </c>
      <c r="Y150" s="127">
        <f t="shared" si="25"/>
        <v>0</v>
      </c>
      <c r="Z150" s="127">
        <f t="shared" si="27"/>
        <v>25472.05</v>
      </c>
      <c r="AA150" s="33" t="s">
        <v>15</v>
      </c>
      <c r="AB150" s="36" t="s">
        <v>16</v>
      </c>
      <c r="AC150" s="181">
        <f t="shared" si="28"/>
        <v>527.59</v>
      </c>
      <c r="AD150" s="181">
        <f t="shared" si="26"/>
        <v>25472.05</v>
      </c>
      <c r="AE150" s="181">
        <v>1.3</v>
      </c>
      <c r="AF150" s="181">
        <v>1.3</v>
      </c>
      <c r="AG150" s="101" t="str">
        <f t="shared" si="29"/>
        <v/>
      </c>
      <c r="AH150" s="190">
        <v>527.59</v>
      </c>
      <c r="AI150" s="69">
        <f t="shared" si="30"/>
        <v>527.59</v>
      </c>
    </row>
    <row r="151" spans="1:35" s="69" customFormat="1" ht="58.5" x14ac:dyDescent="0.3">
      <c r="A151" s="130" t="s">
        <v>427</v>
      </c>
      <c r="B151" s="131" t="s">
        <v>428</v>
      </c>
      <c r="C151" s="132" t="s">
        <v>34</v>
      </c>
      <c r="D151" s="133">
        <v>355.42</v>
      </c>
      <c r="E151" s="203"/>
      <c r="F151" s="203"/>
      <c r="G151" s="203"/>
      <c r="H151" s="203" t="s">
        <v>15</v>
      </c>
      <c r="I151" s="75">
        <v>721.06</v>
      </c>
      <c r="J151" s="75">
        <v>256279.15</v>
      </c>
      <c r="K151" s="91" t="s">
        <v>429</v>
      </c>
      <c r="L151" s="73"/>
      <c r="M151" s="46">
        <v>0</v>
      </c>
      <c r="N151" s="46">
        <v>0</v>
      </c>
      <c r="O151" s="46">
        <v>0</v>
      </c>
      <c r="P151" s="98"/>
      <c r="Q151" s="23" t="s">
        <v>1433</v>
      </c>
      <c r="R151" s="24" t="s">
        <v>428</v>
      </c>
      <c r="S151" s="25" t="s">
        <v>34</v>
      </c>
      <c r="T151" s="26">
        <v>355.42</v>
      </c>
      <c r="U151" s="26">
        <v>355.42</v>
      </c>
      <c r="V151" s="26">
        <f t="shared" si="19"/>
        <v>721.06</v>
      </c>
      <c r="W151" s="127">
        <f t="shared" si="23"/>
        <v>0</v>
      </c>
      <c r="X151" s="127">
        <f t="shared" si="24"/>
        <v>0</v>
      </c>
      <c r="Y151" s="127">
        <f t="shared" si="25"/>
        <v>0</v>
      </c>
      <c r="Z151" s="127">
        <f t="shared" si="27"/>
        <v>0</v>
      </c>
      <c r="AA151" s="33" t="s">
        <v>15</v>
      </c>
      <c r="AB151" s="36" t="s">
        <v>16</v>
      </c>
      <c r="AC151" s="181">
        <f t="shared" si="28"/>
        <v>355.42</v>
      </c>
      <c r="AD151" s="181">
        <f t="shared" si="26"/>
        <v>256279.15</v>
      </c>
      <c r="AE151" s="181">
        <v>1.3</v>
      </c>
      <c r="AF151" s="181">
        <v>1.3</v>
      </c>
      <c r="AG151" s="101" t="str">
        <f t="shared" si="29"/>
        <v/>
      </c>
      <c r="AH151" s="190">
        <v>0</v>
      </c>
      <c r="AI151" s="69">
        <f t="shared" si="30"/>
        <v>355.42</v>
      </c>
    </row>
    <row r="152" spans="1:35" s="69" customFormat="1" ht="33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203" t="s">
        <v>15</v>
      </c>
      <c r="I152" s="75">
        <v>28</v>
      </c>
      <c r="J152" s="75">
        <v>914900</v>
      </c>
      <c r="K152" s="91" t="s">
        <v>432</v>
      </c>
      <c r="L152" s="73"/>
      <c r="M152" s="46">
        <v>21363</v>
      </c>
      <c r="N152" s="46">
        <v>34608</v>
      </c>
      <c r="O152" s="46">
        <v>598164</v>
      </c>
      <c r="P152" s="98"/>
      <c r="Q152" s="23" t="s">
        <v>1382</v>
      </c>
      <c r="R152" s="24" t="s">
        <v>431</v>
      </c>
      <c r="S152" s="25" t="s">
        <v>50</v>
      </c>
      <c r="T152" s="26">
        <v>272</v>
      </c>
      <c r="U152" s="26">
        <v>32675</v>
      </c>
      <c r="V152" s="26">
        <f t="shared" si="19"/>
        <v>28</v>
      </c>
      <c r="W152" s="128">
        <f t="shared" si="23"/>
        <v>1210</v>
      </c>
      <c r="X152" s="26">
        <f t="shared" si="24"/>
        <v>22573</v>
      </c>
      <c r="Y152" s="26">
        <f t="shared" si="25"/>
        <v>33880</v>
      </c>
      <c r="Z152" s="26">
        <f t="shared" si="27"/>
        <v>632044</v>
      </c>
      <c r="AA152" s="27" t="s">
        <v>15</v>
      </c>
      <c r="AB152" s="36" t="s">
        <v>16</v>
      </c>
      <c r="AC152" s="181">
        <f t="shared" si="28"/>
        <v>32675</v>
      </c>
      <c r="AD152" s="181">
        <f t="shared" si="26"/>
        <v>914900</v>
      </c>
      <c r="AE152" s="181">
        <v>1.3</v>
      </c>
      <c r="AF152" s="181">
        <v>1.3</v>
      </c>
      <c r="AG152" s="101" t="str">
        <f t="shared" si="29"/>
        <v/>
      </c>
      <c r="AH152" s="191">
        <f>14772+1565+2565+1225+1236+1210</f>
        <v>22573</v>
      </c>
      <c r="AI152" s="69">
        <f t="shared" si="30"/>
        <v>32675</v>
      </c>
    </row>
    <row r="153" spans="1:35" s="69" customFormat="1" ht="39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203"/>
      <c r="F153" s="203"/>
      <c r="G153" s="203"/>
      <c r="H153" s="203" t="s">
        <v>15</v>
      </c>
      <c r="I153" s="75">
        <v>19012.060000000001</v>
      </c>
      <c r="J153" s="75">
        <v>14144972.640000001</v>
      </c>
      <c r="K153" s="91" t="s">
        <v>435</v>
      </c>
      <c r="L153" s="73"/>
      <c r="M153" s="46">
        <v>744</v>
      </c>
      <c r="N153" s="46">
        <v>0</v>
      </c>
      <c r="O153" s="46">
        <v>14144972.640000001</v>
      </c>
      <c r="P153" s="98"/>
      <c r="Q153" s="23" t="s">
        <v>1434</v>
      </c>
      <c r="R153" s="24" t="s">
        <v>434</v>
      </c>
      <c r="S153" s="25" t="s">
        <v>30</v>
      </c>
      <c r="T153" s="26">
        <v>744</v>
      </c>
      <c r="U153" s="26">
        <v>744</v>
      </c>
      <c r="V153" s="26">
        <f t="shared" si="19"/>
        <v>19012.060000000001</v>
      </c>
      <c r="W153" s="127">
        <f t="shared" si="23"/>
        <v>0</v>
      </c>
      <c r="X153" s="127">
        <f t="shared" si="24"/>
        <v>744</v>
      </c>
      <c r="Y153" s="127">
        <f t="shared" si="25"/>
        <v>0</v>
      </c>
      <c r="Z153" s="127">
        <f t="shared" si="27"/>
        <v>14144972.640000001</v>
      </c>
      <c r="AA153" s="33" t="s">
        <v>15</v>
      </c>
      <c r="AB153" s="36" t="s">
        <v>16</v>
      </c>
      <c r="AC153" s="181">
        <f t="shared" si="28"/>
        <v>744</v>
      </c>
      <c r="AD153" s="181">
        <f t="shared" si="26"/>
        <v>14144972.640000001</v>
      </c>
      <c r="AE153" s="181">
        <v>1.3</v>
      </c>
      <c r="AF153" s="181">
        <v>1.3</v>
      </c>
      <c r="AG153" s="101" t="str">
        <f t="shared" si="29"/>
        <v/>
      </c>
      <c r="AH153" s="190">
        <v>744</v>
      </c>
      <c r="AI153" s="69">
        <f t="shared" si="30"/>
        <v>744</v>
      </c>
    </row>
    <row r="154" spans="1:35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 t="s">
        <v>15</v>
      </c>
      <c r="I154" s="75">
        <v>373.1</v>
      </c>
      <c r="J154" s="75">
        <v>50741.599999999999</v>
      </c>
      <c r="K154" s="91" t="s">
        <v>438</v>
      </c>
      <c r="L154" s="73"/>
      <c r="M154" s="46">
        <v>0</v>
      </c>
      <c r="N154" s="46">
        <v>0</v>
      </c>
      <c r="O154" s="46">
        <v>0</v>
      </c>
      <c r="P154" s="98"/>
      <c r="Q154" s="23" t="s">
        <v>1388</v>
      </c>
      <c r="R154" s="24" t="s">
        <v>437</v>
      </c>
      <c r="S154" s="25" t="s">
        <v>50</v>
      </c>
      <c r="T154" s="26">
        <v>136</v>
      </c>
      <c r="U154" s="26">
        <v>136</v>
      </c>
      <c r="V154" s="26">
        <f t="shared" si="19"/>
        <v>373.1</v>
      </c>
      <c r="W154" s="128">
        <f t="shared" si="23"/>
        <v>112</v>
      </c>
      <c r="X154" s="26">
        <f t="shared" si="24"/>
        <v>112</v>
      </c>
      <c r="Y154" s="26">
        <f t="shared" si="25"/>
        <v>41787.199999999997</v>
      </c>
      <c r="Z154" s="26">
        <f t="shared" si="27"/>
        <v>41787.199999999997</v>
      </c>
      <c r="AA154" s="33" t="s">
        <v>15</v>
      </c>
      <c r="AB154" s="36" t="s">
        <v>16</v>
      </c>
      <c r="AC154" s="181">
        <f t="shared" si="28"/>
        <v>136</v>
      </c>
      <c r="AD154" s="181">
        <f t="shared" si="26"/>
        <v>50741.599999999999</v>
      </c>
      <c r="AE154" s="181">
        <v>1.3</v>
      </c>
      <c r="AF154" s="181">
        <v>1.3</v>
      </c>
      <c r="AG154" s="101" t="str">
        <f t="shared" si="29"/>
        <v/>
      </c>
      <c r="AH154" s="191">
        <f>112</f>
        <v>112</v>
      </c>
      <c r="AI154" s="69">
        <f t="shared" si="30"/>
        <v>136</v>
      </c>
    </row>
    <row r="155" spans="1:35" s="69" customFormat="1" ht="39" x14ac:dyDescent="0.3">
      <c r="A155" s="55" t="s">
        <v>439</v>
      </c>
      <c r="B155" s="53" t="s">
        <v>440</v>
      </c>
      <c r="C155" s="54" t="s">
        <v>50</v>
      </c>
      <c r="D155" s="75">
        <v>136</v>
      </c>
      <c r="E155" s="75"/>
      <c r="F155" s="75"/>
      <c r="G155" s="75"/>
      <c r="H155" s="75" t="s">
        <v>15</v>
      </c>
      <c r="I155" s="75">
        <v>616.53</v>
      </c>
      <c r="J155" s="75">
        <v>83848.08</v>
      </c>
      <c r="K155" s="91" t="s">
        <v>441</v>
      </c>
      <c r="L155" s="73"/>
      <c r="M155" s="46">
        <v>0</v>
      </c>
      <c r="N155" s="46">
        <v>0</v>
      </c>
      <c r="O155" s="46">
        <v>0</v>
      </c>
      <c r="P155" s="98"/>
      <c r="Q155" s="23" t="s">
        <v>1389</v>
      </c>
      <c r="R155" s="24" t="s">
        <v>440</v>
      </c>
      <c r="S155" s="25" t="s">
        <v>50</v>
      </c>
      <c r="T155" s="26">
        <v>136</v>
      </c>
      <c r="U155" s="26">
        <v>136</v>
      </c>
      <c r="V155" s="26">
        <f t="shared" si="19"/>
        <v>616.53</v>
      </c>
      <c r="W155" s="26">
        <f t="shared" si="23"/>
        <v>0</v>
      </c>
      <c r="X155" s="26">
        <f t="shared" si="24"/>
        <v>0</v>
      </c>
      <c r="Y155" s="26">
        <f t="shared" si="25"/>
        <v>0</v>
      </c>
      <c r="Z155" s="26">
        <f t="shared" si="27"/>
        <v>0</v>
      </c>
      <c r="AA155" s="33" t="s">
        <v>15</v>
      </c>
      <c r="AB155" s="36" t="s">
        <v>16</v>
      </c>
      <c r="AC155" s="181">
        <f t="shared" si="28"/>
        <v>136</v>
      </c>
      <c r="AD155" s="181">
        <f t="shared" si="26"/>
        <v>83848.08</v>
      </c>
      <c r="AE155" s="181">
        <v>1.3</v>
      </c>
      <c r="AF155" s="181">
        <v>1.3</v>
      </c>
      <c r="AG155" s="101" t="str">
        <f t="shared" si="29"/>
        <v/>
      </c>
      <c r="AH155" s="190">
        <v>0</v>
      </c>
      <c r="AI155" s="69">
        <f t="shared" si="30"/>
        <v>136</v>
      </c>
    </row>
    <row r="156" spans="1:35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 t="s">
        <v>15</v>
      </c>
      <c r="I156" s="75">
        <v>2664.06</v>
      </c>
      <c r="J156" s="75">
        <v>9590.6200000000008</v>
      </c>
      <c r="K156" s="91" t="s">
        <v>444</v>
      </c>
      <c r="L156" s="73"/>
      <c r="M156" s="46">
        <v>0</v>
      </c>
      <c r="N156" s="46">
        <v>0</v>
      </c>
      <c r="O156" s="46">
        <v>0</v>
      </c>
      <c r="P156" s="98"/>
      <c r="Q156" s="23" t="s">
        <v>1390</v>
      </c>
      <c r="R156" s="24" t="s">
        <v>443</v>
      </c>
      <c r="S156" s="25" t="s">
        <v>50</v>
      </c>
      <c r="T156" s="26">
        <v>3.6</v>
      </c>
      <c r="U156" s="26">
        <v>3.6</v>
      </c>
      <c r="V156" s="26">
        <f t="shared" si="19"/>
        <v>2664.06</v>
      </c>
      <c r="W156" s="26">
        <f t="shared" si="23"/>
        <v>0</v>
      </c>
      <c r="X156" s="26">
        <f t="shared" si="24"/>
        <v>0</v>
      </c>
      <c r="Y156" s="26">
        <f t="shared" si="25"/>
        <v>0</v>
      </c>
      <c r="Z156" s="26">
        <f t="shared" si="27"/>
        <v>0</v>
      </c>
      <c r="AA156" s="33" t="s">
        <v>15</v>
      </c>
      <c r="AB156" s="36" t="s">
        <v>16</v>
      </c>
      <c r="AC156" s="181">
        <f t="shared" si="28"/>
        <v>3.6</v>
      </c>
      <c r="AD156" s="181">
        <f t="shared" si="26"/>
        <v>9590.6200000000008</v>
      </c>
      <c r="AE156" s="181">
        <v>1.3</v>
      </c>
      <c r="AF156" s="181">
        <v>1.3</v>
      </c>
      <c r="AG156" s="101" t="str">
        <f t="shared" si="29"/>
        <v/>
      </c>
      <c r="AH156" s="190">
        <v>0</v>
      </c>
      <c r="AI156" s="69">
        <f t="shared" si="30"/>
        <v>3.6</v>
      </c>
    </row>
    <row r="157" spans="1:35" s="69" customFormat="1" ht="39" x14ac:dyDescent="0.3">
      <c r="A157" s="55" t="s">
        <v>445</v>
      </c>
      <c r="B157" s="53" t="s">
        <v>446</v>
      </c>
      <c r="C157" s="54" t="s">
        <v>30</v>
      </c>
      <c r="D157" s="75">
        <v>44</v>
      </c>
      <c r="E157" s="75"/>
      <c r="F157" s="75"/>
      <c r="G157" s="75"/>
      <c r="H157" s="75" t="s">
        <v>15</v>
      </c>
      <c r="I157" s="75">
        <v>5183.22</v>
      </c>
      <c r="J157" s="75">
        <v>228061.68</v>
      </c>
      <c r="K157" s="137" t="s">
        <v>447</v>
      </c>
      <c r="L157" s="73"/>
      <c r="M157" s="46">
        <v>35</v>
      </c>
      <c r="N157" s="46">
        <v>181412.7</v>
      </c>
      <c r="O157" s="46">
        <v>181412.7</v>
      </c>
      <c r="P157" s="98"/>
      <c r="Q157" s="23" t="s">
        <v>1391</v>
      </c>
      <c r="R157" s="24" t="s">
        <v>446</v>
      </c>
      <c r="S157" s="25" t="s">
        <v>30</v>
      </c>
      <c r="T157" s="26">
        <v>44</v>
      </c>
      <c r="U157" s="26">
        <v>44</v>
      </c>
      <c r="V157" s="26">
        <f t="shared" si="19"/>
        <v>5183.22</v>
      </c>
      <c r="W157" s="128">
        <f t="shared" si="23"/>
        <v>0</v>
      </c>
      <c r="X157" s="26">
        <f t="shared" si="24"/>
        <v>35</v>
      </c>
      <c r="Y157" s="26">
        <f t="shared" si="25"/>
        <v>0</v>
      </c>
      <c r="Z157" s="26">
        <f t="shared" si="27"/>
        <v>181412.7</v>
      </c>
      <c r="AA157" s="33" t="s">
        <v>15</v>
      </c>
      <c r="AB157" s="36" t="s">
        <v>16</v>
      </c>
      <c r="AC157" s="181">
        <f t="shared" si="28"/>
        <v>44</v>
      </c>
      <c r="AD157" s="181">
        <f t="shared" si="26"/>
        <v>228061.68</v>
      </c>
      <c r="AE157" s="181">
        <v>1.3</v>
      </c>
      <c r="AF157" s="181">
        <v>1.3</v>
      </c>
      <c r="AG157" s="101" t="str">
        <f t="shared" si="29"/>
        <v/>
      </c>
      <c r="AH157" s="191">
        <f>35</f>
        <v>35</v>
      </c>
      <c r="AI157" s="69">
        <f t="shared" si="30"/>
        <v>44</v>
      </c>
    </row>
    <row r="158" spans="1:35" s="69" customFormat="1" ht="39" x14ac:dyDescent="0.3">
      <c r="A158" s="55" t="s">
        <v>448</v>
      </c>
      <c r="B158" s="53" t="s">
        <v>449</v>
      </c>
      <c r="C158" s="54" t="s">
        <v>30</v>
      </c>
      <c r="D158" s="75">
        <v>94.14</v>
      </c>
      <c r="E158" s="75"/>
      <c r="F158" s="75"/>
      <c r="G158" s="75"/>
      <c r="H158" s="75" t="s">
        <v>15</v>
      </c>
      <c r="I158" s="75">
        <v>9392.57</v>
      </c>
      <c r="J158" s="75">
        <v>884216.54</v>
      </c>
      <c r="K158" s="137" t="s">
        <v>450</v>
      </c>
      <c r="L158" s="73"/>
      <c r="M158" s="46">
        <v>0</v>
      </c>
      <c r="N158" s="46">
        <v>0</v>
      </c>
      <c r="O158" s="46">
        <v>0</v>
      </c>
      <c r="P158" s="98"/>
      <c r="Q158" s="23" t="s">
        <v>1436</v>
      </c>
      <c r="R158" s="24" t="s">
        <v>449</v>
      </c>
      <c r="S158" s="25" t="s">
        <v>30</v>
      </c>
      <c r="T158" s="26">
        <v>94.14</v>
      </c>
      <c r="U158" s="26">
        <v>94.14</v>
      </c>
      <c r="V158" s="26">
        <f t="shared" si="19"/>
        <v>9392.57</v>
      </c>
      <c r="W158" s="26">
        <f t="shared" si="23"/>
        <v>0</v>
      </c>
      <c r="X158" s="26">
        <f t="shared" si="24"/>
        <v>0</v>
      </c>
      <c r="Y158" s="26">
        <f t="shared" si="25"/>
        <v>0</v>
      </c>
      <c r="Z158" s="26">
        <f t="shared" si="27"/>
        <v>0</v>
      </c>
      <c r="AA158" s="33" t="s">
        <v>15</v>
      </c>
      <c r="AB158" s="36" t="s">
        <v>16</v>
      </c>
      <c r="AC158" s="181">
        <f t="shared" si="28"/>
        <v>94.14</v>
      </c>
      <c r="AD158" s="181">
        <f t="shared" si="26"/>
        <v>884216.54</v>
      </c>
      <c r="AE158" s="181">
        <v>1.3</v>
      </c>
      <c r="AF158" s="181">
        <v>1.3</v>
      </c>
      <c r="AG158" s="101" t="str">
        <f t="shared" si="29"/>
        <v/>
      </c>
      <c r="AH158" s="190">
        <v>0</v>
      </c>
      <c r="AI158" s="69">
        <f t="shared" si="30"/>
        <v>94.14</v>
      </c>
    </row>
    <row r="159" spans="1:35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 t="s">
        <v>15</v>
      </c>
      <c r="I159" s="75">
        <v>2388.5700000000002</v>
      </c>
      <c r="J159" s="75">
        <v>272296.98</v>
      </c>
      <c r="K159" s="137" t="s">
        <v>453</v>
      </c>
      <c r="L159" s="73"/>
      <c r="M159" s="46">
        <v>0</v>
      </c>
      <c r="N159" s="46">
        <v>0</v>
      </c>
      <c r="O159" s="46">
        <v>0</v>
      </c>
      <c r="P159" s="98"/>
      <c r="Q159" s="23" t="s">
        <v>1374</v>
      </c>
      <c r="R159" s="24" t="s">
        <v>452</v>
      </c>
      <c r="S159" s="25" t="s">
        <v>30</v>
      </c>
      <c r="T159" s="26">
        <v>114</v>
      </c>
      <c r="U159" s="26">
        <v>114</v>
      </c>
      <c r="V159" s="26">
        <f t="shared" si="19"/>
        <v>2388.5700000000002</v>
      </c>
      <c r="W159" s="26">
        <f t="shared" si="23"/>
        <v>0</v>
      </c>
      <c r="X159" s="26">
        <f t="shared" si="24"/>
        <v>0</v>
      </c>
      <c r="Y159" s="26">
        <f t="shared" si="25"/>
        <v>0</v>
      </c>
      <c r="Z159" s="26">
        <f t="shared" si="27"/>
        <v>0</v>
      </c>
      <c r="AA159" s="33" t="s">
        <v>15</v>
      </c>
      <c r="AB159" s="36" t="s">
        <v>16</v>
      </c>
      <c r="AC159" s="181">
        <f t="shared" si="28"/>
        <v>114</v>
      </c>
      <c r="AD159" s="181">
        <f t="shared" si="26"/>
        <v>272296.98</v>
      </c>
      <c r="AE159" s="181">
        <v>1.3</v>
      </c>
      <c r="AF159" s="181">
        <v>1.3</v>
      </c>
      <c r="AG159" s="101" t="str">
        <f t="shared" si="29"/>
        <v/>
      </c>
      <c r="AH159" s="190">
        <v>0</v>
      </c>
      <c r="AI159" s="69">
        <f t="shared" si="30"/>
        <v>114</v>
      </c>
    </row>
    <row r="160" spans="1:35" s="69" customFormat="1" ht="39" x14ac:dyDescent="0.3">
      <c r="A160" s="55" t="s">
        <v>454</v>
      </c>
      <c r="B160" s="215" t="s">
        <v>455</v>
      </c>
      <c r="C160" s="54" t="s">
        <v>30</v>
      </c>
      <c r="D160" s="75">
        <v>44</v>
      </c>
      <c r="E160" s="75"/>
      <c r="F160" s="75"/>
      <c r="G160" s="75"/>
      <c r="H160" s="75" t="s">
        <v>15</v>
      </c>
      <c r="I160" s="75">
        <v>80192.710000000006</v>
      </c>
      <c r="J160" s="75">
        <v>3528479.24</v>
      </c>
      <c r="K160" s="137" t="s">
        <v>456</v>
      </c>
      <c r="L160" s="73"/>
      <c r="M160" s="46">
        <v>35</v>
      </c>
      <c r="N160" s="46">
        <v>240578.12999999989</v>
      </c>
      <c r="O160" s="46">
        <v>2806744.85</v>
      </c>
      <c r="P160" s="98"/>
      <c r="Q160" s="23" t="s">
        <v>1376</v>
      </c>
      <c r="R160" s="24" t="s">
        <v>455</v>
      </c>
      <c r="S160" s="25" t="s">
        <v>30</v>
      </c>
      <c r="T160" s="26">
        <v>44</v>
      </c>
      <c r="U160" s="26">
        <v>44</v>
      </c>
      <c r="V160" s="26">
        <f t="shared" si="19"/>
        <v>80192.710000000006</v>
      </c>
      <c r="W160" s="128">
        <f t="shared" si="23"/>
        <v>0</v>
      </c>
      <c r="X160" s="26">
        <f t="shared" si="24"/>
        <v>35</v>
      </c>
      <c r="Y160" s="26">
        <f t="shared" si="25"/>
        <v>0</v>
      </c>
      <c r="Z160" s="26">
        <f t="shared" si="27"/>
        <v>2806744.85</v>
      </c>
      <c r="AA160" s="33" t="s">
        <v>15</v>
      </c>
      <c r="AB160" s="36" t="s">
        <v>16</v>
      </c>
      <c r="AC160" s="181">
        <f t="shared" si="28"/>
        <v>44</v>
      </c>
      <c r="AD160" s="181">
        <f t="shared" si="26"/>
        <v>3528479.24</v>
      </c>
      <c r="AE160" s="181">
        <v>1.3</v>
      </c>
      <c r="AF160" s="181">
        <v>1.3</v>
      </c>
      <c r="AG160" s="101" t="str">
        <f t="shared" si="29"/>
        <v/>
      </c>
      <c r="AH160" s="191">
        <f>32+3</f>
        <v>35</v>
      </c>
      <c r="AI160" s="69">
        <f t="shared" si="30"/>
        <v>44</v>
      </c>
    </row>
    <row r="161" spans="1:35" s="69" customFormat="1" ht="58.5" x14ac:dyDescent="0.3">
      <c r="A161" s="55" t="s">
        <v>457</v>
      </c>
      <c r="B161" s="215" t="s">
        <v>458</v>
      </c>
      <c r="C161" s="54" t="s">
        <v>30</v>
      </c>
      <c r="D161" s="75">
        <v>90</v>
      </c>
      <c r="E161" s="75"/>
      <c r="F161" s="75"/>
      <c r="G161" s="75"/>
      <c r="H161" s="75" t="s">
        <v>15</v>
      </c>
      <c r="I161" s="75">
        <v>9257.1299999999992</v>
      </c>
      <c r="J161" s="75">
        <v>833141.7</v>
      </c>
      <c r="K161" s="137" t="s">
        <v>459</v>
      </c>
      <c r="L161" s="73"/>
      <c r="M161" s="46">
        <v>70</v>
      </c>
      <c r="N161" s="46">
        <v>647999.1</v>
      </c>
      <c r="O161" s="46">
        <v>647999.1</v>
      </c>
      <c r="P161" s="98"/>
      <c r="Q161" s="23" t="s">
        <v>1378</v>
      </c>
      <c r="R161" s="24" t="s">
        <v>458</v>
      </c>
      <c r="S161" s="25" t="s">
        <v>30</v>
      </c>
      <c r="T161" s="26">
        <v>90</v>
      </c>
      <c r="U161" s="26">
        <v>90</v>
      </c>
      <c r="V161" s="26">
        <f t="shared" si="19"/>
        <v>9257.1299999999992</v>
      </c>
      <c r="W161" s="128">
        <f t="shared" si="23"/>
        <v>0</v>
      </c>
      <c r="X161" s="26">
        <f t="shared" si="24"/>
        <v>70</v>
      </c>
      <c r="Y161" s="26">
        <f t="shared" si="25"/>
        <v>0</v>
      </c>
      <c r="Z161" s="26">
        <f t="shared" si="27"/>
        <v>647999.1</v>
      </c>
      <c r="AA161" s="33" t="s">
        <v>15</v>
      </c>
      <c r="AB161" s="36" t="s">
        <v>16</v>
      </c>
      <c r="AC161" s="181">
        <f t="shared" si="28"/>
        <v>90</v>
      </c>
      <c r="AD161" s="181">
        <f t="shared" si="26"/>
        <v>833141.7</v>
      </c>
      <c r="AE161" s="181">
        <v>1.3</v>
      </c>
      <c r="AF161" s="181">
        <v>1.3</v>
      </c>
      <c r="AG161" s="101" t="str">
        <f t="shared" si="29"/>
        <v/>
      </c>
      <c r="AH161" s="191">
        <f>70</f>
        <v>70</v>
      </c>
      <c r="AI161" s="69">
        <f t="shared" si="30"/>
        <v>90</v>
      </c>
    </row>
    <row r="162" spans="1:35" s="69" customFormat="1" ht="33" x14ac:dyDescent="0.3">
      <c r="A162" s="55" t="s">
        <v>460</v>
      </c>
      <c r="B162" s="53" t="s">
        <v>461</v>
      </c>
      <c r="C162" s="54" t="s">
        <v>81</v>
      </c>
      <c r="D162" s="75">
        <v>1</v>
      </c>
      <c r="E162" s="75"/>
      <c r="F162" s="75"/>
      <c r="G162" s="75"/>
      <c r="H162" s="75" t="s">
        <v>15</v>
      </c>
      <c r="I162" s="75">
        <v>58649</v>
      </c>
      <c r="J162" s="75">
        <v>58649</v>
      </c>
      <c r="K162" s="137" t="s">
        <v>462</v>
      </c>
      <c r="L162" s="73"/>
      <c r="M162" s="46">
        <v>0</v>
      </c>
      <c r="N162" s="46">
        <v>0</v>
      </c>
      <c r="O162" s="46">
        <v>0</v>
      </c>
      <c r="P162" s="98"/>
      <c r="Q162" s="23" t="s">
        <v>1438</v>
      </c>
      <c r="R162" s="24" t="s">
        <v>461</v>
      </c>
      <c r="S162" s="25" t="s">
        <v>81</v>
      </c>
      <c r="T162" s="26">
        <v>1</v>
      </c>
      <c r="U162" s="26">
        <v>1</v>
      </c>
      <c r="V162" s="26">
        <f t="shared" si="19"/>
        <v>58649</v>
      </c>
      <c r="W162" s="26">
        <f t="shared" si="23"/>
        <v>0</v>
      </c>
      <c r="X162" s="26">
        <f t="shared" si="24"/>
        <v>0</v>
      </c>
      <c r="Y162" s="26">
        <f t="shared" si="25"/>
        <v>0</v>
      </c>
      <c r="Z162" s="26">
        <f t="shared" si="27"/>
        <v>0</v>
      </c>
      <c r="AA162" s="33" t="s">
        <v>15</v>
      </c>
      <c r="AB162" s="36" t="s">
        <v>16</v>
      </c>
      <c r="AC162" s="181">
        <f t="shared" si="28"/>
        <v>1</v>
      </c>
      <c r="AD162" s="181">
        <f t="shared" si="26"/>
        <v>58649</v>
      </c>
      <c r="AE162" s="181">
        <v>1.3</v>
      </c>
      <c r="AF162" s="181">
        <v>1.3</v>
      </c>
      <c r="AG162" s="101" t="str">
        <f t="shared" si="29"/>
        <v/>
      </c>
      <c r="AH162" s="190">
        <v>0</v>
      </c>
      <c r="AI162" s="69">
        <f t="shared" si="30"/>
        <v>1</v>
      </c>
    </row>
    <row r="163" spans="1:35" s="69" customFormat="1" ht="33" x14ac:dyDescent="0.3">
      <c r="A163" s="130" t="s">
        <v>463</v>
      </c>
      <c r="B163" s="131" t="s">
        <v>464</v>
      </c>
      <c r="C163" s="132" t="s">
        <v>81</v>
      </c>
      <c r="D163" s="133">
        <v>1</v>
      </c>
      <c r="E163" s="75"/>
      <c r="F163" s="75"/>
      <c r="G163" s="75"/>
      <c r="H163" s="75" t="s">
        <v>15</v>
      </c>
      <c r="I163" s="75">
        <v>107614.5</v>
      </c>
      <c r="J163" s="75">
        <v>107614.5</v>
      </c>
      <c r="K163" s="137" t="s">
        <v>465</v>
      </c>
      <c r="L163" s="73"/>
      <c r="M163" s="46">
        <v>0.8</v>
      </c>
      <c r="N163" s="46">
        <v>86091.6</v>
      </c>
      <c r="O163" s="46">
        <v>86091.6</v>
      </c>
      <c r="P163" s="98"/>
      <c r="Q163" s="23" t="s">
        <v>1439</v>
      </c>
      <c r="R163" s="24" t="s">
        <v>464</v>
      </c>
      <c r="S163" s="25" t="s">
        <v>81</v>
      </c>
      <c r="T163" s="26">
        <v>1</v>
      </c>
      <c r="U163" s="26">
        <v>1</v>
      </c>
      <c r="V163" s="26">
        <f t="shared" si="19"/>
        <v>107614.5</v>
      </c>
      <c r="W163" s="26">
        <f t="shared" si="23"/>
        <v>0</v>
      </c>
      <c r="X163" s="127">
        <f t="shared" si="24"/>
        <v>0.8</v>
      </c>
      <c r="Y163" s="127">
        <f t="shared" si="25"/>
        <v>0</v>
      </c>
      <c r="Z163" s="127">
        <f t="shared" si="27"/>
        <v>86091.6</v>
      </c>
      <c r="AA163" s="33" t="s">
        <v>15</v>
      </c>
      <c r="AB163" s="36" t="s">
        <v>16</v>
      </c>
      <c r="AC163" s="181">
        <f t="shared" si="28"/>
        <v>1</v>
      </c>
      <c r="AD163" s="181">
        <f t="shared" si="26"/>
        <v>107614.5</v>
      </c>
      <c r="AE163" s="181">
        <v>1.3</v>
      </c>
      <c r="AF163" s="181">
        <v>1.3</v>
      </c>
      <c r="AG163" s="101" t="str">
        <f t="shared" si="29"/>
        <v/>
      </c>
      <c r="AH163" s="191">
        <f>0.8</f>
        <v>0.8</v>
      </c>
      <c r="AI163" s="69">
        <f t="shared" si="30"/>
        <v>1</v>
      </c>
    </row>
    <row r="164" spans="1:35" s="69" customFormat="1" ht="33" x14ac:dyDescent="0.3">
      <c r="A164" s="55" t="s">
        <v>466</v>
      </c>
      <c r="B164" s="53" t="s">
        <v>467</v>
      </c>
      <c r="C164" s="54" t="s">
        <v>30</v>
      </c>
      <c r="D164" s="75">
        <v>13.2</v>
      </c>
      <c r="E164" s="75"/>
      <c r="F164" s="75"/>
      <c r="G164" s="75"/>
      <c r="H164" s="75" t="s">
        <v>15</v>
      </c>
      <c r="I164" s="75">
        <v>2809.33</v>
      </c>
      <c r="J164" s="75">
        <v>37083.160000000003</v>
      </c>
      <c r="K164" s="137" t="s">
        <v>468</v>
      </c>
      <c r="L164" s="73"/>
      <c r="M164" s="46">
        <v>0</v>
      </c>
      <c r="N164" s="46">
        <v>0</v>
      </c>
      <c r="O164" s="46">
        <v>0</v>
      </c>
      <c r="P164" s="98"/>
      <c r="Q164" s="23" t="s">
        <v>1440</v>
      </c>
      <c r="R164" s="24" t="s">
        <v>467</v>
      </c>
      <c r="S164" s="25" t="s">
        <v>30</v>
      </c>
      <c r="T164" s="26">
        <v>13.2</v>
      </c>
      <c r="U164" s="26">
        <v>13.2</v>
      </c>
      <c r="V164" s="26">
        <f t="shared" si="19"/>
        <v>2809.33</v>
      </c>
      <c r="W164" s="26">
        <f t="shared" si="23"/>
        <v>0</v>
      </c>
      <c r="X164" s="26">
        <f t="shared" si="24"/>
        <v>0</v>
      </c>
      <c r="Y164" s="26">
        <f t="shared" si="25"/>
        <v>0</v>
      </c>
      <c r="Z164" s="26">
        <f t="shared" si="27"/>
        <v>0</v>
      </c>
      <c r="AA164" s="33" t="s">
        <v>15</v>
      </c>
      <c r="AB164" s="36" t="s">
        <v>16</v>
      </c>
      <c r="AC164" s="181">
        <f t="shared" si="28"/>
        <v>13.2</v>
      </c>
      <c r="AD164" s="181">
        <f t="shared" si="26"/>
        <v>37083.160000000003</v>
      </c>
      <c r="AE164" s="181">
        <v>1.3</v>
      </c>
      <c r="AF164" s="181">
        <v>1.3</v>
      </c>
      <c r="AG164" s="101" t="str">
        <f t="shared" si="29"/>
        <v/>
      </c>
      <c r="AH164" s="190">
        <v>0</v>
      </c>
      <c r="AI164" s="69">
        <f t="shared" si="30"/>
        <v>13.2</v>
      </c>
    </row>
    <row r="165" spans="1:35" s="69" customFormat="1" ht="39" x14ac:dyDescent="0.3">
      <c r="A165" s="55" t="s">
        <v>469</v>
      </c>
      <c r="B165" s="53" t="s">
        <v>470</v>
      </c>
      <c r="C165" s="54" t="s">
        <v>30</v>
      </c>
      <c r="D165" s="75">
        <v>3</v>
      </c>
      <c r="E165" s="75"/>
      <c r="F165" s="75"/>
      <c r="G165" s="75"/>
      <c r="H165" s="75" t="s">
        <v>15</v>
      </c>
      <c r="I165" s="75">
        <v>2433.89</v>
      </c>
      <c r="J165" s="75">
        <v>7301.67</v>
      </c>
      <c r="K165" s="137" t="s">
        <v>471</v>
      </c>
      <c r="L165" s="73"/>
      <c r="M165" s="46">
        <v>0</v>
      </c>
      <c r="N165" s="46">
        <v>0</v>
      </c>
      <c r="O165" s="46">
        <v>0</v>
      </c>
      <c r="P165" s="98"/>
      <c r="Q165" s="23" t="s">
        <v>1441</v>
      </c>
      <c r="R165" s="24" t="s">
        <v>470</v>
      </c>
      <c r="S165" s="25" t="s">
        <v>30</v>
      </c>
      <c r="T165" s="26">
        <v>3</v>
      </c>
      <c r="U165" s="26">
        <v>3</v>
      </c>
      <c r="V165" s="26">
        <f t="shared" si="19"/>
        <v>2433.89</v>
      </c>
      <c r="W165" s="26">
        <f t="shared" si="23"/>
        <v>0</v>
      </c>
      <c r="X165" s="26">
        <f t="shared" si="24"/>
        <v>0</v>
      </c>
      <c r="Y165" s="26">
        <f t="shared" si="25"/>
        <v>0</v>
      </c>
      <c r="Z165" s="26">
        <f t="shared" si="27"/>
        <v>0</v>
      </c>
      <c r="AA165" s="33" t="s">
        <v>15</v>
      </c>
      <c r="AB165" s="36" t="s">
        <v>16</v>
      </c>
      <c r="AC165" s="181">
        <f t="shared" si="28"/>
        <v>3</v>
      </c>
      <c r="AD165" s="181">
        <f t="shared" si="26"/>
        <v>7301.67</v>
      </c>
      <c r="AE165" s="181">
        <v>1.3</v>
      </c>
      <c r="AF165" s="181">
        <v>1.3</v>
      </c>
      <c r="AG165" s="101" t="str">
        <f t="shared" si="29"/>
        <v/>
      </c>
      <c r="AH165" s="190">
        <v>0</v>
      </c>
      <c r="AI165" s="69">
        <f t="shared" si="30"/>
        <v>3</v>
      </c>
    </row>
    <row r="166" spans="1:35" s="69" customFormat="1" ht="39" x14ac:dyDescent="0.3">
      <c r="A166" s="55" t="s">
        <v>472</v>
      </c>
      <c r="B166" s="53" t="s">
        <v>473</v>
      </c>
      <c r="C166" s="54" t="s">
        <v>30</v>
      </c>
      <c r="D166" s="75">
        <v>6</v>
      </c>
      <c r="E166" s="75"/>
      <c r="F166" s="75"/>
      <c r="G166" s="75"/>
      <c r="H166" s="75" t="s">
        <v>15</v>
      </c>
      <c r="I166" s="75">
        <v>2888.64</v>
      </c>
      <c r="J166" s="75">
        <v>17331.84</v>
      </c>
      <c r="K166" s="137" t="s">
        <v>474</v>
      </c>
      <c r="L166" s="73"/>
      <c r="M166" s="46">
        <v>0</v>
      </c>
      <c r="N166" s="46">
        <v>0</v>
      </c>
      <c r="O166" s="46">
        <v>0</v>
      </c>
      <c r="P166" s="98"/>
      <c r="Q166" s="23" t="s">
        <v>1442</v>
      </c>
      <c r="R166" s="24" t="s">
        <v>473</v>
      </c>
      <c r="S166" s="25" t="s">
        <v>30</v>
      </c>
      <c r="T166" s="26">
        <v>6</v>
      </c>
      <c r="U166" s="26">
        <v>6</v>
      </c>
      <c r="V166" s="26">
        <f t="shared" si="19"/>
        <v>2888.64</v>
      </c>
      <c r="W166" s="26">
        <f t="shared" si="23"/>
        <v>0</v>
      </c>
      <c r="X166" s="26">
        <f t="shared" si="24"/>
        <v>0</v>
      </c>
      <c r="Y166" s="26">
        <f t="shared" si="25"/>
        <v>0</v>
      </c>
      <c r="Z166" s="26">
        <f t="shared" si="27"/>
        <v>0</v>
      </c>
      <c r="AA166" s="33" t="s">
        <v>15</v>
      </c>
      <c r="AB166" s="36" t="s">
        <v>16</v>
      </c>
      <c r="AC166" s="181">
        <f t="shared" si="28"/>
        <v>6</v>
      </c>
      <c r="AD166" s="181">
        <f t="shared" si="26"/>
        <v>17331.84</v>
      </c>
      <c r="AE166" s="181">
        <v>1.3</v>
      </c>
      <c r="AF166" s="181">
        <v>1.3</v>
      </c>
      <c r="AG166" s="101" t="str">
        <f t="shared" si="29"/>
        <v/>
      </c>
      <c r="AH166" s="190">
        <v>0</v>
      </c>
      <c r="AI166" s="69">
        <f t="shared" si="30"/>
        <v>6</v>
      </c>
    </row>
    <row r="167" spans="1:35" s="69" customFormat="1" ht="58.5" x14ac:dyDescent="0.3">
      <c r="A167" s="130" t="s">
        <v>475</v>
      </c>
      <c r="B167" s="131" t="s">
        <v>476</v>
      </c>
      <c r="C167" s="132" t="s">
        <v>14</v>
      </c>
      <c r="D167" s="133">
        <v>1</v>
      </c>
      <c r="E167" s="75"/>
      <c r="F167" s="75"/>
      <c r="G167" s="75"/>
      <c r="H167" s="75" t="s">
        <v>15</v>
      </c>
      <c r="I167" s="75">
        <v>430876.81</v>
      </c>
      <c r="J167" s="75">
        <v>430876.81</v>
      </c>
      <c r="K167" s="137" t="s">
        <v>477</v>
      </c>
      <c r="L167" s="73"/>
      <c r="M167" s="46">
        <v>1</v>
      </c>
      <c r="N167" s="46">
        <v>430876.81</v>
      </c>
      <c r="O167" s="46">
        <v>430876.81</v>
      </c>
      <c r="P167" s="98"/>
      <c r="Q167" s="23" t="s">
        <v>1443</v>
      </c>
      <c r="R167" s="24" t="s">
        <v>476</v>
      </c>
      <c r="S167" s="25" t="s">
        <v>14</v>
      </c>
      <c r="T167" s="26">
        <v>1</v>
      </c>
      <c r="U167" s="26">
        <v>1</v>
      </c>
      <c r="V167" s="26">
        <f t="shared" ref="V167:V176" si="31">I167</f>
        <v>430876.81</v>
      </c>
      <c r="W167" s="127">
        <f t="shared" si="23"/>
        <v>0</v>
      </c>
      <c r="X167" s="127">
        <f t="shared" si="24"/>
        <v>1</v>
      </c>
      <c r="Y167" s="127">
        <f t="shared" si="25"/>
        <v>0</v>
      </c>
      <c r="Z167" s="127">
        <f t="shared" si="27"/>
        <v>430876.81</v>
      </c>
      <c r="AA167" s="33" t="s">
        <v>15</v>
      </c>
      <c r="AB167" s="36" t="s">
        <v>16</v>
      </c>
      <c r="AC167" s="181">
        <f t="shared" si="28"/>
        <v>1</v>
      </c>
      <c r="AD167" s="181">
        <f t="shared" si="26"/>
        <v>430876.81</v>
      </c>
      <c r="AE167" s="181">
        <v>1.3</v>
      </c>
      <c r="AF167" s="181">
        <v>1.3</v>
      </c>
      <c r="AG167" s="101" t="str">
        <f t="shared" si="29"/>
        <v/>
      </c>
      <c r="AH167" s="191">
        <v>1</v>
      </c>
      <c r="AI167" s="69">
        <f t="shared" si="30"/>
        <v>1</v>
      </c>
    </row>
    <row r="168" spans="1:35" s="69" customFormat="1" ht="39" x14ac:dyDescent="0.3">
      <c r="A168" s="130" t="s">
        <v>478</v>
      </c>
      <c r="B168" s="131" t="s">
        <v>479</v>
      </c>
      <c r="C168" s="132" t="s">
        <v>81</v>
      </c>
      <c r="D168" s="133">
        <v>1</v>
      </c>
      <c r="E168" s="75"/>
      <c r="F168" s="75"/>
      <c r="G168" s="75"/>
      <c r="H168" s="75" t="s">
        <v>15</v>
      </c>
      <c r="I168" s="75">
        <v>29563.21</v>
      </c>
      <c r="J168" s="75">
        <v>29563.21</v>
      </c>
      <c r="K168" s="137" t="s">
        <v>480</v>
      </c>
      <c r="L168" s="73"/>
      <c r="M168" s="46">
        <v>1</v>
      </c>
      <c r="N168" s="46">
        <v>0</v>
      </c>
      <c r="O168" s="46">
        <v>29563.21</v>
      </c>
      <c r="P168" s="98"/>
      <c r="Q168" s="23" t="s">
        <v>1444</v>
      </c>
      <c r="R168" s="24" t="s">
        <v>479</v>
      </c>
      <c r="S168" s="25" t="s">
        <v>81</v>
      </c>
      <c r="T168" s="26">
        <v>1</v>
      </c>
      <c r="U168" s="26">
        <v>1</v>
      </c>
      <c r="V168" s="26">
        <f t="shared" si="31"/>
        <v>29563.21</v>
      </c>
      <c r="W168" s="127">
        <f t="shared" si="23"/>
        <v>0</v>
      </c>
      <c r="X168" s="127">
        <f t="shared" si="24"/>
        <v>1</v>
      </c>
      <c r="Y168" s="127">
        <f t="shared" si="25"/>
        <v>0</v>
      </c>
      <c r="Z168" s="127">
        <f t="shared" si="27"/>
        <v>29563.21</v>
      </c>
      <c r="AA168" s="33" t="s">
        <v>15</v>
      </c>
      <c r="AB168" s="36" t="s">
        <v>16</v>
      </c>
      <c r="AC168" s="181">
        <f t="shared" si="28"/>
        <v>1</v>
      </c>
      <c r="AD168" s="181">
        <f t="shared" si="26"/>
        <v>29563.21</v>
      </c>
      <c r="AE168" s="181">
        <v>1.3</v>
      </c>
      <c r="AF168" s="181">
        <v>1.3</v>
      </c>
      <c r="AG168" s="101" t="str">
        <f t="shared" si="29"/>
        <v/>
      </c>
      <c r="AH168" s="194">
        <f>1</f>
        <v>1</v>
      </c>
      <c r="AI168" s="69">
        <f t="shared" si="30"/>
        <v>1</v>
      </c>
    </row>
    <row r="169" spans="1:35" s="69" customFormat="1" ht="33" x14ac:dyDescent="0.3">
      <c r="A169" s="130" t="s">
        <v>481</v>
      </c>
      <c r="B169" s="131" t="s">
        <v>482</v>
      </c>
      <c r="C169" s="132" t="s">
        <v>81</v>
      </c>
      <c r="D169" s="133">
        <v>1</v>
      </c>
      <c r="E169" s="75"/>
      <c r="F169" s="75"/>
      <c r="G169" s="75"/>
      <c r="H169" s="75" t="s">
        <v>15</v>
      </c>
      <c r="I169" s="75">
        <v>1061152.75</v>
      </c>
      <c r="J169" s="75">
        <v>1061152.75</v>
      </c>
      <c r="K169" s="137" t="s">
        <v>483</v>
      </c>
      <c r="L169" s="73"/>
      <c r="M169" s="46">
        <v>1</v>
      </c>
      <c r="N169" s="46">
        <v>530576.37</v>
      </c>
      <c r="O169" s="46">
        <v>1061152.75</v>
      </c>
      <c r="P169" s="98"/>
      <c r="Q169" s="23" t="s">
        <v>1408</v>
      </c>
      <c r="R169" s="24" t="s">
        <v>482</v>
      </c>
      <c r="S169" s="25" t="s">
        <v>81</v>
      </c>
      <c r="T169" s="26">
        <v>1</v>
      </c>
      <c r="U169" s="26">
        <v>1</v>
      </c>
      <c r="V169" s="26">
        <f t="shared" si="31"/>
        <v>1061152.75</v>
      </c>
      <c r="W169" s="127">
        <f t="shared" si="23"/>
        <v>0</v>
      </c>
      <c r="X169" s="127">
        <f t="shared" si="24"/>
        <v>1</v>
      </c>
      <c r="Y169" s="127">
        <f t="shared" si="25"/>
        <v>0</v>
      </c>
      <c r="Z169" s="127">
        <f t="shared" si="27"/>
        <v>1061152.75</v>
      </c>
      <c r="AA169" s="33" t="s">
        <v>15</v>
      </c>
      <c r="AB169" s="36" t="s">
        <v>16</v>
      </c>
      <c r="AC169" s="181">
        <f t="shared" si="28"/>
        <v>1</v>
      </c>
      <c r="AD169" s="181">
        <f t="shared" si="26"/>
        <v>1061152.75</v>
      </c>
      <c r="AE169" s="181">
        <v>1.3</v>
      </c>
      <c r="AF169" s="181">
        <v>1.3</v>
      </c>
      <c r="AG169" s="101" t="str">
        <f t="shared" si="29"/>
        <v/>
      </c>
      <c r="AH169" s="191">
        <f>0.5+0.5</f>
        <v>1</v>
      </c>
      <c r="AI169" s="69">
        <f t="shared" si="30"/>
        <v>1</v>
      </c>
    </row>
    <row r="170" spans="1:35" s="69" customFormat="1" ht="33" x14ac:dyDescent="0.3">
      <c r="A170" s="130" t="s">
        <v>484</v>
      </c>
      <c r="B170" s="131" t="s">
        <v>485</v>
      </c>
      <c r="C170" s="132" t="s">
        <v>81</v>
      </c>
      <c r="D170" s="133">
        <v>1</v>
      </c>
      <c r="E170" s="75"/>
      <c r="F170" s="75"/>
      <c r="G170" s="75"/>
      <c r="H170" s="75" t="s">
        <v>15</v>
      </c>
      <c r="I170" s="75">
        <v>2431046.88</v>
      </c>
      <c r="J170" s="75">
        <v>2431046.88</v>
      </c>
      <c r="K170" s="137" t="s">
        <v>486</v>
      </c>
      <c r="L170" s="73"/>
      <c r="M170" s="46">
        <v>1</v>
      </c>
      <c r="N170" s="46">
        <v>0</v>
      </c>
      <c r="O170" s="46">
        <v>2431046.88</v>
      </c>
      <c r="P170" s="98"/>
      <c r="Q170" s="23" t="s">
        <v>1409</v>
      </c>
      <c r="R170" s="24" t="s">
        <v>485</v>
      </c>
      <c r="S170" s="25" t="s">
        <v>81</v>
      </c>
      <c r="T170" s="26">
        <v>1</v>
      </c>
      <c r="U170" s="26">
        <v>1</v>
      </c>
      <c r="V170" s="26">
        <f t="shared" si="31"/>
        <v>2431046.88</v>
      </c>
      <c r="W170" s="127">
        <f t="shared" si="23"/>
        <v>0</v>
      </c>
      <c r="X170" s="127">
        <f t="shared" si="24"/>
        <v>1</v>
      </c>
      <c r="Y170" s="127">
        <f t="shared" si="25"/>
        <v>0</v>
      </c>
      <c r="Z170" s="127">
        <f t="shared" si="27"/>
        <v>2431046.88</v>
      </c>
      <c r="AA170" s="33" t="s">
        <v>15</v>
      </c>
      <c r="AB170" s="36" t="s">
        <v>16</v>
      </c>
      <c r="AC170" s="181">
        <f t="shared" si="28"/>
        <v>1</v>
      </c>
      <c r="AD170" s="181">
        <f t="shared" si="26"/>
        <v>2431046.88</v>
      </c>
      <c r="AE170" s="181">
        <v>1.3</v>
      </c>
      <c r="AF170" s="181">
        <v>1.3</v>
      </c>
      <c r="AG170" s="101" t="str">
        <f t="shared" si="29"/>
        <v/>
      </c>
      <c r="AH170" s="194">
        <f>0.8+0.2</f>
        <v>1</v>
      </c>
      <c r="AI170" s="69">
        <f t="shared" si="30"/>
        <v>1</v>
      </c>
    </row>
    <row r="171" spans="1:35" s="69" customFormat="1" ht="33" x14ac:dyDescent="0.3">
      <c r="A171" s="134" t="s">
        <v>1312</v>
      </c>
      <c r="B171" s="135" t="s">
        <v>1313</v>
      </c>
      <c r="C171" s="204" t="s">
        <v>14</v>
      </c>
      <c r="D171" s="133"/>
      <c r="E171" s="59">
        <v>1</v>
      </c>
      <c r="F171" s="77"/>
      <c r="G171" s="77"/>
      <c r="H171" s="77" t="s">
        <v>15</v>
      </c>
      <c r="I171" s="77">
        <v>87950.62</v>
      </c>
      <c r="J171" s="59">
        <v>87950.62</v>
      </c>
      <c r="K171" s="92"/>
      <c r="L171" s="73"/>
      <c r="M171" s="46">
        <v>1</v>
      </c>
      <c r="N171" s="46">
        <v>0</v>
      </c>
      <c r="O171" s="46">
        <v>87950.62</v>
      </c>
      <c r="P171" s="98"/>
      <c r="Q171" s="23" t="s">
        <v>1410</v>
      </c>
      <c r="R171" s="24" t="s">
        <v>1495</v>
      </c>
      <c r="S171" s="25" t="s">
        <v>14</v>
      </c>
      <c r="T171" s="26">
        <v>0</v>
      </c>
      <c r="U171" s="26">
        <v>1</v>
      </c>
      <c r="V171" s="26">
        <f t="shared" si="31"/>
        <v>87950.62</v>
      </c>
      <c r="W171" s="127">
        <f t="shared" si="23"/>
        <v>0</v>
      </c>
      <c r="X171" s="127">
        <f t="shared" si="24"/>
        <v>1</v>
      </c>
      <c r="Y171" s="127">
        <f t="shared" si="25"/>
        <v>0</v>
      </c>
      <c r="Z171" s="127">
        <f t="shared" si="27"/>
        <v>87950.62</v>
      </c>
      <c r="AA171" s="27"/>
      <c r="AB171" s="36" t="s">
        <v>16</v>
      </c>
      <c r="AC171" s="181">
        <f t="shared" si="28"/>
        <v>1</v>
      </c>
      <c r="AD171" s="181">
        <f t="shared" si="26"/>
        <v>87950.62</v>
      </c>
      <c r="AE171" s="181">
        <v>1.3</v>
      </c>
      <c r="AF171" s="181">
        <v>1.3</v>
      </c>
      <c r="AG171" s="101" t="str">
        <f t="shared" si="29"/>
        <v/>
      </c>
      <c r="AH171" s="190">
        <v>1</v>
      </c>
      <c r="AI171" s="69">
        <f t="shared" si="30"/>
        <v>1</v>
      </c>
    </row>
    <row r="172" spans="1:35" s="69" customFormat="1" ht="33" x14ac:dyDescent="0.3">
      <c r="A172" s="134" t="s">
        <v>1314</v>
      </c>
      <c r="B172" s="135" t="s">
        <v>1315</v>
      </c>
      <c r="C172" s="204" t="s">
        <v>30</v>
      </c>
      <c r="D172" s="133"/>
      <c r="E172" s="59">
        <v>24</v>
      </c>
      <c r="F172" s="77"/>
      <c r="G172" s="77"/>
      <c r="H172" s="77" t="s">
        <v>15</v>
      </c>
      <c r="I172" s="77">
        <v>4257.93</v>
      </c>
      <c r="J172" s="59">
        <v>102190.32</v>
      </c>
      <c r="K172" s="92"/>
      <c r="L172" s="73"/>
      <c r="M172" s="46">
        <v>24</v>
      </c>
      <c r="N172" s="46">
        <v>0</v>
      </c>
      <c r="O172" s="46">
        <v>102190.32</v>
      </c>
      <c r="P172" s="98"/>
      <c r="Q172" s="23" t="s">
        <v>1411</v>
      </c>
      <c r="R172" s="24" t="s">
        <v>1496</v>
      </c>
      <c r="S172" s="25" t="s">
        <v>30</v>
      </c>
      <c r="T172" s="26">
        <v>0</v>
      </c>
      <c r="U172" s="26">
        <v>24</v>
      </c>
      <c r="V172" s="26">
        <f t="shared" si="31"/>
        <v>4257.93</v>
      </c>
      <c r="W172" s="127">
        <f t="shared" si="23"/>
        <v>0</v>
      </c>
      <c r="X172" s="127">
        <f t="shared" si="24"/>
        <v>24</v>
      </c>
      <c r="Y172" s="127">
        <f t="shared" si="25"/>
        <v>0</v>
      </c>
      <c r="Z172" s="127">
        <f t="shared" si="27"/>
        <v>102190.32</v>
      </c>
      <c r="AA172" s="27"/>
      <c r="AB172" s="36" t="s">
        <v>16</v>
      </c>
      <c r="AC172" s="181">
        <f t="shared" si="28"/>
        <v>24</v>
      </c>
      <c r="AD172" s="181">
        <f t="shared" si="26"/>
        <v>102190.32</v>
      </c>
      <c r="AE172" s="181">
        <v>1.3</v>
      </c>
      <c r="AF172" s="181">
        <v>1.3</v>
      </c>
      <c r="AG172" s="101" t="str">
        <f t="shared" si="29"/>
        <v/>
      </c>
      <c r="AH172" s="190">
        <v>24</v>
      </c>
      <c r="AI172" s="69">
        <f t="shared" si="30"/>
        <v>24</v>
      </c>
    </row>
    <row r="173" spans="1:35" s="69" customFormat="1" ht="33" x14ac:dyDescent="0.3">
      <c r="A173" s="134" t="s">
        <v>1316</v>
      </c>
      <c r="B173" s="135" t="s">
        <v>1317</v>
      </c>
      <c r="C173" s="204" t="s">
        <v>513</v>
      </c>
      <c r="D173" s="133"/>
      <c r="E173" s="59">
        <v>1</v>
      </c>
      <c r="F173" s="77"/>
      <c r="G173" s="205"/>
      <c r="H173" s="205" t="s">
        <v>15</v>
      </c>
      <c r="I173" s="77">
        <v>200835.11</v>
      </c>
      <c r="J173" s="59">
        <v>200835.11</v>
      </c>
      <c r="K173" s="92"/>
      <c r="L173" s="73"/>
      <c r="M173" s="46">
        <v>1</v>
      </c>
      <c r="N173" s="46">
        <v>0</v>
      </c>
      <c r="O173" s="46">
        <v>200835.11</v>
      </c>
      <c r="P173" s="98"/>
      <c r="Q173" s="23" t="s">
        <v>1445</v>
      </c>
      <c r="R173" s="24" t="s">
        <v>1497</v>
      </c>
      <c r="S173" s="25" t="s">
        <v>513</v>
      </c>
      <c r="T173" s="26">
        <v>0</v>
      </c>
      <c r="U173" s="26">
        <v>1</v>
      </c>
      <c r="V173" s="26">
        <f t="shared" si="31"/>
        <v>200835.11</v>
      </c>
      <c r="W173" s="127">
        <f t="shared" si="23"/>
        <v>0</v>
      </c>
      <c r="X173" s="127">
        <f t="shared" si="24"/>
        <v>1</v>
      </c>
      <c r="Y173" s="127">
        <f t="shared" si="25"/>
        <v>0</v>
      </c>
      <c r="Z173" s="127">
        <f t="shared" si="27"/>
        <v>200835.11</v>
      </c>
      <c r="AA173" s="27"/>
      <c r="AB173" s="36" t="s">
        <v>16</v>
      </c>
      <c r="AC173" s="181">
        <f t="shared" si="28"/>
        <v>1</v>
      </c>
      <c r="AD173" s="181">
        <f t="shared" si="26"/>
        <v>200835.11</v>
      </c>
      <c r="AE173" s="181">
        <v>1.3</v>
      </c>
      <c r="AF173" s="181">
        <v>1.3</v>
      </c>
      <c r="AG173" s="101" t="str">
        <f t="shared" si="29"/>
        <v/>
      </c>
      <c r="AH173" s="190">
        <v>1</v>
      </c>
      <c r="AI173" s="69">
        <f t="shared" si="30"/>
        <v>1</v>
      </c>
    </row>
    <row r="174" spans="1:35" ht="33" x14ac:dyDescent="0.3">
      <c r="A174" s="134" t="s">
        <v>1318</v>
      </c>
      <c r="B174" s="135" t="s">
        <v>1319</v>
      </c>
      <c r="C174" s="204" t="s">
        <v>412</v>
      </c>
      <c r="D174" s="133"/>
      <c r="E174" s="78"/>
      <c r="F174" s="116">
        <v>150400</v>
      </c>
      <c r="G174" s="116"/>
      <c r="H174" s="116">
        <v>154935.98000000001</v>
      </c>
      <c r="I174" s="167">
        <v>16.21</v>
      </c>
      <c r="J174" s="62">
        <v>2511512.2400000002</v>
      </c>
      <c r="K174" s="93"/>
      <c r="M174" s="46">
        <v>150350.58000000002</v>
      </c>
      <c r="N174" s="46">
        <v>0</v>
      </c>
      <c r="O174" s="46">
        <v>2437182.9</v>
      </c>
      <c r="P174" s="98"/>
      <c r="Q174" s="23" t="s">
        <v>1383</v>
      </c>
      <c r="R174" s="24" t="s">
        <v>1319</v>
      </c>
      <c r="S174" s="25" t="s">
        <v>412</v>
      </c>
      <c r="T174" s="26">
        <v>0</v>
      </c>
      <c r="U174" s="26">
        <v>154935.98000000001</v>
      </c>
      <c r="V174" s="26">
        <f t="shared" si="31"/>
        <v>16.21</v>
      </c>
      <c r="W174" s="127">
        <f t="shared" si="23"/>
        <v>0</v>
      </c>
      <c r="X174" s="127">
        <f t="shared" si="24"/>
        <v>150350.58000000002</v>
      </c>
      <c r="Y174" s="127">
        <f t="shared" si="25"/>
        <v>0</v>
      </c>
      <c r="Z174" s="127">
        <f t="shared" si="27"/>
        <v>2437182.9</v>
      </c>
      <c r="AA174" s="27"/>
      <c r="AB174" s="36" t="s">
        <v>16</v>
      </c>
      <c r="AC174" s="181">
        <f t="shared" si="28"/>
        <v>154935.98000000001</v>
      </c>
      <c r="AD174" s="181">
        <f t="shared" si="26"/>
        <v>2511512.2400000002</v>
      </c>
      <c r="AE174" s="181">
        <v>1.3</v>
      </c>
      <c r="AF174" s="181">
        <v>1.3</v>
      </c>
      <c r="AG174" s="101" t="str">
        <f t="shared" si="29"/>
        <v/>
      </c>
      <c r="AH174" s="191">
        <f>AH148</f>
        <v>150350.58000000002</v>
      </c>
      <c r="AI174" s="69">
        <f t="shared" si="30"/>
        <v>150400</v>
      </c>
    </row>
    <row r="175" spans="1:35" ht="33" x14ac:dyDescent="0.3">
      <c r="A175" s="134" t="s">
        <v>1320</v>
      </c>
      <c r="B175" s="135" t="s">
        <v>1321</v>
      </c>
      <c r="C175" s="204" t="s">
        <v>325</v>
      </c>
      <c r="D175" s="133"/>
      <c r="E175" s="78"/>
      <c r="F175" s="62">
        <v>18</v>
      </c>
      <c r="G175" s="62"/>
      <c r="H175" s="62" t="s">
        <v>15</v>
      </c>
      <c r="I175" s="167">
        <v>79588.210000000006</v>
      </c>
      <c r="J175" s="62">
        <v>1432587.78</v>
      </c>
      <c r="K175" s="93"/>
      <c r="M175" s="46">
        <v>18</v>
      </c>
      <c r="N175" s="46">
        <v>159176.41999999993</v>
      </c>
      <c r="O175" s="46">
        <v>1432587.78</v>
      </c>
      <c r="P175" s="98"/>
      <c r="Q175" s="23" t="s">
        <v>1384</v>
      </c>
      <c r="R175" s="24" t="s">
        <v>1321</v>
      </c>
      <c r="S175" s="25" t="s">
        <v>325</v>
      </c>
      <c r="T175" s="26">
        <v>0</v>
      </c>
      <c r="U175" s="26">
        <v>18</v>
      </c>
      <c r="V175" s="26">
        <f t="shared" si="31"/>
        <v>79588.210000000006</v>
      </c>
      <c r="W175" s="127">
        <f t="shared" si="23"/>
        <v>0</v>
      </c>
      <c r="X175" s="127">
        <f t="shared" si="24"/>
        <v>18</v>
      </c>
      <c r="Y175" s="127">
        <f t="shared" si="25"/>
        <v>0</v>
      </c>
      <c r="Z175" s="127">
        <f t="shared" si="27"/>
        <v>1432587.78</v>
      </c>
      <c r="AA175" s="27"/>
      <c r="AB175" s="36" t="s">
        <v>16</v>
      </c>
      <c r="AC175" s="181">
        <f t="shared" si="28"/>
        <v>18</v>
      </c>
      <c r="AD175" s="181">
        <f t="shared" si="26"/>
        <v>1432587.78</v>
      </c>
      <c r="AE175" s="181">
        <v>1.3</v>
      </c>
      <c r="AF175" s="181">
        <v>1.3</v>
      </c>
      <c r="AG175" s="101" t="str">
        <f t="shared" si="29"/>
        <v/>
      </c>
      <c r="AH175" s="194">
        <f>12+4+2</f>
        <v>18</v>
      </c>
      <c r="AI175" s="69">
        <f t="shared" si="30"/>
        <v>18</v>
      </c>
    </row>
    <row r="176" spans="1:35" ht="39" x14ac:dyDescent="0.3">
      <c r="A176" s="134" t="s">
        <v>1322</v>
      </c>
      <c r="B176" s="135" t="s">
        <v>1323</v>
      </c>
      <c r="C176" s="204" t="s">
        <v>325</v>
      </c>
      <c r="D176" s="133"/>
      <c r="E176" s="78"/>
      <c r="F176" s="62">
        <v>2</v>
      </c>
      <c r="G176" s="62"/>
      <c r="H176" s="62">
        <v>3</v>
      </c>
      <c r="I176" s="167">
        <v>120491.2</v>
      </c>
      <c r="J176" s="62">
        <v>361473.6</v>
      </c>
      <c r="K176" s="93"/>
      <c r="M176" s="46">
        <v>2</v>
      </c>
      <c r="N176" s="46">
        <v>240982.39999999999</v>
      </c>
      <c r="O176" s="46">
        <v>240982.39999999999</v>
      </c>
      <c r="P176" s="98"/>
      <c r="Q176" s="23" t="s">
        <v>1385</v>
      </c>
      <c r="R176" s="24" t="s">
        <v>1323</v>
      </c>
      <c r="S176" s="25" t="s">
        <v>325</v>
      </c>
      <c r="T176" s="26">
        <v>0</v>
      </c>
      <c r="U176" s="26">
        <v>3</v>
      </c>
      <c r="V176" s="26">
        <f t="shared" si="31"/>
        <v>120491.2</v>
      </c>
      <c r="W176" s="128">
        <f t="shared" si="23"/>
        <v>1</v>
      </c>
      <c r="X176" s="127">
        <f t="shared" si="24"/>
        <v>3</v>
      </c>
      <c r="Y176" s="127">
        <f t="shared" si="25"/>
        <v>120491.19999999998</v>
      </c>
      <c r="Z176" s="127">
        <f t="shared" si="27"/>
        <v>361473.6</v>
      </c>
      <c r="AA176" s="27"/>
      <c r="AB176" s="36" t="s">
        <v>16</v>
      </c>
      <c r="AC176" s="181">
        <f t="shared" si="28"/>
        <v>3</v>
      </c>
      <c r="AD176" s="181">
        <f t="shared" si="26"/>
        <v>361473.6</v>
      </c>
      <c r="AE176" s="181">
        <v>1.3</v>
      </c>
      <c r="AF176" s="181">
        <v>1.3</v>
      </c>
      <c r="AG176" s="101" t="str">
        <f t="shared" si="29"/>
        <v>超估</v>
      </c>
      <c r="AH176" s="191">
        <f>2+1</f>
        <v>3</v>
      </c>
      <c r="AI176" s="69">
        <f t="shared" si="30"/>
        <v>2</v>
      </c>
    </row>
    <row r="177" spans="1:35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4"/>
      <c r="H177" s="84" t="s">
        <v>15</v>
      </c>
      <c r="I177" s="82"/>
      <c r="J177" s="82">
        <v>25916103.719999999</v>
      </c>
      <c r="K177" s="94" t="s">
        <v>15</v>
      </c>
      <c r="L177" s="73"/>
      <c r="M177" s="45">
        <v>1</v>
      </c>
      <c r="N177" s="45">
        <v>0</v>
      </c>
      <c r="O177" s="45">
        <v>17755025.989999998</v>
      </c>
      <c r="P177" s="98"/>
      <c r="Q177" s="18" t="s">
        <v>1386</v>
      </c>
      <c r="R177" s="19" t="s">
        <v>488</v>
      </c>
      <c r="S177" s="20" t="s">
        <v>14</v>
      </c>
      <c r="T177" s="21">
        <v>1</v>
      </c>
      <c r="U177" s="21"/>
      <c r="V177" s="21">
        <f>SUMIFS(AD:AD,AE:AE,AE177)</f>
        <v>25916103.719999999</v>
      </c>
      <c r="W177" s="21">
        <f t="shared" ref="W177:X177" si="32">IF(Y177=0,0,1)</f>
        <v>1</v>
      </c>
      <c r="X177" s="21">
        <f t="shared" si="32"/>
        <v>1</v>
      </c>
      <c r="Y177" s="21">
        <f>SUMIFS(Y:Y,AF:AF,AE177)</f>
        <v>5106778.330000001</v>
      </c>
      <c r="Z177" s="21">
        <f>SUMIFS(Z:Z,AF:AF,AE177)</f>
        <v>22861804.32</v>
      </c>
      <c r="AA177" s="22" t="s">
        <v>15</v>
      </c>
      <c r="AB177" s="43" t="s">
        <v>16</v>
      </c>
      <c r="AC177" s="181">
        <f t="shared" si="28"/>
        <v>1</v>
      </c>
      <c r="AD177" s="184"/>
      <c r="AE177" s="184">
        <v>1.4</v>
      </c>
      <c r="AF177" s="184"/>
      <c r="AG177" s="101" t="str">
        <f t="shared" si="29"/>
        <v/>
      </c>
      <c r="AH177" s="190">
        <v>1</v>
      </c>
      <c r="AI177" s="69">
        <f t="shared" si="30"/>
        <v>1</v>
      </c>
    </row>
    <row r="178" spans="1:35" s="69" customFormat="1" ht="39" x14ac:dyDescent="0.3">
      <c r="A178" s="130" t="s">
        <v>489</v>
      </c>
      <c r="B178" s="131" t="s">
        <v>392</v>
      </c>
      <c r="C178" s="132" t="s">
        <v>23</v>
      </c>
      <c r="D178" s="133">
        <v>20</v>
      </c>
      <c r="E178" s="75"/>
      <c r="F178" s="75"/>
      <c r="G178" s="75"/>
      <c r="H178" s="75" t="s">
        <v>15</v>
      </c>
      <c r="I178" s="75">
        <v>3115.13</v>
      </c>
      <c r="J178" s="75">
        <v>62302.6</v>
      </c>
      <c r="K178" s="91" t="s">
        <v>114</v>
      </c>
      <c r="L178" s="73"/>
      <c r="M178" s="46">
        <v>19.45</v>
      </c>
      <c r="N178" s="46">
        <v>0</v>
      </c>
      <c r="O178" s="46">
        <v>60589.279999999999</v>
      </c>
      <c r="P178" s="98"/>
      <c r="Q178" s="23" t="s">
        <v>1421</v>
      </c>
      <c r="R178" s="24" t="s">
        <v>392</v>
      </c>
      <c r="S178" s="25" t="s">
        <v>23</v>
      </c>
      <c r="T178" s="26">
        <v>20</v>
      </c>
      <c r="U178" s="26">
        <v>20</v>
      </c>
      <c r="V178" s="26">
        <f t="shared" ref="V178:V201" si="33">I178</f>
        <v>3115.13</v>
      </c>
      <c r="W178" s="127">
        <f t="shared" ref="W178:W201" si="34">AH178-M178</f>
        <v>0</v>
      </c>
      <c r="X178" s="127">
        <f t="shared" ref="X178:X241" si="35">W178+M178</f>
        <v>19.45</v>
      </c>
      <c r="Y178" s="127">
        <f t="shared" ref="Y178:Y201" si="36">Z178-O178</f>
        <v>0</v>
      </c>
      <c r="Z178" s="127">
        <f t="shared" si="27"/>
        <v>60589.279999999999</v>
      </c>
      <c r="AA178" s="33" t="s">
        <v>15</v>
      </c>
      <c r="AB178" s="36" t="s">
        <v>16</v>
      </c>
      <c r="AC178" s="181">
        <f t="shared" si="28"/>
        <v>20</v>
      </c>
      <c r="AD178" s="181">
        <f t="shared" ref="AD178:AD219" si="37">ROUND(V178*AC178,2)</f>
        <v>62302.6</v>
      </c>
      <c r="AE178" s="181">
        <v>1.4</v>
      </c>
      <c r="AF178" s="181">
        <v>1.4</v>
      </c>
      <c r="AG178" s="101" t="str">
        <f t="shared" si="29"/>
        <v/>
      </c>
      <c r="AH178" s="191">
        <f>12.15+7.3</f>
        <v>19.45</v>
      </c>
      <c r="AI178" s="69">
        <f t="shared" si="30"/>
        <v>20</v>
      </c>
    </row>
    <row r="179" spans="1:35" s="69" customFormat="1" ht="39" x14ac:dyDescent="0.3">
      <c r="A179" s="130" t="s">
        <v>490</v>
      </c>
      <c r="B179" s="131" t="s">
        <v>116</v>
      </c>
      <c r="C179" s="132" t="s">
        <v>23</v>
      </c>
      <c r="D179" s="133">
        <v>354</v>
      </c>
      <c r="E179" s="75"/>
      <c r="F179" s="75"/>
      <c r="G179" s="75"/>
      <c r="H179" s="75" t="s">
        <v>15</v>
      </c>
      <c r="I179" s="75">
        <v>3321.13</v>
      </c>
      <c r="J179" s="75">
        <v>1175680.02</v>
      </c>
      <c r="K179" s="91" t="s">
        <v>117</v>
      </c>
      <c r="L179" s="73"/>
      <c r="M179" s="46">
        <v>326.60000000000002</v>
      </c>
      <c r="N179" s="46">
        <v>0</v>
      </c>
      <c r="O179" s="46">
        <v>1084681.06</v>
      </c>
      <c r="P179" s="98"/>
      <c r="Q179" s="23" t="s">
        <v>1426</v>
      </c>
      <c r="R179" s="24" t="s">
        <v>116</v>
      </c>
      <c r="S179" s="25" t="s">
        <v>23</v>
      </c>
      <c r="T179" s="26">
        <v>354</v>
      </c>
      <c r="U179" s="26">
        <v>354</v>
      </c>
      <c r="V179" s="26">
        <f t="shared" si="33"/>
        <v>3321.13</v>
      </c>
      <c r="W179" s="127">
        <f t="shared" si="34"/>
        <v>0</v>
      </c>
      <c r="X179" s="127">
        <f t="shared" si="35"/>
        <v>326.60000000000002</v>
      </c>
      <c r="Y179" s="127">
        <f t="shared" si="36"/>
        <v>0</v>
      </c>
      <c r="Z179" s="127">
        <f t="shared" si="27"/>
        <v>1084681.06</v>
      </c>
      <c r="AA179" s="33" t="s">
        <v>15</v>
      </c>
      <c r="AB179" s="36" t="s">
        <v>16</v>
      </c>
      <c r="AC179" s="181">
        <f t="shared" si="28"/>
        <v>354</v>
      </c>
      <c r="AD179" s="181">
        <f t="shared" si="37"/>
        <v>1175680.02</v>
      </c>
      <c r="AE179" s="181">
        <v>1.4</v>
      </c>
      <c r="AF179" s="181">
        <v>1.4</v>
      </c>
      <c r="AG179" s="101" t="str">
        <f t="shared" si="29"/>
        <v/>
      </c>
      <c r="AH179" s="191">
        <f>326.6</f>
        <v>326.60000000000002</v>
      </c>
      <c r="AI179" s="69">
        <f t="shared" si="30"/>
        <v>354</v>
      </c>
    </row>
    <row r="180" spans="1:35" s="69" customFormat="1" ht="39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203"/>
      <c r="F180" s="203"/>
      <c r="G180" s="203"/>
      <c r="H180" s="203" t="s">
        <v>15</v>
      </c>
      <c r="I180" s="75">
        <v>3643.73</v>
      </c>
      <c r="J180" s="75">
        <v>0</v>
      </c>
      <c r="K180" s="91" t="s">
        <v>396</v>
      </c>
      <c r="L180" s="73"/>
      <c r="M180" s="46">
        <v>0</v>
      </c>
      <c r="N180" s="46">
        <v>0</v>
      </c>
      <c r="O180" s="46">
        <v>0</v>
      </c>
      <c r="P180" s="98"/>
      <c r="Q180" s="23" t="s">
        <v>1402</v>
      </c>
      <c r="R180" s="24" t="s">
        <v>395</v>
      </c>
      <c r="S180" s="25" t="s">
        <v>23</v>
      </c>
      <c r="T180" s="26">
        <v>690</v>
      </c>
      <c r="U180" s="26">
        <v>0</v>
      </c>
      <c r="V180" s="26">
        <f t="shared" si="33"/>
        <v>3643.73</v>
      </c>
      <c r="W180" s="127">
        <f t="shared" si="34"/>
        <v>0</v>
      </c>
      <c r="X180" s="127">
        <f t="shared" si="35"/>
        <v>0</v>
      </c>
      <c r="Y180" s="127">
        <f t="shared" si="36"/>
        <v>0</v>
      </c>
      <c r="Z180" s="127">
        <f t="shared" si="27"/>
        <v>0</v>
      </c>
      <c r="AA180" s="33" t="s">
        <v>15</v>
      </c>
      <c r="AB180" s="36" t="s">
        <v>16</v>
      </c>
      <c r="AC180" s="181">
        <f t="shared" si="28"/>
        <v>0</v>
      </c>
      <c r="AD180" s="181">
        <f t="shared" si="37"/>
        <v>0</v>
      </c>
      <c r="AE180" s="181">
        <v>1.4</v>
      </c>
      <c r="AF180" s="181">
        <v>1.4</v>
      </c>
      <c r="AG180" s="101" t="str">
        <f t="shared" si="29"/>
        <v/>
      </c>
      <c r="AH180" s="194">
        <v>0</v>
      </c>
      <c r="AI180" s="69">
        <f t="shared" si="30"/>
        <v>690</v>
      </c>
    </row>
    <row r="181" spans="1:35" s="69" customFormat="1" ht="33" customHeight="1" x14ac:dyDescent="0.3">
      <c r="A181" s="130" t="s">
        <v>492</v>
      </c>
      <c r="B181" s="131" t="s">
        <v>493</v>
      </c>
      <c r="C181" s="132" t="s">
        <v>23</v>
      </c>
      <c r="D181" s="133">
        <v>1065</v>
      </c>
      <c r="E181" s="203"/>
      <c r="F181" s="203"/>
      <c r="G181" s="203"/>
      <c r="H181" s="203">
        <v>1900.83</v>
      </c>
      <c r="I181" s="75">
        <v>200</v>
      </c>
      <c r="J181" s="75">
        <v>380166</v>
      </c>
      <c r="K181" s="91" t="s">
        <v>494</v>
      </c>
      <c r="L181" s="73"/>
      <c r="M181" s="46">
        <v>1028.21</v>
      </c>
      <c r="N181" s="46">
        <v>0</v>
      </c>
      <c r="O181" s="46">
        <v>205642</v>
      </c>
      <c r="P181" s="98"/>
      <c r="Q181" s="23" t="s">
        <v>1373</v>
      </c>
      <c r="R181" s="24" t="s">
        <v>493</v>
      </c>
      <c r="S181" s="25" t="s">
        <v>23</v>
      </c>
      <c r="T181" s="26">
        <v>1065</v>
      </c>
      <c r="U181" s="26">
        <v>1900.83</v>
      </c>
      <c r="V181" s="26">
        <f t="shared" si="33"/>
        <v>200</v>
      </c>
      <c r="W181" s="128">
        <f>AH181-M181</f>
        <v>787.5</v>
      </c>
      <c r="X181" s="127">
        <f t="shared" si="35"/>
        <v>1815.71</v>
      </c>
      <c r="Y181" s="127">
        <f t="shared" si="36"/>
        <v>157500</v>
      </c>
      <c r="Z181" s="127">
        <f t="shared" si="27"/>
        <v>363142</v>
      </c>
      <c r="AA181" s="33" t="s">
        <v>15</v>
      </c>
      <c r="AB181" s="36" t="s">
        <v>16</v>
      </c>
      <c r="AC181" s="181">
        <f t="shared" si="28"/>
        <v>1900.83</v>
      </c>
      <c r="AD181" s="181">
        <f t="shared" si="37"/>
        <v>380166</v>
      </c>
      <c r="AE181" s="181">
        <v>1.4</v>
      </c>
      <c r="AF181" s="181">
        <v>1.4</v>
      </c>
      <c r="AG181" s="101" t="str">
        <f t="shared" si="29"/>
        <v>超估</v>
      </c>
      <c r="AH181" s="191">
        <f>AH178+AH180+AH200+AH179</f>
        <v>1815.71</v>
      </c>
      <c r="AI181" s="69">
        <f t="shared" si="30"/>
        <v>1065</v>
      </c>
    </row>
    <row r="182" spans="1:35" s="69" customFormat="1" ht="57.75" x14ac:dyDescent="0.3">
      <c r="A182" s="130" t="s">
        <v>495</v>
      </c>
      <c r="B182" s="131" t="s">
        <v>405</v>
      </c>
      <c r="C182" s="132" t="s">
        <v>50</v>
      </c>
      <c r="D182" s="133">
        <v>1229</v>
      </c>
      <c r="E182" s="203"/>
      <c r="F182" s="203"/>
      <c r="G182" s="203"/>
      <c r="H182" s="203">
        <v>1437.49</v>
      </c>
      <c r="I182" s="75">
        <v>982.98</v>
      </c>
      <c r="J182" s="75">
        <v>1413023.92</v>
      </c>
      <c r="K182" s="91" t="s">
        <v>406</v>
      </c>
      <c r="L182" s="73"/>
      <c r="M182" s="46">
        <v>1229</v>
      </c>
      <c r="N182" s="46">
        <v>0</v>
      </c>
      <c r="O182" s="46">
        <v>1208082.42</v>
      </c>
      <c r="P182" s="98"/>
      <c r="Q182" s="23" t="s">
        <v>1393</v>
      </c>
      <c r="R182" s="24" t="s">
        <v>405</v>
      </c>
      <c r="S182" s="25" t="s">
        <v>50</v>
      </c>
      <c r="T182" s="26">
        <v>1229</v>
      </c>
      <c r="U182" s="26">
        <v>1437.49</v>
      </c>
      <c r="V182" s="26">
        <f t="shared" si="33"/>
        <v>982.98</v>
      </c>
      <c r="W182" s="128">
        <f t="shared" si="34"/>
        <v>120</v>
      </c>
      <c r="X182" s="127">
        <f t="shared" si="35"/>
        <v>1349</v>
      </c>
      <c r="Y182" s="127">
        <f t="shared" si="36"/>
        <v>117957.60000000009</v>
      </c>
      <c r="Z182" s="127">
        <f t="shared" si="27"/>
        <v>1326040.02</v>
      </c>
      <c r="AA182" s="33" t="s">
        <v>15</v>
      </c>
      <c r="AB182" s="36" t="s">
        <v>16</v>
      </c>
      <c r="AC182" s="181">
        <f t="shared" si="28"/>
        <v>1437.49</v>
      </c>
      <c r="AD182" s="181">
        <f t="shared" si="37"/>
        <v>1413023.92</v>
      </c>
      <c r="AE182" s="181">
        <v>1.4</v>
      </c>
      <c r="AF182" s="181">
        <v>1.4</v>
      </c>
      <c r="AG182" s="101" t="str">
        <f t="shared" si="29"/>
        <v>超估</v>
      </c>
      <c r="AH182" s="191">
        <f>1032+197+120</f>
        <v>1349</v>
      </c>
      <c r="AI182" s="69">
        <f t="shared" si="30"/>
        <v>1229</v>
      </c>
    </row>
    <row r="183" spans="1:35" s="69" customFormat="1" ht="41.25" x14ac:dyDescent="0.3">
      <c r="A183" s="130" t="s">
        <v>496</v>
      </c>
      <c r="B183" s="131" t="s">
        <v>408</v>
      </c>
      <c r="C183" s="132" t="s">
        <v>50</v>
      </c>
      <c r="D183" s="133">
        <v>285</v>
      </c>
      <c r="E183" s="203"/>
      <c r="F183" s="203"/>
      <c r="G183" s="203"/>
      <c r="H183" s="203">
        <v>685.45</v>
      </c>
      <c r="I183" s="75">
        <v>804.79</v>
      </c>
      <c r="J183" s="75">
        <v>551643.31000000006</v>
      </c>
      <c r="K183" s="91" t="s">
        <v>409</v>
      </c>
      <c r="L183" s="73"/>
      <c r="M183" s="46">
        <v>285</v>
      </c>
      <c r="N183" s="46">
        <v>0</v>
      </c>
      <c r="O183" s="46">
        <v>229365.15</v>
      </c>
      <c r="P183" s="98"/>
      <c r="Q183" s="23" t="s">
        <v>1403</v>
      </c>
      <c r="R183" s="24" t="s">
        <v>408</v>
      </c>
      <c r="S183" s="25" t="s">
        <v>50</v>
      </c>
      <c r="T183" s="26">
        <v>285</v>
      </c>
      <c r="U183" s="26">
        <v>685.45</v>
      </c>
      <c r="V183" s="26">
        <f t="shared" si="33"/>
        <v>804.79</v>
      </c>
      <c r="W183" s="243">
        <f t="shared" si="34"/>
        <v>266</v>
      </c>
      <c r="X183" s="209">
        <f t="shared" si="35"/>
        <v>551</v>
      </c>
      <c r="Y183" s="127">
        <f t="shared" si="36"/>
        <v>214074.13999999998</v>
      </c>
      <c r="Z183" s="127">
        <f t="shared" si="27"/>
        <v>443439.29</v>
      </c>
      <c r="AA183" s="33" t="s">
        <v>15</v>
      </c>
      <c r="AB183" s="36" t="s">
        <v>16</v>
      </c>
      <c r="AC183" s="181">
        <f t="shared" si="28"/>
        <v>685.45</v>
      </c>
      <c r="AD183" s="181">
        <f t="shared" si="37"/>
        <v>551643.31000000006</v>
      </c>
      <c r="AE183" s="181">
        <v>1.4</v>
      </c>
      <c r="AF183" s="181">
        <v>1.4</v>
      </c>
      <c r="AG183" s="101" t="str">
        <f t="shared" si="29"/>
        <v>超估</v>
      </c>
      <c r="AH183" s="191">
        <f>220+65+266</f>
        <v>551</v>
      </c>
      <c r="AI183" s="69">
        <f t="shared" si="30"/>
        <v>285</v>
      </c>
    </row>
    <row r="184" spans="1:35" s="69" customFormat="1" ht="33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203"/>
      <c r="F184" s="203"/>
      <c r="G184" s="203"/>
      <c r="H184" s="203">
        <v>18482.54</v>
      </c>
      <c r="I184" s="75">
        <v>36.4</v>
      </c>
      <c r="J184" s="75">
        <v>672764.46</v>
      </c>
      <c r="K184" s="91" t="s">
        <v>111</v>
      </c>
      <c r="L184" s="73"/>
      <c r="M184" s="46">
        <v>13110.94</v>
      </c>
      <c r="N184" s="46">
        <v>0</v>
      </c>
      <c r="O184" s="46">
        <v>477238.22</v>
      </c>
      <c r="P184" s="98"/>
      <c r="Q184" s="23" t="s">
        <v>1427</v>
      </c>
      <c r="R184" s="24" t="s">
        <v>109</v>
      </c>
      <c r="S184" s="25" t="s">
        <v>110</v>
      </c>
      <c r="T184" s="26">
        <v>13716</v>
      </c>
      <c r="U184" s="26">
        <v>18482.54</v>
      </c>
      <c r="V184" s="26">
        <f t="shared" si="33"/>
        <v>36.4</v>
      </c>
      <c r="W184" s="128">
        <f t="shared" si="34"/>
        <v>0</v>
      </c>
      <c r="X184" s="127">
        <f t="shared" si="35"/>
        <v>13110.94</v>
      </c>
      <c r="Y184" s="127">
        <f t="shared" si="36"/>
        <v>0</v>
      </c>
      <c r="Z184" s="127">
        <f t="shared" si="27"/>
        <v>477238.22</v>
      </c>
      <c r="AA184" s="33" t="s">
        <v>15</v>
      </c>
      <c r="AB184" s="36" t="s">
        <v>16</v>
      </c>
      <c r="AC184" s="181">
        <f t="shared" si="28"/>
        <v>18482.54</v>
      </c>
      <c r="AD184" s="181">
        <f t="shared" si="37"/>
        <v>672764.46</v>
      </c>
      <c r="AE184" s="181">
        <v>1.4</v>
      </c>
      <c r="AF184" s="181">
        <v>1.4</v>
      </c>
      <c r="AG184" s="101" t="str">
        <f t="shared" si="29"/>
        <v/>
      </c>
      <c r="AH184" s="191">
        <f>13110.94</f>
        <v>13110.94</v>
      </c>
      <c r="AI184" s="69">
        <f t="shared" si="30"/>
        <v>13716</v>
      </c>
    </row>
    <row r="185" spans="1:35" s="69" customFormat="1" ht="39" x14ac:dyDescent="0.3">
      <c r="A185" s="130" t="s">
        <v>498</v>
      </c>
      <c r="B185" s="131" t="s">
        <v>399</v>
      </c>
      <c r="C185" s="132" t="s">
        <v>110</v>
      </c>
      <c r="D185" s="133">
        <v>13810</v>
      </c>
      <c r="E185" s="203"/>
      <c r="F185" s="203"/>
      <c r="G185" s="203"/>
      <c r="H185" s="203">
        <v>36577.19</v>
      </c>
      <c r="I185" s="75">
        <v>38.71</v>
      </c>
      <c r="J185" s="75">
        <v>1415903.02</v>
      </c>
      <c r="K185" s="91" t="s">
        <v>400</v>
      </c>
      <c r="L185" s="73"/>
      <c r="M185" s="46">
        <v>13810</v>
      </c>
      <c r="N185" s="46">
        <v>0</v>
      </c>
      <c r="O185" s="46">
        <v>534585.1</v>
      </c>
      <c r="P185" s="98"/>
      <c r="Q185" s="23" t="s">
        <v>1428</v>
      </c>
      <c r="R185" s="24" t="s">
        <v>399</v>
      </c>
      <c r="S185" s="25" t="s">
        <v>110</v>
      </c>
      <c r="T185" s="26">
        <v>13810</v>
      </c>
      <c r="U185" s="26">
        <v>36577.19</v>
      </c>
      <c r="V185" s="26">
        <f t="shared" si="33"/>
        <v>38.71</v>
      </c>
      <c r="W185" s="128">
        <f t="shared" si="34"/>
        <v>14363</v>
      </c>
      <c r="X185" s="127">
        <f t="shared" si="35"/>
        <v>28173</v>
      </c>
      <c r="Y185" s="127">
        <f t="shared" si="36"/>
        <v>555991.7300000001</v>
      </c>
      <c r="Z185" s="127">
        <f t="shared" si="27"/>
        <v>1090576.83</v>
      </c>
      <c r="AA185" s="33" t="s">
        <v>15</v>
      </c>
      <c r="AB185" s="36" t="s">
        <v>16</v>
      </c>
      <c r="AC185" s="181">
        <f t="shared" si="28"/>
        <v>36577.19</v>
      </c>
      <c r="AD185" s="181">
        <f t="shared" si="37"/>
        <v>1415903.02</v>
      </c>
      <c r="AE185" s="181">
        <v>1.4</v>
      </c>
      <c r="AF185" s="181">
        <v>1.4</v>
      </c>
      <c r="AG185" s="101" t="str">
        <f t="shared" si="29"/>
        <v>超估</v>
      </c>
      <c r="AH185" s="191">
        <f>13810+14363</f>
        <v>28173</v>
      </c>
      <c r="AI185" s="69">
        <f t="shared" si="30"/>
        <v>13810</v>
      </c>
    </row>
    <row r="186" spans="1:35" s="69" customFormat="1" ht="33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203"/>
      <c r="F186" s="203">
        <v>754.47</v>
      </c>
      <c r="G186" s="203"/>
      <c r="H186" s="203">
        <v>762.55</v>
      </c>
      <c r="I186" s="75">
        <v>2510.79</v>
      </c>
      <c r="J186" s="75">
        <v>1914602.91</v>
      </c>
      <c r="K186" s="91" t="s">
        <v>501</v>
      </c>
      <c r="L186" s="73"/>
      <c r="M186" s="46">
        <v>754.3</v>
      </c>
      <c r="N186" s="46">
        <v>0</v>
      </c>
      <c r="O186" s="46">
        <v>1893888.9</v>
      </c>
      <c r="P186" s="98"/>
      <c r="Q186" s="23" t="s">
        <v>1387</v>
      </c>
      <c r="R186" s="24" t="s">
        <v>500</v>
      </c>
      <c r="S186" s="25" t="s">
        <v>50</v>
      </c>
      <c r="T186" s="26">
        <v>699</v>
      </c>
      <c r="U186" s="26">
        <v>762.55</v>
      </c>
      <c r="V186" s="26">
        <f t="shared" si="33"/>
        <v>2510.79</v>
      </c>
      <c r="W186" s="128">
        <f t="shared" si="34"/>
        <v>0</v>
      </c>
      <c r="X186" s="127">
        <f t="shared" si="35"/>
        <v>754.3</v>
      </c>
      <c r="Y186" s="127">
        <f t="shared" si="36"/>
        <v>0</v>
      </c>
      <c r="Z186" s="127">
        <f t="shared" si="27"/>
        <v>1893888.9</v>
      </c>
      <c r="AA186" s="27"/>
      <c r="AB186" s="36" t="s">
        <v>16</v>
      </c>
      <c r="AC186" s="181">
        <f t="shared" si="28"/>
        <v>762.55</v>
      </c>
      <c r="AD186" s="181">
        <f t="shared" si="37"/>
        <v>1914602.91</v>
      </c>
      <c r="AE186" s="181">
        <v>1.4</v>
      </c>
      <c r="AF186" s="181">
        <v>1.4</v>
      </c>
      <c r="AG186" s="101" t="str">
        <f t="shared" si="29"/>
        <v/>
      </c>
      <c r="AH186" s="191">
        <f>664.5+89.8</f>
        <v>754.3</v>
      </c>
      <c r="AI186" s="69">
        <f t="shared" si="30"/>
        <v>754.47</v>
      </c>
    </row>
    <row r="187" spans="1:35" s="69" customFormat="1" ht="39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203"/>
      <c r="F187" s="203"/>
      <c r="G187" s="203"/>
      <c r="H187" s="203">
        <v>318.56</v>
      </c>
      <c r="I187" s="75">
        <v>3298.06</v>
      </c>
      <c r="J187" s="75">
        <v>1050629.99</v>
      </c>
      <c r="K187" s="91" t="s">
        <v>504</v>
      </c>
      <c r="L187" s="73"/>
      <c r="M187" s="46">
        <v>275</v>
      </c>
      <c r="N187" s="46">
        <v>0</v>
      </c>
      <c r="O187" s="46">
        <v>906966.5</v>
      </c>
      <c r="P187" s="98"/>
      <c r="Q187" s="23" t="s">
        <v>1405</v>
      </c>
      <c r="R187" s="24" t="s">
        <v>503</v>
      </c>
      <c r="S187" s="25" t="s">
        <v>103</v>
      </c>
      <c r="T187" s="26">
        <v>275</v>
      </c>
      <c r="U187" s="26">
        <v>318.56</v>
      </c>
      <c r="V187" s="26">
        <f t="shared" si="33"/>
        <v>3298.06</v>
      </c>
      <c r="W187" s="128">
        <f t="shared" si="34"/>
        <v>29.600000000000023</v>
      </c>
      <c r="X187" s="127">
        <f t="shared" si="35"/>
        <v>304.60000000000002</v>
      </c>
      <c r="Y187" s="127">
        <f t="shared" si="36"/>
        <v>97622.579999999958</v>
      </c>
      <c r="Z187" s="127">
        <f t="shared" si="27"/>
        <v>1004589.08</v>
      </c>
      <c r="AA187" s="33"/>
      <c r="AB187" s="36" t="s">
        <v>16</v>
      </c>
      <c r="AC187" s="181">
        <f t="shared" si="28"/>
        <v>318.56</v>
      </c>
      <c r="AD187" s="181">
        <f t="shared" si="37"/>
        <v>1050629.99</v>
      </c>
      <c r="AE187" s="181">
        <v>1.4</v>
      </c>
      <c r="AF187" s="181">
        <v>1.4</v>
      </c>
      <c r="AG187" s="101" t="str">
        <f t="shared" si="29"/>
        <v>超估</v>
      </c>
      <c r="AH187" s="191">
        <f>275+29.6</f>
        <v>304.60000000000002</v>
      </c>
      <c r="AI187" s="69">
        <f t="shared" si="30"/>
        <v>275</v>
      </c>
    </row>
    <row r="188" spans="1:35" s="69" customFormat="1" ht="39" x14ac:dyDescent="0.3">
      <c r="A188" s="130" t="s">
        <v>505</v>
      </c>
      <c r="B188" s="131" t="s">
        <v>506</v>
      </c>
      <c r="C188" s="132" t="s">
        <v>50</v>
      </c>
      <c r="D188" s="133">
        <v>203</v>
      </c>
      <c r="E188" s="75"/>
      <c r="F188" s="75"/>
      <c r="G188" s="75"/>
      <c r="H188" s="75">
        <v>418.05</v>
      </c>
      <c r="I188" s="75">
        <v>2952.19</v>
      </c>
      <c r="J188" s="75">
        <v>1234163.03</v>
      </c>
      <c r="K188" s="91" t="s">
        <v>507</v>
      </c>
      <c r="L188" s="73"/>
      <c r="M188" s="46">
        <v>203</v>
      </c>
      <c r="N188" s="46">
        <v>0</v>
      </c>
      <c r="O188" s="46">
        <v>599294.56999999995</v>
      </c>
      <c r="P188" s="98"/>
      <c r="Q188" s="23" t="s">
        <v>1406</v>
      </c>
      <c r="R188" s="24" t="s">
        <v>506</v>
      </c>
      <c r="S188" s="25" t="s">
        <v>50</v>
      </c>
      <c r="T188" s="26">
        <v>203</v>
      </c>
      <c r="U188" s="26">
        <v>418.05</v>
      </c>
      <c r="V188" s="26">
        <f t="shared" si="33"/>
        <v>2952.19</v>
      </c>
      <c r="W188" s="128">
        <f t="shared" si="34"/>
        <v>189.5</v>
      </c>
      <c r="X188" s="127">
        <f t="shared" si="35"/>
        <v>392.5</v>
      </c>
      <c r="Y188" s="127">
        <f t="shared" si="36"/>
        <v>559440.01000000013</v>
      </c>
      <c r="Z188" s="127">
        <f t="shared" si="27"/>
        <v>1158734.58</v>
      </c>
      <c r="AA188" s="33" t="s">
        <v>15</v>
      </c>
      <c r="AB188" s="36" t="s">
        <v>16</v>
      </c>
      <c r="AC188" s="181">
        <f t="shared" si="28"/>
        <v>418.05</v>
      </c>
      <c r="AD188" s="181">
        <f t="shared" si="37"/>
        <v>1234163.03</v>
      </c>
      <c r="AE188" s="181">
        <v>1.4</v>
      </c>
      <c r="AF188" s="181">
        <v>1.4</v>
      </c>
      <c r="AG188" s="101" t="str">
        <f t="shared" si="29"/>
        <v>超估</v>
      </c>
      <c r="AH188" s="191">
        <f>129.8+73.2+189.5</f>
        <v>392.5</v>
      </c>
      <c r="AI188" s="69">
        <f t="shared" si="30"/>
        <v>203</v>
      </c>
    </row>
    <row r="189" spans="1:35" s="69" customFormat="1" ht="33" x14ac:dyDescent="0.3">
      <c r="A189" s="130" t="s">
        <v>508</v>
      </c>
      <c r="B189" s="131" t="s">
        <v>509</v>
      </c>
      <c r="C189" s="132" t="s">
        <v>50</v>
      </c>
      <c r="D189" s="133">
        <v>405</v>
      </c>
      <c r="E189" s="75"/>
      <c r="F189" s="75"/>
      <c r="G189" s="75"/>
      <c r="H189" s="75" t="s">
        <v>15</v>
      </c>
      <c r="I189" s="75">
        <v>1454.57</v>
      </c>
      <c r="J189" s="75">
        <v>589100.85</v>
      </c>
      <c r="K189" s="91" t="s">
        <v>510</v>
      </c>
      <c r="L189" s="73"/>
      <c r="M189" s="46">
        <v>405</v>
      </c>
      <c r="N189" s="46">
        <v>0</v>
      </c>
      <c r="O189" s="46">
        <v>589100.85</v>
      </c>
      <c r="P189" s="98"/>
      <c r="Q189" s="23" t="s">
        <v>1414</v>
      </c>
      <c r="R189" s="24" t="s">
        <v>509</v>
      </c>
      <c r="S189" s="25" t="s">
        <v>50</v>
      </c>
      <c r="T189" s="26">
        <v>405</v>
      </c>
      <c r="U189" s="26">
        <v>405</v>
      </c>
      <c r="V189" s="26">
        <f t="shared" si="33"/>
        <v>1454.57</v>
      </c>
      <c r="W189" s="127">
        <f t="shared" si="34"/>
        <v>0</v>
      </c>
      <c r="X189" s="127">
        <f t="shared" si="35"/>
        <v>405</v>
      </c>
      <c r="Y189" s="127">
        <f t="shared" si="36"/>
        <v>0</v>
      </c>
      <c r="Z189" s="127">
        <f t="shared" si="27"/>
        <v>589100.85</v>
      </c>
      <c r="AA189" s="33" t="s">
        <v>15</v>
      </c>
      <c r="AB189" s="36" t="s">
        <v>16</v>
      </c>
      <c r="AC189" s="181">
        <f t="shared" si="28"/>
        <v>405</v>
      </c>
      <c r="AD189" s="181">
        <f t="shared" si="37"/>
        <v>589100.85</v>
      </c>
      <c r="AE189" s="181">
        <v>1.4</v>
      </c>
      <c r="AF189" s="181">
        <v>1.4</v>
      </c>
      <c r="AG189" s="101" t="str">
        <f t="shared" si="29"/>
        <v/>
      </c>
      <c r="AH189" s="194">
        <v>405</v>
      </c>
      <c r="AI189" s="69">
        <f t="shared" si="30"/>
        <v>405</v>
      </c>
    </row>
    <row r="190" spans="1:35" s="69" customFormat="1" ht="58.5" x14ac:dyDescent="0.3">
      <c r="A190" s="130" t="s">
        <v>511</v>
      </c>
      <c r="B190" s="131" t="s">
        <v>512</v>
      </c>
      <c r="C190" s="132" t="s">
        <v>513</v>
      </c>
      <c r="D190" s="133">
        <v>372</v>
      </c>
      <c r="E190" s="75"/>
      <c r="F190" s="75"/>
      <c r="G190" s="75"/>
      <c r="H190" s="75" t="s">
        <v>15</v>
      </c>
      <c r="I190" s="75">
        <v>435</v>
      </c>
      <c r="J190" s="75">
        <v>161820</v>
      </c>
      <c r="K190" s="91" t="s">
        <v>514</v>
      </c>
      <c r="L190" s="73"/>
      <c r="M190" s="46">
        <v>292</v>
      </c>
      <c r="N190" s="46">
        <v>0</v>
      </c>
      <c r="O190" s="46">
        <v>127020</v>
      </c>
      <c r="P190" s="98"/>
      <c r="Q190" s="23" t="s">
        <v>1429</v>
      </c>
      <c r="R190" s="24" t="s">
        <v>512</v>
      </c>
      <c r="S190" s="25" t="s">
        <v>513</v>
      </c>
      <c r="T190" s="26">
        <v>372</v>
      </c>
      <c r="U190" s="26">
        <v>372</v>
      </c>
      <c r="V190" s="26">
        <f t="shared" si="33"/>
        <v>435</v>
      </c>
      <c r="W190" s="127">
        <f t="shared" si="34"/>
        <v>0</v>
      </c>
      <c r="X190" s="127">
        <f t="shared" si="35"/>
        <v>292</v>
      </c>
      <c r="Y190" s="127">
        <f t="shared" si="36"/>
        <v>0</v>
      </c>
      <c r="Z190" s="127">
        <f t="shared" si="27"/>
        <v>127020</v>
      </c>
      <c r="AA190" s="33" t="s">
        <v>15</v>
      </c>
      <c r="AB190" s="36" t="s">
        <v>16</v>
      </c>
      <c r="AC190" s="181">
        <f t="shared" si="28"/>
        <v>372</v>
      </c>
      <c r="AD190" s="181">
        <f t="shared" si="37"/>
        <v>161820</v>
      </c>
      <c r="AE190" s="181">
        <v>1.4</v>
      </c>
      <c r="AF190" s="181">
        <v>1.4</v>
      </c>
      <c r="AG190" s="101" t="str">
        <f t="shared" si="29"/>
        <v/>
      </c>
      <c r="AH190" s="194">
        <f>210+82</f>
        <v>292</v>
      </c>
      <c r="AI190" s="69">
        <f t="shared" si="30"/>
        <v>372</v>
      </c>
    </row>
    <row r="191" spans="1:35" s="69" customFormat="1" ht="33" x14ac:dyDescent="0.3">
      <c r="A191" s="130" t="s">
        <v>515</v>
      </c>
      <c r="B191" s="131" t="s">
        <v>516</v>
      </c>
      <c r="C191" s="132" t="s">
        <v>50</v>
      </c>
      <c r="D191" s="133">
        <v>1984</v>
      </c>
      <c r="E191" s="75"/>
      <c r="F191" s="75"/>
      <c r="G191" s="75"/>
      <c r="H191" s="75" t="s">
        <v>15</v>
      </c>
      <c r="I191" s="75">
        <v>885.8</v>
      </c>
      <c r="J191" s="75">
        <v>1757427.2</v>
      </c>
      <c r="K191" s="91" t="s">
        <v>517</v>
      </c>
      <c r="L191" s="73"/>
      <c r="M191" s="46">
        <v>1796.5</v>
      </c>
      <c r="N191" s="46">
        <v>0</v>
      </c>
      <c r="O191" s="46">
        <v>1591339.7</v>
      </c>
      <c r="P191" s="98"/>
      <c r="Q191" s="23" t="s">
        <v>1430</v>
      </c>
      <c r="R191" s="24" t="s">
        <v>516</v>
      </c>
      <c r="S191" s="25" t="s">
        <v>50</v>
      </c>
      <c r="T191" s="26">
        <v>1984</v>
      </c>
      <c r="U191" s="26">
        <v>1984</v>
      </c>
      <c r="V191" s="26">
        <f t="shared" si="33"/>
        <v>885.8</v>
      </c>
      <c r="W191" s="127">
        <f t="shared" si="34"/>
        <v>0</v>
      </c>
      <c r="X191" s="127">
        <f t="shared" si="35"/>
        <v>1796.5</v>
      </c>
      <c r="Y191" s="127">
        <f t="shared" si="36"/>
        <v>0</v>
      </c>
      <c r="Z191" s="127">
        <f t="shared" si="27"/>
        <v>1591339.7</v>
      </c>
      <c r="AA191" s="33" t="s">
        <v>15</v>
      </c>
      <c r="AB191" s="36" t="s">
        <v>16</v>
      </c>
      <c r="AC191" s="181">
        <f t="shared" si="28"/>
        <v>1984</v>
      </c>
      <c r="AD191" s="181">
        <f t="shared" si="37"/>
        <v>1757427.2</v>
      </c>
      <c r="AE191" s="181">
        <v>1.4</v>
      </c>
      <c r="AF191" s="181">
        <v>1.4</v>
      </c>
      <c r="AG191" s="101" t="str">
        <f t="shared" si="29"/>
        <v/>
      </c>
      <c r="AH191" s="190">
        <v>1796.5</v>
      </c>
      <c r="AI191" s="69">
        <f t="shared" si="30"/>
        <v>1984</v>
      </c>
    </row>
    <row r="192" spans="1:35" s="69" customFormat="1" ht="33" x14ac:dyDescent="0.3">
      <c r="A192" s="130" t="s">
        <v>518</v>
      </c>
      <c r="B192" s="131" t="s">
        <v>189</v>
      </c>
      <c r="C192" s="132" t="s">
        <v>30</v>
      </c>
      <c r="D192" s="133">
        <v>45</v>
      </c>
      <c r="E192" s="75"/>
      <c r="F192" s="75"/>
      <c r="G192" s="75"/>
      <c r="H192" s="75" t="s">
        <v>15</v>
      </c>
      <c r="I192" s="75">
        <v>138.84</v>
      </c>
      <c r="J192" s="75">
        <v>6247.8</v>
      </c>
      <c r="K192" s="91" t="s">
        <v>190</v>
      </c>
      <c r="L192" s="73"/>
      <c r="M192" s="46">
        <v>36.96</v>
      </c>
      <c r="N192" s="46">
        <v>0</v>
      </c>
      <c r="O192" s="46">
        <v>5131.53</v>
      </c>
      <c r="P192" s="98"/>
      <c r="Q192" s="23" t="s">
        <v>1431</v>
      </c>
      <c r="R192" s="24" t="s">
        <v>189</v>
      </c>
      <c r="S192" s="25" t="s">
        <v>30</v>
      </c>
      <c r="T192" s="26">
        <v>45</v>
      </c>
      <c r="U192" s="26">
        <v>45</v>
      </c>
      <c r="V192" s="26">
        <f t="shared" si="33"/>
        <v>138.84</v>
      </c>
      <c r="W192" s="127">
        <f t="shared" si="34"/>
        <v>0</v>
      </c>
      <c r="X192" s="127">
        <f t="shared" si="35"/>
        <v>36.96</v>
      </c>
      <c r="Y192" s="127">
        <f t="shared" si="36"/>
        <v>0</v>
      </c>
      <c r="Z192" s="127">
        <f t="shared" si="27"/>
        <v>5131.53</v>
      </c>
      <c r="AA192" s="33" t="s">
        <v>15</v>
      </c>
      <c r="AB192" s="36" t="s">
        <v>16</v>
      </c>
      <c r="AC192" s="181">
        <f t="shared" si="28"/>
        <v>45</v>
      </c>
      <c r="AD192" s="181">
        <f t="shared" si="37"/>
        <v>6247.8</v>
      </c>
      <c r="AE192" s="181">
        <v>1.4</v>
      </c>
      <c r="AF192" s="181">
        <v>1.4</v>
      </c>
      <c r="AG192" s="101" t="str">
        <f t="shared" si="29"/>
        <v/>
      </c>
      <c r="AH192" s="194">
        <f>24.96+12</f>
        <v>36.96</v>
      </c>
      <c r="AI192" s="69">
        <f t="shared" si="30"/>
        <v>45</v>
      </c>
    </row>
    <row r="193" spans="1:38" s="69" customFormat="1" ht="33" x14ac:dyDescent="0.3">
      <c r="A193" s="130" t="s">
        <v>519</v>
      </c>
      <c r="B193" s="131" t="s">
        <v>520</v>
      </c>
      <c r="C193" s="132" t="s">
        <v>30</v>
      </c>
      <c r="D193" s="133">
        <v>62</v>
      </c>
      <c r="E193" s="75"/>
      <c r="F193" s="75"/>
      <c r="G193" s="75"/>
      <c r="H193" s="76" t="s">
        <v>15</v>
      </c>
      <c r="I193" s="75">
        <v>326.3</v>
      </c>
      <c r="J193" s="75">
        <v>20230.599999999999</v>
      </c>
      <c r="K193" s="91" t="s">
        <v>521</v>
      </c>
      <c r="L193" s="73"/>
      <c r="M193" s="46">
        <v>59</v>
      </c>
      <c r="N193" s="46">
        <v>0</v>
      </c>
      <c r="O193" s="46">
        <v>19251.7</v>
      </c>
      <c r="P193" s="98"/>
      <c r="Q193" s="23" t="s">
        <v>1395</v>
      </c>
      <c r="R193" s="24" t="s">
        <v>520</v>
      </c>
      <c r="S193" s="25" t="s">
        <v>30</v>
      </c>
      <c r="T193" s="26">
        <v>62</v>
      </c>
      <c r="U193" s="26">
        <v>62</v>
      </c>
      <c r="V193" s="26">
        <f t="shared" si="33"/>
        <v>326.3</v>
      </c>
      <c r="W193" s="127">
        <f t="shared" si="34"/>
        <v>0</v>
      </c>
      <c r="X193" s="127">
        <f t="shared" si="35"/>
        <v>59</v>
      </c>
      <c r="Y193" s="127">
        <f t="shared" si="36"/>
        <v>0</v>
      </c>
      <c r="Z193" s="127">
        <f t="shared" si="27"/>
        <v>19251.7</v>
      </c>
      <c r="AA193" s="33" t="s">
        <v>15</v>
      </c>
      <c r="AB193" s="36" t="s">
        <v>16</v>
      </c>
      <c r="AC193" s="181">
        <f t="shared" si="28"/>
        <v>62</v>
      </c>
      <c r="AD193" s="181">
        <f t="shared" si="37"/>
        <v>20230.599999999999</v>
      </c>
      <c r="AE193" s="181">
        <v>1.4</v>
      </c>
      <c r="AF193" s="181">
        <v>1.4</v>
      </c>
      <c r="AG193" s="101" t="str">
        <f t="shared" si="29"/>
        <v/>
      </c>
      <c r="AH193" s="194">
        <f>59</f>
        <v>59</v>
      </c>
      <c r="AI193" s="69">
        <f t="shared" si="30"/>
        <v>62</v>
      </c>
    </row>
    <row r="194" spans="1:38" s="69" customFormat="1" ht="39" x14ac:dyDescent="0.3">
      <c r="A194" s="130" t="s">
        <v>522</v>
      </c>
      <c r="B194" s="131" t="s">
        <v>424</v>
      </c>
      <c r="C194" s="132" t="s">
        <v>50</v>
      </c>
      <c r="D194" s="133">
        <v>275</v>
      </c>
      <c r="E194" s="75"/>
      <c r="F194" s="75"/>
      <c r="G194" s="161"/>
      <c r="H194" s="158">
        <v>2016.9</v>
      </c>
      <c r="I194" s="166">
        <v>692.16</v>
      </c>
      <c r="J194" s="75">
        <v>1396017.5</v>
      </c>
      <c r="K194" s="91" t="s">
        <v>425</v>
      </c>
      <c r="L194" s="73"/>
      <c r="M194" s="46">
        <v>275</v>
      </c>
      <c r="N194" s="46">
        <v>0</v>
      </c>
      <c r="O194" s="46">
        <v>190344</v>
      </c>
      <c r="P194" s="98"/>
      <c r="Q194" s="23" t="s">
        <v>1432</v>
      </c>
      <c r="R194" s="24" t="s">
        <v>424</v>
      </c>
      <c r="S194" s="25" t="s">
        <v>50</v>
      </c>
      <c r="T194" s="26">
        <v>275</v>
      </c>
      <c r="U194" s="26">
        <v>2016.9</v>
      </c>
      <c r="V194" s="26">
        <f t="shared" si="33"/>
        <v>692.16</v>
      </c>
      <c r="W194" s="128">
        <f t="shared" si="34"/>
        <v>0</v>
      </c>
      <c r="X194" s="127">
        <f t="shared" si="35"/>
        <v>275</v>
      </c>
      <c r="Y194" s="127">
        <f t="shared" si="36"/>
        <v>0</v>
      </c>
      <c r="Z194" s="127">
        <f t="shared" si="27"/>
        <v>190344</v>
      </c>
      <c r="AA194" s="33" t="s">
        <v>15</v>
      </c>
      <c r="AB194" s="36" t="s">
        <v>16</v>
      </c>
      <c r="AC194" s="181">
        <f t="shared" si="28"/>
        <v>2016.9</v>
      </c>
      <c r="AD194" s="181">
        <f t="shared" si="37"/>
        <v>1396017.5</v>
      </c>
      <c r="AE194" s="181">
        <v>1.4</v>
      </c>
      <c r="AF194" s="181">
        <v>1.4</v>
      </c>
      <c r="AG194" s="101" t="str">
        <f t="shared" si="29"/>
        <v/>
      </c>
      <c r="AH194" s="191">
        <f>93.6+112+69.4</f>
        <v>275</v>
      </c>
      <c r="AI194" s="69">
        <f t="shared" si="30"/>
        <v>275</v>
      </c>
    </row>
    <row r="195" spans="1:38" s="69" customFormat="1" ht="41.25" x14ac:dyDescent="0.3">
      <c r="A195" s="130" t="s">
        <v>523</v>
      </c>
      <c r="B195" s="131" t="s">
        <v>524</v>
      </c>
      <c r="C195" s="132" t="s">
        <v>30</v>
      </c>
      <c r="D195" s="133">
        <v>429</v>
      </c>
      <c r="E195" s="75"/>
      <c r="F195" s="75"/>
      <c r="G195" s="161"/>
      <c r="H195" s="158" t="s">
        <v>15</v>
      </c>
      <c r="I195" s="166">
        <v>1707.13</v>
      </c>
      <c r="J195" s="75">
        <v>0</v>
      </c>
      <c r="K195" s="91" t="s">
        <v>525</v>
      </c>
      <c r="L195" s="73"/>
      <c r="M195" s="46">
        <v>0</v>
      </c>
      <c r="N195" s="46">
        <v>0</v>
      </c>
      <c r="O195" s="46">
        <v>0</v>
      </c>
      <c r="P195" s="98"/>
      <c r="Q195" s="23" t="s">
        <v>1433</v>
      </c>
      <c r="R195" s="24" t="s">
        <v>524</v>
      </c>
      <c r="S195" s="25" t="s">
        <v>30</v>
      </c>
      <c r="T195" s="26">
        <v>429</v>
      </c>
      <c r="U195" s="26">
        <v>0</v>
      </c>
      <c r="V195" s="26">
        <f t="shared" si="33"/>
        <v>1707.13</v>
      </c>
      <c r="W195" s="127">
        <f t="shared" si="34"/>
        <v>0</v>
      </c>
      <c r="X195" s="127">
        <f t="shared" si="35"/>
        <v>0</v>
      </c>
      <c r="Y195" s="127">
        <f t="shared" si="36"/>
        <v>0</v>
      </c>
      <c r="Z195" s="127">
        <f t="shared" si="27"/>
        <v>0</v>
      </c>
      <c r="AA195" s="33" t="s">
        <v>15</v>
      </c>
      <c r="AB195" s="36" t="s">
        <v>16</v>
      </c>
      <c r="AC195" s="181">
        <f t="shared" si="28"/>
        <v>0</v>
      </c>
      <c r="AD195" s="181">
        <f t="shared" si="37"/>
        <v>0</v>
      </c>
      <c r="AE195" s="181">
        <v>1.4</v>
      </c>
      <c r="AF195" s="181">
        <v>1.4</v>
      </c>
      <c r="AG195" s="101" t="str">
        <f t="shared" si="29"/>
        <v/>
      </c>
      <c r="AH195" s="190">
        <v>0</v>
      </c>
      <c r="AI195" s="69">
        <f t="shared" si="30"/>
        <v>429</v>
      </c>
    </row>
    <row r="196" spans="1:38" s="69" customFormat="1" ht="39" x14ac:dyDescent="0.3">
      <c r="A196" s="130" t="s">
        <v>526</v>
      </c>
      <c r="B196" s="131" t="s">
        <v>527</v>
      </c>
      <c r="C196" s="132" t="s">
        <v>34</v>
      </c>
      <c r="D196" s="133">
        <v>1597.5</v>
      </c>
      <c r="E196" s="75"/>
      <c r="F196" s="75"/>
      <c r="G196" s="161"/>
      <c r="H196" s="158">
        <v>2059.1999999999998</v>
      </c>
      <c r="I196" s="166">
        <v>49</v>
      </c>
      <c r="J196" s="75">
        <v>100900.8</v>
      </c>
      <c r="K196" s="91" t="s">
        <v>528</v>
      </c>
      <c r="L196" s="73"/>
      <c r="M196" s="46">
        <v>1530</v>
      </c>
      <c r="N196" s="46">
        <v>0</v>
      </c>
      <c r="O196" s="46">
        <v>74970</v>
      </c>
      <c r="P196" s="98"/>
      <c r="Q196" s="23" t="s">
        <v>1382</v>
      </c>
      <c r="R196" s="24" t="s">
        <v>527</v>
      </c>
      <c r="S196" s="25" t="s">
        <v>34</v>
      </c>
      <c r="T196" s="26">
        <v>1597.5</v>
      </c>
      <c r="U196" s="26">
        <v>2059.1999999999998</v>
      </c>
      <c r="V196" s="26">
        <f t="shared" si="33"/>
        <v>49</v>
      </c>
      <c r="W196" s="128">
        <f t="shared" si="34"/>
        <v>0</v>
      </c>
      <c r="X196" s="127">
        <f t="shared" si="35"/>
        <v>1530</v>
      </c>
      <c r="Y196" s="127">
        <f t="shared" si="36"/>
        <v>0</v>
      </c>
      <c r="Z196" s="127">
        <f t="shared" si="27"/>
        <v>74970</v>
      </c>
      <c r="AA196" s="33" t="s">
        <v>15</v>
      </c>
      <c r="AB196" s="36" t="s">
        <v>16</v>
      </c>
      <c r="AC196" s="181">
        <f t="shared" si="28"/>
        <v>2059.1999999999998</v>
      </c>
      <c r="AD196" s="181">
        <f t="shared" si="37"/>
        <v>100900.8</v>
      </c>
      <c r="AE196" s="181">
        <v>1.4</v>
      </c>
      <c r="AF196" s="181">
        <v>1.4</v>
      </c>
      <c r="AG196" s="101" t="str">
        <f t="shared" si="29"/>
        <v/>
      </c>
      <c r="AH196" s="191">
        <v>1530</v>
      </c>
      <c r="AI196" s="69">
        <f t="shared" si="30"/>
        <v>1597.5</v>
      </c>
    </row>
    <row r="197" spans="1:38" s="69" customFormat="1" ht="39" x14ac:dyDescent="0.3">
      <c r="A197" s="134" t="s">
        <v>1324</v>
      </c>
      <c r="B197" s="135" t="s">
        <v>1325</v>
      </c>
      <c r="C197" s="204" t="s">
        <v>23</v>
      </c>
      <c r="D197" s="216"/>
      <c r="E197" s="117">
        <v>1362.5</v>
      </c>
      <c r="F197" s="77"/>
      <c r="G197" s="226"/>
      <c r="H197" s="230" t="s">
        <v>15</v>
      </c>
      <c r="I197" s="178">
        <v>926.62</v>
      </c>
      <c r="J197" s="59">
        <v>1262519.75</v>
      </c>
      <c r="K197" s="92"/>
      <c r="L197" s="73"/>
      <c r="M197" s="46">
        <v>1345</v>
      </c>
      <c r="N197" s="46">
        <v>0</v>
      </c>
      <c r="O197" s="46">
        <v>1246303.8999999999</v>
      </c>
      <c r="P197" s="98"/>
      <c r="Q197" s="23" t="s">
        <v>1434</v>
      </c>
      <c r="R197" s="24" t="s">
        <v>1498</v>
      </c>
      <c r="S197" s="25" t="s">
        <v>23</v>
      </c>
      <c r="T197" s="26">
        <v>0</v>
      </c>
      <c r="U197" s="26">
        <v>1362.5</v>
      </c>
      <c r="V197" s="26">
        <f t="shared" si="33"/>
        <v>926.62</v>
      </c>
      <c r="W197" s="127">
        <f t="shared" si="34"/>
        <v>0</v>
      </c>
      <c r="X197" s="127">
        <f t="shared" si="35"/>
        <v>1345</v>
      </c>
      <c r="Y197" s="127">
        <f t="shared" si="36"/>
        <v>0</v>
      </c>
      <c r="Z197" s="127">
        <f t="shared" si="27"/>
        <v>1246303.8999999999</v>
      </c>
      <c r="AA197" s="27"/>
      <c r="AB197" s="36" t="s">
        <v>16</v>
      </c>
      <c r="AC197" s="181">
        <f t="shared" si="28"/>
        <v>1362.5</v>
      </c>
      <c r="AD197" s="181">
        <f t="shared" si="37"/>
        <v>1262519.75</v>
      </c>
      <c r="AE197" s="181">
        <v>1.4</v>
      </c>
      <c r="AF197" s="181">
        <v>1.4</v>
      </c>
      <c r="AG197" s="101" t="str">
        <f t="shared" si="29"/>
        <v/>
      </c>
      <c r="AH197" s="194">
        <f>525+820</f>
        <v>1345</v>
      </c>
      <c r="AI197" s="69">
        <f t="shared" si="30"/>
        <v>1362.5</v>
      </c>
    </row>
    <row r="198" spans="1:38" ht="39" x14ac:dyDescent="0.3">
      <c r="A198" s="134" t="s">
        <v>1326</v>
      </c>
      <c r="B198" s="135" t="s">
        <v>3136</v>
      </c>
      <c r="C198" s="204" t="s">
        <v>50</v>
      </c>
      <c r="D198" s="216"/>
      <c r="E198" s="78"/>
      <c r="F198" s="62">
        <v>548.70000000000005</v>
      </c>
      <c r="G198" s="163"/>
      <c r="H198" s="62">
        <v>805.73</v>
      </c>
      <c r="I198" s="167">
        <v>3120.78</v>
      </c>
      <c r="J198" s="62">
        <v>2514506.0699999998</v>
      </c>
      <c r="K198" s="93"/>
      <c r="M198" s="46">
        <v>548.70000000000005</v>
      </c>
      <c r="N198" s="46">
        <v>0</v>
      </c>
      <c r="O198" s="46">
        <v>1712371.99</v>
      </c>
      <c r="P198" s="98"/>
      <c r="Q198" s="23" t="s">
        <v>1388</v>
      </c>
      <c r="R198" s="24" t="s">
        <v>1327</v>
      </c>
      <c r="S198" s="25" t="s">
        <v>50</v>
      </c>
      <c r="T198" s="26">
        <v>0</v>
      </c>
      <c r="U198" s="26">
        <v>805.73</v>
      </c>
      <c r="V198" s="26">
        <f t="shared" si="33"/>
        <v>3120.78</v>
      </c>
      <c r="W198" s="128">
        <f t="shared" si="34"/>
        <v>123.60000000000002</v>
      </c>
      <c r="X198" s="127">
        <f t="shared" si="35"/>
        <v>672.30000000000007</v>
      </c>
      <c r="Y198" s="127">
        <f t="shared" si="36"/>
        <v>385728.40000000014</v>
      </c>
      <c r="Z198" s="127">
        <f>ROUND(V198*X198,2)</f>
        <v>2098100.39</v>
      </c>
      <c r="AA198" s="27"/>
      <c r="AB198" s="36" t="s">
        <v>16</v>
      </c>
      <c r="AC198" s="181">
        <f t="shared" si="28"/>
        <v>805.73</v>
      </c>
      <c r="AD198" s="181">
        <f t="shared" si="37"/>
        <v>2514506.0699999998</v>
      </c>
      <c r="AE198" s="181">
        <v>1.4</v>
      </c>
      <c r="AF198" s="181">
        <v>1.4</v>
      </c>
      <c r="AG198" s="101" t="str">
        <f t="shared" si="29"/>
        <v>超估</v>
      </c>
      <c r="AH198" s="191">
        <f>548.7+123.6</f>
        <v>672.30000000000007</v>
      </c>
      <c r="AI198" s="69">
        <f t="shared" si="30"/>
        <v>548.70000000000005</v>
      </c>
    </row>
    <row r="199" spans="1:38" ht="49.5" x14ac:dyDescent="0.3">
      <c r="A199" s="134" t="s">
        <v>1328</v>
      </c>
      <c r="B199" s="139" t="s">
        <v>1329</v>
      </c>
      <c r="C199" s="204" t="s">
        <v>30</v>
      </c>
      <c r="D199" s="216"/>
      <c r="E199" s="78"/>
      <c r="F199" s="62">
        <v>410</v>
      </c>
      <c r="G199" s="163"/>
      <c r="H199" s="62" t="s">
        <v>15</v>
      </c>
      <c r="I199" s="167">
        <v>5733.63</v>
      </c>
      <c r="J199" s="62">
        <v>2350788.2999999998</v>
      </c>
      <c r="K199" s="93"/>
      <c r="M199" s="46">
        <v>410</v>
      </c>
      <c r="N199" s="46">
        <v>0</v>
      </c>
      <c r="O199" s="46">
        <v>2350788.2999999998</v>
      </c>
      <c r="P199" s="98"/>
      <c r="Q199" s="23" t="s">
        <v>1389</v>
      </c>
      <c r="R199" s="24" t="s">
        <v>1329</v>
      </c>
      <c r="S199" s="25" t="s">
        <v>30</v>
      </c>
      <c r="T199" s="26">
        <v>0</v>
      </c>
      <c r="U199" s="26">
        <v>410</v>
      </c>
      <c r="V199" s="26">
        <f t="shared" si="33"/>
        <v>5733.63</v>
      </c>
      <c r="W199" s="127">
        <f t="shared" si="34"/>
        <v>0</v>
      </c>
      <c r="X199" s="127">
        <f t="shared" si="35"/>
        <v>410</v>
      </c>
      <c r="Y199" s="127">
        <f t="shared" si="36"/>
        <v>0</v>
      </c>
      <c r="Z199" s="127">
        <f t="shared" si="27"/>
        <v>2350788.2999999998</v>
      </c>
      <c r="AA199" s="27"/>
      <c r="AB199" s="36" t="s">
        <v>16</v>
      </c>
      <c r="AC199" s="181">
        <f t="shared" si="28"/>
        <v>410</v>
      </c>
      <c r="AD199" s="181">
        <f t="shared" si="37"/>
        <v>2350788.2999999998</v>
      </c>
      <c r="AE199" s="181">
        <v>1.4</v>
      </c>
      <c r="AF199" s="181">
        <v>1.4</v>
      </c>
      <c r="AG199" s="101" t="str">
        <f t="shared" si="29"/>
        <v/>
      </c>
      <c r="AH199" s="190">
        <v>410</v>
      </c>
      <c r="AI199" s="69">
        <f t="shared" si="30"/>
        <v>410</v>
      </c>
    </row>
    <row r="200" spans="1:38" ht="58.5" x14ac:dyDescent="0.3">
      <c r="A200" s="134" t="s">
        <v>1330</v>
      </c>
      <c r="B200" s="135" t="s">
        <v>3135</v>
      </c>
      <c r="C200" s="204" t="s">
        <v>23</v>
      </c>
      <c r="D200" s="216"/>
      <c r="E200" s="78"/>
      <c r="F200" s="62">
        <v>690</v>
      </c>
      <c r="G200" s="163"/>
      <c r="H200" s="62">
        <v>1526.83</v>
      </c>
      <c r="I200" s="167">
        <v>3832.97</v>
      </c>
      <c r="J200" s="62">
        <v>5852293.5899999999</v>
      </c>
      <c r="K200" s="93"/>
      <c r="M200" s="46">
        <v>682.16</v>
      </c>
      <c r="N200" s="46">
        <v>0</v>
      </c>
      <c r="O200" s="46">
        <v>2614698.8199999998</v>
      </c>
      <c r="P200" s="98"/>
      <c r="Q200" s="23" t="s">
        <v>1390</v>
      </c>
      <c r="R200" s="24" t="s">
        <v>1331</v>
      </c>
      <c r="S200" s="25" t="s">
        <v>23</v>
      </c>
      <c r="T200" s="26">
        <v>0</v>
      </c>
      <c r="U200" s="26">
        <v>1526.83</v>
      </c>
      <c r="V200" s="26">
        <f t="shared" si="33"/>
        <v>3832.97</v>
      </c>
      <c r="W200" s="128">
        <f t="shared" si="34"/>
        <v>787.49999999999989</v>
      </c>
      <c r="X200" s="127">
        <f t="shared" si="35"/>
        <v>1469.6599999999999</v>
      </c>
      <c r="Y200" s="127">
        <f t="shared" si="36"/>
        <v>3018463.8700000006</v>
      </c>
      <c r="Z200" s="127">
        <f t="shared" si="27"/>
        <v>5633162.6900000004</v>
      </c>
      <c r="AA200" s="27"/>
      <c r="AB200" s="36" t="s">
        <v>16</v>
      </c>
      <c r="AC200" s="181">
        <f t="shared" si="28"/>
        <v>1526.83</v>
      </c>
      <c r="AD200" s="181">
        <f t="shared" si="37"/>
        <v>5852293.5899999999</v>
      </c>
      <c r="AE200" s="181">
        <v>1.4</v>
      </c>
      <c r="AF200" s="181">
        <v>1.4</v>
      </c>
      <c r="AG200" s="101" t="str">
        <f t="shared" si="29"/>
        <v>超估</v>
      </c>
      <c r="AH200" s="191">
        <f>682.16+787.5</f>
        <v>1469.6599999999999</v>
      </c>
      <c r="AI200" s="69">
        <f t="shared" si="30"/>
        <v>690</v>
      </c>
    </row>
    <row r="201" spans="1:38" ht="33" x14ac:dyDescent="0.3">
      <c r="A201" s="134" t="s">
        <v>1332</v>
      </c>
      <c r="B201" s="135" t="s">
        <v>1333</v>
      </c>
      <c r="C201" s="204" t="s">
        <v>50</v>
      </c>
      <c r="D201" s="216"/>
      <c r="E201" s="78"/>
      <c r="F201" s="62">
        <v>48</v>
      </c>
      <c r="G201" s="163"/>
      <c r="H201" s="62" t="s">
        <v>15</v>
      </c>
      <c r="I201" s="167">
        <v>695.25</v>
      </c>
      <c r="J201" s="62">
        <v>33372</v>
      </c>
      <c r="K201" s="93"/>
      <c r="M201" s="46">
        <v>48</v>
      </c>
      <c r="N201" s="46">
        <v>0</v>
      </c>
      <c r="O201" s="46">
        <v>33372</v>
      </c>
      <c r="P201" s="98"/>
      <c r="Q201" s="23" t="s">
        <v>1391</v>
      </c>
      <c r="R201" s="24" t="s">
        <v>1333</v>
      </c>
      <c r="S201" s="25" t="s">
        <v>50</v>
      </c>
      <c r="T201" s="26">
        <v>0</v>
      </c>
      <c r="U201" s="26">
        <v>48</v>
      </c>
      <c r="V201" s="26">
        <f t="shared" si="33"/>
        <v>695.25</v>
      </c>
      <c r="W201" s="127">
        <f t="shared" si="34"/>
        <v>0</v>
      </c>
      <c r="X201" s="127">
        <f t="shared" si="35"/>
        <v>48</v>
      </c>
      <c r="Y201" s="127">
        <f t="shared" si="36"/>
        <v>0</v>
      </c>
      <c r="Z201" s="127">
        <f t="shared" si="27"/>
        <v>33372</v>
      </c>
      <c r="AA201" s="27"/>
      <c r="AB201" s="36" t="s">
        <v>16</v>
      </c>
      <c r="AC201" s="181">
        <f t="shared" si="28"/>
        <v>48</v>
      </c>
      <c r="AD201" s="181">
        <f t="shared" si="37"/>
        <v>33372</v>
      </c>
      <c r="AE201" s="181">
        <v>1.4</v>
      </c>
      <c r="AF201" s="181">
        <v>1.4</v>
      </c>
      <c r="AG201" s="101" t="str">
        <f t="shared" si="29"/>
        <v/>
      </c>
      <c r="AH201" s="190">
        <v>48</v>
      </c>
      <c r="AI201" s="69">
        <f t="shared" si="30"/>
        <v>48</v>
      </c>
    </row>
    <row r="202" spans="1:38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227"/>
      <c r="H202" s="231" t="s">
        <v>15</v>
      </c>
      <c r="I202" s="228"/>
      <c r="J202" s="82">
        <v>33543936.84</v>
      </c>
      <c r="K202" s="94" t="s">
        <v>15</v>
      </c>
      <c r="L202" s="73"/>
      <c r="M202" s="45">
        <v>1</v>
      </c>
      <c r="N202" s="45">
        <v>298320.96000000002</v>
      </c>
      <c r="O202" s="45">
        <v>26824919.049999997</v>
      </c>
      <c r="P202" s="98"/>
      <c r="Q202" s="18" t="s">
        <v>1392</v>
      </c>
      <c r="R202" s="19" t="s">
        <v>530</v>
      </c>
      <c r="S202" s="20" t="s">
        <v>14</v>
      </c>
      <c r="T202" s="21">
        <v>1</v>
      </c>
      <c r="U202" s="21"/>
      <c r="V202" s="21">
        <f>SUMIFS(AD:AD,AE:AE,AE202)</f>
        <v>33543936.840000004</v>
      </c>
      <c r="W202" s="21">
        <f t="shared" ref="W202:X202" si="38">IF(Y202=0,0,1)</f>
        <v>1</v>
      </c>
      <c r="X202" s="21">
        <f t="shared" si="38"/>
        <v>1</v>
      </c>
      <c r="Y202" s="21">
        <f>SUMIFS(Y:Y,AF:AF,AE202)</f>
        <v>1355182.1499999992</v>
      </c>
      <c r="Z202" s="21">
        <f>SUMIFS(Z:Z,AF:AF,AE202)</f>
        <v>28180101.199999996</v>
      </c>
      <c r="AA202" s="22" t="s">
        <v>15</v>
      </c>
      <c r="AB202" s="43" t="s">
        <v>16</v>
      </c>
      <c r="AC202" s="181">
        <f t="shared" si="28"/>
        <v>1</v>
      </c>
      <c r="AD202" s="181"/>
      <c r="AE202" s="184">
        <v>1.5</v>
      </c>
      <c r="AF202" s="184"/>
      <c r="AG202" s="101" t="str">
        <f t="shared" si="29"/>
        <v/>
      </c>
      <c r="AH202" s="190">
        <v>1</v>
      </c>
      <c r="AI202" s="69">
        <f t="shared" si="30"/>
        <v>1</v>
      </c>
    </row>
    <row r="203" spans="1:38" s="69" customFormat="1" ht="49.5" customHeight="1" x14ac:dyDescent="0.3">
      <c r="A203" s="130" t="s">
        <v>531</v>
      </c>
      <c r="B203" s="131" t="s">
        <v>392</v>
      </c>
      <c r="C203" s="132" t="s">
        <v>23</v>
      </c>
      <c r="D203" s="133">
        <v>250</v>
      </c>
      <c r="E203" s="75"/>
      <c r="F203" s="75"/>
      <c r="G203" s="75"/>
      <c r="H203" s="239">
        <v>11.7</v>
      </c>
      <c r="I203" s="75">
        <v>3115.13</v>
      </c>
      <c r="J203" s="75">
        <v>36447.019999999997</v>
      </c>
      <c r="K203" s="91" t="s">
        <v>114</v>
      </c>
      <c r="L203" s="73"/>
      <c r="M203" s="46">
        <v>11.7</v>
      </c>
      <c r="N203" s="46">
        <v>0</v>
      </c>
      <c r="O203" s="46">
        <v>36447.019999999997</v>
      </c>
      <c r="P203" s="98"/>
      <c r="Q203" s="23" t="s">
        <v>1421</v>
      </c>
      <c r="R203" s="24" t="s">
        <v>392</v>
      </c>
      <c r="S203" s="25" t="s">
        <v>23</v>
      </c>
      <c r="T203" s="26">
        <v>250</v>
      </c>
      <c r="U203" s="26">
        <v>11.7</v>
      </c>
      <c r="V203" s="26">
        <v>3115.13</v>
      </c>
      <c r="W203" s="127">
        <f t="shared" ref="W203:W219" si="39">AH203-M203</f>
        <v>0</v>
      </c>
      <c r="X203" s="127">
        <f t="shared" si="35"/>
        <v>11.7</v>
      </c>
      <c r="Y203" s="127">
        <f t="shared" ref="Y203:Y219" si="40">Z203-O203</f>
        <v>0</v>
      </c>
      <c r="Z203" s="127">
        <f t="shared" si="27"/>
        <v>36447.019999999997</v>
      </c>
      <c r="AA203" s="33" t="s">
        <v>15</v>
      </c>
      <c r="AB203" s="36" t="s">
        <v>16</v>
      </c>
      <c r="AC203" s="181">
        <f t="shared" ref="AC203:AC266" si="41">IF(U203="",T203,U203)</f>
        <v>11.7</v>
      </c>
      <c r="AD203" s="181">
        <f t="shared" si="37"/>
        <v>36447.019999999997</v>
      </c>
      <c r="AE203" s="181">
        <v>1.5</v>
      </c>
      <c r="AF203" s="181">
        <v>1.5</v>
      </c>
      <c r="AG203" s="101" t="str">
        <f t="shared" ref="AG203:AG266" si="42">IF(X203&gt;AI203,"超估","")</f>
        <v/>
      </c>
      <c r="AH203" s="190">
        <f>11.7</f>
        <v>11.7</v>
      </c>
      <c r="AI203" s="69">
        <f t="shared" ref="AI203:AI266" si="43">IF(G203=0,IF(F203=0,IF(E203=0,D203,E203),F203),G203)</f>
        <v>250</v>
      </c>
    </row>
    <row r="204" spans="1:38" s="69" customFormat="1" ht="49.5" customHeight="1" x14ac:dyDescent="0.3">
      <c r="A204" s="130" t="s">
        <v>532</v>
      </c>
      <c r="B204" s="131" t="s">
        <v>116</v>
      </c>
      <c r="C204" s="132" t="s">
        <v>23</v>
      </c>
      <c r="D204" s="133">
        <v>2474</v>
      </c>
      <c r="E204" s="75"/>
      <c r="F204" s="75"/>
      <c r="G204" s="75"/>
      <c r="H204" s="75">
        <v>2593.6999999999998</v>
      </c>
      <c r="I204" s="75">
        <v>3321.13</v>
      </c>
      <c r="J204" s="75">
        <v>8614014.8800000008</v>
      </c>
      <c r="K204" s="91" t="s">
        <v>117</v>
      </c>
      <c r="L204" s="73"/>
      <c r="M204" s="46">
        <v>2473.35</v>
      </c>
      <c r="N204" s="46">
        <v>0</v>
      </c>
      <c r="O204" s="46">
        <v>8214316.8899999997</v>
      </c>
      <c r="P204" s="98"/>
      <c r="Q204" s="23" t="s">
        <v>1426</v>
      </c>
      <c r="R204" s="24" t="s">
        <v>116</v>
      </c>
      <c r="S204" s="25" t="s">
        <v>23</v>
      </c>
      <c r="T204" s="26">
        <v>2474</v>
      </c>
      <c r="U204" s="26">
        <v>2593.6999999999998</v>
      </c>
      <c r="V204" s="26">
        <v>3321.13</v>
      </c>
      <c r="W204" s="127">
        <f t="shared" si="39"/>
        <v>0</v>
      </c>
      <c r="X204" s="127">
        <f t="shared" si="35"/>
        <v>2473.35</v>
      </c>
      <c r="Y204" s="127">
        <f t="shared" si="40"/>
        <v>0</v>
      </c>
      <c r="Z204" s="127">
        <f t="shared" ref="Z204:Z267" si="44">ROUND(V204*X204,2)</f>
        <v>8214316.8899999997</v>
      </c>
      <c r="AA204" s="33" t="s">
        <v>15</v>
      </c>
      <c r="AB204" s="36" t="s">
        <v>16</v>
      </c>
      <c r="AC204" s="181">
        <f t="shared" si="41"/>
        <v>2593.6999999999998</v>
      </c>
      <c r="AD204" s="181">
        <f t="shared" si="37"/>
        <v>8614014.8800000008</v>
      </c>
      <c r="AE204" s="181">
        <v>1.5</v>
      </c>
      <c r="AF204" s="181">
        <v>1.5</v>
      </c>
      <c r="AG204" s="101" t="str">
        <f t="shared" si="42"/>
        <v/>
      </c>
      <c r="AH204" s="194">
        <f>1233.35+582+658</f>
        <v>2473.35</v>
      </c>
      <c r="AI204" s="69">
        <f t="shared" si="43"/>
        <v>2474</v>
      </c>
      <c r="AL204" s="196">
        <v>2782.2855</v>
      </c>
    </row>
    <row r="205" spans="1:38" s="69" customFormat="1" ht="49.5" customHeight="1" x14ac:dyDescent="0.3">
      <c r="A205" s="130" t="s">
        <v>533</v>
      </c>
      <c r="B205" s="131" t="s">
        <v>534</v>
      </c>
      <c r="C205" s="132" t="s">
        <v>23</v>
      </c>
      <c r="D205" s="133">
        <v>1187</v>
      </c>
      <c r="E205" s="75"/>
      <c r="F205" s="75"/>
      <c r="G205" s="75"/>
      <c r="H205" s="75">
        <v>1256.1500000000001</v>
      </c>
      <c r="I205" s="75">
        <v>1749.25</v>
      </c>
      <c r="J205" s="75">
        <v>2197320.39</v>
      </c>
      <c r="K205" s="91" t="s">
        <v>535</v>
      </c>
      <c r="L205" s="73"/>
      <c r="M205" s="46">
        <v>1187</v>
      </c>
      <c r="N205" s="46">
        <v>0</v>
      </c>
      <c r="O205" s="46">
        <v>2076359.75</v>
      </c>
      <c r="P205" s="98"/>
      <c r="Q205" s="23" t="s">
        <v>1402</v>
      </c>
      <c r="R205" s="24" t="s">
        <v>534</v>
      </c>
      <c r="S205" s="25" t="s">
        <v>23</v>
      </c>
      <c r="T205" s="26">
        <v>1187</v>
      </c>
      <c r="U205" s="26">
        <v>1256.1500000000001</v>
      </c>
      <c r="V205" s="26">
        <v>1749.25</v>
      </c>
      <c r="W205" s="127">
        <f t="shared" si="39"/>
        <v>0</v>
      </c>
      <c r="X205" s="127">
        <f t="shared" si="35"/>
        <v>1187</v>
      </c>
      <c r="Y205" s="127">
        <f t="shared" si="40"/>
        <v>0</v>
      </c>
      <c r="Z205" s="127">
        <f t="shared" si="44"/>
        <v>2076359.75</v>
      </c>
      <c r="AA205" s="33" t="s">
        <v>15</v>
      </c>
      <c r="AB205" s="36" t="s">
        <v>16</v>
      </c>
      <c r="AC205" s="181">
        <f t="shared" si="41"/>
        <v>1256.1500000000001</v>
      </c>
      <c r="AD205" s="181">
        <f t="shared" si="37"/>
        <v>2197320.39</v>
      </c>
      <c r="AE205" s="181">
        <v>1.5</v>
      </c>
      <c r="AF205" s="181">
        <v>1.5</v>
      </c>
      <c r="AG205" s="101" t="str">
        <f t="shared" si="42"/>
        <v/>
      </c>
      <c r="AH205" s="194">
        <f>93+95+57+528+414</f>
        <v>1187</v>
      </c>
      <c r="AI205" s="69">
        <f t="shared" si="43"/>
        <v>1187</v>
      </c>
      <c r="AL205" s="195">
        <v>1161.5828000000001</v>
      </c>
    </row>
    <row r="206" spans="1:38" s="69" customFormat="1" ht="39" x14ac:dyDescent="0.3">
      <c r="A206" s="130" t="s">
        <v>536</v>
      </c>
      <c r="B206" s="131" t="s">
        <v>493</v>
      </c>
      <c r="C206" s="132" t="s">
        <v>23</v>
      </c>
      <c r="D206" s="133">
        <v>3911</v>
      </c>
      <c r="E206" s="75"/>
      <c r="F206" s="75"/>
      <c r="G206" s="75"/>
      <c r="H206" s="75" t="s">
        <v>15</v>
      </c>
      <c r="I206" s="75">
        <v>200</v>
      </c>
      <c r="J206" s="75">
        <v>782200</v>
      </c>
      <c r="K206" s="91" t="s">
        <v>494</v>
      </c>
      <c r="L206" s="73"/>
      <c r="M206" s="46">
        <v>3672.0499999999997</v>
      </c>
      <c r="N206" s="46">
        <v>0</v>
      </c>
      <c r="O206" s="46">
        <v>734410</v>
      </c>
      <c r="P206" s="98"/>
      <c r="Q206" s="23" t="s">
        <v>1373</v>
      </c>
      <c r="R206" s="24" t="s">
        <v>493</v>
      </c>
      <c r="S206" s="25" t="s">
        <v>23</v>
      </c>
      <c r="T206" s="26">
        <v>3911</v>
      </c>
      <c r="U206" s="26">
        <v>3911</v>
      </c>
      <c r="V206" s="26">
        <v>200</v>
      </c>
      <c r="W206" s="127">
        <f t="shared" si="39"/>
        <v>0</v>
      </c>
      <c r="X206" s="127">
        <f t="shared" si="35"/>
        <v>3672.0499999999997</v>
      </c>
      <c r="Y206" s="127">
        <f t="shared" si="40"/>
        <v>0</v>
      </c>
      <c r="Z206" s="127">
        <f t="shared" si="44"/>
        <v>734410</v>
      </c>
      <c r="AA206" s="33" t="s">
        <v>15</v>
      </c>
      <c r="AB206" s="36" t="s">
        <v>16</v>
      </c>
      <c r="AC206" s="181">
        <f t="shared" si="41"/>
        <v>3911</v>
      </c>
      <c r="AD206" s="181">
        <f t="shared" si="37"/>
        <v>782200</v>
      </c>
      <c r="AE206" s="181">
        <v>1.5</v>
      </c>
      <c r="AF206" s="181">
        <v>1.5</v>
      </c>
      <c r="AG206" s="101" t="str">
        <f t="shared" si="42"/>
        <v/>
      </c>
      <c r="AH206" s="194">
        <f>AH203+AH204+AH205</f>
        <v>3672.0499999999997</v>
      </c>
      <c r="AI206" s="69">
        <f t="shared" si="43"/>
        <v>3911</v>
      </c>
      <c r="AL206" s="198">
        <f>AL203+AL204+AL205</f>
        <v>3943.8683000000001</v>
      </c>
    </row>
    <row r="207" spans="1:38" s="69" customFormat="1" ht="57.75" x14ac:dyDescent="0.3">
      <c r="A207" s="130" t="s">
        <v>537</v>
      </c>
      <c r="B207" s="131" t="s">
        <v>405</v>
      </c>
      <c r="C207" s="132" t="s">
        <v>50</v>
      </c>
      <c r="D207" s="133">
        <v>3820</v>
      </c>
      <c r="E207" s="75"/>
      <c r="F207" s="75">
        <v>4730</v>
      </c>
      <c r="G207" s="75"/>
      <c r="H207" s="75">
        <v>5411.06</v>
      </c>
      <c r="I207" s="75">
        <v>982.98</v>
      </c>
      <c r="J207" s="75">
        <v>5318963.76</v>
      </c>
      <c r="K207" s="91" t="s">
        <v>406</v>
      </c>
      <c r="L207" s="73"/>
      <c r="M207" s="46">
        <v>4730</v>
      </c>
      <c r="N207" s="46">
        <v>0</v>
      </c>
      <c r="O207" s="46">
        <v>4649495.4000000004</v>
      </c>
      <c r="P207" s="98"/>
      <c r="Q207" s="23" t="s">
        <v>1393</v>
      </c>
      <c r="R207" s="24" t="s">
        <v>405</v>
      </c>
      <c r="S207" s="25" t="s">
        <v>50</v>
      </c>
      <c r="T207" s="26">
        <v>3820</v>
      </c>
      <c r="U207" s="26">
        <v>5411.06</v>
      </c>
      <c r="V207" s="26">
        <v>982.98</v>
      </c>
      <c r="W207" s="128">
        <f t="shared" si="39"/>
        <v>392</v>
      </c>
      <c r="X207" s="127">
        <f t="shared" si="35"/>
        <v>5122</v>
      </c>
      <c r="Y207" s="127">
        <f t="shared" si="40"/>
        <v>385328.15999999922</v>
      </c>
      <c r="Z207" s="127">
        <f t="shared" si="44"/>
        <v>5034823.5599999996</v>
      </c>
      <c r="AA207" s="27" t="s">
        <v>15</v>
      </c>
      <c r="AB207" s="36" t="s">
        <v>16</v>
      </c>
      <c r="AC207" s="181">
        <f t="shared" si="41"/>
        <v>5411.06</v>
      </c>
      <c r="AD207" s="181">
        <f t="shared" si="37"/>
        <v>5318963.76</v>
      </c>
      <c r="AE207" s="181">
        <v>1.5</v>
      </c>
      <c r="AF207" s="181">
        <v>1.5</v>
      </c>
      <c r="AG207" s="101" t="str">
        <f t="shared" si="42"/>
        <v>超估</v>
      </c>
      <c r="AH207" s="191">
        <f>3454.8+959+316.2+392</f>
        <v>5122</v>
      </c>
      <c r="AI207" s="69">
        <f t="shared" si="43"/>
        <v>4730</v>
      </c>
      <c r="AL207" s="195">
        <v>5411.06</v>
      </c>
    </row>
    <row r="208" spans="1:38" s="69" customFormat="1" ht="41.25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203"/>
      <c r="F208" s="203"/>
      <c r="G208" s="203"/>
      <c r="H208" s="203">
        <v>1811.33</v>
      </c>
      <c r="I208" s="75">
        <v>804.79</v>
      </c>
      <c r="J208" s="75">
        <v>1457740.27</v>
      </c>
      <c r="K208" s="91" t="s">
        <v>409</v>
      </c>
      <c r="L208" s="73"/>
      <c r="M208" s="46">
        <v>800</v>
      </c>
      <c r="N208" s="46">
        <v>0</v>
      </c>
      <c r="O208" s="46">
        <v>643832</v>
      </c>
      <c r="P208" s="98"/>
      <c r="Q208" s="23" t="s">
        <v>1403</v>
      </c>
      <c r="R208" s="24" t="s">
        <v>408</v>
      </c>
      <c r="S208" s="25" t="s">
        <v>50</v>
      </c>
      <c r="T208" s="26">
        <v>800</v>
      </c>
      <c r="U208" s="26">
        <v>1811.33</v>
      </c>
      <c r="V208" s="26">
        <v>804.79</v>
      </c>
      <c r="W208" s="128">
        <f t="shared" si="39"/>
        <v>792.59999999999991</v>
      </c>
      <c r="X208" s="127">
        <f t="shared" si="35"/>
        <v>1592.6</v>
      </c>
      <c r="Y208" s="127">
        <f t="shared" si="40"/>
        <v>637876.55000000005</v>
      </c>
      <c r="Z208" s="127">
        <f t="shared" si="44"/>
        <v>1281708.55</v>
      </c>
      <c r="AA208" s="33" t="s">
        <v>15</v>
      </c>
      <c r="AB208" s="36" t="s">
        <v>16</v>
      </c>
      <c r="AC208" s="181">
        <f t="shared" si="41"/>
        <v>1811.33</v>
      </c>
      <c r="AD208" s="181">
        <f t="shared" si="37"/>
        <v>1457740.27</v>
      </c>
      <c r="AE208" s="181">
        <v>1.5</v>
      </c>
      <c r="AF208" s="181">
        <v>1.5</v>
      </c>
      <c r="AG208" s="101" t="str">
        <f t="shared" si="42"/>
        <v>超估</v>
      </c>
      <c r="AH208" s="191">
        <f>800+792.6</f>
        <v>1592.6</v>
      </c>
      <c r="AI208" s="69">
        <f t="shared" si="43"/>
        <v>800</v>
      </c>
    </row>
    <row r="209" spans="1:35" s="69" customFormat="1" ht="41.25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203"/>
      <c r="F209" s="203"/>
      <c r="G209" s="203"/>
      <c r="H209" s="203">
        <v>1210.32</v>
      </c>
      <c r="I209" s="75">
        <v>533.64</v>
      </c>
      <c r="J209" s="75">
        <v>645875.16</v>
      </c>
      <c r="K209" s="91" t="s">
        <v>120</v>
      </c>
      <c r="L209" s="73"/>
      <c r="M209" s="46">
        <v>258</v>
      </c>
      <c r="N209" s="46">
        <v>0</v>
      </c>
      <c r="O209" s="46">
        <v>137679.12</v>
      </c>
      <c r="P209" s="98"/>
      <c r="Q209" s="23" t="s">
        <v>1427</v>
      </c>
      <c r="R209" s="24" t="s">
        <v>119</v>
      </c>
      <c r="S209" s="25" t="s">
        <v>50</v>
      </c>
      <c r="T209" s="26">
        <v>258</v>
      </c>
      <c r="U209" s="26">
        <v>1210.32</v>
      </c>
      <c r="V209" s="26">
        <v>533.64</v>
      </c>
      <c r="W209" s="128">
        <f t="shared" si="39"/>
        <v>622.1</v>
      </c>
      <c r="X209" s="127">
        <f t="shared" si="35"/>
        <v>880.1</v>
      </c>
      <c r="Y209" s="127">
        <f t="shared" si="40"/>
        <v>331977.44</v>
      </c>
      <c r="Z209" s="127">
        <f t="shared" si="44"/>
        <v>469656.56</v>
      </c>
      <c r="AA209" s="33" t="s">
        <v>15</v>
      </c>
      <c r="AB209" s="36" t="s">
        <v>16</v>
      </c>
      <c r="AC209" s="181">
        <f t="shared" si="41"/>
        <v>1210.32</v>
      </c>
      <c r="AD209" s="181">
        <f t="shared" si="37"/>
        <v>645875.16</v>
      </c>
      <c r="AE209" s="181">
        <v>1.5</v>
      </c>
      <c r="AF209" s="181">
        <v>1.5</v>
      </c>
      <c r="AG209" s="101" t="str">
        <f t="shared" si="42"/>
        <v>超估</v>
      </c>
      <c r="AH209" s="191">
        <f>258+622.1</f>
        <v>880.1</v>
      </c>
      <c r="AI209" s="69">
        <f t="shared" si="43"/>
        <v>258</v>
      </c>
    </row>
    <row r="210" spans="1:35" s="69" customFormat="1" ht="33" x14ac:dyDescent="0.3">
      <c r="A210" s="130" t="s">
        <v>540</v>
      </c>
      <c r="B210" s="131" t="s">
        <v>109</v>
      </c>
      <c r="C210" s="132" t="s">
        <v>110</v>
      </c>
      <c r="D210" s="133">
        <v>133401</v>
      </c>
      <c r="E210" s="203"/>
      <c r="F210" s="203"/>
      <c r="G210" s="203"/>
      <c r="H210" s="203">
        <v>153939.46</v>
      </c>
      <c r="I210" s="75">
        <v>36.4</v>
      </c>
      <c r="J210" s="75">
        <v>5603396.3399999999</v>
      </c>
      <c r="K210" s="91" t="s">
        <v>111</v>
      </c>
      <c r="L210" s="73"/>
      <c r="M210" s="46">
        <v>132794.91999999998</v>
      </c>
      <c r="N210" s="46">
        <v>0</v>
      </c>
      <c r="O210" s="46">
        <v>4833735.09</v>
      </c>
      <c r="P210" s="98"/>
      <c r="Q210" s="23" t="s">
        <v>1428</v>
      </c>
      <c r="R210" s="24" t="s">
        <v>109</v>
      </c>
      <c r="S210" s="25" t="s">
        <v>110</v>
      </c>
      <c r="T210" s="26">
        <v>133401</v>
      </c>
      <c r="U210" s="26">
        <v>153939.46</v>
      </c>
      <c r="V210" s="26">
        <v>36.4</v>
      </c>
      <c r="W210" s="128">
        <f t="shared" si="39"/>
        <v>0</v>
      </c>
      <c r="X210" s="127">
        <f t="shared" si="35"/>
        <v>132794.91999999998</v>
      </c>
      <c r="Y210" s="127">
        <f t="shared" si="40"/>
        <v>0</v>
      </c>
      <c r="Z210" s="127">
        <f t="shared" si="44"/>
        <v>4833735.09</v>
      </c>
      <c r="AA210" s="33" t="s">
        <v>15</v>
      </c>
      <c r="AB210" s="36" t="s">
        <v>16</v>
      </c>
      <c r="AC210" s="181">
        <f t="shared" si="41"/>
        <v>153939.46</v>
      </c>
      <c r="AD210" s="181">
        <f t="shared" si="37"/>
        <v>5603396.3399999999</v>
      </c>
      <c r="AE210" s="181">
        <v>1.5</v>
      </c>
      <c r="AF210" s="181">
        <v>1.5</v>
      </c>
      <c r="AG210" s="101" t="str">
        <f t="shared" si="42"/>
        <v/>
      </c>
      <c r="AH210" s="191">
        <f>46044.92+32000+13550+41200</f>
        <v>132794.91999999998</v>
      </c>
      <c r="AI210" s="69">
        <f t="shared" si="43"/>
        <v>133401</v>
      </c>
    </row>
    <row r="211" spans="1:35" s="69" customFormat="1" ht="33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203"/>
      <c r="F211" s="203"/>
      <c r="G211" s="203"/>
      <c r="H211" s="203">
        <v>185226.6</v>
      </c>
      <c r="I211" s="75">
        <v>38.71</v>
      </c>
      <c r="J211" s="75">
        <v>7170121.6900000004</v>
      </c>
      <c r="K211" s="91" t="s">
        <v>400</v>
      </c>
      <c r="L211" s="73"/>
      <c r="M211" s="46">
        <v>118802</v>
      </c>
      <c r="N211" s="46">
        <v>0</v>
      </c>
      <c r="O211" s="46">
        <v>4598825.42</v>
      </c>
      <c r="P211" s="98"/>
      <c r="Q211" s="23" t="s">
        <v>1387</v>
      </c>
      <c r="R211" s="24" t="s">
        <v>399</v>
      </c>
      <c r="S211" s="25" t="s">
        <v>110</v>
      </c>
      <c r="T211" s="26">
        <v>118802</v>
      </c>
      <c r="U211" s="26">
        <v>185226.6</v>
      </c>
      <c r="V211" s="26">
        <v>38.71</v>
      </c>
      <c r="W211" s="128">
        <f t="shared" si="39"/>
        <v>0</v>
      </c>
      <c r="X211" s="127">
        <f t="shared" si="35"/>
        <v>118802</v>
      </c>
      <c r="Y211" s="127">
        <f t="shared" si="40"/>
        <v>0</v>
      </c>
      <c r="Z211" s="127">
        <f t="shared" si="44"/>
        <v>4598825.42</v>
      </c>
      <c r="AA211" s="33" t="s">
        <v>15</v>
      </c>
      <c r="AB211" s="36" t="s">
        <v>16</v>
      </c>
      <c r="AC211" s="181">
        <f t="shared" si="41"/>
        <v>185226.6</v>
      </c>
      <c r="AD211" s="181">
        <f t="shared" si="37"/>
        <v>7170121.6900000004</v>
      </c>
      <c r="AE211" s="181">
        <v>1.5</v>
      </c>
      <c r="AF211" s="181">
        <v>1.5</v>
      </c>
      <c r="AG211" s="101" t="str">
        <f t="shared" si="42"/>
        <v/>
      </c>
      <c r="AH211" s="191">
        <f>41802+77000</f>
        <v>118802</v>
      </c>
      <c r="AI211" s="69">
        <f t="shared" si="43"/>
        <v>118802</v>
      </c>
    </row>
    <row r="212" spans="1:35" s="69" customFormat="1" ht="58.5" x14ac:dyDescent="0.3">
      <c r="A212" s="55" t="s">
        <v>542</v>
      </c>
      <c r="B212" s="53" t="s">
        <v>543</v>
      </c>
      <c r="C212" s="54" t="s">
        <v>30</v>
      </c>
      <c r="D212" s="75">
        <v>129</v>
      </c>
      <c r="E212" s="75"/>
      <c r="F212" s="75"/>
      <c r="G212" s="75"/>
      <c r="H212" s="75" t="s">
        <v>15</v>
      </c>
      <c r="I212" s="75">
        <v>2865.95</v>
      </c>
      <c r="J212" s="75">
        <v>369707.55</v>
      </c>
      <c r="K212" s="91" t="s">
        <v>544</v>
      </c>
      <c r="L212" s="73"/>
      <c r="M212" s="46">
        <v>0</v>
      </c>
      <c r="N212" s="46">
        <v>0</v>
      </c>
      <c r="O212" s="46">
        <v>0</v>
      </c>
      <c r="P212" s="98"/>
      <c r="Q212" s="23" t="s">
        <v>1405</v>
      </c>
      <c r="R212" s="24" t="s">
        <v>543</v>
      </c>
      <c r="S212" s="25" t="s">
        <v>30</v>
      </c>
      <c r="T212" s="26">
        <v>129</v>
      </c>
      <c r="U212" s="26">
        <v>129</v>
      </c>
      <c r="V212" s="26">
        <v>2865.95</v>
      </c>
      <c r="W212" s="26">
        <f t="shared" si="39"/>
        <v>0</v>
      </c>
      <c r="X212" s="26">
        <f t="shared" si="35"/>
        <v>0</v>
      </c>
      <c r="Y212" s="26">
        <f t="shared" si="40"/>
        <v>0</v>
      </c>
      <c r="Z212" s="26">
        <f t="shared" si="44"/>
        <v>0</v>
      </c>
      <c r="AA212" s="33" t="s">
        <v>15</v>
      </c>
      <c r="AB212" s="36" t="s">
        <v>16</v>
      </c>
      <c r="AC212" s="181">
        <f t="shared" si="41"/>
        <v>129</v>
      </c>
      <c r="AD212" s="181">
        <f t="shared" si="37"/>
        <v>369707.55</v>
      </c>
      <c r="AE212" s="181">
        <v>1.5</v>
      </c>
      <c r="AF212" s="181">
        <v>1.5</v>
      </c>
      <c r="AG212" s="101" t="str">
        <f t="shared" si="42"/>
        <v/>
      </c>
      <c r="AH212" s="190">
        <v>0</v>
      </c>
      <c r="AI212" s="69">
        <f t="shared" si="43"/>
        <v>129</v>
      </c>
    </row>
    <row r="213" spans="1:35" s="69" customFormat="1" ht="58.5" x14ac:dyDescent="0.3">
      <c r="A213" s="55" t="s">
        <v>545</v>
      </c>
      <c r="B213" s="53" t="s">
        <v>546</v>
      </c>
      <c r="C213" s="54" t="s">
        <v>81</v>
      </c>
      <c r="D213" s="75">
        <v>54</v>
      </c>
      <c r="E213" s="75"/>
      <c r="F213" s="75"/>
      <c r="G213" s="75"/>
      <c r="H213" s="75" t="s">
        <v>15</v>
      </c>
      <c r="I213" s="75">
        <v>1478.05</v>
      </c>
      <c r="J213" s="75">
        <v>79814.7</v>
      </c>
      <c r="K213" s="91" t="s">
        <v>547</v>
      </c>
      <c r="L213" s="73"/>
      <c r="M213" s="46">
        <v>0</v>
      </c>
      <c r="N213" s="46">
        <v>0</v>
      </c>
      <c r="O213" s="46">
        <v>0</v>
      </c>
      <c r="P213" s="98"/>
      <c r="Q213" s="23" t="s">
        <v>1406</v>
      </c>
      <c r="R213" s="24" t="s">
        <v>546</v>
      </c>
      <c r="S213" s="25" t="s">
        <v>81</v>
      </c>
      <c r="T213" s="26">
        <v>54</v>
      </c>
      <c r="U213" s="26">
        <v>54</v>
      </c>
      <c r="V213" s="26">
        <v>1478.05</v>
      </c>
      <c r="W213" s="26">
        <f t="shared" si="39"/>
        <v>0</v>
      </c>
      <c r="X213" s="26">
        <f t="shared" si="35"/>
        <v>0</v>
      </c>
      <c r="Y213" s="26">
        <f t="shared" si="40"/>
        <v>0</v>
      </c>
      <c r="Z213" s="26">
        <f t="shared" si="44"/>
        <v>0</v>
      </c>
      <c r="AA213" s="33" t="s">
        <v>15</v>
      </c>
      <c r="AB213" s="36" t="s">
        <v>16</v>
      </c>
      <c r="AC213" s="181">
        <f t="shared" si="41"/>
        <v>54</v>
      </c>
      <c r="AD213" s="181">
        <f t="shared" si="37"/>
        <v>79814.7</v>
      </c>
      <c r="AE213" s="181">
        <v>1.5</v>
      </c>
      <c r="AF213" s="181">
        <v>1.5</v>
      </c>
      <c r="AG213" s="101" t="str">
        <f t="shared" si="42"/>
        <v/>
      </c>
      <c r="AH213" s="190">
        <v>0</v>
      </c>
      <c r="AI213" s="69">
        <f t="shared" si="43"/>
        <v>54</v>
      </c>
    </row>
    <row r="214" spans="1:35" s="69" customFormat="1" ht="49.5" x14ac:dyDescent="0.3">
      <c r="A214" s="55" t="s">
        <v>548</v>
      </c>
      <c r="B214" s="138" t="s">
        <v>549</v>
      </c>
      <c r="C214" s="54" t="s">
        <v>30</v>
      </c>
      <c r="D214" s="75">
        <v>170</v>
      </c>
      <c r="E214" s="75"/>
      <c r="F214" s="75"/>
      <c r="G214" s="75"/>
      <c r="H214" s="75" t="s">
        <v>15</v>
      </c>
      <c r="I214" s="75">
        <v>151.72</v>
      </c>
      <c r="J214" s="75">
        <v>25792.400000000001</v>
      </c>
      <c r="K214" s="91" t="s">
        <v>550</v>
      </c>
      <c r="L214" s="73"/>
      <c r="M214" s="46">
        <v>0</v>
      </c>
      <c r="N214" s="46">
        <v>0</v>
      </c>
      <c r="O214" s="46">
        <v>0</v>
      </c>
      <c r="P214" s="98"/>
      <c r="Q214" s="23" t="s">
        <v>1414</v>
      </c>
      <c r="R214" s="24" t="s">
        <v>549</v>
      </c>
      <c r="S214" s="25" t="s">
        <v>30</v>
      </c>
      <c r="T214" s="26">
        <v>170</v>
      </c>
      <c r="U214" s="26">
        <v>170</v>
      </c>
      <c r="V214" s="26">
        <v>151.72</v>
      </c>
      <c r="W214" s="26">
        <f t="shared" si="39"/>
        <v>0</v>
      </c>
      <c r="X214" s="26">
        <f t="shared" si="35"/>
        <v>0</v>
      </c>
      <c r="Y214" s="26">
        <f t="shared" si="40"/>
        <v>0</v>
      </c>
      <c r="Z214" s="26">
        <f t="shared" si="44"/>
        <v>0</v>
      </c>
      <c r="AA214" s="33" t="s">
        <v>15</v>
      </c>
      <c r="AB214" s="36" t="s">
        <v>16</v>
      </c>
      <c r="AC214" s="181">
        <f t="shared" si="41"/>
        <v>170</v>
      </c>
      <c r="AD214" s="181">
        <f t="shared" si="37"/>
        <v>25792.400000000001</v>
      </c>
      <c r="AE214" s="181">
        <v>1.5</v>
      </c>
      <c r="AF214" s="181">
        <v>1.5</v>
      </c>
      <c r="AG214" s="101" t="str">
        <f t="shared" si="42"/>
        <v/>
      </c>
      <c r="AH214" s="190">
        <v>0</v>
      </c>
      <c r="AI214" s="69">
        <f t="shared" si="43"/>
        <v>170</v>
      </c>
    </row>
    <row r="215" spans="1:35" s="69" customFormat="1" ht="33" x14ac:dyDescent="0.3">
      <c r="A215" s="55" t="s">
        <v>551</v>
      </c>
      <c r="B215" s="138" t="s">
        <v>552</v>
      </c>
      <c r="C215" s="54" t="s">
        <v>325</v>
      </c>
      <c r="D215" s="75">
        <v>4</v>
      </c>
      <c r="E215" s="75"/>
      <c r="F215" s="75"/>
      <c r="G215" s="75"/>
      <c r="H215" s="75">
        <v>6</v>
      </c>
      <c r="I215" s="75">
        <v>15779.6</v>
      </c>
      <c r="J215" s="75">
        <v>94677.6</v>
      </c>
      <c r="K215" s="91" t="s">
        <v>553</v>
      </c>
      <c r="L215" s="73"/>
      <c r="M215" s="46">
        <v>2</v>
      </c>
      <c r="N215" s="46">
        <v>0</v>
      </c>
      <c r="O215" s="46">
        <v>31559.200000000001</v>
      </c>
      <c r="P215" s="98"/>
      <c r="Q215" s="23" t="s">
        <v>1429</v>
      </c>
      <c r="R215" s="24" t="s">
        <v>552</v>
      </c>
      <c r="S215" s="25" t="s">
        <v>325</v>
      </c>
      <c r="T215" s="26">
        <v>4</v>
      </c>
      <c r="U215" s="26">
        <v>6</v>
      </c>
      <c r="V215" s="26">
        <v>15779.6</v>
      </c>
      <c r="W215" s="128">
        <f t="shared" si="39"/>
        <v>0</v>
      </c>
      <c r="X215" s="26">
        <f t="shared" si="35"/>
        <v>2</v>
      </c>
      <c r="Y215" s="26">
        <f t="shared" si="40"/>
        <v>0</v>
      </c>
      <c r="Z215" s="26">
        <f t="shared" si="44"/>
        <v>31559.200000000001</v>
      </c>
      <c r="AA215" s="33" t="s">
        <v>15</v>
      </c>
      <c r="AB215" s="36" t="s">
        <v>16</v>
      </c>
      <c r="AC215" s="181">
        <f t="shared" si="41"/>
        <v>6</v>
      </c>
      <c r="AD215" s="181">
        <f t="shared" si="37"/>
        <v>94677.6</v>
      </c>
      <c r="AE215" s="181">
        <v>1.5</v>
      </c>
      <c r="AF215" s="181">
        <v>1.5</v>
      </c>
      <c r="AG215" s="101" t="str">
        <f t="shared" si="42"/>
        <v/>
      </c>
      <c r="AH215" s="191">
        <f>2</f>
        <v>2</v>
      </c>
      <c r="AI215" s="69">
        <f t="shared" si="43"/>
        <v>4</v>
      </c>
    </row>
    <row r="216" spans="1:35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 t="s">
        <v>15</v>
      </c>
      <c r="I216" s="75">
        <v>138.84</v>
      </c>
      <c r="J216" s="75">
        <v>62894.52</v>
      </c>
      <c r="K216" s="91" t="s">
        <v>190</v>
      </c>
      <c r="L216" s="73"/>
      <c r="M216" s="46">
        <v>285</v>
      </c>
      <c r="N216" s="46">
        <v>0</v>
      </c>
      <c r="O216" s="46">
        <v>39569.4</v>
      </c>
      <c r="P216" s="98"/>
      <c r="Q216" s="23" t="s">
        <v>1430</v>
      </c>
      <c r="R216" s="24" t="s">
        <v>189</v>
      </c>
      <c r="S216" s="25" t="s">
        <v>30</v>
      </c>
      <c r="T216" s="26">
        <v>453</v>
      </c>
      <c r="U216" s="26">
        <v>453</v>
      </c>
      <c r="V216" s="26">
        <v>138.84</v>
      </c>
      <c r="W216" s="128">
        <f t="shared" si="39"/>
        <v>0</v>
      </c>
      <c r="X216" s="26">
        <f t="shared" si="35"/>
        <v>285</v>
      </c>
      <c r="Y216" s="26">
        <f t="shared" si="40"/>
        <v>0</v>
      </c>
      <c r="Z216" s="26">
        <f t="shared" si="44"/>
        <v>39569.4</v>
      </c>
      <c r="AA216" s="33" t="s">
        <v>15</v>
      </c>
      <c r="AB216" s="36" t="s">
        <v>16</v>
      </c>
      <c r="AC216" s="181">
        <f t="shared" si="41"/>
        <v>453</v>
      </c>
      <c r="AD216" s="181">
        <f t="shared" si="37"/>
        <v>62894.52</v>
      </c>
      <c r="AE216" s="181">
        <v>1.5</v>
      </c>
      <c r="AF216" s="181">
        <v>1.5</v>
      </c>
      <c r="AG216" s="101" t="str">
        <f t="shared" si="42"/>
        <v/>
      </c>
      <c r="AH216" s="191">
        <f>19*15</f>
        <v>285</v>
      </c>
      <c r="AI216" s="69">
        <f t="shared" si="43"/>
        <v>453</v>
      </c>
    </row>
    <row r="217" spans="1:35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 t="s">
        <v>15</v>
      </c>
      <c r="I217" s="75">
        <v>326.3</v>
      </c>
      <c r="J217" s="75">
        <v>548184</v>
      </c>
      <c r="K217" s="91" t="s">
        <v>521</v>
      </c>
      <c r="L217" s="73"/>
      <c r="M217" s="46">
        <v>936</v>
      </c>
      <c r="N217" s="46">
        <v>0</v>
      </c>
      <c r="O217" s="46">
        <v>305416.8</v>
      </c>
      <c r="P217" s="98"/>
      <c r="Q217" s="23" t="s">
        <v>1431</v>
      </c>
      <c r="R217" s="24" t="s">
        <v>520</v>
      </c>
      <c r="S217" s="25" t="s">
        <v>30</v>
      </c>
      <c r="T217" s="26">
        <v>1680</v>
      </c>
      <c r="U217" s="26">
        <v>1680</v>
      </c>
      <c r="V217" s="26">
        <v>326.3</v>
      </c>
      <c r="W217" s="128">
        <f t="shared" si="39"/>
        <v>0</v>
      </c>
      <c r="X217" s="26">
        <f t="shared" si="35"/>
        <v>936</v>
      </c>
      <c r="Y217" s="26">
        <f t="shared" si="40"/>
        <v>0</v>
      </c>
      <c r="Z217" s="26">
        <f t="shared" si="44"/>
        <v>305416.8</v>
      </c>
      <c r="AA217" s="33" t="s">
        <v>15</v>
      </c>
      <c r="AB217" s="36" t="s">
        <v>16</v>
      </c>
      <c r="AC217" s="181">
        <f t="shared" si="41"/>
        <v>1680</v>
      </c>
      <c r="AD217" s="181">
        <f t="shared" si="37"/>
        <v>548184</v>
      </c>
      <c r="AE217" s="181">
        <v>1.5</v>
      </c>
      <c r="AF217" s="181">
        <v>1.5</v>
      </c>
      <c r="AG217" s="101" t="str">
        <f t="shared" si="42"/>
        <v/>
      </c>
      <c r="AH217" s="191">
        <f>312*3</f>
        <v>936</v>
      </c>
      <c r="AI217" s="69">
        <f t="shared" si="43"/>
        <v>1680</v>
      </c>
    </row>
    <row r="218" spans="1:35" s="69" customFormat="1" ht="39" x14ac:dyDescent="0.3">
      <c r="A218" s="130" t="s">
        <v>556</v>
      </c>
      <c r="B218" s="131" t="s">
        <v>424</v>
      </c>
      <c r="C218" s="132" t="s">
        <v>50</v>
      </c>
      <c r="D218" s="133">
        <v>756</v>
      </c>
      <c r="E218" s="75"/>
      <c r="F218" s="75"/>
      <c r="G218" s="75"/>
      <c r="H218" s="75" t="s">
        <v>15</v>
      </c>
      <c r="I218" s="75">
        <v>692.16</v>
      </c>
      <c r="J218" s="75">
        <v>523272.96000000002</v>
      </c>
      <c r="K218" s="91" t="s">
        <v>425</v>
      </c>
      <c r="L218" s="73"/>
      <c r="M218" s="46">
        <v>756</v>
      </c>
      <c r="N218" s="46">
        <v>298320.96000000002</v>
      </c>
      <c r="O218" s="46">
        <v>523272.96000000002</v>
      </c>
      <c r="P218" s="98"/>
      <c r="Q218" s="23" t="s">
        <v>1395</v>
      </c>
      <c r="R218" s="24" t="s">
        <v>424</v>
      </c>
      <c r="S218" s="25" t="s">
        <v>50</v>
      </c>
      <c r="T218" s="26">
        <v>756</v>
      </c>
      <c r="U218" s="26">
        <v>756</v>
      </c>
      <c r="V218" s="26">
        <v>692.16</v>
      </c>
      <c r="W218" s="127">
        <f t="shared" si="39"/>
        <v>0</v>
      </c>
      <c r="X218" s="127">
        <f t="shared" si="35"/>
        <v>756</v>
      </c>
      <c r="Y218" s="127">
        <f t="shared" si="40"/>
        <v>0</v>
      </c>
      <c r="Z218" s="127">
        <f t="shared" si="44"/>
        <v>523272.96000000002</v>
      </c>
      <c r="AA218" s="33" t="s">
        <v>15</v>
      </c>
      <c r="AB218" s="36" t="s">
        <v>16</v>
      </c>
      <c r="AC218" s="181">
        <f t="shared" si="41"/>
        <v>756</v>
      </c>
      <c r="AD218" s="181">
        <f t="shared" si="37"/>
        <v>523272.96000000002</v>
      </c>
      <c r="AE218" s="181">
        <v>1.5</v>
      </c>
      <c r="AF218" s="181">
        <v>1.5</v>
      </c>
      <c r="AG218" s="101" t="str">
        <f t="shared" si="42"/>
        <v/>
      </c>
      <c r="AH218" s="191">
        <f>325+431</f>
        <v>756</v>
      </c>
      <c r="AI218" s="69">
        <f t="shared" si="43"/>
        <v>756</v>
      </c>
    </row>
    <row r="219" spans="1:35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 t="s">
        <v>15</v>
      </c>
      <c r="I219" s="75">
        <v>422.3</v>
      </c>
      <c r="J219" s="75">
        <v>13513.6</v>
      </c>
      <c r="K219" s="91" t="s">
        <v>560</v>
      </c>
      <c r="L219" s="73"/>
      <c r="M219" s="46">
        <v>0</v>
      </c>
      <c r="N219" s="46">
        <v>0</v>
      </c>
      <c r="O219" s="46">
        <v>0</v>
      </c>
      <c r="P219" s="98"/>
      <c r="Q219" s="23" t="s">
        <v>1432</v>
      </c>
      <c r="R219" s="24" t="s">
        <v>558</v>
      </c>
      <c r="S219" s="25" t="s">
        <v>559</v>
      </c>
      <c r="T219" s="26">
        <v>32</v>
      </c>
      <c r="U219" s="26">
        <v>32</v>
      </c>
      <c r="V219" s="26">
        <v>422.3</v>
      </c>
      <c r="W219" s="26">
        <f t="shared" si="39"/>
        <v>0</v>
      </c>
      <c r="X219" s="26">
        <f t="shared" si="35"/>
        <v>0</v>
      </c>
      <c r="Y219" s="26">
        <f t="shared" si="40"/>
        <v>0</v>
      </c>
      <c r="Z219" s="26">
        <f t="shared" si="44"/>
        <v>0</v>
      </c>
      <c r="AA219" s="33" t="s">
        <v>15</v>
      </c>
      <c r="AB219" s="36" t="s">
        <v>16</v>
      </c>
      <c r="AC219" s="181">
        <f t="shared" si="41"/>
        <v>32</v>
      </c>
      <c r="AD219" s="181">
        <f t="shared" si="37"/>
        <v>13513.6</v>
      </c>
      <c r="AE219" s="181">
        <v>1.5</v>
      </c>
      <c r="AF219" s="181">
        <v>1.5</v>
      </c>
      <c r="AG219" s="101" t="str">
        <f t="shared" si="42"/>
        <v/>
      </c>
      <c r="AH219" s="190">
        <v>0</v>
      </c>
      <c r="AI219" s="69">
        <f t="shared" si="43"/>
        <v>32</v>
      </c>
    </row>
    <row r="220" spans="1:35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 t="s">
        <v>15</v>
      </c>
      <c r="I220" s="82"/>
      <c r="J220" s="82">
        <v>13861675.58</v>
      </c>
      <c r="K220" s="94" t="s">
        <v>15</v>
      </c>
      <c r="L220" s="73"/>
      <c r="M220" s="45">
        <v>1</v>
      </c>
      <c r="N220" s="45">
        <v>3142593.1700000004</v>
      </c>
      <c r="O220" s="45">
        <v>4415583.5599999996</v>
      </c>
      <c r="P220" s="98"/>
      <c r="Q220" s="18" t="s">
        <v>1394</v>
      </c>
      <c r="R220" s="19" t="s">
        <v>562</v>
      </c>
      <c r="S220" s="20" t="s">
        <v>14</v>
      </c>
      <c r="T220" s="21">
        <v>1</v>
      </c>
      <c r="U220" s="21"/>
      <c r="V220" s="21">
        <f>SUMIFS(AD:AD,AE:AE,AE220)</f>
        <v>13861675.579999998</v>
      </c>
      <c r="W220" s="21">
        <f t="shared" ref="W220:X220" si="45">IF(Y220=0,0,1)</f>
        <v>1</v>
      </c>
      <c r="X220" s="21">
        <f t="shared" si="45"/>
        <v>1</v>
      </c>
      <c r="Y220" s="21">
        <f>SUMIFS(Y:Y,AF:AF,AE220)</f>
        <v>1382360.8599999999</v>
      </c>
      <c r="Z220" s="21">
        <f>SUMIFS(Z:Z,AF:AF,AE220)</f>
        <v>5797944.419999999</v>
      </c>
      <c r="AA220" s="22" t="s">
        <v>15</v>
      </c>
      <c r="AB220" s="43" t="s">
        <v>16</v>
      </c>
      <c r="AC220" s="181">
        <f t="shared" si="41"/>
        <v>1</v>
      </c>
      <c r="AD220" s="184"/>
      <c r="AE220" s="184">
        <v>1.6</v>
      </c>
      <c r="AF220" s="184"/>
      <c r="AG220" s="101" t="str">
        <f t="shared" si="42"/>
        <v/>
      </c>
      <c r="AH220" s="190">
        <v>1</v>
      </c>
      <c r="AI220" s="69">
        <f t="shared" si="43"/>
        <v>1</v>
      </c>
    </row>
    <row r="221" spans="1:35" s="69" customFormat="1" ht="58.5" x14ac:dyDescent="0.3">
      <c r="A221" s="55" t="s">
        <v>563</v>
      </c>
      <c r="B221" s="53" t="s">
        <v>564</v>
      </c>
      <c r="C221" s="54" t="s">
        <v>23</v>
      </c>
      <c r="D221" s="75">
        <v>256</v>
      </c>
      <c r="E221" s="75"/>
      <c r="F221" s="75"/>
      <c r="G221" s="75"/>
      <c r="H221" s="75">
        <v>380.68</v>
      </c>
      <c r="I221" s="75">
        <v>7517.56</v>
      </c>
      <c r="J221" s="75">
        <v>2861784.74</v>
      </c>
      <c r="K221" s="91" t="s">
        <v>565</v>
      </c>
      <c r="L221" s="73"/>
      <c r="M221" s="46">
        <v>99.1</v>
      </c>
      <c r="N221" s="46">
        <v>0</v>
      </c>
      <c r="O221" s="46">
        <v>744990.2</v>
      </c>
      <c r="P221" s="98"/>
      <c r="Q221" s="23" t="s">
        <v>1421</v>
      </c>
      <c r="R221" s="24" t="s">
        <v>564</v>
      </c>
      <c r="S221" s="25" t="s">
        <v>23</v>
      </c>
      <c r="T221" s="26">
        <v>256</v>
      </c>
      <c r="U221" s="26">
        <v>380.68</v>
      </c>
      <c r="V221" s="26">
        <v>7517.56</v>
      </c>
      <c r="W221" s="128">
        <f t="shared" ref="W221:W236" si="46">AH221-M221</f>
        <v>45</v>
      </c>
      <c r="X221" s="26">
        <f t="shared" si="35"/>
        <v>144.1</v>
      </c>
      <c r="Y221" s="26">
        <f t="shared" ref="Y221:Y236" si="47">Z221-O221</f>
        <v>338290.19999999995</v>
      </c>
      <c r="Z221" s="26">
        <f t="shared" si="44"/>
        <v>1083280.3999999999</v>
      </c>
      <c r="AA221" s="33" t="s">
        <v>15</v>
      </c>
      <c r="AB221" s="36" t="s">
        <v>16</v>
      </c>
      <c r="AC221" s="181">
        <f t="shared" si="41"/>
        <v>380.68</v>
      </c>
      <c r="AD221" s="181">
        <f t="shared" ref="AD221:AD236" si="48">ROUND(V221*AC221,2)</f>
        <v>2861784.74</v>
      </c>
      <c r="AE221" s="181">
        <v>1.6</v>
      </c>
      <c r="AF221" s="181">
        <v>1.6</v>
      </c>
      <c r="AG221" s="101" t="str">
        <f t="shared" si="42"/>
        <v/>
      </c>
      <c r="AH221" s="191">
        <f>69.6+29.5+45</f>
        <v>144.1</v>
      </c>
      <c r="AI221" s="69">
        <f t="shared" si="43"/>
        <v>256</v>
      </c>
    </row>
    <row r="222" spans="1:35" s="69" customFormat="1" ht="58.5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917.25</v>
      </c>
      <c r="I222" s="75">
        <v>7496.96</v>
      </c>
      <c r="J222" s="75">
        <v>6876586.5599999996</v>
      </c>
      <c r="K222" s="91" t="s">
        <v>568</v>
      </c>
      <c r="L222" s="73"/>
      <c r="M222" s="46">
        <v>382.3</v>
      </c>
      <c r="N222" s="46">
        <v>2399027.2000000002</v>
      </c>
      <c r="O222" s="46">
        <v>2866087.81</v>
      </c>
      <c r="P222" s="98"/>
      <c r="Q222" s="23" t="s">
        <v>1426</v>
      </c>
      <c r="R222" s="24" t="s">
        <v>567</v>
      </c>
      <c r="S222" s="25" t="s">
        <v>23</v>
      </c>
      <c r="T222" s="26">
        <v>766</v>
      </c>
      <c r="U222" s="26">
        <v>917.25</v>
      </c>
      <c r="V222" s="26">
        <v>7496.96</v>
      </c>
      <c r="W222" s="128">
        <f t="shared" si="46"/>
        <v>55</v>
      </c>
      <c r="X222" s="26">
        <f t="shared" si="35"/>
        <v>437.3</v>
      </c>
      <c r="Y222" s="26">
        <f t="shared" si="47"/>
        <v>412332.79999999981</v>
      </c>
      <c r="Z222" s="26">
        <f t="shared" si="44"/>
        <v>3278420.61</v>
      </c>
      <c r="AA222" s="33" t="s">
        <v>15</v>
      </c>
      <c r="AB222" s="36" t="s">
        <v>16</v>
      </c>
      <c r="AC222" s="181">
        <f t="shared" si="41"/>
        <v>917.25</v>
      </c>
      <c r="AD222" s="181">
        <f t="shared" si="48"/>
        <v>6876586.5599999996</v>
      </c>
      <c r="AE222" s="181">
        <v>1.6</v>
      </c>
      <c r="AF222" s="181">
        <v>1.6</v>
      </c>
      <c r="AG222" s="101" t="str">
        <f t="shared" si="42"/>
        <v/>
      </c>
      <c r="AH222" s="191">
        <f>23.2+39.1+320+55</f>
        <v>437.3</v>
      </c>
      <c r="AI222" s="69">
        <f t="shared" si="43"/>
        <v>766</v>
      </c>
    </row>
    <row r="223" spans="1:35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 t="s">
        <v>15</v>
      </c>
      <c r="I223" s="75">
        <v>11.6</v>
      </c>
      <c r="J223" s="75">
        <v>59194.8</v>
      </c>
      <c r="K223" s="91" t="s">
        <v>571</v>
      </c>
      <c r="L223" s="73"/>
      <c r="M223" s="46">
        <v>798</v>
      </c>
      <c r="N223" s="46">
        <v>0</v>
      </c>
      <c r="O223" s="46">
        <v>9256.7999999999993</v>
      </c>
      <c r="P223" s="98"/>
      <c r="Q223" s="23" t="s">
        <v>1402</v>
      </c>
      <c r="R223" s="24" t="s">
        <v>570</v>
      </c>
      <c r="S223" s="25" t="s">
        <v>50</v>
      </c>
      <c r="T223" s="26">
        <v>5103</v>
      </c>
      <c r="U223" s="26">
        <v>5103</v>
      </c>
      <c r="V223" s="26">
        <v>11.6</v>
      </c>
      <c r="W223" s="128">
        <f t="shared" si="46"/>
        <v>0</v>
      </c>
      <c r="X223" s="26">
        <f t="shared" si="35"/>
        <v>798</v>
      </c>
      <c r="Y223" s="26">
        <f t="shared" si="47"/>
        <v>0</v>
      </c>
      <c r="Z223" s="26">
        <f t="shared" si="44"/>
        <v>9256.7999999999993</v>
      </c>
      <c r="AA223" s="33" t="s">
        <v>15</v>
      </c>
      <c r="AB223" s="36" t="s">
        <v>16</v>
      </c>
      <c r="AC223" s="181">
        <f t="shared" si="41"/>
        <v>5103</v>
      </c>
      <c r="AD223" s="181">
        <f t="shared" si="48"/>
        <v>59194.8</v>
      </c>
      <c r="AE223" s="181">
        <v>1.6</v>
      </c>
      <c r="AF223" s="181">
        <v>1.6</v>
      </c>
      <c r="AG223" s="101" t="str">
        <f t="shared" si="42"/>
        <v/>
      </c>
      <c r="AH223" s="191">
        <f>3.8*210</f>
        <v>798</v>
      </c>
      <c r="AI223" s="69">
        <f t="shared" si="43"/>
        <v>5103</v>
      </c>
    </row>
    <row r="224" spans="1:35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6734.4</v>
      </c>
      <c r="I224" s="75">
        <v>42.46</v>
      </c>
      <c r="J224" s="75">
        <v>285942.62</v>
      </c>
      <c r="K224" s="91" t="s">
        <v>574</v>
      </c>
      <c r="L224" s="73"/>
      <c r="M224" s="46">
        <v>1021</v>
      </c>
      <c r="N224" s="46">
        <v>0</v>
      </c>
      <c r="O224" s="46">
        <v>43351.66</v>
      </c>
      <c r="P224" s="98"/>
      <c r="Q224" s="23" t="s">
        <v>1373</v>
      </c>
      <c r="R224" s="24" t="s">
        <v>573</v>
      </c>
      <c r="S224" s="25" t="s">
        <v>50</v>
      </c>
      <c r="T224" s="26">
        <v>5103</v>
      </c>
      <c r="U224" s="26">
        <v>6734.4</v>
      </c>
      <c r="V224" s="26">
        <v>42.46</v>
      </c>
      <c r="W224" s="128">
        <f t="shared" si="46"/>
        <v>1360</v>
      </c>
      <c r="X224" s="26">
        <f t="shared" si="35"/>
        <v>2381</v>
      </c>
      <c r="Y224" s="26">
        <f t="shared" si="47"/>
        <v>57745.599999999991</v>
      </c>
      <c r="Z224" s="26">
        <f t="shared" si="44"/>
        <v>101097.26</v>
      </c>
      <c r="AA224" s="33" t="s">
        <v>15</v>
      </c>
      <c r="AB224" s="36" t="s">
        <v>16</v>
      </c>
      <c r="AC224" s="181">
        <f t="shared" si="41"/>
        <v>6734.4</v>
      </c>
      <c r="AD224" s="181">
        <f t="shared" si="48"/>
        <v>285942.62</v>
      </c>
      <c r="AE224" s="181">
        <v>1.6</v>
      </c>
      <c r="AF224" s="181">
        <v>1.6</v>
      </c>
      <c r="AG224" s="101" t="str">
        <f t="shared" si="42"/>
        <v/>
      </c>
      <c r="AH224" s="191">
        <f>696+325+1360</f>
        <v>2381</v>
      </c>
      <c r="AI224" s="69">
        <f t="shared" si="43"/>
        <v>5103</v>
      </c>
    </row>
    <row r="225" spans="1:35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19027.2</v>
      </c>
      <c r="I225" s="75">
        <v>15.96</v>
      </c>
      <c r="J225" s="75">
        <v>303674.11</v>
      </c>
      <c r="K225" s="91" t="s">
        <v>577</v>
      </c>
      <c r="L225" s="73"/>
      <c r="M225" s="46">
        <v>5266</v>
      </c>
      <c r="N225" s="46">
        <v>75714.240000000005</v>
      </c>
      <c r="O225" s="46">
        <v>84045.36</v>
      </c>
      <c r="P225" s="98"/>
      <c r="Q225" s="23" t="s">
        <v>1393</v>
      </c>
      <c r="R225" s="24" t="s">
        <v>576</v>
      </c>
      <c r="S225" s="25" t="s">
        <v>50</v>
      </c>
      <c r="T225" s="26">
        <v>15307</v>
      </c>
      <c r="U225" s="26">
        <v>19027.2</v>
      </c>
      <c r="V225" s="26">
        <v>15.96</v>
      </c>
      <c r="W225" s="128">
        <f t="shared" si="46"/>
        <v>2720</v>
      </c>
      <c r="X225" s="26">
        <f t="shared" si="35"/>
        <v>7986</v>
      </c>
      <c r="Y225" s="26">
        <f t="shared" si="47"/>
        <v>43411.199999999997</v>
      </c>
      <c r="Z225" s="26">
        <f t="shared" si="44"/>
        <v>127456.56</v>
      </c>
      <c r="AA225" s="33" t="s">
        <v>15</v>
      </c>
      <c r="AB225" s="36" t="s">
        <v>16</v>
      </c>
      <c r="AC225" s="181">
        <f t="shared" si="41"/>
        <v>19027.2</v>
      </c>
      <c r="AD225" s="181">
        <f t="shared" si="48"/>
        <v>303674.11</v>
      </c>
      <c r="AE225" s="181">
        <v>1.6</v>
      </c>
      <c r="AF225" s="181">
        <v>1.6</v>
      </c>
      <c r="AG225" s="101" t="str">
        <f t="shared" si="42"/>
        <v/>
      </c>
      <c r="AH225" s="191">
        <f>522+4744+2720</f>
        <v>7986</v>
      </c>
      <c r="AI225" s="69">
        <f t="shared" si="43"/>
        <v>15307</v>
      </c>
    </row>
    <row r="226" spans="1:35" s="69" customFormat="1" ht="39" x14ac:dyDescent="0.3">
      <c r="A226" s="55" t="s">
        <v>578</v>
      </c>
      <c r="B226" s="53" t="s">
        <v>392</v>
      </c>
      <c r="C226" s="54" t="s">
        <v>23</v>
      </c>
      <c r="D226" s="75">
        <v>24</v>
      </c>
      <c r="E226" s="75"/>
      <c r="F226" s="75"/>
      <c r="G226" s="75"/>
      <c r="H226" s="75" t="s">
        <v>15</v>
      </c>
      <c r="I226" s="75">
        <v>3115.13</v>
      </c>
      <c r="J226" s="75">
        <v>74763.12</v>
      </c>
      <c r="K226" s="91" t="s">
        <v>114</v>
      </c>
      <c r="L226" s="73"/>
      <c r="M226" s="46">
        <v>0</v>
      </c>
      <c r="N226" s="46">
        <v>0</v>
      </c>
      <c r="O226" s="46">
        <v>0</v>
      </c>
      <c r="P226" s="98"/>
      <c r="Q226" s="23" t="s">
        <v>1403</v>
      </c>
      <c r="R226" s="24" t="s">
        <v>392</v>
      </c>
      <c r="S226" s="25" t="s">
        <v>23</v>
      </c>
      <c r="T226" s="26">
        <v>24</v>
      </c>
      <c r="U226" s="26">
        <v>24</v>
      </c>
      <c r="V226" s="26">
        <v>3115.13</v>
      </c>
      <c r="W226" s="128">
        <f t="shared" si="46"/>
        <v>5</v>
      </c>
      <c r="X226" s="26">
        <f t="shared" si="35"/>
        <v>5</v>
      </c>
      <c r="Y226" s="26">
        <f t="shared" si="47"/>
        <v>15575.65</v>
      </c>
      <c r="Z226" s="26">
        <f t="shared" si="44"/>
        <v>15575.65</v>
      </c>
      <c r="AA226" s="33" t="s">
        <v>15</v>
      </c>
      <c r="AB226" s="36" t="s">
        <v>16</v>
      </c>
      <c r="AC226" s="181">
        <f t="shared" si="41"/>
        <v>24</v>
      </c>
      <c r="AD226" s="181">
        <f t="shared" si="48"/>
        <v>74763.12</v>
      </c>
      <c r="AE226" s="181">
        <v>1.6</v>
      </c>
      <c r="AF226" s="181">
        <v>1.6</v>
      </c>
      <c r="AG226" s="101" t="str">
        <f t="shared" si="42"/>
        <v/>
      </c>
      <c r="AH226" s="191">
        <f>5</f>
        <v>5</v>
      </c>
      <c r="AI226" s="69">
        <f t="shared" si="43"/>
        <v>24</v>
      </c>
    </row>
    <row r="227" spans="1:35" s="69" customFormat="1" ht="39" x14ac:dyDescent="0.3">
      <c r="A227" s="55" t="s">
        <v>579</v>
      </c>
      <c r="B227" s="53" t="s">
        <v>116</v>
      </c>
      <c r="C227" s="54" t="s">
        <v>23</v>
      </c>
      <c r="D227" s="75">
        <v>237</v>
      </c>
      <c r="E227" s="75"/>
      <c r="F227" s="75"/>
      <c r="G227" s="75"/>
      <c r="H227" s="75" t="s">
        <v>15</v>
      </c>
      <c r="I227" s="75">
        <v>3321.13</v>
      </c>
      <c r="J227" s="75">
        <v>787107.81</v>
      </c>
      <c r="K227" s="91" t="s">
        <v>117</v>
      </c>
      <c r="L227" s="73"/>
      <c r="M227" s="46">
        <v>35.75</v>
      </c>
      <c r="N227" s="46">
        <v>118730.4</v>
      </c>
      <c r="O227" s="46">
        <v>118730.4</v>
      </c>
      <c r="P227" s="98"/>
      <c r="Q227" s="23" t="s">
        <v>1427</v>
      </c>
      <c r="R227" s="24" t="s">
        <v>116</v>
      </c>
      <c r="S227" s="25" t="s">
        <v>23</v>
      </c>
      <c r="T227" s="26">
        <v>237</v>
      </c>
      <c r="U227" s="26">
        <v>237</v>
      </c>
      <c r="V227" s="26">
        <v>3321.13</v>
      </c>
      <c r="W227" s="128">
        <f t="shared" si="46"/>
        <v>52</v>
      </c>
      <c r="X227" s="26">
        <f t="shared" si="35"/>
        <v>87.75</v>
      </c>
      <c r="Y227" s="26">
        <f t="shared" si="47"/>
        <v>172698.75999999998</v>
      </c>
      <c r="Z227" s="26">
        <f t="shared" si="44"/>
        <v>291429.15999999997</v>
      </c>
      <c r="AA227" s="33" t="s">
        <v>15</v>
      </c>
      <c r="AB227" s="36" t="s">
        <v>16</v>
      </c>
      <c r="AC227" s="181">
        <f t="shared" si="41"/>
        <v>237</v>
      </c>
      <c r="AD227" s="181">
        <f t="shared" si="48"/>
        <v>787107.81</v>
      </c>
      <c r="AE227" s="181">
        <v>1.6</v>
      </c>
      <c r="AF227" s="181">
        <v>1.6</v>
      </c>
      <c r="AG227" s="101" t="str">
        <f t="shared" si="42"/>
        <v/>
      </c>
      <c r="AH227" s="191">
        <f>65*0.55+52</f>
        <v>87.75</v>
      </c>
      <c r="AI227" s="69">
        <f t="shared" si="43"/>
        <v>237</v>
      </c>
    </row>
    <row r="228" spans="1:35" s="69" customFormat="1" ht="39" x14ac:dyDescent="0.3">
      <c r="A228" s="55" t="s">
        <v>580</v>
      </c>
      <c r="B228" s="53" t="s">
        <v>493</v>
      </c>
      <c r="C228" s="54" t="s">
        <v>23</v>
      </c>
      <c r="D228" s="75">
        <v>261</v>
      </c>
      <c r="E228" s="75"/>
      <c r="F228" s="75"/>
      <c r="G228" s="75"/>
      <c r="H228" s="75" t="s">
        <v>15</v>
      </c>
      <c r="I228" s="75">
        <v>200</v>
      </c>
      <c r="J228" s="75">
        <v>52200</v>
      </c>
      <c r="K228" s="91" t="s">
        <v>494</v>
      </c>
      <c r="L228" s="73"/>
      <c r="M228" s="46">
        <v>35.75</v>
      </c>
      <c r="N228" s="46">
        <v>7150</v>
      </c>
      <c r="O228" s="46">
        <v>7150</v>
      </c>
      <c r="P228" s="98"/>
      <c r="Q228" s="23" t="s">
        <v>1428</v>
      </c>
      <c r="R228" s="24" t="s">
        <v>493</v>
      </c>
      <c r="S228" s="25" t="s">
        <v>23</v>
      </c>
      <c r="T228" s="26">
        <v>261</v>
      </c>
      <c r="U228" s="26">
        <v>261</v>
      </c>
      <c r="V228" s="26">
        <v>200</v>
      </c>
      <c r="W228" s="128">
        <f t="shared" si="46"/>
        <v>57</v>
      </c>
      <c r="X228" s="26">
        <f t="shared" si="35"/>
        <v>92.75</v>
      </c>
      <c r="Y228" s="26">
        <f t="shared" si="47"/>
        <v>11400</v>
      </c>
      <c r="Z228" s="26">
        <f t="shared" si="44"/>
        <v>18550</v>
      </c>
      <c r="AA228" s="33" t="s">
        <v>15</v>
      </c>
      <c r="AB228" s="36" t="s">
        <v>16</v>
      </c>
      <c r="AC228" s="181">
        <f t="shared" si="41"/>
        <v>261</v>
      </c>
      <c r="AD228" s="181">
        <f t="shared" si="48"/>
        <v>52200</v>
      </c>
      <c r="AE228" s="181">
        <v>1.6</v>
      </c>
      <c r="AF228" s="181">
        <v>1.6</v>
      </c>
      <c r="AG228" s="101" t="str">
        <f t="shared" si="42"/>
        <v/>
      </c>
      <c r="AH228" s="191">
        <f>AH226+AH227</f>
        <v>92.75</v>
      </c>
      <c r="AI228" s="69">
        <f t="shared" si="43"/>
        <v>261</v>
      </c>
    </row>
    <row r="229" spans="1:35" s="69" customFormat="1" ht="33" x14ac:dyDescent="0.3">
      <c r="A229" s="55" t="s">
        <v>581</v>
      </c>
      <c r="B229" s="53" t="s">
        <v>582</v>
      </c>
      <c r="C229" s="54" t="s">
        <v>50</v>
      </c>
      <c r="D229" s="75">
        <v>745</v>
      </c>
      <c r="E229" s="75"/>
      <c r="F229" s="75"/>
      <c r="G229" s="75"/>
      <c r="H229" s="75" t="s">
        <v>15</v>
      </c>
      <c r="I229" s="75">
        <v>698.31</v>
      </c>
      <c r="J229" s="75">
        <v>520240.95</v>
      </c>
      <c r="K229" s="91" t="s">
        <v>583</v>
      </c>
      <c r="L229" s="73"/>
      <c r="M229" s="46">
        <v>78</v>
      </c>
      <c r="N229" s="46">
        <v>54468.18</v>
      </c>
      <c r="O229" s="46">
        <v>54468.18</v>
      </c>
      <c r="P229" s="98"/>
      <c r="Q229" s="23" t="s">
        <v>1387</v>
      </c>
      <c r="R229" s="24" t="s">
        <v>582</v>
      </c>
      <c r="S229" s="25" t="s">
        <v>50</v>
      </c>
      <c r="T229" s="26">
        <v>745</v>
      </c>
      <c r="U229" s="26">
        <v>745</v>
      </c>
      <c r="V229" s="26">
        <v>698.31</v>
      </c>
      <c r="W229" s="128">
        <f t="shared" si="46"/>
        <v>178</v>
      </c>
      <c r="X229" s="26">
        <f t="shared" si="35"/>
        <v>256</v>
      </c>
      <c r="Y229" s="26">
        <f t="shared" si="47"/>
        <v>124299.18</v>
      </c>
      <c r="Z229" s="26">
        <f t="shared" si="44"/>
        <v>178767.35999999999</v>
      </c>
      <c r="AA229" s="33" t="s">
        <v>15</v>
      </c>
      <c r="AB229" s="36" t="s">
        <v>16</v>
      </c>
      <c r="AC229" s="181">
        <f t="shared" si="41"/>
        <v>745</v>
      </c>
      <c r="AD229" s="181">
        <f t="shared" si="48"/>
        <v>520240.95</v>
      </c>
      <c r="AE229" s="181">
        <v>1.6</v>
      </c>
      <c r="AF229" s="181">
        <v>1.6</v>
      </c>
      <c r="AG229" s="101" t="str">
        <f t="shared" si="42"/>
        <v/>
      </c>
      <c r="AH229" s="191">
        <f>65*1.2+178</f>
        <v>256</v>
      </c>
      <c r="AI229" s="69">
        <f t="shared" si="43"/>
        <v>745</v>
      </c>
    </row>
    <row r="230" spans="1:35" s="69" customFormat="1" ht="41.25" x14ac:dyDescent="0.3">
      <c r="A230" s="55" t="s">
        <v>584</v>
      </c>
      <c r="B230" s="53" t="s">
        <v>119</v>
      </c>
      <c r="C230" s="54" t="s">
        <v>50</v>
      </c>
      <c r="D230" s="75">
        <v>915</v>
      </c>
      <c r="E230" s="75"/>
      <c r="F230" s="75"/>
      <c r="G230" s="75"/>
      <c r="H230" s="75" t="s">
        <v>15</v>
      </c>
      <c r="I230" s="75">
        <v>533.64</v>
      </c>
      <c r="J230" s="75">
        <v>488280.6</v>
      </c>
      <c r="K230" s="91" t="s">
        <v>120</v>
      </c>
      <c r="L230" s="73"/>
      <c r="M230" s="46">
        <v>71.5</v>
      </c>
      <c r="N230" s="46">
        <v>38155.26</v>
      </c>
      <c r="O230" s="46">
        <v>38155.26</v>
      </c>
      <c r="P230" s="98"/>
      <c r="Q230" s="23" t="s">
        <v>1405</v>
      </c>
      <c r="R230" s="24" t="s">
        <v>119</v>
      </c>
      <c r="S230" s="25" t="s">
        <v>50</v>
      </c>
      <c r="T230" s="26">
        <v>915</v>
      </c>
      <c r="U230" s="26">
        <v>915</v>
      </c>
      <c r="V230" s="26">
        <v>533.64</v>
      </c>
      <c r="W230" s="128">
        <f t="shared" si="46"/>
        <v>183</v>
      </c>
      <c r="X230" s="26">
        <f t="shared" si="35"/>
        <v>254.5</v>
      </c>
      <c r="Y230" s="26">
        <f t="shared" si="47"/>
        <v>97656.12</v>
      </c>
      <c r="Z230" s="26">
        <f t="shared" si="44"/>
        <v>135811.38</v>
      </c>
      <c r="AA230" s="33" t="s">
        <v>15</v>
      </c>
      <c r="AB230" s="36" t="s">
        <v>16</v>
      </c>
      <c r="AC230" s="181">
        <f t="shared" si="41"/>
        <v>915</v>
      </c>
      <c r="AD230" s="181">
        <f t="shared" si="48"/>
        <v>488280.6</v>
      </c>
      <c r="AE230" s="181">
        <v>1.6</v>
      </c>
      <c r="AF230" s="181">
        <v>1.6</v>
      </c>
      <c r="AG230" s="101" t="str">
        <f t="shared" si="42"/>
        <v/>
      </c>
      <c r="AH230" s="191">
        <f>65*1.1+183</f>
        <v>254.5</v>
      </c>
      <c r="AI230" s="69">
        <f t="shared" si="43"/>
        <v>915</v>
      </c>
    </row>
    <row r="231" spans="1:35" s="69" customFormat="1" ht="33" x14ac:dyDescent="0.3">
      <c r="A231" s="55" t="s">
        <v>585</v>
      </c>
      <c r="B231" s="53" t="s">
        <v>109</v>
      </c>
      <c r="C231" s="54" t="s">
        <v>110</v>
      </c>
      <c r="D231" s="75">
        <v>9227</v>
      </c>
      <c r="E231" s="75"/>
      <c r="F231" s="75"/>
      <c r="G231" s="75"/>
      <c r="H231" s="75" t="s">
        <v>15</v>
      </c>
      <c r="I231" s="75">
        <v>36.4</v>
      </c>
      <c r="J231" s="75">
        <v>335862.8</v>
      </c>
      <c r="K231" s="91" t="s">
        <v>111</v>
      </c>
      <c r="L231" s="73"/>
      <c r="M231" s="46">
        <v>7765</v>
      </c>
      <c r="N231" s="46">
        <v>282646</v>
      </c>
      <c r="O231" s="46">
        <v>282646</v>
      </c>
      <c r="P231" s="98"/>
      <c r="Q231" s="23" t="s">
        <v>1406</v>
      </c>
      <c r="R231" s="24" t="s">
        <v>109</v>
      </c>
      <c r="S231" s="25" t="s">
        <v>110</v>
      </c>
      <c r="T231" s="26">
        <v>9227</v>
      </c>
      <c r="U231" s="26">
        <v>9227</v>
      </c>
      <c r="V231" s="26">
        <v>36.4</v>
      </c>
      <c r="W231" s="128">
        <f t="shared" si="46"/>
        <v>1012</v>
      </c>
      <c r="X231" s="26">
        <f t="shared" si="35"/>
        <v>8777</v>
      </c>
      <c r="Y231" s="26">
        <f t="shared" si="47"/>
        <v>36836.799999999988</v>
      </c>
      <c r="Z231" s="26">
        <f t="shared" si="44"/>
        <v>319482.8</v>
      </c>
      <c r="AA231" s="33" t="s">
        <v>15</v>
      </c>
      <c r="AB231" s="36" t="s">
        <v>16</v>
      </c>
      <c r="AC231" s="181">
        <f t="shared" si="41"/>
        <v>9227</v>
      </c>
      <c r="AD231" s="181">
        <f t="shared" si="48"/>
        <v>335862.8</v>
      </c>
      <c r="AE231" s="181">
        <v>1.6</v>
      </c>
      <c r="AF231" s="181">
        <v>1.6</v>
      </c>
      <c r="AG231" s="101" t="str">
        <f t="shared" si="42"/>
        <v/>
      </c>
      <c r="AH231" s="191">
        <f>7765+1012</f>
        <v>8777</v>
      </c>
      <c r="AI231" s="69">
        <f t="shared" si="43"/>
        <v>9227</v>
      </c>
    </row>
    <row r="232" spans="1:35" s="69" customFormat="1" ht="58.5" x14ac:dyDescent="0.3">
      <c r="A232" s="55" t="s">
        <v>586</v>
      </c>
      <c r="B232" s="53" t="s">
        <v>587</v>
      </c>
      <c r="C232" s="54" t="s">
        <v>513</v>
      </c>
      <c r="D232" s="75">
        <v>189</v>
      </c>
      <c r="E232" s="75"/>
      <c r="F232" s="75"/>
      <c r="G232" s="75"/>
      <c r="H232" s="75" t="s">
        <v>15</v>
      </c>
      <c r="I232" s="75">
        <v>40</v>
      </c>
      <c r="J232" s="75">
        <v>7560</v>
      </c>
      <c r="K232" s="91" t="s">
        <v>588</v>
      </c>
      <c r="L232" s="73"/>
      <c r="M232" s="46">
        <v>0</v>
      </c>
      <c r="N232" s="46">
        <v>0</v>
      </c>
      <c r="O232" s="46">
        <v>0</v>
      </c>
      <c r="P232" s="98"/>
      <c r="Q232" s="23" t="s">
        <v>1414</v>
      </c>
      <c r="R232" s="24" t="s">
        <v>587</v>
      </c>
      <c r="S232" s="25" t="s">
        <v>513</v>
      </c>
      <c r="T232" s="26">
        <v>189</v>
      </c>
      <c r="U232" s="26">
        <v>189</v>
      </c>
      <c r="V232" s="26">
        <v>40</v>
      </c>
      <c r="W232" s="26">
        <f t="shared" si="46"/>
        <v>0</v>
      </c>
      <c r="X232" s="26">
        <f t="shared" si="35"/>
        <v>0</v>
      </c>
      <c r="Y232" s="26">
        <f t="shared" si="47"/>
        <v>0</v>
      </c>
      <c r="Z232" s="26">
        <f t="shared" si="44"/>
        <v>0</v>
      </c>
      <c r="AA232" s="33" t="s">
        <v>15</v>
      </c>
      <c r="AB232" s="36" t="s">
        <v>16</v>
      </c>
      <c r="AC232" s="181">
        <f t="shared" si="41"/>
        <v>189</v>
      </c>
      <c r="AD232" s="181">
        <f t="shared" si="48"/>
        <v>7560</v>
      </c>
      <c r="AE232" s="181">
        <v>1.6</v>
      </c>
      <c r="AF232" s="181">
        <v>1.6</v>
      </c>
      <c r="AG232" s="101" t="str">
        <f t="shared" si="42"/>
        <v/>
      </c>
      <c r="AH232" s="190">
        <v>0</v>
      </c>
      <c r="AI232" s="69">
        <f t="shared" si="43"/>
        <v>189</v>
      </c>
    </row>
    <row r="233" spans="1:35" s="69" customFormat="1" ht="58.5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 t="s">
        <v>15</v>
      </c>
      <c r="I233" s="75">
        <v>3615.3</v>
      </c>
      <c r="J233" s="75">
        <v>426605.4</v>
      </c>
      <c r="K233" s="91" t="s">
        <v>591</v>
      </c>
      <c r="L233" s="73"/>
      <c r="M233" s="46">
        <v>22</v>
      </c>
      <c r="N233" s="46">
        <v>79536.600000000006</v>
      </c>
      <c r="O233" s="46">
        <v>79536.600000000006</v>
      </c>
      <c r="P233" s="98"/>
      <c r="Q233" s="23" t="s">
        <v>1429</v>
      </c>
      <c r="R233" s="24" t="s">
        <v>590</v>
      </c>
      <c r="S233" s="25" t="s">
        <v>325</v>
      </c>
      <c r="T233" s="26">
        <v>118</v>
      </c>
      <c r="U233" s="26">
        <v>118</v>
      </c>
      <c r="V233" s="26">
        <v>3615.3</v>
      </c>
      <c r="W233" s="128">
        <f t="shared" si="46"/>
        <v>0</v>
      </c>
      <c r="X233" s="26">
        <f t="shared" si="35"/>
        <v>22</v>
      </c>
      <c r="Y233" s="26">
        <f t="shared" si="47"/>
        <v>0</v>
      </c>
      <c r="Z233" s="26">
        <f t="shared" si="44"/>
        <v>79536.600000000006</v>
      </c>
      <c r="AA233" s="33" t="s">
        <v>15</v>
      </c>
      <c r="AB233" s="36" t="s">
        <v>16</v>
      </c>
      <c r="AC233" s="181">
        <f t="shared" si="41"/>
        <v>118</v>
      </c>
      <c r="AD233" s="181">
        <f t="shared" si="48"/>
        <v>426605.4</v>
      </c>
      <c r="AE233" s="181">
        <v>1.6</v>
      </c>
      <c r="AF233" s="181">
        <v>1.6</v>
      </c>
      <c r="AG233" s="101" t="str">
        <f t="shared" si="42"/>
        <v/>
      </c>
      <c r="AH233" s="191">
        <f>22</f>
        <v>22</v>
      </c>
      <c r="AI233" s="69">
        <f t="shared" si="43"/>
        <v>118</v>
      </c>
    </row>
    <row r="234" spans="1:35" s="69" customFormat="1" ht="58.5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 t="s">
        <v>15</v>
      </c>
      <c r="I234" s="75">
        <v>113.98</v>
      </c>
      <c r="J234" s="75">
        <v>316066.53999999998</v>
      </c>
      <c r="K234" s="91" t="s">
        <v>594</v>
      </c>
      <c r="L234" s="73"/>
      <c r="M234" s="46">
        <v>517</v>
      </c>
      <c r="N234" s="46">
        <v>58927.66</v>
      </c>
      <c r="O234" s="46">
        <v>58927.66</v>
      </c>
      <c r="P234" s="98"/>
      <c r="Q234" s="23" t="s">
        <v>1430</v>
      </c>
      <c r="R234" s="24" t="s">
        <v>593</v>
      </c>
      <c r="S234" s="25" t="s">
        <v>110</v>
      </c>
      <c r="T234" s="26">
        <v>2773</v>
      </c>
      <c r="U234" s="26">
        <v>2773</v>
      </c>
      <c r="V234" s="26">
        <v>113.98</v>
      </c>
      <c r="W234" s="128">
        <f t="shared" si="46"/>
        <v>0</v>
      </c>
      <c r="X234" s="26">
        <f t="shared" si="35"/>
        <v>517</v>
      </c>
      <c r="Y234" s="26">
        <f t="shared" si="47"/>
        <v>0</v>
      </c>
      <c r="Z234" s="26">
        <f t="shared" si="44"/>
        <v>58927.66</v>
      </c>
      <c r="AA234" s="33" t="s">
        <v>15</v>
      </c>
      <c r="AB234" s="36" t="s">
        <v>16</v>
      </c>
      <c r="AC234" s="181">
        <f t="shared" si="41"/>
        <v>2773</v>
      </c>
      <c r="AD234" s="181">
        <f t="shared" si="48"/>
        <v>316066.53999999998</v>
      </c>
      <c r="AE234" s="181">
        <v>1.6</v>
      </c>
      <c r="AF234" s="181">
        <v>1.6</v>
      </c>
      <c r="AG234" s="101" t="str">
        <f t="shared" si="42"/>
        <v/>
      </c>
      <c r="AH234" s="191">
        <f>22*23.5</f>
        <v>517</v>
      </c>
      <c r="AI234" s="69">
        <f t="shared" si="43"/>
        <v>2773</v>
      </c>
    </row>
    <row r="235" spans="1:35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6" t="s">
        <v>15</v>
      </c>
      <c r="I235" s="75">
        <v>138.84</v>
      </c>
      <c r="J235" s="75">
        <v>15550.08</v>
      </c>
      <c r="K235" s="91" t="s">
        <v>190</v>
      </c>
      <c r="L235" s="73"/>
      <c r="M235" s="46">
        <v>0</v>
      </c>
      <c r="N235" s="46">
        <v>0</v>
      </c>
      <c r="O235" s="46">
        <v>0</v>
      </c>
      <c r="P235" s="98"/>
      <c r="Q235" s="23" t="s">
        <v>1431</v>
      </c>
      <c r="R235" s="24" t="s">
        <v>189</v>
      </c>
      <c r="S235" s="25" t="s">
        <v>30</v>
      </c>
      <c r="T235" s="26">
        <v>112</v>
      </c>
      <c r="U235" s="26">
        <v>112</v>
      </c>
      <c r="V235" s="26">
        <v>138.84</v>
      </c>
      <c r="W235" s="26">
        <f t="shared" si="46"/>
        <v>0</v>
      </c>
      <c r="X235" s="26">
        <f t="shared" si="35"/>
        <v>0</v>
      </c>
      <c r="Y235" s="26">
        <f t="shared" si="47"/>
        <v>0</v>
      </c>
      <c r="Z235" s="26">
        <f t="shared" si="44"/>
        <v>0</v>
      </c>
      <c r="AA235" s="33" t="s">
        <v>15</v>
      </c>
      <c r="AB235" s="36" t="s">
        <v>16</v>
      </c>
      <c r="AC235" s="181">
        <f t="shared" si="41"/>
        <v>112</v>
      </c>
      <c r="AD235" s="181">
        <f t="shared" si="48"/>
        <v>15550.08</v>
      </c>
      <c r="AE235" s="181">
        <v>1.6</v>
      </c>
      <c r="AF235" s="181">
        <v>1.6</v>
      </c>
      <c r="AG235" s="101" t="str">
        <f t="shared" si="42"/>
        <v/>
      </c>
      <c r="AH235" s="190">
        <v>0</v>
      </c>
      <c r="AI235" s="69">
        <f t="shared" si="43"/>
        <v>112</v>
      </c>
    </row>
    <row r="236" spans="1:35" ht="39" x14ac:dyDescent="0.3">
      <c r="A236" s="67" t="s">
        <v>1334</v>
      </c>
      <c r="B236" s="64" t="s">
        <v>1335</v>
      </c>
      <c r="C236" s="61" t="s">
        <v>50</v>
      </c>
      <c r="D236" s="78"/>
      <c r="E236" s="78"/>
      <c r="F236" s="62">
        <v>518.22</v>
      </c>
      <c r="G236" s="140"/>
      <c r="H236" s="62" t="s">
        <v>15</v>
      </c>
      <c r="I236" s="167">
        <v>868.85</v>
      </c>
      <c r="J236" s="62">
        <v>450255.45</v>
      </c>
      <c r="K236" s="93"/>
      <c r="M236" s="46">
        <v>32.5</v>
      </c>
      <c r="N236" s="46">
        <v>28237.63</v>
      </c>
      <c r="O236" s="46">
        <v>28237.63</v>
      </c>
      <c r="P236" s="98"/>
      <c r="Q236" s="23" t="s">
        <v>1395</v>
      </c>
      <c r="R236" s="24" t="s">
        <v>1396</v>
      </c>
      <c r="S236" s="25" t="s">
        <v>50</v>
      </c>
      <c r="T236" s="26">
        <v>0</v>
      </c>
      <c r="U236" s="26">
        <v>518.22</v>
      </c>
      <c r="V236" s="26">
        <v>868.85</v>
      </c>
      <c r="W236" s="128">
        <f t="shared" si="46"/>
        <v>83</v>
      </c>
      <c r="X236" s="26">
        <f t="shared" si="35"/>
        <v>115.5</v>
      </c>
      <c r="Y236" s="26">
        <f t="shared" si="47"/>
        <v>72114.549999999988</v>
      </c>
      <c r="Z236" s="26">
        <f t="shared" si="44"/>
        <v>100352.18</v>
      </c>
      <c r="AA236" s="27"/>
      <c r="AB236" s="36" t="s">
        <v>16</v>
      </c>
      <c r="AC236" s="181">
        <f t="shared" si="41"/>
        <v>518.22</v>
      </c>
      <c r="AD236" s="181">
        <f t="shared" si="48"/>
        <v>450255.45</v>
      </c>
      <c r="AE236" s="181">
        <v>1.6</v>
      </c>
      <c r="AF236" s="181">
        <v>1.6</v>
      </c>
      <c r="AG236" s="101" t="str">
        <f t="shared" si="42"/>
        <v/>
      </c>
      <c r="AH236" s="191">
        <f>65*0.5+83</f>
        <v>115.5</v>
      </c>
      <c r="AI236" s="69">
        <f t="shared" si="43"/>
        <v>518.22</v>
      </c>
    </row>
    <row r="237" spans="1:35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4" t="s">
        <v>15</v>
      </c>
      <c r="I237" s="82"/>
      <c r="J237" s="82">
        <v>7859013.9699999997</v>
      </c>
      <c r="K237" s="94" t="s">
        <v>15</v>
      </c>
      <c r="L237" s="73"/>
      <c r="M237" s="45">
        <v>1</v>
      </c>
      <c r="N237" s="45">
        <v>112723.20000000001</v>
      </c>
      <c r="O237" s="45">
        <v>2680245.5200000005</v>
      </c>
      <c r="P237" s="98"/>
      <c r="Q237" s="18" t="s">
        <v>1397</v>
      </c>
      <c r="R237" s="19" t="s">
        <v>597</v>
      </c>
      <c r="S237" s="20" t="s">
        <v>14</v>
      </c>
      <c r="T237" s="21">
        <v>1</v>
      </c>
      <c r="U237" s="21"/>
      <c r="V237" s="21">
        <f>SUMIFS(AD:AD,AE:AE,AE237)</f>
        <v>7859013.9699999997</v>
      </c>
      <c r="W237" s="21">
        <f t="shared" ref="W237:X237" si="49">IF(Y237=0,0,1)</f>
        <v>0</v>
      </c>
      <c r="X237" s="21">
        <f t="shared" si="49"/>
        <v>1</v>
      </c>
      <c r="Y237" s="21">
        <f>SUMIFS(Y:Y,AF:AF,AE237)</f>
        <v>0</v>
      </c>
      <c r="Z237" s="21">
        <f>SUMIFS(Z:Z,AF:AF,AE237)</f>
        <v>2680245.5200000005</v>
      </c>
      <c r="AA237" s="22" t="s">
        <v>15</v>
      </c>
      <c r="AB237" s="43" t="s">
        <v>16</v>
      </c>
      <c r="AC237" s="181">
        <f t="shared" si="41"/>
        <v>1</v>
      </c>
      <c r="AD237" s="184"/>
      <c r="AE237" s="184">
        <v>1.7</v>
      </c>
      <c r="AF237" s="184"/>
      <c r="AG237" s="101" t="str">
        <f t="shared" si="42"/>
        <v/>
      </c>
      <c r="AH237" s="190">
        <v>1</v>
      </c>
      <c r="AI237" s="69">
        <f t="shared" si="43"/>
        <v>1</v>
      </c>
    </row>
    <row r="238" spans="1:35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 t="s">
        <v>15</v>
      </c>
      <c r="I238" s="75">
        <v>704.52</v>
      </c>
      <c r="J238" s="75">
        <v>1829427.08</v>
      </c>
      <c r="K238" s="91" t="s">
        <v>600</v>
      </c>
      <c r="L238" s="73"/>
      <c r="M238" s="46">
        <v>316</v>
      </c>
      <c r="N238" s="46">
        <v>112723.20000000001</v>
      </c>
      <c r="O238" s="46">
        <v>222628.32</v>
      </c>
      <c r="P238" s="98"/>
      <c r="Q238" s="23" t="s">
        <v>1421</v>
      </c>
      <c r="R238" s="24" t="s">
        <v>599</v>
      </c>
      <c r="S238" s="25" t="s">
        <v>103</v>
      </c>
      <c r="T238" s="26">
        <v>2596.6999999999998</v>
      </c>
      <c r="U238" s="26">
        <v>2596.6999999999998</v>
      </c>
      <c r="V238" s="26">
        <v>704.52</v>
      </c>
      <c r="W238" s="128">
        <f t="shared" ref="W238:W301" si="50">AH238-M238</f>
        <v>0</v>
      </c>
      <c r="X238" s="26">
        <f t="shared" si="35"/>
        <v>316</v>
      </c>
      <c r="Y238" s="26">
        <f t="shared" ref="Y238:Y301" si="51">Z238-O238</f>
        <v>0</v>
      </c>
      <c r="Z238" s="26">
        <f t="shared" si="44"/>
        <v>222628.32</v>
      </c>
      <c r="AA238" s="33" t="s">
        <v>15</v>
      </c>
      <c r="AB238" s="36" t="s">
        <v>16</v>
      </c>
      <c r="AC238" s="181">
        <f t="shared" si="41"/>
        <v>2596.6999999999998</v>
      </c>
      <c r="AD238" s="181">
        <f t="shared" ref="AD238:AD301" si="52">ROUND(V238*AC238,2)</f>
        <v>1829427.08</v>
      </c>
      <c r="AE238" s="181">
        <v>1.7</v>
      </c>
      <c r="AF238" s="181">
        <v>1.7</v>
      </c>
      <c r="AG238" s="101" t="str">
        <f t="shared" si="42"/>
        <v/>
      </c>
      <c r="AH238" s="191">
        <f>13*12+160</f>
        <v>316</v>
      </c>
      <c r="AI238" s="69">
        <f t="shared" si="43"/>
        <v>2596.6999999999998</v>
      </c>
    </row>
    <row r="239" spans="1:35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 t="s">
        <v>15</v>
      </c>
      <c r="I239" s="75">
        <v>400</v>
      </c>
      <c r="J239" s="75">
        <v>50400</v>
      </c>
      <c r="K239" s="91" t="s">
        <v>603</v>
      </c>
      <c r="L239" s="73"/>
      <c r="M239" s="46">
        <v>0</v>
      </c>
      <c r="N239" s="46">
        <v>0</v>
      </c>
      <c r="O239" s="46">
        <v>0</v>
      </c>
      <c r="P239" s="98"/>
      <c r="Q239" s="23" t="s">
        <v>1426</v>
      </c>
      <c r="R239" s="24" t="s">
        <v>602</v>
      </c>
      <c r="S239" s="25" t="s">
        <v>559</v>
      </c>
      <c r="T239" s="26">
        <v>126</v>
      </c>
      <c r="U239" s="26">
        <v>126</v>
      </c>
      <c r="V239" s="26">
        <v>400</v>
      </c>
      <c r="W239" s="26">
        <f t="shared" si="50"/>
        <v>0</v>
      </c>
      <c r="X239" s="26">
        <f t="shared" si="35"/>
        <v>0</v>
      </c>
      <c r="Y239" s="26">
        <f t="shared" si="51"/>
        <v>0</v>
      </c>
      <c r="Z239" s="26">
        <f t="shared" si="44"/>
        <v>0</v>
      </c>
      <c r="AA239" s="33" t="s">
        <v>15</v>
      </c>
      <c r="AB239" s="36" t="s">
        <v>16</v>
      </c>
      <c r="AC239" s="181">
        <f t="shared" si="41"/>
        <v>126</v>
      </c>
      <c r="AD239" s="181">
        <f t="shared" si="52"/>
        <v>50400</v>
      </c>
      <c r="AE239" s="181">
        <v>1.7</v>
      </c>
      <c r="AF239" s="181">
        <v>1.7</v>
      </c>
      <c r="AG239" s="101" t="str">
        <f t="shared" si="42"/>
        <v/>
      </c>
      <c r="AH239" s="190">
        <v>0</v>
      </c>
      <c r="AI239" s="69">
        <f t="shared" si="43"/>
        <v>126</v>
      </c>
    </row>
    <row r="240" spans="1:35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 t="s">
        <v>15</v>
      </c>
      <c r="I240" s="75">
        <v>3569.95</v>
      </c>
      <c r="J240" s="75">
        <v>42839.4</v>
      </c>
      <c r="K240" s="91" t="s">
        <v>607</v>
      </c>
      <c r="L240" s="73"/>
      <c r="M240" s="46">
        <v>0</v>
      </c>
      <c r="N240" s="46">
        <v>0</v>
      </c>
      <c r="O240" s="46">
        <v>0</v>
      </c>
      <c r="P240" s="98"/>
      <c r="Q240" s="23" t="s">
        <v>1402</v>
      </c>
      <c r="R240" s="24" t="s">
        <v>605</v>
      </c>
      <c r="S240" s="25" t="s">
        <v>606</v>
      </c>
      <c r="T240" s="26">
        <v>12</v>
      </c>
      <c r="U240" s="26">
        <v>12</v>
      </c>
      <c r="V240" s="26">
        <v>3569.95</v>
      </c>
      <c r="W240" s="26">
        <f t="shared" si="50"/>
        <v>0</v>
      </c>
      <c r="X240" s="26">
        <f t="shared" si="35"/>
        <v>0</v>
      </c>
      <c r="Y240" s="26">
        <f t="shared" si="51"/>
        <v>0</v>
      </c>
      <c r="Z240" s="26">
        <f t="shared" si="44"/>
        <v>0</v>
      </c>
      <c r="AA240" s="33" t="s">
        <v>15</v>
      </c>
      <c r="AB240" s="36" t="s">
        <v>16</v>
      </c>
      <c r="AC240" s="181">
        <f t="shared" si="41"/>
        <v>12</v>
      </c>
      <c r="AD240" s="181">
        <f t="shared" si="52"/>
        <v>42839.4</v>
      </c>
      <c r="AE240" s="181">
        <v>1.7</v>
      </c>
      <c r="AF240" s="181">
        <v>1.7</v>
      </c>
      <c r="AG240" s="101" t="str">
        <f t="shared" si="42"/>
        <v/>
      </c>
      <c r="AH240" s="190">
        <v>0</v>
      </c>
      <c r="AI240" s="69">
        <f t="shared" si="43"/>
        <v>12</v>
      </c>
    </row>
    <row r="241" spans="1:35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 t="s">
        <v>15</v>
      </c>
      <c r="I241" s="75">
        <v>4083.1</v>
      </c>
      <c r="J241" s="75">
        <v>73495.8</v>
      </c>
      <c r="K241" s="91" t="s">
        <v>610</v>
      </c>
      <c r="L241" s="73"/>
      <c r="M241" s="46">
        <v>5</v>
      </c>
      <c r="N241" s="46">
        <v>0</v>
      </c>
      <c r="O241" s="46">
        <v>20415.5</v>
      </c>
      <c r="P241" s="98"/>
      <c r="Q241" s="23" t="s">
        <v>1373</v>
      </c>
      <c r="R241" s="24" t="s">
        <v>609</v>
      </c>
      <c r="S241" s="25" t="s">
        <v>606</v>
      </c>
      <c r="T241" s="26">
        <v>18</v>
      </c>
      <c r="U241" s="26">
        <v>18</v>
      </c>
      <c r="V241" s="26">
        <v>4083.1</v>
      </c>
      <c r="W241" s="26">
        <f t="shared" si="50"/>
        <v>0</v>
      </c>
      <c r="X241" s="26">
        <f t="shared" si="35"/>
        <v>5</v>
      </c>
      <c r="Y241" s="26">
        <f t="shared" si="51"/>
        <v>0</v>
      </c>
      <c r="Z241" s="26">
        <f t="shared" si="44"/>
        <v>20415.5</v>
      </c>
      <c r="AA241" s="33" t="s">
        <v>15</v>
      </c>
      <c r="AB241" s="36" t="s">
        <v>16</v>
      </c>
      <c r="AC241" s="181">
        <f t="shared" si="41"/>
        <v>18</v>
      </c>
      <c r="AD241" s="181">
        <f t="shared" si="52"/>
        <v>73495.8</v>
      </c>
      <c r="AE241" s="181">
        <v>1.7</v>
      </c>
      <c r="AF241" s="181">
        <v>1.7</v>
      </c>
      <c r="AG241" s="101" t="str">
        <f t="shared" si="42"/>
        <v/>
      </c>
      <c r="AH241" s="190">
        <v>5</v>
      </c>
      <c r="AI241" s="69">
        <f t="shared" si="43"/>
        <v>18</v>
      </c>
    </row>
    <row r="242" spans="1:35" s="69" customFormat="1" ht="39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203"/>
      <c r="F242" s="203"/>
      <c r="G242" s="203"/>
      <c r="H242" s="203" t="s">
        <v>15</v>
      </c>
      <c r="I242" s="75">
        <v>7408.5</v>
      </c>
      <c r="J242" s="75">
        <v>37042.5</v>
      </c>
      <c r="K242" s="91" t="s">
        <v>613</v>
      </c>
      <c r="L242" s="73"/>
      <c r="M242" s="46">
        <v>5</v>
      </c>
      <c r="N242" s="46">
        <v>0</v>
      </c>
      <c r="O242" s="46">
        <v>37042.5</v>
      </c>
      <c r="P242" s="98"/>
      <c r="Q242" s="23" t="s">
        <v>1393</v>
      </c>
      <c r="R242" s="24" t="s">
        <v>612</v>
      </c>
      <c r="S242" s="25" t="s">
        <v>606</v>
      </c>
      <c r="T242" s="26">
        <v>5</v>
      </c>
      <c r="U242" s="26">
        <v>5</v>
      </c>
      <c r="V242" s="26">
        <v>7408.5</v>
      </c>
      <c r="W242" s="127">
        <f t="shared" si="50"/>
        <v>0</v>
      </c>
      <c r="X242" s="127">
        <f t="shared" ref="X242:X305" si="53">W242+M242</f>
        <v>5</v>
      </c>
      <c r="Y242" s="127">
        <f t="shared" si="51"/>
        <v>0</v>
      </c>
      <c r="Z242" s="127">
        <f t="shared" si="44"/>
        <v>37042.5</v>
      </c>
      <c r="AA242" s="33" t="s">
        <v>15</v>
      </c>
      <c r="AB242" s="36" t="s">
        <v>16</v>
      </c>
      <c r="AC242" s="181">
        <f t="shared" si="41"/>
        <v>5</v>
      </c>
      <c r="AD242" s="181">
        <f t="shared" si="52"/>
        <v>37042.5</v>
      </c>
      <c r="AE242" s="181">
        <v>1.7</v>
      </c>
      <c r="AF242" s="181">
        <v>1.7</v>
      </c>
      <c r="AG242" s="101" t="str">
        <f t="shared" si="42"/>
        <v/>
      </c>
      <c r="AH242" s="190">
        <v>5</v>
      </c>
      <c r="AI242" s="69">
        <f t="shared" si="43"/>
        <v>5</v>
      </c>
    </row>
    <row r="243" spans="1:35" s="69" customFormat="1" ht="39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203"/>
      <c r="F243" s="203"/>
      <c r="G243" s="203"/>
      <c r="H243" s="203" t="s">
        <v>15</v>
      </c>
      <c r="I243" s="75">
        <v>10319.280000000001</v>
      </c>
      <c r="J243" s="75">
        <v>51596.4</v>
      </c>
      <c r="K243" s="91" t="s">
        <v>616</v>
      </c>
      <c r="L243" s="73"/>
      <c r="M243" s="46">
        <v>5</v>
      </c>
      <c r="N243" s="46">
        <v>0</v>
      </c>
      <c r="O243" s="46">
        <v>51596.4</v>
      </c>
      <c r="P243" s="98"/>
      <c r="Q243" s="23" t="s">
        <v>1403</v>
      </c>
      <c r="R243" s="24" t="s">
        <v>615</v>
      </c>
      <c r="S243" s="25" t="s">
        <v>606</v>
      </c>
      <c r="T243" s="26">
        <v>5</v>
      </c>
      <c r="U243" s="26">
        <v>5</v>
      </c>
      <c r="V243" s="26">
        <v>10319.280000000001</v>
      </c>
      <c r="W243" s="127">
        <f t="shared" si="50"/>
        <v>0</v>
      </c>
      <c r="X243" s="127">
        <f t="shared" si="53"/>
        <v>5</v>
      </c>
      <c r="Y243" s="127">
        <f t="shared" si="51"/>
        <v>0</v>
      </c>
      <c r="Z243" s="127">
        <f t="shared" si="44"/>
        <v>51596.4</v>
      </c>
      <c r="AA243" s="33" t="s">
        <v>15</v>
      </c>
      <c r="AB243" s="36" t="s">
        <v>16</v>
      </c>
      <c r="AC243" s="181">
        <f t="shared" si="41"/>
        <v>5</v>
      </c>
      <c r="AD243" s="181">
        <f t="shared" si="52"/>
        <v>51596.4</v>
      </c>
      <c r="AE243" s="181">
        <v>1.7</v>
      </c>
      <c r="AF243" s="181">
        <v>1.7</v>
      </c>
      <c r="AG243" s="101" t="str">
        <f t="shared" si="42"/>
        <v/>
      </c>
      <c r="AH243" s="190">
        <v>5</v>
      </c>
      <c r="AI243" s="69">
        <f t="shared" si="43"/>
        <v>5</v>
      </c>
    </row>
    <row r="244" spans="1:35" s="69" customFormat="1" ht="39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203"/>
      <c r="F244" s="203"/>
      <c r="G244" s="203"/>
      <c r="H244" s="203" t="s">
        <v>15</v>
      </c>
      <c r="I244" s="75">
        <v>15164.14</v>
      </c>
      <c r="J244" s="75">
        <v>30328.28</v>
      </c>
      <c r="K244" s="91" t="s">
        <v>619</v>
      </c>
      <c r="L244" s="73"/>
      <c r="M244" s="46">
        <v>2</v>
      </c>
      <c r="N244" s="46">
        <v>0</v>
      </c>
      <c r="O244" s="46">
        <v>30328.28</v>
      </c>
      <c r="P244" s="98"/>
      <c r="Q244" s="23" t="s">
        <v>1427</v>
      </c>
      <c r="R244" s="24" t="s">
        <v>618</v>
      </c>
      <c r="S244" s="25" t="s">
        <v>606</v>
      </c>
      <c r="T244" s="26">
        <v>2</v>
      </c>
      <c r="U244" s="26">
        <v>2</v>
      </c>
      <c r="V244" s="26">
        <v>15164.14</v>
      </c>
      <c r="W244" s="127">
        <f t="shared" si="50"/>
        <v>0</v>
      </c>
      <c r="X244" s="127">
        <f t="shared" si="53"/>
        <v>2</v>
      </c>
      <c r="Y244" s="127">
        <f t="shared" si="51"/>
        <v>0</v>
      </c>
      <c r="Z244" s="127">
        <f t="shared" si="44"/>
        <v>30328.28</v>
      </c>
      <c r="AA244" s="33" t="s">
        <v>15</v>
      </c>
      <c r="AB244" s="36" t="s">
        <v>16</v>
      </c>
      <c r="AC244" s="181">
        <f t="shared" si="41"/>
        <v>2</v>
      </c>
      <c r="AD244" s="181">
        <f t="shared" si="52"/>
        <v>30328.28</v>
      </c>
      <c r="AE244" s="181">
        <v>1.7</v>
      </c>
      <c r="AF244" s="181">
        <v>1.7</v>
      </c>
      <c r="AG244" s="101" t="str">
        <f t="shared" si="42"/>
        <v/>
      </c>
      <c r="AH244" s="190">
        <v>2</v>
      </c>
      <c r="AI244" s="69">
        <f t="shared" si="43"/>
        <v>2</v>
      </c>
    </row>
    <row r="245" spans="1:35" s="69" customFormat="1" ht="39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203"/>
      <c r="F245" s="203"/>
      <c r="G245" s="203"/>
      <c r="H245" s="203" t="s">
        <v>15</v>
      </c>
      <c r="I245" s="75">
        <v>21803.06</v>
      </c>
      <c r="J245" s="75">
        <v>130818.36</v>
      </c>
      <c r="K245" s="91" t="s">
        <v>622</v>
      </c>
      <c r="L245" s="73"/>
      <c r="M245" s="46">
        <v>6</v>
      </c>
      <c r="N245" s="46">
        <v>0</v>
      </c>
      <c r="O245" s="46">
        <v>130818.36</v>
      </c>
      <c r="P245" s="98"/>
      <c r="Q245" s="23" t="s">
        <v>1428</v>
      </c>
      <c r="R245" s="24" t="s">
        <v>621</v>
      </c>
      <c r="S245" s="25" t="s">
        <v>606</v>
      </c>
      <c r="T245" s="26">
        <v>6</v>
      </c>
      <c r="U245" s="26">
        <v>6</v>
      </c>
      <c r="V245" s="26">
        <v>21803.06</v>
      </c>
      <c r="W245" s="127">
        <f t="shared" si="50"/>
        <v>0</v>
      </c>
      <c r="X245" s="127">
        <f t="shared" si="53"/>
        <v>6</v>
      </c>
      <c r="Y245" s="127">
        <f t="shared" si="51"/>
        <v>0</v>
      </c>
      <c r="Z245" s="127">
        <f t="shared" si="44"/>
        <v>130818.36</v>
      </c>
      <c r="AA245" s="33" t="s">
        <v>15</v>
      </c>
      <c r="AB245" s="36" t="s">
        <v>16</v>
      </c>
      <c r="AC245" s="181">
        <f t="shared" si="41"/>
        <v>6</v>
      </c>
      <c r="AD245" s="181">
        <f t="shared" si="52"/>
        <v>130818.36</v>
      </c>
      <c r="AE245" s="181">
        <v>1.7</v>
      </c>
      <c r="AF245" s="181">
        <v>1.7</v>
      </c>
      <c r="AG245" s="101" t="str">
        <f t="shared" si="42"/>
        <v/>
      </c>
      <c r="AH245" s="190">
        <v>6</v>
      </c>
      <c r="AI245" s="69">
        <f t="shared" si="43"/>
        <v>6</v>
      </c>
    </row>
    <row r="246" spans="1:35" s="69" customFormat="1" ht="39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203"/>
      <c r="F246" s="203"/>
      <c r="G246" s="203"/>
      <c r="H246" s="203" t="s">
        <v>15</v>
      </c>
      <c r="I246" s="75">
        <v>26196.51</v>
      </c>
      <c r="J246" s="75">
        <v>78589.53</v>
      </c>
      <c r="K246" s="91" t="s">
        <v>625</v>
      </c>
      <c r="L246" s="73"/>
      <c r="M246" s="46">
        <v>3</v>
      </c>
      <c r="N246" s="46">
        <v>0</v>
      </c>
      <c r="O246" s="46">
        <v>78589.53</v>
      </c>
      <c r="P246" s="98"/>
      <c r="Q246" s="23" t="s">
        <v>1387</v>
      </c>
      <c r="R246" s="24" t="s">
        <v>624</v>
      </c>
      <c r="S246" s="25" t="s">
        <v>606</v>
      </c>
      <c r="T246" s="26">
        <v>3</v>
      </c>
      <c r="U246" s="26">
        <v>3</v>
      </c>
      <c r="V246" s="26">
        <v>26196.51</v>
      </c>
      <c r="W246" s="127">
        <f t="shared" si="50"/>
        <v>0</v>
      </c>
      <c r="X246" s="127">
        <f t="shared" si="53"/>
        <v>3</v>
      </c>
      <c r="Y246" s="127">
        <f t="shared" si="51"/>
        <v>0</v>
      </c>
      <c r="Z246" s="127">
        <f t="shared" si="44"/>
        <v>78589.53</v>
      </c>
      <c r="AA246" s="33" t="s">
        <v>15</v>
      </c>
      <c r="AB246" s="36" t="s">
        <v>16</v>
      </c>
      <c r="AC246" s="181">
        <f t="shared" si="41"/>
        <v>3</v>
      </c>
      <c r="AD246" s="181">
        <f t="shared" si="52"/>
        <v>78589.53</v>
      </c>
      <c r="AE246" s="181">
        <v>1.7</v>
      </c>
      <c r="AF246" s="181">
        <v>1.7</v>
      </c>
      <c r="AG246" s="101" t="str">
        <f t="shared" si="42"/>
        <v/>
      </c>
      <c r="AH246" s="190">
        <v>3</v>
      </c>
      <c r="AI246" s="69">
        <f t="shared" si="43"/>
        <v>3</v>
      </c>
    </row>
    <row r="247" spans="1:35" s="69" customFormat="1" ht="39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203"/>
      <c r="F247" s="203"/>
      <c r="G247" s="203"/>
      <c r="H247" s="203" t="s">
        <v>15</v>
      </c>
      <c r="I247" s="75">
        <v>29984.85</v>
      </c>
      <c r="J247" s="75">
        <v>59969.7</v>
      </c>
      <c r="K247" s="91" t="s">
        <v>628</v>
      </c>
      <c r="L247" s="73"/>
      <c r="M247" s="46">
        <v>2</v>
      </c>
      <c r="N247" s="46">
        <v>0</v>
      </c>
      <c r="O247" s="46">
        <v>59969.7</v>
      </c>
      <c r="P247" s="98"/>
      <c r="Q247" s="23" t="s">
        <v>1405</v>
      </c>
      <c r="R247" s="24" t="s">
        <v>627</v>
      </c>
      <c r="S247" s="25" t="s">
        <v>606</v>
      </c>
      <c r="T247" s="26">
        <v>2</v>
      </c>
      <c r="U247" s="26">
        <v>2</v>
      </c>
      <c r="V247" s="26">
        <v>29984.85</v>
      </c>
      <c r="W247" s="127">
        <f t="shared" si="50"/>
        <v>0</v>
      </c>
      <c r="X247" s="127">
        <f t="shared" si="53"/>
        <v>2</v>
      </c>
      <c r="Y247" s="127">
        <f t="shared" si="51"/>
        <v>0</v>
      </c>
      <c r="Z247" s="127">
        <f t="shared" si="44"/>
        <v>59969.7</v>
      </c>
      <c r="AA247" s="33" t="s">
        <v>15</v>
      </c>
      <c r="AB247" s="36" t="s">
        <v>16</v>
      </c>
      <c r="AC247" s="181">
        <f t="shared" si="41"/>
        <v>2</v>
      </c>
      <c r="AD247" s="181">
        <f t="shared" si="52"/>
        <v>59969.7</v>
      </c>
      <c r="AE247" s="181">
        <v>1.7</v>
      </c>
      <c r="AF247" s="181">
        <v>1.7</v>
      </c>
      <c r="AG247" s="101" t="str">
        <f t="shared" si="42"/>
        <v/>
      </c>
      <c r="AH247" s="190">
        <v>2</v>
      </c>
      <c r="AI247" s="69">
        <f t="shared" si="43"/>
        <v>2</v>
      </c>
    </row>
    <row r="248" spans="1:35" s="69" customFormat="1" ht="39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203"/>
      <c r="F248" s="203"/>
      <c r="G248" s="203"/>
      <c r="H248" s="203" t="s">
        <v>15</v>
      </c>
      <c r="I248" s="75">
        <v>38914.949999999997</v>
      </c>
      <c r="J248" s="75">
        <v>116744.85</v>
      </c>
      <c r="K248" s="91" t="s">
        <v>631</v>
      </c>
      <c r="L248" s="73"/>
      <c r="M248" s="46">
        <v>3</v>
      </c>
      <c r="N248" s="46">
        <v>0</v>
      </c>
      <c r="O248" s="46">
        <v>116744.85</v>
      </c>
      <c r="P248" s="98"/>
      <c r="Q248" s="23" t="s">
        <v>1406</v>
      </c>
      <c r="R248" s="24" t="s">
        <v>630</v>
      </c>
      <c r="S248" s="25" t="s">
        <v>606</v>
      </c>
      <c r="T248" s="26">
        <v>3</v>
      </c>
      <c r="U248" s="26">
        <v>3</v>
      </c>
      <c r="V248" s="26">
        <v>38914.949999999997</v>
      </c>
      <c r="W248" s="127">
        <f t="shared" si="50"/>
        <v>0</v>
      </c>
      <c r="X248" s="127">
        <f t="shared" si="53"/>
        <v>3</v>
      </c>
      <c r="Y248" s="127">
        <f t="shared" si="51"/>
        <v>0</v>
      </c>
      <c r="Z248" s="127">
        <f t="shared" si="44"/>
        <v>116744.85</v>
      </c>
      <c r="AA248" s="33" t="s">
        <v>15</v>
      </c>
      <c r="AB248" s="36" t="s">
        <v>16</v>
      </c>
      <c r="AC248" s="181">
        <f t="shared" si="41"/>
        <v>3</v>
      </c>
      <c r="AD248" s="181">
        <f t="shared" si="52"/>
        <v>116744.85</v>
      </c>
      <c r="AE248" s="181">
        <v>1.7</v>
      </c>
      <c r="AF248" s="181">
        <v>1.7</v>
      </c>
      <c r="AG248" s="101" t="str">
        <f t="shared" si="42"/>
        <v/>
      </c>
      <c r="AH248" s="190">
        <v>3</v>
      </c>
      <c r="AI248" s="69">
        <f t="shared" si="43"/>
        <v>3</v>
      </c>
    </row>
    <row r="249" spans="1:35" s="69" customFormat="1" ht="39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203"/>
      <c r="F249" s="203"/>
      <c r="G249" s="203"/>
      <c r="H249" s="203" t="s">
        <v>15</v>
      </c>
      <c r="I249" s="75">
        <v>43624.88</v>
      </c>
      <c r="J249" s="75">
        <v>130874.64</v>
      </c>
      <c r="K249" s="91" t="s">
        <v>634</v>
      </c>
      <c r="L249" s="73"/>
      <c r="M249" s="46">
        <v>3</v>
      </c>
      <c r="N249" s="46">
        <v>0</v>
      </c>
      <c r="O249" s="46">
        <v>130874.64</v>
      </c>
      <c r="P249" s="98"/>
      <c r="Q249" s="23" t="s">
        <v>1414</v>
      </c>
      <c r="R249" s="24" t="s">
        <v>633</v>
      </c>
      <c r="S249" s="25" t="s">
        <v>606</v>
      </c>
      <c r="T249" s="26">
        <v>3</v>
      </c>
      <c r="U249" s="26">
        <v>3</v>
      </c>
      <c r="V249" s="26">
        <v>43624.88</v>
      </c>
      <c r="W249" s="127">
        <f t="shared" si="50"/>
        <v>0</v>
      </c>
      <c r="X249" s="127">
        <f t="shared" si="53"/>
        <v>3</v>
      </c>
      <c r="Y249" s="127">
        <f t="shared" si="51"/>
        <v>0</v>
      </c>
      <c r="Z249" s="127">
        <f t="shared" si="44"/>
        <v>130874.64</v>
      </c>
      <c r="AA249" s="33" t="s">
        <v>15</v>
      </c>
      <c r="AB249" s="36" t="s">
        <v>16</v>
      </c>
      <c r="AC249" s="181">
        <f t="shared" si="41"/>
        <v>3</v>
      </c>
      <c r="AD249" s="181">
        <f t="shared" si="52"/>
        <v>130874.64</v>
      </c>
      <c r="AE249" s="181">
        <v>1.7</v>
      </c>
      <c r="AF249" s="181">
        <v>1.7</v>
      </c>
      <c r="AG249" s="101" t="str">
        <f t="shared" si="42"/>
        <v/>
      </c>
      <c r="AH249" s="190">
        <v>3</v>
      </c>
      <c r="AI249" s="69">
        <f t="shared" si="43"/>
        <v>3</v>
      </c>
    </row>
    <row r="250" spans="1:35" s="69" customFormat="1" ht="39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203"/>
      <c r="F250" s="203"/>
      <c r="G250" s="203"/>
      <c r="H250" s="203" t="s">
        <v>15</v>
      </c>
      <c r="I250" s="75">
        <v>73088.800000000003</v>
      </c>
      <c r="J250" s="75">
        <v>73088.800000000003</v>
      </c>
      <c r="K250" s="91" t="s">
        <v>637</v>
      </c>
      <c r="L250" s="73"/>
      <c r="M250" s="46">
        <v>1</v>
      </c>
      <c r="N250" s="46">
        <v>0</v>
      </c>
      <c r="O250" s="46">
        <v>73088.800000000003</v>
      </c>
      <c r="P250" s="98"/>
      <c r="Q250" s="23" t="s">
        <v>1429</v>
      </c>
      <c r="R250" s="24" t="s">
        <v>636</v>
      </c>
      <c r="S250" s="25" t="s">
        <v>606</v>
      </c>
      <c r="T250" s="26">
        <v>1</v>
      </c>
      <c r="U250" s="26">
        <v>1</v>
      </c>
      <c r="V250" s="26">
        <v>73088.800000000003</v>
      </c>
      <c r="W250" s="127">
        <f t="shared" si="50"/>
        <v>0</v>
      </c>
      <c r="X250" s="127">
        <f t="shared" si="53"/>
        <v>1</v>
      </c>
      <c r="Y250" s="127">
        <f t="shared" si="51"/>
        <v>0</v>
      </c>
      <c r="Z250" s="127">
        <f t="shared" si="44"/>
        <v>73088.800000000003</v>
      </c>
      <c r="AA250" s="33" t="s">
        <v>15</v>
      </c>
      <c r="AB250" s="36" t="s">
        <v>16</v>
      </c>
      <c r="AC250" s="181">
        <f t="shared" si="41"/>
        <v>1</v>
      </c>
      <c r="AD250" s="181">
        <f t="shared" si="52"/>
        <v>73088.800000000003</v>
      </c>
      <c r="AE250" s="181">
        <v>1.7</v>
      </c>
      <c r="AF250" s="181">
        <v>1.7</v>
      </c>
      <c r="AG250" s="101" t="str">
        <f t="shared" si="42"/>
        <v/>
      </c>
      <c r="AH250" s="190">
        <v>1</v>
      </c>
      <c r="AI250" s="69">
        <f t="shared" si="43"/>
        <v>1</v>
      </c>
    </row>
    <row r="251" spans="1:35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 t="s">
        <v>15</v>
      </c>
      <c r="I251" s="75">
        <v>22814.5</v>
      </c>
      <c r="J251" s="75">
        <v>136887</v>
      </c>
      <c r="K251" s="91" t="s">
        <v>640</v>
      </c>
      <c r="L251" s="73"/>
      <c r="M251" s="46">
        <v>0</v>
      </c>
      <c r="N251" s="46">
        <v>0</v>
      </c>
      <c r="O251" s="46">
        <v>0</v>
      </c>
      <c r="P251" s="98"/>
      <c r="Q251" s="23" t="s">
        <v>1430</v>
      </c>
      <c r="R251" s="24" t="s">
        <v>639</v>
      </c>
      <c r="S251" s="25" t="s">
        <v>606</v>
      </c>
      <c r="T251" s="26">
        <v>6</v>
      </c>
      <c r="U251" s="26">
        <v>6</v>
      </c>
      <c r="V251" s="26">
        <v>22814.5</v>
      </c>
      <c r="W251" s="26">
        <f t="shared" si="50"/>
        <v>0</v>
      </c>
      <c r="X251" s="26">
        <f t="shared" si="53"/>
        <v>0</v>
      </c>
      <c r="Y251" s="26">
        <f t="shared" si="51"/>
        <v>0</v>
      </c>
      <c r="Z251" s="26">
        <f t="shared" si="44"/>
        <v>0</v>
      </c>
      <c r="AA251" s="33" t="s">
        <v>15</v>
      </c>
      <c r="AB251" s="36" t="s">
        <v>16</v>
      </c>
      <c r="AC251" s="181">
        <f t="shared" si="41"/>
        <v>6</v>
      </c>
      <c r="AD251" s="181">
        <f t="shared" si="52"/>
        <v>136887</v>
      </c>
      <c r="AE251" s="181">
        <v>1.7</v>
      </c>
      <c r="AF251" s="181">
        <v>1.7</v>
      </c>
      <c r="AG251" s="101" t="str">
        <f t="shared" si="42"/>
        <v/>
      </c>
      <c r="AH251" s="190">
        <v>0</v>
      </c>
      <c r="AI251" s="69">
        <f t="shared" si="43"/>
        <v>6</v>
      </c>
    </row>
    <row r="252" spans="1:35" s="69" customFormat="1" ht="58.5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203"/>
      <c r="F252" s="203"/>
      <c r="G252" s="203"/>
      <c r="H252" s="203">
        <v>8</v>
      </c>
      <c r="I252" s="75">
        <v>1963.3</v>
      </c>
      <c r="J252" s="75">
        <v>15706.4</v>
      </c>
      <c r="K252" s="91" t="s">
        <v>643</v>
      </c>
      <c r="L252" s="73"/>
      <c r="M252" s="46">
        <v>3</v>
      </c>
      <c r="N252" s="46">
        <v>0</v>
      </c>
      <c r="O252" s="46">
        <v>5889.9</v>
      </c>
      <c r="P252" s="98"/>
      <c r="Q252" s="23" t="s">
        <v>1431</v>
      </c>
      <c r="R252" s="24" t="s">
        <v>642</v>
      </c>
      <c r="S252" s="25" t="s">
        <v>606</v>
      </c>
      <c r="T252" s="26">
        <v>3</v>
      </c>
      <c r="U252" s="26">
        <v>8</v>
      </c>
      <c r="V252" s="26">
        <v>1963.3</v>
      </c>
      <c r="W252" s="127">
        <f t="shared" si="50"/>
        <v>0</v>
      </c>
      <c r="X252" s="127">
        <f t="shared" si="53"/>
        <v>3</v>
      </c>
      <c r="Y252" s="127">
        <f t="shared" si="51"/>
        <v>0</v>
      </c>
      <c r="Z252" s="127">
        <f t="shared" si="44"/>
        <v>5889.9</v>
      </c>
      <c r="AA252" s="33" t="s">
        <v>15</v>
      </c>
      <c r="AB252" s="36" t="s">
        <v>16</v>
      </c>
      <c r="AC252" s="181">
        <f t="shared" si="41"/>
        <v>8</v>
      </c>
      <c r="AD252" s="181">
        <f t="shared" si="52"/>
        <v>15706.4</v>
      </c>
      <c r="AE252" s="181">
        <v>1.7</v>
      </c>
      <c r="AF252" s="181">
        <v>1.7</v>
      </c>
      <c r="AG252" s="101" t="str">
        <f t="shared" si="42"/>
        <v/>
      </c>
      <c r="AH252" s="190">
        <v>3</v>
      </c>
      <c r="AI252" s="69">
        <f t="shared" si="43"/>
        <v>3</v>
      </c>
    </row>
    <row r="253" spans="1:35" s="69" customFormat="1" ht="58.5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203"/>
      <c r="F253" s="203"/>
      <c r="G253" s="203"/>
      <c r="H253" s="203">
        <v>10</v>
      </c>
      <c r="I253" s="75">
        <v>2216.6</v>
      </c>
      <c r="J253" s="75">
        <v>22166</v>
      </c>
      <c r="K253" s="91" t="s">
        <v>646</v>
      </c>
      <c r="L253" s="73"/>
      <c r="M253" s="46">
        <v>5</v>
      </c>
      <c r="N253" s="46">
        <v>0</v>
      </c>
      <c r="O253" s="46">
        <v>11083</v>
      </c>
      <c r="P253" s="98"/>
      <c r="Q253" s="23" t="s">
        <v>1395</v>
      </c>
      <c r="R253" s="24" t="s">
        <v>645</v>
      </c>
      <c r="S253" s="25" t="s">
        <v>606</v>
      </c>
      <c r="T253" s="26">
        <v>5</v>
      </c>
      <c r="U253" s="26">
        <v>10</v>
      </c>
      <c r="V253" s="26">
        <v>2216.6</v>
      </c>
      <c r="W253" s="127">
        <f t="shared" si="50"/>
        <v>0</v>
      </c>
      <c r="X253" s="127">
        <f t="shared" si="53"/>
        <v>5</v>
      </c>
      <c r="Y253" s="127">
        <f t="shared" si="51"/>
        <v>0</v>
      </c>
      <c r="Z253" s="127">
        <f t="shared" si="44"/>
        <v>11083</v>
      </c>
      <c r="AA253" s="33" t="s">
        <v>15</v>
      </c>
      <c r="AB253" s="36" t="s">
        <v>16</v>
      </c>
      <c r="AC253" s="181">
        <f t="shared" si="41"/>
        <v>10</v>
      </c>
      <c r="AD253" s="181">
        <f t="shared" si="52"/>
        <v>22166</v>
      </c>
      <c r="AE253" s="181">
        <v>1.7</v>
      </c>
      <c r="AF253" s="181">
        <v>1.7</v>
      </c>
      <c r="AG253" s="101" t="str">
        <f t="shared" si="42"/>
        <v/>
      </c>
      <c r="AH253" s="190">
        <v>5</v>
      </c>
      <c r="AI253" s="69">
        <f t="shared" si="43"/>
        <v>5</v>
      </c>
    </row>
    <row r="254" spans="1:35" s="69" customFormat="1" ht="58.5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203" t="s">
        <v>15</v>
      </c>
      <c r="I254" s="75">
        <v>2999.02</v>
      </c>
      <c r="J254" s="75">
        <v>50983.34</v>
      </c>
      <c r="K254" s="91" t="s">
        <v>649</v>
      </c>
      <c r="L254" s="73"/>
      <c r="M254" s="46">
        <v>7</v>
      </c>
      <c r="N254" s="46">
        <v>0</v>
      </c>
      <c r="O254" s="46">
        <v>20993.14</v>
      </c>
      <c r="P254" s="98"/>
      <c r="Q254" s="23" t="s">
        <v>1432</v>
      </c>
      <c r="R254" s="24" t="s">
        <v>648</v>
      </c>
      <c r="S254" s="25" t="s">
        <v>606</v>
      </c>
      <c r="T254" s="26">
        <v>7</v>
      </c>
      <c r="U254" s="26">
        <v>17</v>
      </c>
      <c r="V254" s="26">
        <v>2999.02</v>
      </c>
      <c r="W254" s="26">
        <f t="shared" si="50"/>
        <v>0</v>
      </c>
      <c r="X254" s="26">
        <f t="shared" si="53"/>
        <v>7</v>
      </c>
      <c r="Y254" s="26">
        <f t="shared" si="51"/>
        <v>0</v>
      </c>
      <c r="Z254" s="26">
        <f t="shared" si="44"/>
        <v>20993.14</v>
      </c>
      <c r="AA254" s="27" t="s">
        <v>15</v>
      </c>
      <c r="AB254" s="36" t="s">
        <v>16</v>
      </c>
      <c r="AC254" s="181">
        <f t="shared" si="41"/>
        <v>17</v>
      </c>
      <c r="AD254" s="181">
        <f t="shared" si="52"/>
        <v>50983.34</v>
      </c>
      <c r="AE254" s="181">
        <v>1.7</v>
      </c>
      <c r="AF254" s="181">
        <v>1.7</v>
      </c>
      <c r="AG254" s="101" t="str">
        <f t="shared" si="42"/>
        <v/>
      </c>
      <c r="AH254" s="190">
        <v>7</v>
      </c>
      <c r="AI254" s="69">
        <f t="shared" si="43"/>
        <v>17</v>
      </c>
    </row>
    <row r="255" spans="1:35" s="69" customFormat="1" ht="58.5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203"/>
      <c r="F255" s="203"/>
      <c r="G255" s="203"/>
      <c r="H255" s="203" t="s">
        <v>15</v>
      </c>
      <c r="I255" s="75">
        <v>4720.5600000000004</v>
      </c>
      <c r="J255" s="75">
        <v>14161.68</v>
      </c>
      <c r="K255" s="91" t="s">
        <v>652</v>
      </c>
      <c r="L255" s="73"/>
      <c r="M255" s="46">
        <v>3</v>
      </c>
      <c r="N255" s="46">
        <v>0</v>
      </c>
      <c r="O255" s="46">
        <v>14161.68</v>
      </c>
      <c r="P255" s="98"/>
      <c r="Q255" s="23" t="s">
        <v>1433</v>
      </c>
      <c r="R255" s="24" t="s">
        <v>651</v>
      </c>
      <c r="S255" s="25" t="s">
        <v>606</v>
      </c>
      <c r="T255" s="26">
        <v>3</v>
      </c>
      <c r="U255" s="26">
        <v>3</v>
      </c>
      <c r="V255" s="26">
        <v>4720.5600000000004</v>
      </c>
      <c r="W255" s="127">
        <f t="shared" si="50"/>
        <v>0</v>
      </c>
      <c r="X255" s="127">
        <f t="shared" si="53"/>
        <v>3</v>
      </c>
      <c r="Y255" s="127">
        <f t="shared" si="51"/>
        <v>0</v>
      </c>
      <c r="Z255" s="127">
        <f t="shared" si="44"/>
        <v>14161.68</v>
      </c>
      <c r="AA255" s="33" t="s">
        <v>15</v>
      </c>
      <c r="AB255" s="36" t="s">
        <v>16</v>
      </c>
      <c r="AC255" s="181">
        <f t="shared" si="41"/>
        <v>3</v>
      </c>
      <c r="AD255" s="181">
        <f t="shared" si="52"/>
        <v>14161.68</v>
      </c>
      <c r="AE255" s="181">
        <v>1.7</v>
      </c>
      <c r="AF255" s="181">
        <v>1.7</v>
      </c>
      <c r="AG255" s="101" t="str">
        <f t="shared" si="42"/>
        <v/>
      </c>
      <c r="AH255" s="190">
        <v>3</v>
      </c>
      <c r="AI255" s="69">
        <f t="shared" si="43"/>
        <v>3</v>
      </c>
    </row>
    <row r="256" spans="1:35" s="69" customFormat="1" ht="58.5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203"/>
      <c r="F256" s="203"/>
      <c r="G256" s="203"/>
      <c r="H256" s="203">
        <v>5</v>
      </c>
      <c r="I256" s="75">
        <v>5897.9</v>
      </c>
      <c r="J256" s="75">
        <v>29489.5</v>
      </c>
      <c r="K256" s="91" t="s">
        <v>655</v>
      </c>
      <c r="L256" s="73"/>
      <c r="M256" s="46">
        <v>4</v>
      </c>
      <c r="N256" s="46">
        <v>0</v>
      </c>
      <c r="O256" s="46">
        <v>23591.599999999999</v>
      </c>
      <c r="P256" s="98"/>
      <c r="Q256" s="23" t="s">
        <v>1382</v>
      </c>
      <c r="R256" s="24" t="s">
        <v>654</v>
      </c>
      <c r="S256" s="25" t="s">
        <v>606</v>
      </c>
      <c r="T256" s="26">
        <v>4</v>
      </c>
      <c r="U256" s="26">
        <v>5</v>
      </c>
      <c r="V256" s="26">
        <v>5897.9</v>
      </c>
      <c r="W256" s="127">
        <f t="shared" si="50"/>
        <v>0</v>
      </c>
      <c r="X256" s="127">
        <f t="shared" si="53"/>
        <v>4</v>
      </c>
      <c r="Y256" s="127">
        <f t="shared" si="51"/>
        <v>0</v>
      </c>
      <c r="Z256" s="127">
        <f t="shared" si="44"/>
        <v>23591.599999999999</v>
      </c>
      <c r="AA256" s="33" t="s">
        <v>15</v>
      </c>
      <c r="AB256" s="36" t="s">
        <v>16</v>
      </c>
      <c r="AC256" s="181">
        <f t="shared" si="41"/>
        <v>5</v>
      </c>
      <c r="AD256" s="181">
        <f t="shared" si="52"/>
        <v>29489.5</v>
      </c>
      <c r="AE256" s="181">
        <v>1.7</v>
      </c>
      <c r="AF256" s="181">
        <v>1.7</v>
      </c>
      <c r="AG256" s="101" t="str">
        <f t="shared" si="42"/>
        <v/>
      </c>
      <c r="AH256" s="190">
        <v>4</v>
      </c>
      <c r="AI256" s="69">
        <f t="shared" si="43"/>
        <v>4</v>
      </c>
    </row>
    <row r="257" spans="1:35" s="69" customFormat="1" ht="58.5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203"/>
      <c r="F257" s="203"/>
      <c r="G257" s="203"/>
      <c r="H257" s="203" t="s">
        <v>15</v>
      </c>
      <c r="I257" s="75">
        <v>9356.16</v>
      </c>
      <c r="J257" s="75">
        <v>9356.16</v>
      </c>
      <c r="K257" s="91" t="s">
        <v>658</v>
      </c>
      <c r="L257" s="73"/>
      <c r="M257" s="46">
        <v>1</v>
      </c>
      <c r="N257" s="46">
        <v>0</v>
      </c>
      <c r="O257" s="46">
        <v>9356.16</v>
      </c>
      <c r="P257" s="98"/>
      <c r="Q257" s="23" t="s">
        <v>1434</v>
      </c>
      <c r="R257" s="24" t="s">
        <v>657</v>
      </c>
      <c r="S257" s="25" t="s">
        <v>606</v>
      </c>
      <c r="T257" s="26">
        <v>1</v>
      </c>
      <c r="U257" s="26">
        <v>1</v>
      </c>
      <c r="V257" s="26">
        <v>9356.16</v>
      </c>
      <c r="W257" s="127">
        <f t="shared" si="50"/>
        <v>0</v>
      </c>
      <c r="X257" s="127">
        <f t="shared" si="53"/>
        <v>1</v>
      </c>
      <c r="Y257" s="127">
        <f t="shared" si="51"/>
        <v>0</v>
      </c>
      <c r="Z257" s="127">
        <f t="shared" si="44"/>
        <v>9356.16</v>
      </c>
      <c r="AA257" s="33" t="s">
        <v>15</v>
      </c>
      <c r="AB257" s="36" t="s">
        <v>16</v>
      </c>
      <c r="AC257" s="181">
        <f t="shared" si="41"/>
        <v>1</v>
      </c>
      <c r="AD257" s="181">
        <f t="shared" si="52"/>
        <v>9356.16</v>
      </c>
      <c r="AE257" s="181">
        <v>1.7</v>
      </c>
      <c r="AF257" s="181">
        <v>1.7</v>
      </c>
      <c r="AG257" s="101" t="str">
        <f t="shared" si="42"/>
        <v/>
      </c>
      <c r="AH257" s="190">
        <v>1</v>
      </c>
      <c r="AI257" s="69">
        <f t="shared" si="43"/>
        <v>1</v>
      </c>
    </row>
    <row r="258" spans="1:35" s="69" customFormat="1" ht="58.5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203"/>
      <c r="F258" s="203"/>
      <c r="G258" s="203"/>
      <c r="H258" s="203" t="s">
        <v>15</v>
      </c>
      <c r="I258" s="75">
        <v>13184.01</v>
      </c>
      <c r="J258" s="75">
        <v>13184.01</v>
      </c>
      <c r="K258" s="91" t="s">
        <v>661</v>
      </c>
      <c r="L258" s="73"/>
      <c r="M258" s="46">
        <v>1</v>
      </c>
      <c r="N258" s="46">
        <v>0</v>
      </c>
      <c r="O258" s="46">
        <v>13184.01</v>
      </c>
      <c r="P258" s="98"/>
      <c r="Q258" s="23" t="s">
        <v>1388</v>
      </c>
      <c r="R258" s="24" t="s">
        <v>660</v>
      </c>
      <c r="S258" s="25" t="s">
        <v>606</v>
      </c>
      <c r="T258" s="26">
        <v>1</v>
      </c>
      <c r="U258" s="26">
        <v>1</v>
      </c>
      <c r="V258" s="26">
        <v>13184.01</v>
      </c>
      <c r="W258" s="127">
        <f t="shared" si="50"/>
        <v>0</v>
      </c>
      <c r="X258" s="127">
        <f t="shared" si="53"/>
        <v>1</v>
      </c>
      <c r="Y258" s="127">
        <f t="shared" si="51"/>
        <v>0</v>
      </c>
      <c r="Z258" s="127">
        <f t="shared" si="44"/>
        <v>13184.01</v>
      </c>
      <c r="AA258" s="33" t="s">
        <v>15</v>
      </c>
      <c r="AB258" s="36" t="s">
        <v>16</v>
      </c>
      <c r="AC258" s="181">
        <f t="shared" si="41"/>
        <v>1</v>
      </c>
      <c r="AD258" s="181">
        <f t="shared" si="52"/>
        <v>13184.01</v>
      </c>
      <c r="AE258" s="181">
        <v>1.7</v>
      </c>
      <c r="AF258" s="181">
        <v>1.7</v>
      </c>
      <c r="AG258" s="101" t="str">
        <f t="shared" si="42"/>
        <v/>
      </c>
      <c r="AH258" s="190">
        <v>1</v>
      </c>
      <c r="AI258" s="69">
        <f t="shared" si="43"/>
        <v>1</v>
      </c>
    </row>
    <row r="259" spans="1:35" s="69" customFormat="1" ht="39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203"/>
      <c r="F259" s="203"/>
      <c r="G259" s="203"/>
      <c r="H259" s="203" t="s">
        <v>15</v>
      </c>
      <c r="I259" s="75">
        <v>1859.87</v>
      </c>
      <c r="J259" s="75">
        <v>87432.49</v>
      </c>
      <c r="K259" s="91" t="s">
        <v>664</v>
      </c>
      <c r="L259" s="73"/>
      <c r="M259" s="46">
        <v>47.01</v>
      </c>
      <c r="N259" s="46">
        <v>0</v>
      </c>
      <c r="O259" s="46">
        <v>87432.49</v>
      </c>
      <c r="P259" s="98"/>
      <c r="Q259" s="23" t="s">
        <v>1389</v>
      </c>
      <c r="R259" s="24" t="s">
        <v>663</v>
      </c>
      <c r="S259" s="25" t="s">
        <v>30</v>
      </c>
      <c r="T259" s="26">
        <v>47.01</v>
      </c>
      <c r="U259" s="26">
        <v>47.01</v>
      </c>
      <c r="V259" s="26">
        <v>1859.87</v>
      </c>
      <c r="W259" s="127">
        <f t="shared" si="50"/>
        <v>0</v>
      </c>
      <c r="X259" s="127">
        <f t="shared" si="53"/>
        <v>47.01</v>
      </c>
      <c r="Y259" s="127">
        <f t="shared" si="51"/>
        <v>0</v>
      </c>
      <c r="Z259" s="127">
        <f t="shared" si="44"/>
        <v>87432.49</v>
      </c>
      <c r="AA259" s="33" t="s">
        <v>15</v>
      </c>
      <c r="AB259" s="36" t="s">
        <v>16</v>
      </c>
      <c r="AC259" s="181">
        <f t="shared" si="41"/>
        <v>47.01</v>
      </c>
      <c r="AD259" s="181">
        <f t="shared" si="52"/>
        <v>87432.49</v>
      </c>
      <c r="AE259" s="181">
        <v>1.7</v>
      </c>
      <c r="AF259" s="181">
        <v>1.7</v>
      </c>
      <c r="AG259" s="101" t="str">
        <f t="shared" si="42"/>
        <v/>
      </c>
      <c r="AH259" s="190">
        <v>47.01</v>
      </c>
      <c r="AI259" s="69">
        <f t="shared" si="43"/>
        <v>47.01</v>
      </c>
    </row>
    <row r="260" spans="1:35" s="69" customFormat="1" ht="58.5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203"/>
      <c r="F260" s="203"/>
      <c r="G260" s="203"/>
      <c r="H260" s="203" t="s">
        <v>15</v>
      </c>
      <c r="I260" s="75">
        <v>40</v>
      </c>
      <c r="J260" s="75">
        <v>2520</v>
      </c>
      <c r="K260" s="91" t="s">
        <v>667</v>
      </c>
      <c r="L260" s="73"/>
      <c r="M260" s="46">
        <v>63</v>
      </c>
      <c r="N260" s="46">
        <v>0</v>
      </c>
      <c r="O260" s="46">
        <v>2520</v>
      </c>
      <c r="P260" s="98"/>
      <c r="Q260" s="23" t="s">
        <v>1390</v>
      </c>
      <c r="R260" s="24" t="s">
        <v>666</v>
      </c>
      <c r="S260" s="25" t="s">
        <v>325</v>
      </c>
      <c r="T260" s="26">
        <v>63</v>
      </c>
      <c r="U260" s="26">
        <v>63</v>
      </c>
      <c r="V260" s="26">
        <v>40</v>
      </c>
      <c r="W260" s="127">
        <f t="shared" si="50"/>
        <v>0</v>
      </c>
      <c r="X260" s="127">
        <f t="shared" si="53"/>
        <v>63</v>
      </c>
      <c r="Y260" s="127">
        <f t="shared" si="51"/>
        <v>0</v>
      </c>
      <c r="Z260" s="127">
        <f t="shared" si="44"/>
        <v>2520</v>
      </c>
      <c r="AA260" s="33" t="s">
        <v>15</v>
      </c>
      <c r="AB260" s="36" t="s">
        <v>16</v>
      </c>
      <c r="AC260" s="181">
        <f t="shared" si="41"/>
        <v>63</v>
      </c>
      <c r="AD260" s="181">
        <f t="shared" si="52"/>
        <v>2520</v>
      </c>
      <c r="AE260" s="181">
        <v>1.7</v>
      </c>
      <c r="AF260" s="181">
        <v>1.7</v>
      </c>
      <c r="AG260" s="101" t="str">
        <f t="shared" si="42"/>
        <v/>
      </c>
      <c r="AH260" s="190">
        <v>63</v>
      </c>
      <c r="AI260" s="69">
        <f t="shared" si="43"/>
        <v>63</v>
      </c>
    </row>
    <row r="261" spans="1:35" s="69" customFormat="1" ht="58.5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203"/>
      <c r="F261" s="203"/>
      <c r="G261" s="203"/>
      <c r="H261" s="203" t="s">
        <v>15</v>
      </c>
      <c r="I261" s="75">
        <v>35</v>
      </c>
      <c r="J261" s="75">
        <v>11025</v>
      </c>
      <c r="K261" s="91" t="s">
        <v>670</v>
      </c>
      <c r="L261" s="73"/>
      <c r="M261" s="46">
        <v>315</v>
      </c>
      <c r="N261" s="46">
        <v>0</v>
      </c>
      <c r="O261" s="46">
        <v>11025</v>
      </c>
      <c r="P261" s="98"/>
      <c r="Q261" s="23" t="s">
        <v>1391</v>
      </c>
      <c r="R261" s="24" t="s">
        <v>669</v>
      </c>
      <c r="S261" s="25" t="s">
        <v>162</v>
      </c>
      <c r="T261" s="26">
        <v>315</v>
      </c>
      <c r="U261" s="26">
        <v>315</v>
      </c>
      <c r="V261" s="26">
        <v>35</v>
      </c>
      <c r="W261" s="127">
        <f t="shared" si="50"/>
        <v>0</v>
      </c>
      <c r="X261" s="127">
        <f t="shared" si="53"/>
        <v>315</v>
      </c>
      <c r="Y261" s="127">
        <f t="shared" si="51"/>
        <v>0</v>
      </c>
      <c r="Z261" s="127">
        <f t="shared" si="44"/>
        <v>11025</v>
      </c>
      <c r="AA261" s="33" t="s">
        <v>15</v>
      </c>
      <c r="AB261" s="36" t="s">
        <v>16</v>
      </c>
      <c r="AC261" s="181">
        <f t="shared" si="41"/>
        <v>315</v>
      </c>
      <c r="AD261" s="181">
        <f t="shared" si="52"/>
        <v>11025</v>
      </c>
      <c r="AE261" s="181">
        <v>1.7</v>
      </c>
      <c r="AF261" s="181">
        <v>1.7</v>
      </c>
      <c r="AG261" s="101" t="str">
        <f t="shared" si="42"/>
        <v/>
      </c>
      <c r="AH261" s="190">
        <v>315</v>
      </c>
      <c r="AI261" s="69">
        <f t="shared" si="43"/>
        <v>315</v>
      </c>
    </row>
    <row r="262" spans="1:35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 t="s">
        <v>15</v>
      </c>
      <c r="I262" s="75">
        <v>10</v>
      </c>
      <c r="J262" s="75">
        <v>12000</v>
      </c>
      <c r="K262" s="91" t="s">
        <v>673</v>
      </c>
      <c r="L262" s="73"/>
      <c r="M262" s="46">
        <v>0</v>
      </c>
      <c r="N262" s="46">
        <v>0</v>
      </c>
      <c r="O262" s="46">
        <v>0</v>
      </c>
      <c r="P262" s="98"/>
      <c r="Q262" s="23" t="s">
        <v>1436</v>
      </c>
      <c r="R262" s="24" t="s">
        <v>672</v>
      </c>
      <c r="S262" s="25" t="s">
        <v>30</v>
      </c>
      <c r="T262" s="26">
        <v>1200</v>
      </c>
      <c r="U262" s="26">
        <v>1200</v>
      </c>
      <c r="V262" s="26">
        <v>10</v>
      </c>
      <c r="W262" s="26">
        <f t="shared" si="50"/>
        <v>0</v>
      </c>
      <c r="X262" s="26">
        <f t="shared" si="53"/>
        <v>0</v>
      </c>
      <c r="Y262" s="26">
        <f t="shared" si="51"/>
        <v>0</v>
      </c>
      <c r="Z262" s="26">
        <f t="shared" si="44"/>
        <v>0</v>
      </c>
      <c r="AA262" s="33" t="s">
        <v>15</v>
      </c>
      <c r="AB262" s="36" t="s">
        <v>16</v>
      </c>
      <c r="AC262" s="181">
        <f t="shared" si="41"/>
        <v>1200</v>
      </c>
      <c r="AD262" s="181">
        <f t="shared" si="52"/>
        <v>12000</v>
      </c>
      <c r="AE262" s="181">
        <v>1.7</v>
      </c>
      <c r="AF262" s="181">
        <v>1.7</v>
      </c>
      <c r="AG262" s="101" t="str">
        <f t="shared" si="42"/>
        <v/>
      </c>
      <c r="AH262" s="190">
        <v>0</v>
      </c>
      <c r="AI262" s="69">
        <f t="shared" si="43"/>
        <v>1200</v>
      </c>
    </row>
    <row r="263" spans="1:35" s="69" customFormat="1" ht="33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203"/>
      <c r="F263" s="203"/>
      <c r="G263" s="203"/>
      <c r="H263" s="203" t="s">
        <v>15</v>
      </c>
      <c r="I263" s="75">
        <v>531</v>
      </c>
      <c r="J263" s="75">
        <v>16381.35</v>
      </c>
      <c r="K263" s="91" t="s">
        <v>676</v>
      </c>
      <c r="L263" s="73"/>
      <c r="M263" s="46">
        <v>30.85</v>
      </c>
      <c r="N263" s="46">
        <v>0</v>
      </c>
      <c r="O263" s="46">
        <v>16381.35</v>
      </c>
      <c r="P263" s="98"/>
      <c r="Q263" s="23" t="s">
        <v>1374</v>
      </c>
      <c r="R263" s="24" t="s">
        <v>675</v>
      </c>
      <c r="S263" s="25" t="s">
        <v>50</v>
      </c>
      <c r="T263" s="26">
        <v>30.85</v>
      </c>
      <c r="U263" s="26">
        <v>30.85</v>
      </c>
      <c r="V263" s="26">
        <v>531</v>
      </c>
      <c r="W263" s="127">
        <f t="shared" si="50"/>
        <v>0</v>
      </c>
      <c r="X263" s="127">
        <f t="shared" si="53"/>
        <v>30.85</v>
      </c>
      <c r="Y263" s="127">
        <f t="shared" si="51"/>
        <v>0</v>
      </c>
      <c r="Z263" s="127">
        <f t="shared" si="44"/>
        <v>16381.35</v>
      </c>
      <c r="AA263" s="33" t="s">
        <v>15</v>
      </c>
      <c r="AB263" s="36" t="s">
        <v>16</v>
      </c>
      <c r="AC263" s="181">
        <f t="shared" si="41"/>
        <v>30.85</v>
      </c>
      <c r="AD263" s="181">
        <f t="shared" si="52"/>
        <v>16381.35</v>
      </c>
      <c r="AE263" s="181">
        <v>1.7</v>
      </c>
      <c r="AF263" s="181">
        <v>1.7</v>
      </c>
      <c r="AG263" s="101" t="str">
        <f t="shared" si="42"/>
        <v/>
      </c>
      <c r="AH263" s="190">
        <v>30.85</v>
      </c>
      <c r="AI263" s="69">
        <f t="shared" si="43"/>
        <v>30.85</v>
      </c>
    </row>
    <row r="264" spans="1:35" s="69" customFormat="1" ht="33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203"/>
      <c r="F264" s="203"/>
      <c r="G264" s="203"/>
      <c r="H264" s="225" t="s">
        <v>15</v>
      </c>
      <c r="I264" s="75">
        <v>3386.57</v>
      </c>
      <c r="J264" s="75">
        <v>12530.31</v>
      </c>
      <c r="K264" s="91" t="s">
        <v>679</v>
      </c>
      <c r="L264" s="73"/>
      <c r="M264" s="46">
        <v>3.7</v>
      </c>
      <c r="N264" s="46">
        <v>0</v>
      </c>
      <c r="O264" s="46">
        <v>12530.31</v>
      </c>
      <c r="P264" s="98"/>
      <c r="Q264" s="23" t="s">
        <v>1376</v>
      </c>
      <c r="R264" s="24" t="s">
        <v>678</v>
      </c>
      <c r="S264" s="25" t="s">
        <v>23</v>
      </c>
      <c r="T264" s="26">
        <v>3.7</v>
      </c>
      <c r="U264" s="26">
        <v>3.7</v>
      </c>
      <c r="V264" s="26">
        <v>3386.57</v>
      </c>
      <c r="W264" s="127">
        <f t="shared" si="50"/>
        <v>0</v>
      </c>
      <c r="X264" s="127">
        <f t="shared" si="53"/>
        <v>3.7</v>
      </c>
      <c r="Y264" s="127">
        <f t="shared" si="51"/>
        <v>0</v>
      </c>
      <c r="Z264" s="127">
        <f t="shared" si="44"/>
        <v>12530.31</v>
      </c>
      <c r="AA264" s="33" t="s">
        <v>15</v>
      </c>
      <c r="AB264" s="36" t="s">
        <v>16</v>
      </c>
      <c r="AC264" s="181">
        <f t="shared" si="41"/>
        <v>3.7</v>
      </c>
      <c r="AD264" s="181">
        <f t="shared" si="52"/>
        <v>12530.31</v>
      </c>
      <c r="AE264" s="181">
        <v>1.7</v>
      </c>
      <c r="AF264" s="181">
        <v>1.7</v>
      </c>
      <c r="AG264" s="101" t="str">
        <f t="shared" si="42"/>
        <v/>
      </c>
      <c r="AH264" s="190">
        <v>3.7</v>
      </c>
      <c r="AI264" s="69">
        <f t="shared" si="43"/>
        <v>3.7</v>
      </c>
    </row>
    <row r="265" spans="1:35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161"/>
      <c r="H265" s="158" t="s">
        <v>15</v>
      </c>
      <c r="I265" s="166">
        <v>108000</v>
      </c>
      <c r="J265" s="75">
        <v>108000</v>
      </c>
      <c r="K265" s="91" t="s">
        <v>682</v>
      </c>
      <c r="L265" s="73"/>
      <c r="M265" s="46">
        <v>0</v>
      </c>
      <c r="N265" s="46">
        <v>0</v>
      </c>
      <c r="O265" s="46">
        <v>0</v>
      </c>
      <c r="P265" s="98"/>
      <c r="Q265" s="23" t="s">
        <v>1378</v>
      </c>
      <c r="R265" s="24" t="s">
        <v>681</v>
      </c>
      <c r="S265" s="25" t="s">
        <v>14</v>
      </c>
      <c r="T265" s="26">
        <v>1</v>
      </c>
      <c r="U265" s="26">
        <v>1</v>
      </c>
      <c r="V265" s="26">
        <v>108000</v>
      </c>
      <c r="W265" s="26">
        <f t="shared" si="50"/>
        <v>0</v>
      </c>
      <c r="X265" s="26">
        <f t="shared" si="53"/>
        <v>0</v>
      </c>
      <c r="Y265" s="26">
        <f t="shared" si="51"/>
        <v>0</v>
      </c>
      <c r="Z265" s="26">
        <f t="shared" si="44"/>
        <v>0</v>
      </c>
      <c r="AA265" s="33" t="s">
        <v>15</v>
      </c>
      <c r="AB265" s="36" t="s">
        <v>16</v>
      </c>
      <c r="AC265" s="181">
        <f t="shared" si="41"/>
        <v>1</v>
      </c>
      <c r="AD265" s="181">
        <f t="shared" si="52"/>
        <v>108000</v>
      </c>
      <c r="AE265" s="181">
        <v>1.7</v>
      </c>
      <c r="AF265" s="181">
        <v>1.7</v>
      </c>
      <c r="AG265" s="101" t="str">
        <f t="shared" si="42"/>
        <v/>
      </c>
      <c r="AH265" s="190">
        <v>0</v>
      </c>
      <c r="AI265" s="69">
        <f t="shared" si="43"/>
        <v>1</v>
      </c>
    </row>
    <row r="266" spans="1:35" s="69" customFormat="1" ht="39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161"/>
      <c r="H266" s="158" t="s">
        <v>15</v>
      </c>
      <c r="I266" s="166">
        <v>500</v>
      </c>
      <c r="J266" s="75">
        <v>724160</v>
      </c>
      <c r="K266" s="91" t="s">
        <v>685</v>
      </c>
      <c r="L266" s="73"/>
      <c r="M266" s="46">
        <v>0</v>
      </c>
      <c r="N266" s="46">
        <v>0</v>
      </c>
      <c r="O266" s="46">
        <v>0</v>
      </c>
      <c r="P266" s="98"/>
      <c r="Q266" s="23" t="s">
        <v>1438</v>
      </c>
      <c r="R266" s="24" t="s">
        <v>684</v>
      </c>
      <c r="S266" s="25" t="s">
        <v>50</v>
      </c>
      <c r="T266" s="26">
        <v>1448.32</v>
      </c>
      <c r="U266" s="26">
        <v>1448.32</v>
      </c>
      <c r="V266" s="26">
        <v>500</v>
      </c>
      <c r="W266" s="26">
        <f t="shared" si="50"/>
        <v>0</v>
      </c>
      <c r="X266" s="26">
        <f t="shared" si="53"/>
        <v>0</v>
      </c>
      <c r="Y266" s="26">
        <f t="shared" si="51"/>
        <v>0</v>
      </c>
      <c r="Z266" s="26">
        <f t="shared" si="44"/>
        <v>0</v>
      </c>
      <c r="AA266" s="33" t="s">
        <v>15</v>
      </c>
      <c r="AB266" s="36" t="s">
        <v>16</v>
      </c>
      <c r="AC266" s="181">
        <f t="shared" si="41"/>
        <v>1448.32</v>
      </c>
      <c r="AD266" s="181">
        <f t="shared" si="52"/>
        <v>724160</v>
      </c>
      <c r="AE266" s="181">
        <v>1.7</v>
      </c>
      <c r="AF266" s="181">
        <v>1.7</v>
      </c>
      <c r="AG266" s="101" t="str">
        <f t="shared" si="42"/>
        <v/>
      </c>
      <c r="AH266" s="190">
        <v>0</v>
      </c>
      <c r="AI266" s="69">
        <f t="shared" si="43"/>
        <v>1448.32</v>
      </c>
    </row>
    <row r="267" spans="1:35" s="69" customFormat="1" ht="78" hidden="1" x14ac:dyDescent="0.3">
      <c r="A267" s="55" t="s">
        <v>686</v>
      </c>
      <c r="B267" s="53" t="s">
        <v>687</v>
      </c>
      <c r="C267" s="54" t="s">
        <v>606</v>
      </c>
      <c r="D267" s="75">
        <v>42</v>
      </c>
      <c r="E267" s="75"/>
      <c r="F267" s="75"/>
      <c r="G267" s="161"/>
      <c r="H267" s="158" t="s">
        <v>15</v>
      </c>
      <c r="I267" s="166">
        <v>10176.969999999999</v>
      </c>
      <c r="J267" s="75">
        <v>427432.74</v>
      </c>
      <c r="K267" s="91" t="s">
        <v>688</v>
      </c>
      <c r="L267" s="73"/>
      <c r="M267" s="46">
        <v>0</v>
      </c>
      <c r="N267" s="46">
        <v>0</v>
      </c>
      <c r="O267" s="46">
        <v>0</v>
      </c>
      <c r="P267" s="98"/>
      <c r="Q267" s="23" t="s">
        <v>1439</v>
      </c>
      <c r="R267" s="24" t="s">
        <v>687</v>
      </c>
      <c r="S267" s="25" t="s">
        <v>606</v>
      </c>
      <c r="T267" s="26">
        <v>42</v>
      </c>
      <c r="U267" s="26">
        <v>42</v>
      </c>
      <c r="V267" s="26">
        <v>10176.969999999999</v>
      </c>
      <c r="W267" s="26">
        <f t="shared" si="50"/>
        <v>0</v>
      </c>
      <c r="X267" s="26">
        <f t="shared" si="53"/>
        <v>0</v>
      </c>
      <c r="Y267" s="26">
        <f t="shared" si="51"/>
        <v>0</v>
      </c>
      <c r="Z267" s="26">
        <f t="shared" si="44"/>
        <v>0</v>
      </c>
      <c r="AA267" s="33" t="s">
        <v>15</v>
      </c>
      <c r="AB267" s="36" t="s">
        <v>16</v>
      </c>
      <c r="AC267" s="181">
        <f t="shared" ref="AC267:AC330" si="54">IF(U267="",T267,U267)</f>
        <v>42</v>
      </c>
      <c r="AD267" s="181">
        <f t="shared" si="52"/>
        <v>427432.74</v>
      </c>
      <c r="AE267" s="181">
        <v>1.7</v>
      </c>
      <c r="AF267" s="181">
        <v>1.7</v>
      </c>
      <c r="AG267" s="101" t="str">
        <f t="shared" ref="AG267:AG330" si="55">IF(X267&gt;AI267,"超估","")</f>
        <v/>
      </c>
      <c r="AH267" s="190">
        <v>0</v>
      </c>
      <c r="AI267" s="69">
        <f t="shared" ref="AI267:AI330" si="56">IF(G267=0,IF(F267=0,IF(E267=0,D267,E267),F267),G267)</f>
        <v>42</v>
      </c>
    </row>
    <row r="268" spans="1:35" s="69" customFormat="1" ht="78" hidden="1" x14ac:dyDescent="0.3">
      <c r="A268" s="55" t="s">
        <v>689</v>
      </c>
      <c r="B268" s="53" t="s">
        <v>690</v>
      </c>
      <c r="C268" s="54" t="s">
        <v>606</v>
      </c>
      <c r="D268" s="75">
        <v>19</v>
      </c>
      <c r="E268" s="75"/>
      <c r="F268" s="75"/>
      <c r="G268" s="161"/>
      <c r="H268" s="158" t="s">
        <v>15</v>
      </c>
      <c r="I268" s="166">
        <v>13526.18</v>
      </c>
      <c r="J268" s="75">
        <v>256997.42</v>
      </c>
      <c r="K268" s="91" t="s">
        <v>691</v>
      </c>
      <c r="L268" s="73"/>
      <c r="M268" s="46">
        <v>0</v>
      </c>
      <c r="N268" s="46">
        <v>0</v>
      </c>
      <c r="O268" s="46">
        <v>0</v>
      </c>
      <c r="P268" s="98"/>
      <c r="Q268" s="23" t="s">
        <v>1440</v>
      </c>
      <c r="R268" s="24" t="s">
        <v>690</v>
      </c>
      <c r="S268" s="25" t="s">
        <v>606</v>
      </c>
      <c r="T268" s="26">
        <v>19</v>
      </c>
      <c r="U268" s="26">
        <v>19</v>
      </c>
      <c r="V268" s="26">
        <v>13526.18</v>
      </c>
      <c r="W268" s="26">
        <f t="shared" si="50"/>
        <v>0</v>
      </c>
      <c r="X268" s="26">
        <f t="shared" si="53"/>
        <v>0</v>
      </c>
      <c r="Y268" s="26">
        <f t="shared" si="51"/>
        <v>0</v>
      </c>
      <c r="Z268" s="26">
        <f t="shared" ref="Z268:Z331" si="57">ROUND(V268*X268,2)</f>
        <v>0</v>
      </c>
      <c r="AA268" s="33" t="s">
        <v>15</v>
      </c>
      <c r="AB268" s="36" t="s">
        <v>16</v>
      </c>
      <c r="AC268" s="181">
        <f t="shared" si="54"/>
        <v>19</v>
      </c>
      <c r="AD268" s="181">
        <f t="shared" si="52"/>
        <v>256997.42</v>
      </c>
      <c r="AE268" s="181">
        <v>1.7</v>
      </c>
      <c r="AF268" s="181">
        <v>1.7</v>
      </c>
      <c r="AG268" s="101" t="str">
        <f t="shared" si="55"/>
        <v/>
      </c>
      <c r="AH268" s="190">
        <v>0</v>
      </c>
      <c r="AI268" s="69">
        <f t="shared" si="56"/>
        <v>19</v>
      </c>
    </row>
    <row r="269" spans="1:35" s="69" customFormat="1" ht="78" hidden="1" x14ac:dyDescent="0.3">
      <c r="A269" s="55" t="s">
        <v>692</v>
      </c>
      <c r="B269" s="53" t="s">
        <v>693</v>
      </c>
      <c r="C269" s="54" t="s">
        <v>606</v>
      </c>
      <c r="D269" s="75">
        <v>8</v>
      </c>
      <c r="E269" s="75"/>
      <c r="F269" s="75"/>
      <c r="G269" s="161"/>
      <c r="H269" s="158" t="s">
        <v>15</v>
      </c>
      <c r="I269" s="166">
        <v>8660.64</v>
      </c>
      <c r="J269" s="75">
        <v>69285.119999999995</v>
      </c>
      <c r="K269" s="91" t="s">
        <v>694</v>
      </c>
      <c r="L269" s="73"/>
      <c r="M269" s="46">
        <v>0</v>
      </c>
      <c r="N269" s="46">
        <v>0</v>
      </c>
      <c r="O269" s="46">
        <v>0</v>
      </c>
      <c r="P269" s="98"/>
      <c r="Q269" s="23" t="s">
        <v>1441</v>
      </c>
      <c r="R269" s="24" t="s">
        <v>693</v>
      </c>
      <c r="S269" s="25" t="s">
        <v>606</v>
      </c>
      <c r="T269" s="26">
        <v>8</v>
      </c>
      <c r="U269" s="26">
        <v>8</v>
      </c>
      <c r="V269" s="26">
        <v>8660.64</v>
      </c>
      <c r="W269" s="26">
        <f t="shared" si="50"/>
        <v>0</v>
      </c>
      <c r="X269" s="26">
        <f t="shared" si="53"/>
        <v>0</v>
      </c>
      <c r="Y269" s="26">
        <f t="shared" si="51"/>
        <v>0</v>
      </c>
      <c r="Z269" s="26">
        <f t="shared" si="57"/>
        <v>0</v>
      </c>
      <c r="AA269" s="33" t="s">
        <v>15</v>
      </c>
      <c r="AB269" s="36" t="s">
        <v>16</v>
      </c>
      <c r="AC269" s="181">
        <f t="shared" si="54"/>
        <v>8</v>
      </c>
      <c r="AD269" s="181">
        <f t="shared" si="52"/>
        <v>69285.119999999995</v>
      </c>
      <c r="AE269" s="181">
        <v>1.7</v>
      </c>
      <c r="AF269" s="181">
        <v>1.7</v>
      </c>
      <c r="AG269" s="101" t="str">
        <f t="shared" si="55"/>
        <v/>
      </c>
      <c r="AH269" s="190">
        <v>0</v>
      </c>
      <c r="AI269" s="69">
        <f t="shared" si="56"/>
        <v>8</v>
      </c>
    </row>
    <row r="270" spans="1:35" s="69" customFormat="1" ht="78" hidden="1" x14ac:dyDescent="0.3">
      <c r="A270" s="55" t="s">
        <v>695</v>
      </c>
      <c r="B270" s="53" t="s">
        <v>696</v>
      </c>
      <c r="C270" s="54" t="s">
        <v>606</v>
      </c>
      <c r="D270" s="75">
        <v>8</v>
      </c>
      <c r="E270" s="75"/>
      <c r="F270" s="75"/>
      <c r="G270" s="161"/>
      <c r="H270" s="158" t="s">
        <v>15</v>
      </c>
      <c r="I270" s="166">
        <v>17930.64</v>
      </c>
      <c r="J270" s="75">
        <v>143445.12</v>
      </c>
      <c r="K270" s="91" t="s">
        <v>697</v>
      </c>
      <c r="L270" s="73"/>
      <c r="M270" s="46">
        <v>0</v>
      </c>
      <c r="N270" s="46">
        <v>0</v>
      </c>
      <c r="O270" s="46">
        <v>0</v>
      </c>
      <c r="P270" s="98"/>
      <c r="Q270" s="23" t="s">
        <v>1442</v>
      </c>
      <c r="R270" s="24" t="s">
        <v>696</v>
      </c>
      <c r="S270" s="25" t="s">
        <v>606</v>
      </c>
      <c r="T270" s="26">
        <v>8</v>
      </c>
      <c r="U270" s="26">
        <v>8</v>
      </c>
      <c r="V270" s="26">
        <v>17930.64</v>
      </c>
      <c r="W270" s="26">
        <f t="shared" si="50"/>
        <v>0</v>
      </c>
      <c r="X270" s="26">
        <f t="shared" si="53"/>
        <v>0</v>
      </c>
      <c r="Y270" s="26">
        <f t="shared" si="51"/>
        <v>0</v>
      </c>
      <c r="Z270" s="26">
        <f t="shared" si="57"/>
        <v>0</v>
      </c>
      <c r="AA270" s="33" t="s">
        <v>15</v>
      </c>
      <c r="AB270" s="36" t="s">
        <v>16</v>
      </c>
      <c r="AC270" s="181">
        <f t="shared" si="54"/>
        <v>8</v>
      </c>
      <c r="AD270" s="181">
        <f t="shared" si="52"/>
        <v>143445.12</v>
      </c>
      <c r="AE270" s="181">
        <v>1.7</v>
      </c>
      <c r="AF270" s="181">
        <v>1.7</v>
      </c>
      <c r="AG270" s="101" t="str">
        <f t="shared" si="55"/>
        <v/>
      </c>
      <c r="AH270" s="190">
        <v>0</v>
      </c>
      <c r="AI270" s="69">
        <f t="shared" si="56"/>
        <v>8</v>
      </c>
    </row>
    <row r="271" spans="1:35" s="69" customFormat="1" ht="78" hidden="1" x14ac:dyDescent="0.3">
      <c r="A271" s="55" t="s">
        <v>698</v>
      </c>
      <c r="B271" s="53" t="s">
        <v>699</v>
      </c>
      <c r="C271" s="54" t="s">
        <v>606</v>
      </c>
      <c r="D271" s="75">
        <v>14</v>
      </c>
      <c r="E271" s="75"/>
      <c r="F271" s="75"/>
      <c r="G271" s="161"/>
      <c r="H271" s="158" t="s">
        <v>15</v>
      </c>
      <c r="I271" s="166">
        <v>5272.95</v>
      </c>
      <c r="J271" s="75">
        <v>73821.3</v>
      </c>
      <c r="K271" s="91" t="s">
        <v>700</v>
      </c>
      <c r="L271" s="73"/>
      <c r="M271" s="46">
        <v>0</v>
      </c>
      <c r="N271" s="46">
        <v>0</v>
      </c>
      <c r="O271" s="46">
        <v>0</v>
      </c>
      <c r="P271" s="98"/>
      <c r="Q271" s="23" t="s">
        <v>1443</v>
      </c>
      <c r="R271" s="24" t="s">
        <v>699</v>
      </c>
      <c r="S271" s="25" t="s">
        <v>606</v>
      </c>
      <c r="T271" s="26">
        <v>14</v>
      </c>
      <c r="U271" s="26">
        <v>14</v>
      </c>
      <c r="V271" s="26">
        <v>5272.95</v>
      </c>
      <c r="W271" s="26">
        <f t="shared" si="50"/>
        <v>0</v>
      </c>
      <c r="X271" s="26">
        <f t="shared" si="53"/>
        <v>0</v>
      </c>
      <c r="Y271" s="26">
        <f t="shared" si="51"/>
        <v>0</v>
      </c>
      <c r="Z271" s="26">
        <f t="shared" si="57"/>
        <v>0</v>
      </c>
      <c r="AA271" s="33" t="s">
        <v>15</v>
      </c>
      <c r="AB271" s="36" t="s">
        <v>16</v>
      </c>
      <c r="AC271" s="181">
        <f t="shared" si="54"/>
        <v>14</v>
      </c>
      <c r="AD271" s="181">
        <f t="shared" si="52"/>
        <v>73821.3</v>
      </c>
      <c r="AE271" s="181">
        <v>1.7</v>
      </c>
      <c r="AF271" s="181">
        <v>1.7</v>
      </c>
      <c r="AG271" s="101" t="str">
        <f t="shared" si="55"/>
        <v/>
      </c>
      <c r="AH271" s="190">
        <v>0</v>
      </c>
      <c r="AI271" s="69">
        <f t="shared" si="56"/>
        <v>14</v>
      </c>
    </row>
    <row r="272" spans="1:35" s="69" customFormat="1" ht="78" hidden="1" x14ac:dyDescent="0.3">
      <c r="A272" s="55" t="s">
        <v>701</v>
      </c>
      <c r="B272" s="53" t="s">
        <v>702</v>
      </c>
      <c r="C272" s="54" t="s">
        <v>606</v>
      </c>
      <c r="D272" s="75">
        <v>15</v>
      </c>
      <c r="E272" s="75"/>
      <c r="F272" s="75"/>
      <c r="G272" s="161"/>
      <c r="H272" s="158" t="s">
        <v>15</v>
      </c>
      <c r="I272" s="166">
        <v>5272.95</v>
      </c>
      <c r="J272" s="75">
        <v>79094.25</v>
      </c>
      <c r="K272" s="91" t="s">
        <v>703</v>
      </c>
      <c r="L272" s="73"/>
      <c r="M272" s="46">
        <v>0</v>
      </c>
      <c r="N272" s="46">
        <v>0</v>
      </c>
      <c r="O272" s="46">
        <v>0</v>
      </c>
      <c r="P272" s="98"/>
      <c r="Q272" s="23" t="s">
        <v>1444</v>
      </c>
      <c r="R272" s="24" t="s">
        <v>702</v>
      </c>
      <c r="S272" s="25" t="s">
        <v>606</v>
      </c>
      <c r="T272" s="26">
        <v>15</v>
      </c>
      <c r="U272" s="26">
        <v>15</v>
      </c>
      <c r="V272" s="26">
        <v>5272.95</v>
      </c>
      <c r="W272" s="26">
        <f t="shared" si="50"/>
        <v>0</v>
      </c>
      <c r="X272" s="26">
        <f t="shared" si="53"/>
        <v>0</v>
      </c>
      <c r="Y272" s="26">
        <f t="shared" si="51"/>
        <v>0</v>
      </c>
      <c r="Z272" s="26">
        <f t="shared" si="57"/>
        <v>0</v>
      </c>
      <c r="AA272" s="33" t="s">
        <v>15</v>
      </c>
      <c r="AB272" s="36" t="s">
        <v>16</v>
      </c>
      <c r="AC272" s="181">
        <f t="shared" si="54"/>
        <v>15</v>
      </c>
      <c r="AD272" s="181">
        <f t="shared" si="52"/>
        <v>79094.25</v>
      </c>
      <c r="AE272" s="181">
        <v>1.7</v>
      </c>
      <c r="AF272" s="181">
        <v>1.7</v>
      </c>
      <c r="AG272" s="101" t="str">
        <f t="shared" si="55"/>
        <v/>
      </c>
      <c r="AH272" s="190">
        <v>0</v>
      </c>
      <c r="AI272" s="69">
        <f t="shared" si="56"/>
        <v>15</v>
      </c>
    </row>
    <row r="273" spans="1:35" s="69" customFormat="1" ht="78" hidden="1" x14ac:dyDescent="0.3">
      <c r="A273" s="55" t="s">
        <v>704</v>
      </c>
      <c r="B273" s="53" t="s">
        <v>705</v>
      </c>
      <c r="C273" s="54" t="s">
        <v>606</v>
      </c>
      <c r="D273" s="75">
        <v>1</v>
      </c>
      <c r="E273" s="75"/>
      <c r="F273" s="75"/>
      <c r="G273" s="161"/>
      <c r="H273" s="158" t="s">
        <v>15</v>
      </c>
      <c r="I273" s="166">
        <v>7859.47</v>
      </c>
      <c r="J273" s="75">
        <v>7859.47</v>
      </c>
      <c r="K273" s="91" t="s">
        <v>706</v>
      </c>
      <c r="L273" s="73"/>
      <c r="M273" s="46">
        <v>0</v>
      </c>
      <c r="N273" s="46">
        <v>0</v>
      </c>
      <c r="O273" s="46">
        <v>0</v>
      </c>
      <c r="P273" s="98"/>
      <c r="Q273" s="23" t="s">
        <v>1408</v>
      </c>
      <c r="R273" s="24" t="s">
        <v>705</v>
      </c>
      <c r="S273" s="25" t="s">
        <v>606</v>
      </c>
      <c r="T273" s="26">
        <v>1</v>
      </c>
      <c r="U273" s="26">
        <v>1</v>
      </c>
      <c r="V273" s="26">
        <v>7859.47</v>
      </c>
      <c r="W273" s="26">
        <f t="shared" si="50"/>
        <v>0</v>
      </c>
      <c r="X273" s="26">
        <f t="shared" si="53"/>
        <v>0</v>
      </c>
      <c r="Y273" s="26">
        <f t="shared" si="51"/>
        <v>0</v>
      </c>
      <c r="Z273" s="26">
        <f t="shared" si="57"/>
        <v>0</v>
      </c>
      <c r="AA273" s="33" t="s">
        <v>15</v>
      </c>
      <c r="AB273" s="36" t="s">
        <v>16</v>
      </c>
      <c r="AC273" s="181">
        <f t="shared" si="54"/>
        <v>1</v>
      </c>
      <c r="AD273" s="181">
        <f t="shared" si="52"/>
        <v>7859.47</v>
      </c>
      <c r="AE273" s="181">
        <v>1.7</v>
      </c>
      <c r="AF273" s="181">
        <v>1.7</v>
      </c>
      <c r="AG273" s="101" t="str">
        <f t="shared" si="55"/>
        <v/>
      </c>
      <c r="AH273" s="190">
        <v>0</v>
      </c>
      <c r="AI273" s="69">
        <f t="shared" si="56"/>
        <v>1</v>
      </c>
    </row>
    <row r="274" spans="1:35" s="69" customFormat="1" ht="78" hidden="1" x14ac:dyDescent="0.3">
      <c r="A274" s="55" t="s">
        <v>707</v>
      </c>
      <c r="B274" s="53" t="s">
        <v>708</v>
      </c>
      <c r="C274" s="54" t="s">
        <v>606</v>
      </c>
      <c r="D274" s="75">
        <v>1</v>
      </c>
      <c r="E274" s="75"/>
      <c r="F274" s="75"/>
      <c r="G274" s="161"/>
      <c r="H274" s="158" t="s">
        <v>15</v>
      </c>
      <c r="I274" s="166">
        <v>5839.45</v>
      </c>
      <c r="J274" s="75">
        <v>5839.45</v>
      </c>
      <c r="K274" s="91" t="s">
        <v>709</v>
      </c>
      <c r="L274" s="73"/>
      <c r="M274" s="46">
        <v>0</v>
      </c>
      <c r="N274" s="46">
        <v>0</v>
      </c>
      <c r="O274" s="46">
        <v>0</v>
      </c>
      <c r="P274" s="98"/>
      <c r="Q274" s="23" t="s">
        <v>1409</v>
      </c>
      <c r="R274" s="24" t="s">
        <v>708</v>
      </c>
      <c r="S274" s="25" t="s">
        <v>606</v>
      </c>
      <c r="T274" s="26">
        <v>1</v>
      </c>
      <c r="U274" s="26">
        <v>1</v>
      </c>
      <c r="V274" s="26">
        <v>5839.45</v>
      </c>
      <c r="W274" s="26">
        <f t="shared" si="50"/>
        <v>0</v>
      </c>
      <c r="X274" s="26">
        <f t="shared" si="53"/>
        <v>0</v>
      </c>
      <c r="Y274" s="26">
        <f t="shared" si="51"/>
        <v>0</v>
      </c>
      <c r="Z274" s="26">
        <f t="shared" si="57"/>
        <v>0</v>
      </c>
      <c r="AA274" s="33" t="s">
        <v>15</v>
      </c>
      <c r="AB274" s="36" t="s">
        <v>16</v>
      </c>
      <c r="AC274" s="181">
        <f t="shared" si="54"/>
        <v>1</v>
      </c>
      <c r="AD274" s="181">
        <f t="shared" si="52"/>
        <v>5839.45</v>
      </c>
      <c r="AE274" s="181">
        <v>1.7</v>
      </c>
      <c r="AF274" s="181">
        <v>1.7</v>
      </c>
      <c r="AG274" s="101" t="str">
        <f t="shared" si="55"/>
        <v/>
      </c>
      <c r="AH274" s="190">
        <v>0</v>
      </c>
      <c r="AI274" s="69">
        <f t="shared" si="56"/>
        <v>1</v>
      </c>
    </row>
    <row r="275" spans="1:35" s="69" customFormat="1" ht="78" hidden="1" x14ac:dyDescent="0.3">
      <c r="A275" s="55" t="s">
        <v>710</v>
      </c>
      <c r="B275" s="53" t="s">
        <v>711</v>
      </c>
      <c r="C275" s="54" t="s">
        <v>606</v>
      </c>
      <c r="D275" s="75">
        <v>1</v>
      </c>
      <c r="E275" s="75"/>
      <c r="F275" s="75"/>
      <c r="G275" s="161"/>
      <c r="H275" s="158" t="s">
        <v>15</v>
      </c>
      <c r="I275" s="166">
        <v>7189.97</v>
      </c>
      <c r="J275" s="75">
        <v>7189.97</v>
      </c>
      <c r="K275" s="91" t="s">
        <v>712</v>
      </c>
      <c r="L275" s="73"/>
      <c r="M275" s="46">
        <v>0</v>
      </c>
      <c r="N275" s="46">
        <v>0</v>
      </c>
      <c r="O275" s="46">
        <v>0</v>
      </c>
      <c r="P275" s="98"/>
      <c r="Q275" s="23" t="s">
        <v>1410</v>
      </c>
      <c r="R275" s="24" t="s">
        <v>711</v>
      </c>
      <c r="S275" s="25" t="s">
        <v>606</v>
      </c>
      <c r="T275" s="26">
        <v>1</v>
      </c>
      <c r="U275" s="26">
        <v>1</v>
      </c>
      <c r="V275" s="26">
        <v>7189.97</v>
      </c>
      <c r="W275" s="26">
        <f t="shared" si="50"/>
        <v>0</v>
      </c>
      <c r="X275" s="26">
        <f t="shared" si="53"/>
        <v>0</v>
      </c>
      <c r="Y275" s="26">
        <f t="shared" si="51"/>
        <v>0</v>
      </c>
      <c r="Z275" s="26">
        <f t="shared" si="57"/>
        <v>0</v>
      </c>
      <c r="AA275" s="33" t="s">
        <v>15</v>
      </c>
      <c r="AB275" s="36" t="s">
        <v>16</v>
      </c>
      <c r="AC275" s="181">
        <f t="shared" si="54"/>
        <v>1</v>
      </c>
      <c r="AD275" s="181">
        <f t="shared" si="52"/>
        <v>7189.97</v>
      </c>
      <c r="AE275" s="181">
        <v>1.7</v>
      </c>
      <c r="AF275" s="181">
        <v>1.7</v>
      </c>
      <c r="AG275" s="101" t="str">
        <f t="shared" si="55"/>
        <v/>
      </c>
      <c r="AH275" s="190">
        <v>0</v>
      </c>
      <c r="AI275" s="69">
        <f t="shared" si="56"/>
        <v>1</v>
      </c>
    </row>
    <row r="276" spans="1:35" s="69" customFormat="1" ht="78" hidden="1" x14ac:dyDescent="0.3">
      <c r="A276" s="55" t="s">
        <v>713</v>
      </c>
      <c r="B276" s="53" t="s">
        <v>714</v>
      </c>
      <c r="C276" s="54" t="s">
        <v>606</v>
      </c>
      <c r="D276" s="75">
        <v>4</v>
      </c>
      <c r="E276" s="75"/>
      <c r="F276" s="75"/>
      <c r="G276" s="161"/>
      <c r="H276" s="158" t="s">
        <v>15</v>
      </c>
      <c r="I276" s="166">
        <v>4860.95</v>
      </c>
      <c r="J276" s="75">
        <v>19443.8</v>
      </c>
      <c r="K276" s="91" t="s">
        <v>715</v>
      </c>
      <c r="L276" s="73"/>
      <c r="M276" s="46">
        <v>0</v>
      </c>
      <c r="N276" s="46">
        <v>0</v>
      </c>
      <c r="O276" s="46">
        <v>0</v>
      </c>
      <c r="P276" s="98"/>
      <c r="Q276" s="23" t="s">
        <v>1411</v>
      </c>
      <c r="R276" s="24" t="s">
        <v>714</v>
      </c>
      <c r="S276" s="25" t="s">
        <v>606</v>
      </c>
      <c r="T276" s="26">
        <v>4</v>
      </c>
      <c r="U276" s="26">
        <v>4</v>
      </c>
      <c r="V276" s="26">
        <v>4860.95</v>
      </c>
      <c r="W276" s="26">
        <f t="shared" si="50"/>
        <v>0</v>
      </c>
      <c r="X276" s="26">
        <f t="shared" si="53"/>
        <v>0</v>
      </c>
      <c r="Y276" s="26">
        <f t="shared" si="51"/>
        <v>0</v>
      </c>
      <c r="Z276" s="26">
        <f t="shared" si="57"/>
        <v>0</v>
      </c>
      <c r="AA276" s="33" t="s">
        <v>15</v>
      </c>
      <c r="AB276" s="36" t="s">
        <v>16</v>
      </c>
      <c r="AC276" s="181">
        <f t="shared" si="54"/>
        <v>4</v>
      </c>
      <c r="AD276" s="181">
        <f t="shared" si="52"/>
        <v>19443.8</v>
      </c>
      <c r="AE276" s="181">
        <v>1.7</v>
      </c>
      <c r="AF276" s="181">
        <v>1.7</v>
      </c>
      <c r="AG276" s="101" t="str">
        <f t="shared" si="55"/>
        <v/>
      </c>
      <c r="AH276" s="190">
        <v>0</v>
      </c>
      <c r="AI276" s="69">
        <f t="shared" si="56"/>
        <v>4</v>
      </c>
    </row>
    <row r="277" spans="1:35" s="69" customFormat="1" ht="78" hidden="1" x14ac:dyDescent="0.3">
      <c r="A277" s="55" t="s">
        <v>716</v>
      </c>
      <c r="B277" s="53" t="s">
        <v>717</v>
      </c>
      <c r="C277" s="54" t="s">
        <v>606</v>
      </c>
      <c r="D277" s="75">
        <v>1</v>
      </c>
      <c r="E277" s="75"/>
      <c r="F277" s="75"/>
      <c r="G277" s="161"/>
      <c r="H277" s="158" t="s">
        <v>15</v>
      </c>
      <c r="I277" s="166">
        <v>14800.45</v>
      </c>
      <c r="J277" s="75">
        <v>14800.45</v>
      </c>
      <c r="K277" s="91" t="s">
        <v>718</v>
      </c>
      <c r="L277" s="73"/>
      <c r="M277" s="46">
        <v>0</v>
      </c>
      <c r="N277" s="46">
        <v>0</v>
      </c>
      <c r="O277" s="46">
        <v>0</v>
      </c>
      <c r="P277" s="98"/>
      <c r="Q277" s="23" t="s">
        <v>1445</v>
      </c>
      <c r="R277" s="24" t="s">
        <v>717</v>
      </c>
      <c r="S277" s="25" t="s">
        <v>606</v>
      </c>
      <c r="T277" s="26">
        <v>1</v>
      </c>
      <c r="U277" s="26">
        <v>1</v>
      </c>
      <c r="V277" s="26">
        <v>14800.45</v>
      </c>
      <c r="W277" s="26">
        <f t="shared" si="50"/>
        <v>0</v>
      </c>
      <c r="X277" s="26">
        <f t="shared" si="53"/>
        <v>0</v>
      </c>
      <c r="Y277" s="26">
        <f t="shared" si="51"/>
        <v>0</v>
      </c>
      <c r="Z277" s="26">
        <f t="shared" si="57"/>
        <v>0</v>
      </c>
      <c r="AA277" s="33" t="s">
        <v>15</v>
      </c>
      <c r="AB277" s="36" t="s">
        <v>16</v>
      </c>
      <c r="AC277" s="181">
        <f t="shared" si="54"/>
        <v>1</v>
      </c>
      <c r="AD277" s="181">
        <f t="shared" si="52"/>
        <v>14800.45</v>
      </c>
      <c r="AE277" s="181">
        <v>1.7</v>
      </c>
      <c r="AF277" s="181">
        <v>1.7</v>
      </c>
      <c r="AG277" s="101" t="str">
        <f t="shared" si="55"/>
        <v/>
      </c>
      <c r="AH277" s="190">
        <v>0</v>
      </c>
      <c r="AI277" s="69">
        <f t="shared" si="56"/>
        <v>1</v>
      </c>
    </row>
    <row r="278" spans="1:35" s="69" customFormat="1" ht="78" hidden="1" x14ac:dyDescent="0.3">
      <c r="A278" s="55" t="s">
        <v>719</v>
      </c>
      <c r="B278" s="53" t="s">
        <v>720</v>
      </c>
      <c r="C278" s="54" t="s">
        <v>606</v>
      </c>
      <c r="D278" s="75">
        <v>1</v>
      </c>
      <c r="E278" s="75"/>
      <c r="F278" s="75"/>
      <c r="G278" s="161"/>
      <c r="H278" s="158" t="s">
        <v>15</v>
      </c>
      <c r="I278" s="166">
        <v>6661.47</v>
      </c>
      <c r="J278" s="75">
        <v>6661.47</v>
      </c>
      <c r="K278" s="91" t="s">
        <v>721</v>
      </c>
      <c r="L278" s="73"/>
      <c r="M278" s="46">
        <v>0</v>
      </c>
      <c r="N278" s="46">
        <v>0</v>
      </c>
      <c r="O278" s="46">
        <v>0</v>
      </c>
      <c r="P278" s="98"/>
      <c r="Q278" s="23" t="s">
        <v>1383</v>
      </c>
      <c r="R278" s="24" t="s">
        <v>720</v>
      </c>
      <c r="S278" s="25" t="s">
        <v>606</v>
      </c>
      <c r="T278" s="26">
        <v>1</v>
      </c>
      <c r="U278" s="26">
        <v>1</v>
      </c>
      <c r="V278" s="26">
        <v>6661.47</v>
      </c>
      <c r="W278" s="26">
        <f t="shared" si="50"/>
        <v>0</v>
      </c>
      <c r="X278" s="26">
        <f t="shared" si="53"/>
        <v>0</v>
      </c>
      <c r="Y278" s="26">
        <f t="shared" si="51"/>
        <v>0</v>
      </c>
      <c r="Z278" s="26">
        <f t="shared" si="57"/>
        <v>0</v>
      </c>
      <c r="AA278" s="33" t="s">
        <v>15</v>
      </c>
      <c r="AB278" s="36" t="s">
        <v>16</v>
      </c>
      <c r="AC278" s="181">
        <f t="shared" si="54"/>
        <v>1</v>
      </c>
      <c r="AD278" s="181">
        <f t="shared" si="52"/>
        <v>6661.47</v>
      </c>
      <c r="AE278" s="181">
        <v>1.7</v>
      </c>
      <c r="AF278" s="181">
        <v>1.7</v>
      </c>
      <c r="AG278" s="101" t="str">
        <f t="shared" si="55"/>
        <v/>
      </c>
      <c r="AH278" s="190">
        <v>0</v>
      </c>
      <c r="AI278" s="69">
        <f t="shared" si="56"/>
        <v>1</v>
      </c>
    </row>
    <row r="279" spans="1:35" s="69" customFormat="1" ht="78" hidden="1" x14ac:dyDescent="0.3">
      <c r="A279" s="55" t="s">
        <v>722</v>
      </c>
      <c r="B279" s="53" t="s">
        <v>723</v>
      </c>
      <c r="C279" s="54" t="s">
        <v>606</v>
      </c>
      <c r="D279" s="75">
        <v>1</v>
      </c>
      <c r="E279" s="75"/>
      <c r="F279" s="75"/>
      <c r="G279" s="161"/>
      <c r="H279" s="158" t="s">
        <v>15</v>
      </c>
      <c r="I279" s="166">
        <v>15584.47</v>
      </c>
      <c r="J279" s="75">
        <v>15584.47</v>
      </c>
      <c r="K279" s="91" t="s">
        <v>724</v>
      </c>
      <c r="L279" s="73"/>
      <c r="M279" s="46">
        <v>0</v>
      </c>
      <c r="N279" s="46">
        <v>0</v>
      </c>
      <c r="O279" s="46">
        <v>0</v>
      </c>
      <c r="P279" s="98"/>
      <c r="Q279" s="23" t="s">
        <v>1384</v>
      </c>
      <c r="R279" s="24" t="s">
        <v>723</v>
      </c>
      <c r="S279" s="25" t="s">
        <v>606</v>
      </c>
      <c r="T279" s="26">
        <v>1</v>
      </c>
      <c r="U279" s="26">
        <v>1</v>
      </c>
      <c r="V279" s="26">
        <v>15584.47</v>
      </c>
      <c r="W279" s="26">
        <f t="shared" si="50"/>
        <v>0</v>
      </c>
      <c r="X279" s="26">
        <f t="shared" si="53"/>
        <v>0</v>
      </c>
      <c r="Y279" s="26">
        <f t="shared" si="51"/>
        <v>0</v>
      </c>
      <c r="Z279" s="26">
        <f t="shared" si="57"/>
        <v>0</v>
      </c>
      <c r="AA279" s="33" t="s">
        <v>15</v>
      </c>
      <c r="AB279" s="36" t="s">
        <v>16</v>
      </c>
      <c r="AC279" s="181">
        <f t="shared" si="54"/>
        <v>1</v>
      </c>
      <c r="AD279" s="181">
        <f t="shared" si="52"/>
        <v>15584.47</v>
      </c>
      <c r="AE279" s="181">
        <v>1.7</v>
      </c>
      <c r="AF279" s="181">
        <v>1.7</v>
      </c>
      <c r="AG279" s="101" t="str">
        <f t="shared" si="55"/>
        <v/>
      </c>
      <c r="AH279" s="190">
        <v>0</v>
      </c>
      <c r="AI279" s="69">
        <f t="shared" si="56"/>
        <v>1</v>
      </c>
    </row>
    <row r="280" spans="1:35" s="69" customFormat="1" ht="78" hidden="1" x14ac:dyDescent="0.3">
      <c r="A280" s="55" t="s">
        <v>725</v>
      </c>
      <c r="B280" s="53" t="s">
        <v>726</v>
      </c>
      <c r="C280" s="54" t="s">
        <v>606</v>
      </c>
      <c r="D280" s="75">
        <v>4</v>
      </c>
      <c r="E280" s="75"/>
      <c r="F280" s="75"/>
      <c r="G280" s="161"/>
      <c r="H280" s="158" t="s">
        <v>15</v>
      </c>
      <c r="I280" s="166">
        <v>3949.4</v>
      </c>
      <c r="J280" s="75">
        <v>15797.6</v>
      </c>
      <c r="K280" s="91" t="s">
        <v>727</v>
      </c>
      <c r="L280" s="73"/>
      <c r="M280" s="46">
        <v>0</v>
      </c>
      <c r="N280" s="46">
        <v>0</v>
      </c>
      <c r="O280" s="46">
        <v>0</v>
      </c>
      <c r="P280" s="98"/>
      <c r="Q280" s="23" t="s">
        <v>1385</v>
      </c>
      <c r="R280" s="24" t="s">
        <v>726</v>
      </c>
      <c r="S280" s="25" t="s">
        <v>606</v>
      </c>
      <c r="T280" s="26">
        <v>4</v>
      </c>
      <c r="U280" s="26">
        <v>4</v>
      </c>
      <c r="V280" s="26">
        <v>3949.4</v>
      </c>
      <c r="W280" s="26">
        <f t="shared" si="50"/>
        <v>0</v>
      </c>
      <c r="X280" s="26">
        <f t="shared" si="53"/>
        <v>0</v>
      </c>
      <c r="Y280" s="26">
        <f t="shared" si="51"/>
        <v>0</v>
      </c>
      <c r="Z280" s="26">
        <f t="shared" si="57"/>
        <v>0</v>
      </c>
      <c r="AA280" s="33" t="s">
        <v>15</v>
      </c>
      <c r="AB280" s="36" t="s">
        <v>16</v>
      </c>
      <c r="AC280" s="181">
        <f t="shared" si="54"/>
        <v>4</v>
      </c>
      <c r="AD280" s="181">
        <f t="shared" si="52"/>
        <v>15797.6</v>
      </c>
      <c r="AE280" s="181">
        <v>1.7</v>
      </c>
      <c r="AF280" s="181">
        <v>1.7</v>
      </c>
      <c r="AG280" s="101" t="str">
        <f t="shared" si="55"/>
        <v/>
      </c>
      <c r="AH280" s="190">
        <v>0</v>
      </c>
      <c r="AI280" s="69">
        <f t="shared" si="56"/>
        <v>4</v>
      </c>
    </row>
    <row r="281" spans="1:35" s="69" customFormat="1" ht="58.5" hidden="1" x14ac:dyDescent="0.3">
      <c r="A281" s="55" t="s">
        <v>728</v>
      </c>
      <c r="B281" s="53" t="s">
        <v>729</v>
      </c>
      <c r="C281" s="54" t="s">
        <v>606</v>
      </c>
      <c r="D281" s="75">
        <v>1</v>
      </c>
      <c r="E281" s="75"/>
      <c r="F281" s="75"/>
      <c r="G281" s="161"/>
      <c r="H281" s="158" t="s">
        <v>15</v>
      </c>
      <c r="I281" s="166">
        <v>227.07</v>
      </c>
      <c r="J281" s="75">
        <v>227.07</v>
      </c>
      <c r="K281" s="91" t="s">
        <v>730</v>
      </c>
      <c r="L281" s="73"/>
      <c r="M281" s="46">
        <v>0</v>
      </c>
      <c r="N281" s="46">
        <v>0</v>
      </c>
      <c r="O281" s="46">
        <v>0</v>
      </c>
      <c r="P281" s="98"/>
      <c r="Q281" s="23" t="s">
        <v>1446</v>
      </c>
      <c r="R281" s="24" t="s">
        <v>729</v>
      </c>
      <c r="S281" s="25" t="s">
        <v>606</v>
      </c>
      <c r="T281" s="26">
        <v>1</v>
      </c>
      <c r="U281" s="26">
        <v>1</v>
      </c>
      <c r="V281" s="26">
        <v>227.07</v>
      </c>
      <c r="W281" s="26">
        <f t="shared" si="50"/>
        <v>0</v>
      </c>
      <c r="X281" s="26">
        <f t="shared" si="53"/>
        <v>0</v>
      </c>
      <c r="Y281" s="26">
        <f t="shared" si="51"/>
        <v>0</v>
      </c>
      <c r="Z281" s="26">
        <f t="shared" si="57"/>
        <v>0</v>
      </c>
      <c r="AA281" s="33" t="s">
        <v>15</v>
      </c>
      <c r="AB281" s="36" t="s">
        <v>16</v>
      </c>
      <c r="AC281" s="181">
        <f t="shared" si="54"/>
        <v>1</v>
      </c>
      <c r="AD281" s="181">
        <f t="shared" si="52"/>
        <v>227.07</v>
      </c>
      <c r="AE281" s="181">
        <v>1.7</v>
      </c>
      <c r="AF281" s="181">
        <v>1.7</v>
      </c>
      <c r="AG281" s="101" t="str">
        <f t="shared" si="55"/>
        <v/>
      </c>
      <c r="AH281" s="190">
        <v>0</v>
      </c>
      <c r="AI281" s="69">
        <f t="shared" si="56"/>
        <v>1</v>
      </c>
    </row>
    <row r="282" spans="1:35" s="69" customFormat="1" ht="39" hidden="1" x14ac:dyDescent="0.3">
      <c r="A282" s="55" t="s">
        <v>731</v>
      </c>
      <c r="B282" s="53" t="s">
        <v>732</v>
      </c>
      <c r="C282" s="54" t="s">
        <v>606</v>
      </c>
      <c r="D282" s="75">
        <v>1</v>
      </c>
      <c r="E282" s="75"/>
      <c r="F282" s="75"/>
      <c r="G282" s="161"/>
      <c r="H282" s="158" t="s">
        <v>15</v>
      </c>
      <c r="I282" s="166">
        <v>277.02999999999997</v>
      </c>
      <c r="J282" s="75">
        <v>277.02999999999997</v>
      </c>
      <c r="K282" s="91" t="s">
        <v>733</v>
      </c>
      <c r="L282" s="73"/>
      <c r="M282" s="46">
        <v>0</v>
      </c>
      <c r="N282" s="46">
        <v>0</v>
      </c>
      <c r="O282" s="46">
        <v>0</v>
      </c>
      <c r="P282" s="98"/>
      <c r="Q282" s="23" t="s">
        <v>1447</v>
      </c>
      <c r="R282" s="24" t="s">
        <v>732</v>
      </c>
      <c r="S282" s="25" t="s">
        <v>606</v>
      </c>
      <c r="T282" s="26">
        <v>1</v>
      </c>
      <c r="U282" s="26">
        <v>1</v>
      </c>
      <c r="V282" s="26">
        <v>277.02999999999997</v>
      </c>
      <c r="W282" s="26">
        <f t="shared" si="50"/>
        <v>0</v>
      </c>
      <c r="X282" s="26">
        <f t="shared" si="53"/>
        <v>0</v>
      </c>
      <c r="Y282" s="26">
        <f t="shared" si="51"/>
        <v>0</v>
      </c>
      <c r="Z282" s="26">
        <f t="shared" si="57"/>
        <v>0</v>
      </c>
      <c r="AA282" s="33" t="s">
        <v>15</v>
      </c>
      <c r="AB282" s="36" t="s">
        <v>16</v>
      </c>
      <c r="AC282" s="181">
        <f t="shared" si="54"/>
        <v>1</v>
      </c>
      <c r="AD282" s="181">
        <f t="shared" si="52"/>
        <v>277.02999999999997</v>
      </c>
      <c r="AE282" s="181">
        <v>1.7</v>
      </c>
      <c r="AF282" s="181">
        <v>1.7</v>
      </c>
      <c r="AG282" s="101" t="str">
        <f t="shared" si="55"/>
        <v/>
      </c>
      <c r="AH282" s="190">
        <v>0</v>
      </c>
      <c r="AI282" s="69">
        <f t="shared" si="56"/>
        <v>1</v>
      </c>
    </row>
    <row r="283" spans="1:35" s="69" customFormat="1" ht="39" hidden="1" x14ac:dyDescent="0.3">
      <c r="A283" s="55" t="s">
        <v>734</v>
      </c>
      <c r="B283" s="53" t="s">
        <v>735</v>
      </c>
      <c r="C283" s="54" t="s">
        <v>606</v>
      </c>
      <c r="D283" s="75">
        <v>1</v>
      </c>
      <c r="E283" s="75"/>
      <c r="F283" s="75"/>
      <c r="G283" s="161"/>
      <c r="H283" s="158" t="s">
        <v>15</v>
      </c>
      <c r="I283" s="166">
        <v>286.3</v>
      </c>
      <c r="J283" s="75">
        <v>286.3</v>
      </c>
      <c r="K283" s="91" t="s">
        <v>736</v>
      </c>
      <c r="L283" s="73"/>
      <c r="M283" s="46">
        <v>0</v>
      </c>
      <c r="N283" s="46">
        <v>0</v>
      </c>
      <c r="O283" s="46">
        <v>0</v>
      </c>
      <c r="P283" s="98"/>
      <c r="Q283" s="23" t="s">
        <v>1448</v>
      </c>
      <c r="R283" s="24" t="s">
        <v>735</v>
      </c>
      <c r="S283" s="25" t="s">
        <v>606</v>
      </c>
      <c r="T283" s="26">
        <v>1</v>
      </c>
      <c r="U283" s="26">
        <v>1</v>
      </c>
      <c r="V283" s="26">
        <v>286.3</v>
      </c>
      <c r="W283" s="26">
        <f t="shared" si="50"/>
        <v>0</v>
      </c>
      <c r="X283" s="26">
        <f t="shared" si="53"/>
        <v>0</v>
      </c>
      <c r="Y283" s="26">
        <f t="shared" si="51"/>
        <v>0</v>
      </c>
      <c r="Z283" s="26">
        <f t="shared" si="57"/>
        <v>0</v>
      </c>
      <c r="AA283" s="33" t="s">
        <v>15</v>
      </c>
      <c r="AB283" s="36" t="s">
        <v>16</v>
      </c>
      <c r="AC283" s="181">
        <f t="shared" si="54"/>
        <v>1</v>
      </c>
      <c r="AD283" s="181">
        <f t="shared" si="52"/>
        <v>286.3</v>
      </c>
      <c r="AE283" s="181">
        <v>1.7</v>
      </c>
      <c r="AF283" s="181">
        <v>1.7</v>
      </c>
      <c r="AG283" s="101" t="str">
        <f t="shared" si="55"/>
        <v/>
      </c>
      <c r="AH283" s="190">
        <v>0</v>
      </c>
      <c r="AI283" s="69">
        <f t="shared" si="56"/>
        <v>1</v>
      </c>
    </row>
    <row r="284" spans="1:35" s="69" customFormat="1" ht="39" hidden="1" x14ac:dyDescent="0.3">
      <c r="A284" s="55" t="s">
        <v>737</v>
      </c>
      <c r="B284" s="53" t="s">
        <v>738</v>
      </c>
      <c r="C284" s="54" t="s">
        <v>606</v>
      </c>
      <c r="D284" s="75">
        <v>1</v>
      </c>
      <c r="E284" s="75"/>
      <c r="F284" s="75"/>
      <c r="G284" s="161"/>
      <c r="H284" s="158" t="s">
        <v>15</v>
      </c>
      <c r="I284" s="166">
        <v>134.37</v>
      </c>
      <c r="J284" s="75">
        <v>134.37</v>
      </c>
      <c r="K284" s="91" t="s">
        <v>739</v>
      </c>
      <c r="L284" s="73"/>
      <c r="M284" s="46">
        <v>0</v>
      </c>
      <c r="N284" s="46">
        <v>0</v>
      </c>
      <c r="O284" s="46">
        <v>0</v>
      </c>
      <c r="P284" s="98"/>
      <c r="Q284" s="23" t="s">
        <v>1449</v>
      </c>
      <c r="R284" s="24" t="s">
        <v>738</v>
      </c>
      <c r="S284" s="25" t="s">
        <v>606</v>
      </c>
      <c r="T284" s="26">
        <v>1</v>
      </c>
      <c r="U284" s="26">
        <v>1</v>
      </c>
      <c r="V284" s="26">
        <v>134.37</v>
      </c>
      <c r="W284" s="26">
        <f t="shared" si="50"/>
        <v>0</v>
      </c>
      <c r="X284" s="26">
        <f t="shared" si="53"/>
        <v>0</v>
      </c>
      <c r="Y284" s="26">
        <f t="shared" si="51"/>
        <v>0</v>
      </c>
      <c r="Z284" s="26">
        <f t="shared" si="57"/>
        <v>0</v>
      </c>
      <c r="AA284" s="33" t="s">
        <v>15</v>
      </c>
      <c r="AB284" s="36" t="s">
        <v>16</v>
      </c>
      <c r="AC284" s="181">
        <f t="shared" si="54"/>
        <v>1</v>
      </c>
      <c r="AD284" s="181">
        <f t="shared" si="52"/>
        <v>134.37</v>
      </c>
      <c r="AE284" s="181">
        <v>1.7</v>
      </c>
      <c r="AF284" s="181">
        <v>1.7</v>
      </c>
      <c r="AG284" s="101" t="str">
        <f t="shared" si="55"/>
        <v/>
      </c>
      <c r="AH284" s="190">
        <v>0</v>
      </c>
      <c r="AI284" s="69">
        <f t="shared" si="56"/>
        <v>1</v>
      </c>
    </row>
    <row r="285" spans="1:35" s="69" customFormat="1" ht="39" hidden="1" x14ac:dyDescent="0.3">
      <c r="A285" s="55" t="s">
        <v>740</v>
      </c>
      <c r="B285" s="53" t="s">
        <v>741</v>
      </c>
      <c r="C285" s="54" t="s">
        <v>606</v>
      </c>
      <c r="D285" s="75">
        <v>1</v>
      </c>
      <c r="E285" s="75"/>
      <c r="F285" s="75"/>
      <c r="G285" s="161"/>
      <c r="H285" s="158" t="s">
        <v>15</v>
      </c>
      <c r="I285" s="166">
        <v>142.1</v>
      </c>
      <c r="J285" s="75">
        <v>142.1</v>
      </c>
      <c r="K285" s="91" t="s">
        <v>742</v>
      </c>
      <c r="L285" s="73"/>
      <c r="M285" s="46">
        <v>0</v>
      </c>
      <c r="N285" s="46">
        <v>0</v>
      </c>
      <c r="O285" s="46">
        <v>0</v>
      </c>
      <c r="P285" s="98"/>
      <c r="Q285" s="23" t="s">
        <v>1450</v>
      </c>
      <c r="R285" s="24" t="s">
        <v>741</v>
      </c>
      <c r="S285" s="25" t="s">
        <v>606</v>
      </c>
      <c r="T285" s="26">
        <v>1</v>
      </c>
      <c r="U285" s="26">
        <v>1</v>
      </c>
      <c r="V285" s="26">
        <v>142.1</v>
      </c>
      <c r="W285" s="26">
        <f t="shared" si="50"/>
        <v>0</v>
      </c>
      <c r="X285" s="26">
        <f t="shared" si="53"/>
        <v>0</v>
      </c>
      <c r="Y285" s="26">
        <f t="shared" si="51"/>
        <v>0</v>
      </c>
      <c r="Z285" s="26">
        <f t="shared" si="57"/>
        <v>0</v>
      </c>
      <c r="AA285" s="33" t="s">
        <v>15</v>
      </c>
      <c r="AB285" s="36" t="s">
        <v>16</v>
      </c>
      <c r="AC285" s="181">
        <f t="shared" si="54"/>
        <v>1</v>
      </c>
      <c r="AD285" s="181">
        <f t="shared" si="52"/>
        <v>142.1</v>
      </c>
      <c r="AE285" s="181">
        <v>1.7</v>
      </c>
      <c r="AF285" s="181">
        <v>1.7</v>
      </c>
      <c r="AG285" s="101" t="str">
        <f t="shared" si="55"/>
        <v/>
      </c>
      <c r="AH285" s="190">
        <v>0</v>
      </c>
      <c r="AI285" s="69">
        <f t="shared" si="56"/>
        <v>1</v>
      </c>
    </row>
    <row r="286" spans="1:35" s="69" customFormat="1" ht="39" hidden="1" x14ac:dyDescent="0.3">
      <c r="A286" s="55" t="s">
        <v>743</v>
      </c>
      <c r="B286" s="53" t="s">
        <v>744</v>
      </c>
      <c r="C286" s="54" t="s">
        <v>606</v>
      </c>
      <c r="D286" s="75">
        <v>1</v>
      </c>
      <c r="E286" s="75"/>
      <c r="F286" s="75"/>
      <c r="G286" s="161"/>
      <c r="H286" s="158" t="s">
        <v>15</v>
      </c>
      <c r="I286" s="166">
        <v>90.32</v>
      </c>
      <c r="J286" s="75">
        <v>90.32</v>
      </c>
      <c r="K286" s="91" t="s">
        <v>745</v>
      </c>
      <c r="L286" s="73"/>
      <c r="M286" s="46">
        <v>0</v>
      </c>
      <c r="N286" s="46">
        <v>0</v>
      </c>
      <c r="O286" s="46">
        <v>0</v>
      </c>
      <c r="P286" s="98"/>
      <c r="Q286" s="23" t="s">
        <v>1451</v>
      </c>
      <c r="R286" s="24" t="s">
        <v>744</v>
      </c>
      <c r="S286" s="25" t="s">
        <v>606</v>
      </c>
      <c r="T286" s="26">
        <v>1</v>
      </c>
      <c r="U286" s="26">
        <v>1</v>
      </c>
      <c r="V286" s="26">
        <v>90.32</v>
      </c>
      <c r="W286" s="26">
        <f t="shared" si="50"/>
        <v>0</v>
      </c>
      <c r="X286" s="26">
        <f t="shared" si="53"/>
        <v>0</v>
      </c>
      <c r="Y286" s="26">
        <f t="shared" si="51"/>
        <v>0</v>
      </c>
      <c r="Z286" s="26">
        <f t="shared" si="57"/>
        <v>0</v>
      </c>
      <c r="AA286" s="33" t="s">
        <v>15</v>
      </c>
      <c r="AB286" s="36" t="s">
        <v>16</v>
      </c>
      <c r="AC286" s="181">
        <f t="shared" si="54"/>
        <v>1</v>
      </c>
      <c r="AD286" s="181">
        <f t="shared" si="52"/>
        <v>90.32</v>
      </c>
      <c r="AE286" s="181">
        <v>1.7</v>
      </c>
      <c r="AF286" s="181">
        <v>1.7</v>
      </c>
      <c r="AG286" s="101" t="str">
        <f t="shared" si="55"/>
        <v/>
      </c>
      <c r="AH286" s="190">
        <v>0</v>
      </c>
      <c r="AI286" s="69">
        <f t="shared" si="56"/>
        <v>1</v>
      </c>
    </row>
    <row r="287" spans="1:35" s="69" customFormat="1" ht="58.5" hidden="1" x14ac:dyDescent="0.3">
      <c r="A287" s="55" t="s">
        <v>746</v>
      </c>
      <c r="B287" s="53" t="s">
        <v>747</v>
      </c>
      <c r="C287" s="54" t="s">
        <v>606</v>
      </c>
      <c r="D287" s="75">
        <v>1</v>
      </c>
      <c r="E287" s="75"/>
      <c r="F287" s="75"/>
      <c r="G287" s="161"/>
      <c r="H287" s="158" t="s">
        <v>15</v>
      </c>
      <c r="I287" s="166">
        <v>125.1</v>
      </c>
      <c r="J287" s="75">
        <v>125.1</v>
      </c>
      <c r="K287" s="91" t="s">
        <v>748</v>
      </c>
      <c r="L287" s="73"/>
      <c r="M287" s="46">
        <v>0</v>
      </c>
      <c r="N287" s="46">
        <v>0</v>
      </c>
      <c r="O287" s="46">
        <v>0</v>
      </c>
      <c r="P287" s="98"/>
      <c r="Q287" s="23" t="s">
        <v>1452</v>
      </c>
      <c r="R287" s="24" t="s">
        <v>747</v>
      </c>
      <c r="S287" s="25" t="s">
        <v>606</v>
      </c>
      <c r="T287" s="26">
        <v>1</v>
      </c>
      <c r="U287" s="26">
        <v>1</v>
      </c>
      <c r="V287" s="26">
        <v>125.1</v>
      </c>
      <c r="W287" s="26">
        <f t="shared" si="50"/>
        <v>0</v>
      </c>
      <c r="X287" s="26">
        <f t="shared" si="53"/>
        <v>0</v>
      </c>
      <c r="Y287" s="26">
        <f t="shared" si="51"/>
        <v>0</v>
      </c>
      <c r="Z287" s="26">
        <f t="shared" si="57"/>
        <v>0</v>
      </c>
      <c r="AA287" s="33" t="s">
        <v>15</v>
      </c>
      <c r="AB287" s="36" t="s">
        <v>16</v>
      </c>
      <c r="AC287" s="181">
        <f t="shared" si="54"/>
        <v>1</v>
      </c>
      <c r="AD287" s="181">
        <f t="shared" si="52"/>
        <v>125.1</v>
      </c>
      <c r="AE287" s="181">
        <v>1.7</v>
      </c>
      <c r="AF287" s="181">
        <v>1.7</v>
      </c>
      <c r="AG287" s="101" t="str">
        <f t="shared" si="55"/>
        <v/>
      </c>
      <c r="AH287" s="190">
        <v>0</v>
      </c>
      <c r="AI287" s="69">
        <f t="shared" si="56"/>
        <v>1</v>
      </c>
    </row>
    <row r="288" spans="1:35" s="69" customFormat="1" ht="58.5" hidden="1" x14ac:dyDescent="0.3">
      <c r="A288" s="55" t="s">
        <v>749</v>
      </c>
      <c r="B288" s="53" t="s">
        <v>750</v>
      </c>
      <c r="C288" s="54" t="s">
        <v>606</v>
      </c>
      <c r="D288" s="75">
        <v>1</v>
      </c>
      <c r="E288" s="75"/>
      <c r="F288" s="75"/>
      <c r="G288" s="161"/>
      <c r="H288" s="158" t="s">
        <v>15</v>
      </c>
      <c r="I288" s="166">
        <v>137.04</v>
      </c>
      <c r="J288" s="75">
        <v>137.04</v>
      </c>
      <c r="K288" s="91" t="s">
        <v>751</v>
      </c>
      <c r="L288" s="73"/>
      <c r="M288" s="46">
        <v>0</v>
      </c>
      <c r="N288" s="46">
        <v>0</v>
      </c>
      <c r="O288" s="46">
        <v>0</v>
      </c>
      <c r="P288" s="98"/>
      <c r="Q288" s="23" t="s">
        <v>1453</v>
      </c>
      <c r="R288" s="24" t="s">
        <v>750</v>
      </c>
      <c r="S288" s="25" t="s">
        <v>606</v>
      </c>
      <c r="T288" s="26">
        <v>1</v>
      </c>
      <c r="U288" s="26">
        <v>1</v>
      </c>
      <c r="V288" s="26">
        <v>137.04</v>
      </c>
      <c r="W288" s="26">
        <f t="shared" si="50"/>
        <v>0</v>
      </c>
      <c r="X288" s="26">
        <f t="shared" si="53"/>
        <v>0</v>
      </c>
      <c r="Y288" s="26">
        <f t="shared" si="51"/>
        <v>0</v>
      </c>
      <c r="Z288" s="26">
        <f t="shared" si="57"/>
        <v>0</v>
      </c>
      <c r="AA288" s="33" t="s">
        <v>15</v>
      </c>
      <c r="AB288" s="36" t="s">
        <v>16</v>
      </c>
      <c r="AC288" s="181">
        <f t="shared" si="54"/>
        <v>1</v>
      </c>
      <c r="AD288" s="181">
        <f t="shared" si="52"/>
        <v>137.04</v>
      </c>
      <c r="AE288" s="181">
        <v>1.7</v>
      </c>
      <c r="AF288" s="181">
        <v>1.7</v>
      </c>
      <c r="AG288" s="101" t="str">
        <f t="shared" si="55"/>
        <v/>
      </c>
      <c r="AH288" s="190">
        <v>0</v>
      </c>
      <c r="AI288" s="69">
        <f t="shared" si="56"/>
        <v>1</v>
      </c>
    </row>
    <row r="289" spans="1:35" s="69" customFormat="1" ht="39" hidden="1" x14ac:dyDescent="0.3">
      <c r="A289" s="55" t="s">
        <v>752</v>
      </c>
      <c r="B289" s="53" t="s">
        <v>753</v>
      </c>
      <c r="C289" s="54" t="s">
        <v>606</v>
      </c>
      <c r="D289" s="75">
        <v>1</v>
      </c>
      <c r="E289" s="75"/>
      <c r="F289" s="75"/>
      <c r="G289" s="161"/>
      <c r="H289" s="158" t="s">
        <v>15</v>
      </c>
      <c r="I289" s="166">
        <v>107.12</v>
      </c>
      <c r="J289" s="75">
        <v>107.12</v>
      </c>
      <c r="K289" s="91" t="s">
        <v>754</v>
      </c>
      <c r="L289" s="73"/>
      <c r="M289" s="46">
        <v>0</v>
      </c>
      <c r="N289" s="46">
        <v>0</v>
      </c>
      <c r="O289" s="46">
        <v>0</v>
      </c>
      <c r="P289" s="98"/>
      <c r="Q289" s="23" t="s">
        <v>1454</v>
      </c>
      <c r="R289" s="24" t="s">
        <v>753</v>
      </c>
      <c r="S289" s="25" t="s">
        <v>606</v>
      </c>
      <c r="T289" s="26">
        <v>1</v>
      </c>
      <c r="U289" s="26">
        <v>1</v>
      </c>
      <c r="V289" s="26">
        <v>107.12</v>
      </c>
      <c r="W289" s="26">
        <f t="shared" si="50"/>
        <v>0</v>
      </c>
      <c r="X289" s="26">
        <f t="shared" si="53"/>
        <v>0</v>
      </c>
      <c r="Y289" s="26">
        <f t="shared" si="51"/>
        <v>0</v>
      </c>
      <c r="Z289" s="26">
        <f t="shared" si="57"/>
        <v>0</v>
      </c>
      <c r="AA289" s="33" t="s">
        <v>15</v>
      </c>
      <c r="AB289" s="36" t="s">
        <v>16</v>
      </c>
      <c r="AC289" s="181">
        <f t="shared" si="54"/>
        <v>1</v>
      </c>
      <c r="AD289" s="181">
        <f t="shared" si="52"/>
        <v>107.12</v>
      </c>
      <c r="AE289" s="181">
        <v>1.7</v>
      </c>
      <c r="AF289" s="181">
        <v>1.7</v>
      </c>
      <c r="AG289" s="101" t="str">
        <f t="shared" si="55"/>
        <v/>
      </c>
      <c r="AH289" s="190">
        <v>0</v>
      </c>
      <c r="AI289" s="69">
        <f t="shared" si="56"/>
        <v>1</v>
      </c>
    </row>
    <row r="290" spans="1:35" s="69" customFormat="1" ht="39" hidden="1" x14ac:dyDescent="0.3">
      <c r="A290" s="55" t="s">
        <v>755</v>
      </c>
      <c r="B290" s="53" t="s">
        <v>756</v>
      </c>
      <c r="C290" s="54" t="s">
        <v>606</v>
      </c>
      <c r="D290" s="75">
        <v>1</v>
      </c>
      <c r="E290" s="75"/>
      <c r="F290" s="75"/>
      <c r="G290" s="161"/>
      <c r="H290" s="158" t="s">
        <v>15</v>
      </c>
      <c r="I290" s="166">
        <v>124.17</v>
      </c>
      <c r="J290" s="75">
        <v>124.17</v>
      </c>
      <c r="K290" s="91" t="s">
        <v>757</v>
      </c>
      <c r="L290" s="73"/>
      <c r="M290" s="46">
        <v>0</v>
      </c>
      <c r="N290" s="46">
        <v>0</v>
      </c>
      <c r="O290" s="46">
        <v>0</v>
      </c>
      <c r="P290" s="98"/>
      <c r="Q290" s="23" t="s">
        <v>1455</v>
      </c>
      <c r="R290" s="24" t="s">
        <v>756</v>
      </c>
      <c r="S290" s="25" t="s">
        <v>606</v>
      </c>
      <c r="T290" s="26">
        <v>1</v>
      </c>
      <c r="U290" s="26">
        <v>1</v>
      </c>
      <c r="V290" s="26">
        <v>124.17</v>
      </c>
      <c r="W290" s="26">
        <f t="shared" si="50"/>
        <v>0</v>
      </c>
      <c r="X290" s="26">
        <f t="shared" si="53"/>
        <v>0</v>
      </c>
      <c r="Y290" s="26">
        <f t="shared" si="51"/>
        <v>0</v>
      </c>
      <c r="Z290" s="26">
        <f t="shared" si="57"/>
        <v>0</v>
      </c>
      <c r="AA290" s="33" t="s">
        <v>15</v>
      </c>
      <c r="AB290" s="36" t="s">
        <v>16</v>
      </c>
      <c r="AC290" s="181">
        <f t="shared" si="54"/>
        <v>1</v>
      </c>
      <c r="AD290" s="181">
        <f t="shared" si="52"/>
        <v>124.17</v>
      </c>
      <c r="AE290" s="181">
        <v>1.7</v>
      </c>
      <c r="AF290" s="181">
        <v>1.7</v>
      </c>
      <c r="AG290" s="101" t="str">
        <f t="shared" si="55"/>
        <v/>
      </c>
      <c r="AH290" s="190">
        <v>0</v>
      </c>
      <c r="AI290" s="69">
        <f t="shared" si="56"/>
        <v>1</v>
      </c>
    </row>
    <row r="291" spans="1:35" s="69" customFormat="1" ht="39" hidden="1" x14ac:dyDescent="0.3">
      <c r="A291" s="55" t="s">
        <v>758</v>
      </c>
      <c r="B291" s="53" t="s">
        <v>759</v>
      </c>
      <c r="C291" s="54" t="s">
        <v>606</v>
      </c>
      <c r="D291" s="75">
        <v>1</v>
      </c>
      <c r="E291" s="75"/>
      <c r="F291" s="75"/>
      <c r="G291" s="161"/>
      <c r="H291" s="158" t="s">
        <v>15</v>
      </c>
      <c r="I291" s="166">
        <v>121.59</v>
      </c>
      <c r="J291" s="75">
        <v>121.59</v>
      </c>
      <c r="K291" s="91" t="s">
        <v>760</v>
      </c>
      <c r="L291" s="73"/>
      <c r="M291" s="46">
        <v>0</v>
      </c>
      <c r="N291" s="46">
        <v>0</v>
      </c>
      <c r="O291" s="46">
        <v>0</v>
      </c>
      <c r="P291" s="98"/>
      <c r="Q291" s="23" t="s">
        <v>1456</v>
      </c>
      <c r="R291" s="24" t="s">
        <v>759</v>
      </c>
      <c r="S291" s="25" t="s">
        <v>606</v>
      </c>
      <c r="T291" s="26">
        <v>1</v>
      </c>
      <c r="U291" s="26">
        <v>1</v>
      </c>
      <c r="V291" s="26">
        <v>121.59</v>
      </c>
      <c r="W291" s="26">
        <f t="shared" si="50"/>
        <v>0</v>
      </c>
      <c r="X291" s="26">
        <f t="shared" si="53"/>
        <v>0</v>
      </c>
      <c r="Y291" s="26">
        <f t="shared" si="51"/>
        <v>0</v>
      </c>
      <c r="Z291" s="26">
        <f t="shared" si="57"/>
        <v>0</v>
      </c>
      <c r="AA291" s="33" t="s">
        <v>15</v>
      </c>
      <c r="AB291" s="36" t="s">
        <v>16</v>
      </c>
      <c r="AC291" s="181">
        <f t="shared" si="54"/>
        <v>1</v>
      </c>
      <c r="AD291" s="181">
        <f t="shared" si="52"/>
        <v>121.59</v>
      </c>
      <c r="AE291" s="181">
        <v>1.7</v>
      </c>
      <c r="AF291" s="181">
        <v>1.7</v>
      </c>
      <c r="AG291" s="101" t="str">
        <f t="shared" si="55"/>
        <v/>
      </c>
      <c r="AH291" s="190">
        <v>0</v>
      </c>
      <c r="AI291" s="69">
        <f t="shared" si="56"/>
        <v>1</v>
      </c>
    </row>
    <row r="292" spans="1:35" s="69" customFormat="1" ht="39" hidden="1" x14ac:dyDescent="0.3">
      <c r="A292" s="55" t="s">
        <v>761</v>
      </c>
      <c r="B292" s="53" t="s">
        <v>762</v>
      </c>
      <c r="C292" s="54" t="s">
        <v>606</v>
      </c>
      <c r="D292" s="75">
        <v>1</v>
      </c>
      <c r="E292" s="75"/>
      <c r="F292" s="75"/>
      <c r="G292" s="161"/>
      <c r="H292" s="158" t="s">
        <v>15</v>
      </c>
      <c r="I292" s="166">
        <v>154.51</v>
      </c>
      <c r="J292" s="75">
        <v>154.51</v>
      </c>
      <c r="K292" s="91" t="s">
        <v>763</v>
      </c>
      <c r="L292" s="73"/>
      <c r="M292" s="46">
        <v>0</v>
      </c>
      <c r="N292" s="46">
        <v>0</v>
      </c>
      <c r="O292" s="46">
        <v>0</v>
      </c>
      <c r="P292" s="98"/>
      <c r="Q292" s="23" t="s">
        <v>1457</v>
      </c>
      <c r="R292" s="24" t="s">
        <v>762</v>
      </c>
      <c r="S292" s="25" t="s">
        <v>606</v>
      </c>
      <c r="T292" s="26">
        <v>1</v>
      </c>
      <c r="U292" s="26">
        <v>1</v>
      </c>
      <c r="V292" s="26">
        <v>154.51</v>
      </c>
      <c r="W292" s="26">
        <f t="shared" si="50"/>
        <v>0</v>
      </c>
      <c r="X292" s="26">
        <f t="shared" si="53"/>
        <v>0</v>
      </c>
      <c r="Y292" s="26">
        <f t="shared" si="51"/>
        <v>0</v>
      </c>
      <c r="Z292" s="26">
        <f t="shared" si="57"/>
        <v>0</v>
      </c>
      <c r="AA292" s="33" t="s">
        <v>15</v>
      </c>
      <c r="AB292" s="36" t="s">
        <v>16</v>
      </c>
      <c r="AC292" s="181">
        <f t="shared" si="54"/>
        <v>1</v>
      </c>
      <c r="AD292" s="181">
        <f t="shared" si="52"/>
        <v>154.51</v>
      </c>
      <c r="AE292" s="181">
        <v>1.7</v>
      </c>
      <c r="AF292" s="181">
        <v>1.7</v>
      </c>
      <c r="AG292" s="101" t="str">
        <f t="shared" si="55"/>
        <v/>
      </c>
      <c r="AH292" s="190">
        <v>0</v>
      </c>
      <c r="AI292" s="69">
        <f t="shared" si="56"/>
        <v>1</v>
      </c>
    </row>
    <row r="293" spans="1:35" s="69" customFormat="1" ht="58.5" hidden="1" x14ac:dyDescent="0.3">
      <c r="A293" s="55" t="s">
        <v>764</v>
      </c>
      <c r="B293" s="53" t="s">
        <v>765</v>
      </c>
      <c r="C293" s="54" t="s">
        <v>606</v>
      </c>
      <c r="D293" s="75">
        <v>1</v>
      </c>
      <c r="E293" s="75"/>
      <c r="F293" s="75"/>
      <c r="G293" s="161"/>
      <c r="H293" s="158" t="s">
        <v>15</v>
      </c>
      <c r="I293" s="166">
        <v>36.549999999999997</v>
      </c>
      <c r="J293" s="75">
        <v>36.549999999999997</v>
      </c>
      <c r="K293" s="91" t="s">
        <v>766</v>
      </c>
      <c r="L293" s="73"/>
      <c r="M293" s="46">
        <v>0</v>
      </c>
      <c r="N293" s="46">
        <v>0</v>
      </c>
      <c r="O293" s="46">
        <v>0</v>
      </c>
      <c r="P293" s="98"/>
      <c r="Q293" s="23" t="s">
        <v>1458</v>
      </c>
      <c r="R293" s="24" t="s">
        <v>765</v>
      </c>
      <c r="S293" s="25" t="s">
        <v>606</v>
      </c>
      <c r="T293" s="26">
        <v>1</v>
      </c>
      <c r="U293" s="26">
        <v>1</v>
      </c>
      <c r="V293" s="26">
        <v>36.549999999999997</v>
      </c>
      <c r="W293" s="26">
        <f t="shared" si="50"/>
        <v>0</v>
      </c>
      <c r="X293" s="26">
        <f t="shared" si="53"/>
        <v>0</v>
      </c>
      <c r="Y293" s="26">
        <f t="shared" si="51"/>
        <v>0</v>
      </c>
      <c r="Z293" s="26">
        <f t="shared" si="57"/>
        <v>0</v>
      </c>
      <c r="AA293" s="33" t="s">
        <v>15</v>
      </c>
      <c r="AB293" s="36" t="s">
        <v>16</v>
      </c>
      <c r="AC293" s="181">
        <f t="shared" si="54"/>
        <v>1</v>
      </c>
      <c r="AD293" s="181">
        <f t="shared" si="52"/>
        <v>36.549999999999997</v>
      </c>
      <c r="AE293" s="181">
        <v>1.7</v>
      </c>
      <c r="AF293" s="181">
        <v>1.7</v>
      </c>
      <c r="AG293" s="101" t="str">
        <f t="shared" si="55"/>
        <v/>
      </c>
      <c r="AH293" s="190">
        <v>0</v>
      </c>
      <c r="AI293" s="69">
        <f t="shared" si="56"/>
        <v>1</v>
      </c>
    </row>
    <row r="294" spans="1:35" s="69" customFormat="1" ht="39" hidden="1" x14ac:dyDescent="0.3">
      <c r="A294" s="55" t="s">
        <v>767</v>
      </c>
      <c r="B294" s="53" t="s">
        <v>768</v>
      </c>
      <c r="C294" s="54" t="s">
        <v>606</v>
      </c>
      <c r="D294" s="75">
        <v>1</v>
      </c>
      <c r="E294" s="75"/>
      <c r="F294" s="75"/>
      <c r="G294" s="161"/>
      <c r="H294" s="158" t="s">
        <v>15</v>
      </c>
      <c r="I294" s="166">
        <v>27.8</v>
      </c>
      <c r="J294" s="75">
        <v>27.8</v>
      </c>
      <c r="K294" s="91" t="s">
        <v>769</v>
      </c>
      <c r="L294" s="73"/>
      <c r="M294" s="46">
        <v>0</v>
      </c>
      <c r="N294" s="46">
        <v>0</v>
      </c>
      <c r="O294" s="46">
        <v>0</v>
      </c>
      <c r="P294" s="98"/>
      <c r="Q294" s="23" t="s">
        <v>1459</v>
      </c>
      <c r="R294" s="24" t="s">
        <v>768</v>
      </c>
      <c r="S294" s="25" t="s">
        <v>606</v>
      </c>
      <c r="T294" s="26">
        <v>1</v>
      </c>
      <c r="U294" s="26">
        <v>1</v>
      </c>
      <c r="V294" s="26">
        <v>27.8</v>
      </c>
      <c r="W294" s="26">
        <f t="shared" si="50"/>
        <v>0</v>
      </c>
      <c r="X294" s="26">
        <f t="shared" si="53"/>
        <v>0</v>
      </c>
      <c r="Y294" s="26">
        <f t="shared" si="51"/>
        <v>0</v>
      </c>
      <c r="Z294" s="26">
        <f t="shared" si="57"/>
        <v>0</v>
      </c>
      <c r="AA294" s="33" t="s">
        <v>15</v>
      </c>
      <c r="AB294" s="36" t="s">
        <v>16</v>
      </c>
      <c r="AC294" s="181">
        <f t="shared" si="54"/>
        <v>1</v>
      </c>
      <c r="AD294" s="181">
        <f t="shared" si="52"/>
        <v>27.8</v>
      </c>
      <c r="AE294" s="181">
        <v>1.7</v>
      </c>
      <c r="AF294" s="181">
        <v>1.7</v>
      </c>
      <c r="AG294" s="101" t="str">
        <f t="shared" si="55"/>
        <v/>
      </c>
      <c r="AH294" s="190">
        <v>0</v>
      </c>
      <c r="AI294" s="69">
        <f t="shared" si="56"/>
        <v>1</v>
      </c>
    </row>
    <row r="295" spans="1:35" s="69" customFormat="1" ht="39" hidden="1" x14ac:dyDescent="0.3">
      <c r="A295" s="55" t="s">
        <v>770</v>
      </c>
      <c r="B295" s="53" t="s">
        <v>771</v>
      </c>
      <c r="C295" s="54" t="s">
        <v>606</v>
      </c>
      <c r="D295" s="75">
        <v>1</v>
      </c>
      <c r="E295" s="75"/>
      <c r="F295" s="75"/>
      <c r="G295" s="161"/>
      <c r="H295" s="158" t="s">
        <v>15</v>
      </c>
      <c r="I295" s="166">
        <v>105.13</v>
      </c>
      <c r="J295" s="75">
        <v>105.13</v>
      </c>
      <c r="K295" s="91" t="s">
        <v>772</v>
      </c>
      <c r="L295" s="73"/>
      <c r="M295" s="46">
        <v>0</v>
      </c>
      <c r="N295" s="46">
        <v>0</v>
      </c>
      <c r="O295" s="46">
        <v>0</v>
      </c>
      <c r="P295" s="98"/>
      <c r="Q295" s="23" t="s">
        <v>1460</v>
      </c>
      <c r="R295" s="24" t="s">
        <v>771</v>
      </c>
      <c r="S295" s="25" t="s">
        <v>606</v>
      </c>
      <c r="T295" s="26">
        <v>1</v>
      </c>
      <c r="U295" s="26">
        <v>1</v>
      </c>
      <c r="V295" s="26">
        <v>105.13</v>
      </c>
      <c r="W295" s="26">
        <f t="shared" si="50"/>
        <v>0</v>
      </c>
      <c r="X295" s="26">
        <f t="shared" si="53"/>
        <v>0</v>
      </c>
      <c r="Y295" s="26">
        <f t="shared" si="51"/>
        <v>0</v>
      </c>
      <c r="Z295" s="26">
        <f t="shared" si="57"/>
        <v>0</v>
      </c>
      <c r="AA295" s="33" t="s">
        <v>15</v>
      </c>
      <c r="AB295" s="36" t="s">
        <v>16</v>
      </c>
      <c r="AC295" s="181">
        <f t="shared" si="54"/>
        <v>1</v>
      </c>
      <c r="AD295" s="181">
        <f t="shared" si="52"/>
        <v>105.13</v>
      </c>
      <c r="AE295" s="181">
        <v>1.7</v>
      </c>
      <c r="AF295" s="181">
        <v>1.7</v>
      </c>
      <c r="AG295" s="101" t="str">
        <f t="shared" si="55"/>
        <v/>
      </c>
      <c r="AH295" s="190">
        <v>0</v>
      </c>
      <c r="AI295" s="69">
        <f t="shared" si="56"/>
        <v>1</v>
      </c>
    </row>
    <row r="296" spans="1:35" s="69" customFormat="1" ht="39" hidden="1" x14ac:dyDescent="0.3">
      <c r="A296" s="55" t="s">
        <v>773</v>
      </c>
      <c r="B296" s="53" t="s">
        <v>774</v>
      </c>
      <c r="C296" s="54" t="s">
        <v>606</v>
      </c>
      <c r="D296" s="75">
        <v>1</v>
      </c>
      <c r="E296" s="75"/>
      <c r="F296" s="75"/>
      <c r="G296" s="161"/>
      <c r="H296" s="158" t="s">
        <v>15</v>
      </c>
      <c r="I296" s="166">
        <v>53.12</v>
      </c>
      <c r="J296" s="75">
        <v>53.12</v>
      </c>
      <c r="K296" s="91" t="s">
        <v>775</v>
      </c>
      <c r="L296" s="73"/>
      <c r="M296" s="46">
        <v>0</v>
      </c>
      <c r="N296" s="46">
        <v>0</v>
      </c>
      <c r="O296" s="46">
        <v>0</v>
      </c>
      <c r="P296" s="98"/>
      <c r="Q296" s="23" t="s">
        <v>1461</v>
      </c>
      <c r="R296" s="24" t="s">
        <v>774</v>
      </c>
      <c r="S296" s="25" t="s">
        <v>606</v>
      </c>
      <c r="T296" s="26">
        <v>1</v>
      </c>
      <c r="U296" s="26">
        <v>1</v>
      </c>
      <c r="V296" s="26">
        <v>53.12</v>
      </c>
      <c r="W296" s="26">
        <f t="shared" si="50"/>
        <v>0</v>
      </c>
      <c r="X296" s="26">
        <f t="shared" si="53"/>
        <v>0</v>
      </c>
      <c r="Y296" s="26">
        <f t="shared" si="51"/>
        <v>0</v>
      </c>
      <c r="Z296" s="26">
        <f t="shared" si="57"/>
        <v>0</v>
      </c>
      <c r="AA296" s="33" t="s">
        <v>15</v>
      </c>
      <c r="AB296" s="36" t="s">
        <v>16</v>
      </c>
      <c r="AC296" s="181">
        <f t="shared" si="54"/>
        <v>1</v>
      </c>
      <c r="AD296" s="181">
        <f t="shared" si="52"/>
        <v>53.12</v>
      </c>
      <c r="AE296" s="181">
        <v>1.7</v>
      </c>
      <c r="AF296" s="181">
        <v>1.7</v>
      </c>
      <c r="AG296" s="101" t="str">
        <f t="shared" si="55"/>
        <v/>
      </c>
      <c r="AH296" s="190">
        <v>0</v>
      </c>
      <c r="AI296" s="69">
        <f t="shared" si="56"/>
        <v>1</v>
      </c>
    </row>
    <row r="297" spans="1:35" s="69" customFormat="1" ht="58.5" hidden="1" x14ac:dyDescent="0.3">
      <c r="A297" s="55" t="s">
        <v>776</v>
      </c>
      <c r="B297" s="53" t="s">
        <v>777</v>
      </c>
      <c r="C297" s="54" t="s">
        <v>606</v>
      </c>
      <c r="D297" s="75">
        <v>1</v>
      </c>
      <c r="E297" s="75"/>
      <c r="F297" s="75"/>
      <c r="G297" s="161"/>
      <c r="H297" s="158" t="s">
        <v>15</v>
      </c>
      <c r="I297" s="166">
        <v>36.380000000000003</v>
      </c>
      <c r="J297" s="75">
        <v>36.380000000000003</v>
      </c>
      <c r="K297" s="91" t="s">
        <v>778</v>
      </c>
      <c r="L297" s="73"/>
      <c r="M297" s="46">
        <v>0</v>
      </c>
      <c r="N297" s="46">
        <v>0</v>
      </c>
      <c r="O297" s="46">
        <v>0</v>
      </c>
      <c r="P297" s="98"/>
      <c r="Q297" s="23" t="s">
        <v>1462</v>
      </c>
      <c r="R297" s="24" t="s">
        <v>777</v>
      </c>
      <c r="S297" s="25" t="s">
        <v>606</v>
      </c>
      <c r="T297" s="26">
        <v>1</v>
      </c>
      <c r="U297" s="26">
        <v>1</v>
      </c>
      <c r="V297" s="26">
        <v>36.380000000000003</v>
      </c>
      <c r="W297" s="26">
        <f t="shared" si="50"/>
        <v>0</v>
      </c>
      <c r="X297" s="26">
        <f t="shared" si="53"/>
        <v>0</v>
      </c>
      <c r="Y297" s="26">
        <f t="shared" si="51"/>
        <v>0</v>
      </c>
      <c r="Z297" s="26">
        <f t="shared" si="57"/>
        <v>0</v>
      </c>
      <c r="AA297" s="33" t="s">
        <v>15</v>
      </c>
      <c r="AB297" s="36" t="s">
        <v>16</v>
      </c>
      <c r="AC297" s="181">
        <f t="shared" si="54"/>
        <v>1</v>
      </c>
      <c r="AD297" s="181">
        <f t="shared" si="52"/>
        <v>36.380000000000003</v>
      </c>
      <c r="AE297" s="181">
        <v>1.7</v>
      </c>
      <c r="AF297" s="181">
        <v>1.7</v>
      </c>
      <c r="AG297" s="101" t="str">
        <f t="shared" si="55"/>
        <v/>
      </c>
      <c r="AH297" s="190">
        <v>0</v>
      </c>
      <c r="AI297" s="69">
        <f t="shared" si="56"/>
        <v>1</v>
      </c>
    </row>
    <row r="298" spans="1:35" s="69" customFormat="1" ht="58.5" hidden="1" x14ac:dyDescent="0.3">
      <c r="A298" s="55" t="s">
        <v>779</v>
      </c>
      <c r="B298" s="53" t="s">
        <v>780</v>
      </c>
      <c r="C298" s="54" t="s">
        <v>606</v>
      </c>
      <c r="D298" s="75">
        <v>1</v>
      </c>
      <c r="E298" s="75"/>
      <c r="F298" s="75"/>
      <c r="G298" s="161"/>
      <c r="H298" s="158" t="s">
        <v>15</v>
      </c>
      <c r="I298" s="166">
        <v>59.74</v>
      </c>
      <c r="J298" s="75">
        <v>59.74</v>
      </c>
      <c r="K298" s="91" t="s">
        <v>781</v>
      </c>
      <c r="L298" s="73"/>
      <c r="M298" s="46">
        <v>0</v>
      </c>
      <c r="N298" s="46">
        <v>0</v>
      </c>
      <c r="O298" s="46">
        <v>0</v>
      </c>
      <c r="P298" s="98"/>
      <c r="Q298" s="23" t="s">
        <v>1463</v>
      </c>
      <c r="R298" s="24" t="s">
        <v>780</v>
      </c>
      <c r="S298" s="25" t="s">
        <v>606</v>
      </c>
      <c r="T298" s="26">
        <v>1</v>
      </c>
      <c r="U298" s="26">
        <v>1</v>
      </c>
      <c r="V298" s="26">
        <v>59.74</v>
      </c>
      <c r="W298" s="26">
        <f t="shared" si="50"/>
        <v>0</v>
      </c>
      <c r="X298" s="26">
        <f t="shared" si="53"/>
        <v>0</v>
      </c>
      <c r="Y298" s="26">
        <f t="shared" si="51"/>
        <v>0</v>
      </c>
      <c r="Z298" s="26">
        <f t="shared" si="57"/>
        <v>0</v>
      </c>
      <c r="AA298" s="33" t="s">
        <v>15</v>
      </c>
      <c r="AB298" s="36" t="s">
        <v>16</v>
      </c>
      <c r="AC298" s="181">
        <f t="shared" si="54"/>
        <v>1</v>
      </c>
      <c r="AD298" s="181">
        <f t="shared" si="52"/>
        <v>59.74</v>
      </c>
      <c r="AE298" s="181">
        <v>1.7</v>
      </c>
      <c r="AF298" s="181">
        <v>1.7</v>
      </c>
      <c r="AG298" s="101" t="str">
        <f t="shared" si="55"/>
        <v/>
      </c>
      <c r="AH298" s="190">
        <v>0</v>
      </c>
      <c r="AI298" s="69">
        <f t="shared" si="56"/>
        <v>1</v>
      </c>
    </row>
    <row r="299" spans="1:35" s="69" customFormat="1" ht="58.5" hidden="1" x14ac:dyDescent="0.3">
      <c r="A299" s="55" t="s">
        <v>782</v>
      </c>
      <c r="B299" s="53" t="s">
        <v>783</v>
      </c>
      <c r="C299" s="54" t="s">
        <v>606</v>
      </c>
      <c r="D299" s="75">
        <v>1</v>
      </c>
      <c r="E299" s="75"/>
      <c r="F299" s="75"/>
      <c r="G299" s="161"/>
      <c r="H299" s="158" t="s">
        <v>15</v>
      </c>
      <c r="I299" s="166">
        <v>80.41</v>
      </c>
      <c r="J299" s="75">
        <v>80.41</v>
      </c>
      <c r="K299" s="91" t="s">
        <v>784</v>
      </c>
      <c r="L299" s="73"/>
      <c r="M299" s="46">
        <v>0</v>
      </c>
      <c r="N299" s="46">
        <v>0</v>
      </c>
      <c r="O299" s="46">
        <v>0</v>
      </c>
      <c r="P299" s="98"/>
      <c r="Q299" s="23" t="s">
        <v>1464</v>
      </c>
      <c r="R299" s="24" t="s">
        <v>783</v>
      </c>
      <c r="S299" s="25" t="s">
        <v>606</v>
      </c>
      <c r="T299" s="26">
        <v>1</v>
      </c>
      <c r="U299" s="26">
        <v>1</v>
      </c>
      <c r="V299" s="26">
        <v>80.41</v>
      </c>
      <c r="W299" s="26">
        <f t="shared" si="50"/>
        <v>0</v>
      </c>
      <c r="X299" s="26">
        <f t="shared" si="53"/>
        <v>0</v>
      </c>
      <c r="Y299" s="26">
        <f t="shared" si="51"/>
        <v>0</v>
      </c>
      <c r="Z299" s="26">
        <f t="shared" si="57"/>
        <v>0</v>
      </c>
      <c r="AA299" s="33" t="s">
        <v>15</v>
      </c>
      <c r="AB299" s="36" t="s">
        <v>16</v>
      </c>
      <c r="AC299" s="181">
        <f t="shared" si="54"/>
        <v>1</v>
      </c>
      <c r="AD299" s="181">
        <f t="shared" si="52"/>
        <v>80.41</v>
      </c>
      <c r="AE299" s="181">
        <v>1.7</v>
      </c>
      <c r="AF299" s="181">
        <v>1.7</v>
      </c>
      <c r="AG299" s="101" t="str">
        <f t="shared" si="55"/>
        <v/>
      </c>
      <c r="AH299" s="190">
        <v>0</v>
      </c>
      <c r="AI299" s="69">
        <f t="shared" si="56"/>
        <v>1</v>
      </c>
    </row>
    <row r="300" spans="1:35" s="69" customFormat="1" ht="39" hidden="1" x14ac:dyDescent="0.3">
      <c r="A300" s="55" t="s">
        <v>785</v>
      </c>
      <c r="B300" s="53" t="s">
        <v>786</v>
      </c>
      <c r="C300" s="54" t="s">
        <v>606</v>
      </c>
      <c r="D300" s="75">
        <v>1</v>
      </c>
      <c r="E300" s="75"/>
      <c r="F300" s="75"/>
      <c r="G300" s="161"/>
      <c r="H300" s="158" t="s">
        <v>15</v>
      </c>
      <c r="I300" s="166">
        <v>64.959999999999994</v>
      </c>
      <c r="J300" s="75">
        <v>64.959999999999994</v>
      </c>
      <c r="K300" s="91" t="s">
        <v>787</v>
      </c>
      <c r="L300" s="73"/>
      <c r="M300" s="46">
        <v>0</v>
      </c>
      <c r="N300" s="46">
        <v>0</v>
      </c>
      <c r="O300" s="46">
        <v>0</v>
      </c>
      <c r="P300" s="98"/>
      <c r="Q300" s="23" t="s">
        <v>1465</v>
      </c>
      <c r="R300" s="24" t="s">
        <v>786</v>
      </c>
      <c r="S300" s="25" t="s">
        <v>606</v>
      </c>
      <c r="T300" s="26">
        <v>1</v>
      </c>
      <c r="U300" s="26">
        <v>1</v>
      </c>
      <c r="V300" s="26">
        <v>64.959999999999994</v>
      </c>
      <c r="W300" s="26">
        <f t="shared" si="50"/>
        <v>0</v>
      </c>
      <c r="X300" s="26">
        <f t="shared" si="53"/>
        <v>0</v>
      </c>
      <c r="Y300" s="26">
        <f t="shared" si="51"/>
        <v>0</v>
      </c>
      <c r="Z300" s="26">
        <f t="shared" si="57"/>
        <v>0</v>
      </c>
      <c r="AA300" s="33" t="s">
        <v>15</v>
      </c>
      <c r="AB300" s="36" t="s">
        <v>16</v>
      </c>
      <c r="AC300" s="181">
        <f t="shared" si="54"/>
        <v>1</v>
      </c>
      <c r="AD300" s="181">
        <f t="shared" si="52"/>
        <v>64.959999999999994</v>
      </c>
      <c r="AE300" s="181">
        <v>1.7</v>
      </c>
      <c r="AF300" s="181">
        <v>1.7</v>
      </c>
      <c r="AG300" s="101" t="str">
        <f t="shared" si="55"/>
        <v/>
      </c>
      <c r="AH300" s="190">
        <v>0</v>
      </c>
      <c r="AI300" s="69">
        <f t="shared" si="56"/>
        <v>1</v>
      </c>
    </row>
    <row r="301" spans="1:35" s="69" customFormat="1" ht="58.5" hidden="1" x14ac:dyDescent="0.3">
      <c r="A301" s="55" t="s">
        <v>788</v>
      </c>
      <c r="B301" s="53" t="s">
        <v>789</v>
      </c>
      <c r="C301" s="54" t="s">
        <v>606</v>
      </c>
      <c r="D301" s="75">
        <v>1</v>
      </c>
      <c r="E301" s="75"/>
      <c r="F301" s="75"/>
      <c r="G301" s="161"/>
      <c r="H301" s="158" t="s">
        <v>15</v>
      </c>
      <c r="I301" s="166">
        <v>95.86</v>
      </c>
      <c r="J301" s="75">
        <v>95.86</v>
      </c>
      <c r="K301" s="91" t="s">
        <v>790</v>
      </c>
      <c r="L301" s="73"/>
      <c r="M301" s="46">
        <v>0</v>
      </c>
      <c r="N301" s="46">
        <v>0</v>
      </c>
      <c r="O301" s="46">
        <v>0</v>
      </c>
      <c r="P301" s="98"/>
      <c r="Q301" s="23" t="s">
        <v>1466</v>
      </c>
      <c r="R301" s="24" t="s">
        <v>789</v>
      </c>
      <c r="S301" s="25" t="s">
        <v>606</v>
      </c>
      <c r="T301" s="26">
        <v>1</v>
      </c>
      <c r="U301" s="26">
        <v>1</v>
      </c>
      <c r="V301" s="26">
        <v>95.86</v>
      </c>
      <c r="W301" s="26">
        <f t="shared" si="50"/>
        <v>0</v>
      </c>
      <c r="X301" s="26">
        <f t="shared" si="53"/>
        <v>0</v>
      </c>
      <c r="Y301" s="26">
        <f t="shared" si="51"/>
        <v>0</v>
      </c>
      <c r="Z301" s="26">
        <f t="shared" si="57"/>
        <v>0</v>
      </c>
      <c r="AA301" s="33" t="s">
        <v>15</v>
      </c>
      <c r="AB301" s="36" t="s">
        <v>16</v>
      </c>
      <c r="AC301" s="181">
        <f t="shared" si="54"/>
        <v>1</v>
      </c>
      <c r="AD301" s="181">
        <f t="shared" si="52"/>
        <v>95.86</v>
      </c>
      <c r="AE301" s="181">
        <v>1.7</v>
      </c>
      <c r="AF301" s="181">
        <v>1.7</v>
      </c>
      <c r="AG301" s="101" t="str">
        <f t="shared" si="55"/>
        <v/>
      </c>
      <c r="AH301" s="190">
        <v>0</v>
      </c>
      <c r="AI301" s="69">
        <f t="shared" si="56"/>
        <v>1</v>
      </c>
    </row>
    <row r="302" spans="1:35" s="69" customFormat="1" ht="39" hidden="1" x14ac:dyDescent="0.3">
      <c r="A302" s="55" t="s">
        <v>791</v>
      </c>
      <c r="B302" s="53" t="s">
        <v>792</v>
      </c>
      <c r="C302" s="54" t="s">
        <v>606</v>
      </c>
      <c r="D302" s="75">
        <v>1</v>
      </c>
      <c r="E302" s="75"/>
      <c r="F302" s="75"/>
      <c r="G302" s="161"/>
      <c r="H302" s="158" t="s">
        <v>15</v>
      </c>
      <c r="I302" s="166">
        <v>93.29</v>
      </c>
      <c r="J302" s="75">
        <v>93.29</v>
      </c>
      <c r="K302" s="91" t="s">
        <v>793</v>
      </c>
      <c r="L302" s="73"/>
      <c r="M302" s="46">
        <v>0</v>
      </c>
      <c r="N302" s="46">
        <v>0</v>
      </c>
      <c r="O302" s="46">
        <v>0</v>
      </c>
      <c r="P302" s="98"/>
      <c r="Q302" s="23" t="s">
        <v>1467</v>
      </c>
      <c r="R302" s="24" t="s">
        <v>792</v>
      </c>
      <c r="S302" s="25" t="s">
        <v>606</v>
      </c>
      <c r="T302" s="26">
        <v>1</v>
      </c>
      <c r="U302" s="26">
        <v>1</v>
      </c>
      <c r="V302" s="26">
        <v>93.29</v>
      </c>
      <c r="W302" s="26">
        <f t="shared" ref="W302:W326" si="58">AH302-M302</f>
        <v>0</v>
      </c>
      <c r="X302" s="26">
        <f t="shared" si="53"/>
        <v>0</v>
      </c>
      <c r="Y302" s="26">
        <f t="shared" ref="Y302:Y326" si="59">Z302-O302</f>
        <v>0</v>
      </c>
      <c r="Z302" s="26">
        <f t="shared" si="57"/>
        <v>0</v>
      </c>
      <c r="AA302" s="33" t="s">
        <v>15</v>
      </c>
      <c r="AB302" s="36" t="s">
        <v>16</v>
      </c>
      <c r="AC302" s="181">
        <f t="shared" si="54"/>
        <v>1</v>
      </c>
      <c r="AD302" s="181">
        <f t="shared" ref="AD302:AD365" si="60">ROUND(V302*AC302,2)</f>
        <v>93.29</v>
      </c>
      <c r="AE302" s="181">
        <v>1.7</v>
      </c>
      <c r="AF302" s="181">
        <v>1.7</v>
      </c>
      <c r="AG302" s="101" t="str">
        <f t="shared" si="55"/>
        <v/>
      </c>
      <c r="AH302" s="190">
        <v>0</v>
      </c>
      <c r="AI302" s="69">
        <f t="shared" si="56"/>
        <v>1</v>
      </c>
    </row>
    <row r="303" spans="1:35" s="69" customFormat="1" ht="58.5" hidden="1" x14ac:dyDescent="0.3">
      <c r="A303" s="55" t="s">
        <v>794</v>
      </c>
      <c r="B303" s="53" t="s">
        <v>795</v>
      </c>
      <c r="C303" s="54" t="s">
        <v>606</v>
      </c>
      <c r="D303" s="75">
        <v>1</v>
      </c>
      <c r="E303" s="75"/>
      <c r="F303" s="75"/>
      <c r="G303" s="161"/>
      <c r="H303" s="158" t="s">
        <v>15</v>
      </c>
      <c r="I303" s="166">
        <v>93.8</v>
      </c>
      <c r="J303" s="75">
        <v>93.8</v>
      </c>
      <c r="K303" s="91" t="s">
        <v>796</v>
      </c>
      <c r="L303" s="73"/>
      <c r="M303" s="46">
        <v>0</v>
      </c>
      <c r="N303" s="46">
        <v>0</v>
      </c>
      <c r="O303" s="46">
        <v>0</v>
      </c>
      <c r="P303" s="98"/>
      <c r="Q303" s="23" t="s">
        <v>1468</v>
      </c>
      <c r="R303" s="24" t="s">
        <v>795</v>
      </c>
      <c r="S303" s="25" t="s">
        <v>606</v>
      </c>
      <c r="T303" s="26">
        <v>1</v>
      </c>
      <c r="U303" s="26">
        <v>1</v>
      </c>
      <c r="V303" s="26">
        <v>93.8</v>
      </c>
      <c r="W303" s="26">
        <f t="shared" si="58"/>
        <v>0</v>
      </c>
      <c r="X303" s="26">
        <f t="shared" si="53"/>
        <v>0</v>
      </c>
      <c r="Y303" s="26">
        <f t="shared" si="59"/>
        <v>0</v>
      </c>
      <c r="Z303" s="26">
        <f t="shared" si="57"/>
        <v>0</v>
      </c>
      <c r="AA303" s="33" t="s">
        <v>15</v>
      </c>
      <c r="AB303" s="36" t="s">
        <v>16</v>
      </c>
      <c r="AC303" s="181">
        <f t="shared" si="54"/>
        <v>1</v>
      </c>
      <c r="AD303" s="181">
        <f t="shared" si="60"/>
        <v>93.8</v>
      </c>
      <c r="AE303" s="181">
        <v>1.7</v>
      </c>
      <c r="AF303" s="181">
        <v>1.7</v>
      </c>
      <c r="AG303" s="101" t="str">
        <f t="shared" si="55"/>
        <v/>
      </c>
      <c r="AH303" s="190">
        <v>0</v>
      </c>
      <c r="AI303" s="69">
        <f t="shared" si="56"/>
        <v>1</v>
      </c>
    </row>
    <row r="304" spans="1:35" s="69" customFormat="1" ht="39" hidden="1" x14ac:dyDescent="0.3">
      <c r="A304" s="55" t="s">
        <v>797</v>
      </c>
      <c r="B304" s="53" t="s">
        <v>798</v>
      </c>
      <c r="C304" s="54" t="s">
        <v>606</v>
      </c>
      <c r="D304" s="75">
        <v>1</v>
      </c>
      <c r="E304" s="75"/>
      <c r="F304" s="75"/>
      <c r="G304" s="161"/>
      <c r="H304" s="158" t="s">
        <v>15</v>
      </c>
      <c r="I304" s="166">
        <v>63.35</v>
      </c>
      <c r="J304" s="75">
        <v>63.35</v>
      </c>
      <c r="K304" s="91" t="s">
        <v>799</v>
      </c>
      <c r="L304" s="73"/>
      <c r="M304" s="46">
        <v>0</v>
      </c>
      <c r="N304" s="46">
        <v>0</v>
      </c>
      <c r="O304" s="46">
        <v>0</v>
      </c>
      <c r="P304" s="98"/>
      <c r="Q304" s="23" t="s">
        <v>1469</v>
      </c>
      <c r="R304" s="24" t="s">
        <v>798</v>
      </c>
      <c r="S304" s="25" t="s">
        <v>606</v>
      </c>
      <c r="T304" s="26">
        <v>1</v>
      </c>
      <c r="U304" s="26">
        <v>1</v>
      </c>
      <c r="V304" s="26">
        <v>63.35</v>
      </c>
      <c r="W304" s="26">
        <f t="shared" si="58"/>
        <v>0</v>
      </c>
      <c r="X304" s="26">
        <f t="shared" si="53"/>
        <v>0</v>
      </c>
      <c r="Y304" s="26">
        <f t="shared" si="59"/>
        <v>0</v>
      </c>
      <c r="Z304" s="26">
        <f t="shared" si="57"/>
        <v>0</v>
      </c>
      <c r="AA304" s="33" t="s">
        <v>15</v>
      </c>
      <c r="AB304" s="36" t="s">
        <v>16</v>
      </c>
      <c r="AC304" s="181">
        <f t="shared" si="54"/>
        <v>1</v>
      </c>
      <c r="AD304" s="181">
        <f t="shared" si="60"/>
        <v>63.35</v>
      </c>
      <c r="AE304" s="181">
        <v>1.7</v>
      </c>
      <c r="AF304" s="181">
        <v>1.7</v>
      </c>
      <c r="AG304" s="101" t="str">
        <f t="shared" si="55"/>
        <v/>
      </c>
      <c r="AH304" s="190">
        <v>0</v>
      </c>
      <c r="AI304" s="69">
        <f t="shared" si="56"/>
        <v>1</v>
      </c>
    </row>
    <row r="305" spans="1:35" s="69" customFormat="1" ht="39" hidden="1" x14ac:dyDescent="0.3">
      <c r="A305" s="55" t="s">
        <v>800</v>
      </c>
      <c r="B305" s="53" t="s">
        <v>801</v>
      </c>
      <c r="C305" s="54" t="s">
        <v>606</v>
      </c>
      <c r="D305" s="75">
        <v>1</v>
      </c>
      <c r="E305" s="75"/>
      <c r="F305" s="75"/>
      <c r="G305" s="161"/>
      <c r="H305" s="158" t="s">
        <v>15</v>
      </c>
      <c r="I305" s="166">
        <v>156.05000000000001</v>
      </c>
      <c r="J305" s="75">
        <v>156.05000000000001</v>
      </c>
      <c r="K305" s="91" t="s">
        <v>802</v>
      </c>
      <c r="L305" s="73"/>
      <c r="M305" s="46">
        <v>0</v>
      </c>
      <c r="N305" s="46">
        <v>0</v>
      </c>
      <c r="O305" s="46">
        <v>0</v>
      </c>
      <c r="P305" s="98"/>
      <c r="Q305" s="23" t="s">
        <v>1470</v>
      </c>
      <c r="R305" s="24" t="s">
        <v>801</v>
      </c>
      <c r="S305" s="25" t="s">
        <v>606</v>
      </c>
      <c r="T305" s="26">
        <v>1</v>
      </c>
      <c r="U305" s="26">
        <v>1</v>
      </c>
      <c r="V305" s="26">
        <v>156.05000000000001</v>
      </c>
      <c r="W305" s="26">
        <f t="shared" si="58"/>
        <v>0</v>
      </c>
      <c r="X305" s="26">
        <f t="shared" si="53"/>
        <v>0</v>
      </c>
      <c r="Y305" s="26">
        <f t="shared" si="59"/>
        <v>0</v>
      </c>
      <c r="Z305" s="26">
        <f t="shared" si="57"/>
        <v>0</v>
      </c>
      <c r="AA305" s="33" t="s">
        <v>15</v>
      </c>
      <c r="AB305" s="36" t="s">
        <v>16</v>
      </c>
      <c r="AC305" s="181">
        <f t="shared" si="54"/>
        <v>1</v>
      </c>
      <c r="AD305" s="181">
        <f t="shared" si="60"/>
        <v>156.05000000000001</v>
      </c>
      <c r="AE305" s="181">
        <v>1.7</v>
      </c>
      <c r="AF305" s="181">
        <v>1.7</v>
      </c>
      <c r="AG305" s="101" t="str">
        <f t="shared" si="55"/>
        <v/>
      </c>
      <c r="AH305" s="190">
        <v>0</v>
      </c>
      <c r="AI305" s="69">
        <f t="shared" si="56"/>
        <v>1</v>
      </c>
    </row>
    <row r="306" spans="1:35" s="69" customFormat="1" ht="58.5" hidden="1" x14ac:dyDescent="0.3">
      <c r="A306" s="55" t="s">
        <v>803</v>
      </c>
      <c r="B306" s="53" t="s">
        <v>804</v>
      </c>
      <c r="C306" s="54" t="s">
        <v>606</v>
      </c>
      <c r="D306" s="75">
        <v>1</v>
      </c>
      <c r="E306" s="75"/>
      <c r="F306" s="75"/>
      <c r="G306" s="161"/>
      <c r="H306" s="158" t="s">
        <v>15</v>
      </c>
      <c r="I306" s="166">
        <v>69.08</v>
      </c>
      <c r="J306" s="75">
        <v>69.08</v>
      </c>
      <c r="K306" s="91" t="s">
        <v>805</v>
      </c>
      <c r="L306" s="73"/>
      <c r="M306" s="46">
        <v>0</v>
      </c>
      <c r="N306" s="46">
        <v>0</v>
      </c>
      <c r="O306" s="46">
        <v>0</v>
      </c>
      <c r="P306" s="98"/>
      <c r="Q306" s="23" t="s">
        <v>1471</v>
      </c>
      <c r="R306" s="24" t="s">
        <v>804</v>
      </c>
      <c r="S306" s="25" t="s">
        <v>606</v>
      </c>
      <c r="T306" s="26">
        <v>1</v>
      </c>
      <c r="U306" s="26">
        <v>1</v>
      </c>
      <c r="V306" s="26">
        <v>69.08</v>
      </c>
      <c r="W306" s="26">
        <f t="shared" si="58"/>
        <v>0</v>
      </c>
      <c r="X306" s="26">
        <f t="shared" ref="X306:X370" si="61">W306+M306</f>
        <v>0</v>
      </c>
      <c r="Y306" s="26">
        <f t="shared" si="59"/>
        <v>0</v>
      </c>
      <c r="Z306" s="26">
        <f t="shared" si="57"/>
        <v>0</v>
      </c>
      <c r="AA306" s="33" t="s">
        <v>15</v>
      </c>
      <c r="AB306" s="36" t="s">
        <v>16</v>
      </c>
      <c r="AC306" s="181">
        <f t="shared" si="54"/>
        <v>1</v>
      </c>
      <c r="AD306" s="181">
        <f t="shared" si="60"/>
        <v>69.08</v>
      </c>
      <c r="AE306" s="181">
        <v>1.7</v>
      </c>
      <c r="AF306" s="181">
        <v>1.7</v>
      </c>
      <c r="AG306" s="101" t="str">
        <f t="shared" si="55"/>
        <v/>
      </c>
      <c r="AH306" s="190">
        <v>0</v>
      </c>
      <c r="AI306" s="69">
        <f t="shared" si="56"/>
        <v>1</v>
      </c>
    </row>
    <row r="307" spans="1:35" s="69" customFormat="1" ht="39" hidden="1" x14ac:dyDescent="0.3">
      <c r="A307" s="55" t="s">
        <v>806</v>
      </c>
      <c r="B307" s="53" t="s">
        <v>807</v>
      </c>
      <c r="C307" s="54" t="s">
        <v>606</v>
      </c>
      <c r="D307" s="75">
        <v>1</v>
      </c>
      <c r="E307" s="75"/>
      <c r="F307" s="75"/>
      <c r="G307" s="161"/>
      <c r="H307" s="158" t="s">
        <v>15</v>
      </c>
      <c r="I307" s="166">
        <v>55.62</v>
      </c>
      <c r="J307" s="75">
        <v>55.62</v>
      </c>
      <c r="K307" s="91" t="s">
        <v>808</v>
      </c>
      <c r="L307" s="73"/>
      <c r="M307" s="46">
        <v>0</v>
      </c>
      <c r="N307" s="46">
        <v>0</v>
      </c>
      <c r="O307" s="46">
        <v>0</v>
      </c>
      <c r="P307" s="98"/>
      <c r="Q307" s="23" t="s">
        <v>1472</v>
      </c>
      <c r="R307" s="24" t="s">
        <v>807</v>
      </c>
      <c r="S307" s="25" t="s">
        <v>606</v>
      </c>
      <c r="T307" s="26">
        <v>1</v>
      </c>
      <c r="U307" s="26">
        <v>1</v>
      </c>
      <c r="V307" s="26">
        <v>55.62</v>
      </c>
      <c r="W307" s="26">
        <f t="shared" si="58"/>
        <v>0</v>
      </c>
      <c r="X307" s="26">
        <f t="shared" si="61"/>
        <v>0</v>
      </c>
      <c r="Y307" s="26">
        <f t="shared" si="59"/>
        <v>0</v>
      </c>
      <c r="Z307" s="26">
        <f t="shared" si="57"/>
        <v>0</v>
      </c>
      <c r="AA307" s="33" t="s">
        <v>15</v>
      </c>
      <c r="AB307" s="36" t="s">
        <v>16</v>
      </c>
      <c r="AC307" s="181">
        <f t="shared" si="54"/>
        <v>1</v>
      </c>
      <c r="AD307" s="181">
        <f t="shared" si="60"/>
        <v>55.62</v>
      </c>
      <c r="AE307" s="181">
        <v>1.7</v>
      </c>
      <c r="AF307" s="181">
        <v>1.7</v>
      </c>
      <c r="AG307" s="101" t="str">
        <f t="shared" si="55"/>
        <v/>
      </c>
      <c r="AH307" s="190">
        <v>0</v>
      </c>
      <c r="AI307" s="69">
        <f t="shared" si="56"/>
        <v>1</v>
      </c>
    </row>
    <row r="308" spans="1:35" s="69" customFormat="1" ht="39" hidden="1" x14ac:dyDescent="0.3">
      <c r="A308" s="55" t="s">
        <v>809</v>
      </c>
      <c r="B308" s="53" t="s">
        <v>810</v>
      </c>
      <c r="C308" s="54" t="s">
        <v>606</v>
      </c>
      <c r="D308" s="75">
        <v>1</v>
      </c>
      <c r="E308" s="75"/>
      <c r="F308" s="75"/>
      <c r="G308" s="161"/>
      <c r="H308" s="158" t="s">
        <v>15</v>
      </c>
      <c r="I308" s="166">
        <v>91.67</v>
      </c>
      <c r="J308" s="75">
        <v>91.67</v>
      </c>
      <c r="K308" s="91" t="s">
        <v>811</v>
      </c>
      <c r="L308" s="73"/>
      <c r="M308" s="46">
        <v>0</v>
      </c>
      <c r="N308" s="46">
        <v>0</v>
      </c>
      <c r="O308" s="46">
        <v>0</v>
      </c>
      <c r="P308" s="98"/>
      <c r="Q308" s="23" t="s">
        <v>1473</v>
      </c>
      <c r="R308" s="24" t="s">
        <v>810</v>
      </c>
      <c r="S308" s="25" t="s">
        <v>606</v>
      </c>
      <c r="T308" s="26">
        <v>1</v>
      </c>
      <c r="U308" s="26">
        <v>1</v>
      </c>
      <c r="V308" s="26">
        <v>91.67</v>
      </c>
      <c r="W308" s="26">
        <f t="shared" si="58"/>
        <v>0</v>
      </c>
      <c r="X308" s="26">
        <f t="shared" si="61"/>
        <v>0</v>
      </c>
      <c r="Y308" s="26">
        <f t="shared" si="59"/>
        <v>0</v>
      </c>
      <c r="Z308" s="26">
        <f t="shared" si="57"/>
        <v>0</v>
      </c>
      <c r="AA308" s="33" t="s">
        <v>15</v>
      </c>
      <c r="AB308" s="36" t="s">
        <v>16</v>
      </c>
      <c r="AC308" s="181">
        <f t="shared" si="54"/>
        <v>1</v>
      </c>
      <c r="AD308" s="181">
        <f t="shared" si="60"/>
        <v>91.67</v>
      </c>
      <c r="AE308" s="181">
        <v>1.7</v>
      </c>
      <c r="AF308" s="181">
        <v>1.7</v>
      </c>
      <c r="AG308" s="101" t="str">
        <f t="shared" si="55"/>
        <v/>
      </c>
      <c r="AH308" s="190">
        <v>0</v>
      </c>
      <c r="AI308" s="69">
        <f t="shared" si="56"/>
        <v>1</v>
      </c>
    </row>
    <row r="309" spans="1:35" s="69" customFormat="1" ht="39" hidden="1" x14ac:dyDescent="0.3">
      <c r="A309" s="55" t="s">
        <v>812</v>
      </c>
      <c r="B309" s="53" t="s">
        <v>813</v>
      </c>
      <c r="C309" s="54" t="s">
        <v>606</v>
      </c>
      <c r="D309" s="75">
        <v>1</v>
      </c>
      <c r="E309" s="75"/>
      <c r="F309" s="75"/>
      <c r="G309" s="161"/>
      <c r="H309" s="158" t="s">
        <v>15</v>
      </c>
      <c r="I309" s="166">
        <v>68.5</v>
      </c>
      <c r="J309" s="75">
        <v>68.5</v>
      </c>
      <c r="K309" s="91" t="s">
        <v>814</v>
      </c>
      <c r="L309" s="73"/>
      <c r="M309" s="46">
        <v>0</v>
      </c>
      <c r="N309" s="46">
        <v>0</v>
      </c>
      <c r="O309" s="46">
        <v>0</v>
      </c>
      <c r="P309" s="98"/>
      <c r="Q309" s="23" t="s">
        <v>1474</v>
      </c>
      <c r="R309" s="24" t="s">
        <v>813</v>
      </c>
      <c r="S309" s="25" t="s">
        <v>606</v>
      </c>
      <c r="T309" s="26">
        <v>1</v>
      </c>
      <c r="U309" s="26">
        <v>1</v>
      </c>
      <c r="V309" s="26">
        <v>68.5</v>
      </c>
      <c r="W309" s="26">
        <f t="shared" si="58"/>
        <v>0</v>
      </c>
      <c r="X309" s="26">
        <f t="shared" si="61"/>
        <v>0</v>
      </c>
      <c r="Y309" s="26">
        <f t="shared" si="59"/>
        <v>0</v>
      </c>
      <c r="Z309" s="26">
        <f t="shared" si="57"/>
        <v>0</v>
      </c>
      <c r="AA309" s="33" t="s">
        <v>15</v>
      </c>
      <c r="AB309" s="36" t="s">
        <v>16</v>
      </c>
      <c r="AC309" s="181">
        <f t="shared" si="54"/>
        <v>1</v>
      </c>
      <c r="AD309" s="181">
        <f t="shared" si="60"/>
        <v>68.5</v>
      </c>
      <c r="AE309" s="181">
        <v>1.7</v>
      </c>
      <c r="AF309" s="181">
        <v>1.7</v>
      </c>
      <c r="AG309" s="101" t="str">
        <f t="shared" si="55"/>
        <v/>
      </c>
      <c r="AH309" s="190">
        <v>0</v>
      </c>
      <c r="AI309" s="69">
        <f t="shared" si="56"/>
        <v>1</v>
      </c>
    </row>
    <row r="310" spans="1:35" s="69" customFormat="1" ht="39" hidden="1" x14ac:dyDescent="0.3">
      <c r="A310" s="55" t="s">
        <v>815</v>
      </c>
      <c r="B310" s="53" t="s">
        <v>816</v>
      </c>
      <c r="C310" s="54" t="s">
        <v>606</v>
      </c>
      <c r="D310" s="75">
        <v>1</v>
      </c>
      <c r="E310" s="75"/>
      <c r="F310" s="75"/>
      <c r="G310" s="161"/>
      <c r="H310" s="158" t="s">
        <v>15</v>
      </c>
      <c r="I310" s="166">
        <v>58.2</v>
      </c>
      <c r="J310" s="75">
        <v>58.2</v>
      </c>
      <c r="K310" s="91" t="s">
        <v>817</v>
      </c>
      <c r="L310" s="73"/>
      <c r="M310" s="46">
        <v>0</v>
      </c>
      <c r="N310" s="46">
        <v>0</v>
      </c>
      <c r="O310" s="46">
        <v>0</v>
      </c>
      <c r="P310" s="98"/>
      <c r="Q310" s="23" t="s">
        <v>1475</v>
      </c>
      <c r="R310" s="24" t="s">
        <v>816</v>
      </c>
      <c r="S310" s="25" t="s">
        <v>606</v>
      </c>
      <c r="T310" s="26">
        <v>1</v>
      </c>
      <c r="U310" s="26">
        <v>1</v>
      </c>
      <c r="V310" s="26">
        <v>58.2</v>
      </c>
      <c r="W310" s="26">
        <f t="shared" si="58"/>
        <v>0</v>
      </c>
      <c r="X310" s="26">
        <f t="shared" si="61"/>
        <v>0</v>
      </c>
      <c r="Y310" s="26">
        <f t="shared" si="59"/>
        <v>0</v>
      </c>
      <c r="Z310" s="26">
        <f t="shared" si="57"/>
        <v>0</v>
      </c>
      <c r="AA310" s="33" t="s">
        <v>15</v>
      </c>
      <c r="AB310" s="36" t="s">
        <v>16</v>
      </c>
      <c r="AC310" s="181">
        <f t="shared" si="54"/>
        <v>1</v>
      </c>
      <c r="AD310" s="181">
        <f t="shared" si="60"/>
        <v>58.2</v>
      </c>
      <c r="AE310" s="181">
        <v>1.7</v>
      </c>
      <c r="AF310" s="181">
        <v>1.7</v>
      </c>
      <c r="AG310" s="101" t="str">
        <f t="shared" si="55"/>
        <v/>
      </c>
      <c r="AH310" s="190">
        <v>0</v>
      </c>
      <c r="AI310" s="69">
        <f t="shared" si="56"/>
        <v>1</v>
      </c>
    </row>
    <row r="311" spans="1:35" s="69" customFormat="1" ht="39" hidden="1" x14ac:dyDescent="0.3">
      <c r="A311" s="55" t="s">
        <v>818</v>
      </c>
      <c r="B311" s="53" t="s">
        <v>819</v>
      </c>
      <c r="C311" s="54" t="s">
        <v>606</v>
      </c>
      <c r="D311" s="75">
        <v>1</v>
      </c>
      <c r="E311" s="75"/>
      <c r="F311" s="75"/>
      <c r="G311" s="161"/>
      <c r="H311" s="158" t="s">
        <v>15</v>
      </c>
      <c r="I311" s="166">
        <v>70.040000000000006</v>
      </c>
      <c r="J311" s="75">
        <v>70.040000000000006</v>
      </c>
      <c r="K311" s="91" t="s">
        <v>820</v>
      </c>
      <c r="L311" s="73"/>
      <c r="M311" s="46">
        <v>0</v>
      </c>
      <c r="N311" s="46">
        <v>0</v>
      </c>
      <c r="O311" s="46">
        <v>0</v>
      </c>
      <c r="P311" s="98"/>
      <c r="Q311" s="23" t="s">
        <v>1476</v>
      </c>
      <c r="R311" s="24" t="s">
        <v>819</v>
      </c>
      <c r="S311" s="25" t="s">
        <v>606</v>
      </c>
      <c r="T311" s="26">
        <v>1</v>
      </c>
      <c r="U311" s="26">
        <v>1</v>
      </c>
      <c r="V311" s="26">
        <v>70.040000000000006</v>
      </c>
      <c r="W311" s="26">
        <f t="shared" si="58"/>
        <v>0</v>
      </c>
      <c r="X311" s="26">
        <f t="shared" si="61"/>
        <v>0</v>
      </c>
      <c r="Y311" s="26">
        <f t="shared" si="59"/>
        <v>0</v>
      </c>
      <c r="Z311" s="26">
        <f t="shared" si="57"/>
        <v>0</v>
      </c>
      <c r="AA311" s="33" t="s">
        <v>15</v>
      </c>
      <c r="AB311" s="36" t="s">
        <v>16</v>
      </c>
      <c r="AC311" s="181">
        <f t="shared" si="54"/>
        <v>1</v>
      </c>
      <c r="AD311" s="181">
        <f t="shared" si="60"/>
        <v>70.040000000000006</v>
      </c>
      <c r="AE311" s="181">
        <v>1.7</v>
      </c>
      <c r="AF311" s="181">
        <v>1.7</v>
      </c>
      <c r="AG311" s="101" t="str">
        <f t="shared" si="55"/>
        <v/>
      </c>
      <c r="AH311" s="190">
        <v>0</v>
      </c>
      <c r="AI311" s="69">
        <f t="shared" si="56"/>
        <v>1</v>
      </c>
    </row>
    <row r="312" spans="1:35" s="69" customFormat="1" ht="39" hidden="1" x14ac:dyDescent="0.3">
      <c r="A312" s="55" t="s">
        <v>821</v>
      </c>
      <c r="B312" s="53" t="s">
        <v>822</v>
      </c>
      <c r="C312" s="54" t="s">
        <v>606</v>
      </c>
      <c r="D312" s="75">
        <v>1</v>
      </c>
      <c r="E312" s="75"/>
      <c r="F312" s="75"/>
      <c r="G312" s="161"/>
      <c r="H312" s="158" t="s">
        <v>15</v>
      </c>
      <c r="I312" s="166">
        <v>61.29</v>
      </c>
      <c r="J312" s="75">
        <v>61.29</v>
      </c>
      <c r="K312" s="91" t="s">
        <v>823</v>
      </c>
      <c r="L312" s="73"/>
      <c r="M312" s="46">
        <v>0</v>
      </c>
      <c r="N312" s="46">
        <v>0</v>
      </c>
      <c r="O312" s="46">
        <v>0</v>
      </c>
      <c r="P312" s="98"/>
      <c r="Q312" s="23" t="s">
        <v>1477</v>
      </c>
      <c r="R312" s="24" t="s">
        <v>822</v>
      </c>
      <c r="S312" s="25" t="s">
        <v>606</v>
      </c>
      <c r="T312" s="26">
        <v>1</v>
      </c>
      <c r="U312" s="26">
        <v>1</v>
      </c>
      <c r="V312" s="26">
        <v>61.29</v>
      </c>
      <c r="W312" s="26">
        <f t="shared" si="58"/>
        <v>0</v>
      </c>
      <c r="X312" s="26">
        <f t="shared" si="61"/>
        <v>0</v>
      </c>
      <c r="Y312" s="26">
        <f t="shared" si="59"/>
        <v>0</v>
      </c>
      <c r="Z312" s="26">
        <f t="shared" si="57"/>
        <v>0</v>
      </c>
      <c r="AA312" s="33" t="s">
        <v>15</v>
      </c>
      <c r="AB312" s="36" t="s">
        <v>16</v>
      </c>
      <c r="AC312" s="181">
        <f t="shared" si="54"/>
        <v>1</v>
      </c>
      <c r="AD312" s="181">
        <f t="shared" si="60"/>
        <v>61.29</v>
      </c>
      <c r="AE312" s="181">
        <v>1.7</v>
      </c>
      <c r="AF312" s="181">
        <v>1.7</v>
      </c>
      <c r="AG312" s="101" t="str">
        <f t="shared" si="55"/>
        <v/>
      </c>
      <c r="AH312" s="190">
        <v>0</v>
      </c>
      <c r="AI312" s="69">
        <f t="shared" si="56"/>
        <v>1</v>
      </c>
    </row>
    <row r="313" spans="1:35" s="69" customFormat="1" ht="39" hidden="1" x14ac:dyDescent="0.3">
      <c r="A313" s="55" t="s">
        <v>824</v>
      </c>
      <c r="B313" s="53" t="s">
        <v>825</v>
      </c>
      <c r="C313" s="54" t="s">
        <v>606</v>
      </c>
      <c r="D313" s="75">
        <v>1</v>
      </c>
      <c r="E313" s="75"/>
      <c r="F313" s="75"/>
      <c r="G313" s="161"/>
      <c r="H313" s="158" t="s">
        <v>15</v>
      </c>
      <c r="I313" s="166">
        <v>59.74</v>
      </c>
      <c r="J313" s="75">
        <v>59.74</v>
      </c>
      <c r="K313" s="91" t="s">
        <v>826</v>
      </c>
      <c r="L313" s="73"/>
      <c r="M313" s="46">
        <v>0</v>
      </c>
      <c r="N313" s="46">
        <v>0</v>
      </c>
      <c r="O313" s="46">
        <v>0</v>
      </c>
      <c r="P313" s="98"/>
      <c r="Q313" s="23" t="s">
        <v>1478</v>
      </c>
      <c r="R313" s="24" t="s">
        <v>825</v>
      </c>
      <c r="S313" s="25" t="s">
        <v>606</v>
      </c>
      <c r="T313" s="26">
        <v>1</v>
      </c>
      <c r="U313" s="26">
        <v>1</v>
      </c>
      <c r="V313" s="26">
        <v>59.74</v>
      </c>
      <c r="W313" s="26">
        <f t="shared" si="58"/>
        <v>0</v>
      </c>
      <c r="X313" s="26">
        <f t="shared" si="61"/>
        <v>0</v>
      </c>
      <c r="Y313" s="26">
        <f t="shared" si="59"/>
        <v>0</v>
      </c>
      <c r="Z313" s="26">
        <f t="shared" si="57"/>
        <v>0</v>
      </c>
      <c r="AA313" s="33" t="s">
        <v>15</v>
      </c>
      <c r="AB313" s="36" t="s">
        <v>16</v>
      </c>
      <c r="AC313" s="181">
        <f t="shared" si="54"/>
        <v>1</v>
      </c>
      <c r="AD313" s="181">
        <f t="shared" si="60"/>
        <v>59.74</v>
      </c>
      <c r="AE313" s="181">
        <v>1.7</v>
      </c>
      <c r="AF313" s="181">
        <v>1.7</v>
      </c>
      <c r="AG313" s="101" t="str">
        <f t="shared" si="55"/>
        <v/>
      </c>
      <c r="AH313" s="190">
        <v>0</v>
      </c>
      <c r="AI313" s="69">
        <f t="shared" si="56"/>
        <v>1</v>
      </c>
    </row>
    <row r="314" spans="1:35" s="69" customFormat="1" ht="39" hidden="1" x14ac:dyDescent="0.3">
      <c r="A314" s="55" t="s">
        <v>827</v>
      </c>
      <c r="B314" s="53" t="s">
        <v>828</v>
      </c>
      <c r="C314" s="54" t="s">
        <v>606</v>
      </c>
      <c r="D314" s="75">
        <v>1</v>
      </c>
      <c r="E314" s="75"/>
      <c r="F314" s="75"/>
      <c r="G314" s="161"/>
      <c r="H314" s="158" t="s">
        <v>15</v>
      </c>
      <c r="I314" s="166">
        <v>69.58</v>
      </c>
      <c r="J314" s="75">
        <v>69.58</v>
      </c>
      <c r="K314" s="91" t="s">
        <v>829</v>
      </c>
      <c r="L314" s="73"/>
      <c r="M314" s="46">
        <v>0</v>
      </c>
      <c r="N314" s="46">
        <v>0</v>
      </c>
      <c r="O314" s="46">
        <v>0</v>
      </c>
      <c r="P314" s="98"/>
      <c r="Q314" s="23" t="s">
        <v>1479</v>
      </c>
      <c r="R314" s="24" t="s">
        <v>828</v>
      </c>
      <c r="S314" s="25" t="s">
        <v>606</v>
      </c>
      <c r="T314" s="26">
        <v>1</v>
      </c>
      <c r="U314" s="26">
        <v>1</v>
      </c>
      <c r="V314" s="26">
        <v>69.58</v>
      </c>
      <c r="W314" s="26">
        <f t="shared" si="58"/>
        <v>0</v>
      </c>
      <c r="X314" s="26">
        <f t="shared" si="61"/>
        <v>0</v>
      </c>
      <c r="Y314" s="26">
        <f t="shared" si="59"/>
        <v>0</v>
      </c>
      <c r="Z314" s="26">
        <f t="shared" si="57"/>
        <v>0</v>
      </c>
      <c r="AA314" s="33" t="s">
        <v>15</v>
      </c>
      <c r="AB314" s="36" t="s">
        <v>16</v>
      </c>
      <c r="AC314" s="181">
        <f t="shared" si="54"/>
        <v>1</v>
      </c>
      <c r="AD314" s="181">
        <f t="shared" si="60"/>
        <v>69.58</v>
      </c>
      <c r="AE314" s="181">
        <v>1.7</v>
      </c>
      <c r="AF314" s="181">
        <v>1.7</v>
      </c>
      <c r="AG314" s="101" t="str">
        <f t="shared" si="55"/>
        <v/>
      </c>
      <c r="AH314" s="190">
        <v>0</v>
      </c>
      <c r="AI314" s="69">
        <f t="shared" si="56"/>
        <v>1</v>
      </c>
    </row>
    <row r="315" spans="1:35" s="69" customFormat="1" ht="39" hidden="1" x14ac:dyDescent="0.3">
      <c r="A315" s="55" t="s">
        <v>830</v>
      </c>
      <c r="B315" s="53" t="s">
        <v>831</v>
      </c>
      <c r="C315" s="54" t="s">
        <v>606</v>
      </c>
      <c r="D315" s="75">
        <v>1</v>
      </c>
      <c r="E315" s="75"/>
      <c r="F315" s="75"/>
      <c r="G315" s="161"/>
      <c r="H315" s="158" t="s">
        <v>15</v>
      </c>
      <c r="I315" s="166">
        <v>112.84</v>
      </c>
      <c r="J315" s="75">
        <v>112.84</v>
      </c>
      <c r="K315" s="91" t="s">
        <v>832</v>
      </c>
      <c r="L315" s="73"/>
      <c r="M315" s="46">
        <v>0</v>
      </c>
      <c r="N315" s="46">
        <v>0</v>
      </c>
      <c r="O315" s="46">
        <v>0</v>
      </c>
      <c r="P315" s="98"/>
      <c r="Q315" s="23" t="s">
        <v>1480</v>
      </c>
      <c r="R315" s="24" t="s">
        <v>831</v>
      </c>
      <c r="S315" s="25" t="s">
        <v>606</v>
      </c>
      <c r="T315" s="26">
        <v>1</v>
      </c>
      <c r="U315" s="26">
        <v>1</v>
      </c>
      <c r="V315" s="26">
        <v>112.84</v>
      </c>
      <c r="W315" s="26">
        <f t="shared" si="58"/>
        <v>0</v>
      </c>
      <c r="X315" s="26">
        <f t="shared" si="61"/>
        <v>0</v>
      </c>
      <c r="Y315" s="26">
        <f t="shared" si="59"/>
        <v>0</v>
      </c>
      <c r="Z315" s="26">
        <f t="shared" si="57"/>
        <v>0</v>
      </c>
      <c r="AA315" s="33" t="s">
        <v>15</v>
      </c>
      <c r="AB315" s="36" t="s">
        <v>16</v>
      </c>
      <c r="AC315" s="181">
        <f t="shared" si="54"/>
        <v>1</v>
      </c>
      <c r="AD315" s="181">
        <f t="shared" si="60"/>
        <v>112.84</v>
      </c>
      <c r="AE315" s="181">
        <v>1.7</v>
      </c>
      <c r="AF315" s="181">
        <v>1.7</v>
      </c>
      <c r="AG315" s="101" t="str">
        <f t="shared" si="55"/>
        <v/>
      </c>
      <c r="AH315" s="190">
        <v>0</v>
      </c>
      <c r="AI315" s="69">
        <f t="shared" si="56"/>
        <v>1</v>
      </c>
    </row>
    <row r="316" spans="1:35" s="69" customFormat="1" ht="39" hidden="1" x14ac:dyDescent="0.3">
      <c r="A316" s="55" t="s">
        <v>833</v>
      </c>
      <c r="B316" s="53" t="s">
        <v>834</v>
      </c>
      <c r="C316" s="54" t="s">
        <v>606</v>
      </c>
      <c r="D316" s="75">
        <v>1</v>
      </c>
      <c r="E316" s="75"/>
      <c r="F316" s="75"/>
      <c r="G316" s="161"/>
      <c r="H316" s="158" t="s">
        <v>15</v>
      </c>
      <c r="I316" s="166">
        <v>102.54</v>
      </c>
      <c r="J316" s="75">
        <v>102.54</v>
      </c>
      <c r="K316" s="91" t="s">
        <v>835</v>
      </c>
      <c r="L316" s="73"/>
      <c r="M316" s="46">
        <v>0</v>
      </c>
      <c r="N316" s="46">
        <v>0</v>
      </c>
      <c r="O316" s="46">
        <v>0</v>
      </c>
      <c r="P316" s="98"/>
      <c r="Q316" s="23" t="s">
        <v>1481</v>
      </c>
      <c r="R316" s="24" t="s">
        <v>834</v>
      </c>
      <c r="S316" s="25" t="s">
        <v>606</v>
      </c>
      <c r="T316" s="26">
        <v>1</v>
      </c>
      <c r="U316" s="26">
        <v>1</v>
      </c>
      <c r="V316" s="26">
        <v>102.54</v>
      </c>
      <c r="W316" s="26">
        <f t="shared" si="58"/>
        <v>0</v>
      </c>
      <c r="X316" s="26">
        <f t="shared" si="61"/>
        <v>0</v>
      </c>
      <c r="Y316" s="26">
        <f t="shared" si="59"/>
        <v>0</v>
      </c>
      <c r="Z316" s="26">
        <f t="shared" si="57"/>
        <v>0</v>
      </c>
      <c r="AA316" s="33" t="s">
        <v>15</v>
      </c>
      <c r="AB316" s="36" t="s">
        <v>16</v>
      </c>
      <c r="AC316" s="181">
        <f t="shared" si="54"/>
        <v>1</v>
      </c>
      <c r="AD316" s="181">
        <f t="shared" si="60"/>
        <v>102.54</v>
      </c>
      <c r="AE316" s="181">
        <v>1.7</v>
      </c>
      <c r="AF316" s="181">
        <v>1.7</v>
      </c>
      <c r="AG316" s="101" t="str">
        <f t="shared" si="55"/>
        <v/>
      </c>
      <c r="AH316" s="190">
        <v>0</v>
      </c>
      <c r="AI316" s="69">
        <f t="shared" si="56"/>
        <v>1</v>
      </c>
    </row>
    <row r="317" spans="1:35" s="69" customFormat="1" ht="39" hidden="1" x14ac:dyDescent="0.3">
      <c r="A317" s="55" t="s">
        <v>836</v>
      </c>
      <c r="B317" s="53" t="s">
        <v>837</v>
      </c>
      <c r="C317" s="54" t="s">
        <v>606</v>
      </c>
      <c r="D317" s="75">
        <v>1</v>
      </c>
      <c r="E317" s="75"/>
      <c r="F317" s="75"/>
      <c r="G317" s="161"/>
      <c r="H317" s="158" t="s">
        <v>15</v>
      </c>
      <c r="I317" s="166">
        <v>82.99</v>
      </c>
      <c r="J317" s="75">
        <v>82.99</v>
      </c>
      <c r="K317" s="91" t="s">
        <v>838</v>
      </c>
      <c r="L317" s="73"/>
      <c r="M317" s="46">
        <v>0</v>
      </c>
      <c r="N317" s="46">
        <v>0</v>
      </c>
      <c r="O317" s="46">
        <v>0</v>
      </c>
      <c r="P317" s="98"/>
      <c r="Q317" s="23" t="s">
        <v>1482</v>
      </c>
      <c r="R317" s="24" t="s">
        <v>837</v>
      </c>
      <c r="S317" s="25" t="s">
        <v>606</v>
      </c>
      <c r="T317" s="26">
        <v>1</v>
      </c>
      <c r="U317" s="26">
        <v>1</v>
      </c>
      <c r="V317" s="26">
        <v>82.99</v>
      </c>
      <c r="W317" s="26">
        <f t="shared" si="58"/>
        <v>0</v>
      </c>
      <c r="X317" s="26">
        <f t="shared" si="61"/>
        <v>0</v>
      </c>
      <c r="Y317" s="26">
        <f t="shared" si="59"/>
        <v>0</v>
      </c>
      <c r="Z317" s="26">
        <f t="shared" si="57"/>
        <v>0</v>
      </c>
      <c r="AA317" s="33" t="s">
        <v>15</v>
      </c>
      <c r="AB317" s="36" t="s">
        <v>16</v>
      </c>
      <c r="AC317" s="181">
        <f t="shared" si="54"/>
        <v>1</v>
      </c>
      <c r="AD317" s="181">
        <f t="shared" si="60"/>
        <v>82.99</v>
      </c>
      <c r="AE317" s="181">
        <v>1.7</v>
      </c>
      <c r="AF317" s="181">
        <v>1.7</v>
      </c>
      <c r="AG317" s="101" t="str">
        <f t="shared" si="55"/>
        <v/>
      </c>
      <c r="AH317" s="190">
        <v>0</v>
      </c>
      <c r="AI317" s="69">
        <f t="shared" si="56"/>
        <v>1</v>
      </c>
    </row>
    <row r="318" spans="1:35" s="69" customFormat="1" ht="58.5" hidden="1" x14ac:dyDescent="0.3">
      <c r="A318" s="55" t="s">
        <v>839</v>
      </c>
      <c r="B318" s="53" t="s">
        <v>840</v>
      </c>
      <c r="C318" s="54" t="s">
        <v>606</v>
      </c>
      <c r="D318" s="75">
        <v>1</v>
      </c>
      <c r="E318" s="75"/>
      <c r="F318" s="75"/>
      <c r="G318" s="161"/>
      <c r="H318" s="158" t="s">
        <v>15</v>
      </c>
      <c r="I318" s="166">
        <v>80.41</v>
      </c>
      <c r="J318" s="75">
        <v>80.41</v>
      </c>
      <c r="K318" s="91" t="s">
        <v>841</v>
      </c>
      <c r="L318" s="73"/>
      <c r="M318" s="46">
        <v>0</v>
      </c>
      <c r="N318" s="46">
        <v>0</v>
      </c>
      <c r="O318" s="46">
        <v>0</v>
      </c>
      <c r="P318" s="98"/>
      <c r="Q318" s="23" t="s">
        <v>1483</v>
      </c>
      <c r="R318" s="24" t="s">
        <v>840</v>
      </c>
      <c r="S318" s="25" t="s">
        <v>606</v>
      </c>
      <c r="T318" s="26">
        <v>1</v>
      </c>
      <c r="U318" s="26">
        <v>1</v>
      </c>
      <c r="V318" s="26">
        <v>80.41</v>
      </c>
      <c r="W318" s="26">
        <f t="shared" si="58"/>
        <v>0</v>
      </c>
      <c r="X318" s="26">
        <f t="shared" si="61"/>
        <v>0</v>
      </c>
      <c r="Y318" s="26">
        <f t="shared" si="59"/>
        <v>0</v>
      </c>
      <c r="Z318" s="26">
        <f t="shared" si="57"/>
        <v>0</v>
      </c>
      <c r="AA318" s="33" t="s">
        <v>15</v>
      </c>
      <c r="AB318" s="36" t="s">
        <v>16</v>
      </c>
      <c r="AC318" s="181">
        <f t="shared" si="54"/>
        <v>1</v>
      </c>
      <c r="AD318" s="181">
        <f t="shared" si="60"/>
        <v>80.41</v>
      </c>
      <c r="AE318" s="181">
        <v>1.7</v>
      </c>
      <c r="AF318" s="181">
        <v>1.7</v>
      </c>
      <c r="AG318" s="101" t="str">
        <f t="shared" si="55"/>
        <v/>
      </c>
      <c r="AH318" s="190">
        <v>0</v>
      </c>
      <c r="AI318" s="69">
        <f t="shared" si="56"/>
        <v>1</v>
      </c>
    </row>
    <row r="319" spans="1:35" s="69" customFormat="1" ht="39" hidden="1" x14ac:dyDescent="0.3">
      <c r="A319" s="55" t="s">
        <v>842</v>
      </c>
      <c r="B319" s="53" t="s">
        <v>843</v>
      </c>
      <c r="C319" s="54" t="s">
        <v>606</v>
      </c>
      <c r="D319" s="75">
        <v>1</v>
      </c>
      <c r="E319" s="75"/>
      <c r="F319" s="75"/>
      <c r="G319" s="161"/>
      <c r="H319" s="158" t="s">
        <v>15</v>
      </c>
      <c r="I319" s="166">
        <v>101.01</v>
      </c>
      <c r="J319" s="75">
        <v>101.01</v>
      </c>
      <c r="K319" s="91" t="s">
        <v>844</v>
      </c>
      <c r="L319" s="73"/>
      <c r="M319" s="46">
        <v>0</v>
      </c>
      <c r="N319" s="46">
        <v>0</v>
      </c>
      <c r="O319" s="46">
        <v>0</v>
      </c>
      <c r="P319" s="98"/>
      <c r="Q319" s="23" t="s">
        <v>1484</v>
      </c>
      <c r="R319" s="24" t="s">
        <v>843</v>
      </c>
      <c r="S319" s="25" t="s">
        <v>606</v>
      </c>
      <c r="T319" s="26">
        <v>1</v>
      </c>
      <c r="U319" s="26">
        <v>1</v>
      </c>
      <c r="V319" s="26">
        <v>101.01</v>
      </c>
      <c r="W319" s="26">
        <f t="shared" si="58"/>
        <v>0</v>
      </c>
      <c r="X319" s="26">
        <f t="shared" si="61"/>
        <v>0</v>
      </c>
      <c r="Y319" s="26">
        <f t="shared" si="59"/>
        <v>0</v>
      </c>
      <c r="Z319" s="26">
        <f t="shared" si="57"/>
        <v>0</v>
      </c>
      <c r="AA319" s="33" t="s">
        <v>15</v>
      </c>
      <c r="AB319" s="36" t="s">
        <v>16</v>
      </c>
      <c r="AC319" s="181">
        <f t="shared" si="54"/>
        <v>1</v>
      </c>
      <c r="AD319" s="181">
        <f t="shared" si="60"/>
        <v>101.01</v>
      </c>
      <c r="AE319" s="181">
        <v>1.7</v>
      </c>
      <c r="AF319" s="181">
        <v>1.7</v>
      </c>
      <c r="AG319" s="101" t="str">
        <f t="shared" si="55"/>
        <v/>
      </c>
      <c r="AH319" s="190">
        <v>0</v>
      </c>
      <c r="AI319" s="69">
        <f t="shared" si="56"/>
        <v>1</v>
      </c>
    </row>
    <row r="320" spans="1:35" s="69" customFormat="1" ht="58.5" hidden="1" x14ac:dyDescent="0.3">
      <c r="A320" s="55" t="s">
        <v>845</v>
      </c>
      <c r="B320" s="53" t="s">
        <v>846</v>
      </c>
      <c r="C320" s="54" t="s">
        <v>606</v>
      </c>
      <c r="D320" s="75">
        <v>1</v>
      </c>
      <c r="E320" s="75"/>
      <c r="F320" s="75"/>
      <c r="G320" s="161"/>
      <c r="H320" s="158" t="s">
        <v>15</v>
      </c>
      <c r="I320" s="166">
        <v>76.290000000000006</v>
      </c>
      <c r="J320" s="75">
        <v>76.290000000000006</v>
      </c>
      <c r="K320" s="91" t="s">
        <v>847</v>
      </c>
      <c r="L320" s="73"/>
      <c r="M320" s="46">
        <v>0</v>
      </c>
      <c r="N320" s="46">
        <v>0</v>
      </c>
      <c r="O320" s="46">
        <v>0</v>
      </c>
      <c r="P320" s="98"/>
      <c r="Q320" s="23" t="s">
        <v>1485</v>
      </c>
      <c r="R320" s="24" t="s">
        <v>846</v>
      </c>
      <c r="S320" s="25" t="s">
        <v>606</v>
      </c>
      <c r="T320" s="26">
        <v>1</v>
      </c>
      <c r="U320" s="26">
        <v>1</v>
      </c>
      <c r="V320" s="26">
        <v>76.290000000000006</v>
      </c>
      <c r="W320" s="26">
        <f t="shared" si="58"/>
        <v>0</v>
      </c>
      <c r="X320" s="26">
        <f t="shared" si="61"/>
        <v>0</v>
      </c>
      <c r="Y320" s="26">
        <f t="shared" si="59"/>
        <v>0</v>
      </c>
      <c r="Z320" s="26">
        <f t="shared" si="57"/>
        <v>0</v>
      </c>
      <c r="AA320" s="33" t="s">
        <v>15</v>
      </c>
      <c r="AB320" s="36" t="s">
        <v>16</v>
      </c>
      <c r="AC320" s="181">
        <f t="shared" si="54"/>
        <v>1</v>
      </c>
      <c r="AD320" s="181">
        <f t="shared" si="60"/>
        <v>76.290000000000006</v>
      </c>
      <c r="AE320" s="181">
        <v>1.7</v>
      </c>
      <c r="AF320" s="181">
        <v>1.7</v>
      </c>
      <c r="AG320" s="101" t="str">
        <f t="shared" si="55"/>
        <v/>
      </c>
      <c r="AH320" s="190">
        <v>0</v>
      </c>
      <c r="AI320" s="69">
        <f t="shared" si="56"/>
        <v>1</v>
      </c>
    </row>
    <row r="321" spans="1:35" s="69" customFormat="1" ht="39" hidden="1" x14ac:dyDescent="0.3">
      <c r="A321" s="55" t="s">
        <v>848</v>
      </c>
      <c r="B321" s="53" t="s">
        <v>849</v>
      </c>
      <c r="C321" s="54" t="s">
        <v>606</v>
      </c>
      <c r="D321" s="75">
        <v>1</v>
      </c>
      <c r="E321" s="75"/>
      <c r="F321" s="75"/>
      <c r="G321" s="161"/>
      <c r="H321" s="158" t="s">
        <v>15</v>
      </c>
      <c r="I321" s="166">
        <v>73.650000000000006</v>
      </c>
      <c r="J321" s="75">
        <v>73.650000000000006</v>
      </c>
      <c r="K321" s="91" t="s">
        <v>850</v>
      </c>
      <c r="L321" s="73"/>
      <c r="M321" s="46">
        <v>0</v>
      </c>
      <c r="N321" s="46">
        <v>0</v>
      </c>
      <c r="O321" s="46">
        <v>0</v>
      </c>
      <c r="P321" s="98"/>
      <c r="Q321" s="23" t="s">
        <v>1486</v>
      </c>
      <c r="R321" s="24" t="s">
        <v>849</v>
      </c>
      <c r="S321" s="25" t="s">
        <v>606</v>
      </c>
      <c r="T321" s="26">
        <v>1</v>
      </c>
      <c r="U321" s="26">
        <v>1</v>
      </c>
      <c r="V321" s="26">
        <v>73.650000000000006</v>
      </c>
      <c r="W321" s="26">
        <f t="shared" si="58"/>
        <v>0</v>
      </c>
      <c r="X321" s="26">
        <f t="shared" si="61"/>
        <v>0</v>
      </c>
      <c r="Y321" s="26">
        <f t="shared" si="59"/>
        <v>0</v>
      </c>
      <c r="Z321" s="26">
        <f t="shared" si="57"/>
        <v>0</v>
      </c>
      <c r="AA321" s="33" t="s">
        <v>15</v>
      </c>
      <c r="AB321" s="36" t="s">
        <v>16</v>
      </c>
      <c r="AC321" s="181">
        <f t="shared" si="54"/>
        <v>1</v>
      </c>
      <c r="AD321" s="181">
        <f t="shared" si="60"/>
        <v>73.650000000000006</v>
      </c>
      <c r="AE321" s="181">
        <v>1.7</v>
      </c>
      <c r="AF321" s="181">
        <v>1.7</v>
      </c>
      <c r="AG321" s="101" t="str">
        <f t="shared" si="55"/>
        <v/>
      </c>
      <c r="AH321" s="190">
        <v>0</v>
      </c>
      <c r="AI321" s="69">
        <f t="shared" si="56"/>
        <v>1</v>
      </c>
    </row>
    <row r="322" spans="1:35" s="69" customFormat="1" ht="39" hidden="1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161"/>
      <c r="H322" s="158" t="s">
        <v>15</v>
      </c>
      <c r="I322" s="166">
        <v>43.78</v>
      </c>
      <c r="J322" s="75">
        <v>43.78</v>
      </c>
      <c r="K322" s="91" t="s">
        <v>853</v>
      </c>
      <c r="L322" s="73"/>
      <c r="M322" s="46">
        <v>0</v>
      </c>
      <c r="N322" s="46">
        <v>0</v>
      </c>
      <c r="O322" s="46">
        <v>0</v>
      </c>
      <c r="P322" s="98"/>
      <c r="Q322" s="23" t="s">
        <v>1487</v>
      </c>
      <c r="R322" s="24" t="s">
        <v>852</v>
      </c>
      <c r="S322" s="25" t="s">
        <v>50</v>
      </c>
      <c r="T322" s="26">
        <v>1</v>
      </c>
      <c r="U322" s="26">
        <v>1</v>
      </c>
      <c r="V322" s="26">
        <v>43.78</v>
      </c>
      <c r="W322" s="26">
        <f t="shared" si="58"/>
        <v>0</v>
      </c>
      <c r="X322" s="26">
        <f t="shared" si="61"/>
        <v>0</v>
      </c>
      <c r="Y322" s="26">
        <f t="shared" si="59"/>
        <v>0</v>
      </c>
      <c r="Z322" s="26">
        <f t="shared" si="57"/>
        <v>0</v>
      </c>
      <c r="AA322" s="33" t="s">
        <v>15</v>
      </c>
      <c r="AB322" s="36" t="s">
        <v>16</v>
      </c>
      <c r="AC322" s="181">
        <f t="shared" si="54"/>
        <v>1</v>
      </c>
      <c r="AD322" s="181">
        <f t="shared" si="60"/>
        <v>43.78</v>
      </c>
      <c r="AE322" s="181">
        <v>1.7</v>
      </c>
      <c r="AF322" s="181">
        <v>1.7</v>
      </c>
      <c r="AG322" s="101" t="str">
        <f t="shared" si="55"/>
        <v/>
      </c>
      <c r="AH322" s="190">
        <v>0</v>
      </c>
      <c r="AI322" s="69">
        <f t="shared" si="56"/>
        <v>1</v>
      </c>
    </row>
    <row r="323" spans="1:35" s="69" customFormat="1" ht="39" hidden="1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161"/>
      <c r="H323" s="158" t="s">
        <v>15</v>
      </c>
      <c r="I323" s="166">
        <v>28.11</v>
      </c>
      <c r="J323" s="75">
        <v>28.11</v>
      </c>
      <c r="K323" s="91" t="s">
        <v>857</v>
      </c>
      <c r="L323" s="73"/>
      <c r="M323" s="46">
        <v>0</v>
      </c>
      <c r="N323" s="46">
        <v>0</v>
      </c>
      <c r="O323" s="46">
        <v>0</v>
      </c>
      <c r="P323" s="98"/>
      <c r="Q323" s="23" t="s">
        <v>1488</v>
      </c>
      <c r="R323" s="24" t="s">
        <v>855</v>
      </c>
      <c r="S323" s="25" t="s">
        <v>856</v>
      </c>
      <c r="T323" s="26">
        <v>1</v>
      </c>
      <c r="U323" s="26">
        <v>1</v>
      </c>
      <c r="V323" s="26">
        <v>28.11</v>
      </c>
      <c r="W323" s="26">
        <f t="shared" si="58"/>
        <v>0</v>
      </c>
      <c r="X323" s="26">
        <f t="shared" si="61"/>
        <v>0</v>
      </c>
      <c r="Y323" s="26">
        <f t="shared" si="59"/>
        <v>0</v>
      </c>
      <c r="Z323" s="26">
        <f t="shared" si="57"/>
        <v>0</v>
      </c>
      <c r="AA323" s="33" t="s">
        <v>15</v>
      </c>
      <c r="AB323" s="36" t="s">
        <v>16</v>
      </c>
      <c r="AC323" s="181">
        <f t="shared" si="54"/>
        <v>1</v>
      </c>
      <c r="AD323" s="181">
        <f t="shared" si="60"/>
        <v>28.11</v>
      </c>
      <c r="AE323" s="181">
        <v>1.7</v>
      </c>
      <c r="AF323" s="181">
        <v>1.7</v>
      </c>
      <c r="AG323" s="101" t="str">
        <f t="shared" si="55"/>
        <v/>
      </c>
      <c r="AH323" s="190">
        <v>0</v>
      </c>
      <c r="AI323" s="69">
        <f t="shared" si="56"/>
        <v>1</v>
      </c>
    </row>
    <row r="324" spans="1:35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224"/>
      <c r="H324" s="158" t="s">
        <v>15</v>
      </c>
      <c r="I324" s="166">
        <v>245.47</v>
      </c>
      <c r="J324" s="75">
        <v>245.47</v>
      </c>
      <c r="K324" s="91" t="s">
        <v>860</v>
      </c>
      <c r="L324" s="73"/>
      <c r="M324" s="46">
        <v>0</v>
      </c>
      <c r="N324" s="46">
        <v>0</v>
      </c>
      <c r="O324" s="46">
        <v>0</v>
      </c>
      <c r="P324" s="98"/>
      <c r="Q324" s="23" t="s">
        <v>1489</v>
      </c>
      <c r="R324" s="24" t="s">
        <v>859</v>
      </c>
      <c r="S324" s="25" t="s">
        <v>50</v>
      </c>
      <c r="T324" s="26">
        <v>1</v>
      </c>
      <c r="U324" s="26">
        <v>1</v>
      </c>
      <c r="V324" s="26">
        <v>245.47</v>
      </c>
      <c r="W324" s="26">
        <f t="shared" si="58"/>
        <v>0</v>
      </c>
      <c r="X324" s="26">
        <f t="shared" si="61"/>
        <v>0</v>
      </c>
      <c r="Y324" s="26">
        <f t="shared" si="59"/>
        <v>0</v>
      </c>
      <c r="Z324" s="26">
        <f t="shared" si="57"/>
        <v>0</v>
      </c>
      <c r="AA324" s="33" t="s">
        <v>15</v>
      </c>
      <c r="AB324" s="36" t="s">
        <v>16</v>
      </c>
      <c r="AC324" s="181">
        <f t="shared" si="54"/>
        <v>1</v>
      </c>
      <c r="AD324" s="181">
        <f t="shared" si="60"/>
        <v>245.47</v>
      </c>
      <c r="AE324" s="181">
        <v>1.7</v>
      </c>
      <c r="AF324" s="181">
        <v>1.7</v>
      </c>
      <c r="AG324" s="101" t="str">
        <f t="shared" si="55"/>
        <v/>
      </c>
      <c r="AH324" s="190">
        <v>0</v>
      </c>
      <c r="AI324" s="69">
        <f t="shared" si="56"/>
        <v>1</v>
      </c>
    </row>
    <row r="325" spans="1:35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163"/>
      <c r="H325" s="62" t="s">
        <v>15</v>
      </c>
      <c r="I325" s="167">
        <v>839.94</v>
      </c>
      <c r="J325" s="62">
        <v>61718.79</v>
      </c>
      <c r="K325" s="93"/>
      <c r="M325" s="46">
        <v>0</v>
      </c>
      <c r="N325" s="46">
        <v>0</v>
      </c>
      <c r="O325" s="46">
        <v>0</v>
      </c>
      <c r="P325" s="98"/>
      <c r="Q325" s="23" t="s">
        <v>1398</v>
      </c>
      <c r="R325" s="24" t="s">
        <v>1337</v>
      </c>
      <c r="S325" s="25" t="s">
        <v>30</v>
      </c>
      <c r="T325" s="26">
        <v>0</v>
      </c>
      <c r="U325" s="26">
        <v>73.48</v>
      </c>
      <c r="V325" s="26">
        <v>839.94</v>
      </c>
      <c r="W325" s="26">
        <f t="shared" si="58"/>
        <v>0</v>
      </c>
      <c r="X325" s="26">
        <f t="shared" si="61"/>
        <v>0</v>
      </c>
      <c r="Y325" s="26">
        <f t="shared" si="59"/>
        <v>0</v>
      </c>
      <c r="Z325" s="26">
        <f>ROUND(V325*X325,2)</f>
        <v>0</v>
      </c>
      <c r="AA325" s="27"/>
      <c r="AB325" s="36" t="s">
        <v>16</v>
      </c>
      <c r="AC325" s="181">
        <f t="shared" si="54"/>
        <v>73.48</v>
      </c>
      <c r="AD325" s="181">
        <f t="shared" si="60"/>
        <v>61718.79</v>
      </c>
      <c r="AE325" s="181">
        <v>1.7</v>
      </c>
      <c r="AF325" s="181">
        <v>1.7</v>
      </c>
      <c r="AG325" s="101" t="str">
        <f t="shared" si="55"/>
        <v/>
      </c>
      <c r="AH325" s="190">
        <v>0</v>
      </c>
      <c r="AI325" s="69">
        <f t="shared" si="56"/>
        <v>73.48</v>
      </c>
    </row>
    <row r="326" spans="1:35" ht="39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163"/>
      <c r="H326" s="62" t="s">
        <v>15</v>
      </c>
      <c r="I326" s="167">
        <v>150</v>
      </c>
      <c r="J326" s="62">
        <v>2678400</v>
      </c>
      <c r="K326" s="93"/>
      <c r="M326" s="46">
        <v>10000</v>
      </c>
      <c r="N326" s="46">
        <v>0</v>
      </c>
      <c r="O326" s="46">
        <v>1500000</v>
      </c>
      <c r="P326" s="98"/>
      <c r="Q326" s="23" t="s">
        <v>1399</v>
      </c>
      <c r="R326" s="24" t="s">
        <v>1339</v>
      </c>
      <c r="S326" s="25" t="s">
        <v>1359</v>
      </c>
      <c r="T326" s="26">
        <v>0</v>
      </c>
      <c r="U326" s="26">
        <v>17856</v>
      </c>
      <c r="V326" s="26">
        <v>150</v>
      </c>
      <c r="W326" s="26">
        <f t="shared" si="58"/>
        <v>0</v>
      </c>
      <c r="X326" s="26">
        <f t="shared" si="61"/>
        <v>10000</v>
      </c>
      <c r="Y326" s="26">
        <f t="shared" si="59"/>
        <v>0</v>
      </c>
      <c r="Z326" s="26">
        <f t="shared" si="57"/>
        <v>1500000</v>
      </c>
      <c r="AA326" s="27"/>
      <c r="AB326" s="36" t="s">
        <v>16</v>
      </c>
      <c r="AC326" s="181">
        <f t="shared" si="54"/>
        <v>17856</v>
      </c>
      <c r="AD326" s="181">
        <f t="shared" si="60"/>
        <v>2678400</v>
      </c>
      <c r="AE326" s="181">
        <v>1.7</v>
      </c>
      <c r="AF326" s="181">
        <v>1.7</v>
      </c>
      <c r="AG326" s="101" t="str">
        <f t="shared" si="55"/>
        <v/>
      </c>
      <c r="AH326" s="190">
        <v>10000</v>
      </c>
      <c r="AI326" s="69">
        <f t="shared" si="56"/>
        <v>17856</v>
      </c>
    </row>
    <row r="327" spans="1:35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4" t="s">
        <v>15</v>
      </c>
      <c r="I327" s="82"/>
      <c r="J327" s="82">
        <v>5831452.4900000002</v>
      </c>
      <c r="K327" s="94" t="s">
        <v>15</v>
      </c>
      <c r="L327" s="73"/>
      <c r="M327" s="45">
        <v>0</v>
      </c>
      <c r="N327" s="45">
        <v>0</v>
      </c>
      <c r="O327" s="45">
        <v>0</v>
      </c>
      <c r="P327" s="98"/>
      <c r="Q327" s="18" t="s">
        <v>1400</v>
      </c>
      <c r="R327" s="19" t="s">
        <v>862</v>
      </c>
      <c r="S327" s="20" t="s">
        <v>14</v>
      </c>
      <c r="T327" s="21">
        <v>1</v>
      </c>
      <c r="U327" s="21"/>
      <c r="V327" s="21">
        <f>SUMIFS(AD:AD,AE:AE,AE327)</f>
        <v>5831452.4899999993</v>
      </c>
      <c r="W327" s="21">
        <f t="shared" ref="W327:X327" si="62">IF(Y327=0,0,1)</f>
        <v>0</v>
      </c>
      <c r="X327" s="21">
        <f t="shared" si="62"/>
        <v>0</v>
      </c>
      <c r="Y327" s="21">
        <f>SUMIFS(Y:Y,AF:AF,AE327)</f>
        <v>0</v>
      </c>
      <c r="Z327" s="21">
        <f>SUMIFS(Z:Z,AF:AF,AE327)</f>
        <v>0</v>
      </c>
      <c r="AA327" s="22" t="s">
        <v>15</v>
      </c>
      <c r="AB327" s="43" t="s">
        <v>16</v>
      </c>
      <c r="AC327" s="181">
        <f t="shared" si="54"/>
        <v>1</v>
      </c>
      <c r="AD327" s="184"/>
      <c r="AE327" s="184">
        <v>1.8</v>
      </c>
      <c r="AF327" s="184"/>
      <c r="AG327" s="101" t="str">
        <f t="shared" si="55"/>
        <v/>
      </c>
      <c r="AH327" s="190">
        <v>0</v>
      </c>
      <c r="AI327" s="69">
        <f t="shared" si="56"/>
        <v>1</v>
      </c>
    </row>
    <row r="328" spans="1:35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 t="s">
        <v>15</v>
      </c>
      <c r="I328" s="75">
        <v>69458</v>
      </c>
      <c r="J328" s="75">
        <v>69458</v>
      </c>
      <c r="K328" s="91" t="s">
        <v>865</v>
      </c>
      <c r="L328" s="73"/>
      <c r="M328" s="46">
        <v>0</v>
      </c>
      <c r="N328" s="46">
        <v>0</v>
      </c>
      <c r="O328" s="46">
        <v>0</v>
      </c>
      <c r="P328" s="98"/>
      <c r="Q328" s="23" t="s">
        <v>1421</v>
      </c>
      <c r="R328" s="24" t="s">
        <v>864</v>
      </c>
      <c r="S328" s="25" t="s">
        <v>14</v>
      </c>
      <c r="T328" s="26">
        <v>1</v>
      </c>
      <c r="U328" s="26">
        <v>1</v>
      </c>
      <c r="V328" s="26">
        <v>69458</v>
      </c>
      <c r="W328" s="26">
        <f t="shared" ref="W328:W368" si="63">AH328-M328</f>
        <v>0</v>
      </c>
      <c r="X328" s="26">
        <f t="shared" si="61"/>
        <v>0</v>
      </c>
      <c r="Y328" s="26">
        <f t="shared" ref="Y328:Y368" si="64">Z328-O328</f>
        <v>0</v>
      </c>
      <c r="Z328" s="26">
        <f t="shared" si="57"/>
        <v>0</v>
      </c>
      <c r="AA328" s="33" t="s">
        <v>15</v>
      </c>
      <c r="AB328" s="36" t="s">
        <v>16</v>
      </c>
      <c r="AC328" s="181">
        <f t="shared" si="54"/>
        <v>1</v>
      </c>
      <c r="AD328" s="181">
        <f t="shared" si="60"/>
        <v>69458</v>
      </c>
      <c r="AE328" s="181">
        <v>1.8</v>
      </c>
      <c r="AF328" s="181">
        <v>1.8</v>
      </c>
      <c r="AG328" s="101" t="str">
        <f t="shared" si="55"/>
        <v/>
      </c>
      <c r="AH328" s="190">
        <v>0</v>
      </c>
      <c r="AI328" s="69">
        <f t="shared" si="56"/>
        <v>1</v>
      </c>
    </row>
    <row r="329" spans="1:35" s="69" customFormat="1" ht="39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 t="s">
        <v>15</v>
      </c>
      <c r="I329" s="75">
        <v>94852.479999999996</v>
      </c>
      <c r="J329" s="75">
        <v>94852.479999999996</v>
      </c>
      <c r="K329" s="91" t="s">
        <v>868</v>
      </c>
      <c r="L329" s="73"/>
      <c r="M329" s="46">
        <v>0</v>
      </c>
      <c r="N329" s="46">
        <v>0</v>
      </c>
      <c r="O329" s="46">
        <v>0</v>
      </c>
      <c r="P329" s="98"/>
      <c r="Q329" s="23" t="s">
        <v>1426</v>
      </c>
      <c r="R329" s="24" t="s">
        <v>867</v>
      </c>
      <c r="S329" s="25" t="s">
        <v>14</v>
      </c>
      <c r="T329" s="26">
        <v>1</v>
      </c>
      <c r="U329" s="26">
        <v>1</v>
      </c>
      <c r="V329" s="26">
        <v>94852.479999999996</v>
      </c>
      <c r="W329" s="26">
        <f t="shared" si="63"/>
        <v>0</v>
      </c>
      <c r="X329" s="26">
        <f t="shared" si="61"/>
        <v>0</v>
      </c>
      <c r="Y329" s="26">
        <f t="shared" si="64"/>
        <v>0</v>
      </c>
      <c r="Z329" s="26">
        <f t="shared" si="57"/>
        <v>0</v>
      </c>
      <c r="AA329" s="33" t="s">
        <v>15</v>
      </c>
      <c r="AB329" s="36" t="s">
        <v>16</v>
      </c>
      <c r="AC329" s="181">
        <f t="shared" si="54"/>
        <v>1</v>
      </c>
      <c r="AD329" s="181">
        <f t="shared" si="60"/>
        <v>94852.479999999996</v>
      </c>
      <c r="AE329" s="181">
        <v>1.8</v>
      </c>
      <c r="AF329" s="181">
        <v>1.8</v>
      </c>
      <c r="AG329" s="101" t="str">
        <f t="shared" si="55"/>
        <v/>
      </c>
      <c r="AH329" s="190">
        <v>0</v>
      </c>
      <c r="AI329" s="69">
        <f t="shared" si="56"/>
        <v>1</v>
      </c>
    </row>
    <row r="330" spans="1:35" s="69" customFormat="1" ht="39" x14ac:dyDescent="0.3">
      <c r="A330" s="55" t="s">
        <v>869</v>
      </c>
      <c r="B330" s="53" t="s">
        <v>870</v>
      </c>
      <c r="C330" s="54" t="s">
        <v>14</v>
      </c>
      <c r="D330" s="75">
        <v>1</v>
      </c>
      <c r="E330" s="75"/>
      <c r="F330" s="75"/>
      <c r="G330" s="75"/>
      <c r="H330" s="75" t="s">
        <v>15</v>
      </c>
      <c r="I330" s="75">
        <v>251510</v>
      </c>
      <c r="J330" s="75">
        <v>251510</v>
      </c>
      <c r="K330" s="91" t="s">
        <v>871</v>
      </c>
      <c r="L330" s="73"/>
      <c r="M330" s="46">
        <v>0</v>
      </c>
      <c r="N330" s="46">
        <v>0</v>
      </c>
      <c r="O330" s="46">
        <v>0</v>
      </c>
      <c r="P330" s="98"/>
      <c r="Q330" s="23" t="s">
        <v>1402</v>
      </c>
      <c r="R330" s="24" t="s">
        <v>870</v>
      </c>
      <c r="S330" s="25" t="s">
        <v>14</v>
      </c>
      <c r="T330" s="26">
        <v>1</v>
      </c>
      <c r="U330" s="26">
        <v>1</v>
      </c>
      <c r="V330" s="26">
        <v>251510</v>
      </c>
      <c r="W330" s="26">
        <f t="shared" si="63"/>
        <v>0</v>
      </c>
      <c r="X330" s="26">
        <f t="shared" si="61"/>
        <v>0</v>
      </c>
      <c r="Y330" s="26">
        <f t="shared" si="64"/>
        <v>0</v>
      </c>
      <c r="Z330" s="26">
        <f t="shared" si="57"/>
        <v>0</v>
      </c>
      <c r="AA330" s="33" t="s">
        <v>15</v>
      </c>
      <c r="AB330" s="36" t="s">
        <v>16</v>
      </c>
      <c r="AC330" s="181">
        <f t="shared" si="54"/>
        <v>1</v>
      </c>
      <c r="AD330" s="181">
        <f t="shared" si="60"/>
        <v>251510</v>
      </c>
      <c r="AE330" s="181">
        <v>1.8</v>
      </c>
      <c r="AF330" s="181">
        <v>1.8</v>
      </c>
      <c r="AG330" s="101" t="str">
        <f t="shared" si="55"/>
        <v/>
      </c>
      <c r="AH330" s="190">
        <v>0</v>
      </c>
      <c r="AI330" s="69">
        <f t="shared" si="56"/>
        <v>1</v>
      </c>
    </row>
    <row r="331" spans="1:35" s="69" customFormat="1" ht="39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 t="s">
        <v>15</v>
      </c>
      <c r="I331" s="75">
        <v>174688.22</v>
      </c>
      <c r="J331" s="75">
        <v>174688.22</v>
      </c>
      <c r="K331" s="91" t="s">
        <v>874</v>
      </c>
      <c r="L331" s="73"/>
      <c r="M331" s="46">
        <v>0</v>
      </c>
      <c r="N331" s="46">
        <v>0</v>
      </c>
      <c r="O331" s="46">
        <v>0</v>
      </c>
      <c r="P331" s="98"/>
      <c r="Q331" s="23" t="s">
        <v>1373</v>
      </c>
      <c r="R331" s="24" t="s">
        <v>873</v>
      </c>
      <c r="S331" s="25" t="s">
        <v>14</v>
      </c>
      <c r="T331" s="26">
        <v>1</v>
      </c>
      <c r="U331" s="26">
        <v>1</v>
      </c>
      <c r="V331" s="26">
        <v>174688.22</v>
      </c>
      <c r="W331" s="26">
        <f t="shared" si="63"/>
        <v>0</v>
      </c>
      <c r="X331" s="26">
        <f t="shared" si="61"/>
        <v>0</v>
      </c>
      <c r="Y331" s="26">
        <f t="shared" si="64"/>
        <v>0</v>
      </c>
      <c r="Z331" s="26">
        <f t="shared" si="57"/>
        <v>0</v>
      </c>
      <c r="AA331" s="33" t="s">
        <v>15</v>
      </c>
      <c r="AB331" s="36" t="s">
        <v>16</v>
      </c>
      <c r="AC331" s="181">
        <f t="shared" ref="AC331:AC412" si="65">IF(U331="",T331,U331)</f>
        <v>1</v>
      </c>
      <c r="AD331" s="181">
        <f t="shared" si="60"/>
        <v>174688.22</v>
      </c>
      <c r="AE331" s="181">
        <v>1.8</v>
      </c>
      <c r="AF331" s="181">
        <v>1.8</v>
      </c>
      <c r="AG331" s="101" t="str">
        <f t="shared" ref="AG331:AG412" si="66">IF(X331&gt;AI331,"超估","")</f>
        <v/>
      </c>
      <c r="AH331" s="190">
        <v>0</v>
      </c>
      <c r="AI331" s="69">
        <f t="shared" ref="AI331:AI394" si="67">IF(G331=0,IF(F331=0,IF(E331=0,D331,E331),F331),G331)</f>
        <v>1</v>
      </c>
    </row>
    <row r="332" spans="1:35" s="69" customFormat="1" ht="39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 t="s">
        <v>15</v>
      </c>
      <c r="I332" s="75">
        <v>21221.84</v>
      </c>
      <c r="J332" s="75">
        <v>21221.84</v>
      </c>
      <c r="K332" s="91" t="s">
        <v>877</v>
      </c>
      <c r="L332" s="73"/>
      <c r="M332" s="46">
        <v>0</v>
      </c>
      <c r="N332" s="46">
        <v>0</v>
      </c>
      <c r="O332" s="46">
        <v>0</v>
      </c>
      <c r="P332" s="98"/>
      <c r="Q332" s="23" t="s">
        <v>1393</v>
      </c>
      <c r="R332" s="24" t="s">
        <v>876</v>
      </c>
      <c r="S332" s="25" t="s">
        <v>14</v>
      </c>
      <c r="T332" s="26">
        <v>1</v>
      </c>
      <c r="U332" s="26">
        <v>1</v>
      </c>
      <c r="V332" s="26">
        <v>21221.84</v>
      </c>
      <c r="W332" s="26">
        <f t="shared" si="63"/>
        <v>0</v>
      </c>
      <c r="X332" s="26">
        <f t="shared" si="61"/>
        <v>0</v>
      </c>
      <c r="Y332" s="26">
        <f t="shared" si="64"/>
        <v>0</v>
      </c>
      <c r="Z332" s="26">
        <f t="shared" ref="Z332:Z368" si="68">ROUND(V332*X332,2)</f>
        <v>0</v>
      </c>
      <c r="AA332" s="33" t="s">
        <v>15</v>
      </c>
      <c r="AB332" s="36" t="s">
        <v>16</v>
      </c>
      <c r="AC332" s="181">
        <f t="shared" si="65"/>
        <v>1</v>
      </c>
      <c r="AD332" s="181">
        <f t="shared" si="60"/>
        <v>21221.84</v>
      </c>
      <c r="AE332" s="181">
        <v>1.8</v>
      </c>
      <c r="AF332" s="181">
        <v>1.8</v>
      </c>
      <c r="AG332" s="101" t="str">
        <f t="shared" si="66"/>
        <v/>
      </c>
      <c r="AH332" s="190">
        <v>0</v>
      </c>
      <c r="AI332" s="69">
        <f t="shared" si="67"/>
        <v>1</v>
      </c>
    </row>
    <row r="333" spans="1:35" s="69" customFormat="1" ht="58.5" x14ac:dyDescent="0.3">
      <c r="A333" s="55" t="s">
        <v>878</v>
      </c>
      <c r="B333" s="53" t="s">
        <v>879</v>
      </c>
      <c r="C333" s="54" t="s">
        <v>81</v>
      </c>
      <c r="D333" s="75">
        <v>12</v>
      </c>
      <c r="E333" s="75"/>
      <c r="F333" s="75"/>
      <c r="G333" s="75"/>
      <c r="H333" s="75" t="s">
        <v>15</v>
      </c>
      <c r="I333" s="75">
        <v>42800</v>
      </c>
      <c r="J333" s="75">
        <v>513600</v>
      </c>
      <c r="K333" s="91" t="s">
        <v>880</v>
      </c>
      <c r="L333" s="73"/>
      <c r="M333" s="46">
        <v>0</v>
      </c>
      <c r="N333" s="46">
        <v>0</v>
      </c>
      <c r="O333" s="46">
        <v>0</v>
      </c>
      <c r="P333" s="98"/>
      <c r="Q333" s="23" t="s">
        <v>1403</v>
      </c>
      <c r="R333" s="24" t="s">
        <v>879</v>
      </c>
      <c r="S333" s="25" t="s">
        <v>81</v>
      </c>
      <c r="T333" s="26">
        <v>12</v>
      </c>
      <c r="U333" s="26">
        <v>12</v>
      </c>
      <c r="V333" s="26">
        <v>42800</v>
      </c>
      <c r="W333" s="26">
        <f t="shared" si="63"/>
        <v>0</v>
      </c>
      <c r="X333" s="26">
        <f t="shared" si="61"/>
        <v>0</v>
      </c>
      <c r="Y333" s="26">
        <f t="shared" si="64"/>
        <v>0</v>
      </c>
      <c r="Z333" s="26">
        <f t="shared" si="68"/>
        <v>0</v>
      </c>
      <c r="AA333" s="33" t="s">
        <v>15</v>
      </c>
      <c r="AB333" s="36" t="s">
        <v>16</v>
      </c>
      <c r="AC333" s="181">
        <f t="shared" si="65"/>
        <v>12</v>
      </c>
      <c r="AD333" s="181">
        <f t="shared" si="60"/>
        <v>513600</v>
      </c>
      <c r="AE333" s="181">
        <v>1.8</v>
      </c>
      <c r="AF333" s="181">
        <v>1.8</v>
      </c>
      <c r="AG333" s="101" t="str">
        <f t="shared" si="66"/>
        <v/>
      </c>
      <c r="AH333" s="190">
        <v>0</v>
      </c>
      <c r="AI333" s="69">
        <f t="shared" si="67"/>
        <v>12</v>
      </c>
    </row>
    <row r="334" spans="1:35" s="69" customFormat="1" ht="58.5" x14ac:dyDescent="0.3">
      <c r="A334" s="55" t="s">
        <v>881</v>
      </c>
      <c r="B334" s="53" t="s">
        <v>882</v>
      </c>
      <c r="C334" s="54" t="s">
        <v>81</v>
      </c>
      <c r="D334" s="75">
        <v>7</v>
      </c>
      <c r="E334" s="75"/>
      <c r="F334" s="75"/>
      <c r="G334" s="75"/>
      <c r="H334" s="75" t="s">
        <v>15</v>
      </c>
      <c r="I334" s="75">
        <v>60400</v>
      </c>
      <c r="J334" s="75">
        <v>422800</v>
      </c>
      <c r="K334" s="91" t="s">
        <v>883</v>
      </c>
      <c r="L334" s="73"/>
      <c r="M334" s="46">
        <v>0</v>
      </c>
      <c r="N334" s="46">
        <v>0</v>
      </c>
      <c r="O334" s="46">
        <v>0</v>
      </c>
      <c r="P334" s="98"/>
      <c r="Q334" s="23" t="s">
        <v>1427</v>
      </c>
      <c r="R334" s="24" t="s">
        <v>882</v>
      </c>
      <c r="S334" s="25" t="s">
        <v>81</v>
      </c>
      <c r="T334" s="26">
        <v>7</v>
      </c>
      <c r="U334" s="26">
        <v>7</v>
      </c>
      <c r="V334" s="26">
        <v>60400</v>
      </c>
      <c r="W334" s="26">
        <f t="shared" si="63"/>
        <v>0</v>
      </c>
      <c r="X334" s="26">
        <f t="shared" si="61"/>
        <v>0</v>
      </c>
      <c r="Y334" s="26">
        <f t="shared" si="64"/>
        <v>0</v>
      </c>
      <c r="Z334" s="26">
        <f t="shared" si="68"/>
        <v>0</v>
      </c>
      <c r="AA334" s="33" t="s">
        <v>15</v>
      </c>
      <c r="AB334" s="36" t="s">
        <v>16</v>
      </c>
      <c r="AC334" s="181">
        <f t="shared" si="65"/>
        <v>7</v>
      </c>
      <c r="AD334" s="181">
        <f t="shared" si="60"/>
        <v>422800</v>
      </c>
      <c r="AE334" s="181">
        <v>1.8</v>
      </c>
      <c r="AF334" s="181">
        <v>1.8</v>
      </c>
      <c r="AG334" s="101" t="str">
        <f t="shared" si="66"/>
        <v/>
      </c>
      <c r="AH334" s="190">
        <v>0</v>
      </c>
      <c r="AI334" s="69">
        <f t="shared" si="67"/>
        <v>7</v>
      </c>
    </row>
    <row r="335" spans="1:35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 t="s">
        <v>15</v>
      </c>
      <c r="I335" s="75">
        <v>35000</v>
      </c>
      <c r="J335" s="75">
        <v>455000</v>
      </c>
      <c r="K335" s="91" t="s">
        <v>886</v>
      </c>
      <c r="L335" s="73"/>
      <c r="M335" s="46">
        <v>0</v>
      </c>
      <c r="N335" s="46">
        <v>0</v>
      </c>
      <c r="O335" s="46">
        <v>0</v>
      </c>
      <c r="P335" s="98"/>
      <c r="Q335" s="23" t="s">
        <v>1428</v>
      </c>
      <c r="R335" s="24" t="s">
        <v>885</v>
      </c>
      <c r="S335" s="25" t="s">
        <v>81</v>
      </c>
      <c r="T335" s="26">
        <v>13</v>
      </c>
      <c r="U335" s="26">
        <v>13</v>
      </c>
      <c r="V335" s="26">
        <v>35000</v>
      </c>
      <c r="W335" s="26">
        <f t="shared" si="63"/>
        <v>0</v>
      </c>
      <c r="X335" s="26">
        <f t="shared" si="61"/>
        <v>0</v>
      </c>
      <c r="Y335" s="26">
        <f t="shared" si="64"/>
        <v>0</v>
      </c>
      <c r="Z335" s="26">
        <f t="shared" si="68"/>
        <v>0</v>
      </c>
      <c r="AA335" s="33" t="s">
        <v>15</v>
      </c>
      <c r="AB335" s="36" t="s">
        <v>16</v>
      </c>
      <c r="AC335" s="181">
        <f t="shared" si="65"/>
        <v>13</v>
      </c>
      <c r="AD335" s="181">
        <f t="shared" si="60"/>
        <v>455000</v>
      </c>
      <c r="AE335" s="181">
        <v>1.8</v>
      </c>
      <c r="AF335" s="181">
        <v>1.8</v>
      </c>
      <c r="AG335" s="101" t="str">
        <f t="shared" si="66"/>
        <v/>
      </c>
      <c r="AH335" s="190">
        <v>0</v>
      </c>
      <c r="AI335" s="69">
        <f t="shared" si="67"/>
        <v>13</v>
      </c>
    </row>
    <row r="336" spans="1:35" s="69" customFormat="1" ht="58.5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 t="s">
        <v>15</v>
      </c>
      <c r="I336" s="75">
        <v>10000</v>
      </c>
      <c r="J336" s="75">
        <v>130000</v>
      </c>
      <c r="K336" s="91" t="s">
        <v>889</v>
      </c>
      <c r="L336" s="73"/>
      <c r="M336" s="46">
        <v>0</v>
      </c>
      <c r="N336" s="46">
        <v>0</v>
      </c>
      <c r="O336" s="46">
        <v>0</v>
      </c>
      <c r="P336" s="98"/>
      <c r="Q336" s="23" t="s">
        <v>1387</v>
      </c>
      <c r="R336" s="24" t="s">
        <v>888</v>
      </c>
      <c r="S336" s="25" t="s">
        <v>81</v>
      </c>
      <c r="T336" s="26">
        <v>13</v>
      </c>
      <c r="U336" s="26">
        <v>13</v>
      </c>
      <c r="V336" s="26">
        <v>10000</v>
      </c>
      <c r="W336" s="26">
        <f t="shared" si="63"/>
        <v>0</v>
      </c>
      <c r="X336" s="26">
        <f t="shared" si="61"/>
        <v>0</v>
      </c>
      <c r="Y336" s="26">
        <f t="shared" si="64"/>
        <v>0</v>
      </c>
      <c r="Z336" s="26">
        <f t="shared" si="68"/>
        <v>0</v>
      </c>
      <c r="AA336" s="33" t="s">
        <v>15</v>
      </c>
      <c r="AB336" s="36" t="s">
        <v>16</v>
      </c>
      <c r="AC336" s="181">
        <f t="shared" si="65"/>
        <v>13</v>
      </c>
      <c r="AD336" s="181">
        <f t="shared" si="60"/>
        <v>130000</v>
      </c>
      <c r="AE336" s="181">
        <v>1.8</v>
      </c>
      <c r="AF336" s="181">
        <v>1.8</v>
      </c>
      <c r="AG336" s="101" t="str">
        <f t="shared" si="66"/>
        <v/>
      </c>
      <c r="AH336" s="190">
        <v>0</v>
      </c>
      <c r="AI336" s="69">
        <f t="shared" si="67"/>
        <v>13</v>
      </c>
    </row>
    <row r="337" spans="1:35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 t="s">
        <v>15</v>
      </c>
      <c r="I337" s="75">
        <v>1500</v>
      </c>
      <c r="J337" s="75">
        <v>3000</v>
      </c>
      <c r="K337" s="91" t="s">
        <v>892</v>
      </c>
      <c r="L337" s="73"/>
      <c r="M337" s="46">
        <v>0</v>
      </c>
      <c r="N337" s="46">
        <v>0</v>
      </c>
      <c r="O337" s="46">
        <v>0</v>
      </c>
      <c r="P337" s="98"/>
      <c r="Q337" s="23" t="s">
        <v>1405</v>
      </c>
      <c r="R337" s="24" t="s">
        <v>891</v>
      </c>
      <c r="S337" s="25" t="s">
        <v>325</v>
      </c>
      <c r="T337" s="26">
        <v>2</v>
      </c>
      <c r="U337" s="26">
        <v>2</v>
      </c>
      <c r="V337" s="26">
        <v>1500</v>
      </c>
      <c r="W337" s="26">
        <f t="shared" si="63"/>
        <v>0</v>
      </c>
      <c r="X337" s="26">
        <f t="shared" si="61"/>
        <v>0</v>
      </c>
      <c r="Y337" s="26">
        <f t="shared" si="64"/>
        <v>0</v>
      </c>
      <c r="Z337" s="26">
        <f t="shared" si="68"/>
        <v>0</v>
      </c>
      <c r="AA337" s="33" t="s">
        <v>15</v>
      </c>
      <c r="AB337" s="36" t="s">
        <v>16</v>
      </c>
      <c r="AC337" s="181">
        <f t="shared" si="65"/>
        <v>2</v>
      </c>
      <c r="AD337" s="181">
        <f t="shared" si="60"/>
        <v>3000</v>
      </c>
      <c r="AE337" s="181">
        <v>1.8</v>
      </c>
      <c r="AF337" s="181">
        <v>1.8</v>
      </c>
      <c r="AG337" s="101" t="str">
        <f t="shared" si="66"/>
        <v/>
      </c>
      <c r="AH337" s="190">
        <v>0</v>
      </c>
      <c r="AI337" s="69">
        <f t="shared" si="67"/>
        <v>2</v>
      </c>
    </row>
    <row r="338" spans="1:35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 t="s">
        <v>15</v>
      </c>
      <c r="I338" s="75">
        <v>4000</v>
      </c>
      <c r="J338" s="75">
        <v>8000</v>
      </c>
      <c r="K338" s="91" t="s">
        <v>895</v>
      </c>
      <c r="L338" s="73"/>
      <c r="M338" s="46">
        <v>0</v>
      </c>
      <c r="N338" s="46">
        <v>0</v>
      </c>
      <c r="O338" s="46">
        <v>0</v>
      </c>
      <c r="P338" s="98"/>
      <c r="Q338" s="23" t="s">
        <v>1406</v>
      </c>
      <c r="R338" s="24" t="s">
        <v>894</v>
      </c>
      <c r="S338" s="25" t="s">
        <v>325</v>
      </c>
      <c r="T338" s="26">
        <v>2</v>
      </c>
      <c r="U338" s="26">
        <v>2</v>
      </c>
      <c r="V338" s="26">
        <v>4000</v>
      </c>
      <c r="W338" s="26">
        <f t="shared" si="63"/>
        <v>0</v>
      </c>
      <c r="X338" s="26">
        <f t="shared" si="61"/>
        <v>0</v>
      </c>
      <c r="Y338" s="26">
        <f t="shared" si="64"/>
        <v>0</v>
      </c>
      <c r="Z338" s="26">
        <f t="shared" si="68"/>
        <v>0</v>
      </c>
      <c r="AA338" s="33" t="s">
        <v>15</v>
      </c>
      <c r="AB338" s="36" t="s">
        <v>16</v>
      </c>
      <c r="AC338" s="181">
        <f t="shared" si="65"/>
        <v>2</v>
      </c>
      <c r="AD338" s="181">
        <f t="shared" si="60"/>
        <v>8000</v>
      </c>
      <c r="AE338" s="181">
        <v>1.8</v>
      </c>
      <c r="AF338" s="181">
        <v>1.8</v>
      </c>
      <c r="AG338" s="101" t="str">
        <f t="shared" si="66"/>
        <v/>
      </c>
      <c r="AH338" s="190">
        <v>0</v>
      </c>
      <c r="AI338" s="69">
        <f t="shared" si="67"/>
        <v>2</v>
      </c>
    </row>
    <row r="339" spans="1:35" s="69" customFormat="1" ht="33" x14ac:dyDescent="0.3">
      <c r="A339" s="55" t="s">
        <v>896</v>
      </c>
      <c r="B339" s="53" t="s">
        <v>897</v>
      </c>
      <c r="C339" s="54" t="s">
        <v>30</v>
      </c>
      <c r="D339" s="75">
        <v>216.55</v>
      </c>
      <c r="E339" s="75"/>
      <c r="F339" s="75"/>
      <c r="G339" s="75"/>
      <c r="H339" s="75" t="s">
        <v>15</v>
      </c>
      <c r="I339" s="75">
        <v>800</v>
      </c>
      <c r="J339" s="75">
        <v>173240</v>
      </c>
      <c r="K339" s="91" t="s">
        <v>898</v>
      </c>
      <c r="L339" s="73"/>
      <c r="M339" s="46">
        <v>0</v>
      </c>
      <c r="N339" s="46">
        <v>0</v>
      </c>
      <c r="O339" s="46">
        <v>0</v>
      </c>
      <c r="P339" s="98"/>
      <c r="Q339" s="23" t="s">
        <v>1414</v>
      </c>
      <c r="R339" s="24" t="s">
        <v>897</v>
      </c>
      <c r="S339" s="25" t="s">
        <v>30</v>
      </c>
      <c r="T339" s="26">
        <v>216.55</v>
      </c>
      <c r="U339" s="26">
        <v>216.55</v>
      </c>
      <c r="V339" s="26">
        <v>800</v>
      </c>
      <c r="W339" s="26">
        <f t="shared" si="63"/>
        <v>0</v>
      </c>
      <c r="X339" s="26">
        <f t="shared" si="61"/>
        <v>0</v>
      </c>
      <c r="Y339" s="26">
        <f t="shared" si="64"/>
        <v>0</v>
      </c>
      <c r="Z339" s="26">
        <f t="shared" si="68"/>
        <v>0</v>
      </c>
      <c r="AA339" s="33" t="s">
        <v>15</v>
      </c>
      <c r="AB339" s="36" t="s">
        <v>16</v>
      </c>
      <c r="AC339" s="181">
        <f t="shared" si="65"/>
        <v>216.55</v>
      </c>
      <c r="AD339" s="181">
        <f t="shared" si="60"/>
        <v>173240</v>
      </c>
      <c r="AE339" s="181">
        <v>1.8</v>
      </c>
      <c r="AF339" s="181">
        <v>1.8</v>
      </c>
      <c r="AG339" s="101" t="str">
        <f t="shared" si="66"/>
        <v/>
      </c>
      <c r="AH339" s="190">
        <v>0</v>
      </c>
      <c r="AI339" s="69">
        <f t="shared" si="67"/>
        <v>216.55</v>
      </c>
    </row>
    <row r="340" spans="1:35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 t="s">
        <v>15</v>
      </c>
      <c r="I340" s="75">
        <v>11300</v>
      </c>
      <c r="J340" s="75">
        <v>56500</v>
      </c>
      <c r="K340" s="91" t="s">
        <v>901</v>
      </c>
      <c r="L340" s="73"/>
      <c r="M340" s="46">
        <v>0</v>
      </c>
      <c r="N340" s="46">
        <v>0</v>
      </c>
      <c r="O340" s="46">
        <v>0</v>
      </c>
      <c r="P340" s="98"/>
      <c r="Q340" s="23" t="s">
        <v>1429</v>
      </c>
      <c r="R340" s="24" t="s">
        <v>900</v>
      </c>
      <c r="S340" s="25" t="s">
        <v>325</v>
      </c>
      <c r="T340" s="26">
        <v>5</v>
      </c>
      <c r="U340" s="26">
        <v>5</v>
      </c>
      <c r="V340" s="26">
        <v>11300</v>
      </c>
      <c r="W340" s="26">
        <f t="shared" si="63"/>
        <v>0</v>
      </c>
      <c r="X340" s="26">
        <f t="shared" si="61"/>
        <v>0</v>
      </c>
      <c r="Y340" s="26">
        <f t="shared" si="64"/>
        <v>0</v>
      </c>
      <c r="Z340" s="26">
        <f t="shared" si="68"/>
        <v>0</v>
      </c>
      <c r="AA340" s="33" t="s">
        <v>15</v>
      </c>
      <c r="AB340" s="36" t="s">
        <v>16</v>
      </c>
      <c r="AC340" s="181">
        <f t="shared" si="65"/>
        <v>5</v>
      </c>
      <c r="AD340" s="181">
        <f t="shared" si="60"/>
        <v>56500</v>
      </c>
      <c r="AE340" s="181">
        <v>1.8</v>
      </c>
      <c r="AF340" s="181">
        <v>1.8</v>
      </c>
      <c r="AG340" s="101" t="str">
        <f t="shared" si="66"/>
        <v/>
      </c>
      <c r="AH340" s="190">
        <v>0</v>
      </c>
      <c r="AI340" s="69">
        <f t="shared" si="67"/>
        <v>5</v>
      </c>
    </row>
    <row r="341" spans="1:35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 t="s">
        <v>15</v>
      </c>
      <c r="I341" s="75">
        <v>13500</v>
      </c>
      <c r="J341" s="75">
        <v>108000</v>
      </c>
      <c r="K341" s="91" t="s">
        <v>904</v>
      </c>
      <c r="L341" s="73"/>
      <c r="M341" s="46">
        <v>0</v>
      </c>
      <c r="N341" s="46">
        <v>0</v>
      </c>
      <c r="O341" s="46">
        <v>0</v>
      </c>
      <c r="P341" s="98"/>
      <c r="Q341" s="23" t="s">
        <v>1430</v>
      </c>
      <c r="R341" s="24" t="s">
        <v>903</v>
      </c>
      <c r="S341" s="25" t="s">
        <v>325</v>
      </c>
      <c r="T341" s="26">
        <v>8</v>
      </c>
      <c r="U341" s="26">
        <v>8</v>
      </c>
      <c r="V341" s="26">
        <v>13500</v>
      </c>
      <c r="W341" s="26">
        <f t="shared" si="63"/>
        <v>0</v>
      </c>
      <c r="X341" s="26">
        <f t="shared" si="61"/>
        <v>0</v>
      </c>
      <c r="Y341" s="26">
        <f t="shared" si="64"/>
        <v>0</v>
      </c>
      <c r="Z341" s="26">
        <f t="shared" si="68"/>
        <v>0</v>
      </c>
      <c r="AA341" s="33" t="s">
        <v>15</v>
      </c>
      <c r="AB341" s="36" t="s">
        <v>16</v>
      </c>
      <c r="AC341" s="181">
        <f t="shared" si="65"/>
        <v>8</v>
      </c>
      <c r="AD341" s="181">
        <f t="shared" si="60"/>
        <v>108000</v>
      </c>
      <c r="AE341" s="181">
        <v>1.8</v>
      </c>
      <c r="AF341" s="181">
        <v>1.8</v>
      </c>
      <c r="AG341" s="101" t="str">
        <f t="shared" si="66"/>
        <v/>
      </c>
      <c r="AH341" s="190">
        <v>0</v>
      </c>
      <c r="AI341" s="69">
        <f t="shared" si="67"/>
        <v>8</v>
      </c>
    </row>
    <row r="342" spans="1:35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 t="s">
        <v>15</v>
      </c>
      <c r="I342" s="75">
        <v>112963.49</v>
      </c>
      <c r="J342" s="75">
        <v>112963.49</v>
      </c>
      <c r="K342" s="91" t="s">
        <v>907</v>
      </c>
      <c r="L342" s="73"/>
      <c r="M342" s="46">
        <v>0</v>
      </c>
      <c r="N342" s="46">
        <v>0</v>
      </c>
      <c r="O342" s="46">
        <v>0</v>
      </c>
      <c r="P342" s="98"/>
      <c r="Q342" s="23" t="s">
        <v>1431</v>
      </c>
      <c r="R342" s="24" t="s">
        <v>906</v>
      </c>
      <c r="S342" s="25" t="s">
        <v>73</v>
      </c>
      <c r="T342" s="26">
        <v>1</v>
      </c>
      <c r="U342" s="26">
        <v>1</v>
      </c>
      <c r="V342" s="26">
        <v>112963.49</v>
      </c>
      <c r="W342" s="26">
        <f t="shared" si="63"/>
        <v>0</v>
      </c>
      <c r="X342" s="26">
        <f t="shared" si="61"/>
        <v>0</v>
      </c>
      <c r="Y342" s="26">
        <f t="shared" si="64"/>
        <v>0</v>
      </c>
      <c r="Z342" s="26">
        <f t="shared" si="68"/>
        <v>0</v>
      </c>
      <c r="AA342" s="33" t="s">
        <v>15</v>
      </c>
      <c r="AB342" s="36" t="s">
        <v>16</v>
      </c>
      <c r="AC342" s="181">
        <f t="shared" si="65"/>
        <v>1</v>
      </c>
      <c r="AD342" s="181">
        <f t="shared" si="60"/>
        <v>112963.49</v>
      </c>
      <c r="AE342" s="181">
        <v>1.8</v>
      </c>
      <c r="AF342" s="181">
        <v>1.8</v>
      </c>
      <c r="AG342" s="101" t="str">
        <f t="shared" si="66"/>
        <v/>
      </c>
      <c r="AH342" s="190">
        <v>0</v>
      </c>
      <c r="AI342" s="69">
        <f t="shared" si="67"/>
        <v>1</v>
      </c>
    </row>
    <row r="343" spans="1:35" s="69" customFormat="1" ht="33" x14ac:dyDescent="0.3">
      <c r="A343" s="55" t="s">
        <v>908</v>
      </c>
      <c r="B343" s="211" t="s">
        <v>909</v>
      </c>
      <c r="C343" s="212" t="s">
        <v>14</v>
      </c>
      <c r="D343" s="213">
        <v>1</v>
      </c>
      <c r="E343" s="75"/>
      <c r="F343" s="75"/>
      <c r="G343" s="75"/>
      <c r="H343" s="75" t="s">
        <v>15</v>
      </c>
      <c r="I343" s="75">
        <v>322500</v>
      </c>
      <c r="J343" s="75">
        <v>322500</v>
      </c>
      <c r="K343" s="91" t="s">
        <v>910</v>
      </c>
      <c r="L343" s="73"/>
      <c r="M343" s="46">
        <v>0</v>
      </c>
      <c r="N343" s="46">
        <v>0</v>
      </c>
      <c r="O343" s="46">
        <v>0</v>
      </c>
      <c r="P343" s="98"/>
      <c r="Q343" s="23" t="s">
        <v>1395</v>
      </c>
      <c r="R343" s="24" t="s">
        <v>909</v>
      </c>
      <c r="S343" s="25" t="s">
        <v>14</v>
      </c>
      <c r="T343" s="26">
        <v>1</v>
      </c>
      <c r="U343" s="26">
        <v>1</v>
      </c>
      <c r="V343" s="26">
        <v>322500</v>
      </c>
      <c r="W343" s="26">
        <f t="shared" si="63"/>
        <v>0</v>
      </c>
      <c r="X343" s="26">
        <f t="shared" si="61"/>
        <v>0</v>
      </c>
      <c r="Y343" s="26">
        <f t="shared" si="64"/>
        <v>0</v>
      </c>
      <c r="Z343" s="26">
        <f t="shared" si="68"/>
        <v>0</v>
      </c>
      <c r="AA343" s="33" t="s">
        <v>15</v>
      </c>
      <c r="AB343" s="36" t="s">
        <v>16</v>
      </c>
      <c r="AC343" s="181">
        <f t="shared" si="65"/>
        <v>1</v>
      </c>
      <c r="AD343" s="181">
        <f t="shared" si="60"/>
        <v>322500</v>
      </c>
      <c r="AE343" s="181">
        <v>1.8</v>
      </c>
      <c r="AF343" s="181">
        <v>1.8</v>
      </c>
      <c r="AG343" s="101" t="str">
        <f t="shared" si="66"/>
        <v/>
      </c>
      <c r="AH343" s="190">
        <v>0</v>
      </c>
      <c r="AI343" s="69">
        <f t="shared" si="67"/>
        <v>1</v>
      </c>
    </row>
    <row r="344" spans="1:35" s="69" customFormat="1" ht="33" x14ac:dyDescent="0.3">
      <c r="A344" s="55" t="s">
        <v>911</v>
      </c>
      <c r="B344" s="211" t="s">
        <v>912</v>
      </c>
      <c r="C344" s="212" t="s">
        <v>325</v>
      </c>
      <c r="D344" s="213">
        <v>7</v>
      </c>
      <c r="E344" s="75"/>
      <c r="F344" s="75"/>
      <c r="G344" s="75"/>
      <c r="H344" s="75" t="s">
        <v>15</v>
      </c>
      <c r="I344" s="75">
        <v>15500</v>
      </c>
      <c r="J344" s="75">
        <v>108500</v>
      </c>
      <c r="K344" s="91" t="s">
        <v>913</v>
      </c>
      <c r="L344" s="73"/>
      <c r="M344" s="46">
        <v>0</v>
      </c>
      <c r="N344" s="46">
        <v>0</v>
      </c>
      <c r="O344" s="46">
        <v>0</v>
      </c>
      <c r="P344" s="98"/>
      <c r="Q344" s="23" t="s">
        <v>1432</v>
      </c>
      <c r="R344" s="24" t="s">
        <v>912</v>
      </c>
      <c r="S344" s="25" t="s">
        <v>325</v>
      </c>
      <c r="T344" s="26">
        <v>7</v>
      </c>
      <c r="U344" s="26">
        <v>7</v>
      </c>
      <c r="V344" s="26">
        <v>15500</v>
      </c>
      <c r="W344" s="26">
        <f t="shared" si="63"/>
        <v>0</v>
      </c>
      <c r="X344" s="26">
        <f t="shared" si="61"/>
        <v>0</v>
      </c>
      <c r="Y344" s="26">
        <f t="shared" si="64"/>
        <v>0</v>
      </c>
      <c r="Z344" s="26">
        <f t="shared" si="68"/>
        <v>0</v>
      </c>
      <c r="AA344" s="33" t="s">
        <v>15</v>
      </c>
      <c r="AB344" s="36" t="s">
        <v>16</v>
      </c>
      <c r="AC344" s="181">
        <f t="shared" si="65"/>
        <v>7</v>
      </c>
      <c r="AD344" s="181">
        <f t="shared" si="60"/>
        <v>108500</v>
      </c>
      <c r="AE344" s="181">
        <v>1.8</v>
      </c>
      <c r="AF344" s="181">
        <v>1.8</v>
      </c>
      <c r="AG344" s="101" t="str">
        <f t="shared" si="66"/>
        <v/>
      </c>
      <c r="AH344" s="190">
        <v>0</v>
      </c>
      <c r="AI344" s="69">
        <f t="shared" si="67"/>
        <v>7</v>
      </c>
    </row>
    <row r="345" spans="1:35" s="69" customFormat="1" ht="33" x14ac:dyDescent="0.3">
      <c r="A345" s="55" t="s">
        <v>914</v>
      </c>
      <c r="B345" s="211" t="s">
        <v>915</v>
      </c>
      <c r="C345" s="212" t="s">
        <v>325</v>
      </c>
      <c r="D345" s="213">
        <v>2</v>
      </c>
      <c r="E345" s="75"/>
      <c r="F345" s="75"/>
      <c r="G345" s="75"/>
      <c r="H345" s="75" t="s">
        <v>15</v>
      </c>
      <c r="I345" s="75">
        <v>113300</v>
      </c>
      <c r="J345" s="75">
        <v>226600</v>
      </c>
      <c r="K345" s="91" t="s">
        <v>916</v>
      </c>
      <c r="L345" s="73"/>
      <c r="M345" s="46">
        <v>0</v>
      </c>
      <c r="N345" s="46">
        <v>0</v>
      </c>
      <c r="O345" s="46">
        <v>0</v>
      </c>
      <c r="P345" s="98"/>
      <c r="Q345" s="23" t="s">
        <v>1433</v>
      </c>
      <c r="R345" s="24" t="s">
        <v>915</v>
      </c>
      <c r="S345" s="25" t="s">
        <v>325</v>
      </c>
      <c r="T345" s="26">
        <v>2</v>
      </c>
      <c r="U345" s="26">
        <v>2</v>
      </c>
      <c r="V345" s="26">
        <v>113300</v>
      </c>
      <c r="W345" s="26">
        <f t="shared" si="63"/>
        <v>0</v>
      </c>
      <c r="X345" s="26">
        <f t="shared" si="61"/>
        <v>0</v>
      </c>
      <c r="Y345" s="26">
        <f t="shared" si="64"/>
        <v>0</v>
      </c>
      <c r="Z345" s="26">
        <f t="shared" si="68"/>
        <v>0</v>
      </c>
      <c r="AA345" s="33" t="s">
        <v>15</v>
      </c>
      <c r="AB345" s="36" t="s">
        <v>16</v>
      </c>
      <c r="AC345" s="181">
        <f t="shared" si="65"/>
        <v>2</v>
      </c>
      <c r="AD345" s="181">
        <f t="shared" si="60"/>
        <v>226600</v>
      </c>
      <c r="AE345" s="181">
        <v>1.8</v>
      </c>
      <c r="AF345" s="181">
        <v>1.8</v>
      </c>
      <c r="AG345" s="101" t="str">
        <f t="shared" si="66"/>
        <v/>
      </c>
      <c r="AH345" s="190">
        <v>0</v>
      </c>
      <c r="AI345" s="69">
        <f t="shared" si="67"/>
        <v>2</v>
      </c>
    </row>
    <row r="346" spans="1:35" s="69" customFormat="1" ht="33" x14ac:dyDescent="0.3">
      <c r="A346" s="55" t="s">
        <v>917</v>
      </c>
      <c r="B346" s="53" t="s">
        <v>918</v>
      </c>
      <c r="C346" s="54" t="s">
        <v>325</v>
      </c>
      <c r="D346" s="75">
        <v>9</v>
      </c>
      <c r="E346" s="75"/>
      <c r="F346" s="75"/>
      <c r="G346" s="75"/>
      <c r="H346" s="75" t="s">
        <v>15</v>
      </c>
      <c r="I346" s="75">
        <v>100000</v>
      </c>
      <c r="J346" s="75">
        <v>900000</v>
      </c>
      <c r="K346" s="91" t="s">
        <v>919</v>
      </c>
      <c r="L346" s="73"/>
      <c r="M346" s="46">
        <v>0</v>
      </c>
      <c r="N346" s="46">
        <v>0</v>
      </c>
      <c r="O346" s="46">
        <v>0</v>
      </c>
      <c r="P346" s="98"/>
      <c r="Q346" s="23" t="s">
        <v>1382</v>
      </c>
      <c r="R346" s="24" t="s">
        <v>918</v>
      </c>
      <c r="S346" s="25" t="s">
        <v>325</v>
      </c>
      <c r="T346" s="26">
        <v>9</v>
      </c>
      <c r="U346" s="26">
        <v>9</v>
      </c>
      <c r="V346" s="26">
        <v>100000</v>
      </c>
      <c r="W346" s="26">
        <f t="shared" si="63"/>
        <v>0</v>
      </c>
      <c r="X346" s="26">
        <f t="shared" si="61"/>
        <v>0</v>
      </c>
      <c r="Y346" s="26">
        <f t="shared" si="64"/>
        <v>0</v>
      </c>
      <c r="Z346" s="26">
        <f t="shared" si="68"/>
        <v>0</v>
      </c>
      <c r="AA346" s="33" t="s">
        <v>15</v>
      </c>
      <c r="AB346" s="36" t="s">
        <v>16</v>
      </c>
      <c r="AC346" s="181">
        <f t="shared" si="65"/>
        <v>9</v>
      </c>
      <c r="AD346" s="181">
        <f t="shared" si="60"/>
        <v>900000</v>
      </c>
      <c r="AE346" s="181">
        <v>1.8</v>
      </c>
      <c r="AF346" s="181">
        <v>1.8</v>
      </c>
      <c r="AG346" s="101" t="str">
        <f t="shared" si="66"/>
        <v/>
      </c>
      <c r="AH346" s="190">
        <v>0</v>
      </c>
      <c r="AI346" s="69">
        <f t="shared" si="67"/>
        <v>9</v>
      </c>
    </row>
    <row r="347" spans="1:35" s="69" customFormat="1" ht="33" x14ac:dyDescent="0.3">
      <c r="A347" s="55" t="s">
        <v>920</v>
      </c>
      <c r="B347" s="53" t="s">
        <v>921</v>
      </c>
      <c r="C347" s="54" t="s">
        <v>81</v>
      </c>
      <c r="D347" s="75">
        <v>2</v>
      </c>
      <c r="E347" s="75"/>
      <c r="F347" s="75"/>
      <c r="G347" s="75"/>
      <c r="H347" s="75" t="s">
        <v>15</v>
      </c>
      <c r="I347" s="75">
        <v>15000</v>
      </c>
      <c r="J347" s="75">
        <v>30000</v>
      </c>
      <c r="K347" s="91" t="s">
        <v>922</v>
      </c>
      <c r="L347" s="73"/>
      <c r="M347" s="46">
        <v>0</v>
      </c>
      <c r="N347" s="46">
        <v>0</v>
      </c>
      <c r="O347" s="46">
        <v>0</v>
      </c>
      <c r="P347" s="98"/>
      <c r="Q347" s="23" t="s">
        <v>1434</v>
      </c>
      <c r="R347" s="24" t="s">
        <v>921</v>
      </c>
      <c r="S347" s="25" t="s">
        <v>81</v>
      </c>
      <c r="T347" s="26">
        <v>2</v>
      </c>
      <c r="U347" s="26">
        <v>2</v>
      </c>
      <c r="V347" s="26">
        <v>15000</v>
      </c>
      <c r="W347" s="26">
        <f t="shared" si="63"/>
        <v>0</v>
      </c>
      <c r="X347" s="26">
        <f t="shared" si="61"/>
        <v>0</v>
      </c>
      <c r="Y347" s="26">
        <f t="shared" si="64"/>
        <v>0</v>
      </c>
      <c r="Z347" s="26">
        <f t="shared" si="68"/>
        <v>0</v>
      </c>
      <c r="AA347" s="33" t="s">
        <v>15</v>
      </c>
      <c r="AB347" s="36" t="s">
        <v>16</v>
      </c>
      <c r="AC347" s="181">
        <f t="shared" si="65"/>
        <v>2</v>
      </c>
      <c r="AD347" s="181">
        <f t="shared" si="60"/>
        <v>30000</v>
      </c>
      <c r="AE347" s="181">
        <v>1.8</v>
      </c>
      <c r="AF347" s="181">
        <v>1.8</v>
      </c>
      <c r="AG347" s="101" t="str">
        <f t="shared" si="66"/>
        <v/>
      </c>
      <c r="AH347" s="190">
        <v>0</v>
      </c>
      <c r="AI347" s="69">
        <f t="shared" si="67"/>
        <v>2</v>
      </c>
    </row>
    <row r="348" spans="1:35" s="69" customFormat="1" ht="39" x14ac:dyDescent="0.3">
      <c r="A348" s="55" t="s">
        <v>923</v>
      </c>
      <c r="B348" s="53" t="s">
        <v>924</v>
      </c>
      <c r="C348" s="54" t="s">
        <v>925</v>
      </c>
      <c r="D348" s="75">
        <v>1</v>
      </c>
      <c r="E348" s="75"/>
      <c r="F348" s="75"/>
      <c r="G348" s="75"/>
      <c r="H348" s="75" t="s">
        <v>15</v>
      </c>
      <c r="I348" s="75">
        <v>15000</v>
      </c>
      <c r="J348" s="75">
        <v>15000</v>
      </c>
      <c r="K348" s="91" t="s">
        <v>926</v>
      </c>
      <c r="L348" s="73"/>
      <c r="M348" s="46">
        <v>0</v>
      </c>
      <c r="N348" s="46">
        <v>0</v>
      </c>
      <c r="O348" s="46">
        <v>0</v>
      </c>
      <c r="P348" s="98"/>
      <c r="Q348" s="23" t="s">
        <v>1388</v>
      </c>
      <c r="R348" s="24" t="s">
        <v>924</v>
      </c>
      <c r="S348" s="25" t="s">
        <v>925</v>
      </c>
      <c r="T348" s="26">
        <v>1</v>
      </c>
      <c r="U348" s="26">
        <v>1</v>
      </c>
      <c r="V348" s="26">
        <v>15000</v>
      </c>
      <c r="W348" s="26">
        <f t="shared" si="63"/>
        <v>0</v>
      </c>
      <c r="X348" s="26">
        <f t="shared" si="61"/>
        <v>0</v>
      </c>
      <c r="Y348" s="26">
        <f t="shared" si="64"/>
        <v>0</v>
      </c>
      <c r="Z348" s="26">
        <f t="shared" si="68"/>
        <v>0</v>
      </c>
      <c r="AA348" s="33" t="s">
        <v>15</v>
      </c>
      <c r="AB348" s="36" t="s">
        <v>16</v>
      </c>
      <c r="AC348" s="181">
        <f t="shared" si="65"/>
        <v>1</v>
      </c>
      <c r="AD348" s="181">
        <f t="shared" si="60"/>
        <v>15000</v>
      </c>
      <c r="AE348" s="181">
        <v>1.8</v>
      </c>
      <c r="AF348" s="181">
        <v>1.8</v>
      </c>
      <c r="AG348" s="101" t="str">
        <f t="shared" si="66"/>
        <v/>
      </c>
      <c r="AH348" s="190">
        <v>0</v>
      </c>
      <c r="AI348" s="69">
        <f t="shared" si="67"/>
        <v>1</v>
      </c>
    </row>
    <row r="349" spans="1:35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 t="s">
        <v>15</v>
      </c>
      <c r="I349" s="75">
        <v>1500</v>
      </c>
      <c r="J349" s="75">
        <v>1500</v>
      </c>
      <c r="K349" s="91" t="s">
        <v>929</v>
      </c>
      <c r="L349" s="73"/>
      <c r="M349" s="46">
        <v>0</v>
      </c>
      <c r="N349" s="46">
        <v>0</v>
      </c>
      <c r="O349" s="46">
        <v>0</v>
      </c>
      <c r="P349" s="98"/>
      <c r="Q349" s="23" t="s">
        <v>1389</v>
      </c>
      <c r="R349" s="24" t="s">
        <v>928</v>
      </c>
      <c r="S349" s="25" t="s">
        <v>325</v>
      </c>
      <c r="T349" s="26">
        <v>1</v>
      </c>
      <c r="U349" s="26">
        <v>1</v>
      </c>
      <c r="V349" s="26">
        <v>1500</v>
      </c>
      <c r="W349" s="26">
        <f t="shared" si="63"/>
        <v>0</v>
      </c>
      <c r="X349" s="26">
        <f t="shared" si="61"/>
        <v>0</v>
      </c>
      <c r="Y349" s="26">
        <f t="shared" si="64"/>
        <v>0</v>
      </c>
      <c r="Z349" s="26">
        <f t="shared" si="68"/>
        <v>0</v>
      </c>
      <c r="AA349" s="33" t="s">
        <v>15</v>
      </c>
      <c r="AB349" s="36" t="s">
        <v>16</v>
      </c>
      <c r="AC349" s="181">
        <f t="shared" si="65"/>
        <v>1</v>
      </c>
      <c r="AD349" s="181">
        <f t="shared" si="60"/>
        <v>1500</v>
      </c>
      <c r="AE349" s="181">
        <v>1.8</v>
      </c>
      <c r="AF349" s="181">
        <v>1.8</v>
      </c>
      <c r="AG349" s="101" t="str">
        <f t="shared" si="66"/>
        <v/>
      </c>
      <c r="AH349" s="190">
        <v>0</v>
      </c>
      <c r="AI349" s="69">
        <f t="shared" si="67"/>
        <v>1</v>
      </c>
    </row>
    <row r="350" spans="1:35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 t="s">
        <v>15</v>
      </c>
      <c r="I350" s="75">
        <v>2600</v>
      </c>
      <c r="J350" s="75">
        <v>7800</v>
      </c>
      <c r="K350" s="91" t="s">
        <v>933</v>
      </c>
      <c r="L350" s="73"/>
      <c r="M350" s="46">
        <v>0</v>
      </c>
      <c r="N350" s="46">
        <v>0</v>
      </c>
      <c r="O350" s="46">
        <v>0</v>
      </c>
      <c r="P350" s="98"/>
      <c r="Q350" s="23" t="s">
        <v>1390</v>
      </c>
      <c r="R350" s="24" t="s">
        <v>931</v>
      </c>
      <c r="S350" s="25" t="s">
        <v>932</v>
      </c>
      <c r="T350" s="26">
        <v>3</v>
      </c>
      <c r="U350" s="26">
        <v>3</v>
      </c>
      <c r="V350" s="26">
        <v>2600</v>
      </c>
      <c r="W350" s="26">
        <f t="shared" si="63"/>
        <v>0</v>
      </c>
      <c r="X350" s="26">
        <f t="shared" si="61"/>
        <v>0</v>
      </c>
      <c r="Y350" s="26">
        <f t="shared" si="64"/>
        <v>0</v>
      </c>
      <c r="Z350" s="26">
        <f t="shared" si="68"/>
        <v>0</v>
      </c>
      <c r="AA350" s="33" t="s">
        <v>15</v>
      </c>
      <c r="AB350" s="36" t="s">
        <v>16</v>
      </c>
      <c r="AC350" s="181">
        <f t="shared" si="65"/>
        <v>3</v>
      </c>
      <c r="AD350" s="181">
        <f t="shared" si="60"/>
        <v>7800</v>
      </c>
      <c r="AE350" s="181">
        <v>1.8</v>
      </c>
      <c r="AF350" s="181">
        <v>1.8</v>
      </c>
      <c r="AG350" s="101" t="str">
        <f t="shared" si="66"/>
        <v/>
      </c>
      <c r="AH350" s="190">
        <v>0</v>
      </c>
      <c r="AI350" s="69">
        <f t="shared" si="67"/>
        <v>3</v>
      </c>
    </row>
    <row r="351" spans="1:35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 t="s">
        <v>15</v>
      </c>
      <c r="I351" s="75">
        <v>4460</v>
      </c>
      <c r="J351" s="75">
        <v>169480</v>
      </c>
      <c r="K351" s="91" t="s">
        <v>936</v>
      </c>
      <c r="L351" s="73"/>
      <c r="M351" s="46">
        <v>0</v>
      </c>
      <c r="N351" s="46">
        <v>0</v>
      </c>
      <c r="O351" s="46">
        <v>0</v>
      </c>
      <c r="P351" s="98"/>
      <c r="Q351" s="23" t="s">
        <v>1391</v>
      </c>
      <c r="R351" s="24" t="s">
        <v>935</v>
      </c>
      <c r="S351" s="25" t="s">
        <v>932</v>
      </c>
      <c r="T351" s="26">
        <v>38</v>
      </c>
      <c r="U351" s="26">
        <v>38</v>
      </c>
      <c r="V351" s="26">
        <v>4460</v>
      </c>
      <c r="W351" s="26">
        <f t="shared" si="63"/>
        <v>0</v>
      </c>
      <c r="X351" s="26">
        <f t="shared" si="61"/>
        <v>0</v>
      </c>
      <c r="Y351" s="26">
        <f t="shared" si="64"/>
        <v>0</v>
      </c>
      <c r="Z351" s="26">
        <f t="shared" si="68"/>
        <v>0</v>
      </c>
      <c r="AA351" s="33" t="s">
        <v>15</v>
      </c>
      <c r="AB351" s="36" t="s">
        <v>16</v>
      </c>
      <c r="AC351" s="181">
        <f t="shared" si="65"/>
        <v>38</v>
      </c>
      <c r="AD351" s="181">
        <f t="shared" si="60"/>
        <v>169480</v>
      </c>
      <c r="AE351" s="181">
        <v>1.8</v>
      </c>
      <c r="AF351" s="181">
        <v>1.8</v>
      </c>
      <c r="AG351" s="101" t="str">
        <f t="shared" si="66"/>
        <v/>
      </c>
      <c r="AH351" s="190">
        <v>0</v>
      </c>
      <c r="AI351" s="69">
        <f t="shared" si="67"/>
        <v>38</v>
      </c>
    </row>
    <row r="352" spans="1:35" s="69" customFormat="1" ht="39" x14ac:dyDescent="0.3">
      <c r="A352" s="55" t="s">
        <v>937</v>
      </c>
      <c r="B352" s="53" t="s">
        <v>938</v>
      </c>
      <c r="C352" s="54" t="s">
        <v>30</v>
      </c>
      <c r="D352" s="75">
        <v>1352</v>
      </c>
      <c r="E352" s="75"/>
      <c r="F352" s="75"/>
      <c r="G352" s="75"/>
      <c r="H352" s="75" t="s">
        <v>15</v>
      </c>
      <c r="I352" s="75">
        <v>30.59</v>
      </c>
      <c r="J352" s="75">
        <v>41357.68</v>
      </c>
      <c r="K352" s="91" t="s">
        <v>939</v>
      </c>
      <c r="L352" s="73"/>
      <c r="M352" s="46">
        <v>0</v>
      </c>
      <c r="N352" s="46">
        <v>0</v>
      </c>
      <c r="O352" s="46">
        <v>0</v>
      </c>
      <c r="P352" s="98"/>
      <c r="Q352" s="23" t="s">
        <v>1436</v>
      </c>
      <c r="R352" s="24" t="s">
        <v>938</v>
      </c>
      <c r="S352" s="25" t="s">
        <v>30</v>
      </c>
      <c r="T352" s="26">
        <v>1352</v>
      </c>
      <c r="U352" s="26">
        <v>1352</v>
      </c>
      <c r="V352" s="26">
        <v>30.59</v>
      </c>
      <c r="W352" s="26">
        <f t="shared" si="63"/>
        <v>0</v>
      </c>
      <c r="X352" s="26">
        <f t="shared" si="61"/>
        <v>0</v>
      </c>
      <c r="Y352" s="26">
        <f t="shared" si="64"/>
        <v>0</v>
      </c>
      <c r="Z352" s="26">
        <f t="shared" si="68"/>
        <v>0</v>
      </c>
      <c r="AA352" s="33" t="s">
        <v>15</v>
      </c>
      <c r="AB352" s="36" t="s">
        <v>16</v>
      </c>
      <c r="AC352" s="181">
        <f t="shared" si="65"/>
        <v>1352</v>
      </c>
      <c r="AD352" s="181">
        <f t="shared" si="60"/>
        <v>41357.68</v>
      </c>
      <c r="AE352" s="181">
        <v>1.8</v>
      </c>
      <c r="AF352" s="181">
        <v>1.8</v>
      </c>
      <c r="AG352" s="101" t="str">
        <f t="shared" si="66"/>
        <v/>
      </c>
      <c r="AH352" s="190">
        <v>0</v>
      </c>
      <c r="AI352" s="69">
        <f t="shared" si="67"/>
        <v>1352</v>
      </c>
    </row>
    <row r="353" spans="1:35" s="69" customFormat="1" ht="58.5" x14ac:dyDescent="0.3">
      <c r="A353" s="55" t="s">
        <v>940</v>
      </c>
      <c r="B353" s="53" t="s">
        <v>941</v>
      </c>
      <c r="C353" s="54" t="s">
        <v>30</v>
      </c>
      <c r="D353" s="75">
        <v>300</v>
      </c>
      <c r="E353" s="75"/>
      <c r="F353" s="75"/>
      <c r="G353" s="75"/>
      <c r="H353" s="75" t="s">
        <v>15</v>
      </c>
      <c r="I353" s="75">
        <v>972.45</v>
      </c>
      <c r="J353" s="75">
        <v>291735</v>
      </c>
      <c r="K353" s="91" t="s">
        <v>942</v>
      </c>
      <c r="L353" s="73"/>
      <c r="M353" s="46">
        <v>0</v>
      </c>
      <c r="N353" s="46">
        <v>0</v>
      </c>
      <c r="O353" s="46">
        <v>0</v>
      </c>
      <c r="P353" s="98"/>
      <c r="Q353" s="23" t="s">
        <v>1374</v>
      </c>
      <c r="R353" s="24" t="s">
        <v>941</v>
      </c>
      <c r="S353" s="25" t="s">
        <v>30</v>
      </c>
      <c r="T353" s="26">
        <v>300</v>
      </c>
      <c r="U353" s="26">
        <v>300</v>
      </c>
      <c r="V353" s="26">
        <v>972.45</v>
      </c>
      <c r="W353" s="26">
        <f t="shared" si="63"/>
        <v>0</v>
      </c>
      <c r="X353" s="26">
        <f t="shared" si="61"/>
        <v>0</v>
      </c>
      <c r="Y353" s="26">
        <f t="shared" si="64"/>
        <v>0</v>
      </c>
      <c r="Z353" s="26">
        <f t="shared" si="68"/>
        <v>0</v>
      </c>
      <c r="AA353" s="33" t="s">
        <v>15</v>
      </c>
      <c r="AB353" s="36" t="s">
        <v>16</v>
      </c>
      <c r="AC353" s="181">
        <f t="shared" si="65"/>
        <v>300</v>
      </c>
      <c r="AD353" s="181">
        <f t="shared" si="60"/>
        <v>291735</v>
      </c>
      <c r="AE353" s="181">
        <v>1.8</v>
      </c>
      <c r="AF353" s="181">
        <v>1.8</v>
      </c>
      <c r="AG353" s="101" t="str">
        <f t="shared" si="66"/>
        <v/>
      </c>
      <c r="AH353" s="190">
        <v>0</v>
      </c>
      <c r="AI353" s="69">
        <f t="shared" si="67"/>
        <v>300</v>
      </c>
    </row>
    <row r="354" spans="1:35" s="69" customFormat="1" ht="58.5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 t="s">
        <v>15</v>
      </c>
      <c r="I354" s="75">
        <v>628.34</v>
      </c>
      <c r="J354" s="75">
        <v>158341.68</v>
      </c>
      <c r="K354" s="91" t="s">
        <v>945</v>
      </c>
      <c r="L354" s="73"/>
      <c r="M354" s="46">
        <v>0</v>
      </c>
      <c r="N354" s="46">
        <v>0</v>
      </c>
      <c r="O354" s="46">
        <v>0</v>
      </c>
      <c r="P354" s="98"/>
      <c r="Q354" s="23" t="s">
        <v>1376</v>
      </c>
      <c r="R354" s="24" t="s">
        <v>944</v>
      </c>
      <c r="S354" s="25" t="s">
        <v>30</v>
      </c>
      <c r="T354" s="26">
        <v>252</v>
      </c>
      <c r="U354" s="26">
        <v>252</v>
      </c>
      <c r="V354" s="26">
        <v>628.34</v>
      </c>
      <c r="W354" s="26">
        <f t="shared" si="63"/>
        <v>0</v>
      </c>
      <c r="X354" s="26">
        <f t="shared" si="61"/>
        <v>0</v>
      </c>
      <c r="Y354" s="26">
        <f t="shared" si="64"/>
        <v>0</v>
      </c>
      <c r="Z354" s="26">
        <f t="shared" si="68"/>
        <v>0</v>
      </c>
      <c r="AA354" s="33" t="s">
        <v>15</v>
      </c>
      <c r="AB354" s="36" t="s">
        <v>16</v>
      </c>
      <c r="AC354" s="181">
        <f t="shared" si="65"/>
        <v>252</v>
      </c>
      <c r="AD354" s="181">
        <f t="shared" si="60"/>
        <v>158341.68</v>
      </c>
      <c r="AE354" s="181">
        <v>1.8</v>
      </c>
      <c r="AF354" s="181">
        <v>1.8</v>
      </c>
      <c r="AG354" s="101" t="str">
        <f t="shared" si="66"/>
        <v/>
      </c>
      <c r="AH354" s="190">
        <v>0</v>
      </c>
      <c r="AI354" s="69">
        <f t="shared" si="67"/>
        <v>252</v>
      </c>
    </row>
    <row r="355" spans="1:35" s="69" customFormat="1" ht="58.5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 t="s">
        <v>15</v>
      </c>
      <c r="I355" s="75">
        <v>497.09</v>
      </c>
      <c r="J355" s="75">
        <v>17895.240000000002</v>
      </c>
      <c r="K355" s="91" t="s">
        <v>948</v>
      </c>
      <c r="L355" s="73"/>
      <c r="M355" s="46">
        <v>0</v>
      </c>
      <c r="N355" s="46">
        <v>0</v>
      </c>
      <c r="O355" s="46">
        <v>0</v>
      </c>
      <c r="P355" s="98"/>
      <c r="Q355" s="23" t="s">
        <v>1378</v>
      </c>
      <c r="R355" s="24" t="s">
        <v>947</v>
      </c>
      <c r="S355" s="25" t="s">
        <v>30</v>
      </c>
      <c r="T355" s="26">
        <v>36</v>
      </c>
      <c r="U355" s="26">
        <v>36</v>
      </c>
      <c r="V355" s="26">
        <v>497.09</v>
      </c>
      <c r="W355" s="26">
        <f t="shared" si="63"/>
        <v>0</v>
      </c>
      <c r="X355" s="26">
        <f t="shared" si="61"/>
        <v>0</v>
      </c>
      <c r="Y355" s="26">
        <f t="shared" si="64"/>
        <v>0</v>
      </c>
      <c r="Z355" s="26">
        <f t="shared" si="68"/>
        <v>0</v>
      </c>
      <c r="AA355" s="33" t="s">
        <v>15</v>
      </c>
      <c r="AB355" s="36" t="s">
        <v>16</v>
      </c>
      <c r="AC355" s="181">
        <f t="shared" si="65"/>
        <v>36</v>
      </c>
      <c r="AD355" s="181">
        <f t="shared" si="60"/>
        <v>17895.240000000002</v>
      </c>
      <c r="AE355" s="181">
        <v>1.8</v>
      </c>
      <c r="AF355" s="181">
        <v>1.8</v>
      </c>
      <c r="AG355" s="101" t="str">
        <f t="shared" si="66"/>
        <v/>
      </c>
      <c r="AH355" s="190">
        <v>0</v>
      </c>
      <c r="AI355" s="69">
        <f t="shared" si="67"/>
        <v>36</v>
      </c>
    </row>
    <row r="356" spans="1:35" s="69" customFormat="1" ht="58.5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 t="s">
        <v>15</v>
      </c>
      <c r="I356" s="75">
        <v>270.2</v>
      </c>
      <c r="J356" s="75">
        <v>42961.8</v>
      </c>
      <c r="K356" s="91" t="s">
        <v>951</v>
      </c>
      <c r="L356" s="73"/>
      <c r="M356" s="46">
        <v>0</v>
      </c>
      <c r="N356" s="46">
        <v>0</v>
      </c>
      <c r="O356" s="46">
        <v>0</v>
      </c>
      <c r="P356" s="98"/>
      <c r="Q356" s="23" t="s">
        <v>1438</v>
      </c>
      <c r="R356" s="24" t="s">
        <v>950</v>
      </c>
      <c r="S356" s="25" t="s">
        <v>30</v>
      </c>
      <c r="T356" s="26">
        <v>159</v>
      </c>
      <c r="U356" s="26">
        <v>159</v>
      </c>
      <c r="V356" s="26">
        <v>270.2</v>
      </c>
      <c r="W356" s="26">
        <f t="shared" si="63"/>
        <v>0</v>
      </c>
      <c r="X356" s="26">
        <f t="shared" si="61"/>
        <v>0</v>
      </c>
      <c r="Y356" s="26">
        <f t="shared" si="64"/>
        <v>0</v>
      </c>
      <c r="Z356" s="26">
        <f t="shared" si="68"/>
        <v>0</v>
      </c>
      <c r="AA356" s="33" t="s">
        <v>15</v>
      </c>
      <c r="AB356" s="36" t="s">
        <v>16</v>
      </c>
      <c r="AC356" s="181">
        <f t="shared" si="65"/>
        <v>159</v>
      </c>
      <c r="AD356" s="181">
        <f t="shared" si="60"/>
        <v>42961.8</v>
      </c>
      <c r="AE356" s="181">
        <v>1.8</v>
      </c>
      <c r="AF356" s="181">
        <v>1.8</v>
      </c>
      <c r="AG356" s="101" t="str">
        <f t="shared" si="66"/>
        <v/>
      </c>
      <c r="AH356" s="190">
        <v>0</v>
      </c>
      <c r="AI356" s="69">
        <f t="shared" si="67"/>
        <v>159</v>
      </c>
    </row>
    <row r="357" spans="1:35" s="69" customFormat="1" ht="58.5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 t="s">
        <v>15</v>
      </c>
      <c r="I357" s="75">
        <v>152.94</v>
      </c>
      <c r="J357" s="75">
        <v>183375.06</v>
      </c>
      <c r="K357" s="91" t="s">
        <v>954</v>
      </c>
      <c r="L357" s="73"/>
      <c r="M357" s="46">
        <v>0</v>
      </c>
      <c r="N357" s="46">
        <v>0</v>
      </c>
      <c r="O357" s="46">
        <v>0</v>
      </c>
      <c r="P357" s="98"/>
      <c r="Q357" s="23" t="s">
        <v>1439</v>
      </c>
      <c r="R357" s="24" t="s">
        <v>953</v>
      </c>
      <c r="S357" s="25" t="s">
        <v>30</v>
      </c>
      <c r="T357" s="26">
        <v>1199</v>
      </c>
      <c r="U357" s="26">
        <v>1199</v>
      </c>
      <c r="V357" s="26">
        <v>152.94</v>
      </c>
      <c r="W357" s="26">
        <f t="shared" si="63"/>
        <v>0</v>
      </c>
      <c r="X357" s="26">
        <f t="shared" si="61"/>
        <v>0</v>
      </c>
      <c r="Y357" s="26">
        <f t="shared" si="64"/>
        <v>0</v>
      </c>
      <c r="Z357" s="26">
        <f t="shared" si="68"/>
        <v>0</v>
      </c>
      <c r="AA357" s="33" t="s">
        <v>15</v>
      </c>
      <c r="AB357" s="36" t="s">
        <v>16</v>
      </c>
      <c r="AC357" s="181">
        <f t="shared" si="65"/>
        <v>1199</v>
      </c>
      <c r="AD357" s="181">
        <f t="shared" si="60"/>
        <v>183375.06</v>
      </c>
      <c r="AE357" s="181">
        <v>1.8</v>
      </c>
      <c r="AF357" s="181">
        <v>1.8</v>
      </c>
      <c r="AG357" s="101" t="str">
        <f t="shared" si="66"/>
        <v/>
      </c>
      <c r="AH357" s="190">
        <v>0</v>
      </c>
      <c r="AI357" s="69">
        <f t="shared" si="67"/>
        <v>1199</v>
      </c>
    </row>
    <row r="358" spans="1:35" s="69" customFormat="1" ht="33" x14ac:dyDescent="0.3">
      <c r="A358" s="55" t="s">
        <v>955</v>
      </c>
      <c r="B358" s="138" t="s">
        <v>956</v>
      </c>
      <c r="C358" s="54" t="s">
        <v>30</v>
      </c>
      <c r="D358" s="75">
        <v>144</v>
      </c>
      <c r="E358" s="75"/>
      <c r="F358" s="75"/>
      <c r="G358" s="75"/>
      <c r="H358" s="75" t="s">
        <v>15</v>
      </c>
      <c r="I358" s="75">
        <v>228.14</v>
      </c>
      <c r="J358" s="75">
        <v>32852.160000000003</v>
      </c>
      <c r="K358" s="91" t="s">
        <v>957</v>
      </c>
      <c r="L358" s="73"/>
      <c r="M358" s="46">
        <v>0</v>
      </c>
      <c r="N358" s="46">
        <v>0</v>
      </c>
      <c r="O358" s="46">
        <v>0</v>
      </c>
      <c r="P358" s="98"/>
      <c r="Q358" s="23" t="s">
        <v>1440</v>
      </c>
      <c r="R358" s="24" t="s">
        <v>956</v>
      </c>
      <c r="S358" s="25" t="s">
        <v>30</v>
      </c>
      <c r="T358" s="26">
        <v>144</v>
      </c>
      <c r="U358" s="26">
        <v>144</v>
      </c>
      <c r="V358" s="26">
        <v>228.14</v>
      </c>
      <c r="W358" s="26">
        <f t="shared" si="63"/>
        <v>0</v>
      </c>
      <c r="X358" s="26">
        <f t="shared" si="61"/>
        <v>0</v>
      </c>
      <c r="Y358" s="26">
        <f t="shared" si="64"/>
        <v>0</v>
      </c>
      <c r="Z358" s="26">
        <f t="shared" si="68"/>
        <v>0</v>
      </c>
      <c r="AA358" s="33" t="s">
        <v>15</v>
      </c>
      <c r="AB358" s="36" t="s">
        <v>16</v>
      </c>
      <c r="AC358" s="181">
        <f t="shared" si="65"/>
        <v>144</v>
      </c>
      <c r="AD358" s="181">
        <f t="shared" si="60"/>
        <v>32852.160000000003</v>
      </c>
      <c r="AE358" s="181">
        <v>1.8</v>
      </c>
      <c r="AF358" s="181">
        <v>1.8</v>
      </c>
      <c r="AG358" s="101" t="str">
        <f t="shared" si="66"/>
        <v/>
      </c>
      <c r="AH358" s="190">
        <v>0</v>
      </c>
      <c r="AI358" s="69">
        <f t="shared" si="67"/>
        <v>144</v>
      </c>
    </row>
    <row r="359" spans="1:35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 t="s">
        <v>15</v>
      </c>
      <c r="I359" s="75">
        <v>90448.13</v>
      </c>
      <c r="J359" s="75">
        <v>90448.13</v>
      </c>
      <c r="K359" s="91" t="s">
        <v>960</v>
      </c>
      <c r="L359" s="73"/>
      <c r="M359" s="46">
        <v>0</v>
      </c>
      <c r="N359" s="46">
        <v>0</v>
      </c>
      <c r="O359" s="46">
        <v>0</v>
      </c>
      <c r="P359" s="98"/>
      <c r="Q359" s="23" t="s">
        <v>1441</v>
      </c>
      <c r="R359" s="24" t="s">
        <v>959</v>
      </c>
      <c r="S359" s="25" t="s">
        <v>14</v>
      </c>
      <c r="T359" s="26">
        <v>1</v>
      </c>
      <c r="U359" s="26">
        <v>1</v>
      </c>
      <c r="V359" s="26">
        <v>90448.13</v>
      </c>
      <c r="W359" s="26">
        <f t="shared" si="63"/>
        <v>0</v>
      </c>
      <c r="X359" s="26">
        <f t="shared" si="61"/>
        <v>0</v>
      </c>
      <c r="Y359" s="26">
        <f t="shared" si="64"/>
        <v>0</v>
      </c>
      <c r="Z359" s="26">
        <f t="shared" si="68"/>
        <v>0</v>
      </c>
      <c r="AA359" s="33" t="s">
        <v>15</v>
      </c>
      <c r="AB359" s="36" t="s">
        <v>16</v>
      </c>
      <c r="AC359" s="181">
        <f t="shared" si="65"/>
        <v>1</v>
      </c>
      <c r="AD359" s="181">
        <f t="shared" si="60"/>
        <v>90448.13</v>
      </c>
      <c r="AE359" s="181">
        <v>1.8</v>
      </c>
      <c r="AF359" s="181">
        <v>1.8</v>
      </c>
      <c r="AG359" s="101" t="str">
        <f t="shared" si="66"/>
        <v/>
      </c>
      <c r="AH359" s="190">
        <v>0</v>
      </c>
      <c r="AI359" s="69">
        <f t="shared" si="67"/>
        <v>1</v>
      </c>
    </row>
    <row r="360" spans="1:35" s="69" customFormat="1" ht="49.5" x14ac:dyDescent="0.3">
      <c r="A360" s="55" t="s">
        <v>961</v>
      </c>
      <c r="B360" s="138" t="s">
        <v>962</v>
      </c>
      <c r="C360" s="54" t="s">
        <v>30</v>
      </c>
      <c r="D360" s="75">
        <v>2702</v>
      </c>
      <c r="E360" s="75"/>
      <c r="F360" s="75"/>
      <c r="G360" s="75"/>
      <c r="H360" s="75" t="s">
        <v>15</v>
      </c>
      <c r="I360" s="75">
        <v>81.569999999999993</v>
      </c>
      <c r="J360" s="75">
        <v>220402.14</v>
      </c>
      <c r="K360" s="91" t="s">
        <v>963</v>
      </c>
      <c r="L360" s="73"/>
      <c r="M360" s="46">
        <v>0</v>
      </c>
      <c r="N360" s="46">
        <v>0</v>
      </c>
      <c r="O360" s="46">
        <v>0</v>
      </c>
      <c r="P360" s="98"/>
      <c r="Q360" s="23" t="s">
        <v>1442</v>
      </c>
      <c r="R360" s="24" t="s">
        <v>962</v>
      </c>
      <c r="S360" s="25" t="s">
        <v>30</v>
      </c>
      <c r="T360" s="26">
        <v>2702</v>
      </c>
      <c r="U360" s="26">
        <v>2702</v>
      </c>
      <c r="V360" s="26">
        <v>81.569999999999993</v>
      </c>
      <c r="W360" s="26">
        <f t="shared" si="63"/>
        <v>0</v>
      </c>
      <c r="X360" s="26">
        <f t="shared" si="61"/>
        <v>0</v>
      </c>
      <c r="Y360" s="26">
        <f t="shared" si="64"/>
        <v>0</v>
      </c>
      <c r="Z360" s="26">
        <f t="shared" si="68"/>
        <v>0</v>
      </c>
      <c r="AA360" s="33" t="s">
        <v>15</v>
      </c>
      <c r="AB360" s="36" t="s">
        <v>16</v>
      </c>
      <c r="AC360" s="181">
        <f t="shared" si="65"/>
        <v>2702</v>
      </c>
      <c r="AD360" s="181">
        <f t="shared" si="60"/>
        <v>220402.14</v>
      </c>
      <c r="AE360" s="181">
        <v>1.8</v>
      </c>
      <c r="AF360" s="181">
        <v>1.8</v>
      </c>
      <c r="AG360" s="101" t="str">
        <f t="shared" si="66"/>
        <v/>
      </c>
      <c r="AH360" s="190">
        <v>0</v>
      </c>
      <c r="AI360" s="69">
        <f t="shared" si="67"/>
        <v>2702</v>
      </c>
    </row>
    <row r="361" spans="1:35" s="69" customFormat="1" ht="39" x14ac:dyDescent="0.3">
      <c r="A361" s="55" t="s">
        <v>964</v>
      </c>
      <c r="B361" s="53" t="s">
        <v>965</v>
      </c>
      <c r="C361" s="54" t="s">
        <v>14</v>
      </c>
      <c r="D361" s="75">
        <v>1</v>
      </c>
      <c r="E361" s="75"/>
      <c r="F361" s="75"/>
      <c r="G361" s="75"/>
      <c r="H361" s="75" t="s">
        <v>15</v>
      </c>
      <c r="I361" s="75">
        <v>25939</v>
      </c>
      <c r="J361" s="75">
        <v>25939</v>
      </c>
      <c r="K361" s="91" t="s">
        <v>966</v>
      </c>
      <c r="L361" s="73"/>
      <c r="M361" s="46">
        <v>0</v>
      </c>
      <c r="N361" s="46">
        <v>0</v>
      </c>
      <c r="O361" s="46">
        <v>0</v>
      </c>
      <c r="P361" s="98"/>
      <c r="Q361" s="23" t="s">
        <v>1443</v>
      </c>
      <c r="R361" s="24" t="s">
        <v>965</v>
      </c>
      <c r="S361" s="25" t="s">
        <v>14</v>
      </c>
      <c r="T361" s="26">
        <v>1</v>
      </c>
      <c r="U361" s="26">
        <v>1</v>
      </c>
      <c r="V361" s="26">
        <v>25939</v>
      </c>
      <c r="W361" s="26">
        <f t="shared" si="63"/>
        <v>0</v>
      </c>
      <c r="X361" s="26">
        <f t="shared" si="61"/>
        <v>0</v>
      </c>
      <c r="Y361" s="26">
        <f t="shared" si="64"/>
        <v>0</v>
      </c>
      <c r="Z361" s="26">
        <f t="shared" si="68"/>
        <v>0</v>
      </c>
      <c r="AA361" s="33" t="s">
        <v>15</v>
      </c>
      <c r="AB361" s="36" t="s">
        <v>16</v>
      </c>
      <c r="AC361" s="181">
        <f t="shared" si="65"/>
        <v>1</v>
      </c>
      <c r="AD361" s="181">
        <f t="shared" si="60"/>
        <v>25939</v>
      </c>
      <c r="AE361" s="181">
        <v>1.8</v>
      </c>
      <c r="AF361" s="181">
        <v>1.8</v>
      </c>
      <c r="AG361" s="101" t="str">
        <f t="shared" si="66"/>
        <v/>
      </c>
      <c r="AH361" s="190">
        <v>0</v>
      </c>
      <c r="AI361" s="69">
        <f t="shared" si="67"/>
        <v>1</v>
      </c>
    </row>
    <row r="362" spans="1:35" s="69" customFormat="1" ht="58.5" x14ac:dyDescent="0.3">
      <c r="A362" s="55" t="s">
        <v>967</v>
      </c>
      <c r="B362" s="53" t="s">
        <v>968</v>
      </c>
      <c r="C362" s="54" t="s">
        <v>30</v>
      </c>
      <c r="D362" s="75">
        <v>1272</v>
      </c>
      <c r="E362" s="75"/>
      <c r="F362" s="75"/>
      <c r="G362" s="75"/>
      <c r="H362" s="75" t="s">
        <v>15</v>
      </c>
      <c r="I362" s="75">
        <v>36.96</v>
      </c>
      <c r="J362" s="75">
        <v>47013.120000000003</v>
      </c>
      <c r="K362" s="91" t="s">
        <v>969</v>
      </c>
      <c r="L362" s="73"/>
      <c r="M362" s="46">
        <v>0</v>
      </c>
      <c r="N362" s="46">
        <v>0</v>
      </c>
      <c r="O362" s="46">
        <v>0</v>
      </c>
      <c r="P362" s="98"/>
      <c r="Q362" s="23" t="s">
        <v>1444</v>
      </c>
      <c r="R362" s="24" t="s">
        <v>968</v>
      </c>
      <c r="S362" s="25" t="s">
        <v>30</v>
      </c>
      <c r="T362" s="26">
        <v>1272</v>
      </c>
      <c r="U362" s="26">
        <v>1272</v>
      </c>
      <c r="V362" s="26">
        <v>36.96</v>
      </c>
      <c r="W362" s="26">
        <f t="shared" si="63"/>
        <v>0</v>
      </c>
      <c r="X362" s="26">
        <f t="shared" si="61"/>
        <v>0</v>
      </c>
      <c r="Y362" s="26">
        <f t="shared" si="64"/>
        <v>0</v>
      </c>
      <c r="Z362" s="26">
        <f t="shared" si="68"/>
        <v>0</v>
      </c>
      <c r="AA362" s="33" t="s">
        <v>15</v>
      </c>
      <c r="AB362" s="36" t="s">
        <v>16</v>
      </c>
      <c r="AC362" s="181">
        <f t="shared" si="65"/>
        <v>1272</v>
      </c>
      <c r="AD362" s="181">
        <f t="shared" si="60"/>
        <v>47013.120000000003</v>
      </c>
      <c r="AE362" s="181">
        <v>1.8</v>
      </c>
      <c r="AF362" s="181">
        <v>1.8</v>
      </c>
      <c r="AG362" s="101" t="str">
        <f t="shared" si="66"/>
        <v/>
      </c>
      <c r="AH362" s="190">
        <v>0</v>
      </c>
      <c r="AI362" s="69">
        <f t="shared" si="67"/>
        <v>1272</v>
      </c>
    </row>
    <row r="363" spans="1:35" s="69" customFormat="1" ht="58.5" x14ac:dyDescent="0.3">
      <c r="A363" s="55" t="s">
        <v>970</v>
      </c>
      <c r="B363" s="53" t="s">
        <v>971</v>
      </c>
      <c r="C363" s="54" t="s">
        <v>30</v>
      </c>
      <c r="D363" s="75">
        <v>1470</v>
      </c>
      <c r="E363" s="75"/>
      <c r="F363" s="75"/>
      <c r="G363" s="75"/>
      <c r="H363" s="75" t="s">
        <v>15</v>
      </c>
      <c r="I363" s="75">
        <v>62.45</v>
      </c>
      <c r="J363" s="75">
        <v>91801.5</v>
      </c>
      <c r="K363" s="91" t="s">
        <v>972</v>
      </c>
      <c r="L363" s="73"/>
      <c r="M363" s="46">
        <v>0</v>
      </c>
      <c r="N363" s="46">
        <v>0</v>
      </c>
      <c r="O363" s="46">
        <v>0</v>
      </c>
      <c r="P363" s="98"/>
      <c r="Q363" s="23" t="s">
        <v>1408</v>
      </c>
      <c r="R363" s="24" t="s">
        <v>971</v>
      </c>
      <c r="S363" s="25" t="s">
        <v>30</v>
      </c>
      <c r="T363" s="26">
        <v>1470</v>
      </c>
      <c r="U363" s="26">
        <v>1470</v>
      </c>
      <c r="V363" s="26">
        <v>62.45</v>
      </c>
      <c r="W363" s="26">
        <f t="shared" si="63"/>
        <v>0</v>
      </c>
      <c r="X363" s="26">
        <f t="shared" si="61"/>
        <v>0</v>
      </c>
      <c r="Y363" s="26">
        <f t="shared" si="64"/>
        <v>0</v>
      </c>
      <c r="Z363" s="26">
        <f t="shared" si="68"/>
        <v>0</v>
      </c>
      <c r="AA363" s="33" t="s">
        <v>15</v>
      </c>
      <c r="AB363" s="36" t="s">
        <v>16</v>
      </c>
      <c r="AC363" s="181">
        <f t="shared" si="65"/>
        <v>1470</v>
      </c>
      <c r="AD363" s="181">
        <f t="shared" si="60"/>
        <v>91801.5</v>
      </c>
      <c r="AE363" s="181">
        <v>1.8</v>
      </c>
      <c r="AF363" s="181">
        <v>1.8</v>
      </c>
      <c r="AG363" s="101" t="str">
        <f t="shared" si="66"/>
        <v/>
      </c>
      <c r="AH363" s="190">
        <v>0</v>
      </c>
      <c r="AI363" s="69">
        <f t="shared" si="67"/>
        <v>1470</v>
      </c>
    </row>
    <row r="364" spans="1:35" s="69" customFormat="1" ht="58.5" x14ac:dyDescent="0.3">
      <c r="A364" s="55" t="s">
        <v>973</v>
      </c>
      <c r="B364" s="53" t="s">
        <v>974</v>
      </c>
      <c r="C364" s="54" t="s">
        <v>30</v>
      </c>
      <c r="D364" s="75">
        <v>407</v>
      </c>
      <c r="E364" s="75"/>
      <c r="F364" s="75"/>
      <c r="G364" s="75"/>
      <c r="H364" s="75" t="s">
        <v>15</v>
      </c>
      <c r="I364" s="75">
        <v>90.49</v>
      </c>
      <c r="J364" s="75">
        <v>36829.43</v>
      </c>
      <c r="K364" s="91" t="s">
        <v>975</v>
      </c>
      <c r="L364" s="73"/>
      <c r="M364" s="46">
        <v>0</v>
      </c>
      <c r="N364" s="46">
        <v>0</v>
      </c>
      <c r="O364" s="46">
        <v>0</v>
      </c>
      <c r="P364" s="98"/>
      <c r="Q364" s="23" t="s">
        <v>1409</v>
      </c>
      <c r="R364" s="24" t="s">
        <v>974</v>
      </c>
      <c r="S364" s="25" t="s">
        <v>30</v>
      </c>
      <c r="T364" s="26">
        <v>407</v>
      </c>
      <c r="U364" s="26">
        <v>407</v>
      </c>
      <c r="V364" s="26">
        <v>90.49</v>
      </c>
      <c r="W364" s="26">
        <f t="shared" si="63"/>
        <v>0</v>
      </c>
      <c r="X364" s="26">
        <f t="shared" si="61"/>
        <v>0</v>
      </c>
      <c r="Y364" s="26">
        <f t="shared" si="64"/>
        <v>0</v>
      </c>
      <c r="Z364" s="26">
        <f t="shared" si="68"/>
        <v>0</v>
      </c>
      <c r="AA364" s="33" t="s">
        <v>15</v>
      </c>
      <c r="AB364" s="36" t="s">
        <v>16</v>
      </c>
      <c r="AC364" s="181">
        <f t="shared" si="65"/>
        <v>407</v>
      </c>
      <c r="AD364" s="181">
        <f t="shared" si="60"/>
        <v>36829.43</v>
      </c>
      <c r="AE364" s="181">
        <v>1.8</v>
      </c>
      <c r="AF364" s="181">
        <v>1.8</v>
      </c>
      <c r="AG364" s="101" t="str">
        <f t="shared" si="66"/>
        <v/>
      </c>
      <c r="AH364" s="190">
        <v>0</v>
      </c>
      <c r="AI364" s="69">
        <f t="shared" si="67"/>
        <v>407</v>
      </c>
    </row>
    <row r="365" spans="1:35" s="69" customFormat="1" ht="58.5" x14ac:dyDescent="0.3">
      <c r="A365" s="55" t="s">
        <v>976</v>
      </c>
      <c r="B365" s="53" t="s">
        <v>977</v>
      </c>
      <c r="C365" s="54" t="s">
        <v>30</v>
      </c>
      <c r="D365" s="75">
        <v>55</v>
      </c>
      <c r="E365" s="75"/>
      <c r="F365" s="75"/>
      <c r="G365" s="75"/>
      <c r="H365" s="75" t="s">
        <v>15</v>
      </c>
      <c r="I365" s="75">
        <v>186.08</v>
      </c>
      <c r="J365" s="75">
        <v>10234.4</v>
      </c>
      <c r="K365" s="91" t="s">
        <v>978</v>
      </c>
      <c r="L365" s="73"/>
      <c r="M365" s="46">
        <v>0</v>
      </c>
      <c r="N365" s="46">
        <v>0</v>
      </c>
      <c r="O365" s="46">
        <v>0</v>
      </c>
      <c r="P365" s="98"/>
      <c r="Q365" s="23" t="s">
        <v>1410</v>
      </c>
      <c r="R365" s="24" t="s">
        <v>977</v>
      </c>
      <c r="S365" s="25" t="s">
        <v>30</v>
      </c>
      <c r="T365" s="26">
        <v>55</v>
      </c>
      <c r="U365" s="26">
        <v>55</v>
      </c>
      <c r="V365" s="26">
        <v>186.08</v>
      </c>
      <c r="W365" s="26">
        <f t="shared" si="63"/>
        <v>0</v>
      </c>
      <c r="X365" s="26">
        <f t="shared" si="61"/>
        <v>0</v>
      </c>
      <c r="Y365" s="26">
        <f t="shared" si="64"/>
        <v>0</v>
      </c>
      <c r="Z365" s="26">
        <f t="shared" si="68"/>
        <v>0</v>
      </c>
      <c r="AA365" s="33" t="s">
        <v>15</v>
      </c>
      <c r="AB365" s="36" t="s">
        <v>16</v>
      </c>
      <c r="AC365" s="181">
        <f t="shared" si="65"/>
        <v>55</v>
      </c>
      <c r="AD365" s="181">
        <f t="shared" si="60"/>
        <v>10234.4</v>
      </c>
      <c r="AE365" s="181">
        <v>1.8</v>
      </c>
      <c r="AF365" s="181">
        <v>1.8</v>
      </c>
      <c r="AG365" s="101" t="str">
        <f t="shared" si="66"/>
        <v/>
      </c>
      <c r="AH365" s="190">
        <v>0</v>
      </c>
      <c r="AI365" s="69">
        <f t="shared" si="67"/>
        <v>55</v>
      </c>
    </row>
    <row r="366" spans="1:35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 t="s">
        <v>15</v>
      </c>
      <c r="I366" s="75">
        <v>51046</v>
      </c>
      <c r="J366" s="75">
        <v>51046</v>
      </c>
      <c r="K366" s="91" t="s">
        <v>981</v>
      </c>
      <c r="L366" s="73"/>
      <c r="M366" s="46">
        <v>0</v>
      </c>
      <c r="N366" s="46">
        <v>0</v>
      </c>
      <c r="O366" s="46">
        <v>0</v>
      </c>
      <c r="P366" s="98"/>
      <c r="Q366" s="23" t="s">
        <v>1411</v>
      </c>
      <c r="R366" s="24" t="s">
        <v>980</v>
      </c>
      <c r="S366" s="25" t="s">
        <v>14</v>
      </c>
      <c r="T366" s="26">
        <v>1</v>
      </c>
      <c r="U366" s="26">
        <v>1</v>
      </c>
      <c r="V366" s="26">
        <v>51046</v>
      </c>
      <c r="W366" s="26">
        <f t="shared" si="63"/>
        <v>0</v>
      </c>
      <c r="X366" s="26">
        <f t="shared" si="61"/>
        <v>0</v>
      </c>
      <c r="Y366" s="26">
        <f t="shared" si="64"/>
        <v>0</v>
      </c>
      <c r="Z366" s="26">
        <f t="shared" si="68"/>
        <v>0</v>
      </c>
      <c r="AA366" s="33" t="s">
        <v>15</v>
      </c>
      <c r="AB366" s="36" t="s">
        <v>16</v>
      </c>
      <c r="AC366" s="181">
        <f t="shared" si="65"/>
        <v>1</v>
      </c>
      <c r="AD366" s="181">
        <f t="shared" ref="AD366:AD368" si="69">ROUND(V366*AC366,2)</f>
        <v>51046</v>
      </c>
      <c r="AE366" s="181">
        <v>1.8</v>
      </c>
      <c r="AF366" s="181">
        <v>1.8</v>
      </c>
      <c r="AG366" s="101" t="str">
        <f t="shared" si="66"/>
        <v/>
      </c>
      <c r="AH366" s="190">
        <v>0</v>
      </c>
      <c r="AI366" s="69">
        <f t="shared" si="67"/>
        <v>1</v>
      </c>
    </row>
    <row r="367" spans="1:35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 t="s">
        <v>15</v>
      </c>
      <c r="I367" s="75">
        <v>671.66</v>
      </c>
      <c r="J367" s="75">
        <v>88659.12</v>
      </c>
      <c r="K367" s="91" t="s">
        <v>984</v>
      </c>
      <c r="L367" s="73"/>
      <c r="M367" s="46">
        <v>0</v>
      </c>
      <c r="N367" s="46">
        <v>0</v>
      </c>
      <c r="O367" s="46">
        <v>0</v>
      </c>
      <c r="P367" s="98"/>
      <c r="Q367" s="23" t="s">
        <v>1445</v>
      </c>
      <c r="R367" s="24" t="s">
        <v>983</v>
      </c>
      <c r="S367" s="25" t="s">
        <v>30</v>
      </c>
      <c r="T367" s="26">
        <v>132</v>
      </c>
      <c r="U367" s="26">
        <v>132</v>
      </c>
      <c r="V367" s="26">
        <v>671.66</v>
      </c>
      <c r="W367" s="26">
        <f t="shared" si="63"/>
        <v>0</v>
      </c>
      <c r="X367" s="26">
        <f t="shared" si="61"/>
        <v>0</v>
      </c>
      <c r="Y367" s="26">
        <f t="shared" si="64"/>
        <v>0</v>
      </c>
      <c r="Z367" s="26">
        <f t="shared" si="68"/>
        <v>0</v>
      </c>
      <c r="AA367" s="33" t="s">
        <v>15</v>
      </c>
      <c r="AB367" s="36" t="s">
        <v>16</v>
      </c>
      <c r="AC367" s="181">
        <f t="shared" si="65"/>
        <v>132</v>
      </c>
      <c r="AD367" s="181">
        <f t="shared" si="69"/>
        <v>88659.12</v>
      </c>
      <c r="AE367" s="181">
        <v>1.8</v>
      </c>
      <c r="AF367" s="181">
        <v>1.8</v>
      </c>
      <c r="AG367" s="101" t="str">
        <f t="shared" si="66"/>
        <v/>
      </c>
      <c r="AH367" s="190">
        <v>0</v>
      </c>
      <c r="AI367" s="69">
        <f t="shared" si="67"/>
        <v>132</v>
      </c>
    </row>
    <row r="368" spans="1:35" s="69" customFormat="1" ht="39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 t="s">
        <v>15</v>
      </c>
      <c r="I368" s="75">
        <v>24347</v>
      </c>
      <c r="J368" s="75">
        <v>24347</v>
      </c>
      <c r="K368" s="91" t="s">
        <v>987</v>
      </c>
      <c r="L368" s="73"/>
      <c r="M368" s="46">
        <v>0</v>
      </c>
      <c r="N368" s="46">
        <v>0</v>
      </c>
      <c r="O368" s="46">
        <v>0</v>
      </c>
      <c r="P368" s="98"/>
      <c r="Q368" s="23" t="s">
        <v>1383</v>
      </c>
      <c r="R368" s="24" t="s">
        <v>986</v>
      </c>
      <c r="S368" s="25" t="s">
        <v>14</v>
      </c>
      <c r="T368" s="26">
        <v>1</v>
      </c>
      <c r="U368" s="26">
        <v>1</v>
      </c>
      <c r="V368" s="26">
        <v>24347</v>
      </c>
      <c r="W368" s="26">
        <f t="shared" si="63"/>
        <v>0</v>
      </c>
      <c r="X368" s="26">
        <f t="shared" si="61"/>
        <v>0</v>
      </c>
      <c r="Y368" s="26">
        <f t="shared" si="64"/>
        <v>0</v>
      </c>
      <c r="Z368" s="26">
        <f t="shared" si="68"/>
        <v>0</v>
      </c>
      <c r="AA368" s="33" t="s">
        <v>15</v>
      </c>
      <c r="AB368" s="36" t="s">
        <v>16</v>
      </c>
      <c r="AC368" s="181">
        <f t="shared" si="65"/>
        <v>1</v>
      </c>
      <c r="AD368" s="181">
        <f t="shared" si="69"/>
        <v>24347</v>
      </c>
      <c r="AE368" s="181">
        <v>1.8</v>
      </c>
      <c r="AF368" s="181">
        <v>1.8</v>
      </c>
      <c r="AG368" s="101" t="str">
        <f t="shared" si="66"/>
        <v/>
      </c>
      <c r="AH368" s="190">
        <v>0</v>
      </c>
      <c r="AI368" s="69">
        <f t="shared" si="67"/>
        <v>1</v>
      </c>
    </row>
    <row r="369" spans="1:35" s="69" customFormat="1" ht="39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 t="s">
        <v>15</v>
      </c>
      <c r="I369" s="82"/>
      <c r="J369" s="82">
        <v>9899611.0700000003</v>
      </c>
      <c r="K369" s="94" t="s">
        <v>15</v>
      </c>
      <c r="L369" s="73"/>
      <c r="M369" s="45">
        <v>1</v>
      </c>
      <c r="N369" s="45">
        <v>163877.11999999988</v>
      </c>
      <c r="O369" s="45">
        <v>6749095.7699999996</v>
      </c>
      <c r="P369" s="98"/>
      <c r="Q369" s="18" t="s">
        <v>1401</v>
      </c>
      <c r="R369" s="19" t="s">
        <v>989</v>
      </c>
      <c r="S369" s="20" t="s">
        <v>14</v>
      </c>
      <c r="T369" s="21">
        <v>1</v>
      </c>
      <c r="U369" s="21"/>
      <c r="V369" s="21">
        <f>SUMIFS(AD:AD,AE:AE,AE369)</f>
        <v>9899611.0700000003</v>
      </c>
      <c r="W369" s="21">
        <f t="shared" ref="W369:X369" si="70">IF(Y369=0,0,1)</f>
        <v>0</v>
      </c>
      <c r="X369" s="21">
        <f t="shared" si="70"/>
        <v>1</v>
      </c>
      <c r="Y369" s="21">
        <f>SUMIFS(Y:Y,AF:AF,AE369)</f>
        <v>0</v>
      </c>
      <c r="Z369" s="21">
        <f>SUMIFS(Z:Z,AF:AF,AE369)</f>
        <v>6749095.7699999996</v>
      </c>
      <c r="AA369" s="22" t="s">
        <v>15</v>
      </c>
      <c r="AB369" s="43" t="s">
        <v>16</v>
      </c>
      <c r="AC369" s="181">
        <f t="shared" si="65"/>
        <v>1</v>
      </c>
      <c r="AD369" s="184"/>
      <c r="AE369" s="184">
        <v>1.9</v>
      </c>
      <c r="AF369" s="184"/>
      <c r="AG369" s="101" t="str">
        <f t="shared" si="66"/>
        <v/>
      </c>
      <c r="AH369" s="190">
        <v>1</v>
      </c>
      <c r="AI369" s="69">
        <f t="shared" si="67"/>
        <v>1</v>
      </c>
    </row>
    <row r="370" spans="1:35" s="69" customFormat="1" ht="33" x14ac:dyDescent="0.3">
      <c r="A370" s="130" t="s">
        <v>990</v>
      </c>
      <c r="B370" s="240" t="s">
        <v>991</v>
      </c>
      <c r="C370" s="132" t="s">
        <v>30</v>
      </c>
      <c r="D370" s="133">
        <v>1088</v>
      </c>
      <c r="E370" s="75">
        <v>975</v>
      </c>
      <c r="F370" s="75"/>
      <c r="G370" s="75"/>
      <c r="H370" s="75">
        <v>2893</v>
      </c>
      <c r="I370" s="75">
        <v>247.2</v>
      </c>
      <c r="J370" s="75">
        <v>715149.6</v>
      </c>
      <c r="K370" s="91" t="s">
        <v>992</v>
      </c>
      <c r="L370" s="73"/>
      <c r="M370" s="46">
        <v>975</v>
      </c>
      <c r="N370" s="46">
        <v>0</v>
      </c>
      <c r="O370" s="46">
        <v>241020</v>
      </c>
      <c r="P370" s="98"/>
      <c r="Q370" s="23" t="s">
        <v>1421</v>
      </c>
      <c r="R370" s="24" t="s">
        <v>991</v>
      </c>
      <c r="S370" s="25" t="s">
        <v>30</v>
      </c>
      <c r="T370" s="26">
        <v>1088</v>
      </c>
      <c r="U370" s="26">
        <v>2893</v>
      </c>
      <c r="V370" s="26">
        <v>247.2</v>
      </c>
      <c r="W370" s="128">
        <f t="shared" ref="W370:W376" si="71">AH370-M370</f>
        <v>0</v>
      </c>
      <c r="X370" s="127">
        <f t="shared" si="61"/>
        <v>975</v>
      </c>
      <c r="Y370" s="127">
        <f t="shared" ref="Y370:Y376" si="72">Z370-O370</f>
        <v>0</v>
      </c>
      <c r="Z370" s="127">
        <f t="shared" ref="Z370:Z376" si="73">ROUND(V370*X370,2)</f>
        <v>241020</v>
      </c>
      <c r="AA370" s="27" t="s">
        <v>15</v>
      </c>
      <c r="AB370" s="36" t="s">
        <v>16</v>
      </c>
      <c r="AC370" s="181">
        <f t="shared" si="65"/>
        <v>2893</v>
      </c>
      <c r="AD370" s="181">
        <f t="shared" ref="AD370:AD376" si="74">ROUND(V370*AC370,2)</f>
        <v>715149.6</v>
      </c>
      <c r="AE370" s="181">
        <v>1.9</v>
      </c>
      <c r="AF370" s="181">
        <v>1.9</v>
      </c>
      <c r="AG370" s="101" t="str">
        <f t="shared" si="66"/>
        <v/>
      </c>
      <c r="AH370" s="191">
        <f>360+205+410</f>
        <v>975</v>
      </c>
      <c r="AI370" s="69">
        <f t="shared" si="67"/>
        <v>975</v>
      </c>
    </row>
    <row r="371" spans="1:35" s="69" customFormat="1" ht="33" x14ac:dyDescent="0.3">
      <c r="A371" s="130" t="s">
        <v>993</v>
      </c>
      <c r="B371" s="240" t="s">
        <v>994</v>
      </c>
      <c r="C371" s="132" t="s">
        <v>30</v>
      </c>
      <c r="D371" s="133">
        <v>1088</v>
      </c>
      <c r="E371" s="75">
        <v>975</v>
      </c>
      <c r="F371" s="75"/>
      <c r="G371" s="75"/>
      <c r="H371" s="75">
        <v>2893</v>
      </c>
      <c r="I371" s="75">
        <v>236.9</v>
      </c>
      <c r="J371" s="75">
        <v>685351.7</v>
      </c>
      <c r="K371" s="91" t="s">
        <v>995</v>
      </c>
      <c r="L371" s="73"/>
      <c r="M371" s="46">
        <v>975</v>
      </c>
      <c r="N371" s="46">
        <v>0</v>
      </c>
      <c r="O371" s="46">
        <v>230977.5</v>
      </c>
      <c r="P371" s="98"/>
      <c r="Q371" s="23" t="s">
        <v>1426</v>
      </c>
      <c r="R371" s="24" t="s">
        <v>994</v>
      </c>
      <c r="S371" s="25" t="s">
        <v>30</v>
      </c>
      <c r="T371" s="26">
        <v>1088</v>
      </c>
      <c r="U371" s="26">
        <v>2893</v>
      </c>
      <c r="V371" s="26">
        <v>236.9</v>
      </c>
      <c r="W371" s="128">
        <f t="shared" si="71"/>
        <v>0</v>
      </c>
      <c r="X371" s="127">
        <f t="shared" ref="X371:X376" si="75">W371+M371</f>
        <v>975</v>
      </c>
      <c r="Y371" s="127">
        <f>Z371-O371</f>
        <v>0</v>
      </c>
      <c r="Z371" s="127">
        <f t="shared" si="73"/>
        <v>230977.5</v>
      </c>
      <c r="AA371" s="27" t="s">
        <v>15</v>
      </c>
      <c r="AB371" s="36" t="s">
        <v>16</v>
      </c>
      <c r="AC371" s="181">
        <f t="shared" si="65"/>
        <v>2893</v>
      </c>
      <c r="AD371" s="181">
        <f t="shared" si="74"/>
        <v>685351.7</v>
      </c>
      <c r="AE371" s="181">
        <v>1.9</v>
      </c>
      <c r="AF371" s="181">
        <v>1.9</v>
      </c>
      <c r="AG371" s="101" t="str">
        <f t="shared" si="66"/>
        <v/>
      </c>
      <c r="AH371" s="191">
        <f>AH370</f>
        <v>975</v>
      </c>
      <c r="AI371" s="69">
        <f t="shared" si="67"/>
        <v>975</v>
      </c>
    </row>
    <row r="372" spans="1:35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9795.5</v>
      </c>
      <c r="I372" s="75">
        <v>252.35</v>
      </c>
      <c r="J372" s="75">
        <v>2471894.4300000002</v>
      </c>
      <c r="K372" s="91" t="s">
        <v>999</v>
      </c>
      <c r="L372" s="73"/>
      <c r="M372" s="46">
        <v>7744</v>
      </c>
      <c r="N372" s="46">
        <v>0</v>
      </c>
      <c r="O372" s="46">
        <v>1954198.4</v>
      </c>
      <c r="P372" s="98"/>
      <c r="Q372" s="23" t="s">
        <v>1402</v>
      </c>
      <c r="R372" s="24" t="s">
        <v>997</v>
      </c>
      <c r="S372" s="25" t="s">
        <v>998</v>
      </c>
      <c r="T372" s="26">
        <v>6984</v>
      </c>
      <c r="U372" s="26">
        <v>9795.5</v>
      </c>
      <c r="V372" s="26">
        <v>252.35</v>
      </c>
      <c r="W372" s="26">
        <f t="shared" si="71"/>
        <v>0</v>
      </c>
      <c r="X372" s="26">
        <f t="shared" si="75"/>
        <v>7744</v>
      </c>
      <c r="Y372" s="26">
        <f t="shared" si="72"/>
        <v>0</v>
      </c>
      <c r="Z372" s="26">
        <f t="shared" si="73"/>
        <v>1954198.4</v>
      </c>
      <c r="AA372" s="27" t="s">
        <v>15</v>
      </c>
      <c r="AB372" s="36" t="s">
        <v>16</v>
      </c>
      <c r="AC372" s="181">
        <f t="shared" si="65"/>
        <v>9795.5</v>
      </c>
      <c r="AD372" s="181">
        <f t="shared" si="74"/>
        <v>2471894.4300000002</v>
      </c>
      <c r="AE372" s="181">
        <v>1.9</v>
      </c>
      <c r="AF372" s="181">
        <v>1.9</v>
      </c>
      <c r="AG372" s="101" t="str">
        <f t="shared" si="66"/>
        <v/>
      </c>
      <c r="AH372" s="190">
        <v>7744</v>
      </c>
      <c r="AI372" s="69">
        <f t="shared" si="67"/>
        <v>8744</v>
      </c>
    </row>
    <row r="373" spans="1:35" s="69" customFormat="1" ht="49.5" x14ac:dyDescent="0.3">
      <c r="A373" s="55" t="s">
        <v>1000</v>
      </c>
      <c r="B373" s="138" t="s">
        <v>1001</v>
      </c>
      <c r="C373" s="54" t="s">
        <v>14</v>
      </c>
      <c r="D373" s="75">
        <v>1</v>
      </c>
      <c r="E373" s="75"/>
      <c r="F373" s="75"/>
      <c r="G373" s="75"/>
      <c r="H373" s="75" t="s">
        <v>15</v>
      </c>
      <c r="I373" s="75">
        <v>350000</v>
      </c>
      <c r="J373" s="75">
        <v>350000</v>
      </c>
      <c r="K373" s="91" t="s">
        <v>1002</v>
      </c>
      <c r="L373" s="73"/>
      <c r="M373" s="46">
        <v>1</v>
      </c>
      <c r="N373" s="46">
        <v>0</v>
      </c>
      <c r="O373" s="46">
        <v>157500</v>
      </c>
      <c r="P373" s="98"/>
      <c r="Q373" s="23" t="s">
        <v>1373</v>
      </c>
      <c r="R373" s="24" t="s">
        <v>1001</v>
      </c>
      <c r="S373" s="25" t="s">
        <v>14</v>
      </c>
      <c r="T373" s="26">
        <v>1</v>
      </c>
      <c r="U373" s="26">
        <v>1</v>
      </c>
      <c r="V373" s="26">
        <v>350000</v>
      </c>
      <c r="W373" s="26">
        <f>IF(Y373=0,0,1)</f>
        <v>0</v>
      </c>
      <c r="X373" s="26">
        <f>IF(Z373=0,0,1)</f>
        <v>1</v>
      </c>
      <c r="Y373" s="26">
        <f t="shared" si="72"/>
        <v>0</v>
      </c>
      <c r="Z373" s="26">
        <v>157500</v>
      </c>
      <c r="AA373" s="123">
        <f>Z373/J373</f>
        <v>0.45</v>
      </c>
      <c r="AB373" s="36" t="s">
        <v>16</v>
      </c>
      <c r="AC373" s="181">
        <f t="shared" si="65"/>
        <v>1</v>
      </c>
      <c r="AD373" s="181">
        <f t="shared" si="74"/>
        <v>350000</v>
      </c>
      <c r="AE373" s="181">
        <v>1.9</v>
      </c>
      <c r="AF373" s="181">
        <v>1.9</v>
      </c>
      <c r="AG373" s="101" t="str">
        <f t="shared" si="66"/>
        <v/>
      </c>
      <c r="AH373" s="190">
        <v>1</v>
      </c>
      <c r="AI373" s="69">
        <f t="shared" si="67"/>
        <v>1</v>
      </c>
    </row>
    <row r="374" spans="1:35" s="69" customFormat="1" ht="33" x14ac:dyDescent="0.3">
      <c r="A374" s="55" t="s">
        <v>1003</v>
      </c>
      <c r="B374" s="138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3149</v>
      </c>
      <c r="I374" s="75">
        <v>931.12</v>
      </c>
      <c r="J374" s="75">
        <v>2932096.88</v>
      </c>
      <c r="K374" s="91" t="s">
        <v>1005</v>
      </c>
      <c r="L374" s="73"/>
      <c r="M374" s="46">
        <v>2060</v>
      </c>
      <c r="N374" s="46">
        <v>163877.11999999988</v>
      </c>
      <c r="O374" s="46">
        <v>1918107.2</v>
      </c>
      <c r="P374" s="98"/>
      <c r="Q374" s="23" t="s">
        <v>1393</v>
      </c>
      <c r="R374" s="24" t="s">
        <v>1004</v>
      </c>
      <c r="S374" s="25" t="s">
        <v>97</v>
      </c>
      <c r="T374" s="26">
        <v>1</v>
      </c>
      <c r="U374" s="26">
        <v>3149</v>
      </c>
      <c r="V374" s="26">
        <v>931.12</v>
      </c>
      <c r="W374" s="128">
        <f t="shared" si="71"/>
        <v>0</v>
      </c>
      <c r="X374" s="26">
        <f t="shared" si="75"/>
        <v>2060</v>
      </c>
      <c r="Y374" s="26">
        <f t="shared" si="72"/>
        <v>0</v>
      </c>
      <c r="Z374" s="26">
        <f t="shared" si="73"/>
        <v>1918107.2</v>
      </c>
      <c r="AA374" s="27" t="s">
        <v>15</v>
      </c>
      <c r="AB374" s="36" t="s">
        <v>16</v>
      </c>
      <c r="AC374" s="181">
        <f t="shared" si="65"/>
        <v>3149</v>
      </c>
      <c r="AD374" s="181">
        <f t="shared" si="74"/>
        <v>2932096.88</v>
      </c>
      <c r="AE374" s="181">
        <v>1.9</v>
      </c>
      <c r="AF374" s="181">
        <v>1.9</v>
      </c>
      <c r="AG374" s="101" t="str">
        <f t="shared" si="66"/>
        <v/>
      </c>
      <c r="AH374" s="191">
        <f>1500+8*3*7+8*5+8*15+8*7+15*8+7*8</f>
        <v>2060</v>
      </c>
      <c r="AI374" s="69">
        <f t="shared" si="67"/>
        <v>2480</v>
      </c>
    </row>
    <row r="375" spans="1:35" s="69" customFormat="1" ht="33" x14ac:dyDescent="0.3">
      <c r="A375" s="130" t="s">
        <v>1006</v>
      </c>
      <c r="B375" s="131" t="s">
        <v>678</v>
      </c>
      <c r="C375" s="132" t="s">
        <v>23</v>
      </c>
      <c r="D375" s="133">
        <v>1</v>
      </c>
      <c r="E375" s="203">
        <v>91</v>
      </c>
      <c r="F375" s="203">
        <v>291</v>
      </c>
      <c r="G375" s="203"/>
      <c r="H375" s="203">
        <v>438</v>
      </c>
      <c r="I375" s="75">
        <v>3386.57</v>
      </c>
      <c r="J375" s="75">
        <v>1483317.66</v>
      </c>
      <c r="K375" s="91" t="s">
        <v>679</v>
      </c>
      <c r="L375" s="73"/>
      <c r="M375" s="46">
        <v>291</v>
      </c>
      <c r="N375" s="46">
        <v>0</v>
      </c>
      <c r="O375" s="46">
        <v>985491.87</v>
      </c>
      <c r="P375" s="98"/>
      <c r="Q375" s="23" t="s">
        <v>1403</v>
      </c>
      <c r="R375" s="24" t="s">
        <v>678</v>
      </c>
      <c r="S375" s="25" t="s">
        <v>23</v>
      </c>
      <c r="T375" s="26">
        <v>1</v>
      </c>
      <c r="U375" s="26">
        <v>438</v>
      </c>
      <c r="V375" s="26">
        <v>3386.57</v>
      </c>
      <c r="W375" s="128">
        <f t="shared" si="71"/>
        <v>0</v>
      </c>
      <c r="X375" s="127">
        <f t="shared" si="75"/>
        <v>291</v>
      </c>
      <c r="Y375" s="127">
        <f t="shared" si="72"/>
        <v>0</v>
      </c>
      <c r="Z375" s="127">
        <f t="shared" si="73"/>
        <v>985491.87</v>
      </c>
      <c r="AA375" s="27" t="s">
        <v>15</v>
      </c>
      <c r="AB375" s="36" t="s">
        <v>16</v>
      </c>
      <c r="AC375" s="181">
        <f t="shared" si="65"/>
        <v>438</v>
      </c>
      <c r="AD375" s="181">
        <f t="shared" si="74"/>
        <v>1483317.66</v>
      </c>
      <c r="AE375" s="181">
        <v>1.9</v>
      </c>
      <c r="AF375" s="181">
        <v>1.9</v>
      </c>
      <c r="AG375" s="101" t="str">
        <f t="shared" si="66"/>
        <v/>
      </c>
      <c r="AH375" s="190">
        <v>291</v>
      </c>
      <c r="AI375" s="69">
        <f t="shared" si="67"/>
        <v>291</v>
      </c>
    </row>
    <row r="376" spans="1:35" s="69" customFormat="1" ht="49.5" x14ac:dyDescent="0.3">
      <c r="A376" s="134" t="s">
        <v>1340</v>
      </c>
      <c r="B376" s="139" t="s">
        <v>3137</v>
      </c>
      <c r="C376" s="204" t="s">
        <v>30</v>
      </c>
      <c r="D376" s="133"/>
      <c r="E376" s="59">
        <v>130</v>
      </c>
      <c r="F376" s="77"/>
      <c r="G376" s="77"/>
      <c r="H376" s="77" t="s">
        <v>15</v>
      </c>
      <c r="I376" s="77">
        <v>9706.16</v>
      </c>
      <c r="J376" s="59">
        <v>1261800.8</v>
      </c>
      <c r="K376" s="92"/>
      <c r="L376" s="73"/>
      <c r="M376" s="46">
        <v>130</v>
      </c>
      <c r="N376" s="46">
        <v>0</v>
      </c>
      <c r="O376" s="46">
        <v>1261800.8</v>
      </c>
      <c r="P376" s="98"/>
      <c r="Q376" s="23" t="s">
        <v>1427</v>
      </c>
      <c r="R376" s="24" t="s">
        <v>1500</v>
      </c>
      <c r="S376" s="25" t="s">
        <v>30</v>
      </c>
      <c r="T376" s="26">
        <v>0</v>
      </c>
      <c r="U376" s="26">
        <v>130</v>
      </c>
      <c r="V376" s="26">
        <v>9706.16</v>
      </c>
      <c r="W376" s="127">
        <f t="shared" si="71"/>
        <v>0</v>
      </c>
      <c r="X376" s="127">
        <f t="shared" si="75"/>
        <v>130</v>
      </c>
      <c r="Y376" s="127">
        <f t="shared" si="72"/>
        <v>0</v>
      </c>
      <c r="Z376" s="127">
        <f t="shared" si="73"/>
        <v>1261800.8</v>
      </c>
      <c r="AA376" s="27"/>
      <c r="AB376" s="36" t="s">
        <v>16</v>
      </c>
      <c r="AC376" s="181">
        <f t="shared" si="65"/>
        <v>130</v>
      </c>
      <c r="AD376" s="181">
        <f t="shared" si="74"/>
        <v>1261800.8</v>
      </c>
      <c r="AE376" s="181">
        <v>1.9</v>
      </c>
      <c r="AF376" s="181">
        <v>1.9</v>
      </c>
      <c r="AG376" s="101" t="str">
        <f t="shared" si="66"/>
        <v/>
      </c>
      <c r="AH376" s="191">
        <f>74+56</f>
        <v>130</v>
      </c>
      <c r="AI376" s="69">
        <f t="shared" si="67"/>
        <v>130</v>
      </c>
    </row>
    <row r="377" spans="1:35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 t="s">
        <v>15</v>
      </c>
      <c r="I377" s="88"/>
      <c r="J377" s="88">
        <v>27540238.109999999</v>
      </c>
      <c r="K377" s="95" t="s">
        <v>15</v>
      </c>
      <c r="L377" s="73"/>
      <c r="M377" s="42">
        <v>1</v>
      </c>
      <c r="N377" s="42">
        <v>447759.6799999997</v>
      </c>
      <c r="O377" s="42">
        <v>22964957.300000004</v>
      </c>
      <c r="P377" s="98"/>
      <c r="Q377" s="13" t="s">
        <v>1404</v>
      </c>
      <c r="R377" s="14" t="s">
        <v>1008</v>
      </c>
      <c r="S377" s="15" t="s">
        <v>14</v>
      </c>
      <c r="T377" s="16">
        <v>1</v>
      </c>
      <c r="U377" s="16"/>
      <c r="V377" s="16">
        <f>SUMIFS(AD:AD,AE:AE,AE377)</f>
        <v>27540238.110000003</v>
      </c>
      <c r="W377" s="16">
        <f t="shared" ref="W377:X377" si="76">IF(Y377=0,0,1)</f>
        <v>1</v>
      </c>
      <c r="X377" s="16">
        <f t="shared" si="76"/>
        <v>1</v>
      </c>
      <c r="Y377" s="16">
        <f>SUMIFS(Y:Y,AF:AF,AE377)</f>
        <v>254958</v>
      </c>
      <c r="Z377" s="16">
        <f>SUMIFS(Z:Z,AF:AF,AE377)</f>
        <v>23219915.300000004</v>
      </c>
      <c r="AA377" s="17" t="s">
        <v>15</v>
      </c>
      <c r="AB377" s="40" t="s">
        <v>16</v>
      </c>
      <c r="AC377" s="181">
        <f t="shared" si="65"/>
        <v>1</v>
      </c>
      <c r="AD377" s="183"/>
      <c r="AE377" s="183">
        <v>2</v>
      </c>
      <c r="AF377" s="183"/>
      <c r="AG377" s="101" t="str">
        <f t="shared" si="66"/>
        <v/>
      </c>
      <c r="AH377" s="190">
        <v>1</v>
      </c>
      <c r="AI377" s="69">
        <f t="shared" si="67"/>
        <v>1</v>
      </c>
    </row>
    <row r="378" spans="1:35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 t="s">
        <v>15</v>
      </c>
      <c r="I378" s="75">
        <v>711302</v>
      </c>
      <c r="J378" s="75">
        <v>711302</v>
      </c>
      <c r="K378" s="91" t="s">
        <v>1011</v>
      </c>
      <c r="L378" s="73"/>
      <c r="M378" s="46">
        <v>0</v>
      </c>
      <c r="N378" s="46">
        <v>0</v>
      </c>
      <c r="O378" s="46">
        <v>0</v>
      </c>
      <c r="P378" s="98"/>
      <c r="Q378" s="23" t="s">
        <v>1421</v>
      </c>
      <c r="R378" s="24" t="s">
        <v>1010</v>
      </c>
      <c r="S378" s="25" t="s">
        <v>14</v>
      </c>
      <c r="T378" s="26">
        <v>1</v>
      </c>
      <c r="U378" s="26">
        <v>1</v>
      </c>
      <c r="V378" s="26">
        <v>711302</v>
      </c>
      <c r="W378" s="26">
        <f t="shared" ref="W378:W405" si="77">AH378-M378</f>
        <v>0</v>
      </c>
      <c r="X378" s="26">
        <f t="shared" ref="X378:X458" si="78">W378+M378</f>
        <v>0</v>
      </c>
      <c r="Y378" s="26">
        <f t="shared" ref="Y378:Y405" si="79">Z378-O378</f>
        <v>0</v>
      </c>
      <c r="Z378" s="26">
        <f t="shared" ref="Z378:Z405" si="80">ROUND(V378*X378,2)</f>
        <v>0</v>
      </c>
      <c r="AA378" s="33" t="s">
        <v>15</v>
      </c>
      <c r="AB378" s="36" t="s">
        <v>16</v>
      </c>
      <c r="AC378" s="181">
        <f t="shared" si="65"/>
        <v>1</v>
      </c>
      <c r="AD378" s="181">
        <f t="shared" ref="AD378:AD406" si="81">ROUND(V378*AC378,2)</f>
        <v>711302</v>
      </c>
      <c r="AE378" s="181">
        <v>2</v>
      </c>
      <c r="AF378" s="181">
        <v>2</v>
      </c>
      <c r="AG378" s="101" t="str">
        <f t="shared" si="66"/>
        <v/>
      </c>
      <c r="AH378" s="190">
        <v>0</v>
      </c>
      <c r="AI378" s="69">
        <f t="shared" si="67"/>
        <v>1</v>
      </c>
    </row>
    <row r="379" spans="1:35" s="69" customFormat="1" ht="33" customHeight="1" x14ac:dyDescent="0.3">
      <c r="A379" s="55" t="s">
        <v>1012</v>
      </c>
      <c r="B379" s="53" t="s">
        <v>1013</v>
      </c>
      <c r="C379" s="54" t="s">
        <v>1014</v>
      </c>
      <c r="D379" s="75">
        <v>7</v>
      </c>
      <c r="E379" s="75"/>
      <c r="F379" s="75"/>
      <c r="G379" s="75"/>
      <c r="H379" s="76" t="s">
        <v>15</v>
      </c>
      <c r="I379" s="75">
        <v>50000</v>
      </c>
      <c r="J379" s="75">
        <v>350000</v>
      </c>
      <c r="K379" s="91" t="s">
        <v>1015</v>
      </c>
      <c r="L379" s="73"/>
      <c r="M379" s="46">
        <v>0</v>
      </c>
      <c r="N379" s="46">
        <v>0</v>
      </c>
      <c r="O379" s="46">
        <v>0</v>
      </c>
      <c r="P379" s="98"/>
      <c r="Q379" s="23" t="s">
        <v>1426</v>
      </c>
      <c r="R379" s="24" t="s">
        <v>1013</v>
      </c>
      <c r="S379" s="25" t="s">
        <v>1014</v>
      </c>
      <c r="T379" s="26">
        <v>7</v>
      </c>
      <c r="U379" s="26">
        <v>7</v>
      </c>
      <c r="V379" s="26">
        <v>50000</v>
      </c>
      <c r="W379" s="26">
        <f t="shared" si="77"/>
        <v>0</v>
      </c>
      <c r="X379" s="26">
        <f t="shared" si="78"/>
        <v>0</v>
      </c>
      <c r="Y379" s="26">
        <f t="shared" si="79"/>
        <v>0</v>
      </c>
      <c r="Z379" s="26">
        <f t="shared" si="80"/>
        <v>0</v>
      </c>
      <c r="AA379" s="33" t="s">
        <v>15</v>
      </c>
      <c r="AB379" s="36" t="s">
        <v>16</v>
      </c>
      <c r="AC379" s="181">
        <f t="shared" si="65"/>
        <v>7</v>
      </c>
      <c r="AD379" s="181">
        <f t="shared" si="81"/>
        <v>350000</v>
      </c>
      <c r="AE379" s="181">
        <v>2</v>
      </c>
      <c r="AF379" s="181">
        <v>2</v>
      </c>
      <c r="AG379" s="101" t="str">
        <f t="shared" si="66"/>
        <v/>
      </c>
      <c r="AH379" s="190">
        <v>0</v>
      </c>
      <c r="AI379" s="69">
        <f t="shared" si="67"/>
        <v>7</v>
      </c>
    </row>
    <row r="380" spans="1:35" s="69" customFormat="1" ht="33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75"/>
      <c r="F380" s="75">
        <v>400</v>
      </c>
      <c r="G380" s="224"/>
      <c r="H380" s="158" t="s">
        <v>15</v>
      </c>
      <c r="I380" s="166">
        <v>22500</v>
      </c>
      <c r="J380" s="75">
        <v>9000000</v>
      </c>
      <c r="K380" s="91" t="s">
        <v>1018</v>
      </c>
      <c r="L380" s="73"/>
      <c r="M380" s="46">
        <v>400</v>
      </c>
      <c r="N380" s="46">
        <v>0</v>
      </c>
      <c r="O380" s="46">
        <v>9000000</v>
      </c>
      <c r="P380" s="98"/>
      <c r="Q380" s="23" t="s">
        <v>1402</v>
      </c>
      <c r="R380" s="24" t="s">
        <v>1017</v>
      </c>
      <c r="S380" s="25" t="s">
        <v>50</v>
      </c>
      <c r="T380" s="26">
        <v>360</v>
      </c>
      <c r="U380" s="26">
        <v>400</v>
      </c>
      <c r="V380" s="26">
        <v>22500</v>
      </c>
      <c r="W380" s="127">
        <f t="shared" si="77"/>
        <v>0</v>
      </c>
      <c r="X380" s="127">
        <f t="shared" si="78"/>
        <v>400</v>
      </c>
      <c r="Y380" s="127">
        <f t="shared" si="79"/>
        <v>0</v>
      </c>
      <c r="Z380" s="127">
        <f t="shared" si="80"/>
        <v>9000000</v>
      </c>
      <c r="AA380" s="27" t="s">
        <v>15</v>
      </c>
      <c r="AB380" s="36" t="s">
        <v>16</v>
      </c>
      <c r="AC380" s="181">
        <f t="shared" si="65"/>
        <v>400</v>
      </c>
      <c r="AD380" s="181">
        <f t="shared" si="81"/>
        <v>9000000</v>
      </c>
      <c r="AE380" s="181">
        <v>2</v>
      </c>
      <c r="AF380" s="181">
        <v>2</v>
      </c>
      <c r="AG380" s="101" t="str">
        <f t="shared" si="66"/>
        <v/>
      </c>
      <c r="AH380" s="190">
        <v>400</v>
      </c>
      <c r="AI380" s="69">
        <f t="shared" si="67"/>
        <v>400</v>
      </c>
    </row>
    <row r="381" spans="1:35" s="69" customFormat="1" ht="49.5" x14ac:dyDescent="0.3">
      <c r="A381" s="55" t="s">
        <v>1019</v>
      </c>
      <c r="B381" s="138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235"/>
      <c r="H381" s="158" t="s">
        <v>15</v>
      </c>
      <c r="I381" s="166">
        <v>806</v>
      </c>
      <c r="J381" s="75">
        <v>2941900</v>
      </c>
      <c r="K381" s="91" t="s">
        <v>1022</v>
      </c>
      <c r="L381" s="73"/>
      <c r="M381" s="46">
        <v>1884</v>
      </c>
      <c r="N381" s="46">
        <v>99944</v>
      </c>
      <c r="O381" s="46">
        <v>1518504</v>
      </c>
      <c r="P381" s="98"/>
      <c r="Q381" s="23" t="s">
        <v>1373</v>
      </c>
      <c r="R381" s="24" t="s">
        <v>1020</v>
      </c>
      <c r="S381" s="25" t="s">
        <v>1021</v>
      </c>
      <c r="T381" s="26">
        <v>730</v>
      </c>
      <c r="U381" s="26">
        <v>3650</v>
      </c>
      <c r="V381" s="26">
        <v>806</v>
      </c>
      <c r="W381" s="102">
        <f t="shared" si="77"/>
        <v>93</v>
      </c>
      <c r="X381" s="26">
        <f t="shared" si="78"/>
        <v>1977</v>
      </c>
      <c r="Y381" s="26">
        <f t="shared" si="79"/>
        <v>74958</v>
      </c>
      <c r="Z381" s="26">
        <f t="shared" si="80"/>
        <v>1593462</v>
      </c>
      <c r="AA381" s="27" t="s">
        <v>15</v>
      </c>
      <c r="AB381" s="36" t="s">
        <v>16</v>
      </c>
      <c r="AC381" s="181">
        <f t="shared" si="65"/>
        <v>3650</v>
      </c>
      <c r="AD381" s="181">
        <f t="shared" si="81"/>
        <v>2941900</v>
      </c>
      <c r="AE381" s="181">
        <v>2</v>
      </c>
      <c r="AF381" s="181">
        <v>2</v>
      </c>
      <c r="AG381" s="101" t="str">
        <f t="shared" si="66"/>
        <v/>
      </c>
      <c r="AH381" s="191">
        <f>1156+124+120+124+124+112+124+93</f>
        <v>1977</v>
      </c>
      <c r="AI381" s="69">
        <f t="shared" si="67"/>
        <v>3650</v>
      </c>
    </row>
    <row r="382" spans="1:35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75">
        <v>4</v>
      </c>
      <c r="F382" s="161">
        <v>5</v>
      </c>
      <c r="G382" s="235"/>
      <c r="H382" s="158" t="s">
        <v>15</v>
      </c>
      <c r="I382" s="166">
        <v>50000</v>
      </c>
      <c r="J382" s="75">
        <v>250000</v>
      </c>
      <c r="K382" s="91" t="s">
        <v>1025</v>
      </c>
      <c r="L382" s="73"/>
      <c r="M382" s="46">
        <v>5</v>
      </c>
      <c r="N382" s="46">
        <v>0</v>
      </c>
      <c r="O382" s="46">
        <v>250000</v>
      </c>
      <c r="P382" s="98"/>
      <c r="Q382" s="23" t="s">
        <v>1393</v>
      </c>
      <c r="R382" s="24" t="s">
        <v>1024</v>
      </c>
      <c r="S382" s="25" t="s">
        <v>1014</v>
      </c>
      <c r="T382" s="26">
        <v>2</v>
      </c>
      <c r="U382" s="26">
        <v>5</v>
      </c>
      <c r="V382" s="26">
        <v>50000</v>
      </c>
      <c r="W382" s="127">
        <f t="shared" si="77"/>
        <v>0</v>
      </c>
      <c r="X382" s="127">
        <f t="shared" si="78"/>
        <v>5</v>
      </c>
      <c r="Y382" s="127">
        <f t="shared" si="79"/>
        <v>0</v>
      </c>
      <c r="Z382" s="127">
        <f t="shared" si="80"/>
        <v>250000</v>
      </c>
      <c r="AA382" s="27" t="s">
        <v>15</v>
      </c>
      <c r="AB382" s="36" t="s">
        <v>16</v>
      </c>
      <c r="AC382" s="181">
        <f t="shared" si="65"/>
        <v>5</v>
      </c>
      <c r="AD382" s="181">
        <f t="shared" si="81"/>
        <v>250000</v>
      </c>
      <c r="AE382" s="181">
        <v>2</v>
      </c>
      <c r="AF382" s="181">
        <v>2</v>
      </c>
      <c r="AG382" s="101" t="str">
        <f t="shared" si="66"/>
        <v/>
      </c>
      <c r="AH382" s="190">
        <v>5</v>
      </c>
      <c r="AI382" s="69">
        <f t="shared" si="67"/>
        <v>5</v>
      </c>
    </row>
    <row r="383" spans="1:35" s="69" customFormat="1" ht="36.75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235"/>
      <c r="H383" s="158" t="s">
        <v>15</v>
      </c>
      <c r="I383" s="166">
        <v>180000</v>
      </c>
      <c r="J383" s="75">
        <v>4320000</v>
      </c>
      <c r="K383" s="91" t="s">
        <v>1029</v>
      </c>
      <c r="L383" s="73"/>
      <c r="M383" s="46">
        <v>15</v>
      </c>
      <c r="N383" s="46">
        <v>0</v>
      </c>
      <c r="O383" s="46">
        <v>2700000</v>
      </c>
      <c r="P383" s="98"/>
      <c r="Q383" s="23" t="s">
        <v>1403</v>
      </c>
      <c r="R383" s="24" t="s">
        <v>1027</v>
      </c>
      <c r="S383" s="25" t="s">
        <v>1028</v>
      </c>
      <c r="T383" s="26">
        <v>24</v>
      </c>
      <c r="U383" s="26">
        <v>24</v>
      </c>
      <c r="V383" s="26">
        <v>180000</v>
      </c>
      <c r="W383" s="102">
        <f t="shared" si="77"/>
        <v>1</v>
      </c>
      <c r="X383" s="26">
        <f t="shared" si="78"/>
        <v>16</v>
      </c>
      <c r="Y383" s="26">
        <f t="shared" si="79"/>
        <v>180000</v>
      </c>
      <c r="Z383" s="26">
        <f t="shared" si="80"/>
        <v>2880000</v>
      </c>
      <c r="AA383" s="33" t="s">
        <v>15</v>
      </c>
      <c r="AB383" s="36" t="s">
        <v>16</v>
      </c>
      <c r="AC383" s="181">
        <f t="shared" si="65"/>
        <v>24</v>
      </c>
      <c r="AD383" s="181">
        <f t="shared" si="81"/>
        <v>4320000</v>
      </c>
      <c r="AE383" s="181">
        <v>2</v>
      </c>
      <c r="AF383" s="181">
        <v>2</v>
      </c>
      <c r="AG383" s="101" t="str">
        <f t="shared" si="66"/>
        <v/>
      </c>
      <c r="AH383" s="191">
        <f>8+1+1+2+1+1+1+1</f>
        <v>16</v>
      </c>
      <c r="AI383" s="69">
        <f t="shared" si="67"/>
        <v>24</v>
      </c>
    </row>
    <row r="384" spans="1:35" s="69" customFormat="1" ht="34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235"/>
      <c r="H384" s="158" t="s">
        <v>15</v>
      </c>
      <c r="I384" s="166">
        <v>205982.81</v>
      </c>
      <c r="J384" s="75">
        <v>205982.81</v>
      </c>
      <c r="K384" s="91" t="s">
        <v>1032</v>
      </c>
      <c r="L384" s="73"/>
      <c r="M384" s="46">
        <v>0</v>
      </c>
      <c r="N384" s="46">
        <v>0</v>
      </c>
      <c r="O384" s="46">
        <v>0</v>
      </c>
      <c r="P384" s="98"/>
      <c r="Q384" s="23" t="s">
        <v>1427</v>
      </c>
      <c r="R384" s="24" t="s">
        <v>1031</v>
      </c>
      <c r="S384" s="25" t="s">
        <v>14</v>
      </c>
      <c r="T384" s="26">
        <v>1</v>
      </c>
      <c r="U384" s="26">
        <v>1</v>
      </c>
      <c r="V384" s="26">
        <v>205982.81</v>
      </c>
      <c r="W384" s="26">
        <f t="shared" si="77"/>
        <v>0</v>
      </c>
      <c r="X384" s="26">
        <f t="shared" si="78"/>
        <v>0</v>
      </c>
      <c r="Y384" s="26">
        <f t="shared" si="79"/>
        <v>0</v>
      </c>
      <c r="Z384" s="26">
        <f t="shared" si="80"/>
        <v>0</v>
      </c>
      <c r="AA384" s="33" t="s">
        <v>15</v>
      </c>
      <c r="AB384" s="36" t="s">
        <v>16</v>
      </c>
      <c r="AC384" s="181">
        <f t="shared" si="65"/>
        <v>1</v>
      </c>
      <c r="AD384" s="181">
        <f t="shared" si="81"/>
        <v>205982.81</v>
      </c>
      <c r="AE384" s="181">
        <v>2</v>
      </c>
      <c r="AF384" s="181">
        <v>2</v>
      </c>
      <c r="AG384" s="101" t="str">
        <f t="shared" si="66"/>
        <v/>
      </c>
      <c r="AH384" s="190">
        <v>0</v>
      </c>
      <c r="AI384" s="69">
        <f t="shared" si="67"/>
        <v>1</v>
      </c>
    </row>
    <row r="385" spans="1:35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75"/>
      <c r="F385" s="161"/>
      <c r="G385" s="235"/>
      <c r="H385" s="158" t="s">
        <v>15</v>
      </c>
      <c r="I385" s="166">
        <v>2425000</v>
      </c>
      <c r="J385" s="75">
        <v>2425000</v>
      </c>
      <c r="K385" s="91" t="s">
        <v>1035</v>
      </c>
      <c r="L385" s="73"/>
      <c r="M385" s="46">
        <v>1</v>
      </c>
      <c r="N385" s="46">
        <v>0</v>
      </c>
      <c r="O385" s="46">
        <v>2425000</v>
      </c>
      <c r="P385" s="98"/>
      <c r="Q385" s="23" t="s">
        <v>1428</v>
      </c>
      <c r="R385" s="24" t="s">
        <v>1034</v>
      </c>
      <c r="S385" s="25" t="s">
        <v>14</v>
      </c>
      <c r="T385" s="26">
        <v>1</v>
      </c>
      <c r="U385" s="26">
        <v>1</v>
      </c>
      <c r="V385" s="26">
        <v>2425000</v>
      </c>
      <c r="W385" s="127">
        <f t="shared" si="77"/>
        <v>0</v>
      </c>
      <c r="X385" s="127">
        <f t="shared" si="78"/>
        <v>1</v>
      </c>
      <c r="Y385" s="127">
        <f t="shared" si="79"/>
        <v>0</v>
      </c>
      <c r="Z385" s="127">
        <f t="shared" si="80"/>
        <v>2425000</v>
      </c>
      <c r="AA385" s="33" t="s">
        <v>1499</v>
      </c>
      <c r="AB385" s="36" t="s">
        <v>16</v>
      </c>
      <c r="AC385" s="181">
        <f t="shared" si="65"/>
        <v>1</v>
      </c>
      <c r="AD385" s="181">
        <f t="shared" si="81"/>
        <v>2425000</v>
      </c>
      <c r="AE385" s="181">
        <v>2</v>
      </c>
      <c r="AF385" s="181">
        <v>2</v>
      </c>
      <c r="AG385" s="101" t="str">
        <f t="shared" si="66"/>
        <v/>
      </c>
      <c r="AH385" s="190">
        <v>1</v>
      </c>
      <c r="AI385" s="69">
        <f t="shared" si="67"/>
        <v>1</v>
      </c>
    </row>
    <row r="386" spans="1:35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235"/>
      <c r="H386" s="158" t="s">
        <v>15</v>
      </c>
      <c r="I386" s="166">
        <v>350000</v>
      </c>
      <c r="J386" s="75">
        <v>350000</v>
      </c>
      <c r="K386" s="91" t="s">
        <v>1038</v>
      </c>
      <c r="L386" s="73"/>
      <c r="M386" s="46">
        <v>0.5</v>
      </c>
      <c r="N386" s="46">
        <v>0</v>
      </c>
      <c r="O386" s="46">
        <v>175000</v>
      </c>
      <c r="P386" s="98"/>
      <c r="Q386" s="23" t="s">
        <v>1387</v>
      </c>
      <c r="R386" s="24" t="s">
        <v>1037</v>
      </c>
      <c r="S386" s="25" t="s">
        <v>14</v>
      </c>
      <c r="T386" s="26">
        <v>1</v>
      </c>
      <c r="U386" s="26">
        <v>1</v>
      </c>
      <c r="V386" s="26">
        <v>350000</v>
      </c>
      <c r="W386" s="128">
        <f t="shared" si="77"/>
        <v>0</v>
      </c>
      <c r="X386" s="26">
        <f t="shared" si="78"/>
        <v>0.5</v>
      </c>
      <c r="Y386" s="26">
        <f t="shared" si="79"/>
        <v>0</v>
      </c>
      <c r="Z386" s="26">
        <f t="shared" si="80"/>
        <v>175000</v>
      </c>
      <c r="AA386" s="33" t="s">
        <v>15</v>
      </c>
      <c r="AB386" s="36" t="s">
        <v>16</v>
      </c>
      <c r="AC386" s="181">
        <f t="shared" si="65"/>
        <v>1</v>
      </c>
      <c r="AD386" s="181">
        <f t="shared" si="81"/>
        <v>350000</v>
      </c>
      <c r="AE386" s="181">
        <v>2</v>
      </c>
      <c r="AF386" s="181">
        <v>2</v>
      </c>
      <c r="AG386" s="101" t="str">
        <f t="shared" si="66"/>
        <v/>
      </c>
      <c r="AH386" s="191">
        <f>0.5</f>
        <v>0.5</v>
      </c>
      <c r="AI386" s="69">
        <f t="shared" si="67"/>
        <v>1</v>
      </c>
    </row>
    <row r="387" spans="1:35" ht="33" x14ac:dyDescent="0.3">
      <c r="A387" s="134" t="s">
        <v>1342</v>
      </c>
      <c r="B387" s="135" t="s">
        <v>1343</v>
      </c>
      <c r="C387" s="204" t="s">
        <v>50</v>
      </c>
      <c r="D387" s="133"/>
      <c r="E387" s="78"/>
      <c r="F387" s="163">
        <v>320</v>
      </c>
      <c r="G387" s="163"/>
      <c r="H387" s="62" t="s">
        <v>15</v>
      </c>
      <c r="I387" s="167">
        <v>10869.24</v>
      </c>
      <c r="J387" s="62">
        <v>3478156.8</v>
      </c>
      <c r="K387" s="93"/>
      <c r="M387" s="46">
        <v>320</v>
      </c>
      <c r="N387" s="46">
        <v>347815.6799999997</v>
      </c>
      <c r="O387" s="46">
        <v>3478156.8</v>
      </c>
      <c r="P387" s="98"/>
      <c r="Q387" s="23" t="s">
        <v>1405</v>
      </c>
      <c r="R387" s="24" t="s">
        <v>1343</v>
      </c>
      <c r="S387" s="25" t="s">
        <v>50</v>
      </c>
      <c r="T387" s="26">
        <v>0</v>
      </c>
      <c r="U387" s="26">
        <v>320</v>
      </c>
      <c r="V387" s="26">
        <v>10869.24</v>
      </c>
      <c r="W387" s="128">
        <f t="shared" si="77"/>
        <v>0</v>
      </c>
      <c r="X387" s="127">
        <f t="shared" si="78"/>
        <v>320</v>
      </c>
      <c r="Y387" s="127">
        <f t="shared" si="79"/>
        <v>0</v>
      </c>
      <c r="Z387" s="127">
        <f t="shared" si="80"/>
        <v>3478156.8</v>
      </c>
      <c r="AA387" s="27"/>
      <c r="AB387" s="36" t="s">
        <v>16</v>
      </c>
      <c r="AC387" s="181">
        <f t="shared" si="65"/>
        <v>320</v>
      </c>
      <c r="AD387" s="181">
        <f t="shared" si="81"/>
        <v>3478156.8</v>
      </c>
      <c r="AE387" s="181">
        <v>2</v>
      </c>
      <c r="AF387" s="181">
        <v>2</v>
      </c>
      <c r="AG387" s="101" t="str">
        <f t="shared" si="66"/>
        <v/>
      </c>
      <c r="AH387" s="191">
        <f>320</f>
        <v>320</v>
      </c>
      <c r="AI387" s="69">
        <f t="shared" si="67"/>
        <v>320</v>
      </c>
    </row>
    <row r="388" spans="1:35" ht="33" x14ac:dyDescent="0.3">
      <c r="A388" s="144" t="s">
        <v>1344</v>
      </c>
      <c r="B388" s="145" t="s">
        <v>1345</v>
      </c>
      <c r="C388" s="206" t="s">
        <v>325</v>
      </c>
      <c r="D388" s="170"/>
      <c r="E388" s="147"/>
      <c r="F388" s="164">
        <v>2</v>
      </c>
      <c r="G388" s="163"/>
      <c r="H388" s="62" t="s">
        <v>15</v>
      </c>
      <c r="I388" s="168">
        <v>60995.57</v>
      </c>
      <c r="J388" s="148">
        <v>121991.14</v>
      </c>
      <c r="K388" s="149"/>
      <c r="M388" s="46">
        <v>2</v>
      </c>
      <c r="N388" s="46">
        <v>0</v>
      </c>
      <c r="O388" s="46">
        <v>121991.14</v>
      </c>
      <c r="P388" s="98"/>
      <c r="Q388" s="23" t="s">
        <v>1406</v>
      </c>
      <c r="R388" s="24" t="s">
        <v>1345</v>
      </c>
      <c r="S388" s="25" t="s">
        <v>325</v>
      </c>
      <c r="T388" s="26">
        <v>0</v>
      </c>
      <c r="U388" s="26">
        <v>2</v>
      </c>
      <c r="V388" s="26">
        <v>60995.57</v>
      </c>
      <c r="W388" s="127">
        <f t="shared" si="77"/>
        <v>0</v>
      </c>
      <c r="X388" s="127">
        <f t="shared" si="78"/>
        <v>2</v>
      </c>
      <c r="Y388" s="127">
        <f t="shared" si="79"/>
        <v>0</v>
      </c>
      <c r="Z388" s="127">
        <f t="shared" si="80"/>
        <v>121991.14</v>
      </c>
      <c r="AA388" s="27"/>
      <c r="AB388" s="36" t="s">
        <v>16</v>
      </c>
      <c r="AC388" s="181">
        <f t="shared" si="65"/>
        <v>2</v>
      </c>
      <c r="AD388" s="181">
        <f t="shared" si="81"/>
        <v>121991.14</v>
      </c>
      <c r="AE388" s="181">
        <v>2</v>
      </c>
      <c r="AF388" s="181">
        <v>2</v>
      </c>
      <c r="AG388" s="101" t="str">
        <f t="shared" si="66"/>
        <v/>
      </c>
      <c r="AH388" s="190">
        <v>2</v>
      </c>
      <c r="AI388" s="69">
        <f t="shared" si="67"/>
        <v>2</v>
      </c>
    </row>
    <row r="389" spans="1:35" ht="39" x14ac:dyDescent="0.3">
      <c r="A389" s="207" t="s">
        <v>3072</v>
      </c>
      <c r="B389" s="208" t="s">
        <v>3073</v>
      </c>
      <c r="C389" s="204" t="s">
        <v>97</v>
      </c>
      <c r="D389" s="171"/>
      <c r="E389" s="158"/>
      <c r="F389" s="165"/>
      <c r="G389" s="159">
        <v>220</v>
      </c>
      <c r="H389" s="223" t="s">
        <v>15</v>
      </c>
      <c r="I389" s="169">
        <v>1159.82</v>
      </c>
      <c r="J389" s="159">
        <v>255160.4</v>
      </c>
      <c r="K389" s="172"/>
      <c r="M389" s="46">
        <v>220</v>
      </c>
      <c r="N389" s="46">
        <v>0</v>
      </c>
      <c r="O389" s="46">
        <v>255160.4</v>
      </c>
      <c r="P389" s="98"/>
      <c r="Q389" s="23" t="s">
        <v>1414</v>
      </c>
      <c r="R389" s="24" t="s">
        <v>3073</v>
      </c>
      <c r="S389" s="25" t="s">
        <v>97</v>
      </c>
      <c r="T389" s="26"/>
      <c r="U389" s="26">
        <v>220</v>
      </c>
      <c r="V389" s="169">
        <v>1159.82</v>
      </c>
      <c r="W389" s="127">
        <f t="shared" si="77"/>
        <v>0</v>
      </c>
      <c r="X389" s="127">
        <f>W389+M389</f>
        <v>220</v>
      </c>
      <c r="Y389" s="127">
        <f t="shared" si="79"/>
        <v>0</v>
      </c>
      <c r="Z389" s="127">
        <f t="shared" si="80"/>
        <v>255160.4</v>
      </c>
      <c r="AA389" s="27"/>
      <c r="AB389" s="36"/>
      <c r="AC389" s="200">
        <v>220</v>
      </c>
      <c r="AD389" s="181">
        <f t="shared" si="81"/>
        <v>255160.4</v>
      </c>
      <c r="AE389" s="181">
        <v>2</v>
      </c>
      <c r="AF389" s="181">
        <v>2</v>
      </c>
      <c r="AG389" s="101"/>
      <c r="AH389" s="190">
        <f>G389</f>
        <v>220</v>
      </c>
      <c r="AI389" s="69">
        <f t="shared" si="67"/>
        <v>220</v>
      </c>
    </row>
    <row r="390" spans="1:35" ht="39" x14ac:dyDescent="0.3">
      <c r="A390" s="207" t="s">
        <v>3074</v>
      </c>
      <c r="B390" s="208" t="s">
        <v>3075</v>
      </c>
      <c r="C390" s="204" t="s">
        <v>97</v>
      </c>
      <c r="D390" s="171"/>
      <c r="E390" s="158"/>
      <c r="F390" s="165"/>
      <c r="G390" s="159">
        <v>264.5</v>
      </c>
      <c r="H390" s="223" t="s">
        <v>15</v>
      </c>
      <c r="I390" s="169">
        <v>689.89</v>
      </c>
      <c r="J390" s="159">
        <v>182475.91</v>
      </c>
      <c r="K390" s="172"/>
      <c r="M390" s="46">
        <v>264.5</v>
      </c>
      <c r="N390" s="46">
        <v>0</v>
      </c>
      <c r="O390" s="46">
        <v>182475.91</v>
      </c>
      <c r="P390" s="98"/>
      <c r="Q390" s="23" t="s">
        <v>1429</v>
      </c>
      <c r="R390" s="24" t="s">
        <v>3075</v>
      </c>
      <c r="S390" s="25" t="s">
        <v>97</v>
      </c>
      <c r="T390" s="26"/>
      <c r="U390" s="26">
        <v>264.5</v>
      </c>
      <c r="V390" s="169">
        <v>689.89</v>
      </c>
      <c r="W390" s="127">
        <f t="shared" si="77"/>
        <v>0</v>
      </c>
      <c r="X390" s="127">
        <f t="shared" ref="X390:X405" si="82">W390+M390</f>
        <v>264.5</v>
      </c>
      <c r="Y390" s="127">
        <f t="shared" si="79"/>
        <v>0</v>
      </c>
      <c r="Z390" s="127">
        <f t="shared" si="80"/>
        <v>182475.91</v>
      </c>
      <c r="AA390" s="27"/>
      <c r="AB390" s="36"/>
      <c r="AC390" s="200">
        <v>264.5</v>
      </c>
      <c r="AD390" s="181">
        <f t="shared" si="81"/>
        <v>182475.91</v>
      </c>
      <c r="AE390" s="181">
        <v>2</v>
      </c>
      <c r="AF390" s="181">
        <v>2</v>
      </c>
      <c r="AG390" s="101"/>
      <c r="AH390" s="190">
        <f t="shared" ref="AH390:AH406" si="83">G390</f>
        <v>264.5</v>
      </c>
      <c r="AI390" s="69">
        <f t="shared" si="67"/>
        <v>264.5</v>
      </c>
    </row>
    <row r="391" spans="1:35" ht="49.5" x14ac:dyDescent="0.3">
      <c r="A391" s="207" t="s">
        <v>3076</v>
      </c>
      <c r="B391" s="241" t="s">
        <v>3077</v>
      </c>
      <c r="C391" s="204" t="s">
        <v>97</v>
      </c>
      <c r="D391" s="171"/>
      <c r="E391" s="158"/>
      <c r="F391" s="165"/>
      <c r="G391" s="159">
        <v>218.5</v>
      </c>
      <c r="H391" s="223" t="s">
        <v>15</v>
      </c>
      <c r="I391" s="169">
        <v>899.86</v>
      </c>
      <c r="J391" s="159">
        <v>196619.41</v>
      </c>
      <c r="K391" s="172"/>
      <c r="M391" s="46">
        <v>218.5</v>
      </c>
      <c r="N391" s="46">
        <v>0</v>
      </c>
      <c r="O391" s="46">
        <v>196619.41</v>
      </c>
      <c r="P391" s="98"/>
      <c r="Q391" s="23" t="s">
        <v>1430</v>
      </c>
      <c r="R391" s="24" t="s">
        <v>3077</v>
      </c>
      <c r="S391" s="25" t="s">
        <v>97</v>
      </c>
      <c r="T391" s="26"/>
      <c r="U391" s="26">
        <v>218.5</v>
      </c>
      <c r="V391" s="169">
        <v>899.86</v>
      </c>
      <c r="W391" s="127">
        <f t="shared" si="77"/>
        <v>0</v>
      </c>
      <c r="X391" s="127">
        <f t="shared" si="82"/>
        <v>218.5</v>
      </c>
      <c r="Y391" s="127">
        <f t="shared" si="79"/>
        <v>0</v>
      </c>
      <c r="Z391" s="127">
        <f t="shared" si="80"/>
        <v>196619.41</v>
      </c>
      <c r="AA391" s="27"/>
      <c r="AB391" s="36"/>
      <c r="AC391" s="200">
        <v>218.5</v>
      </c>
      <c r="AD391" s="181">
        <f t="shared" si="81"/>
        <v>196619.41</v>
      </c>
      <c r="AE391" s="181">
        <v>2</v>
      </c>
      <c r="AF391" s="181">
        <v>2</v>
      </c>
      <c r="AG391" s="101"/>
      <c r="AH391" s="190">
        <f t="shared" si="83"/>
        <v>218.5</v>
      </c>
      <c r="AI391" s="69">
        <f t="shared" si="67"/>
        <v>218.5</v>
      </c>
    </row>
    <row r="392" spans="1:35" ht="39" x14ac:dyDescent="0.3">
      <c r="A392" s="207" t="s">
        <v>3078</v>
      </c>
      <c r="B392" s="208" t="s">
        <v>3079</v>
      </c>
      <c r="C392" s="204" t="s">
        <v>97</v>
      </c>
      <c r="D392" s="171"/>
      <c r="E392" s="158"/>
      <c r="F392" s="165"/>
      <c r="G392" s="159">
        <v>87.5</v>
      </c>
      <c r="H392" s="223" t="s">
        <v>15</v>
      </c>
      <c r="I392" s="169">
        <v>1499.76</v>
      </c>
      <c r="J392" s="159">
        <v>131229</v>
      </c>
      <c r="K392" s="172"/>
      <c r="M392" s="46">
        <v>87.5</v>
      </c>
      <c r="N392" s="46">
        <v>0</v>
      </c>
      <c r="O392" s="46">
        <v>131229</v>
      </c>
      <c r="P392" s="98"/>
      <c r="Q392" s="23" t="s">
        <v>1431</v>
      </c>
      <c r="R392" s="24" t="s">
        <v>3079</v>
      </c>
      <c r="S392" s="25" t="s">
        <v>97</v>
      </c>
      <c r="T392" s="26"/>
      <c r="U392" s="26">
        <v>87.5</v>
      </c>
      <c r="V392" s="169">
        <v>1499.76</v>
      </c>
      <c r="W392" s="127">
        <f t="shared" si="77"/>
        <v>0</v>
      </c>
      <c r="X392" s="127">
        <f t="shared" si="82"/>
        <v>87.5</v>
      </c>
      <c r="Y392" s="127">
        <f t="shared" si="79"/>
        <v>0</v>
      </c>
      <c r="Z392" s="127">
        <f t="shared" si="80"/>
        <v>131229</v>
      </c>
      <c r="AA392" s="27"/>
      <c r="AB392" s="36"/>
      <c r="AC392" s="200">
        <v>87.5</v>
      </c>
      <c r="AD392" s="181">
        <f t="shared" si="81"/>
        <v>131229</v>
      </c>
      <c r="AE392" s="181">
        <v>2</v>
      </c>
      <c r="AF392" s="181">
        <v>2</v>
      </c>
      <c r="AG392" s="101"/>
      <c r="AH392" s="190">
        <f t="shared" si="83"/>
        <v>87.5</v>
      </c>
      <c r="AI392" s="69">
        <f t="shared" si="67"/>
        <v>87.5</v>
      </c>
    </row>
    <row r="393" spans="1:35" ht="39" x14ac:dyDescent="0.3">
      <c r="A393" s="207" t="s">
        <v>3080</v>
      </c>
      <c r="B393" s="208" t="s">
        <v>3081</v>
      </c>
      <c r="C393" s="204" t="s">
        <v>97</v>
      </c>
      <c r="D393" s="171"/>
      <c r="E393" s="158"/>
      <c r="F393" s="159"/>
      <c r="G393" s="159">
        <v>144.5</v>
      </c>
      <c r="H393" s="159" t="s">
        <v>15</v>
      </c>
      <c r="I393" s="158">
        <v>1419.78</v>
      </c>
      <c r="J393" s="159">
        <v>205158.21</v>
      </c>
      <c r="K393" s="172"/>
      <c r="M393" s="46">
        <v>144.5</v>
      </c>
      <c r="N393" s="46">
        <v>0</v>
      </c>
      <c r="O393" s="46">
        <v>205158.21</v>
      </c>
      <c r="P393" s="98"/>
      <c r="Q393" s="23" t="s">
        <v>1395</v>
      </c>
      <c r="R393" s="24" t="s">
        <v>3081</v>
      </c>
      <c r="S393" s="25" t="s">
        <v>97</v>
      </c>
      <c r="T393" s="26"/>
      <c r="U393" s="26">
        <v>144.5</v>
      </c>
      <c r="V393" s="158">
        <v>1419.78</v>
      </c>
      <c r="W393" s="127">
        <f t="shared" si="77"/>
        <v>0</v>
      </c>
      <c r="X393" s="127">
        <f t="shared" si="82"/>
        <v>144.5</v>
      </c>
      <c r="Y393" s="127">
        <f t="shared" si="79"/>
        <v>0</v>
      </c>
      <c r="Z393" s="127">
        <f t="shared" si="80"/>
        <v>205158.21</v>
      </c>
      <c r="AA393" s="27"/>
      <c r="AB393" s="36"/>
      <c r="AC393" s="200">
        <v>144.5</v>
      </c>
      <c r="AD393" s="181">
        <f t="shared" si="81"/>
        <v>205158.21</v>
      </c>
      <c r="AE393" s="181">
        <v>2</v>
      </c>
      <c r="AF393" s="181">
        <v>2</v>
      </c>
      <c r="AG393" s="101"/>
      <c r="AH393" s="190">
        <f t="shared" si="83"/>
        <v>144.5</v>
      </c>
      <c r="AI393" s="69">
        <f t="shared" si="67"/>
        <v>144.5</v>
      </c>
    </row>
    <row r="394" spans="1:35" x14ac:dyDescent="0.3">
      <c r="A394" s="207" t="s">
        <v>3082</v>
      </c>
      <c r="B394" s="208" t="s">
        <v>3083</v>
      </c>
      <c r="C394" s="204" t="s">
        <v>97</v>
      </c>
      <c r="D394" s="171"/>
      <c r="E394" s="158"/>
      <c r="F394" s="159"/>
      <c r="G394" s="159">
        <v>27</v>
      </c>
      <c r="H394" s="159" t="s">
        <v>15</v>
      </c>
      <c r="I394" s="158">
        <v>2999.53</v>
      </c>
      <c r="J394" s="159">
        <v>80987.31</v>
      </c>
      <c r="K394" s="172"/>
      <c r="M394" s="46">
        <v>27</v>
      </c>
      <c r="N394" s="46">
        <v>0</v>
      </c>
      <c r="O394" s="46">
        <v>80987.31</v>
      </c>
      <c r="P394" s="98"/>
      <c r="Q394" s="23" t="s">
        <v>1432</v>
      </c>
      <c r="R394" s="24" t="s">
        <v>3083</v>
      </c>
      <c r="S394" s="25" t="s">
        <v>97</v>
      </c>
      <c r="T394" s="26"/>
      <c r="U394" s="26">
        <v>27</v>
      </c>
      <c r="V394" s="158">
        <v>2999.53</v>
      </c>
      <c r="W394" s="127">
        <f t="shared" si="77"/>
        <v>0</v>
      </c>
      <c r="X394" s="127">
        <f t="shared" si="82"/>
        <v>27</v>
      </c>
      <c r="Y394" s="127">
        <f t="shared" si="79"/>
        <v>0</v>
      </c>
      <c r="Z394" s="127">
        <f t="shared" si="80"/>
        <v>80987.31</v>
      </c>
      <c r="AA394" s="27"/>
      <c r="AB394" s="36"/>
      <c r="AC394" s="200">
        <v>27</v>
      </c>
      <c r="AD394" s="181">
        <f t="shared" si="81"/>
        <v>80987.31</v>
      </c>
      <c r="AE394" s="181">
        <v>2</v>
      </c>
      <c r="AF394" s="181">
        <v>2</v>
      </c>
      <c r="AG394" s="101"/>
      <c r="AH394" s="190">
        <f t="shared" si="83"/>
        <v>27</v>
      </c>
      <c r="AI394" s="69">
        <f t="shared" si="67"/>
        <v>27</v>
      </c>
    </row>
    <row r="395" spans="1:35" x14ac:dyDescent="0.3">
      <c r="A395" s="207" t="s">
        <v>3084</v>
      </c>
      <c r="B395" s="208" t="s">
        <v>3085</v>
      </c>
      <c r="C395" s="204" t="s">
        <v>97</v>
      </c>
      <c r="D395" s="171"/>
      <c r="E395" s="158"/>
      <c r="F395" s="159"/>
      <c r="G395" s="159">
        <v>28</v>
      </c>
      <c r="H395" s="159" t="s">
        <v>15</v>
      </c>
      <c r="I395" s="158">
        <v>1364.78</v>
      </c>
      <c r="J395" s="159">
        <v>38213.839999999997</v>
      </c>
      <c r="K395" s="172"/>
      <c r="M395" s="46">
        <v>28</v>
      </c>
      <c r="N395" s="46">
        <v>0</v>
      </c>
      <c r="O395" s="46">
        <v>38213.839999999997</v>
      </c>
      <c r="P395" s="98"/>
      <c r="Q395" s="23" t="s">
        <v>1433</v>
      </c>
      <c r="R395" s="24" t="s">
        <v>3085</v>
      </c>
      <c r="S395" s="25" t="s">
        <v>97</v>
      </c>
      <c r="T395" s="26"/>
      <c r="U395" s="26">
        <v>28</v>
      </c>
      <c r="V395" s="158">
        <v>1364.78</v>
      </c>
      <c r="W395" s="127">
        <f t="shared" si="77"/>
        <v>0</v>
      </c>
      <c r="X395" s="127">
        <f t="shared" si="82"/>
        <v>28</v>
      </c>
      <c r="Y395" s="127">
        <f t="shared" si="79"/>
        <v>0</v>
      </c>
      <c r="Z395" s="127">
        <f t="shared" si="80"/>
        <v>38213.839999999997</v>
      </c>
      <c r="AA395" s="27"/>
      <c r="AB395" s="36"/>
      <c r="AC395" s="200">
        <v>28</v>
      </c>
      <c r="AD395" s="181">
        <f t="shared" si="81"/>
        <v>38213.839999999997</v>
      </c>
      <c r="AE395" s="181">
        <v>2</v>
      </c>
      <c r="AF395" s="181">
        <v>2</v>
      </c>
      <c r="AG395" s="101"/>
      <c r="AH395" s="190">
        <f t="shared" si="83"/>
        <v>28</v>
      </c>
      <c r="AI395" s="69">
        <f t="shared" ref="AI395:AI459" si="84">IF(G395=0,IF(F395=0,IF(E395=0,D395,E395),F395),G395)</f>
        <v>28</v>
      </c>
    </row>
    <row r="396" spans="1:35" ht="39" x14ac:dyDescent="0.3">
      <c r="A396" s="207" t="s">
        <v>3086</v>
      </c>
      <c r="B396" s="208" t="s">
        <v>3087</v>
      </c>
      <c r="C396" s="204" t="s">
        <v>97</v>
      </c>
      <c r="D396" s="171"/>
      <c r="E396" s="158"/>
      <c r="F396" s="159"/>
      <c r="G396" s="159">
        <v>156</v>
      </c>
      <c r="H396" s="159" t="s">
        <v>15</v>
      </c>
      <c r="I396" s="158">
        <v>771.88</v>
      </c>
      <c r="J396" s="159">
        <v>120413.28</v>
      </c>
      <c r="K396" s="172"/>
      <c r="M396" s="46">
        <v>156</v>
      </c>
      <c r="N396" s="46">
        <v>0</v>
      </c>
      <c r="O396" s="46">
        <v>120413.28</v>
      </c>
      <c r="P396" s="98"/>
      <c r="Q396" s="23" t="s">
        <v>1382</v>
      </c>
      <c r="R396" s="24" t="s">
        <v>3087</v>
      </c>
      <c r="S396" s="25" t="s">
        <v>97</v>
      </c>
      <c r="T396" s="26"/>
      <c r="U396" s="26">
        <v>156</v>
      </c>
      <c r="V396" s="158">
        <v>771.88</v>
      </c>
      <c r="W396" s="127">
        <f t="shared" si="77"/>
        <v>0</v>
      </c>
      <c r="X396" s="127">
        <f t="shared" si="82"/>
        <v>156</v>
      </c>
      <c r="Y396" s="127">
        <f t="shared" si="79"/>
        <v>0</v>
      </c>
      <c r="Z396" s="127">
        <f t="shared" si="80"/>
        <v>120413.28</v>
      </c>
      <c r="AA396" s="27"/>
      <c r="AB396" s="36"/>
      <c r="AC396" s="200">
        <v>156</v>
      </c>
      <c r="AD396" s="181">
        <f t="shared" si="81"/>
        <v>120413.28</v>
      </c>
      <c r="AE396" s="181">
        <v>2</v>
      </c>
      <c r="AF396" s="181">
        <v>2</v>
      </c>
      <c r="AG396" s="101"/>
      <c r="AH396" s="190">
        <f t="shared" si="83"/>
        <v>156</v>
      </c>
      <c r="AI396" s="69">
        <f t="shared" si="84"/>
        <v>156</v>
      </c>
    </row>
    <row r="397" spans="1:35" ht="39" x14ac:dyDescent="0.3">
      <c r="A397" s="207" t="s">
        <v>3088</v>
      </c>
      <c r="B397" s="208" t="s">
        <v>3089</v>
      </c>
      <c r="C397" s="204" t="s">
        <v>97</v>
      </c>
      <c r="D397" s="171"/>
      <c r="E397" s="158"/>
      <c r="F397" s="159"/>
      <c r="G397" s="242">
        <v>1917</v>
      </c>
      <c r="H397" s="219" t="s">
        <v>15</v>
      </c>
      <c r="I397" s="158">
        <v>400.94</v>
      </c>
      <c r="J397" s="159">
        <v>768601.98</v>
      </c>
      <c r="K397" s="172"/>
      <c r="M397" s="46">
        <v>1917</v>
      </c>
      <c r="N397" s="46">
        <v>0</v>
      </c>
      <c r="O397" s="46">
        <v>768601.98</v>
      </c>
      <c r="P397" s="98"/>
      <c r="Q397" s="23" t="s">
        <v>1434</v>
      </c>
      <c r="R397" s="24" t="s">
        <v>3089</v>
      </c>
      <c r="S397" s="25" t="s">
        <v>97</v>
      </c>
      <c r="T397" s="26"/>
      <c r="U397" s="26">
        <v>1917</v>
      </c>
      <c r="V397" s="158">
        <v>400.94</v>
      </c>
      <c r="W397" s="127">
        <f t="shared" si="77"/>
        <v>0</v>
      </c>
      <c r="X397" s="127">
        <f t="shared" si="82"/>
        <v>1917</v>
      </c>
      <c r="Y397" s="127">
        <f t="shared" si="79"/>
        <v>0</v>
      </c>
      <c r="Z397" s="127">
        <f t="shared" si="80"/>
        <v>768601.98</v>
      </c>
      <c r="AA397" s="27"/>
      <c r="AB397" s="36"/>
      <c r="AC397" s="200">
        <v>1917</v>
      </c>
      <c r="AD397" s="181">
        <f t="shared" si="81"/>
        <v>768601.98</v>
      </c>
      <c r="AE397" s="181">
        <v>2</v>
      </c>
      <c r="AF397" s="181">
        <v>2</v>
      </c>
      <c r="AG397" s="101"/>
      <c r="AH397" s="190">
        <f t="shared" si="83"/>
        <v>1917</v>
      </c>
      <c r="AI397" s="69">
        <f t="shared" si="84"/>
        <v>1917</v>
      </c>
    </row>
    <row r="398" spans="1:35" x14ac:dyDescent="0.3">
      <c r="A398" s="207" t="s">
        <v>3090</v>
      </c>
      <c r="B398" s="208" t="s">
        <v>3091</v>
      </c>
      <c r="C398" s="204" t="s">
        <v>97</v>
      </c>
      <c r="D398" s="171"/>
      <c r="E398" s="158"/>
      <c r="F398" s="159"/>
      <c r="G398" s="159">
        <v>380</v>
      </c>
      <c r="H398" s="159" t="s">
        <v>15</v>
      </c>
      <c r="I398" s="158">
        <v>280.95999999999998</v>
      </c>
      <c r="J398" s="159">
        <v>106764.8</v>
      </c>
      <c r="K398" s="172"/>
      <c r="M398" s="46">
        <v>380</v>
      </c>
      <c r="N398" s="46">
        <v>0</v>
      </c>
      <c r="O398" s="46">
        <v>106764.8</v>
      </c>
      <c r="P398" s="98"/>
      <c r="Q398" s="23" t="s">
        <v>1388</v>
      </c>
      <c r="R398" s="24" t="s">
        <v>3091</v>
      </c>
      <c r="S398" s="25" t="s">
        <v>97</v>
      </c>
      <c r="T398" s="26"/>
      <c r="U398" s="26">
        <v>380</v>
      </c>
      <c r="V398" s="158">
        <v>280.95999999999998</v>
      </c>
      <c r="W398" s="127">
        <f t="shared" si="77"/>
        <v>0</v>
      </c>
      <c r="X398" s="127">
        <f t="shared" si="82"/>
        <v>380</v>
      </c>
      <c r="Y398" s="127">
        <f t="shared" si="79"/>
        <v>0</v>
      </c>
      <c r="Z398" s="127">
        <f t="shared" si="80"/>
        <v>106764.8</v>
      </c>
      <c r="AA398" s="27"/>
      <c r="AB398" s="36"/>
      <c r="AC398" s="200">
        <v>380</v>
      </c>
      <c r="AD398" s="181">
        <f t="shared" si="81"/>
        <v>106764.8</v>
      </c>
      <c r="AE398" s="181">
        <v>2</v>
      </c>
      <c r="AF398" s="181">
        <v>2</v>
      </c>
      <c r="AG398" s="101"/>
      <c r="AH398" s="190">
        <f t="shared" si="83"/>
        <v>380</v>
      </c>
      <c r="AI398" s="69">
        <f t="shared" si="84"/>
        <v>380</v>
      </c>
    </row>
    <row r="399" spans="1:35" ht="33" x14ac:dyDescent="0.3">
      <c r="A399" s="207" t="s">
        <v>3092</v>
      </c>
      <c r="B399" s="241" t="s">
        <v>3093</v>
      </c>
      <c r="C399" s="204" t="s">
        <v>97</v>
      </c>
      <c r="D399" s="171"/>
      <c r="E399" s="158"/>
      <c r="F399" s="159"/>
      <c r="G399" s="159">
        <v>660.5</v>
      </c>
      <c r="H399" s="159" t="s">
        <v>15</v>
      </c>
      <c r="I399" s="158">
        <v>800.87</v>
      </c>
      <c r="J399" s="159">
        <v>528974.64</v>
      </c>
      <c r="K399" s="172"/>
      <c r="M399" s="46">
        <v>660.5</v>
      </c>
      <c r="N399" s="46">
        <v>0</v>
      </c>
      <c r="O399" s="46">
        <v>528974.64</v>
      </c>
      <c r="P399" s="98"/>
      <c r="Q399" s="23" t="s">
        <v>1389</v>
      </c>
      <c r="R399" s="24" t="s">
        <v>3093</v>
      </c>
      <c r="S399" s="25" t="s">
        <v>97</v>
      </c>
      <c r="T399" s="26"/>
      <c r="U399" s="26">
        <v>660.5</v>
      </c>
      <c r="V399" s="158">
        <v>800.87</v>
      </c>
      <c r="W399" s="127">
        <f t="shared" si="77"/>
        <v>0</v>
      </c>
      <c r="X399" s="127">
        <f t="shared" si="82"/>
        <v>660.5</v>
      </c>
      <c r="Y399" s="127">
        <f t="shared" si="79"/>
        <v>0</v>
      </c>
      <c r="Z399" s="127">
        <f t="shared" si="80"/>
        <v>528974.64</v>
      </c>
      <c r="AA399" s="27"/>
      <c r="AB399" s="36"/>
      <c r="AC399" s="200">
        <v>660.5</v>
      </c>
      <c r="AD399" s="181">
        <f t="shared" si="81"/>
        <v>528974.64</v>
      </c>
      <c r="AE399" s="181">
        <v>2</v>
      </c>
      <c r="AF399" s="181">
        <v>2</v>
      </c>
      <c r="AG399" s="101"/>
      <c r="AH399" s="190">
        <f t="shared" si="83"/>
        <v>660.5</v>
      </c>
      <c r="AI399" s="69">
        <f t="shared" si="84"/>
        <v>660.5</v>
      </c>
    </row>
    <row r="400" spans="1:35" x14ac:dyDescent="0.3">
      <c r="A400" s="207" t="s">
        <v>3094</v>
      </c>
      <c r="B400" s="208" t="s">
        <v>3095</v>
      </c>
      <c r="C400" s="204" t="s">
        <v>97</v>
      </c>
      <c r="D400" s="171"/>
      <c r="E400" s="158"/>
      <c r="F400" s="159"/>
      <c r="G400" s="159">
        <v>288.5</v>
      </c>
      <c r="H400" s="159" t="s">
        <v>15</v>
      </c>
      <c r="I400" s="158">
        <v>561.91</v>
      </c>
      <c r="J400" s="159">
        <v>162111.04000000001</v>
      </c>
      <c r="K400" s="172"/>
      <c r="M400" s="46">
        <v>288.5</v>
      </c>
      <c r="N400" s="46">
        <v>0</v>
      </c>
      <c r="O400" s="46">
        <v>162111.04000000001</v>
      </c>
      <c r="P400" s="98"/>
      <c r="Q400" s="23" t="s">
        <v>1390</v>
      </c>
      <c r="R400" s="24" t="s">
        <v>3095</v>
      </c>
      <c r="S400" s="25" t="s">
        <v>97</v>
      </c>
      <c r="T400" s="26"/>
      <c r="U400" s="26">
        <v>288.5</v>
      </c>
      <c r="V400" s="158">
        <v>561.91</v>
      </c>
      <c r="W400" s="127">
        <f t="shared" si="77"/>
        <v>0</v>
      </c>
      <c r="X400" s="127">
        <f t="shared" si="82"/>
        <v>288.5</v>
      </c>
      <c r="Y400" s="127">
        <f t="shared" si="79"/>
        <v>0</v>
      </c>
      <c r="Z400" s="127">
        <f t="shared" si="80"/>
        <v>162111.04000000001</v>
      </c>
      <c r="AA400" s="27"/>
      <c r="AB400" s="36"/>
      <c r="AC400" s="200">
        <v>288.5</v>
      </c>
      <c r="AD400" s="181">
        <f t="shared" si="81"/>
        <v>162111.04000000001</v>
      </c>
      <c r="AE400" s="181">
        <v>2</v>
      </c>
      <c r="AF400" s="181">
        <v>2</v>
      </c>
      <c r="AG400" s="101"/>
      <c r="AH400" s="190">
        <f t="shared" si="83"/>
        <v>288.5</v>
      </c>
      <c r="AI400" s="69">
        <f t="shared" si="84"/>
        <v>288.5</v>
      </c>
    </row>
    <row r="401" spans="1:38" ht="39" x14ac:dyDescent="0.3">
      <c r="A401" s="207" t="s">
        <v>3096</v>
      </c>
      <c r="B401" s="208" t="s">
        <v>3097</v>
      </c>
      <c r="C401" s="204" t="s">
        <v>97</v>
      </c>
      <c r="D401" s="171"/>
      <c r="E401" s="158"/>
      <c r="F401" s="159"/>
      <c r="G401" s="159">
        <v>438</v>
      </c>
      <c r="H401" s="159" t="s">
        <v>15</v>
      </c>
      <c r="I401" s="158">
        <v>519.91999999999996</v>
      </c>
      <c r="J401" s="159">
        <v>227724.96</v>
      </c>
      <c r="K401" s="172"/>
      <c r="M401" s="46">
        <v>438</v>
      </c>
      <c r="N401" s="46">
        <v>0</v>
      </c>
      <c r="O401" s="46">
        <v>227724.96</v>
      </c>
      <c r="P401" s="98"/>
      <c r="Q401" s="23" t="s">
        <v>1391</v>
      </c>
      <c r="R401" s="24" t="s">
        <v>3097</v>
      </c>
      <c r="S401" s="25" t="s">
        <v>97</v>
      </c>
      <c r="T401" s="26"/>
      <c r="U401" s="26">
        <v>438</v>
      </c>
      <c r="V401" s="158">
        <v>519.91999999999996</v>
      </c>
      <c r="W401" s="127">
        <f t="shared" si="77"/>
        <v>0</v>
      </c>
      <c r="X401" s="127">
        <f t="shared" si="82"/>
        <v>438</v>
      </c>
      <c r="Y401" s="127">
        <f t="shared" si="79"/>
        <v>0</v>
      </c>
      <c r="Z401" s="127">
        <f t="shared" si="80"/>
        <v>227724.96</v>
      </c>
      <c r="AA401" s="27"/>
      <c r="AB401" s="36"/>
      <c r="AC401" s="200">
        <v>438</v>
      </c>
      <c r="AD401" s="181">
        <f t="shared" si="81"/>
        <v>227724.96</v>
      </c>
      <c r="AE401" s="181">
        <v>2</v>
      </c>
      <c r="AF401" s="181">
        <v>2</v>
      </c>
      <c r="AG401" s="101"/>
      <c r="AH401" s="190">
        <f t="shared" si="83"/>
        <v>438</v>
      </c>
      <c r="AI401" s="69">
        <f t="shared" si="84"/>
        <v>438</v>
      </c>
    </row>
    <row r="402" spans="1:38" ht="39" x14ac:dyDescent="0.3">
      <c r="A402" s="207" t="s">
        <v>3098</v>
      </c>
      <c r="B402" s="208" t="s">
        <v>3099</v>
      </c>
      <c r="C402" s="204" t="s">
        <v>97</v>
      </c>
      <c r="D402" s="171"/>
      <c r="E402" s="158"/>
      <c r="F402" s="159"/>
      <c r="G402" s="159">
        <v>54</v>
      </c>
      <c r="H402" s="159" t="s">
        <v>15</v>
      </c>
      <c r="I402" s="158">
        <v>1579.75</v>
      </c>
      <c r="J402" s="159">
        <v>85306.5</v>
      </c>
      <c r="K402" s="172"/>
      <c r="M402" s="46">
        <v>54</v>
      </c>
      <c r="N402" s="46">
        <v>0</v>
      </c>
      <c r="O402" s="46">
        <v>85306.5</v>
      </c>
      <c r="P402" s="98"/>
      <c r="Q402" s="23" t="s">
        <v>1436</v>
      </c>
      <c r="R402" s="24" t="s">
        <v>3099</v>
      </c>
      <c r="S402" s="25" t="s">
        <v>97</v>
      </c>
      <c r="T402" s="26"/>
      <c r="U402" s="26">
        <v>54</v>
      </c>
      <c r="V402" s="158">
        <v>1579.75</v>
      </c>
      <c r="W402" s="127">
        <f t="shared" si="77"/>
        <v>0</v>
      </c>
      <c r="X402" s="127">
        <f t="shared" si="82"/>
        <v>54</v>
      </c>
      <c r="Y402" s="127">
        <f t="shared" si="79"/>
        <v>0</v>
      </c>
      <c r="Z402" s="127">
        <f t="shared" si="80"/>
        <v>85306.5</v>
      </c>
      <c r="AA402" s="27"/>
      <c r="AB402" s="36"/>
      <c r="AC402" s="200">
        <v>54</v>
      </c>
      <c r="AD402" s="181">
        <f t="shared" si="81"/>
        <v>85306.5</v>
      </c>
      <c r="AE402" s="181">
        <v>2</v>
      </c>
      <c r="AF402" s="181">
        <v>2</v>
      </c>
      <c r="AG402" s="101"/>
      <c r="AH402" s="190">
        <f t="shared" si="83"/>
        <v>54</v>
      </c>
      <c r="AI402" s="69">
        <f t="shared" si="84"/>
        <v>54</v>
      </c>
    </row>
    <row r="403" spans="1:38" ht="39" x14ac:dyDescent="0.3">
      <c r="A403" s="207" t="s">
        <v>3100</v>
      </c>
      <c r="B403" s="208" t="s">
        <v>3101</v>
      </c>
      <c r="C403" s="204" t="s">
        <v>97</v>
      </c>
      <c r="D403" s="171"/>
      <c r="E403" s="158"/>
      <c r="F403" s="159"/>
      <c r="G403" s="159">
        <v>519.5</v>
      </c>
      <c r="H403" s="159" t="s">
        <v>15</v>
      </c>
      <c r="I403" s="158">
        <v>209.97</v>
      </c>
      <c r="J403" s="159">
        <v>109079.42</v>
      </c>
      <c r="K403" s="172"/>
      <c r="M403" s="46">
        <v>519.5</v>
      </c>
      <c r="N403" s="46">
        <v>0</v>
      </c>
      <c r="O403" s="46">
        <v>109079.42</v>
      </c>
      <c r="P403" s="98"/>
      <c r="Q403" s="23" t="s">
        <v>1374</v>
      </c>
      <c r="R403" s="24" t="s">
        <v>3101</v>
      </c>
      <c r="S403" s="25" t="s">
        <v>97</v>
      </c>
      <c r="T403" s="26"/>
      <c r="U403" s="26">
        <v>519.5</v>
      </c>
      <c r="V403" s="158">
        <v>209.97</v>
      </c>
      <c r="W403" s="127">
        <f t="shared" si="77"/>
        <v>0</v>
      </c>
      <c r="X403" s="127">
        <f t="shared" si="82"/>
        <v>519.5</v>
      </c>
      <c r="Y403" s="127">
        <f t="shared" si="79"/>
        <v>0</v>
      </c>
      <c r="Z403" s="127">
        <f t="shared" si="80"/>
        <v>109079.42</v>
      </c>
      <c r="AA403" s="27"/>
      <c r="AB403" s="36"/>
      <c r="AC403" s="200">
        <v>519.5</v>
      </c>
      <c r="AD403" s="181">
        <f t="shared" si="81"/>
        <v>109079.42</v>
      </c>
      <c r="AE403" s="181">
        <v>2</v>
      </c>
      <c r="AF403" s="181">
        <v>2</v>
      </c>
      <c r="AG403" s="101"/>
      <c r="AH403" s="190">
        <f t="shared" si="83"/>
        <v>519.5</v>
      </c>
      <c r="AI403" s="69">
        <f t="shared" si="84"/>
        <v>519.5</v>
      </c>
    </row>
    <row r="404" spans="1:38" ht="49.5" x14ac:dyDescent="0.3">
      <c r="A404" s="207" t="s">
        <v>3102</v>
      </c>
      <c r="B404" s="241" t="s">
        <v>3103</v>
      </c>
      <c r="C404" s="204" t="s">
        <v>66</v>
      </c>
      <c r="D404" s="171"/>
      <c r="E404" s="158"/>
      <c r="F404" s="159"/>
      <c r="G404" s="159">
        <v>5</v>
      </c>
      <c r="H404" s="159" t="s">
        <v>15</v>
      </c>
      <c r="I404" s="158">
        <v>10798.3</v>
      </c>
      <c r="J404" s="159">
        <v>53991.5</v>
      </c>
      <c r="K404" s="172"/>
      <c r="M404" s="46">
        <v>5</v>
      </c>
      <c r="N404" s="46">
        <v>0</v>
      </c>
      <c r="O404" s="46">
        <v>53991.5</v>
      </c>
      <c r="P404" s="98"/>
      <c r="Q404" s="23" t="s">
        <v>1376</v>
      </c>
      <c r="R404" s="24" t="s">
        <v>3103</v>
      </c>
      <c r="S404" s="25" t="s">
        <v>66</v>
      </c>
      <c r="T404" s="26"/>
      <c r="U404" s="26">
        <v>5</v>
      </c>
      <c r="V404" s="158">
        <v>10798.3</v>
      </c>
      <c r="W404" s="127">
        <f t="shared" si="77"/>
        <v>0</v>
      </c>
      <c r="X404" s="127">
        <f t="shared" si="82"/>
        <v>5</v>
      </c>
      <c r="Y404" s="127">
        <f t="shared" si="79"/>
        <v>0</v>
      </c>
      <c r="Z404" s="127">
        <f t="shared" si="80"/>
        <v>53991.5</v>
      </c>
      <c r="AA404" s="27"/>
      <c r="AB404" s="36"/>
      <c r="AC404" s="200">
        <v>5</v>
      </c>
      <c r="AD404" s="181">
        <f t="shared" si="81"/>
        <v>53991.5</v>
      </c>
      <c r="AE404" s="181">
        <v>2</v>
      </c>
      <c r="AF404" s="181">
        <v>2</v>
      </c>
      <c r="AG404" s="101"/>
      <c r="AH404" s="190">
        <f t="shared" si="83"/>
        <v>5</v>
      </c>
      <c r="AI404" s="69">
        <f t="shared" si="84"/>
        <v>5</v>
      </c>
    </row>
    <row r="405" spans="1:38" ht="49.5" x14ac:dyDescent="0.3">
      <c r="A405" s="207" t="s">
        <v>3104</v>
      </c>
      <c r="B405" s="241" t="s">
        <v>3105</v>
      </c>
      <c r="C405" s="204" t="s">
        <v>66</v>
      </c>
      <c r="D405" s="171"/>
      <c r="E405" s="158"/>
      <c r="F405" s="159"/>
      <c r="G405" s="159">
        <v>6</v>
      </c>
      <c r="H405" s="159" t="s">
        <v>15</v>
      </c>
      <c r="I405" s="158">
        <v>7248.86</v>
      </c>
      <c r="J405" s="159">
        <v>43493.16</v>
      </c>
      <c r="K405" s="172"/>
      <c r="M405" s="46">
        <v>6</v>
      </c>
      <c r="N405" s="46">
        <v>0</v>
      </c>
      <c r="O405" s="46">
        <v>43493.16</v>
      </c>
      <c r="P405" s="98"/>
      <c r="Q405" s="23" t="s">
        <v>1378</v>
      </c>
      <c r="R405" s="24" t="s">
        <v>3105</v>
      </c>
      <c r="S405" s="25" t="s">
        <v>66</v>
      </c>
      <c r="T405" s="26"/>
      <c r="U405" s="26">
        <v>6</v>
      </c>
      <c r="V405" s="158">
        <v>7248.86</v>
      </c>
      <c r="W405" s="127">
        <f t="shared" si="77"/>
        <v>0</v>
      </c>
      <c r="X405" s="127">
        <f t="shared" si="82"/>
        <v>6</v>
      </c>
      <c r="Y405" s="127">
        <f t="shared" si="79"/>
        <v>0</v>
      </c>
      <c r="Z405" s="127">
        <f t="shared" si="80"/>
        <v>43493.16</v>
      </c>
      <c r="AA405" s="27"/>
      <c r="AB405" s="36"/>
      <c r="AC405" s="200">
        <v>6</v>
      </c>
      <c r="AD405" s="181">
        <f t="shared" si="81"/>
        <v>43493.16</v>
      </c>
      <c r="AE405" s="181">
        <v>2</v>
      </c>
      <c r="AF405" s="181">
        <v>2</v>
      </c>
      <c r="AG405" s="101"/>
      <c r="AH405" s="190">
        <f t="shared" si="83"/>
        <v>6</v>
      </c>
      <c r="AI405" s="69">
        <f t="shared" si="84"/>
        <v>6</v>
      </c>
    </row>
    <row r="406" spans="1:38" ht="25.5" customHeight="1" x14ac:dyDescent="0.3">
      <c r="A406" s="233">
        <v>2.29</v>
      </c>
      <c r="B406" s="180" t="s">
        <v>1527</v>
      </c>
      <c r="C406" s="58" t="s">
        <v>97</v>
      </c>
      <c r="D406" s="230"/>
      <c r="E406" s="230"/>
      <c r="F406" s="59"/>
      <c r="G406" s="59"/>
      <c r="H406" s="59">
        <v>320</v>
      </c>
      <c r="I406" s="230">
        <v>280</v>
      </c>
      <c r="J406" s="59">
        <v>89600</v>
      </c>
      <c r="K406" s="234"/>
      <c r="M406" s="46"/>
      <c r="N406" s="46"/>
      <c r="O406" s="46"/>
      <c r="P406" s="98"/>
      <c r="Q406" s="23">
        <v>29</v>
      </c>
      <c r="R406" s="24" t="s">
        <v>1527</v>
      </c>
      <c r="S406" s="25" t="s">
        <v>97</v>
      </c>
      <c r="T406" s="26"/>
      <c r="U406" s="26">
        <v>320</v>
      </c>
      <c r="V406" s="158">
        <v>280</v>
      </c>
      <c r="W406" s="26">
        <f t="shared" ref="W406" si="85">AH406-M406</f>
        <v>0</v>
      </c>
      <c r="X406" s="26">
        <f t="shared" ref="X406" si="86">W406+M406</f>
        <v>0</v>
      </c>
      <c r="Y406" s="26">
        <f t="shared" ref="Y406" si="87">Z406-O406</f>
        <v>0</v>
      </c>
      <c r="Z406" s="26">
        <f t="shared" ref="Z406" si="88">ROUND(V406*X406,2)</f>
        <v>0</v>
      </c>
      <c r="AA406" s="27"/>
      <c r="AB406" s="36"/>
      <c r="AC406" s="200">
        <v>320</v>
      </c>
      <c r="AD406" s="181">
        <f t="shared" si="81"/>
        <v>89600</v>
      </c>
      <c r="AE406" s="200">
        <v>2</v>
      </c>
      <c r="AF406" s="200"/>
      <c r="AG406" s="101"/>
      <c r="AH406" s="190">
        <f t="shared" si="83"/>
        <v>0</v>
      </c>
      <c r="AI406" s="69">
        <f t="shared" si="84"/>
        <v>0</v>
      </c>
    </row>
    <row r="407" spans="1:38" s="69" customFormat="1" ht="33" customHeight="1" x14ac:dyDescent="0.3">
      <c r="A407" s="150" t="s">
        <v>1039</v>
      </c>
      <c r="B407" s="151" t="s">
        <v>1040</v>
      </c>
      <c r="C407" s="152" t="s">
        <v>14</v>
      </c>
      <c r="D407" s="153">
        <v>1</v>
      </c>
      <c r="E407" s="153"/>
      <c r="F407" s="153"/>
      <c r="G407" s="153"/>
      <c r="H407" s="153"/>
      <c r="I407" s="153"/>
      <c r="J407" s="153">
        <v>3727423.71</v>
      </c>
      <c r="K407" s="154" t="s">
        <v>15</v>
      </c>
      <c r="L407" s="73"/>
      <c r="M407" s="42">
        <v>1</v>
      </c>
      <c r="N407" s="42">
        <v>0</v>
      </c>
      <c r="O407" s="42">
        <v>2038723.71</v>
      </c>
      <c r="P407" s="98"/>
      <c r="Q407" s="13" t="s">
        <v>1407</v>
      </c>
      <c r="R407" s="14" t="s">
        <v>1040</v>
      </c>
      <c r="S407" s="15" t="s">
        <v>14</v>
      </c>
      <c r="T407" s="16">
        <v>1</v>
      </c>
      <c r="U407" s="16"/>
      <c r="V407" s="16">
        <f>SUMIFS(AD:AD,AE:AE,AE407)</f>
        <v>3727423.7099999995</v>
      </c>
      <c r="W407" s="16">
        <f t="shared" ref="W407:X407" si="89">IF(Y407=0,0,1)</f>
        <v>0</v>
      </c>
      <c r="X407" s="16">
        <f t="shared" si="89"/>
        <v>1</v>
      </c>
      <c r="Y407" s="16">
        <f>SUMIFS(Y:Y,AF:AF,AE407)</f>
        <v>0</v>
      </c>
      <c r="Z407" s="16">
        <f>SUMIFS(Z:Z,AF:AF,AE407)</f>
        <v>2038723.71</v>
      </c>
      <c r="AA407" s="17" t="s">
        <v>15</v>
      </c>
      <c r="AB407" s="40" t="s">
        <v>16</v>
      </c>
      <c r="AC407" s="181">
        <f t="shared" si="65"/>
        <v>1</v>
      </c>
      <c r="AD407" s="183"/>
      <c r="AE407" s="183">
        <v>3</v>
      </c>
      <c r="AF407" s="183"/>
      <c r="AG407" s="101" t="str">
        <f t="shared" si="66"/>
        <v/>
      </c>
      <c r="AH407" s="190">
        <v>1</v>
      </c>
      <c r="AI407" s="69">
        <f t="shared" si="84"/>
        <v>1</v>
      </c>
    </row>
    <row r="408" spans="1:38" s="69" customFormat="1" ht="66" x14ac:dyDescent="0.3">
      <c r="A408" s="55" t="s">
        <v>1041</v>
      </c>
      <c r="B408" s="138" t="s">
        <v>1042</v>
      </c>
      <c r="C408" s="54" t="s">
        <v>162</v>
      </c>
      <c r="D408" s="75">
        <v>340</v>
      </c>
      <c r="E408" s="75"/>
      <c r="F408" s="75"/>
      <c r="G408" s="75"/>
      <c r="H408" s="75"/>
      <c r="I408" s="75">
        <v>300</v>
      </c>
      <c r="J408" s="75">
        <v>102000</v>
      </c>
      <c r="K408" s="91" t="s">
        <v>1043</v>
      </c>
      <c r="L408" s="73"/>
      <c r="M408" s="46">
        <v>219</v>
      </c>
      <c r="N408" s="46">
        <v>0</v>
      </c>
      <c r="O408" s="46">
        <v>65700</v>
      </c>
      <c r="P408" s="98"/>
      <c r="Q408" s="23" t="s">
        <v>1421</v>
      </c>
      <c r="R408" s="24" t="s">
        <v>1042</v>
      </c>
      <c r="S408" s="25" t="s">
        <v>162</v>
      </c>
      <c r="T408" s="26">
        <v>340</v>
      </c>
      <c r="U408" s="26">
        <v>340</v>
      </c>
      <c r="V408" s="26">
        <v>300</v>
      </c>
      <c r="W408" s="128">
        <f t="shared" ref="W408:W446" si="90">AH408-M408</f>
        <v>0</v>
      </c>
      <c r="X408" s="26">
        <f t="shared" si="78"/>
        <v>219</v>
      </c>
      <c r="Y408" s="26">
        <f t="shared" ref="Y408:Y446" si="91">Z408-O408</f>
        <v>0</v>
      </c>
      <c r="Z408" s="26">
        <f t="shared" ref="Z408:Z446" si="92">ROUND(V408*X408,2)</f>
        <v>65700</v>
      </c>
      <c r="AA408" s="33" t="s">
        <v>15</v>
      </c>
      <c r="AB408" s="36" t="s">
        <v>16</v>
      </c>
      <c r="AC408" s="181">
        <f t="shared" si="65"/>
        <v>340</v>
      </c>
      <c r="AD408" s="181">
        <f t="shared" ref="AD408:AD446" si="93">ROUND(V408*AC408,2)</f>
        <v>102000</v>
      </c>
      <c r="AE408" s="181">
        <v>3</v>
      </c>
      <c r="AF408" s="181">
        <v>3</v>
      </c>
      <c r="AG408" s="101" t="str">
        <f t="shared" si="66"/>
        <v/>
      </c>
      <c r="AH408" s="190">
        <f>219</f>
        <v>219</v>
      </c>
      <c r="AI408" s="69">
        <f t="shared" si="84"/>
        <v>340</v>
      </c>
      <c r="AL408" s="69">
        <v>0</v>
      </c>
    </row>
    <row r="409" spans="1:38" s="69" customFormat="1" ht="49.5" x14ac:dyDescent="0.3">
      <c r="A409" s="55" t="s">
        <v>1044</v>
      </c>
      <c r="B409" s="138" t="s">
        <v>1045</v>
      </c>
      <c r="C409" s="54" t="s">
        <v>325</v>
      </c>
      <c r="D409" s="75">
        <v>68</v>
      </c>
      <c r="E409" s="75"/>
      <c r="F409" s="75"/>
      <c r="G409" s="75"/>
      <c r="H409" s="75"/>
      <c r="I409" s="75">
        <v>3000</v>
      </c>
      <c r="J409" s="75">
        <v>204000</v>
      </c>
      <c r="K409" s="91" t="s">
        <v>1046</v>
      </c>
      <c r="L409" s="73"/>
      <c r="M409" s="46">
        <v>52</v>
      </c>
      <c r="N409" s="46">
        <v>0</v>
      </c>
      <c r="O409" s="46">
        <v>156000</v>
      </c>
      <c r="P409" s="98"/>
      <c r="Q409" s="23" t="s">
        <v>1426</v>
      </c>
      <c r="R409" s="24" t="s">
        <v>1045</v>
      </c>
      <c r="S409" s="25" t="s">
        <v>325</v>
      </c>
      <c r="T409" s="26">
        <v>68</v>
      </c>
      <c r="U409" s="26">
        <v>68</v>
      </c>
      <c r="V409" s="26">
        <v>3000</v>
      </c>
      <c r="W409" s="128">
        <f t="shared" si="90"/>
        <v>0</v>
      </c>
      <c r="X409" s="26">
        <f t="shared" si="78"/>
        <v>52</v>
      </c>
      <c r="Y409" s="26">
        <f t="shared" si="91"/>
        <v>0</v>
      </c>
      <c r="Z409" s="26">
        <f t="shared" si="92"/>
        <v>156000</v>
      </c>
      <c r="AA409" s="33" t="s">
        <v>15</v>
      </c>
      <c r="AB409" s="36" t="s">
        <v>16</v>
      </c>
      <c r="AC409" s="181">
        <f t="shared" si="65"/>
        <v>68</v>
      </c>
      <c r="AD409" s="181">
        <f t="shared" si="93"/>
        <v>204000</v>
      </c>
      <c r="AE409" s="181">
        <v>3</v>
      </c>
      <c r="AF409" s="181">
        <v>3</v>
      </c>
      <c r="AG409" s="101" t="str">
        <f t="shared" si="66"/>
        <v/>
      </c>
      <c r="AH409" s="190">
        <v>52</v>
      </c>
      <c r="AI409" s="69">
        <f t="shared" si="84"/>
        <v>68</v>
      </c>
      <c r="AL409" s="69">
        <v>0</v>
      </c>
    </row>
    <row r="410" spans="1:38" s="69" customFormat="1" ht="33" x14ac:dyDescent="0.3">
      <c r="A410" s="55" t="s">
        <v>1047</v>
      </c>
      <c r="B410" s="138" t="s">
        <v>1048</v>
      </c>
      <c r="C410" s="54" t="s">
        <v>325</v>
      </c>
      <c r="D410" s="75">
        <v>68</v>
      </c>
      <c r="E410" s="75"/>
      <c r="F410" s="75"/>
      <c r="G410" s="75"/>
      <c r="H410" s="75"/>
      <c r="I410" s="75">
        <v>150</v>
      </c>
      <c r="J410" s="75">
        <v>10200</v>
      </c>
      <c r="K410" s="91" t="s">
        <v>1049</v>
      </c>
      <c r="L410" s="73"/>
      <c r="M410" s="46">
        <v>52</v>
      </c>
      <c r="N410" s="46">
        <v>0</v>
      </c>
      <c r="O410" s="46">
        <v>7800</v>
      </c>
      <c r="P410" s="98"/>
      <c r="Q410" s="23" t="s">
        <v>1402</v>
      </c>
      <c r="R410" s="24" t="s">
        <v>1048</v>
      </c>
      <c r="S410" s="25" t="s">
        <v>325</v>
      </c>
      <c r="T410" s="26">
        <v>68</v>
      </c>
      <c r="U410" s="26">
        <v>68</v>
      </c>
      <c r="V410" s="26">
        <v>150</v>
      </c>
      <c r="W410" s="128">
        <f t="shared" si="90"/>
        <v>0</v>
      </c>
      <c r="X410" s="26">
        <f t="shared" si="78"/>
        <v>52</v>
      </c>
      <c r="Y410" s="26">
        <f t="shared" si="91"/>
        <v>0</v>
      </c>
      <c r="Z410" s="26">
        <f t="shared" si="92"/>
        <v>7800</v>
      </c>
      <c r="AA410" s="33" t="s">
        <v>15</v>
      </c>
      <c r="AB410" s="36" t="s">
        <v>16</v>
      </c>
      <c r="AC410" s="181">
        <f t="shared" si="65"/>
        <v>68</v>
      </c>
      <c r="AD410" s="181">
        <f t="shared" si="93"/>
        <v>10200</v>
      </c>
      <c r="AE410" s="181">
        <v>3</v>
      </c>
      <c r="AF410" s="181">
        <v>3</v>
      </c>
      <c r="AG410" s="101" t="str">
        <f t="shared" si="66"/>
        <v/>
      </c>
      <c r="AH410" s="190">
        <v>52</v>
      </c>
      <c r="AI410" s="69">
        <f t="shared" si="84"/>
        <v>68</v>
      </c>
      <c r="AL410" s="69">
        <v>0</v>
      </c>
    </row>
    <row r="411" spans="1:38" s="69" customFormat="1" ht="49.5" x14ac:dyDescent="0.3">
      <c r="A411" s="55" t="s">
        <v>1050</v>
      </c>
      <c r="B411" s="138" t="s">
        <v>1051</v>
      </c>
      <c r="C411" s="54" t="s">
        <v>1052</v>
      </c>
      <c r="D411" s="75">
        <v>9</v>
      </c>
      <c r="E411" s="75"/>
      <c r="F411" s="75"/>
      <c r="G411" s="75"/>
      <c r="H411" s="75"/>
      <c r="I411" s="75">
        <v>1200</v>
      </c>
      <c r="J411" s="75">
        <v>10800</v>
      </c>
      <c r="K411" s="91" t="s">
        <v>1053</v>
      </c>
      <c r="L411" s="73"/>
      <c r="M411" s="46">
        <v>0</v>
      </c>
      <c r="N411" s="46">
        <v>0</v>
      </c>
      <c r="O411" s="46">
        <v>0</v>
      </c>
      <c r="P411" s="98"/>
      <c r="Q411" s="23" t="s">
        <v>1373</v>
      </c>
      <c r="R411" s="24" t="s">
        <v>1051</v>
      </c>
      <c r="S411" s="25" t="s">
        <v>1052</v>
      </c>
      <c r="T411" s="26">
        <v>9</v>
      </c>
      <c r="U411" s="26">
        <v>9</v>
      </c>
      <c r="V411" s="26">
        <v>1200</v>
      </c>
      <c r="W411" s="26">
        <f t="shared" si="90"/>
        <v>0</v>
      </c>
      <c r="X411" s="26">
        <f t="shared" si="78"/>
        <v>0</v>
      </c>
      <c r="Y411" s="26">
        <f t="shared" si="91"/>
        <v>0</v>
      </c>
      <c r="Z411" s="26">
        <f t="shared" si="92"/>
        <v>0</v>
      </c>
      <c r="AA411" s="33" t="s">
        <v>15</v>
      </c>
      <c r="AB411" s="36" t="s">
        <v>16</v>
      </c>
      <c r="AC411" s="181">
        <f t="shared" si="65"/>
        <v>9</v>
      </c>
      <c r="AD411" s="181">
        <f t="shared" si="93"/>
        <v>10800</v>
      </c>
      <c r="AE411" s="181">
        <v>3</v>
      </c>
      <c r="AF411" s="181">
        <v>3</v>
      </c>
      <c r="AG411" s="101" t="str">
        <f t="shared" si="66"/>
        <v/>
      </c>
      <c r="AH411" s="190">
        <v>0</v>
      </c>
      <c r="AI411" s="69">
        <f t="shared" si="84"/>
        <v>9</v>
      </c>
      <c r="AL411" s="69">
        <v>0</v>
      </c>
    </row>
    <row r="412" spans="1:38" s="69" customFormat="1" ht="66" x14ac:dyDescent="0.3">
      <c r="A412" s="55" t="s">
        <v>1054</v>
      </c>
      <c r="B412" s="138" t="s">
        <v>3114</v>
      </c>
      <c r="C412" s="54" t="s">
        <v>325</v>
      </c>
      <c r="D412" s="75">
        <v>38</v>
      </c>
      <c r="E412" s="75"/>
      <c r="F412" s="75"/>
      <c r="G412" s="75"/>
      <c r="H412" s="75"/>
      <c r="I412" s="75">
        <v>650</v>
      </c>
      <c r="J412" s="75">
        <v>24700</v>
      </c>
      <c r="K412" s="91" t="s">
        <v>1056</v>
      </c>
      <c r="L412" s="73"/>
      <c r="M412" s="46">
        <v>12</v>
      </c>
      <c r="N412" s="46">
        <v>0</v>
      </c>
      <c r="O412" s="46">
        <v>7800</v>
      </c>
      <c r="P412" s="98"/>
      <c r="Q412" s="23" t="s">
        <v>1393</v>
      </c>
      <c r="R412" s="24" t="s">
        <v>1055</v>
      </c>
      <c r="S412" s="25" t="s">
        <v>325</v>
      </c>
      <c r="T412" s="26">
        <v>38</v>
      </c>
      <c r="U412" s="26">
        <v>38</v>
      </c>
      <c r="V412" s="26">
        <v>650</v>
      </c>
      <c r="W412" s="128">
        <f t="shared" si="90"/>
        <v>0</v>
      </c>
      <c r="X412" s="26">
        <f t="shared" si="78"/>
        <v>12</v>
      </c>
      <c r="Y412" s="26">
        <f t="shared" si="91"/>
        <v>0</v>
      </c>
      <c r="Z412" s="26">
        <f t="shared" si="92"/>
        <v>7800</v>
      </c>
      <c r="AA412" s="33" t="s">
        <v>15</v>
      </c>
      <c r="AB412" s="36" t="s">
        <v>16</v>
      </c>
      <c r="AC412" s="181">
        <f t="shared" si="65"/>
        <v>38</v>
      </c>
      <c r="AD412" s="181">
        <f t="shared" si="93"/>
        <v>24700</v>
      </c>
      <c r="AE412" s="181">
        <v>3</v>
      </c>
      <c r="AF412" s="181">
        <v>3</v>
      </c>
      <c r="AG412" s="101" t="str">
        <f t="shared" si="66"/>
        <v/>
      </c>
      <c r="AH412" s="190">
        <v>12</v>
      </c>
      <c r="AI412" s="69">
        <f t="shared" si="84"/>
        <v>38</v>
      </c>
      <c r="AL412" s="69">
        <v>0</v>
      </c>
    </row>
    <row r="413" spans="1:38" s="69" customFormat="1" ht="66" customHeight="1" x14ac:dyDescent="0.3">
      <c r="A413" s="55" t="s">
        <v>1057</v>
      </c>
      <c r="B413" s="138" t="s">
        <v>3115</v>
      </c>
      <c r="C413" s="54" t="s">
        <v>325</v>
      </c>
      <c r="D413" s="75">
        <v>38</v>
      </c>
      <c r="E413" s="75"/>
      <c r="F413" s="75"/>
      <c r="G413" s="75"/>
      <c r="H413" s="75"/>
      <c r="I413" s="75">
        <v>1300</v>
      </c>
      <c r="J413" s="75">
        <v>49400</v>
      </c>
      <c r="K413" s="91" t="s">
        <v>1059</v>
      </c>
      <c r="L413" s="73"/>
      <c r="M413" s="46">
        <v>12</v>
      </c>
      <c r="N413" s="46">
        <v>0</v>
      </c>
      <c r="O413" s="46">
        <v>15600</v>
      </c>
      <c r="P413" s="98"/>
      <c r="Q413" s="23" t="s">
        <v>1403</v>
      </c>
      <c r="R413" s="24" t="s">
        <v>1058</v>
      </c>
      <c r="S413" s="25" t="s">
        <v>325</v>
      </c>
      <c r="T413" s="26">
        <v>38</v>
      </c>
      <c r="U413" s="26">
        <v>38</v>
      </c>
      <c r="V413" s="26">
        <v>1300</v>
      </c>
      <c r="W413" s="128">
        <f t="shared" si="90"/>
        <v>0</v>
      </c>
      <c r="X413" s="26">
        <f t="shared" si="78"/>
        <v>12</v>
      </c>
      <c r="Y413" s="26">
        <f t="shared" si="91"/>
        <v>0</v>
      </c>
      <c r="Z413" s="26">
        <f t="shared" si="92"/>
        <v>15600</v>
      </c>
      <c r="AA413" s="33" t="s">
        <v>15</v>
      </c>
      <c r="AB413" s="36" t="s">
        <v>16</v>
      </c>
      <c r="AC413" s="181">
        <f t="shared" ref="AC413:AC477" si="94">IF(U413="",T413,U413)</f>
        <v>38</v>
      </c>
      <c r="AD413" s="181">
        <f t="shared" si="93"/>
        <v>49400</v>
      </c>
      <c r="AE413" s="181">
        <v>3</v>
      </c>
      <c r="AF413" s="181">
        <v>3</v>
      </c>
      <c r="AG413" s="101" t="str">
        <f t="shared" ref="AG413:AG477" si="95">IF(X413&gt;AI413,"超估","")</f>
        <v/>
      </c>
      <c r="AH413" s="190">
        <v>12</v>
      </c>
      <c r="AI413" s="69">
        <f t="shared" si="84"/>
        <v>38</v>
      </c>
      <c r="AL413" s="69">
        <v>0</v>
      </c>
    </row>
    <row r="414" spans="1:38" s="69" customFormat="1" ht="66" customHeight="1" x14ac:dyDescent="0.3">
      <c r="A414" s="55" t="s">
        <v>1060</v>
      </c>
      <c r="B414" s="138" t="s">
        <v>3116</v>
      </c>
      <c r="C414" s="54" t="s">
        <v>325</v>
      </c>
      <c r="D414" s="75">
        <v>7</v>
      </c>
      <c r="E414" s="75"/>
      <c r="F414" s="75"/>
      <c r="G414" s="75"/>
      <c r="H414" s="75"/>
      <c r="I414" s="75">
        <v>3500</v>
      </c>
      <c r="J414" s="75">
        <v>24500</v>
      </c>
      <c r="K414" s="91" t="s">
        <v>1062</v>
      </c>
      <c r="L414" s="73"/>
      <c r="M414" s="46">
        <v>0</v>
      </c>
      <c r="N414" s="46">
        <v>0</v>
      </c>
      <c r="O414" s="46">
        <v>0</v>
      </c>
      <c r="P414" s="98"/>
      <c r="Q414" s="23" t="s">
        <v>1427</v>
      </c>
      <c r="R414" s="24" t="s">
        <v>1061</v>
      </c>
      <c r="S414" s="25" t="s">
        <v>325</v>
      </c>
      <c r="T414" s="26">
        <v>7</v>
      </c>
      <c r="U414" s="26">
        <v>7</v>
      </c>
      <c r="V414" s="26">
        <v>3500</v>
      </c>
      <c r="W414" s="26">
        <f t="shared" si="90"/>
        <v>0</v>
      </c>
      <c r="X414" s="26">
        <f t="shared" si="78"/>
        <v>0</v>
      </c>
      <c r="Y414" s="26">
        <f t="shared" si="91"/>
        <v>0</v>
      </c>
      <c r="Z414" s="26">
        <f t="shared" si="92"/>
        <v>0</v>
      </c>
      <c r="AA414" s="33" t="s">
        <v>15</v>
      </c>
      <c r="AB414" s="36" t="s">
        <v>16</v>
      </c>
      <c r="AC414" s="181">
        <f t="shared" si="94"/>
        <v>7</v>
      </c>
      <c r="AD414" s="181">
        <f t="shared" si="93"/>
        <v>24500</v>
      </c>
      <c r="AE414" s="181">
        <v>3</v>
      </c>
      <c r="AF414" s="181">
        <v>3</v>
      </c>
      <c r="AG414" s="101" t="str">
        <f t="shared" si="95"/>
        <v/>
      </c>
      <c r="AH414" s="190">
        <v>0</v>
      </c>
      <c r="AI414" s="69">
        <f t="shared" si="84"/>
        <v>7</v>
      </c>
      <c r="AL414" s="69">
        <v>0</v>
      </c>
    </row>
    <row r="415" spans="1:38" s="69" customFormat="1" ht="66" customHeight="1" x14ac:dyDescent="0.3">
      <c r="A415" s="55" t="s">
        <v>1063</v>
      </c>
      <c r="B415" s="138" t="s">
        <v>1064</v>
      </c>
      <c r="C415" s="54" t="s">
        <v>325</v>
      </c>
      <c r="D415" s="75">
        <v>5</v>
      </c>
      <c r="E415" s="75"/>
      <c r="F415" s="75"/>
      <c r="G415" s="75"/>
      <c r="H415" s="75"/>
      <c r="I415" s="75">
        <v>700</v>
      </c>
      <c r="J415" s="75">
        <v>3500</v>
      </c>
      <c r="K415" s="91" t="s">
        <v>1065</v>
      </c>
      <c r="L415" s="73"/>
      <c r="M415" s="46">
        <v>0</v>
      </c>
      <c r="N415" s="46">
        <v>0</v>
      </c>
      <c r="O415" s="46">
        <v>0</v>
      </c>
      <c r="P415" s="98"/>
      <c r="Q415" s="23" t="s">
        <v>1428</v>
      </c>
      <c r="R415" s="24" t="s">
        <v>1064</v>
      </c>
      <c r="S415" s="25" t="s">
        <v>325</v>
      </c>
      <c r="T415" s="26">
        <v>5</v>
      </c>
      <c r="U415" s="26">
        <v>5</v>
      </c>
      <c r="V415" s="26">
        <v>700</v>
      </c>
      <c r="W415" s="26">
        <f t="shared" si="90"/>
        <v>0</v>
      </c>
      <c r="X415" s="26">
        <f t="shared" si="78"/>
        <v>0</v>
      </c>
      <c r="Y415" s="26">
        <f t="shared" si="91"/>
        <v>0</v>
      </c>
      <c r="Z415" s="26">
        <f t="shared" si="92"/>
        <v>0</v>
      </c>
      <c r="AA415" s="33" t="s">
        <v>15</v>
      </c>
      <c r="AB415" s="36" t="s">
        <v>16</v>
      </c>
      <c r="AC415" s="181">
        <f t="shared" si="94"/>
        <v>5</v>
      </c>
      <c r="AD415" s="181">
        <f t="shared" si="93"/>
        <v>3500</v>
      </c>
      <c r="AE415" s="181">
        <v>3</v>
      </c>
      <c r="AF415" s="181">
        <v>3</v>
      </c>
      <c r="AG415" s="101" t="str">
        <f t="shared" si="95"/>
        <v/>
      </c>
      <c r="AH415" s="190">
        <v>0</v>
      </c>
      <c r="AI415" s="69">
        <f t="shared" si="84"/>
        <v>5</v>
      </c>
      <c r="AL415" s="69">
        <v>0</v>
      </c>
    </row>
    <row r="416" spans="1:38" s="69" customFormat="1" ht="49.5" customHeight="1" x14ac:dyDescent="0.3">
      <c r="A416" s="55" t="s">
        <v>1066</v>
      </c>
      <c r="B416" s="138" t="s">
        <v>1067</v>
      </c>
      <c r="C416" s="54" t="s">
        <v>66</v>
      </c>
      <c r="D416" s="75">
        <v>1</v>
      </c>
      <c r="E416" s="75"/>
      <c r="F416" s="75"/>
      <c r="G416" s="75"/>
      <c r="H416" s="75"/>
      <c r="I416" s="75">
        <v>15000</v>
      </c>
      <c r="J416" s="75">
        <v>15000</v>
      </c>
      <c r="K416" s="91" t="s">
        <v>1068</v>
      </c>
      <c r="L416" s="73"/>
      <c r="M416" s="46">
        <v>0</v>
      </c>
      <c r="N416" s="46">
        <v>0</v>
      </c>
      <c r="O416" s="46">
        <v>0</v>
      </c>
      <c r="P416" s="98"/>
      <c r="Q416" s="23" t="s">
        <v>1387</v>
      </c>
      <c r="R416" s="24" t="s">
        <v>1067</v>
      </c>
      <c r="S416" s="25" t="s">
        <v>66</v>
      </c>
      <c r="T416" s="26">
        <v>1</v>
      </c>
      <c r="U416" s="26">
        <v>1</v>
      </c>
      <c r="V416" s="26">
        <v>15000</v>
      </c>
      <c r="W416" s="26">
        <f t="shared" si="90"/>
        <v>0</v>
      </c>
      <c r="X416" s="26">
        <f t="shared" si="78"/>
        <v>0</v>
      </c>
      <c r="Y416" s="26">
        <f t="shared" si="91"/>
        <v>0</v>
      </c>
      <c r="Z416" s="26">
        <f t="shared" si="92"/>
        <v>0</v>
      </c>
      <c r="AA416" s="33" t="s">
        <v>15</v>
      </c>
      <c r="AB416" s="36" t="s">
        <v>16</v>
      </c>
      <c r="AC416" s="181">
        <f t="shared" si="94"/>
        <v>1</v>
      </c>
      <c r="AD416" s="181">
        <f t="shared" si="93"/>
        <v>15000</v>
      </c>
      <c r="AE416" s="181">
        <v>3</v>
      </c>
      <c r="AF416" s="181">
        <v>3</v>
      </c>
      <c r="AG416" s="101" t="str">
        <f t="shared" si="95"/>
        <v/>
      </c>
      <c r="AH416" s="190">
        <v>0</v>
      </c>
      <c r="AI416" s="69">
        <f t="shared" si="84"/>
        <v>1</v>
      </c>
      <c r="AL416" s="69">
        <v>0</v>
      </c>
    </row>
    <row r="417" spans="1:38" s="69" customFormat="1" ht="49.5" customHeight="1" x14ac:dyDescent="0.3">
      <c r="A417" s="55" t="s">
        <v>1069</v>
      </c>
      <c r="B417" s="138" t="s">
        <v>1070</v>
      </c>
      <c r="C417" s="54" t="s">
        <v>325</v>
      </c>
      <c r="D417" s="75">
        <v>1</v>
      </c>
      <c r="E417" s="75"/>
      <c r="F417" s="75"/>
      <c r="G417" s="75"/>
      <c r="H417" s="75"/>
      <c r="I417" s="75">
        <v>6000</v>
      </c>
      <c r="J417" s="75">
        <v>6000</v>
      </c>
      <c r="K417" s="91" t="s">
        <v>1071</v>
      </c>
      <c r="L417" s="73"/>
      <c r="M417" s="46">
        <v>0</v>
      </c>
      <c r="N417" s="46">
        <v>0</v>
      </c>
      <c r="O417" s="46">
        <v>0</v>
      </c>
      <c r="P417" s="98"/>
      <c r="Q417" s="23" t="s">
        <v>1405</v>
      </c>
      <c r="R417" s="24" t="s">
        <v>1070</v>
      </c>
      <c r="S417" s="25" t="s">
        <v>325</v>
      </c>
      <c r="T417" s="26">
        <v>1</v>
      </c>
      <c r="U417" s="26">
        <v>1</v>
      </c>
      <c r="V417" s="26">
        <v>6000</v>
      </c>
      <c r="W417" s="26">
        <f t="shared" si="90"/>
        <v>0</v>
      </c>
      <c r="X417" s="26">
        <f t="shared" si="78"/>
        <v>0</v>
      </c>
      <c r="Y417" s="26">
        <f t="shared" si="91"/>
        <v>0</v>
      </c>
      <c r="Z417" s="26">
        <f t="shared" si="92"/>
        <v>0</v>
      </c>
      <c r="AA417" s="33" t="s">
        <v>15</v>
      </c>
      <c r="AB417" s="36" t="s">
        <v>16</v>
      </c>
      <c r="AC417" s="181">
        <f t="shared" si="94"/>
        <v>1</v>
      </c>
      <c r="AD417" s="181">
        <f t="shared" si="93"/>
        <v>6000</v>
      </c>
      <c r="AE417" s="181">
        <v>3</v>
      </c>
      <c r="AF417" s="181">
        <v>3</v>
      </c>
      <c r="AG417" s="101" t="str">
        <f t="shared" si="95"/>
        <v/>
      </c>
      <c r="AH417" s="190">
        <v>0</v>
      </c>
      <c r="AI417" s="69">
        <f t="shared" si="84"/>
        <v>1</v>
      </c>
      <c r="AL417" s="69">
        <v>0</v>
      </c>
    </row>
    <row r="418" spans="1:38" s="69" customFormat="1" ht="92.25" customHeight="1" x14ac:dyDescent="0.3">
      <c r="A418" s="55" t="s">
        <v>1072</v>
      </c>
      <c r="B418" s="138" t="s">
        <v>3141</v>
      </c>
      <c r="C418" s="54" t="s">
        <v>325</v>
      </c>
      <c r="D418" s="75">
        <v>1</v>
      </c>
      <c r="E418" s="75"/>
      <c r="F418" s="75"/>
      <c r="G418" s="75"/>
      <c r="H418" s="75"/>
      <c r="I418" s="75">
        <v>49500</v>
      </c>
      <c r="J418" s="75">
        <v>49500</v>
      </c>
      <c r="K418" s="91" t="s">
        <v>1074</v>
      </c>
      <c r="L418" s="73"/>
      <c r="M418" s="46">
        <v>0</v>
      </c>
      <c r="N418" s="46">
        <v>0</v>
      </c>
      <c r="O418" s="46">
        <v>0</v>
      </c>
      <c r="P418" s="98"/>
      <c r="Q418" s="23" t="s">
        <v>1406</v>
      </c>
      <c r="R418" s="24" t="s">
        <v>1073</v>
      </c>
      <c r="S418" s="25" t="s">
        <v>325</v>
      </c>
      <c r="T418" s="26">
        <v>1</v>
      </c>
      <c r="U418" s="26">
        <v>1</v>
      </c>
      <c r="V418" s="26">
        <v>49500</v>
      </c>
      <c r="W418" s="26">
        <f t="shared" si="90"/>
        <v>0</v>
      </c>
      <c r="X418" s="26">
        <f t="shared" si="78"/>
        <v>0</v>
      </c>
      <c r="Y418" s="26">
        <f t="shared" si="91"/>
        <v>0</v>
      </c>
      <c r="Z418" s="26">
        <f t="shared" si="92"/>
        <v>0</v>
      </c>
      <c r="AA418" s="33" t="s">
        <v>15</v>
      </c>
      <c r="AB418" s="36" t="s">
        <v>16</v>
      </c>
      <c r="AC418" s="181">
        <f t="shared" si="94"/>
        <v>1</v>
      </c>
      <c r="AD418" s="181">
        <f t="shared" si="93"/>
        <v>49500</v>
      </c>
      <c r="AE418" s="181">
        <v>3</v>
      </c>
      <c r="AF418" s="181">
        <v>3</v>
      </c>
      <c r="AG418" s="101" t="str">
        <f t="shared" si="95"/>
        <v/>
      </c>
      <c r="AH418" s="190">
        <v>0</v>
      </c>
      <c r="AI418" s="69">
        <f t="shared" si="84"/>
        <v>1</v>
      </c>
      <c r="AL418" s="69">
        <v>0</v>
      </c>
    </row>
    <row r="419" spans="1:38" s="69" customFormat="1" ht="66" customHeight="1" x14ac:dyDescent="0.3">
      <c r="A419" s="55" t="s">
        <v>1075</v>
      </c>
      <c r="B419" s="138" t="s">
        <v>3118</v>
      </c>
      <c r="C419" s="54" t="s">
        <v>325</v>
      </c>
      <c r="D419" s="75">
        <v>8</v>
      </c>
      <c r="E419" s="75"/>
      <c r="F419" s="75"/>
      <c r="G419" s="75"/>
      <c r="H419" s="75"/>
      <c r="I419" s="75">
        <v>3000</v>
      </c>
      <c r="J419" s="75">
        <v>24000</v>
      </c>
      <c r="K419" s="91" t="s">
        <v>1077</v>
      </c>
      <c r="L419" s="73"/>
      <c r="M419" s="46">
        <v>0</v>
      </c>
      <c r="N419" s="46">
        <v>0</v>
      </c>
      <c r="O419" s="46">
        <v>0</v>
      </c>
      <c r="P419" s="98"/>
      <c r="Q419" s="23" t="s">
        <v>1414</v>
      </c>
      <c r="R419" s="24" t="s">
        <v>1076</v>
      </c>
      <c r="S419" s="25" t="s">
        <v>325</v>
      </c>
      <c r="T419" s="26">
        <v>8</v>
      </c>
      <c r="U419" s="26">
        <v>8</v>
      </c>
      <c r="V419" s="26">
        <v>3000</v>
      </c>
      <c r="W419" s="26">
        <f t="shared" si="90"/>
        <v>0</v>
      </c>
      <c r="X419" s="26">
        <f t="shared" si="78"/>
        <v>0</v>
      </c>
      <c r="Y419" s="26">
        <f t="shared" si="91"/>
        <v>0</v>
      </c>
      <c r="Z419" s="26">
        <f t="shared" si="92"/>
        <v>0</v>
      </c>
      <c r="AA419" s="33" t="s">
        <v>15</v>
      </c>
      <c r="AB419" s="36" t="s">
        <v>16</v>
      </c>
      <c r="AC419" s="181">
        <f t="shared" si="94"/>
        <v>8</v>
      </c>
      <c r="AD419" s="181">
        <f t="shared" si="93"/>
        <v>24000</v>
      </c>
      <c r="AE419" s="181">
        <v>3</v>
      </c>
      <c r="AF419" s="181">
        <v>3</v>
      </c>
      <c r="AG419" s="101" t="str">
        <f t="shared" si="95"/>
        <v/>
      </c>
      <c r="AH419" s="190">
        <v>0</v>
      </c>
      <c r="AI419" s="69">
        <f t="shared" si="84"/>
        <v>8</v>
      </c>
      <c r="AL419" s="69">
        <v>0</v>
      </c>
    </row>
    <row r="420" spans="1:38" s="69" customFormat="1" ht="33" customHeight="1" x14ac:dyDescent="0.3">
      <c r="A420" s="55" t="s">
        <v>1078</v>
      </c>
      <c r="B420" s="138" t="s">
        <v>1079</v>
      </c>
      <c r="C420" s="54" t="s">
        <v>66</v>
      </c>
      <c r="D420" s="75">
        <v>75</v>
      </c>
      <c r="E420" s="75"/>
      <c r="F420" s="75"/>
      <c r="G420" s="75"/>
      <c r="H420" s="75"/>
      <c r="I420" s="75">
        <v>12000</v>
      </c>
      <c r="J420" s="75">
        <v>900000</v>
      </c>
      <c r="K420" s="91" t="s">
        <v>1080</v>
      </c>
      <c r="L420" s="73"/>
      <c r="M420" s="46">
        <v>50</v>
      </c>
      <c r="N420" s="46">
        <v>0</v>
      </c>
      <c r="O420" s="46">
        <v>600000</v>
      </c>
      <c r="P420" s="98"/>
      <c r="Q420" s="23" t="s">
        <v>1429</v>
      </c>
      <c r="R420" s="24" t="s">
        <v>1079</v>
      </c>
      <c r="S420" s="25" t="s">
        <v>66</v>
      </c>
      <c r="T420" s="26">
        <v>75</v>
      </c>
      <c r="U420" s="26">
        <v>75</v>
      </c>
      <c r="V420" s="26">
        <v>12000</v>
      </c>
      <c r="W420" s="128">
        <f t="shared" si="90"/>
        <v>0</v>
      </c>
      <c r="X420" s="26">
        <f t="shared" si="78"/>
        <v>50</v>
      </c>
      <c r="Y420" s="26">
        <f t="shared" si="91"/>
        <v>0</v>
      </c>
      <c r="Z420" s="26">
        <f t="shared" si="92"/>
        <v>600000</v>
      </c>
      <c r="AA420" s="33" t="s">
        <v>15</v>
      </c>
      <c r="AB420" s="36" t="s">
        <v>16</v>
      </c>
      <c r="AC420" s="181">
        <f t="shared" si="94"/>
        <v>75</v>
      </c>
      <c r="AD420" s="181">
        <f t="shared" si="93"/>
        <v>900000</v>
      </c>
      <c r="AE420" s="181">
        <v>3</v>
      </c>
      <c r="AF420" s="181">
        <v>3</v>
      </c>
      <c r="AG420" s="101" t="str">
        <f t="shared" si="95"/>
        <v/>
      </c>
      <c r="AH420" s="191">
        <f>32+18</f>
        <v>50</v>
      </c>
      <c r="AI420" s="69">
        <f t="shared" si="84"/>
        <v>75</v>
      </c>
      <c r="AL420" s="69">
        <v>0</v>
      </c>
    </row>
    <row r="421" spans="1:38" s="69" customFormat="1" ht="33" customHeight="1" x14ac:dyDescent="0.3">
      <c r="A421" s="55" t="s">
        <v>1081</v>
      </c>
      <c r="B421" s="138" t="s">
        <v>1082</v>
      </c>
      <c r="C421" s="54" t="s">
        <v>1014</v>
      </c>
      <c r="D421" s="75">
        <v>75</v>
      </c>
      <c r="E421" s="75"/>
      <c r="F421" s="75"/>
      <c r="G421" s="75"/>
      <c r="H421" s="75"/>
      <c r="I421" s="75">
        <v>1500</v>
      </c>
      <c r="J421" s="75">
        <v>112500</v>
      </c>
      <c r="K421" s="91" t="s">
        <v>1083</v>
      </c>
      <c r="L421" s="73"/>
      <c r="M421" s="46">
        <v>0</v>
      </c>
      <c r="N421" s="46">
        <v>0</v>
      </c>
      <c r="O421" s="46">
        <v>0</v>
      </c>
      <c r="P421" s="98"/>
      <c r="Q421" s="23" t="s">
        <v>1430</v>
      </c>
      <c r="R421" s="24" t="s">
        <v>1082</v>
      </c>
      <c r="S421" s="25" t="s">
        <v>1014</v>
      </c>
      <c r="T421" s="26">
        <v>75</v>
      </c>
      <c r="U421" s="26">
        <v>75</v>
      </c>
      <c r="V421" s="26">
        <v>1500</v>
      </c>
      <c r="W421" s="26">
        <f t="shared" si="90"/>
        <v>0</v>
      </c>
      <c r="X421" s="26">
        <f t="shared" si="78"/>
        <v>0</v>
      </c>
      <c r="Y421" s="26">
        <f t="shared" si="91"/>
        <v>0</v>
      </c>
      <c r="Z421" s="26">
        <f t="shared" si="92"/>
        <v>0</v>
      </c>
      <c r="AA421" s="33" t="s">
        <v>15</v>
      </c>
      <c r="AB421" s="36" t="s">
        <v>16</v>
      </c>
      <c r="AC421" s="181">
        <f t="shared" si="94"/>
        <v>75</v>
      </c>
      <c r="AD421" s="181">
        <f t="shared" si="93"/>
        <v>112500</v>
      </c>
      <c r="AE421" s="181">
        <v>3</v>
      </c>
      <c r="AF421" s="181">
        <v>3</v>
      </c>
      <c r="AG421" s="101" t="str">
        <f t="shared" si="95"/>
        <v/>
      </c>
      <c r="AH421" s="190">
        <v>0</v>
      </c>
      <c r="AI421" s="69">
        <f t="shared" si="84"/>
        <v>75</v>
      </c>
      <c r="AL421" s="69">
        <v>0</v>
      </c>
    </row>
    <row r="422" spans="1:38" s="69" customFormat="1" ht="66" customHeight="1" x14ac:dyDescent="0.3">
      <c r="A422" s="55" t="s">
        <v>1084</v>
      </c>
      <c r="B422" s="138" t="s">
        <v>1085</v>
      </c>
      <c r="C422" s="54" t="s">
        <v>325</v>
      </c>
      <c r="D422" s="75">
        <v>1</v>
      </c>
      <c r="E422" s="75"/>
      <c r="F422" s="75"/>
      <c r="G422" s="75"/>
      <c r="H422" s="75"/>
      <c r="I422" s="75">
        <v>12000</v>
      </c>
      <c r="J422" s="75">
        <v>12000</v>
      </c>
      <c r="K422" s="91" t="s">
        <v>1086</v>
      </c>
      <c r="L422" s="73"/>
      <c r="M422" s="46">
        <v>0</v>
      </c>
      <c r="N422" s="46">
        <v>0</v>
      </c>
      <c r="O422" s="46">
        <v>0</v>
      </c>
      <c r="P422" s="98"/>
      <c r="Q422" s="23" t="s">
        <v>1431</v>
      </c>
      <c r="R422" s="24" t="s">
        <v>1085</v>
      </c>
      <c r="S422" s="25" t="s">
        <v>325</v>
      </c>
      <c r="T422" s="26">
        <v>1</v>
      </c>
      <c r="U422" s="26">
        <v>1</v>
      </c>
      <c r="V422" s="26">
        <v>12000</v>
      </c>
      <c r="W422" s="26">
        <f t="shared" si="90"/>
        <v>0</v>
      </c>
      <c r="X422" s="26">
        <f t="shared" si="78"/>
        <v>0</v>
      </c>
      <c r="Y422" s="26">
        <f t="shared" si="91"/>
        <v>0</v>
      </c>
      <c r="Z422" s="26">
        <f t="shared" si="92"/>
        <v>0</v>
      </c>
      <c r="AA422" s="33" t="s">
        <v>15</v>
      </c>
      <c r="AB422" s="36" t="s">
        <v>16</v>
      </c>
      <c r="AC422" s="181">
        <f t="shared" si="94"/>
        <v>1</v>
      </c>
      <c r="AD422" s="181">
        <f t="shared" si="93"/>
        <v>12000</v>
      </c>
      <c r="AE422" s="181">
        <v>3</v>
      </c>
      <c r="AF422" s="181">
        <v>3</v>
      </c>
      <c r="AG422" s="101" t="str">
        <f t="shared" si="95"/>
        <v/>
      </c>
      <c r="AH422" s="190">
        <v>0</v>
      </c>
      <c r="AI422" s="69">
        <f t="shared" si="84"/>
        <v>1</v>
      </c>
      <c r="AL422" s="69">
        <v>0</v>
      </c>
    </row>
    <row r="423" spans="1:38" s="69" customFormat="1" ht="49.5" customHeight="1" x14ac:dyDescent="0.3">
      <c r="A423" s="55" t="s">
        <v>1087</v>
      </c>
      <c r="B423" s="138" t="s">
        <v>1088</v>
      </c>
      <c r="C423" s="54" t="s">
        <v>325</v>
      </c>
      <c r="D423" s="75">
        <v>1</v>
      </c>
      <c r="E423" s="75"/>
      <c r="F423" s="75"/>
      <c r="G423" s="75"/>
      <c r="H423" s="75"/>
      <c r="I423" s="75">
        <v>2000</v>
      </c>
      <c r="J423" s="75">
        <v>2000</v>
      </c>
      <c r="K423" s="91" t="s">
        <v>1089</v>
      </c>
      <c r="L423" s="73"/>
      <c r="M423" s="46">
        <v>0</v>
      </c>
      <c r="N423" s="46">
        <v>0</v>
      </c>
      <c r="O423" s="46">
        <v>0</v>
      </c>
      <c r="P423" s="98"/>
      <c r="Q423" s="23" t="s">
        <v>1395</v>
      </c>
      <c r="R423" s="24" t="s">
        <v>1088</v>
      </c>
      <c r="S423" s="25" t="s">
        <v>325</v>
      </c>
      <c r="T423" s="26">
        <v>1</v>
      </c>
      <c r="U423" s="26">
        <v>1</v>
      </c>
      <c r="V423" s="26">
        <v>2000</v>
      </c>
      <c r="W423" s="26">
        <f t="shared" si="90"/>
        <v>0</v>
      </c>
      <c r="X423" s="26">
        <f t="shared" si="78"/>
        <v>0</v>
      </c>
      <c r="Y423" s="26">
        <f t="shared" si="91"/>
        <v>0</v>
      </c>
      <c r="Z423" s="26">
        <f t="shared" si="92"/>
        <v>0</v>
      </c>
      <c r="AA423" s="33" t="s">
        <v>15</v>
      </c>
      <c r="AB423" s="36" t="s">
        <v>16</v>
      </c>
      <c r="AC423" s="181">
        <f t="shared" si="94"/>
        <v>1</v>
      </c>
      <c r="AD423" s="181">
        <f t="shared" si="93"/>
        <v>2000</v>
      </c>
      <c r="AE423" s="181">
        <v>3</v>
      </c>
      <c r="AF423" s="181">
        <v>3</v>
      </c>
      <c r="AG423" s="101" t="str">
        <f t="shared" si="95"/>
        <v/>
      </c>
      <c r="AH423" s="190">
        <v>0</v>
      </c>
      <c r="AI423" s="69">
        <f t="shared" si="84"/>
        <v>1</v>
      </c>
      <c r="AL423" s="69">
        <v>0</v>
      </c>
    </row>
    <row r="424" spans="1:38" s="69" customFormat="1" ht="66" customHeight="1" x14ac:dyDescent="0.3">
      <c r="A424" s="55" t="s">
        <v>1090</v>
      </c>
      <c r="B424" s="138" t="s">
        <v>3119</v>
      </c>
      <c r="C424" s="54" t="s">
        <v>325</v>
      </c>
      <c r="D424" s="75">
        <v>14</v>
      </c>
      <c r="E424" s="75"/>
      <c r="F424" s="75"/>
      <c r="G424" s="75"/>
      <c r="H424" s="75"/>
      <c r="I424" s="75">
        <v>3000</v>
      </c>
      <c r="J424" s="75">
        <v>42000</v>
      </c>
      <c r="K424" s="91" t="s">
        <v>1092</v>
      </c>
      <c r="L424" s="73"/>
      <c r="M424" s="46">
        <v>0</v>
      </c>
      <c r="N424" s="46">
        <v>0</v>
      </c>
      <c r="O424" s="46">
        <v>0</v>
      </c>
      <c r="P424" s="98"/>
      <c r="Q424" s="23" t="s">
        <v>1432</v>
      </c>
      <c r="R424" s="24" t="s">
        <v>1091</v>
      </c>
      <c r="S424" s="25" t="s">
        <v>325</v>
      </c>
      <c r="T424" s="26">
        <v>14</v>
      </c>
      <c r="U424" s="26">
        <v>14</v>
      </c>
      <c r="V424" s="26">
        <v>3000</v>
      </c>
      <c r="W424" s="26">
        <f t="shared" si="90"/>
        <v>0</v>
      </c>
      <c r="X424" s="26">
        <f t="shared" si="78"/>
        <v>0</v>
      </c>
      <c r="Y424" s="26">
        <f t="shared" si="91"/>
        <v>0</v>
      </c>
      <c r="Z424" s="26">
        <f t="shared" si="92"/>
        <v>0</v>
      </c>
      <c r="AA424" s="33" t="s">
        <v>15</v>
      </c>
      <c r="AB424" s="36" t="s">
        <v>16</v>
      </c>
      <c r="AC424" s="181">
        <f t="shared" si="94"/>
        <v>14</v>
      </c>
      <c r="AD424" s="181">
        <f t="shared" si="93"/>
        <v>42000</v>
      </c>
      <c r="AE424" s="181">
        <v>3</v>
      </c>
      <c r="AF424" s="181">
        <v>3</v>
      </c>
      <c r="AG424" s="101" t="str">
        <f t="shared" si="95"/>
        <v/>
      </c>
      <c r="AH424" s="190">
        <v>0</v>
      </c>
      <c r="AI424" s="69">
        <f t="shared" si="84"/>
        <v>14</v>
      </c>
      <c r="AL424" s="69">
        <v>0</v>
      </c>
    </row>
    <row r="425" spans="1:38" s="69" customFormat="1" ht="49.5" customHeight="1" x14ac:dyDescent="0.3">
      <c r="A425" s="55" t="s">
        <v>1093</v>
      </c>
      <c r="B425" s="138" t="s">
        <v>1094</v>
      </c>
      <c r="C425" s="54" t="s">
        <v>325</v>
      </c>
      <c r="D425" s="75">
        <v>3</v>
      </c>
      <c r="E425" s="75"/>
      <c r="F425" s="75"/>
      <c r="G425" s="75"/>
      <c r="H425" s="75"/>
      <c r="I425" s="75">
        <v>1400</v>
      </c>
      <c r="J425" s="75">
        <v>4200</v>
      </c>
      <c r="K425" s="91" t="s">
        <v>1095</v>
      </c>
      <c r="L425" s="73"/>
      <c r="M425" s="46">
        <v>0</v>
      </c>
      <c r="N425" s="46">
        <v>0</v>
      </c>
      <c r="O425" s="46">
        <v>0</v>
      </c>
      <c r="P425" s="98"/>
      <c r="Q425" s="23" t="s">
        <v>1433</v>
      </c>
      <c r="R425" s="24" t="s">
        <v>1094</v>
      </c>
      <c r="S425" s="25" t="s">
        <v>325</v>
      </c>
      <c r="T425" s="26">
        <v>3</v>
      </c>
      <c r="U425" s="26">
        <v>3</v>
      </c>
      <c r="V425" s="26">
        <v>1400</v>
      </c>
      <c r="W425" s="26">
        <f t="shared" si="90"/>
        <v>0</v>
      </c>
      <c r="X425" s="26">
        <f t="shared" si="78"/>
        <v>0</v>
      </c>
      <c r="Y425" s="26">
        <f t="shared" si="91"/>
        <v>0</v>
      </c>
      <c r="Z425" s="26">
        <f t="shared" si="92"/>
        <v>0</v>
      </c>
      <c r="AA425" s="33" t="s">
        <v>15</v>
      </c>
      <c r="AB425" s="36" t="s">
        <v>16</v>
      </c>
      <c r="AC425" s="181">
        <f t="shared" si="94"/>
        <v>3</v>
      </c>
      <c r="AD425" s="181">
        <f t="shared" si="93"/>
        <v>4200</v>
      </c>
      <c r="AE425" s="181">
        <v>3</v>
      </c>
      <c r="AF425" s="181">
        <v>3</v>
      </c>
      <c r="AG425" s="101" t="str">
        <f t="shared" si="95"/>
        <v/>
      </c>
      <c r="AH425" s="190">
        <v>0</v>
      </c>
      <c r="AI425" s="69">
        <f t="shared" si="84"/>
        <v>3</v>
      </c>
      <c r="AL425" s="69">
        <v>0</v>
      </c>
    </row>
    <row r="426" spans="1:38" s="69" customFormat="1" ht="66" customHeight="1" x14ac:dyDescent="0.3">
      <c r="A426" s="55" t="s">
        <v>1096</v>
      </c>
      <c r="B426" s="138" t="s">
        <v>3140</v>
      </c>
      <c r="C426" s="54" t="s">
        <v>66</v>
      </c>
      <c r="D426" s="75">
        <v>5</v>
      </c>
      <c r="E426" s="75"/>
      <c r="F426" s="75"/>
      <c r="G426" s="75"/>
      <c r="H426" s="75"/>
      <c r="I426" s="75">
        <v>18000</v>
      </c>
      <c r="J426" s="75">
        <v>90000</v>
      </c>
      <c r="K426" s="91" t="s">
        <v>1098</v>
      </c>
      <c r="L426" s="73"/>
      <c r="M426" s="46">
        <v>0</v>
      </c>
      <c r="N426" s="46">
        <v>0</v>
      </c>
      <c r="O426" s="46">
        <v>0</v>
      </c>
      <c r="P426" s="98"/>
      <c r="Q426" s="23" t="s">
        <v>1382</v>
      </c>
      <c r="R426" s="24" t="s">
        <v>1097</v>
      </c>
      <c r="S426" s="25" t="s">
        <v>66</v>
      </c>
      <c r="T426" s="26">
        <v>5</v>
      </c>
      <c r="U426" s="26">
        <v>5</v>
      </c>
      <c r="V426" s="26">
        <v>18000</v>
      </c>
      <c r="W426" s="26">
        <f t="shared" si="90"/>
        <v>0</v>
      </c>
      <c r="X426" s="26">
        <f t="shared" si="78"/>
        <v>0</v>
      </c>
      <c r="Y426" s="26">
        <f t="shared" si="91"/>
        <v>0</v>
      </c>
      <c r="Z426" s="26">
        <f t="shared" si="92"/>
        <v>0</v>
      </c>
      <c r="AA426" s="33" t="s">
        <v>15</v>
      </c>
      <c r="AB426" s="36" t="s">
        <v>16</v>
      </c>
      <c r="AC426" s="181">
        <f t="shared" si="94"/>
        <v>5</v>
      </c>
      <c r="AD426" s="181">
        <f t="shared" si="93"/>
        <v>90000</v>
      </c>
      <c r="AE426" s="181">
        <v>3</v>
      </c>
      <c r="AF426" s="181">
        <v>3</v>
      </c>
      <c r="AG426" s="101" t="str">
        <f t="shared" si="95"/>
        <v/>
      </c>
      <c r="AH426" s="190">
        <v>0</v>
      </c>
      <c r="AI426" s="69">
        <f t="shared" si="84"/>
        <v>5</v>
      </c>
      <c r="AL426" s="69">
        <v>0</v>
      </c>
    </row>
    <row r="427" spans="1:38" s="69" customFormat="1" ht="49.5" customHeight="1" x14ac:dyDescent="0.3">
      <c r="A427" s="55" t="s">
        <v>1099</v>
      </c>
      <c r="B427" s="138" t="s">
        <v>1100</v>
      </c>
      <c r="C427" s="54" t="s">
        <v>66</v>
      </c>
      <c r="D427" s="75">
        <v>1</v>
      </c>
      <c r="E427" s="75"/>
      <c r="F427" s="75"/>
      <c r="G427" s="75"/>
      <c r="H427" s="75"/>
      <c r="I427" s="75">
        <v>9000</v>
      </c>
      <c r="J427" s="75">
        <v>9000</v>
      </c>
      <c r="K427" s="91" t="s">
        <v>1101</v>
      </c>
      <c r="L427" s="73"/>
      <c r="M427" s="46">
        <v>0</v>
      </c>
      <c r="N427" s="46">
        <v>0</v>
      </c>
      <c r="O427" s="46">
        <v>0</v>
      </c>
      <c r="P427" s="98"/>
      <c r="Q427" s="23" t="s">
        <v>1434</v>
      </c>
      <c r="R427" s="24" t="s">
        <v>1100</v>
      </c>
      <c r="S427" s="25" t="s">
        <v>66</v>
      </c>
      <c r="T427" s="26">
        <v>1</v>
      </c>
      <c r="U427" s="26">
        <v>1</v>
      </c>
      <c r="V427" s="26">
        <v>9000</v>
      </c>
      <c r="W427" s="26">
        <f t="shared" si="90"/>
        <v>0</v>
      </c>
      <c r="X427" s="26">
        <f t="shared" si="78"/>
        <v>0</v>
      </c>
      <c r="Y427" s="26">
        <f t="shared" si="91"/>
        <v>0</v>
      </c>
      <c r="Z427" s="26">
        <f t="shared" si="92"/>
        <v>0</v>
      </c>
      <c r="AA427" s="33" t="s">
        <v>15</v>
      </c>
      <c r="AB427" s="36" t="s">
        <v>16</v>
      </c>
      <c r="AC427" s="181">
        <f t="shared" si="94"/>
        <v>1</v>
      </c>
      <c r="AD427" s="181">
        <f t="shared" si="93"/>
        <v>9000</v>
      </c>
      <c r="AE427" s="181">
        <v>3</v>
      </c>
      <c r="AF427" s="181">
        <v>3</v>
      </c>
      <c r="AG427" s="101" t="str">
        <f t="shared" si="95"/>
        <v/>
      </c>
      <c r="AH427" s="190">
        <v>0</v>
      </c>
      <c r="AI427" s="69">
        <f t="shared" si="84"/>
        <v>1</v>
      </c>
      <c r="AL427" s="69">
        <v>0</v>
      </c>
    </row>
    <row r="428" spans="1:38" s="69" customFormat="1" ht="49.5" customHeight="1" x14ac:dyDescent="0.3">
      <c r="A428" s="55" t="s">
        <v>1102</v>
      </c>
      <c r="B428" s="138" t="s">
        <v>3120</v>
      </c>
      <c r="C428" s="54" t="s">
        <v>325</v>
      </c>
      <c r="D428" s="75">
        <v>3</v>
      </c>
      <c r="E428" s="75"/>
      <c r="F428" s="75"/>
      <c r="G428" s="75"/>
      <c r="H428" s="75"/>
      <c r="I428" s="75">
        <v>6000</v>
      </c>
      <c r="J428" s="75">
        <v>18000</v>
      </c>
      <c r="K428" s="91" t="s">
        <v>1104</v>
      </c>
      <c r="L428" s="73"/>
      <c r="M428" s="46">
        <v>0</v>
      </c>
      <c r="N428" s="46">
        <v>0</v>
      </c>
      <c r="O428" s="46">
        <v>0</v>
      </c>
      <c r="P428" s="98"/>
      <c r="Q428" s="23" t="s">
        <v>1388</v>
      </c>
      <c r="R428" s="24" t="s">
        <v>1103</v>
      </c>
      <c r="S428" s="25" t="s">
        <v>325</v>
      </c>
      <c r="T428" s="26">
        <v>3</v>
      </c>
      <c r="U428" s="26">
        <v>3</v>
      </c>
      <c r="V428" s="26">
        <v>6000</v>
      </c>
      <c r="W428" s="26">
        <f t="shared" si="90"/>
        <v>0</v>
      </c>
      <c r="X428" s="26">
        <f t="shared" si="78"/>
        <v>0</v>
      </c>
      <c r="Y428" s="26">
        <f t="shared" si="91"/>
        <v>0</v>
      </c>
      <c r="Z428" s="26">
        <f t="shared" si="92"/>
        <v>0</v>
      </c>
      <c r="AA428" s="33" t="s">
        <v>15</v>
      </c>
      <c r="AB428" s="36" t="s">
        <v>16</v>
      </c>
      <c r="AC428" s="181">
        <f t="shared" si="94"/>
        <v>3</v>
      </c>
      <c r="AD428" s="181">
        <f t="shared" si="93"/>
        <v>18000</v>
      </c>
      <c r="AE428" s="181">
        <v>3</v>
      </c>
      <c r="AF428" s="181">
        <v>3</v>
      </c>
      <c r="AG428" s="101" t="str">
        <f t="shared" si="95"/>
        <v/>
      </c>
      <c r="AH428" s="190">
        <v>0</v>
      </c>
      <c r="AI428" s="69">
        <f t="shared" si="84"/>
        <v>3</v>
      </c>
      <c r="AL428" s="69">
        <v>0</v>
      </c>
    </row>
    <row r="429" spans="1:38" s="69" customFormat="1" ht="49.5" customHeight="1" x14ac:dyDescent="0.3">
      <c r="A429" s="55" t="s">
        <v>1105</v>
      </c>
      <c r="B429" s="138" t="s">
        <v>3121</v>
      </c>
      <c r="C429" s="54" t="s">
        <v>66</v>
      </c>
      <c r="D429" s="75">
        <v>1</v>
      </c>
      <c r="E429" s="75"/>
      <c r="F429" s="75"/>
      <c r="G429" s="75"/>
      <c r="H429" s="75"/>
      <c r="I429" s="75">
        <v>2500</v>
      </c>
      <c r="J429" s="75">
        <v>2500</v>
      </c>
      <c r="K429" s="91" t="s">
        <v>1107</v>
      </c>
      <c r="L429" s="73"/>
      <c r="M429" s="46">
        <v>0</v>
      </c>
      <c r="N429" s="46">
        <v>0</v>
      </c>
      <c r="O429" s="46">
        <v>0</v>
      </c>
      <c r="P429" s="98"/>
      <c r="Q429" s="23" t="s">
        <v>1389</v>
      </c>
      <c r="R429" s="24" t="s">
        <v>1106</v>
      </c>
      <c r="S429" s="25" t="s">
        <v>66</v>
      </c>
      <c r="T429" s="26">
        <v>1</v>
      </c>
      <c r="U429" s="26">
        <v>1</v>
      </c>
      <c r="V429" s="26">
        <v>2500</v>
      </c>
      <c r="W429" s="26">
        <f t="shared" si="90"/>
        <v>0</v>
      </c>
      <c r="X429" s="26">
        <f t="shared" si="78"/>
        <v>0</v>
      </c>
      <c r="Y429" s="26">
        <f t="shared" si="91"/>
        <v>0</v>
      </c>
      <c r="Z429" s="26">
        <f t="shared" si="92"/>
        <v>0</v>
      </c>
      <c r="AA429" s="33" t="s">
        <v>15</v>
      </c>
      <c r="AB429" s="36" t="s">
        <v>16</v>
      </c>
      <c r="AC429" s="181">
        <f t="shared" si="94"/>
        <v>1</v>
      </c>
      <c r="AD429" s="181">
        <f t="shared" si="93"/>
        <v>2500</v>
      </c>
      <c r="AE429" s="181">
        <v>3</v>
      </c>
      <c r="AF429" s="181">
        <v>3</v>
      </c>
      <c r="AG429" s="101" t="str">
        <f t="shared" si="95"/>
        <v/>
      </c>
      <c r="AH429" s="190">
        <v>0</v>
      </c>
      <c r="AI429" s="69">
        <f t="shared" si="84"/>
        <v>1</v>
      </c>
      <c r="AL429" s="69">
        <v>0</v>
      </c>
    </row>
    <row r="430" spans="1:38" s="69" customFormat="1" ht="49.5" customHeight="1" x14ac:dyDescent="0.3">
      <c r="A430" s="55" t="s">
        <v>1108</v>
      </c>
      <c r="B430" s="138" t="s">
        <v>1109</v>
      </c>
      <c r="C430" s="54" t="s">
        <v>66</v>
      </c>
      <c r="D430" s="75">
        <v>1</v>
      </c>
      <c r="E430" s="75"/>
      <c r="F430" s="75"/>
      <c r="G430" s="75"/>
      <c r="H430" s="75"/>
      <c r="I430" s="75">
        <v>2500</v>
      </c>
      <c r="J430" s="75">
        <v>2500</v>
      </c>
      <c r="K430" s="91" t="s">
        <v>1110</v>
      </c>
      <c r="L430" s="73"/>
      <c r="M430" s="46">
        <v>0</v>
      </c>
      <c r="N430" s="46">
        <v>0</v>
      </c>
      <c r="O430" s="46">
        <v>0</v>
      </c>
      <c r="P430" s="98"/>
      <c r="Q430" s="23" t="s">
        <v>1390</v>
      </c>
      <c r="R430" s="24" t="s">
        <v>1109</v>
      </c>
      <c r="S430" s="25" t="s">
        <v>66</v>
      </c>
      <c r="T430" s="26">
        <v>1</v>
      </c>
      <c r="U430" s="26">
        <v>1</v>
      </c>
      <c r="V430" s="26">
        <v>2500</v>
      </c>
      <c r="W430" s="26">
        <f t="shared" si="90"/>
        <v>0</v>
      </c>
      <c r="X430" s="26">
        <f t="shared" si="78"/>
        <v>0</v>
      </c>
      <c r="Y430" s="26">
        <f t="shared" si="91"/>
        <v>0</v>
      </c>
      <c r="Z430" s="26">
        <f t="shared" si="92"/>
        <v>0</v>
      </c>
      <c r="AA430" s="33" t="s">
        <v>15</v>
      </c>
      <c r="AB430" s="36" t="s">
        <v>16</v>
      </c>
      <c r="AC430" s="181">
        <f t="shared" si="94"/>
        <v>1</v>
      </c>
      <c r="AD430" s="181">
        <f t="shared" si="93"/>
        <v>2500</v>
      </c>
      <c r="AE430" s="181">
        <v>3</v>
      </c>
      <c r="AF430" s="181">
        <v>3</v>
      </c>
      <c r="AG430" s="101" t="str">
        <f t="shared" si="95"/>
        <v/>
      </c>
      <c r="AH430" s="190">
        <v>0</v>
      </c>
      <c r="AI430" s="69">
        <f t="shared" si="84"/>
        <v>1</v>
      </c>
      <c r="AL430" s="69">
        <v>0</v>
      </c>
    </row>
    <row r="431" spans="1:38" s="69" customFormat="1" ht="49.5" customHeight="1" x14ac:dyDescent="0.3">
      <c r="A431" s="55" t="s">
        <v>1111</v>
      </c>
      <c r="B431" s="138" t="s">
        <v>3122</v>
      </c>
      <c r="C431" s="54" t="s">
        <v>325</v>
      </c>
      <c r="D431" s="75">
        <v>4</v>
      </c>
      <c r="E431" s="75"/>
      <c r="F431" s="75"/>
      <c r="G431" s="75"/>
      <c r="H431" s="75"/>
      <c r="I431" s="75">
        <v>3000</v>
      </c>
      <c r="J431" s="75">
        <v>12000</v>
      </c>
      <c r="K431" s="91" t="s">
        <v>1113</v>
      </c>
      <c r="L431" s="73"/>
      <c r="M431" s="46">
        <v>0</v>
      </c>
      <c r="N431" s="46">
        <v>0</v>
      </c>
      <c r="O431" s="46">
        <v>0</v>
      </c>
      <c r="P431" s="98"/>
      <c r="Q431" s="23" t="s">
        <v>1391</v>
      </c>
      <c r="R431" s="24" t="s">
        <v>1112</v>
      </c>
      <c r="S431" s="25" t="s">
        <v>325</v>
      </c>
      <c r="T431" s="26">
        <v>4</v>
      </c>
      <c r="U431" s="26">
        <v>4</v>
      </c>
      <c r="V431" s="26">
        <v>3000</v>
      </c>
      <c r="W431" s="26">
        <f t="shared" si="90"/>
        <v>0</v>
      </c>
      <c r="X431" s="26">
        <f t="shared" si="78"/>
        <v>0</v>
      </c>
      <c r="Y431" s="26">
        <f t="shared" si="91"/>
        <v>0</v>
      </c>
      <c r="Z431" s="26">
        <f t="shared" si="92"/>
        <v>0</v>
      </c>
      <c r="AA431" s="33" t="s">
        <v>15</v>
      </c>
      <c r="AB431" s="36" t="s">
        <v>16</v>
      </c>
      <c r="AC431" s="181">
        <f t="shared" si="94"/>
        <v>4</v>
      </c>
      <c r="AD431" s="181">
        <f t="shared" si="93"/>
        <v>12000</v>
      </c>
      <c r="AE431" s="181">
        <v>3</v>
      </c>
      <c r="AF431" s="181">
        <v>3</v>
      </c>
      <c r="AG431" s="101" t="str">
        <f t="shared" si="95"/>
        <v/>
      </c>
      <c r="AH431" s="190">
        <v>0</v>
      </c>
      <c r="AI431" s="69">
        <f t="shared" si="84"/>
        <v>4</v>
      </c>
      <c r="AL431" s="69">
        <v>0</v>
      </c>
    </row>
    <row r="432" spans="1:38" s="69" customFormat="1" ht="66" customHeight="1" x14ac:dyDescent="0.3">
      <c r="A432" s="55" t="s">
        <v>1114</v>
      </c>
      <c r="B432" s="138" t="s">
        <v>3123</v>
      </c>
      <c r="C432" s="54" t="s">
        <v>325</v>
      </c>
      <c r="D432" s="75">
        <v>2</v>
      </c>
      <c r="E432" s="75"/>
      <c r="F432" s="75"/>
      <c r="G432" s="75"/>
      <c r="H432" s="75"/>
      <c r="I432" s="75">
        <v>20000</v>
      </c>
      <c r="J432" s="75">
        <v>40000</v>
      </c>
      <c r="K432" s="91" t="s">
        <v>1116</v>
      </c>
      <c r="L432" s="73"/>
      <c r="M432" s="46">
        <v>0</v>
      </c>
      <c r="N432" s="46">
        <v>0</v>
      </c>
      <c r="O432" s="46">
        <v>0</v>
      </c>
      <c r="P432" s="98"/>
      <c r="Q432" s="23" t="s">
        <v>1436</v>
      </c>
      <c r="R432" s="24" t="s">
        <v>1115</v>
      </c>
      <c r="S432" s="25" t="s">
        <v>325</v>
      </c>
      <c r="T432" s="26">
        <v>2</v>
      </c>
      <c r="U432" s="26">
        <v>2</v>
      </c>
      <c r="V432" s="26">
        <v>20000</v>
      </c>
      <c r="W432" s="26">
        <f t="shared" si="90"/>
        <v>0</v>
      </c>
      <c r="X432" s="26">
        <f t="shared" si="78"/>
        <v>0</v>
      </c>
      <c r="Y432" s="26">
        <f t="shared" si="91"/>
        <v>0</v>
      </c>
      <c r="Z432" s="26">
        <f t="shared" si="92"/>
        <v>0</v>
      </c>
      <c r="AA432" s="33" t="s">
        <v>15</v>
      </c>
      <c r="AB432" s="36" t="s">
        <v>16</v>
      </c>
      <c r="AC432" s="181">
        <f t="shared" si="94"/>
        <v>2</v>
      </c>
      <c r="AD432" s="181">
        <f t="shared" si="93"/>
        <v>40000</v>
      </c>
      <c r="AE432" s="181">
        <v>3</v>
      </c>
      <c r="AF432" s="181">
        <v>3</v>
      </c>
      <c r="AG432" s="101" t="str">
        <f t="shared" si="95"/>
        <v/>
      </c>
      <c r="AH432" s="190">
        <v>0</v>
      </c>
      <c r="AI432" s="69">
        <f t="shared" si="84"/>
        <v>2</v>
      </c>
      <c r="AL432" s="69">
        <v>0</v>
      </c>
    </row>
    <row r="433" spans="1:38" s="69" customFormat="1" ht="49.5" customHeight="1" x14ac:dyDescent="0.3">
      <c r="A433" s="55" t="s">
        <v>1117</v>
      </c>
      <c r="B433" s="138" t="s">
        <v>1118</v>
      </c>
      <c r="C433" s="54" t="s">
        <v>66</v>
      </c>
      <c r="D433" s="75">
        <v>1</v>
      </c>
      <c r="E433" s="75"/>
      <c r="F433" s="75"/>
      <c r="G433" s="75"/>
      <c r="H433" s="75"/>
      <c r="I433" s="75">
        <v>15000</v>
      </c>
      <c r="J433" s="75">
        <v>15000</v>
      </c>
      <c r="K433" s="91" t="s">
        <v>1119</v>
      </c>
      <c r="L433" s="73"/>
      <c r="M433" s="46">
        <v>0</v>
      </c>
      <c r="N433" s="46">
        <v>0</v>
      </c>
      <c r="O433" s="46">
        <v>0</v>
      </c>
      <c r="P433" s="98"/>
      <c r="Q433" s="23" t="s">
        <v>1374</v>
      </c>
      <c r="R433" s="24" t="s">
        <v>1118</v>
      </c>
      <c r="S433" s="25" t="s">
        <v>66</v>
      </c>
      <c r="T433" s="26">
        <v>1</v>
      </c>
      <c r="U433" s="26">
        <v>1</v>
      </c>
      <c r="V433" s="26">
        <v>15000</v>
      </c>
      <c r="W433" s="26">
        <f t="shared" si="90"/>
        <v>0</v>
      </c>
      <c r="X433" s="26">
        <f t="shared" si="78"/>
        <v>0</v>
      </c>
      <c r="Y433" s="26">
        <f t="shared" si="91"/>
        <v>0</v>
      </c>
      <c r="Z433" s="26">
        <f t="shared" si="92"/>
        <v>0</v>
      </c>
      <c r="AA433" s="33" t="s">
        <v>15</v>
      </c>
      <c r="AB433" s="36" t="s">
        <v>16</v>
      </c>
      <c r="AC433" s="181">
        <f t="shared" si="94"/>
        <v>1</v>
      </c>
      <c r="AD433" s="181">
        <f t="shared" si="93"/>
        <v>15000</v>
      </c>
      <c r="AE433" s="181">
        <v>3</v>
      </c>
      <c r="AF433" s="181">
        <v>3</v>
      </c>
      <c r="AG433" s="101" t="str">
        <f t="shared" si="95"/>
        <v/>
      </c>
      <c r="AH433" s="190">
        <v>0</v>
      </c>
      <c r="AI433" s="69">
        <f t="shared" si="84"/>
        <v>1</v>
      </c>
      <c r="AL433" s="69">
        <v>0</v>
      </c>
    </row>
    <row r="434" spans="1:38" s="69" customFormat="1" ht="49.5" customHeight="1" x14ac:dyDescent="0.3">
      <c r="A434" s="55" t="s">
        <v>1120</v>
      </c>
      <c r="B434" s="138" t="s">
        <v>1121</v>
      </c>
      <c r="C434" s="54" t="s">
        <v>1122</v>
      </c>
      <c r="D434" s="75">
        <v>3</v>
      </c>
      <c r="E434" s="75"/>
      <c r="F434" s="75"/>
      <c r="G434" s="75"/>
      <c r="H434" s="75"/>
      <c r="I434" s="75">
        <v>1300</v>
      </c>
      <c r="J434" s="75">
        <v>3900</v>
      </c>
      <c r="K434" s="91" t="s">
        <v>1123</v>
      </c>
      <c r="L434" s="73"/>
      <c r="M434" s="46">
        <v>0</v>
      </c>
      <c r="N434" s="46">
        <v>0</v>
      </c>
      <c r="O434" s="46">
        <v>0</v>
      </c>
      <c r="P434" s="98"/>
      <c r="Q434" s="23" t="s">
        <v>1376</v>
      </c>
      <c r="R434" s="24" t="s">
        <v>1121</v>
      </c>
      <c r="S434" s="25" t="s">
        <v>1122</v>
      </c>
      <c r="T434" s="26">
        <v>3</v>
      </c>
      <c r="U434" s="26">
        <v>3</v>
      </c>
      <c r="V434" s="26">
        <v>1300</v>
      </c>
      <c r="W434" s="26">
        <f t="shared" si="90"/>
        <v>0</v>
      </c>
      <c r="X434" s="26">
        <f t="shared" si="78"/>
        <v>0</v>
      </c>
      <c r="Y434" s="26">
        <f t="shared" si="91"/>
        <v>0</v>
      </c>
      <c r="Z434" s="26">
        <f t="shared" si="92"/>
        <v>0</v>
      </c>
      <c r="AA434" s="33" t="s">
        <v>15</v>
      </c>
      <c r="AB434" s="36" t="s">
        <v>16</v>
      </c>
      <c r="AC434" s="181">
        <f t="shared" si="94"/>
        <v>3</v>
      </c>
      <c r="AD434" s="181">
        <f t="shared" si="93"/>
        <v>3900</v>
      </c>
      <c r="AE434" s="181">
        <v>3</v>
      </c>
      <c r="AF434" s="181">
        <v>3</v>
      </c>
      <c r="AG434" s="101" t="str">
        <f t="shared" si="95"/>
        <v/>
      </c>
      <c r="AH434" s="190">
        <v>0</v>
      </c>
      <c r="AI434" s="69">
        <f t="shared" si="84"/>
        <v>3</v>
      </c>
      <c r="AL434" s="69">
        <v>0</v>
      </c>
    </row>
    <row r="435" spans="1:38" s="69" customFormat="1" ht="33" customHeight="1" x14ac:dyDescent="0.3">
      <c r="A435" s="55" t="s">
        <v>1124</v>
      </c>
      <c r="B435" s="138" t="s">
        <v>3124</v>
      </c>
      <c r="C435" s="54" t="s">
        <v>1122</v>
      </c>
      <c r="D435" s="75">
        <v>6</v>
      </c>
      <c r="E435" s="75"/>
      <c r="F435" s="75"/>
      <c r="G435" s="75"/>
      <c r="H435" s="75"/>
      <c r="I435" s="75">
        <v>1000</v>
      </c>
      <c r="J435" s="75">
        <v>6000</v>
      </c>
      <c r="K435" s="91" t="s">
        <v>1126</v>
      </c>
      <c r="L435" s="73"/>
      <c r="M435" s="46">
        <v>0</v>
      </c>
      <c r="N435" s="46">
        <v>0</v>
      </c>
      <c r="O435" s="46">
        <v>0</v>
      </c>
      <c r="P435" s="98"/>
      <c r="Q435" s="23" t="s">
        <v>1378</v>
      </c>
      <c r="R435" s="24" t="s">
        <v>1125</v>
      </c>
      <c r="S435" s="25" t="s">
        <v>1122</v>
      </c>
      <c r="T435" s="26">
        <v>6</v>
      </c>
      <c r="U435" s="26">
        <v>6</v>
      </c>
      <c r="V435" s="26">
        <v>1000</v>
      </c>
      <c r="W435" s="26">
        <f t="shared" si="90"/>
        <v>0</v>
      </c>
      <c r="X435" s="26">
        <f t="shared" si="78"/>
        <v>0</v>
      </c>
      <c r="Y435" s="26">
        <f t="shared" si="91"/>
        <v>0</v>
      </c>
      <c r="Z435" s="26">
        <f t="shared" si="92"/>
        <v>0</v>
      </c>
      <c r="AA435" s="33" t="s">
        <v>15</v>
      </c>
      <c r="AB435" s="36" t="s">
        <v>16</v>
      </c>
      <c r="AC435" s="181">
        <f t="shared" si="94"/>
        <v>6</v>
      </c>
      <c r="AD435" s="181">
        <f t="shared" si="93"/>
        <v>6000</v>
      </c>
      <c r="AE435" s="181">
        <v>3</v>
      </c>
      <c r="AF435" s="181">
        <v>3</v>
      </c>
      <c r="AG435" s="101" t="str">
        <f t="shared" si="95"/>
        <v/>
      </c>
      <c r="AH435" s="190">
        <v>0</v>
      </c>
      <c r="AI435" s="69">
        <f t="shared" si="84"/>
        <v>6</v>
      </c>
      <c r="AL435" s="69">
        <v>0</v>
      </c>
    </row>
    <row r="436" spans="1:38" s="69" customFormat="1" ht="33" customHeight="1" x14ac:dyDescent="0.3">
      <c r="A436" s="55" t="s">
        <v>1127</v>
      </c>
      <c r="B436" s="138" t="s">
        <v>1128</v>
      </c>
      <c r="C436" s="54" t="s">
        <v>325</v>
      </c>
      <c r="D436" s="75">
        <v>2</v>
      </c>
      <c r="E436" s="75"/>
      <c r="F436" s="75"/>
      <c r="G436" s="75"/>
      <c r="H436" s="75"/>
      <c r="I436" s="75">
        <v>9000</v>
      </c>
      <c r="J436" s="75">
        <v>18000</v>
      </c>
      <c r="K436" s="91" t="s">
        <v>1129</v>
      </c>
      <c r="L436" s="73"/>
      <c r="M436" s="46">
        <v>0</v>
      </c>
      <c r="N436" s="46">
        <v>0</v>
      </c>
      <c r="O436" s="46">
        <v>0</v>
      </c>
      <c r="P436" s="98"/>
      <c r="Q436" s="23" t="s">
        <v>1438</v>
      </c>
      <c r="R436" s="24" t="s">
        <v>1128</v>
      </c>
      <c r="S436" s="25" t="s">
        <v>325</v>
      </c>
      <c r="T436" s="26">
        <v>2</v>
      </c>
      <c r="U436" s="26">
        <v>2</v>
      </c>
      <c r="V436" s="26">
        <v>9000</v>
      </c>
      <c r="W436" s="26">
        <f t="shared" si="90"/>
        <v>0</v>
      </c>
      <c r="X436" s="26">
        <f t="shared" si="78"/>
        <v>0</v>
      </c>
      <c r="Y436" s="26">
        <f t="shared" si="91"/>
        <v>0</v>
      </c>
      <c r="Z436" s="26">
        <f t="shared" si="92"/>
        <v>0</v>
      </c>
      <c r="AA436" s="33" t="s">
        <v>15</v>
      </c>
      <c r="AB436" s="36" t="s">
        <v>16</v>
      </c>
      <c r="AC436" s="181">
        <f t="shared" si="94"/>
        <v>2</v>
      </c>
      <c r="AD436" s="181">
        <f t="shared" si="93"/>
        <v>18000</v>
      </c>
      <c r="AE436" s="181">
        <v>3</v>
      </c>
      <c r="AF436" s="181">
        <v>3</v>
      </c>
      <c r="AG436" s="101" t="str">
        <f t="shared" si="95"/>
        <v/>
      </c>
      <c r="AH436" s="190">
        <v>0</v>
      </c>
      <c r="AI436" s="69">
        <f t="shared" si="84"/>
        <v>2</v>
      </c>
      <c r="AL436" s="69">
        <v>0</v>
      </c>
    </row>
    <row r="437" spans="1:38" s="69" customFormat="1" ht="49.5" customHeight="1" x14ac:dyDescent="0.3">
      <c r="A437" s="55" t="s">
        <v>1130</v>
      </c>
      <c r="B437" s="138" t="s">
        <v>3127</v>
      </c>
      <c r="C437" s="54" t="s">
        <v>325</v>
      </c>
      <c r="D437" s="75">
        <v>3</v>
      </c>
      <c r="E437" s="75"/>
      <c r="F437" s="75"/>
      <c r="G437" s="75"/>
      <c r="H437" s="75"/>
      <c r="I437" s="75">
        <v>4200</v>
      </c>
      <c r="J437" s="75">
        <v>12600</v>
      </c>
      <c r="K437" s="91" t="s">
        <v>1132</v>
      </c>
      <c r="L437" s="73"/>
      <c r="M437" s="46">
        <v>0</v>
      </c>
      <c r="N437" s="46">
        <v>0</v>
      </c>
      <c r="O437" s="46">
        <v>0</v>
      </c>
      <c r="P437" s="98"/>
      <c r="Q437" s="23" t="s">
        <v>1439</v>
      </c>
      <c r="R437" s="24" t="s">
        <v>1131</v>
      </c>
      <c r="S437" s="25" t="s">
        <v>325</v>
      </c>
      <c r="T437" s="26">
        <v>3</v>
      </c>
      <c r="U437" s="26">
        <v>3</v>
      </c>
      <c r="V437" s="26">
        <v>4200</v>
      </c>
      <c r="W437" s="26">
        <f t="shared" si="90"/>
        <v>0</v>
      </c>
      <c r="X437" s="26">
        <f t="shared" si="78"/>
        <v>0</v>
      </c>
      <c r="Y437" s="26">
        <f t="shared" si="91"/>
        <v>0</v>
      </c>
      <c r="Z437" s="26">
        <f t="shared" si="92"/>
        <v>0</v>
      </c>
      <c r="AA437" s="33" t="s">
        <v>15</v>
      </c>
      <c r="AB437" s="36" t="s">
        <v>16</v>
      </c>
      <c r="AC437" s="181">
        <f t="shared" si="94"/>
        <v>3</v>
      </c>
      <c r="AD437" s="181">
        <f t="shared" si="93"/>
        <v>12600</v>
      </c>
      <c r="AE437" s="181">
        <v>3</v>
      </c>
      <c r="AF437" s="181">
        <v>3</v>
      </c>
      <c r="AG437" s="101" t="str">
        <f t="shared" si="95"/>
        <v/>
      </c>
      <c r="AH437" s="190">
        <v>0</v>
      </c>
      <c r="AI437" s="69">
        <f t="shared" si="84"/>
        <v>3</v>
      </c>
    </row>
    <row r="438" spans="1:38" s="69" customFormat="1" ht="49.5" customHeight="1" x14ac:dyDescent="0.3">
      <c r="A438" s="55" t="s">
        <v>1133</v>
      </c>
      <c r="B438" s="138" t="s">
        <v>3126</v>
      </c>
      <c r="C438" s="54" t="s">
        <v>66</v>
      </c>
      <c r="D438" s="75">
        <v>4</v>
      </c>
      <c r="E438" s="75"/>
      <c r="F438" s="75"/>
      <c r="G438" s="75"/>
      <c r="H438" s="75"/>
      <c r="I438" s="75">
        <v>1000</v>
      </c>
      <c r="J438" s="75">
        <v>4000</v>
      </c>
      <c r="K438" s="91" t="s">
        <v>1135</v>
      </c>
      <c r="L438" s="73"/>
      <c r="M438" s="46">
        <v>0</v>
      </c>
      <c r="N438" s="46">
        <v>0</v>
      </c>
      <c r="O438" s="46">
        <v>0</v>
      </c>
      <c r="P438" s="98"/>
      <c r="Q438" s="23" t="s">
        <v>1440</v>
      </c>
      <c r="R438" s="24" t="s">
        <v>1134</v>
      </c>
      <c r="S438" s="25" t="s">
        <v>66</v>
      </c>
      <c r="T438" s="26">
        <v>4</v>
      </c>
      <c r="U438" s="26">
        <v>4</v>
      </c>
      <c r="V438" s="26">
        <v>1000</v>
      </c>
      <c r="W438" s="26">
        <f t="shared" si="90"/>
        <v>0</v>
      </c>
      <c r="X438" s="26">
        <f t="shared" si="78"/>
        <v>0</v>
      </c>
      <c r="Y438" s="26">
        <f t="shared" si="91"/>
        <v>0</v>
      </c>
      <c r="Z438" s="26">
        <f t="shared" si="92"/>
        <v>0</v>
      </c>
      <c r="AA438" s="33" t="s">
        <v>15</v>
      </c>
      <c r="AB438" s="36" t="s">
        <v>16</v>
      </c>
      <c r="AC438" s="181">
        <f t="shared" si="94"/>
        <v>4</v>
      </c>
      <c r="AD438" s="181">
        <f t="shared" si="93"/>
        <v>4000</v>
      </c>
      <c r="AE438" s="181">
        <v>3</v>
      </c>
      <c r="AF438" s="181">
        <v>3</v>
      </c>
      <c r="AG438" s="101" t="str">
        <f t="shared" si="95"/>
        <v/>
      </c>
      <c r="AH438" s="190">
        <v>0</v>
      </c>
      <c r="AI438" s="69">
        <f t="shared" si="84"/>
        <v>4</v>
      </c>
    </row>
    <row r="439" spans="1:38" s="69" customFormat="1" ht="49.5" customHeight="1" x14ac:dyDescent="0.3">
      <c r="A439" s="55" t="s">
        <v>1136</v>
      </c>
      <c r="B439" s="138" t="s">
        <v>3125</v>
      </c>
      <c r="C439" s="54" t="s">
        <v>325</v>
      </c>
      <c r="D439" s="75">
        <v>15</v>
      </c>
      <c r="E439" s="75"/>
      <c r="F439" s="75"/>
      <c r="G439" s="75"/>
      <c r="H439" s="75"/>
      <c r="I439" s="75">
        <v>4500</v>
      </c>
      <c r="J439" s="75">
        <v>67500</v>
      </c>
      <c r="K439" s="91" t="s">
        <v>1138</v>
      </c>
      <c r="L439" s="73"/>
      <c r="M439" s="46">
        <v>0</v>
      </c>
      <c r="N439" s="46">
        <v>0</v>
      </c>
      <c r="O439" s="46">
        <v>0</v>
      </c>
      <c r="P439" s="98"/>
      <c r="Q439" s="23" t="s">
        <v>1441</v>
      </c>
      <c r="R439" s="24" t="s">
        <v>1137</v>
      </c>
      <c r="S439" s="25" t="s">
        <v>325</v>
      </c>
      <c r="T439" s="26">
        <v>15</v>
      </c>
      <c r="U439" s="26">
        <v>15</v>
      </c>
      <c r="V439" s="26">
        <v>4500</v>
      </c>
      <c r="W439" s="26">
        <f t="shared" si="90"/>
        <v>0</v>
      </c>
      <c r="X439" s="26">
        <f t="shared" si="78"/>
        <v>0</v>
      </c>
      <c r="Y439" s="26">
        <f t="shared" si="91"/>
        <v>0</v>
      </c>
      <c r="Z439" s="26">
        <f t="shared" si="92"/>
        <v>0</v>
      </c>
      <c r="AA439" s="33" t="s">
        <v>15</v>
      </c>
      <c r="AB439" s="36" t="s">
        <v>16</v>
      </c>
      <c r="AC439" s="181">
        <f t="shared" si="94"/>
        <v>15</v>
      </c>
      <c r="AD439" s="181">
        <f t="shared" si="93"/>
        <v>67500</v>
      </c>
      <c r="AE439" s="181">
        <v>3</v>
      </c>
      <c r="AF439" s="181">
        <v>3</v>
      </c>
      <c r="AG439" s="101" t="str">
        <f t="shared" si="95"/>
        <v/>
      </c>
      <c r="AH439" s="190">
        <v>0</v>
      </c>
      <c r="AI439" s="69">
        <f t="shared" si="84"/>
        <v>15</v>
      </c>
    </row>
    <row r="440" spans="1:38" s="69" customFormat="1" ht="33" customHeight="1" x14ac:dyDescent="0.3">
      <c r="A440" s="55" t="s">
        <v>1139</v>
      </c>
      <c r="B440" s="138" t="s">
        <v>3128</v>
      </c>
      <c r="C440" s="54" t="s">
        <v>325</v>
      </c>
      <c r="D440" s="75">
        <v>2</v>
      </c>
      <c r="E440" s="75"/>
      <c r="F440" s="75"/>
      <c r="G440" s="75"/>
      <c r="H440" s="75"/>
      <c r="I440" s="75">
        <v>636300</v>
      </c>
      <c r="J440" s="75">
        <v>1272600</v>
      </c>
      <c r="K440" s="91" t="s">
        <v>1141</v>
      </c>
      <c r="L440" s="73"/>
      <c r="M440" s="46">
        <v>1</v>
      </c>
      <c r="N440" s="46">
        <v>0</v>
      </c>
      <c r="O440" s="46">
        <v>636300</v>
      </c>
      <c r="P440" s="98"/>
      <c r="Q440" s="23" t="s">
        <v>1442</v>
      </c>
      <c r="R440" s="24" t="s">
        <v>1140</v>
      </c>
      <c r="S440" s="25" t="s">
        <v>325</v>
      </c>
      <c r="T440" s="26">
        <v>2</v>
      </c>
      <c r="U440" s="26">
        <v>2</v>
      </c>
      <c r="V440" s="26">
        <v>636300</v>
      </c>
      <c r="W440" s="26">
        <f t="shared" si="90"/>
        <v>0</v>
      </c>
      <c r="X440" s="26">
        <f t="shared" si="78"/>
        <v>1</v>
      </c>
      <c r="Y440" s="26">
        <f t="shared" si="91"/>
        <v>0</v>
      </c>
      <c r="Z440" s="26">
        <f t="shared" si="92"/>
        <v>636300</v>
      </c>
      <c r="AA440" s="33" t="s">
        <v>15</v>
      </c>
      <c r="AB440" s="36" t="s">
        <v>16</v>
      </c>
      <c r="AC440" s="181">
        <f t="shared" si="94"/>
        <v>2</v>
      </c>
      <c r="AD440" s="181">
        <f t="shared" si="93"/>
        <v>1272600</v>
      </c>
      <c r="AE440" s="181">
        <v>3</v>
      </c>
      <c r="AF440" s="181">
        <v>3</v>
      </c>
      <c r="AG440" s="101" t="str">
        <f t="shared" si="95"/>
        <v/>
      </c>
      <c r="AH440" s="190">
        <v>1</v>
      </c>
      <c r="AI440" s="69">
        <f t="shared" si="84"/>
        <v>2</v>
      </c>
    </row>
    <row r="441" spans="1:38" s="69" customFormat="1" ht="49.5" customHeight="1" x14ac:dyDescent="0.3">
      <c r="A441" s="55" t="s">
        <v>1142</v>
      </c>
      <c r="B441" s="138" t="s">
        <v>3131</v>
      </c>
      <c r="C441" s="54" t="s">
        <v>1144</v>
      </c>
      <c r="D441" s="75">
        <v>4</v>
      </c>
      <c r="E441" s="75"/>
      <c r="F441" s="75"/>
      <c r="G441" s="75"/>
      <c r="H441" s="76"/>
      <c r="I441" s="75">
        <v>2000</v>
      </c>
      <c r="J441" s="75">
        <v>8000</v>
      </c>
      <c r="K441" s="91" t="s">
        <v>1145</v>
      </c>
      <c r="L441" s="73"/>
      <c r="M441" s="46">
        <v>0</v>
      </c>
      <c r="N441" s="46">
        <v>0</v>
      </c>
      <c r="O441" s="46">
        <v>0</v>
      </c>
      <c r="P441" s="98"/>
      <c r="Q441" s="23" t="s">
        <v>1443</v>
      </c>
      <c r="R441" s="24" t="s">
        <v>1143</v>
      </c>
      <c r="S441" s="25" t="s">
        <v>1144</v>
      </c>
      <c r="T441" s="26">
        <v>4</v>
      </c>
      <c r="U441" s="26">
        <v>4</v>
      </c>
      <c r="V441" s="26">
        <v>2000</v>
      </c>
      <c r="W441" s="26">
        <f t="shared" si="90"/>
        <v>0</v>
      </c>
      <c r="X441" s="26">
        <f t="shared" si="78"/>
        <v>0</v>
      </c>
      <c r="Y441" s="26">
        <f t="shared" si="91"/>
        <v>0</v>
      </c>
      <c r="Z441" s="26">
        <f t="shared" si="92"/>
        <v>0</v>
      </c>
      <c r="AA441" s="33" t="s">
        <v>15</v>
      </c>
      <c r="AB441" s="36" t="s">
        <v>16</v>
      </c>
      <c r="AC441" s="181">
        <f t="shared" si="94"/>
        <v>4</v>
      </c>
      <c r="AD441" s="181">
        <f t="shared" si="93"/>
        <v>8000</v>
      </c>
      <c r="AE441" s="181">
        <v>3</v>
      </c>
      <c r="AF441" s="181">
        <v>3</v>
      </c>
      <c r="AG441" s="101" t="str">
        <f t="shared" si="95"/>
        <v/>
      </c>
      <c r="AH441" s="190">
        <v>0</v>
      </c>
      <c r="AI441" s="69">
        <f t="shared" si="84"/>
        <v>4</v>
      </c>
    </row>
    <row r="442" spans="1:38" s="69" customFormat="1" ht="33" x14ac:dyDescent="0.3">
      <c r="A442" s="134">
        <v>3.35</v>
      </c>
      <c r="B442" s="135" t="s">
        <v>1346</v>
      </c>
      <c r="C442" s="204" t="s">
        <v>325</v>
      </c>
      <c r="D442" s="133"/>
      <c r="E442" s="59">
        <v>1</v>
      </c>
      <c r="F442" s="77"/>
      <c r="G442" s="226"/>
      <c r="H442" s="230"/>
      <c r="I442" s="178">
        <v>119161.05</v>
      </c>
      <c r="J442" s="59">
        <v>119161.05</v>
      </c>
      <c r="K442" s="92"/>
      <c r="L442" s="73"/>
      <c r="M442" s="46">
        <v>1</v>
      </c>
      <c r="N442" s="46">
        <v>0</v>
      </c>
      <c r="O442" s="46">
        <v>119161.05</v>
      </c>
      <c r="P442" s="98"/>
      <c r="Q442" s="23" t="s">
        <v>1444</v>
      </c>
      <c r="R442" s="24" t="s">
        <v>1501</v>
      </c>
      <c r="S442" s="25" t="s">
        <v>325</v>
      </c>
      <c r="T442" s="26">
        <v>0</v>
      </c>
      <c r="U442" s="26">
        <v>1</v>
      </c>
      <c r="V442" s="26">
        <v>119161.05</v>
      </c>
      <c r="W442" s="127">
        <f t="shared" si="90"/>
        <v>0</v>
      </c>
      <c r="X442" s="127">
        <f t="shared" si="78"/>
        <v>1</v>
      </c>
      <c r="Y442" s="127">
        <f t="shared" si="91"/>
        <v>0</v>
      </c>
      <c r="Z442" s="127">
        <f t="shared" si="92"/>
        <v>119161.05</v>
      </c>
      <c r="AA442" s="27"/>
      <c r="AB442" s="36" t="s">
        <v>16</v>
      </c>
      <c r="AC442" s="181">
        <f t="shared" si="94"/>
        <v>1</v>
      </c>
      <c r="AD442" s="181">
        <f t="shared" si="93"/>
        <v>119161.05</v>
      </c>
      <c r="AE442" s="181">
        <v>3</v>
      </c>
      <c r="AF442" s="181">
        <v>3</v>
      </c>
      <c r="AG442" s="101" t="str">
        <f t="shared" si="95"/>
        <v/>
      </c>
      <c r="AH442" s="190">
        <v>1</v>
      </c>
      <c r="AI442" s="69">
        <f t="shared" si="84"/>
        <v>1</v>
      </c>
    </row>
    <row r="443" spans="1:38" ht="39" x14ac:dyDescent="0.3">
      <c r="A443" s="134" t="s">
        <v>1347</v>
      </c>
      <c r="B443" s="135" t="s">
        <v>1348</v>
      </c>
      <c r="C443" s="204" t="s">
        <v>325</v>
      </c>
      <c r="D443" s="133"/>
      <c r="E443" s="78"/>
      <c r="F443" s="62">
        <v>1</v>
      </c>
      <c r="G443" s="163"/>
      <c r="H443" s="62"/>
      <c r="I443" s="167">
        <v>74988.5</v>
      </c>
      <c r="J443" s="62">
        <v>74988.5</v>
      </c>
      <c r="K443" s="93"/>
      <c r="M443" s="46">
        <v>1</v>
      </c>
      <c r="N443" s="46">
        <v>0</v>
      </c>
      <c r="O443" s="46">
        <v>74988.5</v>
      </c>
      <c r="P443" s="98"/>
      <c r="Q443" s="23" t="s">
        <v>1408</v>
      </c>
      <c r="R443" s="24" t="s">
        <v>1348</v>
      </c>
      <c r="S443" s="25" t="s">
        <v>325</v>
      </c>
      <c r="T443" s="26">
        <v>0</v>
      </c>
      <c r="U443" s="26">
        <v>1</v>
      </c>
      <c r="V443" s="26">
        <v>74988.5</v>
      </c>
      <c r="W443" s="127">
        <f t="shared" si="90"/>
        <v>0</v>
      </c>
      <c r="X443" s="127">
        <f t="shared" si="78"/>
        <v>1</v>
      </c>
      <c r="Y443" s="127">
        <f t="shared" si="91"/>
        <v>0</v>
      </c>
      <c r="Z443" s="127">
        <f t="shared" si="92"/>
        <v>74988.5</v>
      </c>
      <c r="AA443" s="27"/>
      <c r="AB443" s="36" t="s">
        <v>16</v>
      </c>
      <c r="AC443" s="181">
        <f t="shared" si="94"/>
        <v>1</v>
      </c>
      <c r="AD443" s="181">
        <f t="shared" si="93"/>
        <v>74988.5</v>
      </c>
      <c r="AE443" s="181">
        <v>3</v>
      </c>
      <c r="AF443" s="181">
        <v>3</v>
      </c>
      <c r="AG443" s="101" t="str">
        <f t="shared" si="95"/>
        <v/>
      </c>
      <c r="AH443" s="190">
        <v>1</v>
      </c>
      <c r="AI443" s="69">
        <f t="shared" si="84"/>
        <v>1</v>
      </c>
    </row>
    <row r="444" spans="1:38" ht="66" x14ac:dyDescent="0.3">
      <c r="A444" s="134" t="s">
        <v>1349</v>
      </c>
      <c r="B444" s="139" t="s">
        <v>3132</v>
      </c>
      <c r="C444" s="204" t="s">
        <v>325</v>
      </c>
      <c r="D444" s="133"/>
      <c r="E444" s="78"/>
      <c r="F444" s="62">
        <v>2</v>
      </c>
      <c r="G444" s="163"/>
      <c r="H444" s="62"/>
      <c r="I444" s="167">
        <v>83493.929999999993</v>
      </c>
      <c r="J444" s="62">
        <v>166987.85999999999</v>
      </c>
      <c r="K444" s="93"/>
      <c r="M444" s="46">
        <v>2</v>
      </c>
      <c r="N444" s="46">
        <v>0</v>
      </c>
      <c r="O444" s="46">
        <v>166987.85999999999</v>
      </c>
      <c r="P444" s="98"/>
      <c r="Q444" s="23" t="s">
        <v>1409</v>
      </c>
      <c r="R444" s="24" t="s">
        <v>1350</v>
      </c>
      <c r="S444" s="25" t="s">
        <v>325</v>
      </c>
      <c r="T444" s="26">
        <v>0</v>
      </c>
      <c r="U444" s="26">
        <v>2</v>
      </c>
      <c r="V444" s="26">
        <v>83493.929999999993</v>
      </c>
      <c r="W444" s="127">
        <f t="shared" si="90"/>
        <v>0</v>
      </c>
      <c r="X444" s="127">
        <f t="shared" si="78"/>
        <v>2</v>
      </c>
      <c r="Y444" s="127">
        <f t="shared" si="91"/>
        <v>0</v>
      </c>
      <c r="Z444" s="127">
        <f t="shared" si="92"/>
        <v>166987.85999999999</v>
      </c>
      <c r="AA444" s="27"/>
      <c r="AB444" s="36" t="s">
        <v>16</v>
      </c>
      <c r="AC444" s="181">
        <f t="shared" si="94"/>
        <v>2</v>
      </c>
      <c r="AD444" s="181">
        <f t="shared" si="93"/>
        <v>166987.85999999999</v>
      </c>
      <c r="AE444" s="181">
        <v>3</v>
      </c>
      <c r="AF444" s="181">
        <v>3</v>
      </c>
      <c r="AG444" s="101" t="str">
        <f t="shared" si="95"/>
        <v/>
      </c>
      <c r="AH444" s="190">
        <v>2</v>
      </c>
      <c r="AI444" s="69">
        <f t="shared" si="84"/>
        <v>2</v>
      </c>
    </row>
    <row r="445" spans="1:38" ht="49.5" x14ac:dyDescent="0.3">
      <c r="A445" s="134" t="s">
        <v>1351</v>
      </c>
      <c r="B445" s="139" t="s">
        <v>3133</v>
      </c>
      <c r="C445" s="204" t="s">
        <v>325</v>
      </c>
      <c r="D445" s="133"/>
      <c r="E445" s="78"/>
      <c r="F445" s="62">
        <v>2</v>
      </c>
      <c r="G445" s="163"/>
      <c r="H445" s="62"/>
      <c r="I445" s="167">
        <v>76194.460000000006</v>
      </c>
      <c r="J445" s="62">
        <v>152388.92000000001</v>
      </c>
      <c r="K445" s="93"/>
      <c r="M445" s="46">
        <v>2</v>
      </c>
      <c r="N445" s="46">
        <v>0</v>
      </c>
      <c r="O445" s="46">
        <v>152388.92000000001</v>
      </c>
      <c r="P445" s="98"/>
      <c r="Q445" s="23" t="s">
        <v>1410</v>
      </c>
      <c r="R445" s="24" t="s">
        <v>1352</v>
      </c>
      <c r="S445" s="25" t="s">
        <v>325</v>
      </c>
      <c r="T445" s="26">
        <v>0</v>
      </c>
      <c r="U445" s="26">
        <v>2</v>
      </c>
      <c r="V445" s="26">
        <v>76194.460000000006</v>
      </c>
      <c r="W445" s="127">
        <f t="shared" si="90"/>
        <v>0</v>
      </c>
      <c r="X445" s="127">
        <f t="shared" si="78"/>
        <v>2</v>
      </c>
      <c r="Y445" s="127">
        <f t="shared" si="91"/>
        <v>0</v>
      </c>
      <c r="Z445" s="127">
        <f t="shared" si="92"/>
        <v>152388.92000000001</v>
      </c>
      <c r="AA445" s="27"/>
      <c r="AB445" s="36" t="s">
        <v>16</v>
      </c>
      <c r="AC445" s="181">
        <f t="shared" si="94"/>
        <v>2</v>
      </c>
      <c r="AD445" s="181">
        <f t="shared" si="93"/>
        <v>152388.92000000001</v>
      </c>
      <c r="AE445" s="181">
        <v>3</v>
      </c>
      <c r="AF445" s="181">
        <v>3</v>
      </c>
      <c r="AG445" s="101" t="str">
        <f t="shared" si="95"/>
        <v/>
      </c>
      <c r="AH445" s="190">
        <v>2</v>
      </c>
      <c r="AI445" s="69">
        <f t="shared" si="84"/>
        <v>2</v>
      </c>
    </row>
    <row r="446" spans="1:38" ht="49.5" x14ac:dyDescent="0.3">
      <c r="A446" s="134" t="s">
        <v>1353</v>
      </c>
      <c r="B446" s="139" t="s">
        <v>3134</v>
      </c>
      <c r="C446" s="204" t="s">
        <v>325</v>
      </c>
      <c r="D446" s="133"/>
      <c r="E446" s="78"/>
      <c r="F446" s="62">
        <v>2</v>
      </c>
      <c r="G446" s="163"/>
      <c r="H446" s="62"/>
      <c r="I446" s="167">
        <v>17998.689999999999</v>
      </c>
      <c r="J446" s="62">
        <v>35997.379999999997</v>
      </c>
      <c r="K446" s="93"/>
      <c r="M446" s="46">
        <v>2</v>
      </c>
      <c r="N446" s="46">
        <v>0</v>
      </c>
      <c r="O446" s="46">
        <v>35997.379999999997</v>
      </c>
      <c r="P446" s="98"/>
      <c r="Q446" s="23" t="s">
        <v>1411</v>
      </c>
      <c r="R446" s="24" t="s">
        <v>1354</v>
      </c>
      <c r="S446" s="25" t="s">
        <v>325</v>
      </c>
      <c r="T446" s="26">
        <v>0</v>
      </c>
      <c r="U446" s="26">
        <v>2</v>
      </c>
      <c r="V446" s="26">
        <v>17998.689999999999</v>
      </c>
      <c r="W446" s="127">
        <f t="shared" si="90"/>
        <v>0</v>
      </c>
      <c r="X446" s="127">
        <f t="shared" si="78"/>
        <v>2</v>
      </c>
      <c r="Y446" s="127">
        <f t="shared" si="91"/>
        <v>0</v>
      </c>
      <c r="Z446" s="127">
        <f t="shared" si="92"/>
        <v>35997.379999999997</v>
      </c>
      <c r="AA446" s="27"/>
      <c r="AB446" s="36" t="s">
        <v>16</v>
      </c>
      <c r="AC446" s="181">
        <f t="shared" si="94"/>
        <v>2</v>
      </c>
      <c r="AD446" s="181">
        <f t="shared" si="93"/>
        <v>35997.379999999997</v>
      </c>
      <c r="AE446" s="181">
        <v>3</v>
      </c>
      <c r="AF446" s="181">
        <v>3</v>
      </c>
      <c r="AG446" s="101" t="str">
        <f t="shared" si="95"/>
        <v/>
      </c>
      <c r="AH446" s="190">
        <v>2</v>
      </c>
      <c r="AI446" s="69">
        <f t="shared" si="84"/>
        <v>2</v>
      </c>
    </row>
    <row r="447" spans="1:38" s="69" customFormat="1" ht="33" customHeight="1" x14ac:dyDescent="0.3">
      <c r="A447" s="85" t="s">
        <v>1146</v>
      </c>
      <c r="B447" s="86" t="s">
        <v>1147</v>
      </c>
      <c r="C447" s="87" t="s">
        <v>14</v>
      </c>
      <c r="D447" s="88">
        <v>1</v>
      </c>
      <c r="E447" s="88"/>
      <c r="F447" s="88"/>
      <c r="G447" s="236"/>
      <c r="H447" s="238"/>
      <c r="I447" s="237"/>
      <c r="J447" s="88">
        <v>2798664.24</v>
      </c>
      <c r="K447" s="95" t="s">
        <v>15</v>
      </c>
      <c r="L447" s="73"/>
      <c r="M447" s="42">
        <v>1</v>
      </c>
      <c r="N447" s="42">
        <v>129913.70000000008</v>
      </c>
      <c r="O447" s="42">
        <v>1153344.8800000001</v>
      </c>
      <c r="P447" s="98"/>
      <c r="Q447" s="13" t="s">
        <v>1412</v>
      </c>
      <c r="R447" s="14" t="s">
        <v>1147</v>
      </c>
      <c r="S447" s="15" t="s">
        <v>14</v>
      </c>
      <c r="T447" s="16">
        <v>1</v>
      </c>
      <c r="U447" s="16"/>
      <c r="V447" s="16">
        <f>SUMIFS(AD:AD,AE:AE,AE447)</f>
        <v>2798664.24</v>
      </c>
      <c r="W447" s="16">
        <f t="shared" ref="W447:X447" si="96">IF(Y447=0,0,1)</f>
        <v>1</v>
      </c>
      <c r="X447" s="16">
        <f t="shared" si="96"/>
        <v>1</v>
      </c>
      <c r="Y447" s="16">
        <f>SUMIFS(Y:Y,AF:AF,AE447)</f>
        <v>46826.900000000023</v>
      </c>
      <c r="Z447" s="16">
        <f>SUMIFS(Z:Z,AF:AF,AE447)</f>
        <v>1200171.78</v>
      </c>
      <c r="AA447" s="17" t="s">
        <v>15</v>
      </c>
      <c r="AB447" s="40" t="s">
        <v>16</v>
      </c>
      <c r="AC447" s="181">
        <f t="shared" si="94"/>
        <v>1</v>
      </c>
      <c r="AD447" s="183"/>
      <c r="AE447" s="183">
        <v>4</v>
      </c>
      <c r="AF447" s="183"/>
      <c r="AG447" s="101" t="str">
        <f t="shared" si="95"/>
        <v/>
      </c>
      <c r="AH447" s="190">
        <v>1</v>
      </c>
      <c r="AI447" s="69">
        <f t="shared" si="84"/>
        <v>1</v>
      </c>
    </row>
    <row r="448" spans="1:38" s="69" customFormat="1" ht="49.5" customHeight="1" x14ac:dyDescent="0.3">
      <c r="A448" s="55" t="s">
        <v>1148</v>
      </c>
      <c r="B448" s="53" t="s">
        <v>1149</v>
      </c>
      <c r="C448" s="54" t="s">
        <v>1150</v>
      </c>
      <c r="D448" s="75">
        <v>48</v>
      </c>
      <c r="E448" s="75"/>
      <c r="F448" s="75"/>
      <c r="G448" s="75"/>
      <c r="H448" s="229"/>
      <c r="I448" s="75">
        <v>13068.13</v>
      </c>
      <c r="J448" s="75">
        <v>627270.24</v>
      </c>
      <c r="K448" s="91" t="s">
        <v>1151</v>
      </c>
      <c r="L448" s="73"/>
      <c r="M448" s="46">
        <v>28</v>
      </c>
      <c r="N448" s="46">
        <v>26136.260000000009</v>
      </c>
      <c r="O448" s="46">
        <v>365907.64</v>
      </c>
      <c r="P448" s="98"/>
      <c r="Q448" s="23" t="s">
        <v>1421</v>
      </c>
      <c r="R448" s="24" t="s">
        <v>1149</v>
      </c>
      <c r="S448" s="25" t="s">
        <v>1150</v>
      </c>
      <c r="T448" s="26">
        <v>48</v>
      </c>
      <c r="U448" s="26">
        <v>48</v>
      </c>
      <c r="V448" s="26">
        <v>13068.13</v>
      </c>
      <c r="W448" s="102">
        <f t="shared" ref="W448:W450" si="97">AH448-M448</f>
        <v>2</v>
      </c>
      <c r="X448" s="26">
        <f t="shared" si="78"/>
        <v>30</v>
      </c>
      <c r="Y448" s="26">
        <f>Z448-O448</f>
        <v>26136.260000000009</v>
      </c>
      <c r="Z448" s="26">
        <f t="shared" ref="Z448:Z450" si="98">ROUND(V448*X448,2)</f>
        <v>392043.9</v>
      </c>
      <c r="AA448" s="33" t="s">
        <v>15</v>
      </c>
      <c r="AB448" s="36" t="s">
        <v>16</v>
      </c>
      <c r="AC448" s="181">
        <f t="shared" si="94"/>
        <v>48</v>
      </c>
      <c r="AD448" s="181">
        <f t="shared" ref="AD448:AD450" si="99">ROUND(V448*AC448,2)</f>
        <v>627270.24</v>
      </c>
      <c r="AE448" s="181">
        <v>4</v>
      </c>
      <c r="AF448" s="181">
        <v>4</v>
      </c>
      <c r="AG448" s="101" t="str">
        <f t="shared" si="95"/>
        <v/>
      </c>
      <c r="AH448" s="191">
        <f>16+2+2+2+2+2+2+2</f>
        <v>30</v>
      </c>
      <c r="AI448" s="69">
        <f t="shared" si="84"/>
        <v>48</v>
      </c>
    </row>
    <row r="449" spans="1:35" s="69" customFormat="1" ht="66" customHeight="1" x14ac:dyDescent="0.3">
      <c r="A449" s="55" t="s">
        <v>1152</v>
      </c>
      <c r="B449" s="53" t="s">
        <v>1153</v>
      </c>
      <c r="C449" s="54" t="s">
        <v>998</v>
      </c>
      <c r="D449" s="75">
        <v>6720</v>
      </c>
      <c r="E449" s="75"/>
      <c r="F449" s="75"/>
      <c r="G449" s="75"/>
      <c r="H449" s="75"/>
      <c r="I449" s="75">
        <v>54.57</v>
      </c>
      <c r="J449" s="75">
        <v>366710.4</v>
      </c>
      <c r="K449" s="91" t="s">
        <v>1154</v>
      </c>
      <c r="L449" s="73"/>
      <c r="M449" s="46">
        <v>2360</v>
      </c>
      <c r="N449" s="46">
        <v>37107.599999999991</v>
      </c>
      <c r="O449" s="46">
        <v>128785.2</v>
      </c>
      <c r="P449" s="98"/>
      <c r="Q449" s="23" t="s">
        <v>1426</v>
      </c>
      <c r="R449" s="24" t="s">
        <v>1153</v>
      </c>
      <c r="S449" s="25" t="s">
        <v>998</v>
      </c>
      <c r="T449" s="26">
        <v>6720</v>
      </c>
      <c r="U449" s="26">
        <v>6720</v>
      </c>
      <c r="V449" s="26">
        <v>54.57</v>
      </c>
      <c r="W449" s="102">
        <f t="shared" si="97"/>
        <v>0</v>
      </c>
      <c r="X449" s="26">
        <f t="shared" si="78"/>
        <v>2360</v>
      </c>
      <c r="Y449" s="26">
        <f>Z449-O449</f>
        <v>0</v>
      </c>
      <c r="Z449" s="26">
        <f t="shared" si="98"/>
        <v>128785.2</v>
      </c>
      <c r="AA449" s="33" t="s">
        <v>15</v>
      </c>
      <c r="AB449" s="36" t="s">
        <v>16</v>
      </c>
      <c r="AC449" s="181">
        <f t="shared" si="94"/>
        <v>6720</v>
      </c>
      <c r="AD449" s="181">
        <f t="shared" si="99"/>
        <v>366710.4</v>
      </c>
      <c r="AE449" s="181">
        <v>4</v>
      </c>
      <c r="AF449" s="181">
        <v>4</v>
      </c>
      <c r="AG449" s="101" t="str">
        <f t="shared" si="95"/>
        <v/>
      </c>
      <c r="AH449" s="190">
        <f>1400+280+680</f>
        <v>2360</v>
      </c>
      <c r="AI449" s="69">
        <f t="shared" si="84"/>
        <v>6720</v>
      </c>
    </row>
    <row r="450" spans="1:35" s="69" customFormat="1" ht="33" x14ac:dyDescent="0.3">
      <c r="A450" s="66">
        <v>4.3</v>
      </c>
      <c r="B450" s="57" t="s">
        <v>1355</v>
      </c>
      <c r="C450" s="58" t="s">
        <v>1360</v>
      </c>
      <c r="D450" s="77"/>
      <c r="E450" s="117">
        <v>1570</v>
      </c>
      <c r="F450" s="59"/>
      <c r="G450" s="142"/>
      <c r="H450" s="142"/>
      <c r="I450" s="77">
        <v>1149.48</v>
      </c>
      <c r="J450" s="59">
        <v>1804683.6</v>
      </c>
      <c r="K450" s="92"/>
      <c r="L450" s="73"/>
      <c r="M450" s="46">
        <v>573</v>
      </c>
      <c r="N450" s="46">
        <v>66669.840000000084</v>
      </c>
      <c r="O450" s="46">
        <v>658652.04</v>
      </c>
      <c r="P450" s="98"/>
      <c r="Q450" s="23" t="s">
        <v>1402</v>
      </c>
      <c r="R450" s="24" t="s">
        <v>1502</v>
      </c>
      <c r="S450" s="25" t="s">
        <v>1360</v>
      </c>
      <c r="T450" s="26">
        <v>0</v>
      </c>
      <c r="U450" s="26">
        <v>1570</v>
      </c>
      <c r="V450" s="26">
        <v>1149.48</v>
      </c>
      <c r="W450" s="102">
        <f t="shared" si="97"/>
        <v>18</v>
      </c>
      <c r="X450" s="26">
        <f t="shared" si="78"/>
        <v>591</v>
      </c>
      <c r="Y450" s="26">
        <f>Z450-O450</f>
        <v>20690.640000000014</v>
      </c>
      <c r="Z450" s="26">
        <f t="shared" si="98"/>
        <v>679342.68</v>
      </c>
      <c r="AA450" s="27"/>
      <c r="AB450" s="36" t="s">
        <v>16</v>
      </c>
      <c r="AC450" s="181">
        <f t="shared" si="94"/>
        <v>1570</v>
      </c>
      <c r="AD450" s="181">
        <f t="shared" si="99"/>
        <v>1804683.6</v>
      </c>
      <c r="AE450" s="181">
        <v>4</v>
      </c>
      <c r="AF450" s="181">
        <v>4</v>
      </c>
      <c r="AG450" s="101" t="str">
        <f t="shared" si="95"/>
        <v/>
      </c>
      <c r="AH450" s="191">
        <f>384+35+32+38+26+58+18</f>
        <v>591</v>
      </c>
      <c r="AI450" s="69">
        <f t="shared" si="84"/>
        <v>1570</v>
      </c>
    </row>
    <row r="451" spans="1:35" s="69" customFormat="1" ht="33" customHeight="1" x14ac:dyDescent="0.3">
      <c r="A451" s="85" t="s">
        <v>1155</v>
      </c>
      <c r="B451" s="86" t="s">
        <v>1156</v>
      </c>
      <c r="C451" s="87" t="s">
        <v>14</v>
      </c>
      <c r="D451" s="88">
        <v>1</v>
      </c>
      <c r="E451" s="88"/>
      <c r="F451" s="88"/>
      <c r="G451" s="88"/>
      <c r="H451" s="88"/>
      <c r="I451" s="88"/>
      <c r="J451" s="88">
        <v>10715306.710000001</v>
      </c>
      <c r="K451" s="95" t="s">
        <v>15</v>
      </c>
      <c r="L451" s="73"/>
      <c r="M451" s="42">
        <v>1</v>
      </c>
      <c r="N451" s="42">
        <v>114820</v>
      </c>
      <c r="O451" s="42">
        <v>9366695.9499999993</v>
      </c>
      <c r="P451" s="98"/>
      <c r="Q451" s="13" t="s">
        <v>1413</v>
      </c>
      <c r="R451" s="14" t="s">
        <v>1156</v>
      </c>
      <c r="S451" s="15" t="s">
        <v>14</v>
      </c>
      <c r="T451" s="16">
        <v>1</v>
      </c>
      <c r="U451" s="16"/>
      <c r="V451" s="16">
        <f>SUMIFS(AD:AD,AE:AE,AE451)</f>
        <v>10715306.709999999</v>
      </c>
      <c r="W451" s="16">
        <f t="shared" ref="W451:X451" si="100">IF(Y451=0,0,1)</f>
        <v>1</v>
      </c>
      <c r="X451" s="16">
        <f t="shared" si="100"/>
        <v>1</v>
      </c>
      <c r="Y451" s="16">
        <f>SUMIFS(Y:Y,AF:AF,AE451)</f>
        <v>216917.39000000007</v>
      </c>
      <c r="Z451" s="16">
        <f>SUMIFS(Z:Z,AF:AF,AE451)</f>
        <v>9583613.3399999999</v>
      </c>
      <c r="AA451" s="17" t="s">
        <v>15</v>
      </c>
      <c r="AB451" s="40" t="s">
        <v>16</v>
      </c>
      <c r="AC451" s="181">
        <f t="shared" si="94"/>
        <v>1</v>
      </c>
      <c r="AD451" s="183"/>
      <c r="AE451" s="183">
        <v>5</v>
      </c>
      <c r="AF451" s="183"/>
      <c r="AG451" s="101" t="str">
        <f t="shared" si="95"/>
        <v/>
      </c>
      <c r="AH451" s="190">
        <v>1</v>
      </c>
      <c r="AI451" s="69">
        <f t="shared" si="84"/>
        <v>1</v>
      </c>
    </row>
    <row r="452" spans="1:35" s="69" customFormat="1" ht="49.5" customHeight="1" x14ac:dyDescent="0.3">
      <c r="A452" s="130" t="s">
        <v>1157</v>
      </c>
      <c r="B452" s="240" t="s">
        <v>1158</v>
      </c>
      <c r="C452" s="132" t="s">
        <v>30</v>
      </c>
      <c r="D452" s="133">
        <v>1698.29</v>
      </c>
      <c r="E452" s="75"/>
      <c r="F452" s="75"/>
      <c r="G452" s="75"/>
      <c r="H452" s="75"/>
      <c r="I452" s="75">
        <v>3662.23</v>
      </c>
      <c r="J452" s="75">
        <v>6219528.5899999999</v>
      </c>
      <c r="K452" s="91" t="s">
        <v>1159</v>
      </c>
      <c r="L452" s="73"/>
      <c r="M452" s="46">
        <v>1698.29</v>
      </c>
      <c r="N452" s="46">
        <v>0</v>
      </c>
      <c r="O452" s="46">
        <v>6219528.5899999999</v>
      </c>
      <c r="P452" s="98"/>
      <c r="Q452" s="23" t="s">
        <v>1421</v>
      </c>
      <c r="R452" s="24" t="s">
        <v>1158</v>
      </c>
      <c r="S452" s="25" t="s">
        <v>30</v>
      </c>
      <c r="T452" s="26">
        <v>1698.29</v>
      </c>
      <c r="U452" s="26">
        <v>1698.29</v>
      </c>
      <c r="V452" s="26">
        <v>3662.23</v>
      </c>
      <c r="W452" s="127">
        <f t="shared" ref="W452:W471" si="101">AH452-M452</f>
        <v>0</v>
      </c>
      <c r="X452" s="127">
        <f t="shared" si="78"/>
        <v>1698.29</v>
      </c>
      <c r="Y452" s="127">
        <f t="shared" ref="Y452:Y471" si="102">Z452-O452</f>
        <v>0</v>
      </c>
      <c r="Z452" s="127">
        <f t="shared" ref="Z452:Z471" si="103">ROUND(V452*X452,2)</f>
        <v>6219528.5899999999</v>
      </c>
      <c r="AA452" s="33" t="s">
        <v>15</v>
      </c>
      <c r="AB452" s="36" t="s">
        <v>16</v>
      </c>
      <c r="AC452" s="181">
        <f t="shared" si="94"/>
        <v>1698.29</v>
      </c>
      <c r="AD452" s="181">
        <f t="shared" ref="AD452:AD471" si="104">ROUND(V452*AC452,2)</f>
        <v>6219528.5899999999</v>
      </c>
      <c r="AE452" s="181">
        <v>5</v>
      </c>
      <c r="AF452" s="181">
        <v>5</v>
      </c>
      <c r="AG452" s="101" t="str">
        <f t="shared" si="95"/>
        <v/>
      </c>
      <c r="AH452" s="190">
        <v>1698.29</v>
      </c>
      <c r="AI452" s="69">
        <f t="shared" si="84"/>
        <v>1698.29</v>
      </c>
    </row>
    <row r="453" spans="1:35" s="69" customFormat="1" ht="49.5" x14ac:dyDescent="0.3">
      <c r="A453" s="130" t="s">
        <v>1160</v>
      </c>
      <c r="B453" s="240" t="s">
        <v>1161</v>
      </c>
      <c r="C453" s="132" t="s">
        <v>50</v>
      </c>
      <c r="D453" s="133">
        <v>2123.4</v>
      </c>
      <c r="E453" s="75"/>
      <c r="F453" s="75"/>
      <c r="G453" s="75"/>
      <c r="H453" s="75"/>
      <c r="I453" s="75">
        <v>353</v>
      </c>
      <c r="J453" s="75">
        <v>749560.2</v>
      </c>
      <c r="K453" s="91" t="s">
        <v>1162</v>
      </c>
      <c r="L453" s="73"/>
      <c r="M453" s="46">
        <v>2123.4</v>
      </c>
      <c r="N453" s="46">
        <v>0</v>
      </c>
      <c r="O453" s="46">
        <v>749560.2</v>
      </c>
      <c r="P453" s="98"/>
      <c r="Q453" s="23" t="s">
        <v>1426</v>
      </c>
      <c r="R453" s="24" t="s">
        <v>1161</v>
      </c>
      <c r="S453" s="25" t="s">
        <v>50</v>
      </c>
      <c r="T453" s="26">
        <v>2123.4</v>
      </c>
      <c r="U453" s="26">
        <v>2123.4</v>
      </c>
      <c r="V453" s="26">
        <v>353</v>
      </c>
      <c r="W453" s="127">
        <f t="shared" si="101"/>
        <v>0</v>
      </c>
      <c r="X453" s="127">
        <v>2123.4</v>
      </c>
      <c r="Y453" s="127">
        <f t="shared" si="102"/>
        <v>0</v>
      </c>
      <c r="Z453" s="127">
        <f t="shared" si="103"/>
        <v>749560.2</v>
      </c>
      <c r="AA453" s="33" t="s">
        <v>15</v>
      </c>
      <c r="AB453" s="36" t="s">
        <v>16</v>
      </c>
      <c r="AC453" s="181">
        <f t="shared" si="94"/>
        <v>2123.4</v>
      </c>
      <c r="AD453" s="181">
        <f t="shared" si="104"/>
        <v>749560.2</v>
      </c>
      <c r="AE453" s="181">
        <v>5</v>
      </c>
      <c r="AF453" s="181">
        <v>5</v>
      </c>
      <c r="AG453" s="101" t="str">
        <f t="shared" si="95"/>
        <v/>
      </c>
      <c r="AH453" s="190">
        <v>2123.4</v>
      </c>
      <c r="AI453" s="69">
        <f t="shared" si="84"/>
        <v>2123.4</v>
      </c>
    </row>
    <row r="454" spans="1:35" s="69" customFormat="1" ht="42" customHeight="1" x14ac:dyDescent="0.3">
      <c r="A454" s="130" t="s">
        <v>1163</v>
      </c>
      <c r="B454" s="240" t="s">
        <v>1164</v>
      </c>
      <c r="C454" s="132" t="s">
        <v>162</v>
      </c>
      <c r="D454" s="133">
        <v>59</v>
      </c>
      <c r="E454" s="75"/>
      <c r="F454" s="75"/>
      <c r="G454" s="75"/>
      <c r="H454" s="75"/>
      <c r="I454" s="75">
        <v>217.02</v>
      </c>
      <c r="J454" s="75">
        <v>12804.18</v>
      </c>
      <c r="K454" s="91" t="s">
        <v>1165</v>
      </c>
      <c r="L454" s="73"/>
      <c r="M454" s="46">
        <v>30</v>
      </c>
      <c r="N454" s="46">
        <v>0</v>
      </c>
      <c r="O454" s="46">
        <v>6510.6</v>
      </c>
      <c r="P454" s="98"/>
      <c r="Q454" s="23" t="s">
        <v>1402</v>
      </c>
      <c r="R454" s="24" t="s">
        <v>1164</v>
      </c>
      <c r="S454" s="25" t="s">
        <v>162</v>
      </c>
      <c r="T454" s="26">
        <v>59</v>
      </c>
      <c r="U454" s="26">
        <v>59</v>
      </c>
      <c r="V454" s="26">
        <v>217.02</v>
      </c>
      <c r="W454" s="128">
        <f t="shared" si="101"/>
        <v>29</v>
      </c>
      <c r="X454" s="127">
        <f t="shared" si="78"/>
        <v>59</v>
      </c>
      <c r="Y454" s="127">
        <f t="shared" si="102"/>
        <v>6293.58</v>
      </c>
      <c r="Z454" s="127">
        <f t="shared" si="103"/>
        <v>12804.18</v>
      </c>
      <c r="AA454" s="33" t="s">
        <v>15</v>
      </c>
      <c r="AB454" s="36" t="s">
        <v>16</v>
      </c>
      <c r="AC454" s="181">
        <f t="shared" si="94"/>
        <v>59</v>
      </c>
      <c r="AD454" s="181">
        <f t="shared" si="104"/>
        <v>12804.18</v>
      </c>
      <c r="AE454" s="181">
        <v>5</v>
      </c>
      <c r="AF454" s="181">
        <v>5</v>
      </c>
      <c r="AG454" s="101" t="str">
        <f t="shared" si="95"/>
        <v/>
      </c>
      <c r="AH454" s="191">
        <f>30+29</f>
        <v>59</v>
      </c>
      <c r="AI454" s="69">
        <f t="shared" si="84"/>
        <v>59</v>
      </c>
    </row>
    <row r="455" spans="1:35" s="69" customFormat="1" ht="26.1" customHeight="1" x14ac:dyDescent="0.3">
      <c r="A455" s="130" t="s">
        <v>1166</v>
      </c>
      <c r="B455" s="131" t="s">
        <v>1167</v>
      </c>
      <c r="C455" s="132" t="s">
        <v>559</v>
      </c>
      <c r="D455" s="133">
        <v>30</v>
      </c>
      <c r="E455" s="75"/>
      <c r="F455" s="75"/>
      <c r="G455" s="75"/>
      <c r="H455" s="75"/>
      <c r="I455" s="75">
        <v>50</v>
      </c>
      <c r="J455" s="75">
        <v>1500</v>
      </c>
      <c r="K455" s="91" t="s">
        <v>1168</v>
      </c>
      <c r="L455" s="73"/>
      <c r="M455" s="46">
        <v>20</v>
      </c>
      <c r="N455" s="46">
        <v>0</v>
      </c>
      <c r="O455" s="46">
        <v>1000</v>
      </c>
      <c r="P455" s="98"/>
      <c r="Q455" s="23" t="s">
        <v>1373</v>
      </c>
      <c r="R455" s="24" t="s">
        <v>1167</v>
      </c>
      <c r="S455" s="25" t="s">
        <v>559</v>
      </c>
      <c r="T455" s="26">
        <v>30</v>
      </c>
      <c r="U455" s="26">
        <v>30</v>
      </c>
      <c r="V455" s="26">
        <v>50</v>
      </c>
      <c r="W455" s="128">
        <f t="shared" si="101"/>
        <v>10</v>
      </c>
      <c r="X455" s="127">
        <f t="shared" si="78"/>
        <v>30</v>
      </c>
      <c r="Y455" s="127">
        <f t="shared" si="102"/>
        <v>500</v>
      </c>
      <c r="Z455" s="127">
        <f t="shared" si="103"/>
        <v>1500</v>
      </c>
      <c r="AA455" s="33" t="s">
        <v>15</v>
      </c>
      <c r="AB455" s="36" t="s">
        <v>16</v>
      </c>
      <c r="AC455" s="181">
        <f t="shared" si="94"/>
        <v>30</v>
      </c>
      <c r="AD455" s="181">
        <f t="shared" si="104"/>
        <v>1500</v>
      </c>
      <c r="AE455" s="181">
        <v>5</v>
      </c>
      <c r="AF455" s="181">
        <v>5</v>
      </c>
      <c r="AG455" s="101" t="str">
        <f t="shared" si="95"/>
        <v/>
      </c>
      <c r="AH455" s="191">
        <f>20+10</f>
        <v>30</v>
      </c>
      <c r="AI455" s="69">
        <f t="shared" si="84"/>
        <v>30</v>
      </c>
    </row>
    <row r="456" spans="1:35" s="69" customFormat="1" ht="26.1" customHeight="1" x14ac:dyDescent="0.3">
      <c r="A456" s="130" t="s">
        <v>1169</v>
      </c>
      <c r="B456" s="131" t="s">
        <v>1170</v>
      </c>
      <c r="C456" s="132" t="s">
        <v>81</v>
      </c>
      <c r="D456" s="133">
        <v>9</v>
      </c>
      <c r="E456" s="75"/>
      <c r="F456" s="75"/>
      <c r="G456" s="75"/>
      <c r="H456" s="75"/>
      <c r="I456" s="75">
        <v>1900.97</v>
      </c>
      <c r="J456" s="75">
        <v>17108.73</v>
      </c>
      <c r="K456" s="91" t="s">
        <v>1171</v>
      </c>
      <c r="L456" s="73"/>
      <c r="M456" s="46">
        <v>9</v>
      </c>
      <c r="N456" s="46">
        <v>0</v>
      </c>
      <c r="O456" s="46">
        <v>17108.73</v>
      </c>
      <c r="P456" s="98"/>
      <c r="Q456" s="23" t="s">
        <v>1393</v>
      </c>
      <c r="R456" s="24" t="s">
        <v>1170</v>
      </c>
      <c r="S456" s="25" t="s">
        <v>81</v>
      </c>
      <c r="T456" s="26">
        <v>9</v>
      </c>
      <c r="U456" s="26">
        <v>9</v>
      </c>
      <c r="V456" s="26">
        <v>1900.97</v>
      </c>
      <c r="W456" s="127">
        <f t="shared" si="101"/>
        <v>0</v>
      </c>
      <c r="X456" s="127">
        <f t="shared" si="78"/>
        <v>9</v>
      </c>
      <c r="Y456" s="127">
        <f t="shared" si="102"/>
        <v>0</v>
      </c>
      <c r="Z456" s="127">
        <f t="shared" si="103"/>
        <v>17108.73</v>
      </c>
      <c r="AA456" s="33" t="s">
        <v>15</v>
      </c>
      <c r="AB456" s="36" t="s">
        <v>16</v>
      </c>
      <c r="AC456" s="181">
        <f t="shared" si="94"/>
        <v>9</v>
      </c>
      <c r="AD456" s="181">
        <f t="shared" si="104"/>
        <v>17108.73</v>
      </c>
      <c r="AE456" s="181">
        <v>5</v>
      </c>
      <c r="AF456" s="181">
        <v>5</v>
      </c>
      <c r="AG456" s="101" t="str">
        <f t="shared" si="95"/>
        <v/>
      </c>
      <c r="AH456" s="190">
        <v>9</v>
      </c>
      <c r="AI456" s="69">
        <f t="shared" si="84"/>
        <v>9</v>
      </c>
    </row>
    <row r="457" spans="1:35" s="69" customFormat="1" ht="26.1" customHeight="1" x14ac:dyDescent="0.3">
      <c r="A457" s="130" t="s">
        <v>1172</v>
      </c>
      <c r="B457" s="131" t="s">
        <v>1173</v>
      </c>
      <c r="C457" s="132" t="s">
        <v>81</v>
      </c>
      <c r="D457" s="133">
        <v>5</v>
      </c>
      <c r="E457" s="75"/>
      <c r="F457" s="75"/>
      <c r="G457" s="75"/>
      <c r="H457" s="75"/>
      <c r="I457" s="75">
        <v>1230.75</v>
      </c>
      <c r="J457" s="75">
        <v>6153.75</v>
      </c>
      <c r="K457" s="91" t="s">
        <v>1174</v>
      </c>
      <c r="L457" s="73"/>
      <c r="M457" s="46">
        <v>5</v>
      </c>
      <c r="N457" s="46">
        <v>0</v>
      </c>
      <c r="O457" s="46">
        <v>6153.75</v>
      </c>
      <c r="P457" s="98"/>
      <c r="Q457" s="23" t="s">
        <v>1403</v>
      </c>
      <c r="R457" s="24" t="s">
        <v>1173</v>
      </c>
      <c r="S457" s="25" t="s">
        <v>81</v>
      </c>
      <c r="T457" s="26">
        <v>5</v>
      </c>
      <c r="U457" s="26">
        <v>5</v>
      </c>
      <c r="V457" s="26">
        <v>1230.75</v>
      </c>
      <c r="W457" s="127">
        <f t="shared" si="101"/>
        <v>0</v>
      </c>
      <c r="X457" s="127">
        <f t="shared" si="78"/>
        <v>5</v>
      </c>
      <c r="Y457" s="127">
        <f t="shared" si="102"/>
        <v>0</v>
      </c>
      <c r="Z457" s="127">
        <f t="shared" si="103"/>
        <v>6153.75</v>
      </c>
      <c r="AA457" s="33" t="s">
        <v>15</v>
      </c>
      <c r="AB457" s="36" t="s">
        <v>16</v>
      </c>
      <c r="AC457" s="181">
        <f t="shared" si="94"/>
        <v>5</v>
      </c>
      <c r="AD457" s="181">
        <f t="shared" si="104"/>
        <v>6153.75</v>
      </c>
      <c r="AE457" s="181">
        <v>5</v>
      </c>
      <c r="AF457" s="181">
        <v>5</v>
      </c>
      <c r="AG457" s="101" t="str">
        <f t="shared" si="95"/>
        <v/>
      </c>
      <c r="AH457" s="190">
        <v>5</v>
      </c>
      <c r="AI457" s="69">
        <f t="shared" si="84"/>
        <v>5</v>
      </c>
    </row>
    <row r="458" spans="1:35" s="69" customFormat="1" ht="33" x14ac:dyDescent="0.3">
      <c r="A458" s="55" t="s">
        <v>1175</v>
      </c>
      <c r="B458" s="53" t="s">
        <v>1176</v>
      </c>
      <c r="C458" s="54" t="s">
        <v>81</v>
      </c>
      <c r="D458" s="75">
        <v>756</v>
      </c>
      <c r="E458" s="75"/>
      <c r="F458" s="75"/>
      <c r="G458" s="75"/>
      <c r="H458" s="75"/>
      <c r="I458" s="75">
        <v>1666.11</v>
      </c>
      <c r="J458" s="75">
        <v>1259579.1599999999</v>
      </c>
      <c r="K458" s="91" t="s">
        <v>1177</v>
      </c>
      <c r="L458" s="73"/>
      <c r="M458" s="46">
        <v>400</v>
      </c>
      <c r="N458" s="46">
        <v>0</v>
      </c>
      <c r="O458" s="46">
        <v>666444</v>
      </c>
      <c r="P458" s="98"/>
      <c r="Q458" s="23" t="s">
        <v>1427</v>
      </c>
      <c r="R458" s="24" t="s">
        <v>1176</v>
      </c>
      <c r="S458" s="25" t="s">
        <v>81</v>
      </c>
      <c r="T458" s="26">
        <v>756</v>
      </c>
      <c r="U458" s="26">
        <v>756</v>
      </c>
      <c r="V458" s="26">
        <v>1666.11</v>
      </c>
      <c r="W458" s="128">
        <f t="shared" si="101"/>
        <v>71</v>
      </c>
      <c r="X458" s="26">
        <f t="shared" si="78"/>
        <v>471</v>
      </c>
      <c r="Y458" s="26">
        <f t="shared" si="102"/>
        <v>118293.81000000006</v>
      </c>
      <c r="Z458" s="26">
        <f t="shared" si="103"/>
        <v>784737.81</v>
      </c>
      <c r="AA458" s="33" t="s">
        <v>15</v>
      </c>
      <c r="AB458" s="36" t="s">
        <v>16</v>
      </c>
      <c r="AC458" s="181">
        <f t="shared" si="94"/>
        <v>756</v>
      </c>
      <c r="AD458" s="181">
        <f t="shared" si="104"/>
        <v>1259579.1599999999</v>
      </c>
      <c r="AE458" s="181">
        <v>5</v>
      </c>
      <c r="AF458" s="181">
        <v>5</v>
      </c>
      <c r="AG458" s="101" t="str">
        <f t="shared" si="95"/>
        <v/>
      </c>
      <c r="AH458" s="191">
        <f>400+71</f>
        <v>471</v>
      </c>
      <c r="AI458" s="69">
        <f t="shared" si="84"/>
        <v>756</v>
      </c>
    </row>
    <row r="459" spans="1:35" s="69" customFormat="1" ht="49.5" customHeight="1" x14ac:dyDescent="0.3">
      <c r="A459" s="130" t="s">
        <v>1178</v>
      </c>
      <c r="B459" s="240" t="s">
        <v>1179</v>
      </c>
      <c r="C459" s="132" t="s">
        <v>81</v>
      </c>
      <c r="D459" s="133">
        <v>2</v>
      </c>
      <c r="E459" s="75"/>
      <c r="F459" s="75"/>
      <c r="G459" s="75"/>
      <c r="H459" s="75"/>
      <c r="I459" s="75">
        <v>48513</v>
      </c>
      <c r="J459" s="75">
        <v>97026</v>
      </c>
      <c r="K459" s="91" t="s">
        <v>1180</v>
      </c>
      <c r="L459" s="73"/>
      <c r="M459" s="46">
        <v>2</v>
      </c>
      <c r="N459" s="46">
        <v>0</v>
      </c>
      <c r="O459" s="46">
        <v>97026</v>
      </c>
      <c r="P459" s="98"/>
      <c r="Q459" s="23" t="s">
        <v>1428</v>
      </c>
      <c r="R459" s="24" t="s">
        <v>1179</v>
      </c>
      <c r="S459" s="25" t="s">
        <v>81</v>
      </c>
      <c r="T459" s="26">
        <v>2</v>
      </c>
      <c r="U459" s="26">
        <v>2</v>
      </c>
      <c r="V459" s="26">
        <v>48513</v>
      </c>
      <c r="W459" s="127">
        <f t="shared" si="101"/>
        <v>0</v>
      </c>
      <c r="X459" s="127">
        <v>2</v>
      </c>
      <c r="Y459" s="127">
        <f t="shared" si="102"/>
        <v>0</v>
      </c>
      <c r="Z459" s="127">
        <f t="shared" si="103"/>
        <v>97026</v>
      </c>
      <c r="AA459" s="33" t="s">
        <v>15</v>
      </c>
      <c r="AB459" s="36" t="s">
        <v>16</v>
      </c>
      <c r="AC459" s="181">
        <f t="shared" si="94"/>
        <v>2</v>
      </c>
      <c r="AD459" s="181">
        <f t="shared" si="104"/>
        <v>97026</v>
      </c>
      <c r="AE459" s="181">
        <v>5</v>
      </c>
      <c r="AF459" s="181">
        <v>5</v>
      </c>
      <c r="AG459" s="101" t="str">
        <f t="shared" si="95"/>
        <v/>
      </c>
      <c r="AH459" s="190">
        <v>2</v>
      </c>
      <c r="AI459" s="69">
        <f t="shared" si="84"/>
        <v>2</v>
      </c>
    </row>
    <row r="460" spans="1:35" s="69" customFormat="1" ht="41.25" x14ac:dyDescent="0.3">
      <c r="A460" s="130" t="s">
        <v>1181</v>
      </c>
      <c r="B460" s="131" t="s">
        <v>1182</v>
      </c>
      <c r="C460" s="132" t="s">
        <v>1183</v>
      </c>
      <c r="D460" s="133">
        <v>18</v>
      </c>
      <c r="E460" s="75">
        <v>38</v>
      </c>
      <c r="F460" s="75"/>
      <c r="G460" s="75"/>
      <c r="H460" s="75"/>
      <c r="I460" s="75">
        <v>587.1</v>
      </c>
      <c r="J460" s="75">
        <v>22309.8</v>
      </c>
      <c r="K460" s="91" t="s">
        <v>1184</v>
      </c>
      <c r="L460" s="73"/>
      <c r="M460" s="46">
        <v>38</v>
      </c>
      <c r="N460" s="46">
        <v>0</v>
      </c>
      <c r="O460" s="46">
        <v>22309.8</v>
      </c>
      <c r="P460" s="98"/>
      <c r="Q460" s="23" t="s">
        <v>1387</v>
      </c>
      <c r="R460" s="24" t="s">
        <v>1182</v>
      </c>
      <c r="S460" s="25" t="s">
        <v>1183</v>
      </c>
      <c r="T460" s="26">
        <v>18</v>
      </c>
      <c r="U460" s="26">
        <v>38</v>
      </c>
      <c r="V460" s="26">
        <v>587.1</v>
      </c>
      <c r="W460" s="128">
        <f t="shared" si="101"/>
        <v>0</v>
      </c>
      <c r="X460" s="127">
        <f t="shared" ref="X460:X494" si="105">W460+M460</f>
        <v>38</v>
      </c>
      <c r="Y460" s="127">
        <f t="shared" si="102"/>
        <v>0</v>
      </c>
      <c r="Z460" s="127">
        <f t="shared" si="103"/>
        <v>22309.8</v>
      </c>
      <c r="AA460" s="27" t="s">
        <v>15</v>
      </c>
      <c r="AB460" s="36" t="s">
        <v>16</v>
      </c>
      <c r="AC460" s="181">
        <f t="shared" si="94"/>
        <v>38</v>
      </c>
      <c r="AD460" s="181">
        <f t="shared" si="104"/>
        <v>22309.8</v>
      </c>
      <c r="AE460" s="181">
        <v>5</v>
      </c>
      <c r="AF460" s="181">
        <v>5</v>
      </c>
      <c r="AG460" s="101" t="str">
        <f t="shared" si="95"/>
        <v/>
      </c>
      <c r="AH460" s="191">
        <f>20+18</f>
        <v>38</v>
      </c>
      <c r="AI460" s="69">
        <f t="shared" ref="AI460:AI503" si="106">IF(G460=0,IF(F460=0,IF(E460=0,D460,E460),F460),G460)</f>
        <v>38</v>
      </c>
    </row>
    <row r="461" spans="1:35" s="69" customFormat="1" ht="49.5" customHeight="1" x14ac:dyDescent="0.3">
      <c r="A461" s="55" t="s">
        <v>1185</v>
      </c>
      <c r="B461" s="53" t="s">
        <v>1186</v>
      </c>
      <c r="C461" s="54" t="s">
        <v>162</v>
      </c>
      <c r="D461" s="75">
        <v>9</v>
      </c>
      <c r="E461" s="75"/>
      <c r="F461" s="75"/>
      <c r="G461" s="75"/>
      <c r="H461" s="75"/>
      <c r="I461" s="75">
        <v>664.14</v>
      </c>
      <c r="J461" s="75">
        <v>5977.26</v>
      </c>
      <c r="K461" s="91" t="s">
        <v>1187</v>
      </c>
      <c r="L461" s="73"/>
      <c r="M461" s="46">
        <v>0</v>
      </c>
      <c r="N461" s="46">
        <v>0</v>
      </c>
      <c r="O461" s="46">
        <v>0</v>
      </c>
      <c r="P461" s="98"/>
      <c r="Q461" s="23" t="s">
        <v>1405</v>
      </c>
      <c r="R461" s="24" t="s">
        <v>1186</v>
      </c>
      <c r="S461" s="25" t="s">
        <v>162</v>
      </c>
      <c r="T461" s="26">
        <v>9</v>
      </c>
      <c r="U461" s="26">
        <v>9</v>
      </c>
      <c r="V461" s="26">
        <v>664.14</v>
      </c>
      <c r="W461" s="26">
        <f t="shared" si="101"/>
        <v>0</v>
      </c>
      <c r="X461" s="26">
        <f t="shared" si="105"/>
        <v>0</v>
      </c>
      <c r="Y461" s="26">
        <f t="shared" si="102"/>
        <v>0</v>
      </c>
      <c r="Z461" s="26">
        <f t="shared" si="103"/>
        <v>0</v>
      </c>
      <c r="AA461" s="33" t="s">
        <v>15</v>
      </c>
      <c r="AB461" s="36" t="s">
        <v>16</v>
      </c>
      <c r="AC461" s="181">
        <f t="shared" si="94"/>
        <v>9</v>
      </c>
      <c r="AD461" s="181">
        <f t="shared" si="104"/>
        <v>5977.26</v>
      </c>
      <c r="AE461" s="181">
        <v>5</v>
      </c>
      <c r="AF461" s="181">
        <v>5</v>
      </c>
      <c r="AG461" s="101" t="str">
        <f t="shared" si="95"/>
        <v/>
      </c>
      <c r="AH461" s="190">
        <v>0</v>
      </c>
      <c r="AI461" s="69">
        <f t="shared" si="106"/>
        <v>9</v>
      </c>
    </row>
    <row r="462" spans="1:35" s="69" customFormat="1" ht="39" x14ac:dyDescent="0.3">
      <c r="A462" s="55" t="s">
        <v>1188</v>
      </c>
      <c r="B462" s="53" t="s">
        <v>1189</v>
      </c>
      <c r="C462" s="54" t="s">
        <v>81</v>
      </c>
      <c r="D462" s="75">
        <v>68</v>
      </c>
      <c r="E462" s="75"/>
      <c r="F462" s="75"/>
      <c r="G462" s="75"/>
      <c r="H462" s="75"/>
      <c r="I462" s="75">
        <v>847.07</v>
      </c>
      <c r="J462" s="75">
        <v>57600.76</v>
      </c>
      <c r="K462" s="91" t="s">
        <v>1190</v>
      </c>
      <c r="L462" s="73"/>
      <c r="M462" s="46">
        <v>40</v>
      </c>
      <c r="N462" s="46">
        <v>0</v>
      </c>
      <c r="O462" s="46">
        <v>33882.800000000003</v>
      </c>
      <c r="P462" s="98"/>
      <c r="Q462" s="23" t="s">
        <v>1406</v>
      </c>
      <c r="R462" s="24" t="s">
        <v>1189</v>
      </c>
      <c r="S462" s="25" t="s">
        <v>81</v>
      </c>
      <c r="T462" s="26">
        <v>68</v>
      </c>
      <c r="U462" s="26">
        <v>68</v>
      </c>
      <c r="V462" s="26">
        <v>847.07</v>
      </c>
      <c r="W462" s="26">
        <f t="shared" si="101"/>
        <v>0</v>
      </c>
      <c r="X462" s="26">
        <f t="shared" si="105"/>
        <v>40</v>
      </c>
      <c r="Y462" s="26">
        <f t="shared" si="102"/>
        <v>0</v>
      </c>
      <c r="Z462" s="26">
        <f t="shared" si="103"/>
        <v>33882.800000000003</v>
      </c>
      <c r="AA462" s="33" t="s">
        <v>15</v>
      </c>
      <c r="AB462" s="36" t="s">
        <v>16</v>
      </c>
      <c r="AC462" s="181">
        <f t="shared" si="94"/>
        <v>68</v>
      </c>
      <c r="AD462" s="181">
        <f t="shared" si="104"/>
        <v>57600.76</v>
      </c>
      <c r="AE462" s="181">
        <v>5</v>
      </c>
      <c r="AF462" s="181">
        <v>5</v>
      </c>
      <c r="AG462" s="101" t="str">
        <f t="shared" si="95"/>
        <v/>
      </c>
      <c r="AH462" s="190">
        <v>40</v>
      </c>
      <c r="AI462" s="69">
        <f t="shared" si="106"/>
        <v>68</v>
      </c>
    </row>
    <row r="463" spans="1:35" s="69" customFormat="1" ht="41.25" x14ac:dyDescent="0.3">
      <c r="A463" s="130" t="s">
        <v>1191</v>
      </c>
      <c r="B463" s="131" t="s">
        <v>1192</v>
      </c>
      <c r="C463" s="132" t="s">
        <v>30</v>
      </c>
      <c r="D463" s="133">
        <v>27.54</v>
      </c>
      <c r="E463" s="75"/>
      <c r="F463" s="75">
        <v>87.54</v>
      </c>
      <c r="G463" s="75"/>
      <c r="H463" s="75"/>
      <c r="I463" s="75">
        <v>293.74</v>
      </c>
      <c r="J463" s="75">
        <v>25714</v>
      </c>
      <c r="K463" s="91" t="s">
        <v>1193</v>
      </c>
      <c r="L463" s="73"/>
      <c r="M463" s="46">
        <v>87.54</v>
      </c>
      <c r="N463" s="46">
        <v>0</v>
      </c>
      <c r="O463" s="46">
        <v>25714</v>
      </c>
      <c r="P463" s="98"/>
      <c r="Q463" s="23" t="s">
        <v>1414</v>
      </c>
      <c r="R463" s="24" t="s">
        <v>1192</v>
      </c>
      <c r="S463" s="25" t="s">
        <v>30</v>
      </c>
      <c r="T463" s="26">
        <v>27.54</v>
      </c>
      <c r="U463" s="26">
        <v>87.54</v>
      </c>
      <c r="V463" s="26">
        <v>293.74</v>
      </c>
      <c r="W463" s="127">
        <f t="shared" si="101"/>
        <v>0</v>
      </c>
      <c r="X463" s="127">
        <f t="shared" si="105"/>
        <v>87.54</v>
      </c>
      <c r="Y463" s="127">
        <f t="shared" si="102"/>
        <v>0</v>
      </c>
      <c r="Z463" s="127">
        <f t="shared" si="103"/>
        <v>25714</v>
      </c>
      <c r="AA463" s="27" t="s">
        <v>15</v>
      </c>
      <c r="AB463" s="36" t="s">
        <v>16</v>
      </c>
      <c r="AC463" s="181">
        <f t="shared" si="94"/>
        <v>87.54</v>
      </c>
      <c r="AD463" s="181">
        <f t="shared" si="104"/>
        <v>25714</v>
      </c>
      <c r="AE463" s="181">
        <v>5</v>
      </c>
      <c r="AF463" s="181">
        <v>5</v>
      </c>
      <c r="AG463" s="101" t="str">
        <f t="shared" si="95"/>
        <v/>
      </c>
      <c r="AH463" s="190">
        <v>87.54</v>
      </c>
      <c r="AI463" s="69">
        <f t="shared" si="106"/>
        <v>87.54</v>
      </c>
    </row>
    <row r="464" spans="1:35" s="69" customFormat="1" ht="33" customHeight="1" x14ac:dyDescent="0.3">
      <c r="A464" s="130" t="s">
        <v>1194</v>
      </c>
      <c r="B464" s="131" t="s">
        <v>1195</v>
      </c>
      <c r="C464" s="132" t="s">
        <v>1196</v>
      </c>
      <c r="D464" s="133">
        <v>2</v>
      </c>
      <c r="E464" s="75"/>
      <c r="F464" s="75"/>
      <c r="G464" s="75"/>
      <c r="H464" s="75"/>
      <c r="I464" s="75">
        <v>10000</v>
      </c>
      <c r="J464" s="75">
        <v>20000</v>
      </c>
      <c r="K464" s="91" t="s">
        <v>1197</v>
      </c>
      <c r="L464" s="73"/>
      <c r="M464" s="46">
        <v>2</v>
      </c>
      <c r="N464" s="46">
        <v>0</v>
      </c>
      <c r="O464" s="46">
        <v>20000</v>
      </c>
      <c r="P464" s="98"/>
      <c r="Q464" s="23" t="s">
        <v>1429</v>
      </c>
      <c r="R464" s="24" t="s">
        <v>1195</v>
      </c>
      <c r="S464" s="25" t="s">
        <v>1196</v>
      </c>
      <c r="T464" s="26">
        <v>2</v>
      </c>
      <c r="U464" s="26">
        <v>2</v>
      </c>
      <c r="V464" s="26">
        <v>10000</v>
      </c>
      <c r="W464" s="127">
        <f t="shared" si="101"/>
        <v>0</v>
      </c>
      <c r="X464" s="127">
        <f t="shared" si="105"/>
        <v>2</v>
      </c>
      <c r="Y464" s="127">
        <f t="shared" si="102"/>
        <v>0</v>
      </c>
      <c r="Z464" s="127">
        <f t="shared" si="103"/>
        <v>20000</v>
      </c>
      <c r="AA464" s="33" t="s">
        <v>15</v>
      </c>
      <c r="AB464" s="36" t="s">
        <v>16</v>
      </c>
      <c r="AC464" s="181">
        <f t="shared" si="94"/>
        <v>2</v>
      </c>
      <c r="AD464" s="181">
        <f t="shared" si="104"/>
        <v>20000</v>
      </c>
      <c r="AE464" s="181">
        <v>5</v>
      </c>
      <c r="AF464" s="181">
        <v>5</v>
      </c>
      <c r="AG464" s="101" t="str">
        <f t="shared" si="95"/>
        <v/>
      </c>
      <c r="AH464" s="190">
        <v>2</v>
      </c>
      <c r="AI464" s="69">
        <f t="shared" si="106"/>
        <v>2</v>
      </c>
    </row>
    <row r="465" spans="1:35" s="69" customFormat="1" ht="33" customHeight="1" x14ac:dyDescent="0.3">
      <c r="A465" s="55" t="s">
        <v>1198</v>
      </c>
      <c r="B465" s="53" t="s">
        <v>1199</v>
      </c>
      <c r="C465" s="54" t="s">
        <v>30</v>
      </c>
      <c r="D465" s="75">
        <v>1064.31</v>
      </c>
      <c r="E465" s="75"/>
      <c r="F465" s="75"/>
      <c r="G465" s="75"/>
      <c r="H465" s="75"/>
      <c r="I465" s="75">
        <v>210</v>
      </c>
      <c r="J465" s="75">
        <v>223505.1</v>
      </c>
      <c r="K465" s="91" t="s">
        <v>1200</v>
      </c>
      <c r="L465" s="73"/>
      <c r="M465" s="46">
        <v>754</v>
      </c>
      <c r="N465" s="46">
        <v>21420</v>
      </c>
      <c r="O465" s="46">
        <v>158340</v>
      </c>
      <c r="P465" s="98"/>
      <c r="Q465" s="23" t="s">
        <v>1430</v>
      </c>
      <c r="R465" s="24" t="s">
        <v>1199</v>
      </c>
      <c r="S465" s="25" t="s">
        <v>30</v>
      </c>
      <c r="T465" s="26">
        <v>1064.31</v>
      </c>
      <c r="U465" s="26">
        <v>1064.31</v>
      </c>
      <c r="V465" s="26">
        <v>210</v>
      </c>
      <c r="W465" s="128">
        <f t="shared" si="101"/>
        <v>91</v>
      </c>
      <c r="X465" s="26">
        <f t="shared" si="105"/>
        <v>845</v>
      </c>
      <c r="Y465" s="26">
        <f t="shared" si="102"/>
        <v>19110</v>
      </c>
      <c r="Z465" s="26">
        <f t="shared" si="103"/>
        <v>177450</v>
      </c>
      <c r="AA465" s="33" t="s">
        <v>15</v>
      </c>
      <c r="AB465" s="36" t="s">
        <v>16</v>
      </c>
      <c r="AC465" s="181">
        <f t="shared" si="94"/>
        <v>1064.31</v>
      </c>
      <c r="AD465" s="181">
        <f t="shared" si="104"/>
        <v>223505.1</v>
      </c>
      <c r="AE465" s="181">
        <v>5</v>
      </c>
      <c r="AF465" s="181">
        <v>5</v>
      </c>
      <c r="AG465" s="101" t="str">
        <f t="shared" si="95"/>
        <v/>
      </c>
      <c r="AH465" s="191">
        <f>600+52+102+91</f>
        <v>845</v>
      </c>
      <c r="AI465" s="69">
        <f t="shared" si="106"/>
        <v>1064.31</v>
      </c>
    </row>
    <row r="466" spans="1:35" s="69" customFormat="1" ht="33" x14ac:dyDescent="0.3">
      <c r="A466" s="55" t="s">
        <v>1201</v>
      </c>
      <c r="B466" s="53" t="s">
        <v>1202</v>
      </c>
      <c r="C466" s="54" t="s">
        <v>30</v>
      </c>
      <c r="D466" s="75">
        <v>1910.54</v>
      </c>
      <c r="E466" s="75"/>
      <c r="F466" s="75"/>
      <c r="G466" s="75"/>
      <c r="H466" s="75"/>
      <c r="I466" s="75">
        <v>300</v>
      </c>
      <c r="J466" s="75">
        <v>573162</v>
      </c>
      <c r="K466" s="91" t="s">
        <v>1203</v>
      </c>
      <c r="L466" s="73"/>
      <c r="M466" s="46">
        <v>974</v>
      </c>
      <c r="N466" s="46">
        <v>63000</v>
      </c>
      <c r="O466" s="46">
        <v>292200</v>
      </c>
      <c r="P466" s="98"/>
      <c r="Q466" s="23" t="s">
        <v>1431</v>
      </c>
      <c r="R466" s="24" t="s">
        <v>1202</v>
      </c>
      <c r="S466" s="25" t="s">
        <v>30</v>
      </c>
      <c r="T466" s="26">
        <v>1910.54</v>
      </c>
      <c r="U466" s="26">
        <v>1910.54</v>
      </c>
      <c r="V466" s="26">
        <v>300</v>
      </c>
      <c r="W466" s="128">
        <f t="shared" si="101"/>
        <v>132</v>
      </c>
      <c r="X466" s="26">
        <f t="shared" si="105"/>
        <v>1106</v>
      </c>
      <c r="Y466" s="26">
        <f t="shared" si="102"/>
        <v>39600</v>
      </c>
      <c r="Z466" s="26">
        <f t="shared" si="103"/>
        <v>331800</v>
      </c>
      <c r="AA466" s="33" t="s">
        <v>15</v>
      </c>
      <c r="AB466" s="36" t="s">
        <v>16</v>
      </c>
      <c r="AC466" s="181">
        <f t="shared" si="94"/>
        <v>1910.54</v>
      </c>
      <c r="AD466" s="181">
        <f t="shared" si="104"/>
        <v>573162</v>
      </c>
      <c r="AE466" s="181">
        <v>5</v>
      </c>
      <c r="AF466" s="181">
        <v>5</v>
      </c>
      <c r="AG466" s="101" t="str">
        <f t="shared" si="95"/>
        <v/>
      </c>
      <c r="AH466" s="191">
        <f>120+215+322+107+210+132</f>
        <v>1106</v>
      </c>
      <c r="AI466" s="69">
        <f t="shared" si="106"/>
        <v>1910.54</v>
      </c>
    </row>
    <row r="467" spans="1:35" s="69" customFormat="1" ht="33" x14ac:dyDescent="0.3">
      <c r="A467" s="55" t="s">
        <v>1204</v>
      </c>
      <c r="B467" s="53" t="s">
        <v>1205</v>
      </c>
      <c r="C467" s="54" t="s">
        <v>30</v>
      </c>
      <c r="D467" s="75">
        <v>2738.45</v>
      </c>
      <c r="E467" s="75"/>
      <c r="F467" s="75"/>
      <c r="G467" s="75"/>
      <c r="H467" s="75"/>
      <c r="I467" s="75">
        <v>200</v>
      </c>
      <c r="J467" s="75">
        <v>547690</v>
      </c>
      <c r="K467" s="91" t="s">
        <v>1206</v>
      </c>
      <c r="L467" s="73"/>
      <c r="M467" s="46">
        <v>1090.7</v>
      </c>
      <c r="N467" s="46">
        <v>30400</v>
      </c>
      <c r="O467" s="46">
        <v>218140</v>
      </c>
      <c r="P467" s="98"/>
      <c r="Q467" s="23" t="s">
        <v>1395</v>
      </c>
      <c r="R467" s="24" t="s">
        <v>1205</v>
      </c>
      <c r="S467" s="25" t="s">
        <v>30</v>
      </c>
      <c r="T467" s="26">
        <v>2738.45</v>
      </c>
      <c r="U467" s="26">
        <v>2738.45</v>
      </c>
      <c r="V467" s="26">
        <v>200</v>
      </c>
      <c r="W467" s="128">
        <f t="shared" si="101"/>
        <v>165.59999999999991</v>
      </c>
      <c r="X467" s="26">
        <f t="shared" si="105"/>
        <v>1256.3</v>
      </c>
      <c r="Y467" s="26">
        <f t="shared" si="102"/>
        <v>33120</v>
      </c>
      <c r="Z467" s="26">
        <f t="shared" si="103"/>
        <v>251260</v>
      </c>
      <c r="AA467" s="33" t="s">
        <v>15</v>
      </c>
      <c r="AB467" s="36" t="s">
        <v>16</v>
      </c>
      <c r="AC467" s="181">
        <f t="shared" si="94"/>
        <v>2738.45</v>
      </c>
      <c r="AD467" s="181">
        <f t="shared" si="104"/>
        <v>547690</v>
      </c>
      <c r="AE467" s="181">
        <v>5</v>
      </c>
      <c r="AF467" s="181">
        <v>5</v>
      </c>
      <c r="AG467" s="101" t="str">
        <f t="shared" si="95"/>
        <v/>
      </c>
      <c r="AH467" s="191">
        <f>172.5+312.2+216+238+152+165.6</f>
        <v>1256.3</v>
      </c>
      <c r="AI467" s="69">
        <f t="shared" si="106"/>
        <v>2738.45</v>
      </c>
    </row>
    <row r="468" spans="1:35" s="69" customFormat="1" ht="33" customHeight="1" x14ac:dyDescent="0.3">
      <c r="A468" s="55" t="s">
        <v>1207</v>
      </c>
      <c r="B468" s="53" t="s">
        <v>1208</v>
      </c>
      <c r="C468" s="54" t="s">
        <v>14</v>
      </c>
      <c r="D468" s="75">
        <v>1</v>
      </c>
      <c r="E468" s="75"/>
      <c r="F468" s="76"/>
      <c r="G468" s="76"/>
      <c r="H468" s="76"/>
      <c r="I468" s="75">
        <v>21460.9</v>
      </c>
      <c r="J468" s="75">
        <v>21460.9</v>
      </c>
      <c r="K468" s="91" t="s">
        <v>1209</v>
      </c>
      <c r="L468" s="73"/>
      <c r="M468" s="46">
        <v>0</v>
      </c>
      <c r="N468" s="46">
        <v>0</v>
      </c>
      <c r="O468" s="46">
        <v>0</v>
      </c>
      <c r="P468" s="98"/>
      <c r="Q468" s="23" t="s">
        <v>1432</v>
      </c>
      <c r="R468" s="24" t="s">
        <v>1208</v>
      </c>
      <c r="S468" s="25" t="s">
        <v>14</v>
      </c>
      <c r="T468" s="26">
        <v>1</v>
      </c>
      <c r="U468" s="26">
        <v>1</v>
      </c>
      <c r="V468" s="26">
        <v>21460.9</v>
      </c>
      <c r="W468" s="26">
        <f t="shared" si="101"/>
        <v>0</v>
      </c>
      <c r="X468" s="26">
        <f t="shared" si="105"/>
        <v>0</v>
      </c>
      <c r="Y468" s="136">
        <f t="shared" si="102"/>
        <v>0</v>
      </c>
      <c r="Z468" s="26">
        <f t="shared" si="103"/>
        <v>0</v>
      </c>
      <c r="AA468" s="33" t="s">
        <v>15</v>
      </c>
      <c r="AB468" s="36" t="s">
        <v>16</v>
      </c>
      <c r="AC468" s="181">
        <f t="shared" si="94"/>
        <v>1</v>
      </c>
      <c r="AD468" s="181">
        <f t="shared" si="104"/>
        <v>21460.9</v>
      </c>
      <c r="AE468" s="181">
        <v>5</v>
      </c>
      <c r="AF468" s="181">
        <v>5</v>
      </c>
      <c r="AG468" s="101" t="str">
        <f t="shared" si="95"/>
        <v/>
      </c>
      <c r="AH468" s="190">
        <v>0</v>
      </c>
      <c r="AI468" s="69">
        <f t="shared" si="106"/>
        <v>1</v>
      </c>
    </row>
    <row r="469" spans="1:35" s="69" customFormat="1" ht="39" x14ac:dyDescent="0.3">
      <c r="A469" s="66">
        <v>5.18</v>
      </c>
      <c r="B469" s="57" t="s">
        <v>1356</v>
      </c>
      <c r="C469" s="58" t="s">
        <v>97</v>
      </c>
      <c r="D469" s="65"/>
      <c r="E469" s="59">
        <v>720</v>
      </c>
      <c r="F469" s="180"/>
      <c r="G469" s="180"/>
      <c r="H469" s="180"/>
      <c r="I469" s="178">
        <v>273.11</v>
      </c>
      <c r="J469" s="59">
        <v>196639.2</v>
      </c>
      <c r="K469" s="92"/>
      <c r="L469" s="73"/>
      <c r="M469" s="46">
        <v>640</v>
      </c>
      <c r="N469" s="46">
        <v>0</v>
      </c>
      <c r="O469" s="46">
        <v>174790.39999999999</v>
      </c>
      <c r="P469" s="98"/>
      <c r="Q469" s="23" t="s">
        <v>1433</v>
      </c>
      <c r="R469" s="24" t="s">
        <v>1503</v>
      </c>
      <c r="S469" s="25" t="s">
        <v>97</v>
      </c>
      <c r="T469" s="26">
        <v>0</v>
      </c>
      <c r="U469" s="26">
        <v>720</v>
      </c>
      <c r="V469" s="26">
        <v>273.11</v>
      </c>
      <c r="W469" s="26">
        <f t="shared" si="101"/>
        <v>0</v>
      </c>
      <c r="X469" s="26">
        <f t="shared" si="105"/>
        <v>640</v>
      </c>
      <c r="Y469" s="26">
        <f t="shared" si="102"/>
        <v>0</v>
      </c>
      <c r="Z469" s="26">
        <f t="shared" si="103"/>
        <v>174790.39999999999</v>
      </c>
      <c r="AA469" s="27"/>
      <c r="AB469" s="36" t="s">
        <v>16</v>
      </c>
      <c r="AC469" s="181">
        <f t="shared" si="94"/>
        <v>720</v>
      </c>
      <c r="AD469" s="181">
        <f t="shared" si="104"/>
        <v>196639.2</v>
      </c>
      <c r="AE469" s="181">
        <v>5</v>
      </c>
      <c r="AF469" s="181">
        <v>5</v>
      </c>
      <c r="AG469" s="101" t="str">
        <f t="shared" si="95"/>
        <v/>
      </c>
      <c r="AH469" s="190">
        <v>640</v>
      </c>
      <c r="AI469" s="69">
        <f t="shared" si="106"/>
        <v>720</v>
      </c>
    </row>
    <row r="470" spans="1:35" s="69" customFormat="1" ht="39" x14ac:dyDescent="0.3">
      <c r="A470" s="144">
        <v>5.19</v>
      </c>
      <c r="B470" s="145" t="s">
        <v>1357</v>
      </c>
      <c r="C470" s="206" t="s">
        <v>30</v>
      </c>
      <c r="D470" s="221"/>
      <c r="E470" s="175">
        <v>212</v>
      </c>
      <c r="F470" s="180"/>
      <c r="G470" s="180"/>
      <c r="H470" s="180"/>
      <c r="I470" s="179">
        <v>1859.87</v>
      </c>
      <c r="J470" s="175">
        <v>394292.44</v>
      </c>
      <c r="K470" s="176"/>
      <c r="L470" s="73"/>
      <c r="M470" s="46">
        <v>212</v>
      </c>
      <c r="N470" s="46">
        <v>0</v>
      </c>
      <c r="O470" s="46">
        <v>394292.44</v>
      </c>
      <c r="P470" s="98"/>
      <c r="Q470" s="23" t="s">
        <v>1382</v>
      </c>
      <c r="R470" s="24" t="s">
        <v>1504</v>
      </c>
      <c r="S470" s="25" t="s">
        <v>30</v>
      </c>
      <c r="T470" s="26">
        <v>0</v>
      </c>
      <c r="U470" s="26">
        <v>212</v>
      </c>
      <c r="V470" s="26">
        <v>1859.87</v>
      </c>
      <c r="W470" s="127">
        <f t="shared" si="101"/>
        <v>0</v>
      </c>
      <c r="X470" s="127">
        <f t="shared" si="105"/>
        <v>212</v>
      </c>
      <c r="Y470" s="127">
        <f t="shared" si="102"/>
        <v>0</v>
      </c>
      <c r="Z470" s="127">
        <f t="shared" si="103"/>
        <v>394292.44</v>
      </c>
      <c r="AA470" s="27"/>
      <c r="AB470" s="36" t="s">
        <v>16</v>
      </c>
      <c r="AC470" s="181">
        <f t="shared" si="94"/>
        <v>212</v>
      </c>
      <c r="AD470" s="181">
        <f t="shared" si="104"/>
        <v>394292.44</v>
      </c>
      <c r="AE470" s="181">
        <v>5</v>
      </c>
      <c r="AF470" s="181">
        <v>5</v>
      </c>
      <c r="AG470" s="101" t="str">
        <f t="shared" si="95"/>
        <v/>
      </c>
      <c r="AH470" s="190">
        <v>212</v>
      </c>
      <c r="AI470" s="69">
        <f t="shared" si="106"/>
        <v>212</v>
      </c>
    </row>
    <row r="471" spans="1:35" s="69" customFormat="1" ht="39" x14ac:dyDescent="0.3">
      <c r="A471" s="210" t="s">
        <v>3106</v>
      </c>
      <c r="B471" s="208" t="s">
        <v>3107</v>
      </c>
      <c r="C471" s="204" t="s">
        <v>14</v>
      </c>
      <c r="D471" s="208"/>
      <c r="E471" s="159"/>
      <c r="F471" s="156"/>
      <c r="G471" s="156">
        <v>1</v>
      </c>
      <c r="H471" s="156"/>
      <c r="I471" s="158"/>
      <c r="J471" s="159">
        <v>263694.64</v>
      </c>
      <c r="K471" s="160"/>
      <c r="L471" s="73"/>
      <c r="M471" s="46">
        <v>1</v>
      </c>
      <c r="N471" s="46">
        <v>0</v>
      </c>
      <c r="O471" s="46">
        <v>263694.64</v>
      </c>
      <c r="P471" s="98"/>
      <c r="Q471" s="23" t="s">
        <v>3108</v>
      </c>
      <c r="R471" s="24" t="s">
        <v>3107</v>
      </c>
      <c r="S471" s="25" t="s">
        <v>14</v>
      </c>
      <c r="T471" s="26"/>
      <c r="U471" s="26">
        <v>1</v>
      </c>
      <c r="V471" s="26">
        <v>263694.64</v>
      </c>
      <c r="W471" s="127">
        <f t="shared" si="101"/>
        <v>0</v>
      </c>
      <c r="X471" s="127">
        <f t="shared" si="105"/>
        <v>1</v>
      </c>
      <c r="Y471" s="127">
        <f t="shared" si="102"/>
        <v>0</v>
      </c>
      <c r="Z471" s="127">
        <f t="shared" si="103"/>
        <v>263694.64</v>
      </c>
      <c r="AA471" s="27"/>
      <c r="AB471" s="36"/>
      <c r="AC471" s="181">
        <f t="shared" si="94"/>
        <v>1</v>
      </c>
      <c r="AD471" s="181">
        <f t="shared" si="104"/>
        <v>263694.64</v>
      </c>
      <c r="AE471" s="181">
        <v>5</v>
      </c>
      <c r="AF471" s="181">
        <v>5</v>
      </c>
      <c r="AG471" s="101"/>
      <c r="AH471" s="193">
        <v>1</v>
      </c>
      <c r="AI471" s="69">
        <f t="shared" si="106"/>
        <v>1</v>
      </c>
    </row>
    <row r="472" spans="1:35" s="69" customFormat="1" ht="33" x14ac:dyDescent="0.3">
      <c r="A472" s="150" t="s">
        <v>1210</v>
      </c>
      <c r="B472" s="151" t="s">
        <v>1211</v>
      </c>
      <c r="C472" s="152" t="s">
        <v>14</v>
      </c>
      <c r="D472" s="153">
        <v>1</v>
      </c>
      <c r="E472" s="153"/>
      <c r="F472" s="153"/>
      <c r="G472" s="153"/>
      <c r="H472" s="153"/>
      <c r="I472" s="153"/>
      <c r="J472" s="153">
        <v>3143726.96</v>
      </c>
      <c r="K472" s="154" t="s">
        <v>15</v>
      </c>
      <c r="L472" s="73"/>
      <c r="M472" s="42">
        <v>1</v>
      </c>
      <c r="N472" s="42">
        <v>94936</v>
      </c>
      <c r="O472" s="42">
        <v>2369257.37</v>
      </c>
      <c r="P472" s="98"/>
      <c r="Q472" s="13" t="s">
        <v>1415</v>
      </c>
      <c r="R472" s="14" t="s">
        <v>1211</v>
      </c>
      <c r="S472" s="15" t="s">
        <v>14</v>
      </c>
      <c r="T472" s="16">
        <v>1</v>
      </c>
      <c r="U472" s="16"/>
      <c r="V472" s="16">
        <f>SUMIFS(AD:AD,AE:AE,AE472)</f>
        <v>3143726.9600000004</v>
      </c>
      <c r="W472" s="16">
        <f t="shared" ref="W472:X472" si="107">IF(Y472=0,0,1)</f>
        <v>1</v>
      </c>
      <c r="X472" s="16">
        <f t="shared" si="107"/>
        <v>1</v>
      </c>
      <c r="Y472" s="16">
        <f>SUMIFS(Y:Y,AF:AF,AE472)</f>
        <v>127936</v>
      </c>
      <c r="Z472" s="16">
        <f>SUMIFS(Z:Z,AF:AF,AE472)</f>
        <v>2497193.37</v>
      </c>
      <c r="AA472" s="17" t="s">
        <v>15</v>
      </c>
      <c r="AB472" s="40" t="s">
        <v>16</v>
      </c>
      <c r="AC472" s="181">
        <f t="shared" si="94"/>
        <v>1</v>
      </c>
      <c r="AD472" s="183"/>
      <c r="AE472" s="183">
        <v>6</v>
      </c>
      <c r="AF472" s="183"/>
      <c r="AG472" s="101" t="str">
        <f t="shared" si="95"/>
        <v/>
      </c>
      <c r="AH472" s="190">
        <v>1</v>
      </c>
      <c r="AI472" s="69">
        <f t="shared" si="106"/>
        <v>1</v>
      </c>
    </row>
    <row r="473" spans="1:35" s="69" customFormat="1" ht="33" customHeight="1" x14ac:dyDescent="0.3">
      <c r="A473" s="130" t="s">
        <v>1212</v>
      </c>
      <c r="B473" s="131" t="s">
        <v>1213</v>
      </c>
      <c r="C473" s="132" t="s">
        <v>1014</v>
      </c>
      <c r="D473" s="133">
        <v>10</v>
      </c>
      <c r="E473" s="75"/>
      <c r="F473" s="75"/>
      <c r="G473" s="75"/>
      <c r="H473" s="75"/>
      <c r="I473" s="75">
        <v>770</v>
      </c>
      <c r="J473" s="75">
        <v>7700</v>
      </c>
      <c r="K473" s="91" t="s">
        <v>1214</v>
      </c>
      <c r="L473" s="73"/>
      <c r="M473" s="46">
        <v>10</v>
      </c>
      <c r="N473" s="46">
        <v>0</v>
      </c>
      <c r="O473" s="46">
        <v>7700</v>
      </c>
      <c r="P473" s="98"/>
      <c r="Q473" s="23" t="s">
        <v>1421</v>
      </c>
      <c r="R473" s="24" t="s">
        <v>1213</v>
      </c>
      <c r="S473" s="25" t="s">
        <v>1014</v>
      </c>
      <c r="T473" s="26">
        <v>10</v>
      </c>
      <c r="U473" s="26">
        <v>10</v>
      </c>
      <c r="V473" s="26">
        <v>770</v>
      </c>
      <c r="W473" s="127">
        <f t="shared" ref="W473:W491" si="108">AH473-M473</f>
        <v>0</v>
      </c>
      <c r="X473" s="127">
        <f t="shared" si="105"/>
        <v>10</v>
      </c>
      <c r="Y473" s="127">
        <f t="shared" ref="Y473:Y491" si="109">Z473-O473</f>
        <v>0</v>
      </c>
      <c r="Z473" s="127">
        <f t="shared" ref="Z473:Z491" si="110">ROUND(V473*X473,2)</f>
        <v>7700</v>
      </c>
      <c r="AA473" s="33" t="s">
        <v>15</v>
      </c>
      <c r="AB473" s="36" t="s">
        <v>16</v>
      </c>
      <c r="AC473" s="181">
        <f t="shared" si="94"/>
        <v>10</v>
      </c>
      <c r="AD473" s="181">
        <f t="shared" ref="AD473:AD491" si="111">ROUND(V473*AC473,2)</f>
        <v>7700</v>
      </c>
      <c r="AE473" s="181">
        <v>6</v>
      </c>
      <c r="AF473" s="181">
        <v>6</v>
      </c>
      <c r="AG473" s="101" t="str">
        <f t="shared" si="95"/>
        <v/>
      </c>
      <c r="AH473" s="190">
        <v>10</v>
      </c>
      <c r="AI473" s="69">
        <f t="shared" si="106"/>
        <v>10</v>
      </c>
    </row>
    <row r="474" spans="1:35" s="69" customFormat="1" ht="33" customHeight="1" x14ac:dyDescent="0.3">
      <c r="A474" s="130" t="s">
        <v>1215</v>
      </c>
      <c r="B474" s="131" t="s">
        <v>1216</v>
      </c>
      <c r="C474" s="132" t="s">
        <v>1217</v>
      </c>
      <c r="D474" s="133">
        <v>100</v>
      </c>
      <c r="E474" s="75"/>
      <c r="F474" s="75"/>
      <c r="G474" s="75"/>
      <c r="H474" s="75"/>
      <c r="I474" s="75">
        <v>201</v>
      </c>
      <c r="J474" s="75">
        <v>20100</v>
      </c>
      <c r="K474" s="91" t="s">
        <v>1218</v>
      </c>
      <c r="L474" s="73"/>
      <c r="M474" s="46">
        <v>100</v>
      </c>
      <c r="N474" s="46">
        <v>0</v>
      </c>
      <c r="O474" s="46">
        <v>20100</v>
      </c>
      <c r="P474" s="98"/>
      <c r="Q474" s="23" t="s">
        <v>1426</v>
      </c>
      <c r="R474" s="24" t="s">
        <v>1216</v>
      </c>
      <c r="S474" s="25" t="s">
        <v>1217</v>
      </c>
      <c r="T474" s="26">
        <v>100</v>
      </c>
      <c r="U474" s="26">
        <v>100</v>
      </c>
      <c r="V474" s="26">
        <v>201</v>
      </c>
      <c r="W474" s="127">
        <f t="shared" si="108"/>
        <v>0</v>
      </c>
      <c r="X474" s="127">
        <f t="shared" si="105"/>
        <v>100</v>
      </c>
      <c r="Y474" s="127">
        <f t="shared" si="109"/>
        <v>0</v>
      </c>
      <c r="Z474" s="127">
        <f t="shared" si="110"/>
        <v>20100</v>
      </c>
      <c r="AA474" s="33" t="s">
        <v>15</v>
      </c>
      <c r="AB474" s="36" t="s">
        <v>16</v>
      </c>
      <c r="AC474" s="181">
        <f t="shared" si="94"/>
        <v>100</v>
      </c>
      <c r="AD474" s="181">
        <f t="shared" si="111"/>
        <v>20100</v>
      </c>
      <c r="AE474" s="181">
        <v>6</v>
      </c>
      <c r="AF474" s="181">
        <v>6</v>
      </c>
      <c r="AG474" s="101" t="str">
        <f t="shared" si="95"/>
        <v/>
      </c>
      <c r="AH474" s="190">
        <v>100</v>
      </c>
      <c r="AI474" s="69">
        <f t="shared" si="106"/>
        <v>100</v>
      </c>
    </row>
    <row r="475" spans="1:35" s="69" customFormat="1" ht="39" x14ac:dyDescent="0.3">
      <c r="A475" s="130" t="s">
        <v>1219</v>
      </c>
      <c r="B475" s="131" t="s">
        <v>1220</v>
      </c>
      <c r="C475" s="132" t="s">
        <v>1221</v>
      </c>
      <c r="D475" s="133">
        <v>50</v>
      </c>
      <c r="E475" s="75"/>
      <c r="F475" s="75"/>
      <c r="G475" s="75"/>
      <c r="H475" s="75"/>
      <c r="I475" s="75">
        <v>300</v>
      </c>
      <c r="J475" s="75">
        <v>15000</v>
      </c>
      <c r="K475" s="91" t="s">
        <v>1222</v>
      </c>
      <c r="L475" s="73"/>
      <c r="M475" s="46">
        <v>50</v>
      </c>
      <c r="N475" s="46">
        <v>0</v>
      </c>
      <c r="O475" s="46">
        <v>15000</v>
      </c>
      <c r="P475" s="98"/>
      <c r="Q475" s="23" t="s">
        <v>1402</v>
      </c>
      <c r="R475" s="24" t="s">
        <v>1220</v>
      </c>
      <c r="S475" s="25" t="s">
        <v>1221</v>
      </c>
      <c r="T475" s="26">
        <v>50</v>
      </c>
      <c r="U475" s="26">
        <v>50</v>
      </c>
      <c r="V475" s="26">
        <v>300</v>
      </c>
      <c r="W475" s="127">
        <f t="shared" si="108"/>
        <v>0</v>
      </c>
      <c r="X475" s="127">
        <f t="shared" si="105"/>
        <v>50</v>
      </c>
      <c r="Y475" s="127">
        <f t="shared" si="109"/>
        <v>0</v>
      </c>
      <c r="Z475" s="127">
        <f t="shared" si="110"/>
        <v>15000</v>
      </c>
      <c r="AA475" s="33" t="s">
        <v>15</v>
      </c>
      <c r="AB475" s="36" t="s">
        <v>16</v>
      </c>
      <c r="AC475" s="181">
        <f t="shared" si="94"/>
        <v>50</v>
      </c>
      <c r="AD475" s="181">
        <f t="shared" si="111"/>
        <v>15000</v>
      </c>
      <c r="AE475" s="181">
        <v>6</v>
      </c>
      <c r="AF475" s="181">
        <v>6</v>
      </c>
      <c r="AG475" s="101" t="str">
        <f t="shared" si="95"/>
        <v/>
      </c>
      <c r="AH475" s="190">
        <v>50</v>
      </c>
      <c r="AI475" s="69">
        <f t="shared" si="106"/>
        <v>50</v>
      </c>
    </row>
    <row r="476" spans="1:35" s="69" customFormat="1" ht="33" customHeight="1" x14ac:dyDescent="0.3">
      <c r="A476" s="130" t="s">
        <v>1223</v>
      </c>
      <c r="B476" s="131" t="s">
        <v>1224</v>
      </c>
      <c r="C476" s="132" t="s">
        <v>325</v>
      </c>
      <c r="D476" s="133">
        <v>75</v>
      </c>
      <c r="E476" s="75"/>
      <c r="F476" s="75"/>
      <c r="G476" s="75"/>
      <c r="H476" s="75"/>
      <c r="I476" s="75">
        <v>650</v>
      </c>
      <c r="J476" s="75">
        <v>48750</v>
      </c>
      <c r="K476" s="91" t="s">
        <v>1225</v>
      </c>
      <c r="L476" s="73"/>
      <c r="M476" s="46">
        <v>75</v>
      </c>
      <c r="N476" s="46">
        <v>0</v>
      </c>
      <c r="O476" s="46">
        <v>48750</v>
      </c>
      <c r="P476" s="98"/>
      <c r="Q476" s="23" t="s">
        <v>1373</v>
      </c>
      <c r="R476" s="24" t="s">
        <v>1224</v>
      </c>
      <c r="S476" s="25" t="s">
        <v>325</v>
      </c>
      <c r="T476" s="26">
        <v>75</v>
      </c>
      <c r="U476" s="26">
        <v>75</v>
      </c>
      <c r="V476" s="26">
        <v>650</v>
      </c>
      <c r="W476" s="127">
        <f t="shared" si="108"/>
        <v>0</v>
      </c>
      <c r="X476" s="127">
        <f t="shared" si="105"/>
        <v>75</v>
      </c>
      <c r="Y476" s="127">
        <f t="shared" si="109"/>
        <v>0</v>
      </c>
      <c r="Z476" s="127">
        <f t="shared" si="110"/>
        <v>48750</v>
      </c>
      <c r="AA476" s="33" t="s">
        <v>15</v>
      </c>
      <c r="AB476" s="36" t="s">
        <v>16</v>
      </c>
      <c r="AC476" s="181">
        <f t="shared" si="94"/>
        <v>75</v>
      </c>
      <c r="AD476" s="181">
        <f t="shared" si="111"/>
        <v>48750</v>
      </c>
      <c r="AE476" s="181">
        <v>6</v>
      </c>
      <c r="AF476" s="181">
        <v>6</v>
      </c>
      <c r="AG476" s="101" t="str">
        <f t="shared" si="95"/>
        <v/>
      </c>
      <c r="AH476" s="190">
        <v>75</v>
      </c>
      <c r="AI476" s="69">
        <f t="shared" si="106"/>
        <v>75</v>
      </c>
    </row>
    <row r="477" spans="1:35" s="69" customFormat="1" ht="33" customHeight="1" x14ac:dyDescent="0.3">
      <c r="A477" s="130" t="s">
        <v>1226</v>
      </c>
      <c r="B477" s="131" t="s">
        <v>1227</v>
      </c>
      <c r="C477" s="132" t="s">
        <v>1228</v>
      </c>
      <c r="D477" s="133">
        <v>200</v>
      </c>
      <c r="E477" s="75"/>
      <c r="F477" s="75"/>
      <c r="G477" s="75"/>
      <c r="H477" s="75"/>
      <c r="I477" s="75">
        <v>28</v>
      </c>
      <c r="J477" s="75">
        <v>5600</v>
      </c>
      <c r="K477" s="91" t="s">
        <v>1229</v>
      </c>
      <c r="L477" s="73"/>
      <c r="M477" s="46">
        <v>200</v>
      </c>
      <c r="N477" s="46">
        <v>0</v>
      </c>
      <c r="O477" s="46">
        <v>5600</v>
      </c>
      <c r="P477" s="98"/>
      <c r="Q477" s="23" t="s">
        <v>1393</v>
      </c>
      <c r="R477" s="24" t="s">
        <v>1227</v>
      </c>
      <c r="S477" s="25" t="s">
        <v>1228</v>
      </c>
      <c r="T477" s="26">
        <v>200</v>
      </c>
      <c r="U477" s="26">
        <v>200</v>
      </c>
      <c r="V477" s="26">
        <v>28</v>
      </c>
      <c r="W477" s="127">
        <f t="shared" si="108"/>
        <v>0</v>
      </c>
      <c r="X477" s="127">
        <f t="shared" si="105"/>
        <v>200</v>
      </c>
      <c r="Y477" s="127">
        <f t="shared" si="109"/>
        <v>0</v>
      </c>
      <c r="Z477" s="127">
        <f t="shared" si="110"/>
        <v>5600</v>
      </c>
      <c r="AA477" s="33" t="s">
        <v>15</v>
      </c>
      <c r="AB477" s="36" t="s">
        <v>16</v>
      </c>
      <c r="AC477" s="181">
        <f t="shared" si="94"/>
        <v>200</v>
      </c>
      <c r="AD477" s="181">
        <f t="shared" si="111"/>
        <v>5600</v>
      </c>
      <c r="AE477" s="181">
        <v>6</v>
      </c>
      <c r="AF477" s="181">
        <v>6</v>
      </c>
      <c r="AG477" s="101" t="str">
        <f t="shared" si="95"/>
        <v/>
      </c>
      <c r="AH477" s="190">
        <v>200</v>
      </c>
      <c r="AI477" s="69">
        <f t="shared" si="106"/>
        <v>200</v>
      </c>
    </row>
    <row r="478" spans="1:35" s="69" customFormat="1" ht="33" customHeight="1" x14ac:dyDescent="0.3">
      <c r="A478" s="55" t="s">
        <v>1230</v>
      </c>
      <c r="B478" s="53" t="s">
        <v>1231</v>
      </c>
      <c r="C478" s="54" t="s">
        <v>1228</v>
      </c>
      <c r="D478" s="75">
        <v>100</v>
      </c>
      <c r="E478" s="75"/>
      <c r="F478" s="75"/>
      <c r="G478" s="75"/>
      <c r="H478" s="75"/>
      <c r="I478" s="75">
        <v>500</v>
      </c>
      <c r="J478" s="75">
        <v>50000</v>
      </c>
      <c r="K478" s="91" t="s">
        <v>1232</v>
      </c>
      <c r="L478" s="73"/>
      <c r="M478" s="46">
        <v>62</v>
      </c>
      <c r="N478" s="46">
        <v>0</v>
      </c>
      <c r="O478" s="46">
        <v>31000</v>
      </c>
      <c r="P478" s="98"/>
      <c r="Q478" s="23" t="s">
        <v>1403</v>
      </c>
      <c r="R478" s="24" t="s">
        <v>1231</v>
      </c>
      <c r="S478" s="25" t="s">
        <v>1228</v>
      </c>
      <c r="T478" s="26">
        <v>100</v>
      </c>
      <c r="U478" s="26">
        <v>100</v>
      </c>
      <c r="V478" s="26">
        <v>500</v>
      </c>
      <c r="W478" s="128">
        <f t="shared" si="108"/>
        <v>0</v>
      </c>
      <c r="X478" s="26">
        <f t="shared" si="105"/>
        <v>62</v>
      </c>
      <c r="Y478" s="26">
        <f t="shared" si="109"/>
        <v>0</v>
      </c>
      <c r="Z478" s="26">
        <f t="shared" si="110"/>
        <v>31000</v>
      </c>
      <c r="AA478" s="33" t="s">
        <v>15</v>
      </c>
      <c r="AB478" s="36" t="s">
        <v>16</v>
      </c>
      <c r="AC478" s="181">
        <f t="shared" ref="AC478:AC499" si="112">IF(U478="",T478,U478)</f>
        <v>100</v>
      </c>
      <c r="AD478" s="181">
        <f t="shared" si="111"/>
        <v>50000</v>
      </c>
      <c r="AE478" s="181">
        <v>6</v>
      </c>
      <c r="AF478" s="181">
        <v>6</v>
      </c>
      <c r="AG478" s="101" t="str">
        <f t="shared" ref="AG478:AG503" si="113">IF(X478&gt;AI478,"超估","")</f>
        <v/>
      </c>
      <c r="AH478" s="191">
        <f>62</f>
        <v>62</v>
      </c>
      <c r="AI478" s="69">
        <f t="shared" si="106"/>
        <v>100</v>
      </c>
    </row>
    <row r="479" spans="1:35" s="69" customFormat="1" ht="33" customHeight="1" x14ac:dyDescent="0.3">
      <c r="A479" s="55" t="s">
        <v>1233</v>
      </c>
      <c r="B479" s="53" t="s">
        <v>1234</v>
      </c>
      <c r="C479" s="54" t="s">
        <v>1235</v>
      </c>
      <c r="D479" s="75">
        <v>75</v>
      </c>
      <c r="E479" s="75"/>
      <c r="F479" s="75"/>
      <c r="G479" s="75"/>
      <c r="H479" s="75"/>
      <c r="I479" s="75">
        <v>280</v>
      </c>
      <c r="J479" s="75">
        <v>21000</v>
      </c>
      <c r="K479" s="91" t="s">
        <v>1236</v>
      </c>
      <c r="L479" s="73"/>
      <c r="M479" s="46">
        <v>38</v>
      </c>
      <c r="N479" s="46">
        <v>0</v>
      </c>
      <c r="O479" s="46">
        <v>10640</v>
      </c>
      <c r="P479" s="98"/>
      <c r="Q479" s="23" t="s">
        <v>1427</v>
      </c>
      <c r="R479" s="24" t="s">
        <v>1234</v>
      </c>
      <c r="S479" s="25" t="s">
        <v>1235</v>
      </c>
      <c r="T479" s="26">
        <v>75</v>
      </c>
      <c r="U479" s="26">
        <v>75</v>
      </c>
      <c r="V479" s="26">
        <v>280</v>
      </c>
      <c r="W479" s="128">
        <f t="shared" si="108"/>
        <v>0</v>
      </c>
      <c r="X479" s="26">
        <f t="shared" si="105"/>
        <v>38</v>
      </c>
      <c r="Y479" s="26">
        <f t="shared" si="109"/>
        <v>0</v>
      </c>
      <c r="Z479" s="26">
        <f t="shared" si="110"/>
        <v>10640</v>
      </c>
      <c r="AA479" s="33" t="s">
        <v>15</v>
      </c>
      <c r="AB479" s="36" t="s">
        <v>16</v>
      </c>
      <c r="AC479" s="181">
        <f t="shared" si="112"/>
        <v>75</v>
      </c>
      <c r="AD479" s="181">
        <f t="shared" si="111"/>
        <v>21000</v>
      </c>
      <c r="AE479" s="181">
        <v>6</v>
      </c>
      <c r="AF479" s="181">
        <v>6</v>
      </c>
      <c r="AG479" s="101" t="str">
        <f t="shared" si="113"/>
        <v/>
      </c>
      <c r="AH479" s="191">
        <f>38</f>
        <v>38</v>
      </c>
      <c r="AI479" s="69">
        <f t="shared" si="106"/>
        <v>75</v>
      </c>
    </row>
    <row r="480" spans="1:35" s="69" customFormat="1" ht="49.5" x14ac:dyDescent="0.3">
      <c r="A480" s="130" t="s">
        <v>1237</v>
      </c>
      <c r="B480" s="240" t="s">
        <v>1238</v>
      </c>
      <c r="C480" s="132" t="s">
        <v>1235</v>
      </c>
      <c r="D480" s="133">
        <v>50</v>
      </c>
      <c r="E480" s="75"/>
      <c r="F480" s="75"/>
      <c r="G480" s="75"/>
      <c r="H480" s="75"/>
      <c r="I480" s="75">
        <v>350</v>
      </c>
      <c r="J480" s="75">
        <v>17500</v>
      </c>
      <c r="K480" s="91" t="s">
        <v>1239</v>
      </c>
      <c r="L480" s="73"/>
      <c r="M480" s="46">
        <v>50</v>
      </c>
      <c r="N480" s="46">
        <v>0</v>
      </c>
      <c r="O480" s="46">
        <v>17500</v>
      </c>
      <c r="P480" s="98"/>
      <c r="Q480" s="23" t="s">
        <v>1428</v>
      </c>
      <c r="R480" s="24" t="s">
        <v>1238</v>
      </c>
      <c r="S480" s="25" t="s">
        <v>1235</v>
      </c>
      <c r="T480" s="26">
        <v>50</v>
      </c>
      <c r="U480" s="26">
        <v>50</v>
      </c>
      <c r="V480" s="26">
        <v>350</v>
      </c>
      <c r="W480" s="127">
        <f t="shared" si="108"/>
        <v>0</v>
      </c>
      <c r="X480" s="127">
        <f t="shared" si="105"/>
        <v>50</v>
      </c>
      <c r="Y480" s="127">
        <f t="shared" si="109"/>
        <v>0</v>
      </c>
      <c r="Z480" s="127">
        <f t="shared" si="110"/>
        <v>17500</v>
      </c>
      <c r="AA480" s="33" t="s">
        <v>15</v>
      </c>
      <c r="AB480" s="36" t="s">
        <v>16</v>
      </c>
      <c r="AC480" s="181">
        <f t="shared" si="112"/>
        <v>50</v>
      </c>
      <c r="AD480" s="181">
        <f t="shared" si="111"/>
        <v>17500</v>
      </c>
      <c r="AE480" s="181">
        <v>6</v>
      </c>
      <c r="AF480" s="181">
        <v>6</v>
      </c>
      <c r="AG480" s="101" t="str">
        <f t="shared" si="113"/>
        <v/>
      </c>
      <c r="AH480" s="190">
        <v>50</v>
      </c>
      <c r="AI480" s="69">
        <f t="shared" si="106"/>
        <v>50</v>
      </c>
    </row>
    <row r="481" spans="1:35" s="69" customFormat="1" ht="33" customHeight="1" x14ac:dyDescent="0.3">
      <c r="A481" s="130" t="s">
        <v>1240</v>
      </c>
      <c r="B481" s="131" t="s">
        <v>1241</v>
      </c>
      <c r="C481" s="132" t="s">
        <v>325</v>
      </c>
      <c r="D481" s="133">
        <v>10</v>
      </c>
      <c r="E481" s="75"/>
      <c r="F481" s="75"/>
      <c r="G481" s="75"/>
      <c r="H481" s="75"/>
      <c r="I481" s="75">
        <v>560</v>
      </c>
      <c r="J481" s="75">
        <v>5600</v>
      </c>
      <c r="K481" s="91" t="s">
        <v>1242</v>
      </c>
      <c r="L481" s="73"/>
      <c r="M481" s="46">
        <v>10</v>
      </c>
      <c r="N481" s="46">
        <v>0</v>
      </c>
      <c r="O481" s="46">
        <v>5600</v>
      </c>
      <c r="P481" s="98"/>
      <c r="Q481" s="23" t="s">
        <v>1387</v>
      </c>
      <c r="R481" s="24" t="s">
        <v>1241</v>
      </c>
      <c r="S481" s="25" t="s">
        <v>325</v>
      </c>
      <c r="T481" s="26">
        <v>10</v>
      </c>
      <c r="U481" s="26">
        <v>10</v>
      </c>
      <c r="V481" s="26">
        <v>560</v>
      </c>
      <c r="W481" s="127">
        <f t="shared" si="108"/>
        <v>0</v>
      </c>
      <c r="X481" s="127">
        <f t="shared" si="105"/>
        <v>10</v>
      </c>
      <c r="Y481" s="127">
        <f t="shared" si="109"/>
        <v>0</v>
      </c>
      <c r="Z481" s="127">
        <f t="shared" si="110"/>
        <v>5600</v>
      </c>
      <c r="AA481" s="33" t="s">
        <v>15</v>
      </c>
      <c r="AB481" s="36" t="s">
        <v>16</v>
      </c>
      <c r="AC481" s="181">
        <f t="shared" si="112"/>
        <v>10</v>
      </c>
      <c r="AD481" s="181">
        <f t="shared" si="111"/>
        <v>5600</v>
      </c>
      <c r="AE481" s="181">
        <v>6</v>
      </c>
      <c r="AF481" s="181">
        <v>6</v>
      </c>
      <c r="AG481" s="101" t="str">
        <f t="shared" si="113"/>
        <v/>
      </c>
      <c r="AH481" s="191">
        <f>10</f>
        <v>10</v>
      </c>
      <c r="AI481" s="69">
        <f t="shared" si="106"/>
        <v>10</v>
      </c>
    </row>
    <row r="482" spans="1:35" s="69" customFormat="1" ht="33" customHeight="1" x14ac:dyDescent="0.3">
      <c r="A482" s="130" t="s">
        <v>1243</v>
      </c>
      <c r="B482" s="131" t="s">
        <v>1244</v>
      </c>
      <c r="C482" s="132" t="s">
        <v>162</v>
      </c>
      <c r="D482" s="133">
        <v>4</v>
      </c>
      <c r="E482" s="75"/>
      <c r="F482" s="75"/>
      <c r="G482" s="75"/>
      <c r="H482" s="75"/>
      <c r="I482" s="75">
        <v>250</v>
      </c>
      <c r="J482" s="75">
        <v>1000</v>
      </c>
      <c r="K482" s="91" t="s">
        <v>1245</v>
      </c>
      <c r="L482" s="73"/>
      <c r="M482" s="46">
        <v>4</v>
      </c>
      <c r="N482" s="46">
        <v>0</v>
      </c>
      <c r="O482" s="46">
        <v>1000</v>
      </c>
      <c r="P482" s="98"/>
      <c r="Q482" s="23" t="s">
        <v>1405</v>
      </c>
      <c r="R482" s="24" t="s">
        <v>1244</v>
      </c>
      <c r="S482" s="25" t="s">
        <v>162</v>
      </c>
      <c r="T482" s="26">
        <v>4</v>
      </c>
      <c r="U482" s="26">
        <v>4</v>
      </c>
      <c r="V482" s="26">
        <v>250</v>
      </c>
      <c r="W482" s="127">
        <f t="shared" si="108"/>
        <v>0</v>
      </c>
      <c r="X482" s="127">
        <f t="shared" si="105"/>
        <v>4</v>
      </c>
      <c r="Y482" s="127">
        <f t="shared" si="109"/>
        <v>0</v>
      </c>
      <c r="Z482" s="127">
        <f t="shared" si="110"/>
        <v>1000</v>
      </c>
      <c r="AA482" s="33" t="s">
        <v>15</v>
      </c>
      <c r="AB482" s="36" t="s">
        <v>16</v>
      </c>
      <c r="AC482" s="181">
        <f t="shared" si="112"/>
        <v>4</v>
      </c>
      <c r="AD482" s="181">
        <f t="shared" si="111"/>
        <v>1000</v>
      </c>
      <c r="AE482" s="181">
        <v>6</v>
      </c>
      <c r="AF482" s="181">
        <v>6</v>
      </c>
      <c r="AG482" s="101" t="str">
        <f t="shared" si="113"/>
        <v/>
      </c>
      <c r="AH482" s="190">
        <v>4</v>
      </c>
      <c r="AI482" s="69">
        <f t="shared" si="106"/>
        <v>4</v>
      </c>
    </row>
    <row r="483" spans="1:35" s="69" customFormat="1" ht="49.5" customHeight="1" x14ac:dyDescent="0.3">
      <c r="A483" s="130" t="s">
        <v>1246</v>
      </c>
      <c r="B483" s="240" t="s">
        <v>1247</v>
      </c>
      <c r="C483" s="132" t="s">
        <v>325</v>
      </c>
      <c r="D483" s="133">
        <v>5</v>
      </c>
      <c r="E483" s="75"/>
      <c r="F483" s="75"/>
      <c r="G483" s="75"/>
      <c r="H483" s="75"/>
      <c r="I483" s="75">
        <v>8300</v>
      </c>
      <c r="J483" s="75">
        <v>41500</v>
      </c>
      <c r="K483" s="91" t="s">
        <v>1248</v>
      </c>
      <c r="L483" s="73"/>
      <c r="M483" s="46">
        <v>5</v>
      </c>
      <c r="N483" s="46">
        <v>0</v>
      </c>
      <c r="O483" s="46">
        <v>41500</v>
      </c>
      <c r="P483" s="98"/>
      <c r="Q483" s="23" t="s">
        <v>1406</v>
      </c>
      <c r="R483" s="24" t="s">
        <v>1247</v>
      </c>
      <c r="S483" s="25" t="s">
        <v>325</v>
      </c>
      <c r="T483" s="26">
        <v>5</v>
      </c>
      <c r="U483" s="26">
        <v>5</v>
      </c>
      <c r="V483" s="26">
        <v>8300</v>
      </c>
      <c r="W483" s="127">
        <f t="shared" si="108"/>
        <v>0</v>
      </c>
      <c r="X483" s="127">
        <f t="shared" si="105"/>
        <v>5</v>
      </c>
      <c r="Y483" s="127">
        <f t="shared" si="109"/>
        <v>0</v>
      </c>
      <c r="Z483" s="127">
        <f t="shared" si="110"/>
        <v>41500</v>
      </c>
      <c r="AA483" s="33" t="s">
        <v>15</v>
      </c>
      <c r="AB483" s="36" t="s">
        <v>16</v>
      </c>
      <c r="AC483" s="181">
        <f t="shared" si="112"/>
        <v>5</v>
      </c>
      <c r="AD483" s="181">
        <f t="shared" si="111"/>
        <v>41500</v>
      </c>
      <c r="AE483" s="181">
        <v>6</v>
      </c>
      <c r="AF483" s="181">
        <v>6</v>
      </c>
      <c r="AG483" s="101" t="str">
        <f t="shared" si="113"/>
        <v/>
      </c>
      <c r="AH483" s="190">
        <v>5</v>
      </c>
      <c r="AI483" s="69">
        <f t="shared" si="106"/>
        <v>5</v>
      </c>
    </row>
    <row r="484" spans="1:35" s="69" customFormat="1" ht="33" customHeight="1" x14ac:dyDescent="0.3">
      <c r="A484" s="130" t="s">
        <v>1249</v>
      </c>
      <c r="B484" s="131" t="s">
        <v>1250</v>
      </c>
      <c r="C484" s="132" t="s">
        <v>325</v>
      </c>
      <c r="D484" s="133">
        <v>5</v>
      </c>
      <c r="E484" s="75"/>
      <c r="F484" s="75"/>
      <c r="G484" s="75"/>
      <c r="H484" s="75"/>
      <c r="I484" s="75">
        <v>1160</v>
      </c>
      <c r="J484" s="75">
        <v>5800</v>
      </c>
      <c r="K484" s="91" t="s">
        <v>1251</v>
      </c>
      <c r="L484" s="73"/>
      <c r="M484" s="46">
        <v>5</v>
      </c>
      <c r="N484" s="46">
        <v>0</v>
      </c>
      <c r="O484" s="46">
        <v>5800</v>
      </c>
      <c r="P484" s="98"/>
      <c r="Q484" s="23" t="s">
        <v>1414</v>
      </c>
      <c r="R484" s="24" t="s">
        <v>1250</v>
      </c>
      <c r="S484" s="25" t="s">
        <v>325</v>
      </c>
      <c r="T484" s="26">
        <v>5</v>
      </c>
      <c r="U484" s="26">
        <v>5</v>
      </c>
      <c r="V484" s="26">
        <v>1160</v>
      </c>
      <c r="W484" s="127">
        <f t="shared" si="108"/>
        <v>0</v>
      </c>
      <c r="X484" s="127">
        <f t="shared" si="105"/>
        <v>5</v>
      </c>
      <c r="Y484" s="127">
        <f t="shared" si="109"/>
        <v>0</v>
      </c>
      <c r="Z484" s="127">
        <f t="shared" si="110"/>
        <v>5800</v>
      </c>
      <c r="AA484" s="33" t="s">
        <v>15</v>
      </c>
      <c r="AB484" s="36" t="s">
        <v>16</v>
      </c>
      <c r="AC484" s="181">
        <f t="shared" si="112"/>
        <v>5</v>
      </c>
      <c r="AD484" s="181">
        <f t="shared" si="111"/>
        <v>5800</v>
      </c>
      <c r="AE484" s="181">
        <v>6</v>
      </c>
      <c r="AF484" s="181">
        <v>6</v>
      </c>
      <c r="AG484" s="101" t="str">
        <f t="shared" si="113"/>
        <v/>
      </c>
      <c r="AH484" s="190">
        <v>5</v>
      </c>
      <c r="AI484" s="69">
        <f t="shared" si="106"/>
        <v>5</v>
      </c>
    </row>
    <row r="485" spans="1:35" s="69" customFormat="1" ht="49.5" x14ac:dyDescent="0.3">
      <c r="A485" s="130" t="s">
        <v>1252</v>
      </c>
      <c r="B485" s="240" t="s">
        <v>1253</v>
      </c>
      <c r="C485" s="132" t="s">
        <v>325</v>
      </c>
      <c r="D485" s="133">
        <v>5</v>
      </c>
      <c r="E485" s="75"/>
      <c r="F485" s="75"/>
      <c r="G485" s="75"/>
      <c r="H485" s="75"/>
      <c r="I485" s="75">
        <v>600</v>
      </c>
      <c r="J485" s="75">
        <v>3000</v>
      </c>
      <c r="K485" s="91" t="s">
        <v>1254</v>
      </c>
      <c r="L485" s="73"/>
      <c r="M485" s="46">
        <v>5</v>
      </c>
      <c r="N485" s="46">
        <v>0</v>
      </c>
      <c r="O485" s="46">
        <v>3000</v>
      </c>
      <c r="P485" s="98"/>
      <c r="Q485" s="23" t="s">
        <v>1429</v>
      </c>
      <c r="R485" s="24" t="s">
        <v>1253</v>
      </c>
      <c r="S485" s="25" t="s">
        <v>325</v>
      </c>
      <c r="T485" s="26">
        <v>5</v>
      </c>
      <c r="U485" s="26">
        <v>5</v>
      </c>
      <c r="V485" s="26">
        <v>600</v>
      </c>
      <c r="W485" s="127">
        <f t="shared" si="108"/>
        <v>0</v>
      </c>
      <c r="X485" s="127">
        <f t="shared" si="105"/>
        <v>5</v>
      </c>
      <c r="Y485" s="127">
        <f t="shared" si="109"/>
        <v>0</v>
      </c>
      <c r="Z485" s="127">
        <f t="shared" si="110"/>
        <v>3000</v>
      </c>
      <c r="AA485" s="33" t="s">
        <v>15</v>
      </c>
      <c r="AB485" s="36" t="s">
        <v>16</v>
      </c>
      <c r="AC485" s="181">
        <f t="shared" si="112"/>
        <v>5</v>
      </c>
      <c r="AD485" s="181">
        <f t="shared" si="111"/>
        <v>3000</v>
      </c>
      <c r="AE485" s="181">
        <v>6</v>
      </c>
      <c r="AF485" s="181">
        <v>6</v>
      </c>
      <c r="AG485" s="101" t="str">
        <f t="shared" si="113"/>
        <v/>
      </c>
      <c r="AH485" s="190">
        <v>5</v>
      </c>
      <c r="AI485" s="69">
        <f t="shared" si="106"/>
        <v>5</v>
      </c>
    </row>
    <row r="486" spans="1:35" s="69" customFormat="1" ht="49.5" customHeight="1" x14ac:dyDescent="0.3">
      <c r="A486" s="130" t="s">
        <v>1255</v>
      </c>
      <c r="B486" s="240" t="s">
        <v>1256</v>
      </c>
      <c r="C486" s="132" t="s">
        <v>325</v>
      </c>
      <c r="D486" s="133">
        <v>5</v>
      </c>
      <c r="E486" s="75"/>
      <c r="F486" s="75"/>
      <c r="G486" s="75"/>
      <c r="H486" s="75"/>
      <c r="I486" s="75">
        <v>1800</v>
      </c>
      <c r="J486" s="75">
        <v>9000</v>
      </c>
      <c r="K486" s="91" t="s">
        <v>1257</v>
      </c>
      <c r="L486" s="73"/>
      <c r="M486" s="46">
        <v>5</v>
      </c>
      <c r="N486" s="46">
        <v>0</v>
      </c>
      <c r="O486" s="46">
        <v>9000</v>
      </c>
      <c r="P486" s="98"/>
      <c r="Q486" s="23" t="s">
        <v>1430</v>
      </c>
      <c r="R486" s="24" t="s">
        <v>1256</v>
      </c>
      <c r="S486" s="25" t="s">
        <v>325</v>
      </c>
      <c r="T486" s="26">
        <v>5</v>
      </c>
      <c r="U486" s="26">
        <v>5</v>
      </c>
      <c r="V486" s="26">
        <v>1800</v>
      </c>
      <c r="W486" s="127">
        <f t="shared" si="108"/>
        <v>0</v>
      </c>
      <c r="X486" s="127">
        <f t="shared" si="105"/>
        <v>5</v>
      </c>
      <c r="Y486" s="127">
        <f t="shared" si="109"/>
        <v>0</v>
      </c>
      <c r="Z486" s="127">
        <f t="shared" si="110"/>
        <v>9000</v>
      </c>
      <c r="AA486" s="33" t="s">
        <v>15</v>
      </c>
      <c r="AB486" s="36" t="s">
        <v>16</v>
      </c>
      <c r="AC486" s="181">
        <f t="shared" si="112"/>
        <v>5</v>
      </c>
      <c r="AD486" s="181">
        <f t="shared" si="111"/>
        <v>9000</v>
      </c>
      <c r="AE486" s="181">
        <v>6</v>
      </c>
      <c r="AF486" s="181">
        <v>6</v>
      </c>
      <c r="AG486" s="101" t="str">
        <f t="shared" si="113"/>
        <v/>
      </c>
      <c r="AH486" s="190">
        <v>5</v>
      </c>
      <c r="AI486" s="69">
        <f t="shared" si="106"/>
        <v>5</v>
      </c>
    </row>
    <row r="487" spans="1:35" s="69" customFormat="1" ht="39" x14ac:dyDescent="0.3">
      <c r="A487" s="55" t="s">
        <v>1258</v>
      </c>
      <c r="B487" s="53" t="s">
        <v>1259</v>
      </c>
      <c r="C487" s="54" t="s">
        <v>325</v>
      </c>
      <c r="D487" s="75">
        <v>80</v>
      </c>
      <c r="E487" s="75"/>
      <c r="F487" s="75"/>
      <c r="G487" s="75"/>
      <c r="H487" s="75"/>
      <c r="I487" s="75">
        <v>2200</v>
      </c>
      <c r="J487" s="75">
        <v>176000</v>
      </c>
      <c r="K487" s="91" t="s">
        <v>1260</v>
      </c>
      <c r="L487" s="73"/>
      <c r="M487" s="46">
        <v>50</v>
      </c>
      <c r="N487" s="46">
        <v>0</v>
      </c>
      <c r="O487" s="46">
        <v>110000</v>
      </c>
      <c r="P487" s="98"/>
      <c r="Q487" s="23" t="s">
        <v>1431</v>
      </c>
      <c r="R487" s="24" t="s">
        <v>1259</v>
      </c>
      <c r="S487" s="25" t="s">
        <v>325</v>
      </c>
      <c r="T487" s="26">
        <v>80</v>
      </c>
      <c r="U487" s="26">
        <v>80</v>
      </c>
      <c r="V487" s="26">
        <v>2200</v>
      </c>
      <c r="W487" s="128">
        <f t="shared" si="108"/>
        <v>15</v>
      </c>
      <c r="X487" s="26">
        <f t="shared" si="105"/>
        <v>65</v>
      </c>
      <c r="Y487" s="26">
        <f t="shared" si="109"/>
        <v>33000</v>
      </c>
      <c r="Z487" s="26">
        <f t="shared" si="110"/>
        <v>143000</v>
      </c>
      <c r="AA487" s="33" t="s">
        <v>15</v>
      </c>
      <c r="AB487" s="36" t="s">
        <v>16</v>
      </c>
      <c r="AC487" s="181">
        <f t="shared" si="112"/>
        <v>80</v>
      </c>
      <c r="AD487" s="181">
        <f t="shared" si="111"/>
        <v>176000</v>
      </c>
      <c r="AE487" s="181">
        <v>6</v>
      </c>
      <c r="AF487" s="181">
        <v>6</v>
      </c>
      <c r="AG487" s="101" t="str">
        <f t="shared" si="113"/>
        <v/>
      </c>
      <c r="AH487" s="191">
        <f>40+10+15</f>
        <v>65</v>
      </c>
      <c r="AI487" s="69">
        <f t="shared" si="106"/>
        <v>80</v>
      </c>
    </row>
    <row r="488" spans="1:35" s="69" customFormat="1" ht="42" x14ac:dyDescent="0.3">
      <c r="A488" s="130" t="s">
        <v>1261</v>
      </c>
      <c r="B488" s="131" t="s">
        <v>1262</v>
      </c>
      <c r="C488" s="132" t="s">
        <v>14</v>
      </c>
      <c r="D488" s="133">
        <v>1</v>
      </c>
      <c r="E488" s="75"/>
      <c r="F488" s="75"/>
      <c r="G488" s="75"/>
      <c r="H488" s="75"/>
      <c r="I488" s="75">
        <v>261478.99</v>
      </c>
      <c r="J488" s="75">
        <v>261478.99</v>
      </c>
      <c r="K488" s="91" t="s">
        <v>1263</v>
      </c>
      <c r="L488" s="73"/>
      <c r="M488" s="46">
        <v>1</v>
      </c>
      <c r="N488" s="46">
        <v>0</v>
      </c>
      <c r="O488" s="46">
        <v>261478.99</v>
      </c>
      <c r="P488" s="98"/>
      <c r="Q488" s="23" t="s">
        <v>1395</v>
      </c>
      <c r="R488" s="24" t="s">
        <v>1262</v>
      </c>
      <c r="S488" s="25" t="s">
        <v>14</v>
      </c>
      <c r="T488" s="26">
        <v>1</v>
      </c>
      <c r="U488" s="26">
        <v>1</v>
      </c>
      <c r="V488" s="26">
        <v>261478.99</v>
      </c>
      <c r="W488" s="127">
        <f t="shared" si="108"/>
        <v>0</v>
      </c>
      <c r="X488" s="127">
        <f t="shared" si="105"/>
        <v>1</v>
      </c>
      <c r="Y488" s="127">
        <f t="shared" si="109"/>
        <v>0</v>
      </c>
      <c r="Z488" s="127">
        <f t="shared" si="110"/>
        <v>261478.99</v>
      </c>
      <c r="AA488" s="33" t="s">
        <v>1499</v>
      </c>
      <c r="AB488" s="36" t="s">
        <v>16</v>
      </c>
      <c r="AC488" s="181">
        <f t="shared" si="112"/>
        <v>1</v>
      </c>
      <c r="AD488" s="181">
        <f t="shared" si="111"/>
        <v>261478.99</v>
      </c>
      <c r="AE488" s="181">
        <v>6</v>
      </c>
      <c r="AF488" s="181">
        <v>6</v>
      </c>
      <c r="AG488" s="101" t="str">
        <f t="shared" si="113"/>
        <v/>
      </c>
      <c r="AH488" s="190">
        <v>1</v>
      </c>
      <c r="AI488" s="69">
        <f t="shared" si="106"/>
        <v>1</v>
      </c>
    </row>
    <row r="489" spans="1:35" s="69" customFormat="1" ht="39" x14ac:dyDescent="0.3">
      <c r="A489" s="55" t="s">
        <v>1264</v>
      </c>
      <c r="B489" s="53" t="s">
        <v>1265</v>
      </c>
      <c r="C489" s="54" t="s">
        <v>30</v>
      </c>
      <c r="D489" s="75">
        <v>5000</v>
      </c>
      <c r="E489" s="75"/>
      <c r="F489" s="75"/>
      <c r="G489" s="75"/>
      <c r="H489" s="75"/>
      <c r="I489" s="75">
        <v>13</v>
      </c>
      <c r="J489" s="75">
        <v>65000</v>
      </c>
      <c r="K489" s="91" t="s">
        <v>1266</v>
      </c>
      <c r="L489" s="73"/>
      <c r="M489" s="46">
        <v>0</v>
      </c>
      <c r="N489" s="46">
        <v>0</v>
      </c>
      <c r="O489" s="46">
        <v>0</v>
      </c>
      <c r="P489" s="98"/>
      <c r="Q489" s="23" t="s">
        <v>1432</v>
      </c>
      <c r="R489" s="24" t="s">
        <v>1265</v>
      </c>
      <c r="S489" s="25" t="s">
        <v>30</v>
      </c>
      <c r="T489" s="26">
        <v>5000</v>
      </c>
      <c r="U489" s="26">
        <v>5000</v>
      </c>
      <c r="V489" s="26">
        <v>13</v>
      </c>
      <c r="W489" s="26">
        <f t="shared" si="108"/>
        <v>0</v>
      </c>
      <c r="X489" s="26">
        <f t="shared" si="105"/>
        <v>0</v>
      </c>
      <c r="Y489" s="26">
        <f t="shared" si="109"/>
        <v>0</v>
      </c>
      <c r="Z489" s="26">
        <f t="shared" si="110"/>
        <v>0</v>
      </c>
      <c r="AA489" s="33" t="s">
        <v>15</v>
      </c>
      <c r="AB489" s="36" t="s">
        <v>16</v>
      </c>
      <c r="AC489" s="181">
        <f t="shared" si="112"/>
        <v>5000</v>
      </c>
      <c r="AD489" s="181">
        <f t="shared" si="111"/>
        <v>65000</v>
      </c>
      <c r="AE489" s="181">
        <v>6</v>
      </c>
      <c r="AF489" s="181">
        <v>6</v>
      </c>
      <c r="AG489" s="101" t="str">
        <f t="shared" si="113"/>
        <v/>
      </c>
      <c r="AH489" s="190">
        <v>0</v>
      </c>
      <c r="AI489" s="69">
        <f t="shared" si="106"/>
        <v>5000</v>
      </c>
    </row>
    <row r="490" spans="1:35" s="69" customFormat="1" ht="39" x14ac:dyDescent="0.3">
      <c r="A490" s="55" t="s">
        <v>1267</v>
      </c>
      <c r="B490" s="53" t="s">
        <v>1268</v>
      </c>
      <c r="C490" s="54" t="s">
        <v>1269</v>
      </c>
      <c r="D490" s="75">
        <v>48</v>
      </c>
      <c r="E490" s="75"/>
      <c r="F490" s="75"/>
      <c r="G490" s="75"/>
      <c r="H490" s="75"/>
      <c r="I490" s="75">
        <v>47468</v>
      </c>
      <c r="J490" s="75">
        <v>2278464</v>
      </c>
      <c r="K490" s="91" t="s">
        <v>1270</v>
      </c>
      <c r="L490" s="73"/>
      <c r="M490" s="46">
        <v>36</v>
      </c>
      <c r="N490" s="46">
        <v>94936</v>
      </c>
      <c r="O490" s="46">
        <v>1708848</v>
      </c>
      <c r="P490" s="98"/>
      <c r="Q490" s="23" t="s">
        <v>1433</v>
      </c>
      <c r="R490" s="24" t="s">
        <v>1268</v>
      </c>
      <c r="S490" s="25" t="s">
        <v>1269</v>
      </c>
      <c r="T490" s="26">
        <v>48</v>
      </c>
      <c r="U490" s="26">
        <v>48</v>
      </c>
      <c r="V490" s="26">
        <v>47468</v>
      </c>
      <c r="W490" s="102">
        <f t="shared" si="108"/>
        <v>2</v>
      </c>
      <c r="X490" s="26">
        <f t="shared" si="105"/>
        <v>38</v>
      </c>
      <c r="Y490" s="26">
        <f>Z490-O490</f>
        <v>94936</v>
      </c>
      <c r="Z490" s="26">
        <f t="shared" si="110"/>
        <v>1803784</v>
      </c>
      <c r="AA490" s="33" t="s">
        <v>15</v>
      </c>
      <c r="AB490" s="36" t="s">
        <v>16</v>
      </c>
      <c r="AC490" s="181">
        <f t="shared" si="112"/>
        <v>48</v>
      </c>
      <c r="AD490" s="181">
        <f t="shared" si="111"/>
        <v>2278464</v>
      </c>
      <c r="AE490" s="181">
        <v>6</v>
      </c>
      <c r="AF490" s="181">
        <v>6</v>
      </c>
      <c r="AG490" s="101" t="str">
        <f t="shared" si="113"/>
        <v/>
      </c>
      <c r="AH490" s="191">
        <f>24+2+2+2+2+2+2+2</f>
        <v>38</v>
      </c>
      <c r="AI490" s="69">
        <f t="shared" si="106"/>
        <v>48</v>
      </c>
    </row>
    <row r="491" spans="1:35" s="69" customFormat="1" ht="39" x14ac:dyDescent="0.3">
      <c r="A491" s="55" t="s">
        <v>1271</v>
      </c>
      <c r="B491" s="53" t="s">
        <v>1272</v>
      </c>
      <c r="C491" s="54" t="s">
        <v>14</v>
      </c>
      <c r="D491" s="75">
        <v>1</v>
      </c>
      <c r="E491" s="75"/>
      <c r="F491" s="75"/>
      <c r="G491" s="75"/>
      <c r="H491" s="75"/>
      <c r="I491" s="75">
        <v>111233.97</v>
      </c>
      <c r="J491" s="75">
        <v>111233.97</v>
      </c>
      <c r="K491" s="91" t="s">
        <v>1273</v>
      </c>
      <c r="L491" s="73"/>
      <c r="M491" s="46">
        <v>0.6</v>
      </c>
      <c r="N491" s="46">
        <v>0</v>
      </c>
      <c r="O491" s="46">
        <v>66740.38</v>
      </c>
      <c r="P491" s="98"/>
      <c r="Q491" s="23" t="s">
        <v>1382</v>
      </c>
      <c r="R491" s="24" t="s">
        <v>1272</v>
      </c>
      <c r="S491" s="25" t="s">
        <v>14</v>
      </c>
      <c r="T491" s="26">
        <v>1</v>
      </c>
      <c r="U491" s="26">
        <v>1</v>
      </c>
      <c r="V491" s="26">
        <v>111233.97</v>
      </c>
      <c r="W491" s="128">
        <f t="shared" si="108"/>
        <v>0</v>
      </c>
      <c r="X491" s="26">
        <f t="shared" si="105"/>
        <v>0.6</v>
      </c>
      <c r="Y491" s="136">
        <f t="shared" si="109"/>
        <v>0</v>
      </c>
      <c r="Z491" s="26">
        <f t="shared" si="110"/>
        <v>66740.38</v>
      </c>
      <c r="AA491" s="33" t="s">
        <v>15</v>
      </c>
      <c r="AB491" s="36" t="s">
        <v>16</v>
      </c>
      <c r="AC491" s="181">
        <f t="shared" si="112"/>
        <v>1</v>
      </c>
      <c r="AD491" s="181">
        <f t="shared" si="111"/>
        <v>111233.97</v>
      </c>
      <c r="AE491" s="181">
        <v>6</v>
      </c>
      <c r="AF491" s="181">
        <v>6</v>
      </c>
      <c r="AG491" s="101" t="str">
        <f t="shared" si="113"/>
        <v/>
      </c>
      <c r="AH491" s="191">
        <f>0.6</f>
        <v>0.6</v>
      </c>
      <c r="AI491" s="69">
        <f t="shared" si="106"/>
        <v>1</v>
      </c>
    </row>
    <row r="492" spans="1:35" s="69" customFormat="1" ht="33" x14ac:dyDescent="0.3">
      <c r="A492" s="85" t="s">
        <v>1274</v>
      </c>
      <c r="B492" s="86" t="s">
        <v>1275</v>
      </c>
      <c r="C492" s="87" t="s">
        <v>14</v>
      </c>
      <c r="D492" s="88">
        <v>1</v>
      </c>
      <c r="E492" s="88"/>
      <c r="F492" s="88"/>
      <c r="G492" s="88"/>
      <c r="H492" s="88"/>
      <c r="I492" s="88"/>
      <c r="J492" s="88">
        <v>2884379.96</v>
      </c>
      <c r="K492" s="95" t="s">
        <v>15</v>
      </c>
      <c r="L492" s="73"/>
      <c r="M492" s="42">
        <v>1</v>
      </c>
      <c r="N492" s="42">
        <v>155527.58999999997</v>
      </c>
      <c r="O492" s="42">
        <v>2132989.17</v>
      </c>
      <c r="P492" s="98"/>
      <c r="Q492" s="13" t="s">
        <v>1416</v>
      </c>
      <c r="R492" s="14" t="s">
        <v>1275</v>
      </c>
      <c r="S492" s="15" t="s">
        <v>14</v>
      </c>
      <c r="T492" s="16">
        <v>1</v>
      </c>
      <c r="U492" s="16"/>
      <c r="V492" s="16">
        <f>SUMIFS(AD:AD,AE:AE,AE492)</f>
        <v>2884379.96</v>
      </c>
      <c r="W492" s="16">
        <f t="shared" ref="W492:X492" si="114">IF(Y492=0,0,1)</f>
        <v>1</v>
      </c>
      <c r="X492" s="16">
        <f t="shared" si="114"/>
        <v>1</v>
      </c>
      <c r="Y492" s="16">
        <f>SUMIFS(Y:Y,AF:AF,AE492)</f>
        <v>94936</v>
      </c>
      <c r="Z492" s="16">
        <f>SUMIFS(Z:Z,AF:AF,AE492)</f>
        <v>2227925.17</v>
      </c>
      <c r="AA492" s="17" t="s">
        <v>15</v>
      </c>
      <c r="AB492" s="40" t="s">
        <v>16</v>
      </c>
      <c r="AC492" s="181">
        <f t="shared" si="112"/>
        <v>1</v>
      </c>
      <c r="AD492" s="183"/>
      <c r="AE492" s="183">
        <v>7</v>
      </c>
      <c r="AF492" s="183"/>
      <c r="AG492" s="101" t="str">
        <f t="shared" si="113"/>
        <v/>
      </c>
      <c r="AH492" s="190">
        <v>1</v>
      </c>
      <c r="AI492" s="69">
        <f t="shared" si="106"/>
        <v>1</v>
      </c>
    </row>
    <row r="493" spans="1:35" s="69" customFormat="1" ht="39" x14ac:dyDescent="0.3">
      <c r="A493" s="55" t="s">
        <v>1276</v>
      </c>
      <c r="B493" s="53" t="s">
        <v>1277</v>
      </c>
      <c r="C493" s="54" t="s">
        <v>1269</v>
      </c>
      <c r="D493" s="75">
        <v>48</v>
      </c>
      <c r="E493" s="75"/>
      <c r="F493" s="75"/>
      <c r="G493" s="75"/>
      <c r="H493" s="75"/>
      <c r="I493" s="75">
        <v>47468</v>
      </c>
      <c r="J493" s="75">
        <v>2278464</v>
      </c>
      <c r="K493" s="91" t="s">
        <v>1278</v>
      </c>
      <c r="L493" s="73"/>
      <c r="M493" s="46">
        <v>36</v>
      </c>
      <c r="N493" s="46">
        <v>94936</v>
      </c>
      <c r="O493" s="46">
        <v>1708848</v>
      </c>
      <c r="P493" s="98"/>
      <c r="Q493" s="23" t="s">
        <v>1421</v>
      </c>
      <c r="R493" s="24" t="s">
        <v>1277</v>
      </c>
      <c r="S493" s="25" t="s">
        <v>1269</v>
      </c>
      <c r="T493" s="26">
        <v>48</v>
      </c>
      <c r="U493" s="26">
        <v>48</v>
      </c>
      <c r="V493" s="26">
        <v>47468</v>
      </c>
      <c r="W493" s="102">
        <f t="shared" ref="W493:W494" si="115">AH493-M493</f>
        <v>2</v>
      </c>
      <c r="X493" s="26">
        <f t="shared" si="105"/>
        <v>38</v>
      </c>
      <c r="Y493" s="26">
        <f>Z493-O493</f>
        <v>94936</v>
      </c>
      <c r="Z493" s="26">
        <f t="shared" ref="Z493:Z494" si="116">ROUND(V493*X493,2)</f>
        <v>1803784</v>
      </c>
      <c r="AA493" s="33" t="s">
        <v>15</v>
      </c>
      <c r="AB493" s="36" t="s">
        <v>16</v>
      </c>
      <c r="AC493" s="181">
        <f t="shared" si="112"/>
        <v>48</v>
      </c>
      <c r="AD493" s="181">
        <f t="shared" ref="AD493:AD494" si="117">ROUND(V493*AC493,2)</f>
        <v>2278464</v>
      </c>
      <c r="AE493" s="181">
        <v>7</v>
      </c>
      <c r="AF493" s="181">
        <v>7</v>
      </c>
      <c r="AG493" s="101" t="str">
        <f t="shared" si="113"/>
        <v/>
      </c>
      <c r="AH493" s="191">
        <f>24+2+2+2+2+2+2+2</f>
        <v>38</v>
      </c>
      <c r="AI493" s="69">
        <f t="shared" si="106"/>
        <v>48</v>
      </c>
    </row>
    <row r="494" spans="1:35" s="69" customFormat="1" ht="33" x14ac:dyDescent="0.3">
      <c r="A494" s="55" t="s">
        <v>1279</v>
      </c>
      <c r="B494" s="53" t="s">
        <v>1280</v>
      </c>
      <c r="C494" s="54" t="s">
        <v>14</v>
      </c>
      <c r="D494" s="75">
        <v>1</v>
      </c>
      <c r="E494" s="75"/>
      <c r="F494" s="75"/>
      <c r="G494" s="75"/>
      <c r="H494" s="75"/>
      <c r="I494" s="75">
        <v>605915.96</v>
      </c>
      <c r="J494" s="75">
        <v>605915.96</v>
      </c>
      <c r="K494" s="91" t="s">
        <v>1281</v>
      </c>
      <c r="L494" s="73"/>
      <c r="M494" s="46">
        <v>0.7</v>
      </c>
      <c r="N494" s="46">
        <v>60591.589999999967</v>
      </c>
      <c r="O494" s="46">
        <v>424141.17</v>
      </c>
      <c r="P494" s="98"/>
      <c r="Q494" s="23" t="s">
        <v>1426</v>
      </c>
      <c r="R494" s="24" t="s">
        <v>1280</v>
      </c>
      <c r="S494" s="25" t="s">
        <v>14</v>
      </c>
      <c r="T494" s="26">
        <v>1</v>
      </c>
      <c r="U494" s="26">
        <v>1</v>
      </c>
      <c r="V494" s="26">
        <v>605915.96</v>
      </c>
      <c r="W494" s="128">
        <f t="shared" si="115"/>
        <v>0</v>
      </c>
      <c r="X494" s="26">
        <f t="shared" si="105"/>
        <v>0.7</v>
      </c>
      <c r="Y494" s="136">
        <f>Z494-O494</f>
        <v>0</v>
      </c>
      <c r="Z494" s="26">
        <f t="shared" si="116"/>
        <v>424141.17</v>
      </c>
      <c r="AA494" s="33" t="s">
        <v>15</v>
      </c>
      <c r="AB494" s="36" t="s">
        <v>16</v>
      </c>
      <c r="AC494" s="181">
        <f t="shared" si="112"/>
        <v>1</v>
      </c>
      <c r="AD494" s="181">
        <f t="shared" si="117"/>
        <v>605915.96</v>
      </c>
      <c r="AE494" s="181">
        <v>7</v>
      </c>
      <c r="AF494" s="181">
        <v>7</v>
      </c>
      <c r="AG494" s="101" t="str">
        <f t="shared" si="113"/>
        <v/>
      </c>
      <c r="AH494" s="191">
        <f>0.5+0.1+0.1</f>
        <v>0.7</v>
      </c>
      <c r="AI494" s="69">
        <f t="shared" si="106"/>
        <v>1</v>
      </c>
    </row>
    <row r="495" spans="1:35" s="69" customFormat="1" ht="63" x14ac:dyDescent="0.3">
      <c r="A495" s="85" t="s">
        <v>1282</v>
      </c>
      <c r="B495" s="86" t="s">
        <v>1283</v>
      </c>
      <c r="C495" s="87" t="s">
        <v>14</v>
      </c>
      <c r="D495" s="88">
        <v>1</v>
      </c>
      <c r="E495" s="88"/>
      <c r="F495" s="88"/>
      <c r="G495" s="88"/>
      <c r="H495" s="88"/>
      <c r="I495" s="88"/>
      <c r="J495" s="88">
        <v>37525596.329999998</v>
      </c>
      <c r="K495" s="95" t="s">
        <v>1284</v>
      </c>
      <c r="L495" s="73"/>
      <c r="M495" s="42">
        <v>1</v>
      </c>
      <c r="N495" s="42">
        <v>1335897.1199999675</v>
      </c>
      <c r="O495" s="42">
        <v>25494446.089999959</v>
      </c>
      <c r="P495" s="98"/>
      <c r="Q495" s="28" t="s">
        <v>1417</v>
      </c>
      <c r="R495" s="29" t="s">
        <v>1283</v>
      </c>
      <c r="S495" s="30" t="s">
        <v>14</v>
      </c>
      <c r="T495" s="31">
        <v>1</v>
      </c>
      <c r="U495" s="31"/>
      <c r="V495" s="31">
        <v>37525596.329999998</v>
      </c>
      <c r="W495" s="31">
        <f t="shared" ref="W495:X496" si="118">IF(Y495=0,0,1)</f>
        <v>1</v>
      </c>
      <c r="X495" s="31">
        <f t="shared" si="118"/>
        <v>1</v>
      </c>
      <c r="Y495" s="31">
        <f>Z495-O495</f>
        <v>1382436.2600000128</v>
      </c>
      <c r="Z495" s="31">
        <f>Z7-Z8-Z377-Z407-Z447-Z451-Z472-Z492-Z496-Z498</f>
        <v>26876882.349999972</v>
      </c>
      <c r="AA495" s="32" t="s">
        <v>1418</v>
      </c>
      <c r="AB495" s="40" t="s">
        <v>16</v>
      </c>
      <c r="AC495" s="181">
        <f t="shared" si="112"/>
        <v>1</v>
      </c>
      <c r="AD495" s="183"/>
      <c r="AE495" s="183">
        <v>8</v>
      </c>
      <c r="AF495" s="183"/>
      <c r="AG495" s="101" t="str">
        <f t="shared" si="113"/>
        <v/>
      </c>
      <c r="AH495" s="190">
        <v>1</v>
      </c>
      <c r="AI495" s="69">
        <f t="shared" si="106"/>
        <v>1</v>
      </c>
    </row>
    <row r="496" spans="1:35" s="69" customFormat="1" ht="157.5" x14ac:dyDescent="0.3">
      <c r="A496" s="85" t="s">
        <v>1285</v>
      </c>
      <c r="B496" s="86" t="s">
        <v>1286</v>
      </c>
      <c r="C496" s="87" t="s">
        <v>14</v>
      </c>
      <c r="D496" s="88">
        <v>1</v>
      </c>
      <c r="E496" s="88"/>
      <c r="F496" s="88"/>
      <c r="G496" s="88"/>
      <c r="H496" s="88"/>
      <c r="I496" s="88"/>
      <c r="J496" s="88">
        <v>3336000</v>
      </c>
      <c r="K496" s="95" t="s">
        <v>1287</v>
      </c>
      <c r="L496" s="73"/>
      <c r="M496" s="42">
        <v>1</v>
      </c>
      <c r="N496" s="42">
        <v>199500</v>
      </c>
      <c r="O496" s="42">
        <v>2863500</v>
      </c>
      <c r="P496" s="98"/>
      <c r="Q496" s="13" t="s">
        <v>1419</v>
      </c>
      <c r="R496" s="14" t="s">
        <v>1286</v>
      </c>
      <c r="S496" s="15" t="s">
        <v>14</v>
      </c>
      <c r="T496" s="16">
        <v>1</v>
      </c>
      <c r="U496" s="16"/>
      <c r="V496" s="16">
        <f>SUMIFS(AD:AD,AE:AE,AE496)</f>
        <v>3336000</v>
      </c>
      <c r="W496" s="16">
        <f t="shared" si="118"/>
        <v>0</v>
      </c>
      <c r="X496" s="16">
        <f t="shared" si="118"/>
        <v>1</v>
      </c>
      <c r="Y496" s="16">
        <f>SUMIFS(Y:Y,AF:AF,AE496)</f>
        <v>0</v>
      </c>
      <c r="Z496" s="16">
        <f>SUMIFS(Z:Z,AF:AF,AE496)</f>
        <v>2863500</v>
      </c>
      <c r="AA496" s="17" t="s">
        <v>1287</v>
      </c>
      <c r="AB496" s="40" t="s">
        <v>16</v>
      </c>
      <c r="AC496" s="181">
        <f t="shared" si="112"/>
        <v>1</v>
      </c>
      <c r="AD496" s="183"/>
      <c r="AE496" s="183">
        <v>9</v>
      </c>
      <c r="AF496" s="183"/>
      <c r="AG496" s="101" t="str">
        <f t="shared" si="113"/>
        <v/>
      </c>
      <c r="AH496" s="190">
        <v>0</v>
      </c>
      <c r="AI496" s="69">
        <f t="shared" si="106"/>
        <v>1</v>
      </c>
    </row>
    <row r="497" spans="1:35" s="69" customFormat="1" ht="33" x14ac:dyDescent="0.3">
      <c r="A497" s="55" t="s">
        <v>1288</v>
      </c>
      <c r="B497" s="53" t="s">
        <v>1286</v>
      </c>
      <c r="C497" s="54" t="s">
        <v>23</v>
      </c>
      <c r="D497" s="75">
        <v>22240</v>
      </c>
      <c r="E497" s="75"/>
      <c r="F497" s="75"/>
      <c r="G497" s="75"/>
      <c r="H497" s="75"/>
      <c r="I497" s="75">
        <v>150</v>
      </c>
      <c r="J497" s="75">
        <v>3336000</v>
      </c>
      <c r="K497" s="91" t="s">
        <v>1289</v>
      </c>
      <c r="L497" s="73"/>
      <c r="M497" s="46">
        <v>19090</v>
      </c>
      <c r="N497" s="46">
        <v>199500</v>
      </c>
      <c r="O497" s="46">
        <v>2863500</v>
      </c>
      <c r="P497" s="98"/>
      <c r="Q497" s="23" t="s">
        <v>1421</v>
      </c>
      <c r="R497" s="24" t="s">
        <v>1286</v>
      </c>
      <c r="S497" s="25" t="s">
        <v>23</v>
      </c>
      <c r="T497" s="26">
        <v>22240</v>
      </c>
      <c r="U497" s="26">
        <v>22240</v>
      </c>
      <c r="V497" s="26">
        <v>150</v>
      </c>
      <c r="W497" s="103">
        <f t="shared" ref="W497" si="119">AH497-M497</f>
        <v>0</v>
      </c>
      <c r="X497" s="26">
        <f t="shared" ref="X497" si="120">W497+M497</f>
        <v>19090</v>
      </c>
      <c r="Y497" s="26">
        <f>Z497-O497</f>
        <v>0</v>
      </c>
      <c r="Z497" s="26">
        <f>ROUND(V497*X497,2)</f>
        <v>2863500</v>
      </c>
      <c r="AA497" s="33" t="s">
        <v>15</v>
      </c>
      <c r="AB497" s="36" t="s">
        <v>16</v>
      </c>
      <c r="AC497" s="181">
        <f t="shared" si="112"/>
        <v>22240</v>
      </c>
      <c r="AD497" s="181">
        <f t="shared" ref="AD497" si="121">ROUND(V497*AC497,2)</f>
        <v>3336000</v>
      </c>
      <c r="AE497" s="181">
        <v>9</v>
      </c>
      <c r="AF497" s="181">
        <v>9</v>
      </c>
      <c r="AG497" s="101" t="str">
        <f t="shared" si="113"/>
        <v/>
      </c>
      <c r="AH497" s="190">
        <f>AH16</f>
        <v>19090</v>
      </c>
      <c r="AI497" s="69">
        <f t="shared" si="106"/>
        <v>22240</v>
      </c>
    </row>
    <row r="498" spans="1:35" s="69" customFormat="1" ht="178.5" x14ac:dyDescent="0.3">
      <c r="A498" s="85" t="s">
        <v>1290</v>
      </c>
      <c r="B498" s="86" t="s">
        <v>1291</v>
      </c>
      <c r="C498" s="87" t="s">
        <v>14</v>
      </c>
      <c r="D498" s="88">
        <v>1</v>
      </c>
      <c r="E498" s="88"/>
      <c r="F498" s="88"/>
      <c r="G498" s="88"/>
      <c r="H498" s="88"/>
      <c r="I498" s="88"/>
      <c r="J498" s="88">
        <v>212800</v>
      </c>
      <c r="K498" s="95" t="s">
        <v>1292</v>
      </c>
      <c r="L498" s="73"/>
      <c r="M498" s="42">
        <v>1</v>
      </c>
      <c r="N498" s="42">
        <v>0</v>
      </c>
      <c r="O498" s="42">
        <v>212800</v>
      </c>
      <c r="P498" s="98"/>
      <c r="Q498" s="13" t="s">
        <v>1420</v>
      </c>
      <c r="R498" s="14" t="s">
        <v>1291</v>
      </c>
      <c r="S498" s="15" t="s">
        <v>14</v>
      </c>
      <c r="T498" s="16">
        <v>1</v>
      </c>
      <c r="U498" s="16"/>
      <c r="V498" s="16">
        <f>SUMIFS(AD:AD,AE:AE,AE498)</f>
        <v>212800</v>
      </c>
      <c r="W498" s="16">
        <f t="shared" ref="W498:X498" si="122">IF(Y498=0,0,1)</f>
        <v>0</v>
      </c>
      <c r="X498" s="16">
        <f t="shared" si="122"/>
        <v>1</v>
      </c>
      <c r="Y498" s="16">
        <f>SUMIFS(Y:Y,AF:AF,AE498)</f>
        <v>0</v>
      </c>
      <c r="Z498" s="16">
        <f>SUMIFS(Z:Z,AF:AF,AE498)</f>
        <v>212800</v>
      </c>
      <c r="AA498" s="17" t="s">
        <v>1292</v>
      </c>
      <c r="AB498" s="40" t="s">
        <v>16</v>
      </c>
      <c r="AC498" s="181">
        <f t="shared" si="112"/>
        <v>1</v>
      </c>
      <c r="AD498" s="183"/>
      <c r="AE498" s="183">
        <v>10</v>
      </c>
      <c r="AF498" s="183"/>
      <c r="AG498" s="101" t="str">
        <f t="shared" si="113"/>
        <v/>
      </c>
      <c r="AH498" s="190">
        <v>1</v>
      </c>
      <c r="AI498" s="69">
        <f t="shared" si="106"/>
        <v>1</v>
      </c>
    </row>
    <row r="499" spans="1:35" s="69" customFormat="1" ht="33" x14ac:dyDescent="0.3">
      <c r="A499" s="55" t="s">
        <v>1293</v>
      </c>
      <c r="B499" s="53" t="s">
        <v>1294</v>
      </c>
      <c r="C499" s="54" t="s">
        <v>50</v>
      </c>
      <c r="D499" s="75">
        <v>3800</v>
      </c>
      <c r="E499" s="75"/>
      <c r="F499" s="75"/>
      <c r="G499" s="75"/>
      <c r="H499" s="75"/>
      <c r="I499" s="75">
        <v>56</v>
      </c>
      <c r="J499" s="75">
        <v>212800</v>
      </c>
      <c r="K499" s="91" t="s">
        <v>1295</v>
      </c>
      <c r="L499" s="73"/>
      <c r="M499" s="46">
        <v>3800</v>
      </c>
      <c r="N499" s="46">
        <v>0</v>
      </c>
      <c r="O499" s="46">
        <v>212800</v>
      </c>
      <c r="P499" s="98"/>
      <c r="Q499" s="23" t="s">
        <v>1421</v>
      </c>
      <c r="R499" s="24" t="s">
        <v>1294</v>
      </c>
      <c r="S499" s="25" t="s">
        <v>50</v>
      </c>
      <c r="T499" s="26">
        <v>3800</v>
      </c>
      <c r="U499" s="26">
        <v>3800</v>
      </c>
      <c r="V499" s="26">
        <v>56</v>
      </c>
      <c r="W499" s="26">
        <f t="shared" ref="W499" si="123">AH499-M499</f>
        <v>0</v>
      </c>
      <c r="X499" s="26">
        <f t="shared" ref="X499" si="124">W499+M499</f>
        <v>3800</v>
      </c>
      <c r="Y499" s="26">
        <v>0</v>
      </c>
      <c r="Z499" s="26">
        <f t="shared" ref="Z499" si="125">ROUND(V499*X499,2)</f>
        <v>212800</v>
      </c>
      <c r="AA499" s="33" t="s">
        <v>15</v>
      </c>
      <c r="AB499" s="36" t="s">
        <v>16</v>
      </c>
      <c r="AC499" s="181">
        <f t="shared" si="112"/>
        <v>3800</v>
      </c>
      <c r="AD499" s="181">
        <f t="shared" ref="AD499" si="126">ROUND(V499*AC499,2)</f>
        <v>212800</v>
      </c>
      <c r="AE499" s="181">
        <v>10</v>
      </c>
      <c r="AF499" s="181">
        <v>10</v>
      </c>
      <c r="AG499" s="101" t="str">
        <f t="shared" si="113"/>
        <v/>
      </c>
      <c r="AH499" s="190">
        <v>3800</v>
      </c>
      <c r="AI499" s="69">
        <f t="shared" si="106"/>
        <v>3800</v>
      </c>
    </row>
    <row r="500" spans="1:35" s="69" customFormat="1" ht="33" x14ac:dyDescent="0.3">
      <c r="A500" s="52"/>
      <c r="B500" s="53" t="s">
        <v>1296</v>
      </c>
      <c r="C500" s="54"/>
      <c r="D500" s="75"/>
      <c r="E500" s="75"/>
      <c r="F500" s="75"/>
      <c r="G500" s="75"/>
      <c r="H500" s="75"/>
      <c r="I500" s="75"/>
      <c r="J500" s="75"/>
      <c r="K500" s="91"/>
      <c r="L500" s="73"/>
      <c r="M500" s="46"/>
      <c r="N500" s="46">
        <v>13735699.999999963</v>
      </c>
      <c r="O500" s="46">
        <v>261397100</v>
      </c>
      <c r="P500" s="98"/>
      <c r="Q500" s="23" t="s">
        <v>1421</v>
      </c>
      <c r="R500" s="24" t="s">
        <v>1422</v>
      </c>
      <c r="S500" s="25"/>
      <c r="T500" s="26"/>
      <c r="U500" s="26"/>
      <c r="V500" s="26"/>
      <c r="W500" s="26"/>
      <c r="X500" s="26"/>
      <c r="Y500" s="26">
        <f>Y8+Y377+Y407+Y447+Y451+Y472+Y492+Y495+Y496+Y498</f>
        <v>14007100.000000013</v>
      </c>
      <c r="Z500" s="26">
        <f>ROUNDDOWN((Z8+Z377+Z407+Z447+Z451+Z472+Z492+Z496+Z498+(Z8+Z377+Z407+Z447+Z451+Z472+Z492)*0.1095000004)/1000,1)*1000</f>
        <v>275404200</v>
      </c>
      <c r="AA500" s="33"/>
      <c r="AB500" s="36" t="s">
        <v>16</v>
      </c>
      <c r="AC500" s="181"/>
      <c r="AD500" s="181"/>
      <c r="AE500" s="181"/>
      <c r="AF500" s="181"/>
      <c r="AG500" s="101" t="str">
        <f t="shared" si="113"/>
        <v/>
      </c>
      <c r="AH500" s="190"/>
      <c r="AI500" s="69">
        <f t="shared" si="106"/>
        <v>0</v>
      </c>
    </row>
    <row r="501" spans="1:35" s="69" customFormat="1" ht="33" x14ac:dyDescent="0.3">
      <c r="A501" s="52"/>
      <c r="B501" s="53" t="s">
        <v>1297</v>
      </c>
      <c r="C501" s="54"/>
      <c r="D501" s="75"/>
      <c r="E501" s="75"/>
      <c r="F501" s="75"/>
      <c r="G501" s="75"/>
      <c r="H501" s="75"/>
      <c r="I501" s="75"/>
      <c r="J501" s="75"/>
      <c r="K501" s="91"/>
      <c r="L501" s="73"/>
      <c r="M501" s="39"/>
      <c r="N501" s="39">
        <v>9675</v>
      </c>
      <c r="O501" s="39">
        <v>19291</v>
      </c>
      <c r="P501" s="98"/>
      <c r="Q501" s="8" t="s">
        <v>1505</v>
      </c>
      <c r="R501" s="9" t="s">
        <v>1506</v>
      </c>
      <c r="S501" s="10" t="s">
        <v>14</v>
      </c>
      <c r="T501" s="11"/>
      <c r="U501" s="11"/>
      <c r="V501" s="11"/>
      <c r="W501" s="11"/>
      <c r="X501" s="11"/>
      <c r="Y501" s="11">
        <v>9675</v>
      </c>
      <c r="Z501" s="11">
        <v>19291</v>
      </c>
      <c r="AA501" s="12" t="s">
        <v>15</v>
      </c>
      <c r="AB501" s="37" t="s">
        <v>16</v>
      </c>
      <c r="AC501" s="182"/>
      <c r="AD501" s="182">
        <v>295040.74</v>
      </c>
      <c r="AE501" s="182">
        <v>12929586.060000001</v>
      </c>
      <c r="AF501" s="182"/>
      <c r="AG501" s="101" t="str">
        <f t="shared" si="113"/>
        <v/>
      </c>
      <c r="AH501" s="190"/>
      <c r="AI501" s="69">
        <f t="shared" si="106"/>
        <v>0</v>
      </c>
    </row>
    <row r="502" spans="1:35" s="69" customFormat="1" ht="33" x14ac:dyDescent="0.3">
      <c r="A502" s="382" t="s">
        <v>1298</v>
      </c>
      <c r="B502" s="383"/>
      <c r="C502" s="383"/>
      <c r="D502" s="383"/>
      <c r="E502" s="383"/>
      <c r="F502" s="383"/>
      <c r="G502" s="383"/>
      <c r="H502" s="383"/>
      <c r="I502" s="383"/>
      <c r="J502" s="383"/>
      <c r="K502" s="384"/>
      <c r="L502" s="89"/>
      <c r="M502" s="46"/>
      <c r="N502" s="46">
        <v>2999475</v>
      </c>
      <c r="O502" s="46">
        <v>131240691</v>
      </c>
      <c r="P502" s="98"/>
      <c r="Q502" s="23" t="s">
        <v>1421</v>
      </c>
      <c r="R502" s="24" t="s">
        <v>1507</v>
      </c>
      <c r="S502" s="25"/>
      <c r="T502" s="26"/>
      <c r="U502" s="26"/>
      <c r="V502" s="26"/>
      <c r="W502" s="26"/>
      <c r="X502" s="26"/>
      <c r="Y502" s="26">
        <v>2999475</v>
      </c>
      <c r="Z502" s="26">
        <v>131240691</v>
      </c>
      <c r="AA502" s="33"/>
      <c r="AB502" s="36" t="s">
        <v>16</v>
      </c>
      <c r="AC502" s="181"/>
      <c r="AD502" s="181"/>
      <c r="AE502" s="181"/>
      <c r="AF502" s="181"/>
      <c r="AG502" s="101" t="str">
        <f t="shared" si="113"/>
        <v/>
      </c>
      <c r="AH502" s="190"/>
      <c r="AI502" s="69">
        <f t="shared" si="106"/>
        <v>0</v>
      </c>
    </row>
    <row r="503" spans="1:35" s="69" customFormat="1" ht="153" customHeight="1" x14ac:dyDescent="0.3">
      <c r="A503" s="390" t="s">
        <v>1299</v>
      </c>
      <c r="B503" s="391"/>
      <c r="C503" s="391"/>
      <c r="D503" s="391"/>
      <c r="E503" s="391"/>
      <c r="F503" s="391"/>
      <c r="G503" s="391"/>
      <c r="H503" s="391"/>
      <c r="I503" s="391"/>
      <c r="J503" s="391"/>
      <c r="K503" s="392"/>
      <c r="L503" s="90"/>
      <c r="M503" s="39"/>
      <c r="N503" s="39">
        <v>0</v>
      </c>
      <c r="O503" s="39">
        <v>737520</v>
      </c>
      <c r="P503" s="98"/>
      <c r="Q503" s="8" t="s">
        <v>1508</v>
      </c>
      <c r="R503" s="9" t="s">
        <v>1509</v>
      </c>
      <c r="S503" s="10" t="s">
        <v>14</v>
      </c>
      <c r="T503" s="11"/>
      <c r="U503" s="11"/>
      <c r="V503" s="11"/>
      <c r="W503" s="11"/>
      <c r="X503" s="11"/>
      <c r="Y503" s="11">
        <v>0</v>
      </c>
      <c r="Z503" s="11">
        <f>SUM(Z504:Z506)</f>
        <v>737520</v>
      </c>
      <c r="AA503" s="12" t="s">
        <v>15</v>
      </c>
      <c r="AB503" s="37" t="s">
        <v>16</v>
      </c>
      <c r="AC503" s="182"/>
      <c r="AD503" s="182"/>
      <c r="AE503" s="182"/>
      <c r="AF503" s="182"/>
      <c r="AG503" s="101" t="str">
        <f t="shared" si="113"/>
        <v/>
      </c>
      <c r="AH503" s="190"/>
      <c r="AI503" s="69">
        <f t="shared" si="106"/>
        <v>0</v>
      </c>
    </row>
    <row r="504" spans="1:35" ht="33" x14ac:dyDescent="0.3">
      <c r="M504" s="46">
        <v>519.42999999999995</v>
      </c>
      <c r="N504" s="46">
        <v>0</v>
      </c>
      <c r="O504" s="46">
        <v>298672</v>
      </c>
      <c r="P504" s="98"/>
      <c r="Q504" s="23" t="s">
        <v>1421</v>
      </c>
      <c r="R504" s="24" t="s">
        <v>1510</v>
      </c>
      <c r="S504" s="25" t="s">
        <v>23</v>
      </c>
      <c r="T504" s="26"/>
      <c r="U504" s="26"/>
      <c r="V504" s="26">
        <v>575</v>
      </c>
      <c r="W504" s="26">
        <f>X504-M504</f>
        <v>0</v>
      </c>
      <c r="X504" s="26">
        <v>519.42999999999995</v>
      </c>
      <c r="Y504" s="26">
        <f>Z504-O504</f>
        <v>0</v>
      </c>
      <c r="Z504" s="26">
        <f>ROUNDDOWN(V504*X504,0)</f>
        <v>298672</v>
      </c>
      <c r="AA504" s="33" t="s">
        <v>15</v>
      </c>
      <c r="AB504" s="36" t="s">
        <v>16</v>
      </c>
      <c r="AG504" s="101"/>
      <c r="AH504" s="185">
        <v>519.42999999999995</v>
      </c>
      <c r="AI504" s="69"/>
    </row>
    <row r="505" spans="1:35" ht="33" x14ac:dyDescent="0.3">
      <c r="M505" s="46">
        <v>0</v>
      </c>
      <c r="N505" s="46">
        <v>0</v>
      </c>
      <c r="O505" s="46">
        <v>0</v>
      </c>
      <c r="P505" s="98"/>
      <c r="Q505" s="23" t="s">
        <v>1426</v>
      </c>
      <c r="R505" s="24" t="s">
        <v>1511</v>
      </c>
      <c r="S505" s="25" t="s">
        <v>110</v>
      </c>
      <c r="T505" s="26"/>
      <c r="U505" s="26"/>
      <c r="V505" s="26">
        <v>20</v>
      </c>
      <c r="W505" s="26">
        <f>X505-M505</f>
        <v>0</v>
      </c>
      <c r="X505" s="26">
        <v>0</v>
      </c>
      <c r="Y505" s="26">
        <f>Z505-O505</f>
        <v>0</v>
      </c>
      <c r="Z505" s="26">
        <f>ROUNDDOWN(V505*X505,0)</f>
        <v>0</v>
      </c>
      <c r="AA505" s="33" t="s">
        <v>15</v>
      </c>
      <c r="AB505" s="36" t="s">
        <v>16</v>
      </c>
      <c r="AG505" s="101"/>
      <c r="AH505" s="185">
        <v>0</v>
      </c>
      <c r="AI505" s="69"/>
    </row>
    <row r="506" spans="1:35" ht="33" x14ac:dyDescent="0.3">
      <c r="M506" s="46">
        <v>54856</v>
      </c>
      <c r="N506" s="46">
        <v>0</v>
      </c>
      <c r="O506" s="46">
        <v>438848</v>
      </c>
      <c r="P506" s="98"/>
      <c r="Q506" s="23" t="s">
        <v>1402</v>
      </c>
      <c r="R506" s="24" t="s">
        <v>1512</v>
      </c>
      <c r="S506" s="25" t="s">
        <v>110</v>
      </c>
      <c r="T506" s="26"/>
      <c r="U506" s="26"/>
      <c r="V506" s="26">
        <v>8</v>
      </c>
      <c r="W506" s="26">
        <f>X506-M506</f>
        <v>0</v>
      </c>
      <c r="X506" s="26">
        <v>54856</v>
      </c>
      <c r="Y506" s="26">
        <f>Z506-O506</f>
        <v>0</v>
      </c>
      <c r="Z506" s="26">
        <f>ROUNDDOWN(V506*X506,0)</f>
        <v>438848</v>
      </c>
      <c r="AA506" s="33" t="s">
        <v>15</v>
      </c>
      <c r="AB506" s="36" t="s">
        <v>16</v>
      </c>
      <c r="AG506" s="101"/>
      <c r="AH506" s="185">
        <v>54856</v>
      </c>
      <c r="AI506" s="69"/>
    </row>
  </sheetData>
  <autoFilter ref="A6:K503" xr:uid="{745AA45A-1115-4D12-8076-1F56B440D015}"/>
  <mergeCells count="13">
    <mergeCell ref="Z5:AA5"/>
    <mergeCell ref="A502:K502"/>
    <mergeCell ref="A1:K1"/>
    <mergeCell ref="A2:K2"/>
    <mergeCell ref="A3:K3"/>
    <mergeCell ref="Q3:AA3"/>
    <mergeCell ref="A4:K4"/>
    <mergeCell ref="Q4:AA4"/>
    <mergeCell ref="A503:K503"/>
    <mergeCell ref="A5:I5"/>
    <mergeCell ref="J5:K5"/>
    <mergeCell ref="M5:O5"/>
    <mergeCell ref="Q5:X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F798-7651-4858-A4D9-AA0FF2C045CF}">
  <sheetPr filterMode="1">
    <tabColor rgb="FFFF0000"/>
  </sheetPr>
  <dimension ref="A1:AL506"/>
  <sheetViews>
    <sheetView view="pageBreakPreview" topLeftCell="A5" zoomScale="80" zoomScaleNormal="80" zoomScaleSheetLayoutView="80" workbookViewId="0">
      <pane ySplit="1470" activePane="bottomLeft"/>
      <selection activeCell="Z5" sqref="Z5:AA5"/>
      <selection pane="bottomLeft" activeCell="X7" sqref="X7"/>
    </sheetView>
  </sheetViews>
  <sheetFormatPr defaultColWidth="8.5" defaultRowHeight="19.5" x14ac:dyDescent="0.3"/>
  <cols>
    <col min="1" max="1" width="5.25" style="72" customWidth="1"/>
    <col min="2" max="2" width="26.25" style="73" customWidth="1"/>
    <col min="3" max="3" width="5.5" style="73" customWidth="1"/>
    <col min="4" max="4" width="12.75" style="73" customWidth="1"/>
    <col min="5" max="5" width="14" style="73" customWidth="1"/>
    <col min="6" max="6" width="14.375" style="73" customWidth="1"/>
    <col min="7" max="7" width="10.75" style="73" customWidth="1"/>
    <col min="8" max="8" width="15.375" style="73" customWidth="1"/>
    <col min="9" max="9" width="14.75" style="73" customWidth="1"/>
    <col min="10" max="10" width="23" style="73" customWidth="1"/>
    <col min="11" max="11" width="10.875" style="73" customWidth="1"/>
    <col min="12" max="12" width="1.5" style="73" customWidth="1"/>
    <col min="13" max="15" width="11.5" style="2" customWidth="1"/>
    <col min="16" max="16" width="1.25" style="96" customWidth="1"/>
    <col min="17" max="17" width="4.25" style="3" hidden="1" customWidth="1"/>
    <col min="18" max="18" width="35.25" hidden="1" customWidth="1"/>
    <col min="19" max="19" width="5.75" hidden="1" customWidth="1"/>
    <col min="20" max="20" width="9" hidden="1" customWidth="1"/>
    <col min="21" max="21" width="9.375" hidden="1" customWidth="1"/>
    <col min="22" max="22" width="12" hidden="1" customWidth="1"/>
    <col min="23" max="23" width="11.375" customWidth="1"/>
    <col min="24" max="24" width="11.75" customWidth="1"/>
    <col min="25" max="25" width="12.875" customWidth="1"/>
    <col min="26" max="26" width="12" customWidth="1"/>
    <col min="27" max="27" width="5.25" style="34" customWidth="1"/>
    <col min="28" max="28" width="1.125" customWidth="1"/>
    <col min="29" max="32" width="1.125" style="181" customWidth="1"/>
    <col min="33" max="33" width="1.125" style="71" customWidth="1"/>
    <col min="34" max="34" width="16.5" style="185" customWidth="1"/>
    <col min="35" max="35" width="15.375" style="70" customWidth="1"/>
    <col min="36" max="36" width="8.375" style="70" customWidth="1"/>
    <col min="37" max="37" width="1.625" style="70" customWidth="1"/>
    <col min="38" max="38" width="15" style="70" bestFit="1" customWidth="1"/>
    <col min="39" max="224" width="8.5" style="70"/>
    <col min="225" max="225" width="5.25" style="70" customWidth="1"/>
    <col min="226" max="226" width="26.25" style="70" customWidth="1"/>
    <col min="227" max="227" width="5.5" style="70" customWidth="1"/>
    <col min="228" max="228" width="8.5" style="70"/>
    <col min="229" max="230" width="10.875" style="70" customWidth="1"/>
    <col min="231" max="231" width="15.25" style="70" customWidth="1"/>
    <col min="232" max="232" width="0.75" style="70" customWidth="1"/>
    <col min="233" max="235" width="0.625" style="70" customWidth="1"/>
    <col min="236" max="480" width="8.5" style="70"/>
    <col min="481" max="481" width="5.25" style="70" customWidth="1"/>
    <col min="482" max="482" width="26.25" style="70" customWidth="1"/>
    <col min="483" max="483" width="5.5" style="70" customWidth="1"/>
    <col min="484" max="484" width="8.5" style="70"/>
    <col min="485" max="486" width="10.875" style="70" customWidth="1"/>
    <col min="487" max="487" width="15.25" style="70" customWidth="1"/>
    <col min="488" max="488" width="0.75" style="70" customWidth="1"/>
    <col min="489" max="491" width="0.625" style="70" customWidth="1"/>
    <col min="492" max="736" width="8.5" style="70"/>
    <col min="737" max="737" width="5.25" style="70" customWidth="1"/>
    <col min="738" max="738" width="26.25" style="70" customWidth="1"/>
    <col min="739" max="739" width="5.5" style="70" customWidth="1"/>
    <col min="740" max="740" width="8.5" style="70"/>
    <col min="741" max="742" width="10.875" style="70" customWidth="1"/>
    <col min="743" max="743" width="15.25" style="70" customWidth="1"/>
    <col min="744" max="744" width="0.75" style="70" customWidth="1"/>
    <col min="745" max="747" width="0.625" style="70" customWidth="1"/>
    <col min="748" max="992" width="8.5" style="70"/>
    <col min="993" max="993" width="5.25" style="70" customWidth="1"/>
    <col min="994" max="994" width="26.25" style="70" customWidth="1"/>
    <col min="995" max="995" width="5.5" style="70" customWidth="1"/>
    <col min="996" max="996" width="8.5" style="70"/>
    <col min="997" max="998" width="10.875" style="70" customWidth="1"/>
    <col min="999" max="999" width="15.25" style="70" customWidth="1"/>
    <col min="1000" max="1000" width="0.75" style="70" customWidth="1"/>
    <col min="1001" max="1003" width="0.625" style="70" customWidth="1"/>
    <col min="1004" max="1248" width="8.5" style="70"/>
    <col min="1249" max="1249" width="5.25" style="70" customWidth="1"/>
    <col min="1250" max="1250" width="26.25" style="70" customWidth="1"/>
    <col min="1251" max="1251" width="5.5" style="70" customWidth="1"/>
    <col min="1252" max="1252" width="8.5" style="70"/>
    <col min="1253" max="1254" width="10.875" style="70" customWidth="1"/>
    <col min="1255" max="1255" width="15.25" style="70" customWidth="1"/>
    <col min="1256" max="1256" width="0.75" style="70" customWidth="1"/>
    <col min="1257" max="1259" width="0.625" style="70" customWidth="1"/>
    <col min="1260" max="1504" width="8.5" style="70"/>
    <col min="1505" max="1505" width="5.25" style="70" customWidth="1"/>
    <col min="1506" max="1506" width="26.25" style="70" customWidth="1"/>
    <col min="1507" max="1507" width="5.5" style="70" customWidth="1"/>
    <col min="1508" max="1508" width="8.5" style="70"/>
    <col min="1509" max="1510" width="10.875" style="70" customWidth="1"/>
    <col min="1511" max="1511" width="15.25" style="70" customWidth="1"/>
    <col min="1512" max="1512" width="0.75" style="70" customWidth="1"/>
    <col min="1513" max="1515" width="0.625" style="70" customWidth="1"/>
    <col min="1516" max="1760" width="8.5" style="70"/>
    <col min="1761" max="1761" width="5.25" style="70" customWidth="1"/>
    <col min="1762" max="1762" width="26.25" style="70" customWidth="1"/>
    <col min="1763" max="1763" width="5.5" style="70" customWidth="1"/>
    <col min="1764" max="1764" width="8.5" style="70"/>
    <col min="1765" max="1766" width="10.875" style="70" customWidth="1"/>
    <col min="1767" max="1767" width="15.25" style="70" customWidth="1"/>
    <col min="1768" max="1768" width="0.75" style="70" customWidth="1"/>
    <col min="1769" max="1771" width="0.625" style="70" customWidth="1"/>
    <col min="1772" max="2016" width="8.5" style="70"/>
    <col min="2017" max="2017" width="5.25" style="70" customWidth="1"/>
    <col min="2018" max="2018" width="26.25" style="70" customWidth="1"/>
    <col min="2019" max="2019" width="5.5" style="70" customWidth="1"/>
    <col min="2020" max="2020" width="8.5" style="70"/>
    <col min="2021" max="2022" width="10.875" style="70" customWidth="1"/>
    <col min="2023" max="2023" width="15.25" style="70" customWidth="1"/>
    <col min="2024" max="2024" width="0.75" style="70" customWidth="1"/>
    <col min="2025" max="2027" width="0.625" style="70" customWidth="1"/>
    <col min="2028" max="2272" width="8.5" style="70"/>
    <col min="2273" max="2273" width="5.25" style="70" customWidth="1"/>
    <col min="2274" max="2274" width="26.25" style="70" customWidth="1"/>
    <col min="2275" max="2275" width="5.5" style="70" customWidth="1"/>
    <col min="2276" max="2276" width="8.5" style="70"/>
    <col min="2277" max="2278" width="10.875" style="70" customWidth="1"/>
    <col min="2279" max="2279" width="15.25" style="70" customWidth="1"/>
    <col min="2280" max="2280" width="0.75" style="70" customWidth="1"/>
    <col min="2281" max="2283" width="0.625" style="70" customWidth="1"/>
    <col min="2284" max="2528" width="8.5" style="70"/>
    <col min="2529" max="2529" width="5.25" style="70" customWidth="1"/>
    <col min="2530" max="2530" width="26.25" style="70" customWidth="1"/>
    <col min="2531" max="2531" width="5.5" style="70" customWidth="1"/>
    <col min="2532" max="2532" width="8.5" style="70"/>
    <col min="2533" max="2534" width="10.875" style="70" customWidth="1"/>
    <col min="2535" max="2535" width="15.25" style="70" customWidth="1"/>
    <col min="2536" max="2536" width="0.75" style="70" customWidth="1"/>
    <col min="2537" max="2539" width="0.625" style="70" customWidth="1"/>
    <col min="2540" max="2784" width="8.5" style="70"/>
    <col min="2785" max="2785" width="5.25" style="70" customWidth="1"/>
    <col min="2786" max="2786" width="26.25" style="70" customWidth="1"/>
    <col min="2787" max="2787" width="5.5" style="70" customWidth="1"/>
    <col min="2788" max="2788" width="8.5" style="70"/>
    <col min="2789" max="2790" width="10.875" style="70" customWidth="1"/>
    <col min="2791" max="2791" width="15.25" style="70" customWidth="1"/>
    <col min="2792" max="2792" width="0.75" style="70" customWidth="1"/>
    <col min="2793" max="2795" width="0.625" style="70" customWidth="1"/>
    <col min="2796" max="3040" width="8.5" style="70"/>
    <col min="3041" max="3041" width="5.25" style="70" customWidth="1"/>
    <col min="3042" max="3042" width="26.25" style="70" customWidth="1"/>
    <col min="3043" max="3043" width="5.5" style="70" customWidth="1"/>
    <col min="3044" max="3044" width="8.5" style="70"/>
    <col min="3045" max="3046" width="10.875" style="70" customWidth="1"/>
    <col min="3047" max="3047" width="15.25" style="70" customWidth="1"/>
    <col min="3048" max="3048" width="0.75" style="70" customWidth="1"/>
    <col min="3049" max="3051" width="0.625" style="70" customWidth="1"/>
    <col min="3052" max="3296" width="8.5" style="70"/>
    <col min="3297" max="3297" width="5.25" style="70" customWidth="1"/>
    <col min="3298" max="3298" width="26.25" style="70" customWidth="1"/>
    <col min="3299" max="3299" width="5.5" style="70" customWidth="1"/>
    <col min="3300" max="3300" width="8.5" style="70"/>
    <col min="3301" max="3302" width="10.875" style="70" customWidth="1"/>
    <col min="3303" max="3303" width="15.25" style="70" customWidth="1"/>
    <col min="3304" max="3304" width="0.75" style="70" customWidth="1"/>
    <col min="3305" max="3307" width="0.625" style="70" customWidth="1"/>
    <col min="3308" max="3552" width="8.5" style="70"/>
    <col min="3553" max="3553" width="5.25" style="70" customWidth="1"/>
    <col min="3554" max="3554" width="26.25" style="70" customWidth="1"/>
    <col min="3555" max="3555" width="5.5" style="70" customWidth="1"/>
    <col min="3556" max="3556" width="8.5" style="70"/>
    <col min="3557" max="3558" width="10.875" style="70" customWidth="1"/>
    <col min="3559" max="3559" width="15.25" style="70" customWidth="1"/>
    <col min="3560" max="3560" width="0.75" style="70" customWidth="1"/>
    <col min="3561" max="3563" width="0.625" style="70" customWidth="1"/>
    <col min="3564" max="3808" width="8.5" style="70"/>
    <col min="3809" max="3809" width="5.25" style="70" customWidth="1"/>
    <col min="3810" max="3810" width="26.25" style="70" customWidth="1"/>
    <col min="3811" max="3811" width="5.5" style="70" customWidth="1"/>
    <col min="3812" max="3812" width="8.5" style="70"/>
    <col min="3813" max="3814" width="10.875" style="70" customWidth="1"/>
    <col min="3815" max="3815" width="15.25" style="70" customWidth="1"/>
    <col min="3816" max="3816" width="0.75" style="70" customWidth="1"/>
    <col min="3817" max="3819" width="0.625" style="70" customWidth="1"/>
    <col min="3820" max="4064" width="8.5" style="70"/>
    <col min="4065" max="4065" width="5.25" style="70" customWidth="1"/>
    <col min="4066" max="4066" width="26.25" style="70" customWidth="1"/>
    <col min="4067" max="4067" width="5.5" style="70" customWidth="1"/>
    <col min="4068" max="4068" width="8.5" style="70"/>
    <col min="4069" max="4070" width="10.875" style="70" customWidth="1"/>
    <col min="4071" max="4071" width="15.25" style="70" customWidth="1"/>
    <col min="4072" max="4072" width="0.75" style="70" customWidth="1"/>
    <col min="4073" max="4075" width="0.625" style="70" customWidth="1"/>
    <col min="4076" max="4320" width="8.5" style="70"/>
    <col min="4321" max="4321" width="5.25" style="70" customWidth="1"/>
    <col min="4322" max="4322" width="26.25" style="70" customWidth="1"/>
    <col min="4323" max="4323" width="5.5" style="70" customWidth="1"/>
    <col min="4324" max="4324" width="8.5" style="70"/>
    <col min="4325" max="4326" width="10.875" style="70" customWidth="1"/>
    <col min="4327" max="4327" width="15.25" style="70" customWidth="1"/>
    <col min="4328" max="4328" width="0.75" style="70" customWidth="1"/>
    <col min="4329" max="4331" width="0.625" style="70" customWidth="1"/>
    <col min="4332" max="4576" width="8.5" style="70"/>
    <col min="4577" max="4577" width="5.25" style="70" customWidth="1"/>
    <col min="4578" max="4578" width="26.25" style="70" customWidth="1"/>
    <col min="4579" max="4579" width="5.5" style="70" customWidth="1"/>
    <col min="4580" max="4580" width="8.5" style="70"/>
    <col min="4581" max="4582" width="10.875" style="70" customWidth="1"/>
    <col min="4583" max="4583" width="15.25" style="70" customWidth="1"/>
    <col min="4584" max="4584" width="0.75" style="70" customWidth="1"/>
    <col min="4585" max="4587" width="0.625" style="70" customWidth="1"/>
    <col min="4588" max="4832" width="8.5" style="70"/>
    <col min="4833" max="4833" width="5.25" style="70" customWidth="1"/>
    <col min="4834" max="4834" width="26.25" style="70" customWidth="1"/>
    <col min="4835" max="4835" width="5.5" style="70" customWidth="1"/>
    <col min="4836" max="4836" width="8.5" style="70"/>
    <col min="4837" max="4838" width="10.875" style="70" customWidth="1"/>
    <col min="4839" max="4839" width="15.25" style="70" customWidth="1"/>
    <col min="4840" max="4840" width="0.75" style="70" customWidth="1"/>
    <col min="4841" max="4843" width="0.625" style="70" customWidth="1"/>
    <col min="4844" max="5088" width="8.5" style="70"/>
    <col min="5089" max="5089" width="5.25" style="70" customWidth="1"/>
    <col min="5090" max="5090" width="26.25" style="70" customWidth="1"/>
    <col min="5091" max="5091" width="5.5" style="70" customWidth="1"/>
    <col min="5092" max="5092" width="8.5" style="70"/>
    <col min="5093" max="5094" width="10.875" style="70" customWidth="1"/>
    <col min="5095" max="5095" width="15.25" style="70" customWidth="1"/>
    <col min="5096" max="5096" width="0.75" style="70" customWidth="1"/>
    <col min="5097" max="5099" width="0.625" style="70" customWidth="1"/>
    <col min="5100" max="5344" width="8.5" style="70"/>
    <col min="5345" max="5345" width="5.25" style="70" customWidth="1"/>
    <col min="5346" max="5346" width="26.25" style="70" customWidth="1"/>
    <col min="5347" max="5347" width="5.5" style="70" customWidth="1"/>
    <col min="5348" max="5348" width="8.5" style="70"/>
    <col min="5349" max="5350" width="10.875" style="70" customWidth="1"/>
    <col min="5351" max="5351" width="15.25" style="70" customWidth="1"/>
    <col min="5352" max="5352" width="0.75" style="70" customWidth="1"/>
    <col min="5353" max="5355" width="0.625" style="70" customWidth="1"/>
    <col min="5356" max="5600" width="8.5" style="70"/>
    <col min="5601" max="5601" width="5.25" style="70" customWidth="1"/>
    <col min="5602" max="5602" width="26.25" style="70" customWidth="1"/>
    <col min="5603" max="5603" width="5.5" style="70" customWidth="1"/>
    <col min="5604" max="5604" width="8.5" style="70"/>
    <col min="5605" max="5606" width="10.875" style="70" customWidth="1"/>
    <col min="5607" max="5607" width="15.25" style="70" customWidth="1"/>
    <col min="5608" max="5608" width="0.75" style="70" customWidth="1"/>
    <col min="5609" max="5611" width="0.625" style="70" customWidth="1"/>
    <col min="5612" max="5856" width="8.5" style="70"/>
    <col min="5857" max="5857" width="5.25" style="70" customWidth="1"/>
    <col min="5858" max="5858" width="26.25" style="70" customWidth="1"/>
    <col min="5859" max="5859" width="5.5" style="70" customWidth="1"/>
    <col min="5860" max="5860" width="8.5" style="70"/>
    <col min="5861" max="5862" width="10.875" style="70" customWidth="1"/>
    <col min="5863" max="5863" width="15.25" style="70" customWidth="1"/>
    <col min="5864" max="5864" width="0.75" style="70" customWidth="1"/>
    <col min="5865" max="5867" width="0.625" style="70" customWidth="1"/>
    <col min="5868" max="6112" width="8.5" style="70"/>
    <col min="6113" max="6113" width="5.25" style="70" customWidth="1"/>
    <col min="6114" max="6114" width="26.25" style="70" customWidth="1"/>
    <col min="6115" max="6115" width="5.5" style="70" customWidth="1"/>
    <col min="6116" max="6116" width="8.5" style="70"/>
    <col min="6117" max="6118" width="10.875" style="70" customWidth="1"/>
    <col min="6119" max="6119" width="15.25" style="70" customWidth="1"/>
    <col min="6120" max="6120" width="0.75" style="70" customWidth="1"/>
    <col min="6121" max="6123" width="0.625" style="70" customWidth="1"/>
    <col min="6124" max="6368" width="8.5" style="70"/>
    <col min="6369" max="6369" width="5.25" style="70" customWidth="1"/>
    <col min="6370" max="6370" width="26.25" style="70" customWidth="1"/>
    <col min="6371" max="6371" width="5.5" style="70" customWidth="1"/>
    <col min="6372" max="6372" width="8.5" style="70"/>
    <col min="6373" max="6374" width="10.875" style="70" customWidth="1"/>
    <col min="6375" max="6375" width="15.25" style="70" customWidth="1"/>
    <col min="6376" max="6376" width="0.75" style="70" customWidth="1"/>
    <col min="6377" max="6379" width="0.625" style="70" customWidth="1"/>
    <col min="6380" max="6624" width="8.5" style="70"/>
    <col min="6625" max="6625" width="5.25" style="70" customWidth="1"/>
    <col min="6626" max="6626" width="26.25" style="70" customWidth="1"/>
    <col min="6627" max="6627" width="5.5" style="70" customWidth="1"/>
    <col min="6628" max="6628" width="8.5" style="70"/>
    <col min="6629" max="6630" width="10.875" style="70" customWidth="1"/>
    <col min="6631" max="6631" width="15.25" style="70" customWidth="1"/>
    <col min="6632" max="6632" width="0.75" style="70" customWidth="1"/>
    <col min="6633" max="6635" width="0.625" style="70" customWidth="1"/>
    <col min="6636" max="6880" width="8.5" style="70"/>
    <col min="6881" max="6881" width="5.25" style="70" customWidth="1"/>
    <col min="6882" max="6882" width="26.25" style="70" customWidth="1"/>
    <col min="6883" max="6883" width="5.5" style="70" customWidth="1"/>
    <col min="6884" max="6884" width="8.5" style="70"/>
    <col min="6885" max="6886" width="10.875" style="70" customWidth="1"/>
    <col min="6887" max="6887" width="15.25" style="70" customWidth="1"/>
    <col min="6888" max="6888" width="0.75" style="70" customWidth="1"/>
    <col min="6889" max="6891" width="0.625" style="70" customWidth="1"/>
    <col min="6892" max="7136" width="8.5" style="70"/>
    <col min="7137" max="7137" width="5.25" style="70" customWidth="1"/>
    <col min="7138" max="7138" width="26.25" style="70" customWidth="1"/>
    <col min="7139" max="7139" width="5.5" style="70" customWidth="1"/>
    <col min="7140" max="7140" width="8.5" style="70"/>
    <col min="7141" max="7142" width="10.875" style="70" customWidth="1"/>
    <col min="7143" max="7143" width="15.25" style="70" customWidth="1"/>
    <col min="7144" max="7144" width="0.75" style="70" customWidth="1"/>
    <col min="7145" max="7147" width="0.625" style="70" customWidth="1"/>
    <col min="7148" max="7392" width="8.5" style="70"/>
    <col min="7393" max="7393" width="5.25" style="70" customWidth="1"/>
    <col min="7394" max="7394" width="26.25" style="70" customWidth="1"/>
    <col min="7395" max="7395" width="5.5" style="70" customWidth="1"/>
    <col min="7396" max="7396" width="8.5" style="70"/>
    <col min="7397" max="7398" width="10.875" style="70" customWidth="1"/>
    <col min="7399" max="7399" width="15.25" style="70" customWidth="1"/>
    <col min="7400" max="7400" width="0.75" style="70" customWidth="1"/>
    <col min="7401" max="7403" width="0.625" style="70" customWidth="1"/>
    <col min="7404" max="7648" width="8.5" style="70"/>
    <col min="7649" max="7649" width="5.25" style="70" customWidth="1"/>
    <col min="7650" max="7650" width="26.25" style="70" customWidth="1"/>
    <col min="7651" max="7651" width="5.5" style="70" customWidth="1"/>
    <col min="7652" max="7652" width="8.5" style="70"/>
    <col min="7653" max="7654" width="10.875" style="70" customWidth="1"/>
    <col min="7655" max="7655" width="15.25" style="70" customWidth="1"/>
    <col min="7656" max="7656" width="0.75" style="70" customWidth="1"/>
    <col min="7657" max="7659" width="0.625" style="70" customWidth="1"/>
    <col min="7660" max="7904" width="8.5" style="70"/>
    <col min="7905" max="7905" width="5.25" style="70" customWidth="1"/>
    <col min="7906" max="7906" width="26.25" style="70" customWidth="1"/>
    <col min="7907" max="7907" width="5.5" style="70" customWidth="1"/>
    <col min="7908" max="7908" width="8.5" style="70"/>
    <col min="7909" max="7910" width="10.875" style="70" customWidth="1"/>
    <col min="7911" max="7911" width="15.25" style="70" customWidth="1"/>
    <col min="7912" max="7912" width="0.75" style="70" customWidth="1"/>
    <col min="7913" max="7915" width="0.625" style="70" customWidth="1"/>
    <col min="7916" max="8160" width="8.5" style="70"/>
    <col min="8161" max="8161" width="5.25" style="70" customWidth="1"/>
    <col min="8162" max="8162" width="26.25" style="70" customWidth="1"/>
    <col min="8163" max="8163" width="5.5" style="70" customWidth="1"/>
    <col min="8164" max="8164" width="8.5" style="70"/>
    <col min="8165" max="8166" width="10.875" style="70" customWidth="1"/>
    <col min="8167" max="8167" width="15.25" style="70" customWidth="1"/>
    <col min="8168" max="8168" width="0.75" style="70" customWidth="1"/>
    <col min="8169" max="8171" width="0.625" style="70" customWidth="1"/>
    <col min="8172" max="8416" width="8.5" style="70"/>
    <col min="8417" max="8417" width="5.25" style="70" customWidth="1"/>
    <col min="8418" max="8418" width="26.25" style="70" customWidth="1"/>
    <col min="8419" max="8419" width="5.5" style="70" customWidth="1"/>
    <col min="8420" max="8420" width="8.5" style="70"/>
    <col min="8421" max="8422" width="10.875" style="70" customWidth="1"/>
    <col min="8423" max="8423" width="15.25" style="70" customWidth="1"/>
    <col min="8424" max="8424" width="0.75" style="70" customWidth="1"/>
    <col min="8425" max="8427" width="0.625" style="70" customWidth="1"/>
    <col min="8428" max="8672" width="8.5" style="70"/>
    <col min="8673" max="8673" width="5.25" style="70" customWidth="1"/>
    <col min="8674" max="8674" width="26.25" style="70" customWidth="1"/>
    <col min="8675" max="8675" width="5.5" style="70" customWidth="1"/>
    <col min="8676" max="8676" width="8.5" style="70"/>
    <col min="8677" max="8678" width="10.875" style="70" customWidth="1"/>
    <col min="8679" max="8679" width="15.25" style="70" customWidth="1"/>
    <col min="8680" max="8680" width="0.75" style="70" customWidth="1"/>
    <col min="8681" max="8683" width="0.625" style="70" customWidth="1"/>
    <col min="8684" max="8928" width="8.5" style="70"/>
    <col min="8929" max="8929" width="5.25" style="70" customWidth="1"/>
    <col min="8930" max="8930" width="26.25" style="70" customWidth="1"/>
    <col min="8931" max="8931" width="5.5" style="70" customWidth="1"/>
    <col min="8932" max="8932" width="8.5" style="70"/>
    <col min="8933" max="8934" width="10.875" style="70" customWidth="1"/>
    <col min="8935" max="8935" width="15.25" style="70" customWidth="1"/>
    <col min="8936" max="8936" width="0.75" style="70" customWidth="1"/>
    <col min="8937" max="8939" width="0.625" style="70" customWidth="1"/>
    <col min="8940" max="9184" width="8.5" style="70"/>
    <col min="9185" max="9185" width="5.25" style="70" customWidth="1"/>
    <col min="9186" max="9186" width="26.25" style="70" customWidth="1"/>
    <col min="9187" max="9187" width="5.5" style="70" customWidth="1"/>
    <col min="9188" max="9188" width="8.5" style="70"/>
    <col min="9189" max="9190" width="10.875" style="70" customWidth="1"/>
    <col min="9191" max="9191" width="15.25" style="70" customWidth="1"/>
    <col min="9192" max="9192" width="0.75" style="70" customWidth="1"/>
    <col min="9193" max="9195" width="0.625" style="70" customWidth="1"/>
    <col min="9196" max="9440" width="8.5" style="70"/>
    <col min="9441" max="9441" width="5.25" style="70" customWidth="1"/>
    <col min="9442" max="9442" width="26.25" style="70" customWidth="1"/>
    <col min="9443" max="9443" width="5.5" style="70" customWidth="1"/>
    <col min="9444" max="9444" width="8.5" style="70"/>
    <col min="9445" max="9446" width="10.875" style="70" customWidth="1"/>
    <col min="9447" max="9447" width="15.25" style="70" customWidth="1"/>
    <col min="9448" max="9448" width="0.75" style="70" customWidth="1"/>
    <col min="9449" max="9451" width="0.625" style="70" customWidth="1"/>
    <col min="9452" max="9696" width="8.5" style="70"/>
    <col min="9697" max="9697" width="5.25" style="70" customWidth="1"/>
    <col min="9698" max="9698" width="26.25" style="70" customWidth="1"/>
    <col min="9699" max="9699" width="5.5" style="70" customWidth="1"/>
    <col min="9700" max="9700" width="8.5" style="70"/>
    <col min="9701" max="9702" width="10.875" style="70" customWidth="1"/>
    <col min="9703" max="9703" width="15.25" style="70" customWidth="1"/>
    <col min="9704" max="9704" width="0.75" style="70" customWidth="1"/>
    <col min="9705" max="9707" width="0.625" style="70" customWidth="1"/>
    <col min="9708" max="9952" width="8.5" style="70"/>
    <col min="9953" max="9953" width="5.25" style="70" customWidth="1"/>
    <col min="9954" max="9954" width="26.25" style="70" customWidth="1"/>
    <col min="9955" max="9955" width="5.5" style="70" customWidth="1"/>
    <col min="9956" max="9956" width="8.5" style="70"/>
    <col min="9957" max="9958" width="10.875" style="70" customWidth="1"/>
    <col min="9959" max="9959" width="15.25" style="70" customWidth="1"/>
    <col min="9960" max="9960" width="0.75" style="70" customWidth="1"/>
    <col min="9961" max="9963" width="0.625" style="70" customWidth="1"/>
    <col min="9964" max="10208" width="8.5" style="70"/>
    <col min="10209" max="10209" width="5.25" style="70" customWidth="1"/>
    <col min="10210" max="10210" width="26.25" style="70" customWidth="1"/>
    <col min="10211" max="10211" width="5.5" style="70" customWidth="1"/>
    <col min="10212" max="10212" width="8.5" style="70"/>
    <col min="10213" max="10214" width="10.875" style="70" customWidth="1"/>
    <col min="10215" max="10215" width="15.25" style="70" customWidth="1"/>
    <col min="10216" max="10216" width="0.75" style="70" customWidth="1"/>
    <col min="10217" max="10219" width="0.625" style="70" customWidth="1"/>
    <col min="10220" max="10464" width="8.5" style="70"/>
    <col min="10465" max="10465" width="5.25" style="70" customWidth="1"/>
    <col min="10466" max="10466" width="26.25" style="70" customWidth="1"/>
    <col min="10467" max="10467" width="5.5" style="70" customWidth="1"/>
    <col min="10468" max="10468" width="8.5" style="70"/>
    <col min="10469" max="10470" width="10.875" style="70" customWidth="1"/>
    <col min="10471" max="10471" width="15.25" style="70" customWidth="1"/>
    <col min="10472" max="10472" width="0.75" style="70" customWidth="1"/>
    <col min="10473" max="10475" width="0.625" style="70" customWidth="1"/>
    <col min="10476" max="10720" width="8.5" style="70"/>
    <col min="10721" max="10721" width="5.25" style="70" customWidth="1"/>
    <col min="10722" max="10722" width="26.25" style="70" customWidth="1"/>
    <col min="10723" max="10723" width="5.5" style="70" customWidth="1"/>
    <col min="10724" max="10724" width="8.5" style="70"/>
    <col min="10725" max="10726" width="10.875" style="70" customWidth="1"/>
    <col min="10727" max="10727" width="15.25" style="70" customWidth="1"/>
    <col min="10728" max="10728" width="0.75" style="70" customWidth="1"/>
    <col min="10729" max="10731" width="0.625" style="70" customWidth="1"/>
    <col min="10732" max="10976" width="8.5" style="70"/>
    <col min="10977" max="10977" width="5.25" style="70" customWidth="1"/>
    <col min="10978" max="10978" width="26.25" style="70" customWidth="1"/>
    <col min="10979" max="10979" width="5.5" style="70" customWidth="1"/>
    <col min="10980" max="10980" width="8.5" style="70"/>
    <col min="10981" max="10982" width="10.875" style="70" customWidth="1"/>
    <col min="10983" max="10983" width="15.25" style="70" customWidth="1"/>
    <col min="10984" max="10984" width="0.75" style="70" customWidth="1"/>
    <col min="10985" max="10987" width="0.625" style="70" customWidth="1"/>
    <col min="10988" max="11232" width="8.5" style="70"/>
    <col min="11233" max="11233" width="5.25" style="70" customWidth="1"/>
    <col min="11234" max="11234" width="26.25" style="70" customWidth="1"/>
    <col min="11235" max="11235" width="5.5" style="70" customWidth="1"/>
    <col min="11236" max="11236" width="8.5" style="70"/>
    <col min="11237" max="11238" width="10.875" style="70" customWidth="1"/>
    <col min="11239" max="11239" width="15.25" style="70" customWidth="1"/>
    <col min="11240" max="11240" width="0.75" style="70" customWidth="1"/>
    <col min="11241" max="11243" width="0.625" style="70" customWidth="1"/>
    <col min="11244" max="11488" width="8.5" style="70"/>
    <col min="11489" max="11489" width="5.25" style="70" customWidth="1"/>
    <col min="11490" max="11490" width="26.25" style="70" customWidth="1"/>
    <col min="11491" max="11491" width="5.5" style="70" customWidth="1"/>
    <col min="11492" max="11492" width="8.5" style="70"/>
    <col min="11493" max="11494" width="10.875" style="70" customWidth="1"/>
    <col min="11495" max="11495" width="15.25" style="70" customWidth="1"/>
    <col min="11496" max="11496" width="0.75" style="70" customWidth="1"/>
    <col min="11497" max="11499" width="0.625" style="70" customWidth="1"/>
    <col min="11500" max="11744" width="8.5" style="70"/>
    <col min="11745" max="11745" width="5.25" style="70" customWidth="1"/>
    <col min="11746" max="11746" width="26.25" style="70" customWidth="1"/>
    <col min="11747" max="11747" width="5.5" style="70" customWidth="1"/>
    <col min="11748" max="11748" width="8.5" style="70"/>
    <col min="11749" max="11750" width="10.875" style="70" customWidth="1"/>
    <col min="11751" max="11751" width="15.25" style="70" customWidth="1"/>
    <col min="11752" max="11752" width="0.75" style="70" customWidth="1"/>
    <col min="11753" max="11755" width="0.625" style="70" customWidth="1"/>
    <col min="11756" max="12000" width="8.5" style="70"/>
    <col min="12001" max="12001" width="5.25" style="70" customWidth="1"/>
    <col min="12002" max="12002" width="26.25" style="70" customWidth="1"/>
    <col min="12003" max="12003" width="5.5" style="70" customWidth="1"/>
    <col min="12004" max="12004" width="8.5" style="70"/>
    <col min="12005" max="12006" width="10.875" style="70" customWidth="1"/>
    <col min="12007" max="12007" width="15.25" style="70" customWidth="1"/>
    <col min="12008" max="12008" width="0.75" style="70" customWidth="1"/>
    <col min="12009" max="12011" width="0.625" style="70" customWidth="1"/>
    <col min="12012" max="12256" width="8.5" style="70"/>
    <col min="12257" max="12257" width="5.25" style="70" customWidth="1"/>
    <col min="12258" max="12258" width="26.25" style="70" customWidth="1"/>
    <col min="12259" max="12259" width="5.5" style="70" customWidth="1"/>
    <col min="12260" max="12260" width="8.5" style="70"/>
    <col min="12261" max="12262" width="10.875" style="70" customWidth="1"/>
    <col min="12263" max="12263" width="15.25" style="70" customWidth="1"/>
    <col min="12264" max="12264" width="0.75" style="70" customWidth="1"/>
    <col min="12265" max="12267" width="0.625" style="70" customWidth="1"/>
    <col min="12268" max="12512" width="8.5" style="70"/>
    <col min="12513" max="12513" width="5.25" style="70" customWidth="1"/>
    <col min="12514" max="12514" width="26.25" style="70" customWidth="1"/>
    <col min="12515" max="12515" width="5.5" style="70" customWidth="1"/>
    <col min="12516" max="12516" width="8.5" style="70"/>
    <col min="12517" max="12518" width="10.875" style="70" customWidth="1"/>
    <col min="12519" max="12519" width="15.25" style="70" customWidth="1"/>
    <col min="12520" max="12520" width="0.75" style="70" customWidth="1"/>
    <col min="12521" max="12523" width="0.625" style="70" customWidth="1"/>
    <col min="12524" max="12768" width="8.5" style="70"/>
    <col min="12769" max="12769" width="5.25" style="70" customWidth="1"/>
    <col min="12770" max="12770" width="26.25" style="70" customWidth="1"/>
    <col min="12771" max="12771" width="5.5" style="70" customWidth="1"/>
    <col min="12772" max="12772" width="8.5" style="70"/>
    <col min="12773" max="12774" width="10.875" style="70" customWidth="1"/>
    <col min="12775" max="12775" width="15.25" style="70" customWidth="1"/>
    <col min="12776" max="12776" width="0.75" style="70" customWidth="1"/>
    <col min="12777" max="12779" width="0.625" style="70" customWidth="1"/>
    <col min="12780" max="13024" width="8.5" style="70"/>
    <col min="13025" max="13025" width="5.25" style="70" customWidth="1"/>
    <col min="13026" max="13026" width="26.25" style="70" customWidth="1"/>
    <col min="13027" max="13027" width="5.5" style="70" customWidth="1"/>
    <col min="13028" max="13028" width="8.5" style="70"/>
    <col min="13029" max="13030" width="10.875" style="70" customWidth="1"/>
    <col min="13031" max="13031" width="15.25" style="70" customWidth="1"/>
    <col min="13032" max="13032" width="0.75" style="70" customWidth="1"/>
    <col min="13033" max="13035" width="0.625" style="70" customWidth="1"/>
    <col min="13036" max="13280" width="8.5" style="70"/>
    <col min="13281" max="13281" width="5.25" style="70" customWidth="1"/>
    <col min="13282" max="13282" width="26.25" style="70" customWidth="1"/>
    <col min="13283" max="13283" width="5.5" style="70" customWidth="1"/>
    <col min="13284" max="13284" width="8.5" style="70"/>
    <col min="13285" max="13286" width="10.875" style="70" customWidth="1"/>
    <col min="13287" max="13287" width="15.25" style="70" customWidth="1"/>
    <col min="13288" max="13288" width="0.75" style="70" customWidth="1"/>
    <col min="13289" max="13291" width="0.625" style="70" customWidth="1"/>
    <col min="13292" max="13536" width="8.5" style="70"/>
    <col min="13537" max="13537" width="5.25" style="70" customWidth="1"/>
    <col min="13538" max="13538" width="26.25" style="70" customWidth="1"/>
    <col min="13539" max="13539" width="5.5" style="70" customWidth="1"/>
    <col min="13540" max="13540" width="8.5" style="70"/>
    <col min="13541" max="13542" width="10.875" style="70" customWidth="1"/>
    <col min="13543" max="13543" width="15.25" style="70" customWidth="1"/>
    <col min="13544" max="13544" width="0.75" style="70" customWidth="1"/>
    <col min="13545" max="13547" width="0.625" style="70" customWidth="1"/>
    <col min="13548" max="13792" width="8.5" style="70"/>
    <col min="13793" max="13793" width="5.25" style="70" customWidth="1"/>
    <col min="13794" max="13794" width="26.25" style="70" customWidth="1"/>
    <col min="13795" max="13795" width="5.5" style="70" customWidth="1"/>
    <col min="13796" max="13796" width="8.5" style="70"/>
    <col min="13797" max="13798" width="10.875" style="70" customWidth="1"/>
    <col min="13799" max="13799" width="15.25" style="70" customWidth="1"/>
    <col min="13800" max="13800" width="0.75" style="70" customWidth="1"/>
    <col min="13801" max="13803" width="0.625" style="70" customWidth="1"/>
    <col min="13804" max="14048" width="8.5" style="70"/>
    <col min="14049" max="14049" width="5.25" style="70" customWidth="1"/>
    <col min="14050" max="14050" width="26.25" style="70" customWidth="1"/>
    <col min="14051" max="14051" width="5.5" style="70" customWidth="1"/>
    <col min="14052" max="14052" width="8.5" style="70"/>
    <col min="14053" max="14054" width="10.875" style="70" customWidth="1"/>
    <col min="14055" max="14055" width="15.25" style="70" customWidth="1"/>
    <col min="14056" max="14056" width="0.75" style="70" customWidth="1"/>
    <col min="14057" max="14059" width="0.625" style="70" customWidth="1"/>
    <col min="14060" max="14304" width="8.5" style="70"/>
    <col min="14305" max="14305" width="5.25" style="70" customWidth="1"/>
    <col min="14306" max="14306" width="26.25" style="70" customWidth="1"/>
    <col min="14307" max="14307" width="5.5" style="70" customWidth="1"/>
    <col min="14308" max="14308" width="8.5" style="70"/>
    <col min="14309" max="14310" width="10.875" style="70" customWidth="1"/>
    <col min="14311" max="14311" width="15.25" style="70" customWidth="1"/>
    <col min="14312" max="14312" width="0.75" style="70" customWidth="1"/>
    <col min="14313" max="14315" width="0.625" style="70" customWidth="1"/>
    <col min="14316" max="14560" width="8.5" style="70"/>
    <col min="14561" max="14561" width="5.25" style="70" customWidth="1"/>
    <col min="14562" max="14562" width="26.25" style="70" customWidth="1"/>
    <col min="14563" max="14563" width="5.5" style="70" customWidth="1"/>
    <col min="14564" max="14564" width="8.5" style="70"/>
    <col min="14565" max="14566" width="10.875" style="70" customWidth="1"/>
    <col min="14567" max="14567" width="15.25" style="70" customWidth="1"/>
    <col min="14568" max="14568" width="0.75" style="70" customWidth="1"/>
    <col min="14569" max="14571" width="0.625" style="70" customWidth="1"/>
    <col min="14572" max="14816" width="8.5" style="70"/>
    <col min="14817" max="14817" width="5.25" style="70" customWidth="1"/>
    <col min="14818" max="14818" width="26.25" style="70" customWidth="1"/>
    <col min="14819" max="14819" width="5.5" style="70" customWidth="1"/>
    <col min="14820" max="14820" width="8.5" style="70"/>
    <col min="14821" max="14822" width="10.875" style="70" customWidth="1"/>
    <col min="14823" max="14823" width="15.25" style="70" customWidth="1"/>
    <col min="14824" max="14824" width="0.75" style="70" customWidth="1"/>
    <col min="14825" max="14827" width="0.625" style="70" customWidth="1"/>
    <col min="14828" max="15072" width="8.5" style="70"/>
    <col min="15073" max="15073" width="5.25" style="70" customWidth="1"/>
    <col min="15074" max="15074" width="26.25" style="70" customWidth="1"/>
    <col min="15075" max="15075" width="5.5" style="70" customWidth="1"/>
    <col min="15076" max="15076" width="8.5" style="70"/>
    <col min="15077" max="15078" width="10.875" style="70" customWidth="1"/>
    <col min="15079" max="15079" width="15.25" style="70" customWidth="1"/>
    <col min="15080" max="15080" width="0.75" style="70" customWidth="1"/>
    <col min="15081" max="15083" width="0.625" style="70" customWidth="1"/>
    <col min="15084" max="15328" width="8.5" style="70"/>
    <col min="15329" max="15329" width="5.25" style="70" customWidth="1"/>
    <col min="15330" max="15330" width="26.25" style="70" customWidth="1"/>
    <col min="15331" max="15331" width="5.5" style="70" customWidth="1"/>
    <col min="15332" max="15332" width="8.5" style="70"/>
    <col min="15333" max="15334" width="10.875" style="70" customWidth="1"/>
    <col min="15335" max="15335" width="15.25" style="70" customWidth="1"/>
    <col min="15336" max="15336" width="0.75" style="70" customWidth="1"/>
    <col min="15337" max="15339" width="0.625" style="70" customWidth="1"/>
    <col min="15340" max="15584" width="8.5" style="70"/>
    <col min="15585" max="15585" width="5.25" style="70" customWidth="1"/>
    <col min="15586" max="15586" width="26.25" style="70" customWidth="1"/>
    <col min="15587" max="15587" width="5.5" style="70" customWidth="1"/>
    <col min="15588" max="15588" width="8.5" style="70"/>
    <col min="15589" max="15590" width="10.875" style="70" customWidth="1"/>
    <col min="15591" max="15591" width="15.25" style="70" customWidth="1"/>
    <col min="15592" max="15592" width="0.75" style="70" customWidth="1"/>
    <col min="15593" max="15595" width="0.625" style="70" customWidth="1"/>
    <col min="15596" max="15840" width="8.5" style="70"/>
    <col min="15841" max="15841" width="5.25" style="70" customWidth="1"/>
    <col min="15842" max="15842" width="26.25" style="70" customWidth="1"/>
    <col min="15843" max="15843" width="5.5" style="70" customWidth="1"/>
    <col min="15844" max="15844" width="8.5" style="70"/>
    <col min="15845" max="15846" width="10.875" style="70" customWidth="1"/>
    <col min="15847" max="15847" width="15.25" style="70" customWidth="1"/>
    <col min="15848" max="15848" width="0.75" style="70" customWidth="1"/>
    <col min="15849" max="15851" width="0.625" style="70" customWidth="1"/>
    <col min="15852" max="16096" width="8.5" style="70"/>
    <col min="16097" max="16097" width="5.25" style="70" customWidth="1"/>
    <col min="16098" max="16098" width="26.25" style="70" customWidth="1"/>
    <col min="16099" max="16099" width="5.5" style="70" customWidth="1"/>
    <col min="16100" max="16100" width="8.5" style="70"/>
    <col min="16101" max="16102" width="10.875" style="70" customWidth="1"/>
    <col min="16103" max="16103" width="15.25" style="70" customWidth="1"/>
    <col min="16104" max="16104" width="0.75" style="70" customWidth="1"/>
    <col min="16105" max="16107" width="0.625" style="70" customWidth="1"/>
    <col min="16108" max="16384" width="8.5" style="70"/>
  </cols>
  <sheetData>
    <row r="1" spans="1:38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47"/>
      <c r="W1" s="99"/>
      <c r="X1" s="99"/>
      <c r="Y1" s="99"/>
      <c r="Z1" s="99"/>
      <c r="AA1" s="100"/>
    </row>
    <row r="2" spans="1:38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47"/>
    </row>
    <row r="3" spans="1:38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47"/>
      <c r="Q3" s="386" t="s">
        <v>0</v>
      </c>
      <c r="R3" s="387"/>
      <c r="S3" s="387"/>
      <c r="T3" s="387"/>
      <c r="U3" s="387"/>
      <c r="V3" s="387"/>
      <c r="W3" s="387"/>
      <c r="X3" s="387"/>
      <c r="Y3" s="387"/>
      <c r="Z3" s="387"/>
      <c r="AA3" s="387"/>
    </row>
    <row r="4" spans="1:38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48"/>
      <c r="Q4" s="389">
        <v>21</v>
      </c>
      <c r="R4" s="387"/>
      <c r="S4" s="387"/>
      <c r="T4" s="387"/>
      <c r="U4" s="387"/>
      <c r="V4" s="387"/>
      <c r="W4" s="387"/>
      <c r="X4" s="387"/>
      <c r="Y4" s="387"/>
      <c r="Z4" s="387"/>
      <c r="AA4" s="387"/>
    </row>
    <row r="5" spans="1:38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93" t="s">
        <v>4</v>
      </c>
      <c r="K5" s="393"/>
      <c r="L5" s="74"/>
      <c r="M5" s="394" t="s">
        <v>3142</v>
      </c>
      <c r="N5" s="394"/>
      <c r="O5" s="394"/>
      <c r="P5" s="96"/>
      <c r="Q5" s="395" t="s">
        <v>2</v>
      </c>
      <c r="R5" s="396"/>
      <c r="S5" s="396"/>
      <c r="T5" s="396"/>
      <c r="U5" s="396"/>
      <c r="V5" s="396"/>
      <c r="W5" s="396"/>
      <c r="X5" s="396"/>
      <c r="Y5" s="4" t="s">
        <v>1361</v>
      </c>
      <c r="Z5" s="380">
        <v>45808</v>
      </c>
      <c r="AA5" s="381"/>
      <c r="AB5"/>
      <c r="AC5" s="181"/>
      <c r="AD5" s="181"/>
      <c r="AE5" s="181"/>
      <c r="AF5" s="181"/>
    </row>
    <row r="6" spans="1:38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1" t="s">
        <v>9</v>
      </c>
      <c r="J6" s="51" t="s">
        <v>3068</v>
      </c>
      <c r="K6" s="50" t="s">
        <v>11</v>
      </c>
      <c r="L6" s="47"/>
      <c r="M6" s="1" t="s">
        <v>1423</v>
      </c>
      <c r="N6" s="1" t="s">
        <v>1424</v>
      </c>
      <c r="O6" s="1" t="s">
        <v>1425</v>
      </c>
      <c r="P6" s="97"/>
      <c r="Q6" s="5" t="s">
        <v>5</v>
      </c>
      <c r="R6" s="6" t="s">
        <v>1362</v>
      </c>
      <c r="S6" s="6" t="s">
        <v>7</v>
      </c>
      <c r="T6" s="6" t="s">
        <v>1363</v>
      </c>
      <c r="U6" s="6" t="s">
        <v>1364</v>
      </c>
      <c r="V6" s="6" t="s">
        <v>1365</v>
      </c>
      <c r="W6" s="6" t="s">
        <v>1366</v>
      </c>
      <c r="X6" s="214" t="s">
        <v>1367</v>
      </c>
      <c r="Y6" s="214" t="s">
        <v>1368</v>
      </c>
      <c r="Z6" s="214" t="s">
        <v>1369</v>
      </c>
      <c r="AA6" s="7" t="s">
        <v>1370</v>
      </c>
      <c r="AB6" s="36"/>
      <c r="AH6" s="222">
        <f>AJ7</f>
        <v>0.74199800000000005</v>
      </c>
      <c r="AI6" s="104">
        <f>AJ9</f>
        <v>2.4377373837455852E-2</v>
      </c>
      <c r="AJ6" s="197" t="s">
        <v>1513</v>
      </c>
      <c r="AL6" s="68" t="s">
        <v>3110</v>
      </c>
    </row>
    <row r="7" spans="1:38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>
        <v>383773907</v>
      </c>
      <c r="K7" s="53" t="s">
        <v>15</v>
      </c>
      <c r="L7" s="73"/>
      <c r="M7" s="39">
        <v>1</v>
      </c>
      <c r="N7" s="39">
        <v>14007100.000000013</v>
      </c>
      <c r="O7" s="39">
        <v>275404200</v>
      </c>
      <c r="P7" s="98"/>
      <c r="Q7" s="8" t="s">
        <v>12</v>
      </c>
      <c r="R7" s="9" t="s">
        <v>13</v>
      </c>
      <c r="S7" s="10" t="s">
        <v>14</v>
      </c>
      <c r="T7" s="11">
        <v>1</v>
      </c>
      <c r="U7" s="11"/>
      <c r="V7" s="11">
        <f>V8+V377+V407+V447+V451+V472+V492+V495+V496+V498</f>
        <v>383773907</v>
      </c>
      <c r="W7" s="11">
        <f>IF(Y7=0,0,1)</f>
        <v>1</v>
      </c>
      <c r="X7" s="11">
        <f>IF(Z7=0,0,1)</f>
        <v>1</v>
      </c>
      <c r="Y7" s="11">
        <f>Y8+Y377+Y407+Y447+Y451+Y472+Y492+Y495+Y496+Y498</f>
        <v>9355400.0000000149</v>
      </c>
      <c r="Z7" s="11">
        <f>ROUNDDOWN((Z8+Z377+Z407+Z447+Z451+Z472+Z492+Z496+Z498+(Z8+Z377+Z407+Z447+Z451+Z472+Z492)*0.1095000004)/1000,1)*1000</f>
        <v>284759600</v>
      </c>
      <c r="AA7" s="12" t="s">
        <v>15</v>
      </c>
      <c r="AB7" s="232"/>
      <c r="AC7" s="182"/>
      <c r="AD7" s="182"/>
      <c r="AE7" s="182"/>
      <c r="AF7" s="182"/>
      <c r="AG7" s="101"/>
      <c r="AH7" s="187"/>
      <c r="AI7" s="126">
        <f>V7</f>
        <v>383773907</v>
      </c>
      <c r="AJ7" s="201">
        <f>ROUND(Z7/AI7,6)</f>
        <v>0.74199800000000005</v>
      </c>
    </row>
    <row r="8" spans="1:38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>
        <v>291889770.98000002</v>
      </c>
      <c r="K8" s="86" t="s">
        <v>15</v>
      </c>
      <c r="L8" s="73"/>
      <c r="M8" s="42">
        <v>1</v>
      </c>
      <c r="N8" s="42">
        <v>11883089.449999999</v>
      </c>
      <c r="O8" s="42">
        <v>204683474.98000002</v>
      </c>
      <c r="P8" s="98"/>
      <c r="Q8" s="13" t="s">
        <v>1371</v>
      </c>
      <c r="R8" s="14" t="s">
        <v>18</v>
      </c>
      <c r="S8" s="15" t="s">
        <v>14</v>
      </c>
      <c r="T8" s="16">
        <v>1</v>
      </c>
      <c r="U8" s="16"/>
      <c r="V8" s="16">
        <f>V9+V38+V133+V177+V202+V220+V237+V327+V369</f>
        <v>291889770.98000008</v>
      </c>
      <c r="W8" s="16">
        <f t="shared" ref="W8:X9" si="0">IF(Y8=0,0,1)</f>
        <v>1</v>
      </c>
      <c r="X8" s="16">
        <f t="shared" si="0"/>
        <v>1</v>
      </c>
      <c r="Y8" s="16">
        <f>Y9+Y38+Y133+Y177+Y202+Y220+Y237+Y327+Y369</f>
        <v>8056060.1300000008</v>
      </c>
      <c r="Z8" s="16">
        <f>Z9+Z38+Z133+Z177+Z202+Z220+Z237+Z327+Z369</f>
        <v>212739535.11000001</v>
      </c>
      <c r="AA8" s="17" t="s">
        <v>15</v>
      </c>
      <c r="AB8" s="40" t="s">
        <v>16</v>
      </c>
      <c r="AC8" s="183"/>
      <c r="AD8" s="183"/>
      <c r="AE8" s="183"/>
      <c r="AF8" s="183"/>
      <c r="AG8" s="101"/>
      <c r="AH8" s="188"/>
      <c r="AJ8" s="124" t="s">
        <v>1514</v>
      </c>
    </row>
    <row r="9" spans="1:38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>
        <v>90137193.75</v>
      </c>
      <c r="K9" s="80" t="s">
        <v>15</v>
      </c>
      <c r="L9" s="73"/>
      <c r="M9" s="45">
        <v>1</v>
      </c>
      <c r="N9" s="45">
        <v>200846.25999999983</v>
      </c>
      <c r="O9" s="45">
        <v>73798957.600000009</v>
      </c>
      <c r="P9" s="98"/>
      <c r="Q9" s="18" t="s">
        <v>1372</v>
      </c>
      <c r="R9" s="19" t="s">
        <v>20</v>
      </c>
      <c r="S9" s="20" t="s">
        <v>14</v>
      </c>
      <c r="T9" s="21">
        <v>1</v>
      </c>
      <c r="U9" s="21"/>
      <c r="V9" s="21">
        <f>SUMIFS(AD:AD,AE:AE,AE9)</f>
        <v>90137193.75000003</v>
      </c>
      <c r="W9" s="21">
        <f t="shared" si="0"/>
        <v>1</v>
      </c>
      <c r="X9" s="21">
        <f t="shared" si="0"/>
        <v>1</v>
      </c>
      <c r="Y9" s="21">
        <f>SUMIFS(Y:Y,AF:AF,AE9)</f>
        <v>828423.41</v>
      </c>
      <c r="Z9" s="21">
        <f>SUMIFS(Z:Z,AF:AF,AE9)</f>
        <v>74627381.010000005</v>
      </c>
      <c r="AA9" s="22" t="s">
        <v>15</v>
      </c>
      <c r="AB9" s="43" t="s">
        <v>16</v>
      </c>
      <c r="AC9" s="184">
        <f>IF(U9=0,T9,U9)</f>
        <v>1</v>
      </c>
      <c r="AD9" s="184"/>
      <c r="AE9" s="181">
        <v>1.1000000000000001</v>
      </c>
      <c r="AF9" s="181"/>
      <c r="AG9" s="101"/>
      <c r="AH9" s="189" t="s">
        <v>3061</v>
      </c>
      <c r="AJ9" s="125">
        <f>Y7/AI7</f>
        <v>2.4377373837455852E-2</v>
      </c>
      <c r="AL9" s="101" t="s">
        <v>3062</v>
      </c>
    </row>
    <row r="10" spans="1:38" s="69" customFormat="1" ht="39" hidden="1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 t="s">
        <v>15</v>
      </c>
      <c r="I10" s="75">
        <v>193.12</v>
      </c>
      <c r="J10" s="75">
        <v>105184.74</v>
      </c>
      <c r="K10" s="91" t="s">
        <v>24</v>
      </c>
      <c r="L10" s="73"/>
      <c r="M10" s="46">
        <v>408.7</v>
      </c>
      <c r="N10" s="46">
        <v>0</v>
      </c>
      <c r="O10" s="46">
        <v>78928.14</v>
      </c>
      <c r="P10" s="98"/>
      <c r="Q10" s="23" t="s">
        <v>1421</v>
      </c>
      <c r="R10" s="24" t="s">
        <v>22</v>
      </c>
      <c r="S10" s="25" t="s">
        <v>23</v>
      </c>
      <c r="T10" s="26">
        <v>544.66</v>
      </c>
      <c r="U10" s="26">
        <v>544.66</v>
      </c>
      <c r="V10" s="26">
        <v>193.12</v>
      </c>
      <c r="W10" s="127">
        <f>AH10-M10</f>
        <v>0</v>
      </c>
      <c r="X10" s="127">
        <f>W10+M10</f>
        <v>408.7</v>
      </c>
      <c r="Y10" s="127">
        <f t="shared" ref="Y10:Y37" si="1">Z10-O10</f>
        <v>0</v>
      </c>
      <c r="Z10" s="127">
        <f>ROUND(V10*X10,2)</f>
        <v>78928.14</v>
      </c>
      <c r="AA10" s="33" t="s">
        <v>15</v>
      </c>
      <c r="AB10" s="36" t="s">
        <v>16</v>
      </c>
      <c r="AC10" s="181">
        <f>IF(U10="",T10,U10)</f>
        <v>544.66</v>
      </c>
      <c r="AD10" s="181">
        <f t="shared" ref="AD10:AD37" si="2">ROUND(V10*AC10,2)</f>
        <v>105184.74</v>
      </c>
      <c r="AE10" s="181">
        <v>1.1000000000000001</v>
      </c>
      <c r="AF10" s="181">
        <v>1.1000000000000001</v>
      </c>
      <c r="AG10" s="101" t="str">
        <f>IF(X10&gt;AI10,"超估","")</f>
        <v/>
      </c>
      <c r="AH10" s="192">
        <v>408.7</v>
      </c>
      <c r="AI10" s="69">
        <f>IF(G10=0,IF(F10=0,IF(E10=0,D10,E10),F10),G10)</f>
        <v>544.66</v>
      </c>
    </row>
    <row r="11" spans="1:38" s="69" customFormat="1" ht="39" hidden="1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 t="s">
        <v>15</v>
      </c>
      <c r="I11" s="75">
        <v>1046.22</v>
      </c>
      <c r="J11" s="75">
        <v>7417092.9900000002</v>
      </c>
      <c r="K11" s="91" t="s">
        <v>27</v>
      </c>
      <c r="L11" s="73"/>
      <c r="M11" s="46">
        <v>6531.11</v>
      </c>
      <c r="N11" s="46">
        <v>0</v>
      </c>
      <c r="O11" s="46">
        <v>6832977.9000000004</v>
      </c>
      <c r="P11" s="98"/>
      <c r="Q11" s="23" t="s">
        <v>1426</v>
      </c>
      <c r="R11" s="24" t="s">
        <v>26</v>
      </c>
      <c r="S11" s="25" t="s">
        <v>23</v>
      </c>
      <c r="T11" s="26">
        <v>7089.42</v>
      </c>
      <c r="U11" s="26">
        <v>7089.42</v>
      </c>
      <c r="V11" s="26">
        <v>1046.22</v>
      </c>
      <c r="W11" s="128">
        <f>AH11-M11</f>
        <v>0</v>
      </c>
      <c r="X11" s="26">
        <f t="shared" ref="X11:X74" si="3">W11+M11</f>
        <v>6531.11</v>
      </c>
      <c r="Y11" s="26">
        <f t="shared" si="1"/>
        <v>0</v>
      </c>
      <c r="Z11" s="26">
        <f t="shared" ref="Z11:Z74" si="4">ROUND(V11*X11,2)</f>
        <v>6832977.9000000004</v>
      </c>
      <c r="AA11" s="33" t="s">
        <v>15</v>
      </c>
      <c r="AB11" s="36" t="s">
        <v>16</v>
      </c>
      <c r="AC11" s="181">
        <f t="shared" ref="AC11:AC74" si="5">IF(U11="",T11,U11)</f>
        <v>7089.42</v>
      </c>
      <c r="AD11" s="181">
        <f t="shared" si="2"/>
        <v>7417092.9900000002</v>
      </c>
      <c r="AE11" s="181">
        <v>1.1000000000000001</v>
      </c>
      <c r="AF11" s="181">
        <v>1.1000000000000001</v>
      </c>
      <c r="AG11" s="101" t="str">
        <f t="shared" ref="AG11:AG74" si="6">IF(X11&gt;AI11,"超估","")</f>
        <v/>
      </c>
      <c r="AH11" s="193">
        <v>6531.11</v>
      </c>
      <c r="AI11" s="69">
        <f t="shared" ref="AI11:AI74" si="7">IF(G11=0,IF(F11=0,IF(E11=0,D11,E11),F11),G11)</f>
        <v>7089.42</v>
      </c>
    </row>
    <row r="12" spans="1:38" s="69" customFormat="1" ht="33" hidden="1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 t="s">
        <v>15</v>
      </c>
      <c r="I12" s="75">
        <v>6200</v>
      </c>
      <c r="J12" s="75">
        <v>28619200</v>
      </c>
      <c r="K12" s="91" t="s">
        <v>31</v>
      </c>
      <c r="L12" s="73"/>
      <c r="M12" s="46">
        <v>4610.7</v>
      </c>
      <c r="N12" s="46">
        <v>0</v>
      </c>
      <c r="O12" s="46">
        <v>28586340</v>
      </c>
      <c r="P12" s="98"/>
      <c r="Q12" s="23" t="s">
        <v>1402</v>
      </c>
      <c r="R12" s="24" t="s">
        <v>29</v>
      </c>
      <c r="S12" s="25" t="s">
        <v>30</v>
      </c>
      <c r="T12" s="26">
        <v>4616</v>
      </c>
      <c r="U12" s="26">
        <v>4616</v>
      </c>
      <c r="V12" s="26">
        <v>6200</v>
      </c>
      <c r="W12" s="127">
        <f t="shared" ref="W12:W75" si="8">AH12-M12</f>
        <v>0</v>
      </c>
      <c r="X12" s="127">
        <f t="shared" si="3"/>
        <v>4610.7</v>
      </c>
      <c r="Y12" s="127">
        <f t="shared" si="1"/>
        <v>0</v>
      </c>
      <c r="Z12" s="127">
        <f t="shared" si="4"/>
        <v>28586340</v>
      </c>
      <c r="AA12" s="33" t="s">
        <v>15</v>
      </c>
      <c r="AB12" s="36" t="s">
        <v>16</v>
      </c>
      <c r="AC12" s="181">
        <f t="shared" si="5"/>
        <v>4616</v>
      </c>
      <c r="AD12" s="181">
        <f t="shared" si="2"/>
        <v>28619200</v>
      </c>
      <c r="AE12" s="181">
        <v>1.1000000000000001</v>
      </c>
      <c r="AF12" s="181">
        <v>1.1000000000000001</v>
      </c>
      <c r="AG12" s="101" t="str">
        <f t="shared" si="6"/>
        <v/>
      </c>
      <c r="AH12" s="192">
        <v>4610.7</v>
      </c>
      <c r="AI12" s="69">
        <f t="shared" si="7"/>
        <v>4616</v>
      </c>
    </row>
    <row r="13" spans="1:38" s="69" customFormat="1" ht="58.5" hidden="1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 t="s">
        <v>15</v>
      </c>
      <c r="I13" s="75">
        <v>48.28</v>
      </c>
      <c r="J13" s="75">
        <v>1533324.52</v>
      </c>
      <c r="K13" s="91" t="s">
        <v>35</v>
      </c>
      <c r="L13" s="73"/>
      <c r="M13" s="46">
        <v>28942.799999999999</v>
      </c>
      <c r="N13" s="46">
        <v>31478.559999999823</v>
      </c>
      <c r="O13" s="46">
        <v>1397358.38</v>
      </c>
      <c r="P13" s="98"/>
      <c r="Q13" s="23" t="s">
        <v>1373</v>
      </c>
      <c r="R13" s="24" t="s">
        <v>33</v>
      </c>
      <c r="S13" s="25" t="s">
        <v>34</v>
      </c>
      <c r="T13" s="26">
        <v>29759</v>
      </c>
      <c r="U13" s="26">
        <v>31759</v>
      </c>
      <c r="V13" s="26">
        <v>48.28</v>
      </c>
      <c r="W13" s="128">
        <f>AH13-M13</f>
        <v>0</v>
      </c>
      <c r="X13" s="127">
        <f>W13+M13</f>
        <v>28942.799999999999</v>
      </c>
      <c r="Y13" s="127">
        <f t="shared" si="1"/>
        <v>0</v>
      </c>
      <c r="Z13" s="127">
        <f t="shared" si="4"/>
        <v>1397358.38</v>
      </c>
      <c r="AA13" s="27" t="s">
        <v>15</v>
      </c>
      <c r="AB13" s="36" t="s">
        <v>16</v>
      </c>
      <c r="AC13" s="181">
        <f t="shared" si="5"/>
        <v>31759</v>
      </c>
      <c r="AD13" s="181">
        <f t="shared" si="2"/>
        <v>1533324.52</v>
      </c>
      <c r="AE13" s="181">
        <v>1.1000000000000001</v>
      </c>
      <c r="AF13" s="181">
        <v>1.1000000000000001</v>
      </c>
      <c r="AG13" s="101" t="str">
        <f t="shared" si="6"/>
        <v/>
      </c>
      <c r="AH13" s="191">
        <v>28942.799999999999</v>
      </c>
      <c r="AI13" s="69">
        <f t="shared" si="7"/>
        <v>31759</v>
      </c>
    </row>
    <row r="14" spans="1:38" s="69" customFormat="1" ht="39" hidden="1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 t="s">
        <v>15</v>
      </c>
      <c r="I14" s="75">
        <v>599.75</v>
      </c>
      <c r="J14" s="75">
        <v>438681.14</v>
      </c>
      <c r="K14" s="91" t="s">
        <v>38</v>
      </c>
      <c r="L14" s="73"/>
      <c r="M14" s="46">
        <v>519.42999999999995</v>
      </c>
      <c r="N14" s="46">
        <v>0</v>
      </c>
      <c r="O14" s="46">
        <v>311528.14</v>
      </c>
      <c r="P14" s="98"/>
      <c r="Q14" s="23" t="s">
        <v>1393</v>
      </c>
      <c r="R14" s="24" t="s">
        <v>37</v>
      </c>
      <c r="S14" s="25" t="s">
        <v>23</v>
      </c>
      <c r="T14" s="26">
        <v>731.44</v>
      </c>
      <c r="U14" s="26">
        <v>731.44</v>
      </c>
      <c r="V14" s="26">
        <v>599.75</v>
      </c>
      <c r="W14" s="127">
        <f t="shared" si="8"/>
        <v>0</v>
      </c>
      <c r="X14" s="127">
        <f t="shared" si="3"/>
        <v>519.42999999999995</v>
      </c>
      <c r="Y14" s="127">
        <f t="shared" si="1"/>
        <v>0</v>
      </c>
      <c r="Z14" s="127">
        <f t="shared" si="4"/>
        <v>311528.14</v>
      </c>
      <c r="AA14" s="33" t="s">
        <v>15</v>
      </c>
      <c r="AB14" s="36" t="s">
        <v>16</v>
      </c>
      <c r="AC14" s="181">
        <f t="shared" si="5"/>
        <v>731.44</v>
      </c>
      <c r="AD14" s="181">
        <f t="shared" si="2"/>
        <v>438681.14</v>
      </c>
      <c r="AE14" s="181">
        <v>1.1000000000000001</v>
      </c>
      <c r="AF14" s="181">
        <v>1.1000000000000001</v>
      </c>
      <c r="AG14" s="101" t="str">
        <f t="shared" si="6"/>
        <v/>
      </c>
      <c r="AH14" s="190">
        <v>519.42999999999995</v>
      </c>
      <c r="AI14" s="69">
        <f t="shared" si="7"/>
        <v>731.44</v>
      </c>
    </row>
    <row r="15" spans="1:38" s="69" customFormat="1" ht="33" hidden="1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 t="s">
        <v>15</v>
      </c>
      <c r="I15" s="75">
        <v>104.64</v>
      </c>
      <c r="J15" s="75">
        <v>786788.16</v>
      </c>
      <c r="K15" s="91" t="s">
        <v>41</v>
      </c>
      <c r="L15" s="73"/>
      <c r="M15" s="46">
        <v>2219</v>
      </c>
      <c r="N15" s="46">
        <v>0</v>
      </c>
      <c r="O15" s="46">
        <v>232196.16</v>
      </c>
      <c r="P15" s="98"/>
      <c r="Q15" s="23" t="s">
        <v>1403</v>
      </c>
      <c r="R15" s="24" t="s">
        <v>40</v>
      </c>
      <c r="S15" s="25" t="s">
        <v>23</v>
      </c>
      <c r="T15" s="26">
        <v>7519</v>
      </c>
      <c r="U15" s="26">
        <v>7519</v>
      </c>
      <c r="V15" s="26">
        <v>104.64</v>
      </c>
      <c r="W15" s="128">
        <f t="shared" si="8"/>
        <v>0</v>
      </c>
      <c r="X15" s="26">
        <f t="shared" si="3"/>
        <v>2219</v>
      </c>
      <c r="Y15" s="26">
        <f t="shared" si="1"/>
        <v>0</v>
      </c>
      <c r="Z15" s="26">
        <f t="shared" si="4"/>
        <v>232196.16</v>
      </c>
      <c r="AA15" s="33" t="s">
        <v>15</v>
      </c>
      <c r="AB15" s="36" t="s">
        <v>16</v>
      </c>
      <c r="AC15" s="181">
        <f t="shared" si="5"/>
        <v>7519</v>
      </c>
      <c r="AD15" s="181">
        <f t="shared" si="2"/>
        <v>786788.16</v>
      </c>
      <c r="AE15" s="181">
        <v>1.1000000000000001</v>
      </c>
      <c r="AF15" s="181">
        <v>1.1000000000000001</v>
      </c>
      <c r="AG15" s="101" t="str">
        <f t="shared" si="6"/>
        <v/>
      </c>
      <c r="AH15" s="193">
        <v>2219</v>
      </c>
      <c r="AI15" s="69">
        <f t="shared" si="7"/>
        <v>7519</v>
      </c>
    </row>
    <row r="16" spans="1:38" s="69" customFormat="1" ht="41.25" hidden="1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 t="s">
        <v>15</v>
      </c>
      <c r="I16" s="75">
        <v>1027.43</v>
      </c>
      <c r="J16" s="75">
        <v>22850043.199999999</v>
      </c>
      <c r="K16" s="91" t="s">
        <v>44</v>
      </c>
      <c r="L16" s="73"/>
      <c r="M16" s="46">
        <v>19090</v>
      </c>
      <c r="N16" s="46">
        <v>0</v>
      </c>
      <c r="O16" s="46">
        <v>19613638.699999999</v>
      </c>
      <c r="P16" s="98"/>
      <c r="Q16" s="23" t="s">
        <v>1427</v>
      </c>
      <c r="R16" s="24" t="s">
        <v>43</v>
      </c>
      <c r="S16" s="25" t="s">
        <v>34</v>
      </c>
      <c r="T16" s="26">
        <v>22240</v>
      </c>
      <c r="U16" s="26">
        <v>22240</v>
      </c>
      <c r="V16" s="26">
        <v>1027.43</v>
      </c>
      <c r="W16" s="128">
        <f t="shared" si="8"/>
        <v>0</v>
      </c>
      <c r="X16" s="121">
        <f t="shared" si="3"/>
        <v>19090</v>
      </c>
      <c r="Y16" s="26">
        <f t="shared" si="1"/>
        <v>0</v>
      </c>
      <c r="Z16" s="26">
        <f t="shared" si="4"/>
        <v>19613638.699999999</v>
      </c>
      <c r="AA16" s="33" t="s">
        <v>15</v>
      </c>
      <c r="AB16" s="36" t="s">
        <v>16</v>
      </c>
      <c r="AC16" s="181">
        <f t="shared" si="5"/>
        <v>22240</v>
      </c>
      <c r="AD16" s="181">
        <f t="shared" si="2"/>
        <v>22850043.199999999</v>
      </c>
      <c r="AE16" s="181">
        <v>1.1000000000000001</v>
      </c>
      <c r="AF16" s="181">
        <v>1.1000000000000001</v>
      </c>
      <c r="AG16" s="101" t="str">
        <f t="shared" si="6"/>
        <v/>
      </c>
      <c r="AH16" s="193">
        <v>19090</v>
      </c>
      <c r="AI16" s="69">
        <f t="shared" si="7"/>
        <v>22240</v>
      </c>
    </row>
    <row r="17" spans="1:35" s="69" customFormat="1" ht="39" hidden="1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 t="s">
        <v>15</v>
      </c>
      <c r="I17" s="75">
        <v>1085.04</v>
      </c>
      <c r="J17" s="75">
        <v>7302774.9199999999</v>
      </c>
      <c r="K17" s="91" t="s">
        <v>47</v>
      </c>
      <c r="L17" s="73"/>
      <c r="M17" s="46">
        <v>4956</v>
      </c>
      <c r="N17" s="46">
        <v>0</v>
      </c>
      <c r="O17" s="46">
        <v>5377458.2400000002</v>
      </c>
      <c r="P17" s="98"/>
      <c r="Q17" s="23" t="s">
        <v>1428</v>
      </c>
      <c r="R17" s="24" t="s">
        <v>46</v>
      </c>
      <c r="S17" s="25" t="s">
        <v>23</v>
      </c>
      <c r="T17" s="26">
        <v>6730.42</v>
      </c>
      <c r="U17" s="26">
        <v>6730.42</v>
      </c>
      <c r="V17" s="26">
        <v>1085.04</v>
      </c>
      <c r="W17" s="26">
        <f t="shared" si="8"/>
        <v>0</v>
      </c>
      <c r="X17" s="121">
        <f t="shared" si="3"/>
        <v>4956</v>
      </c>
      <c r="Y17" s="26">
        <f t="shared" si="1"/>
        <v>0</v>
      </c>
      <c r="Z17" s="26">
        <f t="shared" si="4"/>
        <v>5377458.2400000002</v>
      </c>
      <c r="AA17" s="33" t="s">
        <v>15</v>
      </c>
      <c r="AB17" s="36" t="s">
        <v>16</v>
      </c>
      <c r="AC17" s="181">
        <f t="shared" si="5"/>
        <v>6730.42</v>
      </c>
      <c r="AD17" s="181">
        <f t="shared" si="2"/>
        <v>7302774.9199999999</v>
      </c>
      <c r="AE17" s="181">
        <v>1.1000000000000001</v>
      </c>
      <c r="AF17" s="181">
        <v>1.1000000000000001</v>
      </c>
      <c r="AG17" s="101" t="str">
        <f t="shared" si="6"/>
        <v/>
      </c>
      <c r="AH17" s="190">
        <v>4956</v>
      </c>
      <c r="AI17" s="69">
        <f t="shared" si="7"/>
        <v>6730.42</v>
      </c>
    </row>
    <row r="18" spans="1:35" s="69" customFormat="1" ht="78" hidden="1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 t="s">
        <v>15</v>
      </c>
      <c r="I18" s="75">
        <v>30.45</v>
      </c>
      <c r="J18" s="75">
        <v>113745.98</v>
      </c>
      <c r="K18" s="91" t="s">
        <v>51</v>
      </c>
      <c r="L18" s="73"/>
      <c r="M18" s="46">
        <v>2100</v>
      </c>
      <c r="N18" s="46">
        <v>0</v>
      </c>
      <c r="O18" s="46">
        <v>63945</v>
      </c>
      <c r="P18" s="98"/>
      <c r="Q18" s="23" t="s">
        <v>1387</v>
      </c>
      <c r="R18" s="24" t="s">
        <v>49</v>
      </c>
      <c r="S18" s="25" t="s">
        <v>50</v>
      </c>
      <c r="T18" s="26">
        <v>3735.5</v>
      </c>
      <c r="U18" s="26">
        <v>3735.5</v>
      </c>
      <c r="V18" s="26">
        <v>30.45</v>
      </c>
      <c r="W18" s="127">
        <f t="shared" si="8"/>
        <v>0</v>
      </c>
      <c r="X18" s="127">
        <f t="shared" si="3"/>
        <v>2100</v>
      </c>
      <c r="Y18" s="127">
        <f t="shared" si="1"/>
        <v>0</v>
      </c>
      <c r="Z18" s="127">
        <f t="shared" si="4"/>
        <v>63945</v>
      </c>
      <c r="AA18" s="33" t="s">
        <v>15</v>
      </c>
      <c r="AB18" s="36" t="s">
        <v>16</v>
      </c>
      <c r="AC18" s="181">
        <f t="shared" si="5"/>
        <v>3735.5</v>
      </c>
      <c r="AD18" s="181">
        <f t="shared" si="2"/>
        <v>113745.98</v>
      </c>
      <c r="AE18" s="181">
        <v>1.1000000000000001</v>
      </c>
      <c r="AF18" s="181">
        <v>1.1000000000000001</v>
      </c>
      <c r="AG18" s="101" t="str">
        <f t="shared" si="6"/>
        <v/>
      </c>
      <c r="AH18" s="190">
        <v>2100</v>
      </c>
      <c r="AI18" s="69">
        <f t="shared" si="7"/>
        <v>3735.5</v>
      </c>
    </row>
    <row r="19" spans="1:35" s="69" customFormat="1" ht="58.5" hidden="1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 t="s">
        <v>15</v>
      </c>
      <c r="I19" s="75">
        <v>28.48</v>
      </c>
      <c r="J19" s="75">
        <v>290638.40000000002</v>
      </c>
      <c r="K19" s="91" t="s">
        <v>54</v>
      </c>
      <c r="L19" s="73"/>
      <c r="M19" s="46">
        <v>300</v>
      </c>
      <c r="N19" s="46">
        <v>0</v>
      </c>
      <c r="O19" s="46">
        <v>8544</v>
      </c>
      <c r="P19" s="98"/>
      <c r="Q19" s="23" t="s">
        <v>1405</v>
      </c>
      <c r="R19" s="24" t="s">
        <v>53</v>
      </c>
      <c r="S19" s="25" t="s">
        <v>50</v>
      </c>
      <c r="T19" s="26">
        <v>10205</v>
      </c>
      <c r="U19" s="26">
        <v>10205</v>
      </c>
      <c r="V19" s="26">
        <v>28.48</v>
      </c>
      <c r="W19" s="127">
        <f t="shared" si="8"/>
        <v>0</v>
      </c>
      <c r="X19" s="127">
        <f t="shared" si="3"/>
        <v>300</v>
      </c>
      <c r="Y19" s="127">
        <f t="shared" si="1"/>
        <v>0</v>
      </c>
      <c r="Z19" s="127">
        <f t="shared" si="4"/>
        <v>8544</v>
      </c>
      <c r="AA19" s="33" t="s">
        <v>15</v>
      </c>
      <c r="AB19" s="36" t="s">
        <v>16</v>
      </c>
      <c r="AC19" s="181">
        <f t="shared" si="5"/>
        <v>10205</v>
      </c>
      <c r="AD19" s="181">
        <f t="shared" si="2"/>
        <v>290638.40000000002</v>
      </c>
      <c r="AE19" s="181">
        <v>1.1000000000000001</v>
      </c>
      <c r="AF19" s="181">
        <v>1.1000000000000001</v>
      </c>
      <c r="AG19" s="101" t="str">
        <f t="shared" si="6"/>
        <v/>
      </c>
      <c r="AH19" s="190">
        <v>300</v>
      </c>
      <c r="AI19" s="69">
        <f t="shared" si="7"/>
        <v>10205</v>
      </c>
    </row>
    <row r="20" spans="1:35" s="69" customFormat="1" ht="58.5" hidden="1" x14ac:dyDescent="0.3">
      <c r="A20" s="55" t="s">
        <v>55</v>
      </c>
      <c r="B20" s="53" t="s">
        <v>56</v>
      </c>
      <c r="C20" s="54" t="s">
        <v>30</v>
      </c>
      <c r="D20" s="75">
        <v>142.6</v>
      </c>
      <c r="E20" s="75"/>
      <c r="F20" s="75"/>
      <c r="G20" s="75"/>
      <c r="H20" s="75" t="s">
        <v>15</v>
      </c>
      <c r="I20" s="75">
        <v>65.400000000000006</v>
      </c>
      <c r="J20" s="75">
        <v>9326.0400000000009</v>
      </c>
      <c r="K20" s="91" t="s">
        <v>57</v>
      </c>
      <c r="L20" s="73"/>
      <c r="M20" s="46">
        <v>73</v>
      </c>
      <c r="N20" s="46">
        <v>850.19999999999982</v>
      </c>
      <c r="O20" s="46">
        <v>4774.2</v>
      </c>
      <c r="P20" s="98"/>
      <c r="Q20" s="23" t="s">
        <v>1406</v>
      </c>
      <c r="R20" s="24" t="s">
        <v>56</v>
      </c>
      <c r="S20" s="25" t="s">
        <v>30</v>
      </c>
      <c r="T20" s="26">
        <v>142.6</v>
      </c>
      <c r="U20" s="26">
        <v>142.6</v>
      </c>
      <c r="V20" s="26">
        <v>65.400000000000006</v>
      </c>
      <c r="W20" s="128">
        <f t="shared" si="8"/>
        <v>0</v>
      </c>
      <c r="X20" s="26">
        <f t="shared" si="3"/>
        <v>73</v>
      </c>
      <c r="Y20" s="26">
        <f t="shared" si="1"/>
        <v>0</v>
      </c>
      <c r="Z20" s="26">
        <f t="shared" si="4"/>
        <v>4774.2</v>
      </c>
      <c r="AA20" s="33" t="s">
        <v>15</v>
      </c>
      <c r="AB20" s="36" t="s">
        <v>16</v>
      </c>
      <c r="AC20" s="181">
        <f t="shared" si="5"/>
        <v>142.6</v>
      </c>
      <c r="AD20" s="181">
        <f t="shared" si="2"/>
        <v>9326.0400000000009</v>
      </c>
      <c r="AE20" s="181">
        <v>1.1000000000000001</v>
      </c>
      <c r="AF20" s="181">
        <v>1.1000000000000001</v>
      </c>
      <c r="AG20" s="101" t="str">
        <f t="shared" si="6"/>
        <v/>
      </c>
      <c r="AH20" s="194">
        <v>73</v>
      </c>
      <c r="AI20" s="69">
        <f t="shared" si="7"/>
        <v>142.6</v>
      </c>
    </row>
    <row r="21" spans="1:35" s="69" customFormat="1" ht="39" hidden="1" x14ac:dyDescent="0.3">
      <c r="A21" s="55" t="s">
        <v>58</v>
      </c>
      <c r="B21" s="53" t="s">
        <v>59</v>
      </c>
      <c r="C21" s="54" t="s">
        <v>50</v>
      </c>
      <c r="D21" s="75">
        <v>8459.2999999999993</v>
      </c>
      <c r="E21" s="75"/>
      <c r="F21" s="75"/>
      <c r="G21" s="75"/>
      <c r="H21" s="75" t="s">
        <v>15</v>
      </c>
      <c r="I21" s="75">
        <v>20.190000000000001</v>
      </c>
      <c r="J21" s="75">
        <v>170793.27</v>
      </c>
      <c r="K21" s="91" t="s">
        <v>60</v>
      </c>
      <c r="L21" s="73"/>
      <c r="M21" s="46">
        <v>7834</v>
      </c>
      <c r="N21" s="46">
        <v>25237.5</v>
      </c>
      <c r="O21" s="46">
        <v>158168.46</v>
      </c>
      <c r="P21" s="98"/>
      <c r="Q21" s="23" t="s">
        <v>1414</v>
      </c>
      <c r="R21" s="24" t="s">
        <v>59</v>
      </c>
      <c r="S21" s="25" t="s">
        <v>50</v>
      </c>
      <c r="T21" s="26">
        <v>8459.2999999999993</v>
      </c>
      <c r="U21" s="26">
        <v>8459.2999999999993</v>
      </c>
      <c r="V21" s="26">
        <v>20.190000000000001</v>
      </c>
      <c r="W21" s="128">
        <f t="shared" si="8"/>
        <v>0</v>
      </c>
      <c r="X21" s="26">
        <f t="shared" si="3"/>
        <v>7834</v>
      </c>
      <c r="Y21" s="26">
        <f t="shared" si="1"/>
        <v>0</v>
      </c>
      <c r="Z21" s="26">
        <f t="shared" si="4"/>
        <v>158168.46</v>
      </c>
      <c r="AA21" s="33" t="s">
        <v>15</v>
      </c>
      <c r="AB21" s="36" t="s">
        <v>16</v>
      </c>
      <c r="AC21" s="181">
        <f t="shared" si="5"/>
        <v>8459.2999999999993</v>
      </c>
      <c r="AD21" s="181">
        <f t="shared" si="2"/>
        <v>170793.27</v>
      </c>
      <c r="AE21" s="181">
        <v>1.1000000000000001</v>
      </c>
      <c r="AF21" s="181">
        <v>1.1000000000000001</v>
      </c>
      <c r="AG21" s="101" t="str">
        <f t="shared" si="6"/>
        <v/>
      </c>
      <c r="AH21" s="194">
        <v>7834</v>
      </c>
      <c r="AI21" s="69">
        <f t="shared" si="7"/>
        <v>8459.2999999999993</v>
      </c>
    </row>
    <row r="22" spans="1:35" s="69" customFormat="1" ht="39" hidden="1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 t="s">
        <v>15</v>
      </c>
      <c r="I22" s="75">
        <v>2492.81</v>
      </c>
      <c r="J22" s="75">
        <v>3163126.61</v>
      </c>
      <c r="K22" s="91" t="s">
        <v>63</v>
      </c>
      <c r="L22" s="73"/>
      <c r="M22" s="46">
        <v>108</v>
      </c>
      <c r="N22" s="46">
        <v>0</v>
      </c>
      <c r="O22" s="46">
        <v>269223.48</v>
      </c>
      <c r="P22" s="98"/>
      <c r="Q22" s="23" t="s">
        <v>1429</v>
      </c>
      <c r="R22" s="24" t="s">
        <v>62</v>
      </c>
      <c r="S22" s="25" t="s">
        <v>23</v>
      </c>
      <c r="T22" s="26">
        <v>1268.9000000000001</v>
      </c>
      <c r="U22" s="26">
        <v>1268.9000000000001</v>
      </c>
      <c r="V22" s="26">
        <v>2492.81</v>
      </c>
      <c r="W22" s="128">
        <f t="shared" si="8"/>
        <v>261</v>
      </c>
      <c r="X22" s="121">
        <f t="shared" si="3"/>
        <v>369</v>
      </c>
      <c r="Y22" s="26">
        <f t="shared" si="1"/>
        <v>650623.41</v>
      </c>
      <c r="Z22" s="26">
        <f t="shared" si="4"/>
        <v>919846.89</v>
      </c>
      <c r="AA22" s="33" t="s">
        <v>15</v>
      </c>
      <c r="AB22" s="36" t="s">
        <v>16</v>
      </c>
      <c r="AC22" s="181">
        <f t="shared" si="5"/>
        <v>1268.9000000000001</v>
      </c>
      <c r="AD22" s="181">
        <f t="shared" si="2"/>
        <v>3163126.61</v>
      </c>
      <c r="AE22" s="181">
        <v>1.1000000000000001</v>
      </c>
      <c r="AF22" s="181">
        <v>1.1000000000000001</v>
      </c>
      <c r="AG22" s="101" t="str">
        <f t="shared" si="6"/>
        <v/>
      </c>
      <c r="AH22" s="191">
        <v>369</v>
      </c>
      <c r="AI22" s="69">
        <f t="shared" si="7"/>
        <v>1268.9000000000001</v>
      </c>
    </row>
    <row r="23" spans="1:35" s="69" customFormat="1" ht="33" hidden="1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 t="s">
        <v>15</v>
      </c>
      <c r="I23" s="75">
        <v>521.17999999999995</v>
      </c>
      <c r="J23" s="75">
        <v>343457.62</v>
      </c>
      <c r="K23" s="91" t="s">
        <v>67</v>
      </c>
      <c r="L23" s="73"/>
      <c r="M23" s="46">
        <v>659</v>
      </c>
      <c r="N23" s="46">
        <v>0</v>
      </c>
      <c r="O23" s="46">
        <v>343457.62</v>
      </c>
      <c r="P23" s="98"/>
      <c r="Q23" s="23" t="s">
        <v>1430</v>
      </c>
      <c r="R23" s="24" t="s">
        <v>65</v>
      </c>
      <c r="S23" s="25" t="s">
        <v>66</v>
      </c>
      <c r="T23" s="26">
        <v>659</v>
      </c>
      <c r="U23" s="26">
        <v>659</v>
      </c>
      <c r="V23" s="26">
        <v>521.17999999999995</v>
      </c>
      <c r="W23" s="127">
        <f t="shared" si="8"/>
        <v>0</v>
      </c>
      <c r="X23" s="127">
        <f t="shared" si="3"/>
        <v>659</v>
      </c>
      <c r="Y23" s="127">
        <f t="shared" si="1"/>
        <v>0</v>
      </c>
      <c r="Z23" s="127">
        <f t="shared" si="4"/>
        <v>343457.62</v>
      </c>
      <c r="AA23" s="33" t="s">
        <v>15</v>
      </c>
      <c r="AB23" s="36" t="s">
        <v>16</v>
      </c>
      <c r="AC23" s="181">
        <f t="shared" si="5"/>
        <v>659</v>
      </c>
      <c r="AD23" s="181">
        <f t="shared" si="2"/>
        <v>343457.62</v>
      </c>
      <c r="AE23" s="181">
        <v>1.1000000000000001</v>
      </c>
      <c r="AF23" s="181">
        <v>1.1000000000000001</v>
      </c>
      <c r="AG23" s="101" t="str">
        <f t="shared" si="6"/>
        <v/>
      </c>
      <c r="AH23" s="193">
        <v>659</v>
      </c>
      <c r="AI23" s="69">
        <f t="shared" si="7"/>
        <v>659</v>
      </c>
    </row>
    <row r="24" spans="1:35" s="69" customFormat="1" ht="39" hidden="1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 t="s">
        <v>15</v>
      </c>
      <c r="I24" s="75">
        <v>289.69</v>
      </c>
      <c r="J24" s="75">
        <v>73378.48</v>
      </c>
      <c r="K24" s="91" t="s">
        <v>70</v>
      </c>
      <c r="L24" s="73"/>
      <c r="M24" s="46">
        <v>250</v>
      </c>
      <c r="N24" s="46">
        <v>0</v>
      </c>
      <c r="O24" s="46">
        <v>72422.5</v>
      </c>
      <c r="P24" s="98"/>
      <c r="Q24" s="23" t="s">
        <v>1431</v>
      </c>
      <c r="R24" s="24" t="s">
        <v>69</v>
      </c>
      <c r="S24" s="25" t="s">
        <v>30</v>
      </c>
      <c r="T24" s="26">
        <v>253.3</v>
      </c>
      <c r="U24" s="26">
        <v>253.3</v>
      </c>
      <c r="V24" s="26">
        <v>289.69</v>
      </c>
      <c r="W24" s="127">
        <f t="shared" si="8"/>
        <v>0</v>
      </c>
      <c r="X24" s="127">
        <f t="shared" si="3"/>
        <v>250</v>
      </c>
      <c r="Y24" s="127">
        <f t="shared" si="1"/>
        <v>0</v>
      </c>
      <c r="Z24" s="127">
        <f t="shared" si="4"/>
        <v>72422.5</v>
      </c>
      <c r="AA24" s="33" t="s">
        <v>15</v>
      </c>
      <c r="AB24" s="36" t="s">
        <v>16</v>
      </c>
      <c r="AC24" s="181">
        <f t="shared" si="5"/>
        <v>253.3</v>
      </c>
      <c r="AD24" s="181">
        <f t="shared" si="2"/>
        <v>73378.48</v>
      </c>
      <c r="AE24" s="181">
        <v>1.1000000000000001</v>
      </c>
      <c r="AF24" s="181">
        <v>1.1000000000000001</v>
      </c>
      <c r="AG24" s="101" t="str">
        <f t="shared" si="6"/>
        <v/>
      </c>
      <c r="AH24" s="190">
        <v>250</v>
      </c>
      <c r="AI24" s="69">
        <f t="shared" si="7"/>
        <v>253.3</v>
      </c>
    </row>
    <row r="25" spans="1:35" s="69" customFormat="1" ht="33" hidden="1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 t="s">
        <v>15</v>
      </c>
      <c r="I25" s="75">
        <v>3311.45</v>
      </c>
      <c r="J25" s="75">
        <v>264916</v>
      </c>
      <c r="K25" s="91" t="s">
        <v>74</v>
      </c>
      <c r="L25" s="73"/>
      <c r="M25" s="46">
        <v>0</v>
      </c>
      <c r="N25" s="46">
        <v>0</v>
      </c>
      <c r="O25" s="46">
        <v>0</v>
      </c>
      <c r="P25" s="98"/>
      <c r="Q25" s="23" t="s">
        <v>1395</v>
      </c>
      <c r="R25" s="24" t="s">
        <v>72</v>
      </c>
      <c r="S25" s="25" t="s">
        <v>73</v>
      </c>
      <c r="T25" s="26">
        <v>80</v>
      </c>
      <c r="U25" s="26">
        <v>80</v>
      </c>
      <c r="V25" s="26">
        <v>3311.45</v>
      </c>
      <c r="W25" s="26">
        <f t="shared" si="8"/>
        <v>0</v>
      </c>
      <c r="X25" s="26">
        <f t="shared" si="3"/>
        <v>0</v>
      </c>
      <c r="Y25" s="26">
        <f t="shared" si="1"/>
        <v>0</v>
      </c>
      <c r="Z25" s="26">
        <f t="shared" si="4"/>
        <v>0</v>
      </c>
      <c r="AA25" s="33" t="s">
        <v>15</v>
      </c>
      <c r="AB25" s="36" t="s">
        <v>16</v>
      </c>
      <c r="AC25" s="181">
        <f t="shared" si="5"/>
        <v>80</v>
      </c>
      <c r="AD25" s="181">
        <f t="shared" si="2"/>
        <v>264916</v>
      </c>
      <c r="AE25" s="181">
        <v>1.1000000000000001</v>
      </c>
      <c r="AF25" s="181">
        <v>1.1000000000000001</v>
      </c>
      <c r="AG25" s="101" t="str">
        <f t="shared" si="6"/>
        <v/>
      </c>
      <c r="AH25" s="190">
        <v>0</v>
      </c>
      <c r="AI25" s="69">
        <f t="shared" si="7"/>
        <v>80</v>
      </c>
    </row>
    <row r="26" spans="1:35" s="69" customFormat="1" ht="33" hidden="1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 t="s">
        <v>15</v>
      </c>
      <c r="I26" s="75">
        <v>3082.28</v>
      </c>
      <c r="J26" s="75">
        <v>3939153.84</v>
      </c>
      <c r="K26" s="91" t="s">
        <v>78</v>
      </c>
      <c r="L26" s="73"/>
      <c r="M26" s="46">
        <v>1153</v>
      </c>
      <c r="N26" s="46">
        <v>0</v>
      </c>
      <c r="O26" s="46">
        <v>3553868.84</v>
      </c>
      <c r="P26" s="98"/>
      <c r="Q26" s="23" t="s">
        <v>1432</v>
      </c>
      <c r="R26" s="24" t="s">
        <v>76</v>
      </c>
      <c r="S26" s="25" t="s">
        <v>77</v>
      </c>
      <c r="T26" s="26">
        <v>1278</v>
      </c>
      <c r="U26" s="26">
        <v>1278</v>
      </c>
      <c r="V26" s="26">
        <v>3082.28</v>
      </c>
      <c r="W26" s="128">
        <f t="shared" si="8"/>
        <v>0</v>
      </c>
      <c r="X26" s="121">
        <f t="shared" si="3"/>
        <v>1153</v>
      </c>
      <c r="Y26" s="26">
        <f t="shared" si="1"/>
        <v>0</v>
      </c>
      <c r="Z26" s="26">
        <f t="shared" si="4"/>
        <v>3553868.84</v>
      </c>
      <c r="AA26" s="33" t="s">
        <v>15</v>
      </c>
      <c r="AB26" s="36" t="s">
        <v>16</v>
      </c>
      <c r="AC26" s="181">
        <f t="shared" si="5"/>
        <v>1278</v>
      </c>
      <c r="AD26" s="181">
        <f t="shared" si="2"/>
        <v>3939153.84</v>
      </c>
      <c r="AE26" s="181">
        <v>1.1000000000000001</v>
      </c>
      <c r="AF26" s="181">
        <v>1.1000000000000001</v>
      </c>
      <c r="AG26" s="101" t="str">
        <f t="shared" si="6"/>
        <v/>
      </c>
      <c r="AH26" s="192">
        <v>1153</v>
      </c>
      <c r="AI26" s="69">
        <f t="shared" si="7"/>
        <v>1278</v>
      </c>
    </row>
    <row r="27" spans="1:35" s="69" customFormat="1" ht="33" hidden="1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 t="s">
        <v>15</v>
      </c>
      <c r="I27" s="75">
        <v>1200</v>
      </c>
      <c r="J27" s="75">
        <v>36000</v>
      </c>
      <c r="K27" s="91" t="s">
        <v>82</v>
      </c>
      <c r="L27" s="73"/>
      <c r="M27" s="46">
        <v>0</v>
      </c>
      <c r="N27" s="46">
        <v>0</v>
      </c>
      <c r="O27" s="46">
        <v>0</v>
      </c>
      <c r="P27" s="98"/>
      <c r="Q27" s="23" t="s">
        <v>1433</v>
      </c>
      <c r="R27" s="24" t="s">
        <v>80</v>
      </c>
      <c r="S27" s="25" t="s">
        <v>81</v>
      </c>
      <c r="T27" s="26">
        <v>30</v>
      </c>
      <c r="U27" s="26">
        <v>30</v>
      </c>
      <c r="V27" s="26">
        <v>1200</v>
      </c>
      <c r="W27" s="26">
        <f t="shared" si="8"/>
        <v>0</v>
      </c>
      <c r="X27" s="26">
        <f t="shared" si="3"/>
        <v>0</v>
      </c>
      <c r="Y27" s="26">
        <f t="shared" si="1"/>
        <v>0</v>
      </c>
      <c r="Z27" s="26">
        <f t="shared" si="4"/>
        <v>0</v>
      </c>
      <c r="AA27" s="33" t="s">
        <v>15</v>
      </c>
      <c r="AB27" s="36" t="s">
        <v>16</v>
      </c>
      <c r="AC27" s="181">
        <f t="shared" si="5"/>
        <v>30</v>
      </c>
      <c r="AD27" s="181">
        <f t="shared" si="2"/>
        <v>36000</v>
      </c>
      <c r="AE27" s="181">
        <v>1.1000000000000001</v>
      </c>
      <c r="AF27" s="181">
        <v>1.1000000000000001</v>
      </c>
      <c r="AG27" s="101" t="str">
        <f t="shared" si="6"/>
        <v/>
      </c>
      <c r="AH27" s="192">
        <v>0</v>
      </c>
      <c r="AI27" s="69">
        <f t="shared" si="7"/>
        <v>30</v>
      </c>
    </row>
    <row r="28" spans="1:35" s="69" customFormat="1" ht="33" hidden="1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 t="s">
        <v>15</v>
      </c>
      <c r="I28" s="75">
        <v>3000</v>
      </c>
      <c r="J28" s="75">
        <v>36000</v>
      </c>
      <c r="K28" s="91" t="s">
        <v>85</v>
      </c>
      <c r="L28" s="73"/>
      <c r="M28" s="46">
        <v>12</v>
      </c>
      <c r="N28" s="46">
        <v>0</v>
      </c>
      <c r="O28" s="46">
        <v>36000</v>
      </c>
      <c r="P28" s="98"/>
      <c r="Q28" s="23" t="s">
        <v>1382</v>
      </c>
      <c r="R28" s="24" t="s">
        <v>84</v>
      </c>
      <c r="S28" s="25" t="s">
        <v>81</v>
      </c>
      <c r="T28" s="26">
        <v>12</v>
      </c>
      <c r="U28" s="26">
        <v>12</v>
      </c>
      <c r="V28" s="26">
        <v>3000</v>
      </c>
      <c r="W28" s="127">
        <f t="shared" si="8"/>
        <v>0</v>
      </c>
      <c r="X28" s="127">
        <f t="shared" si="3"/>
        <v>12</v>
      </c>
      <c r="Y28" s="127">
        <f t="shared" si="1"/>
        <v>0</v>
      </c>
      <c r="Z28" s="127">
        <f t="shared" si="4"/>
        <v>36000</v>
      </c>
      <c r="AA28" s="33" t="s">
        <v>15</v>
      </c>
      <c r="AB28" s="36" t="s">
        <v>16</v>
      </c>
      <c r="AC28" s="181">
        <f t="shared" si="5"/>
        <v>12</v>
      </c>
      <c r="AD28" s="181">
        <f t="shared" si="2"/>
        <v>36000</v>
      </c>
      <c r="AE28" s="181">
        <v>1.1000000000000001</v>
      </c>
      <c r="AF28" s="181">
        <v>1.1000000000000001</v>
      </c>
      <c r="AG28" s="101" t="str">
        <f t="shared" si="6"/>
        <v/>
      </c>
      <c r="AH28" s="192">
        <v>12</v>
      </c>
      <c r="AI28" s="69">
        <f t="shared" si="7"/>
        <v>12</v>
      </c>
    </row>
    <row r="29" spans="1:35" s="69" customFormat="1" ht="33" hidden="1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 t="s">
        <v>15</v>
      </c>
      <c r="I29" s="75">
        <v>3000</v>
      </c>
      <c r="J29" s="75">
        <v>60000</v>
      </c>
      <c r="K29" s="91" t="s">
        <v>88</v>
      </c>
      <c r="L29" s="73"/>
      <c r="M29" s="46">
        <v>20</v>
      </c>
      <c r="N29" s="46">
        <v>0</v>
      </c>
      <c r="O29" s="46">
        <v>60000</v>
      </c>
      <c r="P29" s="98"/>
      <c r="Q29" s="23" t="s">
        <v>1434</v>
      </c>
      <c r="R29" s="24" t="s">
        <v>87</v>
      </c>
      <c r="S29" s="25" t="s">
        <v>81</v>
      </c>
      <c r="T29" s="26">
        <v>20</v>
      </c>
      <c r="U29" s="26">
        <v>20</v>
      </c>
      <c r="V29" s="26">
        <v>3000</v>
      </c>
      <c r="W29" s="127">
        <f t="shared" si="8"/>
        <v>0</v>
      </c>
      <c r="X29" s="127">
        <f t="shared" si="3"/>
        <v>20</v>
      </c>
      <c r="Y29" s="127">
        <f t="shared" si="1"/>
        <v>0</v>
      </c>
      <c r="Z29" s="127">
        <f t="shared" si="4"/>
        <v>60000</v>
      </c>
      <c r="AA29" s="33" t="s">
        <v>15</v>
      </c>
      <c r="AB29" s="36" t="s">
        <v>16</v>
      </c>
      <c r="AC29" s="181">
        <f t="shared" si="5"/>
        <v>20</v>
      </c>
      <c r="AD29" s="181">
        <f t="shared" si="2"/>
        <v>60000</v>
      </c>
      <c r="AE29" s="181">
        <v>1.1000000000000001</v>
      </c>
      <c r="AF29" s="181">
        <v>1.1000000000000001</v>
      </c>
      <c r="AG29" s="101" t="str">
        <f t="shared" si="6"/>
        <v/>
      </c>
      <c r="AH29" s="192">
        <v>20</v>
      </c>
      <c r="AI29" s="69">
        <f t="shared" si="7"/>
        <v>20</v>
      </c>
    </row>
    <row r="30" spans="1:35" s="69" customFormat="1" ht="33" hidden="1" x14ac:dyDescent="0.3">
      <c r="A30" s="55" t="s">
        <v>89</v>
      </c>
      <c r="B30" s="53" t="s">
        <v>90</v>
      </c>
      <c r="C30" s="54" t="s">
        <v>81</v>
      </c>
      <c r="D30" s="75">
        <v>19</v>
      </c>
      <c r="E30" s="75"/>
      <c r="F30" s="75"/>
      <c r="G30" s="75"/>
      <c r="H30" s="75" t="s">
        <v>15</v>
      </c>
      <c r="I30" s="75">
        <v>3000</v>
      </c>
      <c r="J30" s="75">
        <v>57000</v>
      </c>
      <c r="K30" s="91" t="s">
        <v>91</v>
      </c>
      <c r="L30" s="73"/>
      <c r="M30" s="46">
        <v>16</v>
      </c>
      <c r="N30" s="46">
        <v>45000</v>
      </c>
      <c r="O30" s="46">
        <v>48000</v>
      </c>
      <c r="P30" s="98"/>
      <c r="Q30" s="23" t="s">
        <v>1388</v>
      </c>
      <c r="R30" s="24" t="s">
        <v>90</v>
      </c>
      <c r="S30" s="25" t="s">
        <v>81</v>
      </c>
      <c r="T30" s="26">
        <v>19</v>
      </c>
      <c r="U30" s="26">
        <v>19</v>
      </c>
      <c r="V30" s="26">
        <v>3000</v>
      </c>
      <c r="W30" s="128">
        <f t="shared" si="8"/>
        <v>0</v>
      </c>
      <c r="X30" s="26">
        <f t="shared" si="3"/>
        <v>16</v>
      </c>
      <c r="Y30" s="26">
        <f t="shared" si="1"/>
        <v>0</v>
      </c>
      <c r="Z30" s="26">
        <f t="shared" si="4"/>
        <v>48000</v>
      </c>
      <c r="AA30" s="33" t="s">
        <v>15</v>
      </c>
      <c r="AB30" s="36" t="s">
        <v>16</v>
      </c>
      <c r="AC30" s="181">
        <f t="shared" si="5"/>
        <v>19</v>
      </c>
      <c r="AD30" s="181">
        <f t="shared" si="2"/>
        <v>57000</v>
      </c>
      <c r="AE30" s="181">
        <v>1.1000000000000001</v>
      </c>
      <c r="AF30" s="181">
        <v>1.1000000000000001</v>
      </c>
      <c r="AG30" s="101" t="str">
        <f t="shared" si="6"/>
        <v/>
      </c>
      <c r="AH30" s="191">
        <v>16</v>
      </c>
      <c r="AI30" s="69">
        <f t="shared" si="7"/>
        <v>19</v>
      </c>
    </row>
    <row r="31" spans="1:35" s="69" customFormat="1" ht="39" x14ac:dyDescent="0.3">
      <c r="A31" s="55" t="s">
        <v>92</v>
      </c>
      <c r="B31" s="53" t="s">
        <v>93</v>
      </c>
      <c r="C31" s="54" t="s">
        <v>14</v>
      </c>
      <c r="D31" s="75">
        <v>1</v>
      </c>
      <c r="E31" s="75"/>
      <c r="F31" s="75"/>
      <c r="G31" s="75"/>
      <c r="H31" s="75" t="s">
        <v>15</v>
      </c>
      <c r="I31" s="75">
        <v>400000</v>
      </c>
      <c r="J31" s="75">
        <v>400000</v>
      </c>
      <c r="K31" s="91" t="s">
        <v>94</v>
      </c>
      <c r="L31" s="73"/>
      <c r="M31" s="46">
        <v>0.5</v>
      </c>
      <c r="N31" s="46">
        <v>0</v>
      </c>
      <c r="O31" s="46">
        <v>200000</v>
      </c>
      <c r="P31" s="98"/>
      <c r="Q31" s="23" t="s">
        <v>1389</v>
      </c>
      <c r="R31" s="24" t="s">
        <v>93</v>
      </c>
      <c r="S31" s="25" t="s">
        <v>14</v>
      </c>
      <c r="T31" s="26">
        <v>1</v>
      </c>
      <c r="U31" s="26">
        <v>1</v>
      </c>
      <c r="V31" s="26">
        <v>400000</v>
      </c>
      <c r="W31" s="128">
        <f t="shared" si="8"/>
        <v>0</v>
      </c>
      <c r="X31" s="26">
        <f t="shared" si="3"/>
        <v>0.5</v>
      </c>
      <c r="Y31" s="26">
        <f t="shared" si="1"/>
        <v>0</v>
      </c>
      <c r="Z31" s="26">
        <f t="shared" si="4"/>
        <v>200000</v>
      </c>
      <c r="AA31" s="33" t="s">
        <v>15</v>
      </c>
      <c r="AB31" s="36" t="s">
        <v>16</v>
      </c>
      <c r="AC31" s="181">
        <f t="shared" si="5"/>
        <v>1</v>
      </c>
      <c r="AD31" s="181">
        <f t="shared" si="2"/>
        <v>400000</v>
      </c>
      <c r="AE31" s="181">
        <v>1.1000000000000001</v>
      </c>
      <c r="AF31" s="181">
        <v>1.1000000000000001</v>
      </c>
      <c r="AG31" s="101" t="str">
        <f t="shared" si="6"/>
        <v/>
      </c>
      <c r="AH31" s="192">
        <v>0.5</v>
      </c>
      <c r="AI31" s="69">
        <f t="shared" si="7"/>
        <v>1</v>
      </c>
    </row>
    <row r="32" spans="1:35" s="69" customFormat="1" ht="58.5" hidden="1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6" t="s">
        <v>15</v>
      </c>
      <c r="I32" s="75">
        <v>280</v>
      </c>
      <c r="J32" s="75">
        <v>8624000</v>
      </c>
      <c r="K32" s="91" t="s">
        <v>98</v>
      </c>
      <c r="L32" s="73"/>
      <c r="M32" s="46">
        <v>12527</v>
      </c>
      <c r="N32" s="46">
        <v>98280</v>
      </c>
      <c r="O32" s="46">
        <v>3507560</v>
      </c>
      <c r="P32" s="98"/>
      <c r="Q32" s="23" t="s">
        <v>1390</v>
      </c>
      <c r="R32" s="24" t="s">
        <v>96</v>
      </c>
      <c r="S32" s="25" t="s">
        <v>97</v>
      </c>
      <c r="T32" s="26">
        <v>30800</v>
      </c>
      <c r="U32" s="26">
        <v>30800</v>
      </c>
      <c r="V32" s="26">
        <v>280</v>
      </c>
      <c r="W32" s="128">
        <f t="shared" si="8"/>
        <v>635</v>
      </c>
      <c r="X32" s="26">
        <f t="shared" si="3"/>
        <v>13162</v>
      </c>
      <c r="Y32" s="26">
        <f t="shared" si="1"/>
        <v>177800</v>
      </c>
      <c r="Z32" s="26">
        <f t="shared" si="4"/>
        <v>3685360</v>
      </c>
      <c r="AA32" s="33" t="s">
        <v>15</v>
      </c>
      <c r="AB32" s="36" t="s">
        <v>16</v>
      </c>
      <c r="AC32" s="181">
        <f t="shared" si="5"/>
        <v>30800</v>
      </c>
      <c r="AD32" s="181">
        <f t="shared" si="2"/>
        <v>8624000</v>
      </c>
      <c r="AE32" s="181">
        <v>1.1000000000000001</v>
      </c>
      <c r="AF32" s="181">
        <v>1.1000000000000001</v>
      </c>
      <c r="AG32" s="101" t="str">
        <f t="shared" si="6"/>
        <v/>
      </c>
      <c r="AH32" s="191">
        <v>13162</v>
      </c>
      <c r="AI32" s="69">
        <f t="shared" si="7"/>
        <v>30800</v>
      </c>
    </row>
    <row r="33" spans="1:35" s="69" customFormat="1" ht="39" hidden="1" x14ac:dyDescent="0.3">
      <c r="A33" s="134" t="s">
        <v>1302</v>
      </c>
      <c r="B33" s="135" t="s">
        <v>1303</v>
      </c>
      <c r="C33" s="204" t="s">
        <v>50</v>
      </c>
      <c r="D33" s="216"/>
      <c r="E33" s="59">
        <v>2405</v>
      </c>
      <c r="F33" s="59"/>
      <c r="G33" s="59"/>
      <c r="H33" s="59" t="s">
        <v>15</v>
      </c>
      <c r="I33" s="58">
        <v>70.23</v>
      </c>
      <c r="J33" s="59">
        <v>168903.15</v>
      </c>
      <c r="K33" s="92"/>
      <c r="L33" s="73"/>
      <c r="M33" s="46">
        <v>2405</v>
      </c>
      <c r="N33" s="46">
        <v>0</v>
      </c>
      <c r="O33" s="46">
        <v>168903.15</v>
      </c>
      <c r="P33" s="98"/>
      <c r="Q33" s="23" t="s">
        <v>1391</v>
      </c>
      <c r="R33" s="24" t="s">
        <v>1435</v>
      </c>
      <c r="S33" s="25" t="s">
        <v>50</v>
      </c>
      <c r="T33" s="26">
        <v>0</v>
      </c>
      <c r="U33" s="26">
        <v>2405</v>
      </c>
      <c r="V33" s="26">
        <v>70.23</v>
      </c>
      <c r="W33" s="127">
        <f t="shared" si="8"/>
        <v>0</v>
      </c>
      <c r="X33" s="127">
        <f t="shared" si="3"/>
        <v>2405</v>
      </c>
      <c r="Y33" s="127">
        <f t="shared" si="1"/>
        <v>0</v>
      </c>
      <c r="Z33" s="127">
        <f t="shared" si="4"/>
        <v>168903.15</v>
      </c>
      <c r="AA33" s="27" t="s">
        <v>15</v>
      </c>
      <c r="AB33" s="36" t="s">
        <v>16</v>
      </c>
      <c r="AC33" s="181">
        <f t="shared" si="5"/>
        <v>2405</v>
      </c>
      <c r="AD33" s="181">
        <f t="shared" si="2"/>
        <v>168903.15</v>
      </c>
      <c r="AE33" s="181">
        <v>1.1000000000000001</v>
      </c>
      <c r="AF33" s="181">
        <v>1.1000000000000001</v>
      </c>
      <c r="AG33" s="101" t="str">
        <f t="shared" si="6"/>
        <v/>
      </c>
      <c r="AH33" s="190">
        <v>2405</v>
      </c>
      <c r="AI33" s="69">
        <f t="shared" si="7"/>
        <v>2405</v>
      </c>
    </row>
    <row r="34" spans="1:35" ht="33" hidden="1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 t="s">
        <v>15</v>
      </c>
      <c r="I34" s="61">
        <v>20000</v>
      </c>
      <c r="J34" s="62">
        <v>3000000</v>
      </c>
      <c r="K34" s="93"/>
      <c r="M34" s="46">
        <v>127</v>
      </c>
      <c r="N34" s="46">
        <v>0</v>
      </c>
      <c r="O34" s="46">
        <v>2540000</v>
      </c>
      <c r="P34" s="98"/>
      <c r="Q34" s="23" t="s">
        <v>1436</v>
      </c>
      <c r="R34" s="24" t="s">
        <v>1437</v>
      </c>
      <c r="S34" s="25" t="s">
        <v>1358</v>
      </c>
      <c r="T34" s="26">
        <v>0</v>
      </c>
      <c r="U34" s="26">
        <v>150</v>
      </c>
      <c r="V34" s="26">
        <v>20000</v>
      </c>
      <c r="W34" s="128">
        <f t="shared" si="8"/>
        <v>0</v>
      </c>
      <c r="X34" s="26">
        <f t="shared" si="3"/>
        <v>127</v>
      </c>
      <c r="Y34" s="26">
        <f t="shared" si="1"/>
        <v>0</v>
      </c>
      <c r="Z34" s="26">
        <f t="shared" si="4"/>
        <v>2540000</v>
      </c>
      <c r="AA34" s="27"/>
      <c r="AB34" s="36" t="s">
        <v>16</v>
      </c>
      <c r="AC34" s="181">
        <f t="shared" si="5"/>
        <v>150</v>
      </c>
      <c r="AD34" s="181">
        <f t="shared" si="2"/>
        <v>3000000</v>
      </c>
      <c r="AE34" s="181">
        <v>1.1000000000000001</v>
      </c>
      <c r="AF34" s="181">
        <v>1.1000000000000001</v>
      </c>
      <c r="AG34" s="101" t="str">
        <f t="shared" si="6"/>
        <v/>
      </c>
      <c r="AH34" s="193">
        <v>127</v>
      </c>
      <c r="AI34" s="69">
        <f t="shared" si="7"/>
        <v>150</v>
      </c>
    </row>
    <row r="35" spans="1:35" ht="42" hidden="1" customHeight="1" x14ac:dyDescent="0.3">
      <c r="A35" s="134" t="s">
        <v>1306</v>
      </c>
      <c r="B35" s="217" t="s">
        <v>1307</v>
      </c>
      <c r="C35" s="204" t="s">
        <v>50</v>
      </c>
      <c r="D35" s="216"/>
      <c r="E35" s="63"/>
      <c r="F35" s="62">
        <v>138.05000000000001</v>
      </c>
      <c r="G35" s="62"/>
      <c r="H35" s="62" t="s">
        <v>15</v>
      </c>
      <c r="I35" s="61">
        <v>165.22</v>
      </c>
      <c r="J35" s="62">
        <v>22808.62</v>
      </c>
      <c r="K35" s="93"/>
      <c r="M35" s="46">
        <v>138.05000000000001</v>
      </c>
      <c r="N35" s="46">
        <v>0</v>
      </c>
      <c r="O35" s="46">
        <v>22808.62</v>
      </c>
      <c r="P35" s="98"/>
      <c r="Q35" s="23" t="s">
        <v>1374</v>
      </c>
      <c r="R35" s="24" t="s">
        <v>1375</v>
      </c>
      <c r="S35" s="25" t="s">
        <v>50</v>
      </c>
      <c r="T35" s="26">
        <v>0</v>
      </c>
      <c r="U35" s="26">
        <v>138.05000000000001</v>
      </c>
      <c r="V35" s="26">
        <v>165.22</v>
      </c>
      <c r="W35" s="127">
        <f t="shared" si="8"/>
        <v>0</v>
      </c>
      <c r="X35" s="127">
        <f t="shared" si="3"/>
        <v>138.05000000000001</v>
      </c>
      <c r="Y35" s="127">
        <f t="shared" si="1"/>
        <v>0</v>
      </c>
      <c r="Z35" s="127">
        <f t="shared" si="4"/>
        <v>22808.62</v>
      </c>
      <c r="AA35" s="27"/>
      <c r="AB35" s="36" t="s">
        <v>16</v>
      </c>
      <c r="AC35" s="181">
        <f t="shared" si="5"/>
        <v>138.05000000000001</v>
      </c>
      <c r="AD35" s="181">
        <f t="shared" si="2"/>
        <v>22808.62</v>
      </c>
      <c r="AE35" s="181">
        <v>1.1000000000000001</v>
      </c>
      <c r="AF35" s="181">
        <v>1.1000000000000001</v>
      </c>
      <c r="AG35" s="101" t="str">
        <f t="shared" si="6"/>
        <v/>
      </c>
      <c r="AH35" s="190">
        <v>138.05000000000001</v>
      </c>
      <c r="AI35" s="69">
        <f t="shared" si="7"/>
        <v>138.05000000000001</v>
      </c>
    </row>
    <row r="36" spans="1:35" ht="39" hidden="1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62">
        <v>2000</v>
      </c>
      <c r="G36" s="62"/>
      <c r="H36" s="62" t="s">
        <v>15</v>
      </c>
      <c r="I36" s="61">
        <v>100</v>
      </c>
      <c r="J36" s="62">
        <v>200000</v>
      </c>
      <c r="K36" s="93"/>
      <c r="M36" s="46">
        <v>2000</v>
      </c>
      <c r="N36" s="46">
        <v>0</v>
      </c>
      <c r="O36" s="46">
        <v>200000</v>
      </c>
      <c r="P36" s="98"/>
      <c r="Q36" s="23" t="s">
        <v>1376</v>
      </c>
      <c r="R36" s="24" t="s">
        <v>1377</v>
      </c>
      <c r="S36" s="25" t="s">
        <v>34</v>
      </c>
      <c r="T36" s="26">
        <v>0</v>
      </c>
      <c r="U36" s="26">
        <v>2000</v>
      </c>
      <c r="V36" s="26">
        <v>100</v>
      </c>
      <c r="W36" s="127">
        <f t="shared" si="8"/>
        <v>0</v>
      </c>
      <c r="X36" s="127">
        <f t="shared" si="3"/>
        <v>2000</v>
      </c>
      <c r="Y36" s="127">
        <f t="shared" si="1"/>
        <v>0</v>
      </c>
      <c r="Z36" s="127">
        <f t="shared" si="4"/>
        <v>200000</v>
      </c>
      <c r="AA36" s="27"/>
      <c r="AB36" s="36" t="s">
        <v>16</v>
      </c>
      <c r="AC36" s="181">
        <f t="shared" si="5"/>
        <v>2000</v>
      </c>
      <c r="AD36" s="181">
        <f t="shared" si="2"/>
        <v>200000</v>
      </c>
      <c r="AE36" s="181">
        <v>1.1000000000000001</v>
      </c>
      <c r="AF36" s="181">
        <v>1.1000000000000001</v>
      </c>
      <c r="AG36" s="101" t="str">
        <f t="shared" si="6"/>
        <v/>
      </c>
      <c r="AH36" s="190">
        <v>2000</v>
      </c>
      <c r="AI36" s="69">
        <f t="shared" si="7"/>
        <v>2000</v>
      </c>
    </row>
    <row r="37" spans="1:35" ht="33" hidden="1" x14ac:dyDescent="0.3">
      <c r="A37" s="134" t="s">
        <v>1310</v>
      </c>
      <c r="B37" s="217" t="s">
        <v>1311</v>
      </c>
      <c r="C37" s="204" t="s">
        <v>50</v>
      </c>
      <c r="D37" s="216"/>
      <c r="E37" s="63"/>
      <c r="F37" s="62">
        <v>3324.02</v>
      </c>
      <c r="G37" s="62"/>
      <c r="H37" s="62" t="s">
        <v>15</v>
      </c>
      <c r="I37" s="61">
        <v>33.35</v>
      </c>
      <c r="J37" s="62">
        <v>110856.07</v>
      </c>
      <c r="K37" s="93"/>
      <c r="M37" s="46">
        <v>3324.02</v>
      </c>
      <c r="N37" s="46">
        <v>0</v>
      </c>
      <c r="O37" s="46">
        <v>110856.07</v>
      </c>
      <c r="P37" s="98"/>
      <c r="Q37" s="23" t="s">
        <v>1378</v>
      </c>
      <c r="R37" s="24" t="s">
        <v>1379</v>
      </c>
      <c r="S37" s="25" t="s">
        <v>50</v>
      </c>
      <c r="T37" s="26">
        <v>0</v>
      </c>
      <c r="U37" s="26">
        <v>3324.02</v>
      </c>
      <c r="V37" s="26">
        <v>33.35</v>
      </c>
      <c r="W37" s="127">
        <f t="shared" si="8"/>
        <v>0</v>
      </c>
      <c r="X37" s="127">
        <f t="shared" si="3"/>
        <v>3324.02</v>
      </c>
      <c r="Y37" s="127">
        <f t="shared" si="1"/>
        <v>0</v>
      </c>
      <c r="Z37" s="127">
        <f t="shared" si="4"/>
        <v>110856.07</v>
      </c>
      <c r="AA37" s="27"/>
      <c r="AB37" s="36" t="s">
        <v>16</v>
      </c>
      <c r="AC37" s="181">
        <f t="shared" si="5"/>
        <v>3324.02</v>
      </c>
      <c r="AD37" s="181">
        <f t="shared" si="2"/>
        <v>110856.07</v>
      </c>
      <c r="AE37" s="181">
        <v>1.1000000000000001</v>
      </c>
      <c r="AF37" s="181">
        <v>1.1000000000000001</v>
      </c>
      <c r="AG37" s="101" t="str">
        <f t="shared" si="6"/>
        <v/>
      </c>
      <c r="AH37" s="190">
        <v>3324.02</v>
      </c>
      <c r="AI37" s="69">
        <f t="shared" si="7"/>
        <v>3324.02</v>
      </c>
    </row>
    <row r="38" spans="1:35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4" t="s">
        <v>15</v>
      </c>
      <c r="I38" s="82"/>
      <c r="J38" s="82">
        <v>42752872.340000004</v>
      </c>
      <c r="K38" s="94" t="s">
        <v>15</v>
      </c>
      <c r="L38" s="73"/>
      <c r="M38" s="45">
        <v>1</v>
      </c>
      <c r="N38" s="45">
        <v>3134475.45</v>
      </c>
      <c r="O38" s="45">
        <v>8518438.2300000004</v>
      </c>
      <c r="P38" s="98"/>
      <c r="Q38" s="18" t="s">
        <v>1380</v>
      </c>
      <c r="R38" s="19" t="s">
        <v>100</v>
      </c>
      <c r="S38" s="20" t="s">
        <v>14</v>
      </c>
      <c r="T38" s="21">
        <v>1</v>
      </c>
      <c r="U38" s="21"/>
      <c r="V38" s="21">
        <f>SUMIFS(AD:AD,AE:AE,AE38)</f>
        <v>42752872.340000033</v>
      </c>
      <c r="W38" s="21">
        <f t="shared" ref="W38:X38" si="9">IF(Y38=0,0,1)</f>
        <v>1</v>
      </c>
      <c r="X38" s="21">
        <f t="shared" si="9"/>
        <v>1</v>
      </c>
      <c r="Y38" s="21">
        <f>SUMIFS(Y:Y,AF:AF,AE38)</f>
        <v>2472245.77</v>
      </c>
      <c r="Z38" s="21">
        <f>SUMIFS(Z:Z,AF:AF,AE38)</f>
        <v>10990683.999999998</v>
      </c>
      <c r="AA38" s="22" t="s">
        <v>15</v>
      </c>
      <c r="AB38" s="43" t="s">
        <v>16</v>
      </c>
      <c r="AC38" s="181">
        <f t="shared" si="5"/>
        <v>1</v>
      </c>
      <c r="AD38" s="184"/>
      <c r="AE38" s="181">
        <v>1.2</v>
      </c>
      <c r="AF38" s="181"/>
      <c r="AG38" s="101" t="str">
        <f t="shared" si="6"/>
        <v/>
      </c>
      <c r="AH38" s="190">
        <v>1</v>
      </c>
      <c r="AI38" s="69">
        <f t="shared" si="7"/>
        <v>1</v>
      </c>
    </row>
    <row r="39" spans="1:35" s="69" customFormat="1" ht="39" hidden="1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 t="s">
        <v>15</v>
      </c>
      <c r="I39" s="75">
        <v>320.74</v>
      </c>
      <c r="J39" s="75">
        <v>753030.16</v>
      </c>
      <c r="K39" s="91" t="s">
        <v>104</v>
      </c>
      <c r="L39" s="73"/>
      <c r="M39" s="46">
        <v>0</v>
      </c>
      <c r="N39" s="46">
        <v>0</v>
      </c>
      <c r="O39" s="46">
        <v>0</v>
      </c>
      <c r="P39" s="98"/>
      <c r="Q39" s="23" t="s">
        <v>1421</v>
      </c>
      <c r="R39" s="24" t="s">
        <v>102</v>
      </c>
      <c r="S39" s="25" t="s">
        <v>103</v>
      </c>
      <c r="T39" s="26">
        <v>2347.79</v>
      </c>
      <c r="U39" s="26">
        <v>2347.79</v>
      </c>
      <c r="V39" s="26">
        <f t="shared" ref="V39:V102" si="10">I39</f>
        <v>320.74</v>
      </c>
      <c r="W39" s="26">
        <f t="shared" si="8"/>
        <v>0</v>
      </c>
      <c r="X39" s="26">
        <f t="shared" si="3"/>
        <v>0</v>
      </c>
      <c r="Y39" s="26">
        <f t="shared" ref="Y39:Y102" si="11">Z39-O39</f>
        <v>0</v>
      </c>
      <c r="Z39" s="26">
        <f t="shared" si="4"/>
        <v>0</v>
      </c>
      <c r="AA39" s="33" t="s">
        <v>15</v>
      </c>
      <c r="AB39" s="36" t="s">
        <v>16</v>
      </c>
      <c r="AC39" s="181">
        <f t="shared" si="5"/>
        <v>2347.79</v>
      </c>
      <c r="AD39" s="181">
        <f>ROUND(V39*AC39,2)</f>
        <v>753030.16</v>
      </c>
      <c r="AE39" s="181">
        <v>1.2</v>
      </c>
      <c r="AF39" s="181">
        <v>1.2</v>
      </c>
      <c r="AG39" s="101" t="str">
        <f t="shared" si="6"/>
        <v/>
      </c>
      <c r="AH39" s="190">
        <v>0</v>
      </c>
      <c r="AI39" s="69">
        <f t="shared" si="7"/>
        <v>2347.79</v>
      </c>
    </row>
    <row r="40" spans="1:35" s="69" customFormat="1" ht="39" hidden="1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 t="s">
        <v>15</v>
      </c>
      <c r="I40" s="75">
        <v>346.08</v>
      </c>
      <c r="J40" s="75">
        <v>261553.42</v>
      </c>
      <c r="K40" s="91" t="s">
        <v>107</v>
      </c>
      <c r="L40" s="73"/>
      <c r="M40" s="46">
        <v>0</v>
      </c>
      <c r="N40" s="46">
        <v>0</v>
      </c>
      <c r="O40" s="46">
        <v>0</v>
      </c>
      <c r="P40" s="98"/>
      <c r="Q40" s="23" t="s">
        <v>1426</v>
      </c>
      <c r="R40" s="24" t="s">
        <v>106</v>
      </c>
      <c r="S40" s="25" t="s">
        <v>103</v>
      </c>
      <c r="T40" s="26">
        <v>755.76</v>
      </c>
      <c r="U40" s="26">
        <v>755.76</v>
      </c>
      <c r="V40" s="26">
        <f t="shared" si="10"/>
        <v>346.08</v>
      </c>
      <c r="W40" s="26">
        <f t="shared" si="8"/>
        <v>0</v>
      </c>
      <c r="X40" s="26">
        <f t="shared" si="3"/>
        <v>0</v>
      </c>
      <c r="Y40" s="26">
        <f t="shared" si="11"/>
        <v>0</v>
      </c>
      <c r="Z40" s="26">
        <f t="shared" si="4"/>
        <v>0</v>
      </c>
      <c r="AA40" s="33" t="s">
        <v>15</v>
      </c>
      <c r="AB40" s="36" t="s">
        <v>16</v>
      </c>
      <c r="AC40" s="181">
        <f t="shared" si="5"/>
        <v>755.76</v>
      </c>
      <c r="AD40" s="181">
        <f t="shared" ref="AD40:AD103" si="12">ROUND(V40*AC40,2)</f>
        <v>261553.42</v>
      </c>
      <c r="AE40" s="181">
        <v>1.2</v>
      </c>
      <c r="AF40" s="181">
        <v>1.2</v>
      </c>
      <c r="AG40" s="101" t="str">
        <f t="shared" si="6"/>
        <v/>
      </c>
      <c r="AH40" s="190">
        <v>0</v>
      </c>
      <c r="AI40" s="69">
        <f t="shared" si="7"/>
        <v>755.76</v>
      </c>
    </row>
    <row r="41" spans="1:35" s="69" customFormat="1" ht="33" hidden="1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 t="s">
        <v>15</v>
      </c>
      <c r="I41" s="75">
        <v>36.4</v>
      </c>
      <c r="J41" s="75">
        <v>1355298.67</v>
      </c>
      <c r="K41" s="91" t="s">
        <v>111</v>
      </c>
      <c r="L41" s="73"/>
      <c r="M41" s="46">
        <v>2260</v>
      </c>
      <c r="N41" s="46">
        <v>82264</v>
      </c>
      <c r="O41" s="46">
        <v>82264</v>
      </c>
      <c r="P41" s="98"/>
      <c r="Q41" s="23" t="s">
        <v>1402</v>
      </c>
      <c r="R41" s="24" t="s">
        <v>109</v>
      </c>
      <c r="S41" s="25" t="s">
        <v>110</v>
      </c>
      <c r="T41" s="26">
        <v>37233.480000000003</v>
      </c>
      <c r="U41" s="26">
        <v>37233.480000000003</v>
      </c>
      <c r="V41" s="26">
        <f t="shared" si="10"/>
        <v>36.4</v>
      </c>
      <c r="W41" s="128">
        <f t="shared" si="8"/>
        <v>1751.3000000000002</v>
      </c>
      <c r="X41" s="26">
        <f t="shared" si="3"/>
        <v>4011.3</v>
      </c>
      <c r="Y41" s="26">
        <f t="shared" si="11"/>
        <v>63747.320000000007</v>
      </c>
      <c r="Z41" s="26">
        <f t="shared" si="4"/>
        <v>146011.32</v>
      </c>
      <c r="AA41" s="33" t="s">
        <v>15</v>
      </c>
      <c r="AB41" s="36" t="s">
        <v>16</v>
      </c>
      <c r="AC41" s="181">
        <f t="shared" si="5"/>
        <v>37233.480000000003</v>
      </c>
      <c r="AD41" s="181">
        <f t="shared" si="12"/>
        <v>1355298.67</v>
      </c>
      <c r="AE41" s="181">
        <v>1.2</v>
      </c>
      <c r="AF41" s="181">
        <v>1.2</v>
      </c>
      <c r="AG41" s="101" t="str">
        <f t="shared" si="6"/>
        <v/>
      </c>
      <c r="AH41" s="191">
        <v>4011.3</v>
      </c>
      <c r="AI41" s="69">
        <f t="shared" si="7"/>
        <v>37233.480000000003</v>
      </c>
    </row>
    <row r="42" spans="1:35" s="69" customFormat="1" ht="39" hidden="1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 t="s">
        <v>15</v>
      </c>
      <c r="I42" s="75">
        <v>3115.13</v>
      </c>
      <c r="J42" s="75">
        <v>918901.05</v>
      </c>
      <c r="K42" s="91" t="s">
        <v>114</v>
      </c>
      <c r="L42" s="73"/>
      <c r="M42" s="46">
        <v>33</v>
      </c>
      <c r="N42" s="46">
        <v>102799.29</v>
      </c>
      <c r="O42" s="46">
        <v>102799.29</v>
      </c>
      <c r="P42" s="98"/>
      <c r="Q42" s="23" t="s">
        <v>1373</v>
      </c>
      <c r="R42" s="24" t="s">
        <v>392</v>
      </c>
      <c r="S42" s="25" t="s">
        <v>23</v>
      </c>
      <c r="T42" s="26">
        <v>294.98</v>
      </c>
      <c r="U42" s="26">
        <v>294.98</v>
      </c>
      <c r="V42" s="26">
        <f t="shared" si="10"/>
        <v>3115.13</v>
      </c>
      <c r="W42" s="128">
        <f t="shared" si="8"/>
        <v>3.6000000000000014</v>
      </c>
      <c r="X42" s="26">
        <f t="shared" si="3"/>
        <v>36.6</v>
      </c>
      <c r="Y42" s="26">
        <f t="shared" si="11"/>
        <v>11214.470000000001</v>
      </c>
      <c r="Z42" s="26">
        <f t="shared" si="4"/>
        <v>114013.75999999999</v>
      </c>
      <c r="AA42" s="33" t="s">
        <v>15</v>
      </c>
      <c r="AB42" s="36" t="s">
        <v>16</v>
      </c>
      <c r="AC42" s="181">
        <f t="shared" si="5"/>
        <v>294.98</v>
      </c>
      <c r="AD42" s="181">
        <f t="shared" si="12"/>
        <v>918901.05</v>
      </c>
      <c r="AE42" s="181">
        <v>1.2</v>
      </c>
      <c r="AF42" s="181">
        <v>1.2</v>
      </c>
      <c r="AG42" s="101" t="str">
        <f t="shared" si="6"/>
        <v/>
      </c>
      <c r="AH42" s="191">
        <v>36.6</v>
      </c>
      <c r="AI42" s="69">
        <f t="shared" si="7"/>
        <v>294.98</v>
      </c>
    </row>
    <row r="43" spans="1:35" s="69" customFormat="1" ht="39" hidden="1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 t="s">
        <v>15</v>
      </c>
      <c r="I43" s="75">
        <v>3321.13</v>
      </c>
      <c r="J43" s="75">
        <v>2811934.35</v>
      </c>
      <c r="K43" s="91" t="s">
        <v>117</v>
      </c>
      <c r="L43" s="73"/>
      <c r="M43" s="46">
        <v>185</v>
      </c>
      <c r="N43" s="46">
        <v>614409.05000000005</v>
      </c>
      <c r="O43" s="46">
        <v>614409.05000000005</v>
      </c>
      <c r="P43" s="98"/>
      <c r="Q43" s="23" t="s">
        <v>1393</v>
      </c>
      <c r="R43" s="24" t="s">
        <v>116</v>
      </c>
      <c r="S43" s="25" t="s">
        <v>23</v>
      </c>
      <c r="T43" s="26">
        <v>846.68</v>
      </c>
      <c r="U43" s="26">
        <v>846.68</v>
      </c>
      <c r="V43" s="26">
        <f t="shared" si="10"/>
        <v>3321.13</v>
      </c>
      <c r="W43" s="128">
        <f t="shared" si="8"/>
        <v>97.300000000000011</v>
      </c>
      <c r="X43" s="26">
        <f t="shared" si="3"/>
        <v>282.3</v>
      </c>
      <c r="Y43" s="26">
        <f t="shared" si="11"/>
        <v>323145.94999999995</v>
      </c>
      <c r="Z43" s="26">
        <f t="shared" si="4"/>
        <v>937555</v>
      </c>
      <c r="AA43" s="33" t="s">
        <v>15</v>
      </c>
      <c r="AB43" s="36" t="s">
        <v>16</v>
      </c>
      <c r="AC43" s="181">
        <f t="shared" si="5"/>
        <v>846.68</v>
      </c>
      <c r="AD43" s="181">
        <f t="shared" si="12"/>
        <v>2811934.35</v>
      </c>
      <c r="AE43" s="181">
        <v>1.2</v>
      </c>
      <c r="AF43" s="181">
        <v>1.2</v>
      </c>
      <c r="AG43" s="101" t="str">
        <f t="shared" si="6"/>
        <v/>
      </c>
      <c r="AH43" s="191">
        <v>282.3</v>
      </c>
      <c r="AI43" s="69">
        <f t="shared" si="7"/>
        <v>846.68</v>
      </c>
    </row>
    <row r="44" spans="1:35" s="69" customFormat="1" ht="26.1" hidden="1" customHeight="1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 t="s">
        <v>15</v>
      </c>
      <c r="I44" s="75">
        <v>533.64</v>
      </c>
      <c r="J44" s="75">
        <v>1273974.78</v>
      </c>
      <c r="K44" s="91" t="s">
        <v>120</v>
      </c>
      <c r="L44" s="73"/>
      <c r="M44" s="46">
        <v>620</v>
      </c>
      <c r="N44" s="46">
        <v>330856.8</v>
      </c>
      <c r="O44" s="46">
        <v>330856.8</v>
      </c>
      <c r="P44" s="98"/>
      <c r="Q44" s="23" t="s">
        <v>1403</v>
      </c>
      <c r="R44" s="24" t="s">
        <v>119</v>
      </c>
      <c r="S44" s="25" t="s">
        <v>50</v>
      </c>
      <c r="T44" s="26">
        <v>2387.33</v>
      </c>
      <c r="U44" s="26">
        <v>2387.33</v>
      </c>
      <c r="V44" s="26">
        <f t="shared" si="10"/>
        <v>533.64</v>
      </c>
      <c r="W44" s="128">
        <f t="shared" si="8"/>
        <v>195.39999999999998</v>
      </c>
      <c r="X44" s="26">
        <f t="shared" si="3"/>
        <v>815.4</v>
      </c>
      <c r="Y44" s="26">
        <f t="shared" si="11"/>
        <v>104273.26000000001</v>
      </c>
      <c r="Z44" s="26">
        <f t="shared" si="4"/>
        <v>435130.06</v>
      </c>
      <c r="AA44" s="33" t="s">
        <v>15</v>
      </c>
      <c r="AB44" s="36" t="s">
        <v>16</v>
      </c>
      <c r="AC44" s="181">
        <f t="shared" si="5"/>
        <v>2387.33</v>
      </c>
      <c r="AD44" s="181">
        <f t="shared" si="12"/>
        <v>1273974.78</v>
      </c>
      <c r="AE44" s="181">
        <v>1.2</v>
      </c>
      <c r="AF44" s="181">
        <v>1.2</v>
      </c>
      <c r="AG44" s="101" t="str">
        <f t="shared" si="6"/>
        <v/>
      </c>
      <c r="AH44" s="191">
        <v>815.4</v>
      </c>
      <c r="AI44" s="69">
        <f t="shared" si="7"/>
        <v>2387.33</v>
      </c>
    </row>
    <row r="45" spans="1:35" s="69" customFormat="1" ht="26.1" hidden="1" customHeight="1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 t="s">
        <v>15</v>
      </c>
      <c r="I45" s="75">
        <v>1299.8900000000001</v>
      </c>
      <c r="J45" s="75">
        <v>1770710.16</v>
      </c>
      <c r="K45" s="91" t="s">
        <v>123</v>
      </c>
      <c r="L45" s="73"/>
      <c r="M45" s="46">
        <v>0</v>
      </c>
      <c r="N45" s="46">
        <v>0</v>
      </c>
      <c r="O45" s="46">
        <v>0</v>
      </c>
      <c r="P45" s="98"/>
      <c r="Q45" s="23" t="s">
        <v>1427</v>
      </c>
      <c r="R45" s="24" t="s">
        <v>122</v>
      </c>
      <c r="S45" s="25" t="s">
        <v>50</v>
      </c>
      <c r="T45" s="26">
        <v>1362.2</v>
      </c>
      <c r="U45" s="26">
        <v>1362.2</v>
      </c>
      <c r="V45" s="26">
        <f t="shared" si="10"/>
        <v>1299.8900000000001</v>
      </c>
      <c r="W45" s="128">
        <f t="shared" si="8"/>
        <v>165</v>
      </c>
      <c r="X45" s="26">
        <f t="shared" si="3"/>
        <v>165</v>
      </c>
      <c r="Y45" s="26">
        <f t="shared" si="11"/>
        <v>214481.85</v>
      </c>
      <c r="Z45" s="26">
        <f t="shared" si="4"/>
        <v>214481.85</v>
      </c>
      <c r="AA45" s="33" t="s">
        <v>15</v>
      </c>
      <c r="AB45" s="36" t="s">
        <v>16</v>
      </c>
      <c r="AC45" s="181">
        <f t="shared" si="5"/>
        <v>1362.2</v>
      </c>
      <c r="AD45" s="181">
        <f t="shared" si="12"/>
        <v>1770710.16</v>
      </c>
      <c r="AE45" s="181">
        <v>1.2</v>
      </c>
      <c r="AF45" s="181">
        <v>1.2</v>
      </c>
      <c r="AG45" s="101" t="str">
        <f t="shared" si="6"/>
        <v/>
      </c>
      <c r="AH45" s="191">
        <v>165</v>
      </c>
      <c r="AI45" s="69">
        <f t="shared" si="7"/>
        <v>1362.2</v>
      </c>
    </row>
    <row r="46" spans="1:35" s="69" customFormat="1" ht="26.1" hidden="1" customHeight="1" x14ac:dyDescent="0.3">
      <c r="A46" s="55" t="s">
        <v>124</v>
      </c>
      <c r="B46" s="53" t="s">
        <v>125</v>
      </c>
      <c r="C46" s="54" t="s">
        <v>110</v>
      </c>
      <c r="D46" s="75">
        <v>4781.5600000000004</v>
      </c>
      <c r="E46" s="75"/>
      <c r="F46" s="75"/>
      <c r="G46" s="75"/>
      <c r="H46" s="75" t="s">
        <v>15</v>
      </c>
      <c r="I46" s="75">
        <v>60</v>
      </c>
      <c r="J46" s="75">
        <v>286893.59999999998</v>
      </c>
      <c r="K46" s="91" t="s">
        <v>126</v>
      </c>
      <c r="L46" s="73"/>
      <c r="M46" s="46">
        <v>2880</v>
      </c>
      <c r="N46" s="46">
        <v>45900</v>
      </c>
      <c r="O46" s="46">
        <v>172800</v>
      </c>
      <c r="P46" s="98"/>
      <c r="Q46" s="23" t="s">
        <v>1428</v>
      </c>
      <c r="R46" s="24" t="s">
        <v>125</v>
      </c>
      <c r="S46" s="25" t="s">
        <v>110</v>
      </c>
      <c r="T46" s="26">
        <v>4781.5600000000004</v>
      </c>
      <c r="U46" s="26">
        <v>4781.5600000000004</v>
      </c>
      <c r="V46" s="26">
        <f t="shared" si="10"/>
        <v>60</v>
      </c>
      <c r="W46" s="128">
        <f t="shared" si="8"/>
        <v>666.40000000000009</v>
      </c>
      <c r="X46" s="26">
        <f t="shared" si="3"/>
        <v>3546.4</v>
      </c>
      <c r="Y46" s="26">
        <f t="shared" si="11"/>
        <v>39984</v>
      </c>
      <c r="Z46" s="26">
        <f t="shared" si="4"/>
        <v>212784</v>
      </c>
      <c r="AA46" s="33" t="s">
        <v>15</v>
      </c>
      <c r="AB46" s="36" t="s">
        <v>16</v>
      </c>
      <c r="AC46" s="181">
        <f t="shared" si="5"/>
        <v>4781.5600000000004</v>
      </c>
      <c r="AD46" s="181">
        <f t="shared" si="12"/>
        <v>286893.59999999998</v>
      </c>
      <c r="AE46" s="181">
        <v>1.2</v>
      </c>
      <c r="AF46" s="181">
        <v>1.2</v>
      </c>
      <c r="AG46" s="101" t="str">
        <f t="shared" si="6"/>
        <v/>
      </c>
      <c r="AH46" s="191">
        <v>3546.4</v>
      </c>
      <c r="AI46" s="69">
        <f t="shared" si="7"/>
        <v>4781.5600000000004</v>
      </c>
    </row>
    <row r="47" spans="1:35" s="69" customFormat="1" ht="39" hidden="1" x14ac:dyDescent="0.3">
      <c r="A47" s="55" t="s">
        <v>127</v>
      </c>
      <c r="B47" s="53" t="s">
        <v>128</v>
      </c>
      <c r="C47" s="54" t="s">
        <v>110</v>
      </c>
      <c r="D47" s="75">
        <v>4781.5600000000004</v>
      </c>
      <c r="E47" s="75"/>
      <c r="F47" s="75"/>
      <c r="G47" s="75"/>
      <c r="H47" s="75" t="s">
        <v>15</v>
      </c>
      <c r="I47" s="75">
        <v>31.9</v>
      </c>
      <c r="J47" s="75">
        <v>152531.76</v>
      </c>
      <c r="K47" s="91" t="s">
        <v>129</v>
      </c>
      <c r="L47" s="73"/>
      <c r="M47" s="46">
        <v>2880</v>
      </c>
      <c r="N47" s="46">
        <v>24403.5</v>
      </c>
      <c r="O47" s="46">
        <v>91872</v>
      </c>
      <c r="P47" s="98"/>
      <c r="Q47" s="23" t="s">
        <v>1387</v>
      </c>
      <c r="R47" s="24" t="s">
        <v>128</v>
      </c>
      <c r="S47" s="25" t="s">
        <v>110</v>
      </c>
      <c r="T47" s="26">
        <v>4781.5600000000004</v>
      </c>
      <c r="U47" s="26">
        <v>4781.5600000000004</v>
      </c>
      <c r="V47" s="26">
        <f t="shared" si="10"/>
        <v>31.9</v>
      </c>
      <c r="W47" s="128">
        <f t="shared" si="8"/>
        <v>666.40000000000009</v>
      </c>
      <c r="X47" s="26">
        <f t="shared" si="3"/>
        <v>3546.4</v>
      </c>
      <c r="Y47" s="26">
        <f t="shared" si="11"/>
        <v>21258.160000000003</v>
      </c>
      <c r="Z47" s="26">
        <f t="shared" si="4"/>
        <v>113130.16</v>
      </c>
      <c r="AA47" s="33" t="s">
        <v>15</v>
      </c>
      <c r="AB47" s="36" t="s">
        <v>16</v>
      </c>
      <c r="AC47" s="181">
        <f t="shared" si="5"/>
        <v>4781.5600000000004</v>
      </c>
      <c r="AD47" s="181">
        <f t="shared" si="12"/>
        <v>152531.76</v>
      </c>
      <c r="AE47" s="181">
        <v>1.2</v>
      </c>
      <c r="AF47" s="181">
        <v>1.2</v>
      </c>
      <c r="AG47" s="101" t="str">
        <f t="shared" si="6"/>
        <v/>
      </c>
      <c r="AH47" s="191">
        <v>3546.4</v>
      </c>
      <c r="AI47" s="69">
        <f t="shared" si="7"/>
        <v>4781.5600000000004</v>
      </c>
    </row>
    <row r="48" spans="1:35" s="69" customFormat="1" ht="97.5" hidden="1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 t="s">
        <v>15</v>
      </c>
      <c r="I48" s="75">
        <v>107.31</v>
      </c>
      <c r="J48" s="75">
        <v>246905.29</v>
      </c>
      <c r="K48" s="91" t="s">
        <v>132</v>
      </c>
      <c r="L48" s="73"/>
      <c r="M48" s="46">
        <v>1855</v>
      </c>
      <c r="N48" s="46">
        <v>0</v>
      </c>
      <c r="O48" s="46">
        <v>199060.05</v>
      </c>
      <c r="P48" s="98"/>
      <c r="Q48" s="23" t="s">
        <v>1405</v>
      </c>
      <c r="R48" s="24" t="s">
        <v>131</v>
      </c>
      <c r="S48" s="25" t="s">
        <v>110</v>
      </c>
      <c r="T48" s="26">
        <v>2300.86</v>
      </c>
      <c r="U48" s="26">
        <v>2300.86</v>
      </c>
      <c r="V48" s="26">
        <f t="shared" si="10"/>
        <v>107.31</v>
      </c>
      <c r="W48" s="128">
        <f t="shared" si="8"/>
        <v>0</v>
      </c>
      <c r="X48" s="26">
        <f t="shared" si="3"/>
        <v>1855</v>
      </c>
      <c r="Y48" s="26">
        <f t="shared" si="11"/>
        <v>0</v>
      </c>
      <c r="Z48" s="26">
        <f t="shared" si="4"/>
        <v>199060.05</v>
      </c>
      <c r="AA48" s="33" t="s">
        <v>15</v>
      </c>
      <c r="AB48" s="36" t="s">
        <v>16</v>
      </c>
      <c r="AC48" s="181">
        <f t="shared" si="5"/>
        <v>2300.86</v>
      </c>
      <c r="AD48" s="181">
        <f t="shared" si="12"/>
        <v>246905.29</v>
      </c>
      <c r="AE48" s="181">
        <v>1.2</v>
      </c>
      <c r="AF48" s="181">
        <v>1.2</v>
      </c>
      <c r="AG48" s="101" t="str">
        <f t="shared" si="6"/>
        <v/>
      </c>
      <c r="AH48" s="191">
        <v>1855</v>
      </c>
      <c r="AI48" s="69">
        <f t="shared" si="7"/>
        <v>2300.86</v>
      </c>
    </row>
    <row r="49" spans="1:35" s="69" customFormat="1" ht="33" hidden="1" x14ac:dyDescent="0.3">
      <c r="A49" s="55" t="s">
        <v>133</v>
      </c>
      <c r="B49" s="215" t="s">
        <v>134</v>
      </c>
      <c r="C49" s="54" t="s">
        <v>50</v>
      </c>
      <c r="D49" s="75">
        <v>5207.01</v>
      </c>
      <c r="E49" s="75"/>
      <c r="F49" s="75"/>
      <c r="G49" s="75"/>
      <c r="H49" s="75" t="s">
        <v>15</v>
      </c>
      <c r="I49" s="75">
        <v>2964</v>
      </c>
      <c r="J49" s="75">
        <v>15433577.640000001</v>
      </c>
      <c r="K49" s="137" t="s">
        <v>135</v>
      </c>
      <c r="L49" s="73"/>
      <c r="M49" s="46">
        <v>1491</v>
      </c>
      <c r="N49" s="46">
        <v>1244880</v>
      </c>
      <c r="O49" s="46">
        <v>4419324</v>
      </c>
      <c r="P49" s="98"/>
      <c r="Q49" s="23" t="s">
        <v>1406</v>
      </c>
      <c r="R49" s="24" t="s">
        <v>134</v>
      </c>
      <c r="S49" s="25" t="s">
        <v>50</v>
      </c>
      <c r="T49" s="26">
        <v>5207.01</v>
      </c>
      <c r="U49" s="26">
        <v>5207.01</v>
      </c>
      <c r="V49" s="26">
        <f t="shared" si="10"/>
        <v>2964</v>
      </c>
      <c r="W49" s="128">
        <f t="shared" si="8"/>
        <v>268.29999999999995</v>
      </c>
      <c r="X49" s="26">
        <f t="shared" si="3"/>
        <v>1759.3</v>
      </c>
      <c r="Y49" s="26">
        <f t="shared" si="11"/>
        <v>795241.20000000019</v>
      </c>
      <c r="Z49" s="26">
        <f t="shared" si="4"/>
        <v>5214565.2</v>
      </c>
      <c r="AA49" s="33" t="s">
        <v>15</v>
      </c>
      <c r="AB49" s="36" t="s">
        <v>16</v>
      </c>
      <c r="AC49" s="181">
        <f t="shared" si="5"/>
        <v>5207.01</v>
      </c>
      <c r="AD49" s="181">
        <f t="shared" si="12"/>
        <v>15433577.640000001</v>
      </c>
      <c r="AE49" s="181">
        <v>1.2</v>
      </c>
      <c r="AF49" s="181">
        <v>1.2</v>
      </c>
      <c r="AG49" s="101" t="str">
        <f t="shared" si="6"/>
        <v/>
      </c>
      <c r="AH49" s="191">
        <v>1759.3</v>
      </c>
      <c r="AI49" s="69">
        <f t="shared" si="7"/>
        <v>5207.01</v>
      </c>
    </row>
    <row r="50" spans="1:35" s="69" customFormat="1" ht="39" hidden="1" x14ac:dyDescent="0.3">
      <c r="A50" s="55" t="s">
        <v>136</v>
      </c>
      <c r="B50" s="53" t="s">
        <v>3138</v>
      </c>
      <c r="C50" s="54" t="s">
        <v>50</v>
      </c>
      <c r="D50" s="75">
        <v>693.8</v>
      </c>
      <c r="E50" s="75"/>
      <c r="F50" s="75"/>
      <c r="G50" s="75"/>
      <c r="H50" s="75" t="s">
        <v>15</v>
      </c>
      <c r="I50" s="75">
        <v>3961.57</v>
      </c>
      <c r="J50" s="75">
        <v>2748537.27</v>
      </c>
      <c r="K50" s="137" t="s">
        <v>138</v>
      </c>
      <c r="L50" s="73"/>
      <c r="M50" s="46">
        <v>0</v>
      </c>
      <c r="N50" s="46">
        <v>0</v>
      </c>
      <c r="O50" s="46">
        <v>0</v>
      </c>
      <c r="P50" s="98"/>
      <c r="Q50" s="23" t="s">
        <v>1414</v>
      </c>
      <c r="R50" s="24" t="s">
        <v>137</v>
      </c>
      <c r="S50" s="25" t="s">
        <v>50</v>
      </c>
      <c r="T50" s="26">
        <v>693.8</v>
      </c>
      <c r="U50" s="26">
        <v>693.8</v>
      </c>
      <c r="V50" s="26">
        <f t="shared" si="10"/>
        <v>3961.57</v>
      </c>
      <c r="W50" s="26">
        <f>AH50-M50</f>
        <v>0</v>
      </c>
      <c r="X50" s="26">
        <f t="shared" si="3"/>
        <v>0</v>
      </c>
      <c r="Y50" s="26">
        <f t="shared" si="11"/>
        <v>0</v>
      </c>
      <c r="Z50" s="26">
        <f t="shared" si="4"/>
        <v>0</v>
      </c>
      <c r="AA50" s="33" t="s">
        <v>15</v>
      </c>
      <c r="AB50" s="36" t="s">
        <v>16</v>
      </c>
      <c r="AC50" s="181">
        <f t="shared" si="5"/>
        <v>693.8</v>
      </c>
      <c r="AD50" s="181">
        <f t="shared" si="12"/>
        <v>2748537.27</v>
      </c>
      <c r="AE50" s="181">
        <v>1.2</v>
      </c>
      <c r="AF50" s="181">
        <v>1.2</v>
      </c>
      <c r="AG50" s="101" t="str">
        <f t="shared" si="6"/>
        <v/>
      </c>
      <c r="AH50" s="191">
        <v>0</v>
      </c>
      <c r="AI50" s="69">
        <f t="shared" si="7"/>
        <v>693.8</v>
      </c>
    </row>
    <row r="51" spans="1:35" s="69" customFormat="1" ht="26.1" hidden="1" customHeight="1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 t="s">
        <v>15</v>
      </c>
      <c r="I51" s="75">
        <v>3965.81</v>
      </c>
      <c r="J51" s="75">
        <v>1488090.89</v>
      </c>
      <c r="K51" s="137" t="s">
        <v>141</v>
      </c>
      <c r="L51" s="73"/>
      <c r="M51" s="46">
        <v>0</v>
      </c>
      <c r="N51" s="46">
        <v>0</v>
      </c>
      <c r="O51" s="46">
        <v>0</v>
      </c>
      <c r="P51" s="98"/>
      <c r="Q51" s="23" t="s">
        <v>1429</v>
      </c>
      <c r="R51" s="24" t="s">
        <v>140</v>
      </c>
      <c r="S51" s="25" t="s">
        <v>50</v>
      </c>
      <c r="T51" s="26">
        <v>375.23</v>
      </c>
      <c r="U51" s="26">
        <v>375.23</v>
      </c>
      <c r="V51" s="26">
        <f t="shared" si="10"/>
        <v>3965.81</v>
      </c>
      <c r="W51" s="26">
        <f t="shared" si="8"/>
        <v>0</v>
      </c>
      <c r="X51" s="26">
        <f t="shared" si="3"/>
        <v>0</v>
      </c>
      <c r="Y51" s="26">
        <f t="shared" si="11"/>
        <v>0</v>
      </c>
      <c r="Z51" s="26">
        <f t="shared" si="4"/>
        <v>0</v>
      </c>
      <c r="AA51" s="33" t="s">
        <v>15</v>
      </c>
      <c r="AB51" s="36" t="s">
        <v>16</v>
      </c>
      <c r="AC51" s="181">
        <f t="shared" si="5"/>
        <v>375.23</v>
      </c>
      <c r="AD51" s="181">
        <f t="shared" si="12"/>
        <v>1488090.89</v>
      </c>
      <c r="AE51" s="181">
        <v>1.2</v>
      </c>
      <c r="AF51" s="181">
        <v>1.2</v>
      </c>
      <c r="AG51" s="101" t="str">
        <f t="shared" si="6"/>
        <v/>
      </c>
      <c r="AH51" s="190">
        <v>0</v>
      </c>
      <c r="AI51" s="69">
        <f t="shared" si="7"/>
        <v>375.23</v>
      </c>
    </row>
    <row r="52" spans="1:35" s="69" customFormat="1" ht="26.1" hidden="1" customHeight="1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 t="s">
        <v>15</v>
      </c>
      <c r="I52" s="75">
        <v>773.88</v>
      </c>
      <c r="J52" s="75">
        <v>26931.02</v>
      </c>
      <c r="K52" s="91" t="s">
        <v>144</v>
      </c>
      <c r="L52" s="73"/>
      <c r="M52" s="46">
        <v>0</v>
      </c>
      <c r="N52" s="46">
        <v>0</v>
      </c>
      <c r="O52" s="46">
        <v>0</v>
      </c>
      <c r="P52" s="98"/>
      <c r="Q52" s="23" t="s">
        <v>1430</v>
      </c>
      <c r="R52" s="24" t="s">
        <v>143</v>
      </c>
      <c r="S52" s="25" t="s">
        <v>50</v>
      </c>
      <c r="T52" s="26">
        <v>34.799999999999997</v>
      </c>
      <c r="U52" s="26">
        <v>34.799999999999997</v>
      </c>
      <c r="V52" s="26">
        <f t="shared" si="10"/>
        <v>773.88</v>
      </c>
      <c r="W52" s="26">
        <f t="shared" si="8"/>
        <v>0</v>
      </c>
      <c r="X52" s="26">
        <f t="shared" si="3"/>
        <v>0</v>
      </c>
      <c r="Y52" s="26">
        <f t="shared" si="11"/>
        <v>0</v>
      </c>
      <c r="Z52" s="26">
        <f t="shared" si="4"/>
        <v>0</v>
      </c>
      <c r="AA52" s="33" t="s">
        <v>15</v>
      </c>
      <c r="AB52" s="36" t="s">
        <v>16</v>
      </c>
      <c r="AC52" s="181">
        <f t="shared" si="5"/>
        <v>34.799999999999997</v>
      </c>
      <c r="AD52" s="181">
        <f t="shared" si="12"/>
        <v>26931.02</v>
      </c>
      <c r="AE52" s="181">
        <v>1.2</v>
      </c>
      <c r="AF52" s="181">
        <v>1.2</v>
      </c>
      <c r="AG52" s="101" t="str">
        <f t="shared" si="6"/>
        <v/>
      </c>
      <c r="AH52" s="190">
        <v>0</v>
      </c>
      <c r="AI52" s="69">
        <f t="shared" si="7"/>
        <v>34.799999999999997</v>
      </c>
    </row>
    <row r="53" spans="1:35" s="69" customFormat="1" ht="26.1" hidden="1" customHeight="1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 t="s">
        <v>15</v>
      </c>
      <c r="I53" s="75">
        <v>948.4</v>
      </c>
      <c r="J53" s="75">
        <v>11361.83</v>
      </c>
      <c r="K53" s="91" t="s">
        <v>147</v>
      </c>
      <c r="L53" s="73"/>
      <c r="M53" s="46">
        <v>0</v>
      </c>
      <c r="N53" s="46">
        <v>0</v>
      </c>
      <c r="O53" s="46">
        <v>0</v>
      </c>
      <c r="P53" s="98"/>
      <c r="Q53" s="23" t="s">
        <v>1431</v>
      </c>
      <c r="R53" s="24" t="s">
        <v>146</v>
      </c>
      <c r="S53" s="25" t="s">
        <v>50</v>
      </c>
      <c r="T53" s="26">
        <v>11.98</v>
      </c>
      <c r="U53" s="26">
        <v>11.98</v>
      </c>
      <c r="V53" s="26">
        <f t="shared" si="10"/>
        <v>948.4</v>
      </c>
      <c r="W53" s="26">
        <f t="shared" si="8"/>
        <v>0</v>
      </c>
      <c r="X53" s="26">
        <f t="shared" si="3"/>
        <v>0</v>
      </c>
      <c r="Y53" s="26">
        <f t="shared" si="11"/>
        <v>0</v>
      </c>
      <c r="Z53" s="26">
        <f t="shared" si="4"/>
        <v>0</v>
      </c>
      <c r="AA53" s="33" t="s">
        <v>15</v>
      </c>
      <c r="AB53" s="36" t="s">
        <v>16</v>
      </c>
      <c r="AC53" s="181">
        <f t="shared" si="5"/>
        <v>11.98</v>
      </c>
      <c r="AD53" s="181">
        <f t="shared" si="12"/>
        <v>11361.83</v>
      </c>
      <c r="AE53" s="181">
        <v>1.2</v>
      </c>
      <c r="AF53" s="181">
        <v>1.2</v>
      </c>
      <c r="AG53" s="101" t="str">
        <f t="shared" si="6"/>
        <v/>
      </c>
      <c r="AH53" s="190">
        <v>0</v>
      </c>
      <c r="AI53" s="69">
        <f t="shared" si="7"/>
        <v>11.98</v>
      </c>
    </row>
    <row r="54" spans="1:35" s="69" customFormat="1" ht="26.1" hidden="1" customHeight="1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 t="s">
        <v>15</v>
      </c>
      <c r="I54" s="75">
        <v>6163.46</v>
      </c>
      <c r="J54" s="75">
        <v>870650.36</v>
      </c>
      <c r="K54" s="91" t="s">
        <v>150</v>
      </c>
      <c r="L54" s="73"/>
      <c r="M54" s="46">
        <v>0</v>
      </c>
      <c r="N54" s="46">
        <v>0</v>
      </c>
      <c r="O54" s="46">
        <v>0</v>
      </c>
      <c r="P54" s="98"/>
      <c r="Q54" s="23" t="s">
        <v>1395</v>
      </c>
      <c r="R54" s="24" t="s">
        <v>149</v>
      </c>
      <c r="S54" s="25" t="s">
        <v>50</v>
      </c>
      <c r="T54" s="26">
        <v>141.26</v>
      </c>
      <c r="U54" s="26">
        <v>141.26</v>
      </c>
      <c r="V54" s="26">
        <f t="shared" si="10"/>
        <v>6163.46</v>
      </c>
      <c r="W54" s="26">
        <f t="shared" si="8"/>
        <v>0</v>
      </c>
      <c r="X54" s="26">
        <f t="shared" si="3"/>
        <v>0</v>
      </c>
      <c r="Y54" s="26">
        <f t="shared" si="11"/>
        <v>0</v>
      </c>
      <c r="Z54" s="26">
        <f t="shared" si="4"/>
        <v>0</v>
      </c>
      <c r="AA54" s="33" t="s">
        <v>15</v>
      </c>
      <c r="AB54" s="36" t="s">
        <v>16</v>
      </c>
      <c r="AC54" s="181">
        <f t="shared" si="5"/>
        <v>141.26</v>
      </c>
      <c r="AD54" s="181">
        <f t="shared" si="12"/>
        <v>870650.36</v>
      </c>
      <c r="AE54" s="181">
        <v>1.2</v>
      </c>
      <c r="AF54" s="181">
        <v>1.2</v>
      </c>
      <c r="AG54" s="101" t="str">
        <f t="shared" si="6"/>
        <v/>
      </c>
      <c r="AH54" s="190">
        <v>0</v>
      </c>
      <c r="AI54" s="69">
        <f t="shared" si="7"/>
        <v>141.26</v>
      </c>
    </row>
    <row r="55" spans="1:35" s="69" customFormat="1" ht="26.1" hidden="1" customHeight="1" x14ac:dyDescent="0.3">
      <c r="A55" s="55" t="s">
        <v>151</v>
      </c>
      <c r="B55" s="53" t="s">
        <v>152</v>
      </c>
      <c r="C55" s="54" t="s">
        <v>81</v>
      </c>
      <c r="D55" s="75">
        <v>1</v>
      </c>
      <c r="E55" s="75"/>
      <c r="F55" s="75"/>
      <c r="G55" s="75"/>
      <c r="H55" s="75" t="s">
        <v>15</v>
      </c>
      <c r="I55" s="75">
        <v>169519.61</v>
      </c>
      <c r="J55" s="75">
        <v>169519.61</v>
      </c>
      <c r="K55" s="91" t="s">
        <v>153</v>
      </c>
      <c r="L55" s="73"/>
      <c r="M55" s="46">
        <v>0</v>
      </c>
      <c r="N55" s="46">
        <v>0</v>
      </c>
      <c r="O55" s="46">
        <v>0</v>
      </c>
      <c r="P55" s="98"/>
      <c r="Q55" s="23" t="s">
        <v>1432</v>
      </c>
      <c r="R55" s="24" t="s">
        <v>152</v>
      </c>
      <c r="S55" s="25" t="s">
        <v>81</v>
      </c>
      <c r="T55" s="26">
        <v>1</v>
      </c>
      <c r="U55" s="26">
        <v>1</v>
      </c>
      <c r="V55" s="26">
        <f t="shared" si="10"/>
        <v>169519.61</v>
      </c>
      <c r="W55" s="26">
        <f t="shared" si="8"/>
        <v>0</v>
      </c>
      <c r="X55" s="26">
        <f t="shared" si="3"/>
        <v>0</v>
      </c>
      <c r="Y55" s="26">
        <f t="shared" si="11"/>
        <v>0</v>
      </c>
      <c r="Z55" s="26">
        <f t="shared" si="4"/>
        <v>0</v>
      </c>
      <c r="AA55" s="33" t="s">
        <v>15</v>
      </c>
      <c r="AB55" s="36" t="s">
        <v>16</v>
      </c>
      <c r="AC55" s="181">
        <f t="shared" si="5"/>
        <v>1</v>
      </c>
      <c r="AD55" s="181">
        <f t="shared" si="12"/>
        <v>169519.61</v>
      </c>
      <c r="AE55" s="181">
        <v>1.2</v>
      </c>
      <c r="AF55" s="181">
        <v>1.2</v>
      </c>
      <c r="AG55" s="101" t="str">
        <f t="shared" si="6"/>
        <v/>
      </c>
      <c r="AH55" s="190">
        <v>0</v>
      </c>
      <c r="AI55" s="69">
        <f t="shared" si="7"/>
        <v>1</v>
      </c>
    </row>
    <row r="56" spans="1:35" s="69" customFormat="1" ht="26.1" hidden="1" customHeight="1" x14ac:dyDescent="0.3">
      <c r="A56" s="55" t="s">
        <v>154</v>
      </c>
      <c r="B56" s="53" t="s">
        <v>155</v>
      </c>
      <c r="C56" s="54" t="s">
        <v>81</v>
      </c>
      <c r="D56" s="75">
        <v>1</v>
      </c>
      <c r="E56" s="75"/>
      <c r="F56" s="75"/>
      <c r="G56" s="75"/>
      <c r="H56" s="75" t="s">
        <v>15</v>
      </c>
      <c r="I56" s="75">
        <v>350211.64</v>
      </c>
      <c r="J56" s="75">
        <v>350211.64</v>
      </c>
      <c r="K56" s="91" t="s">
        <v>156</v>
      </c>
      <c r="L56" s="73"/>
      <c r="M56" s="46">
        <v>0</v>
      </c>
      <c r="N56" s="46">
        <v>0</v>
      </c>
      <c r="O56" s="46">
        <v>0</v>
      </c>
      <c r="P56" s="98"/>
      <c r="Q56" s="23" t="s">
        <v>1433</v>
      </c>
      <c r="R56" s="24" t="s">
        <v>155</v>
      </c>
      <c r="S56" s="25" t="s">
        <v>81</v>
      </c>
      <c r="T56" s="26">
        <v>1</v>
      </c>
      <c r="U56" s="26">
        <v>1</v>
      </c>
      <c r="V56" s="26">
        <f t="shared" si="10"/>
        <v>350211.64</v>
      </c>
      <c r="W56" s="26">
        <f t="shared" si="8"/>
        <v>0</v>
      </c>
      <c r="X56" s="26">
        <f t="shared" si="3"/>
        <v>0</v>
      </c>
      <c r="Y56" s="26">
        <f t="shared" si="11"/>
        <v>0</v>
      </c>
      <c r="Z56" s="26">
        <f t="shared" si="4"/>
        <v>0</v>
      </c>
      <c r="AA56" s="33" t="s">
        <v>15</v>
      </c>
      <c r="AB56" s="36" t="s">
        <v>16</v>
      </c>
      <c r="AC56" s="181">
        <f t="shared" si="5"/>
        <v>1</v>
      </c>
      <c r="AD56" s="181">
        <f t="shared" si="12"/>
        <v>350211.64</v>
      </c>
      <c r="AE56" s="181">
        <v>1.2</v>
      </c>
      <c r="AF56" s="181">
        <v>1.2</v>
      </c>
      <c r="AG56" s="101" t="str">
        <f t="shared" si="6"/>
        <v/>
      </c>
      <c r="AH56" s="190">
        <v>0</v>
      </c>
      <c r="AI56" s="69">
        <f t="shared" si="7"/>
        <v>1</v>
      </c>
    </row>
    <row r="57" spans="1:35" s="69" customFormat="1" ht="26.1" hidden="1" customHeight="1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 t="s">
        <v>15</v>
      </c>
      <c r="I57" s="75">
        <v>309726.87</v>
      </c>
      <c r="J57" s="75">
        <v>309726.87</v>
      </c>
      <c r="K57" s="91" t="s">
        <v>159</v>
      </c>
      <c r="L57" s="73"/>
      <c r="M57" s="46">
        <v>0</v>
      </c>
      <c r="N57" s="46">
        <v>0</v>
      </c>
      <c r="O57" s="46">
        <v>0</v>
      </c>
      <c r="P57" s="98"/>
      <c r="Q57" s="23" t="s">
        <v>1382</v>
      </c>
      <c r="R57" s="24" t="s">
        <v>158</v>
      </c>
      <c r="S57" s="25" t="s">
        <v>81</v>
      </c>
      <c r="T57" s="26">
        <v>1</v>
      </c>
      <c r="U57" s="26">
        <v>1</v>
      </c>
      <c r="V57" s="26">
        <f t="shared" si="10"/>
        <v>309726.87</v>
      </c>
      <c r="W57" s="26">
        <f t="shared" si="8"/>
        <v>0</v>
      </c>
      <c r="X57" s="26">
        <f t="shared" si="3"/>
        <v>0</v>
      </c>
      <c r="Y57" s="26">
        <f t="shared" si="11"/>
        <v>0</v>
      </c>
      <c r="Z57" s="26">
        <f t="shared" si="4"/>
        <v>0</v>
      </c>
      <c r="AA57" s="33" t="s">
        <v>15</v>
      </c>
      <c r="AB57" s="36" t="s">
        <v>16</v>
      </c>
      <c r="AC57" s="181">
        <f t="shared" si="5"/>
        <v>1</v>
      </c>
      <c r="AD57" s="181">
        <f t="shared" si="12"/>
        <v>309726.87</v>
      </c>
      <c r="AE57" s="181">
        <v>1.2</v>
      </c>
      <c r="AF57" s="181">
        <v>1.2</v>
      </c>
      <c r="AG57" s="101" t="str">
        <f t="shared" si="6"/>
        <v/>
      </c>
      <c r="AH57" s="190">
        <v>0</v>
      </c>
      <c r="AI57" s="69">
        <f t="shared" si="7"/>
        <v>1</v>
      </c>
    </row>
    <row r="58" spans="1:35" s="69" customFormat="1" ht="26.1" hidden="1" customHeight="1" x14ac:dyDescent="0.3">
      <c r="A58" s="55" t="s">
        <v>160</v>
      </c>
      <c r="B58" s="53" t="s">
        <v>161</v>
      </c>
      <c r="C58" s="54" t="s">
        <v>162</v>
      </c>
      <c r="D58" s="75">
        <v>19</v>
      </c>
      <c r="E58" s="75"/>
      <c r="F58" s="75"/>
      <c r="G58" s="75"/>
      <c r="H58" s="75" t="s">
        <v>15</v>
      </c>
      <c r="I58" s="75">
        <v>1134.56</v>
      </c>
      <c r="J58" s="75">
        <v>21556.639999999999</v>
      </c>
      <c r="K58" s="91" t="s">
        <v>163</v>
      </c>
      <c r="L58" s="73"/>
      <c r="M58" s="46">
        <v>0</v>
      </c>
      <c r="N58" s="46">
        <v>0</v>
      </c>
      <c r="O58" s="46">
        <v>0</v>
      </c>
      <c r="P58" s="98"/>
      <c r="Q58" s="23" t="s">
        <v>1434</v>
      </c>
      <c r="R58" s="24" t="s">
        <v>161</v>
      </c>
      <c r="S58" s="25" t="s">
        <v>162</v>
      </c>
      <c r="T58" s="26">
        <v>19</v>
      </c>
      <c r="U58" s="26">
        <v>19</v>
      </c>
      <c r="V58" s="26">
        <f t="shared" si="10"/>
        <v>1134.56</v>
      </c>
      <c r="W58" s="26">
        <f t="shared" si="8"/>
        <v>0</v>
      </c>
      <c r="X58" s="26">
        <f t="shared" si="3"/>
        <v>0</v>
      </c>
      <c r="Y58" s="26">
        <f t="shared" si="11"/>
        <v>0</v>
      </c>
      <c r="Z58" s="26">
        <f t="shared" si="4"/>
        <v>0</v>
      </c>
      <c r="AA58" s="33" t="s">
        <v>15</v>
      </c>
      <c r="AB58" s="36" t="s">
        <v>16</v>
      </c>
      <c r="AC58" s="181">
        <f t="shared" si="5"/>
        <v>19</v>
      </c>
      <c r="AD58" s="181">
        <f t="shared" si="12"/>
        <v>21556.639999999999</v>
      </c>
      <c r="AE58" s="181">
        <v>1.2</v>
      </c>
      <c r="AF58" s="181">
        <v>1.2</v>
      </c>
      <c r="AG58" s="101" t="str">
        <f t="shared" si="6"/>
        <v/>
      </c>
      <c r="AH58" s="190">
        <v>0</v>
      </c>
      <c r="AI58" s="69">
        <f t="shared" si="7"/>
        <v>19</v>
      </c>
    </row>
    <row r="59" spans="1:35" s="69" customFormat="1" ht="26.1" hidden="1" customHeight="1" x14ac:dyDescent="0.3">
      <c r="A59" s="55" t="s">
        <v>164</v>
      </c>
      <c r="B59" s="118" t="s">
        <v>165</v>
      </c>
      <c r="C59" s="54" t="s">
        <v>103</v>
      </c>
      <c r="D59" s="75">
        <v>179.11</v>
      </c>
      <c r="E59" s="75"/>
      <c r="F59" s="75"/>
      <c r="G59" s="75"/>
      <c r="H59" s="75" t="s">
        <v>15</v>
      </c>
      <c r="I59" s="120">
        <v>145.21</v>
      </c>
      <c r="J59" s="75">
        <v>26008.560000000001</v>
      </c>
      <c r="K59" s="91" t="s">
        <v>166</v>
      </c>
      <c r="L59" s="73"/>
      <c r="M59" s="46">
        <v>0</v>
      </c>
      <c r="N59" s="46">
        <v>0</v>
      </c>
      <c r="O59" s="46">
        <v>0</v>
      </c>
      <c r="P59" s="98"/>
      <c r="Q59" s="23" t="s">
        <v>1388</v>
      </c>
      <c r="R59" s="24" t="s">
        <v>165</v>
      </c>
      <c r="S59" s="25" t="s">
        <v>103</v>
      </c>
      <c r="T59" s="26">
        <v>179.11</v>
      </c>
      <c r="U59" s="26">
        <v>179.11</v>
      </c>
      <c r="V59" s="26">
        <f t="shared" si="10"/>
        <v>145.21</v>
      </c>
      <c r="W59" s="26">
        <f t="shared" si="8"/>
        <v>0</v>
      </c>
      <c r="X59" s="26">
        <f t="shared" si="3"/>
        <v>0</v>
      </c>
      <c r="Y59" s="26">
        <f t="shared" si="11"/>
        <v>0</v>
      </c>
      <c r="Z59" s="26">
        <f t="shared" si="4"/>
        <v>0</v>
      </c>
      <c r="AA59" s="33" t="s">
        <v>15</v>
      </c>
      <c r="AB59" s="36" t="s">
        <v>16</v>
      </c>
      <c r="AC59" s="181">
        <f t="shared" si="5"/>
        <v>179.11</v>
      </c>
      <c r="AD59" s="181">
        <f t="shared" si="12"/>
        <v>26008.560000000001</v>
      </c>
      <c r="AE59" s="181">
        <v>1.2</v>
      </c>
      <c r="AF59" s="181">
        <v>1.2</v>
      </c>
      <c r="AG59" s="101" t="str">
        <f t="shared" si="6"/>
        <v/>
      </c>
      <c r="AH59" s="190">
        <v>0</v>
      </c>
      <c r="AI59" s="69">
        <f t="shared" si="7"/>
        <v>179.11</v>
      </c>
    </row>
    <row r="60" spans="1:35" s="69" customFormat="1" ht="26.1" hidden="1" customHeight="1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 t="s">
        <v>15</v>
      </c>
      <c r="I60" s="75">
        <v>2755.97</v>
      </c>
      <c r="J60" s="75">
        <v>2176665.11</v>
      </c>
      <c r="K60" s="91" t="s">
        <v>169</v>
      </c>
      <c r="L60" s="73"/>
      <c r="M60" s="46">
        <v>52</v>
      </c>
      <c r="N60" s="46">
        <v>143310.44</v>
      </c>
      <c r="O60" s="46">
        <v>143310.44</v>
      </c>
      <c r="P60" s="98"/>
      <c r="Q60" s="23" t="s">
        <v>1389</v>
      </c>
      <c r="R60" s="24" t="s">
        <v>168</v>
      </c>
      <c r="S60" s="25" t="s">
        <v>30</v>
      </c>
      <c r="T60" s="26">
        <v>789.8</v>
      </c>
      <c r="U60" s="26">
        <v>789.8</v>
      </c>
      <c r="V60" s="26">
        <f t="shared" si="10"/>
        <v>2755.97</v>
      </c>
      <c r="W60" s="128">
        <f t="shared" si="8"/>
        <v>112</v>
      </c>
      <c r="X60" s="26">
        <f t="shared" si="3"/>
        <v>164</v>
      </c>
      <c r="Y60" s="26">
        <f t="shared" si="11"/>
        <v>308668.64</v>
      </c>
      <c r="Z60" s="26">
        <f t="shared" si="4"/>
        <v>451979.08</v>
      </c>
      <c r="AA60" s="33" t="s">
        <v>15</v>
      </c>
      <c r="AB60" s="36" t="s">
        <v>16</v>
      </c>
      <c r="AC60" s="181">
        <f t="shared" si="5"/>
        <v>789.8</v>
      </c>
      <c r="AD60" s="181">
        <f t="shared" si="12"/>
        <v>2176665.11</v>
      </c>
      <c r="AE60" s="181">
        <v>1.2</v>
      </c>
      <c r="AF60" s="181">
        <v>1.2</v>
      </c>
      <c r="AG60" s="101" t="str">
        <f t="shared" si="6"/>
        <v/>
      </c>
      <c r="AH60" s="191">
        <v>164</v>
      </c>
      <c r="AI60" s="69">
        <f t="shared" si="7"/>
        <v>789.8</v>
      </c>
    </row>
    <row r="61" spans="1:35" s="69" customFormat="1" ht="26.1" hidden="1" customHeight="1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 t="s">
        <v>15</v>
      </c>
      <c r="I61" s="75">
        <v>576.79999999999995</v>
      </c>
      <c r="J61" s="75">
        <v>18053.84</v>
      </c>
      <c r="K61" s="91" t="s">
        <v>172</v>
      </c>
      <c r="L61" s="73"/>
      <c r="M61" s="46">
        <v>0</v>
      </c>
      <c r="N61" s="46">
        <v>0</v>
      </c>
      <c r="O61" s="46">
        <v>0</v>
      </c>
      <c r="P61" s="98"/>
      <c r="Q61" s="23" t="s">
        <v>1390</v>
      </c>
      <c r="R61" s="24" t="s">
        <v>171</v>
      </c>
      <c r="S61" s="25" t="s">
        <v>30</v>
      </c>
      <c r="T61" s="26">
        <v>31.3</v>
      </c>
      <c r="U61" s="26">
        <v>31.3</v>
      </c>
      <c r="V61" s="26">
        <f t="shared" si="10"/>
        <v>576.79999999999995</v>
      </c>
      <c r="W61" s="26">
        <f t="shared" si="8"/>
        <v>0</v>
      </c>
      <c r="X61" s="26">
        <f t="shared" si="3"/>
        <v>0</v>
      </c>
      <c r="Y61" s="26">
        <f t="shared" si="11"/>
        <v>0</v>
      </c>
      <c r="Z61" s="26">
        <f t="shared" si="4"/>
        <v>0</v>
      </c>
      <c r="AA61" s="33" t="s">
        <v>15</v>
      </c>
      <c r="AB61" s="36" t="s">
        <v>16</v>
      </c>
      <c r="AC61" s="181">
        <f t="shared" si="5"/>
        <v>31.3</v>
      </c>
      <c r="AD61" s="181">
        <f t="shared" si="12"/>
        <v>18053.84</v>
      </c>
      <c r="AE61" s="181">
        <v>1.2</v>
      </c>
      <c r="AF61" s="181">
        <v>1.2</v>
      </c>
      <c r="AG61" s="101" t="str">
        <f t="shared" si="6"/>
        <v/>
      </c>
      <c r="AH61" s="190">
        <v>0</v>
      </c>
      <c r="AI61" s="69">
        <f t="shared" si="7"/>
        <v>31.3</v>
      </c>
    </row>
    <row r="62" spans="1:35" s="69" customFormat="1" ht="26.1" hidden="1" customHeight="1" x14ac:dyDescent="0.3">
      <c r="A62" s="55" t="s">
        <v>173</v>
      </c>
      <c r="B62" s="215" t="s">
        <v>174</v>
      </c>
      <c r="C62" s="54" t="s">
        <v>30</v>
      </c>
      <c r="D62" s="75">
        <v>360.35</v>
      </c>
      <c r="E62" s="75"/>
      <c r="F62" s="75"/>
      <c r="G62" s="75"/>
      <c r="H62" s="75" t="s">
        <v>15</v>
      </c>
      <c r="I62" s="75">
        <v>615.34</v>
      </c>
      <c r="J62" s="75">
        <v>221737.77</v>
      </c>
      <c r="K62" s="91" t="s">
        <v>175</v>
      </c>
      <c r="L62" s="73"/>
      <c r="M62" s="46">
        <v>132</v>
      </c>
      <c r="N62" s="46">
        <v>18460.200000000004</v>
      </c>
      <c r="O62" s="46">
        <v>81224.88</v>
      </c>
      <c r="P62" s="98"/>
      <c r="Q62" s="23" t="s">
        <v>1391</v>
      </c>
      <c r="R62" s="24" t="s">
        <v>174</v>
      </c>
      <c r="S62" s="25" t="s">
        <v>30</v>
      </c>
      <c r="T62" s="26">
        <v>360.35</v>
      </c>
      <c r="U62" s="26">
        <v>360.35</v>
      </c>
      <c r="V62" s="26">
        <f t="shared" si="10"/>
        <v>615.34</v>
      </c>
      <c r="W62" s="128">
        <f t="shared" si="8"/>
        <v>0</v>
      </c>
      <c r="X62" s="26">
        <f t="shared" si="3"/>
        <v>132</v>
      </c>
      <c r="Y62" s="26">
        <f t="shared" si="11"/>
        <v>0</v>
      </c>
      <c r="Z62" s="26">
        <f t="shared" si="4"/>
        <v>81224.88</v>
      </c>
      <c r="AA62" s="33" t="s">
        <v>15</v>
      </c>
      <c r="AB62" s="36" t="s">
        <v>16</v>
      </c>
      <c r="AC62" s="181">
        <f t="shared" si="5"/>
        <v>360.35</v>
      </c>
      <c r="AD62" s="181">
        <f t="shared" si="12"/>
        <v>221737.77</v>
      </c>
      <c r="AE62" s="181">
        <v>1.2</v>
      </c>
      <c r="AF62" s="181">
        <v>1.2</v>
      </c>
      <c r="AG62" s="101" t="str">
        <f t="shared" si="6"/>
        <v/>
      </c>
      <c r="AH62" s="191">
        <v>132</v>
      </c>
      <c r="AI62" s="69">
        <f t="shared" si="7"/>
        <v>360.35</v>
      </c>
    </row>
    <row r="63" spans="1:35" s="69" customFormat="1" ht="26.1" hidden="1" customHeight="1" x14ac:dyDescent="0.3">
      <c r="A63" s="55" t="s">
        <v>176</v>
      </c>
      <c r="B63" s="215" t="s">
        <v>177</v>
      </c>
      <c r="C63" s="54" t="s">
        <v>30</v>
      </c>
      <c r="D63" s="75">
        <v>691.14</v>
      </c>
      <c r="E63" s="75"/>
      <c r="F63" s="75"/>
      <c r="G63" s="75"/>
      <c r="H63" s="75" t="s">
        <v>15</v>
      </c>
      <c r="I63" s="75">
        <v>685.3</v>
      </c>
      <c r="J63" s="75">
        <v>473638.24</v>
      </c>
      <c r="K63" s="91" t="s">
        <v>178</v>
      </c>
      <c r="L63" s="73"/>
      <c r="M63" s="46">
        <v>421</v>
      </c>
      <c r="N63" s="46">
        <v>109648</v>
      </c>
      <c r="O63" s="46">
        <v>288511.3</v>
      </c>
      <c r="P63" s="98"/>
      <c r="Q63" s="23" t="s">
        <v>1436</v>
      </c>
      <c r="R63" s="24" t="s">
        <v>177</v>
      </c>
      <c r="S63" s="25" t="s">
        <v>30</v>
      </c>
      <c r="T63" s="26">
        <v>691.14</v>
      </c>
      <c r="U63" s="26">
        <v>691.14</v>
      </c>
      <c r="V63" s="26">
        <f t="shared" si="10"/>
        <v>685.3</v>
      </c>
      <c r="W63" s="128">
        <f t="shared" si="8"/>
        <v>0</v>
      </c>
      <c r="X63" s="26">
        <f t="shared" si="3"/>
        <v>421</v>
      </c>
      <c r="Y63" s="26">
        <f t="shared" si="11"/>
        <v>0</v>
      </c>
      <c r="Z63" s="26">
        <f t="shared" si="4"/>
        <v>288511.3</v>
      </c>
      <c r="AA63" s="33" t="s">
        <v>15</v>
      </c>
      <c r="AB63" s="36" t="s">
        <v>16</v>
      </c>
      <c r="AC63" s="181">
        <f t="shared" si="5"/>
        <v>691.14</v>
      </c>
      <c r="AD63" s="181">
        <f t="shared" si="12"/>
        <v>473638.24</v>
      </c>
      <c r="AE63" s="181">
        <v>1.2</v>
      </c>
      <c r="AF63" s="181">
        <v>1.2</v>
      </c>
      <c r="AG63" s="101" t="str">
        <f t="shared" si="6"/>
        <v/>
      </c>
      <c r="AH63" s="191">
        <v>421</v>
      </c>
      <c r="AI63" s="69">
        <f t="shared" si="7"/>
        <v>691.14</v>
      </c>
    </row>
    <row r="64" spans="1:35" s="69" customFormat="1" ht="26.1" hidden="1" customHeight="1" x14ac:dyDescent="0.3">
      <c r="A64" s="55" t="s">
        <v>179</v>
      </c>
      <c r="B64" s="215" t="s">
        <v>180</v>
      </c>
      <c r="C64" s="54" t="s">
        <v>30</v>
      </c>
      <c r="D64" s="75">
        <v>890.62</v>
      </c>
      <c r="E64" s="75"/>
      <c r="F64" s="75"/>
      <c r="G64" s="75"/>
      <c r="H64" s="75" t="s">
        <v>15</v>
      </c>
      <c r="I64" s="75">
        <v>699.72</v>
      </c>
      <c r="J64" s="75">
        <v>623184.63</v>
      </c>
      <c r="K64" s="91" t="s">
        <v>181</v>
      </c>
      <c r="L64" s="73"/>
      <c r="M64" s="46">
        <v>457</v>
      </c>
      <c r="N64" s="46">
        <v>125949.59999999998</v>
      </c>
      <c r="O64" s="46">
        <v>319772.03999999998</v>
      </c>
      <c r="P64" s="98"/>
      <c r="Q64" s="23" t="s">
        <v>1374</v>
      </c>
      <c r="R64" s="24" t="s">
        <v>180</v>
      </c>
      <c r="S64" s="25" t="s">
        <v>30</v>
      </c>
      <c r="T64" s="26">
        <v>890.62</v>
      </c>
      <c r="U64" s="26">
        <v>890.62</v>
      </c>
      <c r="V64" s="26">
        <f t="shared" si="10"/>
        <v>699.72</v>
      </c>
      <c r="W64" s="128">
        <f t="shared" si="8"/>
        <v>0</v>
      </c>
      <c r="X64" s="26">
        <f t="shared" si="3"/>
        <v>457</v>
      </c>
      <c r="Y64" s="26">
        <f t="shared" si="11"/>
        <v>0</v>
      </c>
      <c r="Z64" s="26">
        <f t="shared" si="4"/>
        <v>319772.03999999998</v>
      </c>
      <c r="AA64" s="33" t="s">
        <v>15</v>
      </c>
      <c r="AB64" s="36" t="s">
        <v>16</v>
      </c>
      <c r="AC64" s="181">
        <f t="shared" si="5"/>
        <v>890.62</v>
      </c>
      <c r="AD64" s="181">
        <f t="shared" si="12"/>
        <v>623184.63</v>
      </c>
      <c r="AE64" s="181">
        <v>1.2</v>
      </c>
      <c r="AF64" s="181">
        <v>1.2</v>
      </c>
      <c r="AG64" s="101" t="str">
        <f t="shared" si="6"/>
        <v/>
      </c>
      <c r="AH64" s="191">
        <v>457</v>
      </c>
      <c r="AI64" s="69">
        <f t="shared" si="7"/>
        <v>890.62</v>
      </c>
    </row>
    <row r="65" spans="1:35" s="69" customFormat="1" ht="26.1" hidden="1" customHeight="1" x14ac:dyDescent="0.3">
      <c r="A65" s="55" t="s">
        <v>182</v>
      </c>
      <c r="B65" s="53" t="s">
        <v>183</v>
      </c>
      <c r="C65" s="54" t="s">
        <v>30</v>
      </c>
      <c r="D65" s="75">
        <v>85.77</v>
      </c>
      <c r="E65" s="75"/>
      <c r="F65" s="75"/>
      <c r="G65" s="75"/>
      <c r="H65" s="75" t="s">
        <v>15</v>
      </c>
      <c r="I65" s="75">
        <v>1199.33</v>
      </c>
      <c r="J65" s="75">
        <v>102866.53</v>
      </c>
      <c r="K65" s="91" t="s">
        <v>184</v>
      </c>
      <c r="L65" s="73"/>
      <c r="M65" s="46">
        <v>0</v>
      </c>
      <c r="N65" s="46">
        <v>0</v>
      </c>
      <c r="O65" s="46">
        <v>0</v>
      </c>
      <c r="P65" s="98"/>
      <c r="Q65" s="23" t="s">
        <v>1376</v>
      </c>
      <c r="R65" s="24" t="s">
        <v>183</v>
      </c>
      <c r="S65" s="25" t="s">
        <v>30</v>
      </c>
      <c r="T65" s="26">
        <v>85.77</v>
      </c>
      <c r="U65" s="26">
        <v>85.77</v>
      </c>
      <c r="V65" s="26">
        <f t="shared" si="10"/>
        <v>1199.33</v>
      </c>
      <c r="W65" s="26">
        <f t="shared" si="8"/>
        <v>0</v>
      </c>
      <c r="X65" s="26">
        <f t="shared" si="3"/>
        <v>0</v>
      </c>
      <c r="Y65" s="26">
        <f t="shared" si="11"/>
        <v>0</v>
      </c>
      <c r="Z65" s="26">
        <f t="shared" si="4"/>
        <v>0</v>
      </c>
      <c r="AA65" s="33" t="s">
        <v>15</v>
      </c>
      <c r="AB65" s="36" t="s">
        <v>16</v>
      </c>
      <c r="AC65" s="181">
        <f t="shared" si="5"/>
        <v>85.77</v>
      </c>
      <c r="AD65" s="181">
        <f t="shared" si="12"/>
        <v>102866.53</v>
      </c>
      <c r="AE65" s="181">
        <v>1.2</v>
      </c>
      <c r="AF65" s="181">
        <v>1.2</v>
      </c>
      <c r="AG65" s="101" t="str">
        <f t="shared" si="6"/>
        <v/>
      </c>
      <c r="AH65" s="190">
        <v>0</v>
      </c>
      <c r="AI65" s="69">
        <f t="shared" si="7"/>
        <v>85.77</v>
      </c>
    </row>
    <row r="66" spans="1:35" s="69" customFormat="1" ht="26.1" hidden="1" customHeight="1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 t="s">
        <v>15</v>
      </c>
      <c r="I66" s="75">
        <v>57.68</v>
      </c>
      <c r="J66" s="75">
        <v>10833.46</v>
      </c>
      <c r="K66" s="91" t="s">
        <v>187</v>
      </c>
      <c r="L66" s="73"/>
      <c r="M66" s="46">
        <v>0</v>
      </c>
      <c r="N66" s="46">
        <v>0</v>
      </c>
      <c r="O66" s="46">
        <v>0</v>
      </c>
      <c r="P66" s="98"/>
      <c r="Q66" s="23" t="s">
        <v>1378</v>
      </c>
      <c r="R66" s="24" t="s">
        <v>186</v>
      </c>
      <c r="S66" s="25" t="s">
        <v>30</v>
      </c>
      <c r="T66" s="26">
        <v>187.82</v>
      </c>
      <c r="U66" s="26">
        <v>187.82</v>
      </c>
      <c r="V66" s="26">
        <f t="shared" si="10"/>
        <v>57.68</v>
      </c>
      <c r="W66" s="26">
        <f t="shared" si="8"/>
        <v>0</v>
      </c>
      <c r="X66" s="26">
        <f t="shared" si="3"/>
        <v>0</v>
      </c>
      <c r="Y66" s="26">
        <f t="shared" si="11"/>
        <v>0</v>
      </c>
      <c r="Z66" s="26">
        <f t="shared" si="4"/>
        <v>0</v>
      </c>
      <c r="AA66" s="33" t="s">
        <v>15</v>
      </c>
      <c r="AB66" s="36" t="s">
        <v>16</v>
      </c>
      <c r="AC66" s="181">
        <f t="shared" si="5"/>
        <v>187.82</v>
      </c>
      <c r="AD66" s="181">
        <f t="shared" si="12"/>
        <v>10833.46</v>
      </c>
      <c r="AE66" s="181">
        <v>1.2</v>
      </c>
      <c r="AF66" s="181">
        <v>1.2</v>
      </c>
      <c r="AG66" s="101" t="str">
        <f t="shared" si="6"/>
        <v/>
      </c>
      <c r="AH66" s="190">
        <v>0</v>
      </c>
      <c r="AI66" s="69">
        <f t="shared" si="7"/>
        <v>187.82</v>
      </c>
    </row>
    <row r="67" spans="1:35" s="69" customFormat="1" ht="26.1" hidden="1" customHeight="1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 t="s">
        <v>15</v>
      </c>
      <c r="I67" s="75">
        <v>138.84</v>
      </c>
      <c r="J67" s="75">
        <v>2611.58</v>
      </c>
      <c r="K67" s="91" t="s">
        <v>190</v>
      </c>
      <c r="L67" s="73"/>
      <c r="M67" s="46">
        <v>0</v>
      </c>
      <c r="N67" s="46">
        <v>0</v>
      </c>
      <c r="O67" s="46">
        <v>0</v>
      </c>
      <c r="P67" s="98"/>
      <c r="Q67" s="23" t="s">
        <v>1438</v>
      </c>
      <c r="R67" s="24" t="s">
        <v>189</v>
      </c>
      <c r="S67" s="25" t="s">
        <v>30</v>
      </c>
      <c r="T67" s="26">
        <v>18.809999999999999</v>
      </c>
      <c r="U67" s="26">
        <v>18.809999999999999</v>
      </c>
      <c r="V67" s="26">
        <f t="shared" si="10"/>
        <v>138.84</v>
      </c>
      <c r="W67" s="26">
        <f t="shared" si="8"/>
        <v>0</v>
      </c>
      <c r="X67" s="26">
        <f t="shared" si="3"/>
        <v>0</v>
      </c>
      <c r="Y67" s="26">
        <f t="shared" si="11"/>
        <v>0</v>
      </c>
      <c r="Z67" s="26">
        <f t="shared" si="4"/>
        <v>0</v>
      </c>
      <c r="AA67" s="33" t="s">
        <v>15</v>
      </c>
      <c r="AB67" s="36" t="s">
        <v>16</v>
      </c>
      <c r="AC67" s="181">
        <f t="shared" si="5"/>
        <v>18.809999999999999</v>
      </c>
      <c r="AD67" s="181">
        <f t="shared" si="12"/>
        <v>2611.58</v>
      </c>
      <c r="AE67" s="181">
        <v>1.2</v>
      </c>
      <c r="AF67" s="181">
        <v>1.2</v>
      </c>
      <c r="AG67" s="101" t="str">
        <f t="shared" si="6"/>
        <v/>
      </c>
      <c r="AH67" s="190">
        <v>0</v>
      </c>
      <c r="AI67" s="69">
        <f t="shared" si="7"/>
        <v>18.809999999999999</v>
      </c>
    </row>
    <row r="68" spans="1:35" s="69" customFormat="1" ht="26.1" hidden="1" customHeight="1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 t="s">
        <v>15</v>
      </c>
      <c r="I68" s="75">
        <v>2145.42</v>
      </c>
      <c r="J68" s="75">
        <v>43938.2</v>
      </c>
      <c r="K68" s="91" t="s">
        <v>193</v>
      </c>
      <c r="L68" s="73"/>
      <c r="M68" s="46">
        <v>0</v>
      </c>
      <c r="N68" s="46">
        <v>0</v>
      </c>
      <c r="O68" s="46">
        <v>0</v>
      </c>
      <c r="P68" s="98"/>
      <c r="Q68" s="23" t="s">
        <v>1439</v>
      </c>
      <c r="R68" s="24" t="s">
        <v>192</v>
      </c>
      <c r="S68" s="25" t="s">
        <v>50</v>
      </c>
      <c r="T68" s="26">
        <v>20.48</v>
      </c>
      <c r="U68" s="26">
        <v>20.48</v>
      </c>
      <c r="V68" s="26">
        <f t="shared" si="10"/>
        <v>2145.42</v>
      </c>
      <c r="W68" s="26">
        <f t="shared" si="8"/>
        <v>0</v>
      </c>
      <c r="X68" s="26">
        <f t="shared" si="3"/>
        <v>0</v>
      </c>
      <c r="Y68" s="26">
        <f t="shared" si="11"/>
        <v>0</v>
      </c>
      <c r="Z68" s="26">
        <f t="shared" si="4"/>
        <v>0</v>
      </c>
      <c r="AA68" s="33" t="s">
        <v>15</v>
      </c>
      <c r="AB68" s="36" t="s">
        <v>16</v>
      </c>
      <c r="AC68" s="181">
        <f t="shared" si="5"/>
        <v>20.48</v>
      </c>
      <c r="AD68" s="181">
        <f t="shared" si="12"/>
        <v>43938.2</v>
      </c>
      <c r="AE68" s="181">
        <v>1.2</v>
      </c>
      <c r="AF68" s="181">
        <v>1.2</v>
      </c>
      <c r="AG68" s="101" t="str">
        <f t="shared" si="6"/>
        <v/>
      </c>
      <c r="AH68" s="190">
        <v>0</v>
      </c>
      <c r="AI68" s="69">
        <f t="shared" si="7"/>
        <v>20.48</v>
      </c>
    </row>
    <row r="69" spans="1:35" s="69" customFormat="1" ht="26.1" hidden="1" customHeight="1" x14ac:dyDescent="0.3">
      <c r="A69" s="55" t="s">
        <v>194</v>
      </c>
      <c r="B69" s="53" t="s">
        <v>195</v>
      </c>
      <c r="C69" s="54" t="s">
        <v>30</v>
      </c>
      <c r="D69" s="75">
        <v>354.7</v>
      </c>
      <c r="E69" s="75"/>
      <c r="F69" s="75"/>
      <c r="G69" s="75"/>
      <c r="H69" s="75" t="s">
        <v>15</v>
      </c>
      <c r="I69" s="75">
        <v>511.4</v>
      </c>
      <c r="J69" s="75">
        <v>181393.58</v>
      </c>
      <c r="K69" s="91" t="s">
        <v>3143</v>
      </c>
      <c r="L69" s="73"/>
      <c r="M69" s="46">
        <v>0</v>
      </c>
      <c r="N69" s="46">
        <v>0</v>
      </c>
      <c r="O69" s="46">
        <v>0</v>
      </c>
      <c r="P69" s="98"/>
      <c r="Q69" s="23" t="s">
        <v>1440</v>
      </c>
      <c r="R69" s="24" t="s">
        <v>195</v>
      </c>
      <c r="S69" s="25" t="s">
        <v>30</v>
      </c>
      <c r="T69" s="26">
        <v>354.7</v>
      </c>
      <c r="U69" s="26">
        <v>354.7</v>
      </c>
      <c r="V69" s="26">
        <f t="shared" si="10"/>
        <v>511.4</v>
      </c>
      <c r="W69" s="26">
        <f t="shared" si="8"/>
        <v>0</v>
      </c>
      <c r="X69" s="26">
        <f t="shared" si="3"/>
        <v>0</v>
      </c>
      <c r="Y69" s="26">
        <f t="shared" si="11"/>
        <v>0</v>
      </c>
      <c r="Z69" s="26">
        <f t="shared" si="4"/>
        <v>0</v>
      </c>
      <c r="AA69" s="33" t="s">
        <v>15</v>
      </c>
      <c r="AB69" s="36" t="s">
        <v>16</v>
      </c>
      <c r="AC69" s="181">
        <f t="shared" si="5"/>
        <v>354.7</v>
      </c>
      <c r="AD69" s="181">
        <f t="shared" si="12"/>
        <v>181393.58</v>
      </c>
      <c r="AE69" s="181">
        <v>1.2</v>
      </c>
      <c r="AF69" s="181">
        <v>1.2</v>
      </c>
      <c r="AG69" s="101" t="str">
        <f t="shared" si="6"/>
        <v/>
      </c>
      <c r="AH69" s="190">
        <v>0</v>
      </c>
      <c r="AI69" s="69">
        <f t="shared" si="7"/>
        <v>354.7</v>
      </c>
    </row>
    <row r="70" spans="1:35" s="69" customFormat="1" ht="26.1" hidden="1" customHeight="1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 t="s">
        <v>15</v>
      </c>
      <c r="I70" s="75">
        <v>578.86</v>
      </c>
      <c r="J70" s="75">
        <v>25875.040000000001</v>
      </c>
      <c r="K70" s="91" t="s">
        <v>199</v>
      </c>
      <c r="L70" s="73"/>
      <c r="M70" s="46">
        <v>0</v>
      </c>
      <c r="N70" s="46">
        <v>0</v>
      </c>
      <c r="O70" s="46">
        <v>0</v>
      </c>
      <c r="P70" s="98"/>
      <c r="Q70" s="23" t="s">
        <v>1441</v>
      </c>
      <c r="R70" s="24" t="s">
        <v>198</v>
      </c>
      <c r="S70" s="25" t="s">
        <v>30</v>
      </c>
      <c r="T70" s="26">
        <v>44.7</v>
      </c>
      <c r="U70" s="26">
        <v>44.7</v>
      </c>
      <c r="V70" s="26">
        <f t="shared" si="10"/>
        <v>578.86</v>
      </c>
      <c r="W70" s="26">
        <f t="shared" si="8"/>
        <v>0</v>
      </c>
      <c r="X70" s="26">
        <f t="shared" si="3"/>
        <v>0</v>
      </c>
      <c r="Y70" s="26">
        <f t="shared" si="11"/>
        <v>0</v>
      </c>
      <c r="Z70" s="26">
        <f t="shared" si="4"/>
        <v>0</v>
      </c>
      <c r="AA70" s="33" t="s">
        <v>15</v>
      </c>
      <c r="AB70" s="36" t="s">
        <v>16</v>
      </c>
      <c r="AC70" s="181">
        <f t="shared" si="5"/>
        <v>44.7</v>
      </c>
      <c r="AD70" s="181">
        <f t="shared" si="12"/>
        <v>25875.040000000001</v>
      </c>
      <c r="AE70" s="181">
        <v>1.2</v>
      </c>
      <c r="AF70" s="181">
        <v>1.2</v>
      </c>
      <c r="AG70" s="101" t="str">
        <f t="shared" si="6"/>
        <v/>
      </c>
      <c r="AH70" s="190">
        <v>0</v>
      </c>
      <c r="AI70" s="69">
        <f t="shared" si="7"/>
        <v>44.7</v>
      </c>
    </row>
    <row r="71" spans="1:35" s="69" customFormat="1" ht="26.1" hidden="1" customHeight="1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 t="s">
        <v>15</v>
      </c>
      <c r="I71" s="75">
        <v>723.06</v>
      </c>
      <c r="J71" s="75">
        <v>22414.86</v>
      </c>
      <c r="K71" s="91" t="s">
        <v>202</v>
      </c>
      <c r="L71" s="73"/>
      <c r="M71" s="46">
        <v>0</v>
      </c>
      <c r="N71" s="46">
        <v>0</v>
      </c>
      <c r="O71" s="46">
        <v>0</v>
      </c>
      <c r="P71" s="98"/>
      <c r="Q71" s="23" t="s">
        <v>1442</v>
      </c>
      <c r="R71" s="24" t="s">
        <v>201</v>
      </c>
      <c r="S71" s="25" t="s">
        <v>30</v>
      </c>
      <c r="T71" s="26">
        <v>31</v>
      </c>
      <c r="U71" s="26">
        <v>31</v>
      </c>
      <c r="V71" s="26">
        <f t="shared" si="10"/>
        <v>723.06</v>
      </c>
      <c r="W71" s="26">
        <f t="shared" si="8"/>
        <v>0</v>
      </c>
      <c r="X71" s="26">
        <f t="shared" si="3"/>
        <v>0</v>
      </c>
      <c r="Y71" s="26">
        <f t="shared" si="11"/>
        <v>0</v>
      </c>
      <c r="Z71" s="26">
        <f t="shared" si="4"/>
        <v>0</v>
      </c>
      <c r="AA71" s="33" t="s">
        <v>15</v>
      </c>
      <c r="AB71" s="36" t="s">
        <v>16</v>
      </c>
      <c r="AC71" s="181">
        <f t="shared" si="5"/>
        <v>31</v>
      </c>
      <c r="AD71" s="181">
        <f t="shared" si="12"/>
        <v>22414.86</v>
      </c>
      <c r="AE71" s="181">
        <v>1.2</v>
      </c>
      <c r="AF71" s="181">
        <v>1.2</v>
      </c>
      <c r="AG71" s="101" t="str">
        <f t="shared" si="6"/>
        <v/>
      </c>
      <c r="AH71" s="190">
        <v>0</v>
      </c>
      <c r="AI71" s="69">
        <f t="shared" si="7"/>
        <v>31</v>
      </c>
    </row>
    <row r="72" spans="1:35" s="69" customFormat="1" ht="26.1" hidden="1" customHeight="1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 t="s">
        <v>15</v>
      </c>
      <c r="I72" s="75">
        <v>829.15</v>
      </c>
      <c r="J72" s="75">
        <v>15007.62</v>
      </c>
      <c r="K72" s="91" t="s">
        <v>205</v>
      </c>
      <c r="L72" s="73"/>
      <c r="M72" s="46">
        <v>0</v>
      </c>
      <c r="N72" s="46">
        <v>0</v>
      </c>
      <c r="O72" s="46">
        <v>0</v>
      </c>
      <c r="P72" s="98"/>
      <c r="Q72" s="23" t="s">
        <v>1443</v>
      </c>
      <c r="R72" s="24" t="s">
        <v>204</v>
      </c>
      <c r="S72" s="25" t="s">
        <v>30</v>
      </c>
      <c r="T72" s="26">
        <v>18.100000000000001</v>
      </c>
      <c r="U72" s="26">
        <v>18.100000000000001</v>
      </c>
      <c r="V72" s="26">
        <f t="shared" si="10"/>
        <v>829.15</v>
      </c>
      <c r="W72" s="26">
        <f t="shared" si="8"/>
        <v>0</v>
      </c>
      <c r="X72" s="26">
        <f t="shared" si="3"/>
        <v>0</v>
      </c>
      <c r="Y72" s="26">
        <f t="shared" si="11"/>
        <v>0</v>
      </c>
      <c r="Z72" s="26">
        <f t="shared" si="4"/>
        <v>0</v>
      </c>
      <c r="AA72" s="33" t="s">
        <v>15</v>
      </c>
      <c r="AB72" s="36" t="s">
        <v>16</v>
      </c>
      <c r="AC72" s="181">
        <f t="shared" si="5"/>
        <v>18.100000000000001</v>
      </c>
      <c r="AD72" s="181">
        <f t="shared" si="12"/>
        <v>15007.62</v>
      </c>
      <c r="AE72" s="181">
        <v>1.2</v>
      </c>
      <c r="AF72" s="181">
        <v>1.2</v>
      </c>
      <c r="AG72" s="101" t="str">
        <f t="shared" si="6"/>
        <v/>
      </c>
      <c r="AH72" s="190">
        <v>0</v>
      </c>
      <c r="AI72" s="69">
        <f t="shared" si="7"/>
        <v>18.100000000000001</v>
      </c>
    </row>
    <row r="73" spans="1:35" s="69" customFormat="1" ht="26.1" hidden="1" customHeight="1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 t="s">
        <v>15</v>
      </c>
      <c r="I73" s="75">
        <v>443.93</v>
      </c>
      <c r="J73" s="75">
        <v>80084.97</v>
      </c>
      <c r="K73" s="91" t="s">
        <v>208</v>
      </c>
      <c r="L73" s="73"/>
      <c r="M73" s="46">
        <v>0</v>
      </c>
      <c r="N73" s="46">
        <v>0</v>
      </c>
      <c r="O73" s="46">
        <v>0</v>
      </c>
      <c r="P73" s="98"/>
      <c r="Q73" s="23" t="s">
        <v>1444</v>
      </c>
      <c r="R73" s="24" t="s">
        <v>207</v>
      </c>
      <c r="S73" s="25" t="s">
        <v>30</v>
      </c>
      <c r="T73" s="26">
        <v>180.4</v>
      </c>
      <c r="U73" s="26">
        <v>180.4</v>
      </c>
      <c r="V73" s="26">
        <f t="shared" si="10"/>
        <v>443.93</v>
      </c>
      <c r="W73" s="26">
        <f t="shared" si="8"/>
        <v>0</v>
      </c>
      <c r="X73" s="26">
        <f t="shared" si="3"/>
        <v>0</v>
      </c>
      <c r="Y73" s="26">
        <f t="shared" si="11"/>
        <v>0</v>
      </c>
      <c r="Z73" s="26">
        <f t="shared" si="4"/>
        <v>0</v>
      </c>
      <c r="AA73" s="33" t="s">
        <v>15</v>
      </c>
      <c r="AB73" s="36" t="s">
        <v>16</v>
      </c>
      <c r="AC73" s="181">
        <f t="shared" si="5"/>
        <v>180.4</v>
      </c>
      <c r="AD73" s="181">
        <f t="shared" si="12"/>
        <v>80084.97</v>
      </c>
      <c r="AE73" s="181">
        <v>1.2</v>
      </c>
      <c r="AF73" s="181">
        <v>1.2</v>
      </c>
      <c r="AG73" s="101" t="str">
        <f t="shared" si="6"/>
        <v/>
      </c>
      <c r="AH73" s="190">
        <v>0</v>
      </c>
      <c r="AI73" s="69">
        <f t="shared" si="7"/>
        <v>180.4</v>
      </c>
    </row>
    <row r="74" spans="1:35" s="69" customFormat="1" ht="26.1" hidden="1" customHeight="1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 t="s">
        <v>15</v>
      </c>
      <c r="I74" s="75">
        <v>578.86</v>
      </c>
      <c r="J74" s="75">
        <v>14818.82</v>
      </c>
      <c r="K74" s="91" t="s">
        <v>211</v>
      </c>
      <c r="L74" s="73"/>
      <c r="M74" s="46">
        <v>0</v>
      </c>
      <c r="N74" s="46">
        <v>0</v>
      </c>
      <c r="O74" s="46">
        <v>0</v>
      </c>
      <c r="P74" s="98"/>
      <c r="Q74" s="23" t="s">
        <v>1408</v>
      </c>
      <c r="R74" s="24" t="s">
        <v>210</v>
      </c>
      <c r="S74" s="25" t="s">
        <v>30</v>
      </c>
      <c r="T74" s="26">
        <v>25.6</v>
      </c>
      <c r="U74" s="26">
        <v>25.6</v>
      </c>
      <c r="V74" s="26">
        <f t="shared" si="10"/>
        <v>578.86</v>
      </c>
      <c r="W74" s="26">
        <f t="shared" si="8"/>
        <v>0</v>
      </c>
      <c r="X74" s="26">
        <f t="shared" si="3"/>
        <v>0</v>
      </c>
      <c r="Y74" s="26">
        <f t="shared" si="11"/>
        <v>0</v>
      </c>
      <c r="Z74" s="26">
        <f t="shared" si="4"/>
        <v>0</v>
      </c>
      <c r="AA74" s="33" t="s">
        <v>15</v>
      </c>
      <c r="AB74" s="36" t="s">
        <v>16</v>
      </c>
      <c r="AC74" s="181">
        <f t="shared" si="5"/>
        <v>25.6</v>
      </c>
      <c r="AD74" s="181">
        <f t="shared" si="12"/>
        <v>14818.82</v>
      </c>
      <c r="AE74" s="181">
        <v>1.2</v>
      </c>
      <c r="AF74" s="181">
        <v>1.2</v>
      </c>
      <c r="AG74" s="101" t="str">
        <f t="shared" si="6"/>
        <v/>
      </c>
      <c r="AH74" s="190">
        <v>0</v>
      </c>
      <c r="AI74" s="69">
        <f t="shared" si="7"/>
        <v>25.6</v>
      </c>
    </row>
    <row r="75" spans="1:35" s="69" customFormat="1" ht="26.1" hidden="1" customHeight="1" x14ac:dyDescent="0.3">
      <c r="A75" s="55" t="s">
        <v>212</v>
      </c>
      <c r="B75" s="53" t="s">
        <v>213</v>
      </c>
      <c r="C75" s="54" t="s">
        <v>81</v>
      </c>
      <c r="D75" s="75">
        <v>7</v>
      </c>
      <c r="E75" s="75"/>
      <c r="F75" s="75"/>
      <c r="G75" s="75"/>
      <c r="H75" s="75" t="s">
        <v>15</v>
      </c>
      <c r="I75" s="75">
        <v>17307.09</v>
      </c>
      <c r="J75" s="75">
        <v>121149.63</v>
      </c>
      <c r="K75" s="91" t="s">
        <v>214</v>
      </c>
      <c r="L75" s="73"/>
      <c r="M75" s="46">
        <v>0</v>
      </c>
      <c r="N75" s="46">
        <v>0</v>
      </c>
      <c r="O75" s="46">
        <v>0</v>
      </c>
      <c r="P75" s="98"/>
      <c r="Q75" s="23" t="s">
        <v>1409</v>
      </c>
      <c r="R75" s="24" t="s">
        <v>213</v>
      </c>
      <c r="S75" s="25" t="s">
        <v>81</v>
      </c>
      <c r="T75" s="26">
        <v>7</v>
      </c>
      <c r="U75" s="26">
        <v>7</v>
      </c>
      <c r="V75" s="26">
        <f t="shared" si="10"/>
        <v>17307.09</v>
      </c>
      <c r="W75" s="26">
        <f t="shared" si="8"/>
        <v>0</v>
      </c>
      <c r="X75" s="26">
        <f t="shared" ref="X75:X132" si="13">W75+M75</f>
        <v>0</v>
      </c>
      <c r="Y75" s="26">
        <f t="shared" si="11"/>
        <v>0</v>
      </c>
      <c r="Z75" s="26">
        <f t="shared" ref="Z75:Z138" si="14">ROUND(V75*X75,2)</f>
        <v>0</v>
      </c>
      <c r="AA75" s="33" t="s">
        <v>15</v>
      </c>
      <c r="AB75" s="36" t="s">
        <v>16</v>
      </c>
      <c r="AC75" s="181">
        <f t="shared" ref="AC75:AC138" si="15">IF(U75="",T75,U75)</f>
        <v>7</v>
      </c>
      <c r="AD75" s="181">
        <f t="shared" si="12"/>
        <v>121149.63</v>
      </c>
      <c r="AE75" s="181">
        <v>1.2</v>
      </c>
      <c r="AF75" s="181">
        <v>1.2</v>
      </c>
      <c r="AG75" s="101" t="str">
        <f t="shared" ref="AG75:AG138" si="16">IF(X75&gt;AI75,"超估","")</f>
        <v/>
      </c>
      <c r="AH75" s="190">
        <v>0</v>
      </c>
      <c r="AI75" s="69">
        <f t="shared" ref="AI75:AI138" si="17">IF(G75=0,IF(F75=0,IF(E75=0,D75,E75),F75),G75)</f>
        <v>7</v>
      </c>
    </row>
    <row r="76" spans="1:35" s="69" customFormat="1" ht="26.1" hidden="1" customHeight="1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 t="s">
        <v>15</v>
      </c>
      <c r="I76" s="75">
        <v>443.93</v>
      </c>
      <c r="J76" s="75">
        <v>3462.65</v>
      </c>
      <c r="K76" s="91" t="s">
        <v>217</v>
      </c>
      <c r="L76" s="73"/>
      <c r="M76" s="46">
        <v>0</v>
      </c>
      <c r="N76" s="46">
        <v>0</v>
      </c>
      <c r="O76" s="46">
        <v>0</v>
      </c>
      <c r="P76" s="98"/>
      <c r="Q76" s="23" t="s">
        <v>1410</v>
      </c>
      <c r="R76" s="24" t="s">
        <v>216</v>
      </c>
      <c r="S76" s="25" t="s">
        <v>30</v>
      </c>
      <c r="T76" s="26">
        <v>7.8</v>
      </c>
      <c r="U76" s="26">
        <v>7.8</v>
      </c>
      <c r="V76" s="26">
        <f t="shared" si="10"/>
        <v>443.93</v>
      </c>
      <c r="W76" s="26">
        <f t="shared" ref="W76:W132" si="18">AH76-M76</f>
        <v>0</v>
      </c>
      <c r="X76" s="26">
        <f t="shared" si="13"/>
        <v>0</v>
      </c>
      <c r="Y76" s="26">
        <f t="shared" si="11"/>
        <v>0</v>
      </c>
      <c r="Z76" s="26">
        <f t="shared" si="14"/>
        <v>0</v>
      </c>
      <c r="AA76" s="33" t="s">
        <v>15</v>
      </c>
      <c r="AB76" s="36" t="s">
        <v>16</v>
      </c>
      <c r="AC76" s="181">
        <f t="shared" si="15"/>
        <v>7.8</v>
      </c>
      <c r="AD76" s="181">
        <f t="shared" si="12"/>
        <v>3462.65</v>
      </c>
      <c r="AE76" s="181">
        <v>1.2</v>
      </c>
      <c r="AF76" s="181">
        <v>1.2</v>
      </c>
      <c r="AG76" s="101" t="str">
        <f t="shared" si="16"/>
        <v/>
      </c>
      <c r="AH76" s="190">
        <v>0</v>
      </c>
      <c r="AI76" s="69">
        <f t="shared" si="17"/>
        <v>7.8</v>
      </c>
    </row>
    <row r="77" spans="1:35" s="69" customFormat="1" ht="26.1" hidden="1" customHeight="1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 t="s">
        <v>15</v>
      </c>
      <c r="I77" s="75">
        <v>13705.7</v>
      </c>
      <c r="J77" s="75">
        <v>27411.4</v>
      </c>
      <c r="K77" s="91" t="s">
        <v>220</v>
      </c>
      <c r="L77" s="73"/>
      <c r="M77" s="46">
        <v>0</v>
      </c>
      <c r="N77" s="46">
        <v>0</v>
      </c>
      <c r="O77" s="46">
        <v>0</v>
      </c>
      <c r="P77" s="98"/>
      <c r="Q77" s="23" t="s">
        <v>1411</v>
      </c>
      <c r="R77" s="24" t="s">
        <v>219</v>
      </c>
      <c r="S77" s="25" t="s">
        <v>81</v>
      </c>
      <c r="T77" s="26">
        <v>2</v>
      </c>
      <c r="U77" s="26">
        <v>2</v>
      </c>
      <c r="V77" s="26">
        <f t="shared" si="10"/>
        <v>13705.7</v>
      </c>
      <c r="W77" s="26">
        <f t="shared" si="18"/>
        <v>0</v>
      </c>
      <c r="X77" s="26">
        <f t="shared" si="13"/>
        <v>0</v>
      </c>
      <c r="Y77" s="26">
        <f t="shared" si="11"/>
        <v>0</v>
      </c>
      <c r="Z77" s="26">
        <f t="shared" si="14"/>
        <v>0</v>
      </c>
      <c r="AA77" s="33" t="s">
        <v>15</v>
      </c>
      <c r="AB77" s="36" t="s">
        <v>16</v>
      </c>
      <c r="AC77" s="181">
        <f t="shared" si="15"/>
        <v>2</v>
      </c>
      <c r="AD77" s="181">
        <f t="shared" si="12"/>
        <v>27411.4</v>
      </c>
      <c r="AE77" s="181">
        <v>1.2</v>
      </c>
      <c r="AF77" s="181">
        <v>1.2</v>
      </c>
      <c r="AG77" s="101" t="str">
        <f t="shared" si="16"/>
        <v/>
      </c>
      <c r="AH77" s="190">
        <v>0</v>
      </c>
      <c r="AI77" s="69">
        <f t="shared" si="17"/>
        <v>2</v>
      </c>
    </row>
    <row r="78" spans="1:35" s="69" customFormat="1" ht="26.1" hidden="1" customHeight="1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 t="s">
        <v>15</v>
      </c>
      <c r="I78" s="75">
        <v>25126.95</v>
      </c>
      <c r="J78" s="75">
        <v>75380.850000000006</v>
      </c>
      <c r="K78" s="91" t="s">
        <v>223</v>
      </c>
      <c r="L78" s="73"/>
      <c r="M78" s="46">
        <v>0</v>
      </c>
      <c r="N78" s="46">
        <v>0</v>
      </c>
      <c r="O78" s="46">
        <v>0</v>
      </c>
      <c r="P78" s="98"/>
      <c r="Q78" s="23" t="s">
        <v>1445</v>
      </c>
      <c r="R78" s="24" t="s">
        <v>222</v>
      </c>
      <c r="S78" s="25" t="s">
        <v>81</v>
      </c>
      <c r="T78" s="26">
        <v>3</v>
      </c>
      <c r="U78" s="26">
        <v>3</v>
      </c>
      <c r="V78" s="26">
        <f t="shared" si="10"/>
        <v>25126.95</v>
      </c>
      <c r="W78" s="26">
        <f t="shared" si="18"/>
        <v>0</v>
      </c>
      <c r="X78" s="26">
        <f t="shared" si="13"/>
        <v>0</v>
      </c>
      <c r="Y78" s="26">
        <f t="shared" si="11"/>
        <v>0</v>
      </c>
      <c r="Z78" s="26">
        <f t="shared" si="14"/>
        <v>0</v>
      </c>
      <c r="AA78" s="33" t="s">
        <v>15</v>
      </c>
      <c r="AB78" s="36" t="s">
        <v>16</v>
      </c>
      <c r="AC78" s="181">
        <f t="shared" si="15"/>
        <v>3</v>
      </c>
      <c r="AD78" s="181">
        <f t="shared" si="12"/>
        <v>75380.850000000006</v>
      </c>
      <c r="AE78" s="181">
        <v>1.2</v>
      </c>
      <c r="AF78" s="181">
        <v>1.2</v>
      </c>
      <c r="AG78" s="101" t="str">
        <f t="shared" si="16"/>
        <v/>
      </c>
      <c r="AH78" s="190">
        <v>0</v>
      </c>
      <c r="AI78" s="69">
        <f t="shared" si="17"/>
        <v>3</v>
      </c>
    </row>
    <row r="79" spans="1:35" s="69" customFormat="1" ht="26.1" hidden="1" customHeight="1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 t="s">
        <v>15</v>
      </c>
      <c r="I79" s="75">
        <v>2901.57</v>
      </c>
      <c r="J79" s="75">
        <v>52228.26</v>
      </c>
      <c r="K79" s="91" t="s">
        <v>226</v>
      </c>
      <c r="L79" s="73"/>
      <c r="M79" s="46">
        <v>0</v>
      </c>
      <c r="N79" s="46">
        <v>0</v>
      </c>
      <c r="O79" s="46">
        <v>0</v>
      </c>
      <c r="P79" s="98"/>
      <c r="Q79" s="23" t="s">
        <v>1383</v>
      </c>
      <c r="R79" s="24" t="s">
        <v>225</v>
      </c>
      <c r="S79" s="25" t="s">
        <v>30</v>
      </c>
      <c r="T79" s="26">
        <v>18</v>
      </c>
      <c r="U79" s="26">
        <v>18</v>
      </c>
      <c r="V79" s="26">
        <f t="shared" si="10"/>
        <v>2901.57</v>
      </c>
      <c r="W79" s="26">
        <f t="shared" si="18"/>
        <v>0</v>
      </c>
      <c r="X79" s="26">
        <f t="shared" si="13"/>
        <v>0</v>
      </c>
      <c r="Y79" s="26">
        <f t="shared" si="11"/>
        <v>0</v>
      </c>
      <c r="Z79" s="26">
        <f t="shared" si="14"/>
        <v>0</v>
      </c>
      <c r="AA79" s="33" t="s">
        <v>15</v>
      </c>
      <c r="AB79" s="36" t="s">
        <v>16</v>
      </c>
      <c r="AC79" s="181">
        <f t="shared" si="15"/>
        <v>18</v>
      </c>
      <c r="AD79" s="181">
        <f t="shared" si="12"/>
        <v>52228.26</v>
      </c>
      <c r="AE79" s="181">
        <v>1.2</v>
      </c>
      <c r="AF79" s="181">
        <v>1.2</v>
      </c>
      <c r="AG79" s="101" t="str">
        <f t="shared" si="16"/>
        <v/>
      </c>
      <c r="AH79" s="190">
        <v>0</v>
      </c>
      <c r="AI79" s="69">
        <f t="shared" si="17"/>
        <v>18</v>
      </c>
    </row>
    <row r="80" spans="1:35" s="69" customFormat="1" ht="26.1" hidden="1" customHeight="1" x14ac:dyDescent="0.3">
      <c r="A80" s="130" t="s">
        <v>227</v>
      </c>
      <c r="B80" s="131" t="s">
        <v>228</v>
      </c>
      <c r="C80" s="132" t="s">
        <v>30</v>
      </c>
      <c r="D80" s="133">
        <v>17.100000000000001</v>
      </c>
      <c r="E80" s="75"/>
      <c r="F80" s="75"/>
      <c r="G80" s="75"/>
      <c r="H80" s="75" t="s">
        <v>15</v>
      </c>
      <c r="I80" s="75">
        <v>1762.96</v>
      </c>
      <c r="J80" s="75">
        <v>30146.62</v>
      </c>
      <c r="K80" s="91" t="s">
        <v>229</v>
      </c>
      <c r="L80" s="73"/>
      <c r="M80" s="46">
        <v>17.100000000000001</v>
      </c>
      <c r="N80" s="46">
        <v>30146.62</v>
      </c>
      <c r="O80" s="46">
        <v>30146.62</v>
      </c>
      <c r="P80" s="98"/>
      <c r="Q80" s="23" t="s">
        <v>1384</v>
      </c>
      <c r="R80" s="24" t="s">
        <v>228</v>
      </c>
      <c r="S80" s="25" t="s">
        <v>30</v>
      </c>
      <c r="T80" s="26">
        <v>17.100000000000001</v>
      </c>
      <c r="U80" s="26">
        <v>17.100000000000001</v>
      </c>
      <c r="V80" s="26">
        <f t="shared" si="10"/>
        <v>1762.96</v>
      </c>
      <c r="W80" s="127">
        <f t="shared" si="18"/>
        <v>0</v>
      </c>
      <c r="X80" s="127">
        <f t="shared" si="13"/>
        <v>17.100000000000001</v>
      </c>
      <c r="Y80" s="127">
        <f t="shared" si="11"/>
        <v>0</v>
      </c>
      <c r="Z80" s="127">
        <f t="shared" si="14"/>
        <v>30146.62</v>
      </c>
      <c r="AA80" s="33" t="s">
        <v>15</v>
      </c>
      <c r="AB80" s="36" t="s">
        <v>16</v>
      </c>
      <c r="AC80" s="181">
        <f t="shared" si="15"/>
        <v>17.100000000000001</v>
      </c>
      <c r="AD80" s="181">
        <f t="shared" si="12"/>
        <v>30146.62</v>
      </c>
      <c r="AE80" s="181">
        <v>1.2</v>
      </c>
      <c r="AF80" s="181">
        <v>1.2</v>
      </c>
      <c r="AG80" s="101" t="str">
        <f t="shared" si="16"/>
        <v/>
      </c>
      <c r="AH80" s="191">
        <v>17.100000000000001</v>
      </c>
      <c r="AI80" s="69">
        <f t="shared" si="17"/>
        <v>17.100000000000001</v>
      </c>
    </row>
    <row r="81" spans="1:35" s="69" customFormat="1" ht="26.1" hidden="1" customHeight="1" x14ac:dyDescent="0.3">
      <c r="A81" s="130" t="s">
        <v>230</v>
      </c>
      <c r="B81" s="131" t="s">
        <v>231</v>
      </c>
      <c r="C81" s="132" t="s">
        <v>30</v>
      </c>
      <c r="D81" s="133">
        <v>77.400000000000006</v>
      </c>
      <c r="E81" s="75"/>
      <c r="F81" s="75"/>
      <c r="G81" s="75"/>
      <c r="H81" s="75" t="s">
        <v>15</v>
      </c>
      <c r="I81" s="75">
        <v>1224.3</v>
      </c>
      <c r="J81" s="75">
        <v>94760.82</v>
      </c>
      <c r="K81" s="91" t="s">
        <v>232</v>
      </c>
      <c r="L81" s="73"/>
      <c r="M81" s="46">
        <v>56</v>
      </c>
      <c r="N81" s="46">
        <v>68560.800000000003</v>
      </c>
      <c r="O81" s="46">
        <v>68560.800000000003</v>
      </c>
      <c r="P81" s="98"/>
      <c r="Q81" s="23" t="s">
        <v>1385</v>
      </c>
      <c r="R81" s="24" t="s">
        <v>231</v>
      </c>
      <c r="S81" s="25" t="s">
        <v>30</v>
      </c>
      <c r="T81" s="26">
        <v>77.400000000000006</v>
      </c>
      <c r="U81" s="26">
        <v>77.400000000000006</v>
      </c>
      <c r="V81" s="26">
        <f t="shared" si="10"/>
        <v>1224.3</v>
      </c>
      <c r="W81" s="127">
        <f t="shared" si="18"/>
        <v>0</v>
      </c>
      <c r="X81" s="127">
        <f t="shared" si="13"/>
        <v>56</v>
      </c>
      <c r="Y81" s="127">
        <f t="shared" si="11"/>
        <v>0</v>
      </c>
      <c r="Z81" s="127">
        <f t="shared" si="14"/>
        <v>68560.800000000003</v>
      </c>
      <c r="AA81" s="33" t="s">
        <v>15</v>
      </c>
      <c r="AB81" s="36" t="s">
        <v>16</v>
      </c>
      <c r="AC81" s="181">
        <f t="shared" si="15"/>
        <v>77.400000000000006</v>
      </c>
      <c r="AD81" s="181">
        <f t="shared" si="12"/>
        <v>94760.82</v>
      </c>
      <c r="AE81" s="181">
        <v>1.2</v>
      </c>
      <c r="AF81" s="181">
        <v>1.2</v>
      </c>
      <c r="AG81" s="101" t="str">
        <f t="shared" si="16"/>
        <v/>
      </c>
      <c r="AH81" s="191">
        <v>56</v>
      </c>
      <c r="AI81" s="69">
        <f t="shared" si="17"/>
        <v>77.400000000000006</v>
      </c>
    </row>
    <row r="82" spans="1:35" s="69" customFormat="1" ht="26.1" hidden="1" customHeight="1" x14ac:dyDescent="0.3">
      <c r="A82" s="55" t="s">
        <v>233</v>
      </c>
      <c r="B82" s="215" t="s">
        <v>234</v>
      </c>
      <c r="C82" s="54" t="s">
        <v>30</v>
      </c>
      <c r="D82" s="75">
        <v>32.5</v>
      </c>
      <c r="E82" s="75"/>
      <c r="F82" s="75"/>
      <c r="G82" s="75"/>
      <c r="H82" s="75" t="s">
        <v>15</v>
      </c>
      <c r="I82" s="75">
        <v>1148.7</v>
      </c>
      <c r="J82" s="75">
        <v>37332.75</v>
      </c>
      <c r="K82" s="91" t="s">
        <v>235</v>
      </c>
      <c r="L82" s="73"/>
      <c r="M82" s="46">
        <v>0</v>
      </c>
      <c r="N82" s="46">
        <v>0</v>
      </c>
      <c r="O82" s="46">
        <v>0</v>
      </c>
      <c r="P82" s="98"/>
      <c r="Q82" s="23" t="s">
        <v>1446</v>
      </c>
      <c r="R82" s="24" t="s">
        <v>234</v>
      </c>
      <c r="S82" s="25" t="s">
        <v>30</v>
      </c>
      <c r="T82" s="26">
        <v>32.5</v>
      </c>
      <c r="U82" s="26">
        <v>32.5</v>
      </c>
      <c r="V82" s="26">
        <f t="shared" si="10"/>
        <v>1148.7</v>
      </c>
      <c r="W82" s="26">
        <f t="shared" si="18"/>
        <v>0</v>
      </c>
      <c r="X82" s="26">
        <f t="shared" si="13"/>
        <v>0</v>
      </c>
      <c r="Y82" s="26">
        <f t="shared" si="11"/>
        <v>0</v>
      </c>
      <c r="Z82" s="26">
        <f t="shared" si="14"/>
        <v>0</v>
      </c>
      <c r="AA82" s="33" t="s">
        <v>15</v>
      </c>
      <c r="AB82" s="36" t="s">
        <v>16</v>
      </c>
      <c r="AC82" s="181">
        <f t="shared" si="15"/>
        <v>32.5</v>
      </c>
      <c r="AD82" s="181">
        <f t="shared" si="12"/>
        <v>37332.75</v>
      </c>
      <c r="AE82" s="181">
        <v>1.2</v>
      </c>
      <c r="AF82" s="181">
        <v>1.2</v>
      </c>
      <c r="AG82" s="101" t="str">
        <f t="shared" si="16"/>
        <v/>
      </c>
      <c r="AH82" s="190">
        <v>0</v>
      </c>
      <c r="AI82" s="69">
        <f t="shared" si="17"/>
        <v>32.5</v>
      </c>
    </row>
    <row r="83" spans="1:35" s="69" customFormat="1" ht="26.1" hidden="1" customHeight="1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 t="s">
        <v>15</v>
      </c>
      <c r="I83" s="75">
        <v>19780.169999999998</v>
      </c>
      <c r="J83" s="75">
        <v>19780.169999999998</v>
      </c>
      <c r="K83" s="91" t="s">
        <v>238</v>
      </c>
      <c r="L83" s="73"/>
      <c r="M83" s="46">
        <v>0</v>
      </c>
      <c r="N83" s="46">
        <v>0</v>
      </c>
      <c r="O83" s="46">
        <v>0</v>
      </c>
      <c r="P83" s="98"/>
      <c r="Q83" s="23" t="s">
        <v>1447</v>
      </c>
      <c r="R83" s="24" t="s">
        <v>237</v>
      </c>
      <c r="S83" s="25" t="s">
        <v>81</v>
      </c>
      <c r="T83" s="26">
        <v>1</v>
      </c>
      <c r="U83" s="26">
        <v>1</v>
      </c>
      <c r="V83" s="26">
        <f t="shared" si="10"/>
        <v>19780.169999999998</v>
      </c>
      <c r="W83" s="26">
        <f t="shared" si="18"/>
        <v>0</v>
      </c>
      <c r="X83" s="26">
        <f t="shared" si="13"/>
        <v>0</v>
      </c>
      <c r="Y83" s="26">
        <f t="shared" si="11"/>
        <v>0</v>
      </c>
      <c r="Z83" s="26">
        <f t="shared" si="14"/>
        <v>0</v>
      </c>
      <c r="AA83" s="33" t="s">
        <v>15</v>
      </c>
      <c r="AB83" s="36" t="s">
        <v>16</v>
      </c>
      <c r="AC83" s="181">
        <f t="shared" si="15"/>
        <v>1</v>
      </c>
      <c r="AD83" s="181">
        <f t="shared" si="12"/>
        <v>19780.169999999998</v>
      </c>
      <c r="AE83" s="181">
        <v>1.2</v>
      </c>
      <c r="AF83" s="181">
        <v>1.2</v>
      </c>
      <c r="AG83" s="101" t="str">
        <f t="shared" si="16"/>
        <v/>
      </c>
      <c r="AH83" s="190">
        <v>0</v>
      </c>
      <c r="AI83" s="69">
        <f t="shared" si="17"/>
        <v>1</v>
      </c>
    </row>
    <row r="84" spans="1:35" s="69" customFormat="1" ht="26.1" hidden="1" customHeight="1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 t="s">
        <v>15</v>
      </c>
      <c r="I84" s="75">
        <v>1218.03</v>
      </c>
      <c r="J84" s="75">
        <v>1218.03</v>
      </c>
      <c r="K84" s="91" t="s">
        <v>241</v>
      </c>
      <c r="L84" s="73"/>
      <c r="M84" s="46">
        <v>0</v>
      </c>
      <c r="N84" s="46">
        <v>0</v>
      </c>
      <c r="O84" s="46">
        <v>0</v>
      </c>
      <c r="P84" s="98"/>
      <c r="Q84" s="23" t="s">
        <v>1448</v>
      </c>
      <c r="R84" s="24" t="s">
        <v>240</v>
      </c>
      <c r="S84" s="25" t="s">
        <v>81</v>
      </c>
      <c r="T84" s="26">
        <v>1</v>
      </c>
      <c r="U84" s="26">
        <v>1</v>
      </c>
      <c r="V84" s="26">
        <f t="shared" si="10"/>
        <v>1218.03</v>
      </c>
      <c r="W84" s="26">
        <f t="shared" si="18"/>
        <v>0</v>
      </c>
      <c r="X84" s="26">
        <f t="shared" si="13"/>
        <v>0</v>
      </c>
      <c r="Y84" s="26">
        <f t="shared" si="11"/>
        <v>0</v>
      </c>
      <c r="Z84" s="26">
        <f t="shared" si="14"/>
        <v>0</v>
      </c>
      <c r="AA84" s="33" t="s">
        <v>15</v>
      </c>
      <c r="AB84" s="36" t="s">
        <v>16</v>
      </c>
      <c r="AC84" s="181">
        <f t="shared" si="15"/>
        <v>1</v>
      </c>
      <c r="AD84" s="181">
        <f t="shared" si="12"/>
        <v>1218.03</v>
      </c>
      <c r="AE84" s="181">
        <v>1.2</v>
      </c>
      <c r="AF84" s="181">
        <v>1.2</v>
      </c>
      <c r="AG84" s="101" t="str">
        <f t="shared" si="16"/>
        <v/>
      </c>
      <c r="AH84" s="190">
        <v>0</v>
      </c>
      <c r="AI84" s="69">
        <f t="shared" si="17"/>
        <v>1</v>
      </c>
    </row>
    <row r="85" spans="1:35" s="69" customFormat="1" ht="26.1" hidden="1" customHeight="1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 t="s">
        <v>15</v>
      </c>
      <c r="I85" s="75">
        <v>3110.7</v>
      </c>
      <c r="J85" s="75">
        <v>3110.7</v>
      </c>
      <c r="K85" s="91" t="s">
        <v>244</v>
      </c>
      <c r="L85" s="73"/>
      <c r="M85" s="46">
        <v>0</v>
      </c>
      <c r="N85" s="46">
        <v>0</v>
      </c>
      <c r="O85" s="46">
        <v>0</v>
      </c>
      <c r="P85" s="98"/>
      <c r="Q85" s="23" t="s">
        <v>1449</v>
      </c>
      <c r="R85" s="24" t="s">
        <v>243</v>
      </c>
      <c r="S85" s="25" t="s">
        <v>81</v>
      </c>
      <c r="T85" s="26">
        <v>1</v>
      </c>
      <c r="U85" s="26">
        <v>1</v>
      </c>
      <c r="V85" s="26">
        <f t="shared" si="10"/>
        <v>3110.7</v>
      </c>
      <c r="W85" s="26">
        <f t="shared" si="18"/>
        <v>0</v>
      </c>
      <c r="X85" s="26">
        <f t="shared" si="13"/>
        <v>0</v>
      </c>
      <c r="Y85" s="26">
        <f t="shared" si="11"/>
        <v>0</v>
      </c>
      <c r="Z85" s="26">
        <f t="shared" si="14"/>
        <v>0</v>
      </c>
      <c r="AA85" s="33" t="s">
        <v>15</v>
      </c>
      <c r="AB85" s="36" t="s">
        <v>16</v>
      </c>
      <c r="AC85" s="181">
        <f t="shared" si="15"/>
        <v>1</v>
      </c>
      <c r="AD85" s="181">
        <f t="shared" si="12"/>
        <v>3110.7</v>
      </c>
      <c r="AE85" s="181">
        <v>1.2</v>
      </c>
      <c r="AF85" s="181">
        <v>1.2</v>
      </c>
      <c r="AG85" s="101" t="str">
        <f t="shared" si="16"/>
        <v/>
      </c>
      <c r="AH85" s="190">
        <v>0</v>
      </c>
      <c r="AI85" s="69">
        <f t="shared" si="17"/>
        <v>1</v>
      </c>
    </row>
    <row r="86" spans="1:35" s="69" customFormat="1" ht="26.1" hidden="1" customHeight="1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 t="s">
        <v>15</v>
      </c>
      <c r="I86" s="75">
        <v>1251.0999999999999</v>
      </c>
      <c r="J86" s="75">
        <v>1251.0999999999999</v>
      </c>
      <c r="K86" s="91" t="s">
        <v>247</v>
      </c>
      <c r="L86" s="73"/>
      <c r="M86" s="46">
        <v>0</v>
      </c>
      <c r="N86" s="46">
        <v>0</v>
      </c>
      <c r="O86" s="46">
        <v>0</v>
      </c>
      <c r="P86" s="98"/>
      <c r="Q86" s="23" t="s">
        <v>1450</v>
      </c>
      <c r="R86" s="24" t="s">
        <v>246</v>
      </c>
      <c r="S86" s="25" t="s">
        <v>81</v>
      </c>
      <c r="T86" s="26">
        <v>1</v>
      </c>
      <c r="U86" s="26">
        <v>1</v>
      </c>
      <c r="V86" s="26">
        <f t="shared" si="10"/>
        <v>1251.0999999999999</v>
      </c>
      <c r="W86" s="26">
        <f t="shared" si="18"/>
        <v>0</v>
      </c>
      <c r="X86" s="26">
        <f t="shared" si="13"/>
        <v>0</v>
      </c>
      <c r="Y86" s="26">
        <f t="shared" si="11"/>
        <v>0</v>
      </c>
      <c r="Z86" s="26">
        <f t="shared" si="14"/>
        <v>0</v>
      </c>
      <c r="AA86" s="33" t="s">
        <v>15</v>
      </c>
      <c r="AB86" s="36" t="s">
        <v>16</v>
      </c>
      <c r="AC86" s="181">
        <f t="shared" si="15"/>
        <v>1</v>
      </c>
      <c r="AD86" s="181">
        <f t="shared" si="12"/>
        <v>1251.0999999999999</v>
      </c>
      <c r="AE86" s="181">
        <v>1.2</v>
      </c>
      <c r="AF86" s="181">
        <v>1.2</v>
      </c>
      <c r="AG86" s="101" t="str">
        <f t="shared" si="16"/>
        <v/>
      </c>
      <c r="AH86" s="190">
        <v>0</v>
      </c>
      <c r="AI86" s="69">
        <f t="shared" si="17"/>
        <v>1</v>
      </c>
    </row>
    <row r="87" spans="1:35" s="69" customFormat="1" ht="26.1" hidden="1" customHeight="1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 t="s">
        <v>15</v>
      </c>
      <c r="I87" s="75">
        <v>9500.58</v>
      </c>
      <c r="J87" s="75">
        <v>9500.58</v>
      </c>
      <c r="K87" s="91" t="s">
        <v>250</v>
      </c>
      <c r="L87" s="73"/>
      <c r="M87" s="46">
        <v>0</v>
      </c>
      <c r="N87" s="46">
        <v>0</v>
      </c>
      <c r="O87" s="46">
        <v>0</v>
      </c>
      <c r="P87" s="98"/>
      <c r="Q87" s="23" t="s">
        <v>1451</v>
      </c>
      <c r="R87" s="24" t="s">
        <v>249</v>
      </c>
      <c r="S87" s="25" t="s">
        <v>81</v>
      </c>
      <c r="T87" s="26">
        <v>1</v>
      </c>
      <c r="U87" s="26">
        <v>1</v>
      </c>
      <c r="V87" s="26">
        <f t="shared" si="10"/>
        <v>9500.58</v>
      </c>
      <c r="W87" s="26">
        <f t="shared" si="18"/>
        <v>0</v>
      </c>
      <c r="X87" s="26">
        <f t="shared" si="13"/>
        <v>0</v>
      </c>
      <c r="Y87" s="26">
        <f t="shared" si="11"/>
        <v>0</v>
      </c>
      <c r="Z87" s="26">
        <f t="shared" si="14"/>
        <v>0</v>
      </c>
      <c r="AA87" s="33" t="s">
        <v>15</v>
      </c>
      <c r="AB87" s="36" t="s">
        <v>16</v>
      </c>
      <c r="AC87" s="181">
        <f t="shared" si="15"/>
        <v>1</v>
      </c>
      <c r="AD87" s="181">
        <f t="shared" si="12"/>
        <v>9500.58</v>
      </c>
      <c r="AE87" s="181">
        <v>1.2</v>
      </c>
      <c r="AF87" s="181">
        <v>1.2</v>
      </c>
      <c r="AG87" s="101" t="str">
        <f t="shared" si="16"/>
        <v/>
      </c>
      <c r="AH87" s="190">
        <v>0</v>
      </c>
      <c r="AI87" s="69">
        <f t="shared" si="17"/>
        <v>1</v>
      </c>
    </row>
    <row r="88" spans="1:35" s="69" customFormat="1" ht="26.1" hidden="1" customHeight="1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 t="s">
        <v>15</v>
      </c>
      <c r="I88" s="75">
        <v>3871.43</v>
      </c>
      <c r="J88" s="75">
        <v>3871.43</v>
      </c>
      <c r="K88" s="91" t="s">
        <v>253</v>
      </c>
      <c r="L88" s="73"/>
      <c r="M88" s="46">
        <v>0</v>
      </c>
      <c r="N88" s="46">
        <v>0</v>
      </c>
      <c r="O88" s="46">
        <v>0</v>
      </c>
      <c r="P88" s="98"/>
      <c r="Q88" s="23" t="s">
        <v>1452</v>
      </c>
      <c r="R88" s="24" t="s">
        <v>252</v>
      </c>
      <c r="S88" s="25" t="s">
        <v>81</v>
      </c>
      <c r="T88" s="26">
        <v>1</v>
      </c>
      <c r="U88" s="26">
        <v>1</v>
      </c>
      <c r="V88" s="26">
        <f t="shared" si="10"/>
        <v>3871.43</v>
      </c>
      <c r="W88" s="26">
        <f t="shared" si="18"/>
        <v>0</v>
      </c>
      <c r="X88" s="26">
        <f t="shared" si="13"/>
        <v>0</v>
      </c>
      <c r="Y88" s="26">
        <f t="shared" si="11"/>
        <v>0</v>
      </c>
      <c r="Z88" s="26">
        <f t="shared" si="14"/>
        <v>0</v>
      </c>
      <c r="AA88" s="33" t="s">
        <v>15</v>
      </c>
      <c r="AB88" s="36" t="s">
        <v>16</v>
      </c>
      <c r="AC88" s="181">
        <f t="shared" si="15"/>
        <v>1</v>
      </c>
      <c r="AD88" s="181">
        <f t="shared" si="12"/>
        <v>3871.43</v>
      </c>
      <c r="AE88" s="181">
        <v>1.2</v>
      </c>
      <c r="AF88" s="181">
        <v>1.2</v>
      </c>
      <c r="AG88" s="101" t="str">
        <f t="shared" si="16"/>
        <v/>
      </c>
      <c r="AH88" s="190">
        <v>0</v>
      </c>
      <c r="AI88" s="69">
        <f t="shared" si="17"/>
        <v>1</v>
      </c>
    </row>
    <row r="89" spans="1:35" s="69" customFormat="1" ht="26.1" hidden="1" customHeight="1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 t="s">
        <v>15</v>
      </c>
      <c r="I89" s="75">
        <v>25380.34</v>
      </c>
      <c r="J89" s="75">
        <v>25380.34</v>
      </c>
      <c r="K89" s="91" t="s">
        <v>256</v>
      </c>
      <c r="L89" s="73"/>
      <c r="M89" s="46">
        <v>0</v>
      </c>
      <c r="N89" s="46">
        <v>0</v>
      </c>
      <c r="O89" s="46">
        <v>0</v>
      </c>
      <c r="P89" s="98"/>
      <c r="Q89" s="23" t="s">
        <v>1453</v>
      </c>
      <c r="R89" s="24" t="s">
        <v>255</v>
      </c>
      <c r="S89" s="25" t="s">
        <v>81</v>
      </c>
      <c r="T89" s="26">
        <v>1</v>
      </c>
      <c r="U89" s="26">
        <v>1</v>
      </c>
      <c r="V89" s="26">
        <f t="shared" si="10"/>
        <v>25380.34</v>
      </c>
      <c r="W89" s="26">
        <f t="shared" si="18"/>
        <v>0</v>
      </c>
      <c r="X89" s="26">
        <f t="shared" si="13"/>
        <v>0</v>
      </c>
      <c r="Y89" s="26">
        <f t="shared" si="11"/>
        <v>0</v>
      </c>
      <c r="Z89" s="26">
        <f t="shared" si="14"/>
        <v>0</v>
      </c>
      <c r="AA89" s="33" t="s">
        <v>15</v>
      </c>
      <c r="AB89" s="36" t="s">
        <v>16</v>
      </c>
      <c r="AC89" s="181">
        <f t="shared" si="15"/>
        <v>1</v>
      </c>
      <c r="AD89" s="181">
        <f t="shared" si="12"/>
        <v>25380.34</v>
      </c>
      <c r="AE89" s="181">
        <v>1.2</v>
      </c>
      <c r="AF89" s="181">
        <v>1.2</v>
      </c>
      <c r="AG89" s="101" t="str">
        <f t="shared" si="16"/>
        <v/>
      </c>
      <c r="AH89" s="190">
        <v>0</v>
      </c>
      <c r="AI89" s="69">
        <f t="shared" si="17"/>
        <v>1</v>
      </c>
    </row>
    <row r="90" spans="1:35" s="69" customFormat="1" ht="26.1" hidden="1" customHeight="1" x14ac:dyDescent="0.3">
      <c r="A90" s="55" t="s">
        <v>257</v>
      </c>
      <c r="B90" s="53" t="s">
        <v>258</v>
      </c>
      <c r="C90" s="54" t="s">
        <v>30</v>
      </c>
      <c r="D90" s="75">
        <v>13.9</v>
      </c>
      <c r="E90" s="75"/>
      <c r="F90" s="75"/>
      <c r="G90" s="75"/>
      <c r="H90" s="75" t="s">
        <v>15</v>
      </c>
      <c r="I90" s="75">
        <v>1285.31</v>
      </c>
      <c r="J90" s="75">
        <v>17865.810000000001</v>
      </c>
      <c r="K90" s="91" t="s">
        <v>259</v>
      </c>
      <c r="L90" s="73"/>
      <c r="M90" s="46">
        <v>0</v>
      </c>
      <c r="N90" s="46">
        <v>0</v>
      </c>
      <c r="O90" s="46">
        <v>0</v>
      </c>
      <c r="P90" s="98"/>
      <c r="Q90" s="23" t="s">
        <v>1454</v>
      </c>
      <c r="R90" s="24" t="s">
        <v>258</v>
      </c>
      <c r="S90" s="25" t="s">
        <v>30</v>
      </c>
      <c r="T90" s="26">
        <v>13.9</v>
      </c>
      <c r="U90" s="26">
        <v>13.9</v>
      </c>
      <c r="V90" s="26">
        <f t="shared" si="10"/>
        <v>1285.31</v>
      </c>
      <c r="W90" s="26">
        <f t="shared" si="18"/>
        <v>0</v>
      </c>
      <c r="X90" s="26">
        <f t="shared" si="13"/>
        <v>0</v>
      </c>
      <c r="Y90" s="26">
        <f t="shared" si="11"/>
        <v>0</v>
      </c>
      <c r="Z90" s="26">
        <f t="shared" si="14"/>
        <v>0</v>
      </c>
      <c r="AA90" s="33" t="s">
        <v>15</v>
      </c>
      <c r="AB90" s="36" t="s">
        <v>16</v>
      </c>
      <c r="AC90" s="181">
        <f t="shared" si="15"/>
        <v>13.9</v>
      </c>
      <c r="AD90" s="181">
        <f t="shared" si="12"/>
        <v>17865.810000000001</v>
      </c>
      <c r="AE90" s="181">
        <v>1.2</v>
      </c>
      <c r="AF90" s="181">
        <v>1.2</v>
      </c>
      <c r="AG90" s="101" t="str">
        <f t="shared" si="16"/>
        <v/>
      </c>
      <c r="AH90" s="190">
        <v>0</v>
      </c>
      <c r="AI90" s="69">
        <f t="shared" si="17"/>
        <v>13.9</v>
      </c>
    </row>
    <row r="91" spans="1:35" s="69" customFormat="1" ht="26.1" hidden="1" customHeight="1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 t="s">
        <v>15</v>
      </c>
      <c r="I91" s="75">
        <v>1976.06</v>
      </c>
      <c r="J91" s="75">
        <v>186046.05</v>
      </c>
      <c r="K91" s="91" t="s">
        <v>262</v>
      </c>
      <c r="L91" s="73"/>
      <c r="M91" s="46">
        <v>0</v>
      </c>
      <c r="N91" s="46">
        <v>0</v>
      </c>
      <c r="O91" s="46">
        <v>0</v>
      </c>
      <c r="P91" s="98"/>
      <c r="Q91" s="23" t="s">
        <v>1455</v>
      </c>
      <c r="R91" s="24" t="s">
        <v>261</v>
      </c>
      <c r="S91" s="25" t="s">
        <v>30</v>
      </c>
      <c r="T91" s="26">
        <v>94.15</v>
      </c>
      <c r="U91" s="26">
        <v>94.15</v>
      </c>
      <c r="V91" s="26">
        <f t="shared" si="10"/>
        <v>1976.06</v>
      </c>
      <c r="W91" s="26">
        <f t="shared" si="18"/>
        <v>0</v>
      </c>
      <c r="X91" s="26">
        <f t="shared" si="13"/>
        <v>0</v>
      </c>
      <c r="Y91" s="26">
        <f t="shared" si="11"/>
        <v>0</v>
      </c>
      <c r="Z91" s="26">
        <f t="shared" si="14"/>
        <v>0</v>
      </c>
      <c r="AA91" s="33" t="s">
        <v>15</v>
      </c>
      <c r="AB91" s="36" t="s">
        <v>16</v>
      </c>
      <c r="AC91" s="181">
        <f t="shared" si="15"/>
        <v>94.15</v>
      </c>
      <c r="AD91" s="181">
        <f t="shared" si="12"/>
        <v>186046.05</v>
      </c>
      <c r="AE91" s="181">
        <v>1.2</v>
      </c>
      <c r="AF91" s="181">
        <v>1.2</v>
      </c>
      <c r="AG91" s="101" t="str">
        <f t="shared" si="16"/>
        <v/>
      </c>
      <c r="AH91" s="190">
        <v>0</v>
      </c>
      <c r="AI91" s="69">
        <f t="shared" si="17"/>
        <v>94.15</v>
      </c>
    </row>
    <row r="92" spans="1:35" s="69" customFormat="1" ht="26.1" hidden="1" customHeight="1" x14ac:dyDescent="0.3">
      <c r="A92" s="55" t="s">
        <v>263</v>
      </c>
      <c r="B92" s="53" t="s">
        <v>264</v>
      </c>
      <c r="C92" s="54" t="s">
        <v>30</v>
      </c>
      <c r="D92" s="75">
        <v>13.5</v>
      </c>
      <c r="E92" s="75"/>
      <c r="F92" s="75"/>
      <c r="G92" s="75"/>
      <c r="H92" s="75" t="s">
        <v>15</v>
      </c>
      <c r="I92" s="75">
        <v>1889.54</v>
      </c>
      <c r="J92" s="75">
        <v>25508.79</v>
      </c>
      <c r="K92" s="91" t="s">
        <v>265</v>
      </c>
      <c r="L92" s="73"/>
      <c r="M92" s="46">
        <v>0</v>
      </c>
      <c r="N92" s="46">
        <v>0</v>
      </c>
      <c r="O92" s="46">
        <v>0</v>
      </c>
      <c r="P92" s="98"/>
      <c r="Q92" s="23" t="s">
        <v>1456</v>
      </c>
      <c r="R92" s="24" t="s">
        <v>264</v>
      </c>
      <c r="S92" s="25" t="s">
        <v>30</v>
      </c>
      <c r="T92" s="26">
        <v>13.5</v>
      </c>
      <c r="U92" s="26">
        <v>13.5</v>
      </c>
      <c r="V92" s="26">
        <f t="shared" si="10"/>
        <v>1889.54</v>
      </c>
      <c r="W92" s="26">
        <f t="shared" si="18"/>
        <v>0</v>
      </c>
      <c r="X92" s="26">
        <f t="shared" si="13"/>
        <v>0</v>
      </c>
      <c r="Y92" s="26">
        <f t="shared" si="11"/>
        <v>0</v>
      </c>
      <c r="Z92" s="26">
        <f t="shared" si="14"/>
        <v>0</v>
      </c>
      <c r="AA92" s="33" t="s">
        <v>15</v>
      </c>
      <c r="AB92" s="36" t="s">
        <v>16</v>
      </c>
      <c r="AC92" s="181">
        <f t="shared" si="15"/>
        <v>13.5</v>
      </c>
      <c r="AD92" s="181">
        <f t="shared" si="12"/>
        <v>25508.79</v>
      </c>
      <c r="AE92" s="181">
        <v>1.2</v>
      </c>
      <c r="AF92" s="181">
        <v>1.2</v>
      </c>
      <c r="AG92" s="101" t="str">
        <f t="shared" si="16"/>
        <v/>
      </c>
      <c r="AH92" s="190">
        <v>0</v>
      </c>
      <c r="AI92" s="69">
        <f t="shared" si="17"/>
        <v>13.5</v>
      </c>
    </row>
    <row r="93" spans="1:35" s="69" customFormat="1" ht="33" hidden="1" x14ac:dyDescent="0.3">
      <c r="A93" s="55" t="s">
        <v>266</v>
      </c>
      <c r="B93" s="53" t="s">
        <v>267</v>
      </c>
      <c r="C93" s="54" t="s">
        <v>30</v>
      </c>
      <c r="D93" s="75">
        <v>13.7</v>
      </c>
      <c r="E93" s="75"/>
      <c r="F93" s="75"/>
      <c r="G93" s="75"/>
      <c r="H93" s="75" t="s">
        <v>15</v>
      </c>
      <c r="I93" s="75">
        <v>1778.66</v>
      </c>
      <c r="J93" s="75">
        <v>24367.64</v>
      </c>
      <c r="K93" s="91" t="s">
        <v>268</v>
      </c>
      <c r="L93" s="73"/>
      <c r="M93" s="46">
        <v>0</v>
      </c>
      <c r="N93" s="46">
        <v>0</v>
      </c>
      <c r="O93" s="46">
        <v>0</v>
      </c>
      <c r="P93" s="98"/>
      <c r="Q93" s="23" t="s">
        <v>1457</v>
      </c>
      <c r="R93" s="24" t="s">
        <v>267</v>
      </c>
      <c r="S93" s="25" t="s">
        <v>30</v>
      </c>
      <c r="T93" s="26">
        <v>13.7</v>
      </c>
      <c r="U93" s="26">
        <v>13.7</v>
      </c>
      <c r="V93" s="26">
        <f t="shared" si="10"/>
        <v>1778.66</v>
      </c>
      <c r="W93" s="26">
        <f t="shared" si="18"/>
        <v>0</v>
      </c>
      <c r="X93" s="26">
        <f t="shared" si="13"/>
        <v>0</v>
      </c>
      <c r="Y93" s="26">
        <f t="shared" si="11"/>
        <v>0</v>
      </c>
      <c r="Z93" s="26">
        <f t="shared" si="14"/>
        <v>0</v>
      </c>
      <c r="AA93" s="33" t="s">
        <v>15</v>
      </c>
      <c r="AB93" s="36" t="s">
        <v>16</v>
      </c>
      <c r="AC93" s="181">
        <f t="shared" si="15"/>
        <v>13.7</v>
      </c>
      <c r="AD93" s="181">
        <f t="shared" si="12"/>
        <v>24367.64</v>
      </c>
      <c r="AE93" s="181">
        <v>1.2</v>
      </c>
      <c r="AF93" s="181">
        <v>1.2</v>
      </c>
      <c r="AG93" s="101" t="str">
        <f t="shared" si="16"/>
        <v/>
      </c>
      <c r="AH93" s="190">
        <v>0</v>
      </c>
      <c r="AI93" s="69">
        <f t="shared" si="17"/>
        <v>13.7</v>
      </c>
    </row>
    <row r="94" spans="1:35" s="69" customFormat="1" ht="26.1" hidden="1" customHeight="1" x14ac:dyDescent="0.3">
      <c r="A94" s="55" t="s">
        <v>269</v>
      </c>
      <c r="B94" s="53" t="s">
        <v>270</v>
      </c>
      <c r="C94" s="54" t="s">
        <v>30</v>
      </c>
      <c r="D94" s="75">
        <v>17.920000000000002</v>
      </c>
      <c r="E94" s="75"/>
      <c r="F94" s="75"/>
      <c r="G94" s="75"/>
      <c r="H94" s="75" t="s">
        <v>15</v>
      </c>
      <c r="I94" s="75">
        <v>2939.14</v>
      </c>
      <c r="J94" s="75">
        <v>52669.39</v>
      </c>
      <c r="K94" s="91" t="s">
        <v>271</v>
      </c>
      <c r="L94" s="73"/>
      <c r="M94" s="46">
        <v>0</v>
      </c>
      <c r="N94" s="46">
        <v>0</v>
      </c>
      <c r="O94" s="46">
        <v>0</v>
      </c>
      <c r="P94" s="98"/>
      <c r="Q94" s="23" t="s">
        <v>1458</v>
      </c>
      <c r="R94" s="24" t="s">
        <v>270</v>
      </c>
      <c r="S94" s="25" t="s">
        <v>30</v>
      </c>
      <c r="T94" s="26">
        <v>17.920000000000002</v>
      </c>
      <c r="U94" s="26">
        <v>17.920000000000002</v>
      </c>
      <c r="V94" s="26">
        <f t="shared" si="10"/>
        <v>2939.14</v>
      </c>
      <c r="W94" s="26">
        <f t="shared" si="18"/>
        <v>0</v>
      </c>
      <c r="X94" s="26">
        <f t="shared" si="13"/>
        <v>0</v>
      </c>
      <c r="Y94" s="26">
        <f t="shared" si="11"/>
        <v>0</v>
      </c>
      <c r="Z94" s="26">
        <f t="shared" si="14"/>
        <v>0</v>
      </c>
      <c r="AA94" s="33" t="s">
        <v>15</v>
      </c>
      <c r="AB94" s="36" t="s">
        <v>16</v>
      </c>
      <c r="AC94" s="181">
        <f t="shared" si="15"/>
        <v>17.920000000000002</v>
      </c>
      <c r="AD94" s="181">
        <f t="shared" si="12"/>
        <v>52669.39</v>
      </c>
      <c r="AE94" s="181">
        <v>1.2</v>
      </c>
      <c r="AF94" s="181">
        <v>1.2</v>
      </c>
      <c r="AG94" s="101" t="str">
        <f t="shared" si="16"/>
        <v/>
      </c>
      <c r="AH94" s="190">
        <v>0</v>
      </c>
      <c r="AI94" s="69">
        <f t="shared" si="17"/>
        <v>17.920000000000002</v>
      </c>
    </row>
    <row r="95" spans="1:35" s="69" customFormat="1" ht="26.1" hidden="1" customHeight="1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 t="s">
        <v>15</v>
      </c>
      <c r="I95" s="75">
        <v>23030.799999999999</v>
      </c>
      <c r="J95" s="75">
        <v>23030.799999999999</v>
      </c>
      <c r="K95" s="91" t="s">
        <v>274</v>
      </c>
      <c r="L95" s="73"/>
      <c r="M95" s="46">
        <v>0</v>
      </c>
      <c r="N95" s="46">
        <v>0</v>
      </c>
      <c r="O95" s="46">
        <v>0</v>
      </c>
      <c r="P95" s="98"/>
      <c r="Q95" s="23" t="s">
        <v>1459</v>
      </c>
      <c r="R95" s="24" t="s">
        <v>273</v>
      </c>
      <c r="S95" s="25" t="s">
        <v>81</v>
      </c>
      <c r="T95" s="26">
        <v>1</v>
      </c>
      <c r="U95" s="26">
        <v>1</v>
      </c>
      <c r="V95" s="26">
        <f t="shared" si="10"/>
        <v>23030.799999999999</v>
      </c>
      <c r="W95" s="26">
        <f t="shared" si="18"/>
        <v>0</v>
      </c>
      <c r="X95" s="26">
        <f t="shared" si="13"/>
        <v>0</v>
      </c>
      <c r="Y95" s="26">
        <f t="shared" si="11"/>
        <v>0</v>
      </c>
      <c r="Z95" s="26">
        <f t="shared" si="14"/>
        <v>0</v>
      </c>
      <c r="AA95" s="33" t="s">
        <v>15</v>
      </c>
      <c r="AB95" s="36" t="s">
        <v>16</v>
      </c>
      <c r="AC95" s="181">
        <f t="shared" si="15"/>
        <v>1</v>
      </c>
      <c r="AD95" s="181">
        <f t="shared" si="12"/>
        <v>23030.799999999999</v>
      </c>
      <c r="AE95" s="181">
        <v>1.2</v>
      </c>
      <c r="AF95" s="181">
        <v>1.2</v>
      </c>
      <c r="AG95" s="101" t="str">
        <f t="shared" si="16"/>
        <v/>
      </c>
      <c r="AH95" s="190">
        <v>0</v>
      </c>
      <c r="AI95" s="69">
        <f t="shared" si="17"/>
        <v>1</v>
      </c>
    </row>
    <row r="96" spans="1:35" s="69" customFormat="1" ht="26.1" hidden="1" customHeight="1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 t="s">
        <v>15</v>
      </c>
      <c r="I96" s="75">
        <v>18605.919999999998</v>
      </c>
      <c r="J96" s="75">
        <v>37211.839999999997</v>
      </c>
      <c r="K96" s="91" t="s">
        <v>277</v>
      </c>
      <c r="L96" s="73"/>
      <c r="M96" s="46">
        <v>0</v>
      </c>
      <c r="N96" s="46">
        <v>0</v>
      </c>
      <c r="O96" s="46">
        <v>0</v>
      </c>
      <c r="P96" s="98"/>
      <c r="Q96" s="23" t="s">
        <v>1460</v>
      </c>
      <c r="R96" s="24" t="s">
        <v>276</v>
      </c>
      <c r="S96" s="25" t="s">
        <v>81</v>
      </c>
      <c r="T96" s="26">
        <v>2</v>
      </c>
      <c r="U96" s="26">
        <v>2</v>
      </c>
      <c r="V96" s="26">
        <f t="shared" si="10"/>
        <v>18605.919999999998</v>
      </c>
      <c r="W96" s="26">
        <f t="shared" si="18"/>
        <v>0</v>
      </c>
      <c r="X96" s="26">
        <f t="shared" si="13"/>
        <v>0</v>
      </c>
      <c r="Y96" s="26">
        <f t="shared" si="11"/>
        <v>0</v>
      </c>
      <c r="Z96" s="26">
        <f t="shared" si="14"/>
        <v>0</v>
      </c>
      <c r="AA96" s="33" t="s">
        <v>15</v>
      </c>
      <c r="AB96" s="36" t="s">
        <v>16</v>
      </c>
      <c r="AC96" s="181">
        <f t="shared" si="15"/>
        <v>2</v>
      </c>
      <c r="AD96" s="181">
        <f t="shared" si="12"/>
        <v>37211.839999999997</v>
      </c>
      <c r="AE96" s="181">
        <v>1.2</v>
      </c>
      <c r="AF96" s="181">
        <v>1.2</v>
      </c>
      <c r="AG96" s="101" t="str">
        <f t="shared" si="16"/>
        <v/>
      </c>
      <c r="AH96" s="190">
        <v>0</v>
      </c>
      <c r="AI96" s="69">
        <f t="shared" si="17"/>
        <v>2</v>
      </c>
    </row>
    <row r="97" spans="1:35" s="69" customFormat="1" ht="26.1" hidden="1" customHeight="1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 t="s">
        <v>15</v>
      </c>
      <c r="I97" s="75">
        <v>18605.919999999998</v>
      </c>
      <c r="J97" s="75">
        <v>18605.919999999998</v>
      </c>
      <c r="K97" s="91" t="s">
        <v>280</v>
      </c>
      <c r="L97" s="73"/>
      <c r="M97" s="46">
        <v>0</v>
      </c>
      <c r="N97" s="46">
        <v>0</v>
      </c>
      <c r="O97" s="46">
        <v>0</v>
      </c>
      <c r="P97" s="98"/>
      <c r="Q97" s="23" t="s">
        <v>1461</v>
      </c>
      <c r="R97" s="24" t="s">
        <v>279</v>
      </c>
      <c r="S97" s="25" t="s">
        <v>81</v>
      </c>
      <c r="T97" s="26">
        <v>1</v>
      </c>
      <c r="U97" s="26">
        <v>1</v>
      </c>
      <c r="V97" s="26">
        <f t="shared" si="10"/>
        <v>18605.919999999998</v>
      </c>
      <c r="W97" s="26">
        <f t="shared" si="18"/>
        <v>0</v>
      </c>
      <c r="X97" s="26">
        <f t="shared" si="13"/>
        <v>0</v>
      </c>
      <c r="Y97" s="26">
        <f t="shared" si="11"/>
        <v>0</v>
      </c>
      <c r="Z97" s="26">
        <f t="shared" si="14"/>
        <v>0</v>
      </c>
      <c r="AA97" s="33" t="s">
        <v>15</v>
      </c>
      <c r="AB97" s="36" t="s">
        <v>16</v>
      </c>
      <c r="AC97" s="181">
        <f t="shared" si="15"/>
        <v>1</v>
      </c>
      <c r="AD97" s="181">
        <f t="shared" si="12"/>
        <v>18605.919999999998</v>
      </c>
      <c r="AE97" s="181">
        <v>1.2</v>
      </c>
      <c r="AF97" s="181">
        <v>1.2</v>
      </c>
      <c r="AG97" s="101" t="str">
        <f t="shared" si="16"/>
        <v/>
      </c>
      <c r="AH97" s="190">
        <v>0</v>
      </c>
      <c r="AI97" s="69">
        <f t="shared" si="17"/>
        <v>1</v>
      </c>
    </row>
    <row r="98" spans="1:35" s="69" customFormat="1" ht="26.1" hidden="1" customHeight="1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 t="s">
        <v>15</v>
      </c>
      <c r="I98" s="75">
        <v>11655.48</v>
      </c>
      <c r="J98" s="75">
        <v>34966.44</v>
      </c>
      <c r="K98" s="91" t="s">
        <v>283</v>
      </c>
      <c r="L98" s="73"/>
      <c r="M98" s="46">
        <v>0</v>
      </c>
      <c r="N98" s="46">
        <v>0</v>
      </c>
      <c r="O98" s="46">
        <v>0</v>
      </c>
      <c r="P98" s="98"/>
      <c r="Q98" s="23" t="s">
        <v>1462</v>
      </c>
      <c r="R98" s="24" t="s">
        <v>282</v>
      </c>
      <c r="S98" s="25" t="s">
        <v>81</v>
      </c>
      <c r="T98" s="26">
        <v>3</v>
      </c>
      <c r="U98" s="26">
        <v>3</v>
      </c>
      <c r="V98" s="26">
        <f t="shared" si="10"/>
        <v>11655.48</v>
      </c>
      <c r="W98" s="26">
        <f t="shared" si="18"/>
        <v>0</v>
      </c>
      <c r="X98" s="26">
        <f t="shared" si="13"/>
        <v>0</v>
      </c>
      <c r="Y98" s="26">
        <f t="shared" si="11"/>
        <v>0</v>
      </c>
      <c r="Z98" s="26">
        <f t="shared" si="14"/>
        <v>0</v>
      </c>
      <c r="AA98" s="33" t="s">
        <v>15</v>
      </c>
      <c r="AB98" s="36" t="s">
        <v>16</v>
      </c>
      <c r="AC98" s="181">
        <f t="shared" si="15"/>
        <v>3</v>
      </c>
      <c r="AD98" s="181">
        <f t="shared" si="12"/>
        <v>34966.44</v>
      </c>
      <c r="AE98" s="181">
        <v>1.2</v>
      </c>
      <c r="AF98" s="181">
        <v>1.2</v>
      </c>
      <c r="AG98" s="101" t="str">
        <f t="shared" si="16"/>
        <v/>
      </c>
      <c r="AH98" s="190">
        <v>0</v>
      </c>
      <c r="AI98" s="69">
        <f t="shared" si="17"/>
        <v>3</v>
      </c>
    </row>
    <row r="99" spans="1:35" s="69" customFormat="1" ht="26.1" hidden="1" customHeight="1" x14ac:dyDescent="0.3">
      <c r="A99" s="55" t="s">
        <v>284</v>
      </c>
      <c r="B99" s="53" t="s">
        <v>285</v>
      </c>
      <c r="C99" s="54" t="s">
        <v>81</v>
      </c>
      <c r="D99" s="75">
        <v>4</v>
      </c>
      <c r="E99" s="75"/>
      <c r="F99" s="75"/>
      <c r="G99" s="75"/>
      <c r="H99" s="75" t="s">
        <v>15</v>
      </c>
      <c r="I99" s="75">
        <v>25108.91</v>
      </c>
      <c r="J99" s="75">
        <v>100435.64</v>
      </c>
      <c r="K99" s="91" t="s">
        <v>286</v>
      </c>
      <c r="L99" s="73"/>
      <c r="M99" s="46">
        <v>0</v>
      </c>
      <c r="N99" s="46">
        <v>0</v>
      </c>
      <c r="O99" s="46">
        <v>0</v>
      </c>
      <c r="P99" s="98"/>
      <c r="Q99" s="23" t="s">
        <v>1463</v>
      </c>
      <c r="R99" s="24" t="s">
        <v>285</v>
      </c>
      <c r="S99" s="25" t="s">
        <v>81</v>
      </c>
      <c r="T99" s="26">
        <v>4</v>
      </c>
      <c r="U99" s="26">
        <v>4</v>
      </c>
      <c r="V99" s="26">
        <f t="shared" si="10"/>
        <v>25108.91</v>
      </c>
      <c r="W99" s="26">
        <f t="shared" si="18"/>
        <v>0</v>
      </c>
      <c r="X99" s="26">
        <f t="shared" si="13"/>
        <v>0</v>
      </c>
      <c r="Y99" s="26">
        <f t="shared" si="11"/>
        <v>0</v>
      </c>
      <c r="Z99" s="26">
        <f t="shared" si="14"/>
        <v>0</v>
      </c>
      <c r="AA99" s="33" t="s">
        <v>15</v>
      </c>
      <c r="AB99" s="36" t="s">
        <v>16</v>
      </c>
      <c r="AC99" s="181">
        <f t="shared" si="15"/>
        <v>4</v>
      </c>
      <c r="AD99" s="181">
        <f t="shared" si="12"/>
        <v>100435.64</v>
      </c>
      <c r="AE99" s="181">
        <v>1.2</v>
      </c>
      <c r="AF99" s="181">
        <v>1.2</v>
      </c>
      <c r="AG99" s="101" t="str">
        <f t="shared" si="16"/>
        <v/>
      </c>
      <c r="AH99" s="190">
        <v>0</v>
      </c>
      <c r="AI99" s="69">
        <f t="shared" si="17"/>
        <v>4</v>
      </c>
    </row>
    <row r="100" spans="1:35" s="69" customFormat="1" ht="26.1" hidden="1" customHeight="1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 t="s">
        <v>15</v>
      </c>
      <c r="I100" s="75">
        <v>22416.92</v>
      </c>
      <c r="J100" s="75">
        <v>112084.6</v>
      </c>
      <c r="K100" s="91" t="s">
        <v>289</v>
      </c>
      <c r="L100" s="73"/>
      <c r="M100" s="46">
        <v>0</v>
      </c>
      <c r="N100" s="46">
        <v>0</v>
      </c>
      <c r="O100" s="46">
        <v>0</v>
      </c>
      <c r="P100" s="98"/>
      <c r="Q100" s="23" t="s">
        <v>1464</v>
      </c>
      <c r="R100" s="24" t="s">
        <v>288</v>
      </c>
      <c r="S100" s="25" t="s">
        <v>81</v>
      </c>
      <c r="T100" s="26">
        <v>5</v>
      </c>
      <c r="U100" s="26">
        <v>5</v>
      </c>
      <c r="V100" s="26">
        <f t="shared" si="10"/>
        <v>22416.92</v>
      </c>
      <c r="W100" s="26">
        <f t="shared" si="18"/>
        <v>0</v>
      </c>
      <c r="X100" s="26">
        <f t="shared" si="13"/>
        <v>0</v>
      </c>
      <c r="Y100" s="26">
        <f t="shared" si="11"/>
        <v>0</v>
      </c>
      <c r="Z100" s="26">
        <f t="shared" si="14"/>
        <v>0</v>
      </c>
      <c r="AA100" s="33" t="s">
        <v>15</v>
      </c>
      <c r="AB100" s="36" t="s">
        <v>16</v>
      </c>
      <c r="AC100" s="181">
        <f t="shared" si="15"/>
        <v>5</v>
      </c>
      <c r="AD100" s="181">
        <f t="shared" si="12"/>
        <v>112084.6</v>
      </c>
      <c r="AE100" s="181">
        <v>1.2</v>
      </c>
      <c r="AF100" s="181">
        <v>1.2</v>
      </c>
      <c r="AG100" s="101" t="str">
        <f t="shared" si="16"/>
        <v/>
      </c>
      <c r="AH100" s="190">
        <v>0</v>
      </c>
      <c r="AI100" s="69">
        <f t="shared" si="17"/>
        <v>5</v>
      </c>
    </row>
    <row r="101" spans="1:35" s="69" customFormat="1" ht="26.1" hidden="1" customHeight="1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 t="s">
        <v>15</v>
      </c>
      <c r="I101" s="75">
        <v>21724.76</v>
      </c>
      <c r="J101" s="75">
        <v>21724.76</v>
      </c>
      <c r="K101" s="91" t="s">
        <v>292</v>
      </c>
      <c r="L101" s="73"/>
      <c r="M101" s="46">
        <v>0</v>
      </c>
      <c r="N101" s="46">
        <v>0</v>
      </c>
      <c r="O101" s="46">
        <v>0</v>
      </c>
      <c r="P101" s="98"/>
      <c r="Q101" s="23" t="s">
        <v>1465</v>
      </c>
      <c r="R101" s="24" t="s">
        <v>291</v>
      </c>
      <c r="S101" s="25" t="s">
        <v>81</v>
      </c>
      <c r="T101" s="26">
        <v>1</v>
      </c>
      <c r="U101" s="26">
        <v>1</v>
      </c>
      <c r="V101" s="26">
        <f t="shared" si="10"/>
        <v>21724.76</v>
      </c>
      <c r="W101" s="26">
        <f t="shared" si="18"/>
        <v>0</v>
      </c>
      <c r="X101" s="26">
        <f t="shared" si="13"/>
        <v>0</v>
      </c>
      <c r="Y101" s="26">
        <f t="shared" si="11"/>
        <v>0</v>
      </c>
      <c r="Z101" s="26">
        <f t="shared" si="14"/>
        <v>0</v>
      </c>
      <c r="AA101" s="33" t="s">
        <v>15</v>
      </c>
      <c r="AB101" s="36" t="s">
        <v>16</v>
      </c>
      <c r="AC101" s="181">
        <f t="shared" si="15"/>
        <v>1</v>
      </c>
      <c r="AD101" s="181">
        <f t="shared" si="12"/>
        <v>21724.76</v>
      </c>
      <c r="AE101" s="181">
        <v>1.2</v>
      </c>
      <c r="AF101" s="181">
        <v>1.2</v>
      </c>
      <c r="AG101" s="101" t="str">
        <f t="shared" si="16"/>
        <v/>
      </c>
      <c r="AH101" s="190">
        <v>0</v>
      </c>
      <c r="AI101" s="69">
        <f t="shared" si="17"/>
        <v>1</v>
      </c>
    </row>
    <row r="102" spans="1:35" s="69" customFormat="1" ht="26.1" hidden="1" customHeight="1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 t="s">
        <v>15</v>
      </c>
      <c r="I102" s="75">
        <v>17341.04</v>
      </c>
      <c r="J102" s="75">
        <v>34682.080000000002</v>
      </c>
      <c r="K102" s="91" t="s">
        <v>295</v>
      </c>
      <c r="L102" s="73"/>
      <c r="M102" s="46">
        <v>0</v>
      </c>
      <c r="N102" s="46">
        <v>0</v>
      </c>
      <c r="O102" s="46">
        <v>0</v>
      </c>
      <c r="P102" s="98"/>
      <c r="Q102" s="23" t="s">
        <v>1466</v>
      </c>
      <c r="R102" s="24" t="s">
        <v>294</v>
      </c>
      <c r="S102" s="25" t="s">
        <v>81</v>
      </c>
      <c r="T102" s="26">
        <v>2</v>
      </c>
      <c r="U102" s="26">
        <v>2</v>
      </c>
      <c r="V102" s="26">
        <f t="shared" si="10"/>
        <v>17341.04</v>
      </c>
      <c r="W102" s="26">
        <f t="shared" si="18"/>
        <v>0</v>
      </c>
      <c r="X102" s="26">
        <f t="shared" si="13"/>
        <v>0</v>
      </c>
      <c r="Y102" s="26">
        <f t="shared" si="11"/>
        <v>0</v>
      </c>
      <c r="Z102" s="26">
        <f t="shared" si="14"/>
        <v>0</v>
      </c>
      <c r="AA102" s="33" t="s">
        <v>15</v>
      </c>
      <c r="AB102" s="36" t="s">
        <v>16</v>
      </c>
      <c r="AC102" s="181">
        <f t="shared" si="15"/>
        <v>2</v>
      </c>
      <c r="AD102" s="181">
        <f t="shared" si="12"/>
        <v>34682.080000000002</v>
      </c>
      <c r="AE102" s="181">
        <v>1.2</v>
      </c>
      <c r="AF102" s="181">
        <v>1.2</v>
      </c>
      <c r="AG102" s="101" t="str">
        <f t="shared" si="16"/>
        <v/>
      </c>
      <c r="AH102" s="190">
        <v>0</v>
      </c>
      <c r="AI102" s="69">
        <f t="shared" si="17"/>
        <v>2</v>
      </c>
    </row>
    <row r="103" spans="1:35" s="69" customFormat="1" ht="26.1" hidden="1" customHeight="1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 t="s">
        <v>15</v>
      </c>
      <c r="I103" s="75">
        <v>17341.04</v>
      </c>
      <c r="J103" s="75">
        <v>17341.04</v>
      </c>
      <c r="K103" s="91" t="s">
        <v>298</v>
      </c>
      <c r="L103" s="73"/>
      <c r="M103" s="46">
        <v>0</v>
      </c>
      <c r="N103" s="46">
        <v>0</v>
      </c>
      <c r="O103" s="46">
        <v>0</v>
      </c>
      <c r="P103" s="98"/>
      <c r="Q103" s="23" t="s">
        <v>1467</v>
      </c>
      <c r="R103" s="24" t="s">
        <v>297</v>
      </c>
      <c r="S103" s="25" t="s">
        <v>81</v>
      </c>
      <c r="T103" s="26">
        <v>1</v>
      </c>
      <c r="U103" s="26">
        <v>1</v>
      </c>
      <c r="V103" s="26">
        <f t="shared" ref="V103:V166" si="19">I103</f>
        <v>17341.04</v>
      </c>
      <c r="W103" s="26">
        <f t="shared" si="18"/>
        <v>0</v>
      </c>
      <c r="X103" s="26">
        <f t="shared" si="13"/>
        <v>0</v>
      </c>
      <c r="Y103" s="26">
        <f t="shared" ref="Y103:Y132" si="20">Z103-O103</f>
        <v>0</v>
      </c>
      <c r="Z103" s="26">
        <f t="shared" si="14"/>
        <v>0</v>
      </c>
      <c r="AA103" s="33" t="s">
        <v>15</v>
      </c>
      <c r="AB103" s="36" t="s">
        <v>16</v>
      </c>
      <c r="AC103" s="181">
        <f t="shared" si="15"/>
        <v>1</v>
      </c>
      <c r="AD103" s="181">
        <f t="shared" si="12"/>
        <v>17341.04</v>
      </c>
      <c r="AE103" s="181">
        <v>1.2</v>
      </c>
      <c r="AF103" s="181">
        <v>1.2</v>
      </c>
      <c r="AG103" s="101" t="str">
        <f t="shared" si="16"/>
        <v/>
      </c>
      <c r="AH103" s="190">
        <v>0</v>
      </c>
      <c r="AI103" s="69">
        <f t="shared" si="17"/>
        <v>1</v>
      </c>
    </row>
    <row r="104" spans="1:35" s="69" customFormat="1" ht="26.1" hidden="1" customHeight="1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 t="s">
        <v>15</v>
      </c>
      <c r="I104" s="75">
        <v>17341.04</v>
      </c>
      <c r="J104" s="75">
        <v>104046.24</v>
      </c>
      <c r="K104" s="91" t="s">
        <v>301</v>
      </c>
      <c r="L104" s="73"/>
      <c r="M104" s="46">
        <v>0</v>
      </c>
      <c r="N104" s="46">
        <v>0</v>
      </c>
      <c r="O104" s="46">
        <v>0</v>
      </c>
      <c r="P104" s="98"/>
      <c r="Q104" s="23" t="s">
        <v>1468</v>
      </c>
      <c r="R104" s="24" t="s">
        <v>300</v>
      </c>
      <c r="S104" s="25" t="s">
        <v>81</v>
      </c>
      <c r="T104" s="26">
        <v>6</v>
      </c>
      <c r="U104" s="26">
        <v>6</v>
      </c>
      <c r="V104" s="26">
        <f t="shared" si="19"/>
        <v>17341.04</v>
      </c>
      <c r="W104" s="26">
        <f t="shared" si="18"/>
        <v>0</v>
      </c>
      <c r="X104" s="26">
        <f t="shared" si="13"/>
        <v>0</v>
      </c>
      <c r="Y104" s="26">
        <f t="shared" si="20"/>
        <v>0</v>
      </c>
      <c r="Z104" s="26">
        <f t="shared" si="14"/>
        <v>0</v>
      </c>
      <c r="AA104" s="33" t="s">
        <v>15</v>
      </c>
      <c r="AB104" s="36" t="s">
        <v>16</v>
      </c>
      <c r="AC104" s="181">
        <f t="shared" si="15"/>
        <v>6</v>
      </c>
      <c r="AD104" s="181">
        <f t="shared" ref="AD104:AD132" si="21">ROUND(V104*AC104,2)</f>
        <v>104046.24</v>
      </c>
      <c r="AE104" s="181">
        <v>1.2</v>
      </c>
      <c r="AF104" s="181">
        <v>1.2</v>
      </c>
      <c r="AG104" s="101" t="str">
        <f t="shared" si="16"/>
        <v/>
      </c>
      <c r="AH104" s="190">
        <v>0</v>
      </c>
      <c r="AI104" s="69">
        <f t="shared" si="17"/>
        <v>6</v>
      </c>
    </row>
    <row r="105" spans="1:35" s="69" customFormat="1" ht="26.1" hidden="1" customHeight="1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 t="s">
        <v>15</v>
      </c>
      <c r="I105" s="75">
        <v>17497.64</v>
      </c>
      <c r="J105" s="75">
        <v>34995.279999999999</v>
      </c>
      <c r="K105" s="91" t="s">
        <v>304</v>
      </c>
      <c r="L105" s="73"/>
      <c r="M105" s="46">
        <v>0</v>
      </c>
      <c r="N105" s="46">
        <v>0</v>
      </c>
      <c r="O105" s="46">
        <v>0</v>
      </c>
      <c r="P105" s="98"/>
      <c r="Q105" s="23" t="s">
        <v>1469</v>
      </c>
      <c r="R105" s="24" t="s">
        <v>303</v>
      </c>
      <c r="S105" s="25" t="s">
        <v>81</v>
      </c>
      <c r="T105" s="26">
        <v>2</v>
      </c>
      <c r="U105" s="26">
        <v>2</v>
      </c>
      <c r="V105" s="26">
        <f t="shared" si="19"/>
        <v>17497.64</v>
      </c>
      <c r="W105" s="26">
        <f t="shared" si="18"/>
        <v>0</v>
      </c>
      <c r="X105" s="26">
        <f t="shared" si="13"/>
        <v>0</v>
      </c>
      <c r="Y105" s="26">
        <f t="shared" si="20"/>
        <v>0</v>
      </c>
      <c r="Z105" s="26">
        <f t="shared" si="14"/>
        <v>0</v>
      </c>
      <c r="AA105" s="33" t="s">
        <v>15</v>
      </c>
      <c r="AB105" s="36" t="s">
        <v>16</v>
      </c>
      <c r="AC105" s="181">
        <f t="shared" si="15"/>
        <v>2</v>
      </c>
      <c r="AD105" s="181">
        <f t="shared" si="21"/>
        <v>34995.279999999999</v>
      </c>
      <c r="AE105" s="181">
        <v>1.2</v>
      </c>
      <c r="AF105" s="181">
        <v>1.2</v>
      </c>
      <c r="AG105" s="101" t="str">
        <f t="shared" si="16"/>
        <v/>
      </c>
      <c r="AH105" s="190">
        <v>0</v>
      </c>
      <c r="AI105" s="69">
        <f t="shared" si="17"/>
        <v>2</v>
      </c>
    </row>
    <row r="106" spans="1:35" s="69" customFormat="1" ht="26.1" hidden="1" customHeight="1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 t="s">
        <v>15</v>
      </c>
      <c r="I106" s="75">
        <v>1501.74</v>
      </c>
      <c r="J106" s="75">
        <v>3003.48</v>
      </c>
      <c r="K106" s="91" t="s">
        <v>307</v>
      </c>
      <c r="L106" s="73"/>
      <c r="M106" s="46">
        <v>0</v>
      </c>
      <c r="N106" s="46">
        <v>0</v>
      </c>
      <c r="O106" s="46">
        <v>0</v>
      </c>
      <c r="P106" s="98"/>
      <c r="Q106" s="23" t="s">
        <v>1470</v>
      </c>
      <c r="R106" s="24" t="s">
        <v>306</v>
      </c>
      <c r="S106" s="25" t="s">
        <v>81</v>
      </c>
      <c r="T106" s="26">
        <v>2</v>
      </c>
      <c r="U106" s="26">
        <v>2</v>
      </c>
      <c r="V106" s="26">
        <f t="shared" si="19"/>
        <v>1501.74</v>
      </c>
      <c r="W106" s="26">
        <f t="shared" si="18"/>
        <v>0</v>
      </c>
      <c r="X106" s="26">
        <f t="shared" si="13"/>
        <v>0</v>
      </c>
      <c r="Y106" s="26">
        <f t="shared" si="20"/>
        <v>0</v>
      </c>
      <c r="Z106" s="26">
        <f t="shared" si="14"/>
        <v>0</v>
      </c>
      <c r="AA106" s="33" t="s">
        <v>15</v>
      </c>
      <c r="AB106" s="36" t="s">
        <v>16</v>
      </c>
      <c r="AC106" s="181">
        <f t="shared" si="15"/>
        <v>2</v>
      </c>
      <c r="AD106" s="181">
        <f t="shared" si="21"/>
        <v>3003.48</v>
      </c>
      <c r="AE106" s="181">
        <v>1.2</v>
      </c>
      <c r="AF106" s="181">
        <v>1.2</v>
      </c>
      <c r="AG106" s="101" t="str">
        <f t="shared" si="16"/>
        <v/>
      </c>
      <c r="AH106" s="190">
        <v>0</v>
      </c>
      <c r="AI106" s="69">
        <f t="shared" si="17"/>
        <v>2</v>
      </c>
    </row>
    <row r="107" spans="1:35" s="69" customFormat="1" ht="26.1" hidden="1" customHeight="1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 t="s">
        <v>15</v>
      </c>
      <c r="I107" s="75">
        <v>994.98</v>
      </c>
      <c r="J107" s="75">
        <v>994.98</v>
      </c>
      <c r="K107" s="91" t="s">
        <v>310</v>
      </c>
      <c r="L107" s="73"/>
      <c r="M107" s="46">
        <v>0</v>
      </c>
      <c r="N107" s="46">
        <v>0</v>
      </c>
      <c r="O107" s="46">
        <v>0</v>
      </c>
      <c r="P107" s="98"/>
      <c r="Q107" s="23" t="s">
        <v>1471</v>
      </c>
      <c r="R107" s="24" t="s">
        <v>309</v>
      </c>
      <c r="S107" s="25" t="s">
        <v>81</v>
      </c>
      <c r="T107" s="26">
        <v>1</v>
      </c>
      <c r="U107" s="26">
        <v>1</v>
      </c>
      <c r="V107" s="26">
        <f t="shared" si="19"/>
        <v>994.98</v>
      </c>
      <c r="W107" s="26">
        <f t="shared" si="18"/>
        <v>0</v>
      </c>
      <c r="X107" s="26">
        <f t="shared" si="13"/>
        <v>0</v>
      </c>
      <c r="Y107" s="26">
        <f t="shared" si="20"/>
        <v>0</v>
      </c>
      <c r="Z107" s="26">
        <f t="shared" si="14"/>
        <v>0</v>
      </c>
      <c r="AA107" s="33" t="s">
        <v>15</v>
      </c>
      <c r="AB107" s="36" t="s">
        <v>16</v>
      </c>
      <c r="AC107" s="181">
        <f t="shared" si="15"/>
        <v>1</v>
      </c>
      <c r="AD107" s="181">
        <f t="shared" si="21"/>
        <v>994.98</v>
      </c>
      <c r="AE107" s="181">
        <v>1.2</v>
      </c>
      <c r="AF107" s="181">
        <v>1.2</v>
      </c>
      <c r="AG107" s="101" t="str">
        <f t="shared" si="16"/>
        <v/>
      </c>
      <c r="AH107" s="190">
        <v>0</v>
      </c>
      <c r="AI107" s="69">
        <f t="shared" si="17"/>
        <v>1</v>
      </c>
    </row>
    <row r="108" spans="1:35" s="69" customFormat="1" ht="26.1" hidden="1" customHeight="1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 t="s">
        <v>15</v>
      </c>
      <c r="I108" s="75">
        <v>331.66</v>
      </c>
      <c r="J108" s="75">
        <v>3979.92</v>
      </c>
      <c r="K108" s="91" t="s">
        <v>313</v>
      </c>
      <c r="L108" s="73"/>
      <c r="M108" s="46">
        <v>0</v>
      </c>
      <c r="N108" s="46">
        <v>0</v>
      </c>
      <c r="O108" s="46">
        <v>0</v>
      </c>
      <c r="P108" s="98"/>
      <c r="Q108" s="23" t="s">
        <v>1472</v>
      </c>
      <c r="R108" s="24" t="s">
        <v>312</v>
      </c>
      <c r="S108" s="25" t="s">
        <v>81</v>
      </c>
      <c r="T108" s="26">
        <v>12</v>
      </c>
      <c r="U108" s="26">
        <v>12</v>
      </c>
      <c r="V108" s="26">
        <f t="shared" si="19"/>
        <v>331.66</v>
      </c>
      <c r="W108" s="26">
        <f t="shared" si="18"/>
        <v>0</v>
      </c>
      <c r="X108" s="26">
        <f t="shared" si="13"/>
        <v>0</v>
      </c>
      <c r="Y108" s="26">
        <f t="shared" si="20"/>
        <v>0</v>
      </c>
      <c r="Z108" s="26">
        <f t="shared" si="14"/>
        <v>0</v>
      </c>
      <c r="AA108" s="33" t="s">
        <v>15</v>
      </c>
      <c r="AB108" s="36" t="s">
        <v>16</v>
      </c>
      <c r="AC108" s="181">
        <f t="shared" si="15"/>
        <v>12</v>
      </c>
      <c r="AD108" s="181">
        <f t="shared" si="21"/>
        <v>3979.92</v>
      </c>
      <c r="AE108" s="181">
        <v>1.2</v>
      </c>
      <c r="AF108" s="181">
        <v>1.2</v>
      </c>
      <c r="AG108" s="101" t="str">
        <f t="shared" si="16"/>
        <v/>
      </c>
      <c r="AH108" s="190">
        <v>0</v>
      </c>
      <c r="AI108" s="69">
        <f t="shared" si="17"/>
        <v>12</v>
      </c>
    </row>
    <row r="109" spans="1:35" s="69" customFormat="1" ht="26.1" hidden="1" customHeight="1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 t="s">
        <v>15</v>
      </c>
      <c r="I109" s="75">
        <v>1096.44</v>
      </c>
      <c r="J109" s="75">
        <v>2192.88</v>
      </c>
      <c r="K109" s="91" t="s">
        <v>316</v>
      </c>
      <c r="L109" s="73"/>
      <c r="M109" s="46">
        <v>0</v>
      </c>
      <c r="N109" s="46">
        <v>0</v>
      </c>
      <c r="O109" s="46">
        <v>0</v>
      </c>
      <c r="P109" s="98"/>
      <c r="Q109" s="23" t="s">
        <v>1473</v>
      </c>
      <c r="R109" s="24" t="s">
        <v>315</v>
      </c>
      <c r="S109" s="25" t="s">
        <v>81</v>
      </c>
      <c r="T109" s="26">
        <v>2</v>
      </c>
      <c r="U109" s="26">
        <v>2</v>
      </c>
      <c r="V109" s="26">
        <f t="shared" si="19"/>
        <v>1096.44</v>
      </c>
      <c r="W109" s="26">
        <f t="shared" si="18"/>
        <v>0</v>
      </c>
      <c r="X109" s="26">
        <f t="shared" si="13"/>
        <v>0</v>
      </c>
      <c r="Y109" s="26">
        <f t="shared" si="20"/>
        <v>0</v>
      </c>
      <c r="Z109" s="26">
        <f t="shared" si="14"/>
        <v>0</v>
      </c>
      <c r="AA109" s="33" t="s">
        <v>15</v>
      </c>
      <c r="AB109" s="36" t="s">
        <v>16</v>
      </c>
      <c r="AC109" s="181">
        <f t="shared" si="15"/>
        <v>2</v>
      </c>
      <c r="AD109" s="181">
        <f t="shared" si="21"/>
        <v>2192.88</v>
      </c>
      <c r="AE109" s="181">
        <v>1.2</v>
      </c>
      <c r="AF109" s="181">
        <v>1.2</v>
      </c>
      <c r="AG109" s="101" t="str">
        <f t="shared" si="16"/>
        <v/>
      </c>
      <c r="AH109" s="190">
        <v>0</v>
      </c>
      <c r="AI109" s="69">
        <f t="shared" si="17"/>
        <v>2</v>
      </c>
    </row>
    <row r="110" spans="1:35" s="69" customFormat="1" ht="26.1" hidden="1" customHeight="1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 t="s">
        <v>15</v>
      </c>
      <c r="I110" s="75">
        <v>952.24</v>
      </c>
      <c r="J110" s="75">
        <v>3808.96</v>
      </c>
      <c r="K110" s="91" t="s">
        <v>319</v>
      </c>
      <c r="L110" s="73"/>
      <c r="M110" s="46">
        <v>0</v>
      </c>
      <c r="N110" s="46">
        <v>0</v>
      </c>
      <c r="O110" s="46">
        <v>0</v>
      </c>
      <c r="P110" s="98"/>
      <c r="Q110" s="23" t="s">
        <v>1474</v>
      </c>
      <c r="R110" s="24" t="s">
        <v>318</v>
      </c>
      <c r="S110" s="25" t="s">
        <v>81</v>
      </c>
      <c r="T110" s="26">
        <v>4</v>
      </c>
      <c r="U110" s="26">
        <v>4</v>
      </c>
      <c r="V110" s="26">
        <f t="shared" si="19"/>
        <v>952.24</v>
      </c>
      <c r="W110" s="26">
        <f t="shared" si="18"/>
        <v>0</v>
      </c>
      <c r="X110" s="26">
        <f t="shared" si="13"/>
        <v>0</v>
      </c>
      <c r="Y110" s="26">
        <f t="shared" si="20"/>
        <v>0</v>
      </c>
      <c r="Z110" s="26">
        <f t="shared" si="14"/>
        <v>0</v>
      </c>
      <c r="AA110" s="33" t="s">
        <v>15</v>
      </c>
      <c r="AB110" s="36" t="s">
        <v>16</v>
      </c>
      <c r="AC110" s="181">
        <f t="shared" si="15"/>
        <v>4</v>
      </c>
      <c r="AD110" s="181">
        <f t="shared" si="21"/>
        <v>3808.96</v>
      </c>
      <c r="AE110" s="181">
        <v>1.2</v>
      </c>
      <c r="AF110" s="181">
        <v>1.2</v>
      </c>
      <c r="AG110" s="101" t="str">
        <f t="shared" si="16"/>
        <v/>
      </c>
      <c r="AH110" s="190">
        <v>0</v>
      </c>
      <c r="AI110" s="69">
        <f t="shared" si="17"/>
        <v>4</v>
      </c>
    </row>
    <row r="111" spans="1:35" s="69" customFormat="1" ht="49.5" hidden="1" x14ac:dyDescent="0.3">
      <c r="A111" s="130" t="s">
        <v>320</v>
      </c>
      <c r="B111" s="240" t="s">
        <v>321</v>
      </c>
      <c r="C111" s="132" t="s">
        <v>50</v>
      </c>
      <c r="D111" s="133">
        <v>676.98</v>
      </c>
      <c r="E111" s="75">
        <v>773.78</v>
      </c>
      <c r="F111" s="75"/>
      <c r="G111" s="75"/>
      <c r="H111" s="75" t="s">
        <v>15</v>
      </c>
      <c r="I111" s="75">
        <v>647.70000000000005</v>
      </c>
      <c r="J111" s="75">
        <v>501177.31</v>
      </c>
      <c r="K111" s="91" t="s">
        <v>322</v>
      </c>
      <c r="L111" s="73"/>
      <c r="M111" s="46">
        <v>354.83000000000004</v>
      </c>
      <c r="N111" s="46">
        <v>74485.5</v>
      </c>
      <c r="O111" s="46">
        <v>229823.39</v>
      </c>
      <c r="P111" s="98"/>
      <c r="Q111" s="23" t="s">
        <v>1475</v>
      </c>
      <c r="R111" s="24" t="s">
        <v>321</v>
      </c>
      <c r="S111" s="25" t="s">
        <v>50</v>
      </c>
      <c r="T111" s="26">
        <v>676.98</v>
      </c>
      <c r="U111" s="26">
        <v>773.78</v>
      </c>
      <c r="V111" s="26">
        <f t="shared" si="19"/>
        <v>647.70000000000005</v>
      </c>
      <c r="W111" s="128">
        <f t="shared" si="18"/>
        <v>0</v>
      </c>
      <c r="X111" s="127">
        <f t="shared" si="13"/>
        <v>354.83000000000004</v>
      </c>
      <c r="Y111" s="127">
        <f t="shared" si="20"/>
        <v>0</v>
      </c>
      <c r="Z111" s="127">
        <f t="shared" si="14"/>
        <v>229823.39</v>
      </c>
      <c r="AA111" s="27" t="s">
        <v>15</v>
      </c>
      <c r="AB111" s="36" t="s">
        <v>16</v>
      </c>
      <c r="AC111" s="181">
        <f t="shared" si="15"/>
        <v>773.78</v>
      </c>
      <c r="AD111" s="181">
        <f t="shared" si="21"/>
        <v>501177.31</v>
      </c>
      <c r="AE111" s="181">
        <v>1.2</v>
      </c>
      <c r="AF111" s="181">
        <v>1.2</v>
      </c>
      <c r="AG111" s="101" t="str">
        <f t="shared" si="16"/>
        <v/>
      </c>
      <c r="AH111" s="191">
        <v>354.83</v>
      </c>
      <c r="AI111" s="69">
        <f t="shared" si="17"/>
        <v>773.78</v>
      </c>
    </row>
    <row r="112" spans="1:35" s="69" customFormat="1" ht="33" hidden="1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 t="s">
        <v>15</v>
      </c>
      <c r="I112" s="75">
        <v>10413.299999999999</v>
      </c>
      <c r="J112" s="75">
        <v>20826.599999999999</v>
      </c>
      <c r="K112" s="91" t="s">
        <v>326</v>
      </c>
      <c r="L112" s="73"/>
      <c r="M112" s="46">
        <v>0</v>
      </c>
      <c r="N112" s="46">
        <v>0</v>
      </c>
      <c r="O112" s="46">
        <v>0</v>
      </c>
      <c r="P112" s="98"/>
      <c r="Q112" s="23" t="s">
        <v>1476</v>
      </c>
      <c r="R112" s="24" t="s">
        <v>324</v>
      </c>
      <c r="S112" s="25" t="s">
        <v>325</v>
      </c>
      <c r="T112" s="26">
        <v>2</v>
      </c>
      <c r="U112" s="26">
        <v>2</v>
      </c>
      <c r="V112" s="26">
        <f t="shared" si="19"/>
        <v>10413.299999999999</v>
      </c>
      <c r="W112" s="26">
        <f t="shared" si="18"/>
        <v>0</v>
      </c>
      <c r="X112" s="26">
        <f t="shared" si="13"/>
        <v>0</v>
      </c>
      <c r="Y112" s="26">
        <f t="shared" si="20"/>
        <v>0</v>
      </c>
      <c r="Z112" s="26">
        <f t="shared" si="14"/>
        <v>0</v>
      </c>
      <c r="AA112" s="33" t="s">
        <v>15</v>
      </c>
      <c r="AB112" s="36" t="s">
        <v>16</v>
      </c>
      <c r="AC112" s="181">
        <f t="shared" si="15"/>
        <v>2</v>
      </c>
      <c r="AD112" s="181">
        <f t="shared" si="21"/>
        <v>20826.599999999999</v>
      </c>
      <c r="AE112" s="181">
        <v>1.2</v>
      </c>
      <c r="AF112" s="181">
        <v>1.2</v>
      </c>
      <c r="AG112" s="101" t="str">
        <f t="shared" si="16"/>
        <v/>
      </c>
      <c r="AH112" s="190">
        <v>0</v>
      </c>
      <c r="AI112" s="69">
        <f t="shared" si="17"/>
        <v>2</v>
      </c>
    </row>
    <row r="113" spans="1:35" s="69" customFormat="1" ht="33" hidden="1" x14ac:dyDescent="0.3">
      <c r="A113" s="130" t="s">
        <v>327</v>
      </c>
      <c r="B113" s="131" t="s">
        <v>328</v>
      </c>
      <c r="C113" s="132" t="s">
        <v>81</v>
      </c>
      <c r="D113" s="133">
        <v>1</v>
      </c>
      <c r="E113" s="75"/>
      <c r="F113" s="75"/>
      <c r="G113" s="75"/>
      <c r="H113" s="75" t="s">
        <v>15</v>
      </c>
      <c r="I113" s="75">
        <v>101421.35</v>
      </c>
      <c r="J113" s="75">
        <v>101421.35</v>
      </c>
      <c r="K113" s="91" t="s">
        <v>329</v>
      </c>
      <c r="L113" s="73"/>
      <c r="M113" s="46">
        <v>1</v>
      </c>
      <c r="N113" s="46">
        <v>0</v>
      </c>
      <c r="O113" s="46">
        <v>101421.35</v>
      </c>
      <c r="P113" s="98"/>
      <c r="Q113" s="23" t="s">
        <v>1477</v>
      </c>
      <c r="R113" s="24" t="s">
        <v>328</v>
      </c>
      <c r="S113" s="25" t="s">
        <v>81</v>
      </c>
      <c r="T113" s="26">
        <v>1</v>
      </c>
      <c r="U113" s="26">
        <v>1</v>
      </c>
      <c r="V113" s="26">
        <f t="shared" si="19"/>
        <v>101421.35</v>
      </c>
      <c r="W113" s="127">
        <f t="shared" si="18"/>
        <v>0</v>
      </c>
      <c r="X113" s="127">
        <f t="shared" si="13"/>
        <v>1</v>
      </c>
      <c r="Y113" s="127">
        <f t="shared" si="20"/>
        <v>0</v>
      </c>
      <c r="Z113" s="127">
        <f t="shared" si="14"/>
        <v>101421.35</v>
      </c>
      <c r="AA113" s="33" t="s">
        <v>15</v>
      </c>
      <c r="AB113" s="36" t="s">
        <v>16</v>
      </c>
      <c r="AC113" s="181">
        <f t="shared" si="15"/>
        <v>1</v>
      </c>
      <c r="AD113" s="181">
        <f t="shared" si="21"/>
        <v>101421.35</v>
      </c>
      <c r="AE113" s="181">
        <v>1.2</v>
      </c>
      <c r="AF113" s="181">
        <v>1.2</v>
      </c>
      <c r="AG113" s="101" t="str">
        <f t="shared" si="16"/>
        <v/>
      </c>
      <c r="AH113" s="190">
        <v>1</v>
      </c>
      <c r="AI113" s="69">
        <f t="shared" si="17"/>
        <v>1</v>
      </c>
    </row>
    <row r="114" spans="1:35" s="69" customFormat="1" ht="33" hidden="1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 t="s">
        <v>15</v>
      </c>
      <c r="I114" s="75">
        <v>4575.26</v>
      </c>
      <c r="J114" s="75">
        <v>13725.78</v>
      </c>
      <c r="K114" s="91" t="s">
        <v>332</v>
      </c>
      <c r="L114" s="73"/>
      <c r="M114" s="46">
        <v>0</v>
      </c>
      <c r="N114" s="46">
        <v>0</v>
      </c>
      <c r="O114" s="46">
        <v>0</v>
      </c>
      <c r="P114" s="98"/>
      <c r="Q114" s="23" t="s">
        <v>1478</v>
      </c>
      <c r="R114" s="24" t="s">
        <v>331</v>
      </c>
      <c r="S114" s="25" t="s">
        <v>325</v>
      </c>
      <c r="T114" s="26">
        <v>3</v>
      </c>
      <c r="U114" s="26">
        <v>3</v>
      </c>
      <c r="V114" s="26">
        <f t="shared" si="19"/>
        <v>4575.26</v>
      </c>
      <c r="W114" s="26">
        <f t="shared" si="18"/>
        <v>0</v>
      </c>
      <c r="X114" s="26">
        <f t="shared" si="13"/>
        <v>0</v>
      </c>
      <c r="Y114" s="26">
        <f t="shared" si="20"/>
        <v>0</v>
      </c>
      <c r="Z114" s="26">
        <f t="shared" si="14"/>
        <v>0</v>
      </c>
      <c r="AA114" s="33" t="s">
        <v>15</v>
      </c>
      <c r="AB114" s="36" t="s">
        <v>16</v>
      </c>
      <c r="AC114" s="181">
        <f t="shared" si="15"/>
        <v>3</v>
      </c>
      <c r="AD114" s="181">
        <f t="shared" si="21"/>
        <v>13725.78</v>
      </c>
      <c r="AE114" s="181">
        <v>1.2</v>
      </c>
      <c r="AF114" s="181">
        <v>1.2</v>
      </c>
      <c r="AG114" s="101" t="str">
        <f t="shared" si="16"/>
        <v/>
      </c>
      <c r="AH114" s="190">
        <v>0</v>
      </c>
      <c r="AI114" s="69">
        <f t="shared" si="17"/>
        <v>3</v>
      </c>
    </row>
    <row r="115" spans="1:35" s="69" customFormat="1" ht="33" hidden="1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 t="s">
        <v>15</v>
      </c>
      <c r="I115" s="75">
        <v>12634.43</v>
      </c>
      <c r="J115" s="75">
        <v>12634.43</v>
      </c>
      <c r="K115" s="91" t="s">
        <v>335</v>
      </c>
      <c r="L115" s="73"/>
      <c r="M115" s="46">
        <v>0</v>
      </c>
      <c r="N115" s="46">
        <v>0</v>
      </c>
      <c r="O115" s="46">
        <v>0</v>
      </c>
      <c r="P115" s="98"/>
      <c r="Q115" s="23" t="s">
        <v>1479</v>
      </c>
      <c r="R115" s="24" t="s">
        <v>334</v>
      </c>
      <c r="S115" s="25" t="s">
        <v>81</v>
      </c>
      <c r="T115" s="26">
        <v>1</v>
      </c>
      <c r="U115" s="26">
        <v>1</v>
      </c>
      <c r="V115" s="26">
        <f t="shared" si="19"/>
        <v>12634.43</v>
      </c>
      <c r="W115" s="26">
        <f t="shared" si="18"/>
        <v>0</v>
      </c>
      <c r="X115" s="26">
        <f t="shared" si="13"/>
        <v>0</v>
      </c>
      <c r="Y115" s="26">
        <f t="shared" si="20"/>
        <v>0</v>
      </c>
      <c r="Z115" s="26">
        <f t="shared" si="14"/>
        <v>0</v>
      </c>
      <c r="AA115" s="33" t="s">
        <v>15</v>
      </c>
      <c r="AB115" s="36" t="s">
        <v>16</v>
      </c>
      <c r="AC115" s="181">
        <f t="shared" si="15"/>
        <v>1</v>
      </c>
      <c r="AD115" s="181">
        <f t="shared" si="21"/>
        <v>12634.43</v>
      </c>
      <c r="AE115" s="181">
        <v>1.2</v>
      </c>
      <c r="AF115" s="181">
        <v>1.2</v>
      </c>
      <c r="AG115" s="101" t="str">
        <f t="shared" si="16"/>
        <v/>
      </c>
      <c r="AH115" s="190">
        <v>0</v>
      </c>
      <c r="AI115" s="69">
        <f t="shared" si="17"/>
        <v>1</v>
      </c>
    </row>
    <row r="116" spans="1:35" s="69" customFormat="1" ht="33" hidden="1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 t="s">
        <v>15</v>
      </c>
      <c r="I116" s="75">
        <v>15300</v>
      </c>
      <c r="J116" s="75">
        <v>974304</v>
      </c>
      <c r="K116" s="91" t="s">
        <v>339</v>
      </c>
      <c r="L116" s="73"/>
      <c r="M116" s="46">
        <v>0</v>
      </c>
      <c r="N116" s="46">
        <v>0</v>
      </c>
      <c r="O116" s="46">
        <v>0</v>
      </c>
      <c r="P116" s="98"/>
      <c r="Q116" s="23" t="s">
        <v>1480</v>
      </c>
      <c r="R116" s="24" t="s">
        <v>337</v>
      </c>
      <c r="S116" s="25" t="s">
        <v>338</v>
      </c>
      <c r="T116" s="26">
        <v>63.68</v>
      </c>
      <c r="U116" s="26">
        <v>63.68</v>
      </c>
      <c r="V116" s="26">
        <f t="shared" si="19"/>
        <v>15300</v>
      </c>
      <c r="W116" s="128">
        <f t="shared" si="18"/>
        <v>35.700000000000003</v>
      </c>
      <c r="X116" s="26">
        <f t="shared" si="13"/>
        <v>35.700000000000003</v>
      </c>
      <c r="Y116" s="26">
        <f t="shared" si="20"/>
        <v>546210</v>
      </c>
      <c r="Z116" s="26">
        <f t="shared" si="14"/>
        <v>546210</v>
      </c>
      <c r="AA116" s="33" t="s">
        <v>15</v>
      </c>
      <c r="AB116" s="36" t="s">
        <v>16</v>
      </c>
      <c r="AC116" s="181">
        <f t="shared" si="15"/>
        <v>63.68</v>
      </c>
      <c r="AD116" s="181">
        <f t="shared" si="21"/>
        <v>974304</v>
      </c>
      <c r="AE116" s="181">
        <v>1.2</v>
      </c>
      <c r="AF116" s="181">
        <v>1.2</v>
      </c>
      <c r="AG116" s="101" t="str">
        <f t="shared" si="16"/>
        <v/>
      </c>
      <c r="AH116" s="191">
        <v>35.700000000000003</v>
      </c>
      <c r="AI116" s="69">
        <f t="shared" si="17"/>
        <v>63.68</v>
      </c>
    </row>
    <row r="117" spans="1:35" s="69" customFormat="1" ht="33" hidden="1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 t="s">
        <v>15</v>
      </c>
      <c r="I117" s="75">
        <v>4498.58</v>
      </c>
      <c r="J117" s="75">
        <v>278911.96000000002</v>
      </c>
      <c r="K117" s="91" t="s">
        <v>342</v>
      </c>
      <c r="L117" s="73"/>
      <c r="M117" s="46">
        <v>16</v>
      </c>
      <c r="N117" s="46">
        <v>35988.639999999999</v>
      </c>
      <c r="O117" s="46">
        <v>71977.279999999999</v>
      </c>
      <c r="P117" s="98"/>
      <c r="Q117" s="23" t="s">
        <v>1481</v>
      </c>
      <c r="R117" s="24" t="s">
        <v>341</v>
      </c>
      <c r="S117" s="25" t="s">
        <v>81</v>
      </c>
      <c r="T117" s="26">
        <v>62</v>
      </c>
      <c r="U117" s="26">
        <v>62</v>
      </c>
      <c r="V117" s="26">
        <f t="shared" si="19"/>
        <v>4498.58</v>
      </c>
      <c r="W117" s="128">
        <f t="shared" si="18"/>
        <v>0</v>
      </c>
      <c r="X117" s="26">
        <f t="shared" si="13"/>
        <v>16</v>
      </c>
      <c r="Y117" s="26">
        <f t="shared" si="20"/>
        <v>0</v>
      </c>
      <c r="Z117" s="26">
        <f t="shared" si="14"/>
        <v>71977.279999999999</v>
      </c>
      <c r="AA117" s="33" t="s">
        <v>15</v>
      </c>
      <c r="AB117" s="36" t="s">
        <v>16</v>
      </c>
      <c r="AC117" s="181">
        <f t="shared" si="15"/>
        <v>62</v>
      </c>
      <c r="AD117" s="181">
        <f t="shared" si="21"/>
        <v>278911.96000000002</v>
      </c>
      <c r="AE117" s="181">
        <v>1.2</v>
      </c>
      <c r="AF117" s="181">
        <v>1.2</v>
      </c>
      <c r="AG117" s="101" t="str">
        <f t="shared" si="16"/>
        <v/>
      </c>
      <c r="AH117" s="191">
        <v>16</v>
      </c>
      <c r="AI117" s="69">
        <f t="shared" si="17"/>
        <v>62</v>
      </c>
    </row>
    <row r="118" spans="1:35" s="69" customFormat="1" ht="33" hidden="1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 t="s">
        <v>15</v>
      </c>
      <c r="I118" s="75">
        <v>3353.68</v>
      </c>
      <c r="J118" s="75">
        <v>50305.2</v>
      </c>
      <c r="K118" s="91" t="s">
        <v>345</v>
      </c>
      <c r="L118" s="73"/>
      <c r="M118" s="46">
        <v>2</v>
      </c>
      <c r="N118" s="46">
        <v>6707.36</v>
      </c>
      <c r="O118" s="46">
        <v>6707.36</v>
      </c>
      <c r="P118" s="98"/>
      <c r="Q118" s="23" t="s">
        <v>1482</v>
      </c>
      <c r="R118" s="24" t="s">
        <v>344</v>
      </c>
      <c r="S118" s="25" t="s">
        <v>81</v>
      </c>
      <c r="T118" s="26">
        <v>15</v>
      </c>
      <c r="U118" s="26">
        <v>15</v>
      </c>
      <c r="V118" s="26">
        <f t="shared" si="19"/>
        <v>3353.68</v>
      </c>
      <c r="W118" s="26">
        <f t="shared" si="18"/>
        <v>0</v>
      </c>
      <c r="X118" s="26">
        <f t="shared" si="13"/>
        <v>2</v>
      </c>
      <c r="Y118" s="26">
        <f t="shared" si="20"/>
        <v>0</v>
      </c>
      <c r="Z118" s="26">
        <f t="shared" si="14"/>
        <v>6707.36</v>
      </c>
      <c r="AA118" s="33" t="s">
        <v>15</v>
      </c>
      <c r="AB118" s="36" t="s">
        <v>16</v>
      </c>
      <c r="AC118" s="181">
        <f t="shared" si="15"/>
        <v>15</v>
      </c>
      <c r="AD118" s="181">
        <f t="shared" si="21"/>
        <v>50305.2</v>
      </c>
      <c r="AE118" s="181">
        <v>1.2</v>
      </c>
      <c r="AF118" s="181">
        <v>1.2</v>
      </c>
      <c r="AG118" s="101" t="str">
        <f t="shared" si="16"/>
        <v/>
      </c>
      <c r="AH118" s="191">
        <v>2</v>
      </c>
      <c r="AI118" s="69">
        <f t="shared" si="17"/>
        <v>15</v>
      </c>
    </row>
    <row r="119" spans="1:35" s="69" customFormat="1" ht="33" hidden="1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 t="s">
        <v>15</v>
      </c>
      <c r="I119" s="75">
        <v>9874.4</v>
      </c>
      <c r="J119" s="75">
        <v>128367.2</v>
      </c>
      <c r="K119" s="91" t="s">
        <v>348</v>
      </c>
      <c r="L119" s="73"/>
      <c r="M119" s="46">
        <v>0</v>
      </c>
      <c r="N119" s="46">
        <v>0</v>
      </c>
      <c r="O119" s="46">
        <v>0</v>
      </c>
      <c r="P119" s="98"/>
      <c r="Q119" s="23" t="s">
        <v>1483</v>
      </c>
      <c r="R119" s="24" t="s">
        <v>347</v>
      </c>
      <c r="S119" s="25" t="s">
        <v>30</v>
      </c>
      <c r="T119" s="26">
        <v>13</v>
      </c>
      <c r="U119" s="26">
        <v>13</v>
      </c>
      <c r="V119" s="26">
        <f t="shared" si="19"/>
        <v>9874.4</v>
      </c>
      <c r="W119" s="26">
        <f t="shared" si="18"/>
        <v>0</v>
      </c>
      <c r="X119" s="26">
        <f t="shared" si="13"/>
        <v>0</v>
      </c>
      <c r="Y119" s="26">
        <f t="shared" si="20"/>
        <v>0</v>
      </c>
      <c r="Z119" s="26">
        <f t="shared" si="14"/>
        <v>0</v>
      </c>
      <c r="AA119" s="33" t="s">
        <v>15</v>
      </c>
      <c r="AB119" s="36" t="s">
        <v>16</v>
      </c>
      <c r="AC119" s="181">
        <f t="shared" si="15"/>
        <v>13</v>
      </c>
      <c r="AD119" s="181">
        <f t="shared" si="21"/>
        <v>128367.2</v>
      </c>
      <c r="AE119" s="181">
        <v>1.2</v>
      </c>
      <c r="AF119" s="181">
        <v>1.2</v>
      </c>
      <c r="AG119" s="101" t="str">
        <f t="shared" si="16"/>
        <v/>
      </c>
      <c r="AH119" s="190">
        <v>0</v>
      </c>
      <c r="AI119" s="69">
        <f t="shared" si="17"/>
        <v>13</v>
      </c>
    </row>
    <row r="120" spans="1:35" s="69" customFormat="1" ht="33" hidden="1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 t="s">
        <v>15</v>
      </c>
      <c r="I120" s="75">
        <v>6554.37</v>
      </c>
      <c r="J120" s="75">
        <v>273317.23</v>
      </c>
      <c r="K120" s="91" t="s">
        <v>351</v>
      </c>
      <c r="L120" s="73"/>
      <c r="M120" s="46">
        <v>0</v>
      </c>
      <c r="N120" s="46">
        <v>0</v>
      </c>
      <c r="O120" s="46">
        <v>0</v>
      </c>
      <c r="P120" s="98"/>
      <c r="Q120" s="23" t="s">
        <v>1484</v>
      </c>
      <c r="R120" s="24" t="s">
        <v>350</v>
      </c>
      <c r="S120" s="25" t="s">
        <v>30</v>
      </c>
      <c r="T120" s="26">
        <v>41.7</v>
      </c>
      <c r="U120" s="26">
        <v>41.7</v>
      </c>
      <c r="V120" s="26">
        <f t="shared" si="19"/>
        <v>6554.37</v>
      </c>
      <c r="W120" s="26">
        <f t="shared" si="18"/>
        <v>0</v>
      </c>
      <c r="X120" s="26">
        <f t="shared" si="13"/>
        <v>0</v>
      </c>
      <c r="Y120" s="26">
        <f t="shared" si="20"/>
        <v>0</v>
      </c>
      <c r="Z120" s="26">
        <f t="shared" si="14"/>
        <v>0</v>
      </c>
      <c r="AA120" s="33" t="s">
        <v>15</v>
      </c>
      <c r="AB120" s="36" t="s">
        <v>16</v>
      </c>
      <c r="AC120" s="181">
        <f t="shared" si="15"/>
        <v>41.7</v>
      </c>
      <c r="AD120" s="181">
        <f t="shared" si="21"/>
        <v>273317.23</v>
      </c>
      <c r="AE120" s="181">
        <v>1.2</v>
      </c>
      <c r="AF120" s="181">
        <v>1.2</v>
      </c>
      <c r="AG120" s="101" t="str">
        <f t="shared" si="16"/>
        <v/>
      </c>
      <c r="AH120" s="190">
        <v>0</v>
      </c>
      <c r="AI120" s="69">
        <f t="shared" si="17"/>
        <v>41.7</v>
      </c>
    </row>
    <row r="121" spans="1:35" s="69" customFormat="1" ht="33" hidden="1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 t="s">
        <v>15</v>
      </c>
      <c r="I121" s="75">
        <v>8390.73</v>
      </c>
      <c r="J121" s="75">
        <v>10907.95</v>
      </c>
      <c r="K121" s="91" t="s">
        <v>354</v>
      </c>
      <c r="L121" s="73"/>
      <c r="M121" s="46">
        <v>0</v>
      </c>
      <c r="N121" s="46">
        <v>0</v>
      </c>
      <c r="O121" s="46">
        <v>0</v>
      </c>
      <c r="P121" s="98"/>
      <c r="Q121" s="23" t="s">
        <v>1485</v>
      </c>
      <c r="R121" s="24" t="s">
        <v>353</v>
      </c>
      <c r="S121" s="25" t="s">
        <v>30</v>
      </c>
      <c r="T121" s="26">
        <v>1.3</v>
      </c>
      <c r="U121" s="26">
        <v>1.3</v>
      </c>
      <c r="V121" s="26">
        <f t="shared" si="19"/>
        <v>8390.73</v>
      </c>
      <c r="W121" s="26">
        <f t="shared" si="18"/>
        <v>0</v>
      </c>
      <c r="X121" s="26">
        <f t="shared" si="13"/>
        <v>0</v>
      </c>
      <c r="Y121" s="26">
        <f t="shared" si="20"/>
        <v>0</v>
      </c>
      <c r="Z121" s="26">
        <f t="shared" si="14"/>
        <v>0</v>
      </c>
      <c r="AA121" s="33" t="s">
        <v>15</v>
      </c>
      <c r="AB121" s="36" t="s">
        <v>16</v>
      </c>
      <c r="AC121" s="181">
        <f t="shared" si="15"/>
        <v>1.3</v>
      </c>
      <c r="AD121" s="181">
        <f t="shared" si="21"/>
        <v>10907.95</v>
      </c>
      <c r="AE121" s="181">
        <v>1.2</v>
      </c>
      <c r="AF121" s="181">
        <v>1.2</v>
      </c>
      <c r="AG121" s="101" t="str">
        <f t="shared" si="16"/>
        <v/>
      </c>
      <c r="AH121" s="190">
        <v>0</v>
      </c>
      <c r="AI121" s="69">
        <f t="shared" si="17"/>
        <v>1.3</v>
      </c>
    </row>
    <row r="122" spans="1:35" s="69" customFormat="1" ht="33" hidden="1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 t="s">
        <v>15</v>
      </c>
      <c r="I122" s="75">
        <v>671.99</v>
      </c>
      <c r="J122" s="75">
        <v>82184.38</v>
      </c>
      <c r="K122" s="91" t="s">
        <v>357</v>
      </c>
      <c r="L122" s="73"/>
      <c r="M122" s="46">
        <v>0</v>
      </c>
      <c r="N122" s="46">
        <v>0</v>
      </c>
      <c r="O122" s="46">
        <v>0</v>
      </c>
      <c r="P122" s="98"/>
      <c r="Q122" s="23" t="s">
        <v>1486</v>
      </c>
      <c r="R122" s="24" t="s">
        <v>356</v>
      </c>
      <c r="S122" s="25" t="s">
        <v>30</v>
      </c>
      <c r="T122" s="26">
        <v>122.3</v>
      </c>
      <c r="U122" s="26">
        <v>122.3</v>
      </c>
      <c r="V122" s="26">
        <f t="shared" si="19"/>
        <v>671.99</v>
      </c>
      <c r="W122" s="26">
        <f t="shared" si="18"/>
        <v>0</v>
      </c>
      <c r="X122" s="26">
        <f t="shared" si="13"/>
        <v>0</v>
      </c>
      <c r="Y122" s="26">
        <f t="shared" si="20"/>
        <v>0</v>
      </c>
      <c r="Z122" s="26">
        <f t="shared" si="14"/>
        <v>0</v>
      </c>
      <c r="AA122" s="33" t="s">
        <v>15</v>
      </c>
      <c r="AB122" s="36" t="s">
        <v>16</v>
      </c>
      <c r="AC122" s="181">
        <f t="shared" si="15"/>
        <v>122.3</v>
      </c>
      <c r="AD122" s="181">
        <f t="shared" si="21"/>
        <v>82184.38</v>
      </c>
      <c r="AE122" s="181">
        <v>1.2</v>
      </c>
      <c r="AF122" s="181">
        <v>1.2</v>
      </c>
      <c r="AG122" s="101" t="str">
        <f t="shared" si="16"/>
        <v/>
      </c>
      <c r="AH122" s="190">
        <v>0</v>
      </c>
      <c r="AI122" s="69">
        <f t="shared" si="17"/>
        <v>122.3</v>
      </c>
    </row>
    <row r="123" spans="1:35" s="69" customFormat="1" ht="33" hidden="1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 t="s">
        <v>15</v>
      </c>
      <c r="I123" s="75">
        <v>935.67</v>
      </c>
      <c r="J123" s="75">
        <v>94512.03</v>
      </c>
      <c r="K123" s="91" t="s">
        <v>360</v>
      </c>
      <c r="L123" s="73"/>
      <c r="M123" s="46">
        <v>0</v>
      </c>
      <c r="N123" s="46">
        <v>0</v>
      </c>
      <c r="O123" s="46">
        <v>0</v>
      </c>
      <c r="P123" s="98"/>
      <c r="Q123" s="23" t="s">
        <v>1487</v>
      </c>
      <c r="R123" s="24" t="s">
        <v>359</v>
      </c>
      <c r="S123" s="25" t="s">
        <v>30</v>
      </c>
      <c r="T123" s="26">
        <v>101.01</v>
      </c>
      <c r="U123" s="26">
        <v>101.01</v>
      </c>
      <c r="V123" s="26">
        <f t="shared" si="19"/>
        <v>935.67</v>
      </c>
      <c r="W123" s="26">
        <f t="shared" si="18"/>
        <v>0</v>
      </c>
      <c r="X123" s="26">
        <f t="shared" si="13"/>
        <v>0</v>
      </c>
      <c r="Y123" s="26">
        <f t="shared" si="20"/>
        <v>0</v>
      </c>
      <c r="Z123" s="26">
        <f t="shared" si="14"/>
        <v>0</v>
      </c>
      <c r="AA123" s="33" t="s">
        <v>15</v>
      </c>
      <c r="AB123" s="36" t="s">
        <v>16</v>
      </c>
      <c r="AC123" s="181">
        <f t="shared" si="15"/>
        <v>101.01</v>
      </c>
      <c r="AD123" s="181">
        <f t="shared" si="21"/>
        <v>94512.03</v>
      </c>
      <c r="AE123" s="181">
        <v>1.2</v>
      </c>
      <c r="AF123" s="181">
        <v>1.2</v>
      </c>
      <c r="AG123" s="101" t="str">
        <f t="shared" si="16"/>
        <v/>
      </c>
      <c r="AH123" s="190">
        <v>0</v>
      </c>
      <c r="AI123" s="69">
        <f t="shared" si="17"/>
        <v>101.01</v>
      </c>
    </row>
    <row r="124" spans="1:35" s="69" customFormat="1" ht="33" hidden="1" x14ac:dyDescent="0.3">
      <c r="A124" s="55" t="s">
        <v>361</v>
      </c>
      <c r="B124" s="211" t="s">
        <v>362</v>
      </c>
      <c r="C124" s="54" t="s">
        <v>30</v>
      </c>
      <c r="D124" s="75">
        <v>489</v>
      </c>
      <c r="E124" s="75"/>
      <c r="F124" s="75"/>
      <c r="G124" s="75"/>
      <c r="H124" s="75" t="s">
        <v>15</v>
      </c>
      <c r="I124" s="75">
        <v>658.31</v>
      </c>
      <c r="J124" s="75">
        <v>321913.59000000003</v>
      </c>
      <c r="K124" s="91" t="s">
        <v>363</v>
      </c>
      <c r="L124" s="73"/>
      <c r="M124" s="46">
        <v>247</v>
      </c>
      <c r="N124" s="46">
        <v>75705.650000000009</v>
      </c>
      <c r="O124" s="46">
        <v>162602.57</v>
      </c>
      <c r="P124" s="98"/>
      <c r="Q124" s="23" t="s">
        <v>1488</v>
      </c>
      <c r="R124" s="24" t="s">
        <v>362</v>
      </c>
      <c r="S124" s="25" t="s">
        <v>30</v>
      </c>
      <c r="T124" s="26">
        <v>489</v>
      </c>
      <c r="U124" s="26">
        <v>489</v>
      </c>
      <c r="V124" s="26">
        <f t="shared" si="19"/>
        <v>658.31</v>
      </c>
      <c r="W124" s="128">
        <f t="shared" si="18"/>
        <v>30.699999999999989</v>
      </c>
      <c r="X124" s="26">
        <f t="shared" si="13"/>
        <v>277.7</v>
      </c>
      <c r="Y124" s="26">
        <f t="shared" si="20"/>
        <v>20210.119999999995</v>
      </c>
      <c r="Z124" s="26">
        <f t="shared" si="14"/>
        <v>182812.69</v>
      </c>
      <c r="AA124" s="33" t="s">
        <v>15</v>
      </c>
      <c r="AB124" s="36" t="s">
        <v>16</v>
      </c>
      <c r="AC124" s="181">
        <f t="shared" si="15"/>
        <v>489</v>
      </c>
      <c r="AD124" s="181">
        <f t="shared" si="21"/>
        <v>321913.59000000003</v>
      </c>
      <c r="AE124" s="181">
        <v>1.2</v>
      </c>
      <c r="AF124" s="181">
        <v>1.2</v>
      </c>
      <c r="AG124" s="101" t="str">
        <f t="shared" si="16"/>
        <v/>
      </c>
      <c r="AH124" s="191">
        <v>277.7</v>
      </c>
      <c r="AI124" s="69">
        <f t="shared" si="17"/>
        <v>489</v>
      </c>
    </row>
    <row r="125" spans="1:35" s="69" customFormat="1" ht="33" hidden="1" x14ac:dyDescent="0.3">
      <c r="A125" s="55" t="s">
        <v>364</v>
      </c>
      <c r="B125" s="211" t="s">
        <v>3111</v>
      </c>
      <c r="C125" s="54" t="s">
        <v>30</v>
      </c>
      <c r="D125" s="75">
        <v>216</v>
      </c>
      <c r="E125" s="75"/>
      <c r="F125" s="75"/>
      <c r="G125" s="75"/>
      <c r="H125" s="75" t="s">
        <v>15</v>
      </c>
      <c r="I125" s="75">
        <v>730.41</v>
      </c>
      <c r="J125" s="75">
        <v>157768.56</v>
      </c>
      <c r="K125" s="91" t="s">
        <v>366</v>
      </c>
      <c r="L125" s="73"/>
      <c r="M125" s="46">
        <v>120</v>
      </c>
      <c r="N125" s="46">
        <v>0</v>
      </c>
      <c r="O125" s="46">
        <v>87649.2</v>
      </c>
      <c r="P125" s="98"/>
      <c r="Q125" s="23" t="s">
        <v>1489</v>
      </c>
      <c r="R125" s="24" t="s">
        <v>365</v>
      </c>
      <c r="S125" s="25" t="s">
        <v>30</v>
      </c>
      <c r="T125" s="26">
        <v>216</v>
      </c>
      <c r="U125" s="26">
        <v>216</v>
      </c>
      <c r="V125" s="26">
        <f t="shared" si="19"/>
        <v>730.41</v>
      </c>
      <c r="W125" s="128">
        <f t="shared" si="18"/>
        <v>0</v>
      </c>
      <c r="X125" s="26">
        <f t="shared" si="13"/>
        <v>120</v>
      </c>
      <c r="Y125" s="26">
        <f t="shared" si="20"/>
        <v>0</v>
      </c>
      <c r="Z125" s="26">
        <f t="shared" si="14"/>
        <v>87649.2</v>
      </c>
      <c r="AA125" s="33" t="s">
        <v>15</v>
      </c>
      <c r="AB125" s="36" t="s">
        <v>16</v>
      </c>
      <c r="AC125" s="181">
        <f t="shared" si="15"/>
        <v>216</v>
      </c>
      <c r="AD125" s="181">
        <f t="shared" si="21"/>
        <v>157768.56</v>
      </c>
      <c r="AE125" s="181">
        <v>1.2</v>
      </c>
      <c r="AF125" s="181">
        <v>1.2</v>
      </c>
      <c r="AG125" s="101" t="str">
        <f t="shared" si="16"/>
        <v/>
      </c>
      <c r="AH125" s="193">
        <v>120</v>
      </c>
      <c r="AI125" s="69">
        <f t="shared" si="17"/>
        <v>216</v>
      </c>
    </row>
    <row r="126" spans="1:35" s="69" customFormat="1" ht="33" hidden="1" x14ac:dyDescent="0.3">
      <c r="A126" s="55" t="s">
        <v>367</v>
      </c>
      <c r="B126" s="53" t="s">
        <v>368</v>
      </c>
      <c r="C126" s="54" t="s">
        <v>30</v>
      </c>
      <c r="D126" s="75">
        <v>45.16</v>
      </c>
      <c r="E126" s="75"/>
      <c r="F126" s="75"/>
      <c r="G126" s="75"/>
      <c r="H126" s="75" t="s">
        <v>15</v>
      </c>
      <c r="I126" s="75">
        <v>406.4</v>
      </c>
      <c r="J126" s="75">
        <v>18353.02</v>
      </c>
      <c r="K126" s="91" t="s">
        <v>369</v>
      </c>
      <c r="L126" s="73"/>
      <c r="M126" s="46">
        <v>0</v>
      </c>
      <c r="N126" s="46">
        <v>0</v>
      </c>
      <c r="O126" s="46">
        <v>0</v>
      </c>
      <c r="P126" s="98"/>
      <c r="Q126" s="23" t="s">
        <v>1398</v>
      </c>
      <c r="R126" s="24" t="s">
        <v>368</v>
      </c>
      <c r="S126" s="25" t="s">
        <v>30</v>
      </c>
      <c r="T126" s="26">
        <v>45.16</v>
      </c>
      <c r="U126" s="26">
        <v>45.16</v>
      </c>
      <c r="V126" s="26">
        <f t="shared" si="19"/>
        <v>406.4</v>
      </c>
      <c r="W126" s="26">
        <f t="shared" si="18"/>
        <v>0</v>
      </c>
      <c r="X126" s="26">
        <f t="shared" si="13"/>
        <v>0</v>
      </c>
      <c r="Y126" s="26">
        <f t="shared" si="20"/>
        <v>0</v>
      </c>
      <c r="Z126" s="26">
        <f t="shared" si="14"/>
        <v>0</v>
      </c>
      <c r="AA126" s="33" t="s">
        <v>15</v>
      </c>
      <c r="AB126" s="36" t="s">
        <v>16</v>
      </c>
      <c r="AC126" s="181">
        <f t="shared" si="15"/>
        <v>45.16</v>
      </c>
      <c r="AD126" s="181">
        <f t="shared" si="21"/>
        <v>18353.02</v>
      </c>
      <c r="AE126" s="181">
        <v>1.2</v>
      </c>
      <c r="AF126" s="181">
        <v>1.2</v>
      </c>
      <c r="AG126" s="101" t="str">
        <f t="shared" si="16"/>
        <v/>
      </c>
      <c r="AH126" s="190">
        <v>0</v>
      </c>
      <c r="AI126" s="69">
        <f t="shared" si="17"/>
        <v>45.16</v>
      </c>
    </row>
    <row r="127" spans="1:35" s="69" customFormat="1" ht="33" hidden="1" x14ac:dyDescent="0.3">
      <c r="A127" s="55" t="s">
        <v>370</v>
      </c>
      <c r="B127" s="53" t="s">
        <v>371</v>
      </c>
      <c r="C127" s="54" t="s">
        <v>30</v>
      </c>
      <c r="D127" s="75">
        <v>116.8</v>
      </c>
      <c r="E127" s="75"/>
      <c r="F127" s="75"/>
      <c r="G127" s="75"/>
      <c r="H127" s="75" t="s">
        <v>15</v>
      </c>
      <c r="I127" s="75">
        <v>457.9</v>
      </c>
      <c r="J127" s="75">
        <v>53482.720000000001</v>
      </c>
      <c r="K127" s="91" t="s">
        <v>372</v>
      </c>
      <c r="L127" s="73"/>
      <c r="M127" s="46">
        <v>0</v>
      </c>
      <c r="N127" s="46">
        <v>0</v>
      </c>
      <c r="O127" s="46">
        <v>0</v>
      </c>
      <c r="P127" s="98"/>
      <c r="Q127" s="23" t="s">
        <v>1399</v>
      </c>
      <c r="R127" s="24" t="s">
        <v>371</v>
      </c>
      <c r="S127" s="25" t="s">
        <v>30</v>
      </c>
      <c r="T127" s="26">
        <v>116.8</v>
      </c>
      <c r="U127" s="26">
        <v>116.8</v>
      </c>
      <c r="V127" s="26">
        <f t="shared" si="19"/>
        <v>457.9</v>
      </c>
      <c r="W127" s="128">
        <f t="shared" si="18"/>
        <v>52</v>
      </c>
      <c r="X127" s="26">
        <f t="shared" si="13"/>
        <v>52</v>
      </c>
      <c r="Y127" s="26">
        <f t="shared" si="20"/>
        <v>23810.799999999999</v>
      </c>
      <c r="Z127" s="26">
        <f t="shared" si="14"/>
        <v>23810.799999999999</v>
      </c>
      <c r="AA127" s="33" t="s">
        <v>15</v>
      </c>
      <c r="AB127" s="36" t="s">
        <v>16</v>
      </c>
      <c r="AC127" s="181">
        <f t="shared" si="15"/>
        <v>116.8</v>
      </c>
      <c r="AD127" s="181">
        <f t="shared" si="21"/>
        <v>53482.720000000001</v>
      </c>
      <c r="AE127" s="181">
        <v>1.2</v>
      </c>
      <c r="AF127" s="181">
        <v>1.2</v>
      </c>
      <c r="AG127" s="101" t="str">
        <f t="shared" si="16"/>
        <v/>
      </c>
      <c r="AH127" s="191">
        <v>52</v>
      </c>
      <c r="AI127" s="69">
        <f t="shared" si="17"/>
        <v>116.8</v>
      </c>
    </row>
    <row r="128" spans="1:35" s="69" customFormat="1" ht="39" hidden="1" x14ac:dyDescent="0.3">
      <c r="A128" s="55" t="s">
        <v>373</v>
      </c>
      <c r="B128" s="53" t="s">
        <v>374</v>
      </c>
      <c r="C128" s="54" t="s">
        <v>30</v>
      </c>
      <c r="D128" s="75">
        <v>25.8</v>
      </c>
      <c r="E128" s="75"/>
      <c r="F128" s="75"/>
      <c r="G128" s="75"/>
      <c r="H128" s="75" t="s">
        <v>15</v>
      </c>
      <c r="I128" s="75">
        <v>499.1</v>
      </c>
      <c r="J128" s="75">
        <v>12876.78</v>
      </c>
      <c r="K128" s="91" t="s">
        <v>375</v>
      </c>
      <c r="L128" s="73"/>
      <c r="M128" s="46">
        <v>0</v>
      </c>
      <c r="N128" s="46">
        <v>0</v>
      </c>
      <c r="O128" s="46">
        <v>0</v>
      </c>
      <c r="P128" s="98"/>
      <c r="Q128" s="23" t="s">
        <v>1490</v>
      </c>
      <c r="R128" s="24" t="s">
        <v>374</v>
      </c>
      <c r="S128" s="25" t="s">
        <v>30</v>
      </c>
      <c r="T128" s="26">
        <v>25.8</v>
      </c>
      <c r="U128" s="26">
        <v>25.8</v>
      </c>
      <c r="V128" s="26">
        <f t="shared" si="19"/>
        <v>499.1</v>
      </c>
      <c r="W128" s="26">
        <f t="shared" si="18"/>
        <v>0</v>
      </c>
      <c r="X128" s="26">
        <f t="shared" si="13"/>
        <v>0</v>
      </c>
      <c r="Y128" s="26">
        <f t="shared" si="20"/>
        <v>0</v>
      </c>
      <c r="Z128" s="26">
        <f t="shared" si="14"/>
        <v>0</v>
      </c>
      <c r="AA128" s="33" t="s">
        <v>15</v>
      </c>
      <c r="AB128" s="36" t="s">
        <v>16</v>
      </c>
      <c r="AC128" s="181">
        <f t="shared" si="15"/>
        <v>25.8</v>
      </c>
      <c r="AD128" s="181">
        <f t="shared" si="21"/>
        <v>12876.78</v>
      </c>
      <c r="AE128" s="181">
        <v>1.2</v>
      </c>
      <c r="AF128" s="181">
        <v>1.2</v>
      </c>
      <c r="AG128" s="101" t="str">
        <f t="shared" si="16"/>
        <v/>
      </c>
      <c r="AH128" s="190">
        <v>0</v>
      </c>
      <c r="AI128" s="69">
        <f t="shared" si="17"/>
        <v>25.8</v>
      </c>
    </row>
    <row r="129" spans="1:38" s="69" customFormat="1" ht="33" hidden="1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 t="s">
        <v>15</v>
      </c>
      <c r="I129" s="75">
        <v>545.85</v>
      </c>
      <c r="J129" s="75">
        <v>29415.86</v>
      </c>
      <c r="K129" s="91" t="s">
        <v>378</v>
      </c>
      <c r="L129" s="73"/>
      <c r="M129" s="46">
        <v>0</v>
      </c>
      <c r="N129" s="46">
        <v>0</v>
      </c>
      <c r="O129" s="46">
        <v>0</v>
      </c>
      <c r="P129" s="98"/>
      <c r="Q129" s="23" t="s">
        <v>1491</v>
      </c>
      <c r="R129" s="24" t="s">
        <v>377</v>
      </c>
      <c r="S129" s="25" t="s">
        <v>30</v>
      </c>
      <c r="T129" s="26">
        <v>53.89</v>
      </c>
      <c r="U129" s="26">
        <v>53.89</v>
      </c>
      <c r="V129" s="26">
        <f t="shared" si="19"/>
        <v>545.85</v>
      </c>
      <c r="W129" s="26">
        <f t="shared" si="18"/>
        <v>0</v>
      </c>
      <c r="X129" s="26">
        <f t="shared" si="13"/>
        <v>0</v>
      </c>
      <c r="Y129" s="26">
        <f t="shared" si="20"/>
        <v>0</v>
      </c>
      <c r="Z129" s="26">
        <f t="shared" si="14"/>
        <v>0</v>
      </c>
      <c r="AA129" s="33" t="s">
        <v>15</v>
      </c>
      <c r="AB129" s="36" t="s">
        <v>16</v>
      </c>
      <c r="AC129" s="181">
        <f t="shared" si="15"/>
        <v>53.89</v>
      </c>
      <c r="AD129" s="181">
        <f t="shared" si="21"/>
        <v>29415.86</v>
      </c>
      <c r="AE129" s="181">
        <v>1.2</v>
      </c>
      <c r="AF129" s="181">
        <v>1.2</v>
      </c>
      <c r="AG129" s="101" t="str">
        <f t="shared" si="16"/>
        <v/>
      </c>
      <c r="AH129" s="190">
        <v>0</v>
      </c>
      <c r="AI129" s="69">
        <f t="shared" si="17"/>
        <v>53.89</v>
      </c>
    </row>
    <row r="130" spans="1:38" s="69" customFormat="1" ht="33" hidden="1" x14ac:dyDescent="0.3">
      <c r="A130" s="55" t="s">
        <v>379</v>
      </c>
      <c r="B130" s="53" t="s">
        <v>380</v>
      </c>
      <c r="C130" s="54" t="s">
        <v>30</v>
      </c>
      <c r="D130" s="75">
        <v>21</v>
      </c>
      <c r="E130" s="75"/>
      <c r="F130" s="75"/>
      <c r="G130" s="75"/>
      <c r="H130" s="75" t="s">
        <v>15</v>
      </c>
      <c r="I130" s="75">
        <v>644.09</v>
      </c>
      <c r="J130" s="75">
        <v>13525.89</v>
      </c>
      <c r="K130" s="91" t="s">
        <v>381</v>
      </c>
      <c r="L130" s="73"/>
      <c r="M130" s="46">
        <v>0</v>
      </c>
      <c r="N130" s="46">
        <v>0</v>
      </c>
      <c r="O130" s="46">
        <v>0</v>
      </c>
      <c r="P130" s="98"/>
      <c r="Q130" s="23" t="s">
        <v>1492</v>
      </c>
      <c r="R130" s="24" t="s">
        <v>380</v>
      </c>
      <c r="S130" s="25" t="s">
        <v>30</v>
      </c>
      <c r="T130" s="26">
        <v>21</v>
      </c>
      <c r="U130" s="26">
        <v>21</v>
      </c>
      <c r="V130" s="26">
        <f t="shared" si="19"/>
        <v>644.09</v>
      </c>
      <c r="W130" s="26">
        <f t="shared" si="18"/>
        <v>0</v>
      </c>
      <c r="X130" s="26">
        <f t="shared" si="13"/>
        <v>0</v>
      </c>
      <c r="Y130" s="26">
        <f t="shared" si="20"/>
        <v>0</v>
      </c>
      <c r="Z130" s="26">
        <f t="shared" si="14"/>
        <v>0</v>
      </c>
      <c r="AA130" s="33" t="s">
        <v>15</v>
      </c>
      <c r="AB130" s="36" t="s">
        <v>16</v>
      </c>
      <c r="AC130" s="181">
        <f t="shared" si="15"/>
        <v>21</v>
      </c>
      <c r="AD130" s="181">
        <f t="shared" si="21"/>
        <v>13525.89</v>
      </c>
      <c r="AE130" s="181">
        <v>1.2</v>
      </c>
      <c r="AF130" s="181">
        <v>1.2</v>
      </c>
      <c r="AG130" s="101" t="str">
        <f t="shared" si="16"/>
        <v/>
      </c>
      <c r="AH130" s="190">
        <v>0</v>
      </c>
      <c r="AI130" s="69">
        <f t="shared" si="17"/>
        <v>21</v>
      </c>
    </row>
    <row r="131" spans="1:38" s="69" customFormat="1" ht="33" hidden="1" x14ac:dyDescent="0.3">
      <c r="A131" s="55" t="s">
        <v>382</v>
      </c>
      <c r="B131" s="53" t="s">
        <v>383</v>
      </c>
      <c r="C131" s="54" t="s">
        <v>30</v>
      </c>
      <c r="D131" s="75">
        <v>275.60000000000002</v>
      </c>
      <c r="E131" s="75"/>
      <c r="F131" s="75"/>
      <c r="G131" s="75"/>
      <c r="H131" s="75" t="s">
        <v>15</v>
      </c>
      <c r="I131" s="75">
        <v>7340.41</v>
      </c>
      <c r="J131" s="75">
        <v>2023017</v>
      </c>
      <c r="K131" s="91" t="s">
        <v>384</v>
      </c>
      <c r="L131" s="73"/>
      <c r="M131" s="46">
        <v>0</v>
      </c>
      <c r="N131" s="46">
        <v>0</v>
      </c>
      <c r="O131" s="46">
        <v>0</v>
      </c>
      <c r="P131" s="98"/>
      <c r="Q131" s="23" t="s">
        <v>1493</v>
      </c>
      <c r="R131" s="24" t="s">
        <v>383</v>
      </c>
      <c r="S131" s="25" t="s">
        <v>30</v>
      </c>
      <c r="T131" s="26">
        <v>275.60000000000002</v>
      </c>
      <c r="U131" s="26">
        <v>275.60000000000002</v>
      </c>
      <c r="V131" s="26">
        <f t="shared" si="19"/>
        <v>7340.41</v>
      </c>
      <c r="W131" s="26">
        <f t="shared" si="18"/>
        <v>0</v>
      </c>
      <c r="X131" s="26">
        <f t="shared" si="13"/>
        <v>0</v>
      </c>
      <c r="Y131" s="26">
        <f t="shared" si="20"/>
        <v>0</v>
      </c>
      <c r="Z131" s="26">
        <f t="shared" si="14"/>
        <v>0</v>
      </c>
      <c r="AA131" s="33" t="s">
        <v>15</v>
      </c>
      <c r="AB131" s="36" t="s">
        <v>16</v>
      </c>
      <c r="AC131" s="181">
        <f t="shared" si="15"/>
        <v>275.60000000000002</v>
      </c>
      <c r="AD131" s="181">
        <f t="shared" si="21"/>
        <v>2023017</v>
      </c>
      <c r="AE131" s="181">
        <v>1.2</v>
      </c>
      <c r="AF131" s="181">
        <v>1.2</v>
      </c>
      <c r="AG131" s="101" t="str">
        <f t="shared" si="16"/>
        <v/>
      </c>
      <c r="AH131" s="190">
        <v>0</v>
      </c>
      <c r="AI131" s="69">
        <f t="shared" si="17"/>
        <v>275.60000000000002</v>
      </c>
    </row>
    <row r="132" spans="1:38" s="69" customFormat="1" ht="33" hidden="1" x14ac:dyDescent="0.3">
      <c r="A132" s="130" t="s">
        <v>385</v>
      </c>
      <c r="B132" s="131" t="s">
        <v>386</v>
      </c>
      <c r="C132" s="132" t="s">
        <v>81</v>
      </c>
      <c r="D132" s="133">
        <v>1</v>
      </c>
      <c r="E132" s="75"/>
      <c r="F132" s="75"/>
      <c r="G132" s="75"/>
      <c r="H132" s="75" t="s">
        <v>15</v>
      </c>
      <c r="I132" s="75">
        <v>913345.81</v>
      </c>
      <c r="J132" s="75">
        <v>913345.81</v>
      </c>
      <c r="K132" s="91" t="s">
        <v>387</v>
      </c>
      <c r="L132" s="73"/>
      <c r="M132" s="46">
        <v>1</v>
      </c>
      <c r="N132" s="46">
        <v>0</v>
      </c>
      <c r="O132" s="46">
        <v>913345.81</v>
      </c>
      <c r="P132" s="98"/>
      <c r="Q132" s="23" t="s">
        <v>1494</v>
      </c>
      <c r="R132" s="24" t="s">
        <v>386</v>
      </c>
      <c r="S132" s="25" t="s">
        <v>81</v>
      </c>
      <c r="T132" s="26">
        <v>1</v>
      </c>
      <c r="U132" s="26">
        <v>1</v>
      </c>
      <c r="V132" s="26">
        <f t="shared" si="19"/>
        <v>913345.81</v>
      </c>
      <c r="W132" s="127">
        <f t="shared" si="18"/>
        <v>0</v>
      </c>
      <c r="X132" s="127">
        <f t="shared" si="13"/>
        <v>1</v>
      </c>
      <c r="Y132" s="127">
        <f t="shared" si="20"/>
        <v>0</v>
      </c>
      <c r="Z132" s="127">
        <f t="shared" si="14"/>
        <v>913345.81</v>
      </c>
      <c r="AA132" s="33" t="s">
        <v>15</v>
      </c>
      <c r="AB132" s="36" t="s">
        <v>16</v>
      </c>
      <c r="AC132" s="181">
        <f t="shared" si="15"/>
        <v>1</v>
      </c>
      <c r="AD132" s="181">
        <f t="shared" si="21"/>
        <v>913345.81</v>
      </c>
      <c r="AE132" s="181">
        <v>1.2</v>
      </c>
      <c r="AF132" s="181">
        <v>1.2</v>
      </c>
      <c r="AG132" s="101" t="str">
        <f t="shared" si="16"/>
        <v/>
      </c>
      <c r="AH132" s="191">
        <v>1</v>
      </c>
      <c r="AI132" s="69">
        <f t="shared" si="17"/>
        <v>1</v>
      </c>
    </row>
    <row r="133" spans="1:38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 t="s">
        <v>15</v>
      </c>
      <c r="I133" s="82"/>
      <c r="J133" s="82">
        <v>62087911.219999999</v>
      </c>
      <c r="K133" s="94" t="s">
        <v>15</v>
      </c>
      <c r="L133" s="73"/>
      <c r="M133" s="45">
        <v>1</v>
      </c>
      <c r="N133" s="45">
        <v>703446.39999999991</v>
      </c>
      <c r="O133" s="45">
        <v>56096887.920000017</v>
      </c>
      <c r="P133" s="98"/>
      <c r="Q133" s="18" t="s">
        <v>1381</v>
      </c>
      <c r="R133" s="19" t="s">
        <v>389</v>
      </c>
      <c r="S133" s="20" t="s">
        <v>14</v>
      </c>
      <c r="T133" s="21">
        <v>1</v>
      </c>
      <c r="U133" s="21"/>
      <c r="V133" s="21">
        <f>SUMIFS(AD:AD,AE:AE,AE133)</f>
        <v>62087911.219999999</v>
      </c>
      <c r="W133" s="21">
        <f t="shared" ref="W133:X133" si="22">IF(Y133=0,0,1)</f>
        <v>0</v>
      </c>
      <c r="X133" s="21">
        <f t="shared" si="22"/>
        <v>1</v>
      </c>
      <c r="Y133" s="21">
        <f>SUMIFS(Y:Y,AF:AF,AE133)</f>
        <v>0</v>
      </c>
      <c r="Z133" s="21">
        <f>SUMIFS(Z:Z,AF:AF,AE133)</f>
        <v>56096887.920000017</v>
      </c>
      <c r="AA133" s="22" t="s">
        <v>15</v>
      </c>
      <c r="AB133" s="43" t="s">
        <v>16</v>
      </c>
      <c r="AC133" s="181">
        <f t="shared" si="15"/>
        <v>1</v>
      </c>
      <c r="AD133" s="184"/>
      <c r="AE133" s="184">
        <v>1.3</v>
      </c>
      <c r="AF133" s="184"/>
      <c r="AG133" s="101" t="str">
        <f t="shared" si="16"/>
        <v/>
      </c>
      <c r="AH133" s="190">
        <v>1</v>
      </c>
      <c r="AI133" s="69">
        <f t="shared" si="17"/>
        <v>1</v>
      </c>
    </row>
    <row r="134" spans="1:38" s="69" customFormat="1" ht="39" hidden="1" x14ac:dyDescent="0.3">
      <c r="A134" s="55" t="s">
        <v>390</v>
      </c>
      <c r="B134" s="53" t="s">
        <v>102</v>
      </c>
      <c r="C134" s="54" t="s">
        <v>103</v>
      </c>
      <c r="D134" s="75">
        <v>274.45</v>
      </c>
      <c r="E134" s="75"/>
      <c r="F134" s="75"/>
      <c r="G134" s="75"/>
      <c r="H134" s="75" t="s">
        <v>15</v>
      </c>
      <c r="I134" s="75">
        <v>320.74</v>
      </c>
      <c r="J134" s="75">
        <v>88027.09</v>
      </c>
      <c r="K134" s="91" t="s">
        <v>104</v>
      </c>
      <c r="L134" s="73"/>
      <c r="M134" s="46">
        <v>225</v>
      </c>
      <c r="N134" s="46">
        <v>0</v>
      </c>
      <c r="O134" s="46">
        <v>72166.5</v>
      </c>
      <c r="P134" s="98"/>
      <c r="Q134" s="23" t="s">
        <v>1421</v>
      </c>
      <c r="R134" s="24" t="s">
        <v>102</v>
      </c>
      <c r="S134" s="25" t="s">
        <v>103</v>
      </c>
      <c r="T134" s="26">
        <v>274.45</v>
      </c>
      <c r="U134" s="26">
        <v>274.45</v>
      </c>
      <c r="V134" s="26">
        <f t="shared" si="19"/>
        <v>320.74</v>
      </c>
      <c r="W134" s="127">
        <f t="shared" ref="W134:W176" si="23">AH134-M134</f>
        <v>0</v>
      </c>
      <c r="X134" s="127">
        <f t="shared" ref="X134:X176" si="24">W134+M134</f>
        <v>225</v>
      </c>
      <c r="Y134" s="127">
        <f t="shared" ref="Y134:Y176" si="25">Z134-O134</f>
        <v>0</v>
      </c>
      <c r="Z134" s="127">
        <f t="shared" si="14"/>
        <v>72166.5</v>
      </c>
      <c r="AA134" s="33" t="s">
        <v>15</v>
      </c>
      <c r="AB134" s="36" t="s">
        <v>16</v>
      </c>
      <c r="AC134" s="181">
        <f t="shared" si="15"/>
        <v>274.45</v>
      </c>
      <c r="AD134" s="181">
        <f t="shared" ref="AD134:AD176" si="26">ROUND(V134*AC134,2)</f>
        <v>88027.09</v>
      </c>
      <c r="AE134" s="181">
        <v>1.3</v>
      </c>
      <c r="AF134" s="181">
        <v>1.3</v>
      </c>
      <c r="AG134" s="101" t="str">
        <f t="shared" si="16"/>
        <v/>
      </c>
      <c r="AH134" s="190">
        <v>225</v>
      </c>
      <c r="AI134" s="69">
        <f t="shared" si="17"/>
        <v>274.45</v>
      </c>
    </row>
    <row r="135" spans="1:38" s="69" customFormat="1" ht="39" hidden="1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 t="s">
        <v>15</v>
      </c>
      <c r="I135" s="75">
        <v>3115.13</v>
      </c>
      <c r="J135" s="75">
        <v>137751.04999999999</v>
      </c>
      <c r="K135" s="91" t="s">
        <v>114</v>
      </c>
      <c r="L135" s="73"/>
      <c r="M135" s="46">
        <v>16.79</v>
      </c>
      <c r="N135" s="46">
        <v>0</v>
      </c>
      <c r="O135" s="46">
        <v>52303.03</v>
      </c>
      <c r="P135" s="98"/>
      <c r="Q135" s="23" t="s">
        <v>1426</v>
      </c>
      <c r="R135" s="24" t="s">
        <v>392</v>
      </c>
      <c r="S135" s="25" t="s">
        <v>23</v>
      </c>
      <c r="T135" s="26">
        <v>44.22</v>
      </c>
      <c r="U135" s="26">
        <v>44.22</v>
      </c>
      <c r="V135" s="26">
        <f t="shared" si="19"/>
        <v>3115.13</v>
      </c>
      <c r="W135" s="26">
        <f t="shared" si="23"/>
        <v>0</v>
      </c>
      <c r="X135" s="26">
        <f t="shared" si="24"/>
        <v>16.79</v>
      </c>
      <c r="Y135" s="26">
        <f t="shared" si="25"/>
        <v>0</v>
      </c>
      <c r="Z135" s="26">
        <f t="shared" si="14"/>
        <v>52303.03</v>
      </c>
      <c r="AA135" s="33" t="s">
        <v>15</v>
      </c>
      <c r="AB135" s="36" t="s">
        <v>16</v>
      </c>
      <c r="AC135" s="181">
        <f t="shared" si="15"/>
        <v>44.22</v>
      </c>
      <c r="AD135" s="181">
        <f t="shared" si="26"/>
        <v>137751.04999999999</v>
      </c>
      <c r="AE135" s="181">
        <v>1.3</v>
      </c>
      <c r="AF135" s="181">
        <v>1.3</v>
      </c>
      <c r="AG135" s="101" t="str">
        <f t="shared" si="16"/>
        <v/>
      </c>
      <c r="AH135" s="190">
        <v>16.79</v>
      </c>
      <c r="AI135" s="69">
        <f t="shared" si="17"/>
        <v>44.22</v>
      </c>
    </row>
    <row r="136" spans="1:38" s="69" customFormat="1" ht="39" hidden="1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 t="s">
        <v>15</v>
      </c>
      <c r="I136" s="75">
        <v>3321.13</v>
      </c>
      <c r="J136" s="75">
        <v>318728.84999999998</v>
      </c>
      <c r="K136" s="91" t="s">
        <v>117</v>
      </c>
      <c r="L136" s="73"/>
      <c r="M136" s="46">
        <v>26.5</v>
      </c>
      <c r="N136" s="46">
        <v>0</v>
      </c>
      <c r="O136" s="46">
        <v>88009.95</v>
      </c>
      <c r="P136" s="98"/>
      <c r="Q136" s="23" t="s">
        <v>1402</v>
      </c>
      <c r="R136" s="24" t="s">
        <v>116</v>
      </c>
      <c r="S136" s="25" t="s">
        <v>23</v>
      </c>
      <c r="T136" s="26">
        <v>95.97</v>
      </c>
      <c r="U136" s="26">
        <v>95.97</v>
      </c>
      <c r="V136" s="26">
        <f t="shared" si="19"/>
        <v>3321.13</v>
      </c>
      <c r="W136" s="128">
        <f t="shared" si="23"/>
        <v>0</v>
      </c>
      <c r="X136" s="26">
        <f t="shared" si="24"/>
        <v>26.5</v>
      </c>
      <c r="Y136" s="26">
        <f t="shared" si="25"/>
        <v>0</v>
      </c>
      <c r="Z136" s="26">
        <f t="shared" si="14"/>
        <v>88009.95</v>
      </c>
      <c r="AA136" s="33" t="s">
        <v>15</v>
      </c>
      <c r="AB136" s="36" t="s">
        <v>16</v>
      </c>
      <c r="AC136" s="181">
        <f t="shared" si="15"/>
        <v>95.97</v>
      </c>
      <c r="AD136" s="181">
        <f t="shared" si="26"/>
        <v>318728.84999999998</v>
      </c>
      <c r="AE136" s="181">
        <v>1.3</v>
      </c>
      <c r="AF136" s="181">
        <v>1.3</v>
      </c>
      <c r="AG136" s="101" t="str">
        <f t="shared" si="16"/>
        <v/>
      </c>
      <c r="AH136" s="191">
        <v>26.5</v>
      </c>
      <c r="AI136" s="69">
        <f t="shared" si="17"/>
        <v>95.97</v>
      </c>
    </row>
    <row r="137" spans="1:38" s="69" customFormat="1" ht="39" hidden="1" x14ac:dyDescent="0.3">
      <c r="A137" s="130" t="s">
        <v>394</v>
      </c>
      <c r="B137" s="131" t="s">
        <v>395</v>
      </c>
      <c r="C137" s="132" t="s">
        <v>23</v>
      </c>
      <c r="D137" s="133">
        <v>1216.8</v>
      </c>
      <c r="E137" s="75"/>
      <c r="F137" s="75"/>
      <c r="G137" s="75"/>
      <c r="H137" s="133">
        <v>709.04</v>
      </c>
      <c r="I137" s="75">
        <v>3643.73</v>
      </c>
      <c r="J137" s="75">
        <v>2583550.3199999998</v>
      </c>
      <c r="K137" s="91" t="s">
        <v>396</v>
      </c>
      <c r="L137" s="73"/>
      <c r="M137" s="46">
        <v>645.58000000000004</v>
      </c>
      <c r="N137" s="46">
        <v>0</v>
      </c>
      <c r="O137" s="46">
        <v>2352319.21</v>
      </c>
      <c r="P137" s="98"/>
      <c r="Q137" s="23" t="s">
        <v>1373</v>
      </c>
      <c r="R137" s="24" t="s">
        <v>395</v>
      </c>
      <c r="S137" s="25" t="s">
        <v>23</v>
      </c>
      <c r="T137" s="26">
        <v>1216.8</v>
      </c>
      <c r="U137" s="26">
        <v>709.04</v>
      </c>
      <c r="V137" s="26">
        <f t="shared" si="19"/>
        <v>3643.73</v>
      </c>
      <c r="W137" s="127">
        <f t="shared" si="23"/>
        <v>0</v>
      </c>
      <c r="X137" s="127">
        <f t="shared" si="24"/>
        <v>645.58000000000004</v>
      </c>
      <c r="Y137" s="127">
        <f t="shared" si="25"/>
        <v>0</v>
      </c>
      <c r="Z137" s="127">
        <f t="shared" si="14"/>
        <v>2352319.21</v>
      </c>
      <c r="AA137" s="33" t="s">
        <v>15</v>
      </c>
      <c r="AB137" s="36" t="s">
        <v>16</v>
      </c>
      <c r="AC137" s="181">
        <f t="shared" si="15"/>
        <v>709.04</v>
      </c>
      <c r="AD137" s="181">
        <f t="shared" si="26"/>
        <v>2583550.3199999998</v>
      </c>
      <c r="AE137" s="181">
        <v>1.3</v>
      </c>
      <c r="AF137" s="181">
        <v>1.3</v>
      </c>
      <c r="AG137" s="101" t="str">
        <f t="shared" si="16"/>
        <v/>
      </c>
      <c r="AH137" s="191">
        <v>645.58000000000004</v>
      </c>
      <c r="AI137" s="69">
        <f t="shared" si="17"/>
        <v>1216.8</v>
      </c>
      <c r="AL137" s="195">
        <v>388.56</v>
      </c>
    </row>
    <row r="138" spans="1:38" s="69" customFormat="1" ht="33" hidden="1" x14ac:dyDescent="0.3">
      <c r="A138" s="130" t="s">
        <v>397</v>
      </c>
      <c r="B138" s="122" t="s">
        <v>109</v>
      </c>
      <c r="C138" s="132" t="s">
        <v>110</v>
      </c>
      <c r="D138" s="133">
        <v>4788.7700000000004</v>
      </c>
      <c r="E138" s="75"/>
      <c r="F138" s="75"/>
      <c r="G138" s="75"/>
      <c r="H138" s="75" t="s">
        <v>15</v>
      </c>
      <c r="I138" s="75">
        <v>36.4</v>
      </c>
      <c r="J138" s="75">
        <v>174311.23</v>
      </c>
      <c r="K138" s="91" t="s">
        <v>111</v>
      </c>
      <c r="L138" s="73"/>
      <c r="M138" s="46">
        <v>4778</v>
      </c>
      <c r="N138" s="46">
        <v>0</v>
      </c>
      <c r="O138" s="46">
        <v>173919.2</v>
      </c>
      <c r="P138" s="98"/>
      <c r="Q138" s="23" t="s">
        <v>1393</v>
      </c>
      <c r="R138" s="24" t="s">
        <v>109</v>
      </c>
      <c r="S138" s="25" t="s">
        <v>110</v>
      </c>
      <c r="T138" s="26">
        <v>4788.7700000000004</v>
      </c>
      <c r="U138" s="26">
        <v>4788.7700000000004</v>
      </c>
      <c r="V138" s="26">
        <f t="shared" si="19"/>
        <v>36.4</v>
      </c>
      <c r="W138" s="127">
        <f t="shared" si="23"/>
        <v>0</v>
      </c>
      <c r="X138" s="127">
        <f t="shared" si="24"/>
        <v>4778</v>
      </c>
      <c r="Y138" s="127">
        <f t="shared" si="25"/>
        <v>0</v>
      </c>
      <c r="Z138" s="127">
        <f t="shared" si="14"/>
        <v>173919.2</v>
      </c>
      <c r="AA138" s="33" t="s">
        <v>15</v>
      </c>
      <c r="AB138" s="36" t="s">
        <v>16</v>
      </c>
      <c r="AC138" s="181">
        <f t="shared" si="15"/>
        <v>4788.7700000000004</v>
      </c>
      <c r="AD138" s="181">
        <f t="shared" si="26"/>
        <v>174311.23</v>
      </c>
      <c r="AE138" s="181">
        <v>1.3</v>
      </c>
      <c r="AF138" s="181">
        <v>1.3</v>
      </c>
      <c r="AG138" s="101" t="str">
        <f t="shared" si="16"/>
        <v/>
      </c>
      <c r="AH138" s="193">
        <v>4778</v>
      </c>
      <c r="AI138" s="69">
        <f t="shared" si="17"/>
        <v>4788.7700000000004</v>
      </c>
      <c r="AL138" s="195">
        <v>4788.7700000000004</v>
      </c>
    </row>
    <row r="139" spans="1:38" s="69" customFormat="1" ht="33" hidden="1" x14ac:dyDescent="0.3">
      <c r="A139" s="130" t="s">
        <v>398</v>
      </c>
      <c r="B139" s="122" t="s">
        <v>399</v>
      </c>
      <c r="C139" s="132" t="s">
        <v>110</v>
      </c>
      <c r="D139" s="133">
        <v>205535.32</v>
      </c>
      <c r="E139" s="75"/>
      <c r="F139" s="75"/>
      <c r="G139" s="75"/>
      <c r="H139" s="75" t="s">
        <v>15</v>
      </c>
      <c r="I139" s="75">
        <v>38.71</v>
      </c>
      <c r="J139" s="75">
        <v>7956272.2400000002</v>
      </c>
      <c r="K139" s="91" t="s">
        <v>400</v>
      </c>
      <c r="L139" s="73"/>
      <c r="M139" s="46">
        <v>202264.52000000002</v>
      </c>
      <c r="N139" s="46">
        <v>0</v>
      </c>
      <c r="O139" s="46">
        <v>7829659.5700000003</v>
      </c>
      <c r="P139" s="98"/>
      <c r="Q139" s="23" t="s">
        <v>1403</v>
      </c>
      <c r="R139" s="24" t="s">
        <v>399</v>
      </c>
      <c r="S139" s="25" t="s">
        <v>110</v>
      </c>
      <c r="T139" s="26">
        <v>205535.32</v>
      </c>
      <c r="U139" s="26">
        <v>205535.32</v>
      </c>
      <c r="V139" s="26">
        <f t="shared" si="19"/>
        <v>38.71</v>
      </c>
      <c r="W139" s="127">
        <f t="shared" si="23"/>
        <v>0</v>
      </c>
      <c r="X139" s="127">
        <f t="shared" si="24"/>
        <v>202264.52000000002</v>
      </c>
      <c r="Y139" s="127">
        <f t="shared" si="25"/>
        <v>0</v>
      </c>
      <c r="Z139" s="127">
        <f t="shared" ref="Z139:Z203" si="27">ROUND(V139*X139,2)</f>
        <v>7829659.5700000003</v>
      </c>
      <c r="AA139" s="33" t="s">
        <v>15</v>
      </c>
      <c r="AB139" s="36" t="s">
        <v>16</v>
      </c>
      <c r="AC139" s="181">
        <f t="shared" ref="AC139:AC202" si="28">IF(U139="",T139,U139)</f>
        <v>205535.32</v>
      </c>
      <c r="AD139" s="181">
        <f t="shared" si="26"/>
        <v>7956272.2400000002</v>
      </c>
      <c r="AE139" s="181">
        <v>1.3</v>
      </c>
      <c r="AF139" s="181">
        <v>1.3</v>
      </c>
      <c r="AG139" s="101" t="str">
        <f t="shared" ref="AG139:AG202" si="29">IF(X139&gt;AI139,"超估","")</f>
        <v/>
      </c>
      <c r="AH139" s="190">
        <v>202264.52</v>
      </c>
      <c r="AI139" s="69">
        <f t="shared" ref="AI139:AI202" si="30">IF(G139=0,IF(F139=0,IF(E139=0,D139,E139),F139),G139)</f>
        <v>205535.32</v>
      </c>
      <c r="AL139" s="195">
        <v>72641</v>
      </c>
    </row>
    <row r="140" spans="1:38" s="69" customFormat="1" ht="33" hidden="1" x14ac:dyDescent="0.3">
      <c r="A140" s="130" t="s">
        <v>401</v>
      </c>
      <c r="B140" s="131" t="s">
        <v>402</v>
      </c>
      <c r="C140" s="132" t="s">
        <v>50</v>
      </c>
      <c r="D140" s="133">
        <v>320.89999999999998</v>
      </c>
      <c r="E140" s="75"/>
      <c r="F140" s="75"/>
      <c r="G140" s="75"/>
      <c r="H140" s="133">
        <v>351.33</v>
      </c>
      <c r="I140" s="75">
        <v>1154.98</v>
      </c>
      <c r="J140" s="75">
        <v>405779.12</v>
      </c>
      <c r="K140" s="91" t="s">
        <v>403</v>
      </c>
      <c r="L140" s="73"/>
      <c r="M140" s="46">
        <v>320.09000000000003</v>
      </c>
      <c r="N140" s="46">
        <v>0</v>
      </c>
      <c r="O140" s="46">
        <v>369697.55</v>
      </c>
      <c r="P140" s="98"/>
      <c r="Q140" s="23" t="s">
        <v>1427</v>
      </c>
      <c r="R140" s="24" t="s">
        <v>402</v>
      </c>
      <c r="S140" s="25" t="s">
        <v>50</v>
      </c>
      <c r="T140" s="26">
        <v>320.89999999999998</v>
      </c>
      <c r="U140" s="26">
        <v>351.33</v>
      </c>
      <c r="V140" s="26">
        <f t="shared" si="19"/>
        <v>1154.98</v>
      </c>
      <c r="W140" s="127">
        <f t="shared" si="23"/>
        <v>0</v>
      </c>
      <c r="X140" s="127">
        <f t="shared" si="24"/>
        <v>320.09000000000003</v>
      </c>
      <c r="Y140" s="127">
        <f t="shared" si="25"/>
        <v>0</v>
      </c>
      <c r="Z140" s="127">
        <f t="shared" si="27"/>
        <v>369697.55</v>
      </c>
      <c r="AA140" s="33" t="s">
        <v>15</v>
      </c>
      <c r="AB140" s="36" t="s">
        <v>16</v>
      </c>
      <c r="AC140" s="181">
        <f t="shared" si="28"/>
        <v>351.33</v>
      </c>
      <c r="AD140" s="181">
        <f t="shared" si="26"/>
        <v>405779.12</v>
      </c>
      <c r="AE140" s="181">
        <v>1.3</v>
      </c>
      <c r="AF140" s="181">
        <v>1.3</v>
      </c>
      <c r="AG140" s="101" t="str">
        <f t="shared" si="29"/>
        <v/>
      </c>
      <c r="AH140" s="191">
        <v>320.08999999999997</v>
      </c>
      <c r="AI140" s="69">
        <f t="shared" si="30"/>
        <v>320.89999999999998</v>
      </c>
      <c r="AL140" s="195">
        <v>351.34</v>
      </c>
    </row>
    <row r="141" spans="1:38" s="69" customFormat="1" ht="57.75" hidden="1" x14ac:dyDescent="0.3">
      <c r="A141" s="130" t="s">
        <v>404</v>
      </c>
      <c r="B141" s="131" t="s">
        <v>405</v>
      </c>
      <c r="C141" s="132" t="s">
        <v>50</v>
      </c>
      <c r="D141" s="133">
        <v>493.85</v>
      </c>
      <c r="E141" s="203"/>
      <c r="F141" s="203"/>
      <c r="G141" s="203"/>
      <c r="H141" s="133">
        <v>574.89</v>
      </c>
      <c r="I141" s="75">
        <v>982.98</v>
      </c>
      <c r="J141" s="75">
        <v>565105.37</v>
      </c>
      <c r="K141" s="91" t="s">
        <v>406</v>
      </c>
      <c r="L141" s="73"/>
      <c r="M141" s="46">
        <v>493.84999999999997</v>
      </c>
      <c r="N141" s="46">
        <v>0</v>
      </c>
      <c r="O141" s="46">
        <v>485444.67</v>
      </c>
      <c r="P141" s="98"/>
      <c r="Q141" s="23" t="s">
        <v>1428</v>
      </c>
      <c r="R141" s="24" t="s">
        <v>405</v>
      </c>
      <c r="S141" s="25" t="s">
        <v>50</v>
      </c>
      <c r="T141" s="26">
        <v>493.85</v>
      </c>
      <c r="U141" s="26">
        <v>574.89</v>
      </c>
      <c r="V141" s="26">
        <f t="shared" si="19"/>
        <v>982.98</v>
      </c>
      <c r="W141" s="127">
        <f t="shared" si="23"/>
        <v>0</v>
      </c>
      <c r="X141" s="127">
        <f t="shared" si="24"/>
        <v>493.84999999999997</v>
      </c>
      <c r="Y141" s="127">
        <f t="shared" si="25"/>
        <v>0</v>
      </c>
      <c r="Z141" s="127">
        <f t="shared" si="27"/>
        <v>485444.67</v>
      </c>
      <c r="AA141" s="33" t="s">
        <v>15</v>
      </c>
      <c r="AB141" s="36" t="s">
        <v>16</v>
      </c>
      <c r="AC141" s="181">
        <f t="shared" si="28"/>
        <v>574.89</v>
      </c>
      <c r="AD141" s="181">
        <f t="shared" si="26"/>
        <v>565105.37</v>
      </c>
      <c r="AE141" s="181">
        <v>1.3</v>
      </c>
      <c r="AF141" s="181">
        <v>1.3</v>
      </c>
      <c r="AG141" s="101" t="str">
        <f t="shared" si="29"/>
        <v/>
      </c>
      <c r="AH141" s="192">
        <v>493.85</v>
      </c>
      <c r="AI141" s="69">
        <f t="shared" si="30"/>
        <v>493.85</v>
      </c>
      <c r="AL141" s="195">
        <v>574.89200000000017</v>
      </c>
    </row>
    <row r="142" spans="1:38" s="69" customFormat="1" ht="41.25" hidden="1" x14ac:dyDescent="0.3">
      <c r="A142" s="130" t="s">
        <v>407</v>
      </c>
      <c r="B142" s="131" t="s">
        <v>408</v>
      </c>
      <c r="C142" s="132" t="s">
        <v>50</v>
      </c>
      <c r="D142" s="133">
        <v>126.48</v>
      </c>
      <c r="E142" s="203"/>
      <c r="F142" s="203"/>
      <c r="G142" s="203"/>
      <c r="H142" s="133">
        <v>138</v>
      </c>
      <c r="I142" s="75">
        <v>804.79</v>
      </c>
      <c r="J142" s="75">
        <v>111061.02</v>
      </c>
      <c r="K142" s="91" t="s">
        <v>409</v>
      </c>
      <c r="L142" s="73"/>
      <c r="M142" s="46">
        <v>126.48</v>
      </c>
      <c r="N142" s="46">
        <v>0</v>
      </c>
      <c r="O142" s="46">
        <v>101789.84</v>
      </c>
      <c r="P142" s="98"/>
      <c r="Q142" s="23" t="s">
        <v>1387</v>
      </c>
      <c r="R142" s="24" t="s">
        <v>408</v>
      </c>
      <c r="S142" s="25" t="s">
        <v>50</v>
      </c>
      <c r="T142" s="26">
        <v>126.48</v>
      </c>
      <c r="U142" s="26">
        <v>138</v>
      </c>
      <c r="V142" s="26">
        <f t="shared" si="19"/>
        <v>804.79</v>
      </c>
      <c r="W142" s="127">
        <f t="shared" si="23"/>
        <v>0</v>
      </c>
      <c r="X142" s="127">
        <f t="shared" si="24"/>
        <v>126.48</v>
      </c>
      <c r="Y142" s="127">
        <f t="shared" si="25"/>
        <v>0</v>
      </c>
      <c r="Z142" s="127">
        <f t="shared" si="27"/>
        <v>101789.84</v>
      </c>
      <c r="AA142" s="33" t="s">
        <v>15</v>
      </c>
      <c r="AB142" s="36" t="s">
        <v>16</v>
      </c>
      <c r="AC142" s="181">
        <f t="shared" si="28"/>
        <v>138</v>
      </c>
      <c r="AD142" s="181">
        <f t="shared" si="26"/>
        <v>111061.02</v>
      </c>
      <c r="AE142" s="181">
        <v>1.3</v>
      </c>
      <c r="AF142" s="181">
        <v>1.3</v>
      </c>
      <c r="AG142" s="101" t="str">
        <f t="shared" si="29"/>
        <v/>
      </c>
      <c r="AH142" s="192">
        <v>126.48</v>
      </c>
      <c r="AI142" s="69">
        <f t="shared" si="30"/>
        <v>126.48</v>
      </c>
      <c r="AL142" s="195">
        <v>120</v>
      </c>
    </row>
    <row r="143" spans="1:38" s="69" customFormat="1" ht="33" hidden="1" x14ac:dyDescent="0.3">
      <c r="A143" s="55" t="s">
        <v>410</v>
      </c>
      <c r="B143" s="53" t="s">
        <v>411</v>
      </c>
      <c r="C143" s="54" t="s">
        <v>412</v>
      </c>
      <c r="D143" s="75">
        <v>12205</v>
      </c>
      <c r="E143" s="75"/>
      <c r="F143" s="75"/>
      <c r="G143" s="75"/>
      <c r="H143" s="75" t="s">
        <v>15</v>
      </c>
      <c r="I143" s="75">
        <v>75</v>
      </c>
      <c r="J143" s="75">
        <v>915375</v>
      </c>
      <c r="K143" s="91" t="s">
        <v>413</v>
      </c>
      <c r="L143" s="73"/>
      <c r="M143" s="46">
        <v>0</v>
      </c>
      <c r="N143" s="46">
        <v>0</v>
      </c>
      <c r="O143" s="46">
        <v>0</v>
      </c>
      <c r="P143" s="98"/>
      <c r="Q143" s="23" t="s">
        <v>1405</v>
      </c>
      <c r="R143" s="24" t="s">
        <v>411</v>
      </c>
      <c r="S143" s="25" t="s">
        <v>412</v>
      </c>
      <c r="T143" s="26">
        <v>12205</v>
      </c>
      <c r="U143" s="26">
        <v>12205</v>
      </c>
      <c r="V143" s="26">
        <f t="shared" si="19"/>
        <v>75</v>
      </c>
      <c r="W143" s="128">
        <f t="shared" si="23"/>
        <v>0</v>
      </c>
      <c r="X143" s="26">
        <f t="shared" si="24"/>
        <v>0</v>
      </c>
      <c r="Y143" s="26">
        <f t="shared" si="25"/>
        <v>0</v>
      </c>
      <c r="Z143" s="26">
        <f t="shared" si="27"/>
        <v>0</v>
      </c>
      <c r="AA143" s="33" t="s">
        <v>15</v>
      </c>
      <c r="AB143" s="36" t="s">
        <v>16</v>
      </c>
      <c r="AC143" s="181">
        <f t="shared" si="28"/>
        <v>12205</v>
      </c>
      <c r="AD143" s="181">
        <f t="shared" si="26"/>
        <v>915375</v>
      </c>
      <c r="AE143" s="181">
        <v>1.3</v>
      </c>
      <c r="AF143" s="181">
        <v>1.3</v>
      </c>
      <c r="AG143" s="101" t="str">
        <f t="shared" si="29"/>
        <v/>
      </c>
      <c r="AH143" s="191">
        <v>0</v>
      </c>
      <c r="AI143" s="69">
        <f t="shared" si="30"/>
        <v>12205</v>
      </c>
    </row>
    <row r="144" spans="1:38" s="69" customFormat="1" ht="33" hidden="1" x14ac:dyDescent="0.3">
      <c r="A144" s="55" t="s">
        <v>414</v>
      </c>
      <c r="B144" s="53" t="s">
        <v>125</v>
      </c>
      <c r="C144" s="54" t="s">
        <v>110</v>
      </c>
      <c r="D144" s="75">
        <v>8317</v>
      </c>
      <c r="E144" s="75"/>
      <c r="F144" s="75"/>
      <c r="G144" s="75"/>
      <c r="H144" s="75" t="s">
        <v>15</v>
      </c>
      <c r="I144" s="75">
        <v>60</v>
      </c>
      <c r="J144" s="75">
        <v>499020</v>
      </c>
      <c r="K144" s="91" t="s">
        <v>126</v>
      </c>
      <c r="L144" s="73"/>
      <c r="M144" s="46">
        <v>5520</v>
      </c>
      <c r="N144" s="46">
        <v>331200</v>
      </c>
      <c r="O144" s="46">
        <v>331200</v>
      </c>
      <c r="P144" s="98"/>
      <c r="Q144" s="23" t="s">
        <v>1406</v>
      </c>
      <c r="R144" s="24" t="s">
        <v>125</v>
      </c>
      <c r="S144" s="25" t="s">
        <v>110</v>
      </c>
      <c r="T144" s="26">
        <v>8317</v>
      </c>
      <c r="U144" s="26">
        <v>8317</v>
      </c>
      <c r="V144" s="26">
        <f t="shared" si="19"/>
        <v>60</v>
      </c>
      <c r="W144" s="128">
        <f t="shared" si="23"/>
        <v>0</v>
      </c>
      <c r="X144" s="26">
        <f t="shared" si="24"/>
        <v>5520</v>
      </c>
      <c r="Y144" s="26">
        <f t="shared" si="25"/>
        <v>0</v>
      </c>
      <c r="Z144" s="26">
        <f t="shared" si="27"/>
        <v>331200</v>
      </c>
      <c r="AA144" s="33" t="s">
        <v>15</v>
      </c>
      <c r="AB144" s="36" t="s">
        <v>16</v>
      </c>
      <c r="AC144" s="181">
        <f t="shared" si="28"/>
        <v>8317</v>
      </c>
      <c r="AD144" s="181">
        <f t="shared" si="26"/>
        <v>499020</v>
      </c>
      <c r="AE144" s="181">
        <v>1.3</v>
      </c>
      <c r="AF144" s="181">
        <v>1.3</v>
      </c>
      <c r="AG144" s="101" t="str">
        <f t="shared" si="29"/>
        <v/>
      </c>
      <c r="AH144" s="191">
        <v>5520</v>
      </c>
      <c r="AI144" s="69">
        <f t="shared" si="30"/>
        <v>8317</v>
      </c>
    </row>
    <row r="145" spans="1:35" s="69" customFormat="1" ht="39" hidden="1" x14ac:dyDescent="0.3">
      <c r="A145" s="55" t="s">
        <v>415</v>
      </c>
      <c r="B145" s="53" t="s">
        <v>128</v>
      </c>
      <c r="C145" s="54" t="s">
        <v>110</v>
      </c>
      <c r="D145" s="75">
        <v>8317</v>
      </c>
      <c r="E145" s="75"/>
      <c r="F145" s="75"/>
      <c r="G145" s="75"/>
      <c r="H145" s="75" t="s">
        <v>15</v>
      </c>
      <c r="I145" s="75">
        <v>31.9</v>
      </c>
      <c r="J145" s="75">
        <v>265312.3</v>
      </c>
      <c r="K145" s="91" t="s">
        <v>129</v>
      </c>
      <c r="L145" s="73"/>
      <c r="M145" s="46">
        <v>5520</v>
      </c>
      <c r="N145" s="46">
        <v>176088</v>
      </c>
      <c r="O145" s="46">
        <v>176088</v>
      </c>
      <c r="P145" s="98"/>
      <c r="Q145" s="23" t="s">
        <v>1414</v>
      </c>
      <c r="R145" s="24" t="s">
        <v>128</v>
      </c>
      <c r="S145" s="25" t="s">
        <v>110</v>
      </c>
      <c r="T145" s="26">
        <v>8317</v>
      </c>
      <c r="U145" s="26">
        <v>8317</v>
      </c>
      <c r="V145" s="26">
        <f t="shared" si="19"/>
        <v>31.9</v>
      </c>
      <c r="W145" s="128">
        <f t="shared" si="23"/>
        <v>0</v>
      </c>
      <c r="X145" s="26">
        <f t="shared" si="24"/>
        <v>5520</v>
      </c>
      <c r="Y145" s="26">
        <f t="shared" si="25"/>
        <v>0</v>
      </c>
      <c r="Z145" s="26">
        <f t="shared" si="27"/>
        <v>176088</v>
      </c>
      <c r="AA145" s="33" t="s">
        <v>15</v>
      </c>
      <c r="AB145" s="36" t="s">
        <v>16</v>
      </c>
      <c r="AC145" s="181">
        <f t="shared" si="28"/>
        <v>8317</v>
      </c>
      <c r="AD145" s="181">
        <f t="shared" si="26"/>
        <v>265312.3</v>
      </c>
      <c r="AE145" s="181">
        <v>1.3</v>
      </c>
      <c r="AF145" s="181">
        <v>1.3</v>
      </c>
      <c r="AG145" s="101" t="str">
        <f t="shared" si="29"/>
        <v/>
      </c>
      <c r="AH145" s="191">
        <v>5520</v>
      </c>
      <c r="AI145" s="69">
        <f t="shared" si="30"/>
        <v>8317</v>
      </c>
    </row>
    <row r="146" spans="1:35" s="69" customFormat="1" ht="39" hidden="1" x14ac:dyDescent="0.3">
      <c r="A146" s="55" t="s">
        <v>416</v>
      </c>
      <c r="B146" s="53" t="s">
        <v>417</v>
      </c>
      <c r="C146" s="54" t="s">
        <v>110</v>
      </c>
      <c r="D146" s="75">
        <v>1087</v>
      </c>
      <c r="E146" s="75"/>
      <c r="F146" s="75"/>
      <c r="G146" s="75"/>
      <c r="H146" s="75" t="s">
        <v>15</v>
      </c>
      <c r="I146" s="75">
        <v>278.10000000000002</v>
      </c>
      <c r="J146" s="75">
        <v>302294.7</v>
      </c>
      <c r="K146" s="91" t="s">
        <v>418</v>
      </c>
      <c r="L146" s="73"/>
      <c r="M146" s="46">
        <v>0</v>
      </c>
      <c r="N146" s="46">
        <v>0</v>
      </c>
      <c r="O146" s="46">
        <v>0</v>
      </c>
      <c r="P146" s="98"/>
      <c r="Q146" s="23" t="s">
        <v>1429</v>
      </c>
      <c r="R146" s="24" t="s">
        <v>417</v>
      </c>
      <c r="S146" s="25" t="s">
        <v>110</v>
      </c>
      <c r="T146" s="26">
        <v>1087</v>
      </c>
      <c r="U146" s="26">
        <v>1087</v>
      </c>
      <c r="V146" s="26">
        <f t="shared" si="19"/>
        <v>278.10000000000002</v>
      </c>
      <c r="W146" s="128">
        <f t="shared" si="23"/>
        <v>0</v>
      </c>
      <c r="X146" s="26">
        <f t="shared" si="24"/>
        <v>0</v>
      </c>
      <c r="Y146" s="26">
        <f t="shared" si="25"/>
        <v>0</v>
      </c>
      <c r="Z146" s="26">
        <f t="shared" si="27"/>
        <v>0</v>
      </c>
      <c r="AA146" s="33" t="s">
        <v>15</v>
      </c>
      <c r="AB146" s="36" t="s">
        <v>16</v>
      </c>
      <c r="AC146" s="181">
        <f t="shared" si="28"/>
        <v>1087</v>
      </c>
      <c r="AD146" s="181">
        <f t="shared" si="26"/>
        <v>302294.7</v>
      </c>
      <c r="AE146" s="181">
        <v>1.3</v>
      </c>
      <c r="AF146" s="181">
        <v>1.3</v>
      </c>
      <c r="AG146" s="101" t="str">
        <f t="shared" si="29"/>
        <v/>
      </c>
      <c r="AH146" s="191">
        <v>0</v>
      </c>
      <c r="AI146" s="69">
        <f t="shared" si="30"/>
        <v>1087</v>
      </c>
    </row>
    <row r="147" spans="1:35" s="69" customFormat="1" ht="58.5" hidden="1" x14ac:dyDescent="0.3">
      <c r="A147" s="55" t="s">
        <v>419</v>
      </c>
      <c r="B147" s="53" t="s">
        <v>420</v>
      </c>
      <c r="C147" s="54" t="s">
        <v>50</v>
      </c>
      <c r="D147" s="75">
        <v>172</v>
      </c>
      <c r="E147" s="75"/>
      <c r="F147" s="75"/>
      <c r="G147" s="75"/>
      <c r="H147" s="75" t="s">
        <v>15</v>
      </c>
      <c r="I147" s="75">
        <v>1400</v>
      </c>
      <c r="J147" s="75">
        <v>240800</v>
      </c>
      <c r="K147" s="91" t="s">
        <v>421</v>
      </c>
      <c r="L147" s="73"/>
      <c r="M147" s="46">
        <v>0</v>
      </c>
      <c r="N147" s="46">
        <v>0</v>
      </c>
      <c r="O147" s="46">
        <v>0</v>
      </c>
      <c r="P147" s="98"/>
      <c r="Q147" s="23" t="s">
        <v>1430</v>
      </c>
      <c r="R147" s="24" t="s">
        <v>420</v>
      </c>
      <c r="S147" s="25" t="s">
        <v>50</v>
      </c>
      <c r="T147" s="26">
        <v>172</v>
      </c>
      <c r="U147" s="26">
        <v>172</v>
      </c>
      <c r="V147" s="26">
        <f t="shared" si="19"/>
        <v>1400</v>
      </c>
      <c r="W147" s="26">
        <f t="shared" si="23"/>
        <v>0</v>
      </c>
      <c r="X147" s="26">
        <f t="shared" si="24"/>
        <v>0</v>
      </c>
      <c r="Y147" s="26">
        <f t="shared" si="25"/>
        <v>0</v>
      </c>
      <c r="Z147" s="26">
        <f t="shared" si="27"/>
        <v>0</v>
      </c>
      <c r="AA147" s="33" t="s">
        <v>15</v>
      </c>
      <c r="AB147" s="36" t="s">
        <v>16</v>
      </c>
      <c r="AC147" s="181">
        <f t="shared" si="28"/>
        <v>172</v>
      </c>
      <c r="AD147" s="181">
        <f t="shared" si="26"/>
        <v>240800</v>
      </c>
      <c r="AE147" s="181">
        <v>1.3</v>
      </c>
      <c r="AF147" s="181">
        <v>1.3</v>
      </c>
      <c r="AG147" s="101" t="str">
        <f t="shared" si="29"/>
        <v/>
      </c>
      <c r="AH147" s="190">
        <v>0</v>
      </c>
      <c r="AI147" s="69">
        <f t="shared" si="30"/>
        <v>172</v>
      </c>
    </row>
    <row r="148" spans="1:35" s="69" customFormat="1" ht="97.5" hidden="1" x14ac:dyDescent="0.3">
      <c r="A148" s="130" t="s">
        <v>422</v>
      </c>
      <c r="B148" s="131" t="s">
        <v>3070</v>
      </c>
      <c r="C148" s="132" t="s">
        <v>110</v>
      </c>
      <c r="D148" s="133">
        <v>150400</v>
      </c>
      <c r="E148" s="75"/>
      <c r="F148" s="75"/>
      <c r="G148" s="75"/>
      <c r="H148" s="75">
        <v>154935.98000000001</v>
      </c>
      <c r="I148" s="75">
        <v>107.31</v>
      </c>
      <c r="J148" s="75">
        <v>16626180.01</v>
      </c>
      <c r="K148" s="91" t="s">
        <v>132</v>
      </c>
      <c r="L148" s="73"/>
      <c r="M148" s="46">
        <v>150350.58000000002</v>
      </c>
      <c r="N148" s="46">
        <v>0</v>
      </c>
      <c r="O148" s="46">
        <v>16134120.74</v>
      </c>
      <c r="P148" s="98"/>
      <c r="Q148" s="23" t="s">
        <v>1431</v>
      </c>
      <c r="R148" s="24" t="s">
        <v>131</v>
      </c>
      <c r="S148" s="25" t="s">
        <v>110</v>
      </c>
      <c r="T148" s="26">
        <v>150400</v>
      </c>
      <c r="U148" s="26">
        <v>154935.98000000001</v>
      </c>
      <c r="V148" s="26">
        <f t="shared" si="19"/>
        <v>107.31</v>
      </c>
      <c r="W148" s="127">
        <f t="shared" si="23"/>
        <v>0</v>
      </c>
      <c r="X148" s="127">
        <f t="shared" si="24"/>
        <v>150350.58000000002</v>
      </c>
      <c r="Y148" s="127">
        <f t="shared" si="25"/>
        <v>0</v>
      </c>
      <c r="Z148" s="127">
        <f t="shared" si="27"/>
        <v>16134120.74</v>
      </c>
      <c r="AA148" s="33" t="s">
        <v>15</v>
      </c>
      <c r="AB148" s="36" t="s">
        <v>16</v>
      </c>
      <c r="AC148" s="181">
        <f t="shared" si="28"/>
        <v>154935.98000000001</v>
      </c>
      <c r="AD148" s="181">
        <f t="shared" si="26"/>
        <v>16626180.01</v>
      </c>
      <c r="AE148" s="181">
        <v>1.3</v>
      </c>
      <c r="AF148" s="181">
        <v>1.3</v>
      </c>
      <c r="AG148" s="101" t="str">
        <f t="shared" si="29"/>
        <v/>
      </c>
      <c r="AH148" s="191">
        <v>150350.57999999999</v>
      </c>
      <c r="AI148" s="69">
        <f t="shared" si="30"/>
        <v>150400</v>
      </c>
    </row>
    <row r="149" spans="1:35" s="69" customFormat="1" ht="39" hidden="1" x14ac:dyDescent="0.3">
      <c r="A149" s="130" t="s">
        <v>423</v>
      </c>
      <c r="B149" s="131" t="s">
        <v>424</v>
      </c>
      <c r="C149" s="132" t="s">
        <v>50</v>
      </c>
      <c r="D149" s="133">
        <v>1140.1600000000001</v>
      </c>
      <c r="E149" s="75"/>
      <c r="F149" s="75"/>
      <c r="G149" s="75"/>
      <c r="H149" s="75" t="s">
        <v>15</v>
      </c>
      <c r="I149" s="75">
        <v>692.16</v>
      </c>
      <c r="J149" s="75">
        <v>789173.15</v>
      </c>
      <c r="K149" s="91" t="s">
        <v>425</v>
      </c>
      <c r="L149" s="73"/>
      <c r="M149" s="46">
        <v>1139.5999999999999</v>
      </c>
      <c r="N149" s="46">
        <v>0</v>
      </c>
      <c r="O149" s="46">
        <v>788785.54</v>
      </c>
      <c r="P149" s="98"/>
      <c r="Q149" s="23" t="s">
        <v>1395</v>
      </c>
      <c r="R149" s="24" t="s">
        <v>424</v>
      </c>
      <c r="S149" s="25" t="s">
        <v>50</v>
      </c>
      <c r="T149" s="26">
        <v>1140.1600000000001</v>
      </c>
      <c r="U149" s="26">
        <v>1140.1600000000001</v>
      </c>
      <c r="V149" s="26">
        <f t="shared" si="19"/>
        <v>692.16</v>
      </c>
      <c r="W149" s="128">
        <f t="shared" si="23"/>
        <v>0</v>
      </c>
      <c r="X149" s="127">
        <f t="shared" si="24"/>
        <v>1139.5999999999999</v>
      </c>
      <c r="Y149" s="127">
        <f t="shared" si="25"/>
        <v>0</v>
      </c>
      <c r="Z149" s="127">
        <f t="shared" si="27"/>
        <v>788785.54</v>
      </c>
      <c r="AA149" s="33" t="s">
        <v>15</v>
      </c>
      <c r="AB149" s="36" t="s">
        <v>16</v>
      </c>
      <c r="AC149" s="181">
        <f t="shared" si="28"/>
        <v>1140.1600000000001</v>
      </c>
      <c r="AD149" s="181">
        <f t="shared" si="26"/>
        <v>789173.15</v>
      </c>
      <c r="AE149" s="181">
        <v>1.3</v>
      </c>
      <c r="AF149" s="181">
        <v>1.3</v>
      </c>
      <c r="AG149" s="101" t="str">
        <f t="shared" si="29"/>
        <v/>
      </c>
      <c r="AH149" s="191">
        <v>1139.5999999999999</v>
      </c>
      <c r="AI149" s="69">
        <f t="shared" si="30"/>
        <v>1140.1600000000001</v>
      </c>
    </row>
    <row r="150" spans="1:35" s="69" customFormat="1" ht="58.5" hidden="1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203"/>
      <c r="F150" s="203"/>
      <c r="G150" s="203"/>
      <c r="H150" s="203" t="s">
        <v>15</v>
      </c>
      <c r="I150" s="75">
        <v>48.28</v>
      </c>
      <c r="J150" s="75">
        <v>25472.05</v>
      </c>
      <c r="K150" s="91" t="s">
        <v>35</v>
      </c>
      <c r="L150" s="73"/>
      <c r="M150" s="46">
        <v>527.59</v>
      </c>
      <c r="N150" s="46">
        <v>0</v>
      </c>
      <c r="O150" s="46">
        <v>25472.05</v>
      </c>
      <c r="P150" s="98"/>
      <c r="Q150" s="23" t="s">
        <v>1432</v>
      </c>
      <c r="R150" s="24" t="s">
        <v>33</v>
      </c>
      <c r="S150" s="25" t="s">
        <v>34</v>
      </c>
      <c r="T150" s="26">
        <v>527.59</v>
      </c>
      <c r="U150" s="26">
        <v>527.59</v>
      </c>
      <c r="V150" s="26">
        <f t="shared" si="19"/>
        <v>48.28</v>
      </c>
      <c r="W150" s="127">
        <f t="shared" si="23"/>
        <v>0</v>
      </c>
      <c r="X150" s="127">
        <f t="shared" si="24"/>
        <v>527.59</v>
      </c>
      <c r="Y150" s="127">
        <f t="shared" si="25"/>
        <v>0</v>
      </c>
      <c r="Z150" s="127">
        <f t="shared" si="27"/>
        <v>25472.05</v>
      </c>
      <c r="AA150" s="33" t="s">
        <v>15</v>
      </c>
      <c r="AB150" s="36" t="s">
        <v>16</v>
      </c>
      <c r="AC150" s="181">
        <f t="shared" si="28"/>
        <v>527.59</v>
      </c>
      <c r="AD150" s="181">
        <f t="shared" si="26"/>
        <v>25472.05</v>
      </c>
      <c r="AE150" s="181">
        <v>1.3</v>
      </c>
      <c r="AF150" s="181">
        <v>1.3</v>
      </c>
      <c r="AG150" s="101" t="str">
        <f t="shared" si="29"/>
        <v/>
      </c>
      <c r="AH150" s="190">
        <v>527.59</v>
      </c>
      <c r="AI150" s="69">
        <f t="shared" si="30"/>
        <v>527.59</v>
      </c>
    </row>
    <row r="151" spans="1:35" s="69" customFormat="1" ht="58.5" hidden="1" x14ac:dyDescent="0.3">
      <c r="A151" s="130" t="s">
        <v>427</v>
      </c>
      <c r="B151" s="131" t="s">
        <v>428</v>
      </c>
      <c r="C151" s="132" t="s">
        <v>34</v>
      </c>
      <c r="D151" s="133">
        <v>355.42</v>
      </c>
      <c r="E151" s="203"/>
      <c r="F151" s="203"/>
      <c r="G151" s="203"/>
      <c r="H151" s="203" t="s">
        <v>15</v>
      </c>
      <c r="I151" s="75">
        <v>721.06</v>
      </c>
      <c r="J151" s="75">
        <v>256279.15</v>
      </c>
      <c r="K151" s="91" t="s">
        <v>429</v>
      </c>
      <c r="L151" s="73"/>
      <c r="M151" s="46">
        <v>0</v>
      </c>
      <c r="N151" s="46">
        <v>0</v>
      </c>
      <c r="O151" s="46">
        <v>0</v>
      </c>
      <c r="P151" s="98"/>
      <c r="Q151" s="23" t="s">
        <v>1433</v>
      </c>
      <c r="R151" s="24" t="s">
        <v>428</v>
      </c>
      <c r="S151" s="25" t="s">
        <v>34</v>
      </c>
      <c r="T151" s="26">
        <v>355.42</v>
      </c>
      <c r="U151" s="26">
        <v>355.42</v>
      </c>
      <c r="V151" s="26">
        <f t="shared" si="19"/>
        <v>721.06</v>
      </c>
      <c r="W151" s="127">
        <f t="shared" si="23"/>
        <v>0</v>
      </c>
      <c r="X151" s="127">
        <f t="shared" si="24"/>
        <v>0</v>
      </c>
      <c r="Y151" s="127">
        <f t="shared" si="25"/>
        <v>0</v>
      </c>
      <c r="Z151" s="127">
        <f t="shared" si="27"/>
        <v>0</v>
      </c>
      <c r="AA151" s="33" t="s">
        <v>15</v>
      </c>
      <c r="AB151" s="36" t="s">
        <v>16</v>
      </c>
      <c r="AC151" s="181">
        <f t="shared" si="28"/>
        <v>355.42</v>
      </c>
      <c r="AD151" s="181">
        <f t="shared" si="26"/>
        <v>256279.15</v>
      </c>
      <c r="AE151" s="181">
        <v>1.3</v>
      </c>
      <c r="AF151" s="181">
        <v>1.3</v>
      </c>
      <c r="AG151" s="101" t="str">
        <f t="shared" si="29"/>
        <v/>
      </c>
      <c r="AH151" s="190">
        <v>0</v>
      </c>
      <c r="AI151" s="69">
        <f t="shared" si="30"/>
        <v>355.42</v>
      </c>
    </row>
    <row r="152" spans="1:35" s="69" customFormat="1" ht="33" hidden="1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203" t="s">
        <v>15</v>
      </c>
      <c r="I152" s="75">
        <v>28</v>
      </c>
      <c r="J152" s="75">
        <v>914900</v>
      </c>
      <c r="K152" s="91" t="s">
        <v>432</v>
      </c>
      <c r="L152" s="73"/>
      <c r="M152" s="46">
        <v>22573</v>
      </c>
      <c r="N152" s="46">
        <v>33880</v>
      </c>
      <c r="O152" s="46">
        <v>632044</v>
      </c>
      <c r="P152" s="98"/>
      <c r="Q152" s="23" t="s">
        <v>1382</v>
      </c>
      <c r="R152" s="24" t="s">
        <v>431</v>
      </c>
      <c r="S152" s="25" t="s">
        <v>50</v>
      </c>
      <c r="T152" s="26">
        <v>272</v>
      </c>
      <c r="U152" s="26">
        <v>32675</v>
      </c>
      <c r="V152" s="26">
        <f t="shared" si="19"/>
        <v>28</v>
      </c>
      <c r="W152" s="128">
        <f t="shared" si="23"/>
        <v>0</v>
      </c>
      <c r="X152" s="26">
        <f t="shared" si="24"/>
        <v>22573</v>
      </c>
      <c r="Y152" s="26">
        <f t="shared" si="25"/>
        <v>0</v>
      </c>
      <c r="Z152" s="26">
        <f t="shared" si="27"/>
        <v>632044</v>
      </c>
      <c r="AA152" s="27" t="s">
        <v>15</v>
      </c>
      <c r="AB152" s="36" t="s">
        <v>16</v>
      </c>
      <c r="AC152" s="181">
        <f t="shared" si="28"/>
        <v>32675</v>
      </c>
      <c r="AD152" s="181">
        <f t="shared" si="26"/>
        <v>914900</v>
      </c>
      <c r="AE152" s="181">
        <v>1.3</v>
      </c>
      <c r="AF152" s="181">
        <v>1.3</v>
      </c>
      <c r="AG152" s="101" t="str">
        <f t="shared" si="29"/>
        <v/>
      </c>
      <c r="AH152" s="191">
        <v>22573</v>
      </c>
      <c r="AI152" s="69">
        <f t="shared" si="30"/>
        <v>32675</v>
      </c>
    </row>
    <row r="153" spans="1:35" s="69" customFormat="1" ht="39" hidden="1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203"/>
      <c r="F153" s="203"/>
      <c r="G153" s="203"/>
      <c r="H153" s="203" t="s">
        <v>15</v>
      </c>
      <c r="I153" s="75">
        <v>19012.060000000001</v>
      </c>
      <c r="J153" s="75">
        <v>14144972.640000001</v>
      </c>
      <c r="K153" s="91" t="s">
        <v>435</v>
      </c>
      <c r="L153" s="73"/>
      <c r="M153" s="46">
        <v>744</v>
      </c>
      <c r="N153" s="46">
        <v>0</v>
      </c>
      <c r="O153" s="46">
        <v>14144972.640000001</v>
      </c>
      <c r="P153" s="98"/>
      <c r="Q153" s="23" t="s">
        <v>1434</v>
      </c>
      <c r="R153" s="24" t="s">
        <v>434</v>
      </c>
      <c r="S153" s="25" t="s">
        <v>30</v>
      </c>
      <c r="T153" s="26">
        <v>744</v>
      </c>
      <c r="U153" s="26">
        <v>744</v>
      </c>
      <c r="V153" s="26">
        <f t="shared" si="19"/>
        <v>19012.060000000001</v>
      </c>
      <c r="W153" s="127">
        <f t="shared" si="23"/>
        <v>0</v>
      </c>
      <c r="X153" s="127">
        <f t="shared" si="24"/>
        <v>744</v>
      </c>
      <c r="Y153" s="127">
        <f t="shared" si="25"/>
        <v>0</v>
      </c>
      <c r="Z153" s="127">
        <f t="shared" si="27"/>
        <v>14144972.640000001</v>
      </c>
      <c r="AA153" s="33" t="s">
        <v>15</v>
      </c>
      <c r="AB153" s="36" t="s">
        <v>16</v>
      </c>
      <c r="AC153" s="181">
        <f t="shared" si="28"/>
        <v>744</v>
      </c>
      <c r="AD153" s="181">
        <f t="shared" si="26"/>
        <v>14144972.640000001</v>
      </c>
      <c r="AE153" s="181">
        <v>1.3</v>
      </c>
      <c r="AF153" s="181">
        <v>1.3</v>
      </c>
      <c r="AG153" s="101" t="str">
        <f t="shared" si="29"/>
        <v/>
      </c>
      <c r="AH153" s="190">
        <v>744</v>
      </c>
      <c r="AI153" s="69">
        <f t="shared" si="30"/>
        <v>744</v>
      </c>
    </row>
    <row r="154" spans="1:35" s="69" customFormat="1" ht="39" hidden="1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 t="s">
        <v>15</v>
      </c>
      <c r="I154" s="75">
        <v>373.1</v>
      </c>
      <c r="J154" s="75">
        <v>50741.599999999999</v>
      </c>
      <c r="K154" s="91" t="s">
        <v>438</v>
      </c>
      <c r="L154" s="73"/>
      <c r="M154" s="46">
        <v>112</v>
      </c>
      <c r="N154" s="46">
        <v>41787.199999999997</v>
      </c>
      <c r="O154" s="46">
        <v>41787.199999999997</v>
      </c>
      <c r="P154" s="98"/>
      <c r="Q154" s="23" t="s">
        <v>1388</v>
      </c>
      <c r="R154" s="24" t="s">
        <v>437</v>
      </c>
      <c r="S154" s="25" t="s">
        <v>50</v>
      </c>
      <c r="T154" s="26">
        <v>136</v>
      </c>
      <c r="U154" s="26">
        <v>136</v>
      </c>
      <c r="V154" s="26">
        <f t="shared" si="19"/>
        <v>373.1</v>
      </c>
      <c r="W154" s="128">
        <f t="shared" si="23"/>
        <v>0</v>
      </c>
      <c r="X154" s="26">
        <f t="shared" si="24"/>
        <v>112</v>
      </c>
      <c r="Y154" s="26">
        <f t="shared" si="25"/>
        <v>0</v>
      </c>
      <c r="Z154" s="26">
        <f t="shared" si="27"/>
        <v>41787.199999999997</v>
      </c>
      <c r="AA154" s="33" t="s">
        <v>15</v>
      </c>
      <c r="AB154" s="36" t="s">
        <v>16</v>
      </c>
      <c r="AC154" s="181">
        <f t="shared" si="28"/>
        <v>136</v>
      </c>
      <c r="AD154" s="181">
        <f t="shared" si="26"/>
        <v>50741.599999999999</v>
      </c>
      <c r="AE154" s="181">
        <v>1.3</v>
      </c>
      <c r="AF154" s="181">
        <v>1.3</v>
      </c>
      <c r="AG154" s="101" t="str">
        <f t="shared" si="29"/>
        <v/>
      </c>
      <c r="AH154" s="191">
        <v>112</v>
      </c>
      <c r="AI154" s="69">
        <f t="shared" si="30"/>
        <v>136</v>
      </c>
    </row>
    <row r="155" spans="1:35" s="69" customFormat="1" ht="39" hidden="1" x14ac:dyDescent="0.3">
      <c r="A155" s="55" t="s">
        <v>439</v>
      </c>
      <c r="B155" s="53" t="s">
        <v>440</v>
      </c>
      <c r="C155" s="54" t="s">
        <v>50</v>
      </c>
      <c r="D155" s="75">
        <v>136</v>
      </c>
      <c r="E155" s="75"/>
      <c r="F155" s="75"/>
      <c r="G155" s="75"/>
      <c r="H155" s="75" t="s">
        <v>15</v>
      </c>
      <c r="I155" s="75">
        <v>616.53</v>
      </c>
      <c r="J155" s="75">
        <v>83848.08</v>
      </c>
      <c r="K155" s="91" t="s">
        <v>441</v>
      </c>
      <c r="L155" s="73"/>
      <c r="M155" s="46">
        <v>0</v>
      </c>
      <c r="N155" s="46">
        <v>0</v>
      </c>
      <c r="O155" s="46">
        <v>0</v>
      </c>
      <c r="P155" s="98"/>
      <c r="Q155" s="23" t="s">
        <v>1389</v>
      </c>
      <c r="R155" s="24" t="s">
        <v>440</v>
      </c>
      <c r="S155" s="25" t="s">
        <v>50</v>
      </c>
      <c r="T155" s="26">
        <v>136</v>
      </c>
      <c r="U155" s="26">
        <v>136</v>
      </c>
      <c r="V155" s="26">
        <f t="shared" si="19"/>
        <v>616.53</v>
      </c>
      <c r="W155" s="26">
        <f t="shared" si="23"/>
        <v>0</v>
      </c>
      <c r="X155" s="26">
        <f t="shared" si="24"/>
        <v>0</v>
      </c>
      <c r="Y155" s="26">
        <f t="shared" si="25"/>
        <v>0</v>
      </c>
      <c r="Z155" s="26">
        <f t="shared" si="27"/>
        <v>0</v>
      </c>
      <c r="AA155" s="33" t="s">
        <v>15</v>
      </c>
      <c r="AB155" s="36" t="s">
        <v>16</v>
      </c>
      <c r="AC155" s="181">
        <f t="shared" si="28"/>
        <v>136</v>
      </c>
      <c r="AD155" s="181">
        <f t="shared" si="26"/>
        <v>83848.08</v>
      </c>
      <c r="AE155" s="181">
        <v>1.3</v>
      </c>
      <c r="AF155" s="181">
        <v>1.3</v>
      </c>
      <c r="AG155" s="101" t="str">
        <f t="shared" si="29"/>
        <v/>
      </c>
      <c r="AH155" s="190">
        <v>0</v>
      </c>
      <c r="AI155" s="69">
        <f t="shared" si="30"/>
        <v>136</v>
      </c>
    </row>
    <row r="156" spans="1:35" s="69" customFormat="1" ht="33" hidden="1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 t="s">
        <v>15</v>
      </c>
      <c r="I156" s="75">
        <v>2664.06</v>
      </c>
      <c r="J156" s="75">
        <v>9590.6200000000008</v>
      </c>
      <c r="K156" s="91" t="s">
        <v>444</v>
      </c>
      <c r="L156" s="73"/>
      <c r="M156" s="46">
        <v>0</v>
      </c>
      <c r="N156" s="46">
        <v>0</v>
      </c>
      <c r="O156" s="46">
        <v>0</v>
      </c>
      <c r="P156" s="98"/>
      <c r="Q156" s="23" t="s">
        <v>1390</v>
      </c>
      <c r="R156" s="24" t="s">
        <v>443</v>
      </c>
      <c r="S156" s="25" t="s">
        <v>50</v>
      </c>
      <c r="T156" s="26">
        <v>3.6</v>
      </c>
      <c r="U156" s="26">
        <v>3.6</v>
      </c>
      <c r="V156" s="26">
        <f t="shared" si="19"/>
        <v>2664.06</v>
      </c>
      <c r="W156" s="26">
        <f t="shared" si="23"/>
        <v>0</v>
      </c>
      <c r="X156" s="26">
        <f t="shared" si="24"/>
        <v>0</v>
      </c>
      <c r="Y156" s="26">
        <f t="shared" si="25"/>
        <v>0</v>
      </c>
      <c r="Z156" s="26">
        <f t="shared" si="27"/>
        <v>0</v>
      </c>
      <c r="AA156" s="33" t="s">
        <v>15</v>
      </c>
      <c r="AB156" s="36" t="s">
        <v>16</v>
      </c>
      <c r="AC156" s="181">
        <f t="shared" si="28"/>
        <v>3.6</v>
      </c>
      <c r="AD156" s="181">
        <f t="shared" si="26"/>
        <v>9590.6200000000008</v>
      </c>
      <c r="AE156" s="181">
        <v>1.3</v>
      </c>
      <c r="AF156" s="181">
        <v>1.3</v>
      </c>
      <c r="AG156" s="101" t="str">
        <f t="shared" si="29"/>
        <v/>
      </c>
      <c r="AH156" s="190">
        <v>0</v>
      </c>
      <c r="AI156" s="69">
        <f t="shared" si="30"/>
        <v>3.6</v>
      </c>
    </row>
    <row r="157" spans="1:35" s="69" customFormat="1" ht="39" hidden="1" x14ac:dyDescent="0.3">
      <c r="A157" s="55" t="s">
        <v>445</v>
      </c>
      <c r="B157" s="53" t="s">
        <v>446</v>
      </c>
      <c r="C157" s="54" t="s">
        <v>30</v>
      </c>
      <c r="D157" s="75">
        <v>44</v>
      </c>
      <c r="E157" s="75"/>
      <c r="F157" s="75"/>
      <c r="G157" s="75"/>
      <c r="H157" s="75" t="s">
        <v>15</v>
      </c>
      <c r="I157" s="75">
        <v>5183.22</v>
      </c>
      <c r="J157" s="75">
        <v>228061.68</v>
      </c>
      <c r="K157" s="137" t="s">
        <v>447</v>
      </c>
      <c r="L157" s="73"/>
      <c r="M157" s="46">
        <v>35</v>
      </c>
      <c r="N157" s="46">
        <v>0</v>
      </c>
      <c r="O157" s="46">
        <v>181412.7</v>
      </c>
      <c r="P157" s="98"/>
      <c r="Q157" s="23" t="s">
        <v>1391</v>
      </c>
      <c r="R157" s="24" t="s">
        <v>446</v>
      </c>
      <c r="S157" s="25" t="s">
        <v>30</v>
      </c>
      <c r="T157" s="26">
        <v>44</v>
      </c>
      <c r="U157" s="26">
        <v>44</v>
      </c>
      <c r="V157" s="26">
        <f t="shared" si="19"/>
        <v>5183.22</v>
      </c>
      <c r="W157" s="128">
        <f t="shared" si="23"/>
        <v>0</v>
      </c>
      <c r="X157" s="26">
        <f t="shared" si="24"/>
        <v>35</v>
      </c>
      <c r="Y157" s="26">
        <f t="shared" si="25"/>
        <v>0</v>
      </c>
      <c r="Z157" s="26">
        <f t="shared" si="27"/>
        <v>181412.7</v>
      </c>
      <c r="AA157" s="33" t="s">
        <v>15</v>
      </c>
      <c r="AB157" s="36" t="s">
        <v>16</v>
      </c>
      <c r="AC157" s="181">
        <f t="shared" si="28"/>
        <v>44</v>
      </c>
      <c r="AD157" s="181">
        <f t="shared" si="26"/>
        <v>228061.68</v>
      </c>
      <c r="AE157" s="181">
        <v>1.3</v>
      </c>
      <c r="AF157" s="181">
        <v>1.3</v>
      </c>
      <c r="AG157" s="101" t="str">
        <f t="shared" si="29"/>
        <v/>
      </c>
      <c r="AH157" s="191">
        <v>35</v>
      </c>
      <c r="AI157" s="69">
        <f t="shared" si="30"/>
        <v>44</v>
      </c>
    </row>
    <row r="158" spans="1:35" s="69" customFormat="1" ht="39" hidden="1" x14ac:dyDescent="0.3">
      <c r="A158" s="55" t="s">
        <v>448</v>
      </c>
      <c r="B158" s="53" t="s">
        <v>449</v>
      </c>
      <c r="C158" s="54" t="s">
        <v>30</v>
      </c>
      <c r="D158" s="75">
        <v>94.14</v>
      </c>
      <c r="E158" s="75"/>
      <c r="F158" s="75"/>
      <c r="G158" s="75"/>
      <c r="H158" s="75" t="s">
        <v>15</v>
      </c>
      <c r="I158" s="75">
        <v>9392.57</v>
      </c>
      <c r="J158" s="75">
        <v>884216.54</v>
      </c>
      <c r="K158" s="137" t="s">
        <v>450</v>
      </c>
      <c r="L158" s="73"/>
      <c r="M158" s="46">
        <v>0</v>
      </c>
      <c r="N158" s="46">
        <v>0</v>
      </c>
      <c r="O158" s="46">
        <v>0</v>
      </c>
      <c r="P158" s="98"/>
      <c r="Q158" s="23" t="s">
        <v>1436</v>
      </c>
      <c r="R158" s="24" t="s">
        <v>449</v>
      </c>
      <c r="S158" s="25" t="s">
        <v>30</v>
      </c>
      <c r="T158" s="26">
        <v>94.14</v>
      </c>
      <c r="U158" s="26">
        <v>94.14</v>
      </c>
      <c r="V158" s="26">
        <f t="shared" si="19"/>
        <v>9392.57</v>
      </c>
      <c r="W158" s="26">
        <f t="shared" si="23"/>
        <v>0</v>
      </c>
      <c r="X158" s="26">
        <f t="shared" si="24"/>
        <v>0</v>
      </c>
      <c r="Y158" s="26">
        <f t="shared" si="25"/>
        <v>0</v>
      </c>
      <c r="Z158" s="26">
        <f t="shared" si="27"/>
        <v>0</v>
      </c>
      <c r="AA158" s="33" t="s">
        <v>15</v>
      </c>
      <c r="AB158" s="36" t="s">
        <v>16</v>
      </c>
      <c r="AC158" s="181">
        <f t="shared" si="28"/>
        <v>94.14</v>
      </c>
      <c r="AD158" s="181">
        <f t="shared" si="26"/>
        <v>884216.54</v>
      </c>
      <c r="AE158" s="181">
        <v>1.3</v>
      </c>
      <c r="AF158" s="181">
        <v>1.3</v>
      </c>
      <c r="AG158" s="101" t="str">
        <f t="shared" si="29"/>
        <v/>
      </c>
      <c r="AH158" s="190">
        <v>0</v>
      </c>
      <c r="AI158" s="69">
        <f t="shared" si="30"/>
        <v>94.14</v>
      </c>
    </row>
    <row r="159" spans="1:35" s="69" customFormat="1" ht="39" hidden="1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 t="s">
        <v>15</v>
      </c>
      <c r="I159" s="75">
        <v>2388.5700000000002</v>
      </c>
      <c r="J159" s="75">
        <v>272296.98</v>
      </c>
      <c r="K159" s="137" t="s">
        <v>453</v>
      </c>
      <c r="L159" s="73"/>
      <c r="M159" s="46">
        <v>0</v>
      </c>
      <c r="N159" s="46">
        <v>0</v>
      </c>
      <c r="O159" s="46">
        <v>0</v>
      </c>
      <c r="P159" s="98"/>
      <c r="Q159" s="23" t="s">
        <v>1374</v>
      </c>
      <c r="R159" s="24" t="s">
        <v>452</v>
      </c>
      <c r="S159" s="25" t="s">
        <v>30</v>
      </c>
      <c r="T159" s="26">
        <v>114</v>
      </c>
      <c r="U159" s="26">
        <v>114</v>
      </c>
      <c r="V159" s="26">
        <f t="shared" si="19"/>
        <v>2388.5700000000002</v>
      </c>
      <c r="W159" s="26">
        <f t="shared" si="23"/>
        <v>0</v>
      </c>
      <c r="X159" s="26">
        <f t="shared" si="24"/>
        <v>0</v>
      </c>
      <c r="Y159" s="26">
        <f t="shared" si="25"/>
        <v>0</v>
      </c>
      <c r="Z159" s="26">
        <f t="shared" si="27"/>
        <v>0</v>
      </c>
      <c r="AA159" s="33" t="s">
        <v>15</v>
      </c>
      <c r="AB159" s="36" t="s">
        <v>16</v>
      </c>
      <c r="AC159" s="181">
        <f t="shared" si="28"/>
        <v>114</v>
      </c>
      <c r="AD159" s="181">
        <f t="shared" si="26"/>
        <v>272296.98</v>
      </c>
      <c r="AE159" s="181">
        <v>1.3</v>
      </c>
      <c r="AF159" s="181">
        <v>1.3</v>
      </c>
      <c r="AG159" s="101" t="str">
        <f t="shared" si="29"/>
        <v/>
      </c>
      <c r="AH159" s="190">
        <v>0</v>
      </c>
      <c r="AI159" s="69">
        <f t="shared" si="30"/>
        <v>114</v>
      </c>
    </row>
    <row r="160" spans="1:35" s="69" customFormat="1" ht="39" hidden="1" x14ac:dyDescent="0.3">
      <c r="A160" s="55" t="s">
        <v>454</v>
      </c>
      <c r="B160" s="215" t="s">
        <v>455</v>
      </c>
      <c r="C160" s="54" t="s">
        <v>30</v>
      </c>
      <c r="D160" s="75">
        <v>44</v>
      </c>
      <c r="E160" s="75"/>
      <c r="F160" s="75"/>
      <c r="G160" s="75"/>
      <c r="H160" s="75" t="s">
        <v>15</v>
      </c>
      <c r="I160" s="75">
        <v>80192.710000000006</v>
      </c>
      <c r="J160" s="75">
        <v>3528479.24</v>
      </c>
      <c r="K160" s="137" t="s">
        <v>456</v>
      </c>
      <c r="L160" s="73"/>
      <c r="M160" s="46">
        <v>35</v>
      </c>
      <c r="N160" s="46">
        <v>0</v>
      </c>
      <c r="O160" s="46">
        <v>2806744.85</v>
      </c>
      <c r="P160" s="98"/>
      <c r="Q160" s="23" t="s">
        <v>1376</v>
      </c>
      <c r="R160" s="24" t="s">
        <v>455</v>
      </c>
      <c r="S160" s="25" t="s">
        <v>30</v>
      </c>
      <c r="T160" s="26">
        <v>44</v>
      </c>
      <c r="U160" s="26">
        <v>44</v>
      </c>
      <c r="V160" s="26">
        <f t="shared" si="19"/>
        <v>80192.710000000006</v>
      </c>
      <c r="W160" s="128">
        <f t="shared" si="23"/>
        <v>0</v>
      </c>
      <c r="X160" s="26">
        <f t="shared" si="24"/>
        <v>35</v>
      </c>
      <c r="Y160" s="26">
        <f t="shared" si="25"/>
        <v>0</v>
      </c>
      <c r="Z160" s="26">
        <f t="shared" si="27"/>
        <v>2806744.85</v>
      </c>
      <c r="AA160" s="33" t="s">
        <v>15</v>
      </c>
      <c r="AB160" s="36" t="s">
        <v>16</v>
      </c>
      <c r="AC160" s="181">
        <f t="shared" si="28"/>
        <v>44</v>
      </c>
      <c r="AD160" s="181">
        <f t="shared" si="26"/>
        <v>3528479.24</v>
      </c>
      <c r="AE160" s="181">
        <v>1.3</v>
      </c>
      <c r="AF160" s="181">
        <v>1.3</v>
      </c>
      <c r="AG160" s="101" t="str">
        <f t="shared" si="29"/>
        <v/>
      </c>
      <c r="AH160" s="191">
        <v>35</v>
      </c>
      <c r="AI160" s="69">
        <f t="shared" si="30"/>
        <v>44</v>
      </c>
    </row>
    <row r="161" spans="1:35" s="69" customFormat="1" ht="58.5" hidden="1" x14ac:dyDescent="0.3">
      <c r="A161" s="55" t="s">
        <v>457</v>
      </c>
      <c r="B161" s="215" t="s">
        <v>458</v>
      </c>
      <c r="C161" s="54" t="s">
        <v>30</v>
      </c>
      <c r="D161" s="75">
        <v>90</v>
      </c>
      <c r="E161" s="75"/>
      <c r="F161" s="75"/>
      <c r="G161" s="75"/>
      <c r="H161" s="75" t="s">
        <v>15</v>
      </c>
      <c r="I161" s="75">
        <v>9257.1299999999992</v>
      </c>
      <c r="J161" s="75">
        <v>833141.7</v>
      </c>
      <c r="K161" s="137" t="s">
        <v>459</v>
      </c>
      <c r="L161" s="73"/>
      <c r="M161" s="46">
        <v>70</v>
      </c>
      <c r="N161" s="46">
        <v>0</v>
      </c>
      <c r="O161" s="46">
        <v>647999.1</v>
      </c>
      <c r="P161" s="98"/>
      <c r="Q161" s="23" t="s">
        <v>1378</v>
      </c>
      <c r="R161" s="24" t="s">
        <v>458</v>
      </c>
      <c r="S161" s="25" t="s">
        <v>30</v>
      </c>
      <c r="T161" s="26">
        <v>90</v>
      </c>
      <c r="U161" s="26">
        <v>90</v>
      </c>
      <c r="V161" s="26">
        <f t="shared" si="19"/>
        <v>9257.1299999999992</v>
      </c>
      <c r="W161" s="128">
        <f t="shared" si="23"/>
        <v>0</v>
      </c>
      <c r="X161" s="26">
        <f t="shared" si="24"/>
        <v>70</v>
      </c>
      <c r="Y161" s="26">
        <f t="shared" si="25"/>
        <v>0</v>
      </c>
      <c r="Z161" s="26">
        <f t="shared" si="27"/>
        <v>647999.1</v>
      </c>
      <c r="AA161" s="33" t="s">
        <v>15</v>
      </c>
      <c r="AB161" s="36" t="s">
        <v>16</v>
      </c>
      <c r="AC161" s="181">
        <f t="shared" si="28"/>
        <v>90</v>
      </c>
      <c r="AD161" s="181">
        <f t="shared" si="26"/>
        <v>833141.7</v>
      </c>
      <c r="AE161" s="181">
        <v>1.3</v>
      </c>
      <c r="AF161" s="181">
        <v>1.3</v>
      </c>
      <c r="AG161" s="101" t="str">
        <f t="shared" si="29"/>
        <v/>
      </c>
      <c r="AH161" s="191">
        <v>70</v>
      </c>
      <c r="AI161" s="69">
        <f t="shared" si="30"/>
        <v>90</v>
      </c>
    </row>
    <row r="162" spans="1:35" s="69" customFormat="1" ht="33" hidden="1" x14ac:dyDescent="0.3">
      <c r="A162" s="55" t="s">
        <v>460</v>
      </c>
      <c r="B162" s="53" t="s">
        <v>461</v>
      </c>
      <c r="C162" s="54" t="s">
        <v>81</v>
      </c>
      <c r="D162" s="75">
        <v>1</v>
      </c>
      <c r="E162" s="75"/>
      <c r="F162" s="75"/>
      <c r="G162" s="75"/>
      <c r="H162" s="75" t="s">
        <v>15</v>
      </c>
      <c r="I162" s="75">
        <v>58649</v>
      </c>
      <c r="J162" s="75">
        <v>58649</v>
      </c>
      <c r="K162" s="137" t="s">
        <v>462</v>
      </c>
      <c r="L162" s="73"/>
      <c r="M162" s="46">
        <v>0</v>
      </c>
      <c r="N162" s="46">
        <v>0</v>
      </c>
      <c r="O162" s="46">
        <v>0</v>
      </c>
      <c r="P162" s="98"/>
      <c r="Q162" s="23" t="s">
        <v>1438</v>
      </c>
      <c r="R162" s="24" t="s">
        <v>461</v>
      </c>
      <c r="S162" s="25" t="s">
        <v>81</v>
      </c>
      <c r="T162" s="26">
        <v>1</v>
      </c>
      <c r="U162" s="26">
        <v>1</v>
      </c>
      <c r="V162" s="26">
        <f t="shared" si="19"/>
        <v>58649</v>
      </c>
      <c r="W162" s="26">
        <f t="shared" si="23"/>
        <v>0</v>
      </c>
      <c r="X162" s="26">
        <f t="shared" si="24"/>
        <v>0</v>
      </c>
      <c r="Y162" s="26">
        <f t="shared" si="25"/>
        <v>0</v>
      </c>
      <c r="Z162" s="26">
        <f t="shared" si="27"/>
        <v>0</v>
      </c>
      <c r="AA162" s="33" t="s">
        <v>15</v>
      </c>
      <c r="AB162" s="36" t="s">
        <v>16</v>
      </c>
      <c r="AC162" s="181">
        <f t="shared" si="28"/>
        <v>1</v>
      </c>
      <c r="AD162" s="181">
        <f t="shared" si="26"/>
        <v>58649</v>
      </c>
      <c r="AE162" s="181">
        <v>1.3</v>
      </c>
      <c r="AF162" s="181">
        <v>1.3</v>
      </c>
      <c r="AG162" s="101" t="str">
        <f t="shared" si="29"/>
        <v/>
      </c>
      <c r="AH162" s="190">
        <v>0</v>
      </c>
      <c r="AI162" s="69">
        <f t="shared" si="30"/>
        <v>1</v>
      </c>
    </row>
    <row r="163" spans="1:35" s="69" customFormat="1" ht="33" hidden="1" x14ac:dyDescent="0.3">
      <c r="A163" s="130" t="s">
        <v>463</v>
      </c>
      <c r="B163" s="131" t="s">
        <v>464</v>
      </c>
      <c r="C163" s="132" t="s">
        <v>81</v>
      </c>
      <c r="D163" s="133">
        <v>1</v>
      </c>
      <c r="E163" s="75"/>
      <c r="F163" s="75"/>
      <c r="G163" s="75"/>
      <c r="H163" s="75" t="s">
        <v>15</v>
      </c>
      <c r="I163" s="75">
        <v>107614.5</v>
      </c>
      <c r="J163" s="75">
        <v>107614.5</v>
      </c>
      <c r="K163" s="137" t="s">
        <v>465</v>
      </c>
      <c r="L163" s="73"/>
      <c r="M163" s="46">
        <v>0.8</v>
      </c>
      <c r="N163" s="46">
        <v>0</v>
      </c>
      <c r="O163" s="46">
        <v>86091.6</v>
      </c>
      <c r="P163" s="98"/>
      <c r="Q163" s="23" t="s">
        <v>1439</v>
      </c>
      <c r="R163" s="24" t="s">
        <v>464</v>
      </c>
      <c r="S163" s="25" t="s">
        <v>81</v>
      </c>
      <c r="T163" s="26">
        <v>1</v>
      </c>
      <c r="U163" s="26">
        <v>1</v>
      </c>
      <c r="V163" s="26">
        <f t="shared" si="19"/>
        <v>107614.5</v>
      </c>
      <c r="W163" s="26">
        <f t="shared" si="23"/>
        <v>0</v>
      </c>
      <c r="X163" s="127">
        <f t="shared" si="24"/>
        <v>0.8</v>
      </c>
      <c r="Y163" s="127">
        <f t="shared" si="25"/>
        <v>0</v>
      </c>
      <c r="Z163" s="127">
        <f t="shared" si="27"/>
        <v>86091.6</v>
      </c>
      <c r="AA163" s="33" t="s">
        <v>15</v>
      </c>
      <c r="AB163" s="36" t="s">
        <v>16</v>
      </c>
      <c r="AC163" s="181">
        <f t="shared" si="28"/>
        <v>1</v>
      </c>
      <c r="AD163" s="181">
        <f t="shared" si="26"/>
        <v>107614.5</v>
      </c>
      <c r="AE163" s="181">
        <v>1.3</v>
      </c>
      <c r="AF163" s="181">
        <v>1.3</v>
      </c>
      <c r="AG163" s="101" t="str">
        <f t="shared" si="29"/>
        <v/>
      </c>
      <c r="AH163" s="191">
        <v>0.8</v>
      </c>
      <c r="AI163" s="69">
        <f t="shared" si="30"/>
        <v>1</v>
      </c>
    </row>
    <row r="164" spans="1:35" s="69" customFormat="1" ht="33" hidden="1" x14ac:dyDescent="0.3">
      <c r="A164" s="55" t="s">
        <v>466</v>
      </c>
      <c r="B164" s="53" t="s">
        <v>467</v>
      </c>
      <c r="C164" s="54" t="s">
        <v>30</v>
      </c>
      <c r="D164" s="75">
        <v>13.2</v>
      </c>
      <c r="E164" s="75"/>
      <c r="F164" s="75"/>
      <c r="G164" s="75"/>
      <c r="H164" s="75" t="s">
        <v>15</v>
      </c>
      <c r="I164" s="75">
        <v>2809.33</v>
      </c>
      <c r="J164" s="75">
        <v>37083.160000000003</v>
      </c>
      <c r="K164" s="137" t="s">
        <v>468</v>
      </c>
      <c r="L164" s="73"/>
      <c r="M164" s="46">
        <v>0</v>
      </c>
      <c r="N164" s="46">
        <v>0</v>
      </c>
      <c r="O164" s="46">
        <v>0</v>
      </c>
      <c r="P164" s="98"/>
      <c r="Q164" s="23" t="s">
        <v>1440</v>
      </c>
      <c r="R164" s="24" t="s">
        <v>467</v>
      </c>
      <c r="S164" s="25" t="s">
        <v>30</v>
      </c>
      <c r="T164" s="26">
        <v>13.2</v>
      </c>
      <c r="U164" s="26">
        <v>13.2</v>
      </c>
      <c r="V164" s="26">
        <f t="shared" si="19"/>
        <v>2809.33</v>
      </c>
      <c r="W164" s="26">
        <f t="shared" si="23"/>
        <v>0</v>
      </c>
      <c r="X164" s="26">
        <f t="shared" si="24"/>
        <v>0</v>
      </c>
      <c r="Y164" s="26">
        <f t="shared" si="25"/>
        <v>0</v>
      </c>
      <c r="Z164" s="26">
        <f t="shared" si="27"/>
        <v>0</v>
      </c>
      <c r="AA164" s="33" t="s">
        <v>15</v>
      </c>
      <c r="AB164" s="36" t="s">
        <v>16</v>
      </c>
      <c r="AC164" s="181">
        <f t="shared" si="28"/>
        <v>13.2</v>
      </c>
      <c r="AD164" s="181">
        <f t="shared" si="26"/>
        <v>37083.160000000003</v>
      </c>
      <c r="AE164" s="181">
        <v>1.3</v>
      </c>
      <c r="AF164" s="181">
        <v>1.3</v>
      </c>
      <c r="AG164" s="101" t="str">
        <f t="shared" si="29"/>
        <v/>
      </c>
      <c r="AH164" s="190">
        <v>0</v>
      </c>
      <c r="AI164" s="69">
        <f t="shared" si="30"/>
        <v>13.2</v>
      </c>
    </row>
    <row r="165" spans="1:35" s="69" customFormat="1" ht="39" hidden="1" x14ac:dyDescent="0.3">
      <c r="A165" s="55" t="s">
        <v>469</v>
      </c>
      <c r="B165" s="53" t="s">
        <v>470</v>
      </c>
      <c r="C165" s="54" t="s">
        <v>30</v>
      </c>
      <c r="D165" s="75">
        <v>3</v>
      </c>
      <c r="E165" s="75"/>
      <c r="F165" s="75"/>
      <c r="G165" s="75"/>
      <c r="H165" s="75" t="s">
        <v>15</v>
      </c>
      <c r="I165" s="75">
        <v>2433.89</v>
      </c>
      <c r="J165" s="75">
        <v>7301.67</v>
      </c>
      <c r="K165" s="137" t="s">
        <v>471</v>
      </c>
      <c r="L165" s="73"/>
      <c r="M165" s="46">
        <v>0</v>
      </c>
      <c r="N165" s="46">
        <v>0</v>
      </c>
      <c r="O165" s="46">
        <v>0</v>
      </c>
      <c r="P165" s="98"/>
      <c r="Q165" s="23" t="s">
        <v>1441</v>
      </c>
      <c r="R165" s="24" t="s">
        <v>470</v>
      </c>
      <c r="S165" s="25" t="s">
        <v>30</v>
      </c>
      <c r="T165" s="26">
        <v>3</v>
      </c>
      <c r="U165" s="26">
        <v>3</v>
      </c>
      <c r="V165" s="26">
        <f t="shared" si="19"/>
        <v>2433.89</v>
      </c>
      <c r="W165" s="26">
        <f t="shared" si="23"/>
        <v>0</v>
      </c>
      <c r="X165" s="26">
        <f t="shared" si="24"/>
        <v>0</v>
      </c>
      <c r="Y165" s="26">
        <f t="shared" si="25"/>
        <v>0</v>
      </c>
      <c r="Z165" s="26">
        <f t="shared" si="27"/>
        <v>0</v>
      </c>
      <c r="AA165" s="33" t="s">
        <v>15</v>
      </c>
      <c r="AB165" s="36" t="s">
        <v>16</v>
      </c>
      <c r="AC165" s="181">
        <f t="shared" si="28"/>
        <v>3</v>
      </c>
      <c r="AD165" s="181">
        <f t="shared" si="26"/>
        <v>7301.67</v>
      </c>
      <c r="AE165" s="181">
        <v>1.3</v>
      </c>
      <c r="AF165" s="181">
        <v>1.3</v>
      </c>
      <c r="AG165" s="101" t="str">
        <f t="shared" si="29"/>
        <v/>
      </c>
      <c r="AH165" s="190">
        <v>0</v>
      </c>
      <c r="AI165" s="69">
        <f t="shared" si="30"/>
        <v>3</v>
      </c>
    </row>
    <row r="166" spans="1:35" s="69" customFormat="1" ht="39" hidden="1" x14ac:dyDescent="0.3">
      <c r="A166" s="55" t="s">
        <v>472</v>
      </c>
      <c r="B166" s="53" t="s">
        <v>473</v>
      </c>
      <c r="C166" s="54" t="s">
        <v>30</v>
      </c>
      <c r="D166" s="75">
        <v>6</v>
      </c>
      <c r="E166" s="75"/>
      <c r="F166" s="75"/>
      <c r="G166" s="75"/>
      <c r="H166" s="75" t="s">
        <v>15</v>
      </c>
      <c r="I166" s="75">
        <v>2888.64</v>
      </c>
      <c r="J166" s="75">
        <v>17331.84</v>
      </c>
      <c r="K166" s="137" t="s">
        <v>474</v>
      </c>
      <c r="L166" s="73"/>
      <c r="M166" s="46">
        <v>0</v>
      </c>
      <c r="N166" s="46">
        <v>0</v>
      </c>
      <c r="O166" s="46">
        <v>0</v>
      </c>
      <c r="P166" s="98"/>
      <c r="Q166" s="23" t="s">
        <v>1442</v>
      </c>
      <c r="R166" s="24" t="s">
        <v>473</v>
      </c>
      <c r="S166" s="25" t="s">
        <v>30</v>
      </c>
      <c r="T166" s="26">
        <v>6</v>
      </c>
      <c r="U166" s="26">
        <v>6</v>
      </c>
      <c r="V166" s="26">
        <f t="shared" si="19"/>
        <v>2888.64</v>
      </c>
      <c r="W166" s="26">
        <f t="shared" si="23"/>
        <v>0</v>
      </c>
      <c r="X166" s="26">
        <f t="shared" si="24"/>
        <v>0</v>
      </c>
      <c r="Y166" s="26">
        <f t="shared" si="25"/>
        <v>0</v>
      </c>
      <c r="Z166" s="26">
        <f t="shared" si="27"/>
        <v>0</v>
      </c>
      <c r="AA166" s="33" t="s">
        <v>15</v>
      </c>
      <c r="AB166" s="36" t="s">
        <v>16</v>
      </c>
      <c r="AC166" s="181">
        <f t="shared" si="28"/>
        <v>6</v>
      </c>
      <c r="AD166" s="181">
        <f t="shared" si="26"/>
        <v>17331.84</v>
      </c>
      <c r="AE166" s="181">
        <v>1.3</v>
      </c>
      <c r="AF166" s="181">
        <v>1.3</v>
      </c>
      <c r="AG166" s="101" t="str">
        <f t="shared" si="29"/>
        <v/>
      </c>
      <c r="AH166" s="190">
        <v>0</v>
      </c>
      <c r="AI166" s="69">
        <f t="shared" si="30"/>
        <v>6</v>
      </c>
    </row>
    <row r="167" spans="1:35" s="69" customFormat="1" ht="58.5" x14ac:dyDescent="0.3">
      <c r="A167" s="130" t="s">
        <v>475</v>
      </c>
      <c r="B167" s="131" t="s">
        <v>476</v>
      </c>
      <c r="C167" s="132" t="s">
        <v>14</v>
      </c>
      <c r="D167" s="133">
        <v>1</v>
      </c>
      <c r="E167" s="75"/>
      <c r="F167" s="75"/>
      <c r="G167" s="75"/>
      <c r="H167" s="75" t="s">
        <v>15</v>
      </c>
      <c r="I167" s="75">
        <v>430876.81</v>
      </c>
      <c r="J167" s="75">
        <v>430876.81</v>
      </c>
      <c r="K167" s="137" t="s">
        <v>477</v>
      </c>
      <c r="L167" s="73"/>
      <c r="M167" s="46">
        <v>1</v>
      </c>
      <c r="N167" s="46">
        <v>0</v>
      </c>
      <c r="O167" s="46">
        <v>430876.81</v>
      </c>
      <c r="P167" s="98"/>
      <c r="Q167" s="23" t="s">
        <v>1443</v>
      </c>
      <c r="R167" s="24" t="s">
        <v>476</v>
      </c>
      <c r="S167" s="25" t="s">
        <v>14</v>
      </c>
      <c r="T167" s="26">
        <v>1</v>
      </c>
      <c r="U167" s="26">
        <v>1</v>
      </c>
      <c r="V167" s="26">
        <f t="shared" ref="V167:V176" si="31">I167</f>
        <v>430876.81</v>
      </c>
      <c r="W167" s="127">
        <f t="shared" si="23"/>
        <v>0</v>
      </c>
      <c r="X167" s="127">
        <f t="shared" si="24"/>
        <v>1</v>
      </c>
      <c r="Y167" s="127">
        <f t="shared" si="25"/>
        <v>0</v>
      </c>
      <c r="Z167" s="127">
        <f t="shared" si="27"/>
        <v>430876.81</v>
      </c>
      <c r="AA167" s="33" t="s">
        <v>15</v>
      </c>
      <c r="AB167" s="36" t="s">
        <v>16</v>
      </c>
      <c r="AC167" s="181">
        <f t="shared" si="28"/>
        <v>1</v>
      </c>
      <c r="AD167" s="181">
        <f t="shared" si="26"/>
        <v>430876.81</v>
      </c>
      <c r="AE167" s="181">
        <v>1.3</v>
      </c>
      <c r="AF167" s="181">
        <v>1.3</v>
      </c>
      <c r="AG167" s="101" t="str">
        <f t="shared" si="29"/>
        <v/>
      </c>
      <c r="AH167" s="191">
        <v>1</v>
      </c>
      <c r="AI167" s="69">
        <f t="shared" si="30"/>
        <v>1</v>
      </c>
    </row>
    <row r="168" spans="1:35" s="69" customFormat="1" ht="39" hidden="1" x14ac:dyDescent="0.3">
      <c r="A168" s="130" t="s">
        <v>478</v>
      </c>
      <c r="B168" s="131" t="s">
        <v>479</v>
      </c>
      <c r="C168" s="132" t="s">
        <v>81</v>
      </c>
      <c r="D168" s="133">
        <v>1</v>
      </c>
      <c r="E168" s="75"/>
      <c r="F168" s="75"/>
      <c r="G168" s="75"/>
      <c r="H168" s="75" t="s">
        <v>15</v>
      </c>
      <c r="I168" s="75">
        <v>29563.21</v>
      </c>
      <c r="J168" s="75">
        <v>29563.21</v>
      </c>
      <c r="K168" s="137" t="s">
        <v>480</v>
      </c>
      <c r="L168" s="73"/>
      <c r="M168" s="46">
        <v>1</v>
      </c>
      <c r="N168" s="46">
        <v>0</v>
      </c>
      <c r="O168" s="46">
        <v>29563.21</v>
      </c>
      <c r="P168" s="98"/>
      <c r="Q168" s="23" t="s">
        <v>1444</v>
      </c>
      <c r="R168" s="24" t="s">
        <v>479</v>
      </c>
      <c r="S168" s="25" t="s">
        <v>81</v>
      </c>
      <c r="T168" s="26">
        <v>1</v>
      </c>
      <c r="U168" s="26">
        <v>1</v>
      </c>
      <c r="V168" s="26">
        <f t="shared" si="31"/>
        <v>29563.21</v>
      </c>
      <c r="W168" s="127">
        <f t="shared" si="23"/>
        <v>0</v>
      </c>
      <c r="X168" s="127">
        <f t="shared" si="24"/>
        <v>1</v>
      </c>
      <c r="Y168" s="127">
        <f t="shared" si="25"/>
        <v>0</v>
      </c>
      <c r="Z168" s="127">
        <f t="shared" si="27"/>
        <v>29563.21</v>
      </c>
      <c r="AA168" s="33" t="s">
        <v>15</v>
      </c>
      <c r="AB168" s="36" t="s">
        <v>16</v>
      </c>
      <c r="AC168" s="181">
        <f t="shared" si="28"/>
        <v>1</v>
      </c>
      <c r="AD168" s="181">
        <f t="shared" si="26"/>
        <v>29563.21</v>
      </c>
      <c r="AE168" s="181">
        <v>1.3</v>
      </c>
      <c r="AF168" s="181">
        <v>1.3</v>
      </c>
      <c r="AG168" s="101" t="str">
        <f t="shared" si="29"/>
        <v/>
      </c>
      <c r="AH168" s="194">
        <v>1</v>
      </c>
      <c r="AI168" s="69">
        <f t="shared" si="30"/>
        <v>1</v>
      </c>
    </row>
    <row r="169" spans="1:35" s="69" customFormat="1" ht="33" hidden="1" x14ac:dyDescent="0.3">
      <c r="A169" s="130" t="s">
        <v>481</v>
      </c>
      <c r="B169" s="131" t="s">
        <v>482</v>
      </c>
      <c r="C169" s="132" t="s">
        <v>81</v>
      </c>
      <c r="D169" s="133">
        <v>1</v>
      </c>
      <c r="E169" s="75"/>
      <c r="F169" s="75"/>
      <c r="G169" s="75"/>
      <c r="H169" s="75" t="s">
        <v>15</v>
      </c>
      <c r="I169" s="75">
        <v>1061152.75</v>
      </c>
      <c r="J169" s="75">
        <v>1061152.75</v>
      </c>
      <c r="K169" s="137" t="s">
        <v>483</v>
      </c>
      <c r="L169" s="73"/>
      <c r="M169" s="46">
        <v>1</v>
      </c>
      <c r="N169" s="46">
        <v>0</v>
      </c>
      <c r="O169" s="46">
        <v>1061152.75</v>
      </c>
      <c r="P169" s="98"/>
      <c r="Q169" s="23" t="s">
        <v>1408</v>
      </c>
      <c r="R169" s="24" t="s">
        <v>482</v>
      </c>
      <c r="S169" s="25" t="s">
        <v>81</v>
      </c>
      <c r="T169" s="26">
        <v>1</v>
      </c>
      <c r="U169" s="26">
        <v>1</v>
      </c>
      <c r="V169" s="26">
        <f t="shared" si="31"/>
        <v>1061152.75</v>
      </c>
      <c r="W169" s="127">
        <f t="shared" si="23"/>
        <v>0</v>
      </c>
      <c r="X169" s="127">
        <f t="shared" si="24"/>
        <v>1</v>
      </c>
      <c r="Y169" s="127">
        <f t="shared" si="25"/>
        <v>0</v>
      </c>
      <c r="Z169" s="127">
        <f t="shared" si="27"/>
        <v>1061152.75</v>
      </c>
      <c r="AA169" s="33" t="s">
        <v>15</v>
      </c>
      <c r="AB169" s="36" t="s">
        <v>16</v>
      </c>
      <c r="AC169" s="181">
        <f t="shared" si="28"/>
        <v>1</v>
      </c>
      <c r="AD169" s="181">
        <f t="shared" si="26"/>
        <v>1061152.75</v>
      </c>
      <c r="AE169" s="181">
        <v>1.3</v>
      </c>
      <c r="AF169" s="181">
        <v>1.3</v>
      </c>
      <c r="AG169" s="101" t="str">
        <f t="shared" si="29"/>
        <v/>
      </c>
      <c r="AH169" s="191">
        <v>1</v>
      </c>
      <c r="AI169" s="69">
        <f t="shared" si="30"/>
        <v>1</v>
      </c>
    </row>
    <row r="170" spans="1:35" s="69" customFormat="1" ht="33" hidden="1" x14ac:dyDescent="0.3">
      <c r="A170" s="130" t="s">
        <v>484</v>
      </c>
      <c r="B170" s="131" t="s">
        <v>485</v>
      </c>
      <c r="C170" s="132" t="s">
        <v>81</v>
      </c>
      <c r="D170" s="133">
        <v>1</v>
      </c>
      <c r="E170" s="75"/>
      <c r="F170" s="75"/>
      <c r="G170" s="75"/>
      <c r="H170" s="75" t="s">
        <v>15</v>
      </c>
      <c r="I170" s="75">
        <v>2431046.88</v>
      </c>
      <c r="J170" s="75">
        <v>2431046.88</v>
      </c>
      <c r="K170" s="137" t="s">
        <v>486</v>
      </c>
      <c r="L170" s="73"/>
      <c r="M170" s="46">
        <v>1</v>
      </c>
      <c r="N170" s="46">
        <v>0</v>
      </c>
      <c r="O170" s="46">
        <v>2431046.88</v>
      </c>
      <c r="P170" s="98"/>
      <c r="Q170" s="23" t="s">
        <v>1409</v>
      </c>
      <c r="R170" s="24" t="s">
        <v>485</v>
      </c>
      <c r="S170" s="25" t="s">
        <v>81</v>
      </c>
      <c r="T170" s="26">
        <v>1</v>
      </c>
      <c r="U170" s="26">
        <v>1</v>
      </c>
      <c r="V170" s="26">
        <f t="shared" si="31"/>
        <v>2431046.88</v>
      </c>
      <c r="W170" s="127">
        <f t="shared" si="23"/>
        <v>0</v>
      </c>
      <c r="X170" s="127">
        <f t="shared" si="24"/>
        <v>1</v>
      </c>
      <c r="Y170" s="127">
        <f t="shared" si="25"/>
        <v>0</v>
      </c>
      <c r="Z170" s="127">
        <f t="shared" si="27"/>
        <v>2431046.88</v>
      </c>
      <c r="AA170" s="33" t="s">
        <v>15</v>
      </c>
      <c r="AB170" s="36" t="s">
        <v>16</v>
      </c>
      <c r="AC170" s="181">
        <f t="shared" si="28"/>
        <v>1</v>
      </c>
      <c r="AD170" s="181">
        <f t="shared" si="26"/>
        <v>2431046.88</v>
      </c>
      <c r="AE170" s="181">
        <v>1.3</v>
      </c>
      <c r="AF170" s="181">
        <v>1.3</v>
      </c>
      <c r="AG170" s="101" t="str">
        <f t="shared" si="29"/>
        <v/>
      </c>
      <c r="AH170" s="194">
        <v>1</v>
      </c>
      <c r="AI170" s="69">
        <f t="shared" si="30"/>
        <v>1</v>
      </c>
    </row>
    <row r="171" spans="1:35" s="69" customFormat="1" ht="33" x14ac:dyDescent="0.3">
      <c r="A171" s="134" t="s">
        <v>1312</v>
      </c>
      <c r="B171" s="135" t="s">
        <v>1313</v>
      </c>
      <c r="C171" s="204" t="s">
        <v>14</v>
      </c>
      <c r="D171" s="133"/>
      <c r="E171" s="59">
        <v>1</v>
      </c>
      <c r="F171" s="77"/>
      <c r="G171" s="77"/>
      <c r="H171" s="77" t="s">
        <v>15</v>
      </c>
      <c r="I171" s="77">
        <v>87950.62</v>
      </c>
      <c r="J171" s="59">
        <v>87950.62</v>
      </c>
      <c r="K171" s="92"/>
      <c r="L171" s="73"/>
      <c r="M171" s="46">
        <v>1</v>
      </c>
      <c r="N171" s="46">
        <v>0</v>
      </c>
      <c r="O171" s="46">
        <v>87950.62</v>
      </c>
      <c r="P171" s="98"/>
      <c r="Q171" s="23" t="s">
        <v>1410</v>
      </c>
      <c r="R171" s="24" t="s">
        <v>1495</v>
      </c>
      <c r="S171" s="25" t="s">
        <v>14</v>
      </c>
      <c r="T171" s="26">
        <v>0</v>
      </c>
      <c r="U171" s="26">
        <v>1</v>
      </c>
      <c r="V171" s="26">
        <f t="shared" si="31"/>
        <v>87950.62</v>
      </c>
      <c r="W171" s="127">
        <f t="shared" si="23"/>
        <v>0</v>
      </c>
      <c r="X171" s="127">
        <f t="shared" si="24"/>
        <v>1</v>
      </c>
      <c r="Y171" s="127">
        <f t="shared" si="25"/>
        <v>0</v>
      </c>
      <c r="Z171" s="127">
        <f t="shared" si="27"/>
        <v>87950.62</v>
      </c>
      <c r="AA171" s="27"/>
      <c r="AB171" s="36" t="s">
        <v>16</v>
      </c>
      <c r="AC171" s="181">
        <f t="shared" si="28"/>
        <v>1</v>
      </c>
      <c r="AD171" s="181">
        <f t="shared" si="26"/>
        <v>87950.62</v>
      </c>
      <c r="AE171" s="181">
        <v>1.3</v>
      </c>
      <c r="AF171" s="181">
        <v>1.3</v>
      </c>
      <c r="AG171" s="101" t="str">
        <f t="shared" si="29"/>
        <v/>
      </c>
      <c r="AH171" s="190">
        <v>1</v>
      </c>
      <c r="AI171" s="69">
        <f t="shared" si="30"/>
        <v>1</v>
      </c>
    </row>
    <row r="172" spans="1:35" s="69" customFormat="1" ht="33" hidden="1" x14ac:dyDescent="0.3">
      <c r="A172" s="134" t="s">
        <v>1314</v>
      </c>
      <c r="B172" s="135" t="s">
        <v>1315</v>
      </c>
      <c r="C172" s="204" t="s">
        <v>30</v>
      </c>
      <c r="D172" s="133"/>
      <c r="E172" s="59">
        <v>24</v>
      </c>
      <c r="F172" s="77"/>
      <c r="G172" s="77"/>
      <c r="H172" s="77" t="s">
        <v>15</v>
      </c>
      <c r="I172" s="77">
        <v>4257.93</v>
      </c>
      <c r="J172" s="59">
        <v>102190.32</v>
      </c>
      <c r="K172" s="92"/>
      <c r="L172" s="73"/>
      <c r="M172" s="46">
        <v>24</v>
      </c>
      <c r="N172" s="46">
        <v>0</v>
      </c>
      <c r="O172" s="46">
        <v>102190.32</v>
      </c>
      <c r="P172" s="98"/>
      <c r="Q172" s="23" t="s">
        <v>1411</v>
      </c>
      <c r="R172" s="24" t="s">
        <v>1496</v>
      </c>
      <c r="S172" s="25" t="s">
        <v>30</v>
      </c>
      <c r="T172" s="26">
        <v>0</v>
      </c>
      <c r="U172" s="26">
        <v>24</v>
      </c>
      <c r="V172" s="26">
        <f t="shared" si="31"/>
        <v>4257.93</v>
      </c>
      <c r="W172" s="127">
        <f t="shared" si="23"/>
        <v>0</v>
      </c>
      <c r="X172" s="127">
        <f t="shared" si="24"/>
        <v>24</v>
      </c>
      <c r="Y172" s="127">
        <f t="shared" si="25"/>
        <v>0</v>
      </c>
      <c r="Z172" s="127">
        <f t="shared" si="27"/>
        <v>102190.32</v>
      </c>
      <c r="AA172" s="27"/>
      <c r="AB172" s="36" t="s">
        <v>16</v>
      </c>
      <c r="AC172" s="181">
        <f t="shared" si="28"/>
        <v>24</v>
      </c>
      <c r="AD172" s="181">
        <f t="shared" si="26"/>
        <v>102190.32</v>
      </c>
      <c r="AE172" s="181">
        <v>1.3</v>
      </c>
      <c r="AF172" s="181">
        <v>1.3</v>
      </c>
      <c r="AG172" s="101" t="str">
        <f t="shared" si="29"/>
        <v/>
      </c>
      <c r="AH172" s="190">
        <v>24</v>
      </c>
      <c r="AI172" s="69">
        <f t="shared" si="30"/>
        <v>24</v>
      </c>
    </row>
    <row r="173" spans="1:35" s="69" customFormat="1" ht="33" hidden="1" x14ac:dyDescent="0.3">
      <c r="A173" s="134" t="s">
        <v>1316</v>
      </c>
      <c r="B173" s="135" t="s">
        <v>1317</v>
      </c>
      <c r="C173" s="204" t="s">
        <v>513</v>
      </c>
      <c r="D173" s="133"/>
      <c r="E173" s="59">
        <v>1</v>
      </c>
      <c r="F173" s="77"/>
      <c r="G173" s="205"/>
      <c r="H173" s="205" t="s">
        <v>15</v>
      </c>
      <c r="I173" s="77">
        <v>200835.11</v>
      </c>
      <c r="J173" s="59">
        <v>200835.11</v>
      </c>
      <c r="K173" s="92"/>
      <c r="L173" s="73"/>
      <c r="M173" s="46">
        <v>1</v>
      </c>
      <c r="N173" s="46">
        <v>0</v>
      </c>
      <c r="O173" s="46">
        <v>200835.11</v>
      </c>
      <c r="P173" s="98"/>
      <c r="Q173" s="23" t="s">
        <v>1445</v>
      </c>
      <c r="R173" s="24" t="s">
        <v>1497</v>
      </c>
      <c r="S173" s="25" t="s">
        <v>513</v>
      </c>
      <c r="T173" s="26">
        <v>0</v>
      </c>
      <c r="U173" s="26">
        <v>1</v>
      </c>
      <c r="V173" s="26">
        <f t="shared" si="31"/>
        <v>200835.11</v>
      </c>
      <c r="W173" s="127">
        <f t="shared" si="23"/>
        <v>0</v>
      </c>
      <c r="X173" s="127">
        <f t="shared" si="24"/>
        <v>1</v>
      </c>
      <c r="Y173" s="127">
        <f t="shared" si="25"/>
        <v>0</v>
      </c>
      <c r="Z173" s="127">
        <f t="shared" si="27"/>
        <v>200835.11</v>
      </c>
      <c r="AA173" s="27"/>
      <c r="AB173" s="36" t="s">
        <v>16</v>
      </c>
      <c r="AC173" s="181">
        <f t="shared" si="28"/>
        <v>1</v>
      </c>
      <c r="AD173" s="181">
        <f t="shared" si="26"/>
        <v>200835.11</v>
      </c>
      <c r="AE173" s="181">
        <v>1.3</v>
      </c>
      <c r="AF173" s="181">
        <v>1.3</v>
      </c>
      <c r="AG173" s="101" t="str">
        <f t="shared" si="29"/>
        <v/>
      </c>
      <c r="AH173" s="190">
        <v>1</v>
      </c>
      <c r="AI173" s="69">
        <f t="shared" si="30"/>
        <v>1</v>
      </c>
    </row>
    <row r="174" spans="1:35" ht="33" hidden="1" x14ac:dyDescent="0.3">
      <c r="A174" s="134" t="s">
        <v>1318</v>
      </c>
      <c r="B174" s="135" t="s">
        <v>1319</v>
      </c>
      <c r="C174" s="204" t="s">
        <v>412</v>
      </c>
      <c r="D174" s="133"/>
      <c r="E174" s="78"/>
      <c r="F174" s="116">
        <v>150400</v>
      </c>
      <c r="G174" s="116"/>
      <c r="H174" s="116">
        <v>154935.98000000001</v>
      </c>
      <c r="I174" s="167">
        <v>16.21</v>
      </c>
      <c r="J174" s="62">
        <v>2511512.2400000002</v>
      </c>
      <c r="K174" s="93"/>
      <c r="M174" s="46">
        <v>150350.58000000002</v>
      </c>
      <c r="N174" s="46">
        <v>0</v>
      </c>
      <c r="O174" s="46">
        <v>2437182.9</v>
      </c>
      <c r="P174" s="98"/>
      <c r="Q174" s="23" t="s">
        <v>1383</v>
      </c>
      <c r="R174" s="24" t="s">
        <v>1319</v>
      </c>
      <c r="S174" s="25" t="s">
        <v>412</v>
      </c>
      <c r="T174" s="26">
        <v>0</v>
      </c>
      <c r="U174" s="26">
        <v>154935.98000000001</v>
      </c>
      <c r="V174" s="26">
        <f t="shared" si="31"/>
        <v>16.21</v>
      </c>
      <c r="W174" s="127">
        <f t="shared" si="23"/>
        <v>0</v>
      </c>
      <c r="X174" s="127">
        <f t="shared" si="24"/>
        <v>150350.58000000002</v>
      </c>
      <c r="Y174" s="127">
        <f t="shared" si="25"/>
        <v>0</v>
      </c>
      <c r="Z174" s="127">
        <f t="shared" si="27"/>
        <v>2437182.9</v>
      </c>
      <c r="AA174" s="27"/>
      <c r="AB174" s="36" t="s">
        <v>16</v>
      </c>
      <c r="AC174" s="181">
        <f t="shared" si="28"/>
        <v>154935.98000000001</v>
      </c>
      <c r="AD174" s="181">
        <f t="shared" si="26"/>
        <v>2511512.2400000002</v>
      </c>
      <c r="AE174" s="181">
        <v>1.3</v>
      </c>
      <c r="AF174" s="181">
        <v>1.3</v>
      </c>
      <c r="AG174" s="101" t="str">
        <f t="shared" si="29"/>
        <v/>
      </c>
      <c r="AH174" s="191">
        <v>150350.57999999999</v>
      </c>
      <c r="AI174" s="69">
        <f t="shared" si="30"/>
        <v>150400</v>
      </c>
    </row>
    <row r="175" spans="1:35" ht="33" hidden="1" x14ac:dyDescent="0.3">
      <c r="A175" s="134" t="s">
        <v>1320</v>
      </c>
      <c r="B175" s="135" t="s">
        <v>1321</v>
      </c>
      <c r="C175" s="204" t="s">
        <v>325</v>
      </c>
      <c r="D175" s="133"/>
      <c r="E175" s="78"/>
      <c r="F175" s="62">
        <v>18</v>
      </c>
      <c r="G175" s="62"/>
      <c r="H175" s="62" t="s">
        <v>15</v>
      </c>
      <c r="I175" s="167">
        <v>79588.210000000006</v>
      </c>
      <c r="J175" s="62">
        <v>1432587.78</v>
      </c>
      <c r="K175" s="93"/>
      <c r="M175" s="46">
        <v>18</v>
      </c>
      <c r="N175" s="46">
        <v>0</v>
      </c>
      <c r="O175" s="46">
        <v>1432587.78</v>
      </c>
      <c r="P175" s="98"/>
      <c r="Q175" s="23" t="s">
        <v>1384</v>
      </c>
      <c r="R175" s="24" t="s">
        <v>1321</v>
      </c>
      <c r="S175" s="25" t="s">
        <v>325</v>
      </c>
      <c r="T175" s="26">
        <v>0</v>
      </c>
      <c r="U175" s="26">
        <v>18</v>
      </c>
      <c r="V175" s="26">
        <f t="shared" si="31"/>
        <v>79588.210000000006</v>
      </c>
      <c r="W175" s="127">
        <f t="shared" si="23"/>
        <v>0</v>
      </c>
      <c r="X175" s="127">
        <f t="shared" si="24"/>
        <v>18</v>
      </c>
      <c r="Y175" s="127">
        <f t="shared" si="25"/>
        <v>0</v>
      </c>
      <c r="Z175" s="127">
        <f t="shared" si="27"/>
        <v>1432587.78</v>
      </c>
      <c r="AA175" s="27"/>
      <c r="AB175" s="36" t="s">
        <v>16</v>
      </c>
      <c r="AC175" s="181">
        <f t="shared" si="28"/>
        <v>18</v>
      </c>
      <c r="AD175" s="181">
        <f t="shared" si="26"/>
        <v>1432587.78</v>
      </c>
      <c r="AE175" s="181">
        <v>1.3</v>
      </c>
      <c r="AF175" s="181">
        <v>1.3</v>
      </c>
      <c r="AG175" s="101" t="str">
        <f t="shared" si="29"/>
        <v/>
      </c>
      <c r="AH175" s="194">
        <v>18</v>
      </c>
      <c r="AI175" s="69">
        <f t="shared" si="30"/>
        <v>18</v>
      </c>
    </row>
    <row r="176" spans="1:35" ht="39" hidden="1" x14ac:dyDescent="0.3">
      <c r="A176" s="134" t="s">
        <v>1322</v>
      </c>
      <c r="B176" s="135" t="s">
        <v>1323</v>
      </c>
      <c r="C176" s="204" t="s">
        <v>325</v>
      </c>
      <c r="D176" s="133"/>
      <c r="E176" s="78"/>
      <c r="F176" s="62">
        <v>2</v>
      </c>
      <c r="G176" s="62"/>
      <c r="H176" s="62">
        <v>3</v>
      </c>
      <c r="I176" s="167">
        <v>120491.2</v>
      </c>
      <c r="J176" s="62">
        <v>361473.6</v>
      </c>
      <c r="K176" s="93"/>
      <c r="M176" s="46">
        <v>3</v>
      </c>
      <c r="N176" s="46">
        <v>120491.19999999998</v>
      </c>
      <c r="O176" s="46">
        <v>361473.6</v>
      </c>
      <c r="P176" s="98"/>
      <c r="Q176" s="23" t="s">
        <v>1385</v>
      </c>
      <c r="R176" s="24" t="s">
        <v>1323</v>
      </c>
      <c r="S176" s="25" t="s">
        <v>325</v>
      </c>
      <c r="T176" s="26">
        <v>0</v>
      </c>
      <c r="U176" s="26">
        <v>3</v>
      </c>
      <c r="V176" s="26">
        <f t="shared" si="31"/>
        <v>120491.2</v>
      </c>
      <c r="W176" s="128">
        <f t="shared" si="23"/>
        <v>0</v>
      </c>
      <c r="X176" s="127">
        <f t="shared" si="24"/>
        <v>3</v>
      </c>
      <c r="Y176" s="127">
        <f t="shared" si="25"/>
        <v>0</v>
      </c>
      <c r="Z176" s="127">
        <f t="shared" si="27"/>
        <v>361473.6</v>
      </c>
      <c r="AA176" s="27"/>
      <c r="AB176" s="36" t="s">
        <v>16</v>
      </c>
      <c r="AC176" s="181">
        <f t="shared" si="28"/>
        <v>3</v>
      </c>
      <c r="AD176" s="181">
        <f t="shared" si="26"/>
        <v>361473.6</v>
      </c>
      <c r="AE176" s="181">
        <v>1.3</v>
      </c>
      <c r="AF176" s="181">
        <v>1.3</v>
      </c>
      <c r="AG176" s="101" t="str">
        <f t="shared" si="29"/>
        <v>超估</v>
      </c>
      <c r="AH176" s="191">
        <v>3</v>
      </c>
      <c r="AI176" s="69">
        <f t="shared" si="30"/>
        <v>2</v>
      </c>
    </row>
    <row r="177" spans="1:35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4"/>
      <c r="H177" s="84" t="s">
        <v>15</v>
      </c>
      <c r="I177" s="82"/>
      <c r="J177" s="82">
        <v>25916103.719999999</v>
      </c>
      <c r="K177" s="94" t="s">
        <v>15</v>
      </c>
      <c r="L177" s="73"/>
      <c r="M177" s="45">
        <v>1</v>
      </c>
      <c r="N177" s="45">
        <v>5106778.330000001</v>
      </c>
      <c r="O177" s="45">
        <v>22861804.32</v>
      </c>
      <c r="P177" s="98"/>
      <c r="Q177" s="18" t="s">
        <v>1386</v>
      </c>
      <c r="R177" s="19" t="s">
        <v>488</v>
      </c>
      <c r="S177" s="20" t="s">
        <v>14</v>
      </c>
      <c r="T177" s="21">
        <v>1</v>
      </c>
      <c r="U177" s="21"/>
      <c r="V177" s="21">
        <f>SUMIFS(AD:AD,AE:AE,AE177)</f>
        <v>25916103.719999999</v>
      </c>
      <c r="W177" s="21">
        <f t="shared" ref="W177:X177" si="32">IF(Y177=0,0,1)</f>
        <v>0</v>
      </c>
      <c r="X177" s="21">
        <f t="shared" si="32"/>
        <v>1</v>
      </c>
      <c r="Y177" s="21">
        <f>SUMIFS(Y:Y,AF:AF,AE177)</f>
        <v>0</v>
      </c>
      <c r="Z177" s="21">
        <f>SUMIFS(Z:Z,AF:AF,AE177)</f>
        <v>22861804.32</v>
      </c>
      <c r="AA177" s="22" t="s">
        <v>15</v>
      </c>
      <c r="AB177" s="43" t="s">
        <v>16</v>
      </c>
      <c r="AC177" s="181">
        <f t="shared" si="28"/>
        <v>1</v>
      </c>
      <c r="AD177" s="184"/>
      <c r="AE177" s="184">
        <v>1.4</v>
      </c>
      <c r="AF177" s="184"/>
      <c r="AG177" s="101" t="str">
        <f t="shared" si="29"/>
        <v/>
      </c>
      <c r="AH177" s="190">
        <v>1</v>
      </c>
      <c r="AI177" s="69">
        <f t="shared" si="30"/>
        <v>1</v>
      </c>
    </row>
    <row r="178" spans="1:35" s="69" customFormat="1" ht="39" hidden="1" x14ac:dyDescent="0.3">
      <c r="A178" s="130" t="s">
        <v>489</v>
      </c>
      <c r="B178" s="131" t="s">
        <v>392</v>
      </c>
      <c r="C178" s="132" t="s">
        <v>23</v>
      </c>
      <c r="D178" s="133">
        <v>20</v>
      </c>
      <c r="E178" s="75"/>
      <c r="F178" s="75"/>
      <c r="G178" s="75"/>
      <c r="H178" s="75" t="s">
        <v>15</v>
      </c>
      <c r="I178" s="75">
        <v>3115.13</v>
      </c>
      <c r="J178" s="75">
        <v>62302.6</v>
      </c>
      <c r="K178" s="91" t="s">
        <v>114</v>
      </c>
      <c r="L178" s="73"/>
      <c r="M178" s="46">
        <v>19.45</v>
      </c>
      <c r="N178" s="46">
        <v>0</v>
      </c>
      <c r="O178" s="46">
        <v>60589.279999999999</v>
      </c>
      <c r="P178" s="98"/>
      <c r="Q178" s="23" t="s">
        <v>1421</v>
      </c>
      <c r="R178" s="24" t="s">
        <v>392</v>
      </c>
      <c r="S178" s="25" t="s">
        <v>23</v>
      </c>
      <c r="T178" s="26">
        <v>20</v>
      </c>
      <c r="U178" s="26">
        <v>20</v>
      </c>
      <c r="V178" s="26">
        <f t="shared" ref="V178:V201" si="33">I178</f>
        <v>3115.13</v>
      </c>
      <c r="W178" s="127">
        <f t="shared" ref="W178:W201" si="34">AH178-M178</f>
        <v>0</v>
      </c>
      <c r="X178" s="127">
        <f t="shared" ref="X178:X241" si="35">W178+M178</f>
        <v>19.45</v>
      </c>
      <c r="Y178" s="127">
        <f t="shared" ref="Y178:Y201" si="36">Z178-O178</f>
        <v>0</v>
      </c>
      <c r="Z178" s="127">
        <f t="shared" si="27"/>
        <v>60589.279999999999</v>
      </c>
      <c r="AA178" s="33" t="s">
        <v>15</v>
      </c>
      <c r="AB178" s="36" t="s">
        <v>16</v>
      </c>
      <c r="AC178" s="181">
        <f t="shared" si="28"/>
        <v>20</v>
      </c>
      <c r="AD178" s="181">
        <f t="shared" ref="AD178:AD219" si="37">ROUND(V178*AC178,2)</f>
        <v>62302.6</v>
      </c>
      <c r="AE178" s="181">
        <v>1.4</v>
      </c>
      <c r="AF178" s="181">
        <v>1.4</v>
      </c>
      <c r="AG178" s="101" t="str">
        <f t="shared" si="29"/>
        <v/>
      </c>
      <c r="AH178" s="191">
        <v>19.45</v>
      </c>
      <c r="AI178" s="69">
        <f t="shared" si="30"/>
        <v>20</v>
      </c>
    </row>
    <row r="179" spans="1:35" s="69" customFormat="1" ht="39" hidden="1" x14ac:dyDescent="0.3">
      <c r="A179" s="130" t="s">
        <v>490</v>
      </c>
      <c r="B179" s="131" t="s">
        <v>116</v>
      </c>
      <c r="C179" s="132" t="s">
        <v>23</v>
      </c>
      <c r="D179" s="133">
        <v>354</v>
      </c>
      <c r="E179" s="75"/>
      <c r="F179" s="75"/>
      <c r="G179" s="75"/>
      <c r="H179" s="75" t="s">
        <v>15</v>
      </c>
      <c r="I179" s="75">
        <v>3321.13</v>
      </c>
      <c r="J179" s="75">
        <v>1175680.02</v>
      </c>
      <c r="K179" s="91" t="s">
        <v>117</v>
      </c>
      <c r="L179" s="73"/>
      <c r="M179" s="46">
        <v>326.60000000000002</v>
      </c>
      <c r="N179" s="46">
        <v>0</v>
      </c>
      <c r="O179" s="46">
        <v>1084681.06</v>
      </c>
      <c r="P179" s="98"/>
      <c r="Q179" s="23" t="s">
        <v>1426</v>
      </c>
      <c r="R179" s="24" t="s">
        <v>116</v>
      </c>
      <c r="S179" s="25" t="s">
        <v>23</v>
      </c>
      <c r="T179" s="26">
        <v>354</v>
      </c>
      <c r="U179" s="26">
        <v>354</v>
      </c>
      <c r="V179" s="26">
        <f t="shared" si="33"/>
        <v>3321.13</v>
      </c>
      <c r="W179" s="127">
        <f t="shared" si="34"/>
        <v>0</v>
      </c>
      <c r="X179" s="127">
        <f t="shared" si="35"/>
        <v>326.60000000000002</v>
      </c>
      <c r="Y179" s="127">
        <f t="shared" si="36"/>
        <v>0</v>
      </c>
      <c r="Z179" s="127">
        <f t="shared" si="27"/>
        <v>1084681.06</v>
      </c>
      <c r="AA179" s="33" t="s">
        <v>15</v>
      </c>
      <c r="AB179" s="36" t="s">
        <v>16</v>
      </c>
      <c r="AC179" s="181">
        <f t="shared" si="28"/>
        <v>354</v>
      </c>
      <c r="AD179" s="181">
        <f t="shared" si="37"/>
        <v>1175680.02</v>
      </c>
      <c r="AE179" s="181">
        <v>1.4</v>
      </c>
      <c r="AF179" s="181">
        <v>1.4</v>
      </c>
      <c r="AG179" s="101" t="str">
        <f t="shared" si="29"/>
        <v/>
      </c>
      <c r="AH179" s="191">
        <v>326.60000000000002</v>
      </c>
      <c r="AI179" s="69">
        <f t="shared" si="30"/>
        <v>354</v>
      </c>
    </row>
    <row r="180" spans="1:35" s="69" customFormat="1" ht="39" hidden="1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203"/>
      <c r="F180" s="203"/>
      <c r="G180" s="203"/>
      <c r="H180" s="203" t="s">
        <v>15</v>
      </c>
      <c r="I180" s="75">
        <v>3643.73</v>
      </c>
      <c r="J180" s="75">
        <v>0</v>
      </c>
      <c r="K180" s="91" t="s">
        <v>396</v>
      </c>
      <c r="L180" s="73"/>
      <c r="M180" s="46">
        <v>0</v>
      </c>
      <c r="N180" s="46">
        <v>0</v>
      </c>
      <c r="O180" s="46">
        <v>0</v>
      </c>
      <c r="P180" s="98"/>
      <c r="Q180" s="23" t="s">
        <v>1402</v>
      </c>
      <c r="R180" s="24" t="s">
        <v>395</v>
      </c>
      <c r="S180" s="25" t="s">
        <v>23</v>
      </c>
      <c r="T180" s="26">
        <v>690</v>
      </c>
      <c r="U180" s="26">
        <v>0</v>
      </c>
      <c r="V180" s="26">
        <f t="shared" si="33"/>
        <v>3643.73</v>
      </c>
      <c r="W180" s="127">
        <f t="shared" si="34"/>
        <v>0</v>
      </c>
      <c r="X180" s="127">
        <f t="shared" si="35"/>
        <v>0</v>
      </c>
      <c r="Y180" s="127">
        <f t="shared" si="36"/>
        <v>0</v>
      </c>
      <c r="Z180" s="127">
        <f t="shared" si="27"/>
        <v>0</v>
      </c>
      <c r="AA180" s="33" t="s">
        <v>15</v>
      </c>
      <c r="AB180" s="36" t="s">
        <v>16</v>
      </c>
      <c r="AC180" s="181">
        <f t="shared" si="28"/>
        <v>0</v>
      </c>
      <c r="AD180" s="181">
        <f t="shared" si="37"/>
        <v>0</v>
      </c>
      <c r="AE180" s="181">
        <v>1.4</v>
      </c>
      <c r="AF180" s="181">
        <v>1.4</v>
      </c>
      <c r="AG180" s="101" t="str">
        <f t="shared" si="29"/>
        <v/>
      </c>
      <c r="AH180" s="194">
        <v>0</v>
      </c>
      <c r="AI180" s="69">
        <f t="shared" si="30"/>
        <v>690</v>
      </c>
    </row>
    <row r="181" spans="1:35" s="69" customFormat="1" ht="33" hidden="1" customHeight="1" x14ac:dyDescent="0.3">
      <c r="A181" s="130" t="s">
        <v>492</v>
      </c>
      <c r="B181" s="131" t="s">
        <v>493</v>
      </c>
      <c r="C181" s="132" t="s">
        <v>23</v>
      </c>
      <c r="D181" s="133">
        <v>1065</v>
      </c>
      <c r="E181" s="203"/>
      <c r="F181" s="203"/>
      <c r="G181" s="203"/>
      <c r="H181" s="203">
        <v>1900.83</v>
      </c>
      <c r="I181" s="75">
        <v>200</v>
      </c>
      <c r="J181" s="75">
        <v>380166</v>
      </c>
      <c r="K181" s="91" t="s">
        <v>494</v>
      </c>
      <c r="L181" s="73"/>
      <c r="M181" s="46">
        <v>1815.71</v>
      </c>
      <c r="N181" s="46">
        <v>157500</v>
      </c>
      <c r="O181" s="46">
        <v>363142</v>
      </c>
      <c r="P181" s="98"/>
      <c r="Q181" s="23" t="s">
        <v>1373</v>
      </c>
      <c r="R181" s="24" t="s">
        <v>493</v>
      </c>
      <c r="S181" s="25" t="s">
        <v>23</v>
      </c>
      <c r="T181" s="26">
        <v>1065</v>
      </c>
      <c r="U181" s="26">
        <v>1900.83</v>
      </c>
      <c r="V181" s="26">
        <f t="shared" si="33"/>
        <v>200</v>
      </c>
      <c r="W181" s="128">
        <f>AH181-M181</f>
        <v>0</v>
      </c>
      <c r="X181" s="127">
        <f t="shared" si="35"/>
        <v>1815.71</v>
      </c>
      <c r="Y181" s="127">
        <f t="shared" si="36"/>
        <v>0</v>
      </c>
      <c r="Z181" s="127">
        <f t="shared" si="27"/>
        <v>363142</v>
      </c>
      <c r="AA181" s="33" t="s">
        <v>15</v>
      </c>
      <c r="AB181" s="36" t="s">
        <v>16</v>
      </c>
      <c r="AC181" s="181">
        <f t="shared" si="28"/>
        <v>1900.83</v>
      </c>
      <c r="AD181" s="181">
        <f t="shared" si="37"/>
        <v>380166</v>
      </c>
      <c r="AE181" s="181">
        <v>1.4</v>
      </c>
      <c r="AF181" s="181">
        <v>1.4</v>
      </c>
      <c r="AG181" s="101" t="str">
        <f t="shared" si="29"/>
        <v>超估</v>
      </c>
      <c r="AH181" s="191">
        <v>1815.71</v>
      </c>
      <c r="AI181" s="69">
        <f t="shared" si="30"/>
        <v>1065</v>
      </c>
    </row>
    <row r="182" spans="1:35" s="69" customFormat="1" ht="57.75" hidden="1" x14ac:dyDescent="0.3">
      <c r="A182" s="130" t="s">
        <v>495</v>
      </c>
      <c r="B182" s="131" t="s">
        <v>405</v>
      </c>
      <c r="C182" s="132" t="s">
        <v>50</v>
      </c>
      <c r="D182" s="133">
        <v>1229</v>
      </c>
      <c r="E182" s="203"/>
      <c r="F182" s="203"/>
      <c r="G182" s="203"/>
      <c r="H182" s="203">
        <v>1437.49</v>
      </c>
      <c r="I182" s="75">
        <v>982.98</v>
      </c>
      <c r="J182" s="75">
        <v>1413023.92</v>
      </c>
      <c r="K182" s="91" t="s">
        <v>406</v>
      </c>
      <c r="L182" s="73"/>
      <c r="M182" s="46">
        <v>1349</v>
      </c>
      <c r="N182" s="46">
        <v>117957.60000000009</v>
      </c>
      <c r="O182" s="46">
        <v>1326040.02</v>
      </c>
      <c r="P182" s="98"/>
      <c r="Q182" s="23" t="s">
        <v>1393</v>
      </c>
      <c r="R182" s="24" t="s">
        <v>405</v>
      </c>
      <c r="S182" s="25" t="s">
        <v>50</v>
      </c>
      <c r="T182" s="26">
        <v>1229</v>
      </c>
      <c r="U182" s="26">
        <v>1437.49</v>
      </c>
      <c r="V182" s="26">
        <f t="shared" si="33"/>
        <v>982.98</v>
      </c>
      <c r="W182" s="128">
        <f t="shared" si="34"/>
        <v>0</v>
      </c>
      <c r="X182" s="127">
        <f t="shared" si="35"/>
        <v>1349</v>
      </c>
      <c r="Y182" s="127">
        <f t="shared" si="36"/>
        <v>0</v>
      </c>
      <c r="Z182" s="127">
        <f t="shared" si="27"/>
        <v>1326040.02</v>
      </c>
      <c r="AA182" s="33" t="s">
        <v>15</v>
      </c>
      <c r="AB182" s="36" t="s">
        <v>16</v>
      </c>
      <c r="AC182" s="181">
        <f t="shared" si="28"/>
        <v>1437.49</v>
      </c>
      <c r="AD182" s="181">
        <f t="shared" si="37"/>
        <v>1413023.92</v>
      </c>
      <c r="AE182" s="181">
        <v>1.4</v>
      </c>
      <c r="AF182" s="181">
        <v>1.4</v>
      </c>
      <c r="AG182" s="101" t="str">
        <f t="shared" si="29"/>
        <v>超估</v>
      </c>
      <c r="AH182" s="191">
        <v>1349</v>
      </c>
      <c r="AI182" s="69">
        <f t="shared" si="30"/>
        <v>1229</v>
      </c>
    </row>
    <row r="183" spans="1:35" s="69" customFormat="1" ht="41.25" hidden="1" x14ac:dyDescent="0.3">
      <c r="A183" s="130" t="s">
        <v>496</v>
      </c>
      <c r="B183" s="131" t="s">
        <v>408</v>
      </c>
      <c r="C183" s="132" t="s">
        <v>50</v>
      </c>
      <c r="D183" s="133">
        <v>285</v>
      </c>
      <c r="E183" s="203"/>
      <c r="F183" s="203"/>
      <c r="G183" s="203"/>
      <c r="H183" s="203">
        <v>685.45</v>
      </c>
      <c r="I183" s="75">
        <v>804.79</v>
      </c>
      <c r="J183" s="75">
        <v>551643.31000000006</v>
      </c>
      <c r="K183" s="91" t="s">
        <v>409</v>
      </c>
      <c r="L183" s="73"/>
      <c r="M183" s="46">
        <v>551</v>
      </c>
      <c r="N183" s="46">
        <v>214074.13999999998</v>
      </c>
      <c r="O183" s="46">
        <v>443439.29</v>
      </c>
      <c r="P183" s="98"/>
      <c r="Q183" s="23" t="s">
        <v>1403</v>
      </c>
      <c r="R183" s="24" t="s">
        <v>408</v>
      </c>
      <c r="S183" s="25" t="s">
        <v>50</v>
      </c>
      <c r="T183" s="26">
        <v>285</v>
      </c>
      <c r="U183" s="26">
        <v>685.45</v>
      </c>
      <c r="V183" s="26">
        <f t="shared" si="33"/>
        <v>804.79</v>
      </c>
      <c r="W183" s="243">
        <f t="shared" si="34"/>
        <v>0</v>
      </c>
      <c r="X183" s="209">
        <f t="shared" si="35"/>
        <v>551</v>
      </c>
      <c r="Y183" s="127">
        <f t="shared" si="36"/>
        <v>0</v>
      </c>
      <c r="Z183" s="127">
        <f t="shared" si="27"/>
        <v>443439.29</v>
      </c>
      <c r="AA183" s="33" t="s">
        <v>15</v>
      </c>
      <c r="AB183" s="36" t="s">
        <v>16</v>
      </c>
      <c r="AC183" s="181">
        <f t="shared" si="28"/>
        <v>685.45</v>
      </c>
      <c r="AD183" s="181">
        <f t="shared" si="37"/>
        <v>551643.31000000006</v>
      </c>
      <c r="AE183" s="181">
        <v>1.4</v>
      </c>
      <c r="AF183" s="181">
        <v>1.4</v>
      </c>
      <c r="AG183" s="101" t="str">
        <f t="shared" si="29"/>
        <v>超估</v>
      </c>
      <c r="AH183" s="191">
        <v>551</v>
      </c>
      <c r="AI183" s="69">
        <f t="shared" si="30"/>
        <v>285</v>
      </c>
    </row>
    <row r="184" spans="1:35" s="69" customFormat="1" ht="33" hidden="1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203"/>
      <c r="F184" s="203"/>
      <c r="G184" s="203"/>
      <c r="H184" s="203">
        <v>18482.54</v>
      </c>
      <c r="I184" s="75">
        <v>36.4</v>
      </c>
      <c r="J184" s="75">
        <v>672764.46</v>
      </c>
      <c r="K184" s="91" t="s">
        <v>111</v>
      </c>
      <c r="L184" s="73"/>
      <c r="M184" s="46">
        <v>13110.94</v>
      </c>
      <c r="N184" s="46">
        <v>0</v>
      </c>
      <c r="O184" s="46">
        <v>477238.22</v>
      </c>
      <c r="P184" s="98"/>
      <c r="Q184" s="23" t="s">
        <v>1427</v>
      </c>
      <c r="R184" s="24" t="s">
        <v>109</v>
      </c>
      <c r="S184" s="25" t="s">
        <v>110</v>
      </c>
      <c r="T184" s="26">
        <v>13716</v>
      </c>
      <c r="U184" s="26">
        <v>18482.54</v>
      </c>
      <c r="V184" s="26">
        <f t="shared" si="33"/>
        <v>36.4</v>
      </c>
      <c r="W184" s="128">
        <f t="shared" si="34"/>
        <v>0</v>
      </c>
      <c r="X184" s="127">
        <f t="shared" si="35"/>
        <v>13110.94</v>
      </c>
      <c r="Y184" s="127">
        <f t="shared" si="36"/>
        <v>0</v>
      </c>
      <c r="Z184" s="127">
        <f t="shared" si="27"/>
        <v>477238.22</v>
      </c>
      <c r="AA184" s="33" t="s">
        <v>15</v>
      </c>
      <c r="AB184" s="36" t="s">
        <v>16</v>
      </c>
      <c r="AC184" s="181">
        <f t="shared" si="28"/>
        <v>18482.54</v>
      </c>
      <c r="AD184" s="181">
        <f t="shared" si="37"/>
        <v>672764.46</v>
      </c>
      <c r="AE184" s="181">
        <v>1.4</v>
      </c>
      <c r="AF184" s="181">
        <v>1.4</v>
      </c>
      <c r="AG184" s="101" t="str">
        <f t="shared" si="29"/>
        <v/>
      </c>
      <c r="AH184" s="191">
        <v>13110.94</v>
      </c>
      <c r="AI184" s="69">
        <f t="shared" si="30"/>
        <v>13716</v>
      </c>
    </row>
    <row r="185" spans="1:35" s="69" customFormat="1" ht="39" hidden="1" x14ac:dyDescent="0.3">
      <c r="A185" s="130" t="s">
        <v>498</v>
      </c>
      <c r="B185" s="131" t="s">
        <v>399</v>
      </c>
      <c r="C185" s="132" t="s">
        <v>110</v>
      </c>
      <c r="D185" s="133">
        <v>13810</v>
      </c>
      <c r="E185" s="203"/>
      <c r="F185" s="203"/>
      <c r="G185" s="203"/>
      <c r="H185" s="203">
        <v>36577.19</v>
      </c>
      <c r="I185" s="75">
        <v>38.71</v>
      </c>
      <c r="J185" s="75">
        <v>1415903.02</v>
      </c>
      <c r="K185" s="91" t="s">
        <v>400</v>
      </c>
      <c r="L185" s="73"/>
      <c r="M185" s="46">
        <v>28173</v>
      </c>
      <c r="N185" s="46">
        <v>555991.7300000001</v>
      </c>
      <c r="O185" s="46">
        <v>1090576.83</v>
      </c>
      <c r="P185" s="98"/>
      <c r="Q185" s="23" t="s">
        <v>1428</v>
      </c>
      <c r="R185" s="24" t="s">
        <v>399</v>
      </c>
      <c r="S185" s="25" t="s">
        <v>110</v>
      </c>
      <c r="T185" s="26">
        <v>13810</v>
      </c>
      <c r="U185" s="26">
        <v>36577.19</v>
      </c>
      <c r="V185" s="26">
        <f t="shared" si="33"/>
        <v>38.71</v>
      </c>
      <c r="W185" s="128">
        <f t="shared" si="34"/>
        <v>0</v>
      </c>
      <c r="X185" s="127">
        <f t="shared" si="35"/>
        <v>28173</v>
      </c>
      <c r="Y185" s="127">
        <f t="shared" si="36"/>
        <v>0</v>
      </c>
      <c r="Z185" s="127">
        <f t="shared" si="27"/>
        <v>1090576.83</v>
      </c>
      <c r="AA185" s="33" t="s">
        <v>15</v>
      </c>
      <c r="AB185" s="36" t="s">
        <v>16</v>
      </c>
      <c r="AC185" s="181">
        <f t="shared" si="28"/>
        <v>36577.19</v>
      </c>
      <c r="AD185" s="181">
        <f t="shared" si="37"/>
        <v>1415903.02</v>
      </c>
      <c r="AE185" s="181">
        <v>1.4</v>
      </c>
      <c r="AF185" s="181">
        <v>1.4</v>
      </c>
      <c r="AG185" s="101" t="str">
        <f t="shared" si="29"/>
        <v>超估</v>
      </c>
      <c r="AH185" s="191">
        <v>28173</v>
      </c>
      <c r="AI185" s="69">
        <f t="shared" si="30"/>
        <v>13810</v>
      </c>
    </row>
    <row r="186" spans="1:35" s="69" customFormat="1" ht="33" hidden="1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203"/>
      <c r="F186" s="203">
        <v>754.47</v>
      </c>
      <c r="G186" s="203"/>
      <c r="H186" s="203">
        <v>762.55</v>
      </c>
      <c r="I186" s="75">
        <v>2510.79</v>
      </c>
      <c r="J186" s="75">
        <v>1914602.91</v>
      </c>
      <c r="K186" s="91" t="s">
        <v>501</v>
      </c>
      <c r="L186" s="73"/>
      <c r="M186" s="46">
        <v>754.3</v>
      </c>
      <c r="N186" s="46">
        <v>0</v>
      </c>
      <c r="O186" s="46">
        <v>1893888.9</v>
      </c>
      <c r="P186" s="98"/>
      <c r="Q186" s="23" t="s">
        <v>1387</v>
      </c>
      <c r="R186" s="24" t="s">
        <v>500</v>
      </c>
      <c r="S186" s="25" t="s">
        <v>50</v>
      </c>
      <c r="T186" s="26">
        <v>699</v>
      </c>
      <c r="U186" s="26">
        <v>762.55</v>
      </c>
      <c r="V186" s="26">
        <f t="shared" si="33"/>
        <v>2510.79</v>
      </c>
      <c r="W186" s="128">
        <f t="shared" si="34"/>
        <v>0</v>
      </c>
      <c r="X186" s="127">
        <f t="shared" si="35"/>
        <v>754.3</v>
      </c>
      <c r="Y186" s="127">
        <f t="shared" si="36"/>
        <v>0</v>
      </c>
      <c r="Z186" s="127">
        <f t="shared" si="27"/>
        <v>1893888.9</v>
      </c>
      <c r="AA186" s="27"/>
      <c r="AB186" s="36" t="s">
        <v>16</v>
      </c>
      <c r="AC186" s="181">
        <f t="shared" si="28"/>
        <v>762.55</v>
      </c>
      <c r="AD186" s="181">
        <f t="shared" si="37"/>
        <v>1914602.91</v>
      </c>
      <c r="AE186" s="181">
        <v>1.4</v>
      </c>
      <c r="AF186" s="181">
        <v>1.4</v>
      </c>
      <c r="AG186" s="101" t="str">
        <f t="shared" si="29"/>
        <v/>
      </c>
      <c r="AH186" s="191">
        <v>754.3</v>
      </c>
      <c r="AI186" s="69">
        <f t="shared" si="30"/>
        <v>754.47</v>
      </c>
    </row>
    <row r="187" spans="1:35" s="69" customFormat="1" ht="39" hidden="1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203"/>
      <c r="F187" s="203"/>
      <c r="G187" s="203"/>
      <c r="H187" s="203">
        <v>318.56</v>
      </c>
      <c r="I187" s="75">
        <v>3298.06</v>
      </c>
      <c r="J187" s="75">
        <v>1050629.99</v>
      </c>
      <c r="K187" s="91" t="s">
        <v>504</v>
      </c>
      <c r="L187" s="73"/>
      <c r="M187" s="46">
        <v>304.60000000000002</v>
      </c>
      <c r="N187" s="46">
        <v>97622.579999999958</v>
      </c>
      <c r="O187" s="46">
        <v>1004589.08</v>
      </c>
      <c r="P187" s="98"/>
      <c r="Q187" s="23" t="s">
        <v>1405</v>
      </c>
      <c r="R187" s="24" t="s">
        <v>503</v>
      </c>
      <c r="S187" s="25" t="s">
        <v>103</v>
      </c>
      <c r="T187" s="26">
        <v>275</v>
      </c>
      <c r="U187" s="26">
        <v>318.56</v>
      </c>
      <c r="V187" s="26">
        <f t="shared" si="33"/>
        <v>3298.06</v>
      </c>
      <c r="W187" s="128">
        <f t="shared" si="34"/>
        <v>0</v>
      </c>
      <c r="X187" s="127">
        <f t="shared" si="35"/>
        <v>304.60000000000002</v>
      </c>
      <c r="Y187" s="127">
        <f t="shared" si="36"/>
        <v>0</v>
      </c>
      <c r="Z187" s="127">
        <f t="shared" si="27"/>
        <v>1004589.08</v>
      </c>
      <c r="AA187" s="33"/>
      <c r="AB187" s="36" t="s">
        <v>16</v>
      </c>
      <c r="AC187" s="181">
        <f t="shared" si="28"/>
        <v>318.56</v>
      </c>
      <c r="AD187" s="181">
        <f t="shared" si="37"/>
        <v>1050629.99</v>
      </c>
      <c r="AE187" s="181">
        <v>1.4</v>
      </c>
      <c r="AF187" s="181">
        <v>1.4</v>
      </c>
      <c r="AG187" s="101" t="str">
        <f t="shared" si="29"/>
        <v>超估</v>
      </c>
      <c r="AH187" s="191">
        <v>304.60000000000002</v>
      </c>
      <c r="AI187" s="69">
        <f t="shared" si="30"/>
        <v>275</v>
      </c>
    </row>
    <row r="188" spans="1:35" s="69" customFormat="1" ht="39" hidden="1" x14ac:dyDescent="0.3">
      <c r="A188" s="130" t="s">
        <v>505</v>
      </c>
      <c r="B188" s="131" t="s">
        <v>506</v>
      </c>
      <c r="C188" s="132" t="s">
        <v>50</v>
      </c>
      <c r="D188" s="133">
        <v>203</v>
      </c>
      <c r="E188" s="75"/>
      <c r="F188" s="75"/>
      <c r="G188" s="75"/>
      <c r="H188" s="75">
        <v>418.05</v>
      </c>
      <c r="I188" s="75">
        <v>2952.19</v>
      </c>
      <c r="J188" s="75">
        <v>1234163.03</v>
      </c>
      <c r="K188" s="91" t="s">
        <v>507</v>
      </c>
      <c r="L188" s="73"/>
      <c r="M188" s="46">
        <v>392.5</v>
      </c>
      <c r="N188" s="46">
        <v>559440.01000000013</v>
      </c>
      <c r="O188" s="46">
        <v>1158734.58</v>
      </c>
      <c r="P188" s="98"/>
      <c r="Q188" s="23" t="s">
        <v>1406</v>
      </c>
      <c r="R188" s="24" t="s">
        <v>506</v>
      </c>
      <c r="S188" s="25" t="s">
        <v>50</v>
      </c>
      <c r="T188" s="26">
        <v>203</v>
      </c>
      <c r="U188" s="26">
        <v>418.05</v>
      </c>
      <c r="V188" s="26">
        <f t="shared" si="33"/>
        <v>2952.19</v>
      </c>
      <c r="W188" s="128">
        <f t="shared" si="34"/>
        <v>0</v>
      </c>
      <c r="X188" s="127">
        <f t="shared" si="35"/>
        <v>392.5</v>
      </c>
      <c r="Y188" s="127">
        <f t="shared" si="36"/>
        <v>0</v>
      </c>
      <c r="Z188" s="127">
        <f t="shared" si="27"/>
        <v>1158734.58</v>
      </c>
      <c r="AA188" s="33" t="s">
        <v>15</v>
      </c>
      <c r="AB188" s="36" t="s">
        <v>16</v>
      </c>
      <c r="AC188" s="181">
        <f t="shared" si="28"/>
        <v>418.05</v>
      </c>
      <c r="AD188" s="181">
        <f t="shared" si="37"/>
        <v>1234163.03</v>
      </c>
      <c r="AE188" s="181">
        <v>1.4</v>
      </c>
      <c r="AF188" s="181">
        <v>1.4</v>
      </c>
      <c r="AG188" s="101" t="str">
        <f t="shared" si="29"/>
        <v>超估</v>
      </c>
      <c r="AH188" s="191">
        <v>392.5</v>
      </c>
      <c r="AI188" s="69">
        <f t="shared" si="30"/>
        <v>203</v>
      </c>
    </row>
    <row r="189" spans="1:35" s="69" customFormat="1" ht="33" hidden="1" x14ac:dyDescent="0.3">
      <c r="A189" s="130" t="s">
        <v>508</v>
      </c>
      <c r="B189" s="131" t="s">
        <v>509</v>
      </c>
      <c r="C189" s="132" t="s">
        <v>50</v>
      </c>
      <c r="D189" s="133">
        <v>405</v>
      </c>
      <c r="E189" s="75"/>
      <c r="F189" s="75"/>
      <c r="G189" s="75"/>
      <c r="H189" s="75" t="s">
        <v>15</v>
      </c>
      <c r="I189" s="75">
        <v>1454.57</v>
      </c>
      <c r="J189" s="75">
        <v>589100.85</v>
      </c>
      <c r="K189" s="91" t="s">
        <v>510</v>
      </c>
      <c r="L189" s="73"/>
      <c r="M189" s="46">
        <v>405</v>
      </c>
      <c r="N189" s="46">
        <v>0</v>
      </c>
      <c r="O189" s="46">
        <v>589100.85</v>
      </c>
      <c r="P189" s="98"/>
      <c r="Q189" s="23" t="s">
        <v>1414</v>
      </c>
      <c r="R189" s="24" t="s">
        <v>509</v>
      </c>
      <c r="S189" s="25" t="s">
        <v>50</v>
      </c>
      <c r="T189" s="26">
        <v>405</v>
      </c>
      <c r="U189" s="26">
        <v>405</v>
      </c>
      <c r="V189" s="26">
        <f t="shared" si="33"/>
        <v>1454.57</v>
      </c>
      <c r="W189" s="127">
        <f t="shared" si="34"/>
        <v>0</v>
      </c>
      <c r="X189" s="127">
        <f t="shared" si="35"/>
        <v>405</v>
      </c>
      <c r="Y189" s="127">
        <f t="shared" si="36"/>
        <v>0</v>
      </c>
      <c r="Z189" s="127">
        <f t="shared" si="27"/>
        <v>589100.85</v>
      </c>
      <c r="AA189" s="33" t="s">
        <v>15</v>
      </c>
      <c r="AB189" s="36" t="s">
        <v>16</v>
      </c>
      <c r="AC189" s="181">
        <f t="shared" si="28"/>
        <v>405</v>
      </c>
      <c r="AD189" s="181">
        <f t="shared" si="37"/>
        <v>589100.85</v>
      </c>
      <c r="AE189" s="181">
        <v>1.4</v>
      </c>
      <c r="AF189" s="181">
        <v>1.4</v>
      </c>
      <c r="AG189" s="101" t="str">
        <f t="shared" si="29"/>
        <v/>
      </c>
      <c r="AH189" s="194">
        <v>405</v>
      </c>
      <c r="AI189" s="69">
        <f t="shared" si="30"/>
        <v>405</v>
      </c>
    </row>
    <row r="190" spans="1:35" s="69" customFormat="1" ht="58.5" hidden="1" x14ac:dyDescent="0.3">
      <c r="A190" s="130" t="s">
        <v>511</v>
      </c>
      <c r="B190" s="131" t="s">
        <v>512</v>
      </c>
      <c r="C190" s="132" t="s">
        <v>513</v>
      </c>
      <c r="D190" s="133">
        <v>372</v>
      </c>
      <c r="E190" s="75"/>
      <c r="F190" s="75"/>
      <c r="G190" s="75"/>
      <c r="H190" s="75" t="s">
        <v>15</v>
      </c>
      <c r="I190" s="75">
        <v>435</v>
      </c>
      <c r="J190" s="75">
        <v>161820</v>
      </c>
      <c r="K190" s="91" t="s">
        <v>514</v>
      </c>
      <c r="L190" s="73"/>
      <c r="M190" s="46">
        <v>292</v>
      </c>
      <c r="N190" s="46">
        <v>0</v>
      </c>
      <c r="O190" s="46">
        <v>127020</v>
      </c>
      <c r="P190" s="98"/>
      <c r="Q190" s="23" t="s">
        <v>1429</v>
      </c>
      <c r="R190" s="24" t="s">
        <v>512</v>
      </c>
      <c r="S190" s="25" t="s">
        <v>513</v>
      </c>
      <c r="T190" s="26">
        <v>372</v>
      </c>
      <c r="U190" s="26">
        <v>372</v>
      </c>
      <c r="V190" s="26">
        <f t="shared" si="33"/>
        <v>435</v>
      </c>
      <c r="W190" s="127">
        <f t="shared" si="34"/>
        <v>0</v>
      </c>
      <c r="X190" s="127">
        <f t="shared" si="35"/>
        <v>292</v>
      </c>
      <c r="Y190" s="127">
        <f t="shared" si="36"/>
        <v>0</v>
      </c>
      <c r="Z190" s="127">
        <f t="shared" si="27"/>
        <v>127020</v>
      </c>
      <c r="AA190" s="33" t="s">
        <v>15</v>
      </c>
      <c r="AB190" s="36" t="s">
        <v>16</v>
      </c>
      <c r="AC190" s="181">
        <f t="shared" si="28"/>
        <v>372</v>
      </c>
      <c r="AD190" s="181">
        <f t="shared" si="37"/>
        <v>161820</v>
      </c>
      <c r="AE190" s="181">
        <v>1.4</v>
      </c>
      <c r="AF190" s="181">
        <v>1.4</v>
      </c>
      <c r="AG190" s="101" t="str">
        <f t="shared" si="29"/>
        <v/>
      </c>
      <c r="AH190" s="194">
        <v>292</v>
      </c>
      <c r="AI190" s="69">
        <f t="shared" si="30"/>
        <v>372</v>
      </c>
    </row>
    <row r="191" spans="1:35" s="69" customFormat="1" ht="33" hidden="1" x14ac:dyDescent="0.3">
      <c r="A191" s="130" t="s">
        <v>515</v>
      </c>
      <c r="B191" s="131" t="s">
        <v>516</v>
      </c>
      <c r="C191" s="132" t="s">
        <v>50</v>
      </c>
      <c r="D191" s="133">
        <v>1984</v>
      </c>
      <c r="E191" s="75"/>
      <c r="F191" s="75"/>
      <c r="G191" s="75"/>
      <c r="H191" s="75" t="s">
        <v>15</v>
      </c>
      <c r="I191" s="75">
        <v>885.8</v>
      </c>
      <c r="J191" s="75">
        <v>1757427.2</v>
      </c>
      <c r="K191" s="91" t="s">
        <v>517</v>
      </c>
      <c r="L191" s="73"/>
      <c r="M191" s="46">
        <v>1796.5</v>
      </c>
      <c r="N191" s="46">
        <v>0</v>
      </c>
      <c r="O191" s="46">
        <v>1591339.7</v>
      </c>
      <c r="P191" s="98"/>
      <c r="Q191" s="23" t="s">
        <v>1430</v>
      </c>
      <c r="R191" s="24" t="s">
        <v>516</v>
      </c>
      <c r="S191" s="25" t="s">
        <v>50</v>
      </c>
      <c r="T191" s="26">
        <v>1984</v>
      </c>
      <c r="U191" s="26">
        <v>1984</v>
      </c>
      <c r="V191" s="26">
        <f t="shared" si="33"/>
        <v>885.8</v>
      </c>
      <c r="W191" s="127">
        <f t="shared" si="34"/>
        <v>0</v>
      </c>
      <c r="X191" s="127">
        <f t="shared" si="35"/>
        <v>1796.5</v>
      </c>
      <c r="Y191" s="127">
        <f t="shared" si="36"/>
        <v>0</v>
      </c>
      <c r="Z191" s="127">
        <f t="shared" si="27"/>
        <v>1591339.7</v>
      </c>
      <c r="AA191" s="33" t="s">
        <v>15</v>
      </c>
      <c r="AB191" s="36" t="s">
        <v>16</v>
      </c>
      <c r="AC191" s="181">
        <f t="shared" si="28"/>
        <v>1984</v>
      </c>
      <c r="AD191" s="181">
        <f t="shared" si="37"/>
        <v>1757427.2</v>
      </c>
      <c r="AE191" s="181">
        <v>1.4</v>
      </c>
      <c r="AF191" s="181">
        <v>1.4</v>
      </c>
      <c r="AG191" s="101" t="str">
        <f t="shared" si="29"/>
        <v/>
      </c>
      <c r="AH191" s="190">
        <v>1796.5</v>
      </c>
      <c r="AI191" s="69">
        <f t="shared" si="30"/>
        <v>1984</v>
      </c>
    </row>
    <row r="192" spans="1:35" s="69" customFormat="1" ht="33" hidden="1" x14ac:dyDescent="0.3">
      <c r="A192" s="130" t="s">
        <v>518</v>
      </c>
      <c r="B192" s="131" t="s">
        <v>189</v>
      </c>
      <c r="C192" s="132" t="s">
        <v>30</v>
      </c>
      <c r="D192" s="133">
        <v>45</v>
      </c>
      <c r="E192" s="75"/>
      <c r="F192" s="75"/>
      <c r="G192" s="75"/>
      <c r="H192" s="75" t="s">
        <v>15</v>
      </c>
      <c r="I192" s="75">
        <v>138.84</v>
      </c>
      <c r="J192" s="75">
        <v>6247.8</v>
      </c>
      <c r="K192" s="91" t="s">
        <v>190</v>
      </c>
      <c r="L192" s="73"/>
      <c r="M192" s="46">
        <v>36.96</v>
      </c>
      <c r="N192" s="46">
        <v>0</v>
      </c>
      <c r="O192" s="46">
        <v>5131.53</v>
      </c>
      <c r="P192" s="98"/>
      <c r="Q192" s="23" t="s">
        <v>1431</v>
      </c>
      <c r="R192" s="24" t="s">
        <v>189</v>
      </c>
      <c r="S192" s="25" t="s">
        <v>30</v>
      </c>
      <c r="T192" s="26">
        <v>45</v>
      </c>
      <c r="U192" s="26">
        <v>45</v>
      </c>
      <c r="V192" s="26">
        <f t="shared" si="33"/>
        <v>138.84</v>
      </c>
      <c r="W192" s="127">
        <f t="shared" si="34"/>
        <v>0</v>
      </c>
      <c r="X192" s="127">
        <f t="shared" si="35"/>
        <v>36.96</v>
      </c>
      <c r="Y192" s="127">
        <f t="shared" si="36"/>
        <v>0</v>
      </c>
      <c r="Z192" s="127">
        <f t="shared" si="27"/>
        <v>5131.53</v>
      </c>
      <c r="AA192" s="33" t="s">
        <v>15</v>
      </c>
      <c r="AB192" s="36" t="s">
        <v>16</v>
      </c>
      <c r="AC192" s="181">
        <f t="shared" si="28"/>
        <v>45</v>
      </c>
      <c r="AD192" s="181">
        <f t="shared" si="37"/>
        <v>6247.8</v>
      </c>
      <c r="AE192" s="181">
        <v>1.4</v>
      </c>
      <c r="AF192" s="181">
        <v>1.4</v>
      </c>
      <c r="AG192" s="101" t="str">
        <f t="shared" si="29"/>
        <v/>
      </c>
      <c r="AH192" s="194">
        <v>36.96</v>
      </c>
      <c r="AI192" s="69">
        <f t="shared" si="30"/>
        <v>45</v>
      </c>
    </row>
    <row r="193" spans="1:38" s="69" customFormat="1" ht="33" hidden="1" x14ac:dyDescent="0.3">
      <c r="A193" s="130" t="s">
        <v>519</v>
      </c>
      <c r="B193" s="131" t="s">
        <v>520</v>
      </c>
      <c r="C193" s="132" t="s">
        <v>30</v>
      </c>
      <c r="D193" s="133">
        <v>62</v>
      </c>
      <c r="E193" s="75"/>
      <c r="F193" s="75"/>
      <c r="G193" s="75"/>
      <c r="H193" s="76" t="s">
        <v>15</v>
      </c>
      <c r="I193" s="75">
        <v>326.3</v>
      </c>
      <c r="J193" s="75">
        <v>20230.599999999999</v>
      </c>
      <c r="K193" s="91" t="s">
        <v>521</v>
      </c>
      <c r="L193" s="73"/>
      <c r="M193" s="46">
        <v>59</v>
      </c>
      <c r="N193" s="46">
        <v>0</v>
      </c>
      <c r="O193" s="46">
        <v>19251.7</v>
      </c>
      <c r="P193" s="98"/>
      <c r="Q193" s="23" t="s">
        <v>1395</v>
      </c>
      <c r="R193" s="24" t="s">
        <v>520</v>
      </c>
      <c r="S193" s="25" t="s">
        <v>30</v>
      </c>
      <c r="T193" s="26">
        <v>62</v>
      </c>
      <c r="U193" s="26">
        <v>62</v>
      </c>
      <c r="V193" s="26">
        <f t="shared" si="33"/>
        <v>326.3</v>
      </c>
      <c r="W193" s="127">
        <f t="shared" si="34"/>
        <v>0</v>
      </c>
      <c r="X193" s="127">
        <f t="shared" si="35"/>
        <v>59</v>
      </c>
      <c r="Y193" s="127">
        <f t="shared" si="36"/>
        <v>0</v>
      </c>
      <c r="Z193" s="127">
        <f t="shared" si="27"/>
        <v>19251.7</v>
      </c>
      <c r="AA193" s="33" t="s">
        <v>15</v>
      </c>
      <c r="AB193" s="36" t="s">
        <v>16</v>
      </c>
      <c r="AC193" s="181">
        <f t="shared" si="28"/>
        <v>62</v>
      </c>
      <c r="AD193" s="181">
        <f t="shared" si="37"/>
        <v>20230.599999999999</v>
      </c>
      <c r="AE193" s="181">
        <v>1.4</v>
      </c>
      <c r="AF193" s="181">
        <v>1.4</v>
      </c>
      <c r="AG193" s="101" t="str">
        <f t="shared" si="29"/>
        <v/>
      </c>
      <c r="AH193" s="194">
        <v>59</v>
      </c>
      <c r="AI193" s="69">
        <f t="shared" si="30"/>
        <v>62</v>
      </c>
    </row>
    <row r="194" spans="1:38" s="69" customFormat="1" ht="39" hidden="1" x14ac:dyDescent="0.3">
      <c r="A194" s="130" t="s">
        <v>522</v>
      </c>
      <c r="B194" s="131" t="s">
        <v>424</v>
      </c>
      <c r="C194" s="132" t="s">
        <v>50</v>
      </c>
      <c r="D194" s="133">
        <v>275</v>
      </c>
      <c r="E194" s="75"/>
      <c r="F194" s="75"/>
      <c r="G194" s="161"/>
      <c r="H194" s="158">
        <v>2016.9</v>
      </c>
      <c r="I194" s="166">
        <v>692.16</v>
      </c>
      <c r="J194" s="75">
        <v>1396017.5</v>
      </c>
      <c r="K194" s="91" t="s">
        <v>425</v>
      </c>
      <c r="L194" s="73"/>
      <c r="M194" s="46">
        <v>275</v>
      </c>
      <c r="N194" s="46">
        <v>0</v>
      </c>
      <c r="O194" s="46">
        <v>190344</v>
      </c>
      <c r="P194" s="98"/>
      <c r="Q194" s="23" t="s">
        <v>1432</v>
      </c>
      <c r="R194" s="24" t="s">
        <v>424</v>
      </c>
      <c r="S194" s="25" t="s">
        <v>50</v>
      </c>
      <c r="T194" s="26">
        <v>275</v>
      </c>
      <c r="U194" s="26">
        <v>2016.9</v>
      </c>
      <c r="V194" s="26">
        <f t="shared" si="33"/>
        <v>692.16</v>
      </c>
      <c r="W194" s="128">
        <f t="shared" si="34"/>
        <v>0</v>
      </c>
      <c r="X194" s="127">
        <f t="shared" si="35"/>
        <v>275</v>
      </c>
      <c r="Y194" s="127">
        <f t="shared" si="36"/>
        <v>0</v>
      </c>
      <c r="Z194" s="127">
        <f t="shared" si="27"/>
        <v>190344</v>
      </c>
      <c r="AA194" s="33" t="s">
        <v>15</v>
      </c>
      <c r="AB194" s="36" t="s">
        <v>16</v>
      </c>
      <c r="AC194" s="181">
        <f t="shared" si="28"/>
        <v>2016.9</v>
      </c>
      <c r="AD194" s="181">
        <f t="shared" si="37"/>
        <v>1396017.5</v>
      </c>
      <c r="AE194" s="181">
        <v>1.4</v>
      </c>
      <c r="AF194" s="181">
        <v>1.4</v>
      </c>
      <c r="AG194" s="101" t="str">
        <f t="shared" si="29"/>
        <v/>
      </c>
      <c r="AH194" s="191">
        <v>275</v>
      </c>
      <c r="AI194" s="69">
        <f t="shared" si="30"/>
        <v>275</v>
      </c>
    </row>
    <row r="195" spans="1:38" s="69" customFormat="1" ht="41.25" hidden="1" x14ac:dyDescent="0.3">
      <c r="A195" s="130" t="s">
        <v>523</v>
      </c>
      <c r="B195" s="131" t="s">
        <v>524</v>
      </c>
      <c r="C195" s="132" t="s">
        <v>30</v>
      </c>
      <c r="D195" s="133">
        <v>429</v>
      </c>
      <c r="E195" s="75"/>
      <c r="F195" s="75"/>
      <c r="G195" s="161"/>
      <c r="H195" s="158" t="s">
        <v>15</v>
      </c>
      <c r="I195" s="166">
        <v>1707.13</v>
      </c>
      <c r="J195" s="75">
        <v>0</v>
      </c>
      <c r="K195" s="91" t="s">
        <v>525</v>
      </c>
      <c r="L195" s="73"/>
      <c r="M195" s="46">
        <v>0</v>
      </c>
      <c r="N195" s="46">
        <v>0</v>
      </c>
      <c r="O195" s="46">
        <v>0</v>
      </c>
      <c r="P195" s="98"/>
      <c r="Q195" s="23" t="s">
        <v>1433</v>
      </c>
      <c r="R195" s="24" t="s">
        <v>524</v>
      </c>
      <c r="S195" s="25" t="s">
        <v>30</v>
      </c>
      <c r="T195" s="26">
        <v>429</v>
      </c>
      <c r="U195" s="26">
        <v>0</v>
      </c>
      <c r="V195" s="26">
        <f t="shared" si="33"/>
        <v>1707.13</v>
      </c>
      <c r="W195" s="127">
        <f t="shared" si="34"/>
        <v>0</v>
      </c>
      <c r="X195" s="127">
        <f t="shared" si="35"/>
        <v>0</v>
      </c>
      <c r="Y195" s="127">
        <f t="shared" si="36"/>
        <v>0</v>
      </c>
      <c r="Z195" s="127">
        <f t="shared" si="27"/>
        <v>0</v>
      </c>
      <c r="AA195" s="33" t="s">
        <v>15</v>
      </c>
      <c r="AB195" s="36" t="s">
        <v>16</v>
      </c>
      <c r="AC195" s="181">
        <f t="shared" si="28"/>
        <v>0</v>
      </c>
      <c r="AD195" s="181">
        <f t="shared" si="37"/>
        <v>0</v>
      </c>
      <c r="AE195" s="181">
        <v>1.4</v>
      </c>
      <c r="AF195" s="181">
        <v>1.4</v>
      </c>
      <c r="AG195" s="101" t="str">
        <f t="shared" si="29"/>
        <v/>
      </c>
      <c r="AH195" s="190">
        <v>0</v>
      </c>
      <c r="AI195" s="69">
        <f t="shared" si="30"/>
        <v>429</v>
      </c>
    </row>
    <row r="196" spans="1:38" s="69" customFormat="1" ht="39" hidden="1" x14ac:dyDescent="0.3">
      <c r="A196" s="130" t="s">
        <v>526</v>
      </c>
      <c r="B196" s="131" t="s">
        <v>527</v>
      </c>
      <c r="C196" s="132" t="s">
        <v>34</v>
      </c>
      <c r="D196" s="133">
        <v>1597.5</v>
      </c>
      <c r="E196" s="75"/>
      <c r="F196" s="75"/>
      <c r="G196" s="161"/>
      <c r="H196" s="158">
        <v>2059.1999999999998</v>
      </c>
      <c r="I196" s="166">
        <v>49</v>
      </c>
      <c r="J196" s="75">
        <v>100900.8</v>
      </c>
      <c r="K196" s="91" t="s">
        <v>528</v>
      </c>
      <c r="L196" s="73"/>
      <c r="M196" s="46">
        <v>1530</v>
      </c>
      <c r="N196" s="46">
        <v>0</v>
      </c>
      <c r="O196" s="46">
        <v>74970</v>
      </c>
      <c r="P196" s="98"/>
      <c r="Q196" s="23" t="s">
        <v>1382</v>
      </c>
      <c r="R196" s="24" t="s">
        <v>527</v>
      </c>
      <c r="S196" s="25" t="s">
        <v>34</v>
      </c>
      <c r="T196" s="26">
        <v>1597.5</v>
      </c>
      <c r="U196" s="26">
        <v>2059.1999999999998</v>
      </c>
      <c r="V196" s="26">
        <f t="shared" si="33"/>
        <v>49</v>
      </c>
      <c r="W196" s="128">
        <f t="shared" si="34"/>
        <v>0</v>
      </c>
      <c r="X196" s="127">
        <f t="shared" si="35"/>
        <v>1530</v>
      </c>
      <c r="Y196" s="127">
        <f t="shared" si="36"/>
        <v>0</v>
      </c>
      <c r="Z196" s="127">
        <f t="shared" si="27"/>
        <v>74970</v>
      </c>
      <c r="AA196" s="33" t="s">
        <v>15</v>
      </c>
      <c r="AB196" s="36" t="s">
        <v>16</v>
      </c>
      <c r="AC196" s="181">
        <f t="shared" si="28"/>
        <v>2059.1999999999998</v>
      </c>
      <c r="AD196" s="181">
        <f t="shared" si="37"/>
        <v>100900.8</v>
      </c>
      <c r="AE196" s="181">
        <v>1.4</v>
      </c>
      <c r="AF196" s="181">
        <v>1.4</v>
      </c>
      <c r="AG196" s="101" t="str">
        <f t="shared" si="29"/>
        <v/>
      </c>
      <c r="AH196" s="191">
        <v>1530</v>
      </c>
      <c r="AI196" s="69">
        <f t="shared" si="30"/>
        <v>1597.5</v>
      </c>
    </row>
    <row r="197" spans="1:38" s="69" customFormat="1" ht="39" hidden="1" x14ac:dyDescent="0.3">
      <c r="A197" s="134" t="s">
        <v>1324</v>
      </c>
      <c r="B197" s="135" t="s">
        <v>1325</v>
      </c>
      <c r="C197" s="204" t="s">
        <v>23</v>
      </c>
      <c r="D197" s="216"/>
      <c r="E197" s="117">
        <v>1362.5</v>
      </c>
      <c r="F197" s="77"/>
      <c r="G197" s="226"/>
      <c r="H197" s="230" t="s">
        <v>15</v>
      </c>
      <c r="I197" s="178">
        <v>926.62</v>
      </c>
      <c r="J197" s="59">
        <v>1262519.75</v>
      </c>
      <c r="K197" s="92"/>
      <c r="L197" s="73"/>
      <c r="M197" s="46">
        <v>1345</v>
      </c>
      <c r="N197" s="46">
        <v>0</v>
      </c>
      <c r="O197" s="46">
        <v>1246303.8999999999</v>
      </c>
      <c r="P197" s="98"/>
      <c r="Q197" s="23" t="s">
        <v>1434</v>
      </c>
      <c r="R197" s="24" t="s">
        <v>1498</v>
      </c>
      <c r="S197" s="25" t="s">
        <v>23</v>
      </c>
      <c r="T197" s="26">
        <v>0</v>
      </c>
      <c r="U197" s="26">
        <v>1362.5</v>
      </c>
      <c r="V197" s="26">
        <f t="shared" si="33"/>
        <v>926.62</v>
      </c>
      <c r="W197" s="127">
        <f t="shared" si="34"/>
        <v>0</v>
      </c>
      <c r="X197" s="127">
        <f t="shared" si="35"/>
        <v>1345</v>
      </c>
      <c r="Y197" s="127">
        <f t="shared" si="36"/>
        <v>0</v>
      </c>
      <c r="Z197" s="127">
        <f t="shared" si="27"/>
        <v>1246303.8999999999</v>
      </c>
      <c r="AA197" s="27"/>
      <c r="AB197" s="36" t="s">
        <v>16</v>
      </c>
      <c r="AC197" s="181">
        <f t="shared" si="28"/>
        <v>1362.5</v>
      </c>
      <c r="AD197" s="181">
        <f t="shared" si="37"/>
        <v>1262519.75</v>
      </c>
      <c r="AE197" s="181">
        <v>1.4</v>
      </c>
      <c r="AF197" s="181">
        <v>1.4</v>
      </c>
      <c r="AG197" s="101" t="str">
        <f t="shared" si="29"/>
        <v/>
      </c>
      <c r="AH197" s="194">
        <v>1345</v>
      </c>
      <c r="AI197" s="69">
        <f t="shared" si="30"/>
        <v>1362.5</v>
      </c>
    </row>
    <row r="198" spans="1:38" ht="39" hidden="1" x14ac:dyDescent="0.3">
      <c r="A198" s="134" t="s">
        <v>1326</v>
      </c>
      <c r="B198" s="135" t="s">
        <v>3136</v>
      </c>
      <c r="C198" s="204" t="s">
        <v>50</v>
      </c>
      <c r="D198" s="216"/>
      <c r="E198" s="78"/>
      <c r="F198" s="62">
        <v>548.70000000000005</v>
      </c>
      <c r="G198" s="163"/>
      <c r="H198" s="62">
        <v>805.73</v>
      </c>
      <c r="I198" s="167">
        <v>3120.78</v>
      </c>
      <c r="J198" s="62">
        <v>2514506.0699999998</v>
      </c>
      <c r="K198" s="93"/>
      <c r="M198" s="46">
        <v>672.30000000000007</v>
      </c>
      <c r="N198" s="46">
        <v>385728.40000000014</v>
      </c>
      <c r="O198" s="46">
        <v>2098100.39</v>
      </c>
      <c r="P198" s="98"/>
      <c r="Q198" s="23" t="s">
        <v>1388</v>
      </c>
      <c r="R198" s="24" t="s">
        <v>1327</v>
      </c>
      <c r="S198" s="25" t="s">
        <v>50</v>
      </c>
      <c r="T198" s="26">
        <v>0</v>
      </c>
      <c r="U198" s="26">
        <v>805.73</v>
      </c>
      <c r="V198" s="26">
        <f t="shared" si="33"/>
        <v>3120.78</v>
      </c>
      <c r="W198" s="128">
        <f t="shared" si="34"/>
        <v>0</v>
      </c>
      <c r="X198" s="127">
        <f t="shared" si="35"/>
        <v>672.30000000000007</v>
      </c>
      <c r="Y198" s="127">
        <f t="shared" si="36"/>
        <v>0</v>
      </c>
      <c r="Z198" s="127">
        <f>ROUND(V198*X198,2)</f>
        <v>2098100.39</v>
      </c>
      <c r="AA198" s="27"/>
      <c r="AB198" s="36" t="s">
        <v>16</v>
      </c>
      <c r="AC198" s="181">
        <f t="shared" si="28"/>
        <v>805.73</v>
      </c>
      <c r="AD198" s="181">
        <f t="shared" si="37"/>
        <v>2514506.0699999998</v>
      </c>
      <c r="AE198" s="181">
        <v>1.4</v>
      </c>
      <c r="AF198" s="181">
        <v>1.4</v>
      </c>
      <c r="AG198" s="101" t="str">
        <f t="shared" si="29"/>
        <v>超估</v>
      </c>
      <c r="AH198" s="191">
        <v>672.3</v>
      </c>
      <c r="AI198" s="69">
        <f t="shared" si="30"/>
        <v>548.70000000000005</v>
      </c>
    </row>
    <row r="199" spans="1:38" ht="49.5" hidden="1" x14ac:dyDescent="0.3">
      <c r="A199" s="134" t="s">
        <v>1328</v>
      </c>
      <c r="B199" s="139" t="s">
        <v>1329</v>
      </c>
      <c r="C199" s="204" t="s">
        <v>30</v>
      </c>
      <c r="D199" s="216"/>
      <c r="E199" s="78"/>
      <c r="F199" s="62">
        <v>410</v>
      </c>
      <c r="G199" s="163"/>
      <c r="H199" s="62" t="s">
        <v>15</v>
      </c>
      <c r="I199" s="167">
        <v>5733.63</v>
      </c>
      <c r="J199" s="62">
        <v>2350788.2999999998</v>
      </c>
      <c r="K199" s="93"/>
      <c r="M199" s="46">
        <v>410</v>
      </c>
      <c r="N199" s="46">
        <v>0</v>
      </c>
      <c r="O199" s="46">
        <v>2350788.2999999998</v>
      </c>
      <c r="P199" s="98"/>
      <c r="Q199" s="23" t="s">
        <v>1389</v>
      </c>
      <c r="R199" s="24" t="s">
        <v>1329</v>
      </c>
      <c r="S199" s="25" t="s">
        <v>30</v>
      </c>
      <c r="T199" s="26">
        <v>0</v>
      </c>
      <c r="U199" s="26">
        <v>410</v>
      </c>
      <c r="V199" s="26">
        <f t="shared" si="33"/>
        <v>5733.63</v>
      </c>
      <c r="W199" s="127">
        <f t="shared" si="34"/>
        <v>0</v>
      </c>
      <c r="X199" s="127">
        <f t="shared" si="35"/>
        <v>410</v>
      </c>
      <c r="Y199" s="127">
        <f t="shared" si="36"/>
        <v>0</v>
      </c>
      <c r="Z199" s="127">
        <f t="shared" si="27"/>
        <v>2350788.2999999998</v>
      </c>
      <c r="AA199" s="27"/>
      <c r="AB199" s="36" t="s">
        <v>16</v>
      </c>
      <c r="AC199" s="181">
        <f t="shared" si="28"/>
        <v>410</v>
      </c>
      <c r="AD199" s="181">
        <f t="shared" si="37"/>
        <v>2350788.2999999998</v>
      </c>
      <c r="AE199" s="181">
        <v>1.4</v>
      </c>
      <c r="AF199" s="181">
        <v>1.4</v>
      </c>
      <c r="AG199" s="101" t="str">
        <f t="shared" si="29"/>
        <v/>
      </c>
      <c r="AH199" s="190">
        <v>410</v>
      </c>
      <c r="AI199" s="69">
        <f t="shared" si="30"/>
        <v>410</v>
      </c>
    </row>
    <row r="200" spans="1:38" ht="58.5" hidden="1" x14ac:dyDescent="0.3">
      <c r="A200" s="134" t="s">
        <v>1330</v>
      </c>
      <c r="B200" s="135" t="s">
        <v>3135</v>
      </c>
      <c r="C200" s="204" t="s">
        <v>23</v>
      </c>
      <c r="D200" s="216"/>
      <c r="E200" s="78"/>
      <c r="F200" s="62">
        <v>690</v>
      </c>
      <c r="G200" s="163"/>
      <c r="H200" s="62">
        <v>1526.83</v>
      </c>
      <c r="I200" s="167">
        <v>3832.97</v>
      </c>
      <c r="J200" s="62">
        <v>5852293.5899999999</v>
      </c>
      <c r="K200" s="93"/>
      <c r="M200" s="46">
        <v>1469.6599999999999</v>
      </c>
      <c r="N200" s="46">
        <v>3018463.8700000006</v>
      </c>
      <c r="O200" s="46">
        <v>5633162.6900000004</v>
      </c>
      <c r="P200" s="98"/>
      <c r="Q200" s="23" t="s">
        <v>1390</v>
      </c>
      <c r="R200" s="24" t="s">
        <v>1331</v>
      </c>
      <c r="S200" s="25" t="s">
        <v>23</v>
      </c>
      <c r="T200" s="26">
        <v>0</v>
      </c>
      <c r="U200" s="26">
        <v>1526.83</v>
      </c>
      <c r="V200" s="26">
        <f t="shared" si="33"/>
        <v>3832.97</v>
      </c>
      <c r="W200" s="128">
        <f t="shared" si="34"/>
        <v>0</v>
      </c>
      <c r="X200" s="127">
        <f t="shared" si="35"/>
        <v>1469.6599999999999</v>
      </c>
      <c r="Y200" s="127">
        <f t="shared" si="36"/>
        <v>0</v>
      </c>
      <c r="Z200" s="127">
        <f t="shared" si="27"/>
        <v>5633162.6900000004</v>
      </c>
      <c r="AA200" s="27"/>
      <c r="AB200" s="36" t="s">
        <v>16</v>
      </c>
      <c r="AC200" s="181">
        <f t="shared" si="28"/>
        <v>1526.83</v>
      </c>
      <c r="AD200" s="181">
        <f t="shared" si="37"/>
        <v>5852293.5899999999</v>
      </c>
      <c r="AE200" s="181">
        <v>1.4</v>
      </c>
      <c r="AF200" s="181">
        <v>1.4</v>
      </c>
      <c r="AG200" s="101" t="str">
        <f t="shared" si="29"/>
        <v>超估</v>
      </c>
      <c r="AH200" s="191">
        <v>1469.66</v>
      </c>
      <c r="AI200" s="69">
        <f t="shared" si="30"/>
        <v>690</v>
      </c>
    </row>
    <row r="201" spans="1:38" ht="33" hidden="1" x14ac:dyDescent="0.3">
      <c r="A201" s="134" t="s">
        <v>1332</v>
      </c>
      <c r="B201" s="135" t="s">
        <v>1333</v>
      </c>
      <c r="C201" s="204" t="s">
        <v>50</v>
      </c>
      <c r="D201" s="216"/>
      <c r="E201" s="78"/>
      <c r="F201" s="62">
        <v>48</v>
      </c>
      <c r="G201" s="163"/>
      <c r="H201" s="62" t="s">
        <v>15</v>
      </c>
      <c r="I201" s="167">
        <v>695.25</v>
      </c>
      <c r="J201" s="62">
        <v>33372</v>
      </c>
      <c r="K201" s="93"/>
      <c r="M201" s="46">
        <v>48</v>
      </c>
      <c r="N201" s="46">
        <v>0</v>
      </c>
      <c r="O201" s="46">
        <v>33372</v>
      </c>
      <c r="P201" s="98"/>
      <c r="Q201" s="23" t="s">
        <v>1391</v>
      </c>
      <c r="R201" s="24" t="s">
        <v>1333</v>
      </c>
      <c r="S201" s="25" t="s">
        <v>50</v>
      </c>
      <c r="T201" s="26">
        <v>0</v>
      </c>
      <c r="U201" s="26">
        <v>48</v>
      </c>
      <c r="V201" s="26">
        <f t="shared" si="33"/>
        <v>695.25</v>
      </c>
      <c r="W201" s="127">
        <f t="shared" si="34"/>
        <v>0</v>
      </c>
      <c r="X201" s="127">
        <f t="shared" si="35"/>
        <v>48</v>
      </c>
      <c r="Y201" s="127">
        <f t="shared" si="36"/>
        <v>0</v>
      </c>
      <c r="Z201" s="127">
        <f t="shared" si="27"/>
        <v>33372</v>
      </c>
      <c r="AA201" s="27"/>
      <c r="AB201" s="36" t="s">
        <v>16</v>
      </c>
      <c r="AC201" s="181">
        <f t="shared" si="28"/>
        <v>48</v>
      </c>
      <c r="AD201" s="181">
        <f t="shared" si="37"/>
        <v>33372</v>
      </c>
      <c r="AE201" s="181">
        <v>1.4</v>
      </c>
      <c r="AF201" s="181">
        <v>1.4</v>
      </c>
      <c r="AG201" s="101" t="str">
        <f t="shared" si="29"/>
        <v/>
      </c>
      <c r="AH201" s="190">
        <v>48</v>
      </c>
      <c r="AI201" s="69">
        <f t="shared" si="30"/>
        <v>48</v>
      </c>
    </row>
    <row r="202" spans="1:38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227"/>
      <c r="H202" s="231" t="s">
        <v>15</v>
      </c>
      <c r="I202" s="228"/>
      <c r="J202" s="82">
        <v>33543936.84</v>
      </c>
      <c r="K202" s="94" t="s">
        <v>15</v>
      </c>
      <c r="L202" s="73"/>
      <c r="M202" s="45">
        <v>1</v>
      </c>
      <c r="N202" s="45">
        <v>1355182.1499999992</v>
      </c>
      <c r="O202" s="45">
        <v>28180101.199999996</v>
      </c>
      <c r="P202" s="98"/>
      <c r="Q202" s="18" t="s">
        <v>1392</v>
      </c>
      <c r="R202" s="19" t="s">
        <v>530</v>
      </c>
      <c r="S202" s="20" t="s">
        <v>14</v>
      </c>
      <c r="T202" s="21">
        <v>1</v>
      </c>
      <c r="U202" s="21"/>
      <c r="V202" s="21">
        <f>SUMIFS(AD:AD,AE:AE,AE202)</f>
        <v>33543936.840000004</v>
      </c>
      <c r="W202" s="21">
        <f t="shared" ref="W202:X202" si="38">IF(Y202=0,0,1)</f>
        <v>1</v>
      </c>
      <c r="X202" s="21">
        <f t="shared" si="38"/>
        <v>1</v>
      </c>
      <c r="Y202" s="21">
        <f>SUMIFS(Y:Y,AF:AF,AE202)</f>
        <v>3898405.37</v>
      </c>
      <c r="Z202" s="21">
        <f>SUMIFS(Z:Z,AF:AF,AE202)</f>
        <v>32078506.57</v>
      </c>
      <c r="AA202" s="22" t="s">
        <v>15</v>
      </c>
      <c r="AB202" s="43" t="s">
        <v>16</v>
      </c>
      <c r="AC202" s="181">
        <f t="shared" si="28"/>
        <v>1</v>
      </c>
      <c r="AD202" s="181"/>
      <c r="AE202" s="184">
        <v>1.5</v>
      </c>
      <c r="AF202" s="184"/>
      <c r="AG202" s="101" t="str">
        <f t="shared" si="29"/>
        <v/>
      </c>
      <c r="AH202" s="190">
        <v>1</v>
      </c>
      <c r="AI202" s="69">
        <f t="shared" si="30"/>
        <v>1</v>
      </c>
    </row>
    <row r="203" spans="1:38" s="69" customFormat="1" ht="49.5" hidden="1" customHeight="1" x14ac:dyDescent="0.3">
      <c r="A203" s="130" t="s">
        <v>531</v>
      </c>
      <c r="B203" s="131" t="s">
        <v>392</v>
      </c>
      <c r="C203" s="132" t="s">
        <v>23</v>
      </c>
      <c r="D203" s="133">
        <v>250</v>
      </c>
      <c r="E203" s="75"/>
      <c r="F203" s="75"/>
      <c r="G203" s="75"/>
      <c r="H203" s="239">
        <v>11.7</v>
      </c>
      <c r="I203" s="75">
        <v>3115.13</v>
      </c>
      <c r="J203" s="75">
        <v>36447.019999999997</v>
      </c>
      <c r="K203" s="91" t="s">
        <v>114</v>
      </c>
      <c r="L203" s="73"/>
      <c r="M203" s="46">
        <v>11.7</v>
      </c>
      <c r="N203" s="46">
        <v>0</v>
      </c>
      <c r="O203" s="46">
        <v>36447.019999999997</v>
      </c>
      <c r="P203" s="98"/>
      <c r="Q203" s="23" t="s">
        <v>1421</v>
      </c>
      <c r="R203" s="24" t="s">
        <v>392</v>
      </c>
      <c r="S203" s="25" t="s">
        <v>23</v>
      </c>
      <c r="T203" s="26">
        <v>250</v>
      </c>
      <c r="U203" s="26">
        <v>11.7</v>
      </c>
      <c r="V203" s="26">
        <v>3115.13</v>
      </c>
      <c r="W203" s="127">
        <f t="shared" ref="W203:W219" si="39">AH203-M203</f>
        <v>0</v>
      </c>
      <c r="X203" s="127">
        <f t="shared" si="35"/>
        <v>11.7</v>
      </c>
      <c r="Y203" s="127">
        <f t="shared" ref="Y203:Y219" si="40">Z203-O203</f>
        <v>0</v>
      </c>
      <c r="Z203" s="127">
        <f t="shared" si="27"/>
        <v>36447.019999999997</v>
      </c>
      <c r="AA203" s="33" t="s">
        <v>15</v>
      </c>
      <c r="AB203" s="36" t="s">
        <v>16</v>
      </c>
      <c r="AC203" s="181">
        <f t="shared" ref="AC203:AC266" si="41">IF(U203="",T203,U203)</f>
        <v>11.7</v>
      </c>
      <c r="AD203" s="181">
        <f t="shared" si="37"/>
        <v>36447.019999999997</v>
      </c>
      <c r="AE203" s="181">
        <v>1.5</v>
      </c>
      <c r="AF203" s="181">
        <v>1.5</v>
      </c>
      <c r="AG203" s="101" t="str">
        <f t="shared" ref="AG203:AG266" si="42">IF(X203&gt;AI203,"超估","")</f>
        <v/>
      </c>
      <c r="AH203" s="190">
        <v>11.7</v>
      </c>
      <c r="AI203" s="69">
        <f t="shared" ref="AI203:AI266" si="43">IF(G203=0,IF(F203=0,IF(E203=0,D203,E203),F203),G203)</f>
        <v>250</v>
      </c>
    </row>
    <row r="204" spans="1:38" s="69" customFormat="1" ht="49.5" hidden="1" customHeight="1" x14ac:dyDescent="0.3">
      <c r="A204" s="130" t="s">
        <v>532</v>
      </c>
      <c r="B204" s="131" t="s">
        <v>116</v>
      </c>
      <c r="C204" s="132" t="s">
        <v>23</v>
      </c>
      <c r="D204" s="133">
        <v>2474</v>
      </c>
      <c r="E204" s="75"/>
      <c r="F204" s="75"/>
      <c r="G204" s="75"/>
      <c r="H204" s="75">
        <v>2593.6999999999998</v>
      </c>
      <c r="I204" s="75">
        <v>3321.13</v>
      </c>
      <c r="J204" s="75">
        <v>8614014.8800000008</v>
      </c>
      <c r="K204" s="91" t="s">
        <v>117</v>
      </c>
      <c r="L204" s="73"/>
      <c r="M204" s="46">
        <v>2473.35</v>
      </c>
      <c r="N204" s="46">
        <v>0</v>
      </c>
      <c r="O204" s="46">
        <v>8214316.8899999997</v>
      </c>
      <c r="P204" s="98"/>
      <c r="Q204" s="23" t="s">
        <v>1426</v>
      </c>
      <c r="R204" s="24" t="s">
        <v>116</v>
      </c>
      <c r="S204" s="25" t="s">
        <v>23</v>
      </c>
      <c r="T204" s="26">
        <v>2474</v>
      </c>
      <c r="U204" s="26">
        <v>2593.6999999999998</v>
      </c>
      <c r="V204" s="26">
        <v>3321.13</v>
      </c>
      <c r="W204" s="127">
        <f t="shared" si="39"/>
        <v>0</v>
      </c>
      <c r="X204" s="127">
        <f t="shared" si="35"/>
        <v>2473.35</v>
      </c>
      <c r="Y204" s="127">
        <f t="shared" si="40"/>
        <v>0</v>
      </c>
      <c r="Z204" s="127">
        <f t="shared" ref="Z204:Z267" si="44">ROUND(V204*X204,2)</f>
        <v>8214316.8899999997</v>
      </c>
      <c r="AA204" s="33" t="s">
        <v>15</v>
      </c>
      <c r="AB204" s="36" t="s">
        <v>16</v>
      </c>
      <c r="AC204" s="181">
        <f t="shared" si="41"/>
        <v>2593.6999999999998</v>
      </c>
      <c r="AD204" s="181">
        <f t="shared" si="37"/>
        <v>8614014.8800000008</v>
      </c>
      <c r="AE204" s="181">
        <v>1.5</v>
      </c>
      <c r="AF204" s="181">
        <v>1.5</v>
      </c>
      <c r="AG204" s="101" t="str">
        <f t="shared" si="42"/>
        <v/>
      </c>
      <c r="AH204" s="194">
        <v>2473.35</v>
      </c>
      <c r="AI204" s="69">
        <f t="shared" si="43"/>
        <v>2474</v>
      </c>
      <c r="AL204" s="196">
        <v>2782.2855</v>
      </c>
    </row>
    <row r="205" spans="1:38" s="69" customFormat="1" ht="49.5" hidden="1" customHeight="1" x14ac:dyDescent="0.3">
      <c r="A205" s="130" t="s">
        <v>533</v>
      </c>
      <c r="B205" s="131" t="s">
        <v>534</v>
      </c>
      <c r="C205" s="132" t="s">
        <v>23</v>
      </c>
      <c r="D205" s="133">
        <v>1187</v>
      </c>
      <c r="E205" s="75"/>
      <c r="F205" s="75"/>
      <c r="G205" s="75"/>
      <c r="H205" s="75">
        <v>1256.1500000000001</v>
      </c>
      <c r="I205" s="75">
        <v>1749.25</v>
      </c>
      <c r="J205" s="75">
        <v>2197320.39</v>
      </c>
      <c r="K205" s="91" t="s">
        <v>535</v>
      </c>
      <c r="L205" s="73"/>
      <c r="M205" s="46">
        <v>1187</v>
      </c>
      <c r="N205" s="46">
        <v>0</v>
      </c>
      <c r="O205" s="46">
        <v>2076359.75</v>
      </c>
      <c r="P205" s="98"/>
      <c r="Q205" s="23" t="s">
        <v>1402</v>
      </c>
      <c r="R205" s="24" t="s">
        <v>534</v>
      </c>
      <c r="S205" s="25" t="s">
        <v>23</v>
      </c>
      <c r="T205" s="26">
        <v>1187</v>
      </c>
      <c r="U205" s="26">
        <v>1256.1500000000001</v>
      </c>
      <c r="V205" s="26">
        <v>1749.25</v>
      </c>
      <c r="W205" s="127">
        <f t="shared" si="39"/>
        <v>0</v>
      </c>
      <c r="X205" s="127">
        <f t="shared" si="35"/>
        <v>1187</v>
      </c>
      <c r="Y205" s="127">
        <f t="shared" si="40"/>
        <v>0</v>
      </c>
      <c r="Z205" s="127">
        <f t="shared" si="44"/>
        <v>2076359.75</v>
      </c>
      <c r="AA205" s="33" t="s">
        <v>15</v>
      </c>
      <c r="AB205" s="36" t="s">
        <v>16</v>
      </c>
      <c r="AC205" s="181">
        <f t="shared" si="41"/>
        <v>1256.1500000000001</v>
      </c>
      <c r="AD205" s="181">
        <f t="shared" si="37"/>
        <v>2197320.39</v>
      </c>
      <c r="AE205" s="181">
        <v>1.5</v>
      </c>
      <c r="AF205" s="181">
        <v>1.5</v>
      </c>
      <c r="AG205" s="101" t="str">
        <f t="shared" si="42"/>
        <v/>
      </c>
      <c r="AH205" s="194">
        <v>1187</v>
      </c>
      <c r="AI205" s="69">
        <f t="shared" si="43"/>
        <v>1187</v>
      </c>
      <c r="AL205" s="195">
        <v>1161.5828000000001</v>
      </c>
    </row>
    <row r="206" spans="1:38" s="69" customFormat="1" ht="39" hidden="1" x14ac:dyDescent="0.3">
      <c r="A206" s="130" t="s">
        <v>536</v>
      </c>
      <c r="B206" s="131" t="s">
        <v>493</v>
      </c>
      <c r="C206" s="132" t="s">
        <v>23</v>
      </c>
      <c r="D206" s="133">
        <v>3911</v>
      </c>
      <c r="E206" s="75"/>
      <c r="F206" s="75"/>
      <c r="G206" s="75"/>
      <c r="H206" s="75" t="s">
        <v>15</v>
      </c>
      <c r="I206" s="75">
        <v>200</v>
      </c>
      <c r="J206" s="75">
        <v>782200</v>
      </c>
      <c r="K206" s="91" t="s">
        <v>494</v>
      </c>
      <c r="L206" s="73"/>
      <c r="M206" s="46">
        <v>3672.0499999999997</v>
      </c>
      <c r="N206" s="46">
        <v>0</v>
      </c>
      <c r="O206" s="46">
        <v>734410</v>
      </c>
      <c r="P206" s="98"/>
      <c r="Q206" s="23" t="s">
        <v>1373</v>
      </c>
      <c r="R206" s="24" t="s">
        <v>493</v>
      </c>
      <c r="S206" s="25" t="s">
        <v>23</v>
      </c>
      <c r="T206" s="26">
        <v>3911</v>
      </c>
      <c r="U206" s="26">
        <v>3911</v>
      </c>
      <c r="V206" s="26">
        <v>200</v>
      </c>
      <c r="W206" s="127">
        <f t="shared" si="39"/>
        <v>0</v>
      </c>
      <c r="X206" s="127">
        <f t="shared" si="35"/>
        <v>3672.0499999999997</v>
      </c>
      <c r="Y206" s="127">
        <f t="shared" si="40"/>
        <v>0</v>
      </c>
      <c r="Z206" s="127">
        <f t="shared" si="44"/>
        <v>734410</v>
      </c>
      <c r="AA206" s="33" t="s">
        <v>15</v>
      </c>
      <c r="AB206" s="36" t="s">
        <v>16</v>
      </c>
      <c r="AC206" s="181">
        <f t="shared" si="41"/>
        <v>3911</v>
      </c>
      <c r="AD206" s="181">
        <f t="shared" si="37"/>
        <v>782200</v>
      </c>
      <c r="AE206" s="181">
        <v>1.5</v>
      </c>
      <c r="AF206" s="181">
        <v>1.5</v>
      </c>
      <c r="AG206" s="101" t="str">
        <f t="shared" si="42"/>
        <v/>
      </c>
      <c r="AH206" s="194">
        <v>3672.05</v>
      </c>
      <c r="AI206" s="69">
        <f t="shared" si="43"/>
        <v>3911</v>
      </c>
      <c r="AL206" s="198">
        <f>AL203+AL204+AL205</f>
        <v>3943.8683000000001</v>
      </c>
    </row>
    <row r="207" spans="1:38" s="69" customFormat="1" ht="57.75" hidden="1" x14ac:dyDescent="0.3">
      <c r="A207" s="130" t="s">
        <v>537</v>
      </c>
      <c r="B207" s="131" t="s">
        <v>405</v>
      </c>
      <c r="C207" s="132" t="s">
        <v>50</v>
      </c>
      <c r="D207" s="133">
        <v>3820</v>
      </c>
      <c r="E207" s="75"/>
      <c r="F207" s="75">
        <v>4730</v>
      </c>
      <c r="G207" s="75"/>
      <c r="H207" s="75">
        <v>5411.06</v>
      </c>
      <c r="I207" s="75">
        <v>982.98</v>
      </c>
      <c r="J207" s="75">
        <v>5318963.76</v>
      </c>
      <c r="K207" s="91" t="s">
        <v>406</v>
      </c>
      <c r="L207" s="73"/>
      <c r="M207" s="46">
        <v>5122</v>
      </c>
      <c r="N207" s="46">
        <v>385328.15999999922</v>
      </c>
      <c r="O207" s="46">
        <v>5034823.5599999996</v>
      </c>
      <c r="P207" s="98"/>
      <c r="Q207" s="23" t="s">
        <v>1393</v>
      </c>
      <c r="R207" s="24" t="s">
        <v>405</v>
      </c>
      <c r="S207" s="25" t="s">
        <v>50</v>
      </c>
      <c r="T207" s="26">
        <v>3820</v>
      </c>
      <c r="U207" s="26">
        <v>5411.06</v>
      </c>
      <c r="V207" s="26">
        <v>982.98</v>
      </c>
      <c r="W207" s="128">
        <f t="shared" si="39"/>
        <v>287.19999999999982</v>
      </c>
      <c r="X207" s="127">
        <f t="shared" si="35"/>
        <v>5409.2</v>
      </c>
      <c r="Y207" s="127">
        <f t="shared" si="40"/>
        <v>282311.86000000034</v>
      </c>
      <c r="Z207" s="127">
        <f t="shared" si="44"/>
        <v>5317135.42</v>
      </c>
      <c r="AA207" s="27" t="s">
        <v>15</v>
      </c>
      <c r="AB207" s="36" t="s">
        <v>16</v>
      </c>
      <c r="AC207" s="181">
        <f t="shared" si="41"/>
        <v>5411.06</v>
      </c>
      <c r="AD207" s="181">
        <f t="shared" si="37"/>
        <v>5318963.76</v>
      </c>
      <c r="AE207" s="181">
        <v>1.5</v>
      </c>
      <c r="AF207" s="181">
        <v>1.5</v>
      </c>
      <c r="AG207" s="101" t="str">
        <f t="shared" si="42"/>
        <v>超估</v>
      </c>
      <c r="AH207" s="191">
        <v>5409.2</v>
      </c>
      <c r="AI207" s="69">
        <f t="shared" si="43"/>
        <v>4730</v>
      </c>
      <c r="AL207" s="195">
        <v>5411.06</v>
      </c>
    </row>
    <row r="208" spans="1:38" s="69" customFormat="1" ht="41.25" hidden="1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203"/>
      <c r="F208" s="203"/>
      <c r="G208" s="203"/>
      <c r="H208" s="203">
        <v>1811.33</v>
      </c>
      <c r="I208" s="75">
        <v>804.79</v>
      </c>
      <c r="J208" s="75">
        <v>1457740.27</v>
      </c>
      <c r="K208" s="91" t="s">
        <v>409</v>
      </c>
      <c r="L208" s="73"/>
      <c r="M208" s="46">
        <v>1592.6</v>
      </c>
      <c r="N208" s="46">
        <v>637876.55000000005</v>
      </c>
      <c r="O208" s="46">
        <v>1281708.55</v>
      </c>
      <c r="P208" s="98"/>
      <c r="Q208" s="23" t="s">
        <v>1403</v>
      </c>
      <c r="R208" s="24" t="s">
        <v>408</v>
      </c>
      <c r="S208" s="25" t="s">
        <v>50</v>
      </c>
      <c r="T208" s="26">
        <v>800</v>
      </c>
      <c r="U208" s="26">
        <v>1811.33</v>
      </c>
      <c r="V208" s="26">
        <v>804.79</v>
      </c>
      <c r="W208" s="128">
        <f t="shared" si="39"/>
        <v>203.70000000000005</v>
      </c>
      <c r="X208" s="127">
        <f t="shared" si="35"/>
        <v>1796.3</v>
      </c>
      <c r="Y208" s="127">
        <f t="shared" si="40"/>
        <v>163935.72999999998</v>
      </c>
      <c r="Z208" s="127">
        <f t="shared" si="44"/>
        <v>1445644.28</v>
      </c>
      <c r="AA208" s="33" t="s">
        <v>15</v>
      </c>
      <c r="AB208" s="36" t="s">
        <v>16</v>
      </c>
      <c r="AC208" s="181">
        <f t="shared" si="41"/>
        <v>1811.33</v>
      </c>
      <c r="AD208" s="181">
        <f t="shared" si="37"/>
        <v>1457740.27</v>
      </c>
      <c r="AE208" s="181">
        <v>1.5</v>
      </c>
      <c r="AF208" s="181">
        <v>1.5</v>
      </c>
      <c r="AG208" s="101" t="str">
        <f t="shared" si="42"/>
        <v>超估</v>
      </c>
      <c r="AH208" s="191">
        <v>1796.3</v>
      </c>
      <c r="AI208" s="69">
        <f t="shared" si="43"/>
        <v>800</v>
      </c>
    </row>
    <row r="209" spans="1:35" s="69" customFormat="1" ht="41.25" hidden="1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203"/>
      <c r="F209" s="203"/>
      <c r="G209" s="203"/>
      <c r="H209" s="203">
        <v>1210.32</v>
      </c>
      <c r="I209" s="75">
        <v>533.64</v>
      </c>
      <c r="J209" s="75">
        <v>645875.16</v>
      </c>
      <c r="K209" s="91" t="s">
        <v>120</v>
      </c>
      <c r="L209" s="73"/>
      <c r="M209" s="46">
        <v>880.1</v>
      </c>
      <c r="N209" s="46">
        <v>331977.44</v>
      </c>
      <c r="O209" s="46">
        <v>469656.56</v>
      </c>
      <c r="P209" s="98"/>
      <c r="Q209" s="23" t="s">
        <v>1427</v>
      </c>
      <c r="R209" s="24" t="s">
        <v>119</v>
      </c>
      <c r="S209" s="25" t="s">
        <v>50</v>
      </c>
      <c r="T209" s="26">
        <v>258</v>
      </c>
      <c r="U209" s="26">
        <v>1210.32</v>
      </c>
      <c r="V209" s="26">
        <v>533.64</v>
      </c>
      <c r="W209" s="128">
        <f t="shared" si="39"/>
        <v>241.10000000000002</v>
      </c>
      <c r="X209" s="127">
        <f t="shared" si="35"/>
        <v>1121.2</v>
      </c>
      <c r="Y209" s="127">
        <f t="shared" si="40"/>
        <v>128660.61000000004</v>
      </c>
      <c r="Z209" s="127">
        <f t="shared" si="44"/>
        <v>598317.17000000004</v>
      </c>
      <c r="AA209" s="33" t="s">
        <v>15</v>
      </c>
      <c r="AB209" s="36" t="s">
        <v>16</v>
      </c>
      <c r="AC209" s="181">
        <f t="shared" si="41"/>
        <v>1210.32</v>
      </c>
      <c r="AD209" s="181">
        <f t="shared" si="37"/>
        <v>645875.16</v>
      </c>
      <c r="AE209" s="181">
        <v>1.5</v>
      </c>
      <c r="AF209" s="181">
        <v>1.5</v>
      </c>
      <c r="AG209" s="101" t="str">
        <f t="shared" si="42"/>
        <v>超估</v>
      </c>
      <c r="AH209" s="191">
        <v>1121.2</v>
      </c>
      <c r="AI209" s="69">
        <f t="shared" si="43"/>
        <v>258</v>
      </c>
    </row>
    <row r="210" spans="1:35" s="69" customFormat="1" ht="39" hidden="1" x14ac:dyDescent="0.3">
      <c r="A210" s="130" t="s">
        <v>540</v>
      </c>
      <c r="B210" s="131" t="s">
        <v>109</v>
      </c>
      <c r="C210" s="132" t="s">
        <v>110</v>
      </c>
      <c r="D210" s="133">
        <v>133401</v>
      </c>
      <c r="E210" s="203"/>
      <c r="F210" s="203"/>
      <c r="G210" s="203"/>
      <c r="H210" s="203">
        <v>153939.46</v>
      </c>
      <c r="I210" s="75">
        <v>36.4</v>
      </c>
      <c r="J210" s="75">
        <v>5603396.3399999999</v>
      </c>
      <c r="K210" s="91" t="s">
        <v>111</v>
      </c>
      <c r="L210" s="73"/>
      <c r="M210" s="46">
        <v>132794.91999999998</v>
      </c>
      <c r="N210" s="46">
        <v>0</v>
      </c>
      <c r="O210" s="46">
        <v>4833735.09</v>
      </c>
      <c r="P210" s="98"/>
      <c r="Q210" s="23" t="s">
        <v>1428</v>
      </c>
      <c r="R210" s="24" t="s">
        <v>109</v>
      </c>
      <c r="S210" s="25" t="s">
        <v>110</v>
      </c>
      <c r="T210" s="26">
        <v>133401</v>
      </c>
      <c r="U210" s="26">
        <v>153939.46</v>
      </c>
      <c r="V210" s="26">
        <v>36.4</v>
      </c>
      <c r="W210" s="128">
        <f t="shared" si="39"/>
        <v>20875.000000000029</v>
      </c>
      <c r="X210" s="127">
        <f t="shared" si="35"/>
        <v>153669.92000000001</v>
      </c>
      <c r="Y210" s="127">
        <f t="shared" si="40"/>
        <v>759850</v>
      </c>
      <c r="Z210" s="127">
        <f t="shared" si="44"/>
        <v>5593585.0899999999</v>
      </c>
      <c r="AA210" s="33" t="s">
        <v>15</v>
      </c>
      <c r="AB210" s="36" t="s">
        <v>16</v>
      </c>
      <c r="AC210" s="181">
        <f t="shared" si="41"/>
        <v>153939.46</v>
      </c>
      <c r="AD210" s="181">
        <f t="shared" si="37"/>
        <v>5603396.3399999999</v>
      </c>
      <c r="AE210" s="181">
        <v>1.5</v>
      </c>
      <c r="AF210" s="181">
        <v>1.5</v>
      </c>
      <c r="AG210" s="101" t="str">
        <f t="shared" si="42"/>
        <v>超估</v>
      </c>
      <c r="AH210" s="191">
        <v>153669.92000000001</v>
      </c>
      <c r="AI210" s="69">
        <f t="shared" si="43"/>
        <v>133401</v>
      </c>
    </row>
    <row r="211" spans="1:35" s="69" customFormat="1" ht="39" hidden="1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203"/>
      <c r="F211" s="203"/>
      <c r="G211" s="203"/>
      <c r="H211" s="203">
        <v>185226.6</v>
      </c>
      <c r="I211" s="75">
        <v>38.71</v>
      </c>
      <c r="J211" s="75">
        <v>7170121.6900000004</v>
      </c>
      <c r="K211" s="91" t="s">
        <v>400</v>
      </c>
      <c r="L211" s="73"/>
      <c r="M211" s="46">
        <v>118802</v>
      </c>
      <c r="N211" s="46">
        <v>0</v>
      </c>
      <c r="O211" s="46">
        <v>4598825.42</v>
      </c>
      <c r="P211" s="98"/>
      <c r="Q211" s="23" t="s">
        <v>1387</v>
      </c>
      <c r="R211" s="24" t="s">
        <v>399</v>
      </c>
      <c r="S211" s="25" t="s">
        <v>110</v>
      </c>
      <c r="T211" s="26">
        <v>118802</v>
      </c>
      <c r="U211" s="26">
        <v>185226.6</v>
      </c>
      <c r="V211" s="26">
        <v>38.71</v>
      </c>
      <c r="W211" s="128">
        <f t="shared" si="39"/>
        <v>66227</v>
      </c>
      <c r="X211" s="127">
        <f t="shared" si="35"/>
        <v>185029</v>
      </c>
      <c r="Y211" s="127">
        <f t="shared" si="40"/>
        <v>2563647.17</v>
      </c>
      <c r="Z211" s="127">
        <f t="shared" si="44"/>
        <v>7162472.5899999999</v>
      </c>
      <c r="AA211" s="33" t="s">
        <v>15</v>
      </c>
      <c r="AB211" s="36" t="s">
        <v>16</v>
      </c>
      <c r="AC211" s="181">
        <f t="shared" si="41"/>
        <v>185226.6</v>
      </c>
      <c r="AD211" s="181">
        <f t="shared" si="37"/>
        <v>7170121.6900000004</v>
      </c>
      <c r="AE211" s="181">
        <v>1.5</v>
      </c>
      <c r="AF211" s="181">
        <v>1.5</v>
      </c>
      <c r="AG211" s="101" t="str">
        <f t="shared" si="42"/>
        <v>超估</v>
      </c>
      <c r="AH211" s="191">
        <v>185029</v>
      </c>
      <c r="AI211" s="69">
        <f t="shared" si="43"/>
        <v>118802</v>
      </c>
    </row>
    <row r="212" spans="1:35" s="69" customFormat="1" ht="58.5" hidden="1" x14ac:dyDescent="0.3">
      <c r="A212" s="55" t="s">
        <v>542</v>
      </c>
      <c r="B212" s="53" t="s">
        <v>543</v>
      </c>
      <c r="C212" s="54" t="s">
        <v>30</v>
      </c>
      <c r="D212" s="75">
        <v>129</v>
      </c>
      <c r="E212" s="75"/>
      <c r="F212" s="75"/>
      <c r="G212" s="75"/>
      <c r="H212" s="75" t="s">
        <v>15</v>
      </c>
      <c r="I212" s="75">
        <v>2865.95</v>
      </c>
      <c r="J212" s="75">
        <v>369707.55</v>
      </c>
      <c r="K212" s="91" t="s">
        <v>544</v>
      </c>
      <c r="L212" s="73"/>
      <c r="M212" s="46">
        <v>0</v>
      </c>
      <c r="N212" s="46">
        <v>0</v>
      </c>
      <c r="O212" s="46">
        <v>0</v>
      </c>
      <c r="P212" s="98"/>
      <c r="Q212" s="23" t="s">
        <v>1405</v>
      </c>
      <c r="R212" s="24" t="s">
        <v>543</v>
      </c>
      <c r="S212" s="25" t="s">
        <v>30</v>
      </c>
      <c r="T212" s="26">
        <v>129</v>
      </c>
      <c r="U212" s="26">
        <v>129</v>
      </c>
      <c r="V212" s="26">
        <v>2865.95</v>
      </c>
      <c r="W212" s="26">
        <f t="shared" si="39"/>
        <v>0</v>
      </c>
      <c r="X212" s="26">
        <f t="shared" si="35"/>
        <v>0</v>
      </c>
      <c r="Y212" s="26">
        <f t="shared" si="40"/>
        <v>0</v>
      </c>
      <c r="Z212" s="26">
        <f t="shared" si="44"/>
        <v>0</v>
      </c>
      <c r="AA212" s="33" t="s">
        <v>15</v>
      </c>
      <c r="AB212" s="36" t="s">
        <v>16</v>
      </c>
      <c r="AC212" s="181">
        <f t="shared" si="41"/>
        <v>129</v>
      </c>
      <c r="AD212" s="181">
        <f t="shared" si="37"/>
        <v>369707.55</v>
      </c>
      <c r="AE212" s="181">
        <v>1.5</v>
      </c>
      <c r="AF212" s="181">
        <v>1.5</v>
      </c>
      <c r="AG212" s="101" t="str">
        <f t="shared" si="42"/>
        <v/>
      </c>
      <c r="AH212" s="192">
        <v>0</v>
      </c>
      <c r="AI212" s="69">
        <f t="shared" si="43"/>
        <v>129</v>
      </c>
    </row>
    <row r="213" spans="1:35" s="69" customFormat="1" ht="58.5" hidden="1" x14ac:dyDescent="0.3">
      <c r="A213" s="55" t="s">
        <v>545</v>
      </c>
      <c r="B213" s="53" t="s">
        <v>546</v>
      </c>
      <c r="C213" s="54" t="s">
        <v>81</v>
      </c>
      <c r="D213" s="75">
        <v>54</v>
      </c>
      <c r="E213" s="75"/>
      <c r="F213" s="75"/>
      <c r="G213" s="75"/>
      <c r="H213" s="75" t="s">
        <v>15</v>
      </c>
      <c r="I213" s="75">
        <v>1478.05</v>
      </c>
      <c r="J213" s="75">
        <v>79814.7</v>
      </c>
      <c r="K213" s="91" t="s">
        <v>547</v>
      </c>
      <c r="L213" s="73"/>
      <c r="M213" s="46">
        <v>0</v>
      </c>
      <c r="N213" s="46">
        <v>0</v>
      </c>
      <c r="O213" s="46">
        <v>0</v>
      </c>
      <c r="P213" s="98"/>
      <c r="Q213" s="23" t="s">
        <v>1406</v>
      </c>
      <c r="R213" s="24" t="s">
        <v>546</v>
      </c>
      <c r="S213" s="25" t="s">
        <v>81</v>
      </c>
      <c r="T213" s="26">
        <v>54</v>
      </c>
      <c r="U213" s="26">
        <v>54</v>
      </c>
      <c r="V213" s="26">
        <v>1478.05</v>
      </c>
      <c r="W213" s="26">
        <f t="shared" si="39"/>
        <v>0</v>
      </c>
      <c r="X213" s="26">
        <f t="shared" si="35"/>
        <v>0</v>
      </c>
      <c r="Y213" s="26">
        <f t="shared" si="40"/>
        <v>0</v>
      </c>
      <c r="Z213" s="26">
        <f t="shared" si="44"/>
        <v>0</v>
      </c>
      <c r="AA213" s="33" t="s">
        <v>15</v>
      </c>
      <c r="AB213" s="36" t="s">
        <v>16</v>
      </c>
      <c r="AC213" s="181">
        <f t="shared" si="41"/>
        <v>54</v>
      </c>
      <c r="AD213" s="181">
        <f t="shared" si="37"/>
        <v>79814.7</v>
      </c>
      <c r="AE213" s="181">
        <v>1.5</v>
      </c>
      <c r="AF213" s="181">
        <v>1.5</v>
      </c>
      <c r="AG213" s="101" t="str">
        <f t="shared" si="42"/>
        <v/>
      </c>
      <c r="AH213" s="192">
        <v>0</v>
      </c>
      <c r="AI213" s="69">
        <f t="shared" si="43"/>
        <v>54</v>
      </c>
    </row>
    <row r="214" spans="1:35" s="69" customFormat="1" ht="49.5" hidden="1" x14ac:dyDescent="0.3">
      <c r="A214" s="55" t="s">
        <v>548</v>
      </c>
      <c r="B214" s="138" t="s">
        <v>549</v>
      </c>
      <c r="C214" s="54" t="s">
        <v>30</v>
      </c>
      <c r="D214" s="75">
        <v>170</v>
      </c>
      <c r="E214" s="75"/>
      <c r="F214" s="75"/>
      <c r="G214" s="75"/>
      <c r="H214" s="75" t="s">
        <v>15</v>
      </c>
      <c r="I214" s="75">
        <v>151.72</v>
      </c>
      <c r="J214" s="75">
        <v>25792.400000000001</v>
      </c>
      <c r="K214" s="91" t="s">
        <v>550</v>
      </c>
      <c r="L214" s="73"/>
      <c r="M214" s="46">
        <v>0</v>
      </c>
      <c r="N214" s="46">
        <v>0</v>
      </c>
      <c r="O214" s="46">
        <v>0</v>
      </c>
      <c r="P214" s="98"/>
      <c r="Q214" s="23" t="s">
        <v>1414</v>
      </c>
      <c r="R214" s="24" t="s">
        <v>549</v>
      </c>
      <c r="S214" s="25" t="s">
        <v>30</v>
      </c>
      <c r="T214" s="26">
        <v>170</v>
      </c>
      <c r="U214" s="26">
        <v>170</v>
      </c>
      <c r="V214" s="26">
        <v>151.72</v>
      </c>
      <c r="W214" s="26">
        <f t="shared" si="39"/>
        <v>0</v>
      </c>
      <c r="X214" s="26">
        <f t="shared" si="35"/>
        <v>0</v>
      </c>
      <c r="Y214" s="26">
        <f t="shared" si="40"/>
        <v>0</v>
      </c>
      <c r="Z214" s="26">
        <f t="shared" si="44"/>
        <v>0</v>
      </c>
      <c r="AA214" s="33" t="s">
        <v>15</v>
      </c>
      <c r="AB214" s="36" t="s">
        <v>16</v>
      </c>
      <c r="AC214" s="181">
        <f t="shared" si="41"/>
        <v>170</v>
      </c>
      <c r="AD214" s="181">
        <f t="shared" si="37"/>
        <v>25792.400000000001</v>
      </c>
      <c r="AE214" s="181">
        <v>1.5</v>
      </c>
      <c r="AF214" s="181">
        <v>1.5</v>
      </c>
      <c r="AG214" s="101" t="str">
        <f t="shared" si="42"/>
        <v/>
      </c>
      <c r="AH214" s="192">
        <v>0</v>
      </c>
      <c r="AI214" s="69">
        <f t="shared" si="43"/>
        <v>170</v>
      </c>
    </row>
    <row r="215" spans="1:35" s="69" customFormat="1" ht="33" hidden="1" x14ac:dyDescent="0.3">
      <c r="A215" s="55" t="s">
        <v>551</v>
      </c>
      <c r="B215" s="138" t="s">
        <v>552</v>
      </c>
      <c r="C215" s="54" t="s">
        <v>325</v>
      </c>
      <c r="D215" s="75">
        <v>4</v>
      </c>
      <c r="E215" s="75"/>
      <c r="F215" s="75"/>
      <c r="G215" s="75"/>
      <c r="H215" s="75">
        <v>6</v>
      </c>
      <c r="I215" s="75">
        <v>15779.6</v>
      </c>
      <c r="J215" s="75">
        <v>94677.6</v>
      </c>
      <c r="K215" s="91" t="s">
        <v>553</v>
      </c>
      <c r="L215" s="73"/>
      <c r="M215" s="46">
        <v>2</v>
      </c>
      <c r="N215" s="46">
        <v>0</v>
      </c>
      <c r="O215" s="46">
        <v>31559.200000000001</v>
      </c>
      <c r="P215" s="98"/>
      <c r="Q215" s="23" t="s">
        <v>1429</v>
      </c>
      <c r="R215" s="24" t="s">
        <v>552</v>
      </c>
      <c r="S215" s="25" t="s">
        <v>325</v>
      </c>
      <c r="T215" s="26">
        <v>4</v>
      </c>
      <c r="U215" s="26">
        <v>6</v>
      </c>
      <c r="V215" s="26">
        <v>15779.6</v>
      </c>
      <c r="W215" s="128">
        <f t="shared" si="39"/>
        <v>0</v>
      </c>
      <c r="X215" s="26">
        <f t="shared" si="35"/>
        <v>2</v>
      </c>
      <c r="Y215" s="26">
        <f t="shared" si="40"/>
        <v>0</v>
      </c>
      <c r="Z215" s="26">
        <f t="shared" si="44"/>
        <v>31559.200000000001</v>
      </c>
      <c r="AA215" s="33" t="s">
        <v>15</v>
      </c>
      <c r="AB215" s="36" t="s">
        <v>16</v>
      </c>
      <c r="AC215" s="181">
        <f t="shared" si="41"/>
        <v>6</v>
      </c>
      <c r="AD215" s="181">
        <f t="shared" si="37"/>
        <v>94677.6</v>
      </c>
      <c r="AE215" s="181">
        <v>1.5</v>
      </c>
      <c r="AF215" s="181">
        <v>1.5</v>
      </c>
      <c r="AG215" s="101" t="str">
        <f t="shared" si="42"/>
        <v/>
      </c>
      <c r="AH215" s="191">
        <v>2</v>
      </c>
      <c r="AI215" s="69">
        <f t="shared" si="43"/>
        <v>4</v>
      </c>
    </row>
    <row r="216" spans="1:35" s="69" customFormat="1" ht="33" hidden="1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 t="s">
        <v>15</v>
      </c>
      <c r="I216" s="75">
        <v>138.84</v>
      </c>
      <c r="J216" s="75">
        <v>62894.52</v>
      </c>
      <c r="K216" s="91" t="s">
        <v>190</v>
      </c>
      <c r="L216" s="73"/>
      <c r="M216" s="46">
        <v>285</v>
      </c>
      <c r="N216" s="46">
        <v>0</v>
      </c>
      <c r="O216" s="46">
        <v>39569.4</v>
      </c>
      <c r="P216" s="98"/>
      <c r="Q216" s="23" t="s">
        <v>1430</v>
      </c>
      <c r="R216" s="24" t="s">
        <v>189</v>
      </c>
      <c r="S216" s="25" t="s">
        <v>30</v>
      </c>
      <c r="T216" s="26">
        <v>453</v>
      </c>
      <c r="U216" s="26">
        <v>453</v>
      </c>
      <c r="V216" s="26">
        <v>138.84</v>
      </c>
      <c r="W216" s="128">
        <f t="shared" si="39"/>
        <v>0</v>
      </c>
      <c r="X216" s="26">
        <f t="shared" si="35"/>
        <v>285</v>
      </c>
      <c r="Y216" s="26">
        <f t="shared" si="40"/>
        <v>0</v>
      </c>
      <c r="Z216" s="26">
        <f t="shared" si="44"/>
        <v>39569.4</v>
      </c>
      <c r="AA216" s="33" t="s">
        <v>15</v>
      </c>
      <c r="AB216" s="36" t="s">
        <v>16</v>
      </c>
      <c r="AC216" s="181">
        <f t="shared" si="41"/>
        <v>453</v>
      </c>
      <c r="AD216" s="181">
        <f t="shared" si="37"/>
        <v>62894.52</v>
      </c>
      <c r="AE216" s="181">
        <v>1.5</v>
      </c>
      <c r="AF216" s="181">
        <v>1.5</v>
      </c>
      <c r="AG216" s="101" t="str">
        <f t="shared" si="42"/>
        <v/>
      </c>
      <c r="AH216" s="191">
        <v>285</v>
      </c>
      <c r="AI216" s="69">
        <f t="shared" si="43"/>
        <v>453</v>
      </c>
    </row>
    <row r="217" spans="1:35" s="69" customFormat="1" ht="33" hidden="1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 t="s">
        <v>15</v>
      </c>
      <c r="I217" s="75">
        <v>326.3</v>
      </c>
      <c r="J217" s="75">
        <v>548184</v>
      </c>
      <c r="K217" s="91" t="s">
        <v>521</v>
      </c>
      <c r="L217" s="73"/>
      <c r="M217" s="46">
        <v>936</v>
      </c>
      <c r="N217" s="46">
        <v>0</v>
      </c>
      <c r="O217" s="46">
        <v>305416.8</v>
      </c>
      <c r="P217" s="98"/>
      <c r="Q217" s="23" t="s">
        <v>1431</v>
      </c>
      <c r="R217" s="24" t="s">
        <v>520</v>
      </c>
      <c r="S217" s="25" t="s">
        <v>30</v>
      </c>
      <c r="T217" s="26">
        <v>1680</v>
      </c>
      <c r="U217" s="26">
        <v>1680</v>
      </c>
      <c r="V217" s="26">
        <v>326.3</v>
      </c>
      <c r="W217" s="128">
        <f t="shared" si="39"/>
        <v>0</v>
      </c>
      <c r="X217" s="26">
        <f t="shared" si="35"/>
        <v>936</v>
      </c>
      <c r="Y217" s="26">
        <f t="shared" si="40"/>
        <v>0</v>
      </c>
      <c r="Z217" s="26">
        <f t="shared" si="44"/>
        <v>305416.8</v>
      </c>
      <c r="AA217" s="33" t="s">
        <v>15</v>
      </c>
      <c r="AB217" s="36" t="s">
        <v>16</v>
      </c>
      <c r="AC217" s="181">
        <f t="shared" si="41"/>
        <v>1680</v>
      </c>
      <c r="AD217" s="181">
        <f t="shared" si="37"/>
        <v>548184</v>
      </c>
      <c r="AE217" s="181">
        <v>1.5</v>
      </c>
      <c r="AF217" s="181">
        <v>1.5</v>
      </c>
      <c r="AG217" s="101" t="str">
        <f t="shared" si="42"/>
        <v/>
      </c>
      <c r="AH217" s="191">
        <v>936</v>
      </c>
      <c r="AI217" s="69">
        <f t="shared" si="43"/>
        <v>1680</v>
      </c>
    </row>
    <row r="218" spans="1:35" s="69" customFormat="1" ht="39" hidden="1" x14ac:dyDescent="0.3">
      <c r="A218" s="130" t="s">
        <v>556</v>
      </c>
      <c r="B218" s="131" t="s">
        <v>424</v>
      </c>
      <c r="C218" s="132" t="s">
        <v>50</v>
      </c>
      <c r="D218" s="133">
        <v>756</v>
      </c>
      <c r="E218" s="75"/>
      <c r="F218" s="75"/>
      <c r="G218" s="75"/>
      <c r="H218" s="75" t="s">
        <v>15</v>
      </c>
      <c r="I218" s="75">
        <v>692.16</v>
      </c>
      <c r="J218" s="75">
        <v>523272.96000000002</v>
      </c>
      <c r="K218" s="91" t="s">
        <v>425</v>
      </c>
      <c r="L218" s="73"/>
      <c r="M218" s="46">
        <v>756</v>
      </c>
      <c r="N218" s="46">
        <v>0</v>
      </c>
      <c r="O218" s="46">
        <v>523272.96000000002</v>
      </c>
      <c r="P218" s="98"/>
      <c r="Q218" s="23" t="s">
        <v>1395</v>
      </c>
      <c r="R218" s="24" t="s">
        <v>424</v>
      </c>
      <c r="S218" s="25" t="s">
        <v>50</v>
      </c>
      <c r="T218" s="26">
        <v>756</v>
      </c>
      <c r="U218" s="26">
        <v>756</v>
      </c>
      <c r="V218" s="26">
        <v>692.16</v>
      </c>
      <c r="W218" s="127">
        <f t="shared" si="39"/>
        <v>0</v>
      </c>
      <c r="X218" s="127">
        <f t="shared" si="35"/>
        <v>756</v>
      </c>
      <c r="Y218" s="127">
        <f t="shared" si="40"/>
        <v>0</v>
      </c>
      <c r="Z218" s="127">
        <f t="shared" si="44"/>
        <v>523272.96000000002</v>
      </c>
      <c r="AA218" s="33" t="s">
        <v>15</v>
      </c>
      <c r="AB218" s="36" t="s">
        <v>16</v>
      </c>
      <c r="AC218" s="181">
        <f t="shared" si="41"/>
        <v>756</v>
      </c>
      <c r="AD218" s="181">
        <f t="shared" si="37"/>
        <v>523272.96000000002</v>
      </c>
      <c r="AE218" s="181">
        <v>1.5</v>
      </c>
      <c r="AF218" s="181">
        <v>1.5</v>
      </c>
      <c r="AG218" s="101" t="str">
        <f t="shared" si="42"/>
        <v/>
      </c>
      <c r="AH218" s="191">
        <v>756</v>
      </c>
      <c r="AI218" s="69">
        <f t="shared" si="43"/>
        <v>756</v>
      </c>
    </row>
    <row r="219" spans="1:35" s="69" customFormat="1" ht="39" hidden="1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 t="s">
        <v>15</v>
      </c>
      <c r="I219" s="75">
        <v>422.3</v>
      </c>
      <c r="J219" s="75">
        <v>13513.6</v>
      </c>
      <c r="K219" s="91" t="s">
        <v>560</v>
      </c>
      <c r="L219" s="73"/>
      <c r="M219" s="46">
        <v>0</v>
      </c>
      <c r="N219" s="46">
        <v>0</v>
      </c>
      <c r="O219" s="46">
        <v>0</v>
      </c>
      <c r="P219" s="98"/>
      <c r="Q219" s="23" t="s">
        <v>1432</v>
      </c>
      <c r="R219" s="24" t="s">
        <v>558</v>
      </c>
      <c r="S219" s="25" t="s">
        <v>559</v>
      </c>
      <c r="T219" s="26">
        <v>32</v>
      </c>
      <c r="U219" s="26">
        <v>32</v>
      </c>
      <c r="V219" s="26">
        <v>422.3</v>
      </c>
      <c r="W219" s="26">
        <f t="shared" si="39"/>
        <v>0</v>
      </c>
      <c r="X219" s="26">
        <f t="shared" si="35"/>
        <v>0</v>
      </c>
      <c r="Y219" s="26">
        <f t="shared" si="40"/>
        <v>0</v>
      </c>
      <c r="Z219" s="26">
        <f t="shared" si="44"/>
        <v>0</v>
      </c>
      <c r="AA219" s="33" t="s">
        <v>15</v>
      </c>
      <c r="AB219" s="36" t="s">
        <v>16</v>
      </c>
      <c r="AC219" s="181">
        <f t="shared" si="41"/>
        <v>32</v>
      </c>
      <c r="AD219" s="181">
        <f t="shared" si="37"/>
        <v>13513.6</v>
      </c>
      <c r="AE219" s="181">
        <v>1.5</v>
      </c>
      <c r="AF219" s="181">
        <v>1.5</v>
      </c>
      <c r="AG219" s="101" t="str">
        <f t="shared" si="42"/>
        <v/>
      </c>
      <c r="AH219" s="190">
        <v>0</v>
      </c>
      <c r="AI219" s="69">
        <f t="shared" si="43"/>
        <v>32</v>
      </c>
    </row>
    <row r="220" spans="1:35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 t="s">
        <v>15</v>
      </c>
      <c r="I220" s="82"/>
      <c r="J220" s="82">
        <v>13861675.58</v>
      </c>
      <c r="K220" s="94" t="s">
        <v>15</v>
      </c>
      <c r="L220" s="73"/>
      <c r="M220" s="45">
        <v>1</v>
      </c>
      <c r="N220" s="45">
        <v>1382360.8599999999</v>
      </c>
      <c r="O220" s="45">
        <v>5797944.419999999</v>
      </c>
      <c r="P220" s="98"/>
      <c r="Q220" s="18" t="s">
        <v>1394</v>
      </c>
      <c r="R220" s="19" t="s">
        <v>562</v>
      </c>
      <c r="S220" s="20" t="s">
        <v>14</v>
      </c>
      <c r="T220" s="21">
        <v>1</v>
      </c>
      <c r="U220" s="21"/>
      <c r="V220" s="21">
        <f>SUMIFS(AD:AD,AE:AE,AE220)</f>
        <v>13861675.579999998</v>
      </c>
      <c r="W220" s="21">
        <f t="shared" ref="W220:X220" si="45">IF(Y220=0,0,1)</f>
        <v>1</v>
      </c>
      <c r="X220" s="21">
        <f t="shared" si="45"/>
        <v>1</v>
      </c>
      <c r="Y220" s="21">
        <f>SUMIFS(Y:Y,AF:AF,AE220)</f>
        <v>268785.58</v>
      </c>
      <c r="Z220" s="21">
        <f>SUMIFS(Z:Z,AF:AF,AE220)</f>
        <v>6066730</v>
      </c>
      <c r="AA220" s="22" t="s">
        <v>15</v>
      </c>
      <c r="AB220" s="43" t="s">
        <v>16</v>
      </c>
      <c r="AC220" s="181">
        <f t="shared" si="41"/>
        <v>1</v>
      </c>
      <c r="AD220" s="184"/>
      <c r="AE220" s="184">
        <v>1.6</v>
      </c>
      <c r="AF220" s="184"/>
      <c r="AG220" s="101" t="str">
        <f t="shared" si="42"/>
        <v/>
      </c>
      <c r="AH220" s="190">
        <v>1</v>
      </c>
      <c r="AI220" s="69">
        <f t="shared" si="43"/>
        <v>1</v>
      </c>
    </row>
    <row r="221" spans="1:35" s="69" customFormat="1" ht="58.5" hidden="1" x14ac:dyDescent="0.3">
      <c r="A221" s="55" t="s">
        <v>563</v>
      </c>
      <c r="B221" s="53" t="s">
        <v>564</v>
      </c>
      <c r="C221" s="54" t="s">
        <v>23</v>
      </c>
      <c r="D221" s="75">
        <v>256</v>
      </c>
      <c r="E221" s="75"/>
      <c r="F221" s="75"/>
      <c r="G221" s="75"/>
      <c r="H221" s="75">
        <v>380.68</v>
      </c>
      <c r="I221" s="75">
        <v>7517.56</v>
      </c>
      <c r="J221" s="75">
        <v>2861784.74</v>
      </c>
      <c r="K221" s="91" t="s">
        <v>565</v>
      </c>
      <c r="L221" s="73"/>
      <c r="M221" s="46">
        <v>144.1</v>
      </c>
      <c r="N221" s="46">
        <v>338290.19999999995</v>
      </c>
      <c r="O221" s="46">
        <v>1083280.3999999999</v>
      </c>
      <c r="P221" s="98"/>
      <c r="Q221" s="23" t="s">
        <v>1421</v>
      </c>
      <c r="R221" s="24" t="s">
        <v>564</v>
      </c>
      <c r="S221" s="25" t="s">
        <v>23</v>
      </c>
      <c r="T221" s="26">
        <v>256</v>
      </c>
      <c r="U221" s="26">
        <v>380.68</v>
      </c>
      <c r="V221" s="26">
        <v>7517.56</v>
      </c>
      <c r="W221" s="128">
        <f t="shared" ref="W221:W236" si="46">AH221-M221</f>
        <v>0</v>
      </c>
      <c r="X221" s="26">
        <f t="shared" si="35"/>
        <v>144.1</v>
      </c>
      <c r="Y221" s="26">
        <f t="shared" ref="Y221:Y236" si="47">Z221-O221</f>
        <v>0</v>
      </c>
      <c r="Z221" s="26">
        <f t="shared" si="44"/>
        <v>1083280.3999999999</v>
      </c>
      <c r="AA221" s="33" t="s">
        <v>15</v>
      </c>
      <c r="AB221" s="36" t="s">
        <v>16</v>
      </c>
      <c r="AC221" s="181">
        <f t="shared" si="41"/>
        <v>380.68</v>
      </c>
      <c r="AD221" s="181">
        <f t="shared" ref="AD221:AD236" si="48">ROUND(V221*AC221,2)</f>
        <v>2861784.74</v>
      </c>
      <c r="AE221" s="181">
        <v>1.6</v>
      </c>
      <c r="AF221" s="181">
        <v>1.6</v>
      </c>
      <c r="AG221" s="101" t="str">
        <f t="shared" si="42"/>
        <v/>
      </c>
      <c r="AH221" s="191">
        <v>144.1</v>
      </c>
      <c r="AI221" s="69">
        <f t="shared" si="43"/>
        <v>256</v>
      </c>
    </row>
    <row r="222" spans="1:35" s="69" customFormat="1" ht="58.5" hidden="1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917.25</v>
      </c>
      <c r="I222" s="75">
        <v>7496.96</v>
      </c>
      <c r="J222" s="75">
        <v>6876586.5599999996</v>
      </c>
      <c r="K222" s="91" t="s">
        <v>568</v>
      </c>
      <c r="L222" s="73"/>
      <c r="M222" s="46">
        <v>437.3</v>
      </c>
      <c r="N222" s="46">
        <v>412332.79999999981</v>
      </c>
      <c r="O222" s="46">
        <v>3278420.61</v>
      </c>
      <c r="P222" s="98"/>
      <c r="Q222" s="23" t="s">
        <v>1426</v>
      </c>
      <c r="R222" s="24" t="s">
        <v>567</v>
      </c>
      <c r="S222" s="25" t="s">
        <v>23</v>
      </c>
      <c r="T222" s="26">
        <v>766</v>
      </c>
      <c r="U222" s="26">
        <v>917.25</v>
      </c>
      <c r="V222" s="26">
        <v>7496.96</v>
      </c>
      <c r="W222" s="128">
        <f t="shared" si="46"/>
        <v>0</v>
      </c>
      <c r="X222" s="26">
        <f t="shared" si="35"/>
        <v>437.3</v>
      </c>
      <c r="Y222" s="26">
        <f t="shared" si="47"/>
        <v>0</v>
      </c>
      <c r="Z222" s="26">
        <f t="shared" si="44"/>
        <v>3278420.61</v>
      </c>
      <c r="AA222" s="33" t="s">
        <v>15</v>
      </c>
      <c r="AB222" s="36" t="s">
        <v>16</v>
      </c>
      <c r="AC222" s="181">
        <f t="shared" si="41"/>
        <v>917.25</v>
      </c>
      <c r="AD222" s="181">
        <f t="shared" si="48"/>
        <v>6876586.5599999996</v>
      </c>
      <c r="AE222" s="181">
        <v>1.6</v>
      </c>
      <c r="AF222" s="181">
        <v>1.6</v>
      </c>
      <c r="AG222" s="101" t="str">
        <f t="shared" si="42"/>
        <v/>
      </c>
      <c r="AH222" s="191">
        <v>437.3</v>
      </c>
      <c r="AI222" s="69">
        <f t="shared" si="43"/>
        <v>766</v>
      </c>
    </row>
    <row r="223" spans="1:35" s="69" customFormat="1" ht="33" hidden="1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 t="s">
        <v>15</v>
      </c>
      <c r="I223" s="75">
        <v>11.6</v>
      </c>
      <c r="J223" s="75">
        <v>59194.8</v>
      </c>
      <c r="K223" s="91" t="s">
        <v>571</v>
      </c>
      <c r="L223" s="73"/>
      <c r="M223" s="46">
        <v>798</v>
      </c>
      <c r="N223" s="46">
        <v>0</v>
      </c>
      <c r="O223" s="46">
        <v>9256.7999999999993</v>
      </c>
      <c r="P223" s="98"/>
      <c r="Q223" s="23" t="s">
        <v>1402</v>
      </c>
      <c r="R223" s="24" t="s">
        <v>570</v>
      </c>
      <c r="S223" s="25" t="s">
        <v>50</v>
      </c>
      <c r="T223" s="26">
        <v>5103</v>
      </c>
      <c r="U223" s="26">
        <v>5103</v>
      </c>
      <c r="V223" s="26">
        <v>11.6</v>
      </c>
      <c r="W223" s="128">
        <f t="shared" si="46"/>
        <v>0</v>
      </c>
      <c r="X223" s="26">
        <f t="shared" si="35"/>
        <v>798</v>
      </c>
      <c r="Y223" s="26">
        <f t="shared" si="47"/>
        <v>0</v>
      </c>
      <c r="Z223" s="26">
        <f t="shared" si="44"/>
        <v>9256.7999999999993</v>
      </c>
      <c r="AA223" s="33" t="s">
        <v>15</v>
      </c>
      <c r="AB223" s="36" t="s">
        <v>16</v>
      </c>
      <c r="AC223" s="181">
        <f t="shared" si="41"/>
        <v>5103</v>
      </c>
      <c r="AD223" s="181">
        <f t="shared" si="48"/>
        <v>59194.8</v>
      </c>
      <c r="AE223" s="181">
        <v>1.6</v>
      </c>
      <c r="AF223" s="181">
        <v>1.6</v>
      </c>
      <c r="AG223" s="101" t="str">
        <f t="shared" si="42"/>
        <v/>
      </c>
      <c r="AH223" s="191">
        <v>798</v>
      </c>
      <c r="AI223" s="69">
        <f t="shared" si="43"/>
        <v>5103</v>
      </c>
    </row>
    <row r="224" spans="1:35" s="69" customFormat="1" ht="39" hidden="1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6734.4</v>
      </c>
      <c r="I224" s="75">
        <v>42.46</v>
      </c>
      <c r="J224" s="75">
        <v>285942.62</v>
      </c>
      <c r="K224" s="91" t="s">
        <v>574</v>
      </c>
      <c r="L224" s="73"/>
      <c r="M224" s="46">
        <v>2381</v>
      </c>
      <c r="N224" s="46">
        <v>57745.599999999991</v>
      </c>
      <c r="O224" s="46">
        <v>101097.26</v>
      </c>
      <c r="P224" s="98"/>
      <c r="Q224" s="23" t="s">
        <v>1373</v>
      </c>
      <c r="R224" s="24" t="s">
        <v>573</v>
      </c>
      <c r="S224" s="25" t="s">
        <v>50</v>
      </c>
      <c r="T224" s="26">
        <v>5103</v>
      </c>
      <c r="U224" s="26">
        <v>6734.4</v>
      </c>
      <c r="V224" s="26">
        <v>42.46</v>
      </c>
      <c r="W224" s="128">
        <f t="shared" si="46"/>
        <v>0</v>
      </c>
      <c r="X224" s="26">
        <f t="shared" si="35"/>
        <v>2381</v>
      </c>
      <c r="Y224" s="26">
        <f t="shared" si="47"/>
        <v>0</v>
      </c>
      <c r="Z224" s="26">
        <f t="shared" si="44"/>
        <v>101097.26</v>
      </c>
      <c r="AA224" s="33" t="s">
        <v>15</v>
      </c>
      <c r="AB224" s="36" t="s">
        <v>16</v>
      </c>
      <c r="AC224" s="181">
        <f t="shared" si="41"/>
        <v>6734.4</v>
      </c>
      <c r="AD224" s="181">
        <f t="shared" si="48"/>
        <v>285942.62</v>
      </c>
      <c r="AE224" s="181">
        <v>1.6</v>
      </c>
      <c r="AF224" s="181">
        <v>1.6</v>
      </c>
      <c r="AG224" s="101" t="str">
        <f t="shared" si="42"/>
        <v/>
      </c>
      <c r="AH224" s="191">
        <v>2381</v>
      </c>
      <c r="AI224" s="69">
        <f t="shared" si="43"/>
        <v>5103</v>
      </c>
    </row>
    <row r="225" spans="1:35" s="69" customFormat="1" ht="39" hidden="1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19027.2</v>
      </c>
      <c r="I225" s="75">
        <v>15.96</v>
      </c>
      <c r="J225" s="75">
        <v>303674.11</v>
      </c>
      <c r="K225" s="91" t="s">
        <v>577</v>
      </c>
      <c r="L225" s="73"/>
      <c r="M225" s="46">
        <v>7986</v>
      </c>
      <c r="N225" s="46">
        <v>43411.199999999997</v>
      </c>
      <c r="O225" s="46">
        <v>127456.56</v>
      </c>
      <c r="P225" s="98"/>
      <c r="Q225" s="23" t="s">
        <v>1393</v>
      </c>
      <c r="R225" s="24" t="s">
        <v>576</v>
      </c>
      <c r="S225" s="25" t="s">
        <v>50</v>
      </c>
      <c r="T225" s="26">
        <v>15307</v>
      </c>
      <c r="U225" s="26">
        <v>19027.2</v>
      </c>
      <c r="V225" s="26">
        <v>15.96</v>
      </c>
      <c r="W225" s="128">
        <f t="shared" si="46"/>
        <v>0</v>
      </c>
      <c r="X225" s="26">
        <f t="shared" si="35"/>
        <v>7986</v>
      </c>
      <c r="Y225" s="26">
        <f t="shared" si="47"/>
        <v>0</v>
      </c>
      <c r="Z225" s="26">
        <f t="shared" si="44"/>
        <v>127456.56</v>
      </c>
      <c r="AA225" s="33" t="s">
        <v>15</v>
      </c>
      <c r="AB225" s="36" t="s">
        <v>16</v>
      </c>
      <c r="AC225" s="181">
        <f t="shared" si="41"/>
        <v>19027.2</v>
      </c>
      <c r="AD225" s="181">
        <f t="shared" si="48"/>
        <v>303674.11</v>
      </c>
      <c r="AE225" s="181">
        <v>1.6</v>
      </c>
      <c r="AF225" s="181">
        <v>1.6</v>
      </c>
      <c r="AG225" s="101" t="str">
        <f t="shared" si="42"/>
        <v/>
      </c>
      <c r="AH225" s="191">
        <v>7986</v>
      </c>
      <c r="AI225" s="69">
        <f t="shared" si="43"/>
        <v>15307</v>
      </c>
    </row>
    <row r="226" spans="1:35" s="69" customFormat="1" ht="39" hidden="1" x14ac:dyDescent="0.3">
      <c r="A226" s="55" t="s">
        <v>578</v>
      </c>
      <c r="B226" s="53" t="s">
        <v>392</v>
      </c>
      <c r="C226" s="54" t="s">
        <v>23</v>
      </c>
      <c r="D226" s="75">
        <v>24</v>
      </c>
      <c r="E226" s="75"/>
      <c r="F226" s="75"/>
      <c r="G226" s="75"/>
      <c r="H226" s="75" t="s">
        <v>15</v>
      </c>
      <c r="I226" s="75">
        <v>3115.13</v>
      </c>
      <c r="J226" s="75">
        <v>74763.12</v>
      </c>
      <c r="K226" s="91" t="s">
        <v>114</v>
      </c>
      <c r="L226" s="73"/>
      <c r="M226" s="46">
        <v>5</v>
      </c>
      <c r="N226" s="46">
        <v>15575.65</v>
      </c>
      <c r="O226" s="46">
        <v>15575.65</v>
      </c>
      <c r="P226" s="98"/>
      <c r="Q226" s="23" t="s">
        <v>1403</v>
      </c>
      <c r="R226" s="24" t="s">
        <v>392</v>
      </c>
      <c r="S226" s="25" t="s">
        <v>23</v>
      </c>
      <c r="T226" s="26">
        <v>24</v>
      </c>
      <c r="U226" s="26">
        <v>24</v>
      </c>
      <c r="V226" s="26">
        <v>3115.13</v>
      </c>
      <c r="W226" s="128">
        <f t="shared" si="46"/>
        <v>0</v>
      </c>
      <c r="X226" s="26">
        <f t="shared" si="35"/>
        <v>5</v>
      </c>
      <c r="Y226" s="26">
        <f t="shared" si="47"/>
        <v>0</v>
      </c>
      <c r="Z226" s="26">
        <f t="shared" si="44"/>
        <v>15575.65</v>
      </c>
      <c r="AA226" s="33" t="s">
        <v>15</v>
      </c>
      <c r="AB226" s="36" t="s">
        <v>16</v>
      </c>
      <c r="AC226" s="181">
        <f t="shared" si="41"/>
        <v>24</v>
      </c>
      <c r="AD226" s="181">
        <f t="shared" si="48"/>
        <v>74763.12</v>
      </c>
      <c r="AE226" s="181">
        <v>1.6</v>
      </c>
      <c r="AF226" s="181">
        <v>1.6</v>
      </c>
      <c r="AG226" s="101" t="str">
        <f t="shared" si="42"/>
        <v/>
      </c>
      <c r="AH226" s="191">
        <v>5</v>
      </c>
      <c r="AI226" s="69">
        <f t="shared" si="43"/>
        <v>24</v>
      </c>
    </row>
    <row r="227" spans="1:35" s="69" customFormat="1" ht="39" hidden="1" x14ac:dyDescent="0.3">
      <c r="A227" s="55" t="s">
        <v>579</v>
      </c>
      <c r="B227" s="53" t="s">
        <v>116</v>
      </c>
      <c r="C227" s="54" t="s">
        <v>23</v>
      </c>
      <c r="D227" s="75">
        <v>237</v>
      </c>
      <c r="E227" s="75"/>
      <c r="F227" s="75"/>
      <c r="G227" s="75"/>
      <c r="H227" s="75" t="s">
        <v>15</v>
      </c>
      <c r="I227" s="75">
        <v>3321.13</v>
      </c>
      <c r="J227" s="75">
        <v>787107.81</v>
      </c>
      <c r="K227" s="91" t="s">
        <v>117</v>
      </c>
      <c r="L227" s="73"/>
      <c r="M227" s="46">
        <v>87.75</v>
      </c>
      <c r="N227" s="46">
        <v>172698.75999999998</v>
      </c>
      <c r="O227" s="46">
        <v>291429.15999999997</v>
      </c>
      <c r="P227" s="98"/>
      <c r="Q227" s="23" t="s">
        <v>1427</v>
      </c>
      <c r="R227" s="24" t="s">
        <v>116</v>
      </c>
      <c r="S227" s="25" t="s">
        <v>23</v>
      </c>
      <c r="T227" s="26">
        <v>237</v>
      </c>
      <c r="U227" s="26">
        <v>237</v>
      </c>
      <c r="V227" s="26">
        <v>3321.13</v>
      </c>
      <c r="W227" s="128">
        <f t="shared" si="46"/>
        <v>32.599999999999994</v>
      </c>
      <c r="X227" s="26">
        <f t="shared" si="35"/>
        <v>120.35</v>
      </c>
      <c r="Y227" s="26">
        <f t="shared" si="47"/>
        <v>108268.84000000003</v>
      </c>
      <c r="Z227" s="26">
        <f t="shared" si="44"/>
        <v>399698</v>
      </c>
      <c r="AA227" s="33" t="s">
        <v>15</v>
      </c>
      <c r="AB227" s="36" t="s">
        <v>16</v>
      </c>
      <c r="AC227" s="181">
        <f t="shared" si="41"/>
        <v>237</v>
      </c>
      <c r="AD227" s="181">
        <f t="shared" si="48"/>
        <v>787107.81</v>
      </c>
      <c r="AE227" s="181">
        <v>1.6</v>
      </c>
      <c r="AF227" s="181">
        <v>1.6</v>
      </c>
      <c r="AG227" s="101" t="str">
        <f t="shared" si="42"/>
        <v/>
      </c>
      <c r="AH227" s="191">
        <v>120.35</v>
      </c>
      <c r="AI227" s="69">
        <f t="shared" si="43"/>
        <v>237</v>
      </c>
    </row>
    <row r="228" spans="1:35" s="69" customFormat="1" ht="39" hidden="1" x14ac:dyDescent="0.3">
      <c r="A228" s="55" t="s">
        <v>580</v>
      </c>
      <c r="B228" s="53" t="s">
        <v>493</v>
      </c>
      <c r="C228" s="54" t="s">
        <v>23</v>
      </c>
      <c r="D228" s="75">
        <v>261</v>
      </c>
      <c r="E228" s="75"/>
      <c r="F228" s="75"/>
      <c r="G228" s="75"/>
      <c r="H228" s="75" t="s">
        <v>15</v>
      </c>
      <c r="I228" s="75">
        <v>200</v>
      </c>
      <c r="J228" s="75">
        <v>52200</v>
      </c>
      <c r="K228" s="91" t="s">
        <v>494</v>
      </c>
      <c r="L228" s="73"/>
      <c r="M228" s="46">
        <v>92.75</v>
      </c>
      <c r="N228" s="46">
        <v>11400</v>
      </c>
      <c r="O228" s="46">
        <v>18550</v>
      </c>
      <c r="P228" s="98"/>
      <c r="Q228" s="23" t="s">
        <v>1428</v>
      </c>
      <c r="R228" s="24" t="s">
        <v>493</v>
      </c>
      <c r="S228" s="25" t="s">
        <v>23</v>
      </c>
      <c r="T228" s="26">
        <v>261</v>
      </c>
      <c r="U228" s="26">
        <v>261</v>
      </c>
      <c r="V228" s="26">
        <v>200</v>
      </c>
      <c r="W228" s="128">
        <f t="shared" si="46"/>
        <v>32.599999999999994</v>
      </c>
      <c r="X228" s="26">
        <f t="shared" si="35"/>
        <v>125.35</v>
      </c>
      <c r="Y228" s="26">
        <f t="shared" si="47"/>
        <v>6520</v>
      </c>
      <c r="Z228" s="26">
        <f t="shared" si="44"/>
        <v>25070</v>
      </c>
      <c r="AA228" s="33" t="s">
        <v>15</v>
      </c>
      <c r="AB228" s="36" t="s">
        <v>16</v>
      </c>
      <c r="AC228" s="181">
        <f t="shared" si="41"/>
        <v>261</v>
      </c>
      <c r="AD228" s="181">
        <f t="shared" si="48"/>
        <v>52200</v>
      </c>
      <c r="AE228" s="181">
        <v>1.6</v>
      </c>
      <c r="AF228" s="181">
        <v>1.6</v>
      </c>
      <c r="AG228" s="101" t="str">
        <f t="shared" si="42"/>
        <v/>
      </c>
      <c r="AH228" s="191">
        <v>125.35</v>
      </c>
      <c r="AI228" s="69">
        <f t="shared" si="43"/>
        <v>261</v>
      </c>
    </row>
    <row r="229" spans="1:35" s="69" customFormat="1" ht="33" hidden="1" x14ac:dyDescent="0.3">
      <c r="A229" s="55" t="s">
        <v>581</v>
      </c>
      <c r="B229" s="53" t="s">
        <v>582</v>
      </c>
      <c r="C229" s="54" t="s">
        <v>50</v>
      </c>
      <c r="D229" s="75">
        <v>745</v>
      </c>
      <c r="E229" s="75"/>
      <c r="F229" s="75"/>
      <c r="G229" s="75"/>
      <c r="H229" s="75" t="s">
        <v>15</v>
      </c>
      <c r="I229" s="75">
        <v>698.31</v>
      </c>
      <c r="J229" s="75">
        <v>520240.95</v>
      </c>
      <c r="K229" s="91" t="s">
        <v>583</v>
      </c>
      <c r="L229" s="73"/>
      <c r="M229" s="46">
        <v>256</v>
      </c>
      <c r="N229" s="46">
        <v>124299.18</v>
      </c>
      <c r="O229" s="46">
        <v>178767.35999999999</v>
      </c>
      <c r="P229" s="98"/>
      <c r="Q229" s="23" t="s">
        <v>1387</v>
      </c>
      <c r="R229" s="24" t="s">
        <v>582</v>
      </c>
      <c r="S229" s="25" t="s">
        <v>50</v>
      </c>
      <c r="T229" s="26">
        <v>745</v>
      </c>
      <c r="U229" s="26">
        <v>745</v>
      </c>
      <c r="V229" s="26">
        <v>698.31</v>
      </c>
      <c r="W229" s="128">
        <f t="shared" si="46"/>
        <v>0</v>
      </c>
      <c r="X229" s="26">
        <f t="shared" si="35"/>
        <v>256</v>
      </c>
      <c r="Y229" s="26">
        <f t="shared" si="47"/>
        <v>0</v>
      </c>
      <c r="Z229" s="26">
        <f t="shared" si="44"/>
        <v>178767.35999999999</v>
      </c>
      <c r="AA229" s="33" t="s">
        <v>15</v>
      </c>
      <c r="AB229" s="36" t="s">
        <v>16</v>
      </c>
      <c r="AC229" s="181">
        <f t="shared" si="41"/>
        <v>745</v>
      </c>
      <c r="AD229" s="181">
        <f t="shared" si="48"/>
        <v>520240.95</v>
      </c>
      <c r="AE229" s="181">
        <v>1.6</v>
      </c>
      <c r="AF229" s="181">
        <v>1.6</v>
      </c>
      <c r="AG229" s="101" t="str">
        <f t="shared" si="42"/>
        <v/>
      </c>
      <c r="AH229" s="191">
        <v>256</v>
      </c>
      <c r="AI229" s="69">
        <f t="shared" si="43"/>
        <v>745</v>
      </c>
    </row>
    <row r="230" spans="1:35" s="69" customFormat="1" ht="41.25" hidden="1" x14ac:dyDescent="0.3">
      <c r="A230" s="55" t="s">
        <v>584</v>
      </c>
      <c r="B230" s="53" t="s">
        <v>119</v>
      </c>
      <c r="C230" s="54" t="s">
        <v>50</v>
      </c>
      <c r="D230" s="75">
        <v>915</v>
      </c>
      <c r="E230" s="75"/>
      <c r="F230" s="75"/>
      <c r="G230" s="75"/>
      <c r="H230" s="75" t="s">
        <v>15</v>
      </c>
      <c r="I230" s="75">
        <v>533.64</v>
      </c>
      <c r="J230" s="75">
        <v>488280.6</v>
      </c>
      <c r="K230" s="91" t="s">
        <v>120</v>
      </c>
      <c r="L230" s="73"/>
      <c r="M230" s="46">
        <v>254.5</v>
      </c>
      <c r="N230" s="46">
        <v>97656.12</v>
      </c>
      <c r="O230" s="46">
        <v>135811.38</v>
      </c>
      <c r="P230" s="98"/>
      <c r="Q230" s="23" t="s">
        <v>1405</v>
      </c>
      <c r="R230" s="24" t="s">
        <v>119</v>
      </c>
      <c r="S230" s="25" t="s">
        <v>50</v>
      </c>
      <c r="T230" s="26">
        <v>915</v>
      </c>
      <c r="U230" s="26">
        <v>915</v>
      </c>
      <c r="V230" s="26">
        <v>533.64</v>
      </c>
      <c r="W230" s="128">
        <f t="shared" si="46"/>
        <v>0</v>
      </c>
      <c r="X230" s="26">
        <f t="shared" si="35"/>
        <v>254.5</v>
      </c>
      <c r="Y230" s="26">
        <f t="shared" si="47"/>
        <v>0</v>
      </c>
      <c r="Z230" s="26">
        <f t="shared" si="44"/>
        <v>135811.38</v>
      </c>
      <c r="AA230" s="33" t="s">
        <v>15</v>
      </c>
      <c r="AB230" s="36" t="s">
        <v>16</v>
      </c>
      <c r="AC230" s="181">
        <f t="shared" si="41"/>
        <v>915</v>
      </c>
      <c r="AD230" s="181">
        <f t="shared" si="48"/>
        <v>488280.6</v>
      </c>
      <c r="AE230" s="181">
        <v>1.6</v>
      </c>
      <c r="AF230" s="181">
        <v>1.6</v>
      </c>
      <c r="AG230" s="101" t="str">
        <f t="shared" si="42"/>
        <v/>
      </c>
      <c r="AH230" s="191">
        <v>254.5</v>
      </c>
      <c r="AI230" s="69">
        <f t="shared" si="43"/>
        <v>915</v>
      </c>
    </row>
    <row r="231" spans="1:35" s="69" customFormat="1" ht="33" hidden="1" x14ac:dyDescent="0.3">
      <c r="A231" s="130" t="s">
        <v>585</v>
      </c>
      <c r="B231" s="131" t="s">
        <v>109</v>
      </c>
      <c r="C231" s="132" t="s">
        <v>110</v>
      </c>
      <c r="D231" s="133">
        <v>9227</v>
      </c>
      <c r="E231" s="75"/>
      <c r="F231" s="75"/>
      <c r="G231" s="75"/>
      <c r="H231" s="75" t="s">
        <v>15</v>
      </c>
      <c r="I231" s="75">
        <v>36.4</v>
      </c>
      <c r="J231" s="75">
        <v>335862.8</v>
      </c>
      <c r="K231" s="91" t="s">
        <v>111</v>
      </c>
      <c r="L231" s="73"/>
      <c r="M231" s="46">
        <v>8777</v>
      </c>
      <c r="N231" s="46">
        <v>36836.799999999988</v>
      </c>
      <c r="O231" s="46">
        <v>319482.8</v>
      </c>
      <c r="P231" s="98"/>
      <c r="Q231" s="23" t="s">
        <v>1406</v>
      </c>
      <c r="R231" s="24" t="s">
        <v>109</v>
      </c>
      <c r="S231" s="25" t="s">
        <v>110</v>
      </c>
      <c r="T231" s="26">
        <v>9227</v>
      </c>
      <c r="U231" s="26">
        <v>9227</v>
      </c>
      <c r="V231" s="26">
        <v>36.4</v>
      </c>
      <c r="W231" s="128">
        <f t="shared" si="46"/>
        <v>450</v>
      </c>
      <c r="X231" s="127">
        <f t="shared" si="35"/>
        <v>9227</v>
      </c>
      <c r="Y231" s="127">
        <f t="shared" si="47"/>
        <v>16380</v>
      </c>
      <c r="Z231" s="127">
        <f t="shared" si="44"/>
        <v>335862.8</v>
      </c>
      <c r="AA231" s="33" t="s">
        <v>15</v>
      </c>
      <c r="AB231" s="36" t="s">
        <v>16</v>
      </c>
      <c r="AC231" s="181">
        <f t="shared" si="41"/>
        <v>9227</v>
      </c>
      <c r="AD231" s="181">
        <f t="shared" si="48"/>
        <v>335862.8</v>
      </c>
      <c r="AE231" s="181">
        <v>1.6</v>
      </c>
      <c r="AF231" s="181">
        <v>1.6</v>
      </c>
      <c r="AG231" s="101" t="str">
        <f t="shared" si="42"/>
        <v/>
      </c>
      <c r="AH231" s="191">
        <v>9227</v>
      </c>
      <c r="AI231" s="69">
        <f t="shared" si="43"/>
        <v>9227</v>
      </c>
    </row>
    <row r="232" spans="1:35" s="69" customFormat="1" ht="58.5" hidden="1" x14ac:dyDescent="0.3">
      <c r="A232" s="55" t="s">
        <v>586</v>
      </c>
      <c r="B232" s="53" t="s">
        <v>587</v>
      </c>
      <c r="C232" s="54" t="s">
        <v>513</v>
      </c>
      <c r="D232" s="75">
        <v>189</v>
      </c>
      <c r="E232" s="75"/>
      <c r="F232" s="75"/>
      <c r="G232" s="75"/>
      <c r="H232" s="75" t="s">
        <v>15</v>
      </c>
      <c r="I232" s="75">
        <v>40</v>
      </c>
      <c r="J232" s="75">
        <v>7560</v>
      </c>
      <c r="K232" s="91" t="s">
        <v>588</v>
      </c>
      <c r="L232" s="73"/>
      <c r="M232" s="46">
        <v>0</v>
      </c>
      <c r="N232" s="46">
        <v>0</v>
      </c>
      <c r="O232" s="46">
        <v>0</v>
      </c>
      <c r="P232" s="98"/>
      <c r="Q232" s="23" t="s">
        <v>1414</v>
      </c>
      <c r="R232" s="24" t="s">
        <v>587</v>
      </c>
      <c r="S232" s="25" t="s">
        <v>513</v>
      </c>
      <c r="T232" s="26">
        <v>189</v>
      </c>
      <c r="U232" s="26">
        <v>189</v>
      </c>
      <c r="V232" s="26">
        <v>40</v>
      </c>
      <c r="W232" s="26">
        <f t="shared" si="46"/>
        <v>0</v>
      </c>
      <c r="X232" s="26">
        <f t="shared" si="35"/>
        <v>0</v>
      </c>
      <c r="Y232" s="26">
        <f t="shared" si="47"/>
        <v>0</v>
      </c>
      <c r="Z232" s="26">
        <f t="shared" si="44"/>
        <v>0</v>
      </c>
      <c r="AA232" s="33" t="s">
        <v>15</v>
      </c>
      <c r="AB232" s="36" t="s">
        <v>16</v>
      </c>
      <c r="AC232" s="181">
        <f t="shared" si="41"/>
        <v>189</v>
      </c>
      <c r="AD232" s="181">
        <f t="shared" si="48"/>
        <v>7560</v>
      </c>
      <c r="AE232" s="181">
        <v>1.6</v>
      </c>
      <c r="AF232" s="181">
        <v>1.6</v>
      </c>
      <c r="AG232" s="101" t="str">
        <f t="shared" si="42"/>
        <v/>
      </c>
      <c r="AH232" s="190">
        <v>0</v>
      </c>
      <c r="AI232" s="69">
        <f t="shared" si="43"/>
        <v>189</v>
      </c>
    </row>
    <row r="233" spans="1:35" s="69" customFormat="1" ht="58.5" hidden="1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 t="s">
        <v>15</v>
      </c>
      <c r="I233" s="75">
        <v>3615.3</v>
      </c>
      <c r="J233" s="75">
        <v>426605.4</v>
      </c>
      <c r="K233" s="91" t="s">
        <v>591</v>
      </c>
      <c r="L233" s="73"/>
      <c r="M233" s="46">
        <v>22</v>
      </c>
      <c r="N233" s="46">
        <v>0</v>
      </c>
      <c r="O233" s="46">
        <v>79536.600000000006</v>
      </c>
      <c r="P233" s="98"/>
      <c r="Q233" s="23" t="s">
        <v>1429</v>
      </c>
      <c r="R233" s="24" t="s">
        <v>590</v>
      </c>
      <c r="S233" s="25" t="s">
        <v>325</v>
      </c>
      <c r="T233" s="26">
        <v>118</v>
      </c>
      <c r="U233" s="26">
        <v>118</v>
      </c>
      <c r="V233" s="26">
        <v>3615.3</v>
      </c>
      <c r="W233" s="128">
        <f t="shared" si="46"/>
        <v>18</v>
      </c>
      <c r="X233" s="26">
        <f t="shared" si="35"/>
        <v>40</v>
      </c>
      <c r="Y233" s="26">
        <f t="shared" si="47"/>
        <v>65075.399999999994</v>
      </c>
      <c r="Z233" s="26">
        <f t="shared" si="44"/>
        <v>144612</v>
      </c>
      <c r="AA233" s="33" t="s">
        <v>15</v>
      </c>
      <c r="AB233" s="36" t="s">
        <v>16</v>
      </c>
      <c r="AC233" s="181">
        <f t="shared" si="41"/>
        <v>118</v>
      </c>
      <c r="AD233" s="181">
        <f t="shared" si="48"/>
        <v>426605.4</v>
      </c>
      <c r="AE233" s="181">
        <v>1.6</v>
      </c>
      <c r="AF233" s="181">
        <v>1.6</v>
      </c>
      <c r="AG233" s="101" t="str">
        <f t="shared" si="42"/>
        <v/>
      </c>
      <c r="AH233" s="191">
        <v>40</v>
      </c>
      <c r="AI233" s="69">
        <f t="shared" si="43"/>
        <v>118</v>
      </c>
    </row>
    <row r="234" spans="1:35" s="69" customFormat="1" ht="58.5" hidden="1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 t="s">
        <v>15</v>
      </c>
      <c r="I234" s="75">
        <v>113.98</v>
      </c>
      <c r="J234" s="75">
        <v>316066.53999999998</v>
      </c>
      <c r="K234" s="91" t="s">
        <v>594</v>
      </c>
      <c r="L234" s="73"/>
      <c r="M234" s="46">
        <v>517</v>
      </c>
      <c r="N234" s="46">
        <v>0</v>
      </c>
      <c r="O234" s="46">
        <v>58927.66</v>
      </c>
      <c r="P234" s="98"/>
      <c r="Q234" s="23" t="s">
        <v>1430</v>
      </c>
      <c r="R234" s="24" t="s">
        <v>593</v>
      </c>
      <c r="S234" s="25" t="s">
        <v>110</v>
      </c>
      <c r="T234" s="26">
        <v>2773</v>
      </c>
      <c r="U234" s="26">
        <v>2773</v>
      </c>
      <c r="V234" s="26">
        <v>113.98</v>
      </c>
      <c r="W234" s="128">
        <f t="shared" si="46"/>
        <v>423</v>
      </c>
      <c r="X234" s="26">
        <f t="shared" si="35"/>
        <v>940</v>
      </c>
      <c r="Y234" s="26">
        <f t="shared" si="47"/>
        <v>48213.539999999994</v>
      </c>
      <c r="Z234" s="26">
        <f t="shared" si="44"/>
        <v>107141.2</v>
      </c>
      <c r="AA234" s="33" t="s">
        <v>15</v>
      </c>
      <c r="AB234" s="36" t="s">
        <v>16</v>
      </c>
      <c r="AC234" s="181">
        <f t="shared" si="41"/>
        <v>2773</v>
      </c>
      <c r="AD234" s="181">
        <f t="shared" si="48"/>
        <v>316066.53999999998</v>
      </c>
      <c r="AE234" s="181">
        <v>1.6</v>
      </c>
      <c r="AF234" s="181">
        <v>1.6</v>
      </c>
      <c r="AG234" s="101" t="str">
        <f t="shared" si="42"/>
        <v/>
      </c>
      <c r="AH234" s="191">
        <v>940</v>
      </c>
      <c r="AI234" s="69">
        <f t="shared" si="43"/>
        <v>2773</v>
      </c>
    </row>
    <row r="235" spans="1:35" s="69" customFormat="1" ht="33" hidden="1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6" t="s">
        <v>15</v>
      </c>
      <c r="I235" s="75">
        <v>138.84</v>
      </c>
      <c r="J235" s="75">
        <v>15550.08</v>
      </c>
      <c r="K235" s="91" t="s">
        <v>190</v>
      </c>
      <c r="L235" s="73"/>
      <c r="M235" s="46">
        <v>0</v>
      </c>
      <c r="N235" s="46">
        <v>0</v>
      </c>
      <c r="O235" s="46">
        <v>0</v>
      </c>
      <c r="P235" s="98"/>
      <c r="Q235" s="23" t="s">
        <v>1431</v>
      </c>
      <c r="R235" s="24" t="s">
        <v>189</v>
      </c>
      <c r="S235" s="25" t="s">
        <v>30</v>
      </c>
      <c r="T235" s="26">
        <v>112</v>
      </c>
      <c r="U235" s="26">
        <v>112</v>
      </c>
      <c r="V235" s="26">
        <v>138.84</v>
      </c>
      <c r="W235" s="26">
        <f t="shared" si="46"/>
        <v>0</v>
      </c>
      <c r="X235" s="26">
        <f t="shared" si="35"/>
        <v>0</v>
      </c>
      <c r="Y235" s="26">
        <f t="shared" si="47"/>
        <v>0</v>
      </c>
      <c r="Z235" s="26">
        <f t="shared" si="44"/>
        <v>0</v>
      </c>
      <c r="AA235" s="33" t="s">
        <v>15</v>
      </c>
      <c r="AB235" s="36" t="s">
        <v>16</v>
      </c>
      <c r="AC235" s="181">
        <f t="shared" si="41"/>
        <v>112</v>
      </c>
      <c r="AD235" s="181">
        <f t="shared" si="48"/>
        <v>15550.08</v>
      </c>
      <c r="AE235" s="181">
        <v>1.6</v>
      </c>
      <c r="AF235" s="181">
        <v>1.6</v>
      </c>
      <c r="AG235" s="101" t="str">
        <f t="shared" si="42"/>
        <v/>
      </c>
      <c r="AH235" s="190">
        <v>0</v>
      </c>
      <c r="AI235" s="69">
        <f t="shared" si="43"/>
        <v>112</v>
      </c>
    </row>
    <row r="236" spans="1:35" ht="39" hidden="1" x14ac:dyDescent="0.3">
      <c r="A236" s="67" t="s">
        <v>1334</v>
      </c>
      <c r="B236" s="64" t="s">
        <v>1335</v>
      </c>
      <c r="C236" s="61" t="s">
        <v>50</v>
      </c>
      <c r="D236" s="78"/>
      <c r="E236" s="78"/>
      <c r="F236" s="62">
        <v>518.22</v>
      </c>
      <c r="G236" s="140"/>
      <c r="H236" s="62" t="s">
        <v>15</v>
      </c>
      <c r="I236" s="167">
        <v>868.85</v>
      </c>
      <c r="J236" s="62">
        <v>450255.45</v>
      </c>
      <c r="K236" s="93"/>
      <c r="M236" s="46">
        <v>115.5</v>
      </c>
      <c r="N236" s="46">
        <v>72114.549999999988</v>
      </c>
      <c r="O236" s="46">
        <v>100352.18</v>
      </c>
      <c r="P236" s="98"/>
      <c r="Q236" s="23" t="s">
        <v>1395</v>
      </c>
      <c r="R236" s="24" t="s">
        <v>1396</v>
      </c>
      <c r="S236" s="25" t="s">
        <v>50</v>
      </c>
      <c r="T236" s="26">
        <v>0</v>
      </c>
      <c r="U236" s="26">
        <v>518.22</v>
      </c>
      <c r="V236" s="26">
        <v>868.85</v>
      </c>
      <c r="W236" s="128">
        <f t="shared" si="46"/>
        <v>28</v>
      </c>
      <c r="X236" s="26">
        <f t="shared" si="35"/>
        <v>143.5</v>
      </c>
      <c r="Y236" s="26">
        <f t="shared" si="47"/>
        <v>24327.800000000003</v>
      </c>
      <c r="Z236" s="26">
        <f t="shared" si="44"/>
        <v>124679.98</v>
      </c>
      <c r="AA236" s="27"/>
      <c r="AB236" s="36" t="s">
        <v>16</v>
      </c>
      <c r="AC236" s="181">
        <f t="shared" si="41"/>
        <v>518.22</v>
      </c>
      <c r="AD236" s="181">
        <f t="shared" si="48"/>
        <v>450255.45</v>
      </c>
      <c r="AE236" s="181">
        <v>1.6</v>
      </c>
      <c r="AF236" s="181">
        <v>1.6</v>
      </c>
      <c r="AG236" s="101" t="str">
        <f t="shared" si="42"/>
        <v/>
      </c>
      <c r="AH236" s="191">
        <v>143.5</v>
      </c>
      <c r="AI236" s="69">
        <f t="shared" si="43"/>
        <v>518.22</v>
      </c>
    </row>
    <row r="237" spans="1:35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4" t="s">
        <v>15</v>
      </c>
      <c r="I237" s="82"/>
      <c r="J237" s="82">
        <v>7859013.9699999997</v>
      </c>
      <c r="K237" s="94" t="s">
        <v>15</v>
      </c>
      <c r="L237" s="73"/>
      <c r="M237" s="45">
        <v>1</v>
      </c>
      <c r="N237" s="45">
        <v>0</v>
      </c>
      <c r="O237" s="45">
        <v>2680245.5200000005</v>
      </c>
      <c r="P237" s="98"/>
      <c r="Q237" s="18" t="s">
        <v>1397</v>
      </c>
      <c r="R237" s="19" t="s">
        <v>597</v>
      </c>
      <c r="S237" s="20" t="s">
        <v>14</v>
      </c>
      <c r="T237" s="21">
        <v>1</v>
      </c>
      <c r="U237" s="21"/>
      <c r="V237" s="21">
        <f>SUMIFS(AD:AD,AE:AE,AE237)</f>
        <v>7859013.9699999997</v>
      </c>
      <c r="W237" s="21">
        <f t="shared" ref="W237:X237" si="49">IF(Y237=0,0,1)</f>
        <v>0</v>
      </c>
      <c r="X237" s="21">
        <f t="shared" si="49"/>
        <v>1</v>
      </c>
      <c r="Y237" s="21">
        <f>SUMIFS(Y:Y,AF:AF,AE237)</f>
        <v>0</v>
      </c>
      <c r="Z237" s="21">
        <f>SUMIFS(Z:Z,AF:AF,AE237)</f>
        <v>2680245.5200000005</v>
      </c>
      <c r="AA237" s="22" t="s">
        <v>15</v>
      </c>
      <c r="AB237" s="43" t="s">
        <v>16</v>
      </c>
      <c r="AC237" s="181">
        <f t="shared" si="41"/>
        <v>1</v>
      </c>
      <c r="AD237" s="184"/>
      <c r="AE237" s="184">
        <v>1.7</v>
      </c>
      <c r="AF237" s="184"/>
      <c r="AG237" s="101" t="str">
        <f t="shared" si="42"/>
        <v/>
      </c>
      <c r="AH237" s="190">
        <v>1</v>
      </c>
      <c r="AI237" s="69">
        <f t="shared" si="43"/>
        <v>1</v>
      </c>
    </row>
    <row r="238" spans="1:35" s="69" customFormat="1" ht="39" hidden="1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 t="s">
        <v>15</v>
      </c>
      <c r="I238" s="75">
        <v>704.52</v>
      </c>
      <c r="J238" s="75">
        <v>1829427.08</v>
      </c>
      <c r="K238" s="91" t="s">
        <v>600</v>
      </c>
      <c r="L238" s="73"/>
      <c r="M238" s="46">
        <v>316</v>
      </c>
      <c r="N238" s="46">
        <v>0</v>
      </c>
      <c r="O238" s="46">
        <v>222628.32</v>
      </c>
      <c r="P238" s="98"/>
      <c r="Q238" s="23" t="s">
        <v>1421</v>
      </c>
      <c r="R238" s="24" t="s">
        <v>599</v>
      </c>
      <c r="S238" s="25" t="s">
        <v>103</v>
      </c>
      <c r="T238" s="26">
        <v>2596.6999999999998</v>
      </c>
      <c r="U238" s="26">
        <v>2596.6999999999998</v>
      </c>
      <c r="V238" s="26">
        <v>704.52</v>
      </c>
      <c r="W238" s="128">
        <f t="shared" ref="W238:W301" si="50">AH238-M238</f>
        <v>0</v>
      </c>
      <c r="X238" s="26">
        <f t="shared" si="35"/>
        <v>316</v>
      </c>
      <c r="Y238" s="26">
        <f t="shared" ref="Y238:Y301" si="51">Z238-O238</f>
        <v>0</v>
      </c>
      <c r="Z238" s="26">
        <f t="shared" si="44"/>
        <v>222628.32</v>
      </c>
      <c r="AA238" s="33" t="s">
        <v>15</v>
      </c>
      <c r="AB238" s="36" t="s">
        <v>16</v>
      </c>
      <c r="AC238" s="181">
        <f t="shared" si="41"/>
        <v>2596.6999999999998</v>
      </c>
      <c r="AD238" s="181">
        <f t="shared" ref="AD238:AD301" si="52">ROUND(V238*AC238,2)</f>
        <v>1829427.08</v>
      </c>
      <c r="AE238" s="181">
        <v>1.7</v>
      </c>
      <c r="AF238" s="181">
        <v>1.7</v>
      </c>
      <c r="AG238" s="101" t="str">
        <f t="shared" si="42"/>
        <v/>
      </c>
      <c r="AH238" s="191">
        <v>316</v>
      </c>
      <c r="AI238" s="69">
        <f t="shared" si="43"/>
        <v>2596.6999999999998</v>
      </c>
    </row>
    <row r="239" spans="1:35" s="69" customFormat="1" ht="33" hidden="1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 t="s">
        <v>15</v>
      </c>
      <c r="I239" s="75">
        <v>400</v>
      </c>
      <c r="J239" s="75">
        <v>50400</v>
      </c>
      <c r="K239" s="91" t="s">
        <v>603</v>
      </c>
      <c r="L239" s="73"/>
      <c r="M239" s="46">
        <v>0</v>
      </c>
      <c r="N239" s="46">
        <v>0</v>
      </c>
      <c r="O239" s="46">
        <v>0</v>
      </c>
      <c r="P239" s="98"/>
      <c r="Q239" s="23" t="s">
        <v>1426</v>
      </c>
      <c r="R239" s="24" t="s">
        <v>602</v>
      </c>
      <c r="S239" s="25" t="s">
        <v>559</v>
      </c>
      <c r="T239" s="26">
        <v>126</v>
      </c>
      <c r="U239" s="26">
        <v>126</v>
      </c>
      <c r="V239" s="26">
        <v>400</v>
      </c>
      <c r="W239" s="26">
        <f t="shared" si="50"/>
        <v>0</v>
      </c>
      <c r="X239" s="26">
        <f t="shared" si="35"/>
        <v>0</v>
      </c>
      <c r="Y239" s="26">
        <f t="shared" si="51"/>
        <v>0</v>
      </c>
      <c r="Z239" s="26">
        <f t="shared" si="44"/>
        <v>0</v>
      </c>
      <c r="AA239" s="33" t="s">
        <v>15</v>
      </c>
      <c r="AB239" s="36" t="s">
        <v>16</v>
      </c>
      <c r="AC239" s="181">
        <f t="shared" si="41"/>
        <v>126</v>
      </c>
      <c r="AD239" s="181">
        <f t="shared" si="52"/>
        <v>50400</v>
      </c>
      <c r="AE239" s="181">
        <v>1.7</v>
      </c>
      <c r="AF239" s="181">
        <v>1.7</v>
      </c>
      <c r="AG239" s="101" t="str">
        <f t="shared" si="42"/>
        <v/>
      </c>
      <c r="AH239" s="190">
        <v>0</v>
      </c>
      <c r="AI239" s="69">
        <f t="shared" si="43"/>
        <v>126</v>
      </c>
    </row>
    <row r="240" spans="1:35" s="69" customFormat="1" ht="39" hidden="1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 t="s">
        <v>15</v>
      </c>
      <c r="I240" s="75">
        <v>3569.95</v>
      </c>
      <c r="J240" s="75">
        <v>42839.4</v>
      </c>
      <c r="K240" s="91" t="s">
        <v>607</v>
      </c>
      <c r="L240" s="73"/>
      <c r="M240" s="46">
        <v>0</v>
      </c>
      <c r="N240" s="46">
        <v>0</v>
      </c>
      <c r="O240" s="46">
        <v>0</v>
      </c>
      <c r="P240" s="98"/>
      <c r="Q240" s="23" t="s">
        <v>1402</v>
      </c>
      <c r="R240" s="24" t="s">
        <v>605</v>
      </c>
      <c r="S240" s="25" t="s">
        <v>606</v>
      </c>
      <c r="T240" s="26">
        <v>12</v>
      </c>
      <c r="U240" s="26">
        <v>12</v>
      </c>
      <c r="V240" s="26">
        <v>3569.95</v>
      </c>
      <c r="W240" s="26">
        <f t="shared" si="50"/>
        <v>0</v>
      </c>
      <c r="X240" s="26">
        <f t="shared" si="35"/>
        <v>0</v>
      </c>
      <c r="Y240" s="26">
        <f t="shared" si="51"/>
        <v>0</v>
      </c>
      <c r="Z240" s="26">
        <f t="shared" si="44"/>
        <v>0</v>
      </c>
      <c r="AA240" s="33" t="s">
        <v>15</v>
      </c>
      <c r="AB240" s="36" t="s">
        <v>16</v>
      </c>
      <c r="AC240" s="181">
        <f t="shared" si="41"/>
        <v>12</v>
      </c>
      <c r="AD240" s="181">
        <f t="shared" si="52"/>
        <v>42839.4</v>
      </c>
      <c r="AE240" s="181">
        <v>1.7</v>
      </c>
      <c r="AF240" s="181">
        <v>1.7</v>
      </c>
      <c r="AG240" s="101" t="str">
        <f t="shared" si="42"/>
        <v/>
      </c>
      <c r="AH240" s="190">
        <v>0</v>
      </c>
      <c r="AI240" s="69">
        <f t="shared" si="43"/>
        <v>12</v>
      </c>
    </row>
    <row r="241" spans="1:35" s="69" customFormat="1" ht="39" hidden="1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 t="s">
        <v>15</v>
      </c>
      <c r="I241" s="75">
        <v>4083.1</v>
      </c>
      <c r="J241" s="75">
        <v>73495.8</v>
      </c>
      <c r="K241" s="91" t="s">
        <v>610</v>
      </c>
      <c r="L241" s="73"/>
      <c r="M241" s="46">
        <v>5</v>
      </c>
      <c r="N241" s="46">
        <v>0</v>
      </c>
      <c r="O241" s="46">
        <v>20415.5</v>
      </c>
      <c r="P241" s="98"/>
      <c r="Q241" s="23" t="s">
        <v>1373</v>
      </c>
      <c r="R241" s="24" t="s">
        <v>609</v>
      </c>
      <c r="S241" s="25" t="s">
        <v>606</v>
      </c>
      <c r="T241" s="26">
        <v>18</v>
      </c>
      <c r="U241" s="26">
        <v>18</v>
      </c>
      <c r="V241" s="26">
        <v>4083.1</v>
      </c>
      <c r="W241" s="26">
        <f t="shared" si="50"/>
        <v>0</v>
      </c>
      <c r="X241" s="26">
        <f t="shared" si="35"/>
        <v>5</v>
      </c>
      <c r="Y241" s="26">
        <f t="shared" si="51"/>
        <v>0</v>
      </c>
      <c r="Z241" s="26">
        <f t="shared" si="44"/>
        <v>20415.5</v>
      </c>
      <c r="AA241" s="33" t="s">
        <v>15</v>
      </c>
      <c r="AB241" s="36" t="s">
        <v>16</v>
      </c>
      <c r="AC241" s="181">
        <f t="shared" si="41"/>
        <v>18</v>
      </c>
      <c r="AD241" s="181">
        <f t="shared" si="52"/>
        <v>73495.8</v>
      </c>
      <c r="AE241" s="181">
        <v>1.7</v>
      </c>
      <c r="AF241" s="181">
        <v>1.7</v>
      </c>
      <c r="AG241" s="101" t="str">
        <f t="shared" si="42"/>
        <v/>
      </c>
      <c r="AH241" s="190">
        <v>5</v>
      </c>
      <c r="AI241" s="69">
        <f t="shared" si="43"/>
        <v>18</v>
      </c>
    </row>
    <row r="242" spans="1:35" s="69" customFormat="1" ht="39" hidden="1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203"/>
      <c r="F242" s="203"/>
      <c r="G242" s="203"/>
      <c r="H242" s="203" t="s">
        <v>15</v>
      </c>
      <c r="I242" s="75">
        <v>7408.5</v>
      </c>
      <c r="J242" s="75">
        <v>37042.5</v>
      </c>
      <c r="K242" s="91" t="s">
        <v>613</v>
      </c>
      <c r="L242" s="73"/>
      <c r="M242" s="46">
        <v>5</v>
      </c>
      <c r="N242" s="46">
        <v>0</v>
      </c>
      <c r="O242" s="46">
        <v>37042.5</v>
      </c>
      <c r="P242" s="98"/>
      <c r="Q242" s="23" t="s">
        <v>1393</v>
      </c>
      <c r="R242" s="24" t="s">
        <v>612</v>
      </c>
      <c r="S242" s="25" t="s">
        <v>606</v>
      </c>
      <c r="T242" s="26">
        <v>5</v>
      </c>
      <c r="U242" s="26">
        <v>5</v>
      </c>
      <c r="V242" s="26">
        <v>7408.5</v>
      </c>
      <c r="W242" s="127">
        <f t="shared" si="50"/>
        <v>0</v>
      </c>
      <c r="X242" s="127">
        <f t="shared" ref="X242:X305" si="53">W242+M242</f>
        <v>5</v>
      </c>
      <c r="Y242" s="127">
        <f t="shared" si="51"/>
        <v>0</v>
      </c>
      <c r="Z242" s="127">
        <f t="shared" si="44"/>
        <v>37042.5</v>
      </c>
      <c r="AA242" s="33" t="s">
        <v>15</v>
      </c>
      <c r="AB242" s="36" t="s">
        <v>16</v>
      </c>
      <c r="AC242" s="181">
        <f t="shared" si="41"/>
        <v>5</v>
      </c>
      <c r="AD242" s="181">
        <f t="shared" si="52"/>
        <v>37042.5</v>
      </c>
      <c r="AE242" s="181">
        <v>1.7</v>
      </c>
      <c r="AF242" s="181">
        <v>1.7</v>
      </c>
      <c r="AG242" s="101" t="str">
        <f t="shared" si="42"/>
        <v/>
      </c>
      <c r="AH242" s="190">
        <v>5</v>
      </c>
      <c r="AI242" s="69">
        <f t="shared" si="43"/>
        <v>5</v>
      </c>
    </row>
    <row r="243" spans="1:35" s="69" customFormat="1" ht="39" hidden="1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203"/>
      <c r="F243" s="203"/>
      <c r="G243" s="203"/>
      <c r="H243" s="203" t="s">
        <v>15</v>
      </c>
      <c r="I243" s="75">
        <v>10319.280000000001</v>
      </c>
      <c r="J243" s="75">
        <v>51596.4</v>
      </c>
      <c r="K243" s="91" t="s">
        <v>616</v>
      </c>
      <c r="L243" s="73"/>
      <c r="M243" s="46">
        <v>5</v>
      </c>
      <c r="N243" s="46">
        <v>0</v>
      </c>
      <c r="O243" s="46">
        <v>51596.4</v>
      </c>
      <c r="P243" s="98"/>
      <c r="Q243" s="23" t="s">
        <v>1403</v>
      </c>
      <c r="R243" s="24" t="s">
        <v>615</v>
      </c>
      <c r="S243" s="25" t="s">
        <v>606</v>
      </c>
      <c r="T243" s="26">
        <v>5</v>
      </c>
      <c r="U243" s="26">
        <v>5</v>
      </c>
      <c r="V243" s="26">
        <v>10319.280000000001</v>
      </c>
      <c r="W243" s="127">
        <f t="shared" si="50"/>
        <v>0</v>
      </c>
      <c r="X243" s="127">
        <f t="shared" si="53"/>
        <v>5</v>
      </c>
      <c r="Y243" s="127">
        <f t="shared" si="51"/>
        <v>0</v>
      </c>
      <c r="Z243" s="127">
        <f t="shared" si="44"/>
        <v>51596.4</v>
      </c>
      <c r="AA243" s="33" t="s">
        <v>15</v>
      </c>
      <c r="AB243" s="36" t="s">
        <v>16</v>
      </c>
      <c r="AC243" s="181">
        <f t="shared" si="41"/>
        <v>5</v>
      </c>
      <c r="AD243" s="181">
        <f t="shared" si="52"/>
        <v>51596.4</v>
      </c>
      <c r="AE243" s="181">
        <v>1.7</v>
      </c>
      <c r="AF243" s="181">
        <v>1.7</v>
      </c>
      <c r="AG243" s="101" t="str">
        <f t="shared" si="42"/>
        <v/>
      </c>
      <c r="AH243" s="190">
        <v>5</v>
      </c>
      <c r="AI243" s="69">
        <f t="shared" si="43"/>
        <v>5</v>
      </c>
    </row>
    <row r="244" spans="1:35" s="69" customFormat="1" ht="39" hidden="1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203"/>
      <c r="F244" s="203"/>
      <c r="G244" s="203"/>
      <c r="H244" s="203" t="s">
        <v>15</v>
      </c>
      <c r="I244" s="75">
        <v>15164.14</v>
      </c>
      <c r="J244" s="75">
        <v>30328.28</v>
      </c>
      <c r="K244" s="91" t="s">
        <v>619</v>
      </c>
      <c r="L244" s="73"/>
      <c r="M244" s="46">
        <v>2</v>
      </c>
      <c r="N244" s="46">
        <v>0</v>
      </c>
      <c r="O244" s="46">
        <v>30328.28</v>
      </c>
      <c r="P244" s="98"/>
      <c r="Q244" s="23" t="s">
        <v>1427</v>
      </c>
      <c r="R244" s="24" t="s">
        <v>618</v>
      </c>
      <c r="S244" s="25" t="s">
        <v>606</v>
      </c>
      <c r="T244" s="26">
        <v>2</v>
      </c>
      <c r="U244" s="26">
        <v>2</v>
      </c>
      <c r="V244" s="26">
        <v>15164.14</v>
      </c>
      <c r="W244" s="127">
        <f t="shared" si="50"/>
        <v>0</v>
      </c>
      <c r="X244" s="127">
        <f t="shared" si="53"/>
        <v>2</v>
      </c>
      <c r="Y244" s="127">
        <f t="shared" si="51"/>
        <v>0</v>
      </c>
      <c r="Z244" s="127">
        <f t="shared" si="44"/>
        <v>30328.28</v>
      </c>
      <c r="AA244" s="33" t="s">
        <v>15</v>
      </c>
      <c r="AB244" s="36" t="s">
        <v>16</v>
      </c>
      <c r="AC244" s="181">
        <f t="shared" si="41"/>
        <v>2</v>
      </c>
      <c r="AD244" s="181">
        <f t="shared" si="52"/>
        <v>30328.28</v>
      </c>
      <c r="AE244" s="181">
        <v>1.7</v>
      </c>
      <c r="AF244" s="181">
        <v>1.7</v>
      </c>
      <c r="AG244" s="101" t="str">
        <f t="shared" si="42"/>
        <v/>
      </c>
      <c r="AH244" s="190">
        <v>2</v>
      </c>
      <c r="AI244" s="69">
        <f t="shared" si="43"/>
        <v>2</v>
      </c>
    </row>
    <row r="245" spans="1:35" s="69" customFormat="1" ht="39" hidden="1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203"/>
      <c r="F245" s="203"/>
      <c r="G245" s="203"/>
      <c r="H245" s="203" t="s">
        <v>15</v>
      </c>
      <c r="I245" s="75">
        <v>21803.06</v>
      </c>
      <c r="J245" s="75">
        <v>130818.36</v>
      </c>
      <c r="K245" s="91" t="s">
        <v>622</v>
      </c>
      <c r="L245" s="73"/>
      <c r="M245" s="46">
        <v>6</v>
      </c>
      <c r="N245" s="46">
        <v>0</v>
      </c>
      <c r="O245" s="46">
        <v>130818.36</v>
      </c>
      <c r="P245" s="98"/>
      <c r="Q245" s="23" t="s">
        <v>1428</v>
      </c>
      <c r="R245" s="24" t="s">
        <v>621</v>
      </c>
      <c r="S245" s="25" t="s">
        <v>606</v>
      </c>
      <c r="T245" s="26">
        <v>6</v>
      </c>
      <c r="U245" s="26">
        <v>6</v>
      </c>
      <c r="V245" s="26">
        <v>21803.06</v>
      </c>
      <c r="W245" s="127">
        <f t="shared" si="50"/>
        <v>0</v>
      </c>
      <c r="X245" s="127">
        <f t="shared" si="53"/>
        <v>6</v>
      </c>
      <c r="Y245" s="127">
        <f t="shared" si="51"/>
        <v>0</v>
      </c>
      <c r="Z245" s="127">
        <f t="shared" si="44"/>
        <v>130818.36</v>
      </c>
      <c r="AA245" s="33" t="s">
        <v>15</v>
      </c>
      <c r="AB245" s="36" t="s">
        <v>16</v>
      </c>
      <c r="AC245" s="181">
        <f t="shared" si="41"/>
        <v>6</v>
      </c>
      <c r="AD245" s="181">
        <f t="shared" si="52"/>
        <v>130818.36</v>
      </c>
      <c r="AE245" s="181">
        <v>1.7</v>
      </c>
      <c r="AF245" s="181">
        <v>1.7</v>
      </c>
      <c r="AG245" s="101" t="str">
        <f t="shared" si="42"/>
        <v/>
      </c>
      <c r="AH245" s="190">
        <v>6</v>
      </c>
      <c r="AI245" s="69">
        <f t="shared" si="43"/>
        <v>6</v>
      </c>
    </row>
    <row r="246" spans="1:35" s="69" customFormat="1" ht="39" hidden="1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203"/>
      <c r="F246" s="203"/>
      <c r="G246" s="203"/>
      <c r="H246" s="203" t="s">
        <v>15</v>
      </c>
      <c r="I246" s="75">
        <v>26196.51</v>
      </c>
      <c r="J246" s="75">
        <v>78589.53</v>
      </c>
      <c r="K246" s="91" t="s">
        <v>625</v>
      </c>
      <c r="L246" s="73"/>
      <c r="M246" s="46">
        <v>3</v>
      </c>
      <c r="N246" s="46">
        <v>0</v>
      </c>
      <c r="O246" s="46">
        <v>78589.53</v>
      </c>
      <c r="P246" s="98"/>
      <c r="Q246" s="23" t="s">
        <v>1387</v>
      </c>
      <c r="R246" s="24" t="s">
        <v>624</v>
      </c>
      <c r="S246" s="25" t="s">
        <v>606</v>
      </c>
      <c r="T246" s="26">
        <v>3</v>
      </c>
      <c r="U246" s="26">
        <v>3</v>
      </c>
      <c r="V246" s="26">
        <v>26196.51</v>
      </c>
      <c r="W246" s="127">
        <f t="shared" si="50"/>
        <v>0</v>
      </c>
      <c r="X246" s="127">
        <f t="shared" si="53"/>
        <v>3</v>
      </c>
      <c r="Y246" s="127">
        <f t="shared" si="51"/>
        <v>0</v>
      </c>
      <c r="Z246" s="127">
        <f t="shared" si="44"/>
        <v>78589.53</v>
      </c>
      <c r="AA246" s="33" t="s">
        <v>15</v>
      </c>
      <c r="AB246" s="36" t="s">
        <v>16</v>
      </c>
      <c r="AC246" s="181">
        <f t="shared" si="41"/>
        <v>3</v>
      </c>
      <c r="AD246" s="181">
        <f t="shared" si="52"/>
        <v>78589.53</v>
      </c>
      <c r="AE246" s="181">
        <v>1.7</v>
      </c>
      <c r="AF246" s="181">
        <v>1.7</v>
      </c>
      <c r="AG246" s="101" t="str">
        <f t="shared" si="42"/>
        <v/>
      </c>
      <c r="AH246" s="190">
        <v>3</v>
      </c>
      <c r="AI246" s="69">
        <f t="shared" si="43"/>
        <v>3</v>
      </c>
    </row>
    <row r="247" spans="1:35" s="69" customFormat="1" ht="39" hidden="1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203"/>
      <c r="F247" s="203"/>
      <c r="G247" s="203"/>
      <c r="H247" s="203" t="s">
        <v>15</v>
      </c>
      <c r="I247" s="75">
        <v>29984.85</v>
      </c>
      <c r="J247" s="75">
        <v>59969.7</v>
      </c>
      <c r="K247" s="91" t="s">
        <v>628</v>
      </c>
      <c r="L247" s="73"/>
      <c r="M247" s="46">
        <v>2</v>
      </c>
      <c r="N247" s="46">
        <v>0</v>
      </c>
      <c r="O247" s="46">
        <v>59969.7</v>
      </c>
      <c r="P247" s="98"/>
      <c r="Q247" s="23" t="s">
        <v>1405</v>
      </c>
      <c r="R247" s="24" t="s">
        <v>627</v>
      </c>
      <c r="S247" s="25" t="s">
        <v>606</v>
      </c>
      <c r="T247" s="26">
        <v>2</v>
      </c>
      <c r="U247" s="26">
        <v>2</v>
      </c>
      <c r="V247" s="26">
        <v>29984.85</v>
      </c>
      <c r="W247" s="127">
        <f t="shared" si="50"/>
        <v>0</v>
      </c>
      <c r="X247" s="127">
        <f t="shared" si="53"/>
        <v>2</v>
      </c>
      <c r="Y247" s="127">
        <f t="shared" si="51"/>
        <v>0</v>
      </c>
      <c r="Z247" s="127">
        <f t="shared" si="44"/>
        <v>59969.7</v>
      </c>
      <c r="AA247" s="33" t="s">
        <v>15</v>
      </c>
      <c r="AB247" s="36" t="s">
        <v>16</v>
      </c>
      <c r="AC247" s="181">
        <f t="shared" si="41"/>
        <v>2</v>
      </c>
      <c r="AD247" s="181">
        <f t="shared" si="52"/>
        <v>59969.7</v>
      </c>
      <c r="AE247" s="181">
        <v>1.7</v>
      </c>
      <c r="AF247" s="181">
        <v>1.7</v>
      </c>
      <c r="AG247" s="101" t="str">
        <f t="shared" si="42"/>
        <v/>
      </c>
      <c r="AH247" s="190">
        <v>2</v>
      </c>
      <c r="AI247" s="69">
        <f t="shared" si="43"/>
        <v>2</v>
      </c>
    </row>
    <row r="248" spans="1:35" s="69" customFormat="1" ht="39" hidden="1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203"/>
      <c r="F248" s="203"/>
      <c r="G248" s="203"/>
      <c r="H248" s="203" t="s">
        <v>15</v>
      </c>
      <c r="I248" s="75">
        <v>38914.949999999997</v>
      </c>
      <c r="J248" s="75">
        <v>116744.85</v>
      </c>
      <c r="K248" s="91" t="s">
        <v>631</v>
      </c>
      <c r="L248" s="73"/>
      <c r="M248" s="46">
        <v>3</v>
      </c>
      <c r="N248" s="46">
        <v>0</v>
      </c>
      <c r="O248" s="46">
        <v>116744.85</v>
      </c>
      <c r="P248" s="98"/>
      <c r="Q248" s="23" t="s">
        <v>1406</v>
      </c>
      <c r="R248" s="24" t="s">
        <v>630</v>
      </c>
      <c r="S248" s="25" t="s">
        <v>606</v>
      </c>
      <c r="T248" s="26">
        <v>3</v>
      </c>
      <c r="U248" s="26">
        <v>3</v>
      </c>
      <c r="V248" s="26">
        <v>38914.949999999997</v>
      </c>
      <c r="W248" s="127">
        <f t="shared" si="50"/>
        <v>0</v>
      </c>
      <c r="X248" s="127">
        <f t="shared" si="53"/>
        <v>3</v>
      </c>
      <c r="Y248" s="127">
        <f t="shared" si="51"/>
        <v>0</v>
      </c>
      <c r="Z248" s="127">
        <f t="shared" si="44"/>
        <v>116744.85</v>
      </c>
      <c r="AA248" s="33" t="s">
        <v>15</v>
      </c>
      <c r="AB248" s="36" t="s">
        <v>16</v>
      </c>
      <c r="AC248" s="181">
        <f t="shared" si="41"/>
        <v>3</v>
      </c>
      <c r="AD248" s="181">
        <f t="shared" si="52"/>
        <v>116744.85</v>
      </c>
      <c r="AE248" s="181">
        <v>1.7</v>
      </c>
      <c r="AF248" s="181">
        <v>1.7</v>
      </c>
      <c r="AG248" s="101" t="str">
        <f t="shared" si="42"/>
        <v/>
      </c>
      <c r="AH248" s="190">
        <v>3</v>
      </c>
      <c r="AI248" s="69">
        <f t="shared" si="43"/>
        <v>3</v>
      </c>
    </row>
    <row r="249" spans="1:35" s="69" customFormat="1" ht="39" hidden="1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203"/>
      <c r="F249" s="203"/>
      <c r="G249" s="203"/>
      <c r="H249" s="203" t="s">
        <v>15</v>
      </c>
      <c r="I249" s="75">
        <v>43624.88</v>
      </c>
      <c r="J249" s="75">
        <v>130874.64</v>
      </c>
      <c r="K249" s="91" t="s">
        <v>634</v>
      </c>
      <c r="L249" s="73"/>
      <c r="M249" s="46">
        <v>3</v>
      </c>
      <c r="N249" s="46">
        <v>0</v>
      </c>
      <c r="O249" s="46">
        <v>130874.64</v>
      </c>
      <c r="P249" s="98"/>
      <c r="Q249" s="23" t="s">
        <v>1414</v>
      </c>
      <c r="R249" s="24" t="s">
        <v>633</v>
      </c>
      <c r="S249" s="25" t="s">
        <v>606</v>
      </c>
      <c r="T249" s="26">
        <v>3</v>
      </c>
      <c r="U249" s="26">
        <v>3</v>
      </c>
      <c r="V249" s="26">
        <v>43624.88</v>
      </c>
      <c r="W249" s="127">
        <f t="shared" si="50"/>
        <v>0</v>
      </c>
      <c r="X249" s="127">
        <f t="shared" si="53"/>
        <v>3</v>
      </c>
      <c r="Y249" s="127">
        <f t="shared" si="51"/>
        <v>0</v>
      </c>
      <c r="Z249" s="127">
        <f t="shared" si="44"/>
        <v>130874.64</v>
      </c>
      <c r="AA249" s="33" t="s">
        <v>15</v>
      </c>
      <c r="AB249" s="36" t="s">
        <v>16</v>
      </c>
      <c r="AC249" s="181">
        <f t="shared" si="41"/>
        <v>3</v>
      </c>
      <c r="AD249" s="181">
        <f t="shared" si="52"/>
        <v>130874.64</v>
      </c>
      <c r="AE249" s="181">
        <v>1.7</v>
      </c>
      <c r="AF249" s="181">
        <v>1.7</v>
      </c>
      <c r="AG249" s="101" t="str">
        <f t="shared" si="42"/>
        <v/>
      </c>
      <c r="AH249" s="190">
        <v>3</v>
      </c>
      <c r="AI249" s="69">
        <f t="shared" si="43"/>
        <v>3</v>
      </c>
    </row>
    <row r="250" spans="1:35" s="69" customFormat="1" ht="39" hidden="1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203"/>
      <c r="F250" s="203"/>
      <c r="G250" s="203"/>
      <c r="H250" s="203" t="s">
        <v>15</v>
      </c>
      <c r="I250" s="75">
        <v>73088.800000000003</v>
      </c>
      <c r="J250" s="75">
        <v>73088.800000000003</v>
      </c>
      <c r="K250" s="91" t="s">
        <v>637</v>
      </c>
      <c r="L250" s="73"/>
      <c r="M250" s="46">
        <v>1</v>
      </c>
      <c r="N250" s="46">
        <v>0</v>
      </c>
      <c r="O250" s="46">
        <v>73088.800000000003</v>
      </c>
      <c r="P250" s="98"/>
      <c r="Q250" s="23" t="s">
        <v>1429</v>
      </c>
      <c r="R250" s="24" t="s">
        <v>636</v>
      </c>
      <c r="S250" s="25" t="s">
        <v>606</v>
      </c>
      <c r="T250" s="26">
        <v>1</v>
      </c>
      <c r="U250" s="26">
        <v>1</v>
      </c>
      <c r="V250" s="26">
        <v>73088.800000000003</v>
      </c>
      <c r="W250" s="127">
        <f t="shared" si="50"/>
        <v>0</v>
      </c>
      <c r="X250" s="127">
        <f t="shared" si="53"/>
        <v>1</v>
      </c>
      <c r="Y250" s="127">
        <f t="shared" si="51"/>
        <v>0</v>
      </c>
      <c r="Z250" s="127">
        <f t="shared" si="44"/>
        <v>73088.800000000003</v>
      </c>
      <c r="AA250" s="33" t="s">
        <v>15</v>
      </c>
      <c r="AB250" s="36" t="s">
        <v>16</v>
      </c>
      <c r="AC250" s="181">
        <f t="shared" si="41"/>
        <v>1</v>
      </c>
      <c r="AD250" s="181">
        <f t="shared" si="52"/>
        <v>73088.800000000003</v>
      </c>
      <c r="AE250" s="181">
        <v>1.7</v>
      </c>
      <c r="AF250" s="181">
        <v>1.7</v>
      </c>
      <c r="AG250" s="101" t="str">
        <f t="shared" si="42"/>
        <v/>
      </c>
      <c r="AH250" s="190">
        <v>1</v>
      </c>
      <c r="AI250" s="69">
        <f t="shared" si="43"/>
        <v>1</v>
      </c>
    </row>
    <row r="251" spans="1:35" s="69" customFormat="1" ht="39" hidden="1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 t="s">
        <v>15</v>
      </c>
      <c r="I251" s="75">
        <v>22814.5</v>
      </c>
      <c r="J251" s="75">
        <v>136887</v>
      </c>
      <c r="K251" s="91" t="s">
        <v>640</v>
      </c>
      <c r="L251" s="73"/>
      <c r="M251" s="46">
        <v>0</v>
      </c>
      <c r="N251" s="46">
        <v>0</v>
      </c>
      <c r="O251" s="46">
        <v>0</v>
      </c>
      <c r="P251" s="98"/>
      <c r="Q251" s="23" t="s">
        <v>1430</v>
      </c>
      <c r="R251" s="24" t="s">
        <v>639</v>
      </c>
      <c r="S251" s="25" t="s">
        <v>606</v>
      </c>
      <c r="T251" s="26">
        <v>6</v>
      </c>
      <c r="U251" s="26">
        <v>6</v>
      </c>
      <c r="V251" s="26">
        <v>22814.5</v>
      </c>
      <c r="W251" s="26">
        <f t="shared" si="50"/>
        <v>0</v>
      </c>
      <c r="X251" s="26">
        <f t="shared" si="53"/>
        <v>0</v>
      </c>
      <c r="Y251" s="26">
        <f t="shared" si="51"/>
        <v>0</v>
      </c>
      <c r="Z251" s="26">
        <f t="shared" si="44"/>
        <v>0</v>
      </c>
      <c r="AA251" s="33" t="s">
        <v>15</v>
      </c>
      <c r="AB251" s="36" t="s">
        <v>16</v>
      </c>
      <c r="AC251" s="181">
        <f t="shared" si="41"/>
        <v>6</v>
      </c>
      <c r="AD251" s="181">
        <f t="shared" si="52"/>
        <v>136887</v>
      </c>
      <c r="AE251" s="181">
        <v>1.7</v>
      </c>
      <c r="AF251" s="181">
        <v>1.7</v>
      </c>
      <c r="AG251" s="101" t="str">
        <f t="shared" si="42"/>
        <v/>
      </c>
      <c r="AH251" s="190">
        <v>0</v>
      </c>
      <c r="AI251" s="69">
        <f t="shared" si="43"/>
        <v>6</v>
      </c>
    </row>
    <row r="252" spans="1:35" s="69" customFormat="1" ht="58.5" hidden="1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203"/>
      <c r="F252" s="203"/>
      <c r="G252" s="203"/>
      <c r="H252" s="203">
        <v>8</v>
      </c>
      <c r="I252" s="75">
        <v>1963.3</v>
      </c>
      <c r="J252" s="75">
        <v>15706.4</v>
      </c>
      <c r="K252" s="91" t="s">
        <v>643</v>
      </c>
      <c r="L252" s="73"/>
      <c r="M252" s="46">
        <v>3</v>
      </c>
      <c r="N252" s="46">
        <v>0</v>
      </c>
      <c r="O252" s="46">
        <v>5889.9</v>
      </c>
      <c r="P252" s="98"/>
      <c r="Q252" s="23" t="s">
        <v>1431</v>
      </c>
      <c r="R252" s="24" t="s">
        <v>642</v>
      </c>
      <c r="S252" s="25" t="s">
        <v>606</v>
      </c>
      <c r="T252" s="26">
        <v>3</v>
      </c>
      <c r="U252" s="26">
        <v>8</v>
      </c>
      <c r="V252" s="26">
        <v>1963.3</v>
      </c>
      <c r="W252" s="127">
        <f t="shared" si="50"/>
        <v>0</v>
      </c>
      <c r="X252" s="127">
        <f t="shared" si="53"/>
        <v>3</v>
      </c>
      <c r="Y252" s="127">
        <f t="shared" si="51"/>
        <v>0</v>
      </c>
      <c r="Z252" s="127">
        <f t="shared" si="44"/>
        <v>5889.9</v>
      </c>
      <c r="AA252" s="33" t="s">
        <v>15</v>
      </c>
      <c r="AB252" s="36" t="s">
        <v>16</v>
      </c>
      <c r="AC252" s="181">
        <f t="shared" si="41"/>
        <v>8</v>
      </c>
      <c r="AD252" s="181">
        <f t="shared" si="52"/>
        <v>15706.4</v>
      </c>
      <c r="AE252" s="181">
        <v>1.7</v>
      </c>
      <c r="AF252" s="181">
        <v>1.7</v>
      </c>
      <c r="AG252" s="101" t="str">
        <f t="shared" si="42"/>
        <v/>
      </c>
      <c r="AH252" s="190">
        <v>3</v>
      </c>
      <c r="AI252" s="69">
        <f t="shared" si="43"/>
        <v>3</v>
      </c>
    </row>
    <row r="253" spans="1:35" s="69" customFormat="1" ht="58.5" hidden="1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203"/>
      <c r="F253" s="203"/>
      <c r="G253" s="203"/>
      <c r="H253" s="203">
        <v>10</v>
      </c>
      <c r="I253" s="75">
        <v>2216.6</v>
      </c>
      <c r="J253" s="75">
        <v>22166</v>
      </c>
      <c r="K253" s="91" t="s">
        <v>646</v>
      </c>
      <c r="L253" s="73"/>
      <c r="M253" s="46">
        <v>5</v>
      </c>
      <c r="N253" s="46">
        <v>0</v>
      </c>
      <c r="O253" s="46">
        <v>11083</v>
      </c>
      <c r="P253" s="98"/>
      <c r="Q253" s="23" t="s">
        <v>1395</v>
      </c>
      <c r="R253" s="24" t="s">
        <v>645</v>
      </c>
      <c r="S253" s="25" t="s">
        <v>606</v>
      </c>
      <c r="T253" s="26">
        <v>5</v>
      </c>
      <c r="U253" s="26">
        <v>10</v>
      </c>
      <c r="V253" s="26">
        <v>2216.6</v>
      </c>
      <c r="W253" s="127">
        <f t="shared" si="50"/>
        <v>0</v>
      </c>
      <c r="X253" s="127">
        <f t="shared" si="53"/>
        <v>5</v>
      </c>
      <c r="Y253" s="127">
        <f t="shared" si="51"/>
        <v>0</v>
      </c>
      <c r="Z253" s="127">
        <f t="shared" si="44"/>
        <v>11083</v>
      </c>
      <c r="AA253" s="33" t="s">
        <v>15</v>
      </c>
      <c r="AB253" s="36" t="s">
        <v>16</v>
      </c>
      <c r="AC253" s="181">
        <f t="shared" si="41"/>
        <v>10</v>
      </c>
      <c r="AD253" s="181">
        <f t="shared" si="52"/>
        <v>22166</v>
      </c>
      <c r="AE253" s="181">
        <v>1.7</v>
      </c>
      <c r="AF253" s="181">
        <v>1.7</v>
      </c>
      <c r="AG253" s="101" t="str">
        <f t="shared" si="42"/>
        <v/>
      </c>
      <c r="AH253" s="190">
        <v>5</v>
      </c>
      <c r="AI253" s="69">
        <f t="shared" si="43"/>
        <v>5</v>
      </c>
    </row>
    <row r="254" spans="1:35" s="69" customFormat="1" ht="58.5" hidden="1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203" t="s">
        <v>15</v>
      </c>
      <c r="I254" s="75">
        <v>2999.02</v>
      </c>
      <c r="J254" s="75">
        <v>50983.34</v>
      </c>
      <c r="K254" s="91" t="s">
        <v>649</v>
      </c>
      <c r="L254" s="73"/>
      <c r="M254" s="46">
        <v>7</v>
      </c>
      <c r="N254" s="46">
        <v>0</v>
      </c>
      <c r="O254" s="46">
        <v>20993.14</v>
      </c>
      <c r="P254" s="98"/>
      <c r="Q254" s="23" t="s">
        <v>1432</v>
      </c>
      <c r="R254" s="24" t="s">
        <v>648</v>
      </c>
      <c r="S254" s="25" t="s">
        <v>606</v>
      </c>
      <c r="T254" s="26">
        <v>7</v>
      </c>
      <c r="U254" s="26">
        <v>17</v>
      </c>
      <c r="V254" s="26">
        <v>2999.02</v>
      </c>
      <c r="W254" s="26">
        <f t="shared" si="50"/>
        <v>0</v>
      </c>
      <c r="X254" s="26">
        <f t="shared" si="53"/>
        <v>7</v>
      </c>
      <c r="Y254" s="26">
        <f t="shared" si="51"/>
        <v>0</v>
      </c>
      <c r="Z254" s="26">
        <f t="shared" si="44"/>
        <v>20993.14</v>
      </c>
      <c r="AA254" s="27" t="s">
        <v>15</v>
      </c>
      <c r="AB254" s="36" t="s">
        <v>16</v>
      </c>
      <c r="AC254" s="181">
        <f t="shared" si="41"/>
        <v>17</v>
      </c>
      <c r="AD254" s="181">
        <f t="shared" si="52"/>
        <v>50983.34</v>
      </c>
      <c r="AE254" s="181">
        <v>1.7</v>
      </c>
      <c r="AF254" s="181">
        <v>1.7</v>
      </c>
      <c r="AG254" s="101" t="str">
        <f t="shared" si="42"/>
        <v/>
      </c>
      <c r="AH254" s="190">
        <v>7</v>
      </c>
      <c r="AI254" s="69">
        <f t="shared" si="43"/>
        <v>17</v>
      </c>
    </row>
    <row r="255" spans="1:35" s="69" customFormat="1" ht="58.5" hidden="1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203"/>
      <c r="F255" s="203"/>
      <c r="G255" s="203"/>
      <c r="H255" s="203" t="s">
        <v>15</v>
      </c>
      <c r="I255" s="75">
        <v>4720.5600000000004</v>
      </c>
      <c r="J255" s="75">
        <v>14161.68</v>
      </c>
      <c r="K255" s="91" t="s">
        <v>652</v>
      </c>
      <c r="L255" s="73"/>
      <c r="M255" s="46">
        <v>3</v>
      </c>
      <c r="N255" s="46">
        <v>0</v>
      </c>
      <c r="O255" s="46">
        <v>14161.68</v>
      </c>
      <c r="P255" s="98"/>
      <c r="Q255" s="23" t="s">
        <v>1433</v>
      </c>
      <c r="R255" s="24" t="s">
        <v>651</v>
      </c>
      <c r="S255" s="25" t="s">
        <v>606</v>
      </c>
      <c r="T255" s="26">
        <v>3</v>
      </c>
      <c r="U255" s="26">
        <v>3</v>
      </c>
      <c r="V255" s="26">
        <v>4720.5600000000004</v>
      </c>
      <c r="W255" s="127">
        <f t="shared" si="50"/>
        <v>0</v>
      </c>
      <c r="X255" s="127">
        <f t="shared" si="53"/>
        <v>3</v>
      </c>
      <c r="Y255" s="127">
        <f t="shared" si="51"/>
        <v>0</v>
      </c>
      <c r="Z255" s="127">
        <f t="shared" si="44"/>
        <v>14161.68</v>
      </c>
      <c r="AA255" s="33" t="s">
        <v>15</v>
      </c>
      <c r="AB255" s="36" t="s">
        <v>16</v>
      </c>
      <c r="AC255" s="181">
        <f t="shared" si="41"/>
        <v>3</v>
      </c>
      <c r="AD255" s="181">
        <f t="shared" si="52"/>
        <v>14161.68</v>
      </c>
      <c r="AE255" s="181">
        <v>1.7</v>
      </c>
      <c r="AF255" s="181">
        <v>1.7</v>
      </c>
      <c r="AG255" s="101" t="str">
        <f t="shared" si="42"/>
        <v/>
      </c>
      <c r="AH255" s="190">
        <v>3</v>
      </c>
      <c r="AI255" s="69">
        <f t="shared" si="43"/>
        <v>3</v>
      </c>
    </row>
    <row r="256" spans="1:35" s="69" customFormat="1" ht="58.5" hidden="1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203"/>
      <c r="F256" s="203"/>
      <c r="G256" s="203"/>
      <c r="H256" s="203">
        <v>5</v>
      </c>
      <c r="I256" s="75">
        <v>5897.9</v>
      </c>
      <c r="J256" s="75">
        <v>29489.5</v>
      </c>
      <c r="K256" s="91" t="s">
        <v>655</v>
      </c>
      <c r="L256" s="73"/>
      <c r="M256" s="46">
        <v>4</v>
      </c>
      <c r="N256" s="46">
        <v>0</v>
      </c>
      <c r="O256" s="46">
        <v>23591.599999999999</v>
      </c>
      <c r="P256" s="98"/>
      <c r="Q256" s="23" t="s">
        <v>1382</v>
      </c>
      <c r="R256" s="24" t="s">
        <v>654</v>
      </c>
      <c r="S256" s="25" t="s">
        <v>606</v>
      </c>
      <c r="T256" s="26">
        <v>4</v>
      </c>
      <c r="U256" s="26">
        <v>5</v>
      </c>
      <c r="V256" s="26">
        <v>5897.9</v>
      </c>
      <c r="W256" s="127">
        <f t="shared" si="50"/>
        <v>0</v>
      </c>
      <c r="X256" s="127">
        <f t="shared" si="53"/>
        <v>4</v>
      </c>
      <c r="Y256" s="127">
        <f t="shared" si="51"/>
        <v>0</v>
      </c>
      <c r="Z256" s="127">
        <f t="shared" si="44"/>
        <v>23591.599999999999</v>
      </c>
      <c r="AA256" s="33" t="s">
        <v>15</v>
      </c>
      <c r="AB256" s="36" t="s">
        <v>16</v>
      </c>
      <c r="AC256" s="181">
        <f t="shared" si="41"/>
        <v>5</v>
      </c>
      <c r="AD256" s="181">
        <f t="shared" si="52"/>
        <v>29489.5</v>
      </c>
      <c r="AE256" s="181">
        <v>1.7</v>
      </c>
      <c r="AF256" s="181">
        <v>1.7</v>
      </c>
      <c r="AG256" s="101" t="str">
        <f t="shared" si="42"/>
        <v/>
      </c>
      <c r="AH256" s="190">
        <v>4</v>
      </c>
      <c r="AI256" s="69">
        <f t="shared" si="43"/>
        <v>4</v>
      </c>
    </row>
    <row r="257" spans="1:35" s="69" customFormat="1" ht="58.5" hidden="1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203"/>
      <c r="F257" s="203"/>
      <c r="G257" s="203"/>
      <c r="H257" s="203" t="s">
        <v>15</v>
      </c>
      <c r="I257" s="75">
        <v>9356.16</v>
      </c>
      <c r="J257" s="75">
        <v>9356.16</v>
      </c>
      <c r="K257" s="91" t="s">
        <v>658</v>
      </c>
      <c r="L257" s="73"/>
      <c r="M257" s="46">
        <v>1</v>
      </c>
      <c r="N257" s="46">
        <v>0</v>
      </c>
      <c r="O257" s="46">
        <v>9356.16</v>
      </c>
      <c r="P257" s="98"/>
      <c r="Q257" s="23" t="s">
        <v>1434</v>
      </c>
      <c r="R257" s="24" t="s">
        <v>657</v>
      </c>
      <c r="S257" s="25" t="s">
        <v>606</v>
      </c>
      <c r="T257" s="26">
        <v>1</v>
      </c>
      <c r="U257" s="26">
        <v>1</v>
      </c>
      <c r="V257" s="26">
        <v>9356.16</v>
      </c>
      <c r="W257" s="127">
        <f t="shared" si="50"/>
        <v>0</v>
      </c>
      <c r="X257" s="127">
        <f t="shared" si="53"/>
        <v>1</v>
      </c>
      <c r="Y257" s="127">
        <f t="shared" si="51"/>
        <v>0</v>
      </c>
      <c r="Z257" s="127">
        <f t="shared" si="44"/>
        <v>9356.16</v>
      </c>
      <c r="AA257" s="33" t="s">
        <v>15</v>
      </c>
      <c r="AB257" s="36" t="s">
        <v>16</v>
      </c>
      <c r="AC257" s="181">
        <f t="shared" si="41"/>
        <v>1</v>
      </c>
      <c r="AD257" s="181">
        <f t="shared" si="52"/>
        <v>9356.16</v>
      </c>
      <c r="AE257" s="181">
        <v>1.7</v>
      </c>
      <c r="AF257" s="181">
        <v>1.7</v>
      </c>
      <c r="AG257" s="101" t="str">
        <f t="shared" si="42"/>
        <v/>
      </c>
      <c r="AH257" s="190">
        <v>1</v>
      </c>
      <c r="AI257" s="69">
        <f t="shared" si="43"/>
        <v>1</v>
      </c>
    </row>
    <row r="258" spans="1:35" s="69" customFormat="1" ht="58.5" hidden="1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203"/>
      <c r="F258" s="203"/>
      <c r="G258" s="203"/>
      <c r="H258" s="203" t="s">
        <v>15</v>
      </c>
      <c r="I258" s="75">
        <v>13184.01</v>
      </c>
      <c r="J258" s="75">
        <v>13184.01</v>
      </c>
      <c r="K258" s="91" t="s">
        <v>661</v>
      </c>
      <c r="L258" s="73"/>
      <c r="M258" s="46">
        <v>1</v>
      </c>
      <c r="N258" s="46">
        <v>0</v>
      </c>
      <c r="O258" s="46">
        <v>13184.01</v>
      </c>
      <c r="P258" s="98"/>
      <c r="Q258" s="23" t="s">
        <v>1388</v>
      </c>
      <c r="R258" s="24" t="s">
        <v>660</v>
      </c>
      <c r="S258" s="25" t="s">
        <v>606</v>
      </c>
      <c r="T258" s="26">
        <v>1</v>
      </c>
      <c r="U258" s="26">
        <v>1</v>
      </c>
      <c r="V258" s="26">
        <v>13184.01</v>
      </c>
      <c r="W258" s="127">
        <f t="shared" si="50"/>
        <v>0</v>
      </c>
      <c r="X258" s="127">
        <f t="shared" si="53"/>
        <v>1</v>
      </c>
      <c r="Y258" s="127">
        <f t="shared" si="51"/>
        <v>0</v>
      </c>
      <c r="Z258" s="127">
        <f t="shared" si="44"/>
        <v>13184.01</v>
      </c>
      <c r="AA258" s="33" t="s">
        <v>15</v>
      </c>
      <c r="AB258" s="36" t="s">
        <v>16</v>
      </c>
      <c r="AC258" s="181">
        <f t="shared" si="41"/>
        <v>1</v>
      </c>
      <c r="AD258" s="181">
        <f t="shared" si="52"/>
        <v>13184.01</v>
      </c>
      <c r="AE258" s="181">
        <v>1.7</v>
      </c>
      <c r="AF258" s="181">
        <v>1.7</v>
      </c>
      <c r="AG258" s="101" t="str">
        <f t="shared" si="42"/>
        <v/>
      </c>
      <c r="AH258" s="190">
        <v>1</v>
      </c>
      <c r="AI258" s="69">
        <f t="shared" si="43"/>
        <v>1</v>
      </c>
    </row>
    <row r="259" spans="1:35" s="69" customFormat="1" ht="39" hidden="1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203"/>
      <c r="F259" s="203"/>
      <c r="G259" s="203"/>
      <c r="H259" s="203" t="s">
        <v>15</v>
      </c>
      <c r="I259" s="75">
        <v>1859.87</v>
      </c>
      <c r="J259" s="75">
        <v>87432.49</v>
      </c>
      <c r="K259" s="91" t="s">
        <v>664</v>
      </c>
      <c r="L259" s="73"/>
      <c r="M259" s="46">
        <v>47.01</v>
      </c>
      <c r="N259" s="46">
        <v>0</v>
      </c>
      <c r="O259" s="46">
        <v>87432.49</v>
      </c>
      <c r="P259" s="98"/>
      <c r="Q259" s="23" t="s">
        <v>1389</v>
      </c>
      <c r="R259" s="24" t="s">
        <v>663</v>
      </c>
      <c r="S259" s="25" t="s">
        <v>30</v>
      </c>
      <c r="T259" s="26">
        <v>47.01</v>
      </c>
      <c r="U259" s="26">
        <v>47.01</v>
      </c>
      <c r="V259" s="26">
        <v>1859.87</v>
      </c>
      <c r="W259" s="127">
        <f t="shared" si="50"/>
        <v>0</v>
      </c>
      <c r="X259" s="127">
        <f t="shared" si="53"/>
        <v>47.01</v>
      </c>
      <c r="Y259" s="127">
        <f t="shared" si="51"/>
        <v>0</v>
      </c>
      <c r="Z259" s="127">
        <f t="shared" si="44"/>
        <v>87432.49</v>
      </c>
      <c r="AA259" s="33" t="s">
        <v>15</v>
      </c>
      <c r="AB259" s="36" t="s">
        <v>16</v>
      </c>
      <c r="AC259" s="181">
        <f t="shared" si="41"/>
        <v>47.01</v>
      </c>
      <c r="AD259" s="181">
        <f t="shared" si="52"/>
        <v>87432.49</v>
      </c>
      <c r="AE259" s="181">
        <v>1.7</v>
      </c>
      <c r="AF259" s="181">
        <v>1.7</v>
      </c>
      <c r="AG259" s="101" t="str">
        <f t="shared" si="42"/>
        <v/>
      </c>
      <c r="AH259" s="190">
        <v>47.01</v>
      </c>
      <c r="AI259" s="69">
        <f t="shared" si="43"/>
        <v>47.01</v>
      </c>
    </row>
    <row r="260" spans="1:35" s="69" customFormat="1" ht="58.5" hidden="1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203"/>
      <c r="F260" s="203"/>
      <c r="G260" s="203"/>
      <c r="H260" s="203" t="s">
        <v>15</v>
      </c>
      <c r="I260" s="75">
        <v>40</v>
      </c>
      <c r="J260" s="75">
        <v>2520</v>
      </c>
      <c r="K260" s="91" t="s">
        <v>667</v>
      </c>
      <c r="L260" s="73"/>
      <c r="M260" s="46">
        <v>63</v>
      </c>
      <c r="N260" s="46">
        <v>0</v>
      </c>
      <c r="O260" s="46">
        <v>2520</v>
      </c>
      <c r="P260" s="98"/>
      <c r="Q260" s="23" t="s">
        <v>1390</v>
      </c>
      <c r="R260" s="24" t="s">
        <v>666</v>
      </c>
      <c r="S260" s="25" t="s">
        <v>325</v>
      </c>
      <c r="T260" s="26">
        <v>63</v>
      </c>
      <c r="U260" s="26">
        <v>63</v>
      </c>
      <c r="V260" s="26">
        <v>40</v>
      </c>
      <c r="W260" s="127">
        <f t="shared" si="50"/>
        <v>0</v>
      </c>
      <c r="X260" s="127">
        <f t="shared" si="53"/>
        <v>63</v>
      </c>
      <c r="Y260" s="127">
        <f t="shared" si="51"/>
        <v>0</v>
      </c>
      <c r="Z260" s="127">
        <f t="shared" si="44"/>
        <v>2520</v>
      </c>
      <c r="AA260" s="33" t="s">
        <v>15</v>
      </c>
      <c r="AB260" s="36" t="s">
        <v>16</v>
      </c>
      <c r="AC260" s="181">
        <f t="shared" si="41"/>
        <v>63</v>
      </c>
      <c r="AD260" s="181">
        <f t="shared" si="52"/>
        <v>2520</v>
      </c>
      <c r="AE260" s="181">
        <v>1.7</v>
      </c>
      <c r="AF260" s="181">
        <v>1.7</v>
      </c>
      <c r="AG260" s="101" t="str">
        <f t="shared" si="42"/>
        <v/>
      </c>
      <c r="AH260" s="190">
        <v>63</v>
      </c>
      <c r="AI260" s="69">
        <f t="shared" si="43"/>
        <v>63</v>
      </c>
    </row>
    <row r="261" spans="1:35" s="69" customFormat="1" ht="58.5" hidden="1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203"/>
      <c r="F261" s="203"/>
      <c r="G261" s="203"/>
      <c r="H261" s="203" t="s">
        <v>15</v>
      </c>
      <c r="I261" s="75">
        <v>35</v>
      </c>
      <c r="J261" s="75">
        <v>11025</v>
      </c>
      <c r="K261" s="91" t="s">
        <v>670</v>
      </c>
      <c r="L261" s="73"/>
      <c r="M261" s="46">
        <v>315</v>
      </c>
      <c r="N261" s="46">
        <v>0</v>
      </c>
      <c r="O261" s="46">
        <v>11025</v>
      </c>
      <c r="P261" s="98"/>
      <c r="Q261" s="23" t="s">
        <v>1391</v>
      </c>
      <c r="R261" s="24" t="s">
        <v>669</v>
      </c>
      <c r="S261" s="25" t="s">
        <v>162</v>
      </c>
      <c r="T261" s="26">
        <v>315</v>
      </c>
      <c r="U261" s="26">
        <v>315</v>
      </c>
      <c r="V261" s="26">
        <v>35</v>
      </c>
      <c r="W261" s="127">
        <f t="shared" si="50"/>
        <v>0</v>
      </c>
      <c r="X261" s="127">
        <f t="shared" si="53"/>
        <v>315</v>
      </c>
      <c r="Y261" s="127">
        <f t="shared" si="51"/>
        <v>0</v>
      </c>
      <c r="Z261" s="127">
        <f t="shared" si="44"/>
        <v>11025</v>
      </c>
      <c r="AA261" s="33" t="s">
        <v>15</v>
      </c>
      <c r="AB261" s="36" t="s">
        <v>16</v>
      </c>
      <c r="AC261" s="181">
        <f t="shared" si="41"/>
        <v>315</v>
      </c>
      <c r="AD261" s="181">
        <f t="shared" si="52"/>
        <v>11025</v>
      </c>
      <c r="AE261" s="181">
        <v>1.7</v>
      </c>
      <c r="AF261" s="181">
        <v>1.7</v>
      </c>
      <c r="AG261" s="101" t="str">
        <f t="shared" si="42"/>
        <v/>
      </c>
      <c r="AH261" s="190">
        <v>315</v>
      </c>
      <c r="AI261" s="69">
        <f t="shared" si="43"/>
        <v>315</v>
      </c>
    </row>
    <row r="262" spans="1:35" s="69" customFormat="1" ht="58.5" hidden="1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 t="s">
        <v>15</v>
      </c>
      <c r="I262" s="75">
        <v>10</v>
      </c>
      <c r="J262" s="75">
        <v>12000</v>
      </c>
      <c r="K262" s="91" t="s">
        <v>673</v>
      </c>
      <c r="L262" s="73"/>
      <c r="M262" s="46">
        <v>0</v>
      </c>
      <c r="N262" s="46">
        <v>0</v>
      </c>
      <c r="O262" s="46">
        <v>0</v>
      </c>
      <c r="P262" s="98"/>
      <c r="Q262" s="23" t="s">
        <v>1436</v>
      </c>
      <c r="R262" s="24" t="s">
        <v>672</v>
      </c>
      <c r="S262" s="25" t="s">
        <v>30</v>
      </c>
      <c r="T262" s="26">
        <v>1200</v>
      </c>
      <c r="U262" s="26">
        <v>1200</v>
      </c>
      <c r="V262" s="26">
        <v>10</v>
      </c>
      <c r="W262" s="26">
        <f t="shared" si="50"/>
        <v>0</v>
      </c>
      <c r="X262" s="26">
        <f t="shared" si="53"/>
        <v>0</v>
      </c>
      <c r="Y262" s="26">
        <f t="shared" si="51"/>
        <v>0</v>
      </c>
      <c r="Z262" s="26">
        <f t="shared" si="44"/>
        <v>0</v>
      </c>
      <c r="AA262" s="33" t="s">
        <v>15</v>
      </c>
      <c r="AB262" s="36" t="s">
        <v>16</v>
      </c>
      <c r="AC262" s="181">
        <f t="shared" si="41"/>
        <v>1200</v>
      </c>
      <c r="AD262" s="181">
        <f t="shared" si="52"/>
        <v>12000</v>
      </c>
      <c r="AE262" s="181">
        <v>1.7</v>
      </c>
      <c r="AF262" s="181">
        <v>1.7</v>
      </c>
      <c r="AG262" s="101" t="str">
        <f t="shared" si="42"/>
        <v/>
      </c>
      <c r="AH262" s="190">
        <v>0</v>
      </c>
      <c r="AI262" s="69">
        <f t="shared" si="43"/>
        <v>1200</v>
      </c>
    </row>
    <row r="263" spans="1:35" s="69" customFormat="1" ht="33" hidden="1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203"/>
      <c r="F263" s="203"/>
      <c r="G263" s="203"/>
      <c r="H263" s="203" t="s">
        <v>15</v>
      </c>
      <c r="I263" s="75">
        <v>531</v>
      </c>
      <c r="J263" s="75">
        <v>16381.35</v>
      </c>
      <c r="K263" s="91" t="s">
        <v>676</v>
      </c>
      <c r="L263" s="73"/>
      <c r="M263" s="46">
        <v>30.85</v>
      </c>
      <c r="N263" s="46">
        <v>0</v>
      </c>
      <c r="O263" s="46">
        <v>16381.35</v>
      </c>
      <c r="P263" s="98"/>
      <c r="Q263" s="23" t="s">
        <v>1374</v>
      </c>
      <c r="R263" s="24" t="s">
        <v>675</v>
      </c>
      <c r="S263" s="25" t="s">
        <v>50</v>
      </c>
      <c r="T263" s="26">
        <v>30.85</v>
      </c>
      <c r="U263" s="26">
        <v>30.85</v>
      </c>
      <c r="V263" s="26">
        <v>531</v>
      </c>
      <c r="W263" s="127">
        <f t="shared" si="50"/>
        <v>0</v>
      </c>
      <c r="X263" s="127">
        <f t="shared" si="53"/>
        <v>30.85</v>
      </c>
      <c r="Y263" s="127">
        <f t="shared" si="51"/>
        <v>0</v>
      </c>
      <c r="Z263" s="127">
        <f t="shared" si="44"/>
        <v>16381.35</v>
      </c>
      <c r="AA263" s="33" t="s">
        <v>15</v>
      </c>
      <c r="AB263" s="36" t="s">
        <v>16</v>
      </c>
      <c r="AC263" s="181">
        <f t="shared" si="41"/>
        <v>30.85</v>
      </c>
      <c r="AD263" s="181">
        <f t="shared" si="52"/>
        <v>16381.35</v>
      </c>
      <c r="AE263" s="181">
        <v>1.7</v>
      </c>
      <c r="AF263" s="181">
        <v>1.7</v>
      </c>
      <c r="AG263" s="101" t="str">
        <f t="shared" si="42"/>
        <v/>
      </c>
      <c r="AH263" s="190">
        <v>30.85</v>
      </c>
      <c r="AI263" s="69">
        <f t="shared" si="43"/>
        <v>30.85</v>
      </c>
    </row>
    <row r="264" spans="1:35" s="69" customFormat="1" ht="33" hidden="1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203"/>
      <c r="F264" s="203"/>
      <c r="G264" s="203"/>
      <c r="H264" s="225" t="s">
        <v>15</v>
      </c>
      <c r="I264" s="75">
        <v>3386.57</v>
      </c>
      <c r="J264" s="75">
        <v>12530.31</v>
      </c>
      <c r="K264" s="91" t="s">
        <v>679</v>
      </c>
      <c r="L264" s="73"/>
      <c r="M264" s="46">
        <v>3.7</v>
      </c>
      <c r="N264" s="46">
        <v>0</v>
      </c>
      <c r="O264" s="46">
        <v>12530.31</v>
      </c>
      <c r="P264" s="98"/>
      <c r="Q264" s="23" t="s">
        <v>1376</v>
      </c>
      <c r="R264" s="24" t="s">
        <v>678</v>
      </c>
      <c r="S264" s="25" t="s">
        <v>23</v>
      </c>
      <c r="T264" s="26">
        <v>3.7</v>
      </c>
      <c r="U264" s="26">
        <v>3.7</v>
      </c>
      <c r="V264" s="26">
        <v>3386.57</v>
      </c>
      <c r="W264" s="127">
        <f t="shared" si="50"/>
        <v>0</v>
      </c>
      <c r="X264" s="127">
        <f t="shared" si="53"/>
        <v>3.7</v>
      </c>
      <c r="Y264" s="127">
        <f t="shared" si="51"/>
        <v>0</v>
      </c>
      <c r="Z264" s="127">
        <f t="shared" si="44"/>
        <v>12530.31</v>
      </c>
      <c r="AA264" s="33" t="s">
        <v>15</v>
      </c>
      <c r="AB264" s="36" t="s">
        <v>16</v>
      </c>
      <c r="AC264" s="181">
        <f t="shared" si="41"/>
        <v>3.7</v>
      </c>
      <c r="AD264" s="181">
        <f t="shared" si="52"/>
        <v>12530.31</v>
      </c>
      <c r="AE264" s="181">
        <v>1.7</v>
      </c>
      <c r="AF264" s="181">
        <v>1.7</v>
      </c>
      <c r="AG264" s="101" t="str">
        <f t="shared" si="42"/>
        <v/>
      </c>
      <c r="AH264" s="190">
        <v>3.7</v>
      </c>
      <c r="AI264" s="69">
        <f t="shared" si="43"/>
        <v>3.7</v>
      </c>
    </row>
    <row r="265" spans="1:35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161"/>
      <c r="H265" s="158" t="s">
        <v>15</v>
      </c>
      <c r="I265" s="166">
        <v>108000</v>
      </c>
      <c r="J265" s="75">
        <v>108000</v>
      </c>
      <c r="K265" s="91" t="s">
        <v>682</v>
      </c>
      <c r="L265" s="73"/>
      <c r="M265" s="46">
        <v>0</v>
      </c>
      <c r="N265" s="46">
        <v>0</v>
      </c>
      <c r="O265" s="46">
        <v>0</v>
      </c>
      <c r="P265" s="98"/>
      <c r="Q265" s="23" t="s">
        <v>1378</v>
      </c>
      <c r="R265" s="24" t="s">
        <v>681</v>
      </c>
      <c r="S265" s="25" t="s">
        <v>14</v>
      </c>
      <c r="T265" s="26">
        <v>1</v>
      </c>
      <c r="U265" s="26">
        <v>1</v>
      </c>
      <c r="V265" s="26">
        <v>108000</v>
      </c>
      <c r="W265" s="26">
        <f t="shared" si="50"/>
        <v>0</v>
      </c>
      <c r="X265" s="26">
        <f t="shared" si="53"/>
        <v>0</v>
      </c>
      <c r="Y265" s="26">
        <f t="shared" si="51"/>
        <v>0</v>
      </c>
      <c r="Z265" s="26">
        <f t="shared" si="44"/>
        <v>0</v>
      </c>
      <c r="AA265" s="33" t="s">
        <v>15</v>
      </c>
      <c r="AB265" s="36" t="s">
        <v>16</v>
      </c>
      <c r="AC265" s="181">
        <f t="shared" si="41"/>
        <v>1</v>
      </c>
      <c r="AD265" s="181">
        <f t="shared" si="52"/>
        <v>108000</v>
      </c>
      <c r="AE265" s="181">
        <v>1.7</v>
      </c>
      <c r="AF265" s="181">
        <v>1.7</v>
      </c>
      <c r="AG265" s="101" t="str">
        <f t="shared" si="42"/>
        <v/>
      </c>
      <c r="AH265" s="190">
        <v>0</v>
      </c>
      <c r="AI265" s="69">
        <f t="shared" si="43"/>
        <v>1</v>
      </c>
    </row>
    <row r="266" spans="1:35" s="69" customFormat="1" ht="39" hidden="1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161"/>
      <c r="H266" s="158" t="s">
        <v>15</v>
      </c>
      <c r="I266" s="166">
        <v>500</v>
      </c>
      <c r="J266" s="75">
        <v>724160</v>
      </c>
      <c r="K266" s="91" t="s">
        <v>685</v>
      </c>
      <c r="L266" s="73"/>
      <c r="M266" s="46">
        <v>0</v>
      </c>
      <c r="N266" s="46">
        <v>0</v>
      </c>
      <c r="O266" s="46">
        <v>0</v>
      </c>
      <c r="P266" s="98"/>
      <c r="Q266" s="23" t="s">
        <v>1438</v>
      </c>
      <c r="R266" s="24" t="s">
        <v>684</v>
      </c>
      <c r="S266" s="25" t="s">
        <v>50</v>
      </c>
      <c r="T266" s="26">
        <v>1448.32</v>
      </c>
      <c r="U266" s="26">
        <v>1448.32</v>
      </c>
      <c r="V266" s="26">
        <v>500</v>
      </c>
      <c r="W266" s="26">
        <f t="shared" si="50"/>
        <v>0</v>
      </c>
      <c r="X266" s="26">
        <f t="shared" si="53"/>
        <v>0</v>
      </c>
      <c r="Y266" s="26">
        <f t="shared" si="51"/>
        <v>0</v>
      </c>
      <c r="Z266" s="26">
        <f t="shared" si="44"/>
        <v>0</v>
      </c>
      <c r="AA266" s="33" t="s">
        <v>15</v>
      </c>
      <c r="AB266" s="36" t="s">
        <v>16</v>
      </c>
      <c r="AC266" s="181">
        <f t="shared" si="41"/>
        <v>1448.32</v>
      </c>
      <c r="AD266" s="181">
        <f t="shared" si="52"/>
        <v>724160</v>
      </c>
      <c r="AE266" s="181">
        <v>1.7</v>
      </c>
      <c r="AF266" s="181">
        <v>1.7</v>
      </c>
      <c r="AG266" s="101" t="str">
        <f t="shared" si="42"/>
        <v/>
      </c>
      <c r="AH266" s="190">
        <v>0</v>
      </c>
      <c r="AI266" s="69">
        <f t="shared" si="43"/>
        <v>1448.32</v>
      </c>
    </row>
    <row r="267" spans="1:35" s="69" customFormat="1" ht="78" hidden="1" x14ac:dyDescent="0.3">
      <c r="A267" s="55" t="s">
        <v>686</v>
      </c>
      <c r="B267" s="53" t="s">
        <v>687</v>
      </c>
      <c r="C267" s="54" t="s">
        <v>606</v>
      </c>
      <c r="D267" s="75">
        <v>42</v>
      </c>
      <c r="E267" s="75"/>
      <c r="F267" s="75"/>
      <c r="G267" s="161"/>
      <c r="H267" s="158" t="s">
        <v>15</v>
      </c>
      <c r="I267" s="166">
        <v>10176.969999999999</v>
      </c>
      <c r="J267" s="75">
        <v>427432.74</v>
      </c>
      <c r="K267" s="91" t="s">
        <v>688</v>
      </c>
      <c r="L267" s="73"/>
      <c r="M267" s="46">
        <v>0</v>
      </c>
      <c r="N267" s="46">
        <v>0</v>
      </c>
      <c r="O267" s="46">
        <v>0</v>
      </c>
      <c r="P267" s="98"/>
      <c r="Q267" s="23" t="s">
        <v>1439</v>
      </c>
      <c r="R267" s="24" t="s">
        <v>687</v>
      </c>
      <c r="S267" s="25" t="s">
        <v>606</v>
      </c>
      <c r="T267" s="26">
        <v>42</v>
      </c>
      <c r="U267" s="26">
        <v>42</v>
      </c>
      <c r="V267" s="26">
        <v>10176.969999999999</v>
      </c>
      <c r="W267" s="26">
        <f t="shared" si="50"/>
        <v>0</v>
      </c>
      <c r="X267" s="26">
        <f t="shared" si="53"/>
        <v>0</v>
      </c>
      <c r="Y267" s="26">
        <f t="shared" si="51"/>
        <v>0</v>
      </c>
      <c r="Z267" s="26">
        <f t="shared" si="44"/>
        <v>0</v>
      </c>
      <c r="AA267" s="33" t="s">
        <v>15</v>
      </c>
      <c r="AB267" s="36" t="s">
        <v>16</v>
      </c>
      <c r="AC267" s="181">
        <f t="shared" ref="AC267:AC330" si="54">IF(U267="",T267,U267)</f>
        <v>42</v>
      </c>
      <c r="AD267" s="181">
        <f t="shared" si="52"/>
        <v>427432.74</v>
      </c>
      <c r="AE267" s="181">
        <v>1.7</v>
      </c>
      <c r="AF267" s="181">
        <v>1.7</v>
      </c>
      <c r="AG267" s="101" t="str">
        <f t="shared" ref="AG267:AG330" si="55">IF(X267&gt;AI267,"超估","")</f>
        <v/>
      </c>
      <c r="AH267" s="190">
        <v>0</v>
      </c>
      <c r="AI267" s="69">
        <f t="shared" ref="AI267:AI330" si="56">IF(G267=0,IF(F267=0,IF(E267=0,D267,E267),F267),G267)</f>
        <v>42</v>
      </c>
    </row>
    <row r="268" spans="1:35" s="69" customFormat="1" ht="78" hidden="1" x14ac:dyDescent="0.3">
      <c r="A268" s="55" t="s">
        <v>689</v>
      </c>
      <c r="B268" s="53" t="s">
        <v>690</v>
      </c>
      <c r="C268" s="54" t="s">
        <v>606</v>
      </c>
      <c r="D268" s="75">
        <v>19</v>
      </c>
      <c r="E268" s="75"/>
      <c r="F268" s="75"/>
      <c r="G268" s="161"/>
      <c r="H268" s="158" t="s">
        <v>15</v>
      </c>
      <c r="I268" s="166">
        <v>13526.18</v>
      </c>
      <c r="J268" s="75">
        <v>256997.42</v>
      </c>
      <c r="K268" s="91" t="s">
        <v>691</v>
      </c>
      <c r="L268" s="73"/>
      <c r="M268" s="46">
        <v>0</v>
      </c>
      <c r="N268" s="46">
        <v>0</v>
      </c>
      <c r="O268" s="46">
        <v>0</v>
      </c>
      <c r="P268" s="98"/>
      <c r="Q268" s="23" t="s">
        <v>1440</v>
      </c>
      <c r="R268" s="24" t="s">
        <v>690</v>
      </c>
      <c r="S268" s="25" t="s">
        <v>606</v>
      </c>
      <c r="T268" s="26">
        <v>19</v>
      </c>
      <c r="U268" s="26">
        <v>19</v>
      </c>
      <c r="V268" s="26">
        <v>13526.18</v>
      </c>
      <c r="W268" s="26">
        <f t="shared" si="50"/>
        <v>0</v>
      </c>
      <c r="X268" s="26">
        <f t="shared" si="53"/>
        <v>0</v>
      </c>
      <c r="Y268" s="26">
        <f t="shared" si="51"/>
        <v>0</v>
      </c>
      <c r="Z268" s="26">
        <f t="shared" ref="Z268:Z331" si="57">ROUND(V268*X268,2)</f>
        <v>0</v>
      </c>
      <c r="AA268" s="33" t="s">
        <v>15</v>
      </c>
      <c r="AB268" s="36" t="s">
        <v>16</v>
      </c>
      <c r="AC268" s="181">
        <f t="shared" si="54"/>
        <v>19</v>
      </c>
      <c r="AD268" s="181">
        <f t="shared" si="52"/>
        <v>256997.42</v>
      </c>
      <c r="AE268" s="181">
        <v>1.7</v>
      </c>
      <c r="AF268" s="181">
        <v>1.7</v>
      </c>
      <c r="AG268" s="101" t="str">
        <f t="shared" si="55"/>
        <v/>
      </c>
      <c r="AH268" s="190">
        <v>0</v>
      </c>
      <c r="AI268" s="69">
        <f t="shared" si="56"/>
        <v>19</v>
      </c>
    </row>
    <row r="269" spans="1:35" s="69" customFormat="1" ht="78" hidden="1" x14ac:dyDescent="0.3">
      <c r="A269" s="55" t="s">
        <v>692</v>
      </c>
      <c r="B269" s="53" t="s">
        <v>693</v>
      </c>
      <c r="C269" s="54" t="s">
        <v>606</v>
      </c>
      <c r="D269" s="75">
        <v>8</v>
      </c>
      <c r="E269" s="75"/>
      <c r="F269" s="75"/>
      <c r="G269" s="161"/>
      <c r="H269" s="158" t="s">
        <v>15</v>
      </c>
      <c r="I269" s="166">
        <v>8660.64</v>
      </c>
      <c r="J269" s="75">
        <v>69285.119999999995</v>
      </c>
      <c r="K269" s="91" t="s">
        <v>694</v>
      </c>
      <c r="L269" s="73"/>
      <c r="M269" s="46">
        <v>0</v>
      </c>
      <c r="N269" s="46">
        <v>0</v>
      </c>
      <c r="O269" s="46">
        <v>0</v>
      </c>
      <c r="P269" s="98"/>
      <c r="Q269" s="23" t="s">
        <v>1441</v>
      </c>
      <c r="R269" s="24" t="s">
        <v>693</v>
      </c>
      <c r="S269" s="25" t="s">
        <v>606</v>
      </c>
      <c r="T269" s="26">
        <v>8</v>
      </c>
      <c r="U269" s="26">
        <v>8</v>
      </c>
      <c r="V269" s="26">
        <v>8660.64</v>
      </c>
      <c r="W269" s="26">
        <f t="shared" si="50"/>
        <v>0</v>
      </c>
      <c r="X269" s="26">
        <f t="shared" si="53"/>
        <v>0</v>
      </c>
      <c r="Y269" s="26">
        <f t="shared" si="51"/>
        <v>0</v>
      </c>
      <c r="Z269" s="26">
        <f t="shared" si="57"/>
        <v>0</v>
      </c>
      <c r="AA269" s="33" t="s">
        <v>15</v>
      </c>
      <c r="AB269" s="36" t="s">
        <v>16</v>
      </c>
      <c r="AC269" s="181">
        <f t="shared" si="54"/>
        <v>8</v>
      </c>
      <c r="AD269" s="181">
        <f t="shared" si="52"/>
        <v>69285.119999999995</v>
      </c>
      <c r="AE269" s="181">
        <v>1.7</v>
      </c>
      <c r="AF269" s="181">
        <v>1.7</v>
      </c>
      <c r="AG269" s="101" t="str">
        <f t="shared" si="55"/>
        <v/>
      </c>
      <c r="AH269" s="190">
        <v>0</v>
      </c>
      <c r="AI269" s="69">
        <f t="shared" si="56"/>
        <v>8</v>
      </c>
    </row>
    <row r="270" spans="1:35" s="69" customFormat="1" ht="78" hidden="1" x14ac:dyDescent="0.3">
      <c r="A270" s="55" t="s">
        <v>695</v>
      </c>
      <c r="B270" s="53" t="s">
        <v>696</v>
      </c>
      <c r="C270" s="54" t="s">
        <v>606</v>
      </c>
      <c r="D270" s="75">
        <v>8</v>
      </c>
      <c r="E270" s="75"/>
      <c r="F270" s="75"/>
      <c r="G270" s="161"/>
      <c r="H270" s="158" t="s">
        <v>15</v>
      </c>
      <c r="I270" s="166">
        <v>17930.64</v>
      </c>
      <c r="J270" s="75">
        <v>143445.12</v>
      </c>
      <c r="K270" s="91" t="s">
        <v>697</v>
      </c>
      <c r="L270" s="73"/>
      <c r="M270" s="46">
        <v>0</v>
      </c>
      <c r="N270" s="46">
        <v>0</v>
      </c>
      <c r="O270" s="46">
        <v>0</v>
      </c>
      <c r="P270" s="98"/>
      <c r="Q270" s="23" t="s">
        <v>1442</v>
      </c>
      <c r="R270" s="24" t="s">
        <v>696</v>
      </c>
      <c r="S270" s="25" t="s">
        <v>606</v>
      </c>
      <c r="T270" s="26">
        <v>8</v>
      </c>
      <c r="U270" s="26">
        <v>8</v>
      </c>
      <c r="V270" s="26">
        <v>17930.64</v>
      </c>
      <c r="W270" s="26">
        <f t="shared" si="50"/>
        <v>0</v>
      </c>
      <c r="X270" s="26">
        <f t="shared" si="53"/>
        <v>0</v>
      </c>
      <c r="Y270" s="26">
        <f t="shared" si="51"/>
        <v>0</v>
      </c>
      <c r="Z270" s="26">
        <f t="shared" si="57"/>
        <v>0</v>
      </c>
      <c r="AA270" s="33" t="s">
        <v>15</v>
      </c>
      <c r="AB270" s="36" t="s">
        <v>16</v>
      </c>
      <c r="AC270" s="181">
        <f t="shared" si="54"/>
        <v>8</v>
      </c>
      <c r="AD270" s="181">
        <f t="shared" si="52"/>
        <v>143445.12</v>
      </c>
      <c r="AE270" s="181">
        <v>1.7</v>
      </c>
      <c r="AF270" s="181">
        <v>1.7</v>
      </c>
      <c r="AG270" s="101" t="str">
        <f t="shared" si="55"/>
        <v/>
      </c>
      <c r="AH270" s="190">
        <v>0</v>
      </c>
      <c r="AI270" s="69">
        <f t="shared" si="56"/>
        <v>8</v>
      </c>
    </row>
    <row r="271" spans="1:35" s="69" customFormat="1" ht="78" hidden="1" x14ac:dyDescent="0.3">
      <c r="A271" s="55" t="s">
        <v>698</v>
      </c>
      <c r="B271" s="53" t="s">
        <v>699</v>
      </c>
      <c r="C271" s="54" t="s">
        <v>606</v>
      </c>
      <c r="D271" s="75">
        <v>14</v>
      </c>
      <c r="E271" s="75"/>
      <c r="F271" s="75"/>
      <c r="G271" s="161"/>
      <c r="H271" s="158" t="s">
        <v>15</v>
      </c>
      <c r="I271" s="166">
        <v>5272.95</v>
      </c>
      <c r="J271" s="75">
        <v>73821.3</v>
      </c>
      <c r="K271" s="91" t="s">
        <v>700</v>
      </c>
      <c r="L271" s="73"/>
      <c r="M271" s="46">
        <v>0</v>
      </c>
      <c r="N271" s="46">
        <v>0</v>
      </c>
      <c r="O271" s="46">
        <v>0</v>
      </c>
      <c r="P271" s="98"/>
      <c r="Q271" s="23" t="s">
        <v>1443</v>
      </c>
      <c r="R271" s="24" t="s">
        <v>699</v>
      </c>
      <c r="S271" s="25" t="s">
        <v>606</v>
      </c>
      <c r="T271" s="26">
        <v>14</v>
      </c>
      <c r="U271" s="26">
        <v>14</v>
      </c>
      <c r="V271" s="26">
        <v>5272.95</v>
      </c>
      <c r="W271" s="26">
        <f t="shared" si="50"/>
        <v>0</v>
      </c>
      <c r="X271" s="26">
        <f t="shared" si="53"/>
        <v>0</v>
      </c>
      <c r="Y271" s="26">
        <f t="shared" si="51"/>
        <v>0</v>
      </c>
      <c r="Z271" s="26">
        <f t="shared" si="57"/>
        <v>0</v>
      </c>
      <c r="AA271" s="33" t="s">
        <v>15</v>
      </c>
      <c r="AB271" s="36" t="s">
        <v>16</v>
      </c>
      <c r="AC271" s="181">
        <f t="shared" si="54"/>
        <v>14</v>
      </c>
      <c r="AD271" s="181">
        <f t="shared" si="52"/>
        <v>73821.3</v>
      </c>
      <c r="AE271" s="181">
        <v>1.7</v>
      </c>
      <c r="AF271" s="181">
        <v>1.7</v>
      </c>
      <c r="AG271" s="101" t="str">
        <f t="shared" si="55"/>
        <v/>
      </c>
      <c r="AH271" s="190">
        <v>0</v>
      </c>
      <c r="AI271" s="69">
        <f t="shared" si="56"/>
        <v>14</v>
      </c>
    </row>
    <row r="272" spans="1:35" s="69" customFormat="1" ht="78" hidden="1" x14ac:dyDescent="0.3">
      <c r="A272" s="55" t="s">
        <v>701</v>
      </c>
      <c r="B272" s="53" t="s">
        <v>702</v>
      </c>
      <c r="C272" s="54" t="s">
        <v>606</v>
      </c>
      <c r="D272" s="75">
        <v>15</v>
      </c>
      <c r="E272" s="75"/>
      <c r="F272" s="75"/>
      <c r="G272" s="161"/>
      <c r="H272" s="158" t="s">
        <v>15</v>
      </c>
      <c r="I272" s="166">
        <v>5272.95</v>
      </c>
      <c r="J272" s="75">
        <v>79094.25</v>
      </c>
      <c r="K272" s="91" t="s">
        <v>703</v>
      </c>
      <c r="L272" s="73"/>
      <c r="M272" s="46">
        <v>0</v>
      </c>
      <c r="N272" s="46">
        <v>0</v>
      </c>
      <c r="O272" s="46">
        <v>0</v>
      </c>
      <c r="P272" s="98"/>
      <c r="Q272" s="23" t="s">
        <v>1444</v>
      </c>
      <c r="R272" s="24" t="s">
        <v>702</v>
      </c>
      <c r="S272" s="25" t="s">
        <v>606</v>
      </c>
      <c r="T272" s="26">
        <v>15</v>
      </c>
      <c r="U272" s="26">
        <v>15</v>
      </c>
      <c r="V272" s="26">
        <v>5272.95</v>
      </c>
      <c r="W272" s="26">
        <f t="shared" si="50"/>
        <v>0</v>
      </c>
      <c r="X272" s="26">
        <f t="shared" si="53"/>
        <v>0</v>
      </c>
      <c r="Y272" s="26">
        <f t="shared" si="51"/>
        <v>0</v>
      </c>
      <c r="Z272" s="26">
        <f t="shared" si="57"/>
        <v>0</v>
      </c>
      <c r="AA272" s="33" t="s">
        <v>15</v>
      </c>
      <c r="AB272" s="36" t="s">
        <v>16</v>
      </c>
      <c r="AC272" s="181">
        <f t="shared" si="54"/>
        <v>15</v>
      </c>
      <c r="AD272" s="181">
        <f t="shared" si="52"/>
        <v>79094.25</v>
      </c>
      <c r="AE272" s="181">
        <v>1.7</v>
      </c>
      <c r="AF272" s="181">
        <v>1.7</v>
      </c>
      <c r="AG272" s="101" t="str">
        <f t="shared" si="55"/>
        <v/>
      </c>
      <c r="AH272" s="190">
        <v>0</v>
      </c>
      <c r="AI272" s="69">
        <f t="shared" si="56"/>
        <v>15</v>
      </c>
    </row>
    <row r="273" spans="1:35" s="69" customFormat="1" ht="78" hidden="1" x14ac:dyDescent="0.3">
      <c r="A273" s="55" t="s">
        <v>704</v>
      </c>
      <c r="B273" s="53" t="s">
        <v>705</v>
      </c>
      <c r="C273" s="54" t="s">
        <v>606</v>
      </c>
      <c r="D273" s="75">
        <v>1</v>
      </c>
      <c r="E273" s="75"/>
      <c r="F273" s="75"/>
      <c r="G273" s="161"/>
      <c r="H273" s="158" t="s">
        <v>15</v>
      </c>
      <c r="I273" s="166">
        <v>7859.47</v>
      </c>
      <c r="J273" s="75">
        <v>7859.47</v>
      </c>
      <c r="K273" s="91" t="s">
        <v>706</v>
      </c>
      <c r="L273" s="73"/>
      <c r="M273" s="46">
        <v>0</v>
      </c>
      <c r="N273" s="46">
        <v>0</v>
      </c>
      <c r="O273" s="46">
        <v>0</v>
      </c>
      <c r="P273" s="98"/>
      <c r="Q273" s="23" t="s">
        <v>1408</v>
      </c>
      <c r="R273" s="24" t="s">
        <v>705</v>
      </c>
      <c r="S273" s="25" t="s">
        <v>606</v>
      </c>
      <c r="T273" s="26">
        <v>1</v>
      </c>
      <c r="U273" s="26">
        <v>1</v>
      </c>
      <c r="V273" s="26">
        <v>7859.47</v>
      </c>
      <c r="W273" s="26">
        <f t="shared" si="50"/>
        <v>0</v>
      </c>
      <c r="X273" s="26">
        <f t="shared" si="53"/>
        <v>0</v>
      </c>
      <c r="Y273" s="26">
        <f t="shared" si="51"/>
        <v>0</v>
      </c>
      <c r="Z273" s="26">
        <f t="shared" si="57"/>
        <v>0</v>
      </c>
      <c r="AA273" s="33" t="s">
        <v>15</v>
      </c>
      <c r="AB273" s="36" t="s">
        <v>16</v>
      </c>
      <c r="AC273" s="181">
        <f t="shared" si="54"/>
        <v>1</v>
      </c>
      <c r="AD273" s="181">
        <f t="shared" si="52"/>
        <v>7859.47</v>
      </c>
      <c r="AE273" s="181">
        <v>1.7</v>
      </c>
      <c r="AF273" s="181">
        <v>1.7</v>
      </c>
      <c r="AG273" s="101" t="str">
        <f t="shared" si="55"/>
        <v/>
      </c>
      <c r="AH273" s="190">
        <v>0</v>
      </c>
      <c r="AI273" s="69">
        <f t="shared" si="56"/>
        <v>1</v>
      </c>
    </row>
    <row r="274" spans="1:35" s="69" customFormat="1" ht="78" hidden="1" x14ac:dyDescent="0.3">
      <c r="A274" s="55" t="s">
        <v>707</v>
      </c>
      <c r="B274" s="53" t="s">
        <v>708</v>
      </c>
      <c r="C274" s="54" t="s">
        <v>606</v>
      </c>
      <c r="D274" s="75">
        <v>1</v>
      </c>
      <c r="E274" s="75"/>
      <c r="F274" s="75"/>
      <c r="G274" s="161"/>
      <c r="H274" s="158" t="s">
        <v>15</v>
      </c>
      <c r="I274" s="166">
        <v>5839.45</v>
      </c>
      <c r="J274" s="75">
        <v>5839.45</v>
      </c>
      <c r="K274" s="91" t="s">
        <v>709</v>
      </c>
      <c r="L274" s="73"/>
      <c r="M274" s="46">
        <v>0</v>
      </c>
      <c r="N274" s="46">
        <v>0</v>
      </c>
      <c r="O274" s="46">
        <v>0</v>
      </c>
      <c r="P274" s="98"/>
      <c r="Q274" s="23" t="s">
        <v>1409</v>
      </c>
      <c r="R274" s="24" t="s">
        <v>708</v>
      </c>
      <c r="S274" s="25" t="s">
        <v>606</v>
      </c>
      <c r="T274" s="26">
        <v>1</v>
      </c>
      <c r="U274" s="26">
        <v>1</v>
      </c>
      <c r="V274" s="26">
        <v>5839.45</v>
      </c>
      <c r="W274" s="26">
        <f t="shared" si="50"/>
        <v>0</v>
      </c>
      <c r="X274" s="26">
        <f t="shared" si="53"/>
        <v>0</v>
      </c>
      <c r="Y274" s="26">
        <f t="shared" si="51"/>
        <v>0</v>
      </c>
      <c r="Z274" s="26">
        <f t="shared" si="57"/>
        <v>0</v>
      </c>
      <c r="AA274" s="33" t="s">
        <v>15</v>
      </c>
      <c r="AB274" s="36" t="s">
        <v>16</v>
      </c>
      <c r="AC274" s="181">
        <f t="shared" si="54"/>
        <v>1</v>
      </c>
      <c r="AD274" s="181">
        <f t="shared" si="52"/>
        <v>5839.45</v>
      </c>
      <c r="AE274" s="181">
        <v>1.7</v>
      </c>
      <c r="AF274" s="181">
        <v>1.7</v>
      </c>
      <c r="AG274" s="101" t="str">
        <f t="shared" si="55"/>
        <v/>
      </c>
      <c r="AH274" s="190">
        <v>0</v>
      </c>
      <c r="AI274" s="69">
        <f t="shared" si="56"/>
        <v>1</v>
      </c>
    </row>
    <row r="275" spans="1:35" s="69" customFormat="1" ht="78" hidden="1" x14ac:dyDescent="0.3">
      <c r="A275" s="55" t="s">
        <v>710</v>
      </c>
      <c r="B275" s="53" t="s">
        <v>711</v>
      </c>
      <c r="C275" s="54" t="s">
        <v>606</v>
      </c>
      <c r="D275" s="75">
        <v>1</v>
      </c>
      <c r="E275" s="75"/>
      <c r="F275" s="75"/>
      <c r="G275" s="161"/>
      <c r="H275" s="158" t="s">
        <v>15</v>
      </c>
      <c r="I275" s="166">
        <v>7189.97</v>
      </c>
      <c r="J275" s="75">
        <v>7189.97</v>
      </c>
      <c r="K275" s="91" t="s">
        <v>712</v>
      </c>
      <c r="L275" s="73"/>
      <c r="M275" s="46">
        <v>0</v>
      </c>
      <c r="N275" s="46">
        <v>0</v>
      </c>
      <c r="O275" s="46">
        <v>0</v>
      </c>
      <c r="P275" s="98"/>
      <c r="Q275" s="23" t="s">
        <v>1410</v>
      </c>
      <c r="R275" s="24" t="s">
        <v>711</v>
      </c>
      <c r="S275" s="25" t="s">
        <v>606</v>
      </c>
      <c r="T275" s="26">
        <v>1</v>
      </c>
      <c r="U275" s="26">
        <v>1</v>
      </c>
      <c r="V275" s="26">
        <v>7189.97</v>
      </c>
      <c r="W275" s="26">
        <f t="shared" si="50"/>
        <v>0</v>
      </c>
      <c r="X275" s="26">
        <f t="shared" si="53"/>
        <v>0</v>
      </c>
      <c r="Y275" s="26">
        <f t="shared" si="51"/>
        <v>0</v>
      </c>
      <c r="Z275" s="26">
        <f t="shared" si="57"/>
        <v>0</v>
      </c>
      <c r="AA275" s="33" t="s">
        <v>15</v>
      </c>
      <c r="AB275" s="36" t="s">
        <v>16</v>
      </c>
      <c r="AC275" s="181">
        <f t="shared" si="54"/>
        <v>1</v>
      </c>
      <c r="AD275" s="181">
        <f t="shared" si="52"/>
        <v>7189.97</v>
      </c>
      <c r="AE275" s="181">
        <v>1.7</v>
      </c>
      <c r="AF275" s="181">
        <v>1.7</v>
      </c>
      <c r="AG275" s="101" t="str">
        <f t="shared" si="55"/>
        <v/>
      </c>
      <c r="AH275" s="190">
        <v>0</v>
      </c>
      <c r="AI275" s="69">
        <f t="shared" si="56"/>
        <v>1</v>
      </c>
    </row>
    <row r="276" spans="1:35" s="69" customFormat="1" ht="78" hidden="1" x14ac:dyDescent="0.3">
      <c r="A276" s="55" t="s">
        <v>713</v>
      </c>
      <c r="B276" s="53" t="s">
        <v>714</v>
      </c>
      <c r="C276" s="54" t="s">
        <v>606</v>
      </c>
      <c r="D276" s="75">
        <v>4</v>
      </c>
      <c r="E276" s="75"/>
      <c r="F276" s="75"/>
      <c r="G276" s="161"/>
      <c r="H276" s="158" t="s">
        <v>15</v>
      </c>
      <c r="I276" s="166">
        <v>4860.95</v>
      </c>
      <c r="J276" s="75">
        <v>19443.8</v>
      </c>
      <c r="K276" s="91" t="s">
        <v>715</v>
      </c>
      <c r="L276" s="73"/>
      <c r="M276" s="46">
        <v>0</v>
      </c>
      <c r="N276" s="46">
        <v>0</v>
      </c>
      <c r="O276" s="46">
        <v>0</v>
      </c>
      <c r="P276" s="98"/>
      <c r="Q276" s="23" t="s">
        <v>1411</v>
      </c>
      <c r="R276" s="24" t="s">
        <v>714</v>
      </c>
      <c r="S276" s="25" t="s">
        <v>606</v>
      </c>
      <c r="T276" s="26">
        <v>4</v>
      </c>
      <c r="U276" s="26">
        <v>4</v>
      </c>
      <c r="V276" s="26">
        <v>4860.95</v>
      </c>
      <c r="W276" s="26">
        <f t="shared" si="50"/>
        <v>0</v>
      </c>
      <c r="X276" s="26">
        <f t="shared" si="53"/>
        <v>0</v>
      </c>
      <c r="Y276" s="26">
        <f t="shared" si="51"/>
        <v>0</v>
      </c>
      <c r="Z276" s="26">
        <f t="shared" si="57"/>
        <v>0</v>
      </c>
      <c r="AA276" s="33" t="s">
        <v>15</v>
      </c>
      <c r="AB276" s="36" t="s">
        <v>16</v>
      </c>
      <c r="AC276" s="181">
        <f t="shared" si="54"/>
        <v>4</v>
      </c>
      <c r="AD276" s="181">
        <f t="shared" si="52"/>
        <v>19443.8</v>
      </c>
      <c r="AE276" s="181">
        <v>1.7</v>
      </c>
      <c r="AF276" s="181">
        <v>1.7</v>
      </c>
      <c r="AG276" s="101" t="str">
        <f t="shared" si="55"/>
        <v/>
      </c>
      <c r="AH276" s="190">
        <v>0</v>
      </c>
      <c r="AI276" s="69">
        <f t="shared" si="56"/>
        <v>4</v>
      </c>
    </row>
    <row r="277" spans="1:35" s="69" customFormat="1" ht="78" hidden="1" x14ac:dyDescent="0.3">
      <c r="A277" s="55" t="s">
        <v>716</v>
      </c>
      <c r="B277" s="53" t="s">
        <v>717</v>
      </c>
      <c r="C277" s="54" t="s">
        <v>606</v>
      </c>
      <c r="D277" s="75">
        <v>1</v>
      </c>
      <c r="E277" s="75"/>
      <c r="F277" s="75"/>
      <c r="G277" s="161"/>
      <c r="H277" s="158" t="s">
        <v>15</v>
      </c>
      <c r="I277" s="166">
        <v>14800.45</v>
      </c>
      <c r="J277" s="75">
        <v>14800.45</v>
      </c>
      <c r="K277" s="91" t="s">
        <v>718</v>
      </c>
      <c r="L277" s="73"/>
      <c r="M277" s="46">
        <v>0</v>
      </c>
      <c r="N277" s="46">
        <v>0</v>
      </c>
      <c r="O277" s="46">
        <v>0</v>
      </c>
      <c r="P277" s="98"/>
      <c r="Q277" s="23" t="s">
        <v>1445</v>
      </c>
      <c r="R277" s="24" t="s">
        <v>717</v>
      </c>
      <c r="S277" s="25" t="s">
        <v>606</v>
      </c>
      <c r="T277" s="26">
        <v>1</v>
      </c>
      <c r="U277" s="26">
        <v>1</v>
      </c>
      <c r="V277" s="26">
        <v>14800.45</v>
      </c>
      <c r="W277" s="26">
        <f t="shared" si="50"/>
        <v>0</v>
      </c>
      <c r="X277" s="26">
        <f t="shared" si="53"/>
        <v>0</v>
      </c>
      <c r="Y277" s="26">
        <f t="shared" si="51"/>
        <v>0</v>
      </c>
      <c r="Z277" s="26">
        <f t="shared" si="57"/>
        <v>0</v>
      </c>
      <c r="AA277" s="33" t="s">
        <v>15</v>
      </c>
      <c r="AB277" s="36" t="s">
        <v>16</v>
      </c>
      <c r="AC277" s="181">
        <f t="shared" si="54"/>
        <v>1</v>
      </c>
      <c r="AD277" s="181">
        <f t="shared" si="52"/>
        <v>14800.45</v>
      </c>
      <c r="AE277" s="181">
        <v>1.7</v>
      </c>
      <c r="AF277" s="181">
        <v>1.7</v>
      </c>
      <c r="AG277" s="101" t="str">
        <f t="shared" si="55"/>
        <v/>
      </c>
      <c r="AH277" s="190">
        <v>0</v>
      </c>
      <c r="AI277" s="69">
        <f t="shared" si="56"/>
        <v>1</v>
      </c>
    </row>
    <row r="278" spans="1:35" s="69" customFormat="1" ht="78" hidden="1" x14ac:dyDescent="0.3">
      <c r="A278" s="55" t="s">
        <v>719</v>
      </c>
      <c r="B278" s="53" t="s">
        <v>720</v>
      </c>
      <c r="C278" s="54" t="s">
        <v>606</v>
      </c>
      <c r="D278" s="75">
        <v>1</v>
      </c>
      <c r="E278" s="75"/>
      <c r="F278" s="75"/>
      <c r="G278" s="161"/>
      <c r="H278" s="158" t="s">
        <v>15</v>
      </c>
      <c r="I278" s="166">
        <v>6661.47</v>
      </c>
      <c r="J278" s="75">
        <v>6661.47</v>
      </c>
      <c r="K278" s="91" t="s">
        <v>721</v>
      </c>
      <c r="L278" s="73"/>
      <c r="M278" s="46">
        <v>0</v>
      </c>
      <c r="N278" s="46">
        <v>0</v>
      </c>
      <c r="O278" s="46">
        <v>0</v>
      </c>
      <c r="P278" s="98"/>
      <c r="Q278" s="23" t="s">
        <v>1383</v>
      </c>
      <c r="R278" s="24" t="s">
        <v>720</v>
      </c>
      <c r="S278" s="25" t="s">
        <v>606</v>
      </c>
      <c r="T278" s="26">
        <v>1</v>
      </c>
      <c r="U278" s="26">
        <v>1</v>
      </c>
      <c r="V278" s="26">
        <v>6661.47</v>
      </c>
      <c r="W278" s="26">
        <f t="shared" si="50"/>
        <v>0</v>
      </c>
      <c r="X278" s="26">
        <f t="shared" si="53"/>
        <v>0</v>
      </c>
      <c r="Y278" s="26">
        <f t="shared" si="51"/>
        <v>0</v>
      </c>
      <c r="Z278" s="26">
        <f t="shared" si="57"/>
        <v>0</v>
      </c>
      <c r="AA278" s="33" t="s">
        <v>15</v>
      </c>
      <c r="AB278" s="36" t="s">
        <v>16</v>
      </c>
      <c r="AC278" s="181">
        <f t="shared" si="54"/>
        <v>1</v>
      </c>
      <c r="AD278" s="181">
        <f t="shared" si="52"/>
        <v>6661.47</v>
      </c>
      <c r="AE278" s="181">
        <v>1.7</v>
      </c>
      <c r="AF278" s="181">
        <v>1.7</v>
      </c>
      <c r="AG278" s="101" t="str">
        <f t="shared" si="55"/>
        <v/>
      </c>
      <c r="AH278" s="190">
        <v>0</v>
      </c>
      <c r="AI278" s="69">
        <f t="shared" si="56"/>
        <v>1</v>
      </c>
    </row>
    <row r="279" spans="1:35" s="69" customFormat="1" ht="78" hidden="1" x14ac:dyDescent="0.3">
      <c r="A279" s="55" t="s">
        <v>722</v>
      </c>
      <c r="B279" s="53" t="s">
        <v>723</v>
      </c>
      <c r="C279" s="54" t="s">
        <v>606</v>
      </c>
      <c r="D279" s="75">
        <v>1</v>
      </c>
      <c r="E279" s="75"/>
      <c r="F279" s="75"/>
      <c r="G279" s="161"/>
      <c r="H279" s="158" t="s">
        <v>15</v>
      </c>
      <c r="I279" s="166">
        <v>15584.47</v>
      </c>
      <c r="J279" s="75">
        <v>15584.47</v>
      </c>
      <c r="K279" s="91" t="s">
        <v>724</v>
      </c>
      <c r="L279" s="73"/>
      <c r="M279" s="46">
        <v>0</v>
      </c>
      <c r="N279" s="46">
        <v>0</v>
      </c>
      <c r="O279" s="46">
        <v>0</v>
      </c>
      <c r="P279" s="98"/>
      <c r="Q279" s="23" t="s">
        <v>1384</v>
      </c>
      <c r="R279" s="24" t="s">
        <v>723</v>
      </c>
      <c r="S279" s="25" t="s">
        <v>606</v>
      </c>
      <c r="T279" s="26">
        <v>1</v>
      </c>
      <c r="U279" s="26">
        <v>1</v>
      </c>
      <c r="V279" s="26">
        <v>15584.47</v>
      </c>
      <c r="W279" s="26">
        <f t="shared" si="50"/>
        <v>0</v>
      </c>
      <c r="X279" s="26">
        <f t="shared" si="53"/>
        <v>0</v>
      </c>
      <c r="Y279" s="26">
        <f t="shared" si="51"/>
        <v>0</v>
      </c>
      <c r="Z279" s="26">
        <f t="shared" si="57"/>
        <v>0</v>
      </c>
      <c r="AA279" s="33" t="s">
        <v>15</v>
      </c>
      <c r="AB279" s="36" t="s">
        <v>16</v>
      </c>
      <c r="AC279" s="181">
        <f t="shared" si="54"/>
        <v>1</v>
      </c>
      <c r="AD279" s="181">
        <f t="shared" si="52"/>
        <v>15584.47</v>
      </c>
      <c r="AE279" s="181">
        <v>1.7</v>
      </c>
      <c r="AF279" s="181">
        <v>1.7</v>
      </c>
      <c r="AG279" s="101" t="str">
        <f t="shared" si="55"/>
        <v/>
      </c>
      <c r="AH279" s="190">
        <v>0</v>
      </c>
      <c r="AI279" s="69">
        <f t="shared" si="56"/>
        <v>1</v>
      </c>
    </row>
    <row r="280" spans="1:35" s="69" customFormat="1" ht="78" hidden="1" x14ac:dyDescent="0.3">
      <c r="A280" s="55" t="s">
        <v>725</v>
      </c>
      <c r="B280" s="53" t="s">
        <v>726</v>
      </c>
      <c r="C280" s="54" t="s">
        <v>606</v>
      </c>
      <c r="D280" s="75">
        <v>4</v>
      </c>
      <c r="E280" s="75"/>
      <c r="F280" s="75"/>
      <c r="G280" s="161"/>
      <c r="H280" s="158" t="s">
        <v>15</v>
      </c>
      <c r="I280" s="166">
        <v>3949.4</v>
      </c>
      <c r="J280" s="75">
        <v>15797.6</v>
      </c>
      <c r="K280" s="91" t="s">
        <v>727</v>
      </c>
      <c r="L280" s="73"/>
      <c r="M280" s="46">
        <v>0</v>
      </c>
      <c r="N280" s="46">
        <v>0</v>
      </c>
      <c r="O280" s="46">
        <v>0</v>
      </c>
      <c r="P280" s="98"/>
      <c r="Q280" s="23" t="s">
        <v>1385</v>
      </c>
      <c r="R280" s="24" t="s">
        <v>726</v>
      </c>
      <c r="S280" s="25" t="s">
        <v>606</v>
      </c>
      <c r="T280" s="26">
        <v>4</v>
      </c>
      <c r="U280" s="26">
        <v>4</v>
      </c>
      <c r="V280" s="26">
        <v>3949.4</v>
      </c>
      <c r="W280" s="26">
        <f t="shared" si="50"/>
        <v>0</v>
      </c>
      <c r="X280" s="26">
        <f t="shared" si="53"/>
        <v>0</v>
      </c>
      <c r="Y280" s="26">
        <f t="shared" si="51"/>
        <v>0</v>
      </c>
      <c r="Z280" s="26">
        <f t="shared" si="57"/>
        <v>0</v>
      </c>
      <c r="AA280" s="33" t="s">
        <v>15</v>
      </c>
      <c r="AB280" s="36" t="s">
        <v>16</v>
      </c>
      <c r="AC280" s="181">
        <f t="shared" si="54"/>
        <v>4</v>
      </c>
      <c r="AD280" s="181">
        <f t="shared" si="52"/>
        <v>15797.6</v>
      </c>
      <c r="AE280" s="181">
        <v>1.7</v>
      </c>
      <c r="AF280" s="181">
        <v>1.7</v>
      </c>
      <c r="AG280" s="101" t="str">
        <f t="shared" si="55"/>
        <v/>
      </c>
      <c r="AH280" s="190">
        <v>0</v>
      </c>
      <c r="AI280" s="69">
        <f t="shared" si="56"/>
        <v>4</v>
      </c>
    </row>
    <row r="281" spans="1:35" s="69" customFormat="1" ht="58.5" hidden="1" x14ac:dyDescent="0.3">
      <c r="A281" s="55" t="s">
        <v>728</v>
      </c>
      <c r="B281" s="53" t="s">
        <v>729</v>
      </c>
      <c r="C281" s="54" t="s">
        <v>606</v>
      </c>
      <c r="D281" s="75">
        <v>1</v>
      </c>
      <c r="E281" s="75"/>
      <c r="F281" s="75"/>
      <c r="G281" s="161"/>
      <c r="H281" s="158" t="s">
        <v>15</v>
      </c>
      <c r="I281" s="166">
        <v>227.07</v>
      </c>
      <c r="J281" s="75">
        <v>227.07</v>
      </c>
      <c r="K281" s="91" t="s">
        <v>730</v>
      </c>
      <c r="L281" s="73"/>
      <c r="M281" s="46">
        <v>0</v>
      </c>
      <c r="N281" s="46">
        <v>0</v>
      </c>
      <c r="O281" s="46">
        <v>0</v>
      </c>
      <c r="P281" s="98"/>
      <c r="Q281" s="23" t="s">
        <v>1446</v>
      </c>
      <c r="R281" s="24" t="s">
        <v>729</v>
      </c>
      <c r="S281" s="25" t="s">
        <v>606</v>
      </c>
      <c r="T281" s="26">
        <v>1</v>
      </c>
      <c r="U281" s="26">
        <v>1</v>
      </c>
      <c r="V281" s="26">
        <v>227.07</v>
      </c>
      <c r="W281" s="26">
        <f t="shared" si="50"/>
        <v>0</v>
      </c>
      <c r="X281" s="26">
        <f t="shared" si="53"/>
        <v>0</v>
      </c>
      <c r="Y281" s="26">
        <f t="shared" si="51"/>
        <v>0</v>
      </c>
      <c r="Z281" s="26">
        <f t="shared" si="57"/>
        <v>0</v>
      </c>
      <c r="AA281" s="33" t="s">
        <v>15</v>
      </c>
      <c r="AB281" s="36" t="s">
        <v>16</v>
      </c>
      <c r="AC281" s="181">
        <f t="shared" si="54"/>
        <v>1</v>
      </c>
      <c r="AD281" s="181">
        <f t="shared" si="52"/>
        <v>227.07</v>
      </c>
      <c r="AE281" s="181">
        <v>1.7</v>
      </c>
      <c r="AF281" s="181">
        <v>1.7</v>
      </c>
      <c r="AG281" s="101" t="str">
        <f t="shared" si="55"/>
        <v/>
      </c>
      <c r="AH281" s="190">
        <v>0</v>
      </c>
      <c r="AI281" s="69">
        <f t="shared" si="56"/>
        <v>1</v>
      </c>
    </row>
    <row r="282" spans="1:35" s="69" customFormat="1" ht="39" hidden="1" x14ac:dyDescent="0.3">
      <c r="A282" s="55" t="s">
        <v>731</v>
      </c>
      <c r="B282" s="53" t="s">
        <v>732</v>
      </c>
      <c r="C282" s="54" t="s">
        <v>606</v>
      </c>
      <c r="D282" s="75">
        <v>1</v>
      </c>
      <c r="E282" s="75"/>
      <c r="F282" s="75"/>
      <c r="G282" s="161"/>
      <c r="H282" s="158" t="s">
        <v>15</v>
      </c>
      <c r="I282" s="166">
        <v>277.02999999999997</v>
      </c>
      <c r="J282" s="75">
        <v>277.02999999999997</v>
      </c>
      <c r="K282" s="91" t="s">
        <v>733</v>
      </c>
      <c r="L282" s="73"/>
      <c r="M282" s="46">
        <v>0</v>
      </c>
      <c r="N282" s="46">
        <v>0</v>
      </c>
      <c r="O282" s="46">
        <v>0</v>
      </c>
      <c r="P282" s="98"/>
      <c r="Q282" s="23" t="s">
        <v>1447</v>
      </c>
      <c r="R282" s="24" t="s">
        <v>732</v>
      </c>
      <c r="S282" s="25" t="s">
        <v>606</v>
      </c>
      <c r="T282" s="26">
        <v>1</v>
      </c>
      <c r="U282" s="26">
        <v>1</v>
      </c>
      <c r="V282" s="26">
        <v>277.02999999999997</v>
      </c>
      <c r="W282" s="26">
        <f t="shared" si="50"/>
        <v>0</v>
      </c>
      <c r="X282" s="26">
        <f t="shared" si="53"/>
        <v>0</v>
      </c>
      <c r="Y282" s="26">
        <f t="shared" si="51"/>
        <v>0</v>
      </c>
      <c r="Z282" s="26">
        <f t="shared" si="57"/>
        <v>0</v>
      </c>
      <c r="AA282" s="33" t="s">
        <v>15</v>
      </c>
      <c r="AB282" s="36" t="s">
        <v>16</v>
      </c>
      <c r="AC282" s="181">
        <f t="shared" si="54"/>
        <v>1</v>
      </c>
      <c r="AD282" s="181">
        <f t="shared" si="52"/>
        <v>277.02999999999997</v>
      </c>
      <c r="AE282" s="181">
        <v>1.7</v>
      </c>
      <c r="AF282" s="181">
        <v>1.7</v>
      </c>
      <c r="AG282" s="101" t="str">
        <f t="shared" si="55"/>
        <v/>
      </c>
      <c r="AH282" s="190">
        <v>0</v>
      </c>
      <c r="AI282" s="69">
        <f t="shared" si="56"/>
        <v>1</v>
      </c>
    </row>
    <row r="283" spans="1:35" s="69" customFormat="1" ht="39" hidden="1" x14ac:dyDescent="0.3">
      <c r="A283" s="55" t="s">
        <v>734</v>
      </c>
      <c r="B283" s="53" t="s">
        <v>735</v>
      </c>
      <c r="C283" s="54" t="s">
        <v>606</v>
      </c>
      <c r="D283" s="75">
        <v>1</v>
      </c>
      <c r="E283" s="75"/>
      <c r="F283" s="75"/>
      <c r="G283" s="161"/>
      <c r="H283" s="158" t="s">
        <v>15</v>
      </c>
      <c r="I283" s="166">
        <v>286.3</v>
      </c>
      <c r="J283" s="75">
        <v>286.3</v>
      </c>
      <c r="K283" s="91" t="s">
        <v>736</v>
      </c>
      <c r="L283" s="73"/>
      <c r="M283" s="46">
        <v>0</v>
      </c>
      <c r="N283" s="46">
        <v>0</v>
      </c>
      <c r="O283" s="46">
        <v>0</v>
      </c>
      <c r="P283" s="98"/>
      <c r="Q283" s="23" t="s">
        <v>1448</v>
      </c>
      <c r="R283" s="24" t="s">
        <v>735</v>
      </c>
      <c r="S283" s="25" t="s">
        <v>606</v>
      </c>
      <c r="T283" s="26">
        <v>1</v>
      </c>
      <c r="U283" s="26">
        <v>1</v>
      </c>
      <c r="V283" s="26">
        <v>286.3</v>
      </c>
      <c r="W283" s="26">
        <f t="shared" si="50"/>
        <v>0</v>
      </c>
      <c r="X283" s="26">
        <f t="shared" si="53"/>
        <v>0</v>
      </c>
      <c r="Y283" s="26">
        <f t="shared" si="51"/>
        <v>0</v>
      </c>
      <c r="Z283" s="26">
        <f t="shared" si="57"/>
        <v>0</v>
      </c>
      <c r="AA283" s="33" t="s">
        <v>15</v>
      </c>
      <c r="AB283" s="36" t="s">
        <v>16</v>
      </c>
      <c r="AC283" s="181">
        <f t="shared" si="54"/>
        <v>1</v>
      </c>
      <c r="AD283" s="181">
        <f t="shared" si="52"/>
        <v>286.3</v>
      </c>
      <c r="AE283" s="181">
        <v>1.7</v>
      </c>
      <c r="AF283" s="181">
        <v>1.7</v>
      </c>
      <c r="AG283" s="101" t="str">
        <f t="shared" si="55"/>
        <v/>
      </c>
      <c r="AH283" s="190">
        <v>0</v>
      </c>
      <c r="AI283" s="69">
        <f t="shared" si="56"/>
        <v>1</v>
      </c>
    </row>
    <row r="284" spans="1:35" s="69" customFormat="1" ht="39" hidden="1" x14ac:dyDescent="0.3">
      <c r="A284" s="55" t="s">
        <v>737</v>
      </c>
      <c r="B284" s="53" t="s">
        <v>738</v>
      </c>
      <c r="C284" s="54" t="s">
        <v>606</v>
      </c>
      <c r="D284" s="75">
        <v>1</v>
      </c>
      <c r="E284" s="75"/>
      <c r="F284" s="75"/>
      <c r="G284" s="161"/>
      <c r="H284" s="158" t="s">
        <v>15</v>
      </c>
      <c r="I284" s="166">
        <v>134.37</v>
      </c>
      <c r="J284" s="75">
        <v>134.37</v>
      </c>
      <c r="K284" s="91" t="s">
        <v>739</v>
      </c>
      <c r="L284" s="73"/>
      <c r="M284" s="46">
        <v>0</v>
      </c>
      <c r="N284" s="46">
        <v>0</v>
      </c>
      <c r="O284" s="46">
        <v>0</v>
      </c>
      <c r="P284" s="98"/>
      <c r="Q284" s="23" t="s">
        <v>1449</v>
      </c>
      <c r="R284" s="24" t="s">
        <v>738</v>
      </c>
      <c r="S284" s="25" t="s">
        <v>606</v>
      </c>
      <c r="T284" s="26">
        <v>1</v>
      </c>
      <c r="U284" s="26">
        <v>1</v>
      </c>
      <c r="V284" s="26">
        <v>134.37</v>
      </c>
      <c r="W284" s="26">
        <f t="shared" si="50"/>
        <v>0</v>
      </c>
      <c r="X284" s="26">
        <f t="shared" si="53"/>
        <v>0</v>
      </c>
      <c r="Y284" s="26">
        <f t="shared" si="51"/>
        <v>0</v>
      </c>
      <c r="Z284" s="26">
        <f t="shared" si="57"/>
        <v>0</v>
      </c>
      <c r="AA284" s="33" t="s">
        <v>15</v>
      </c>
      <c r="AB284" s="36" t="s">
        <v>16</v>
      </c>
      <c r="AC284" s="181">
        <f t="shared" si="54"/>
        <v>1</v>
      </c>
      <c r="AD284" s="181">
        <f t="shared" si="52"/>
        <v>134.37</v>
      </c>
      <c r="AE284" s="181">
        <v>1.7</v>
      </c>
      <c r="AF284" s="181">
        <v>1.7</v>
      </c>
      <c r="AG284" s="101" t="str">
        <f t="shared" si="55"/>
        <v/>
      </c>
      <c r="AH284" s="190">
        <v>0</v>
      </c>
      <c r="AI284" s="69">
        <f t="shared" si="56"/>
        <v>1</v>
      </c>
    </row>
    <row r="285" spans="1:35" s="69" customFormat="1" ht="39" hidden="1" x14ac:dyDescent="0.3">
      <c r="A285" s="55" t="s">
        <v>740</v>
      </c>
      <c r="B285" s="53" t="s">
        <v>741</v>
      </c>
      <c r="C285" s="54" t="s">
        <v>606</v>
      </c>
      <c r="D285" s="75">
        <v>1</v>
      </c>
      <c r="E285" s="75"/>
      <c r="F285" s="75"/>
      <c r="G285" s="161"/>
      <c r="H285" s="158" t="s">
        <v>15</v>
      </c>
      <c r="I285" s="166">
        <v>142.1</v>
      </c>
      <c r="J285" s="75">
        <v>142.1</v>
      </c>
      <c r="K285" s="91" t="s">
        <v>742</v>
      </c>
      <c r="L285" s="73"/>
      <c r="M285" s="46">
        <v>0</v>
      </c>
      <c r="N285" s="46">
        <v>0</v>
      </c>
      <c r="O285" s="46">
        <v>0</v>
      </c>
      <c r="P285" s="98"/>
      <c r="Q285" s="23" t="s">
        <v>1450</v>
      </c>
      <c r="R285" s="24" t="s">
        <v>741</v>
      </c>
      <c r="S285" s="25" t="s">
        <v>606</v>
      </c>
      <c r="T285" s="26">
        <v>1</v>
      </c>
      <c r="U285" s="26">
        <v>1</v>
      </c>
      <c r="V285" s="26">
        <v>142.1</v>
      </c>
      <c r="W285" s="26">
        <f t="shared" si="50"/>
        <v>0</v>
      </c>
      <c r="X285" s="26">
        <f t="shared" si="53"/>
        <v>0</v>
      </c>
      <c r="Y285" s="26">
        <f t="shared" si="51"/>
        <v>0</v>
      </c>
      <c r="Z285" s="26">
        <f t="shared" si="57"/>
        <v>0</v>
      </c>
      <c r="AA285" s="33" t="s">
        <v>15</v>
      </c>
      <c r="AB285" s="36" t="s">
        <v>16</v>
      </c>
      <c r="AC285" s="181">
        <f t="shared" si="54"/>
        <v>1</v>
      </c>
      <c r="AD285" s="181">
        <f t="shared" si="52"/>
        <v>142.1</v>
      </c>
      <c r="AE285" s="181">
        <v>1.7</v>
      </c>
      <c r="AF285" s="181">
        <v>1.7</v>
      </c>
      <c r="AG285" s="101" t="str">
        <f t="shared" si="55"/>
        <v/>
      </c>
      <c r="AH285" s="190">
        <v>0</v>
      </c>
      <c r="AI285" s="69">
        <f t="shared" si="56"/>
        <v>1</v>
      </c>
    </row>
    <row r="286" spans="1:35" s="69" customFormat="1" ht="39" hidden="1" x14ac:dyDescent="0.3">
      <c r="A286" s="55" t="s">
        <v>743</v>
      </c>
      <c r="B286" s="53" t="s">
        <v>744</v>
      </c>
      <c r="C286" s="54" t="s">
        <v>606</v>
      </c>
      <c r="D286" s="75">
        <v>1</v>
      </c>
      <c r="E286" s="75"/>
      <c r="F286" s="75"/>
      <c r="G286" s="161"/>
      <c r="H286" s="158" t="s">
        <v>15</v>
      </c>
      <c r="I286" s="166">
        <v>90.32</v>
      </c>
      <c r="J286" s="75">
        <v>90.32</v>
      </c>
      <c r="K286" s="91" t="s">
        <v>745</v>
      </c>
      <c r="L286" s="73"/>
      <c r="M286" s="46">
        <v>0</v>
      </c>
      <c r="N286" s="46">
        <v>0</v>
      </c>
      <c r="O286" s="46">
        <v>0</v>
      </c>
      <c r="P286" s="98"/>
      <c r="Q286" s="23" t="s">
        <v>1451</v>
      </c>
      <c r="R286" s="24" t="s">
        <v>744</v>
      </c>
      <c r="S286" s="25" t="s">
        <v>606</v>
      </c>
      <c r="T286" s="26">
        <v>1</v>
      </c>
      <c r="U286" s="26">
        <v>1</v>
      </c>
      <c r="V286" s="26">
        <v>90.32</v>
      </c>
      <c r="W286" s="26">
        <f t="shared" si="50"/>
        <v>0</v>
      </c>
      <c r="X286" s="26">
        <f t="shared" si="53"/>
        <v>0</v>
      </c>
      <c r="Y286" s="26">
        <f t="shared" si="51"/>
        <v>0</v>
      </c>
      <c r="Z286" s="26">
        <f t="shared" si="57"/>
        <v>0</v>
      </c>
      <c r="AA286" s="33" t="s">
        <v>15</v>
      </c>
      <c r="AB286" s="36" t="s">
        <v>16</v>
      </c>
      <c r="AC286" s="181">
        <f t="shared" si="54"/>
        <v>1</v>
      </c>
      <c r="AD286" s="181">
        <f t="shared" si="52"/>
        <v>90.32</v>
      </c>
      <c r="AE286" s="181">
        <v>1.7</v>
      </c>
      <c r="AF286" s="181">
        <v>1.7</v>
      </c>
      <c r="AG286" s="101" t="str">
        <f t="shared" si="55"/>
        <v/>
      </c>
      <c r="AH286" s="190">
        <v>0</v>
      </c>
      <c r="AI286" s="69">
        <f t="shared" si="56"/>
        <v>1</v>
      </c>
    </row>
    <row r="287" spans="1:35" s="69" customFormat="1" ht="58.5" hidden="1" x14ac:dyDescent="0.3">
      <c r="A287" s="55" t="s">
        <v>746</v>
      </c>
      <c r="B287" s="53" t="s">
        <v>747</v>
      </c>
      <c r="C287" s="54" t="s">
        <v>606</v>
      </c>
      <c r="D287" s="75">
        <v>1</v>
      </c>
      <c r="E287" s="75"/>
      <c r="F287" s="75"/>
      <c r="G287" s="161"/>
      <c r="H287" s="158" t="s">
        <v>15</v>
      </c>
      <c r="I287" s="166">
        <v>125.1</v>
      </c>
      <c r="J287" s="75">
        <v>125.1</v>
      </c>
      <c r="K287" s="91" t="s">
        <v>748</v>
      </c>
      <c r="L287" s="73"/>
      <c r="M287" s="46">
        <v>0</v>
      </c>
      <c r="N287" s="46">
        <v>0</v>
      </c>
      <c r="O287" s="46">
        <v>0</v>
      </c>
      <c r="P287" s="98"/>
      <c r="Q287" s="23" t="s">
        <v>1452</v>
      </c>
      <c r="R287" s="24" t="s">
        <v>747</v>
      </c>
      <c r="S287" s="25" t="s">
        <v>606</v>
      </c>
      <c r="T287" s="26">
        <v>1</v>
      </c>
      <c r="U287" s="26">
        <v>1</v>
      </c>
      <c r="V287" s="26">
        <v>125.1</v>
      </c>
      <c r="W287" s="26">
        <f t="shared" si="50"/>
        <v>0</v>
      </c>
      <c r="X287" s="26">
        <f t="shared" si="53"/>
        <v>0</v>
      </c>
      <c r="Y287" s="26">
        <f t="shared" si="51"/>
        <v>0</v>
      </c>
      <c r="Z287" s="26">
        <f t="shared" si="57"/>
        <v>0</v>
      </c>
      <c r="AA287" s="33" t="s">
        <v>15</v>
      </c>
      <c r="AB287" s="36" t="s">
        <v>16</v>
      </c>
      <c r="AC287" s="181">
        <f t="shared" si="54"/>
        <v>1</v>
      </c>
      <c r="AD287" s="181">
        <f t="shared" si="52"/>
        <v>125.1</v>
      </c>
      <c r="AE287" s="181">
        <v>1.7</v>
      </c>
      <c r="AF287" s="181">
        <v>1.7</v>
      </c>
      <c r="AG287" s="101" t="str">
        <f t="shared" si="55"/>
        <v/>
      </c>
      <c r="AH287" s="190">
        <v>0</v>
      </c>
      <c r="AI287" s="69">
        <f t="shared" si="56"/>
        <v>1</v>
      </c>
    </row>
    <row r="288" spans="1:35" s="69" customFormat="1" ht="58.5" hidden="1" x14ac:dyDescent="0.3">
      <c r="A288" s="55" t="s">
        <v>749</v>
      </c>
      <c r="B288" s="53" t="s">
        <v>750</v>
      </c>
      <c r="C288" s="54" t="s">
        <v>606</v>
      </c>
      <c r="D288" s="75">
        <v>1</v>
      </c>
      <c r="E288" s="75"/>
      <c r="F288" s="75"/>
      <c r="G288" s="161"/>
      <c r="H288" s="158" t="s">
        <v>15</v>
      </c>
      <c r="I288" s="166">
        <v>137.04</v>
      </c>
      <c r="J288" s="75">
        <v>137.04</v>
      </c>
      <c r="K288" s="91" t="s">
        <v>751</v>
      </c>
      <c r="L288" s="73"/>
      <c r="M288" s="46">
        <v>0</v>
      </c>
      <c r="N288" s="46">
        <v>0</v>
      </c>
      <c r="O288" s="46">
        <v>0</v>
      </c>
      <c r="P288" s="98"/>
      <c r="Q288" s="23" t="s">
        <v>1453</v>
      </c>
      <c r="R288" s="24" t="s">
        <v>750</v>
      </c>
      <c r="S288" s="25" t="s">
        <v>606</v>
      </c>
      <c r="T288" s="26">
        <v>1</v>
      </c>
      <c r="U288" s="26">
        <v>1</v>
      </c>
      <c r="V288" s="26">
        <v>137.04</v>
      </c>
      <c r="W288" s="26">
        <f t="shared" si="50"/>
        <v>0</v>
      </c>
      <c r="X288" s="26">
        <f t="shared" si="53"/>
        <v>0</v>
      </c>
      <c r="Y288" s="26">
        <f t="shared" si="51"/>
        <v>0</v>
      </c>
      <c r="Z288" s="26">
        <f t="shared" si="57"/>
        <v>0</v>
      </c>
      <c r="AA288" s="33" t="s">
        <v>15</v>
      </c>
      <c r="AB288" s="36" t="s">
        <v>16</v>
      </c>
      <c r="AC288" s="181">
        <f t="shared" si="54"/>
        <v>1</v>
      </c>
      <c r="AD288" s="181">
        <f t="shared" si="52"/>
        <v>137.04</v>
      </c>
      <c r="AE288" s="181">
        <v>1.7</v>
      </c>
      <c r="AF288" s="181">
        <v>1.7</v>
      </c>
      <c r="AG288" s="101" t="str">
        <f t="shared" si="55"/>
        <v/>
      </c>
      <c r="AH288" s="190">
        <v>0</v>
      </c>
      <c r="AI288" s="69">
        <f t="shared" si="56"/>
        <v>1</v>
      </c>
    </row>
    <row r="289" spans="1:35" s="69" customFormat="1" ht="39" hidden="1" x14ac:dyDescent="0.3">
      <c r="A289" s="55" t="s">
        <v>752</v>
      </c>
      <c r="B289" s="53" t="s">
        <v>753</v>
      </c>
      <c r="C289" s="54" t="s">
        <v>606</v>
      </c>
      <c r="D289" s="75">
        <v>1</v>
      </c>
      <c r="E289" s="75"/>
      <c r="F289" s="75"/>
      <c r="G289" s="161"/>
      <c r="H289" s="158" t="s">
        <v>15</v>
      </c>
      <c r="I289" s="166">
        <v>107.12</v>
      </c>
      <c r="J289" s="75">
        <v>107.12</v>
      </c>
      <c r="K289" s="91" t="s">
        <v>754</v>
      </c>
      <c r="L289" s="73"/>
      <c r="M289" s="46">
        <v>0</v>
      </c>
      <c r="N289" s="46">
        <v>0</v>
      </c>
      <c r="O289" s="46">
        <v>0</v>
      </c>
      <c r="P289" s="98"/>
      <c r="Q289" s="23" t="s">
        <v>1454</v>
      </c>
      <c r="R289" s="24" t="s">
        <v>753</v>
      </c>
      <c r="S289" s="25" t="s">
        <v>606</v>
      </c>
      <c r="T289" s="26">
        <v>1</v>
      </c>
      <c r="U289" s="26">
        <v>1</v>
      </c>
      <c r="V289" s="26">
        <v>107.12</v>
      </c>
      <c r="W289" s="26">
        <f t="shared" si="50"/>
        <v>0</v>
      </c>
      <c r="X289" s="26">
        <f t="shared" si="53"/>
        <v>0</v>
      </c>
      <c r="Y289" s="26">
        <f t="shared" si="51"/>
        <v>0</v>
      </c>
      <c r="Z289" s="26">
        <f t="shared" si="57"/>
        <v>0</v>
      </c>
      <c r="AA289" s="33" t="s">
        <v>15</v>
      </c>
      <c r="AB289" s="36" t="s">
        <v>16</v>
      </c>
      <c r="AC289" s="181">
        <f t="shared" si="54"/>
        <v>1</v>
      </c>
      <c r="AD289" s="181">
        <f t="shared" si="52"/>
        <v>107.12</v>
      </c>
      <c r="AE289" s="181">
        <v>1.7</v>
      </c>
      <c r="AF289" s="181">
        <v>1.7</v>
      </c>
      <c r="AG289" s="101" t="str">
        <f t="shared" si="55"/>
        <v/>
      </c>
      <c r="AH289" s="190">
        <v>0</v>
      </c>
      <c r="AI289" s="69">
        <f t="shared" si="56"/>
        <v>1</v>
      </c>
    </row>
    <row r="290" spans="1:35" s="69" customFormat="1" ht="39" hidden="1" x14ac:dyDescent="0.3">
      <c r="A290" s="55" t="s">
        <v>755</v>
      </c>
      <c r="B290" s="53" t="s">
        <v>756</v>
      </c>
      <c r="C290" s="54" t="s">
        <v>606</v>
      </c>
      <c r="D290" s="75">
        <v>1</v>
      </c>
      <c r="E290" s="75"/>
      <c r="F290" s="75"/>
      <c r="G290" s="161"/>
      <c r="H290" s="158" t="s">
        <v>15</v>
      </c>
      <c r="I290" s="166">
        <v>124.17</v>
      </c>
      <c r="J290" s="75">
        <v>124.17</v>
      </c>
      <c r="K290" s="91" t="s">
        <v>757</v>
      </c>
      <c r="L290" s="73"/>
      <c r="M290" s="46">
        <v>0</v>
      </c>
      <c r="N290" s="46">
        <v>0</v>
      </c>
      <c r="O290" s="46">
        <v>0</v>
      </c>
      <c r="P290" s="98"/>
      <c r="Q290" s="23" t="s">
        <v>1455</v>
      </c>
      <c r="R290" s="24" t="s">
        <v>756</v>
      </c>
      <c r="S290" s="25" t="s">
        <v>606</v>
      </c>
      <c r="T290" s="26">
        <v>1</v>
      </c>
      <c r="U290" s="26">
        <v>1</v>
      </c>
      <c r="V290" s="26">
        <v>124.17</v>
      </c>
      <c r="W290" s="26">
        <f t="shared" si="50"/>
        <v>0</v>
      </c>
      <c r="X290" s="26">
        <f t="shared" si="53"/>
        <v>0</v>
      </c>
      <c r="Y290" s="26">
        <f t="shared" si="51"/>
        <v>0</v>
      </c>
      <c r="Z290" s="26">
        <f t="shared" si="57"/>
        <v>0</v>
      </c>
      <c r="AA290" s="33" t="s">
        <v>15</v>
      </c>
      <c r="AB290" s="36" t="s">
        <v>16</v>
      </c>
      <c r="AC290" s="181">
        <f t="shared" si="54"/>
        <v>1</v>
      </c>
      <c r="AD290" s="181">
        <f t="shared" si="52"/>
        <v>124.17</v>
      </c>
      <c r="AE290" s="181">
        <v>1.7</v>
      </c>
      <c r="AF290" s="181">
        <v>1.7</v>
      </c>
      <c r="AG290" s="101" t="str">
        <f t="shared" si="55"/>
        <v/>
      </c>
      <c r="AH290" s="190">
        <v>0</v>
      </c>
      <c r="AI290" s="69">
        <f t="shared" si="56"/>
        <v>1</v>
      </c>
    </row>
    <row r="291" spans="1:35" s="69" customFormat="1" ht="39" hidden="1" x14ac:dyDescent="0.3">
      <c r="A291" s="55" t="s">
        <v>758</v>
      </c>
      <c r="B291" s="53" t="s">
        <v>759</v>
      </c>
      <c r="C291" s="54" t="s">
        <v>606</v>
      </c>
      <c r="D291" s="75">
        <v>1</v>
      </c>
      <c r="E291" s="75"/>
      <c r="F291" s="75"/>
      <c r="G291" s="161"/>
      <c r="H291" s="158" t="s">
        <v>15</v>
      </c>
      <c r="I291" s="166">
        <v>121.59</v>
      </c>
      <c r="J291" s="75">
        <v>121.59</v>
      </c>
      <c r="K291" s="91" t="s">
        <v>760</v>
      </c>
      <c r="L291" s="73"/>
      <c r="M291" s="46">
        <v>0</v>
      </c>
      <c r="N291" s="46">
        <v>0</v>
      </c>
      <c r="O291" s="46">
        <v>0</v>
      </c>
      <c r="P291" s="98"/>
      <c r="Q291" s="23" t="s">
        <v>1456</v>
      </c>
      <c r="R291" s="24" t="s">
        <v>759</v>
      </c>
      <c r="S291" s="25" t="s">
        <v>606</v>
      </c>
      <c r="T291" s="26">
        <v>1</v>
      </c>
      <c r="U291" s="26">
        <v>1</v>
      </c>
      <c r="V291" s="26">
        <v>121.59</v>
      </c>
      <c r="W291" s="26">
        <f t="shared" si="50"/>
        <v>0</v>
      </c>
      <c r="X291" s="26">
        <f t="shared" si="53"/>
        <v>0</v>
      </c>
      <c r="Y291" s="26">
        <f t="shared" si="51"/>
        <v>0</v>
      </c>
      <c r="Z291" s="26">
        <f t="shared" si="57"/>
        <v>0</v>
      </c>
      <c r="AA291" s="33" t="s">
        <v>15</v>
      </c>
      <c r="AB291" s="36" t="s">
        <v>16</v>
      </c>
      <c r="AC291" s="181">
        <f t="shared" si="54"/>
        <v>1</v>
      </c>
      <c r="AD291" s="181">
        <f t="shared" si="52"/>
        <v>121.59</v>
      </c>
      <c r="AE291" s="181">
        <v>1.7</v>
      </c>
      <c r="AF291" s="181">
        <v>1.7</v>
      </c>
      <c r="AG291" s="101" t="str">
        <f t="shared" si="55"/>
        <v/>
      </c>
      <c r="AH291" s="190">
        <v>0</v>
      </c>
      <c r="AI291" s="69">
        <f t="shared" si="56"/>
        <v>1</v>
      </c>
    </row>
    <row r="292" spans="1:35" s="69" customFormat="1" ht="39" hidden="1" x14ac:dyDescent="0.3">
      <c r="A292" s="55" t="s">
        <v>761</v>
      </c>
      <c r="B292" s="53" t="s">
        <v>762</v>
      </c>
      <c r="C292" s="54" t="s">
        <v>606</v>
      </c>
      <c r="D292" s="75">
        <v>1</v>
      </c>
      <c r="E292" s="75"/>
      <c r="F292" s="75"/>
      <c r="G292" s="161"/>
      <c r="H292" s="158" t="s">
        <v>15</v>
      </c>
      <c r="I292" s="166">
        <v>154.51</v>
      </c>
      <c r="J292" s="75">
        <v>154.51</v>
      </c>
      <c r="K292" s="91" t="s">
        <v>763</v>
      </c>
      <c r="L292" s="73"/>
      <c r="M292" s="46">
        <v>0</v>
      </c>
      <c r="N292" s="46">
        <v>0</v>
      </c>
      <c r="O292" s="46">
        <v>0</v>
      </c>
      <c r="P292" s="98"/>
      <c r="Q292" s="23" t="s">
        <v>1457</v>
      </c>
      <c r="R292" s="24" t="s">
        <v>762</v>
      </c>
      <c r="S292" s="25" t="s">
        <v>606</v>
      </c>
      <c r="T292" s="26">
        <v>1</v>
      </c>
      <c r="U292" s="26">
        <v>1</v>
      </c>
      <c r="V292" s="26">
        <v>154.51</v>
      </c>
      <c r="W292" s="26">
        <f t="shared" si="50"/>
        <v>0</v>
      </c>
      <c r="X292" s="26">
        <f t="shared" si="53"/>
        <v>0</v>
      </c>
      <c r="Y292" s="26">
        <f t="shared" si="51"/>
        <v>0</v>
      </c>
      <c r="Z292" s="26">
        <f t="shared" si="57"/>
        <v>0</v>
      </c>
      <c r="AA292" s="33" t="s">
        <v>15</v>
      </c>
      <c r="AB292" s="36" t="s">
        <v>16</v>
      </c>
      <c r="AC292" s="181">
        <f t="shared" si="54"/>
        <v>1</v>
      </c>
      <c r="AD292" s="181">
        <f t="shared" si="52"/>
        <v>154.51</v>
      </c>
      <c r="AE292" s="181">
        <v>1.7</v>
      </c>
      <c r="AF292" s="181">
        <v>1.7</v>
      </c>
      <c r="AG292" s="101" t="str">
        <f t="shared" si="55"/>
        <v/>
      </c>
      <c r="AH292" s="190">
        <v>0</v>
      </c>
      <c r="AI292" s="69">
        <f t="shared" si="56"/>
        <v>1</v>
      </c>
    </row>
    <row r="293" spans="1:35" s="69" customFormat="1" ht="58.5" hidden="1" x14ac:dyDescent="0.3">
      <c r="A293" s="55" t="s">
        <v>764</v>
      </c>
      <c r="B293" s="53" t="s">
        <v>765</v>
      </c>
      <c r="C293" s="54" t="s">
        <v>606</v>
      </c>
      <c r="D293" s="75">
        <v>1</v>
      </c>
      <c r="E293" s="75"/>
      <c r="F293" s="75"/>
      <c r="G293" s="161"/>
      <c r="H293" s="158" t="s">
        <v>15</v>
      </c>
      <c r="I293" s="166">
        <v>36.549999999999997</v>
      </c>
      <c r="J293" s="75">
        <v>36.549999999999997</v>
      </c>
      <c r="K293" s="91" t="s">
        <v>766</v>
      </c>
      <c r="L293" s="73"/>
      <c r="M293" s="46">
        <v>0</v>
      </c>
      <c r="N293" s="46">
        <v>0</v>
      </c>
      <c r="O293" s="46">
        <v>0</v>
      </c>
      <c r="P293" s="98"/>
      <c r="Q293" s="23" t="s">
        <v>1458</v>
      </c>
      <c r="R293" s="24" t="s">
        <v>765</v>
      </c>
      <c r="S293" s="25" t="s">
        <v>606</v>
      </c>
      <c r="T293" s="26">
        <v>1</v>
      </c>
      <c r="U293" s="26">
        <v>1</v>
      </c>
      <c r="V293" s="26">
        <v>36.549999999999997</v>
      </c>
      <c r="W293" s="26">
        <f t="shared" si="50"/>
        <v>0</v>
      </c>
      <c r="X293" s="26">
        <f t="shared" si="53"/>
        <v>0</v>
      </c>
      <c r="Y293" s="26">
        <f t="shared" si="51"/>
        <v>0</v>
      </c>
      <c r="Z293" s="26">
        <f t="shared" si="57"/>
        <v>0</v>
      </c>
      <c r="AA293" s="33" t="s">
        <v>15</v>
      </c>
      <c r="AB293" s="36" t="s">
        <v>16</v>
      </c>
      <c r="AC293" s="181">
        <f t="shared" si="54"/>
        <v>1</v>
      </c>
      <c r="AD293" s="181">
        <f t="shared" si="52"/>
        <v>36.549999999999997</v>
      </c>
      <c r="AE293" s="181">
        <v>1.7</v>
      </c>
      <c r="AF293" s="181">
        <v>1.7</v>
      </c>
      <c r="AG293" s="101" t="str">
        <f t="shared" si="55"/>
        <v/>
      </c>
      <c r="AH293" s="190">
        <v>0</v>
      </c>
      <c r="AI293" s="69">
        <f t="shared" si="56"/>
        <v>1</v>
      </c>
    </row>
    <row r="294" spans="1:35" s="69" customFormat="1" ht="39" hidden="1" x14ac:dyDescent="0.3">
      <c r="A294" s="55" t="s">
        <v>767</v>
      </c>
      <c r="B294" s="53" t="s">
        <v>768</v>
      </c>
      <c r="C294" s="54" t="s">
        <v>606</v>
      </c>
      <c r="D294" s="75">
        <v>1</v>
      </c>
      <c r="E294" s="75"/>
      <c r="F294" s="75"/>
      <c r="G294" s="161"/>
      <c r="H294" s="158" t="s">
        <v>15</v>
      </c>
      <c r="I294" s="166">
        <v>27.8</v>
      </c>
      <c r="J294" s="75">
        <v>27.8</v>
      </c>
      <c r="K294" s="91" t="s">
        <v>769</v>
      </c>
      <c r="L294" s="73"/>
      <c r="M294" s="46">
        <v>0</v>
      </c>
      <c r="N294" s="46">
        <v>0</v>
      </c>
      <c r="O294" s="46">
        <v>0</v>
      </c>
      <c r="P294" s="98"/>
      <c r="Q294" s="23" t="s">
        <v>1459</v>
      </c>
      <c r="R294" s="24" t="s">
        <v>768</v>
      </c>
      <c r="S294" s="25" t="s">
        <v>606</v>
      </c>
      <c r="T294" s="26">
        <v>1</v>
      </c>
      <c r="U294" s="26">
        <v>1</v>
      </c>
      <c r="V294" s="26">
        <v>27.8</v>
      </c>
      <c r="W294" s="26">
        <f t="shared" si="50"/>
        <v>0</v>
      </c>
      <c r="X294" s="26">
        <f t="shared" si="53"/>
        <v>0</v>
      </c>
      <c r="Y294" s="26">
        <f t="shared" si="51"/>
        <v>0</v>
      </c>
      <c r="Z294" s="26">
        <f t="shared" si="57"/>
        <v>0</v>
      </c>
      <c r="AA294" s="33" t="s">
        <v>15</v>
      </c>
      <c r="AB294" s="36" t="s">
        <v>16</v>
      </c>
      <c r="AC294" s="181">
        <f t="shared" si="54"/>
        <v>1</v>
      </c>
      <c r="AD294" s="181">
        <f t="shared" si="52"/>
        <v>27.8</v>
      </c>
      <c r="AE294" s="181">
        <v>1.7</v>
      </c>
      <c r="AF294" s="181">
        <v>1.7</v>
      </c>
      <c r="AG294" s="101" t="str">
        <f t="shared" si="55"/>
        <v/>
      </c>
      <c r="AH294" s="190">
        <v>0</v>
      </c>
      <c r="AI294" s="69">
        <f t="shared" si="56"/>
        <v>1</v>
      </c>
    </row>
    <row r="295" spans="1:35" s="69" customFormat="1" ht="39" hidden="1" x14ac:dyDescent="0.3">
      <c r="A295" s="55" t="s">
        <v>770</v>
      </c>
      <c r="B295" s="53" t="s">
        <v>771</v>
      </c>
      <c r="C295" s="54" t="s">
        <v>606</v>
      </c>
      <c r="D295" s="75">
        <v>1</v>
      </c>
      <c r="E295" s="75"/>
      <c r="F295" s="75"/>
      <c r="G295" s="161"/>
      <c r="H295" s="158" t="s">
        <v>15</v>
      </c>
      <c r="I295" s="166">
        <v>105.13</v>
      </c>
      <c r="J295" s="75">
        <v>105.13</v>
      </c>
      <c r="K295" s="91" t="s">
        <v>772</v>
      </c>
      <c r="L295" s="73"/>
      <c r="M295" s="46">
        <v>0</v>
      </c>
      <c r="N295" s="46">
        <v>0</v>
      </c>
      <c r="O295" s="46">
        <v>0</v>
      </c>
      <c r="P295" s="98"/>
      <c r="Q295" s="23" t="s">
        <v>1460</v>
      </c>
      <c r="R295" s="24" t="s">
        <v>771</v>
      </c>
      <c r="S295" s="25" t="s">
        <v>606</v>
      </c>
      <c r="T295" s="26">
        <v>1</v>
      </c>
      <c r="U295" s="26">
        <v>1</v>
      </c>
      <c r="V295" s="26">
        <v>105.13</v>
      </c>
      <c r="W295" s="26">
        <f t="shared" si="50"/>
        <v>0</v>
      </c>
      <c r="X295" s="26">
        <f t="shared" si="53"/>
        <v>0</v>
      </c>
      <c r="Y295" s="26">
        <f t="shared" si="51"/>
        <v>0</v>
      </c>
      <c r="Z295" s="26">
        <f t="shared" si="57"/>
        <v>0</v>
      </c>
      <c r="AA295" s="33" t="s">
        <v>15</v>
      </c>
      <c r="AB295" s="36" t="s">
        <v>16</v>
      </c>
      <c r="AC295" s="181">
        <f t="shared" si="54"/>
        <v>1</v>
      </c>
      <c r="AD295" s="181">
        <f t="shared" si="52"/>
        <v>105.13</v>
      </c>
      <c r="AE295" s="181">
        <v>1.7</v>
      </c>
      <c r="AF295" s="181">
        <v>1.7</v>
      </c>
      <c r="AG295" s="101" t="str">
        <f t="shared" si="55"/>
        <v/>
      </c>
      <c r="AH295" s="190">
        <v>0</v>
      </c>
      <c r="AI295" s="69">
        <f t="shared" si="56"/>
        <v>1</v>
      </c>
    </row>
    <row r="296" spans="1:35" s="69" customFormat="1" ht="39" hidden="1" x14ac:dyDescent="0.3">
      <c r="A296" s="55" t="s">
        <v>773</v>
      </c>
      <c r="B296" s="53" t="s">
        <v>774</v>
      </c>
      <c r="C296" s="54" t="s">
        <v>606</v>
      </c>
      <c r="D296" s="75">
        <v>1</v>
      </c>
      <c r="E296" s="75"/>
      <c r="F296" s="75"/>
      <c r="G296" s="161"/>
      <c r="H296" s="158" t="s">
        <v>15</v>
      </c>
      <c r="I296" s="166">
        <v>53.12</v>
      </c>
      <c r="J296" s="75">
        <v>53.12</v>
      </c>
      <c r="K296" s="91" t="s">
        <v>775</v>
      </c>
      <c r="L296" s="73"/>
      <c r="M296" s="46">
        <v>0</v>
      </c>
      <c r="N296" s="46">
        <v>0</v>
      </c>
      <c r="O296" s="46">
        <v>0</v>
      </c>
      <c r="P296" s="98"/>
      <c r="Q296" s="23" t="s">
        <v>1461</v>
      </c>
      <c r="R296" s="24" t="s">
        <v>774</v>
      </c>
      <c r="S296" s="25" t="s">
        <v>606</v>
      </c>
      <c r="T296" s="26">
        <v>1</v>
      </c>
      <c r="U296" s="26">
        <v>1</v>
      </c>
      <c r="V296" s="26">
        <v>53.12</v>
      </c>
      <c r="W296" s="26">
        <f t="shared" si="50"/>
        <v>0</v>
      </c>
      <c r="X296" s="26">
        <f t="shared" si="53"/>
        <v>0</v>
      </c>
      <c r="Y296" s="26">
        <f t="shared" si="51"/>
        <v>0</v>
      </c>
      <c r="Z296" s="26">
        <f t="shared" si="57"/>
        <v>0</v>
      </c>
      <c r="AA296" s="33" t="s">
        <v>15</v>
      </c>
      <c r="AB296" s="36" t="s">
        <v>16</v>
      </c>
      <c r="AC296" s="181">
        <f t="shared" si="54"/>
        <v>1</v>
      </c>
      <c r="AD296" s="181">
        <f t="shared" si="52"/>
        <v>53.12</v>
      </c>
      <c r="AE296" s="181">
        <v>1.7</v>
      </c>
      <c r="AF296" s="181">
        <v>1.7</v>
      </c>
      <c r="AG296" s="101" t="str">
        <f t="shared" si="55"/>
        <v/>
      </c>
      <c r="AH296" s="190">
        <v>0</v>
      </c>
      <c r="AI296" s="69">
        <f t="shared" si="56"/>
        <v>1</v>
      </c>
    </row>
    <row r="297" spans="1:35" s="69" customFormat="1" ht="58.5" hidden="1" x14ac:dyDescent="0.3">
      <c r="A297" s="55" t="s">
        <v>776</v>
      </c>
      <c r="B297" s="53" t="s">
        <v>777</v>
      </c>
      <c r="C297" s="54" t="s">
        <v>606</v>
      </c>
      <c r="D297" s="75">
        <v>1</v>
      </c>
      <c r="E297" s="75"/>
      <c r="F297" s="75"/>
      <c r="G297" s="161"/>
      <c r="H297" s="158" t="s">
        <v>15</v>
      </c>
      <c r="I297" s="166">
        <v>36.380000000000003</v>
      </c>
      <c r="J297" s="75">
        <v>36.380000000000003</v>
      </c>
      <c r="K297" s="91" t="s">
        <v>778</v>
      </c>
      <c r="L297" s="73"/>
      <c r="M297" s="46">
        <v>0</v>
      </c>
      <c r="N297" s="46">
        <v>0</v>
      </c>
      <c r="O297" s="46">
        <v>0</v>
      </c>
      <c r="P297" s="98"/>
      <c r="Q297" s="23" t="s">
        <v>1462</v>
      </c>
      <c r="R297" s="24" t="s">
        <v>777</v>
      </c>
      <c r="S297" s="25" t="s">
        <v>606</v>
      </c>
      <c r="T297" s="26">
        <v>1</v>
      </c>
      <c r="U297" s="26">
        <v>1</v>
      </c>
      <c r="V297" s="26">
        <v>36.380000000000003</v>
      </c>
      <c r="W297" s="26">
        <f t="shared" si="50"/>
        <v>0</v>
      </c>
      <c r="X297" s="26">
        <f t="shared" si="53"/>
        <v>0</v>
      </c>
      <c r="Y297" s="26">
        <f t="shared" si="51"/>
        <v>0</v>
      </c>
      <c r="Z297" s="26">
        <f t="shared" si="57"/>
        <v>0</v>
      </c>
      <c r="AA297" s="33" t="s">
        <v>15</v>
      </c>
      <c r="AB297" s="36" t="s">
        <v>16</v>
      </c>
      <c r="AC297" s="181">
        <f t="shared" si="54"/>
        <v>1</v>
      </c>
      <c r="AD297" s="181">
        <f t="shared" si="52"/>
        <v>36.380000000000003</v>
      </c>
      <c r="AE297" s="181">
        <v>1.7</v>
      </c>
      <c r="AF297" s="181">
        <v>1.7</v>
      </c>
      <c r="AG297" s="101" t="str">
        <f t="shared" si="55"/>
        <v/>
      </c>
      <c r="AH297" s="190">
        <v>0</v>
      </c>
      <c r="AI297" s="69">
        <f t="shared" si="56"/>
        <v>1</v>
      </c>
    </row>
    <row r="298" spans="1:35" s="69" customFormat="1" ht="58.5" hidden="1" x14ac:dyDescent="0.3">
      <c r="A298" s="55" t="s">
        <v>779</v>
      </c>
      <c r="B298" s="53" t="s">
        <v>780</v>
      </c>
      <c r="C298" s="54" t="s">
        <v>606</v>
      </c>
      <c r="D298" s="75">
        <v>1</v>
      </c>
      <c r="E298" s="75"/>
      <c r="F298" s="75"/>
      <c r="G298" s="161"/>
      <c r="H298" s="158" t="s">
        <v>15</v>
      </c>
      <c r="I298" s="166">
        <v>59.74</v>
      </c>
      <c r="J298" s="75">
        <v>59.74</v>
      </c>
      <c r="K298" s="91" t="s">
        <v>781</v>
      </c>
      <c r="L298" s="73"/>
      <c r="M298" s="46">
        <v>0</v>
      </c>
      <c r="N298" s="46">
        <v>0</v>
      </c>
      <c r="O298" s="46">
        <v>0</v>
      </c>
      <c r="P298" s="98"/>
      <c r="Q298" s="23" t="s">
        <v>1463</v>
      </c>
      <c r="R298" s="24" t="s">
        <v>780</v>
      </c>
      <c r="S298" s="25" t="s">
        <v>606</v>
      </c>
      <c r="T298" s="26">
        <v>1</v>
      </c>
      <c r="U298" s="26">
        <v>1</v>
      </c>
      <c r="V298" s="26">
        <v>59.74</v>
      </c>
      <c r="W298" s="26">
        <f t="shared" si="50"/>
        <v>0</v>
      </c>
      <c r="X298" s="26">
        <f t="shared" si="53"/>
        <v>0</v>
      </c>
      <c r="Y298" s="26">
        <f t="shared" si="51"/>
        <v>0</v>
      </c>
      <c r="Z298" s="26">
        <f t="shared" si="57"/>
        <v>0</v>
      </c>
      <c r="AA298" s="33" t="s">
        <v>15</v>
      </c>
      <c r="AB298" s="36" t="s">
        <v>16</v>
      </c>
      <c r="AC298" s="181">
        <f t="shared" si="54"/>
        <v>1</v>
      </c>
      <c r="AD298" s="181">
        <f t="shared" si="52"/>
        <v>59.74</v>
      </c>
      <c r="AE298" s="181">
        <v>1.7</v>
      </c>
      <c r="AF298" s="181">
        <v>1.7</v>
      </c>
      <c r="AG298" s="101" t="str">
        <f t="shared" si="55"/>
        <v/>
      </c>
      <c r="AH298" s="190">
        <v>0</v>
      </c>
      <c r="AI298" s="69">
        <f t="shared" si="56"/>
        <v>1</v>
      </c>
    </row>
    <row r="299" spans="1:35" s="69" customFormat="1" ht="58.5" hidden="1" x14ac:dyDescent="0.3">
      <c r="A299" s="55" t="s">
        <v>782</v>
      </c>
      <c r="B299" s="53" t="s">
        <v>783</v>
      </c>
      <c r="C299" s="54" t="s">
        <v>606</v>
      </c>
      <c r="D299" s="75">
        <v>1</v>
      </c>
      <c r="E299" s="75"/>
      <c r="F299" s="75"/>
      <c r="G299" s="161"/>
      <c r="H299" s="158" t="s">
        <v>15</v>
      </c>
      <c r="I299" s="166">
        <v>80.41</v>
      </c>
      <c r="J299" s="75">
        <v>80.41</v>
      </c>
      <c r="K299" s="91" t="s">
        <v>784</v>
      </c>
      <c r="L299" s="73"/>
      <c r="M299" s="46">
        <v>0</v>
      </c>
      <c r="N299" s="46">
        <v>0</v>
      </c>
      <c r="O299" s="46">
        <v>0</v>
      </c>
      <c r="P299" s="98"/>
      <c r="Q299" s="23" t="s">
        <v>1464</v>
      </c>
      <c r="R299" s="24" t="s">
        <v>783</v>
      </c>
      <c r="S299" s="25" t="s">
        <v>606</v>
      </c>
      <c r="T299" s="26">
        <v>1</v>
      </c>
      <c r="U299" s="26">
        <v>1</v>
      </c>
      <c r="V299" s="26">
        <v>80.41</v>
      </c>
      <c r="W299" s="26">
        <f t="shared" si="50"/>
        <v>0</v>
      </c>
      <c r="X299" s="26">
        <f t="shared" si="53"/>
        <v>0</v>
      </c>
      <c r="Y299" s="26">
        <f t="shared" si="51"/>
        <v>0</v>
      </c>
      <c r="Z299" s="26">
        <f t="shared" si="57"/>
        <v>0</v>
      </c>
      <c r="AA299" s="33" t="s">
        <v>15</v>
      </c>
      <c r="AB299" s="36" t="s">
        <v>16</v>
      </c>
      <c r="AC299" s="181">
        <f t="shared" si="54"/>
        <v>1</v>
      </c>
      <c r="AD299" s="181">
        <f t="shared" si="52"/>
        <v>80.41</v>
      </c>
      <c r="AE299" s="181">
        <v>1.7</v>
      </c>
      <c r="AF299" s="181">
        <v>1.7</v>
      </c>
      <c r="AG299" s="101" t="str">
        <f t="shared" si="55"/>
        <v/>
      </c>
      <c r="AH299" s="190">
        <v>0</v>
      </c>
      <c r="AI299" s="69">
        <f t="shared" si="56"/>
        <v>1</v>
      </c>
    </row>
    <row r="300" spans="1:35" s="69" customFormat="1" ht="39" hidden="1" x14ac:dyDescent="0.3">
      <c r="A300" s="55" t="s">
        <v>785</v>
      </c>
      <c r="B300" s="53" t="s">
        <v>786</v>
      </c>
      <c r="C300" s="54" t="s">
        <v>606</v>
      </c>
      <c r="D300" s="75">
        <v>1</v>
      </c>
      <c r="E300" s="75"/>
      <c r="F300" s="75"/>
      <c r="G300" s="161"/>
      <c r="H300" s="158" t="s">
        <v>15</v>
      </c>
      <c r="I300" s="166">
        <v>64.959999999999994</v>
      </c>
      <c r="J300" s="75">
        <v>64.959999999999994</v>
      </c>
      <c r="K300" s="91" t="s">
        <v>787</v>
      </c>
      <c r="L300" s="73"/>
      <c r="M300" s="46">
        <v>0</v>
      </c>
      <c r="N300" s="46">
        <v>0</v>
      </c>
      <c r="O300" s="46">
        <v>0</v>
      </c>
      <c r="P300" s="98"/>
      <c r="Q300" s="23" t="s">
        <v>1465</v>
      </c>
      <c r="R300" s="24" t="s">
        <v>786</v>
      </c>
      <c r="S300" s="25" t="s">
        <v>606</v>
      </c>
      <c r="T300" s="26">
        <v>1</v>
      </c>
      <c r="U300" s="26">
        <v>1</v>
      </c>
      <c r="V300" s="26">
        <v>64.959999999999994</v>
      </c>
      <c r="W300" s="26">
        <f t="shared" si="50"/>
        <v>0</v>
      </c>
      <c r="X300" s="26">
        <f t="shared" si="53"/>
        <v>0</v>
      </c>
      <c r="Y300" s="26">
        <f t="shared" si="51"/>
        <v>0</v>
      </c>
      <c r="Z300" s="26">
        <f t="shared" si="57"/>
        <v>0</v>
      </c>
      <c r="AA300" s="33" t="s">
        <v>15</v>
      </c>
      <c r="AB300" s="36" t="s">
        <v>16</v>
      </c>
      <c r="AC300" s="181">
        <f t="shared" si="54"/>
        <v>1</v>
      </c>
      <c r="AD300" s="181">
        <f t="shared" si="52"/>
        <v>64.959999999999994</v>
      </c>
      <c r="AE300" s="181">
        <v>1.7</v>
      </c>
      <c r="AF300" s="181">
        <v>1.7</v>
      </c>
      <c r="AG300" s="101" t="str">
        <f t="shared" si="55"/>
        <v/>
      </c>
      <c r="AH300" s="190">
        <v>0</v>
      </c>
      <c r="AI300" s="69">
        <f t="shared" si="56"/>
        <v>1</v>
      </c>
    </row>
    <row r="301" spans="1:35" s="69" customFormat="1" ht="58.5" hidden="1" x14ac:dyDescent="0.3">
      <c r="A301" s="55" t="s">
        <v>788</v>
      </c>
      <c r="B301" s="53" t="s">
        <v>789</v>
      </c>
      <c r="C301" s="54" t="s">
        <v>606</v>
      </c>
      <c r="D301" s="75">
        <v>1</v>
      </c>
      <c r="E301" s="75"/>
      <c r="F301" s="75"/>
      <c r="G301" s="161"/>
      <c r="H301" s="158" t="s">
        <v>15</v>
      </c>
      <c r="I301" s="166">
        <v>95.86</v>
      </c>
      <c r="J301" s="75">
        <v>95.86</v>
      </c>
      <c r="K301" s="91" t="s">
        <v>790</v>
      </c>
      <c r="L301" s="73"/>
      <c r="M301" s="46">
        <v>0</v>
      </c>
      <c r="N301" s="46">
        <v>0</v>
      </c>
      <c r="O301" s="46">
        <v>0</v>
      </c>
      <c r="P301" s="98"/>
      <c r="Q301" s="23" t="s">
        <v>1466</v>
      </c>
      <c r="R301" s="24" t="s">
        <v>789</v>
      </c>
      <c r="S301" s="25" t="s">
        <v>606</v>
      </c>
      <c r="T301" s="26">
        <v>1</v>
      </c>
      <c r="U301" s="26">
        <v>1</v>
      </c>
      <c r="V301" s="26">
        <v>95.86</v>
      </c>
      <c r="W301" s="26">
        <f t="shared" si="50"/>
        <v>0</v>
      </c>
      <c r="X301" s="26">
        <f t="shared" si="53"/>
        <v>0</v>
      </c>
      <c r="Y301" s="26">
        <f t="shared" si="51"/>
        <v>0</v>
      </c>
      <c r="Z301" s="26">
        <f t="shared" si="57"/>
        <v>0</v>
      </c>
      <c r="AA301" s="33" t="s">
        <v>15</v>
      </c>
      <c r="AB301" s="36" t="s">
        <v>16</v>
      </c>
      <c r="AC301" s="181">
        <f t="shared" si="54"/>
        <v>1</v>
      </c>
      <c r="AD301" s="181">
        <f t="shared" si="52"/>
        <v>95.86</v>
      </c>
      <c r="AE301" s="181">
        <v>1.7</v>
      </c>
      <c r="AF301" s="181">
        <v>1.7</v>
      </c>
      <c r="AG301" s="101" t="str">
        <f t="shared" si="55"/>
        <v/>
      </c>
      <c r="AH301" s="190">
        <v>0</v>
      </c>
      <c r="AI301" s="69">
        <f t="shared" si="56"/>
        <v>1</v>
      </c>
    </row>
    <row r="302" spans="1:35" s="69" customFormat="1" ht="39" hidden="1" x14ac:dyDescent="0.3">
      <c r="A302" s="55" t="s">
        <v>791</v>
      </c>
      <c r="B302" s="53" t="s">
        <v>792</v>
      </c>
      <c r="C302" s="54" t="s">
        <v>606</v>
      </c>
      <c r="D302" s="75">
        <v>1</v>
      </c>
      <c r="E302" s="75"/>
      <c r="F302" s="75"/>
      <c r="G302" s="161"/>
      <c r="H302" s="158" t="s">
        <v>15</v>
      </c>
      <c r="I302" s="166">
        <v>93.29</v>
      </c>
      <c r="J302" s="75">
        <v>93.29</v>
      </c>
      <c r="K302" s="91" t="s">
        <v>793</v>
      </c>
      <c r="L302" s="73"/>
      <c r="M302" s="46">
        <v>0</v>
      </c>
      <c r="N302" s="46">
        <v>0</v>
      </c>
      <c r="O302" s="46">
        <v>0</v>
      </c>
      <c r="P302" s="98"/>
      <c r="Q302" s="23" t="s">
        <v>1467</v>
      </c>
      <c r="R302" s="24" t="s">
        <v>792</v>
      </c>
      <c r="S302" s="25" t="s">
        <v>606</v>
      </c>
      <c r="T302" s="26">
        <v>1</v>
      </c>
      <c r="U302" s="26">
        <v>1</v>
      </c>
      <c r="V302" s="26">
        <v>93.29</v>
      </c>
      <c r="W302" s="26">
        <f t="shared" ref="W302:W326" si="58">AH302-M302</f>
        <v>0</v>
      </c>
      <c r="X302" s="26">
        <f t="shared" si="53"/>
        <v>0</v>
      </c>
      <c r="Y302" s="26">
        <f t="shared" ref="Y302:Y326" si="59">Z302-O302</f>
        <v>0</v>
      </c>
      <c r="Z302" s="26">
        <f t="shared" si="57"/>
        <v>0</v>
      </c>
      <c r="AA302" s="33" t="s">
        <v>15</v>
      </c>
      <c r="AB302" s="36" t="s">
        <v>16</v>
      </c>
      <c r="AC302" s="181">
        <f t="shared" si="54"/>
        <v>1</v>
      </c>
      <c r="AD302" s="181">
        <f t="shared" ref="AD302:AD365" si="60">ROUND(V302*AC302,2)</f>
        <v>93.29</v>
      </c>
      <c r="AE302" s="181">
        <v>1.7</v>
      </c>
      <c r="AF302" s="181">
        <v>1.7</v>
      </c>
      <c r="AG302" s="101" t="str">
        <f t="shared" si="55"/>
        <v/>
      </c>
      <c r="AH302" s="190">
        <v>0</v>
      </c>
      <c r="AI302" s="69">
        <f t="shared" si="56"/>
        <v>1</v>
      </c>
    </row>
    <row r="303" spans="1:35" s="69" customFormat="1" ht="58.5" hidden="1" x14ac:dyDescent="0.3">
      <c r="A303" s="55" t="s">
        <v>794</v>
      </c>
      <c r="B303" s="53" t="s">
        <v>795</v>
      </c>
      <c r="C303" s="54" t="s">
        <v>606</v>
      </c>
      <c r="D303" s="75">
        <v>1</v>
      </c>
      <c r="E303" s="75"/>
      <c r="F303" s="75"/>
      <c r="G303" s="161"/>
      <c r="H303" s="158" t="s">
        <v>15</v>
      </c>
      <c r="I303" s="166">
        <v>93.8</v>
      </c>
      <c r="J303" s="75">
        <v>93.8</v>
      </c>
      <c r="K303" s="91" t="s">
        <v>796</v>
      </c>
      <c r="L303" s="73"/>
      <c r="M303" s="46">
        <v>0</v>
      </c>
      <c r="N303" s="46">
        <v>0</v>
      </c>
      <c r="O303" s="46">
        <v>0</v>
      </c>
      <c r="P303" s="98"/>
      <c r="Q303" s="23" t="s">
        <v>1468</v>
      </c>
      <c r="R303" s="24" t="s">
        <v>795</v>
      </c>
      <c r="S303" s="25" t="s">
        <v>606</v>
      </c>
      <c r="T303" s="26">
        <v>1</v>
      </c>
      <c r="U303" s="26">
        <v>1</v>
      </c>
      <c r="V303" s="26">
        <v>93.8</v>
      </c>
      <c r="W303" s="26">
        <f t="shared" si="58"/>
        <v>0</v>
      </c>
      <c r="X303" s="26">
        <f t="shared" si="53"/>
        <v>0</v>
      </c>
      <c r="Y303" s="26">
        <f t="shared" si="59"/>
        <v>0</v>
      </c>
      <c r="Z303" s="26">
        <f t="shared" si="57"/>
        <v>0</v>
      </c>
      <c r="AA303" s="33" t="s">
        <v>15</v>
      </c>
      <c r="AB303" s="36" t="s">
        <v>16</v>
      </c>
      <c r="AC303" s="181">
        <f t="shared" si="54"/>
        <v>1</v>
      </c>
      <c r="AD303" s="181">
        <f t="shared" si="60"/>
        <v>93.8</v>
      </c>
      <c r="AE303" s="181">
        <v>1.7</v>
      </c>
      <c r="AF303" s="181">
        <v>1.7</v>
      </c>
      <c r="AG303" s="101" t="str">
        <f t="shared" si="55"/>
        <v/>
      </c>
      <c r="AH303" s="190">
        <v>0</v>
      </c>
      <c r="AI303" s="69">
        <f t="shared" si="56"/>
        <v>1</v>
      </c>
    </row>
    <row r="304" spans="1:35" s="69" customFormat="1" ht="39" hidden="1" x14ac:dyDescent="0.3">
      <c r="A304" s="55" t="s">
        <v>797</v>
      </c>
      <c r="B304" s="53" t="s">
        <v>798</v>
      </c>
      <c r="C304" s="54" t="s">
        <v>606</v>
      </c>
      <c r="D304" s="75">
        <v>1</v>
      </c>
      <c r="E304" s="75"/>
      <c r="F304" s="75"/>
      <c r="G304" s="161"/>
      <c r="H304" s="158" t="s">
        <v>15</v>
      </c>
      <c r="I304" s="166">
        <v>63.35</v>
      </c>
      <c r="J304" s="75">
        <v>63.35</v>
      </c>
      <c r="K304" s="91" t="s">
        <v>799</v>
      </c>
      <c r="L304" s="73"/>
      <c r="M304" s="46">
        <v>0</v>
      </c>
      <c r="N304" s="46">
        <v>0</v>
      </c>
      <c r="O304" s="46">
        <v>0</v>
      </c>
      <c r="P304" s="98"/>
      <c r="Q304" s="23" t="s">
        <v>1469</v>
      </c>
      <c r="R304" s="24" t="s">
        <v>798</v>
      </c>
      <c r="S304" s="25" t="s">
        <v>606</v>
      </c>
      <c r="T304" s="26">
        <v>1</v>
      </c>
      <c r="U304" s="26">
        <v>1</v>
      </c>
      <c r="V304" s="26">
        <v>63.35</v>
      </c>
      <c r="W304" s="26">
        <f t="shared" si="58"/>
        <v>0</v>
      </c>
      <c r="X304" s="26">
        <f t="shared" si="53"/>
        <v>0</v>
      </c>
      <c r="Y304" s="26">
        <f t="shared" si="59"/>
        <v>0</v>
      </c>
      <c r="Z304" s="26">
        <f t="shared" si="57"/>
        <v>0</v>
      </c>
      <c r="AA304" s="33" t="s">
        <v>15</v>
      </c>
      <c r="AB304" s="36" t="s">
        <v>16</v>
      </c>
      <c r="AC304" s="181">
        <f t="shared" si="54"/>
        <v>1</v>
      </c>
      <c r="AD304" s="181">
        <f t="shared" si="60"/>
        <v>63.35</v>
      </c>
      <c r="AE304" s="181">
        <v>1.7</v>
      </c>
      <c r="AF304" s="181">
        <v>1.7</v>
      </c>
      <c r="AG304" s="101" t="str">
        <f t="shared" si="55"/>
        <v/>
      </c>
      <c r="AH304" s="190">
        <v>0</v>
      </c>
      <c r="AI304" s="69">
        <f t="shared" si="56"/>
        <v>1</v>
      </c>
    </row>
    <row r="305" spans="1:35" s="69" customFormat="1" ht="39" hidden="1" x14ac:dyDescent="0.3">
      <c r="A305" s="55" t="s">
        <v>800</v>
      </c>
      <c r="B305" s="53" t="s">
        <v>801</v>
      </c>
      <c r="C305" s="54" t="s">
        <v>606</v>
      </c>
      <c r="D305" s="75">
        <v>1</v>
      </c>
      <c r="E305" s="75"/>
      <c r="F305" s="75"/>
      <c r="G305" s="161"/>
      <c r="H305" s="158" t="s">
        <v>15</v>
      </c>
      <c r="I305" s="166">
        <v>156.05000000000001</v>
      </c>
      <c r="J305" s="75">
        <v>156.05000000000001</v>
      </c>
      <c r="K305" s="91" t="s">
        <v>802</v>
      </c>
      <c r="L305" s="73"/>
      <c r="M305" s="46">
        <v>0</v>
      </c>
      <c r="N305" s="46">
        <v>0</v>
      </c>
      <c r="O305" s="46">
        <v>0</v>
      </c>
      <c r="P305" s="98"/>
      <c r="Q305" s="23" t="s">
        <v>1470</v>
      </c>
      <c r="R305" s="24" t="s">
        <v>801</v>
      </c>
      <c r="S305" s="25" t="s">
        <v>606</v>
      </c>
      <c r="T305" s="26">
        <v>1</v>
      </c>
      <c r="U305" s="26">
        <v>1</v>
      </c>
      <c r="V305" s="26">
        <v>156.05000000000001</v>
      </c>
      <c r="W305" s="26">
        <f t="shared" si="58"/>
        <v>0</v>
      </c>
      <c r="X305" s="26">
        <f t="shared" si="53"/>
        <v>0</v>
      </c>
      <c r="Y305" s="26">
        <f t="shared" si="59"/>
        <v>0</v>
      </c>
      <c r="Z305" s="26">
        <f t="shared" si="57"/>
        <v>0</v>
      </c>
      <c r="AA305" s="33" t="s">
        <v>15</v>
      </c>
      <c r="AB305" s="36" t="s">
        <v>16</v>
      </c>
      <c r="AC305" s="181">
        <f t="shared" si="54"/>
        <v>1</v>
      </c>
      <c r="AD305" s="181">
        <f t="shared" si="60"/>
        <v>156.05000000000001</v>
      </c>
      <c r="AE305" s="181">
        <v>1.7</v>
      </c>
      <c r="AF305" s="181">
        <v>1.7</v>
      </c>
      <c r="AG305" s="101" t="str">
        <f t="shared" si="55"/>
        <v/>
      </c>
      <c r="AH305" s="190">
        <v>0</v>
      </c>
      <c r="AI305" s="69">
        <f t="shared" si="56"/>
        <v>1</v>
      </c>
    </row>
    <row r="306" spans="1:35" s="69" customFormat="1" ht="58.5" hidden="1" x14ac:dyDescent="0.3">
      <c r="A306" s="55" t="s">
        <v>803</v>
      </c>
      <c r="B306" s="53" t="s">
        <v>804</v>
      </c>
      <c r="C306" s="54" t="s">
        <v>606</v>
      </c>
      <c r="D306" s="75">
        <v>1</v>
      </c>
      <c r="E306" s="75"/>
      <c r="F306" s="75"/>
      <c r="G306" s="161"/>
      <c r="H306" s="158" t="s">
        <v>15</v>
      </c>
      <c r="I306" s="166">
        <v>69.08</v>
      </c>
      <c r="J306" s="75">
        <v>69.08</v>
      </c>
      <c r="K306" s="91" t="s">
        <v>805</v>
      </c>
      <c r="L306" s="73"/>
      <c r="M306" s="46">
        <v>0</v>
      </c>
      <c r="N306" s="46">
        <v>0</v>
      </c>
      <c r="O306" s="46">
        <v>0</v>
      </c>
      <c r="P306" s="98"/>
      <c r="Q306" s="23" t="s">
        <v>1471</v>
      </c>
      <c r="R306" s="24" t="s">
        <v>804</v>
      </c>
      <c r="S306" s="25" t="s">
        <v>606</v>
      </c>
      <c r="T306" s="26">
        <v>1</v>
      </c>
      <c r="U306" s="26">
        <v>1</v>
      </c>
      <c r="V306" s="26">
        <v>69.08</v>
      </c>
      <c r="W306" s="26">
        <f t="shared" si="58"/>
        <v>0</v>
      </c>
      <c r="X306" s="26">
        <f t="shared" ref="X306:X370" si="61">W306+M306</f>
        <v>0</v>
      </c>
      <c r="Y306" s="26">
        <f t="shared" si="59"/>
        <v>0</v>
      </c>
      <c r="Z306" s="26">
        <f t="shared" si="57"/>
        <v>0</v>
      </c>
      <c r="AA306" s="33" t="s">
        <v>15</v>
      </c>
      <c r="AB306" s="36" t="s">
        <v>16</v>
      </c>
      <c r="AC306" s="181">
        <f t="shared" si="54"/>
        <v>1</v>
      </c>
      <c r="AD306" s="181">
        <f t="shared" si="60"/>
        <v>69.08</v>
      </c>
      <c r="AE306" s="181">
        <v>1.7</v>
      </c>
      <c r="AF306" s="181">
        <v>1.7</v>
      </c>
      <c r="AG306" s="101" t="str">
        <f t="shared" si="55"/>
        <v/>
      </c>
      <c r="AH306" s="190">
        <v>0</v>
      </c>
      <c r="AI306" s="69">
        <f t="shared" si="56"/>
        <v>1</v>
      </c>
    </row>
    <row r="307" spans="1:35" s="69" customFormat="1" ht="39" hidden="1" x14ac:dyDescent="0.3">
      <c r="A307" s="55" t="s">
        <v>806</v>
      </c>
      <c r="B307" s="53" t="s">
        <v>807</v>
      </c>
      <c r="C307" s="54" t="s">
        <v>606</v>
      </c>
      <c r="D307" s="75">
        <v>1</v>
      </c>
      <c r="E307" s="75"/>
      <c r="F307" s="75"/>
      <c r="G307" s="161"/>
      <c r="H307" s="158" t="s">
        <v>15</v>
      </c>
      <c r="I307" s="166">
        <v>55.62</v>
      </c>
      <c r="J307" s="75">
        <v>55.62</v>
      </c>
      <c r="K307" s="91" t="s">
        <v>808</v>
      </c>
      <c r="L307" s="73"/>
      <c r="M307" s="46">
        <v>0</v>
      </c>
      <c r="N307" s="46">
        <v>0</v>
      </c>
      <c r="O307" s="46">
        <v>0</v>
      </c>
      <c r="P307" s="98"/>
      <c r="Q307" s="23" t="s">
        <v>1472</v>
      </c>
      <c r="R307" s="24" t="s">
        <v>807</v>
      </c>
      <c r="S307" s="25" t="s">
        <v>606</v>
      </c>
      <c r="T307" s="26">
        <v>1</v>
      </c>
      <c r="U307" s="26">
        <v>1</v>
      </c>
      <c r="V307" s="26">
        <v>55.62</v>
      </c>
      <c r="W307" s="26">
        <f t="shared" si="58"/>
        <v>0</v>
      </c>
      <c r="X307" s="26">
        <f t="shared" si="61"/>
        <v>0</v>
      </c>
      <c r="Y307" s="26">
        <f t="shared" si="59"/>
        <v>0</v>
      </c>
      <c r="Z307" s="26">
        <f t="shared" si="57"/>
        <v>0</v>
      </c>
      <c r="AA307" s="33" t="s">
        <v>15</v>
      </c>
      <c r="AB307" s="36" t="s">
        <v>16</v>
      </c>
      <c r="AC307" s="181">
        <f t="shared" si="54"/>
        <v>1</v>
      </c>
      <c r="AD307" s="181">
        <f t="shared" si="60"/>
        <v>55.62</v>
      </c>
      <c r="AE307" s="181">
        <v>1.7</v>
      </c>
      <c r="AF307" s="181">
        <v>1.7</v>
      </c>
      <c r="AG307" s="101" t="str">
        <f t="shared" si="55"/>
        <v/>
      </c>
      <c r="AH307" s="190">
        <v>0</v>
      </c>
      <c r="AI307" s="69">
        <f t="shared" si="56"/>
        <v>1</v>
      </c>
    </row>
    <row r="308" spans="1:35" s="69" customFormat="1" ht="39" hidden="1" x14ac:dyDescent="0.3">
      <c r="A308" s="55" t="s">
        <v>809</v>
      </c>
      <c r="B308" s="53" t="s">
        <v>810</v>
      </c>
      <c r="C308" s="54" t="s">
        <v>606</v>
      </c>
      <c r="D308" s="75">
        <v>1</v>
      </c>
      <c r="E308" s="75"/>
      <c r="F308" s="75"/>
      <c r="G308" s="161"/>
      <c r="H308" s="158" t="s">
        <v>15</v>
      </c>
      <c r="I308" s="166">
        <v>91.67</v>
      </c>
      <c r="J308" s="75">
        <v>91.67</v>
      </c>
      <c r="K308" s="91" t="s">
        <v>811</v>
      </c>
      <c r="L308" s="73"/>
      <c r="M308" s="46">
        <v>0</v>
      </c>
      <c r="N308" s="46">
        <v>0</v>
      </c>
      <c r="O308" s="46">
        <v>0</v>
      </c>
      <c r="P308" s="98"/>
      <c r="Q308" s="23" t="s">
        <v>1473</v>
      </c>
      <c r="R308" s="24" t="s">
        <v>810</v>
      </c>
      <c r="S308" s="25" t="s">
        <v>606</v>
      </c>
      <c r="T308" s="26">
        <v>1</v>
      </c>
      <c r="U308" s="26">
        <v>1</v>
      </c>
      <c r="V308" s="26">
        <v>91.67</v>
      </c>
      <c r="W308" s="26">
        <f t="shared" si="58"/>
        <v>0</v>
      </c>
      <c r="X308" s="26">
        <f t="shared" si="61"/>
        <v>0</v>
      </c>
      <c r="Y308" s="26">
        <f t="shared" si="59"/>
        <v>0</v>
      </c>
      <c r="Z308" s="26">
        <f t="shared" si="57"/>
        <v>0</v>
      </c>
      <c r="AA308" s="33" t="s">
        <v>15</v>
      </c>
      <c r="AB308" s="36" t="s">
        <v>16</v>
      </c>
      <c r="AC308" s="181">
        <f t="shared" si="54"/>
        <v>1</v>
      </c>
      <c r="AD308" s="181">
        <f t="shared" si="60"/>
        <v>91.67</v>
      </c>
      <c r="AE308" s="181">
        <v>1.7</v>
      </c>
      <c r="AF308" s="181">
        <v>1.7</v>
      </c>
      <c r="AG308" s="101" t="str">
        <f t="shared" si="55"/>
        <v/>
      </c>
      <c r="AH308" s="190">
        <v>0</v>
      </c>
      <c r="AI308" s="69">
        <f t="shared" si="56"/>
        <v>1</v>
      </c>
    </row>
    <row r="309" spans="1:35" s="69" customFormat="1" ht="39" hidden="1" x14ac:dyDescent="0.3">
      <c r="A309" s="55" t="s">
        <v>812</v>
      </c>
      <c r="B309" s="53" t="s">
        <v>813</v>
      </c>
      <c r="C309" s="54" t="s">
        <v>606</v>
      </c>
      <c r="D309" s="75">
        <v>1</v>
      </c>
      <c r="E309" s="75"/>
      <c r="F309" s="75"/>
      <c r="G309" s="161"/>
      <c r="H309" s="158" t="s">
        <v>15</v>
      </c>
      <c r="I309" s="166">
        <v>68.5</v>
      </c>
      <c r="J309" s="75">
        <v>68.5</v>
      </c>
      <c r="K309" s="91" t="s">
        <v>814</v>
      </c>
      <c r="L309" s="73"/>
      <c r="M309" s="46">
        <v>0</v>
      </c>
      <c r="N309" s="46">
        <v>0</v>
      </c>
      <c r="O309" s="46">
        <v>0</v>
      </c>
      <c r="P309" s="98"/>
      <c r="Q309" s="23" t="s">
        <v>1474</v>
      </c>
      <c r="R309" s="24" t="s">
        <v>813</v>
      </c>
      <c r="S309" s="25" t="s">
        <v>606</v>
      </c>
      <c r="T309" s="26">
        <v>1</v>
      </c>
      <c r="U309" s="26">
        <v>1</v>
      </c>
      <c r="V309" s="26">
        <v>68.5</v>
      </c>
      <c r="W309" s="26">
        <f t="shared" si="58"/>
        <v>0</v>
      </c>
      <c r="X309" s="26">
        <f t="shared" si="61"/>
        <v>0</v>
      </c>
      <c r="Y309" s="26">
        <f t="shared" si="59"/>
        <v>0</v>
      </c>
      <c r="Z309" s="26">
        <f t="shared" si="57"/>
        <v>0</v>
      </c>
      <c r="AA309" s="33" t="s">
        <v>15</v>
      </c>
      <c r="AB309" s="36" t="s">
        <v>16</v>
      </c>
      <c r="AC309" s="181">
        <f t="shared" si="54"/>
        <v>1</v>
      </c>
      <c r="AD309" s="181">
        <f t="shared" si="60"/>
        <v>68.5</v>
      </c>
      <c r="AE309" s="181">
        <v>1.7</v>
      </c>
      <c r="AF309" s="181">
        <v>1.7</v>
      </c>
      <c r="AG309" s="101" t="str">
        <f t="shared" si="55"/>
        <v/>
      </c>
      <c r="AH309" s="190">
        <v>0</v>
      </c>
      <c r="AI309" s="69">
        <f t="shared" si="56"/>
        <v>1</v>
      </c>
    </row>
    <row r="310" spans="1:35" s="69" customFormat="1" ht="39" hidden="1" x14ac:dyDescent="0.3">
      <c r="A310" s="55" t="s">
        <v>815</v>
      </c>
      <c r="B310" s="53" t="s">
        <v>816</v>
      </c>
      <c r="C310" s="54" t="s">
        <v>606</v>
      </c>
      <c r="D310" s="75">
        <v>1</v>
      </c>
      <c r="E310" s="75"/>
      <c r="F310" s="75"/>
      <c r="G310" s="161"/>
      <c r="H310" s="158" t="s">
        <v>15</v>
      </c>
      <c r="I310" s="166">
        <v>58.2</v>
      </c>
      <c r="J310" s="75">
        <v>58.2</v>
      </c>
      <c r="K310" s="91" t="s">
        <v>817</v>
      </c>
      <c r="L310" s="73"/>
      <c r="M310" s="46">
        <v>0</v>
      </c>
      <c r="N310" s="46">
        <v>0</v>
      </c>
      <c r="O310" s="46">
        <v>0</v>
      </c>
      <c r="P310" s="98"/>
      <c r="Q310" s="23" t="s">
        <v>1475</v>
      </c>
      <c r="R310" s="24" t="s">
        <v>816</v>
      </c>
      <c r="S310" s="25" t="s">
        <v>606</v>
      </c>
      <c r="T310" s="26">
        <v>1</v>
      </c>
      <c r="U310" s="26">
        <v>1</v>
      </c>
      <c r="V310" s="26">
        <v>58.2</v>
      </c>
      <c r="W310" s="26">
        <f t="shared" si="58"/>
        <v>0</v>
      </c>
      <c r="X310" s="26">
        <f t="shared" si="61"/>
        <v>0</v>
      </c>
      <c r="Y310" s="26">
        <f t="shared" si="59"/>
        <v>0</v>
      </c>
      <c r="Z310" s="26">
        <f t="shared" si="57"/>
        <v>0</v>
      </c>
      <c r="AA310" s="33" t="s">
        <v>15</v>
      </c>
      <c r="AB310" s="36" t="s">
        <v>16</v>
      </c>
      <c r="AC310" s="181">
        <f t="shared" si="54"/>
        <v>1</v>
      </c>
      <c r="AD310" s="181">
        <f t="shared" si="60"/>
        <v>58.2</v>
      </c>
      <c r="AE310" s="181">
        <v>1.7</v>
      </c>
      <c r="AF310" s="181">
        <v>1.7</v>
      </c>
      <c r="AG310" s="101" t="str">
        <f t="shared" si="55"/>
        <v/>
      </c>
      <c r="AH310" s="190">
        <v>0</v>
      </c>
      <c r="AI310" s="69">
        <f t="shared" si="56"/>
        <v>1</v>
      </c>
    </row>
    <row r="311" spans="1:35" s="69" customFormat="1" ht="39" hidden="1" x14ac:dyDescent="0.3">
      <c r="A311" s="55" t="s">
        <v>818</v>
      </c>
      <c r="B311" s="53" t="s">
        <v>819</v>
      </c>
      <c r="C311" s="54" t="s">
        <v>606</v>
      </c>
      <c r="D311" s="75">
        <v>1</v>
      </c>
      <c r="E311" s="75"/>
      <c r="F311" s="75"/>
      <c r="G311" s="161"/>
      <c r="H311" s="158" t="s">
        <v>15</v>
      </c>
      <c r="I311" s="166">
        <v>70.040000000000006</v>
      </c>
      <c r="J311" s="75">
        <v>70.040000000000006</v>
      </c>
      <c r="K311" s="91" t="s">
        <v>820</v>
      </c>
      <c r="L311" s="73"/>
      <c r="M311" s="46">
        <v>0</v>
      </c>
      <c r="N311" s="46">
        <v>0</v>
      </c>
      <c r="O311" s="46">
        <v>0</v>
      </c>
      <c r="P311" s="98"/>
      <c r="Q311" s="23" t="s">
        <v>1476</v>
      </c>
      <c r="R311" s="24" t="s">
        <v>819</v>
      </c>
      <c r="S311" s="25" t="s">
        <v>606</v>
      </c>
      <c r="T311" s="26">
        <v>1</v>
      </c>
      <c r="U311" s="26">
        <v>1</v>
      </c>
      <c r="V311" s="26">
        <v>70.040000000000006</v>
      </c>
      <c r="W311" s="26">
        <f t="shared" si="58"/>
        <v>0</v>
      </c>
      <c r="X311" s="26">
        <f t="shared" si="61"/>
        <v>0</v>
      </c>
      <c r="Y311" s="26">
        <f t="shared" si="59"/>
        <v>0</v>
      </c>
      <c r="Z311" s="26">
        <f t="shared" si="57"/>
        <v>0</v>
      </c>
      <c r="AA311" s="33" t="s">
        <v>15</v>
      </c>
      <c r="AB311" s="36" t="s">
        <v>16</v>
      </c>
      <c r="AC311" s="181">
        <f t="shared" si="54"/>
        <v>1</v>
      </c>
      <c r="AD311" s="181">
        <f t="shared" si="60"/>
        <v>70.040000000000006</v>
      </c>
      <c r="AE311" s="181">
        <v>1.7</v>
      </c>
      <c r="AF311" s="181">
        <v>1.7</v>
      </c>
      <c r="AG311" s="101" t="str">
        <f t="shared" si="55"/>
        <v/>
      </c>
      <c r="AH311" s="190">
        <v>0</v>
      </c>
      <c r="AI311" s="69">
        <f t="shared" si="56"/>
        <v>1</v>
      </c>
    </row>
    <row r="312" spans="1:35" s="69" customFormat="1" ht="39" hidden="1" x14ac:dyDescent="0.3">
      <c r="A312" s="55" t="s">
        <v>821</v>
      </c>
      <c r="B312" s="53" t="s">
        <v>822</v>
      </c>
      <c r="C312" s="54" t="s">
        <v>606</v>
      </c>
      <c r="D312" s="75">
        <v>1</v>
      </c>
      <c r="E312" s="75"/>
      <c r="F312" s="75"/>
      <c r="G312" s="161"/>
      <c r="H312" s="158" t="s">
        <v>15</v>
      </c>
      <c r="I312" s="166">
        <v>61.29</v>
      </c>
      <c r="J312" s="75">
        <v>61.29</v>
      </c>
      <c r="K312" s="91" t="s">
        <v>823</v>
      </c>
      <c r="L312" s="73"/>
      <c r="M312" s="46">
        <v>0</v>
      </c>
      <c r="N312" s="46">
        <v>0</v>
      </c>
      <c r="O312" s="46">
        <v>0</v>
      </c>
      <c r="P312" s="98"/>
      <c r="Q312" s="23" t="s">
        <v>1477</v>
      </c>
      <c r="R312" s="24" t="s">
        <v>822</v>
      </c>
      <c r="S312" s="25" t="s">
        <v>606</v>
      </c>
      <c r="T312" s="26">
        <v>1</v>
      </c>
      <c r="U312" s="26">
        <v>1</v>
      </c>
      <c r="V312" s="26">
        <v>61.29</v>
      </c>
      <c r="W312" s="26">
        <f t="shared" si="58"/>
        <v>0</v>
      </c>
      <c r="X312" s="26">
        <f t="shared" si="61"/>
        <v>0</v>
      </c>
      <c r="Y312" s="26">
        <f t="shared" si="59"/>
        <v>0</v>
      </c>
      <c r="Z312" s="26">
        <f t="shared" si="57"/>
        <v>0</v>
      </c>
      <c r="AA312" s="33" t="s">
        <v>15</v>
      </c>
      <c r="AB312" s="36" t="s">
        <v>16</v>
      </c>
      <c r="AC312" s="181">
        <f t="shared" si="54"/>
        <v>1</v>
      </c>
      <c r="AD312" s="181">
        <f t="shared" si="60"/>
        <v>61.29</v>
      </c>
      <c r="AE312" s="181">
        <v>1.7</v>
      </c>
      <c r="AF312" s="181">
        <v>1.7</v>
      </c>
      <c r="AG312" s="101" t="str">
        <f t="shared" si="55"/>
        <v/>
      </c>
      <c r="AH312" s="190">
        <v>0</v>
      </c>
      <c r="AI312" s="69">
        <f t="shared" si="56"/>
        <v>1</v>
      </c>
    </row>
    <row r="313" spans="1:35" s="69" customFormat="1" ht="39" hidden="1" x14ac:dyDescent="0.3">
      <c r="A313" s="55" t="s">
        <v>824</v>
      </c>
      <c r="B313" s="53" t="s">
        <v>825</v>
      </c>
      <c r="C313" s="54" t="s">
        <v>606</v>
      </c>
      <c r="D313" s="75">
        <v>1</v>
      </c>
      <c r="E313" s="75"/>
      <c r="F313" s="75"/>
      <c r="G313" s="161"/>
      <c r="H313" s="158" t="s">
        <v>15</v>
      </c>
      <c r="I313" s="166">
        <v>59.74</v>
      </c>
      <c r="J313" s="75">
        <v>59.74</v>
      </c>
      <c r="K313" s="91" t="s">
        <v>826</v>
      </c>
      <c r="L313" s="73"/>
      <c r="M313" s="46">
        <v>0</v>
      </c>
      <c r="N313" s="46">
        <v>0</v>
      </c>
      <c r="O313" s="46">
        <v>0</v>
      </c>
      <c r="P313" s="98"/>
      <c r="Q313" s="23" t="s">
        <v>1478</v>
      </c>
      <c r="R313" s="24" t="s">
        <v>825</v>
      </c>
      <c r="S313" s="25" t="s">
        <v>606</v>
      </c>
      <c r="T313" s="26">
        <v>1</v>
      </c>
      <c r="U313" s="26">
        <v>1</v>
      </c>
      <c r="V313" s="26">
        <v>59.74</v>
      </c>
      <c r="W313" s="26">
        <f t="shared" si="58"/>
        <v>0</v>
      </c>
      <c r="X313" s="26">
        <f t="shared" si="61"/>
        <v>0</v>
      </c>
      <c r="Y313" s="26">
        <f t="shared" si="59"/>
        <v>0</v>
      </c>
      <c r="Z313" s="26">
        <f t="shared" si="57"/>
        <v>0</v>
      </c>
      <c r="AA313" s="33" t="s">
        <v>15</v>
      </c>
      <c r="AB313" s="36" t="s">
        <v>16</v>
      </c>
      <c r="AC313" s="181">
        <f t="shared" si="54"/>
        <v>1</v>
      </c>
      <c r="AD313" s="181">
        <f t="shared" si="60"/>
        <v>59.74</v>
      </c>
      <c r="AE313" s="181">
        <v>1.7</v>
      </c>
      <c r="AF313" s="181">
        <v>1.7</v>
      </c>
      <c r="AG313" s="101" t="str">
        <f t="shared" si="55"/>
        <v/>
      </c>
      <c r="AH313" s="190">
        <v>0</v>
      </c>
      <c r="AI313" s="69">
        <f t="shared" si="56"/>
        <v>1</v>
      </c>
    </row>
    <row r="314" spans="1:35" s="69" customFormat="1" ht="39" hidden="1" x14ac:dyDescent="0.3">
      <c r="A314" s="55" t="s">
        <v>827</v>
      </c>
      <c r="B314" s="53" t="s">
        <v>828</v>
      </c>
      <c r="C314" s="54" t="s">
        <v>606</v>
      </c>
      <c r="D314" s="75">
        <v>1</v>
      </c>
      <c r="E314" s="75"/>
      <c r="F314" s="75"/>
      <c r="G314" s="161"/>
      <c r="H314" s="158" t="s">
        <v>15</v>
      </c>
      <c r="I314" s="166">
        <v>69.58</v>
      </c>
      <c r="J314" s="75">
        <v>69.58</v>
      </c>
      <c r="K314" s="91" t="s">
        <v>829</v>
      </c>
      <c r="L314" s="73"/>
      <c r="M314" s="46">
        <v>0</v>
      </c>
      <c r="N314" s="46">
        <v>0</v>
      </c>
      <c r="O314" s="46">
        <v>0</v>
      </c>
      <c r="P314" s="98"/>
      <c r="Q314" s="23" t="s">
        <v>1479</v>
      </c>
      <c r="R314" s="24" t="s">
        <v>828</v>
      </c>
      <c r="S314" s="25" t="s">
        <v>606</v>
      </c>
      <c r="T314" s="26">
        <v>1</v>
      </c>
      <c r="U314" s="26">
        <v>1</v>
      </c>
      <c r="V314" s="26">
        <v>69.58</v>
      </c>
      <c r="W314" s="26">
        <f t="shared" si="58"/>
        <v>0</v>
      </c>
      <c r="X314" s="26">
        <f t="shared" si="61"/>
        <v>0</v>
      </c>
      <c r="Y314" s="26">
        <f t="shared" si="59"/>
        <v>0</v>
      </c>
      <c r="Z314" s="26">
        <f t="shared" si="57"/>
        <v>0</v>
      </c>
      <c r="AA314" s="33" t="s">
        <v>15</v>
      </c>
      <c r="AB314" s="36" t="s">
        <v>16</v>
      </c>
      <c r="AC314" s="181">
        <f t="shared" si="54"/>
        <v>1</v>
      </c>
      <c r="AD314" s="181">
        <f t="shared" si="60"/>
        <v>69.58</v>
      </c>
      <c r="AE314" s="181">
        <v>1.7</v>
      </c>
      <c r="AF314" s="181">
        <v>1.7</v>
      </c>
      <c r="AG314" s="101" t="str">
        <f t="shared" si="55"/>
        <v/>
      </c>
      <c r="AH314" s="190">
        <v>0</v>
      </c>
      <c r="AI314" s="69">
        <f t="shared" si="56"/>
        <v>1</v>
      </c>
    </row>
    <row r="315" spans="1:35" s="69" customFormat="1" ht="39" hidden="1" x14ac:dyDescent="0.3">
      <c r="A315" s="55" t="s">
        <v>830</v>
      </c>
      <c r="B315" s="53" t="s">
        <v>831</v>
      </c>
      <c r="C315" s="54" t="s">
        <v>606</v>
      </c>
      <c r="D315" s="75">
        <v>1</v>
      </c>
      <c r="E315" s="75"/>
      <c r="F315" s="75"/>
      <c r="G315" s="161"/>
      <c r="H315" s="158" t="s">
        <v>15</v>
      </c>
      <c r="I315" s="166">
        <v>112.84</v>
      </c>
      <c r="J315" s="75">
        <v>112.84</v>
      </c>
      <c r="K315" s="91" t="s">
        <v>832</v>
      </c>
      <c r="L315" s="73"/>
      <c r="M315" s="46">
        <v>0</v>
      </c>
      <c r="N315" s="46">
        <v>0</v>
      </c>
      <c r="O315" s="46">
        <v>0</v>
      </c>
      <c r="P315" s="98"/>
      <c r="Q315" s="23" t="s">
        <v>1480</v>
      </c>
      <c r="R315" s="24" t="s">
        <v>831</v>
      </c>
      <c r="S315" s="25" t="s">
        <v>606</v>
      </c>
      <c r="T315" s="26">
        <v>1</v>
      </c>
      <c r="U315" s="26">
        <v>1</v>
      </c>
      <c r="V315" s="26">
        <v>112.84</v>
      </c>
      <c r="W315" s="26">
        <f t="shared" si="58"/>
        <v>0</v>
      </c>
      <c r="X315" s="26">
        <f t="shared" si="61"/>
        <v>0</v>
      </c>
      <c r="Y315" s="26">
        <f t="shared" si="59"/>
        <v>0</v>
      </c>
      <c r="Z315" s="26">
        <f t="shared" si="57"/>
        <v>0</v>
      </c>
      <c r="AA315" s="33" t="s">
        <v>15</v>
      </c>
      <c r="AB315" s="36" t="s">
        <v>16</v>
      </c>
      <c r="AC315" s="181">
        <f t="shared" si="54"/>
        <v>1</v>
      </c>
      <c r="AD315" s="181">
        <f t="shared" si="60"/>
        <v>112.84</v>
      </c>
      <c r="AE315" s="181">
        <v>1.7</v>
      </c>
      <c r="AF315" s="181">
        <v>1.7</v>
      </c>
      <c r="AG315" s="101" t="str">
        <f t="shared" si="55"/>
        <v/>
      </c>
      <c r="AH315" s="190">
        <v>0</v>
      </c>
      <c r="AI315" s="69">
        <f t="shared" si="56"/>
        <v>1</v>
      </c>
    </row>
    <row r="316" spans="1:35" s="69" customFormat="1" ht="39" hidden="1" x14ac:dyDescent="0.3">
      <c r="A316" s="55" t="s">
        <v>833</v>
      </c>
      <c r="B316" s="53" t="s">
        <v>834</v>
      </c>
      <c r="C316" s="54" t="s">
        <v>606</v>
      </c>
      <c r="D316" s="75">
        <v>1</v>
      </c>
      <c r="E316" s="75"/>
      <c r="F316" s="75"/>
      <c r="G316" s="161"/>
      <c r="H316" s="158" t="s">
        <v>15</v>
      </c>
      <c r="I316" s="166">
        <v>102.54</v>
      </c>
      <c r="J316" s="75">
        <v>102.54</v>
      </c>
      <c r="K316" s="91" t="s">
        <v>835</v>
      </c>
      <c r="L316" s="73"/>
      <c r="M316" s="46">
        <v>0</v>
      </c>
      <c r="N316" s="46">
        <v>0</v>
      </c>
      <c r="O316" s="46">
        <v>0</v>
      </c>
      <c r="P316" s="98"/>
      <c r="Q316" s="23" t="s">
        <v>1481</v>
      </c>
      <c r="R316" s="24" t="s">
        <v>834</v>
      </c>
      <c r="S316" s="25" t="s">
        <v>606</v>
      </c>
      <c r="T316" s="26">
        <v>1</v>
      </c>
      <c r="U316" s="26">
        <v>1</v>
      </c>
      <c r="V316" s="26">
        <v>102.54</v>
      </c>
      <c r="W316" s="26">
        <f t="shared" si="58"/>
        <v>0</v>
      </c>
      <c r="X316" s="26">
        <f t="shared" si="61"/>
        <v>0</v>
      </c>
      <c r="Y316" s="26">
        <f t="shared" si="59"/>
        <v>0</v>
      </c>
      <c r="Z316" s="26">
        <f t="shared" si="57"/>
        <v>0</v>
      </c>
      <c r="AA316" s="33" t="s">
        <v>15</v>
      </c>
      <c r="AB316" s="36" t="s">
        <v>16</v>
      </c>
      <c r="AC316" s="181">
        <f t="shared" si="54"/>
        <v>1</v>
      </c>
      <c r="AD316" s="181">
        <f t="shared" si="60"/>
        <v>102.54</v>
      </c>
      <c r="AE316" s="181">
        <v>1.7</v>
      </c>
      <c r="AF316" s="181">
        <v>1.7</v>
      </c>
      <c r="AG316" s="101" t="str">
        <f t="shared" si="55"/>
        <v/>
      </c>
      <c r="AH316" s="190">
        <v>0</v>
      </c>
      <c r="AI316" s="69">
        <f t="shared" si="56"/>
        <v>1</v>
      </c>
    </row>
    <row r="317" spans="1:35" s="69" customFormat="1" ht="39" hidden="1" x14ac:dyDescent="0.3">
      <c r="A317" s="55" t="s">
        <v>836</v>
      </c>
      <c r="B317" s="53" t="s">
        <v>837</v>
      </c>
      <c r="C317" s="54" t="s">
        <v>606</v>
      </c>
      <c r="D317" s="75">
        <v>1</v>
      </c>
      <c r="E317" s="75"/>
      <c r="F317" s="75"/>
      <c r="G317" s="161"/>
      <c r="H317" s="158" t="s">
        <v>15</v>
      </c>
      <c r="I317" s="166">
        <v>82.99</v>
      </c>
      <c r="J317" s="75">
        <v>82.99</v>
      </c>
      <c r="K317" s="91" t="s">
        <v>838</v>
      </c>
      <c r="L317" s="73"/>
      <c r="M317" s="46">
        <v>0</v>
      </c>
      <c r="N317" s="46">
        <v>0</v>
      </c>
      <c r="O317" s="46">
        <v>0</v>
      </c>
      <c r="P317" s="98"/>
      <c r="Q317" s="23" t="s">
        <v>1482</v>
      </c>
      <c r="R317" s="24" t="s">
        <v>837</v>
      </c>
      <c r="S317" s="25" t="s">
        <v>606</v>
      </c>
      <c r="T317" s="26">
        <v>1</v>
      </c>
      <c r="U317" s="26">
        <v>1</v>
      </c>
      <c r="V317" s="26">
        <v>82.99</v>
      </c>
      <c r="W317" s="26">
        <f t="shared" si="58"/>
        <v>0</v>
      </c>
      <c r="X317" s="26">
        <f t="shared" si="61"/>
        <v>0</v>
      </c>
      <c r="Y317" s="26">
        <f t="shared" si="59"/>
        <v>0</v>
      </c>
      <c r="Z317" s="26">
        <f t="shared" si="57"/>
        <v>0</v>
      </c>
      <c r="AA317" s="33" t="s">
        <v>15</v>
      </c>
      <c r="AB317" s="36" t="s">
        <v>16</v>
      </c>
      <c r="AC317" s="181">
        <f t="shared" si="54"/>
        <v>1</v>
      </c>
      <c r="AD317" s="181">
        <f t="shared" si="60"/>
        <v>82.99</v>
      </c>
      <c r="AE317" s="181">
        <v>1.7</v>
      </c>
      <c r="AF317" s="181">
        <v>1.7</v>
      </c>
      <c r="AG317" s="101" t="str">
        <f t="shared" si="55"/>
        <v/>
      </c>
      <c r="AH317" s="190">
        <v>0</v>
      </c>
      <c r="AI317" s="69">
        <f t="shared" si="56"/>
        <v>1</v>
      </c>
    </row>
    <row r="318" spans="1:35" s="69" customFormat="1" ht="58.5" hidden="1" x14ac:dyDescent="0.3">
      <c r="A318" s="55" t="s">
        <v>839</v>
      </c>
      <c r="B318" s="53" t="s">
        <v>840</v>
      </c>
      <c r="C318" s="54" t="s">
        <v>606</v>
      </c>
      <c r="D318" s="75">
        <v>1</v>
      </c>
      <c r="E318" s="75"/>
      <c r="F318" s="75"/>
      <c r="G318" s="161"/>
      <c r="H318" s="158" t="s">
        <v>15</v>
      </c>
      <c r="I318" s="166">
        <v>80.41</v>
      </c>
      <c r="J318" s="75">
        <v>80.41</v>
      </c>
      <c r="K318" s="91" t="s">
        <v>841</v>
      </c>
      <c r="L318" s="73"/>
      <c r="M318" s="46">
        <v>0</v>
      </c>
      <c r="N318" s="46">
        <v>0</v>
      </c>
      <c r="O318" s="46">
        <v>0</v>
      </c>
      <c r="P318" s="98"/>
      <c r="Q318" s="23" t="s">
        <v>1483</v>
      </c>
      <c r="R318" s="24" t="s">
        <v>840</v>
      </c>
      <c r="S318" s="25" t="s">
        <v>606</v>
      </c>
      <c r="T318" s="26">
        <v>1</v>
      </c>
      <c r="U318" s="26">
        <v>1</v>
      </c>
      <c r="V318" s="26">
        <v>80.41</v>
      </c>
      <c r="W318" s="26">
        <f t="shared" si="58"/>
        <v>0</v>
      </c>
      <c r="X318" s="26">
        <f t="shared" si="61"/>
        <v>0</v>
      </c>
      <c r="Y318" s="26">
        <f t="shared" si="59"/>
        <v>0</v>
      </c>
      <c r="Z318" s="26">
        <f t="shared" si="57"/>
        <v>0</v>
      </c>
      <c r="AA318" s="33" t="s">
        <v>15</v>
      </c>
      <c r="AB318" s="36" t="s">
        <v>16</v>
      </c>
      <c r="AC318" s="181">
        <f t="shared" si="54"/>
        <v>1</v>
      </c>
      <c r="AD318" s="181">
        <f t="shared" si="60"/>
        <v>80.41</v>
      </c>
      <c r="AE318" s="181">
        <v>1.7</v>
      </c>
      <c r="AF318" s="181">
        <v>1.7</v>
      </c>
      <c r="AG318" s="101" t="str">
        <f t="shared" si="55"/>
        <v/>
      </c>
      <c r="AH318" s="190">
        <v>0</v>
      </c>
      <c r="AI318" s="69">
        <f t="shared" si="56"/>
        <v>1</v>
      </c>
    </row>
    <row r="319" spans="1:35" s="69" customFormat="1" ht="39" hidden="1" x14ac:dyDescent="0.3">
      <c r="A319" s="55" t="s">
        <v>842</v>
      </c>
      <c r="B319" s="53" t="s">
        <v>843</v>
      </c>
      <c r="C319" s="54" t="s">
        <v>606</v>
      </c>
      <c r="D319" s="75">
        <v>1</v>
      </c>
      <c r="E319" s="75"/>
      <c r="F319" s="75"/>
      <c r="G319" s="161"/>
      <c r="H319" s="158" t="s">
        <v>15</v>
      </c>
      <c r="I319" s="166">
        <v>101.01</v>
      </c>
      <c r="J319" s="75">
        <v>101.01</v>
      </c>
      <c r="K319" s="91" t="s">
        <v>844</v>
      </c>
      <c r="L319" s="73"/>
      <c r="M319" s="46">
        <v>0</v>
      </c>
      <c r="N319" s="46">
        <v>0</v>
      </c>
      <c r="O319" s="46">
        <v>0</v>
      </c>
      <c r="P319" s="98"/>
      <c r="Q319" s="23" t="s">
        <v>1484</v>
      </c>
      <c r="R319" s="24" t="s">
        <v>843</v>
      </c>
      <c r="S319" s="25" t="s">
        <v>606</v>
      </c>
      <c r="T319" s="26">
        <v>1</v>
      </c>
      <c r="U319" s="26">
        <v>1</v>
      </c>
      <c r="V319" s="26">
        <v>101.01</v>
      </c>
      <c r="W319" s="26">
        <f t="shared" si="58"/>
        <v>0</v>
      </c>
      <c r="X319" s="26">
        <f t="shared" si="61"/>
        <v>0</v>
      </c>
      <c r="Y319" s="26">
        <f t="shared" si="59"/>
        <v>0</v>
      </c>
      <c r="Z319" s="26">
        <f t="shared" si="57"/>
        <v>0</v>
      </c>
      <c r="AA319" s="33" t="s">
        <v>15</v>
      </c>
      <c r="AB319" s="36" t="s">
        <v>16</v>
      </c>
      <c r="AC319" s="181">
        <f t="shared" si="54"/>
        <v>1</v>
      </c>
      <c r="AD319" s="181">
        <f t="shared" si="60"/>
        <v>101.01</v>
      </c>
      <c r="AE319" s="181">
        <v>1.7</v>
      </c>
      <c r="AF319" s="181">
        <v>1.7</v>
      </c>
      <c r="AG319" s="101" t="str">
        <f t="shared" si="55"/>
        <v/>
      </c>
      <c r="AH319" s="190">
        <v>0</v>
      </c>
      <c r="AI319" s="69">
        <f t="shared" si="56"/>
        <v>1</v>
      </c>
    </row>
    <row r="320" spans="1:35" s="69" customFormat="1" ht="58.5" hidden="1" x14ac:dyDescent="0.3">
      <c r="A320" s="55" t="s">
        <v>845</v>
      </c>
      <c r="B320" s="53" t="s">
        <v>846</v>
      </c>
      <c r="C320" s="54" t="s">
        <v>606</v>
      </c>
      <c r="D320" s="75">
        <v>1</v>
      </c>
      <c r="E320" s="75"/>
      <c r="F320" s="75"/>
      <c r="G320" s="161"/>
      <c r="H320" s="158" t="s">
        <v>15</v>
      </c>
      <c r="I320" s="166">
        <v>76.290000000000006</v>
      </c>
      <c r="J320" s="75">
        <v>76.290000000000006</v>
      </c>
      <c r="K320" s="91" t="s">
        <v>847</v>
      </c>
      <c r="L320" s="73"/>
      <c r="M320" s="46">
        <v>0</v>
      </c>
      <c r="N320" s="46">
        <v>0</v>
      </c>
      <c r="O320" s="46">
        <v>0</v>
      </c>
      <c r="P320" s="98"/>
      <c r="Q320" s="23" t="s">
        <v>1485</v>
      </c>
      <c r="R320" s="24" t="s">
        <v>846</v>
      </c>
      <c r="S320" s="25" t="s">
        <v>606</v>
      </c>
      <c r="T320" s="26">
        <v>1</v>
      </c>
      <c r="U320" s="26">
        <v>1</v>
      </c>
      <c r="V320" s="26">
        <v>76.290000000000006</v>
      </c>
      <c r="W320" s="26">
        <f t="shared" si="58"/>
        <v>0</v>
      </c>
      <c r="X320" s="26">
        <f t="shared" si="61"/>
        <v>0</v>
      </c>
      <c r="Y320" s="26">
        <f t="shared" si="59"/>
        <v>0</v>
      </c>
      <c r="Z320" s="26">
        <f t="shared" si="57"/>
        <v>0</v>
      </c>
      <c r="AA320" s="33" t="s">
        <v>15</v>
      </c>
      <c r="AB320" s="36" t="s">
        <v>16</v>
      </c>
      <c r="AC320" s="181">
        <f t="shared" si="54"/>
        <v>1</v>
      </c>
      <c r="AD320" s="181">
        <f t="shared" si="60"/>
        <v>76.290000000000006</v>
      </c>
      <c r="AE320" s="181">
        <v>1.7</v>
      </c>
      <c r="AF320" s="181">
        <v>1.7</v>
      </c>
      <c r="AG320" s="101" t="str">
        <f t="shared" si="55"/>
        <v/>
      </c>
      <c r="AH320" s="190">
        <v>0</v>
      </c>
      <c r="AI320" s="69">
        <f t="shared" si="56"/>
        <v>1</v>
      </c>
    </row>
    <row r="321" spans="1:35" s="69" customFormat="1" ht="39" hidden="1" x14ac:dyDescent="0.3">
      <c r="A321" s="55" t="s">
        <v>848</v>
      </c>
      <c r="B321" s="53" t="s">
        <v>849</v>
      </c>
      <c r="C321" s="54" t="s">
        <v>606</v>
      </c>
      <c r="D321" s="75">
        <v>1</v>
      </c>
      <c r="E321" s="75"/>
      <c r="F321" s="75"/>
      <c r="G321" s="161"/>
      <c r="H321" s="158" t="s">
        <v>15</v>
      </c>
      <c r="I321" s="166">
        <v>73.650000000000006</v>
      </c>
      <c r="J321" s="75">
        <v>73.650000000000006</v>
      </c>
      <c r="K321" s="91" t="s">
        <v>850</v>
      </c>
      <c r="L321" s="73"/>
      <c r="M321" s="46">
        <v>0</v>
      </c>
      <c r="N321" s="46">
        <v>0</v>
      </c>
      <c r="O321" s="46">
        <v>0</v>
      </c>
      <c r="P321" s="98"/>
      <c r="Q321" s="23" t="s">
        <v>1486</v>
      </c>
      <c r="R321" s="24" t="s">
        <v>849</v>
      </c>
      <c r="S321" s="25" t="s">
        <v>606</v>
      </c>
      <c r="T321" s="26">
        <v>1</v>
      </c>
      <c r="U321" s="26">
        <v>1</v>
      </c>
      <c r="V321" s="26">
        <v>73.650000000000006</v>
      </c>
      <c r="W321" s="26">
        <f t="shared" si="58"/>
        <v>0</v>
      </c>
      <c r="X321" s="26">
        <f t="shared" si="61"/>
        <v>0</v>
      </c>
      <c r="Y321" s="26">
        <f t="shared" si="59"/>
        <v>0</v>
      </c>
      <c r="Z321" s="26">
        <f t="shared" si="57"/>
        <v>0</v>
      </c>
      <c r="AA321" s="33" t="s">
        <v>15</v>
      </c>
      <c r="AB321" s="36" t="s">
        <v>16</v>
      </c>
      <c r="AC321" s="181">
        <f t="shared" si="54"/>
        <v>1</v>
      </c>
      <c r="AD321" s="181">
        <f t="shared" si="60"/>
        <v>73.650000000000006</v>
      </c>
      <c r="AE321" s="181">
        <v>1.7</v>
      </c>
      <c r="AF321" s="181">
        <v>1.7</v>
      </c>
      <c r="AG321" s="101" t="str">
        <f t="shared" si="55"/>
        <v/>
      </c>
      <c r="AH321" s="190">
        <v>0</v>
      </c>
      <c r="AI321" s="69">
        <f t="shared" si="56"/>
        <v>1</v>
      </c>
    </row>
    <row r="322" spans="1:35" s="69" customFormat="1" ht="39" hidden="1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161"/>
      <c r="H322" s="158" t="s">
        <v>15</v>
      </c>
      <c r="I322" s="166">
        <v>43.78</v>
      </c>
      <c r="J322" s="75">
        <v>43.78</v>
      </c>
      <c r="K322" s="91" t="s">
        <v>853</v>
      </c>
      <c r="L322" s="73"/>
      <c r="M322" s="46">
        <v>0</v>
      </c>
      <c r="N322" s="46">
        <v>0</v>
      </c>
      <c r="O322" s="46">
        <v>0</v>
      </c>
      <c r="P322" s="98"/>
      <c r="Q322" s="23" t="s">
        <v>1487</v>
      </c>
      <c r="R322" s="24" t="s">
        <v>852</v>
      </c>
      <c r="S322" s="25" t="s">
        <v>50</v>
      </c>
      <c r="T322" s="26">
        <v>1</v>
      </c>
      <c r="U322" s="26">
        <v>1</v>
      </c>
      <c r="V322" s="26">
        <v>43.78</v>
      </c>
      <c r="W322" s="26">
        <f t="shared" si="58"/>
        <v>0</v>
      </c>
      <c r="X322" s="26">
        <f t="shared" si="61"/>
        <v>0</v>
      </c>
      <c r="Y322" s="26">
        <f t="shared" si="59"/>
        <v>0</v>
      </c>
      <c r="Z322" s="26">
        <f t="shared" si="57"/>
        <v>0</v>
      </c>
      <c r="AA322" s="33" t="s">
        <v>15</v>
      </c>
      <c r="AB322" s="36" t="s">
        <v>16</v>
      </c>
      <c r="AC322" s="181">
        <f t="shared" si="54"/>
        <v>1</v>
      </c>
      <c r="AD322" s="181">
        <f t="shared" si="60"/>
        <v>43.78</v>
      </c>
      <c r="AE322" s="181">
        <v>1.7</v>
      </c>
      <c r="AF322" s="181">
        <v>1.7</v>
      </c>
      <c r="AG322" s="101" t="str">
        <f t="shared" si="55"/>
        <v/>
      </c>
      <c r="AH322" s="190">
        <v>0</v>
      </c>
      <c r="AI322" s="69">
        <f t="shared" si="56"/>
        <v>1</v>
      </c>
    </row>
    <row r="323" spans="1:35" s="69" customFormat="1" ht="39" hidden="1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161"/>
      <c r="H323" s="158" t="s">
        <v>15</v>
      </c>
      <c r="I323" s="166">
        <v>28.11</v>
      </c>
      <c r="J323" s="75">
        <v>28.11</v>
      </c>
      <c r="K323" s="91" t="s">
        <v>857</v>
      </c>
      <c r="L323" s="73"/>
      <c r="M323" s="46">
        <v>0</v>
      </c>
      <c r="N323" s="46">
        <v>0</v>
      </c>
      <c r="O323" s="46">
        <v>0</v>
      </c>
      <c r="P323" s="98"/>
      <c r="Q323" s="23" t="s">
        <v>1488</v>
      </c>
      <c r="R323" s="24" t="s">
        <v>855</v>
      </c>
      <c r="S323" s="25" t="s">
        <v>856</v>
      </c>
      <c r="T323" s="26">
        <v>1</v>
      </c>
      <c r="U323" s="26">
        <v>1</v>
      </c>
      <c r="V323" s="26">
        <v>28.11</v>
      </c>
      <c r="W323" s="26">
        <f t="shared" si="58"/>
        <v>0</v>
      </c>
      <c r="X323" s="26">
        <f t="shared" si="61"/>
        <v>0</v>
      </c>
      <c r="Y323" s="26">
        <f t="shared" si="59"/>
        <v>0</v>
      </c>
      <c r="Z323" s="26">
        <f t="shared" si="57"/>
        <v>0</v>
      </c>
      <c r="AA323" s="33" t="s">
        <v>15</v>
      </c>
      <c r="AB323" s="36" t="s">
        <v>16</v>
      </c>
      <c r="AC323" s="181">
        <f t="shared" si="54"/>
        <v>1</v>
      </c>
      <c r="AD323" s="181">
        <f t="shared" si="60"/>
        <v>28.11</v>
      </c>
      <c r="AE323" s="181">
        <v>1.7</v>
      </c>
      <c r="AF323" s="181">
        <v>1.7</v>
      </c>
      <c r="AG323" s="101" t="str">
        <f t="shared" si="55"/>
        <v/>
      </c>
      <c r="AH323" s="190">
        <v>0</v>
      </c>
      <c r="AI323" s="69">
        <f t="shared" si="56"/>
        <v>1</v>
      </c>
    </row>
    <row r="324" spans="1:35" s="69" customFormat="1" ht="33" hidden="1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224"/>
      <c r="H324" s="158" t="s">
        <v>15</v>
      </c>
      <c r="I324" s="166">
        <v>245.47</v>
      </c>
      <c r="J324" s="75">
        <v>245.47</v>
      </c>
      <c r="K324" s="91" t="s">
        <v>860</v>
      </c>
      <c r="L324" s="73"/>
      <c r="M324" s="46">
        <v>0</v>
      </c>
      <c r="N324" s="46">
        <v>0</v>
      </c>
      <c r="O324" s="46">
        <v>0</v>
      </c>
      <c r="P324" s="98"/>
      <c r="Q324" s="23" t="s">
        <v>1489</v>
      </c>
      <c r="R324" s="24" t="s">
        <v>859</v>
      </c>
      <c r="S324" s="25" t="s">
        <v>50</v>
      </c>
      <c r="T324" s="26">
        <v>1</v>
      </c>
      <c r="U324" s="26">
        <v>1</v>
      </c>
      <c r="V324" s="26">
        <v>245.47</v>
      </c>
      <c r="W324" s="26">
        <f t="shared" si="58"/>
        <v>0</v>
      </c>
      <c r="X324" s="26">
        <f t="shared" si="61"/>
        <v>0</v>
      </c>
      <c r="Y324" s="26">
        <f t="shared" si="59"/>
        <v>0</v>
      </c>
      <c r="Z324" s="26">
        <f t="shared" si="57"/>
        <v>0</v>
      </c>
      <c r="AA324" s="33" t="s">
        <v>15</v>
      </c>
      <c r="AB324" s="36" t="s">
        <v>16</v>
      </c>
      <c r="AC324" s="181">
        <f t="shared" si="54"/>
        <v>1</v>
      </c>
      <c r="AD324" s="181">
        <f t="shared" si="60"/>
        <v>245.47</v>
      </c>
      <c r="AE324" s="181">
        <v>1.7</v>
      </c>
      <c r="AF324" s="181">
        <v>1.7</v>
      </c>
      <c r="AG324" s="101" t="str">
        <f t="shared" si="55"/>
        <v/>
      </c>
      <c r="AH324" s="190">
        <v>0</v>
      </c>
      <c r="AI324" s="69">
        <f t="shared" si="56"/>
        <v>1</v>
      </c>
    </row>
    <row r="325" spans="1:35" ht="33" hidden="1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163"/>
      <c r="H325" s="62" t="s">
        <v>15</v>
      </c>
      <c r="I325" s="167">
        <v>839.94</v>
      </c>
      <c r="J325" s="62">
        <v>61718.79</v>
      </c>
      <c r="K325" s="93"/>
      <c r="M325" s="46">
        <v>0</v>
      </c>
      <c r="N325" s="46">
        <v>0</v>
      </c>
      <c r="O325" s="46">
        <v>0</v>
      </c>
      <c r="P325" s="98"/>
      <c r="Q325" s="23" t="s">
        <v>1398</v>
      </c>
      <c r="R325" s="24" t="s">
        <v>1337</v>
      </c>
      <c r="S325" s="25" t="s">
        <v>30</v>
      </c>
      <c r="T325" s="26">
        <v>0</v>
      </c>
      <c r="U325" s="26">
        <v>73.48</v>
      </c>
      <c r="V325" s="26">
        <v>839.94</v>
      </c>
      <c r="W325" s="26">
        <f t="shared" si="58"/>
        <v>0</v>
      </c>
      <c r="X325" s="26">
        <f t="shared" si="61"/>
        <v>0</v>
      </c>
      <c r="Y325" s="26">
        <f t="shared" si="59"/>
        <v>0</v>
      </c>
      <c r="Z325" s="26">
        <f>ROUND(V325*X325,2)</f>
        <v>0</v>
      </c>
      <c r="AA325" s="27"/>
      <c r="AB325" s="36" t="s">
        <v>16</v>
      </c>
      <c r="AC325" s="181">
        <f t="shared" si="54"/>
        <v>73.48</v>
      </c>
      <c r="AD325" s="181">
        <f t="shared" si="60"/>
        <v>61718.79</v>
      </c>
      <c r="AE325" s="181">
        <v>1.7</v>
      </c>
      <c r="AF325" s="181">
        <v>1.7</v>
      </c>
      <c r="AG325" s="101" t="str">
        <f t="shared" si="55"/>
        <v/>
      </c>
      <c r="AH325" s="190">
        <v>0</v>
      </c>
      <c r="AI325" s="69">
        <f t="shared" si="56"/>
        <v>73.48</v>
      </c>
    </row>
    <row r="326" spans="1:35" ht="39" hidden="1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163"/>
      <c r="H326" s="62" t="s">
        <v>15</v>
      </c>
      <c r="I326" s="167">
        <v>150</v>
      </c>
      <c r="J326" s="62">
        <v>2678400</v>
      </c>
      <c r="K326" s="93"/>
      <c r="M326" s="46">
        <v>10000</v>
      </c>
      <c r="N326" s="46">
        <v>0</v>
      </c>
      <c r="O326" s="46">
        <v>1500000</v>
      </c>
      <c r="P326" s="98"/>
      <c r="Q326" s="23" t="s">
        <v>1399</v>
      </c>
      <c r="R326" s="24" t="s">
        <v>1339</v>
      </c>
      <c r="S326" s="25" t="s">
        <v>1359</v>
      </c>
      <c r="T326" s="26">
        <v>0</v>
      </c>
      <c r="U326" s="26">
        <v>17856</v>
      </c>
      <c r="V326" s="26">
        <v>150</v>
      </c>
      <c r="W326" s="26">
        <f t="shared" si="58"/>
        <v>0</v>
      </c>
      <c r="X326" s="26">
        <f t="shared" si="61"/>
        <v>10000</v>
      </c>
      <c r="Y326" s="26">
        <f t="shared" si="59"/>
        <v>0</v>
      </c>
      <c r="Z326" s="26">
        <f t="shared" si="57"/>
        <v>1500000</v>
      </c>
      <c r="AA326" s="27"/>
      <c r="AB326" s="36" t="s">
        <v>16</v>
      </c>
      <c r="AC326" s="181">
        <f t="shared" si="54"/>
        <v>17856</v>
      </c>
      <c r="AD326" s="181">
        <f t="shared" si="60"/>
        <v>2678400</v>
      </c>
      <c r="AE326" s="181">
        <v>1.7</v>
      </c>
      <c r="AF326" s="181">
        <v>1.7</v>
      </c>
      <c r="AG326" s="101" t="str">
        <f t="shared" si="55"/>
        <v/>
      </c>
      <c r="AH326" s="190">
        <v>10000</v>
      </c>
      <c r="AI326" s="69">
        <f t="shared" si="56"/>
        <v>17856</v>
      </c>
    </row>
    <row r="327" spans="1:35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4" t="s">
        <v>15</v>
      </c>
      <c r="I327" s="82"/>
      <c r="J327" s="82">
        <v>5831452.4900000002</v>
      </c>
      <c r="K327" s="94" t="s">
        <v>15</v>
      </c>
      <c r="L327" s="73"/>
      <c r="M327" s="45">
        <v>0</v>
      </c>
      <c r="N327" s="45">
        <v>0</v>
      </c>
      <c r="O327" s="45">
        <v>0</v>
      </c>
      <c r="P327" s="98"/>
      <c r="Q327" s="18" t="s">
        <v>1400</v>
      </c>
      <c r="R327" s="19" t="s">
        <v>862</v>
      </c>
      <c r="S327" s="20" t="s">
        <v>14</v>
      </c>
      <c r="T327" s="21">
        <v>1</v>
      </c>
      <c r="U327" s="21"/>
      <c r="V327" s="21">
        <f>SUMIFS(AD:AD,AE:AE,AE327)</f>
        <v>5831452.4899999993</v>
      </c>
      <c r="W327" s="21">
        <f t="shared" ref="W327:X327" si="62">IF(Y327=0,0,1)</f>
        <v>1</v>
      </c>
      <c r="X327" s="21">
        <f t="shared" si="62"/>
        <v>1</v>
      </c>
      <c r="Y327" s="21">
        <f>SUMIFS(Y:Y,AF:AF,AE327)</f>
        <v>588200</v>
      </c>
      <c r="Z327" s="21">
        <f>SUMIFS(Z:Z,AF:AF,AE327)</f>
        <v>588200</v>
      </c>
      <c r="AA327" s="22" t="s">
        <v>15</v>
      </c>
      <c r="AB327" s="43" t="s">
        <v>16</v>
      </c>
      <c r="AC327" s="181">
        <f t="shared" si="54"/>
        <v>1</v>
      </c>
      <c r="AD327" s="184"/>
      <c r="AE327" s="184">
        <v>1.8</v>
      </c>
      <c r="AF327" s="184"/>
      <c r="AG327" s="101" t="str">
        <f t="shared" si="55"/>
        <v/>
      </c>
      <c r="AH327" s="190">
        <v>1</v>
      </c>
      <c r="AI327" s="69">
        <f t="shared" si="56"/>
        <v>1</v>
      </c>
    </row>
    <row r="328" spans="1:35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 t="s">
        <v>15</v>
      </c>
      <c r="I328" s="75">
        <v>69458</v>
      </c>
      <c r="J328" s="75">
        <v>69458</v>
      </c>
      <c r="K328" s="91" t="s">
        <v>865</v>
      </c>
      <c r="L328" s="73"/>
      <c r="M328" s="46">
        <v>0</v>
      </c>
      <c r="N328" s="46">
        <v>0</v>
      </c>
      <c r="O328" s="46">
        <v>0</v>
      </c>
      <c r="P328" s="98"/>
      <c r="Q328" s="23" t="s">
        <v>1421</v>
      </c>
      <c r="R328" s="24" t="s">
        <v>864</v>
      </c>
      <c r="S328" s="25" t="s">
        <v>14</v>
      </c>
      <c r="T328" s="26">
        <v>1</v>
      </c>
      <c r="U328" s="26">
        <v>1</v>
      </c>
      <c r="V328" s="26">
        <v>69458</v>
      </c>
      <c r="W328" s="26">
        <f t="shared" ref="W328:W368" si="63">AH328-M328</f>
        <v>0</v>
      </c>
      <c r="X328" s="26">
        <f t="shared" si="61"/>
        <v>0</v>
      </c>
      <c r="Y328" s="26">
        <f t="shared" ref="Y328:Y368" si="64">Z328-O328</f>
        <v>0</v>
      </c>
      <c r="Z328" s="26">
        <f t="shared" si="57"/>
        <v>0</v>
      </c>
      <c r="AA328" s="33" t="s">
        <v>15</v>
      </c>
      <c r="AB328" s="36" t="s">
        <v>16</v>
      </c>
      <c r="AC328" s="181">
        <f t="shared" si="54"/>
        <v>1</v>
      </c>
      <c r="AD328" s="181">
        <f t="shared" si="60"/>
        <v>69458</v>
      </c>
      <c r="AE328" s="181">
        <v>1.8</v>
      </c>
      <c r="AF328" s="181">
        <v>1.8</v>
      </c>
      <c r="AG328" s="101" t="str">
        <f t="shared" si="55"/>
        <v/>
      </c>
      <c r="AH328" s="190">
        <v>0</v>
      </c>
      <c r="AI328" s="69">
        <f t="shared" si="56"/>
        <v>1</v>
      </c>
    </row>
    <row r="329" spans="1:35" s="69" customFormat="1" ht="39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 t="s">
        <v>15</v>
      </c>
      <c r="I329" s="75">
        <v>94852.479999999996</v>
      </c>
      <c r="J329" s="75">
        <v>94852.479999999996</v>
      </c>
      <c r="K329" s="91" t="s">
        <v>868</v>
      </c>
      <c r="L329" s="73"/>
      <c r="M329" s="46">
        <v>0</v>
      </c>
      <c r="N329" s="46">
        <v>0</v>
      </c>
      <c r="O329" s="46">
        <v>0</v>
      </c>
      <c r="P329" s="98"/>
      <c r="Q329" s="23" t="s">
        <v>1426</v>
      </c>
      <c r="R329" s="24" t="s">
        <v>867</v>
      </c>
      <c r="S329" s="25" t="s">
        <v>14</v>
      </c>
      <c r="T329" s="26">
        <v>1</v>
      </c>
      <c r="U329" s="26">
        <v>1</v>
      </c>
      <c r="V329" s="26">
        <v>94852.479999999996</v>
      </c>
      <c r="W329" s="26">
        <f t="shared" si="63"/>
        <v>0</v>
      </c>
      <c r="X329" s="26">
        <f t="shared" si="61"/>
        <v>0</v>
      </c>
      <c r="Y329" s="26">
        <f t="shared" si="64"/>
        <v>0</v>
      </c>
      <c r="Z329" s="26">
        <f t="shared" si="57"/>
        <v>0</v>
      </c>
      <c r="AA329" s="33" t="s">
        <v>15</v>
      </c>
      <c r="AB329" s="36" t="s">
        <v>16</v>
      </c>
      <c r="AC329" s="181">
        <f t="shared" si="54"/>
        <v>1</v>
      </c>
      <c r="AD329" s="181">
        <f t="shared" si="60"/>
        <v>94852.479999999996</v>
      </c>
      <c r="AE329" s="181">
        <v>1.8</v>
      </c>
      <c r="AF329" s="181">
        <v>1.8</v>
      </c>
      <c r="AG329" s="101" t="str">
        <f t="shared" si="55"/>
        <v/>
      </c>
      <c r="AH329" s="190">
        <v>0</v>
      </c>
      <c r="AI329" s="69">
        <f t="shared" si="56"/>
        <v>1</v>
      </c>
    </row>
    <row r="330" spans="1:35" s="69" customFormat="1" ht="39" x14ac:dyDescent="0.3">
      <c r="A330" s="55" t="s">
        <v>869</v>
      </c>
      <c r="B330" s="53" t="s">
        <v>870</v>
      </c>
      <c r="C330" s="54" t="s">
        <v>14</v>
      </c>
      <c r="D330" s="75">
        <v>1</v>
      </c>
      <c r="E330" s="75"/>
      <c r="F330" s="75"/>
      <c r="G330" s="75"/>
      <c r="H330" s="75" t="s">
        <v>15</v>
      </c>
      <c r="I330" s="75">
        <v>251510</v>
      </c>
      <c r="J330" s="75">
        <v>251510</v>
      </c>
      <c r="K330" s="91" t="s">
        <v>871</v>
      </c>
      <c r="L330" s="73"/>
      <c r="M330" s="46">
        <v>0</v>
      </c>
      <c r="N330" s="46">
        <v>0</v>
      </c>
      <c r="O330" s="46">
        <v>0</v>
      </c>
      <c r="P330" s="98"/>
      <c r="Q330" s="23" t="s">
        <v>1402</v>
      </c>
      <c r="R330" s="24" t="s">
        <v>870</v>
      </c>
      <c r="S330" s="25" t="s">
        <v>14</v>
      </c>
      <c r="T330" s="26">
        <v>1</v>
      </c>
      <c r="U330" s="26">
        <v>1</v>
      </c>
      <c r="V330" s="26">
        <v>251510</v>
      </c>
      <c r="W330" s="26">
        <f t="shared" si="63"/>
        <v>0</v>
      </c>
      <c r="X330" s="26">
        <f t="shared" si="61"/>
        <v>0</v>
      </c>
      <c r="Y330" s="26">
        <f t="shared" si="64"/>
        <v>0</v>
      </c>
      <c r="Z330" s="26">
        <f t="shared" si="57"/>
        <v>0</v>
      </c>
      <c r="AA330" s="33" t="s">
        <v>15</v>
      </c>
      <c r="AB330" s="36" t="s">
        <v>16</v>
      </c>
      <c r="AC330" s="181">
        <f t="shared" si="54"/>
        <v>1</v>
      </c>
      <c r="AD330" s="181">
        <f t="shared" si="60"/>
        <v>251510</v>
      </c>
      <c r="AE330" s="181">
        <v>1.8</v>
      </c>
      <c r="AF330" s="181">
        <v>1.8</v>
      </c>
      <c r="AG330" s="101" t="str">
        <f t="shared" si="55"/>
        <v/>
      </c>
      <c r="AH330" s="190">
        <v>0</v>
      </c>
      <c r="AI330" s="69">
        <f t="shared" si="56"/>
        <v>1</v>
      </c>
    </row>
    <row r="331" spans="1:35" s="69" customFormat="1" ht="39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 t="s">
        <v>15</v>
      </c>
      <c r="I331" s="75">
        <v>174688.22</v>
      </c>
      <c r="J331" s="75">
        <v>174688.22</v>
      </c>
      <c r="K331" s="91" t="s">
        <v>874</v>
      </c>
      <c r="L331" s="73"/>
      <c r="M331" s="46">
        <v>0</v>
      </c>
      <c r="N331" s="46">
        <v>0</v>
      </c>
      <c r="O331" s="46">
        <v>0</v>
      </c>
      <c r="P331" s="98"/>
      <c r="Q331" s="23" t="s">
        <v>1373</v>
      </c>
      <c r="R331" s="24" t="s">
        <v>873</v>
      </c>
      <c r="S331" s="25" t="s">
        <v>14</v>
      </c>
      <c r="T331" s="26">
        <v>1</v>
      </c>
      <c r="U331" s="26">
        <v>1</v>
      </c>
      <c r="V331" s="26">
        <v>174688.22</v>
      </c>
      <c r="W331" s="26">
        <f t="shared" si="63"/>
        <v>0</v>
      </c>
      <c r="X331" s="26">
        <f t="shared" si="61"/>
        <v>0</v>
      </c>
      <c r="Y331" s="26">
        <f t="shared" si="64"/>
        <v>0</v>
      </c>
      <c r="Z331" s="26">
        <f t="shared" si="57"/>
        <v>0</v>
      </c>
      <c r="AA331" s="33" t="s">
        <v>15</v>
      </c>
      <c r="AB331" s="36" t="s">
        <v>16</v>
      </c>
      <c r="AC331" s="181">
        <f t="shared" ref="AC331:AC412" si="65">IF(U331="",T331,U331)</f>
        <v>1</v>
      </c>
      <c r="AD331" s="181">
        <f t="shared" si="60"/>
        <v>174688.22</v>
      </c>
      <c r="AE331" s="181">
        <v>1.8</v>
      </c>
      <c r="AF331" s="181">
        <v>1.8</v>
      </c>
      <c r="AG331" s="101" t="str">
        <f t="shared" ref="AG331:AG412" si="66">IF(X331&gt;AI331,"超估","")</f>
        <v/>
      </c>
      <c r="AH331" s="190">
        <v>0</v>
      </c>
      <c r="AI331" s="69">
        <f t="shared" ref="AI331:AI394" si="67">IF(G331=0,IF(F331=0,IF(E331=0,D331,E331),F331),G331)</f>
        <v>1</v>
      </c>
    </row>
    <row r="332" spans="1:35" s="69" customFormat="1" ht="39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 t="s">
        <v>15</v>
      </c>
      <c r="I332" s="75">
        <v>21221.84</v>
      </c>
      <c r="J332" s="75">
        <v>21221.84</v>
      </c>
      <c r="K332" s="91" t="s">
        <v>877</v>
      </c>
      <c r="L332" s="73"/>
      <c r="M332" s="46">
        <v>0</v>
      </c>
      <c r="N332" s="46">
        <v>0</v>
      </c>
      <c r="O332" s="46">
        <v>0</v>
      </c>
      <c r="P332" s="98"/>
      <c r="Q332" s="23" t="s">
        <v>1393</v>
      </c>
      <c r="R332" s="24" t="s">
        <v>876</v>
      </c>
      <c r="S332" s="25" t="s">
        <v>14</v>
      </c>
      <c r="T332" s="26">
        <v>1</v>
      </c>
      <c r="U332" s="26">
        <v>1</v>
      </c>
      <c r="V332" s="26">
        <v>21221.84</v>
      </c>
      <c r="W332" s="26">
        <f t="shared" si="63"/>
        <v>0</v>
      </c>
      <c r="X332" s="26">
        <f t="shared" si="61"/>
        <v>0</v>
      </c>
      <c r="Y332" s="26">
        <f t="shared" si="64"/>
        <v>0</v>
      </c>
      <c r="Z332" s="26">
        <f t="shared" ref="Z332:Z368" si="68">ROUND(V332*X332,2)</f>
        <v>0</v>
      </c>
      <c r="AA332" s="33" t="s">
        <v>15</v>
      </c>
      <c r="AB332" s="36" t="s">
        <v>16</v>
      </c>
      <c r="AC332" s="181">
        <f t="shared" si="65"/>
        <v>1</v>
      </c>
      <c r="AD332" s="181">
        <f t="shared" si="60"/>
        <v>21221.84</v>
      </c>
      <c r="AE332" s="181">
        <v>1.8</v>
      </c>
      <c r="AF332" s="181">
        <v>1.8</v>
      </c>
      <c r="AG332" s="101" t="str">
        <f t="shared" si="66"/>
        <v/>
      </c>
      <c r="AH332" s="190">
        <v>0</v>
      </c>
      <c r="AI332" s="69">
        <f t="shared" si="67"/>
        <v>1</v>
      </c>
    </row>
    <row r="333" spans="1:35" s="69" customFormat="1" ht="58.5" hidden="1" x14ac:dyDescent="0.3">
      <c r="A333" s="245" t="s">
        <v>878</v>
      </c>
      <c r="B333" s="118" t="s">
        <v>879</v>
      </c>
      <c r="C333" s="119" t="s">
        <v>3144</v>
      </c>
      <c r="D333" s="120">
        <v>12</v>
      </c>
      <c r="E333" s="75"/>
      <c r="F333" s="75"/>
      <c r="G333" s="75"/>
      <c r="H333" s="75" t="s">
        <v>15</v>
      </c>
      <c r="I333" s="75">
        <v>42800</v>
      </c>
      <c r="J333" s="75">
        <v>513600</v>
      </c>
      <c r="K333" s="91" t="s">
        <v>880</v>
      </c>
      <c r="L333" s="73"/>
      <c r="M333" s="46">
        <v>0</v>
      </c>
      <c r="N333" s="46">
        <v>0</v>
      </c>
      <c r="O333" s="46">
        <v>0</v>
      </c>
      <c r="P333" s="98"/>
      <c r="Q333" s="23" t="s">
        <v>1403</v>
      </c>
      <c r="R333" s="24" t="s">
        <v>879</v>
      </c>
      <c r="S333" s="25" t="s">
        <v>81</v>
      </c>
      <c r="T333" s="26">
        <v>12</v>
      </c>
      <c r="U333" s="26">
        <v>12</v>
      </c>
      <c r="V333" s="26">
        <v>42800</v>
      </c>
      <c r="W333" s="128">
        <f t="shared" si="63"/>
        <v>4</v>
      </c>
      <c r="X333" s="26">
        <f t="shared" si="61"/>
        <v>4</v>
      </c>
      <c r="Y333" s="26">
        <f t="shared" si="64"/>
        <v>171200</v>
      </c>
      <c r="Z333" s="26">
        <f t="shared" si="68"/>
        <v>171200</v>
      </c>
      <c r="AA333" s="33" t="s">
        <v>15</v>
      </c>
      <c r="AB333" s="36" t="s">
        <v>16</v>
      </c>
      <c r="AC333" s="181">
        <f t="shared" si="65"/>
        <v>12</v>
      </c>
      <c r="AD333" s="181">
        <f t="shared" si="60"/>
        <v>513600</v>
      </c>
      <c r="AE333" s="181">
        <v>1.8</v>
      </c>
      <c r="AF333" s="181">
        <v>1.8</v>
      </c>
      <c r="AG333" s="101" t="str">
        <f t="shared" si="66"/>
        <v/>
      </c>
      <c r="AH333" s="191">
        <v>4</v>
      </c>
      <c r="AI333" s="69">
        <f t="shared" si="67"/>
        <v>12</v>
      </c>
    </row>
    <row r="334" spans="1:35" s="69" customFormat="1" ht="58.5" hidden="1" x14ac:dyDescent="0.3">
      <c r="A334" s="245" t="s">
        <v>881</v>
      </c>
      <c r="B334" s="118" t="s">
        <v>882</v>
      </c>
      <c r="C334" s="119" t="s">
        <v>81</v>
      </c>
      <c r="D334" s="120">
        <v>7</v>
      </c>
      <c r="E334" s="75"/>
      <c r="F334" s="75"/>
      <c r="G334" s="75"/>
      <c r="H334" s="75" t="s">
        <v>15</v>
      </c>
      <c r="I334" s="75">
        <v>60400</v>
      </c>
      <c r="J334" s="75">
        <v>422800</v>
      </c>
      <c r="K334" s="91" t="s">
        <v>883</v>
      </c>
      <c r="L334" s="73"/>
      <c r="M334" s="46">
        <v>0</v>
      </c>
      <c r="N334" s="46">
        <v>0</v>
      </c>
      <c r="O334" s="46">
        <v>0</v>
      </c>
      <c r="P334" s="98"/>
      <c r="Q334" s="23" t="s">
        <v>1427</v>
      </c>
      <c r="R334" s="24" t="s">
        <v>882</v>
      </c>
      <c r="S334" s="25" t="s">
        <v>81</v>
      </c>
      <c r="T334" s="26">
        <v>7</v>
      </c>
      <c r="U334" s="26">
        <v>7</v>
      </c>
      <c r="V334" s="26">
        <v>60400</v>
      </c>
      <c r="W334" s="128">
        <f t="shared" si="63"/>
        <v>5</v>
      </c>
      <c r="X334" s="26">
        <f t="shared" si="61"/>
        <v>5</v>
      </c>
      <c r="Y334" s="26">
        <f t="shared" si="64"/>
        <v>302000</v>
      </c>
      <c r="Z334" s="26">
        <f t="shared" si="68"/>
        <v>302000</v>
      </c>
      <c r="AA334" s="33" t="s">
        <v>15</v>
      </c>
      <c r="AB334" s="36" t="s">
        <v>16</v>
      </c>
      <c r="AC334" s="181">
        <f t="shared" si="65"/>
        <v>7</v>
      </c>
      <c r="AD334" s="181">
        <f t="shared" si="60"/>
        <v>422800</v>
      </c>
      <c r="AE334" s="181">
        <v>1.8</v>
      </c>
      <c r="AF334" s="181">
        <v>1.8</v>
      </c>
      <c r="AG334" s="101" t="str">
        <f t="shared" si="66"/>
        <v/>
      </c>
      <c r="AH334" s="191">
        <v>5</v>
      </c>
      <c r="AI334" s="69">
        <f t="shared" si="67"/>
        <v>7</v>
      </c>
    </row>
    <row r="335" spans="1:35" s="69" customFormat="1" ht="58.5" hidden="1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 t="s">
        <v>15</v>
      </c>
      <c r="I335" s="75">
        <v>35000</v>
      </c>
      <c r="J335" s="75">
        <v>455000</v>
      </c>
      <c r="K335" s="91" t="s">
        <v>886</v>
      </c>
      <c r="L335" s="73"/>
      <c r="M335" s="46">
        <v>0</v>
      </c>
      <c r="N335" s="46">
        <v>0</v>
      </c>
      <c r="O335" s="46">
        <v>0</v>
      </c>
      <c r="P335" s="98"/>
      <c r="Q335" s="23" t="s">
        <v>1428</v>
      </c>
      <c r="R335" s="24" t="s">
        <v>885</v>
      </c>
      <c r="S335" s="25" t="s">
        <v>81</v>
      </c>
      <c r="T335" s="26">
        <v>13</v>
      </c>
      <c r="U335" s="26">
        <v>13</v>
      </c>
      <c r="V335" s="26">
        <v>35000</v>
      </c>
      <c r="W335" s="26">
        <f t="shared" si="63"/>
        <v>0</v>
      </c>
      <c r="X335" s="26">
        <f t="shared" si="61"/>
        <v>0</v>
      </c>
      <c r="Y335" s="26">
        <f t="shared" si="64"/>
        <v>0</v>
      </c>
      <c r="Z335" s="26">
        <f t="shared" si="68"/>
        <v>0</v>
      </c>
      <c r="AA335" s="33" t="s">
        <v>15</v>
      </c>
      <c r="AB335" s="36" t="s">
        <v>16</v>
      </c>
      <c r="AC335" s="181">
        <f t="shared" si="65"/>
        <v>13</v>
      </c>
      <c r="AD335" s="181">
        <f t="shared" si="60"/>
        <v>455000</v>
      </c>
      <c r="AE335" s="181">
        <v>1.8</v>
      </c>
      <c r="AF335" s="181">
        <v>1.8</v>
      </c>
      <c r="AG335" s="101" t="str">
        <f t="shared" si="66"/>
        <v/>
      </c>
      <c r="AH335" s="190">
        <v>0</v>
      </c>
      <c r="AI335" s="69">
        <f t="shared" si="67"/>
        <v>13</v>
      </c>
    </row>
    <row r="336" spans="1:35" s="69" customFormat="1" ht="58.5" hidden="1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 t="s">
        <v>15</v>
      </c>
      <c r="I336" s="75">
        <v>10000</v>
      </c>
      <c r="J336" s="75">
        <v>130000</v>
      </c>
      <c r="K336" s="91" t="s">
        <v>889</v>
      </c>
      <c r="L336" s="73"/>
      <c r="M336" s="46">
        <v>0</v>
      </c>
      <c r="N336" s="46">
        <v>0</v>
      </c>
      <c r="O336" s="46">
        <v>0</v>
      </c>
      <c r="P336" s="98"/>
      <c r="Q336" s="23" t="s">
        <v>1387</v>
      </c>
      <c r="R336" s="24" t="s">
        <v>888</v>
      </c>
      <c r="S336" s="25" t="s">
        <v>81</v>
      </c>
      <c r="T336" s="26">
        <v>13</v>
      </c>
      <c r="U336" s="26">
        <v>13</v>
      </c>
      <c r="V336" s="26">
        <v>10000</v>
      </c>
      <c r="W336" s="26">
        <f t="shared" si="63"/>
        <v>0</v>
      </c>
      <c r="X336" s="26">
        <f t="shared" si="61"/>
        <v>0</v>
      </c>
      <c r="Y336" s="26">
        <f t="shared" si="64"/>
        <v>0</v>
      </c>
      <c r="Z336" s="26">
        <f t="shared" si="68"/>
        <v>0</v>
      </c>
      <c r="AA336" s="33" t="s">
        <v>15</v>
      </c>
      <c r="AB336" s="36" t="s">
        <v>16</v>
      </c>
      <c r="AC336" s="181">
        <f t="shared" si="65"/>
        <v>13</v>
      </c>
      <c r="AD336" s="181">
        <f t="shared" si="60"/>
        <v>130000</v>
      </c>
      <c r="AE336" s="181">
        <v>1.8</v>
      </c>
      <c r="AF336" s="181">
        <v>1.8</v>
      </c>
      <c r="AG336" s="101" t="str">
        <f t="shared" si="66"/>
        <v/>
      </c>
      <c r="AH336" s="190">
        <v>0</v>
      </c>
      <c r="AI336" s="69">
        <f t="shared" si="67"/>
        <v>13</v>
      </c>
    </row>
    <row r="337" spans="1:35" s="69" customFormat="1" ht="33" hidden="1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 t="s">
        <v>15</v>
      </c>
      <c r="I337" s="75">
        <v>1500</v>
      </c>
      <c r="J337" s="75">
        <v>3000</v>
      </c>
      <c r="K337" s="91" t="s">
        <v>892</v>
      </c>
      <c r="L337" s="73"/>
      <c r="M337" s="46">
        <v>0</v>
      </c>
      <c r="N337" s="46">
        <v>0</v>
      </c>
      <c r="O337" s="46">
        <v>0</v>
      </c>
      <c r="P337" s="98"/>
      <c r="Q337" s="23" t="s">
        <v>1405</v>
      </c>
      <c r="R337" s="24" t="s">
        <v>891</v>
      </c>
      <c r="S337" s="25" t="s">
        <v>325</v>
      </c>
      <c r="T337" s="26">
        <v>2</v>
      </c>
      <c r="U337" s="26">
        <v>2</v>
      </c>
      <c r="V337" s="26">
        <v>1500</v>
      </c>
      <c r="W337" s="26">
        <f t="shared" si="63"/>
        <v>0</v>
      </c>
      <c r="X337" s="26">
        <f t="shared" si="61"/>
        <v>0</v>
      </c>
      <c r="Y337" s="26">
        <f t="shared" si="64"/>
        <v>0</v>
      </c>
      <c r="Z337" s="26">
        <f t="shared" si="68"/>
        <v>0</v>
      </c>
      <c r="AA337" s="33" t="s">
        <v>15</v>
      </c>
      <c r="AB337" s="36" t="s">
        <v>16</v>
      </c>
      <c r="AC337" s="181">
        <f t="shared" si="65"/>
        <v>2</v>
      </c>
      <c r="AD337" s="181">
        <f t="shared" si="60"/>
        <v>3000</v>
      </c>
      <c r="AE337" s="181">
        <v>1.8</v>
      </c>
      <c r="AF337" s="181">
        <v>1.8</v>
      </c>
      <c r="AG337" s="101" t="str">
        <f t="shared" si="66"/>
        <v/>
      </c>
      <c r="AH337" s="190">
        <v>0</v>
      </c>
      <c r="AI337" s="69">
        <f t="shared" si="67"/>
        <v>2</v>
      </c>
    </row>
    <row r="338" spans="1:35" s="69" customFormat="1" ht="33" hidden="1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 t="s">
        <v>15</v>
      </c>
      <c r="I338" s="75">
        <v>4000</v>
      </c>
      <c r="J338" s="75">
        <v>8000</v>
      </c>
      <c r="K338" s="91" t="s">
        <v>895</v>
      </c>
      <c r="L338" s="73"/>
      <c r="M338" s="46">
        <v>0</v>
      </c>
      <c r="N338" s="46">
        <v>0</v>
      </c>
      <c r="O338" s="46">
        <v>0</v>
      </c>
      <c r="P338" s="98"/>
      <c r="Q338" s="23" t="s">
        <v>1406</v>
      </c>
      <c r="R338" s="24" t="s">
        <v>894</v>
      </c>
      <c r="S338" s="25" t="s">
        <v>325</v>
      </c>
      <c r="T338" s="26">
        <v>2</v>
      </c>
      <c r="U338" s="26">
        <v>2</v>
      </c>
      <c r="V338" s="26">
        <v>4000</v>
      </c>
      <c r="W338" s="26">
        <f t="shared" si="63"/>
        <v>0</v>
      </c>
      <c r="X338" s="26">
        <f t="shared" si="61"/>
        <v>0</v>
      </c>
      <c r="Y338" s="26">
        <f t="shared" si="64"/>
        <v>0</v>
      </c>
      <c r="Z338" s="26">
        <f t="shared" si="68"/>
        <v>0</v>
      </c>
      <c r="AA338" s="33" t="s">
        <v>15</v>
      </c>
      <c r="AB338" s="36" t="s">
        <v>16</v>
      </c>
      <c r="AC338" s="181">
        <f t="shared" si="65"/>
        <v>2</v>
      </c>
      <c r="AD338" s="181">
        <f t="shared" si="60"/>
        <v>8000</v>
      </c>
      <c r="AE338" s="181">
        <v>1.8</v>
      </c>
      <c r="AF338" s="181">
        <v>1.8</v>
      </c>
      <c r="AG338" s="101" t="str">
        <f t="shared" si="66"/>
        <v/>
      </c>
      <c r="AH338" s="190">
        <v>0</v>
      </c>
      <c r="AI338" s="69">
        <f t="shared" si="67"/>
        <v>2</v>
      </c>
    </row>
    <row r="339" spans="1:35" s="69" customFormat="1" ht="33" hidden="1" x14ac:dyDescent="0.3">
      <c r="A339" s="55" t="s">
        <v>896</v>
      </c>
      <c r="B339" s="53" t="s">
        <v>897</v>
      </c>
      <c r="C339" s="54" t="s">
        <v>30</v>
      </c>
      <c r="D339" s="75">
        <v>216.55</v>
      </c>
      <c r="E339" s="75"/>
      <c r="F339" s="75"/>
      <c r="G339" s="75"/>
      <c r="H339" s="75" t="s">
        <v>15</v>
      </c>
      <c r="I339" s="75">
        <v>800</v>
      </c>
      <c r="J339" s="75">
        <v>173240</v>
      </c>
      <c r="K339" s="91" t="s">
        <v>898</v>
      </c>
      <c r="L339" s="73"/>
      <c r="M339" s="46">
        <v>0</v>
      </c>
      <c r="N339" s="46">
        <v>0</v>
      </c>
      <c r="O339" s="46">
        <v>0</v>
      </c>
      <c r="P339" s="98"/>
      <c r="Q339" s="23" t="s">
        <v>1414</v>
      </c>
      <c r="R339" s="24" t="s">
        <v>897</v>
      </c>
      <c r="S339" s="25" t="s">
        <v>30</v>
      </c>
      <c r="T339" s="26">
        <v>216.55</v>
      </c>
      <c r="U339" s="26">
        <v>216.55</v>
      </c>
      <c r="V339" s="26">
        <v>800</v>
      </c>
      <c r="W339" s="26">
        <f t="shared" si="63"/>
        <v>0</v>
      </c>
      <c r="X339" s="26">
        <f t="shared" si="61"/>
        <v>0</v>
      </c>
      <c r="Y339" s="26">
        <f t="shared" si="64"/>
        <v>0</v>
      </c>
      <c r="Z339" s="26">
        <f t="shared" si="68"/>
        <v>0</v>
      </c>
      <c r="AA339" s="33" t="s">
        <v>15</v>
      </c>
      <c r="AB339" s="36" t="s">
        <v>16</v>
      </c>
      <c r="AC339" s="181">
        <f t="shared" si="65"/>
        <v>216.55</v>
      </c>
      <c r="AD339" s="181">
        <f t="shared" si="60"/>
        <v>173240</v>
      </c>
      <c r="AE339" s="181">
        <v>1.8</v>
      </c>
      <c r="AF339" s="181">
        <v>1.8</v>
      </c>
      <c r="AG339" s="101" t="str">
        <f t="shared" si="66"/>
        <v/>
      </c>
      <c r="AH339" s="190">
        <v>0</v>
      </c>
      <c r="AI339" s="69">
        <f t="shared" si="67"/>
        <v>216.55</v>
      </c>
    </row>
    <row r="340" spans="1:35" s="69" customFormat="1" ht="33" hidden="1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 t="s">
        <v>15</v>
      </c>
      <c r="I340" s="75">
        <v>11300</v>
      </c>
      <c r="J340" s="75">
        <v>56500</v>
      </c>
      <c r="K340" s="91" t="s">
        <v>901</v>
      </c>
      <c r="L340" s="73"/>
      <c r="M340" s="46">
        <v>0</v>
      </c>
      <c r="N340" s="46">
        <v>0</v>
      </c>
      <c r="O340" s="46">
        <v>0</v>
      </c>
      <c r="P340" s="98"/>
      <c r="Q340" s="23" t="s">
        <v>1429</v>
      </c>
      <c r="R340" s="24" t="s">
        <v>900</v>
      </c>
      <c r="S340" s="25" t="s">
        <v>325</v>
      </c>
      <c r="T340" s="26">
        <v>5</v>
      </c>
      <c r="U340" s="26">
        <v>5</v>
      </c>
      <c r="V340" s="26">
        <v>11300</v>
      </c>
      <c r="W340" s="26">
        <f t="shared" si="63"/>
        <v>0</v>
      </c>
      <c r="X340" s="26">
        <f t="shared" si="61"/>
        <v>0</v>
      </c>
      <c r="Y340" s="26">
        <f t="shared" si="64"/>
        <v>0</v>
      </c>
      <c r="Z340" s="26">
        <f t="shared" si="68"/>
        <v>0</v>
      </c>
      <c r="AA340" s="33" t="s">
        <v>15</v>
      </c>
      <c r="AB340" s="36" t="s">
        <v>16</v>
      </c>
      <c r="AC340" s="181">
        <f t="shared" si="65"/>
        <v>5</v>
      </c>
      <c r="AD340" s="181">
        <f t="shared" si="60"/>
        <v>56500</v>
      </c>
      <c r="AE340" s="181">
        <v>1.8</v>
      </c>
      <c r="AF340" s="181">
        <v>1.8</v>
      </c>
      <c r="AG340" s="101" t="str">
        <f t="shared" si="66"/>
        <v/>
      </c>
      <c r="AH340" s="190">
        <v>0</v>
      </c>
      <c r="AI340" s="69">
        <f t="shared" si="67"/>
        <v>5</v>
      </c>
    </row>
    <row r="341" spans="1:35" s="69" customFormat="1" ht="33" hidden="1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 t="s">
        <v>15</v>
      </c>
      <c r="I341" s="75">
        <v>13500</v>
      </c>
      <c r="J341" s="75">
        <v>108000</v>
      </c>
      <c r="K341" s="91" t="s">
        <v>904</v>
      </c>
      <c r="L341" s="73"/>
      <c r="M341" s="46">
        <v>0</v>
      </c>
      <c r="N341" s="46">
        <v>0</v>
      </c>
      <c r="O341" s="46">
        <v>0</v>
      </c>
      <c r="P341" s="98"/>
      <c r="Q341" s="23" t="s">
        <v>1430</v>
      </c>
      <c r="R341" s="24" t="s">
        <v>903</v>
      </c>
      <c r="S341" s="25" t="s">
        <v>325</v>
      </c>
      <c r="T341" s="26">
        <v>8</v>
      </c>
      <c r="U341" s="26">
        <v>8</v>
      </c>
      <c r="V341" s="26">
        <v>13500</v>
      </c>
      <c r="W341" s="26">
        <f t="shared" si="63"/>
        <v>0</v>
      </c>
      <c r="X341" s="26">
        <f t="shared" si="61"/>
        <v>0</v>
      </c>
      <c r="Y341" s="26">
        <f t="shared" si="64"/>
        <v>0</v>
      </c>
      <c r="Z341" s="26">
        <f t="shared" si="68"/>
        <v>0</v>
      </c>
      <c r="AA341" s="33" t="s">
        <v>15</v>
      </c>
      <c r="AB341" s="36" t="s">
        <v>16</v>
      </c>
      <c r="AC341" s="181">
        <f t="shared" si="65"/>
        <v>8</v>
      </c>
      <c r="AD341" s="181">
        <f t="shared" si="60"/>
        <v>108000</v>
      </c>
      <c r="AE341" s="181">
        <v>1.8</v>
      </c>
      <c r="AF341" s="181">
        <v>1.8</v>
      </c>
      <c r="AG341" s="101" t="str">
        <f t="shared" si="66"/>
        <v/>
      </c>
      <c r="AH341" s="190">
        <v>0</v>
      </c>
      <c r="AI341" s="69">
        <f t="shared" si="67"/>
        <v>8</v>
      </c>
    </row>
    <row r="342" spans="1:35" s="69" customFormat="1" ht="33" hidden="1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 t="s">
        <v>15</v>
      </c>
      <c r="I342" s="75">
        <v>112963.49</v>
      </c>
      <c r="J342" s="75">
        <v>112963.49</v>
      </c>
      <c r="K342" s="91" t="s">
        <v>907</v>
      </c>
      <c r="L342" s="73"/>
      <c r="M342" s="46">
        <v>0</v>
      </c>
      <c r="N342" s="46">
        <v>0</v>
      </c>
      <c r="O342" s="46">
        <v>0</v>
      </c>
      <c r="P342" s="98"/>
      <c r="Q342" s="23" t="s">
        <v>1431</v>
      </c>
      <c r="R342" s="24" t="s">
        <v>906</v>
      </c>
      <c r="S342" s="25" t="s">
        <v>73</v>
      </c>
      <c r="T342" s="26">
        <v>1</v>
      </c>
      <c r="U342" s="26">
        <v>1</v>
      </c>
      <c r="V342" s="26">
        <v>112963.49</v>
      </c>
      <c r="W342" s="26">
        <f t="shared" si="63"/>
        <v>0</v>
      </c>
      <c r="X342" s="26">
        <f t="shared" si="61"/>
        <v>0</v>
      </c>
      <c r="Y342" s="26">
        <f t="shared" si="64"/>
        <v>0</v>
      </c>
      <c r="Z342" s="26">
        <f t="shared" si="68"/>
        <v>0</v>
      </c>
      <c r="AA342" s="33" t="s">
        <v>15</v>
      </c>
      <c r="AB342" s="36" t="s">
        <v>16</v>
      </c>
      <c r="AC342" s="181">
        <f t="shared" si="65"/>
        <v>1</v>
      </c>
      <c r="AD342" s="181">
        <f t="shared" si="60"/>
        <v>112963.49</v>
      </c>
      <c r="AE342" s="181">
        <v>1.8</v>
      </c>
      <c r="AF342" s="181">
        <v>1.8</v>
      </c>
      <c r="AG342" s="101" t="str">
        <f t="shared" si="66"/>
        <v/>
      </c>
      <c r="AH342" s="190">
        <v>0</v>
      </c>
      <c r="AI342" s="69">
        <f t="shared" si="67"/>
        <v>1</v>
      </c>
    </row>
    <row r="343" spans="1:35" s="69" customFormat="1" ht="33" x14ac:dyDescent="0.3">
      <c r="A343" s="55" t="s">
        <v>908</v>
      </c>
      <c r="B343" s="211" t="s">
        <v>909</v>
      </c>
      <c r="C343" s="212" t="s">
        <v>14</v>
      </c>
      <c r="D343" s="213">
        <v>1</v>
      </c>
      <c r="E343" s="75"/>
      <c r="F343" s="75"/>
      <c r="G343" s="75"/>
      <c r="H343" s="75" t="s">
        <v>15</v>
      </c>
      <c r="I343" s="75">
        <v>322500</v>
      </c>
      <c r="J343" s="75">
        <v>322500</v>
      </c>
      <c r="K343" s="91" t="s">
        <v>910</v>
      </c>
      <c r="L343" s="73"/>
      <c r="M343" s="46">
        <v>0</v>
      </c>
      <c r="N343" s="46">
        <v>0</v>
      </c>
      <c r="O343" s="46">
        <v>0</v>
      </c>
      <c r="P343" s="98"/>
      <c r="Q343" s="23" t="s">
        <v>1395</v>
      </c>
      <c r="R343" s="24" t="s">
        <v>909</v>
      </c>
      <c r="S343" s="25" t="s">
        <v>14</v>
      </c>
      <c r="T343" s="26">
        <v>1</v>
      </c>
      <c r="U343" s="26">
        <v>1</v>
      </c>
      <c r="V343" s="26">
        <v>322500</v>
      </c>
      <c r="W343" s="26">
        <f t="shared" si="63"/>
        <v>0</v>
      </c>
      <c r="X343" s="26">
        <f t="shared" si="61"/>
        <v>0</v>
      </c>
      <c r="Y343" s="26">
        <f t="shared" si="64"/>
        <v>0</v>
      </c>
      <c r="Z343" s="26">
        <f t="shared" si="68"/>
        <v>0</v>
      </c>
      <c r="AA343" s="33" t="s">
        <v>15</v>
      </c>
      <c r="AB343" s="36" t="s">
        <v>16</v>
      </c>
      <c r="AC343" s="181">
        <f t="shared" si="65"/>
        <v>1</v>
      </c>
      <c r="AD343" s="181">
        <f t="shared" si="60"/>
        <v>322500</v>
      </c>
      <c r="AE343" s="181">
        <v>1.8</v>
      </c>
      <c r="AF343" s="181">
        <v>1.8</v>
      </c>
      <c r="AG343" s="101" t="str">
        <f t="shared" si="66"/>
        <v/>
      </c>
      <c r="AH343" s="190">
        <v>0</v>
      </c>
      <c r="AI343" s="69">
        <f t="shared" si="67"/>
        <v>1</v>
      </c>
    </row>
    <row r="344" spans="1:35" s="69" customFormat="1" ht="33" hidden="1" x14ac:dyDescent="0.3">
      <c r="A344" s="55" t="s">
        <v>911</v>
      </c>
      <c r="B344" s="211" t="s">
        <v>912</v>
      </c>
      <c r="C344" s="212" t="s">
        <v>325</v>
      </c>
      <c r="D344" s="213">
        <v>7</v>
      </c>
      <c r="E344" s="75"/>
      <c r="F344" s="75"/>
      <c r="G344" s="75"/>
      <c r="H344" s="75" t="s">
        <v>15</v>
      </c>
      <c r="I344" s="75">
        <v>15500</v>
      </c>
      <c r="J344" s="75">
        <v>108500</v>
      </c>
      <c r="K344" s="91" t="s">
        <v>913</v>
      </c>
      <c r="L344" s="73"/>
      <c r="M344" s="46">
        <v>0</v>
      </c>
      <c r="N344" s="46">
        <v>0</v>
      </c>
      <c r="O344" s="46">
        <v>0</v>
      </c>
      <c r="P344" s="98"/>
      <c r="Q344" s="23" t="s">
        <v>1432</v>
      </c>
      <c r="R344" s="24" t="s">
        <v>912</v>
      </c>
      <c r="S344" s="25" t="s">
        <v>325</v>
      </c>
      <c r="T344" s="26">
        <v>7</v>
      </c>
      <c r="U344" s="26">
        <v>7</v>
      </c>
      <c r="V344" s="26">
        <v>15500</v>
      </c>
      <c r="W344" s="26">
        <f t="shared" si="63"/>
        <v>0</v>
      </c>
      <c r="X344" s="26">
        <f t="shared" si="61"/>
        <v>0</v>
      </c>
      <c r="Y344" s="26">
        <f t="shared" si="64"/>
        <v>0</v>
      </c>
      <c r="Z344" s="26">
        <f t="shared" si="68"/>
        <v>0</v>
      </c>
      <c r="AA344" s="33" t="s">
        <v>15</v>
      </c>
      <c r="AB344" s="36" t="s">
        <v>16</v>
      </c>
      <c r="AC344" s="181">
        <f t="shared" si="65"/>
        <v>7</v>
      </c>
      <c r="AD344" s="181">
        <f t="shared" si="60"/>
        <v>108500</v>
      </c>
      <c r="AE344" s="181">
        <v>1.8</v>
      </c>
      <c r="AF344" s="181">
        <v>1.8</v>
      </c>
      <c r="AG344" s="101" t="str">
        <f t="shared" si="66"/>
        <v/>
      </c>
      <c r="AH344" s="190">
        <v>0</v>
      </c>
      <c r="AI344" s="69">
        <f t="shared" si="67"/>
        <v>7</v>
      </c>
    </row>
    <row r="345" spans="1:35" s="69" customFormat="1" ht="33" hidden="1" x14ac:dyDescent="0.3">
      <c r="A345" s="55" t="s">
        <v>914</v>
      </c>
      <c r="B345" s="211" t="s">
        <v>915</v>
      </c>
      <c r="C345" s="212" t="s">
        <v>325</v>
      </c>
      <c r="D345" s="213">
        <v>2</v>
      </c>
      <c r="E345" s="75"/>
      <c r="F345" s="75"/>
      <c r="G345" s="75"/>
      <c r="H345" s="75" t="s">
        <v>15</v>
      </c>
      <c r="I345" s="75">
        <v>113300</v>
      </c>
      <c r="J345" s="75">
        <v>226600</v>
      </c>
      <c r="K345" s="91" t="s">
        <v>916</v>
      </c>
      <c r="L345" s="73"/>
      <c r="M345" s="46">
        <v>0</v>
      </c>
      <c r="N345" s="46">
        <v>0</v>
      </c>
      <c r="O345" s="46">
        <v>0</v>
      </c>
      <c r="P345" s="98"/>
      <c r="Q345" s="23" t="s">
        <v>1433</v>
      </c>
      <c r="R345" s="24" t="s">
        <v>915</v>
      </c>
      <c r="S345" s="25" t="s">
        <v>325</v>
      </c>
      <c r="T345" s="26">
        <v>2</v>
      </c>
      <c r="U345" s="26">
        <v>2</v>
      </c>
      <c r="V345" s="26">
        <v>113300</v>
      </c>
      <c r="W345" s="26">
        <f t="shared" si="63"/>
        <v>0</v>
      </c>
      <c r="X345" s="26">
        <f t="shared" si="61"/>
        <v>0</v>
      </c>
      <c r="Y345" s="26">
        <f t="shared" si="64"/>
        <v>0</v>
      </c>
      <c r="Z345" s="26">
        <f t="shared" si="68"/>
        <v>0</v>
      </c>
      <c r="AA345" s="33" t="s">
        <v>15</v>
      </c>
      <c r="AB345" s="36" t="s">
        <v>16</v>
      </c>
      <c r="AC345" s="181">
        <f t="shared" si="65"/>
        <v>2</v>
      </c>
      <c r="AD345" s="181">
        <f t="shared" si="60"/>
        <v>226600</v>
      </c>
      <c r="AE345" s="181">
        <v>1.8</v>
      </c>
      <c r="AF345" s="181">
        <v>1.8</v>
      </c>
      <c r="AG345" s="101" t="str">
        <f t="shared" si="66"/>
        <v/>
      </c>
      <c r="AH345" s="190">
        <v>0</v>
      </c>
      <c r="AI345" s="69">
        <f t="shared" si="67"/>
        <v>2</v>
      </c>
    </row>
    <row r="346" spans="1:35" s="69" customFormat="1" ht="33" hidden="1" x14ac:dyDescent="0.3">
      <c r="A346" s="55" t="s">
        <v>917</v>
      </c>
      <c r="B346" s="53" t="s">
        <v>918</v>
      </c>
      <c r="C346" s="54" t="s">
        <v>325</v>
      </c>
      <c r="D346" s="75">
        <v>9</v>
      </c>
      <c r="E346" s="75"/>
      <c r="F346" s="75"/>
      <c r="G346" s="75"/>
      <c r="H346" s="75" t="s">
        <v>15</v>
      </c>
      <c r="I346" s="75">
        <v>100000</v>
      </c>
      <c r="J346" s="75">
        <v>900000</v>
      </c>
      <c r="K346" s="91" t="s">
        <v>919</v>
      </c>
      <c r="L346" s="73"/>
      <c r="M346" s="46">
        <v>0</v>
      </c>
      <c r="N346" s="46">
        <v>0</v>
      </c>
      <c r="O346" s="46">
        <v>0</v>
      </c>
      <c r="P346" s="98"/>
      <c r="Q346" s="23" t="s">
        <v>1382</v>
      </c>
      <c r="R346" s="24" t="s">
        <v>918</v>
      </c>
      <c r="S346" s="25" t="s">
        <v>325</v>
      </c>
      <c r="T346" s="26">
        <v>9</v>
      </c>
      <c r="U346" s="26">
        <v>9</v>
      </c>
      <c r="V346" s="26">
        <v>100000</v>
      </c>
      <c r="W346" s="128">
        <f t="shared" si="63"/>
        <v>1</v>
      </c>
      <c r="X346" s="26">
        <f t="shared" si="61"/>
        <v>1</v>
      </c>
      <c r="Y346" s="26">
        <f t="shared" si="64"/>
        <v>100000</v>
      </c>
      <c r="Z346" s="26">
        <f t="shared" si="68"/>
        <v>100000</v>
      </c>
      <c r="AA346" s="33" t="s">
        <v>15</v>
      </c>
      <c r="AB346" s="36" t="s">
        <v>16</v>
      </c>
      <c r="AC346" s="181">
        <f t="shared" si="65"/>
        <v>9</v>
      </c>
      <c r="AD346" s="181">
        <f t="shared" si="60"/>
        <v>900000</v>
      </c>
      <c r="AE346" s="181">
        <v>1.8</v>
      </c>
      <c r="AF346" s="181">
        <v>1.8</v>
      </c>
      <c r="AG346" s="101" t="str">
        <f t="shared" si="66"/>
        <v/>
      </c>
      <c r="AH346" s="191">
        <v>1</v>
      </c>
      <c r="AI346" s="69">
        <f t="shared" si="67"/>
        <v>9</v>
      </c>
    </row>
    <row r="347" spans="1:35" s="69" customFormat="1" ht="33" hidden="1" x14ac:dyDescent="0.3">
      <c r="A347" s="55" t="s">
        <v>920</v>
      </c>
      <c r="B347" s="53" t="s">
        <v>921</v>
      </c>
      <c r="C347" s="54" t="s">
        <v>81</v>
      </c>
      <c r="D347" s="75">
        <v>2</v>
      </c>
      <c r="E347" s="75"/>
      <c r="F347" s="75"/>
      <c r="G347" s="75"/>
      <c r="H347" s="75" t="s">
        <v>15</v>
      </c>
      <c r="I347" s="75">
        <v>15000</v>
      </c>
      <c r="J347" s="75">
        <v>30000</v>
      </c>
      <c r="K347" s="91" t="s">
        <v>922</v>
      </c>
      <c r="L347" s="73"/>
      <c r="M347" s="46">
        <v>0</v>
      </c>
      <c r="N347" s="46">
        <v>0</v>
      </c>
      <c r="O347" s="46">
        <v>0</v>
      </c>
      <c r="P347" s="98"/>
      <c r="Q347" s="23" t="s">
        <v>1434</v>
      </c>
      <c r="R347" s="24" t="s">
        <v>921</v>
      </c>
      <c r="S347" s="25" t="s">
        <v>81</v>
      </c>
      <c r="T347" s="26">
        <v>2</v>
      </c>
      <c r="U347" s="26">
        <v>2</v>
      </c>
      <c r="V347" s="26">
        <v>15000</v>
      </c>
      <c r="W347" s="128">
        <f t="shared" si="63"/>
        <v>1</v>
      </c>
      <c r="X347" s="26">
        <f t="shared" si="61"/>
        <v>1</v>
      </c>
      <c r="Y347" s="26">
        <f t="shared" si="64"/>
        <v>15000</v>
      </c>
      <c r="Z347" s="26">
        <f t="shared" si="68"/>
        <v>15000</v>
      </c>
      <c r="AA347" s="33" t="s">
        <v>15</v>
      </c>
      <c r="AB347" s="36" t="s">
        <v>16</v>
      </c>
      <c r="AC347" s="181">
        <f t="shared" si="65"/>
        <v>2</v>
      </c>
      <c r="AD347" s="181">
        <f t="shared" si="60"/>
        <v>30000</v>
      </c>
      <c r="AE347" s="181">
        <v>1.8</v>
      </c>
      <c r="AF347" s="181">
        <v>1.8</v>
      </c>
      <c r="AG347" s="101" t="str">
        <f t="shared" si="66"/>
        <v/>
      </c>
      <c r="AH347" s="191">
        <v>1</v>
      </c>
      <c r="AI347" s="69">
        <f t="shared" si="67"/>
        <v>2</v>
      </c>
    </row>
    <row r="348" spans="1:35" s="69" customFormat="1" ht="39" hidden="1" x14ac:dyDescent="0.3">
      <c r="A348" s="55" t="s">
        <v>923</v>
      </c>
      <c r="B348" s="53" t="s">
        <v>924</v>
      </c>
      <c r="C348" s="54" t="s">
        <v>925</v>
      </c>
      <c r="D348" s="75">
        <v>1</v>
      </c>
      <c r="E348" s="75"/>
      <c r="F348" s="75"/>
      <c r="G348" s="75"/>
      <c r="H348" s="75" t="s">
        <v>15</v>
      </c>
      <c r="I348" s="75">
        <v>15000</v>
      </c>
      <c r="J348" s="75">
        <v>15000</v>
      </c>
      <c r="K348" s="91" t="s">
        <v>926</v>
      </c>
      <c r="L348" s="73"/>
      <c r="M348" s="46">
        <v>0</v>
      </c>
      <c r="N348" s="46">
        <v>0</v>
      </c>
      <c r="O348" s="46">
        <v>0</v>
      </c>
      <c r="P348" s="98"/>
      <c r="Q348" s="23" t="s">
        <v>1388</v>
      </c>
      <c r="R348" s="24" t="s">
        <v>924</v>
      </c>
      <c r="S348" s="25" t="s">
        <v>925</v>
      </c>
      <c r="T348" s="26">
        <v>1</v>
      </c>
      <c r="U348" s="26">
        <v>1</v>
      </c>
      <c r="V348" s="26">
        <v>15000</v>
      </c>
      <c r="W348" s="26">
        <f t="shared" si="63"/>
        <v>0</v>
      </c>
      <c r="X348" s="26">
        <f t="shared" si="61"/>
        <v>0</v>
      </c>
      <c r="Y348" s="26">
        <f t="shared" si="64"/>
        <v>0</v>
      </c>
      <c r="Z348" s="26">
        <f t="shared" si="68"/>
        <v>0</v>
      </c>
      <c r="AA348" s="33" t="s">
        <v>15</v>
      </c>
      <c r="AB348" s="36" t="s">
        <v>16</v>
      </c>
      <c r="AC348" s="181">
        <f t="shared" si="65"/>
        <v>1</v>
      </c>
      <c r="AD348" s="181">
        <f t="shared" si="60"/>
        <v>15000</v>
      </c>
      <c r="AE348" s="181">
        <v>1.8</v>
      </c>
      <c r="AF348" s="181">
        <v>1.8</v>
      </c>
      <c r="AG348" s="101" t="str">
        <f t="shared" si="66"/>
        <v/>
      </c>
      <c r="AH348" s="190">
        <v>0</v>
      </c>
      <c r="AI348" s="69">
        <f t="shared" si="67"/>
        <v>1</v>
      </c>
    </row>
    <row r="349" spans="1:35" s="69" customFormat="1" ht="33" hidden="1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 t="s">
        <v>15</v>
      </c>
      <c r="I349" s="75">
        <v>1500</v>
      </c>
      <c r="J349" s="75">
        <v>1500</v>
      </c>
      <c r="K349" s="91" t="s">
        <v>929</v>
      </c>
      <c r="L349" s="73"/>
      <c r="M349" s="46">
        <v>0</v>
      </c>
      <c r="N349" s="46">
        <v>0</v>
      </c>
      <c r="O349" s="46">
        <v>0</v>
      </c>
      <c r="P349" s="98"/>
      <c r="Q349" s="23" t="s">
        <v>1389</v>
      </c>
      <c r="R349" s="24" t="s">
        <v>928</v>
      </c>
      <c r="S349" s="25" t="s">
        <v>325</v>
      </c>
      <c r="T349" s="26">
        <v>1</v>
      </c>
      <c r="U349" s="26">
        <v>1</v>
      </c>
      <c r="V349" s="26">
        <v>1500</v>
      </c>
      <c r="W349" s="26">
        <f t="shared" si="63"/>
        <v>0</v>
      </c>
      <c r="X349" s="26">
        <f t="shared" si="61"/>
        <v>0</v>
      </c>
      <c r="Y349" s="26">
        <f t="shared" si="64"/>
        <v>0</v>
      </c>
      <c r="Z349" s="26">
        <f t="shared" si="68"/>
        <v>0</v>
      </c>
      <c r="AA349" s="33" t="s">
        <v>15</v>
      </c>
      <c r="AB349" s="36" t="s">
        <v>16</v>
      </c>
      <c r="AC349" s="181">
        <f t="shared" si="65"/>
        <v>1</v>
      </c>
      <c r="AD349" s="181">
        <f t="shared" si="60"/>
        <v>1500</v>
      </c>
      <c r="AE349" s="181">
        <v>1.8</v>
      </c>
      <c r="AF349" s="181">
        <v>1.8</v>
      </c>
      <c r="AG349" s="101" t="str">
        <f t="shared" si="66"/>
        <v/>
      </c>
      <c r="AH349" s="190">
        <v>0</v>
      </c>
      <c r="AI349" s="69">
        <f t="shared" si="67"/>
        <v>1</v>
      </c>
    </row>
    <row r="350" spans="1:35" s="69" customFormat="1" ht="39" hidden="1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 t="s">
        <v>15</v>
      </c>
      <c r="I350" s="75">
        <v>2600</v>
      </c>
      <c r="J350" s="75">
        <v>7800</v>
      </c>
      <c r="K350" s="91" t="s">
        <v>933</v>
      </c>
      <c r="L350" s="73"/>
      <c r="M350" s="46">
        <v>0</v>
      </c>
      <c r="N350" s="46">
        <v>0</v>
      </c>
      <c r="O350" s="46">
        <v>0</v>
      </c>
      <c r="P350" s="98"/>
      <c r="Q350" s="23" t="s">
        <v>1390</v>
      </c>
      <c r="R350" s="24" t="s">
        <v>931</v>
      </c>
      <c r="S350" s="25" t="s">
        <v>932</v>
      </c>
      <c r="T350" s="26">
        <v>3</v>
      </c>
      <c r="U350" s="26">
        <v>3</v>
      </c>
      <c r="V350" s="26">
        <v>2600</v>
      </c>
      <c r="W350" s="26">
        <f t="shared" si="63"/>
        <v>0</v>
      </c>
      <c r="X350" s="26">
        <f t="shared" si="61"/>
        <v>0</v>
      </c>
      <c r="Y350" s="26">
        <f t="shared" si="64"/>
        <v>0</v>
      </c>
      <c r="Z350" s="26">
        <f t="shared" si="68"/>
        <v>0</v>
      </c>
      <c r="AA350" s="33" t="s">
        <v>15</v>
      </c>
      <c r="AB350" s="36" t="s">
        <v>16</v>
      </c>
      <c r="AC350" s="181">
        <f t="shared" si="65"/>
        <v>3</v>
      </c>
      <c r="AD350" s="181">
        <f t="shared" si="60"/>
        <v>7800</v>
      </c>
      <c r="AE350" s="181">
        <v>1.8</v>
      </c>
      <c r="AF350" s="181">
        <v>1.8</v>
      </c>
      <c r="AG350" s="101" t="str">
        <f t="shared" si="66"/>
        <v/>
      </c>
      <c r="AH350" s="190">
        <v>0</v>
      </c>
      <c r="AI350" s="69">
        <f t="shared" si="67"/>
        <v>3</v>
      </c>
    </row>
    <row r="351" spans="1:35" s="69" customFormat="1" ht="39" hidden="1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 t="s">
        <v>15</v>
      </c>
      <c r="I351" s="75">
        <v>4460</v>
      </c>
      <c r="J351" s="75">
        <v>169480</v>
      </c>
      <c r="K351" s="91" t="s">
        <v>936</v>
      </c>
      <c r="L351" s="73"/>
      <c r="M351" s="46">
        <v>0</v>
      </c>
      <c r="N351" s="46">
        <v>0</v>
      </c>
      <c r="O351" s="46">
        <v>0</v>
      </c>
      <c r="P351" s="98"/>
      <c r="Q351" s="23" t="s">
        <v>1391</v>
      </c>
      <c r="R351" s="24" t="s">
        <v>935</v>
      </c>
      <c r="S351" s="25" t="s">
        <v>932</v>
      </c>
      <c r="T351" s="26">
        <v>38</v>
      </c>
      <c r="U351" s="26">
        <v>38</v>
      </c>
      <c r="V351" s="26">
        <v>4460</v>
      </c>
      <c r="W351" s="26">
        <f t="shared" si="63"/>
        <v>0</v>
      </c>
      <c r="X351" s="26">
        <f t="shared" si="61"/>
        <v>0</v>
      </c>
      <c r="Y351" s="26">
        <f t="shared" si="64"/>
        <v>0</v>
      </c>
      <c r="Z351" s="26">
        <f t="shared" si="68"/>
        <v>0</v>
      </c>
      <c r="AA351" s="33" t="s">
        <v>15</v>
      </c>
      <c r="AB351" s="36" t="s">
        <v>16</v>
      </c>
      <c r="AC351" s="181">
        <f t="shared" si="65"/>
        <v>38</v>
      </c>
      <c r="AD351" s="181">
        <f t="shared" si="60"/>
        <v>169480</v>
      </c>
      <c r="AE351" s="181">
        <v>1.8</v>
      </c>
      <c r="AF351" s="181">
        <v>1.8</v>
      </c>
      <c r="AG351" s="101" t="str">
        <f t="shared" si="66"/>
        <v/>
      </c>
      <c r="AH351" s="190">
        <v>0</v>
      </c>
      <c r="AI351" s="69">
        <f t="shared" si="67"/>
        <v>38</v>
      </c>
    </row>
    <row r="352" spans="1:35" s="69" customFormat="1" ht="39" hidden="1" x14ac:dyDescent="0.3">
      <c r="A352" s="55" t="s">
        <v>937</v>
      </c>
      <c r="B352" s="118" t="s">
        <v>938</v>
      </c>
      <c r="C352" s="119" t="s">
        <v>30</v>
      </c>
      <c r="D352" s="120">
        <v>1352</v>
      </c>
      <c r="E352" s="75"/>
      <c r="F352" s="75"/>
      <c r="G352" s="75"/>
      <c r="H352" s="75" t="s">
        <v>15</v>
      </c>
      <c r="I352" s="75">
        <v>30.59</v>
      </c>
      <c r="J352" s="75">
        <v>41357.68</v>
      </c>
      <c r="K352" s="91" t="s">
        <v>939</v>
      </c>
      <c r="L352" s="73"/>
      <c r="M352" s="46">
        <v>0</v>
      </c>
      <c r="N352" s="46">
        <v>0</v>
      </c>
      <c r="O352" s="46">
        <v>0</v>
      </c>
      <c r="P352" s="98"/>
      <c r="Q352" s="23" t="s">
        <v>1436</v>
      </c>
      <c r="R352" s="24" t="s">
        <v>938</v>
      </c>
      <c r="S352" s="25" t="s">
        <v>30</v>
      </c>
      <c r="T352" s="26">
        <v>1352</v>
      </c>
      <c r="U352" s="26">
        <v>1352</v>
      </c>
      <c r="V352" s="26">
        <v>30.59</v>
      </c>
      <c r="W352" s="26">
        <f t="shared" si="63"/>
        <v>0</v>
      </c>
      <c r="X352" s="26">
        <f t="shared" si="61"/>
        <v>0</v>
      </c>
      <c r="Y352" s="26">
        <f t="shared" si="64"/>
        <v>0</v>
      </c>
      <c r="Z352" s="26">
        <f t="shared" si="68"/>
        <v>0</v>
      </c>
      <c r="AA352" s="33" t="s">
        <v>15</v>
      </c>
      <c r="AB352" s="36" t="s">
        <v>16</v>
      </c>
      <c r="AC352" s="181">
        <f t="shared" si="65"/>
        <v>1352</v>
      </c>
      <c r="AD352" s="181">
        <f t="shared" si="60"/>
        <v>41357.68</v>
      </c>
      <c r="AE352" s="181">
        <v>1.8</v>
      </c>
      <c r="AF352" s="181">
        <v>1.8</v>
      </c>
      <c r="AG352" s="101" t="str">
        <f t="shared" si="66"/>
        <v/>
      </c>
      <c r="AH352" s="190">
        <v>0</v>
      </c>
      <c r="AI352" s="69">
        <f t="shared" si="67"/>
        <v>1352</v>
      </c>
    </row>
    <row r="353" spans="1:35" s="69" customFormat="1" ht="58.5" hidden="1" x14ac:dyDescent="0.3">
      <c r="A353" s="55" t="s">
        <v>940</v>
      </c>
      <c r="B353" s="118" t="s">
        <v>941</v>
      </c>
      <c r="C353" s="119" t="s">
        <v>30</v>
      </c>
      <c r="D353" s="120">
        <v>300</v>
      </c>
      <c r="E353" s="75"/>
      <c r="F353" s="75"/>
      <c r="G353" s="75"/>
      <c r="H353" s="75" t="s">
        <v>15</v>
      </c>
      <c r="I353" s="75">
        <v>972.45</v>
      </c>
      <c r="J353" s="75">
        <v>291735</v>
      </c>
      <c r="K353" s="91" t="s">
        <v>942</v>
      </c>
      <c r="L353" s="73"/>
      <c r="M353" s="46">
        <v>0</v>
      </c>
      <c r="N353" s="46">
        <v>0</v>
      </c>
      <c r="O353" s="46">
        <v>0</v>
      </c>
      <c r="P353" s="98"/>
      <c r="Q353" s="23" t="s">
        <v>1374</v>
      </c>
      <c r="R353" s="24" t="s">
        <v>941</v>
      </c>
      <c r="S353" s="25" t="s">
        <v>30</v>
      </c>
      <c r="T353" s="26">
        <v>300</v>
      </c>
      <c r="U353" s="26">
        <v>300</v>
      </c>
      <c r="V353" s="26">
        <v>972.45</v>
      </c>
      <c r="W353" s="26">
        <f t="shared" si="63"/>
        <v>0</v>
      </c>
      <c r="X353" s="26">
        <f t="shared" si="61"/>
        <v>0</v>
      </c>
      <c r="Y353" s="26">
        <f t="shared" si="64"/>
        <v>0</v>
      </c>
      <c r="Z353" s="26">
        <f t="shared" si="68"/>
        <v>0</v>
      </c>
      <c r="AA353" s="33" t="s">
        <v>15</v>
      </c>
      <c r="AB353" s="36" t="s">
        <v>16</v>
      </c>
      <c r="AC353" s="181">
        <f t="shared" si="65"/>
        <v>300</v>
      </c>
      <c r="AD353" s="181">
        <f t="shared" si="60"/>
        <v>291735</v>
      </c>
      <c r="AE353" s="181">
        <v>1.8</v>
      </c>
      <c r="AF353" s="181">
        <v>1.8</v>
      </c>
      <c r="AG353" s="101" t="str">
        <f t="shared" si="66"/>
        <v/>
      </c>
      <c r="AH353" s="190">
        <v>0</v>
      </c>
      <c r="AI353" s="69">
        <f t="shared" si="67"/>
        <v>300</v>
      </c>
    </row>
    <row r="354" spans="1:35" s="69" customFormat="1" ht="58.5" hidden="1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 t="s">
        <v>15</v>
      </c>
      <c r="I354" s="75">
        <v>628.34</v>
      </c>
      <c r="J354" s="75">
        <v>158341.68</v>
      </c>
      <c r="K354" s="91" t="s">
        <v>945</v>
      </c>
      <c r="L354" s="73"/>
      <c r="M354" s="46">
        <v>0</v>
      </c>
      <c r="N354" s="46">
        <v>0</v>
      </c>
      <c r="O354" s="46">
        <v>0</v>
      </c>
      <c r="P354" s="98"/>
      <c r="Q354" s="23" t="s">
        <v>1376</v>
      </c>
      <c r="R354" s="24" t="s">
        <v>944</v>
      </c>
      <c r="S354" s="25" t="s">
        <v>30</v>
      </c>
      <c r="T354" s="26">
        <v>252</v>
      </c>
      <c r="U354" s="26">
        <v>252</v>
      </c>
      <c r="V354" s="26">
        <v>628.34</v>
      </c>
      <c r="W354" s="26">
        <f t="shared" si="63"/>
        <v>0</v>
      </c>
      <c r="X354" s="26">
        <f t="shared" si="61"/>
        <v>0</v>
      </c>
      <c r="Y354" s="26">
        <f t="shared" si="64"/>
        <v>0</v>
      </c>
      <c r="Z354" s="26">
        <f t="shared" si="68"/>
        <v>0</v>
      </c>
      <c r="AA354" s="33" t="s">
        <v>15</v>
      </c>
      <c r="AB354" s="36" t="s">
        <v>16</v>
      </c>
      <c r="AC354" s="181">
        <f t="shared" si="65"/>
        <v>252</v>
      </c>
      <c r="AD354" s="181">
        <f t="shared" si="60"/>
        <v>158341.68</v>
      </c>
      <c r="AE354" s="181">
        <v>1.8</v>
      </c>
      <c r="AF354" s="181">
        <v>1.8</v>
      </c>
      <c r="AG354" s="101" t="str">
        <f t="shared" si="66"/>
        <v/>
      </c>
      <c r="AH354" s="190">
        <v>0</v>
      </c>
      <c r="AI354" s="69">
        <f t="shared" si="67"/>
        <v>252</v>
      </c>
    </row>
    <row r="355" spans="1:35" s="69" customFormat="1" ht="58.5" hidden="1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 t="s">
        <v>15</v>
      </c>
      <c r="I355" s="75">
        <v>497.09</v>
      </c>
      <c r="J355" s="75">
        <v>17895.240000000002</v>
      </c>
      <c r="K355" s="91" t="s">
        <v>948</v>
      </c>
      <c r="L355" s="73"/>
      <c r="M355" s="46">
        <v>0</v>
      </c>
      <c r="N355" s="46">
        <v>0</v>
      </c>
      <c r="O355" s="46">
        <v>0</v>
      </c>
      <c r="P355" s="98"/>
      <c r="Q355" s="23" t="s">
        <v>1378</v>
      </c>
      <c r="R355" s="24" t="s">
        <v>947</v>
      </c>
      <c r="S355" s="25" t="s">
        <v>30</v>
      </c>
      <c r="T355" s="26">
        <v>36</v>
      </c>
      <c r="U355" s="26">
        <v>36</v>
      </c>
      <c r="V355" s="26">
        <v>497.09</v>
      </c>
      <c r="W355" s="26">
        <f t="shared" si="63"/>
        <v>0</v>
      </c>
      <c r="X355" s="26">
        <f t="shared" si="61"/>
        <v>0</v>
      </c>
      <c r="Y355" s="26">
        <f t="shared" si="64"/>
        <v>0</v>
      </c>
      <c r="Z355" s="26">
        <f t="shared" si="68"/>
        <v>0</v>
      </c>
      <c r="AA355" s="33" t="s">
        <v>15</v>
      </c>
      <c r="AB355" s="36" t="s">
        <v>16</v>
      </c>
      <c r="AC355" s="181">
        <f t="shared" si="65"/>
        <v>36</v>
      </c>
      <c r="AD355" s="181">
        <f t="shared" si="60"/>
        <v>17895.240000000002</v>
      </c>
      <c r="AE355" s="181">
        <v>1.8</v>
      </c>
      <c r="AF355" s="181">
        <v>1.8</v>
      </c>
      <c r="AG355" s="101" t="str">
        <f t="shared" si="66"/>
        <v/>
      </c>
      <c r="AH355" s="190">
        <v>0</v>
      </c>
      <c r="AI355" s="69">
        <f t="shared" si="67"/>
        <v>36</v>
      </c>
    </row>
    <row r="356" spans="1:35" s="69" customFormat="1" ht="58.5" hidden="1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 t="s">
        <v>15</v>
      </c>
      <c r="I356" s="75">
        <v>270.2</v>
      </c>
      <c r="J356" s="75">
        <v>42961.8</v>
      </c>
      <c r="K356" s="91" t="s">
        <v>951</v>
      </c>
      <c r="L356" s="73"/>
      <c r="M356" s="46">
        <v>0</v>
      </c>
      <c r="N356" s="46">
        <v>0</v>
      </c>
      <c r="O356" s="46">
        <v>0</v>
      </c>
      <c r="P356" s="98"/>
      <c r="Q356" s="23" t="s">
        <v>1438</v>
      </c>
      <c r="R356" s="24" t="s">
        <v>950</v>
      </c>
      <c r="S356" s="25" t="s">
        <v>30</v>
      </c>
      <c r="T356" s="26">
        <v>159</v>
      </c>
      <c r="U356" s="26">
        <v>159</v>
      </c>
      <c r="V356" s="26">
        <v>270.2</v>
      </c>
      <c r="W356" s="26">
        <f t="shared" si="63"/>
        <v>0</v>
      </c>
      <c r="X356" s="26">
        <f t="shared" si="61"/>
        <v>0</v>
      </c>
      <c r="Y356" s="26">
        <f t="shared" si="64"/>
        <v>0</v>
      </c>
      <c r="Z356" s="26">
        <f t="shared" si="68"/>
        <v>0</v>
      </c>
      <c r="AA356" s="33" t="s">
        <v>15</v>
      </c>
      <c r="AB356" s="36" t="s">
        <v>16</v>
      </c>
      <c r="AC356" s="181">
        <f t="shared" si="65"/>
        <v>159</v>
      </c>
      <c r="AD356" s="181">
        <f t="shared" si="60"/>
        <v>42961.8</v>
      </c>
      <c r="AE356" s="181">
        <v>1.8</v>
      </c>
      <c r="AF356" s="181">
        <v>1.8</v>
      </c>
      <c r="AG356" s="101" t="str">
        <f t="shared" si="66"/>
        <v/>
      </c>
      <c r="AH356" s="190">
        <v>0</v>
      </c>
      <c r="AI356" s="69">
        <f t="shared" si="67"/>
        <v>159</v>
      </c>
    </row>
    <row r="357" spans="1:35" s="69" customFormat="1" ht="58.5" hidden="1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 t="s">
        <v>15</v>
      </c>
      <c r="I357" s="75">
        <v>152.94</v>
      </c>
      <c r="J357" s="75">
        <v>183375.06</v>
      </c>
      <c r="K357" s="91" t="s">
        <v>954</v>
      </c>
      <c r="L357" s="73"/>
      <c r="M357" s="46">
        <v>0</v>
      </c>
      <c r="N357" s="46">
        <v>0</v>
      </c>
      <c r="O357" s="46">
        <v>0</v>
      </c>
      <c r="P357" s="98"/>
      <c r="Q357" s="23" t="s">
        <v>1439</v>
      </c>
      <c r="R357" s="24" t="s">
        <v>953</v>
      </c>
      <c r="S357" s="25" t="s">
        <v>30</v>
      </c>
      <c r="T357" s="26">
        <v>1199</v>
      </c>
      <c r="U357" s="26">
        <v>1199</v>
      </c>
      <c r="V357" s="26">
        <v>152.94</v>
      </c>
      <c r="W357" s="26">
        <f t="shared" si="63"/>
        <v>0</v>
      </c>
      <c r="X357" s="26">
        <f t="shared" si="61"/>
        <v>0</v>
      </c>
      <c r="Y357" s="26">
        <f t="shared" si="64"/>
        <v>0</v>
      </c>
      <c r="Z357" s="26">
        <f t="shared" si="68"/>
        <v>0</v>
      </c>
      <c r="AA357" s="33" t="s">
        <v>15</v>
      </c>
      <c r="AB357" s="36" t="s">
        <v>16</v>
      </c>
      <c r="AC357" s="181">
        <f t="shared" si="65"/>
        <v>1199</v>
      </c>
      <c r="AD357" s="181">
        <f t="shared" si="60"/>
        <v>183375.06</v>
      </c>
      <c r="AE357" s="181">
        <v>1.8</v>
      </c>
      <c r="AF357" s="181">
        <v>1.8</v>
      </c>
      <c r="AG357" s="101" t="str">
        <f t="shared" si="66"/>
        <v/>
      </c>
      <c r="AH357" s="190">
        <v>0</v>
      </c>
      <c r="AI357" s="69">
        <f t="shared" si="67"/>
        <v>1199</v>
      </c>
    </row>
    <row r="358" spans="1:35" s="69" customFormat="1" ht="33" hidden="1" x14ac:dyDescent="0.3">
      <c r="A358" s="55" t="s">
        <v>955</v>
      </c>
      <c r="B358" s="138" t="s">
        <v>956</v>
      </c>
      <c r="C358" s="54" t="s">
        <v>30</v>
      </c>
      <c r="D358" s="75">
        <v>144</v>
      </c>
      <c r="E358" s="75"/>
      <c r="F358" s="75"/>
      <c r="G358" s="75"/>
      <c r="H358" s="75" t="s">
        <v>15</v>
      </c>
      <c r="I358" s="75">
        <v>228.14</v>
      </c>
      <c r="J358" s="75">
        <v>32852.160000000003</v>
      </c>
      <c r="K358" s="91" t="s">
        <v>957</v>
      </c>
      <c r="L358" s="73"/>
      <c r="M358" s="46">
        <v>0</v>
      </c>
      <c r="N358" s="46">
        <v>0</v>
      </c>
      <c r="O358" s="46">
        <v>0</v>
      </c>
      <c r="P358" s="98"/>
      <c r="Q358" s="23" t="s">
        <v>1440</v>
      </c>
      <c r="R358" s="24" t="s">
        <v>956</v>
      </c>
      <c r="S358" s="25" t="s">
        <v>30</v>
      </c>
      <c r="T358" s="26">
        <v>144</v>
      </c>
      <c r="U358" s="26">
        <v>144</v>
      </c>
      <c r="V358" s="26">
        <v>228.14</v>
      </c>
      <c r="W358" s="26">
        <f t="shared" si="63"/>
        <v>0</v>
      </c>
      <c r="X358" s="26">
        <f t="shared" si="61"/>
        <v>0</v>
      </c>
      <c r="Y358" s="26">
        <f t="shared" si="64"/>
        <v>0</v>
      </c>
      <c r="Z358" s="26">
        <f t="shared" si="68"/>
        <v>0</v>
      </c>
      <c r="AA358" s="33" t="s">
        <v>15</v>
      </c>
      <c r="AB358" s="36" t="s">
        <v>16</v>
      </c>
      <c r="AC358" s="181">
        <f t="shared" si="65"/>
        <v>144</v>
      </c>
      <c r="AD358" s="181">
        <f t="shared" si="60"/>
        <v>32852.160000000003</v>
      </c>
      <c r="AE358" s="181">
        <v>1.8</v>
      </c>
      <c r="AF358" s="181">
        <v>1.8</v>
      </c>
      <c r="AG358" s="101" t="str">
        <f t="shared" si="66"/>
        <v/>
      </c>
      <c r="AH358" s="190">
        <v>0</v>
      </c>
      <c r="AI358" s="69">
        <f t="shared" si="67"/>
        <v>144</v>
      </c>
    </row>
    <row r="359" spans="1:35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 t="s">
        <v>15</v>
      </c>
      <c r="I359" s="75">
        <v>90448.13</v>
      </c>
      <c r="J359" s="75">
        <v>90448.13</v>
      </c>
      <c r="K359" s="91" t="s">
        <v>960</v>
      </c>
      <c r="L359" s="73"/>
      <c r="M359" s="46">
        <v>0</v>
      </c>
      <c r="N359" s="46">
        <v>0</v>
      </c>
      <c r="O359" s="46">
        <v>0</v>
      </c>
      <c r="P359" s="98"/>
      <c r="Q359" s="23" t="s">
        <v>1441</v>
      </c>
      <c r="R359" s="24" t="s">
        <v>959</v>
      </c>
      <c r="S359" s="25" t="s">
        <v>14</v>
      </c>
      <c r="T359" s="26">
        <v>1</v>
      </c>
      <c r="U359" s="26">
        <v>1</v>
      </c>
      <c r="V359" s="26">
        <v>90448.13</v>
      </c>
      <c r="W359" s="26">
        <f t="shared" si="63"/>
        <v>0</v>
      </c>
      <c r="X359" s="26">
        <f t="shared" si="61"/>
        <v>0</v>
      </c>
      <c r="Y359" s="26">
        <f t="shared" si="64"/>
        <v>0</v>
      </c>
      <c r="Z359" s="26">
        <f t="shared" si="68"/>
        <v>0</v>
      </c>
      <c r="AA359" s="33" t="s">
        <v>15</v>
      </c>
      <c r="AB359" s="36" t="s">
        <v>16</v>
      </c>
      <c r="AC359" s="181">
        <f t="shared" si="65"/>
        <v>1</v>
      </c>
      <c r="AD359" s="181">
        <f t="shared" si="60"/>
        <v>90448.13</v>
      </c>
      <c r="AE359" s="181">
        <v>1.8</v>
      </c>
      <c r="AF359" s="181">
        <v>1.8</v>
      </c>
      <c r="AG359" s="101" t="str">
        <f t="shared" si="66"/>
        <v/>
      </c>
      <c r="AH359" s="190">
        <v>0</v>
      </c>
      <c r="AI359" s="69">
        <f t="shared" si="67"/>
        <v>1</v>
      </c>
    </row>
    <row r="360" spans="1:35" s="69" customFormat="1" ht="49.5" hidden="1" x14ac:dyDescent="0.3">
      <c r="A360" s="55" t="s">
        <v>961</v>
      </c>
      <c r="B360" s="138" t="s">
        <v>962</v>
      </c>
      <c r="C360" s="54" t="s">
        <v>30</v>
      </c>
      <c r="D360" s="75">
        <v>2702</v>
      </c>
      <c r="E360" s="75"/>
      <c r="F360" s="75"/>
      <c r="G360" s="75"/>
      <c r="H360" s="75" t="s">
        <v>15</v>
      </c>
      <c r="I360" s="75">
        <v>81.569999999999993</v>
      </c>
      <c r="J360" s="75">
        <v>220402.14</v>
      </c>
      <c r="K360" s="91" t="s">
        <v>963</v>
      </c>
      <c r="L360" s="73"/>
      <c r="M360" s="46">
        <v>0</v>
      </c>
      <c r="N360" s="46">
        <v>0</v>
      </c>
      <c r="O360" s="46">
        <v>0</v>
      </c>
      <c r="P360" s="98"/>
      <c r="Q360" s="23" t="s">
        <v>1442</v>
      </c>
      <c r="R360" s="24" t="s">
        <v>962</v>
      </c>
      <c r="S360" s="25" t="s">
        <v>30</v>
      </c>
      <c r="T360" s="26">
        <v>2702</v>
      </c>
      <c r="U360" s="26">
        <v>2702</v>
      </c>
      <c r="V360" s="26">
        <v>81.569999999999993</v>
      </c>
      <c r="W360" s="26">
        <f t="shared" si="63"/>
        <v>0</v>
      </c>
      <c r="X360" s="26">
        <f t="shared" si="61"/>
        <v>0</v>
      </c>
      <c r="Y360" s="26">
        <f t="shared" si="64"/>
        <v>0</v>
      </c>
      <c r="Z360" s="26">
        <f t="shared" si="68"/>
        <v>0</v>
      </c>
      <c r="AA360" s="33" t="s">
        <v>15</v>
      </c>
      <c r="AB360" s="36" t="s">
        <v>16</v>
      </c>
      <c r="AC360" s="181">
        <f t="shared" si="65"/>
        <v>2702</v>
      </c>
      <c r="AD360" s="181">
        <f t="shared" si="60"/>
        <v>220402.14</v>
      </c>
      <c r="AE360" s="181">
        <v>1.8</v>
      </c>
      <c r="AF360" s="181">
        <v>1.8</v>
      </c>
      <c r="AG360" s="101" t="str">
        <f t="shared" si="66"/>
        <v/>
      </c>
      <c r="AH360" s="190">
        <v>0</v>
      </c>
      <c r="AI360" s="69">
        <f t="shared" si="67"/>
        <v>2702</v>
      </c>
    </row>
    <row r="361" spans="1:35" s="69" customFormat="1" ht="39" x14ac:dyDescent="0.3">
      <c r="A361" s="55" t="s">
        <v>964</v>
      </c>
      <c r="B361" s="53" t="s">
        <v>965</v>
      </c>
      <c r="C361" s="54" t="s">
        <v>14</v>
      </c>
      <c r="D361" s="75">
        <v>1</v>
      </c>
      <c r="E361" s="75"/>
      <c r="F361" s="75"/>
      <c r="G361" s="75"/>
      <c r="H361" s="75" t="s">
        <v>15</v>
      </c>
      <c r="I361" s="75">
        <v>25939</v>
      </c>
      <c r="J361" s="75">
        <v>25939</v>
      </c>
      <c r="K361" s="91" t="s">
        <v>966</v>
      </c>
      <c r="L361" s="73"/>
      <c r="M361" s="46">
        <v>0</v>
      </c>
      <c r="N361" s="46">
        <v>0</v>
      </c>
      <c r="O361" s="46">
        <v>0</v>
      </c>
      <c r="P361" s="98"/>
      <c r="Q361" s="23" t="s">
        <v>1443</v>
      </c>
      <c r="R361" s="24" t="s">
        <v>965</v>
      </c>
      <c r="S361" s="25" t="s">
        <v>14</v>
      </c>
      <c r="T361" s="26">
        <v>1</v>
      </c>
      <c r="U361" s="26">
        <v>1</v>
      </c>
      <c r="V361" s="26">
        <v>25939</v>
      </c>
      <c r="W361" s="26">
        <f t="shared" si="63"/>
        <v>0</v>
      </c>
      <c r="X361" s="26">
        <f t="shared" si="61"/>
        <v>0</v>
      </c>
      <c r="Y361" s="26">
        <f t="shared" si="64"/>
        <v>0</v>
      </c>
      <c r="Z361" s="26">
        <f t="shared" si="68"/>
        <v>0</v>
      </c>
      <c r="AA361" s="33" t="s">
        <v>15</v>
      </c>
      <c r="AB361" s="36" t="s">
        <v>16</v>
      </c>
      <c r="AC361" s="181">
        <f t="shared" si="65"/>
        <v>1</v>
      </c>
      <c r="AD361" s="181">
        <f t="shared" si="60"/>
        <v>25939</v>
      </c>
      <c r="AE361" s="181">
        <v>1.8</v>
      </c>
      <c r="AF361" s="181">
        <v>1.8</v>
      </c>
      <c r="AG361" s="101" t="str">
        <f t="shared" si="66"/>
        <v/>
      </c>
      <c r="AH361" s="190">
        <v>0</v>
      </c>
      <c r="AI361" s="69">
        <f t="shared" si="67"/>
        <v>1</v>
      </c>
    </row>
    <row r="362" spans="1:35" s="69" customFormat="1" ht="58.5" hidden="1" x14ac:dyDescent="0.3">
      <c r="A362" s="55" t="s">
        <v>967</v>
      </c>
      <c r="B362" s="53" t="s">
        <v>968</v>
      </c>
      <c r="C362" s="54" t="s">
        <v>30</v>
      </c>
      <c r="D362" s="75">
        <v>1272</v>
      </c>
      <c r="E362" s="75"/>
      <c r="F362" s="75"/>
      <c r="G362" s="75"/>
      <c r="H362" s="75" t="s">
        <v>15</v>
      </c>
      <c r="I362" s="75">
        <v>36.96</v>
      </c>
      <c r="J362" s="75">
        <v>47013.120000000003</v>
      </c>
      <c r="K362" s="91" t="s">
        <v>969</v>
      </c>
      <c r="L362" s="73"/>
      <c r="M362" s="46">
        <v>0</v>
      </c>
      <c r="N362" s="46">
        <v>0</v>
      </c>
      <c r="O362" s="46">
        <v>0</v>
      </c>
      <c r="P362" s="98"/>
      <c r="Q362" s="23" t="s">
        <v>1444</v>
      </c>
      <c r="R362" s="24" t="s">
        <v>968</v>
      </c>
      <c r="S362" s="25" t="s">
        <v>30</v>
      </c>
      <c r="T362" s="26">
        <v>1272</v>
      </c>
      <c r="U362" s="26">
        <v>1272</v>
      </c>
      <c r="V362" s="26">
        <v>36.96</v>
      </c>
      <c r="W362" s="26">
        <f t="shared" si="63"/>
        <v>0</v>
      </c>
      <c r="X362" s="26">
        <f t="shared" si="61"/>
        <v>0</v>
      </c>
      <c r="Y362" s="26">
        <f t="shared" si="64"/>
        <v>0</v>
      </c>
      <c r="Z362" s="26">
        <f t="shared" si="68"/>
        <v>0</v>
      </c>
      <c r="AA362" s="33" t="s">
        <v>15</v>
      </c>
      <c r="AB362" s="36" t="s">
        <v>16</v>
      </c>
      <c r="AC362" s="181">
        <f t="shared" si="65"/>
        <v>1272</v>
      </c>
      <c r="AD362" s="181">
        <f t="shared" si="60"/>
        <v>47013.120000000003</v>
      </c>
      <c r="AE362" s="181">
        <v>1.8</v>
      </c>
      <c r="AF362" s="181">
        <v>1.8</v>
      </c>
      <c r="AG362" s="101" t="str">
        <f t="shared" si="66"/>
        <v/>
      </c>
      <c r="AH362" s="190">
        <v>0</v>
      </c>
      <c r="AI362" s="69">
        <f t="shared" si="67"/>
        <v>1272</v>
      </c>
    </row>
    <row r="363" spans="1:35" s="69" customFormat="1" ht="58.5" hidden="1" x14ac:dyDescent="0.3">
      <c r="A363" s="55" t="s">
        <v>970</v>
      </c>
      <c r="B363" s="53" t="s">
        <v>971</v>
      </c>
      <c r="C363" s="54" t="s">
        <v>30</v>
      </c>
      <c r="D363" s="75">
        <v>1470</v>
      </c>
      <c r="E363" s="75"/>
      <c r="F363" s="75"/>
      <c r="G363" s="75"/>
      <c r="H363" s="75" t="s">
        <v>15</v>
      </c>
      <c r="I363" s="75">
        <v>62.45</v>
      </c>
      <c r="J363" s="75">
        <v>91801.5</v>
      </c>
      <c r="K363" s="91" t="s">
        <v>972</v>
      </c>
      <c r="L363" s="73"/>
      <c r="M363" s="46">
        <v>0</v>
      </c>
      <c r="N363" s="46">
        <v>0</v>
      </c>
      <c r="O363" s="46">
        <v>0</v>
      </c>
      <c r="P363" s="98"/>
      <c r="Q363" s="23" t="s">
        <v>1408</v>
      </c>
      <c r="R363" s="24" t="s">
        <v>971</v>
      </c>
      <c r="S363" s="25" t="s">
        <v>30</v>
      </c>
      <c r="T363" s="26">
        <v>1470</v>
      </c>
      <c r="U363" s="26">
        <v>1470</v>
      </c>
      <c r="V363" s="26">
        <v>62.45</v>
      </c>
      <c r="W363" s="26">
        <f t="shared" si="63"/>
        <v>0</v>
      </c>
      <c r="X363" s="26">
        <f t="shared" si="61"/>
        <v>0</v>
      </c>
      <c r="Y363" s="26">
        <f t="shared" si="64"/>
        <v>0</v>
      </c>
      <c r="Z363" s="26">
        <f t="shared" si="68"/>
        <v>0</v>
      </c>
      <c r="AA363" s="33" t="s">
        <v>15</v>
      </c>
      <c r="AB363" s="36" t="s">
        <v>16</v>
      </c>
      <c r="AC363" s="181">
        <f t="shared" si="65"/>
        <v>1470</v>
      </c>
      <c r="AD363" s="181">
        <f t="shared" si="60"/>
        <v>91801.5</v>
      </c>
      <c r="AE363" s="181">
        <v>1.8</v>
      </c>
      <c r="AF363" s="181">
        <v>1.8</v>
      </c>
      <c r="AG363" s="101" t="str">
        <f t="shared" si="66"/>
        <v/>
      </c>
      <c r="AH363" s="190">
        <v>0</v>
      </c>
      <c r="AI363" s="69">
        <f t="shared" si="67"/>
        <v>1470</v>
      </c>
    </row>
    <row r="364" spans="1:35" s="69" customFormat="1" ht="58.5" hidden="1" x14ac:dyDescent="0.3">
      <c r="A364" s="55" t="s">
        <v>973</v>
      </c>
      <c r="B364" s="53" t="s">
        <v>974</v>
      </c>
      <c r="C364" s="54" t="s">
        <v>30</v>
      </c>
      <c r="D364" s="75">
        <v>407</v>
      </c>
      <c r="E364" s="75"/>
      <c r="F364" s="75"/>
      <c r="G364" s="75"/>
      <c r="H364" s="75" t="s">
        <v>15</v>
      </c>
      <c r="I364" s="75">
        <v>90.49</v>
      </c>
      <c r="J364" s="75">
        <v>36829.43</v>
      </c>
      <c r="K364" s="91" t="s">
        <v>975</v>
      </c>
      <c r="L364" s="73"/>
      <c r="M364" s="46">
        <v>0</v>
      </c>
      <c r="N364" s="46">
        <v>0</v>
      </c>
      <c r="O364" s="46">
        <v>0</v>
      </c>
      <c r="P364" s="98"/>
      <c r="Q364" s="23" t="s">
        <v>1409</v>
      </c>
      <c r="R364" s="24" t="s">
        <v>974</v>
      </c>
      <c r="S364" s="25" t="s">
        <v>30</v>
      </c>
      <c r="T364" s="26">
        <v>407</v>
      </c>
      <c r="U364" s="26">
        <v>407</v>
      </c>
      <c r="V364" s="26">
        <v>90.49</v>
      </c>
      <c r="W364" s="26">
        <f t="shared" si="63"/>
        <v>0</v>
      </c>
      <c r="X364" s="26">
        <f t="shared" si="61"/>
        <v>0</v>
      </c>
      <c r="Y364" s="26">
        <f t="shared" si="64"/>
        <v>0</v>
      </c>
      <c r="Z364" s="26">
        <f t="shared" si="68"/>
        <v>0</v>
      </c>
      <c r="AA364" s="33" t="s">
        <v>15</v>
      </c>
      <c r="AB364" s="36" t="s">
        <v>16</v>
      </c>
      <c r="AC364" s="181">
        <f t="shared" si="65"/>
        <v>407</v>
      </c>
      <c r="AD364" s="181">
        <f t="shared" si="60"/>
        <v>36829.43</v>
      </c>
      <c r="AE364" s="181">
        <v>1.8</v>
      </c>
      <c r="AF364" s="181">
        <v>1.8</v>
      </c>
      <c r="AG364" s="101" t="str">
        <f t="shared" si="66"/>
        <v/>
      </c>
      <c r="AH364" s="190">
        <v>0</v>
      </c>
      <c r="AI364" s="69">
        <f t="shared" si="67"/>
        <v>407</v>
      </c>
    </row>
    <row r="365" spans="1:35" s="69" customFormat="1" ht="58.5" hidden="1" x14ac:dyDescent="0.3">
      <c r="A365" s="55" t="s">
        <v>976</v>
      </c>
      <c r="B365" s="53" t="s">
        <v>977</v>
      </c>
      <c r="C365" s="54" t="s">
        <v>30</v>
      </c>
      <c r="D365" s="75">
        <v>55</v>
      </c>
      <c r="E365" s="75"/>
      <c r="F365" s="75"/>
      <c r="G365" s="75"/>
      <c r="H365" s="75" t="s">
        <v>15</v>
      </c>
      <c r="I365" s="75">
        <v>186.08</v>
      </c>
      <c r="J365" s="75">
        <v>10234.4</v>
      </c>
      <c r="K365" s="91" t="s">
        <v>978</v>
      </c>
      <c r="L365" s="73"/>
      <c r="M365" s="46">
        <v>0</v>
      </c>
      <c r="N365" s="46">
        <v>0</v>
      </c>
      <c r="O365" s="46">
        <v>0</v>
      </c>
      <c r="P365" s="98"/>
      <c r="Q365" s="23" t="s">
        <v>1410</v>
      </c>
      <c r="R365" s="24" t="s">
        <v>977</v>
      </c>
      <c r="S365" s="25" t="s">
        <v>30</v>
      </c>
      <c r="T365" s="26">
        <v>55</v>
      </c>
      <c r="U365" s="26">
        <v>55</v>
      </c>
      <c r="V365" s="26">
        <v>186.08</v>
      </c>
      <c r="W365" s="26">
        <f t="shared" si="63"/>
        <v>0</v>
      </c>
      <c r="X365" s="26">
        <f t="shared" si="61"/>
        <v>0</v>
      </c>
      <c r="Y365" s="26">
        <f t="shared" si="64"/>
        <v>0</v>
      </c>
      <c r="Z365" s="26">
        <f t="shared" si="68"/>
        <v>0</v>
      </c>
      <c r="AA365" s="33" t="s">
        <v>15</v>
      </c>
      <c r="AB365" s="36" t="s">
        <v>16</v>
      </c>
      <c r="AC365" s="181">
        <f t="shared" si="65"/>
        <v>55</v>
      </c>
      <c r="AD365" s="181">
        <f t="shared" si="60"/>
        <v>10234.4</v>
      </c>
      <c r="AE365" s="181">
        <v>1.8</v>
      </c>
      <c r="AF365" s="181">
        <v>1.8</v>
      </c>
      <c r="AG365" s="101" t="str">
        <f t="shared" si="66"/>
        <v/>
      </c>
      <c r="AH365" s="190">
        <v>0</v>
      </c>
      <c r="AI365" s="69">
        <f t="shared" si="67"/>
        <v>55</v>
      </c>
    </row>
    <row r="366" spans="1:35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 t="s">
        <v>15</v>
      </c>
      <c r="I366" s="75">
        <v>51046</v>
      </c>
      <c r="J366" s="75">
        <v>51046</v>
      </c>
      <c r="K366" s="91" t="s">
        <v>981</v>
      </c>
      <c r="L366" s="73"/>
      <c r="M366" s="46">
        <v>0</v>
      </c>
      <c r="N366" s="46">
        <v>0</v>
      </c>
      <c r="O366" s="46">
        <v>0</v>
      </c>
      <c r="P366" s="98"/>
      <c r="Q366" s="23" t="s">
        <v>1411</v>
      </c>
      <c r="R366" s="24" t="s">
        <v>980</v>
      </c>
      <c r="S366" s="25" t="s">
        <v>14</v>
      </c>
      <c r="T366" s="26">
        <v>1</v>
      </c>
      <c r="U366" s="26">
        <v>1</v>
      </c>
      <c r="V366" s="26">
        <v>51046</v>
      </c>
      <c r="W366" s="26">
        <f t="shared" si="63"/>
        <v>0</v>
      </c>
      <c r="X366" s="26">
        <f t="shared" si="61"/>
        <v>0</v>
      </c>
      <c r="Y366" s="26">
        <f t="shared" si="64"/>
        <v>0</v>
      </c>
      <c r="Z366" s="26">
        <f t="shared" si="68"/>
        <v>0</v>
      </c>
      <c r="AA366" s="33" t="s">
        <v>15</v>
      </c>
      <c r="AB366" s="36" t="s">
        <v>16</v>
      </c>
      <c r="AC366" s="181">
        <f t="shared" si="65"/>
        <v>1</v>
      </c>
      <c r="AD366" s="181">
        <f t="shared" ref="AD366:AD368" si="69">ROUND(V366*AC366,2)</f>
        <v>51046</v>
      </c>
      <c r="AE366" s="181">
        <v>1.8</v>
      </c>
      <c r="AF366" s="181">
        <v>1.8</v>
      </c>
      <c r="AG366" s="101" t="str">
        <f t="shared" si="66"/>
        <v/>
      </c>
      <c r="AH366" s="190">
        <v>0</v>
      </c>
      <c r="AI366" s="69">
        <f t="shared" si="67"/>
        <v>1</v>
      </c>
    </row>
    <row r="367" spans="1:35" s="69" customFormat="1" ht="39" hidden="1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 t="s">
        <v>15</v>
      </c>
      <c r="I367" s="75">
        <v>671.66</v>
      </c>
      <c r="J367" s="75">
        <v>88659.12</v>
      </c>
      <c r="K367" s="91" t="s">
        <v>984</v>
      </c>
      <c r="L367" s="73"/>
      <c r="M367" s="46">
        <v>0</v>
      </c>
      <c r="N367" s="46">
        <v>0</v>
      </c>
      <c r="O367" s="46">
        <v>0</v>
      </c>
      <c r="P367" s="98"/>
      <c r="Q367" s="23" t="s">
        <v>1445</v>
      </c>
      <c r="R367" s="24" t="s">
        <v>983</v>
      </c>
      <c r="S367" s="25" t="s">
        <v>30</v>
      </c>
      <c r="T367" s="26">
        <v>132</v>
      </c>
      <c r="U367" s="26">
        <v>132</v>
      </c>
      <c r="V367" s="26">
        <v>671.66</v>
      </c>
      <c r="W367" s="26">
        <f t="shared" si="63"/>
        <v>0</v>
      </c>
      <c r="X367" s="26">
        <f t="shared" si="61"/>
        <v>0</v>
      </c>
      <c r="Y367" s="26">
        <f t="shared" si="64"/>
        <v>0</v>
      </c>
      <c r="Z367" s="26">
        <f t="shared" si="68"/>
        <v>0</v>
      </c>
      <c r="AA367" s="33" t="s">
        <v>15</v>
      </c>
      <c r="AB367" s="36" t="s">
        <v>16</v>
      </c>
      <c r="AC367" s="181">
        <f t="shared" si="65"/>
        <v>132</v>
      </c>
      <c r="AD367" s="181">
        <f t="shared" si="69"/>
        <v>88659.12</v>
      </c>
      <c r="AE367" s="181">
        <v>1.8</v>
      </c>
      <c r="AF367" s="181">
        <v>1.8</v>
      </c>
      <c r="AG367" s="101" t="str">
        <f t="shared" si="66"/>
        <v/>
      </c>
      <c r="AH367" s="190">
        <v>0</v>
      </c>
      <c r="AI367" s="69">
        <f t="shared" si="67"/>
        <v>132</v>
      </c>
    </row>
    <row r="368" spans="1:35" s="69" customFormat="1" ht="39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 t="s">
        <v>15</v>
      </c>
      <c r="I368" s="75">
        <v>24347</v>
      </c>
      <c r="J368" s="75">
        <v>24347</v>
      </c>
      <c r="K368" s="91" t="s">
        <v>987</v>
      </c>
      <c r="L368" s="73"/>
      <c r="M368" s="46">
        <v>0</v>
      </c>
      <c r="N368" s="46">
        <v>0</v>
      </c>
      <c r="O368" s="46">
        <v>0</v>
      </c>
      <c r="P368" s="98"/>
      <c r="Q368" s="23" t="s">
        <v>1383</v>
      </c>
      <c r="R368" s="24" t="s">
        <v>986</v>
      </c>
      <c r="S368" s="25" t="s">
        <v>14</v>
      </c>
      <c r="T368" s="26">
        <v>1</v>
      </c>
      <c r="U368" s="26">
        <v>1</v>
      </c>
      <c r="V368" s="26">
        <v>24347</v>
      </c>
      <c r="W368" s="26">
        <f t="shared" si="63"/>
        <v>0</v>
      </c>
      <c r="X368" s="26">
        <f t="shared" si="61"/>
        <v>0</v>
      </c>
      <c r="Y368" s="26">
        <f t="shared" si="64"/>
        <v>0</v>
      </c>
      <c r="Z368" s="26">
        <f t="shared" si="68"/>
        <v>0</v>
      </c>
      <c r="AA368" s="33" t="s">
        <v>15</v>
      </c>
      <c r="AB368" s="36" t="s">
        <v>16</v>
      </c>
      <c r="AC368" s="181">
        <f t="shared" si="65"/>
        <v>1</v>
      </c>
      <c r="AD368" s="181">
        <f t="shared" si="69"/>
        <v>24347</v>
      </c>
      <c r="AE368" s="181">
        <v>1.8</v>
      </c>
      <c r="AF368" s="181">
        <v>1.8</v>
      </c>
      <c r="AG368" s="101" t="str">
        <f t="shared" si="66"/>
        <v/>
      </c>
      <c r="AH368" s="190">
        <v>0</v>
      </c>
      <c r="AI368" s="69">
        <f t="shared" si="67"/>
        <v>1</v>
      </c>
    </row>
    <row r="369" spans="1:35" s="69" customFormat="1" ht="39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 t="s">
        <v>15</v>
      </c>
      <c r="I369" s="82"/>
      <c r="J369" s="82">
        <v>9899611.0700000003</v>
      </c>
      <c r="K369" s="94" t="s">
        <v>15</v>
      </c>
      <c r="L369" s="73"/>
      <c r="M369" s="45">
        <v>1</v>
      </c>
      <c r="N369" s="45">
        <v>0</v>
      </c>
      <c r="O369" s="45">
        <v>6749095.7699999996</v>
      </c>
      <c r="P369" s="98"/>
      <c r="Q369" s="18" t="s">
        <v>1401</v>
      </c>
      <c r="R369" s="19" t="s">
        <v>989</v>
      </c>
      <c r="S369" s="20" t="s">
        <v>14</v>
      </c>
      <c r="T369" s="21">
        <v>1</v>
      </c>
      <c r="U369" s="21"/>
      <c r="V369" s="21">
        <f>SUMIFS(AD:AD,AE:AE,AE369)</f>
        <v>9899611.0700000003</v>
      </c>
      <c r="W369" s="21">
        <f t="shared" ref="W369:X369" si="70">IF(Y369=0,0,1)</f>
        <v>0</v>
      </c>
      <c r="X369" s="21">
        <f t="shared" si="70"/>
        <v>1</v>
      </c>
      <c r="Y369" s="21">
        <f>SUMIFS(Y:Y,AF:AF,AE369)</f>
        <v>0</v>
      </c>
      <c r="Z369" s="21">
        <f>SUMIFS(Z:Z,AF:AF,AE369)</f>
        <v>6749095.7699999996</v>
      </c>
      <c r="AA369" s="22" t="s">
        <v>15</v>
      </c>
      <c r="AB369" s="43" t="s">
        <v>16</v>
      </c>
      <c r="AC369" s="181">
        <f t="shared" si="65"/>
        <v>1</v>
      </c>
      <c r="AD369" s="184"/>
      <c r="AE369" s="184">
        <v>1.9</v>
      </c>
      <c r="AF369" s="184"/>
      <c r="AG369" s="101" t="str">
        <f t="shared" si="66"/>
        <v/>
      </c>
      <c r="AH369" s="190">
        <v>1</v>
      </c>
      <c r="AI369" s="69">
        <f t="shared" si="67"/>
        <v>1</v>
      </c>
    </row>
    <row r="370" spans="1:35" s="69" customFormat="1" ht="33" hidden="1" x14ac:dyDescent="0.3">
      <c r="A370" s="130" t="s">
        <v>990</v>
      </c>
      <c r="B370" s="240" t="s">
        <v>991</v>
      </c>
      <c r="C370" s="132" t="s">
        <v>30</v>
      </c>
      <c r="D370" s="133">
        <v>1088</v>
      </c>
      <c r="E370" s="75">
        <v>975</v>
      </c>
      <c r="F370" s="75"/>
      <c r="G370" s="75"/>
      <c r="H370" s="75">
        <v>2893</v>
      </c>
      <c r="I370" s="75">
        <v>247.2</v>
      </c>
      <c r="J370" s="75">
        <v>715149.6</v>
      </c>
      <c r="K370" s="91" t="s">
        <v>992</v>
      </c>
      <c r="L370" s="73"/>
      <c r="M370" s="46">
        <v>975</v>
      </c>
      <c r="N370" s="46">
        <v>0</v>
      </c>
      <c r="O370" s="46">
        <v>241020</v>
      </c>
      <c r="P370" s="98"/>
      <c r="Q370" s="23" t="s">
        <v>1421</v>
      </c>
      <c r="R370" s="24" t="s">
        <v>991</v>
      </c>
      <c r="S370" s="25" t="s">
        <v>30</v>
      </c>
      <c r="T370" s="26">
        <v>1088</v>
      </c>
      <c r="U370" s="26">
        <v>2893</v>
      </c>
      <c r="V370" s="26">
        <v>247.2</v>
      </c>
      <c r="W370" s="128">
        <f t="shared" ref="W370:W376" si="71">AH370-M370</f>
        <v>0</v>
      </c>
      <c r="X370" s="127">
        <f t="shared" si="61"/>
        <v>975</v>
      </c>
      <c r="Y370" s="127">
        <f t="shared" ref="Y370:Y376" si="72">Z370-O370</f>
        <v>0</v>
      </c>
      <c r="Z370" s="127">
        <f t="shared" ref="Z370:Z376" si="73">ROUND(V370*X370,2)</f>
        <v>241020</v>
      </c>
      <c r="AA370" s="27" t="s">
        <v>15</v>
      </c>
      <c r="AB370" s="36" t="s">
        <v>16</v>
      </c>
      <c r="AC370" s="181">
        <f t="shared" si="65"/>
        <v>2893</v>
      </c>
      <c r="AD370" s="181">
        <f t="shared" ref="AD370:AD376" si="74">ROUND(V370*AC370,2)</f>
        <v>715149.6</v>
      </c>
      <c r="AE370" s="181">
        <v>1.9</v>
      </c>
      <c r="AF370" s="181">
        <v>1.9</v>
      </c>
      <c r="AG370" s="101" t="str">
        <f t="shared" si="66"/>
        <v/>
      </c>
      <c r="AH370" s="191">
        <v>975</v>
      </c>
      <c r="AI370" s="69">
        <f t="shared" si="67"/>
        <v>975</v>
      </c>
    </row>
    <row r="371" spans="1:35" s="69" customFormat="1" ht="33" hidden="1" x14ac:dyDescent="0.3">
      <c r="A371" s="130" t="s">
        <v>993</v>
      </c>
      <c r="B371" s="240" t="s">
        <v>994</v>
      </c>
      <c r="C371" s="132" t="s">
        <v>30</v>
      </c>
      <c r="D371" s="133">
        <v>1088</v>
      </c>
      <c r="E371" s="75">
        <v>975</v>
      </c>
      <c r="F371" s="75"/>
      <c r="G371" s="75"/>
      <c r="H371" s="75">
        <v>2893</v>
      </c>
      <c r="I371" s="75">
        <v>236.9</v>
      </c>
      <c r="J371" s="75">
        <v>685351.7</v>
      </c>
      <c r="K371" s="91" t="s">
        <v>995</v>
      </c>
      <c r="L371" s="73"/>
      <c r="M371" s="46">
        <v>975</v>
      </c>
      <c r="N371" s="46">
        <v>0</v>
      </c>
      <c r="O371" s="46">
        <v>230977.5</v>
      </c>
      <c r="P371" s="98"/>
      <c r="Q371" s="23" t="s">
        <v>1426</v>
      </c>
      <c r="R371" s="24" t="s">
        <v>994</v>
      </c>
      <c r="S371" s="25" t="s">
        <v>30</v>
      </c>
      <c r="T371" s="26">
        <v>1088</v>
      </c>
      <c r="U371" s="26">
        <v>2893</v>
      </c>
      <c r="V371" s="26">
        <v>236.9</v>
      </c>
      <c r="W371" s="128">
        <f t="shared" si="71"/>
        <v>0</v>
      </c>
      <c r="X371" s="127">
        <f t="shared" ref="X371:X376" si="75">W371+M371</f>
        <v>975</v>
      </c>
      <c r="Y371" s="127">
        <f>Z371-O371</f>
        <v>0</v>
      </c>
      <c r="Z371" s="127">
        <f t="shared" si="73"/>
        <v>230977.5</v>
      </c>
      <c r="AA371" s="27" t="s">
        <v>15</v>
      </c>
      <c r="AB371" s="36" t="s">
        <v>16</v>
      </c>
      <c r="AC371" s="181">
        <f t="shared" si="65"/>
        <v>2893</v>
      </c>
      <c r="AD371" s="181">
        <f t="shared" si="74"/>
        <v>685351.7</v>
      </c>
      <c r="AE371" s="181">
        <v>1.9</v>
      </c>
      <c r="AF371" s="181">
        <v>1.9</v>
      </c>
      <c r="AG371" s="101" t="str">
        <f t="shared" si="66"/>
        <v/>
      </c>
      <c r="AH371" s="191">
        <v>975</v>
      </c>
      <c r="AI371" s="69">
        <f t="shared" si="67"/>
        <v>975</v>
      </c>
    </row>
    <row r="372" spans="1:35" s="69" customFormat="1" ht="39" hidden="1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9795.5</v>
      </c>
      <c r="I372" s="75">
        <v>252.35</v>
      </c>
      <c r="J372" s="75">
        <v>2471894.4300000002</v>
      </c>
      <c r="K372" s="91" t="s">
        <v>999</v>
      </c>
      <c r="L372" s="73"/>
      <c r="M372" s="46">
        <v>7744</v>
      </c>
      <c r="N372" s="46">
        <v>0</v>
      </c>
      <c r="O372" s="46">
        <v>1954198.4</v>
      </c>
      <c r="P372" s="98"/>
      <c r="Q372" s="23" t="s">
        <v>1402</v>
      </c>
      <c r="R372" s="24" t="s">
        <v>997</v>
      </c>
      <c r="S372" s="25" t="s">
        <v>998</v>
      </c>
      <c r="T372" s="26">
        <v>6984</v>
      </c>
      <c r="U372" s="26">
        <v>9795.5</v>
      </c>
      <c r="V372" s="26">
        <v>252.35</v>
      </c>
      <c r="W372" s="128">
        <f t="shared" si="71"/>
        <v>0</v>
      </c>
      <c r="X372" s="26">
        <f t="shared" si="75"/>
        <v>7744</v>
      </c>
      <c r="Y372" s="26">
        <f t="shared" si="72"/>
        <v>0</v>
      </c>
      <c r="Z372" s="26">
        <f t="shared" si="73"/>
        <v>1954198.4</v>
      </c>
      <c r="AA372" s="27" t="s">
        <v>15</v>
      </c>
      <c r="AB372" s="36" t="s">
        <v>16</v>
      </c>
      <c r="AC372" s="181">
        <f t="shared" si="65"/>
        <v>9795.5</v>
      </c>
      <c r="AD372" s="181">
        <f t="shared" si="74"/>
        <v>2471894.4300000002</v>
      </c>
      <c r="AE372" s="181">
        <v>1.9</v>
      </c>
      <c r="AF372" s="181">
        <v>1.9</v>
      </c>
      <c r="AG372" s="101" t="str">
        <f t="shared" si="66"/>
        <v/>
      </c>
      <c r="AH372" s="191">
        <v>7744</v>
      </c>
      <c r="AI372" s="69">
        <f t="shared" si="67"/>
        <v>8744</v>
      </c>
    </row>
    <row r="373" spans="1:35" s="69" customFormat="1" ht="49.5" x14ac:dyDescent="0.3">
      <c r="A373" s="55" t="s">
        <v>1000</v>
      </c>
      <c r="B373" s="138" t="s">
        <v>1001</v>
      </c>
      <c r="C373" s="54" t="s">
        <v>14</v>
      </c>
      <c r="D373" s="75">
        <v>1</v>
      </c>
      <c r="E373" s="75"/>
      <c r="F373" s="75"/>
      <c r="G373" s="75"/>
      <c r="H373" s="75" t="s">
        <v>15</v>
      </c>
      <c r="I373" s="75">
        <v>350000</v>
      </c>
      <c r="J373" s="75">
        <v>350000</v>
      </c>
      <c r="K373" s="91" t="s">
        <v>1002</v>
      </c>
      <c r="L373" s="73"/>
      <c r="M373" s="46">
        <v>1</v>
      </c>
      <c r="N373" s="46">
        <v>0</v>
      </c>
      <c r="O373" s="46">
        <v>157500</v>
      </c>
      <c r="P373" s="98"/>
      <c r="Q373" s="23" t="s">
        <v>1373</v>
      </c>
      <c r="R373" s="24" t="s">
        <v>1001</v>
      </c>
      <c r="S373" s="25" t="s">
        <v>14</v>
      </c>
      <c r="T373" s="26">
        <v>1</v>
      </c>
      <c r="U373" s="26">
        <v>1</v>
      </c>
      <c r="V373" s="26">
        <v>350000</v>
      </c>
      <c r="W373" s="26">
        <f>IF(Y373=0,0,1)</f>
        <v>0</v>
      </c>
      <c r="X373" s="26">
        <f>IF(Z373=0,0,1)</f>
        <v>1</v>
      </c>
      <c r="Y373" s="26">
        <f t="shared" si="72"/>
        <v>0</v>
      </c>
      <c r="Z373" s="26">
        <v>157500</v>
      </c>
      <c r="AA373" s="123">
        <f>Z373/J373</f>
        <v>0.45</v>
      </c>
      <c r="AB373" s="36" t="s">
        <v>16</v>
      </c>
      <c r="AC373" s="181">
        <f t="shared" si="65"/>
        <v>1</v>
      </c>
      <c r="AD373" s="181">
        <f t="shared" si="74"/>
        <v>350000</v>
      </c>
      <c r="AE373" s="181">
        <v>1.9</v>
      </c>
      <c r="AF373" s="181">
        <v>1.9</v>
      </c>
      <c r="AG373" s="101" t="str">
        <f t="shared" si="66"/>
        <v/>
      </c>
      <c r="AH373" s="190">
        <v>1</v>
      </c>
      <c r="AI373" s="69">
        <f t="shared" si="67"/>
        <v>1</v>
      </c>
    </row>
    <row r="374" spans="1:35" s="69" customFormat="1" ht="33" hidden="1" x14ac:dyDescent="0.3">
      <c r="A374" s="55" t="s">
        <v>1003</v>
      </c>
      <c r="B374" s="138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3149</v>
      </c>
      <c r="I374" s="75">
        <v>931.12</v>
      </c>
      <c r="J374" s="75">
        <v>2932096.88</v>
      </c>
      <c r="K374" s="91" t="s">
        <v>1005</v>
      </c>
      <c r="L374" s="73"/>
      <c r="M374" s="46">
        <v>2060</v>
      </c>
      <c r="N374" s="46">
        <v>0</v>
      </c>
      <c r="O374" s="46">
        <v>1918107.2</v>
      </c>
      <c r="P374" s="98"/>
      <c r="Q374" s="23" t="s">
        <v>1393</v>
      </c>
      <c r="R374" s="24" t="s">
        <v>1004</v>
      </c>
      <c r="S374" s="25" t="s">
        <v>97</v>
      </c>
      <c r="T374" s="26">
        <v>1</v>
      </c>
      <c r="U374" s="26">
        <v>3149</v>
      </c>
      <c r="V374" s="26">
        <v>931.12</v>
      </c>
      <c r="W374" s="128">
        <f t="shared" si="71"/>
        <v>0</v>
      </c>
      <c r="X374" s="26">
        <f t="shared" si="75"/>
        <v>2060</v>
      </c>
      <c r="Y374" s="26">
        <f t="shared" si="72"/>
        <v>0</v>
      </c>
      <c r="Z374" s="26">
        <f t="shared" si="73"/>
        <v>1918107.2</v>
      </c>
      <c r="AA374" s="27" t="s">
        <v>15</v>
      </c>
      <c r="AB374" s="36" t="s">
        <v>16</v>
      </c>
      <c r="AC374" s="181">
        <f t="shared" si="65"/>
        <v>3149</v>
      </c>
      <c r="AD374" s="181">
        <f t="shared" si="74"/>
        <v>2932096.88</v>
      </c>
      <c r="AE374" s="181">
        <v>1.9</v>
      </c>
      <c r="AF374" s="181">
        <v>1.9</v>
      </c>
      <c r="AG374" s="101" t="str">
        <f t="shared" si="66"/>
        <v/>
      </c>
      <c r="AH374" s="191">
        <v>2060</v>
      </c>
      <c r="AI374" s="69">
        <f t="shared" si="67"/>
        <v>2480</v>
      </c>
    </row>
    <row r="375" spans="1:35" s="69" customFormat="1" ht="33" hidden="1" x14ac:dyDescent="0.3">
      <c r="A375" s="130" t="s">
        <v>1006</v>
      </c>
      <c r="B375" s="131" t="s">
        <v>678</v>
      </c>
      <c r="C375" s="132" t="s">
        <v>23</v>
      </c>
      <c r="D375" s="133">
        <v>1</v>
      </c>
      <c r="E375" s="203">
        <v>91</v>
      </c>
      <c r="F375" s="203">
        <v>291</v>
      </c>
      <c r="G375" s="203"/>
      <c r="H375" s="203">
        <v>438</v>
      </c>
      <c r="I375" s="75">
        <v>3386.57</v>
      </c>
      <c r="J375" s="75">
        <v>1483317.66</v>
      </c>
      <c r="K375" s="91" t="s">
        <v>679</v>
      </c>
      <c r="L375" s="73"/>
      <c r="M375" s="46">
        <v>291</v>
      </c>
      <c r="N375" s="46">
        <v>0</v>
      </c>
      <c r="O375" s="46">
        <v>985491.87</v>
      </c>
      <c r="P375" s="98"/>
      <c r="Q375" s="23" t="s">
        <v>1403</v>
      </c>
      <c r="R375" s="24" t="s">
        <v>678</v>
      </c>
      <c r="S375" s="25" t="s">
        <v>23</v>
      </c>
      <c r="T375" s="26">
        <v>1</v>
      </c>
      <c r="U375" s="26">
        <v>438</v>
      </c>
      <c r="V375" s="26">
        <v>3386.57</v>
      </c>
      <c r="W375" s="128">
        <f t="shared" si="71"/>
        <v>0</v>
      </c>
      <c r="X375" s="127">
        <f t="shared" si="75"/>
        <v>291</v>
      </c>
      <c r="Y375" s="127">
        <f t="shared" si="72"/>
        <v>0</v>
      </c>
      <c r="Z375" s="127">
        <f t="shared" si="73"/>
        <v>985491.87</v>
      </c>
      <c r="AA375" s="27" t="s">
        <v>15</v>
      </c>
      <c r="AB375" s="36" t="s">
        <v>16</v>
      </c>
      <c r="AC375" s="181">
        <f t="shared" si="65"/>
        <v>438</v>
      </c>
      <c r="AD375" s="181">
        <f t="shared" si="74"/>
        <v>1483317.66</v>
      </c>
      <c r="AE375" s="181">
        <v>1.9</v>
      </c>
      <c r="AF375" s="181">
        <v>1.9</v>
      </c>
      <c r="AG375" s="101" t="str">
        <f t="shared" si="66"/>
        <v/>
      </c>
      <c r="AH375" s="190">
        <v>291</v>
      </c>
      <c r="AI375" s="69">
        <f t="shared" si="67"/>
        <v>291</v>
      </c>
    </row>
    <row r="376" spans="1:35" s="69" customFormat="1" ht="49.5" hidden="1" x14ac:dyDescent="0.3">
      <c r="A376" s="134" t="s">
        <v>1340</v>
      </c>
      <c r="B376" s="139" t="s">
        <v>3137</v>
      </c>
      <c r="C376" s="204" t="s">
        <v>30</v>
      </c>
      <c r="D376" s="133"/>
      <c r="E376" s="59">
        <v>130</v>
      </c>
      <c r="F376" s="77"/>
      <c r="G376" s="77"/>
      <c r="H376" s="77" t="s">
        <v>15</v>
      </c>
      <c r="I376" s="77">
        <v>9706.16</v>
      </c>
      <c r="J376" s="59">
        <v>1261800.8</v>
      </c>
      <c r="K376" s="92"/>
      <c r="L376" s="73"/>
      <c r="M376" s="46">
        <v>130</v>
      </c>
      <c r="N376" s="46">
        <v>0</v>
      </c>
      <c r="O376" s="46">
        <v>1261800.8</v>
      </c>
      <c r="P376" s="98"/>
      <c r="Q376" s="23" t="s">
        <v>1427</v>
      </c>
      <c r="R376" s="24" t="s">
        <v>1500</v>
      </c>
      <c r="S376" s="25" t="s">
        <v>30</v>
      </c>
      <c r="T376" s="26">
        <v>0</v>
      </c>
      <c r="U376" s="26">
        <v>130</v>
      </c>
      <c r="V376" s="26">
        <v>9706.16</v>
      </c>
      <c r="W376" s="127">
        <f t="shared" si="71"/>
        <v>0</v>
      </c>
      <c r="X376" s="127">
        <f t="shared" si="75"/>
        <v>130</v>
      </c>
      <c r="Y376" s="127">
        <f t="shared" si="72"/>
        <v>0</v>
      </c>
      <c r="Z376" s="127">
        <f t="shared" si="73"/>
        <v>1261800.8</v>
      </c>
      <c r="AA376" s="27"/>
      <c r="AB376" s="36" t="s">
        <v>16</v>
      </c>
      <c r="AC376" s="181">
        <f t="shared" si="65"/>
        <v>130</v>
      </c>
      <c r="AD376" s="181">
        <f t="shared" si="74"/>
        <v>1261800.8</v>
      </c>
      <c r="AE376" s="181">
        <v>1.9</v>
      </c>
      <c r="AF376" s="181">
        <v>1.9</v>
      </c>
      <c r="AG376" s="101" t="str">
        <f t="shared" si="66"/>
        <v/>
      </c>
      <c r="AH376" s="191">
        <v>130</v>
      </c>
      <c r="AI376" s="69">
        <f t="shared" si="67"/>
        <v>130</v>
      </c>
    </row>
    <row r="377" spans="1:35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 t="s">
        <v>15</v>
      </c>
      <c r="I377" s="88"/>
      <c r="J377" s="88">
        <v>27540238.109999999</v>
      </c>
      <c r="K377" s="95" t="s">
        <v>15</v>
      </c>
      <c r="L377" s="73"/>
      <c r="M377" s="42">
        <v>1</v>
      </c>
      <c r="N377" s="42">
        <v>254958</v>
      </c>
      <c r="O377" s="42">
        <v>23219915.300000004</v>
      </c>
      <c r="P377" s="98"/>
      <c r="Q377" s="13" t="s">
        <v>1404</v>
      </c>
      <c r="R377" s="14" t="s">
        <v>1008</v>
      </c>
      <c r="S377" s="15" t="s">
        <v>14</v>
      </c>
      <c r="T377" s="16">
        <v>1</v>
      </c>
      <c r="U377" s="16"/>
      <c r="V377" s="16">
        <f>SUMIFS(AD:AD,AE:AE,AE377)</f>
        <v>27540238.110000003</v>
      </c>
      <c r="W377" s="16">
        <f t="shared" ref="W377:X377" si="76">IF(Y377=0,0,1)</f>
        <v>1</v>
      </c>
      <c r="X377" s="16">
        <f t="shared" si="76"/>
        <v>1</v>
      </c>
      <c r="Y377" s="16">
        <f>SUMIFS(Y:Y,AF:AF,AE377)</f>
        <v>254958</v>
      </c>
      <c r="Z377" s="16">
        <f>SUMIFS(Z:Z,AF:AF,AE377)</f>
        <v>23474873.300000004</v>
      </c>
      <c r="AA377" s="17" t="s">
        <v>15</v>
      </c>
      <c r="AB377" s="40" t="s">
        <v>16</v>
      </c>
      <c r="AC377" s="181">
        <f t="shared" si="65"/>
        <v>1</v>
      </c>
      <c r="AD377" s="183"/>
      <c r="AE377" s="183">
        <v>2</v>
      </c>
      <c r="AF377" s="183"/>
      <c r="AG377" s="101" t="str">
        <f t="shared" si="66"/>
        <v/>
      </c>
      <c r="AH377" s="190">
        <v>1</v>
      </c>
      <c r="AI377" s="69">
        <f t="shared" si="67"/>
        <v>1</v>
      </c>
    </row>
    <row r="378" spans="1:35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 t="s">
        <v>15</v>
      </c>
      <c r="I378" s="75">
        <v>711302</v>
      </c>
      <c r="J378" s="75">
        <v>711302</v>
      </c>
      <c r="K378" s="91" t="s">
        <v>1011</v>
      </c>
      <c r="L378" s="73"/>
      <c r="M378" s="46">
        <v>0</v>
      </c>
      <c r="N378" s="46">
        <v>0</v>
      </c>
      <c r="O378" s="46">
        <v>0</v>
      </c>
      <c r="P378" s="98"/>
      <c r="Q378" s="23" t="s">
        <v>1421</v>
      </c>
      <c r="R378" s="24" t="s">
        <v>1010</v>
      </c>
      <c r="S378" s="25" t="s">
        <v>14</v>
      </c>
      <c r="T378" s="26">
        <v>1</v>
      </c>
      <c r="U378" s="26">
        <v>1</v>
      </c>
      <c r="V378" s="26">
        <v>711302</v>
      </c>
      <c r="W378" s="26">
        <f t="shared" ref="W378:W406" si="77">AH378-M378</f>
        <v>0</v>
      </c>
      <c r="X378" s="26">
        <f t="shared" ref="X378:X458" si="78">W378+M378</f>
        <v>0</v>
      </c>
      <c r="Y378" s="26">
        <f t="shared" ref="Y378:Y406" si="79">Z378-O378</f>
        <v>0</v>
      </c>
      <c r="Z378" s="26">
        <f t="shared" ref="Z378:Z406" si="80">ROUND(V378*X378,2)</f>
        <v>0</v>
      </c>
      <c r="AA378" s="33" t="s">
        <v>15</v>
      </c>
      <c r="AB378" s="36" t="s">
        <v>16</v>
      </c>
      <c r="AC378" s="181">
        <f t="shared" si="65"/>
        <v>1</v>
      </c>
      <c r="AD378" s="181">
        <f t="shared" ref="AD378:AD406" si="81">ROUND(V378*AC378,2)</f>
        <v>711302</v>
      </c>
      <c r="AE378" s="181">
        <v>2</v>
      </c>
      <c r="AF378" s="181">
        <v>2</v>
      </c>
      <c r="AG378" s="101" t="str">
        <f t="shared" si="66"/>
        <v/>
      </c>
      <c r="AH378" s="190">
        <v>0</v>
      </c>
      <c r="AI378" s="69">
        <f t="shared" si="67"/>
        <v>1</v>
      </c>
    </row>
    <row r="379" spans="1:35" s="69" customFormat="1" ht="33" hidden="1" customHeight="1" x14ac:dyDescent="0.3">
      <c r="A379" s="55" t="s">
        <v>1012</v>
      </c>
      <c r="B379" s="53" t="s">
        <v>1013</v>
      </c>
      <c r="C379" s="54" t="s">
        <v>1014</v>
      </c>
      <c r="D379" s="75">
        <v>7</v>
      </c>
      <c r="E379" s="75"/>
      <c r="F379" s="75"/>
      <c r="G379" s="75"/>
      <c r="H379" s="76" t="s">
        <v>15</v>
      </c>
      <c r="I379" s="75">
        <v>50000</v>
      </c>
      <c r="J379" s="75">
        <v>350000</v>
      </c>
      <c r="K379" s="91" t="s">
        <v>1015</v>
      </c>
      <c r="L379" s="73"/>
      <c r="M379" s="46">
        <v>0</v>
      </c>
      <c r="N379" s="46">
        <v>0</v>
      </c>
      <c r="O379" s="46">
        <v>0</v>
      </c>
      <c r="P379" s="98"/>
      <c r="Q379" s="23" t="s">
        <v>1426</v>
      </c>
      <c r="R379" s="24" t="s">
        <v>1013</v>
      </c>
      <c r="S379" s="25" t="s">
        <v>1014</v>
      </c>
      <c r="T379" s="26">
        <v>7</v>
      </c>
      <c r="U379" s="26">
        <v>7</v>
      </c>
      <c r="V379" s="26">
        <v>50000</v>
      </c>
      <c r="W379" s="26">
        <f t="shared" si="77"/>
        <v>0</v>
      </c>
      <c r="X379" s="26">
        <f t="shared" si="78"/>
        <v>0</v>
      </c>
      <c r="Y379" s="26">
        <f t="shared" si="79"/>
        <v>0</v>
      </c>
      <c r="Z379" s="26">
        <f t="shared" si="80"/>
        <v>0</v>
      </c>
      <c r="AA379" s="33" t="s">
        <v>15</v>
      </c>
      <c r="AB379" s="36" t="s">
        <v>16</v>
      </c>
      <c r="AC379" s="181">
        <f t="shared" si="65"/>
        <v>7</v>
      </c>
      <c r="AD379" s="181">
        <f t="shared" si="81"/>
        <v>350000</v>
      </c>
      <c r="AE379" s="181">
        <v>2</v>
      </c>
      <c r="AF379" s="181">
        <v>2</v>
      </c>
      <c r="AG379" s="101" t="str">
        <f t="shared" si="66"/>
        <v/>
      </c>
      <c r="AH379" s="190">
        <v>0</v>
      </c>
      <c r="AI379" s="69">
        <f t="shared" si="67"/>
        <v>7</v>
      </c>
    </row>
    <row r="380" spans="1:35" s="69" customFormat="1" ht="33" hidden="1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75"/>
      <c r="F380" s="75">
        <v>400</v>
      </c>
      <c r="G380" s="224"/>
      <c r="H380" s="158" t="s">
        <v>15</v>
      </c>
      <c r="I380" s="166">
        <v>22500</v>
      </c>
      <c r="J380" s="75">
        <v>9000000</v>
      </c>
      <c r="K380" s="91" t="s">
        <v>1018</v>
      </c>
      <c r="L380" s="73"/>
      <c r="M380" s="46">
        <v>400</v>
      </c>
      <c r="N380" s="46">
        <v>0</v>
      </c>
      <c r="O380" s="46">
        <v>9000000</v>
      </c>
      <c r="P380" s="98"/>
      <c r="Q380" s="23" t="s">
        <v>1402</v>
      </c>
      <c r="R380" s="24" t="s">
        <v>1017</v>
      </c>
      <c r="S380" s="25" t="s">
        <v>50</v>
      </c>
      <c r="T380" s="26">
        <v>360</v>
      </c>
      <c r="U380" s="26">
        <v>400</v>
      </c>
      <c r="V380" s="26">
        <v>22500</v>
      </c>
      <c r="W380" s="127">
        <f t="shared" si="77"/>
        <v>0</v>
      </c>
      <c r="X380" s="127">
        <f t="shared" si="78"/>
        <v>400</v>
      </c>
      <c r="Y380" s="127">
        <f t="shared" si="79"/>
        <v>0</v>
      </c>
      <c r="Z380" s="127">
        <f t="shared" si="80"/>
        <v>9000000</v>
      </c>
      <c r="AA380" s="27" t="s">
        <v>15</v>
      </c>
      <c r="AB380" s="36" t="s">
        <v>16</v>
      </c>
      <c r="AC380" s="181">
        <f t="shared" si="65"/>
        <v>400</v>
      </c>
      <c r="AD380" s="181">
        <f t="shared" si="81"/>
        <v>9000000</v>
      </c>
      <c r="AE380" s="181">
        <v>2</v>
      </c>
      <c r="AF380" s="181">
        <v>2</v>
      </c>
      <c r="AG380" s="101" t="str">
        <f t="shared" si="66"/>
        <v/>
      </c>
      <c r="AH380" s="190">
        <v>400</v>
      </c>
      <c r="AI380" s="69">
        <f t="shared" si="67"/>
        <v>400</v>
      </c>
    </row>
    <row r="381" spans="1:35" s="69" customFormat="1" ht="49.5" hidden="1" x14ac:dyDescent="0.3">
      <c r="A381" s="55" t="s">
        <v>1019</v>
      </c>
      <c r="B381" s="138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235"/>
      <c r="H381" s="158" t="s">
        <v>15</v>
      </c>
      <c r="I381" s="166">
        <v>806</v>
      </c>
      <c r="J381" s="75">
        <v>2941900</v>
      </c>
      <c r="K381" s="91" t="s">
        <v>1022</v>
      </c>
      <c r="L381" s="73"/>
      <c r="M381" s="46">
        <v>1977</v>
      </c>
      <c r="N381" s="46">
        <v>74958</v>
      </c>
      <c r="O381" s="46">
        <v>1593462</v>
      </c>
      <c r="P381" s="98"/>
      <c r="Q381" s="23" t="s">
        <v>1373</v>
      </c>
      <c r="R381" s="24" t="s">
        <v>1020</v>
      </c>
      <c r="S381" s="25" t="s">
        <v>1021</v>
      </c>
      <c r="T381" s="26">
        <v>730</v>
      </c>
      <c r="U381" s="26">
        <v>3650</v>
      </c>
      <c r="V381" s="26">
        <v>806</v>
      </c>
      <c r="W381" s="102">
        <f t="shared" si="77"/>
        <v>93</v>
      </c>
      <c r="X381" s="26">
        <f t="shared" si="78"/>
        <v>2070</v>
      </c>
      <c r="Y381" s="26">
        <f t="shared" si="79"/>
        <v>74958</v>
      </c>
      <c r="Z381" s="26">
        <f t="shared" si="80"/>
        <v>1668420</v>
      </c>
      <c r="AA381" s="27" t="s">
        <v>15</v>
      </c>
      <c r="AB381" s="36" t="s">
        <v>16</v>
      </c>
      <c r="AC381" s="181">
        <f t="shared" si="65"/>
        <v>3650</v>
      </c>
      <c r="AD381" s="181">
        <f t="shared" si="81"/>
        <v>2941900</v>
      </c>
      <c r="AE381" s="181">
        <v>2</v>
      </c>
      <c r="AF381" s="181">
        <v>2</v>
      </c>
      <c r="AG381" s="101" t="str">
        <f t="shared" si="66"/>
        <v/>
      </c>
      <c r="AH381" s="191">
        <v>2070</v>
      </c>
      <c r="AI381" s="69">
        <f t="shared" si="67"/>
        <v>3650</v>
      </c>
    </row>
    <row r="382" spans="1:35" s="69" customFormat="1" ht="33" hidden="1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75">
        <v>4</v>
      </c>
      <c r="F382" s="161">
        <v>5</v>
      </c>
      <c r="G382" s="235"/>
      <c r="H382" s="158" t="s">
        <v>15</v>
      </c>
      <c r="I382" s="166">
        <v>50000</v>
      </c>
      <c r="J382" s="75">
        <v>250000</v>
      </c>
      <c r="K382" s="91" t="s">
        <v>1025</v>
      </c>
      <c r="L382" s="73"/>
      <c r="M382" s="46">
        <v>5</v>
      </c>
      <c r="N382" s="46">
        <v>0</v>
      </c>
      <c r="O382" s="46">
        <v>250000</v>
      </c>
      <c r="P382" s="98"/>
      <c r="Q382" s="23" t="s">
        <v>1393</v>
      </c>
      <c r="R382" s="24" t="s">
        <v>1024</v>
      </c>
      <c r="S382" s="25" t="s">
        <v>1014</v>
      </c>
      <c r="T382" s="26">
        <v>2</v>
      </c>
      <c r="U382" s="26">
        <v>5</v>
      </c>
      <c r="V382" s="26">
        <v>50000</v>
      </c>
      <c r="W382" s="127">
        <f t="shared" si="77"/>
        <v>0</v>
      </c>
      <c r="X382" s="127">
        <f t="shared" si="78"/>
        <v>5</v>
      </c>
      <c r="Y382" s="127">
        <f t="shared" si="79"/>
        <v>0</v>
      </c>
      <c r="Z382" s="127">
        <f t="shared" si="80"/>
        <v>250000</v>
      </c>
      <c r="AA382" s="27" t="s">
        <v>15</v>
      </c>
      <c r="AB382" s="36" t="s">
        <v>16</v>
      </c>
      <c r="AC382" s="181">
        <f t="shared" si="65"/>
        <v>5</v>
      </c>
      <c r="AD382" s="181">
        <f t="shared" si="81"/>
        <v>250000</v>
      </c>
      <c r="AE382" s="181">
        <v>2</v>
      </c>
      <c r="AF382" s="181">
        <v>2</v>
      </c>
      <c r="AG382" s="101" t="str">
        <f t="shared" si="66"/>
        <v/>
      </c>
      <c r="AH382" s="190">
        <v>5</v>
      </c>
      <c r="AI382" s="69">
        <f t="shared" si="67"/>
        <v>5</v>
      </c>
    </row>
    <row r="383" spans="1:35" s="69" customFormat="1" ht="36.75" hidden="1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235"/>
      <c r="H383" s="158" t="s">
        <v>15</v>
      </c>
      <c r="I383" s="166">
        <v>180000</v>
      </c>
      <c r="J383" s="75">
        <v>4320000</v>
      </c>
      <c r="K383" s="91" t="s">
        <v>1029</v>
      </c>
      <c r="L383" s="73"/>
      <c r="M383" s="46">
        <v>16</v>
      </c>
      <c r="N383" s="46">
        <v>180000</v>
      </c>
      <c r="O383" s="46">
        <v>2880000</v>
      </c>
      <c r="P383" s="98"/>
      <c r="Q383" s="23" t="s">
        <v>1403</v>
      </c>
      <c r="R383" s="24" t="s">
        <v>1027</v>
      </c>
      <c r="S383" s="25" t="s">
        <v>1028</v>
      </c>
      <c r="T383" s="26">
        <v>24</v>
      </c>
      <c r="U383" s="26">
        <v>24</v>
      </c>
      <c r="V383" s="26">
        <v>180000</v>
      </c>
      <c r="W383" s="102">
        <f t="shared" si="77"/>
        <v>1</v>
      </c>
      <c r="X383" s="26">
        <f t="shared" si="78"/>
        <v>17</v>
      </c>
      <c r="Y383" s="26">
        <f t="shared" si="79"/>
        <v>180000</v>
      </c>
      <c r="Z383" s="26">
        <f t="shared" si="80"/>
        <v>3060000</v>
      </c>
      <c r="AA383" s="33" t="s">
        <v>15</v>
      </c>
      <c r="AB383" s="36" t="s">
        <v>16</v>
      </c>
      <c r="AC383" s="181">
        <f t="shared" si="65"/>
        <v>24</v>
      </c>
      <c r="AD383" s="181">
        <f t="shared" si="81"/>
        <v>4320000</v>
      </c>
      <c r="AE383" s="181">
        <v>2</v>
      </c>
      <c r="AF383" s="181">
        <v>2</v>
      </c>
      <c r="AG383" s="101" t="str">
        <f t="shared" si="66"/>
        <v/>
      </c>
      <c r="AH383" s="191">
        <v>17</v>
      </c>
      <c r="AI383" s="69">
        <f t="shared" si="67"/>
        <v>24</v>
      </c>
    </row>
    <row r="384" spans="1:35" s="69" customFormat="1" ht="34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235"/>
      <c r="H384" s="158" t="s">
        <v>15</v>
      </c>
      <c r="I384" s="166">
        <v>205982.81</v>
      </c>
      <c r="J384" s="75">
        <v>205982.81</v>
      </c>
      <c r="K384" s="91" t="s">
        <v>1032</v>
      </c>
      <c r="L384" s="73"/>
      <c r="M384" s="46">
        <v>0</v>
      </c>
      <c r="N384" s="46">
        <v>0</v>
      </c>
      <c r="O384" s="46">
        <v>0</v>
      </c>
      <c r="P384" s="98"/>
      <c r="Q384" s="23" t="s">
        <v>1427</v>
      </c>
      <c r="R384" s="24" t="s">
        <v>1031</v>
      </c>
      <c r="S384" s="25" t="s">
        <v>14</v>
      </c>
      <c r="T384" s="26">
        <v>1</v>
      </c>
      <c r="U384" s="26">
        <v>1</v>
      </c>
      <c r="V384" s="26">
        <v>205982.81</v>
      </c>
      <c r="W384" s="26">
        <f t="shared" si="77"/>
        <v>0</v>
      </c>
      <c r="X384" s="26">
        <f t="shared" si="78"/>
        <v>0</v>
      </c>
      <c r="Y384" s="26">
        <f t="shared" si="79"/>
        <v>0</v>
      </c>
      <c r="Z384" s="26">
        <f t="shared" si="80"/>
        <v>0</v>
      </c>
      <c r="AA384" s="33" t="s">
        <v>15</v>
      </c>
      <c r="AB384" s="36" t="s">
        <v>16</v>
      </c>
      <c r="AC384" s="181">
        <f t="shared" si="65"/>
        <v>1</v>
      </c>
      <c r="AD384" s="181">
        <f t="shared" si="81"/>
        <v>205982.81</v>
      </c>
      <c r="AE384" s="181">
        <v>2</v>
      </c>
      <c r="AF384" s="181">
        <v>2</v>
      </c>
      <c r="AG384" s="101" t="str">
        <f t="shared" si="66"/>
        <v/>
      </c>
      <c r="AH384" s="190">
        <v>0</v>
      </c>
      <c r="AI384" s="69">
        <f t="shared" si="67"/>
        <v>1</v>
      </c>
    </row>
    <row r="385" spans="1:35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75"/>
      <c r="F385" s="161"/>
      <c r="G385" s="235"/>
      <c r="H385" s="158" t="s">
        <v>15</v>
      </c>
      <c r="I385" s="166">
        <v>2425000</v>
      </c>
      <c r="J385" s="75">
        <v>2425000</v>
      </c>
      <c r="K385" s="91" t="s">
        <v>1035</v>
      </c>
      <c r="L385" s="73"/>
      <c r="M385" s="46">
        <v>1</v>
      </c>
      <c r="N385" s="46">
        <v>0</v>
      </c>
      <c r="O385" s="46">
        <v>2425000</v>
      </c>
      <c r="P385" s="98"/>
      <c r="Q385" s="23" t="s">
        <v>1428</v>
      </c>
      <c r="R385" s="24" t="s">
        <v>1034</v>
      </c>
      <c r="S385" s="25" t="s">
        <v>14</v>
      </c>
      <c r="T385" s="26">
        <v>1</v>
      </c>
      <c r="U385" s="26">
        <v>1</v>
      </c>
      <c r="V385" s="26">
        <v>2425000</v>
      </c>
      <c r="W385" s="127">
        <f t="shared" si="77"/>
        <v>0</v>
      </c>
      <c r="X385" s="127">
        <f t="shared" si="78"/>
        <v>1</v>
      </c>
      <c r="Y385" s="127">
        <f t="shared" si="79"/>
        <v>0</v>
      </c>
      <c r="Z385" s="127">
        <f t="shared" si="80"/>
        <v>2425000</v>
      </c>
      <c r="AA385" s="33" t="s">
        <v>1499</v>
      </c>
      <c r="AB385" s="36" t="s">
        <v>16</v>
      </c>
      <c r="AC385" s="181">
        <f t="shared" si="65"/>
        <v>1</v>
      </c>
      <c r="AD385" s="181">
        <f t="shared" si="81"/>
        <v>2425000</v>
      </c>
      <c r="AE385" s="181">
        <v>2</v>
      </c>
      <c r="AF385" s="181">
        <v>2</v>
      </c>
      <c r="AG385" s="101" t="str">
        <f t="shared" si="66"/>
        <v/>
      </c>
      <c r="AH385" s="190">
        <v>1</v>
      </c>
      <c r="AI385" s="69">
        <f t="shared" si="67"/>
        <v>1</v>
      </c>
    </row>
    <row r="386" spans="1:35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235"/>
      <c r="H386" s="158" t="s">
        <v>15</v>
      </c>
      <c r="I386" s="166">
        <v>350000</v>
      </c>
      <c r="J386" s="75">
        <v>350000</v>
      </c>
      <c r="K386" s="91" t="s">
        <v>1038</v>
      </c>
      <c r="L386" s="73"/>
      <c r="M386" s="46">
        <v>0.5</v>
      </c>
      <c r="N386" s="46">
        <v>0</v>
      </c>
      <c r="O386" s="46">
        <v>175000</v>
      </c>
      <c r="P386" s="98"/>
      <c r="Q386" s="23" t="s">
        <v>1387</v>
      </c>
      <c r="R386" s="24" t="s">
        <v>1037</v>
      </c>
      <c r="S386" s="25" t="s">
        <v>14</v>
      </c>
      <c r="T386" s="26">
        <v>1</v>
      </c>
      <c r="U386" s="26">
        <v>1</v>
      </c>
      <c r="V386" s="26">
        <v>350000</v>
      </c>
      <c r="W386" s="128">
        <f t="shared" si="77"/>
        <v>0</v>
      </c>
      <c r="X386" s="26">
        <f t="shared" si="78"/>
        <v>0.5</v>
      </c>
      <c r="Y386" s="26">
        <f t="shared" si="79"/>
        <v>0</v>
      </c>
      <c r="Z386" s="26">
        <f t="shared" si="80"/>
        <v>175000</v>
      </c>
      <c r="AA386" s="33" t="s">
        <v>15</v>
      </c>
      <c r="AB386" s="36" t="s">
        <v>16</v>
      </c>
      <c r="AC386" s="181">
        <f t="shared" si="65"/>
        <v>1</v>
      </c>
      <c r="AD386" s="181">
        <f t="shared" si="81"/>
        <v>350000</v>
      </c>
      <c r="AE386" s="181">
        <v>2</v>
      </c>
      <c r="AF386" s="181">
        <v>2</v>
      </c>
      <c r="AG386" s="101" t="str">
        <f t="shared" si="66"/>
        <v/>
      </c>
      <c r="AH386" s="191">
        <v>0.5</v>
      </c>
      <c r="AI386" s="69">
        <f t="shared" si="67"/>
        <v>1</v>
      </c>
    </row>
    <row r="387" spans="1:35" ht="33" hidden="1" x14ac:dyDescent="0.3">
      <c r="A387" s="134" t="s">
        <v>1342</v>
      </c>
      <c r="B387" s="135" t="s">
        <v>1343</v>
      </c>
      <c r="C387" s="204" t="s">
        <v>50</v>
      </c>
      <c r="D387" s="133"/>
      <c r="E387" s="78"/>
      <c r="F387" s="163">
        <v>320</v>
      </c>
      <c r="G387" s="163"/>
      <c r="H387" s="62" t="s">
        <v>15</v>
      </c>
      <c r="I387" s="167">
        <v>10869.24</v>
      </c>
      <c r="J387" s="62">
        <v>3478156.8</v>
      </c>
      <c r="K387" s="93"/>
      <c r="M387" s="46">
        <v>320</v>
      </c>
      <c r="N387" s="46">
        <v>0</v>
      </c>
      <c r="O387" s="46">
        <v>3478156.8</v>
      </c>
      <c r="P387" s="98"/>
      <c r="Q387" s="23" t="s">
        <v>1405</v>
      </c>
      <c r="R387" s="24" t="s">
        <v>1343</v>
      </c>
      <c r="S387" s="25" t="s">
        <v>50</v>
      </c>
      <c r="T387" s="26">
        <v>0</v>
      </c>
      <c r="U387" s="26">
        <v>320</v>
      </c>
      <c r="V387" s="26">
        <v>10869.24</v>
      </c>
      <c r="W387" s="128">
        <f t="shared" si="77"/>
        <v>0</v>
      </c>
      <c r="X387" s="127">
        <f t="shared" si="78"/>
        <v>320</v>
      </c>
      <c r="Y387" s="127">
        <f t="shared" si="79"/>
        <v>0</v>
      </c>
      <c r="Z387" s="127">
        <f t="shared" si="80"/>
        <v>3478156.8</v>
      </c>
      <c r="AA387" s="27"/>
      <c r="AB387" s="36" t="s">
        <v>16</v>
      </c>
      <c r="AC387" s="181">
        <f t="shared" si="65"/>
        <v>320</v>
      </c>
      <c r="AD387" s="181">
        <f t="shared" si="81"/>
        <v>3478156.8</v>
      </c>
      <c r="AE387" s="181">
        <v>2</v>
      </c>
      <c r="AF387" s="181">
        <v>2</v>
      </c>
      <c r="AG387" s="101" t="str">
        <f t="shared" si="66"/>
        <v/>
      </c>
      <c r="AH387" s="191">
        <v>320</v>
      </c>
      <c r="AI387" s="69">
        <f t="shared" si="67"/>
        <v>320</v>
      </c>
    </row>
    <row r="388" spans="1:35" ht="33" hidden="1" x14ac:dyDescent="0.3">
      <c r="A388" s="144" t="s">
        <v>1344</v>
      </c>
      <c r="B388" s="145" t="s">
        <v>1345</v>
      </c>
      <c r="C388" s="206" t="s">
        <v>325</v>
      </c>
      <c r="D388" s="170"/>
      <c r="E388" s="147"/>
      <c r="F388" s="164">
        <v>2</v>
      </c>
      <c r="G388" s="163"/>
      <c r="H388" s="62" t="s">
        <v>15</v>
      </c>
      <c r="I388" s="168">
        <v>60995.57</v>
      </c>
      <c r="J388" s="148">
        <v>121991.14</v>
      </c>
      <c r="K388" s="149"/>
      <c r="M388" s="46">
        <v>2</v>
      </c>
      <c r="N388" s="46">
        <v>0</v>
      </c>
      <c r="O388" s="46">
        <v>121991.14</v>
      </c>
      <c r="P388" s="98"/>
      <c r="Q388" s="23" t="s">
        <v>1406</v>
      </c>
      <c r="R388" s="24" t="s">
        <v>1345</v>
      </c>
      <c r="S388" s="25" t="s">
        <v>325</v>
      </c>
      <c r="T388" s="26">
        <v>0</v>
      </c>
      <c r="U388" s="26">
        <v>2</v>
      </c>
      <c r="V388" s="26">
        <v>60995.57</v>
      </c>
      <c r="W388" s="127">
        <f t="shared" si="77"/>
        <v>0</v>
      </c>
      <c r="X388" s="127">
        <f t="shared" si="78"/>
        <v>2</v>
      </c>
      <c r="Y388" s="127">
        <f t="shared" si="79"/>
        <v>0</v>
      </c>
      <c r="Z388" s="127">
        <f t="shared" si="80"/>
        <v>121991.14</v>
      </c>
      <c r="AA388" s="27"/>
      <c r="AB388" s="36" t="s">
        <v>16</v>
      </c>
      <c r="AC388" s="181">
        <f t="shared" si="65"/>
        <v>2</v>
      </c>
      <c r="AD388" s="181">
        <f t="shared" si="81"/>
        <v>121991.14</v>
      </c>
      <c r="AE388" s="181">
        <v>2</v>
      </c>
      <c r="AF388" s="181">
        <v>2</v>
      </c>
      <c r="AG388" s="101" t="str">
        <f t="shared" si="66"/>
        <v/>
      </c>
      <c r="AH388" s="190">
        <v>2</v>
      </c>
      <c r="AI388" s="69">
        <f t="shared" si="67"/>
        <v>2</v>
      </c>
    </row>
    <row r="389" spans="1:35" ht="39" hidden="1" x14ac:dyDescent="0.3">
      <c r="A389" s="207" t="s">
        <v>3072</v>
      </c>
      <c r="B389" s="208" t="s">
        <v>3073</v>
      </c>
      <c r="C389" s="204" t="s">
        <v>97</v>
      </c>
      <c r="D389" s="171"/>
      <c r="E389" s="158"/>
      <c r="F389" s="165"/>
      <c r="G389" s="159">
        <v>220</v>
      </c>
      <c r="H389" s="223" t="s">
        <v>15</v>
      </c>
      <c r="I389" s="169">
        <v>1159.82</v>
      </c>
      <c r="J389" s="159">
        <v>255160.4</v>
      </c>
      <c r="K389" s="172"/>
      <c r="M389" s="46">
        <v>220</v>
      </c>
      <c r="N389" s="46">
        <v>0</v>
      </c>
      <c r="O389" s="46">
        <v>255160.4</v>
      </c>
      <c r="P389" s="98"/>
      <c r="Q389" s="23" t="s">
        <v>1414</v>
      </c>
      <c r="R389" s="24" t="s">
        <v>3073</v>
      </c>
      <c r="S389" s="25" t="s">
        <v>97</v>
      </c>
      <c r="T389" s="26"/>
      <c r="U389" s="26">
        <v>220</v>
      </c>
      <c r="V389" s="169">
        <v>1159.82</v>
      </c>
      <c r="W389" s="127">
        <f t="shared" si="77"/>
        <v>0</v>
      </c>
      <c r="X389" s="127">
        <f>W389+M389</f>
        <v>220</v>
      </c>
      <c r="Y389" s="127">
        <f t="shared" si="79"/>
        <v>0</v>
      </c>
      <c r="Z389" s="127">
        <f t="shared" si="80"/>
        <v>255160.4</v>
      </c>
      <c r="AA389" s="27"/>
      <c r="AB389" s="36"/>
      <c r="AC389" s="200">
        <v>220</v>
      </c>
      <c r="AD389" s="181">
        <f t="shared" si="81"/>
        <v>255160.4</v>
      </c>
      <c r="AE389" s="181">
        <v>2</v>
      </c>
      <c r="AF389" s="181">
        <v>2</v>
      </c>
      <c r="AG389" s="101"/>
      <c r="AH389" s="190">
        <v>220</v>
      </c>
      <c r="AI389" s="69">
        <f t="shared" si="67"/>
        <v>220</v>
      </c>
    </row>
    <row r="390" spans="1:35" ht="39" hidden="1" x14ac:dyDescent="0.3">
      <c r="A390" s="207" t="s">
        <v>3074</v>
      </c>
      <c r="B390" s="208" t="s">
        <v>3075</v>
      </c>
      <c r="C390" s="204" t="s">
        <v>97</v>
      </c>
      <c r="D390" s="171"/>
      <c r="E390" s="158"/>
      <c r="F390" s="165"/>
      <c r="G390" s="159">
        <v>264.5</v>
      </c>
      <c r="H390" s="223" t="s">
        <v>15</v>
      </c>
      <c r="I390" s="169">
        <v>689.89</v>
      </c>
      <c r="J390" s="159">
        <v>182475.91</v>
      </c>
      <c r="K390" s="172"/>
      <c r="M390" s="46">
        <v>264.5</v>
      </c>
      <c r="N390" s="46">
        <v>0</v>
      </c>
      <c r="O390" s="46">
        <v>182475.91</v>
      </c>
      <c r="P390" s="98"/>
      <c r="Q390" s="23" t="s">
        <v>1429</v>
      </c>
      <c r="R390" s="24" t="s">
        <v>3075</v>
      </c>
      <c r="S390" s="25" t="s">
        <v>97</v>
      </c>
      <c r="T390" s="26"/>
      <c r="U390" s="26">
        <v>264.5</v>
      </c>
      <c r="V390" s="169">
        <v>689.89</v>
      </c>
      <c r="W390" s="127">
        <f t="shared" si="77"/>
        <v>0</v>
      </c>
      <c r="X390" s="127">
        <f t="shared" ref="X390:X406" si="82">W390+M390</f>
        <v>264.5</v>
      </c>
      <c r="Y390" s="127">
        <f t="shared" si="79"/>
        <v>0</v>
      </c>
      <c r="Z390" s="127">
        <f t="shared" si="80"/>
        <v>182475.91</v>
      </c>
      <c r="AA390" s="27"/>
      <c r="AB390" s="36"/>
      <c r="AC390" s="200">
        <v>264.5</v>
      </c>
      <c r="AD390" s="181">
        <f t="shared" si="81"/>
        <v>182475.91</v>
      </c>
      <c r="AE390" s="181">
        <v>2</v>
      </c>
      <c r="AF390" s="181">
        <v>2</v>
      </c>
      <c r="AG390" s="101"/>
      <c r="AH390" s="190">
        <v>264.5</v>
      </c>
      <c r="AI390" s="69">
        <f t="shared" si="67"/>
        <v>264.5</v>
      </c>
    </row>
    <row r="391" spans="1:35" ht="49.5" hidden="1" x14ac:dyDescent="0.3">
      <c r="A391" s="207" t="s">
        <v>3076</v>
      </c>
      <c r="B391" s="241" t="s">
        <v>3077</v>
      </c>
      <c r="C391" s="204" t="s">
        <v>97</v>
      </c>
      <c r="D391" s="171"/>
      <c r="E391" s="158"/>
      <c r="F391" s="165"/>
      <c r="G391" s="159">
        <v>218.5</v>
      </c>
      <c r="H391" s="223" t="s">
        <v>15</v>
      </c>
      <c r="I391" s="169">
        <v>899.86</v>
      </c>
      <c r="J391" s="159">
        <v>196619.41</v>
      </c>
      <c r="K391" s="172"/>
      <c r="M391" s="46">
        <v>218.5</v>
      </c>
      <c r="N391" s="46">
        <v>0</v>
      </c>
      <c r="O391" s="46">
        <v>196619.41</v>
      </c>
      <c r="P391" s="98"/>
      <c r="Q391" s="23" t="s">
        <v>1430</v>
      </c>
      <c r="R391" s="24" t="s">
        <v>3077</v>
      </c>
      <c r="S391" s="25" t="s">
        <v>97</v>
      </c>
      <c r="T391" s="26"/>
      <c r="U391" s="26">
        <v>218.5</v>
      </c>
      <c r="V391" s="169">
        <v>899.86</v>
      </c>
      <c r="W391" s="127">
        <f t="shared" si="77"/>
        <v>0</v>
      </c>
      <c r="X391" s="127">
        <f t="shared" si="82"/>
        <v>218.5</v>
      </c>
      <c r="Y391" s="127">
        <f t="shared" si="79"/>
        <v>0</v>
      </c>
      <c r="Z391" s="127">
        <f t="shared" si="80"/>
        <v>196619.41</v>
      </c>
      <c r="AA391" s="27"/>
      <c r="AB391" s="36"/>
      <c r="AC391" s="200">
        <v>218.5</v>
      </c>
      <c r="AD391" s="181">
        <f t="shared" si="81"/>
        <v>196619.41</v>
      </c>
      <c r="AE391" s="181">
        <v>2</v>
      </c>
      <c r="AF391" s="181">
        <v>2</v>
      </c>
      <c r="AG391" s="101"/>
      <c r="AH391" s="190">
        <v>218.5</v>
      </c>
      <c r="AI391" s="69">
        <f t="shared" si="67"/>
        <v>218.5</v>
      </c>
    </row>
    <row r="392" spans="1:35" ht="39" hidden="1" x14ac:dyDescent="0.3">
      <c r="A392" s="207" t="s">
        <v>3078</v>
      </c>
      <c r="B392" s="208" t="s">
        <v>3079</v>
      </c>
      <c r="C392" s="204" t="s">
        <v>97</v>
      </c>
      <c r="D392" s="171"/>
      <c r="E392" s="158"/>
      <c r="F392" s="165"/>
      <c r="G392" s="159">
        <v>87.5</v>
      </c>
      <c r="H392" s="223" t="s">
        <v>15</v>
      </c>
      <c r="I392" s="169">
        <v>1499.76</v>
      </c>
      <c r="J392" s="159">
        <v>131229</v>
      </c>
      <c r="K392" s="172"/>
      <c r="M392" s="46">
        <v>87.5</v>
      </c>
      <c r="N392" s="46">
        <v>0</v>
      </c>
      <c r="O392" s="46">
        <v>131229</v>
      </c>
      <c r="P392" s="98"/>
      <c r="Q392" s="23" t="s">
        <v>1431</v>
      </c>
      <c r="R392" s="24" t="s">
        <v>3079</v>
      </c>
      <c r="S392" s="25" t="s">
        <v>97</v>
      </c>
      <c r="T392" s="26"/>
      <c r="U392" s="26">
        <v>87.5</v>
      </c>
      <c r="V392" s="169">
        <v>1499.76</v>
      </c>
      <c r="W392" s="127">
        <f t="shared" si="77"/>
        <v>0</v>
      </c>
      <c r="X392" s="127">
        <f t="shared" si="82"/>
        <v>87.5</v>
      </c>
      <c r="Y392" s="127">
        <f t="shared" si="79"/>
        <v>0</v>
      </c>
      <c r="Z392" s="127">
        <f t="shared" si="80"/>
        <v>131229</v>
      </c>
      <c r="AA392" s="27"/>
      <c r="AB392" s="36"/>
      <c r="AC392" s="200">
        <v>87.5</v>
      </c>
      <c r="AD392" s="181">
        <f t="shared" si="81"/>
        <v>131229</v>
      </c>
      <c r="AE392" s="181">
        <v>2</v>
      </c>
      <c r="AF392" s="181">
        <v>2</v>
      </c>
      <c r="AG392" s="101"/>
      <c r="AH392" s="190">
        <v>87.5</v>
      </c>
      <c r="AI392" s="69">
        <f t="shared" si="67"/>
        <v>87.5</v>
      </c>
    </row>
    <row r="393" spans="1:35" ht="39" hidden="1" x14ac:dyDescent="0.3">
      <c r="A393" s="207" t="s">
        <v>3080</v>
      </c>
      <c r="B393" s="208" t="s">
        <v>3081</v>
      </c>
      <c r="C393" s="204" t="s">
        <v>97</v>
      </c>
      <c r="D393" s="171"/>
      <c r="E393" s="158"/>
      <c r="F393" s="159"/>
      <c r="G393" s="159">
        <v>144.5</v>
      </c>
      <c r="H393" s="159" t="s">
        <v>15</v>
      </c>
      <c r="I393" s="158">
        <v>1419.78</v>
      </c>
      <c r="J393" s="159">
        <v>205158.21</v>
      </c>
      <c r="K393" s="172"/>
      <c r="M393" s="46">
        <v>144.5</v>
      </c>
      <c r="N393" s="46">
        <v>0</v>
      </c>
      <c r="O393" s="46">
        <v>205158.21</v>
      </c>
      <c r="P393" s="98"/>
      <c r="Q393" s="23" t="s">
        <v>1395</v>
      </c>
      <c r="R393" s="24" t="s">
        <v>3081</v>
      </c>
      <c r="S393" s="25" t="s">
        <v>97</v>
      </c>
      <c r="T393" s="26"/>
      <c r="U393" s="26">
        <v>144.5</v>
      </c>
      <c r="V393" s="158">
        <v>1419.78</v>
      </c>
      <c r="W393" s="127">
        <f t="shared" si="77"/>
        <v>0</v>
      </c>
      <c r="X393" s="127">
        <f t="shared" si="82"/>
        <v>144.5</v>
      </c>
      <c r="Y393" s="127">
        <f t="shared" si="79"/>
        <v>0</v>
      </c>
      <c r="Z393" s="127">
        <f t="shared" si="80"/>
        <v>205158.21</v>
      </c>
      <c r="AA393" s="27"/>
      <c r="AB393" s="36"/>
      <c r="AC393" s="200">
        <v>144.5</v>
      </c>
      <c r="AD393" s="181">
        <f t="shared" si="81"/>
        <v>205158.21</v>
      </c>
      <c r="AE393" s="181">
        <v>2</v>
      </c>
      <c r="AF393" s="181">
        <v>2</v>
      </c>
      <c r="AG393" s="101"/>
      <c r="AH393" s="190">
        <v>144.5</v>
      </c>
      <c r="AI393" s="69">
        <f t="shared" si="67"/>
        <v>144.5</v>
      </c>
    </row>
    <row r="394" spans="1:35" hidden="1" x14ac:dyDescent="0.3">
      <c r="A394" s="207" t="s">
        <v>3082</v>
      </c>
      <c r="B394" s="208" t="s">
        <v>3083</v>
      </c>
      <c r="C394" s="204" t="s">
        <v>97</v>
      </c>
      <c r="D394" s="171"/>
      <c r="E394" s="158"/>
      <c r="F394" s="159"/>
      <c r="G394" s="159">
        <v>27</v>
      </c>
      <c r="H394" s="159" t="s">
        <v>15</v>
      </c>
      <c r="I394" s="158">
        <v>2999.53</v>
      </c>
      <c r="J394" s="159">
        <v>80987.31</v>
      </c>
      <c r="K394" s="172"/>
      <c r="M394" s="46">
        <v>27</v>
      </c>
      <c r="N394" s="46">
        <v>0</v>
      </c>
      <c r="O394" s="46">
        <v>80987.31</v>
      </c>
      <c r="P394" s="98"/>
      <c r="Q394" s="23" t="s">
        <v>1432</v>
      </c>
      <c r="R394" s="24" t="s">
        <v>3083</v>
      </c>
      <c r="S394" s="25" t="s">
        <v>97</v>
      </c>
      <c r="T394" s="26"/>
      <c r="U394" s="26">
        <v>27</v>
      </c>
      <c r="V394" s="158">
        <v>2999.53</v>
      </c>
      <c r="W394" s="127">
        <f t="shared" si="77"/>
        <v>0</v>
      </c>
      <c r="X394" s="127">
        <f t="shared" si="82"/>
        <v>27</v>
      </c>
      <c r="Y394" s="127">
        <f t="shared" si="79"/>
        <v>0</v>
      </c>
      <c r="Z394" s="127">
        <f t="shared" si="80"/>
        <v>80987.31</v>
      </c>
      <c r="AA394" s="27"/>
      <c r="AB394" s="36"/>
      <c r="AC394" s="200">
        <v>27</v>
      </c>
      <c r="AD394" s="181">
        <f t="shared" si="81"/>
        <v>80987.31</v>
      </c>
      <c r="AE394" s="181">
        <v>2</v>
      </c>
      <c r="AF394" s="181">
        <v>2</v>
      </c>
      <c r="AG394" s="101"/>
      <c r="AH394" s="190">
        <v>27</v>
      </c>
      <c r="AI394" s="69">
        <f t="shared" si="67"/>
        <v>27</v>
      </c>
    </row>
    <row r="395" spans="1:35" hidden="1" x14ac:dyDescent="0.3">
      <c r="A395" s="207" t="s">
        <v>3084</v>
      </c>
      <c r="B395" s="208" t="s">
        <v>3085</v>
      </c>
      <c r="C395" s="204" t="s">
        <v>97</v>
      </c>
      <c r="D395" s="171"/>
      <c r="E395" s="158"/>
      <c r="F395" s="159"/>
      <c r="G395" s="159">
        <v>28</v>
      </c>
      <c r="H395" s="159" t="s">
        <v>15</v>
      </c>
      <c r="I395" s="158">
        <v>1364.78</v>
      </c>
      <c r="J395" s="159">
        <v>38213.839999999997</v>
      </c>
      <c r="K395" s="172"/>
      <c r="M395" s="46">
        <v>28</v>
      </c>
      <c r="N395" s="46">
        <v>0</v>
      </c>
      <c r="O395" s="46">
        <v>38213.839999999997</v>
      </c>
      <c r="P395" s="98"/>
      <c r="Q395" s="23" t="s">
        <v>1433</v>
      </c>
      <c r="R395" s="24" t="s">
        <v>3085</v>
      </c>
      <c r="S395" s="25" t="s">
        <v>97</v>
      </c>
      <c r="T395" s="26"/>
      <c r="U395" s="26">
        <v>28</v>
      </c>
      <c r="V395" s="158">
        <v>1364.78</v>
      </c>
      <c r="W395" s="127">
        <f t="shared" si="77"/>
        <v>0</v>
      </c>
      <c r="X395" s="127">
        <f t="shared" si="82"/>
        <v>28</v>
      </c>
      <c r="Y395" s="127">
        <f t="shared" si="79"/>
        <v>0</v>
      </c>
      <c r="Z395" s="127">
        <f t="shared" si="80"/>
        <v>38213.839999999997</v>
      </c>
      <c r="AA395" s="27"/>
      <c r="AB395" s="36"/>
      <c r="AC395" s="200">
        <v>28</v>
      </c>
      <c r="AD395" s="181">
        <f t="shared" si="81"/>
        <v>38213.839999999997</v>
      </c>
      <c r="AE395" s="181">
        <v>2</v>
      </c>
      <c r="AF395" s="181">
        <v>2</v>
      </c>
      <c r="AG395" s="101"/>
      <c r="AH395" s="190">
        <v>28</v>
      </c>
      <c r="AI395" s="69">
        <f t="shared" ref="AI395:AI459" si="83">IF(G395=0,IF(F395=0,IF(E395=0,D395,E395),F395),G395)</f>
        <v>28</v>
      </c>
    </row>
    <row r="396" spans="1:35" ht="39" hidden="1" x14ac:dyDescent="0.3">
      <c r="A396" s="207" t="s">
        <v>3086</v>
      </c>
      <c r="B396" s="208" t="s">
        <v>3087</v>
      </c>
      <c r="C396" s="204" t="s">
        <v>97</v>
      </c>
      <c r="D396" s="171"/>
      <c r="E396" s="158"/>
      <c r="F396" s="159"/>
      <c r="G396" s="159">
        <v>156</v>
      </c>
      <c r="H396" s="159" t="s">
        <v>15</v>
      </c>
      <c r="I396" s="158">
        <v>771.88</v>
      </c>
      <c r="J396" s="159">
        <v>120413.28</v>
      </c>
      <c r="K396" s="172"/>
      <c r="M396" s="46">
        <v>156</v>
      </c>
      <c r="N396" s="46">
        <v>0</v>
      </c>
      <c r="O396" s="46">
        <v>120413.28</v>
      </c>
      <c r="P396" s="98"/>
      <c r="Q396" s="23" t="s">
        <v>1382</v>
      </c>
      <c r="R396" s="24" t="s">
        <v>3087</v>
      </c>
      <c r="S396" s="25" t="s">
        <v>97</v>
      </c>
      <c r="T396" s="26"/>
      <c r="U396" s="26">
        <v>156</v>
      </c>
      <c r="V396" s="158">
        <v>771.88</v>
      </c>
      <c r="W396" s="127">
        <f t="shared" si="77"/>
        <v>0</v>
      </c>
      <c r="X396" s="127">
        <f t="shared" si="82"/>
        <v>156</v>
      </c>
      <c r="Y396" s="127">
        <f t="shared" si="79"/>
        <v>0</v>
      </c>
      <c r="Z396" s="127">
        <f t="shared" si="80"/>
        <v>120413.28</v>
      </c>
      <c r="AA396" s="27"/>
      <c r="AB396" s="36"/>
      <c r="AC396" s="200">
        <v>156</v>
      </c>
      <c r="AD396" s="181">
        <f t="shared" si="81"/>
        <v>120413.28</v>
      </c>
      <c r="AE396" s="181">
        <v>2</v>
      </c>
      <c r="AF396" s="181">
        <v>2</v>
      </c>
      <c r="AG396" s="101"/>
      <c r="AH396" s="190">
        <v>156</v>
      </c>
      <c r="AI396" s="69">
        <f t="shared" si="83"/>
        <v>156</v>
      </c>
    </row>
    <row r="397" spans="1:35" ht="39" hidden="1" x14ac:dyDescent="0.3">
      <c r="A397" s="207" t="s">
        <v>3088</v>
      </c>
      <c r="B397" s="208" t="s">
        <v>3089</v>
      </c>
      <c r="C397" s="204" t="s">
        <v>97</v>
      </c>
      <c r="D397" s="171"/>
      <c r="E397" s="158"/>
      <c r="F397" s="159"/>
      <c r="G397" s="242">
        <v>1917</v>
      </c>
      <c r="H397" s="219" t="s">
        <v>15</v>
      </c>
      <c r="I397" s="158">
        <v>400.94</v>
      </c>
      <c r="J397" s="159">
        <v>768601.98</v>
      </c>
      <c r="K397" s="172"/>
      <c r="M397" s="46">
        <v>1917</v>
      </c>
      <c r="N397" s="46">
        <v>0</v>
      </c>
      <c r="O397" s="46">
        <v>768601.98</v>
      </c>
      <c r="P397" s="98"/>
      <c r="Q397" s="23" t="s">
        <v>1434</v>
      </c>
      <c r="R397" s="24" t="s">
        <v>3089</v>
      </c>
      <c r="S397" s="25" t="s">
        <v>97</v>
      </c>
      <c r="T397" s="26"/>
      <c r="U397" s="26">
        <v>1917</v>
      </c>
      <c r="V397" s="158">
        <v>400.94</v>
      </c>
      <c r="W397" s="127">
        <f t="shared" si="77"/>
        <v>0</v>
      </c>
      <c r="X397" s="127">
        <f t="shared" si="82"/>
        <v>1917</v>
      </c>
      <c r="Y397" s="127">
        <f t="shared" si="79"/>
        <v>0</v>
      </c>
      <c r="Z397" s="127">
        <f t="shared" si="80"/>
        <v>768601.98</v>
      </c>
      <c r="AA397" s="27"/>
      <c r="AB397" s="36"/>
      <c r="AC397" s="200">
        <v>1917</v>
      </c>
      <c r="AD397" s="181">
        <f t="shared" si="81"/>
        <v>768601.98</v>
      </c>
      <c r="AE397" s="181">
        <v>2</v>
      </c>
      <c r="AF397" s="181">
        <v>2</v>
      </c>
      <c r="AG397" s="101"/>
      <c r="AH397" s="190">
        <v>1917</v>
      </c>
      <c r="AI397" s="69">
        <f t="shared" si="83"/>
        <v>1917</v>
      </c>
    </row>
    <row r="398" spans="1:35" hidden="1" x14ac:dyDescent="0.3">
      <c r="A398" s="207" t="s">
        <v>3090</v>
      </c>
      <c r="B398" s="208" t="s">
        <v>3091</v>
      </c>
      <c r="C398" s="204" t="s">
        <v>97</v>
      </c>
      <c r="D398" s="171"/>
      <c r="E398" s="158"/>
      <c r="F398" s="159"/>
      <c r="G398" s="159">
        <v>380</v>
      </c>
      <c r="H398" s="159" t="s">
        <v>15</v>
      </c>
      <c r="I398" s="158">
        <v>280.95999999999998</v>
      </c>
      <c r="J398" s="159">
        <v>106764.8</v>
      </c>
      <c r="K398" s="172"/>
      <c r="M398" s="46">
        <v>380</v>
      </c>
      <c r="N398" s="46">
        <v>0</v>
      </c>
      <c r="O398" s="46">
        <v>106764.8</v>
      </c>
      <c r="P398" s="98"/>
      <c r="Q398" s="23" t="s">
        <v>1388</v>
      </c>
      <c r="R398" s="24" t="s">
        <v>3091</v>
      </c>
      <c r="S398" s="25" t="s">
        <v>97</v>
      </c>
      <c r="T398" s="26"/>
      <c r="U398" s="26">
        <v>380</v>
      </c>
      <c r="V398" s="158">
        <v>280.95999999999998</v>
      </c>
      <c r="W398" s="127">
        <f t="shared" si="77"/>
        <v>0</v>
      </c>
      <c r="X398" s="127">
        <f t="shared" si="82"/>
        <v>380</v>
      </c>
      <c r="Y398" s="127">
        <f t="shared" si="79"/>
        <v>0</v>
      </c>
      <c r="Z398" s="127">
        <f t="shared" si="80"/>
        <v>106764.8</v>
      </c>
      <c r="AA398" s="27"/>
      <c r="AB398" s="36"/>
      <c r="AC398" s="200">
        <v>380</v>
      </c>
      <c r="AD398" s="181">
        <f t="shared" si="81"/>
        <v>106764.8</v>
      </c>
      <c r="AE398" s="181">
        <v>2</v>
      </c>
      <c r="AF398" s="181">
        <v>2</v>
      </c>
      <c r="AG398" s="101"/>
      <c r="AH398" s="190">
        <v>380</v>
      </c>
      <c r="AI398" s="69">
        <f t="shared" si="83"/>
        <v>380</v>
      </c>
    </row>
    <row r="399" spans="1:35" ht="33" hidden="1" x14ac:dyDescent="0.3">
      <c r="A399" s="207" t="s">
        <v>3092</v>
      </c>
      <c r="B399" s="241" t="s">
        <v>3093</v>
      </c>
      <c r="C399" s="204" t="s">
        <v>97</v>
      </c>
      <c r="D399" s="171"/>
      <c r="E399" s="158"/>
      <c r="F399" s="159"/>
      <c r="G399" s="159">
        <v>660.5</v>
      </c>
      <c r="H399" s="159" t="s">
        <v>15</v>
      </c>
      <c r="I399" s="158">
        <v>800.87</v>
      </c>
      <c r="J399" s="159">
        <v>528974.64</v>
      </c>
      <c r="K399" s="172"/>
      <c r="M399" s="46">
        <v>660.5</v>
      </c>
      <c r="N399" s="46">
        <v>0</v>
      </c>
      <c r="O399" s="46">
        <v>528974.64</v>
      </c>
      <c r="P399" s="98"/>
      <c r="Q399" s="23" t="s">
        <v>1389</v>
      </c>
      <c r="R399" s="24" t="s">
        <v>3093</v>
      </c>
      <c r="S399" s="25" t="s">
        <v>97</v>
      </c>
      <c r="T399" s="26"/>
      <c r="U399" s="26">
        <v>660.5</v>
      </c>
      <c r="V399" s="158">
        <v>800.87</v>
      </c>
      <c r="W399" s="127">
        <f t="shared" si="77"/>
        <v>0</v>
      </c>
      <c r="X399" s="127">
        <f t="shared" si="82"/>
        <v>660.5</v>
      </c>
      <c r="Y399" s="127">
        <f t="shared" si="79"/>
        <v>0</v>
      </c>
      <c r="Z399" s="127">
        <f t="shared" si="80"/>
        <v>528974.64</v>
      </c>
      <c r="AA399" s="27"/>
      <c r="AB399" s="36"/>
      <c r="AC399" s="200">
        <v>660.5</v>
      </c>
      <c r="AD399" s="181">
        <f t="shared" si="81"/>
        <v>528974.64</v>
      </c>
      <c r="AE399" s="181">
        <v>2</v>
      </c>
      <c r="AF399" s="181">
        <v>2</v>
      </c>
      <c r="AG399" s="101"/>
      <c r="AH399" s="190">
        <v>660.5</v>
      </c>
      <c r="AI399" s="69">
        <f t="shared" si="83"/>
        <v>660.5</v>
      </c>
    </row>
    <row r="400" spans="1:35" hidden="1" x14ac:dyDescent="0.3">
      <c r="A400" s="207" t="s">
        <v>3094</v>
      </c>
      <c r="B400" s="208" t="s">
        <v>3095</v>
      </c>
      <c r="C400" s="204" t="s">
        <v>97</v>
      </c>
      <c r="D400" s="171"/>
      <c r="E400" s="158"/>
      <c r="F400" s="159"/>
      <c r="G400" s="159">
        <v>288.5</v>
      </c>
      <c r="H400" s="159" t="s">
        <v>15</v>
      </c>
      <c r="I400" s="158">
        <v>561.91</v>
      </c>
      <c r="J400" s="159">
        <v>162111.04000000001</v>
      </c>
      <c r="K400" s="172"/>
      <c r="M400" s="46">
        <v>288.5</v>
      </c>
      <c r="N400" s="46">
        <v>0</v>
      </c>
      <c r="O400" s="46">
        <v>162111.04000000001</v>
      </c>
      <c r="P400" s="98"/>
      <c r="Q400" s="23" t="s">
        <v>1390</v>
      </c>
      <c r="R400" s="24" t="s">
        <v>3095</v>
      </c>
      <c r="S400" s="25" t="s">
        <v>97</v>
      </c>
      <c r="T400" s="26"/>
      <c r="U400" s="26">
        <v>288.5</v>
      </c>
      <c r="V400" s="158">
        <v>561.91</v>
      </c>
      <c r="W400" s="127">
        <f t="shared" si="77"/>
        <v>0</v>
      </c>
      <c r="X400" s="127">
        <f t="shared" si="82"/>
        <v>288.5</v>
      </c>
      <c r="Y400" s="127">
        <f t="shared" si="79"/>
        <v>0</v>
      </c>
      <c r="Z400" s="127">
        <f t="shared" si="80"/>
        <v>162111.04000000001</v>
      </c>
      <c r="AA400" s="27"/>
      <c r="AB400" s="36"/>
      <c r="AC400" s="200">
        <v>288.5</v>
      </c>
      <c r="AD400" s="181">
        <f t="shared" si="81"/>
        <v>162111.04000000001</v>
      </c>
      <c r="AE400" s="181">
        <v>2</v>
      </c>
      <c r="AF400" s="181">
        <v>2</v>
      </c>
      <c r="AG400" s="101"/>
      <c r="AH400" s="190">
        <v>288.5</v>
      </c>
      <c r="AI400" s="69">
        <f t="shared" si="83"/>
        <v>288.5</v>
      </c>
    </row>
    <row r="401" spans="1:38" ht="39" hidden="1" x14ac:dyDescent="0.3">
      <c r="A401" s="207" t="s">
        <v>3096</v>
      </c>
      <c r="B401" s="208" t="s">
        <v>3097</v>
      </c>
      <c r="C401" s="204" t="s">
        <v>97</v>
      </c>
      <c r="D401" s="171"/>
      <c r="E401" s="158"/>
      <c r="F401" s="159"/>
      <c r="G401" s="159">
        <v>438</v>
      </c>
      <c r="H401" s="159" t="s">
        <v>15</v>
      </c>
      <c r="I401" s="158">
        <v>519.91999999999996</v>
      </c>
      <c r="J401" s="159">
        <v>227724.96</v>
      </c>
      <c r="K401" s="172"/>
      <c r="M401" s="46">
        <v>438</v>
      </c>
      <c r="N401" s="46">
        <v>0</v>
      </c>
      <c r="O401" s="46">
        <v>227724.96</v>
      </c>
      <c r="P401" s="98"/>
      <c r="Q401" s="23" t="s">
        <v>1391</v>
      </c>
      <c r="R401" s="24" t="s">
        <v>3097</v>
      </c>
      <c r="S401" s="25" t="s">
        <v>97</v>
      </c>
      <c r="T401" s="26"/>
      <c r="U401" s="26">
        <v>438</v>
      </c>
      <c r="V401" s="158">
        <v>519.91999999999996</v>
      </c>
      <c r="W401" s="127">
        <f t="shared" si="77"/>
        <v>0</v>
      </c>
      <c r="X401" s="127">
        <f t="shared" si="82"/>
        <v>438</v>
      </c>
      <c r="Y401" s="127">
        <f t="shared" si="79"/>
        <v>0</v>
      </c>
      <c r="Z401" s="127">
        <f t="shared" si="80"/>
        <v>227724.96</v>
      </c>
      <c r="AA401" s="27"/>
      <c r="AB401" s="36"/>
      <c r="AC401" s="200">
        <v>438</v>
      </c>
      <c r="AD401" s="181">
        <f t="shared" si="81"/>
        <v>227724.96</v>
      </c>
      <c r="AE401" s="181">
        <v>2</v>
      </c>
      <c r="AF401" s="181">
        <v>2</v>
      </c>
      <c r="AG401" s="101"/>
      <c r="AH401" s="190">
        <v>438</v>
      </c>
      <c r="AI401" s="69">
        <f t="shared" si="83"/>
        <v>438</v>
      </c>
    </row>
    <row r="402" spans="1:38" ht="39" hidden="1" x14ac:dyDescent="0.3">
      <c r="A402" s="207" t="s">
        <v>3098</v>
      </c>
      <c r="B402" s="208" t="s">
        <v>3099</v>
      </c>
      <c r="C402" s="204" t="s">
        <v>97</v>
      </c>
      <c r="D402" s="171"/>
      <c r="E402" s="158"/>
      <c r="F402" s="159"/>
      <c r="G402" s="159">
        <v>54</v>
      </c>
      <c r="H402" s="159" t="s">
        <v>15</v>
      </c>
      <c r="I402" s="158">
        <v>1579.75</v>
      </c>
      <c r="J402" s="159">
        <v>85306.5</v>
      </c>
      <c r="K402" s="172"/>
      <c r="M402" s="46">
        <v>54</v>
      </c>
      <c r="N402" s="46">
        <v>0</v>
      </c>
      <c r="O402" s="46">
        <v>85306.5</v>
      </c>
      <c r="P402" s="98"/>
      <c r="Q402" s="23" t="s">
        <v>1436</v>
      </c>
      <c r="R402" s="24" t="s">
        <v>3099</v>
      </c>
      <c r="S402" s="25" t="s">
        <v>97</v>
      </c>
      <c r="T402" s="26"/>
      <c r="U402" s="26">
        <v>54</v>
      </c>
      <c r="V402" s="158">
        <v>1579.75</v>
      </c>
      <c r="W402" s="127">
        <f t="shared" si="77"/>
        <v>0</v>
      </c>
      <c r="X402" s="127">
        <f t="shared" si="82"/>
        <v>54</v>
      </c>
      <c r="Y402" s="127">
        <f t="shared" si="79"/>
        <v>0</v>
      </c>
      <c r="Z402" s="127">
        <f t="shared" si="80"/>
        <v>85306.5</v>
      </c>
      <c r="AA402" s="27"/>
      <c r="AB402" s="36"/>
      <c r="AC402" s="200">
        <v>54</v>
      </c>
      <c r="AD402" s="181">
        <f t="shared" si="81"/>
        <v>85306.5</v>
      </c>
      <c r="AE402" s="181">
        <v>2</v>
      </c>
      <c r="AF402" s="181">
        <v>2</v>
      </c>
      <c r="AG402" s="101"/>
      <c r="AH402" s="190">
        <v>54</v>
      </c>
      <c r="AI402" s="69">
        <f t="shared" si="83"/>
        <v>54</v>
      </c>
    </row>
    <row r="403" spans="1:38" ht="39" hidden="1" x14ac:dyDescent="0.3">
      <c r="A403" s="207" t="s">
        <v>3100</v>
      </c>
      <c r="B403" s="208" t="s">
        <v>3101</v>
      </c>
      <c r="C403" s="204" t="s">
        <v>97</v>
      </c>
      <c r="D403" s="171"/>
      <c r="E403" s="158"/>
      <c r="F403" s="159"/>
      <c r="G403" s="159">
        <v>519.5</v>
      </c>
      <c r="H403" s="159" t="s">
        <v>15</v>
      </c>
      <c r="I403" s="158">
        <v>209.97</v>
      </c>
      <c r="J403" s="159">
        <v>109079.42</v>
      </c>
      <c r="K403" s="172"/>
      <c r="M403" s="46">
        <v>519.5</v>
      </c>
      <c r="N403" s="46">
        <v>0</v>
      </c>
      <c r="O403" s="46">
        <v>109079.42</v>
      </c>
      <c r="P403" s="98"/>
      <c r="Q403" s="23" t="s">
        <v>1374</v>
      </c>
      <c r="R403" s="24" t="s">
        <v>3101</v>
      </c>
      <c r="S403" s="25" t="s">
        <v>97</v>
      </c>
      <c r="T403" s="26"/>
      <c r="U403" s="26">
        <v>519.5</v>
      </c>
      <c r="V403" s="158">
        <v>209.97</v>
      </c>
      <c r="W403" s="127">
        <f t="shared" si="77"/>
        <v>0</v>
      </c>
      <c r="X403" s="127">
        <f t="shared" si="82"/>
        <v>519.5</v>
      </c>
      <c r="Y403" s="127">
        <f t="shared" si="79"/>
        <v>0</v>
      </c>
      <c r="Z403" s="127">
        <f t="shared" si="80"/>
        <v>109079.42</v>
      </c>
      <c r="AA403" s="27"/>
      <c r="AB403" s="36"/>
      <c r="AC403" s="200">
        <v>519.5</v>
      </c>
      <c r="AD403" s="181">
        <f t="shared" si="81"/>
        <v>109079.42</v>
      </c>
      <c r="AE403" s="181">
        <v>2</v>
      </c>
      <c r="AF403" s="181">
        <v>2</v>
      </c>
      <c r="AG403" s="101"/>
      <c r="AH403" s="190">
        <v>519.5</v>
      </c>
      <c r="AI403" s="69">
        <f t="shared" si="83"/>
        <v>519.5</v>
      </c>
    </row>
    <row r="404" spans="1:38" ht="49.5" hidden="1" x14ac:dyDescent="0.3">
      <c r="A404" s="207" t="s">
        <v>3102</v>
      </c>
      <c r="B404" s="241" t="s">
        <v>3103</v>
      </c>
      <c r="C404" s="204" t="s">
        <v>66</v>
      </c>
      <c r="D404" s="171"/>
      <c r="E404" s="158"/>
      <c r="F404" s="159"/>
      <c r="G404" s="159">
        <v>5</v>
      </c>
      <c r="H404" s="159" t="s">
        <v>15</v>
      </c>
      <c r="I404" s="158">
        <v>10798.3</v>
      </c>
      <c r="J404" s="159">
        <v>53991.5</v>
      </c>
      <c r="K404" s="172"/>
      <c r="M404" s="46">
        <v>5</v>
      </c>
      <c r="N404" s="46">
        <v>0</v>
      </c>
      <c r="O404" s="46">
        <v>53991.5</v>
      </c>
      <c r="P404" s="98"/>
      <c r="Q404" s="23" t="s">
        <v>1376</v>
      </c>
      <c r="R404" s="24" t="s">
        <v>3103</v>
      </c>
      <c r="S404" s="25" t="s">
        <v>66</v>
      </c>
      <c r="T404" s="26"/>
      <c r="U404" s="26">
        <v>5</v>
      </c>
      <c r="V404" s="158">
        <v>10798.3</v>
      </c>
      <c r="W404" s="127">
        <f t="shared" si="77"/>
        <v>0</v>
      </c>
      <c r="X404" s="127">
        <f t="shared" si="82"/>
        <v>5</v>
      </c>
      <c r="Y404" s="127">
        <f t="shared" si="79"/>
        <v>0</v>
      </c>
      <c r="Z404" s="127">
        <f t="shared" si="80"/>
        <v>53991.5</v>
      </c>
      <c r="AA404" s="27"/>
      <c r="AB404" s="36"/>
      <c r="AC404" s="200">
        <v>5</v>
      </c>
      <c r="AD404" s="181">
        <f t="shared" si="81"/>
        <v>53991.5</v>
      </c>
      <c r="AE404" s="181">
        <v>2</v>
      </c>
      <c r="AF404" s="181">
        <v>2</v>
      </c>
      <c r="AG404" s="101"/>
      <c r="AH404" s="190">
        <v>5</v>
      </c>
      <c r="AI404" s="69">
        <f t="shared" si="83"/>
        <v>5</v>
      </c>
    </row>
    <row r="405" spans="1:38" ht="49.5" hidden="1" x14ac:dyDescent="0.3">
      <c r="A405" s="207" t="s">
        <v>3104</v>
      </c>
      <c r="B405" s="241" t="s">
        <v>3105</v>
      </c>
      <c r="C405" s="204" t="s">
        <v>66</v>
      </c>
      <c r="D405" s="171"/>
      <c r="E405" s="158"/>
      <c r="F405" s="159"/>
      <c r="G405" s="159">
        <v>6</v>
      </c>
      <c r="H405" s="159" t="s">
        <v>15</v>
      </c>
      <c r="I405" s="158">
        <v>7248.86</v>
      </c>
      <c r="J405" s="159">
        <v>43493.16</v>
      </c>
      <c r="K405" s="172"/>
      <c r="M405" s="46">
        <v>6</v>
      </c>
      <c r="N405" s="46">
        <v>0</v>
      </c>
      <c r="O405" s="46">
        <v>43493.16</v>
      </c>
      <c r="P405" s="98"/>
      <c r="Q405" s="23" t="s">
        <v>1378</v>
      </c>
      <c r="R405" s="24" t="s">
        <v>3105</v>
      </c>
      <c r="S405" s="25" t="s">
        <v>66</v>
      </c>
      <c r="T405" s="26"/>
      <c r="U405" s="26">
        <v>6</v>
      </c>
      <c r="V405" s="158">
        <v>7248.86</v>
      </c>
      <c r="W405" s="127">
        <f t="shared" si="77"/>
        <v>0</v>
      </c>
      <c r="X405" s="127">
        <f t="shared" si="82"/>
        <v>6</v>
      </c>
      <c r="Y405" s="127">
        <f t="shared" si="79"/>
        <v>0</v>
      </c>
      <c r="Z405" s="127">
        <f t="shared" si="80"/>
        <v>43493.16</v>
      </c>
      <c r="AA405" s="27"/>
      <c r="AB405" s="36"/>
      <c r="AC405" s="200">
        <v>6</v>
      </c>
      <c r="AD405" s="181">
        <f t="shared" si="81"/>
        <v>43493.16</v>
      </c>
      <c r="AE405" s="181">
        <v>2</v>
      </c>
      <c r="AF405" s="181">
        <v>2</v>
      </c>
      <c r="AG405" s="101"/>
      <c r="AH405" s="190">
        <v>6</v>
      </c>
      <c r="AI405" s="69">
        <f t="shared" si="83"/>
        <v>6</v>
      </c>
    </row>
    <row r="406" spans="1:38" ht="25.5" hidden="1" customHeight="1" x14ac:dyDescent="0.3">
      <c r="A406" s="233">
        <v>2.29</v>
      </c>
      <c r="B406" s="180" t="s">
        <v>1527</v>
      </c>
      <c r="C406" s="58" t="s">
        <v>97</v>
      </c>
      <c r="D406" s="230"/>
      <c r="E406" s="230"/>
      <c r="F406" s="59"/>
      <c r="G406" s="59"/>
      <c r="H406" s="59">
        <v>320</v>
      </c>
      <c r="I406" s="230">
        <v>280</v>
      </c>
      <c r="J406" s="59">
        <v>89600</v>
      </c>
      <c r="K406" s="234"/>
      <c r="M406" s="46">
        <v>0</v>
      </c>
      <c r="N406" s="46">
        <v>0</v>
      </c>
      <c r="O406" s="46">
        <v>0</v>
      </c>
      <c r="P406" s="98"/>
      <c r="Q406" s="23">
        <v>29</v>
      </c>
      <c r="R406" s="24" t="s">
        <v>1527</v>
      </c>
      <c r="S406" s="25" t="s">
        <v>97</v>
      </c>
      <c r="T406" s="26"/>
      <c r="U406" s="26">
        <v>320</v>
      </c>
      <c r="V406" s="158">
        <v>280</v>
      </c>
      <c r="W406" s="26">
        <f t="shared" si="77"/>
        <v>0</v>
      </c>
      <c r="X406" s="26">
        <f t="shared" si="82"/>
        <v>0</v>
      </c>
      <c r="Y406" s="26">
        <f t="shared" si="79"/>
        <v>0</v>
      </c>
      <c r="Z406" s="26">
        <f t="shared" si="80"/>
        <v>0</v>
      </c>
      <c r="AA406" s="27"/>
      <c r="AB406" s="36"/>
      <c r="AC406" s="200">
        <v>320</v>
      </c>
      <c r="AD406" s="181">
        <f t="shared" si="81"/>
        <v>89600</v>
      </c>
      <c r="AE406" s="200">
        <v>2</v>
      </c>
      <c r="AF406" s="200"/>
      <c r="AG406" s="101"/>
      <c r="AH406" s="190">
        <v>0</v>
      </c>
      <c r="AI406" s="69">
        <f t="shared" si="83"/>
        <v>0</v>
      </c>
    </row>
    <row r="407" spans="1:38" s="69" customFormat="1" ht="33" customHeight="1" x14ac:dyDescent="0.3">
      <c r="A407" s="150" t="s">
        <v>1039</v>
      </c>
      <c r="B407" s="151" t="s">
        <v>1040</v>
      </c>
      <c r="C407" s="152" t="s">
        <v>14</v>
      </c>
      <c r="D407" s="153">
        <v>1</v>
      </c>
      <c r="E407" s="153"/>
      <c r="F407" s="153"/>
      <c r="G407" s="153"/>
      <c r="H407" s="153"/>
      <c r="I407" s="153"/>
      <c r="J407" s="153">
        <v>3727423.71</v>
      </c>
      <c r="K407" s="154" t="s">
        <v>15</v>
      </c>
      <c r="L407" s="73"/>
      <c r="M407" s="42">
        <v>1</v>
      </c>
      <c r="N407" s="42">
        <v>0</v>
      </c>
      <c r="O407" s="42">
        <v>2038723.71</v>
      </c>
      <c r="P407" s="98"/>
      <c r="Q407" s="13" t="s">
        <v>1407</v>
      </c>
      <c r="R407" s="14" t="s">
        <v>1040</v>
      </c>
      <c r="S407" s="15" t="s">
        <v>14</v>
      </c>
      <c r="T407" s="16">
        <v>1</v>
      </c>
      <c r="U407" s="16"/>
      <c r="V407" s="16">
        <f>SUMIFS(AD:AD,AE:AE,AE407)</f>
        <v>3727423.7099999995</v>
      </c>
      <c r="W407" s="16">
        <f t="shared" ref="W407:X407" si="84">IF(Y407=0,0,1)</f>
        <v>0</v>
      </c>
      <c r="X407" s="16">
        <f t="shared" si="84"/>
        <v>1</v>
      </c>
      <c r="Y407" s="16">
        <f>SUMIFS(Y:Y,AF:AF,AE407)</f>
        <v>0</v>
      </c>
      <c r="Z407" s="16">
        <f>SUMIFS(Z:Z,AF:AF,AE407)</f>
        <v>2038723.71</v>
      </c>
      <c r="AA407" s="17" t="s">
        <v>15</v>
      </c>
      <c r="AB407" s="40" t="s">
        <v>16</v>
      </c>
      <c r="AC407" s="181">
        <f t="shared" si="65"/>
        <v>1</v>
      </c>
      <c r="AD407" s="183"/>
      <c r="AE407" s="183">
        <v>3</v>
      </c>
      <c r="AF407" s="183"/>
      <c r="AG407" s="101" t="str">
        <f t="shared" si="66"/>
        <v/>
      </c>
      <c r="AH407" s="190">
        <v>1</v>
      </c>
      <c r="AI407" s="69">
        <f t="shared" si="83"/>
        <v>1</v>
      </c>
    </row>
    <row r="408" spans="1:38" s="69" customFormat="1" ht="66" hidden="1" x14ac:dyDescent="0.3">
      <c r="A408" s="55" t="s">
        <v>1041</v>
      </c>
      <c r="B408" s="138" t="s">
        <v>1042</v>
      </c>
      <c r="C408" s="54" t="s">
        <v>162</v>
      </c>
      <c r="D408" s="75">
        <v>340</v>
      </c>
      <c r="E408" s="75"/>
      <c r="F408" s="75"/>
      <c r="G408" s="75"/>
      <c r="H408" s="75"/>
      <c r="I408" s="75">
        <v>300</v>
      </c>
      <c r="J408" s="75">
        <v>102000</v>
      </c>
      <c r="K408" s="91" t="s">
        <v>1043</v>
      </c>
      <c r="L408" s="73"/>
      <c r="M408" s="46">
        <v>219</v>
      </c>
      <c r="N408" s="46">
        <v>0</v>
      </c>
      <c r="O408" s="46">
        <v>65700</v>
      </c>
      <c r="P408" s="98"/>
      <c r="Q408" s="23" t="s">
        <v>1421</v>
      </c>
      <c r="R408" s="24" t="s">
        <v>1042</v>
      </c>
      <c r="S408" s="25" t="s">
        <v>162</v>
      </c>
      <c r="T408" s="26">
        <v>340</v>
      </c>
      <c r="U408" s="26">
        <v>340</v>
      </c>
      <c r="V408" s="26">
        <v>300</v>
      </c>
      <c r="W408" s="128">
        <f t="shared" ref="W408:W446" si="85">AH408-M408</f>
        <v>0</v>
      </c>
      <c r="X408" s="26">
        <f t="shared" si="78"/>
        <v>219</v>
      </c>
      <c r="Y408" s="26">
        <f t="shared" ref="Y408:Y446" si="86">Z408-O408</f>
        <v>0</v>
      </c>
      <c r="Z408" s="26">
        <f t="shared" ref="Z408:Z446" si="87">ROUND(V408*X408,2)</f>
        <v>65700</v>
      </c>
      <c r="AA408" s="33" t="s">
        <v>15</v>
      </c>
      <c r="AB408" s="36" t="s">
        <v>16</v>
      </c>
      <c r="AC408" s="181">
        <f t="shared" si="65"/>
        <v>340</v>
      </c>
      <c r="AD408" s="181">
        <f t="shared" ref="AD408:AD446" si="88">ROUND(V408*AC408,2)</f>
        <v>102000</v>
      </c>
      <c r="AE408" s="181">
        <v>3</v>
      </c>
      <c r="AF408" s="181">
        <v>3</v>
      </c>
      <c r="AG408" s="101" t="str">
        <f t="shared" si="66"/>
        <v/>
      </c>
      <c r="AH408" s="190">
        <v>219</v>
      </c>
      <c r="AI408" s="69">
        <f t="shared" si="83"/>
        <v>340</v>
      </c>
      <c r="AL408" s="69">
        <v>0</v>
      </c>
    </row>
    <row r="409" spans="1:38" s="69" customFormat="1" ht="49.5" hidden="1" x14ac:dyDescent="0.3">
      <c r="A409" s="55" t="s">
        <v>1044</v>
      </c>
      <c r="B409" s="138" t="s">
        <v>1045</v>
      </c>
      <c r="C409" s="54" t="s">
        <v>325</v>
      </c>
      <c r="D409" s="75">
        <v>68</v>
      </c>
      <c r="E409" s="75"/>
      <c r="F409" s="75"/>
      <c r="G409" s="75"/>
      <c r="H409" s="75"/>
      <c r="I409" s="75">
        <v>3000</v>
      </c>
      <c r="J409" s="75">
        <v>204000</v>
      </c>
      <c r="K409" s="91" t="s">
        <v>1046</v>
      </c>
      <c r="L409" s="73"/>
      <c r="M409" s="46">
        <v>52</v>
      </c>
      <c r="N409" s="46">
        <v>0</v>
      </c>
      <c r="O409" s="46">
        <v>156000</v>
      </c>
      <c r="P409" s="98"/>
      <c r="Q409" s="23" t="s">
        <v>1426</v>
      </c>
      <c r="R409" s="24" t="s">
        <v>1045</v>
      </c>
      <c r="S409" s="25" t="s">
        <v>325</v>
      </c>
      <c r="T409" s="26">
        <v>68</v>
      </c>
      <c r="U409" s="26">
        <v>68</v>
      </c>
      <c r="V409" s="26">
        <v>3000</v>
      </c>
      <c r="W409" s="128">
        <f t="shared" si="85"/>
        <v>0</v>
      </c>
      <c r="X409" s="26">
        <f t="shared" si="78"/>
        <v>52</v>
      </c>
      <c r="Y409" s="26">
        <f t="shared" si="86"/>
        <v>0</v>
      </c>
      <c r="Z409" s="26">
        <f t="shared" si="87"/>
        <v>156000</v>
      </c>
      <c r="AA409" s="33" t="s">
        <v>15</v>
      </c>
      <c r="AB409" s="36" t="s">
        <v>16</v>
      </c>
      <c r="AC409" s="181">
        <f t="shared" si="65"/>
        <v>68</v>
      </c>
      <c r="AD409" s="181">
        <f t="shared" si="88"/>
        <v>204000</v>
      </c>
      <c r="AE409" s="181">
        <v>3</v>
      </c>
      <c r="AF409" s="181">
        <v>3</v>
      </c>
      <c r="AG409" s="101" t="str">
        <f t="shared" si="66"/>
        <v/>
      </c>
      <c r="AH409" s="190">
        <v>52</v>
      </c>
      <c r="AI409" s="69">
        <f t="shared" si="83"/>
        <v>68</v>
      </c>
      <c r="AL409" s="69">
        <v>0</v>
      </c>
    </row>
    <row r="410" spans="1:38" s="69" customFormat="1" ht="33" hidden="1" x14ac:dyDescent="0.3">
      <c r="A410" s="55" t="s">
        <v>1047</v>
      </c>
      <c r="B410" s="138" t="s">
        <v>1048</v>
      </c>
      <c r="C410" s="54" t="s">
        <v>325</v>
      </c>
      <c r="D410" s="75">
        <v>68</v>
      </c>
      <c r="E410" s="75"/>
      <c r="F410" s="75"/>
      <c r="G410" s="75"/>
      <c r="H410" s="75"/>
      <c r="I410" s="75">
        <v>150</v>
      </c>
      <c r="J410" s="75">
        <v>10200</v>
      </c>
      <c r="K410" s="91" t="s">
        <v>1049</v>
      </c>
      <c r="L410" s="73"/>
      <c r="M410" s="46">
        <v>52</v>
      </c>
      <c r="N410" s="46">
        <v>0</v>
      </c>
      <c r="O410" s="46">
        <v>7800</v>
      </c>
      <c r="P410" s="98"/>
      <c r="Q410" s="23" t="s">
        <v>1402</v>
      </c>
      <c r="R410" s="24" t="s">
        <v>1048</v>
      </c>
      <c r="S410" s="25" t="s">
        <v>325</v>
      </c>
      <c r="T410" s="26">
        <v>68</v>
      </c>
      <c r="U410" s="26">
        <v>68</v>
      </c>
      <c r="V410" s="26">
        <v>150</v>
      </c>
      <c r="W410" s="128">
        <f t="shared" si="85"/>
        <v>0</v>
      </c>
      <c r="X410" s="26">
        <f t="shared" si="78"/>
        <v>52</v>
      </c>
      <c r="Y410" s="26">
        <f t="shared" si="86"/>
        <v>0</v>
      </c>
      <c r="Z410" s="26">
        <f t="shared" si="87"/>
        <v>7800</v>
      </c>
      <c r="AA410" s="33" t="s">
        <v>15</v>
      </c>
      <c r="AB410" s="36" t="s">
        <v>16</v>
      </c>
      <c r="AC410" s="181">
        <f t="shared" si="65"/>
        <v>68</v>
      </c>
      <c r="AD410" s="181">
        <f t="shared" si="88"/>
        <v>10200</v>
      </c>
      <c r="AE410" s="181">
        <v>3</v>
      </c>
      <c r="AF410" s="181">
        <v>3</v>
      </c>
      <c r="AG410" s="101" t="str">
        <f t="shared" si="66"/>
        <v/>
      </c>
      <c r="AH410" s="190">
        <v>52</v>
      </c>
      <c r="AI410" s="69">
        <f t="shared" si="83"/>
        <v>68</v>
      </c>
      <c r="AL410" s="69">
        <v>0</v>
      </c>
    </row>
    <row r="411" spans="1:38" s="69" customFormat="1" ht="49.5" hidden="1" x14ac:dyDescent="0.3">
      <c r="A411" s="55" t="s">
        <v>1050</v>
      </c>
      <c r="B411" s="138" t="s">
        <v>1051</v>
      </c>
      <c r="C411" s="54" t="s">
        <v>1052</v>
      </c>
      <c r="D411" s="75">
        <v>9</v>
      </c>
      <c r="E411" s="75"/>
      <c r="F411" s="75"/>
      <c r="G411" s="75"/>
      <c r="H411" s="75"/>
      <c r="I411" s="75">
        <v>1200</v>
      </c>
      <c r="J411" s="75">
        <v>10800</v>
      </c>
      <c r="K411" s="91" t="s">
        <v>1053</v>
      </c>
      <c r="L411" s="73"/>
      <c r="M411" s="46">
        <v>0</v>
      </c>
      <c r="N411" s="46">
        <v>0</v>
      </c>
      <c r="O411" s="46">
        <v>0</v>
      </c>
      <c r="P411" s="98"/>
      <c r="Q411" s="23" t="s">
        <v>1373</v>
      </c>
      <c r="R411" s="24" t="s">
        <v>1051</v>
      </c>
      <c r="S411" s="25" t="s">
        <v>1052</v>
      </c>
      <c r="T411" s="26">
        <v>9</v>
      </c>
      <c r="U411" s="26">
        <v>9</v>
      </c>
      <c r="V411" s="26">
        <v>1200</v>
      </c>
      <c r="W411" s="26">
        <f t="shared" si="85"/>
        <v>0</v>
      </c>
      <c r="X411" s="26">
        <f t="shared" si="78"/>
        <v>0</v>
      </c>
      <c r="Y411" s="26">
        <f t="shared" si="86"/>
        <v>0</v>
      </c>
      <c r="Z411" s="26">
        <f t="shared" si="87"/>
        <v>0</v>
      </c>
      <c r="AA411" s="33" t="s">
        <v>15</v>
      </c>
      <c r="AB411" s="36" t="s">
        <v>16</v>
      </c>
      <c r="AC411" s="181">
        <f t="shared" si="65"/>
        <v>9</v>
      </c>
      <c r="AD411" s="181">
        <f t="shared" si="88"/>
        <v>10800</v>
      </c>
      <c r="AE411" s="181">
        <v>3</v>
      </c>
      <c r="AF411" s="181">
        <v>3</v>
      </c>
      <c r="AG411" s="101" t="str">
        <f t="shared" si="66"/>
        <v/>
      </c>
      <c r="AH411" s="190">
        <v>0</v>
      </c>
      <c r="AI411" s="69">
        <f t="shared" si="83"/>
        <v>9</v>
      </c>
      <c r="AL411" s="69">
        <v>0</v>
      </c>
    </row>
    <row r="412" spans="1:38" s="69" customFormat="1" ht="66" hidden="1" x14ac:dyDescent="0.3">
      <c r="A412" s="55" t="s">
        <v>1054</v>
      </c>
      <c r="B412" s="138" t="s">
        <v>3114</v>
      </c>
      <c r="C412" s="54" t="s">
        <v>325</v>
      </c>
      <c r="D412" s="75">
        <v>38</v>
      </c>
      <c r="E412" s="75"/>
      <c r="F412" s="75"/>
      <c r="G412" s="75"/>
      <c r="H412" s="75"/>
      <c r="I412" s="75">
        <v>650</v>
      </c>
      <c r="J412" s="75">
        <v>24700</v>
      </c>
      <c r="K412" s="91" t="s">
        <v>1056</v>
      </c>
      <c r="L412" s="73"/>
      <c r="M412" s="46">
        <v>12</v>
      </c>
      <c r="N412" s="46">
        <v>0</v>
      </c>
      <c r="O412" s="46">
        <v>7800</v>
      </c>
      <c r="P412" s="98"/>
      <c r="Q412" s="23" t="s">
        <v>1393</v>
      </c>
      <c r="R412" s="24" t="s">
        <v>1055</v>
      </c>
      <c r="S412" s="25" t="s">
        <v>325</v>
      </c>
      <c r="T412" s="26">
        <v>38</v>
      </c>
      <c r="U412" s="26">
        <v>38</v>
      </c>
      <c r="V412" s="26">
        <v>650</v>
      </c>
      <c r="W412" s="128">
        <f t="shared" si="85"/>
        <v>0</v>
      </c>
      <c r="X412" s="26">
        <f t="shared" si="78"/>
        <v>12</v>
      </c>
      <c r="Y412" s="26">
        <f t="shared" si="86"/>
        <v>0</v>
      </c>
      <c r="Z412" s="26">
        <f t="shared" si="87"/>
        <v>7800</v>
      </c>
      <c r="AA412" s="33" t="s">
        <v>15</v>
      </c>
      <c r="AB412" s="36" t="s">
        <v>16</v>
      </c>
      <c r="AC412" s="181">
        <f t="shared" si="65"/>
        <v>38</v>
      </c>
      <c r="AD412" s="181">
        <f t="shared" si="88"/>
        <v>24700</v>
      </c>
      <c r="AE412" s="181">
        <v>3</v>
      </c>
      <c r="AF412" s="181">
        <v>3</v>
      </c>
      <c r="AG412" s="101" t="str">
        <f t="shared" si="66"/>
        <v/>
      </c>
      <c r="AH412" s="190">
        <v>12</v>
      </c>
      <c r="AI412" s="69">
        <f t="shared" si="83"/>
        <v>38</v>
      </c>
      <c r="AL412" s="69">
        <v>0</v>
      </c>
    </row>
    <row r="413" spans="1:38" s="69" customFormat="1" ht="66" hidden="1" customHeight="1" x14ac:dyDescent="0.3">
      <c r="A413" s="55" t="s">
        <v>1057</v>
      </c>
      <c r="B413" s="138" t="s">
        <v>3115</v>
      </c>
      <c r="C413" s="54" t="s">
        <v>325</v>
      </c>
      <c r="D413" s="75">
        <v>38</v>
      </c>
      <c r="E413" s="75"/>
      <c r="F413" s="75"/>
      <c r="G413" s="75"/>
      <c r="H413" s="75"/>
      <c r="I413" s="75">
        <v>1300</v>
      </c>
      <c r="J413" s="75">
        <v>49400</v>
      </c>
      <c r="K413" s="91" t="s">
        <v>1059</v>
      </c>
      <c r="L413" s="73"/>
      <c r="M413" s="46">
        <v>12</v>
      </c>
      <c r="N413" s="46">
        <v>0</v>
      </c>
      <c r="O413" s="46">
        <v>15600</v>
      </c>
      <c r="P413" s="98"/>
      <c r="Q413" s="23" t="s">
        <v>1403</v>
      </c>
      <c r="R413" s="24" t="s">
        <v>1058</v>
      </c>
      <c r="S413" s="25" t="s">
        <v>325</v>
      </c>
      <c r="T413" s="26">
        <v>38</v>
      </c>
      <c r="U413" s="26">
        <v>38</v>
      </c>
      <c r="V413" s="26">
        <v>1300</v>
      </c>
      <c r="W413" s="128">
        <f t="shared" si="85"/>
        <v>0</v>
      </c>
      <c r="X413" s="26">
        <f t="shared" si="78"/>
        <v>12</v>
      </c>
      <c r="Y413" s="26">
        <f t="shared" si="86"/>
        <v>0</v>
      </c>
      <c r="Z413" s="26">
        <f t="shared" si="87"/>
        <v>15600</v>
      </c>
      <c r="AA413" s="33" t="s">
        <v>15</v>
      </c>
      <c r="AB413" s="36" t="s">
        <v>16</v>
      </c>
      <c r="AC413" s="181">
        <f t="shared" ref="AC413:AC477" si="89">IF(U413="",T413,U413)</f>
        <v>38</v>
      </c>
      <c r="AD413" s="181">
        <f t="shared" si="88"/>
        <v>49400</v>
      </c>
      <c r="AE413" s="181">
        <v>3</v>
      </c>
      <c r="AF413" s="181">
        <v>3</v>
      </c>
      <c r="AG413" s="101" t="str">
        <f t="shared" ref="AG413:AG477" si="90">IF(X413&gt;AI413,"超估","")</f>
        <v/>
      </c>
      <c r="AH413" s="190">
        <v>12</v>
      </c>
      <c r="AI413" s="69">
        <f t="shared" si="83"/>
        <v>38</v>
      </c>
      <c r="AL413" s="69">
        <v>0</v>
      </c>
    </row>
    <row r="414" spans="1:38" s="69" customFormat="1" ht="66" hidden="1" customHeight="1" x14ac:dyDescent="0.3">
      <c r="A414" s="55" t="s">
        <v>1060</v>
      </c>
      <c r="B414" s="138" t="s">
        <v>3116</v>
      </c>
      <c r="C414" s="54" t="s">
        <v>325</v>
      </c>
      <c r="D414" s="75">
        <v>7</v>
      </c>
      <c r="E414" s="75"/>
      <c r="F414" s="75"/>
      <c r="G414" s="75"/>
      <c r="H414" s="75"/>
      <c r="I414" s="75">
        <v>3500</v>
      </c>
      <c r="J414" s="75">
        <v>24500</v>
      </c>
      <c r="K414" s="91" t="s">
        <v>1062</v>
      </c>
      <c r="L414" s="73"/>
      <c r="M414" s="46">
        <v>0</v>
      </c>
      <c r="N414" s="46">
        <v>0</v>
      </c>
      <c r="O414" s="46">
        <v>0</v>
      </c>
      <c r="P414" s="98"/>
      <c r="Q414" s="23" t="s">
        <v>1427</v>
      </c>
      <c r="R414" s="24" t="s">
        <v>1061</v>
      </c>
      <c r="S414" s="25" t="s">
        <v>325</v>
      </c>
      <c r="T414" s="26">
        <v>7</v>
      </c>
      <c r="U414" s="26">
        <v>7</v>
      </c>
      <c r="V414" s="26">
        <v>3500</v>
      </c>
      <c r="W414" s="26">
        <f t="shared" si="85"/>
        <v>0</v>
      </c>
      <c r="X414" s="26">
        <f t="shared" si="78"/>
        <v>0</v>
      </c>
      <c r="Y414" s="26">
        <f t="shared" si="86"/>
        <v>0</v>
      </c>
      <c r="Z414" s="26">
        <f t="shared" si="87"/>
        <v>0</v>
      </c>
      <c r="AA414" s="33" t="s">
        <v>15</v>
      </c>
      <c r="AB414" s="36" t="s">
        <v>16</v>
      </c>
      <c r="AC414" s="181">
        <f t="shared" si="89"/>
        <v>7</v>
      </c>
      <c r="AD414" s="181">
        <f t="shared" si="88"/>
        <v>24500</v>
      </c>
      <c r="AE414" s="181">
        <v>3</v>
      </c>
      <c r="AF414" s="181">
        <v>3</v>
      </c>
      <c r="AG414" s="101" t="str">
        <f t="shared" si="90"/>
        <v/>
      </c>
      <c r="AH414" s="190">
        <v>0</v>
      </c>
      <c r="AI414" s="69">
        <f t="shared" si="83"/>
        <v>7</v>
      </c>
      <c r="AL414" s="69">
        <v>0</v>
      </c>
    </row>
    <row r="415" spans="1:38" s="69" customFormat="1" ht="66" hidden="1" customHeight="1" x14ac:dyDescent="0.3">
      <c r="A415" s="55" t="s">
        <v>1063</v>
      </c>
      <c r="B415" s="138" t="s">
        <v>1064</v>
      </c>
      <c r="C415" s="54" t="s">
        <v>325</v>
      </c>
      <c r="D415" s="75">
        <v>5</v>
      </c>
      <c r="E415" s="75"/>
      <c r="F415" s="75"/>
      <c r="G415" s="75"/>
      <c r="H415" s="75"/>
      <c r="I415" s="75">
        <v>700</v>
      </c>
      <c r="J415" s="75">
        <v>3500</v>
      </c>
      <c r="K415" s="91" t="s">
        <v>1065</v>
      </c>
      <c r="L415" s="73"/>
      <c r="M415" s="46">
        <v>0</v>
      </c>
      <c r="N415" s="46">
        <v>0</v>
      </c>
      <c r="O415" s="46">
        <v>0</v>
      </c>
      <c r="P415" s="98"/>
      <c r="Q415" s="23" t="s">
        <v>1428</v>
      </c>
      <c r="R415" s="24" t="s">
        <v>1064</v>
      </c>
      <c r="S415" s="25" t="s">
        <v>325</v>
      </c>
      <c r="T415" s="26">
        <v>5</v>
      </c>
      <c r="U415" s="26">
        <v>5</v>
      </c>
      <c r="V415" s="26">
        <v>700</v>
      </c>
      <c r="W415" s="26">
        <f t="shared" si="85"/>
        <v>0</v>
      </c>
      <c r="X415" s="26">
        <f t="shared" si="78"/>
        <v>0</v>
      </c>
      <c r="Y415" s="26">
        <f t="shared" si="86"/>
        <v>0</v>
      </c>
      <c r="Z415" s="26">
        <f t="shared" si="87"/>
        <v>0</v>
      </c>
      <c r="AA415" s="33" t="s">
        <v>15</v>
      </c>
      <c r="AB415" s="36" t="s">
        <v>16</v>
      </c>
      <c r="AC415" s="181">
        <f t="shared" si="89"/>
        <v>5</v>
      </c>
      <c r="AD415" s="181">
        <f t="shared" si="88"/>
        <v>3500</v>
      </c>
      <c r="AE415" s="181">
        <v>3</v>
      </c>
      <c r="AF415" s="181">
        <v>3</v>
      </c>
      <c r="AG415" s="101" t="str">
        <f t="shared" si="90"/>
        <v/>
      </c>
      <c r="AH415" s="190">
        <v>0</v>
      </c>
      <c r="AI415" s="69">
        <f t="shared" si="83"/>
        <v>5</v>
      </c>
      <c r="AL415" s="69">
        <v>0</v>
      </c>
    </row>
    <row r="416" spans="1:38" s="69" customFormat="1" ht="49.5" hidden="1" customHeight="1" x14ac:dyDescent="0.3">
      <c r="A416" s="55" t="s">
        <v>1066</v>
      </c>
      <c r="B416" s="138" t="s">
        <v>1067</v>
      </c>
      <c r="C416" s="54" t="s">
        <v>66</v>
      </c>
      <c r="D416" s="75">
        <v>1</v>
      </c>
      <c r="E416" s="75"/>
      <c r="F416" s="75"/>
      <c r="G416" s="75"/>
      <c r="H416" s="75"/>
      <c r="I416" s="75">
        <v>15000</v>
      </c>
      <c r="J416" s="75">
        <v>15000</v>
      </c>
      <c r="K416" s="91" t="s">
        <v>1068</v>
      </c>
      <c r="L416" s="73"/>
      <c r="M416" s="46">
        <v>0</v>
      </c>
      <c r="N416" s="46">
        <v>0</v>
      </c>
      <c r="O416" s="46">
        <v>0</v>
      </c>
      <c r="P416" s="98"/>
      <c r="Q416" s="23" t="s">
        <v>1387</v>
      </c>
      <c r="R416" s="24" t="s">
        <v>1067</v>
      </c>
      <c r="S416" s="25" t="s">
        <v>66</v>
      </c>
      <c r="T416" s="26">
        <v>1</v>
      </c>
      <c r="U416" s="26">
        <v>1</v>
      </c>
      <c r="V416" s="26">
        <v>15000</v>
      </c>
      <c r="W416" s="26">
        <f t="shared" si="85"/>
        <v>0</v>
      </c>
      <c r="X416" s="26">
        <f t="shared" si="78"/>
        <v>0</v>
      </c>
      <c r="Y416" s="26">
        <f t="shared" si="86"/>
        <v>0</v>
      </c>
      <c r="Z416" s="26">
        <f t="shared" si="87"/>
        <v>0</v>
      </c>
      <c r="AA416" s="33" t="s">
        <v>15</v>
      </c>
      <c r="AB416" s="36" t="s">
        <v>16</v>
      </c>
      <c r="AC416" s="181">
        <f t="shared" si="89"/>
        <v>1</v>
      </c>
      <c r="AD416" s="181">
        <f t="shared" si="88"/>
        <v>15000</v>
      </c>
      <c r="AE416" s="181">
        <v>3</v>
      </c>
      <c r="AF416" s="181">
        <v>3</v>
      </c>
      <c r="AG416" s="101" t="str">
        <f t="shared" si="90"/>
        <v/>
      </c>
      <c r="AH416" s="190">
        <v>0</v>
      </c>
      <c r="AI416" s="69">
        <f t="shared" si="83"/>
        <v>1</v>
      </c>
      <c r="AL416" s="69">
        <v>0</v>
      </c>
    </row>
    <row r="417" spans="1:38" s="69" customFormat="1" ht="49.5" hidden="1" customHeight="1" x14ac:dyDescent="0.3">
      <c r="A417" s="55" t="s">
        <v>1069</v>
      </c>
      <c r="B417" s="138" t="s">
        <v>1070</v>
      </c>
      <c r="C417" s="54" t="s">
        <v>325</v>
      </c>
      <c r="D417" s="75">
        <v>1</v>
      </c>
      <c r="E417" s="75"/>
      <c r="F417" s="75"/>
      <c r="G417" s="75"/>
      <c r="H417" s="75"/>
      <c r="I417" s="75">
        <v>6000</v>
      </c>
      <c r="J417" s="75">
        <v>6000</v>
      </c>
      <c r="K417" s="91" t="s">
        <v>1071</v>
      </c>
      <c r="L417" s="73"/>
      <c r="M417" s="46">
        <v>0</v>
      </c>
      <c r="N417" s="46">
        <v>0</v>
      </c>
      <c r="O417" s="46">
        <v>0</v>
      </c>
      <c r="P417" s="98"/>
      <c r="Q417" s="23" t="s">
        <v>1405</v>
      </c>
      <c r="R417" s="24" t="s">
        <v>1070</v>
      </c>
      <c r="S417" s="25" t="s">
        <v>325</v>
      </c>
      <c r="T417" s="26">
        <v>1</v>
      </c>
      <c r="U417" s="26">
        <v>1</v>
      </c>
      <c r="V417" s="26">
        <v>6000</v>
      </c>
      <c r="W417" s="26">
        <f t="shared" si="85"/>
        <v>0</v>
      </c>
      <c r="X417" s="26">
        <f t="shared" si="78"/>
        <v>0</v>
      </c>
      <c r="Y417" s="26">
        <f t="shared" si="86"/>
        <v>0</v>
      </c>
      <c r="Z417" s="26">
        <f t="shared" si="87"/>
        <v>0</v>
      </c>
      <c r="AA417" s="33" t="s">
        <v>15</v>
      </c>
      <c r="AB417" s="36" t="s">
        <v>16</v>
      </c>
      <c r="AC417" s="181">
        <f t="shared" si="89"/>
        <v>1</v>
      </c>
      <c r="AD417" s="181">
        <f t="shared" si="88"/>
        <v>6000</v>
      </c>
      <c r="AE417" s="181">
        <v>3</v>
      </c>
      <c r="AF417" s="181">
        <v>3</v>
      </c>
      <c r="AG417" s="101" t="str">
        <f t="shared" si="90"/>
        <v/>
      </c>
      <c r="AH417" s="190">
        <v>0</v>
      </c>
      <c r="AI417" s="69">
        <f t="shared" si="83"/>
        <v>1</v>
      </c>
      <c r="AL417" s="69">
        <v>0</v>
      </c>
    </row>
    <row r="418" spans="1:38" s="69" customFormat="1" ht="92.25" hidden="1" customHeight="1" x14ac:dyDescent="0.3">
      <c r="A418" s="55" t="s">
        <v>1072</v>
      </c>
      <c r="B418" s="138" t="s">
        <v>3141</v>
      </c>
      <c r="C418" s="54" t="s">
        <v>325</v>
      </c>
      <c r="D418" s="75">
        <v>1</v>
      </c>
      <c r="E418" s="75"/>
      <c r="F418" s="75"/>
      <c r="G418" s="75"/>
      <c r="H418" s="75"/>
      <c r="I418" s="75">
        <v>49500</v>
      </c>
      <c r="J418" s="75">
        <v>49500</v>
      </c>
      <c r="K418" s="91" t="s">
        <v>1074</v>
      </c>
      <c r="L418" s="73"/>
      <c r="M418" s="46">
        <v>0</v>
      </c>
      <c r="N418" s="46">
        <v>0</v>
      </c>
      <c r="O418" s="46">
        <v>0</v>
      </c>
      <c r="P418" s="98"/>
      <c r="Q418" s="23" t="s">
        <v>1406</v>
      </c>
      <c r="R418" s="24" t="s">
        <v>1073</v>
      </c>
      <c r="S418" s="25" t="s">
        <v>325</v>
      </c>
      <c r="T418" s="26">
        <v>1</v>
      </c>
      <c r="U418" s="26">
        <v>1</v>
      </c>
      <c r="V418" s="26">
        <v>49500</v>
      </c>
      <c r="W418" s="26">
        <f t="shared" si="85"/>
        <v>0</v>
      </c>
      <c r="X418" s="26">
        <f t="shared" si="78"/>
        <v>0</v>
      </c>
      <c r="Y418" s="26">
        <f t="shared" si="86"/>
        <v>0</v>
      </c>
      <c r="Z418" s="26">
        <f t="shared" si="87"/>
        <v>0</v>
      </c>
      <c r="AA418" s="33" t="s">
        <v>15</v>
      </c>
      <c r="AB418" s="36" t="s">
        <v>16</v>
      </c>
      <c r="AC418" s="181">
        <f t="shared" si="89"/>
        <v>1</v>
      </c>
      <c r="AD418" s="181">
        <f t="shared" si="88"/>
        <v>49500</v>
      </c>
      <c r="AE418" s="181">
        <v>3</v>
      </c>
      <c r="AF418" s="181">
        <v>3</v>
      </c>
      <c r="AG418" s="101" t="str">
        <f t="shared" si="90"/>
        <v/>
      </c>
      <c r="AH418" s="190">
        <v>0</v>
      </c>
      <c r="AI418" s="69">
        <f t="shared" si="83"/>
        <v>1</v>
      </c>
      <c r="AL418" s="69">
        <v>0</v>
      </c>
    </row>
    <row r="419" spans="1:38" s="69" customFormat="1" ht="66" hidden="1" customHeight="1" x14ac:dyDescent="0.3">
      <c r="A419" s="55" t="s">
        <v>1075</v>
      </c>
      <c r="B419" s="138" t="s">
        <v>3118</v>
      </c>
      <c r="C419" s="54" t="s">
        <v>325</v>
      </c>
      <c r="D419" s="75">
        <v>8</v>
      </c>
      <c r="E419" s="75"/>
      <c r="F419" s="75"/>
      <c r="G419" s="75"/>
      <c r="H419" s="75"/>
      <c r="I419" s="75">
        <v>3000</v>
      </c>
      <c r="J419" s="75">
        <v>24000</v>
      </c>
      <c r="K419" s="91" t="s">
        <v>1077</v>
      </c>
      <c r="L419" s="73"/>
      <c r="M419" s="46">
        <v>0</v>
      </c>
      <c r="N419" s="46">
        <v>0</v>
      </c>
      <c r="O419" s="46">
        <v>0</v>
      </c>
      <c r="P419" s="98"/>
      <c r="Q419" s="23" t="s">
        <v>1414</v>
      </c>
      <c r="R419" s="24" t="s">
        <v>1076</v>
      </c>
      <c r="S419" s="25" t="s">
        <v>325</v>
      </c>
      <c r="T419" s="26">
        <v>8</v>
      </c>
      <c r="U419" s="26">
        <v>8</v>
      </c>
      <c r="V419" s="26">
        <v>3000</v>
      </c>
      <c r="W419" s="26">
        <f t="shared" si="85"/>
        <v>0</v>
      </c>
      <c r="X419" s="26">
        <f t="shared" si="78"/>
        <v>0</v>
      </c>
      <c r="Y419" s="26">
        <f t="shared" si="86"/>
        <v>0</v>
      </c>
      <c r="Z419" s="26">
        <f t="shared" si="87"/>
        <v>0</v>
      </c>
      <c r="AA419" s="33" t="s">
        <v>15</v>
      </c>
      <c r="AB419" s="36" t="s">
        <v>16</v>
      </c>
      <c r="AC419" s="181">
        <f t="shared" si="89"/>
        <v>8</v>
      </c>
      <c r="AD419" s="181">
        <f t="shared" si="88"/>
        <v>24000</v>
      </c>
      <c r="AE419" s="181">
        <v>3</v>
      </c>
      <c r="AF419" s="181">
        <v>3</v>
      </c>
      <c r="AG419" s="101" t="str">
        <f t="shared" si="90"/>
        <v/>
      </c>
      <c r="AH419" s="190">
        <v>0</v>
      </c>
      <c r="AI419" s="69">
        <f t="shared" si="83"/>
        <v>8</v>
      </c>
      <c r="AL419" s="69">
        <v>0</v>
      </c>
    </row>
    <row r="420" spans="1:38" s="69" customFormat="1" ht="33" hidden="1" customHeight="1" x14ac:dyDescent="0.3">
      <c r="A420" s="55" t="s">
        <v>1078</v>
      </c>
      <c r="B420" s="138" t="s">
        <v>1079</v>
      </c>
      <c r="C420" s="54" t="s">
        <v>66</v>
      </c>
      <c r="D420" s="75">
        <v>75</v>
      </c>
      <c r="E420" s="75"/>
      <c r="F420" s="75"/>
      <c r="G420" s="75"/>
      <c r="H420" s="75"/>
      <c r="I420" s="75">
        <v>12000</v>
      </c>
      <c r="J420" s="75">
        <v>900000</v>
      </c>
      <c r="K420" s="91" t="s">
        <v>1080</v>
      </c>
      <c r="L420" s="73"/>
      <c r="M420" s="46">
        <v>50</v>
      </c>
      <c r="N420" s="46">
        <v>0</v>
      </c>
      <c r="O420" s="46">
        <v>600000</v>
      </c>
      <c r="P420" s="98"/>
      <c r="Q420" s="23" t="s">
        <v>1429</v>
      </c>
      <c r="R420" s="24" t="s">
        <v>1079</v>
      </c>
      <c r="S420" s="25" t="s">
        <v>66</v>
      </c>
      <c r="T420" s="26">
        <v>75</v>
      </c>
      <c r="U420" s="26">
        <v>75</v>
      </c>
      <c r="V420" s="26">
        <v>12000</v>
      </c>
      <c r="W420" s="128">
        <f t="shared" si="85"/>
        <v>0</v>
      </c>
      <c r="X420" s="26">
        <f t="shared" si="78"/>
        <v>50</v>
      </c>
      <c r="Y420" s="26">
        <f t="shared" si="86"/>
        <v>0</v>
      </c>
      <c r="Z420" s="26">
        <f t="shared" si="87"/>
        <v>600000</v>
      </c>
      <c r="AA420" s="33" t="s">
        <v>15</v>
      </c>
      <c r="AB420" s="36" t="s">
        <v>16</v>
      </c>
      <c r="AC420" s="181">
        <f t="shared" si="89"/>
        <v>75</v>
      </c>
      <c r="AD420" s="181">
        <f t="shared" si="88"/>
        <v>900000</v>
      </c>
      <c r="AE420" s="181">
        <v>3</v>
      </c>
      <c r="AF420" s="181">
        <v>3</v>
      </c>
      <c r="AG420" s="101" t="str">
        <f t="shared" si="90"/>
        <v/>
      </c>
      <c r="AH420" s="191">
        <v>50</v>
      </c>
      <c r="AI420" s="69">
        <f t="shared" si="83"/>
        <v>75</v>
      </c>
      <c r="AL420" s="69">
        <v>0</v>
      </c>
    </row>
    <row r="421" spans="1:38" s="69" customFormat="1" ht="33" hidden="1" customHeight="1" x14ac:dyDescent="0.3">
      <c r="A421" s="55" t="s">
        <v>1081</v>
      </c>
      <c r="B421" s="138" t="s">
        <v>1082</v>
      </c>
      <c r="C421" s="54" t="s">
        <v>1014</v>
      </c>
      <c r="D421" s="75">
        <v>75</v>
      </c>
      <c r="E421" s="75"/>
      <c r="F421" s="75"/>
      <c r="G421" s="75"/>
      <c r="H421" s="75"/>
      <c r="I421" s="75">
        <v>1500</v>
      </c>
      <c r="J421" s="75">
        <v>112500</v>
      </c>
      <c r="K421" s="91" t="s">
        <v>1083</v>
      </c>
      <c r="L421" s="73"/>
      <c r="M421" s="46">
        <v>0</v>
      </c>
      <c r="N421" s="46">
        <v>0</v>
      </c>
      <c r="O421" s="46">
        <v>0</v>
      </c>
      <c r="P421" s="98"/>
      <c r="Q421" s="23" t="s">
        <v>1430</v>
      </c>
      <c r="R421" s="24" t="s">
        <v>1082</v>
      </c>
      <c r="S421" s="25" t="s">
        <v>1014</v>
      </c>
      <c r="T421" s="26">
        <v>75</v>
      </c>
      <c r="U421" s="26">
        <v>75</v>
      </c>
      <c r="V421" s="26">
        <v>1500</v>
      </c>
      <c r="W421" s="128">
        <f t="shared" si="85"/>
        <v>0</v>
      </c>
      <c r="X421" s="26">
        <f t="shared" si="78"/>
        <v>0</v>
      </c>
      <c r="Y421" s="26">
        <f t="shared" si="86"/>
        <v>0</v>
      </c>
      <c r="Z421" s="26">
        <f t="shared" si="87"/>
        <v>0</v>
      </c>
      <c r="AA421" s="33" t="s">
        <v>15</v>
      </c>
      <c r="AB421" s="36" t="s">
        <v>16</v>
      </c>
      <c r="AC421" s="181">
        <f t="shared" si="89"/>
        <v>75</v>
      </c>
      <c r="AD421" s="181">
        <f t="shared" si="88"/>
        <v>112500</v>
      </c>
      <c r="AE421" s="181">
        <v>3</v>
      </c>
      <c r="AF421" s="181">
        <v>3</v>
      </c>
      <c r="AG421" s="101" t="str">
        <f t="shared" si="90"/>
        <v/>
      </c>
      <c r="AH421" s="191">
        <v>0</v>
      </c>
      <c r="AI421" s="69">
        <f t="shared" si="83"/>
        <v>75</v>
      </c>
      <c r="AL421" s="69">
        <v>0</v>
      </c>
    </row>
    <row r="422" spans="1:38" s="69" customFormat="1" ht="66" hidden="1" customHeight="1" x14ac:dyDescent="0.3">
      <c r="A422" s="55" t="s">
        <v>1084</v>
      </c>
      <c r="B422" s="138" t="s">
        <v>1085</v>
      </c>
      <c r="C422" s="54" t="s">
        <v>325</v>
      </c>
      <c r="D422" s="75">
        <v>1</v>
      </c>
      <c r="E422" s="75"/>
      <c r="F422" s="75"/>
      <c r="G422" s="75"/>
      <c r="H422" s="75"/>
      <c r="I422" s="75">
        <v>12000</v>
      </c>
      <c r="J422" s="75">
        <v>12000</v>
      </c>
      <c r="K422" s="91" t="s">
        <v>1086</v>
      </c>
      <c r="L422" s="73"/>
      <c r="M422" s="46">
        <v>0</v>
      </c>
      <c r="N422" s="46">
        <v>0</v>
      </c>
      <c r="O422" s="46">
        <v>0</v>
      </c>
      <c r="P422" s="98"/>
      <c r="Q422" s="23" t="s">
        <v>1431</v>
      </c>
      <c r="R422" s="24" t="s">
        <v>1085</v>
      </c>
      <c r="S422" s="25" t="s">
        <v>325</v>
      </c>
      <c r="T422" s="26">
        <v>1</v>
      </c>
      <c r="U422" s="26">
        <v>1</v>
      </c>
      <c r="V422" s="26">
        <v>12000</v>
      </c>
      <c r="W422" s="26">
        <f t="shared" si="85"/>
        <v>0</v>
      </c>
      <c r="X422" s="26">
        <f t="shared" si="78"/>
        <v>0</v>
      </c>
      <c r="Y422" s="26">
        <f t="shared" si="86"/>
        <v>0</v>
      </c>
      <c r="Z422" s="26">
        <f t="shared" si="87"/>
        <v>0</v>
      </c>
      <c r="AA422" s="33" t="s">
        <v>15</v>
      </c>
      <c r="AB422" s="36" t="s">
        <v>16</v>
      </c>
      <c r="AC422" s="181">
        <f t="shared" si="89"/>
        <v>1</v>
      </c>
      <c r="AD422" s="181">
        <f t="shared" si="88"/>
        <v>12000</v>
      </c>
      <c r="AE422" s="181">
        <v>3</v>
      </c>
      <c r="AF422" s="181">
        <v>3</v>
      </c>
      <c r="AG422" s="101" t="str">
        <f t="shared" si="90"/>
        <v/>
      </c>
      <c r="AH422" s="190">
        <v>0</v>
      </c>
      <c r="AI422" s="69">
        <f t="shared" si="83"/>
        <v>1</v>
      </c>
      <c r="AL422" s="69">
        <v>0</v>
      </c>
    </row>
    <row r="423" spans="1:38" s="69" customFormat="1" ht="49.5" hidden="1" customHeight="1" x14ac:dyDescent="0.3">
      <c r="A423" s="55" t="s">
        <v>1087</v>
      </c>
      <c r="B423" s="138" t="s">
        <v>1088</v>
      </c>
      <c r="C423" s="54" t="s">
        <v>325</v>
      </c>
      <c r="D423" s="75">
        <v>1</v>
      </c>
      <c r="E423" s="75"/>
      <c r="F423" s="75"/>
      <c r="G423" s="75"/>
      <c r="H423" s="75"/>
      <c r="I423" s="75">
        <v>2000</v>
      </c>
      <c r="J423" s="75">
        <v>2000</v>
      </c>
      <c r="K423" s="91" t="s">
        <v>1089</v>
      </c>
      <c r="L423" s="73"/>
      <c r="M423" s="46">
        <v>0</v>
      </c>
      <c r="N423" s="46">
        <v>0</v>
      </c>
      <c r="O423" s="46">
        <v>0</v>
      </c>
      <c r="P423" s="98"/>
      <c r="Q423" s="23" t="s">
        <v>1395</v>
      </c>
      <c r="R423" s="24" t="s">
        <v>1088</v>
      </c>
      <c r="S423" s="25" t="s">
        <v>325</v>
      </c>
      <c r="T423" s="26">
        <v>1</v>
      </c>
      <c r="U423" s="26">
        <v>1</v>
      </c>
      <c r="V423" s="26">
        <v>2000</v>
      </c>
      <c r="W423" s="26">
        <f t="shared" si="85"/>
        <v>0</v>
      </c>
      <c r="X423" s="26">
        <f t="shared" si="78"/>
        <v>0</v>
      </c>
      <c r="Y423" s="26">
        <f t="shared" si="86"/>
        <v>0</v>
      </c>
      <c r="Z423" s="26">
        <f t="shared" si="87"/>
        <v>0</v>
      </c>
      <c r="AA423" s="33" t="s">
        <v>15</v>
      </c>
      <c r="AB423" s="36" t="s">
        <v>16</v>
      </c>
      <c r="AC423" s="181">
        <f t="shared" si="89"/>
        <v>1</v>
      </c>
      <c r="AD423" s="181">
        <f t="shared" si="88"/>
        <v>2000</v>
      </c>
      <c r="AE423" s="181">
        <v>3</v>
      </c>
      <c r="AF423" s="181">
        <v>3</v>
      </c>
      <c r="AG423" s="101" t="str">
        <f t="shared" si="90"/>
        <v/>
      </c>
      <c r="AH423" s="190">
        <v>0</v>
      </c>
      <c r="AI423" s="69">
        <f t="shared" si="83"/>
        <v>1</v>
      </c>
      <c r="AL423" s="69">
        <v>0</v>
      </c>
    </row>
    <row r="424" spans="1:38" s="69" customFormat="1" ht="66" hidden="1" customHeight="1" x14ac:dyDescent="0.3">
      <c r="A424" s="55" t="s">
        <v>1090</v>
      </c>
      <c r="B424" s="138" t="s">
        <v>3119</v>
      </c>
      <c r="C424" s="54" t="s">
        <v>325</v>
      </c>
      <c r="D424" s="75">
        <v>14</v>
      </c>
      <c r="E424" s="75"/>
      <c r="F424" s="75"/>
      <c r="G424" s="75"/>
      <c r="H424" s="75"/>
      <c r="I424" s="75">
        <v>3000</v>
      </c>
      <c r="J424" s="75">
        <v>42000</v>
      </c>
      <c r="K424" s="91" t="s">
        <v>1092</v>
      </c>
      <c r="L424" s="73"/>
      <c r="M424" s="46">
        <v>0</v>
      </c>
      <c r="N424" s="46">
        <v>0</v>
      </c>
      <c r="O424" s="46">
        <v>0</v>
      </c>
      <c r="P424" s="98"/>
      <c r="Q424" s="23" t="s">
        <v>1432</v>
      </c>
      <c r="R424" s="24" t="s">
        <v>1091</v>
      </c>
      <c r="S424" s="25" t="s">
        <v>325</v>
      </c>
      <c r="T424" s="26">
        <v>14</v>
      </c>
      <c r="U424" s="26">
        <v>14</v>
      </c>
      <c r="V424" s="26">
        <v>3000</v>
      </c>
      <c r="W424" s="26">
        <f t="shared" si="85"/>
        <v>0</v>
      </c>
      <c r="X424" s="26">
        <f t="shared" si="78"/>
        <v>0</v>
      </c>
      <c r="Y424" s="26">
        <f t="shared" si="86"/>
        <v>0</v>
      </c>
      <c r="Z424" s="26">
        <f t="shared" si="87"/>
        <v>0</v>
      </c>
      <c r="AA424" s="33" t="s">
        <v>15</v>
      </c>
      <c r="AB424" s="36" t="s">
        <v>16</v>
      </c>
      <c r="AC424" s="181">
        <f t="shared" si="89"/>
        <v>14</v>
      </c>
      <c r="AD424" s="181">
        <f t="shared" si="88"/>
        <v>42000</v>
      </c>
      <c r="AE424" s="181">
        <v>3</v>
      </c>
      <c r="AF424" s="181">
        <v>3</v>
      </c>
      <c r="AG424" s="101" t="str">
        <f t="shared" si="90"/>
        <v/>
      </c>
      <c r="AH424" s="190">
        <v>0</v>
      </c>
      <c r="AI424" s="69">
        <f t="shared" si="83"/>
        <v>14</v>
      </c>
      <c r="AL424" s="69">
        <v>0</v>
      </c>
    </row>
    <row r="425" spans="1:38" s="69" customFormat="1" ht="49.5" hidden="1" customHeight="1" x14ac:dyDescent="0.3">
      <c r="A425" s="55" t="s">
        <v>1093</v>
      </c>
      <c r="B425" s="138" t="s">
        <v>1094</v>
      </c>
      <c r="C425" s="54" t="s">
        <v>325</v>
      </c>
      <c r="D425" s="75">
        <v>3</v>
      </c>
      <c r="E425" s="75"/>
      <c r="F425" s="75"/>
      <c r="G425" s="75"/>
      <c r="H425" s="75"/>
      <c r="I425" s="75">
        <v>1400</v>
      </c>
      <c r="J425" s="75">
        <v>4200</v>
      </c>
      <c r="K425" s="91" t="s">
        <v>1095</v>
      </c>
      <c r="L425" s="73"/>
      <c r="M425" s="46">
        <v>0</v>
      </c>
      <c r="N425" s="46">
        <v>0</v>
      </c>
      <c r="O425" s="46">
        <v>0</v>
      </c>
      <c r="P425" s="98"/>
      <c r="Q425" s="23" t="s">
        <v>1433</v>
      </c>
      <c r="R425" s="24" t="s">
        <v>1094</v>
      </c>
      <c r="S425" s="25" t="s">
        <v>325</v>
      </c>
      <c r="T425" s="26">
        <v>3</v>
      </c>
      <c r="U425" s="26">
        <v>3</v>
      </c>
      <c r="V425" s="26">
        <v>1400</v>
      </c>
      <c r="W425" s="26">
        <f t="shared" si="85"/>
        <v>0</v>
      </c>
      <c r="X425" s="26">
        <f t="shared" si="78"/>
        <v>0</v>
      </c>
      <c r="Y425" s="26">
        <f t="shared" si="86"/>
        <v>0</v>
      </c>
      <c r="Z425" s="26">
        <f t="shared" si="87"/>
        <v>0</v>
      </c>
      <c r="AA425" s="33" t="s">
        <v>15</v>
      </c>
      <c r="AB425" s="36" t="s">
        <v>16</v>
      </c>
      <c r="AC425" s="181">
        <f t="shared" si="89"/>
        <v>3</v>
      </c>
      <c r="AD425" s="181">
        <f t="shared" si="88"/>
        <v>4200</v>
      </c>
      <c r="AE425" s="181">
        <v>3</v>
      </c>
      <c r="AF425" s="181">
        <v>3</v>
      </c>
      <c r="AG425" s="101" t="str">
        <f t="shared" si="90"/>
        <v/>
      </c>
      <c r="AH425" s="190">
        <v>0</v>
      </c>
      <c r="AI425" s="69">
        <f t="shared" si="83"/>
        <v>3</v>
      </c>
      <c r="AL425" s="69">
        <v>0</v>
      </c>
    </row>
    <row r="426" spans="1:38" s="69" customFormat="1" ht="66" hidden="1" customHeight="1" x14ac:dyDescent="0.3">
      <c r="A426" s="55" t="s">
        <v>1096</v>
      </c>
      <c r="B426" s="138" t="s">
        <v>3140</v>
      </c>
      <c r="C426" s="54" t="s">
        <v>66</v>
      </c>
      <c r="D426" s="75">
        <v>5</v>
      </c>
      <c r="E426" s="75"/>
      <c r="F426" s="75"/>
      <c r="G426" s="75"/>
      <c r="H426" s="75"/>
      <c r="I426" s="75">
        <v>18000</v>
      </c>
      <c r="J426" s="75">
        <v>90000</v>
      </c>
      <c r="K426" s="91" t="s">
        <v>1098</v>
      </c>
      <c r="L426" s="73"/>
      <c r="M426" s="46">
        <v>0</v>
      </c>
      <c r="N426" s="46">
        <v>0</v>
      </c>
      <c r="O426" s="46">
        <v>0</v>
      </c>
      <c r="P426" s="98"/>
      <c r="Q426" s="23" t="s">
        <v>1382</v>
      </c>
      <c r="R426" s="24" t="s">
        <v>1097</v>
      </c>
      <c r="S426" s="25" t="s">
        <v>66</v>
      </c>
      <c r="T426" s="26">
        <v>5</v>
      </c>
      <c r="U426" s="26">
        <v>5</v>
      </c>
      <c r="V426" s="26">
        <v>18000</v>
      </c>
      <c r="W426" s="26">
        <f t="shared" si="85"/>
        <v>0</v>
      </c>
      <c r="X426" s="26">
        <f t="shared" si="78"/>
        <v>0</v>
      </c>
      <c r="Y426" s="26">
        <f t="shared" si="86"/>
        <v>0</v>
      </c>
      <c r="Z426" s="26">
        <f t="shared" si="87"/>
        <v>0</v>
      </c>
      <c r="AA426" s="33" t="s">
        <v>15</v>
      </c>
      <c r="AB426" s="36" t="s">
        <v>16</v>
      </c>
      <c r="AC426" s="181">
        <f t="shared" si="89"/>
        <v>5</v>
      </c>
      <c r="AD426" s="181">
        <f t="shared" si="88"/>
        <v>90000</v>
      </c>
      <c r="AE426" s="181">
        <v>3</v>
      </c>
      <c r="AF426" s="181">
        <v>3</v>
      </c>
      <c r="AG426" s="101" t="str">
        <f t="shared" si="90"/>
        <v/>
      </c>
      <c r="AH426" s="190">
        <v>0</v>
      </c>
      <c r="AI426" s="69">
        <f t="shared" si="83"/>
        <v>5</v>
      </c>
      <c r="AL426" s="69">
        <v>0</v>
      </c>
    </row>
    <row r="427" spans="1:38" s="69" customFormat="1" ht="49.5" hidden="1" customHeight="1" x14ac:dyDescent="0.3">
      <c r="A427" s="55" t="s">
        <v>1099</v>
      </c>
      <c r="B427" s="138" t="s">
        <v>1100</v>
      </c>
      <c r="C427" s="54" t="s">
        <v>66</v>
      </c>
      <c r="D427" s="75">
        <v>1</v>
      </c>
      <c r="E427" s="75"/>
      <c r="F427" s="75"/>
      <c r="G427" s="75"/>
      <c r="H427" s="75"/>
      <c r="I427" s="75">
        <v>9000</v>
      </c>
      <c r="J427" s="75">
        <v>9000</v>
      </c>
      <c r="K427" s="91" t="s">
        <v>1101</v>
      </c>
      <c r="L427" s="73"/>
      <c r="M427" s="46">
        <v>0</v>
      </c>
      <c r="N427" s="46">
        <v>0</v>
      </c>
      <c r="O427" s="46">
        <v>0</v>
      </c>
      <c r="P427" s="98"/>
      <c r="Q427" s="23" t="s">
        <v>1434</v>
      </c>
      <c r="R427" s="24" t="s">
        <v>1100</v>
      </c>
      <c r="S427" s="25" t="s">
        <v>66</v>
      </c>
      <c r="T427" s="26">
        <v>1</v>
      </c>
      <c r="U427" s="26">
        <v>1</v>
      </c>
      <c r="V427" s="26">
        <v>9000</v>
      </c>
      <c r="W427" s="26">
        <f t="shared" si="85"/>
        <v>0</v>
      </c>
      <c r="X427" s="26">
        <f t="shared" si="78"/>
        <v>0</v>
      </c>
      <c r="Y427" s="26">
        <f t="shared" si="86"/>
        <v>0</v>
      </c>
      <c r="Z427" s="26">
        <f t="shared" si="87"/>
        <v>0</v>
      </c>
      <c r="AA427" s="33" t="s">
        <v>15</v>
      </c>
      <c r="AB427" s="36" t="s">
        <v>16</v>
      </c>
      <c r="AC427" s="181">
        <f t="shared" si="89"/>
        <v>1</v>
      </c>
      <c r="AD427" s="181">
        <f t="shared" si="88"/>
        <v>9000</v>
      </c>
      <c r="AE427" s="181">
        <v>3</v>
      </c>
      <c r="AF427" s="181">
        <v>3</v>
      </c>
      <c r="AG427" s="101" t="str">
        <f t="shared" si="90"/>
        <v/>
      </c>
      <c r="AH427" s="190">
        <v>0</v>
      </c>
      <c r="AI427" s="69">
        <f t="shared" si="83"/>
        <v>1</v>
      </c>
      <c r="AL427" s="69">
        <v>0</v>
      </c>
    </row>
    <row r="428" spans="1:38" s="69" customFormat="1" ht="49.5" hidden="1" customHeight="1" x14ac:dyDescent="0.3">
      <c r="A428" s="55" t="s">
        <v>1102</v>
      </c>
      <c r="B428" s="138" t="s">
        <v>3120</v>
      </c>
      <c r="C428" s="54" t="s">
        <v>325</v>
      </c>
      <c r="D428" s="75">
        <v>3</v>
      </c>
      <c r="E428" s="75"/>
      <c r="F428" s="75"/>
      <c r="G428" s="75"/>
      <c r="H428" s="75"/>
      <c r="I428" s="75">
        <v>6000</v>
      </c>
      <c r="J428" s="75">
        <v>18000</v>
      </c>
      <c r="K428" s="91" t="s">
        <v>1104</v>
      </c>
      <c r="L428" s="73"/>
      <c r="M428" s="46">
        <v>0</v>
      </c>
      <c r="N428" s="46">
        <v>0</v>
      </c>
      <c r="O428" s="46">
        <v>0</v>
      </c>
      <c r="P428" s="98"/>
      <c r="Q428" s="23" t="s">
        <v>1388</v>
      </c>
      <c r="R428" s="24" t="s">
        <v>1103</v>
      </c>
      <c r="S428" s="25" t="s">
        <v>325</v>
      </c>
      <c r="T428" s="26">
        <v>3</v>
      </c>
      <c r="U428" s="26">
        <v>3</v>
      </c>
      <c r="V428" s="26">
        <v>6000</v>
      </c>
      <c r="W428" s="26">
        <f t="shared" si="85"/>
        <v>0</v>
      </c>
      <c r="X428" s="26">
        <f t="shared" si="78"/>
        <v>0</v>
      </c>
      <c r="Y428" s="26">
        <f t="shared" si="86"/>
        <v>0</v>
      </c>
      <c r="Z428" s="26">
        <f t="shared" si="87"/>
        <v>0</v>
      </c>
      <c r="AA428" s="33" t="s">
        <v>15</v>
      </c>
      <c r="AB428" s="36" t="s">
        <v>16</v>
      </c>
      <c r="AC428" s="181">
        <f t="shared" si="89"/>
        <v>3</v>
      </c>
      <c r="AD428" s="181">
        <f t="shared" si="88"/>
        <v>18000</v>
      </c>
      <c r="AE428" s="181">
        <v>3</v>
      </c>
      <c r="AF428" s="181">
        <v>3</v>
      </c>
      <c r="AG428" s="101" t="str">
        <f t="shared" si="90"/>
        <v/>
      </c>
      <c r="AH428" s="190">
        <v>0</v>
      </c>
      <c r="AI428" s="69">
        <f t="shared" si="83"/>
        <v>3</v>
      </c>
      <c r="AL428" s="69">
        <v>0</v>
      </c>
    </row>
    <row r="429" spans="1:38" s="69" customFormat="1" ht="49.5" hidden="1" customHeight="1" x14ac:dyDescent="0.3">
      <c r="A429" s="55" t="s">
        <v>1105</v>
      </c>
      <c r="B429" s="138" t="s">
        <v>3121</v>
      </c>
      <c r="C429" s="54" t="s">
        <v>66</v>
      </c>
      <c r="D429" s="75">
        <v>1</v>
      </c>
      <c r="E429" s="75"/>
      <c r="F429" s="75"/>
      <c r="G429" s="75"/>
      <c r="H429" s="75"/>
      <c r="I429" s="75">
        <v>2500</v>
      </c>
      <c r="J429" s="75">
        <v>2500</v>
      </c>
      <c r="K429" s="91" t="s">
        <v>1107</v>
      </c>
      <c r="L429" s="73"/>
      <c r="M429" s="46">
        <v>0</v>
      </c>
      <c r="N429" s="46">
        <v>0</v>
      </c>
      <c r="O429" s="46">
        <v>0</v>
      </c>
      <c r="P429" s="98"/>
      <c r="Q429" s="23" t="s">
        <v>1389</v>
      </c>
      <c r="R429" s="24" t="s">
        <v>1106</v>
      </c>
      <c r="S429" s="25" t="s">
        <v>66</v>
      </c>
      <c r="T429" s="26">
        <v>1</v>
      </c>
      <c r="U429" s="26">
        <v>1</v>
      </c>
      <c r="V429" s="26">
        <v>2500</v>
      </c>
      <c r="W429" s="26">
        <f t="shared" si="85"/>
        <v>0</v>
      </c>
      <c r="X429" s="26">
        <f t="shared" si="78"/>
        <v>0</v>
      </c>
      <c r="Y429" s="26">
        <f t="shared" si="86"/>
        <v>0</v>
      </c>
      <c r="Z429" s="26">
        <f t="shared" si="87"/>
        <v>0</v>
      </c>
      <c r="AA429" s="33" t="s">
        <v>15</v>
      </c>
      <c r="AB429" s="36" t="s">
        <v>16</v>
      </c>
      <c r="AC429" s="181">
        <f t="shared" si="89"/>
        <v>1</v>
      </c>
      <c r="AD429" s="181">
        <f t="shared" si="88"/>
        <v>2500</v>
      </c>
      <c r="AE429" s="181">
        <v>3</v>
      </c>
      <c r="AF429" s="181">
        <v>3</v>
      </c>
      <c r="AG429" s="101" t="str">
        <f t="shared" si="90"/>
        <v/>
      </c>
      <c r="AH429" s="190">
        <v>0</v>
      </c>
      <c r="AI429" s="69">
        <f t="shared" si="83"/>
        <v>1</v>
      </c>
      <c r="AL429" s="69">
        <v>0</v>
      </c>
    </row>
    <row r="430" spans="1:38" s="69" customFormat="1" ht="49.5" hidden="1" customHeight="1" x14ac:dyDescent="0.3">
      <c r="A430" s="55" t="s">
        <v>1108</v>
      </c>
      <c r="B430" s="138" t="s">
        <v>1109</v>
      </c>
      <c r="C430" s="54" t="s">
        <v>66</v>
      </c>
      <c r="D430" s="75">
        <v>1</v>
      </c>
      <c r="E430" s="75"/>
      <c r="F430" s="75"/>
      <c r="G430" s="75"/>
      <c r="H430" s="75"/>
      <c r="I430" s="75">
        <v>2500</v>
      </c>
      <c r="J430" s="75">
        <v>2500</v>
      </c>
      <c r="K430" s="91" t="s">
        <v>1110</v>
      </c>
      <c r="L430" s="73"/>
      <c r="M430" s="46">
        <v>0</v>
      </c>
      <c r="N430" s="46">
        <v>0</v>
      </c>
      <c r="O430" s="46">
        <v>0</v>
      </c>
      <c r="P430" s="98"/>
      <c r="Q430" s="23" t="s">
        <v>1390</v>
      </c>
      <c r="R430" s="24" t="s">
        <v>1109</v>
      </c>
      <c r="S430" s="25" t="s">
        <v>66</v>
      </c>
      <c r="T430" s="26">
        <v>1</v>
      </c>
      <c r="U430" s="26">
        <v>1</v>
      </c>
      <c r="V430" s="26">
        <v>2500</v>
      </c>
      <c r="W430" s="26">
        <f t="shared" si="85"/>
        <v>0</v>
      </c>
      <c r="X430" s="26">
        <f t="shared" si="78"/>
        <v>0</v>
      </c>
      <c r="Y430" s="26">
        <f t="shared" si="86"/>
        <v>0</v>
      </c>
      <c r="Z430" s="26">
        <f t="shared" si="87"/>
        <v>0</v>
      </c>
      <c r="AA430" s="33" t="s">
        <v>15</v>
      </c>
      <c r="AB430" s="36" t="s">
        <v>16</v>
      </c>
      <c r="AC430" s="181">
        <f t="shared" si="89"/>
        <v>1</v>
      </c>
      <c r="AD430" s="181">
        <f t="shared" si="88"/>
        <v>2500</v>
      </c>
      <c r="AE430" s="181">
        <v>3</v>
      </c>
      <c r="AF430" s="181">
        <v>3</v>
      </c>
      <c r="AG430" s="101" t="str">
        <f t="shared" si="90"/>
        <v/>
      </c>
      <c r="AH430" s="190">
        <v>0</v>
      </c>
      <c r="AI430" s="69">
        <f t="shared" si="83"/>
        <v>1</v>
      </c>
      <c r="AL430" s="69">
        <v>0</v>
      </c>
    </row>
    <row r="431" spans="1:38" s="69" customFormat="1" ht="49.5" hidden="1" customHeight="1" x14ac:dyDescent="0.3">
      <c r="A431" s="55" t="s">
        <v>1111</v>
      </c>
      <c r="B431" s="138" t="s">
        <v>3122</v>
      </c>
      <c r="C431" s="54" t="s">
        <v>325</v>
      </c>
      <c r="D431" s="75">
        <v>4</v>
      </c>
      <c r="E431" s="75"/>
      <c r="F431" s="75"/>
      <c r="G431" s="75"/>
      <c r="H431" s="75"/>
      <c r="I431" s="75">
        <v>3000</v>
      </c>
      <c r="J431" s="75">
        <v>12000</v>
      </c>
      <c r="K431" s="91" t="s">
        <v>1113</v>
      </c>
      <c r="L431" s="73"/>
      <c r="M431" s="46">
        <v>0</v>
      </c>
      <c r="N431" s="46">
        <v>0</v>
      </c>
      <c r="O431" s="46">
        <v>0</v>
      </c>
      <c r="P431" s="98"/>
      <c r="Q431" s="23" t="s">
        <v>1391</v>
      </c>
      <c r="R431" s="24" t="s">
        <v>1112</v>
      </c>
      <c r="S431" s="25" t="s">
        <v>325</v>
      </c>
      <c r="T431" s="26">
        <v>4</v>
      </c>
      <c r="U431" s="26">
        <v>4</v>
      </c>
      <c r="V431" s="26">
        <v>3000</v>
      </c>
      <c r="W431" s="26">
        <f t="shared" si="85"/>
        <v>0</v>
      </c>
      <c r="X431" s="26">
        <f t="shared" si="78"/>
        <v>0</v>
      </c>
      <c r="Y431" s="26">
        <f t="shared" si="86"/>
        <v>0</v>
      </c>
      <c r="Z431" s="26">
        <f t="shared" si="87"/>
        <v>0</v>
      </c>
      <c r="AA431" s="33" t="s">
        <v>15</v>
      </c>
      <c r="AB431" s="36" t="s">
        <v>16</v>
      </c>
      <c r="AC431" s="181">
        <f t="shared" si="89"/>
        <v>4</v>
      </c>
      <c r="AD431" s="181">
        <f t="shared" si="88"/>
        <v>12000</v>
      </c>
      <c r="AE431" s="181">
        <v>3</v>
      </c>
      <c r="AF431" s="181">
        <v>3</v>
      </c>
      <c r="AG431" s="101" t="str">
        <f t="shared" si="90"/>
        <v/>
      </c>
      <c r="AH431" s="190">
        <v>0</v>
      </c>
      <c r="AI431" s="69">
        <f t="shared" si="83"/>
        <v>4</v>
      </c>
      <c r="AL431" s="69">
        <v>0</v>
      </c>
    </row>
    <row r="432" spans="1:38" s="69" customFormat="1" ht="66" hidden="1" customHeight="1" x14ac:dyDescent="0.3">
      <c r="A432" s="55" t="s">
        <v>1114</v>
      </c>
      <c r="B432" s="138" t="s">
        <v>3123</v>
      </c>
      <c r="C432" s="54" t="s">
        <v>325</v>
      </c>
      <c r="D432" s="75">
        <v>2</v>
      </c>
      <c r="E432" s="75"/>
      <c r="F432" s="75"/>
      <c r="G432" s="75"/>
      <c r="H432" s="75"/>
      <c r="I432" s="75">
        <v>20000</v>
      </c>
      <c r="J432" s="75">
        <v>40000</v>
      </c>
      <c r="K432" s="91" t="s">
        <v>1116</v>
      </c>
      <c r="L432" s="73"/>
      <c r="M432" s="46">
        <v>0</v>
      </c>
      <c r="N432" s="46">
        <v>0</v>
      </c>
      <c r="O432" s="46">
        <v>0</v>
      </c>
      <c r="P432" s="98"/>
      <c r="Q432" s="23" t="s">
        <v>1436</v>
      </c>
      <c r="R432" s="24" t="s">
        <v>1115</v>
      </c>
      <c r="S432" s="25" t="s">
        <v>325</v>
      </c>
      <c r="T432" s="26">
        <v>2</v>
      </c>
      <c r="U432" s="26">
        <v>2</v>
      </c>
      <c r="V432" s="26">
        <v>20000</v>
      </c>
      <c r="W432" s="26">
        <f t="shared" si="85"/>
        <v>0</v>
      </c>
      <c r="X432" s="26">
        <f t="shared" si="78"/>
        <v>0</v>
      </c>
      <c r="Y432" s="26">
        <f t="shared" si="86"/>
        <v>0</v>
      </c>
      <c r="Z432" s="26">
        <f t="shared" si="87"/>
        <v>0</v>
      </c>
      <c r="AA432" s="33" t="s">
        <v>15</v>
      </c>
      <c r="AB432" s="36" t="s">
        <v>16</v>
      </c>
      <c r="AC432" s="181">
        <f t="shared" si="89"/>
        <v>2</v>
      </c>
      <c r="AD432" s="181">
        <f t="shared" si="88"/>
        <v>40000</v>
      </c>
      <c r="AE432" s="181">
        <v>3</v>
      </c>
      <c r="AF432" s="181">
        <v>3</v>
      </c>
      <c r="AG432" s="101" t="str">
        <f t="shared" si="90"/>
        <v/>
      </c>
      <c r="AH432" s="190">
        <v>0</v>
      </c>
      <c r="AI432" s="69">
        <f t="shared" si="83"/>
        <v>2</v>
      </c>
      <c r="AL432" s="69">
        <v>0</v>
      </c>
    </row>
    <row r="433" spans="1:38" s="69" customFormat="1" ht="49.5" hidden="1" customHeight="1" x14ac:dyDescent="0.3">
      <c r="A433" s="55" t="s">
        <v>1117</v>
      </c>
      <c r="B433" s="138" t="s">
        <v>1118</v>
      </c>
      <c r="C433" s="54" t="s">
        <v>66</v>
      </c>
      <c r="D433" s="75">
        <v>1</v>
      </c>
      <c r="E433" s="75"/>
      <c r="F433" s="75"/>
      <c r="G433" s="75"/>
      <c r="H433" s="75"/>
      <c r="I433" s="75">
        <v>15000</v>
      </c>
      <c r="J433" s="75">
        <v>15000</v>
      </c>
      <c r="K433" s="91" t="s">
        <v>1119</v>
      </c>
      <c r="L433" s="73"/>
      <c r="M433" s="46">
        <v>0</v>
      </c>
      <c r="N433" s="46">
        <v>0</v>
      </c>
      <c r="O433" s="46">
        <v>0</v>
      </c>
      <c r="P433" s="98"/>
      <c r="Q433" s="23" t="s">
        <v>1374</v>
      </c>
      <c r="R433" s="24" t="s">
        <v>1118</v>
      </c>
      <c r="S433" s="25" t="s">
        <v>66</v>
      </c>
      <c r="T433" s="26">
        <v>1</v>
      </c>
      <c r="U433" s="26">
        <v>1</v>
      </c>
      <c r="V433" s="26">
        <v>15000</v>
      </c>
      <c r="W433" s="26">
        <f t="shared" si="85"/>
        <v>0</v>
      </c>
      <c r="X433" s="26">
        <f t="shared" si="78"/>
        <v>0</v>
      </c>
      <c r="Y433" s="26">
        <f t="shared" si="86"/>
        <v>0</v>
      </c>
      <c r="Z433" s="26">
        <f t="shared" si="87"/>
        <v>0</v>
      </c>
      <c r="AA433" s="33" t="s">
        <v>15</v>
      </c>
      <c r="AB433" s="36" t="s">
        <v>16</v>
      </c>
      <c r="AC433" s="181">
        <f t="shared" si="89"/>
        <v>1</v>
      </c>
      <c r="AD433" s="181">
        <f t="shared" si="88"/>
        <v>15000</v>
      </c>
      <c r="AE433" s="181">
        <v>3</v>
      </c>
      <c r="AF433" s="181">
        <v>3</v>
      </c>
      <c r="AG433" s="101" t="str">
        <f t="shared" si="90"/>
        <v/>
      </c>
      <c r="AH433" s="190">
        <v>0</v>
      </c>
      <c r="AI433" s="69">
        <f t="shared" si="83"/>
        <v>1</v>
      </c>
      <c r="AL433" s="69">
        <v>0</v>
      </c>
    </row>
    <row r="434" spans="1:38" s="69" customFormat="1" ht="49.5" hidden="1" customHeight="1" x14ac:dyDescent="0.3">
      <c r="A434" s="55" t="s">
        <v>1120</v>
      </c>
      <c r="B434" s="138" t="s">
        <v>1121</v>
      </c>
      <c r="C434" s="54" t="s">
        <v>1122</v>
      </c>
      <c r="D434" s="75">
        <v>3</v>
      </c>
      <c r="E434" s="75"/>
      <c r="F434" s="75"/>
      <c r="G434" s="75"/>
      <c r="H434" s="75"/>
      <c r="I434" s="75">
        <v>1300</v>
      </c>
      <c r="J434" s="75">
        <v>3900</v>
      </c>
      <c r="K434" s="91" t="s">
        <v>1123</v>
      </c>
      <c r="L434" s="73"/>
      <c r="M434" s="46">
        <v>0</v>
      </c>
      <c r="N434" s="46">
        <v>0</v>
      </c>
      <c r="O434" s="46">
        <v>0</v>
      </c>
      <c r="P434" s="98"/>
      <c r="Q434" s="23" t="s">
        <v>1376</v>
      </c>
      <c r="R434" s="24" t="s">
        <v>1121</v>
      </c>
      <c r="S434" s="25" t="s">
        <v>1122</v>
      </c>
      <c r="T434" s="26">
        <v>3</v>
      </c>
      <c r="U434" s="26">
        <v>3</v>
      </c>
      <c r="V434" s="26">
        <v>1300</v>
      </c>
      <c r="W434" s="26">
        <f t="shared" si="85"/>
        <v>0</v>
      </c>
      <c r="X434" s="26">
        <f t="shared" si="78"/>
        <v>0</v>
      </c>
      <c r="Y434" s="26">
        <f t="shared" si="86"/>
        <v>0</v>
      </c>
      <c r="Z434" s="26">
        <f t="shared" si="87"/>
        <v>0</v>
      </c>
      <c r="AA434" s="33" t="s">
        <v>15</v>
      </c>
      <c r="AB434" s="36" t="s">
        <v>16</v>
      </c>
      <c r="AC434" s="181">
        <f t="shared" si="89"/>
        <v>3</v>
      </c>
      <c r="AD434" s="181">
        <f t="shared" si="88"/>
        <v>3900</v>
      </c>
      <c r="AE434" s="181">
        <v>3</v>
      </c>
      <c r="AF434" s="181">
        <v>3</v>
      </c>
      <c r="AG434" s="101" t="str">
        <f t="shared" si="90"/>
        <v/>
      </c>
      <c r="AH434" s="190">
        <v>0</v>
      </c>
      <c r="AI434" s="69">
        <f t="shared" si="83"/>
        <v>3</v>
      </c>
      <c r="AL434" s="69">
        <v>0</v>
      </c>
    </row>
    <row r="435" spans="1:38" s="69" customFormat="1" ht="33" hidden="1" customHeight="1" x14ac:dyDescent="0.3">
      <c r="A435" s="55" t="s">
        <v>1124</v>
      </c>
      <c r="B435" s="138" t="s">
        <v>3124</v>
      </c>
      <c r="C435" s="54" t="s">
        <v>1122</v>
      </c>
      <c r="D435" s="75">
        <v>6</v>
      </c>
      <c r="E435" s="75"/>
      <c r="F435" s="75"/>
      <c r="G435" s="75"/>
      <c r="H435" s="75"/>
      <c r="I435" s="75">
        <v>1000</v>
      </c>
      <c r="J435" s="75">
        <v>6000</v>
      </c>
      <c r="K435" s="91" t="s">
        <v>1126</v>
      </c>
      <c r="L435" s="73"/>
      <c r="M435" s="46">
        <v>0</v>
      </c>
      <c r="N435" s="46">
        <v>0</v>
      </c>
      <c r="O435" s="46">
        <v>0</v>
      </c>
      <c r="P435" s="98"/>
      <c r="Q435" s="23" t="s">
        <v>1378</v>
      </c>
      <c r="R435" s="24" t="s">
        <v>1125</v>
      </c>
      <c r="S435" s="25" t="s">
        <v>1122</v>
      </c>
      <c r="T435" s="26">
        <v>6</v>
      </c>
      <c r="U435" s="26">
        <v>6</v>
      </c>
      <c r="V435" s="26">
        <v>1000</v>
      </c>
      <c r="W435" s="26">
        <f t="shared" si="85"/>
        <v>0</v>
      </c>
      <c r="X435" s="26">
        <f t="shared" si="78"/>
        <v>0</v>
      </c>
      <c r="Y435" s="26">
        <f t="shared" si="86"/>
        <v>0</v>
      </c>
      <c r="Z435" s="26">
        <f t="shared" si="87"/>
        <v>0</v>
      </c>
      <c r="AA435" s="33" t="s">
        <v>15</v>
      </c>
      <c r="AB435" s="36" t="s">
        <v>16</v>
      </c>
      <c r="AC435" s="181">
        <f t="shared" si="89"/>
        <v>6</v>
      </c>
      <c r="AD435" s="181">
        <f t="shared" si="88"/>
        <v>6000</v>
      </c>
      <c r="AE435" s="181">
        <v>3</v>
      </c>
      <c r="AF435" s="181">
        <v>3</v>
      </c>
      <c r="AG435" s="101" t="str">
        <f t="shared" si="90"/>
        <v/>
      </c>
      <c r="AH435" s="190">
        <v>0</v>
      </c>
      <c r="AI435" s="69">
        <f t="shared" si="83"/>
        <v>6</v>
      </c>
      <c r="AL435" s="69">
        <v>0</v>
      </c>
    </row>
    <row r="436" spans="1:38" s="69" customFormat="1" ht="33" hidden="1" customHeight="1" x14ac:dyDescent="0.3">
      <c r="A436" s="55" t="s">
        <v>1127</v>
      </c>
      <c r="B436" s="138" t="s">
        <v>1128</v>
      </c>
      <c r="C436" s="54" t="s">
        <v>325</v>
      </c>
      <c r="D436" s="75">
        <v>2</v>
      </c>
      <c r="E436" s="75"/>
      <c r="F436" s="75"/>
      <c r="G436" s="75"/>
      <c r="H436" s="75"/>
      <c r="I436" s="75">
        <v>9000</v>
      </c>
      <c r="J436" s="75">
        <v>18000</v>
      </c>
      <c r="K436" s="91" t="s">
        <v>1129</v>
      </c>
      <c r="L436" s="73"/>
      <c r="M436" s="46">
        <v>0</v>
      </c>
      <c r="N436" s="46">
        <v>0</v>
      </c>
      <c r="O436" s="46">
        <v>0</v>
      </c>
      <c r="P436" s="98"/>
      <c r="Q436" s="23" t="s">
        <v>1438</v>
      </c>
      <c r="R436" s="24" t="s">
        <v>1128</v>
      </c>
      <c r="S436" s="25" t="s">
        <v>325</v>
      </c>
      <c r="T436" s="26">
        <v>2</v>
      </c>
      <c r="U436" s="26">
        <v>2</v>
      </c>
      <c r="V436" s="26">
        <v>9000</v>
      </c>
      <c r="W436" s="26">
        <f t="shared" si="85"/>
        <v>0</v>
      </c>
      <c r="X436" s="26">
        <f t="shared" si="78"/>
        <v>0</v>
      </c>
      <c r="Y436" s="26">
        <f t="shared" si="86"/>
        <v>0</v>
      </c>
      <c r="Z436" s="26">
        <f t="shared" si="87"/>
        <v>0</v>
      </c>
      <c r="AA436" s="33" t="s">
        <v>15</v>
      </c>
      <c r="AB436" s="36" t="s">
        <v>16</v>
      </c>
      <c r="AC436" s="181">
        <f t="shared" si="89"/>
        <v>2</v>
      </c>
      <c r="AD436" s="181">
        <f t="shared" si="88"/>
        <v>18000</v>
      </c>
      <c r="AE436" s="181">
        <v>3</v>
      </c>
      <c r="AF436" s="181">
        <v>3</v>
      </c>
      <c r="AG436" s="101" t="str">
        <f t="shared" si="90"/>
        <v/>
      </c>
      <c r="AH436" s="190">
        <v>0</v>
      </c>
      <c r="AI436" s="69">
        <f t="shared" si="83"/>
        <v>2</v>
      </c>
      <c r="AL436" s="69">
        <v>0</v>
      </c>
    </row>
    <row r="437" spans="1:38" s="69" customFormat="1" ht="49.5" hidden="1" customHeight="1" x14ac:dyDescent="0.3">
      <c r="A437" s="55" t="s">
        <v>1130</v>
      </c>
      <c r="B437" s="138" t="s">
        <v>3127</v>
      </c>
      <c r="C437" s="54" t="s">
        <v>325</v>
      </c>
      <c r="D437" s="75">
        <v>3</v>
      </c>
      <c r="E437" s="75"/>
      <c r="F437" s="75"/>
      <c r="G437" s="75"/>
      <c r="H437" s="75"/>
      <c r="I437" s="75">
        <v>4200</v>
      </c>
      <c r="J437" s="75">
        <v>12600</v>
      </c>
      <c r="K437" s="91" t="s">
        <v>1132</v>
      </c>
      <c r="L437" s="73"/>
      <c r="M437" s="46">
        <v>0</v>
      </c>
      <c r="N437" s="46">
        <v>0</v>
      </c>
      <c r="O437" s="46">
        <v>0</v>
      </c>
      <c r="P437" s="98"/>
      <c r="Q437" s="23" t="s">
        <v>1439</v>
      </c>
      <c r="R437" s="24" t="s">
        <v>1131</v>
      </c>
      <c r="S437" s="25" t="s">
        <v>325</v>
      </c>
      <c r="T437" s="26">
        <v>3</v>
      </c>
      <c r="U437" s="26">
        <v>3</v>
      </c>
      <c r="V437" s="26">
        <v>4200</v>
      </c>
      <c r="W437" s="26">
        <f t="shared" si="85"/>
        <v>0</v>
      </c>
      <c r="X437" s="26">
        <f t="shared" si="78"/>
        <v>0</v>
      </c>
      <c r="Y437" s="26">
        <f t="shared" si="86"/>
        <v>0</v>
      </c>
      <c r="Z437" s="26">
        <f t="shared" si="87"/>
        <v>0</v>
      </c>
      <c r="AA437" s="33" t="s">
        <v>15</v>
      </c>
      <c r="AB437" s="36" t="s">
        <v>16</v>
      </c>
      <c r="AC437" s="181">
        <f t="shared" si="89"/>
        <v>3</v>
      </c>
      <c r="AD437" s="181">
        <f t="shared" si="88"/>
        <v>12600</v>
      </c>
      <c r="AE437" s="181">
        <v>3</v>
      </c>
      <c r="AF437" s="181">
        <v>3</v>
      </c>
      <c r="AG437" s="101" t="str">
        <f t="shared" si="90"/>
        <v/>
      </c>
      <c r="AH437" s="190">
        <v>0</v>
      </c>
      <c r="AI437" s="69">
        <f t="shared" si="83"/>
        <v>3</v>
      </c>
    </row>
    <row r="438" spans="1:38" s="69" customFormat="1" ht="49.5" hidden="1" customHeight="1" x14ac:dyDescent="0.3">
      <c r="A438" s="55" t="s">
        <v>1133</v>
      </c>
      <c r="B438" s="138" t="s">
        <v>3126</v>
      </c>
      <c r="C438" s="54" t="s">
        <v>66</v>
      </c>
      <c r="D438" s="75">
        <v>4</v>
      </c>
      <c r="E438" s="75"/>
      <c r="F438" s="75"/>
      <c r="G438" s="75"/>
      <c r="H438" s="75"/>
      <c r="I438" s="75">
        <v>1000</v>
      </c>
      <c r="J438" s="75">
        <v>4000</v>
      </c>
      <c r="K438" s="91" t="s">
        <v>1135</v>
      </c>
      <c r="L438" s="73"/>
      <c r="M438" s="46">
        <v>0</v>
      </c>
      <c r="N438" s="46">
        <v>0</v>
      </c>
      <c r="O438" s="46">
        <v>0</v>
      </c>
      <c r="P438" s="98"/>
      <c r="Q438" s="23" t="s">
        <v>1440</v>
      </c>
      <c r="R438" s="24" t="s">
        <v>1134</v>
      </c>
      <c r="S438" s="25" t="s">
        <v>66</v>
      </c>
      <c r="T438" s="26">
        <v>4</v>
      </c>
      <c r="U438" s="26">
        <v>4</v>
      </c>
      <c r="V438" s="26">
        <v>1000</v>
      </c>
      <c r="W438" s="26">
        <f t="shared" si="85"/>
        <v>0</v>
      </c>
      <c r="X438" s="26">
        <f t="shared" si="78"/>
        <v>0</v>
      </c>
      <c r="Y438" s="26">
        <f t="shared" si="86"/>
        <v>0</v>
      </c>
      <c r="Z438" s="26">
        <f t="shared" si="87"/>
        <v>0</v>
      </c>
      <c r="AA438" s="33" t="s">
        <v>15</v>
      </c>
      <c r="AB438" s="36" t="s">
        <v>16</v>
      </c>
      <c r="AC438" s="181">
        <f t="shared" si="89"/>
        <v>4</v>
      </c>
      <c r="AD438" s="181">
        <f t="shared" si="88"/>
        <v>4000</v>
      </c>
      <c r="AE438" s="181">
        <v>3</v>
      </c>
      <c r="AF438" s="181">
        <v>3</v>
      </c>
      <c r="AG438" s="101" t="str">
        <f t="shared" si="90"/>
        <v/>
      </c>
      <c r="AH438" s="190">
        <v>0</v>
      </c>
      <c r="AI438" s="69">
        <f t="shared" si="83"/>
        <v>4</v>
      </c>
    </row>
    <row r="439" spans="1:38" s="69" customFormat="1" ht="49.5" hidden="1" customHeight="1" x14ac:dyDescent="0.3">
      <c r="A439" s="55" t="s">
        <v>1136</v>
      </c>
      <c r="B439" s="138" t="s">
        <v>3125</v>
      </c>
      <c r="C439" s="54" t="s">
        <v>325</v>
      </c>
      <c r="D439" s="75">
        <v>15</v>
      </c>
      <c r="E439" s="75"/>
      <c r="F439" s="75"/>
      <c r="G439" s="75"/>
      <c r="H439" s="75"/>
      <c r="I439" s="75">
        <v>4500</v>
      </c>
      <c r="J439" s="75">
        <v>67500</v>
      </c>
      <c r="K439" s="91" t="s">
        <v>1138</v>
      </c>
      <c r="L439" s="73"/>
      <c r="M439" s="46">
        <v>0</v>
      </c>
      <c r="N439" s="46">
        <v>0</v>
      </c>
      <c r="O439" s="46">
        <v>0</v>
      </c>
      <c r="P439" s="98"/>
      <c r="Q439" s="23" t="s">
        <v>1441</v>
      </c>
      <c r="R439" s="24" t="s">
        <v>1137</v>
      </c>
      <c r="S439" s="25" t="s">
        <v>325</v>
      </c>
      <c r="T439" s="26">
        <v>15</v>
      </c>
      <c r="U439" s="26">
        <v>15</v>
      </c>
      <c r="V439" s="26">
        <v>4500</v>
      </c>
      <c r="W439" s="26">
        <f t="shared" si="85"/>
        <v>0</v>
      </c>
      <c r="X439" s="26">
        <f t="shared" si="78"/>
        <v>0</v>
      </c>
      <c r="Y439" s="26">
        <f t="shared" si="86"/>
        <v>0</v>
      </c>
      <c r="Z439" s="26">
        <f t="shared" si="87"/>
        <v>0</v>
      </c>
      <c r="AA439" s="33" t="s">
        <v>15</v>
      </c>
      <c r="AB439" s="36" t="s">
        <v>16</v>
      </c>
      <c r="AC439" s="181">
        <f t="shared" si="89"/>
        <v>15</v>
      </c>
      <c r="AD439" s="181">
        <f t="shared" si="88"/>
        <v>67500</v>
      </c>
      <c r="AE439" s="181">
        <v>3</v>
      </c>
      <c r="AF439" s="181">
        <v>3</v>
      </c>
      <c r="AG439" s="101" t="str">
        <f t="shared" si="90"/>
        <v/>
      </c>
      <c r="AH439" s="190">
        <v>0</v>
      </c>
      <c r="AI439" s="69">
        <f t="shared" si="83"/>
        <v>15</v>
      </c>
    </row>
    <row r="440" spans="1:38" s="69" customFormat="1" ht="33" hidden="1" customHeight="1" x14ac:dyDescent="0.3">
      <c r="A440" s="55" t="s">
        <v>1139</v>
      </c>
      <c r="B440" s="138" t="s">
        <v>3128</v>
      </c>
      <c r="C440" s="54" t="s">
        <v>325</v>
      </c>
      <c r="D440" s="75">
        <v>2</v>
      </c>
      <c r="E440" s="75"/>
      <c r="F440" s="75"/>
      <c r="G440" s="75"/>
      <c r="H440" s="75"/>
      <c r="I440" s="75">
        <v>636300</v>
      </c>
      <c r="J440" s="75">
        <v>1272600</v>
      </c>
      <c r="K440" s="91" t="s">
        <v>1141</v>
      </c>
      <c r="L440" s="73"/>
      <c r="M440" s="46">
        <v>1</v>
      </c>
      <c r="N440" s="46">
        <v>0</v>
      </c>
      <c r="O440" s="46">
        <v>636300</v>
      </c>
      <c r="P440" s="98"/>
      <c r="Q440" s="23" t="s">
        <v>1442</v>
      </c>
      <c r="R440" s="24" t="s">
        <v>1140</v>
      </c>
      <c r="S440" s="25" t="s">
        <v>325</v>
      </c>
      <c r="T440" s="26">
        <v>2</v>
      </c>
      <c r="U440" s="26">
        <v>2</v>
      </c>
      <c r="V440" s="26">
        <v>636300</v>
      </c>
      <c r="W440" s="26">
        <f t="shared" si="85"/>
        <v>0</v>
      </c>
      <c r="X440" s="26">
        <f t="shared" si="78"/>
        <v>1</v>
      </c>
      <c r="Y440" s="26">
        <f t="shared" si="86"/>
        <v>0</v>
      </c>
      <c r="Z440" s="26">
        <f t="shared" si="87"/>
        <v>636300</v>
      </c>
      <c r="AA440" s="33" t="s">
        <v>15</v>
      </c>
      <c r="AB440" s="36" t="s">
        <v>16</v>
      </c>
      <c r="AC440" s="181">
        <f t="shared" si="89"/>
        <v>2</v>
      </c>
      <c r="AD440" s="181">
        <f t="shared" si="88"/>
        <v>1272600</v>
      </c>
      <c r="AE440" s="181">
        <v>3</v>
      </c>
      <c r="AF440" s="181">
        <v>3</v>
      </c>
      <c r="AG440" s="101" t="str">
        <f t="shared" si="90"/>
        <v/>
      </c>
      <c r="AH440" s="190">
        <v>1</v>
      </c>
      <c r="AI440" s="69">
        <f t="shared" si="83"/>
        <v>2</v>
      </c>
    </row>
    <row r="441" spans="1:38" s="69" customFormat="1" ht="49.5" hidden="1" customHeight="1" x14ac:dyDescent="0.3">
      <c r="A441" s="55" t="s">
        <v>1142</v>
      </c>
      <c r="B441" s="138" t="s">
        <v>3131</v>
      </c>
      <c r="C441" s="54" t="s">
        <v>1144</v>
      </c>
      <c r="D441" s="75">
        <v>4</v>
      </c>
      <c r="E441" s="75"/>
      <c r="F441" s="75"/>
      <c r="G441" s="75"/>
      <c r="H441" s="76"/>
      <c r="I441" s="75">
        <v>2000</v>
      </c>
      <c r="J441" s="75">
        <v>8000</v>
      </c>
      <c r="K441" s="91" t="s">
        <v>1145</v>
      </c>
      <c r="L441" s="73"/>
      <c r="M441" s="46">
        <v>0</v>
      </c>
      <c r="N441" s="46">
        <v>0</v>
      </c>
      <c r="O441" s="46">
        <v>0</v>
      </c>
      <c r="P441" s="98"/>
      <c r="Q441" s="23" t="s">
        <v>1443</v>
      </c>
      <c r="R441" s="24" t="s">
        <v>1143</v>
      </c>
      <c r="S441" s="25" t="s">
        <v>1144</v>
      </c>
      <c r="T441" s="26">
        <v>4</v>
      </c>
      <c r="U441" s="26">
        <v>4</v>
      </c>
      <c r="V441" s="26">
        <v>2000</v>
      </c>
      <c r="W441" s="26">
        <f t="shared" si="85"/>
        <v>0</v>
      </c>
      <c r="X441" s="26">
        <f t="shared" si="78"/>
        <v>0</v>
      </c>
      <c r="Y441" s="26">
        <f t="shared" si="86"/>
        <v>0</v>
      </c>
      <c r="Z441" s="26">
        <f t="shared" si="87"/>
        <v>0</v>
      </c>
      <c r="AA441" s="33" t="s">
        <v>15</v>
      </c>
      <c r="AB441" s="36" t="s">
        <v>16</v>
      </c>
      <c r="AC441" s="181">
        <f t="shared" si="89"/>
        <v>4</v>
      </c>
      <c r="AD441" s="181">
        <f t="shared" si="88"/>
        <v>8000</v>
      </c>
      <c r="AE441" s="181">
        <v>3</v>
      </c>
      <c r="AF441" s="181">
        <v>3</v>
      </c>
      <c r="AG441" s="101" t="str">
        <f t="shared" si="90"/>
        <v/>
      </c>
      <c r="AH441" s="190">
        <v>0</v>
      </c>
      <c r="AI441" s="69">
        <f t="shared" si="83"/>
        <v>4</v>
      </c>
    </row>
    <row r="442" spans="1:38" s="69" customFormat="1" ht="33" hidden="1" x14ac:dyDescent="0.3">
      <c r="A442" s="134">
        <v>3.35</v>
      </c>
      <c r="B442" s="135" t="s">
        <v>1346</v>
      </c>
      <c r="C442" s="204" t="s">
        <v>325</v>
      </c>
      <c r="D442" s="133"/>
      <c r="E442" s="59">
        <v>1</v>
      </c>
      <c r="F442" s="77"/>
      <c r="G442" s="226"/>
      <c r="H442" s="230"/>
      <c r="I442" s="178">
        <v>119161.05</v>
      </c>
      <c r="J442" s="59">
        <v>119161.05</v>
      </c>
      <c r="K442" s="92"/>
      <c r="L442" s="73"/>
      <c r="M442" s="46">
        <v>1</v>
      </c>
      <c r="N442" s="46">
        <v>0</v>
      </c>
      <c r="O442" s="46">
        <v>119161.05</v>
      </c>
      <c r="P442" s="98"/>
      <c r="Q442" s="23" t="s">
        <v>1444</v>
      </c>
      <c r="R442" s="24" t="s">
        <v>1501</v>
      </c>
      <c r="S442" s="25" t="s">
        <v>325</v>
      </c>
      <c r="T442" s="26">
        <v>0</v>
      </c>
      <c r="U442" s="26">
        <v>1</v>
      </c>
      <c r="V442" s="26">
        <v>119161.05</v>
      </c>
      <c r="W442" s="127">
        <f t="shared" si="85"/>
        <v>0</v>
      </c>
      <c r="X442" s="127">
        <f t="shared" si="78"/>
        <v>1</v>
      </c>
      <c r="Y442" s="127">
        <f t="shared" si="86"/>
        <v>0</v>
      </c>
      <c r="Z442" s="127">
        <f t="shared" si="87"/>
        <v>119161.05</v>
      </c>
      <c r="AA442" s="27"/>
      <c r="AB442" s="36" t="s">
        <v>16</v>
      </c>
      <c r="AC442" s="181">
        <f t="shared" si="89"/>
        <v>1</v>
      </c>
      <c r="AD442" s="181">
        <f t="shared" si="88"/>
        <v>119161.05</v>
      </c>
      <c r="AE442" s="181">
        <v>3</v>
      </c>
      <c r="AF442" s="181">
        <v>3</v>
      </c>
      <c r="AG442" s="101" t="str">
        <f t="shared" si="90"/>
        <v/>
      </c>
      <c r="AH442" s="190">
        <v>1</v>
      </c>
      <c r="AI442" s="69">
        <f t="shared" si="83"/>
        <v>1</v>
      </c>
    </row>
    <row r="443" spans="1:38" ht="39" hidden="1" x14ac:dyDescent="0.3">
      <c r="A443" s="134" t="s">
        <v>1347</v>
      </c>
      <c r="B443" s="135" t="s">
        <v>1348</v>
      </c>
      <c r="C443" s="204" t="s">
        <v>325</v>
      </c>
      <c r="D443" s="133"/>
      <c r="E443" s="78"/>
      <c r="F443" s="62">
        <v>1</v>
      </c>
      <c r="G443" s="163"/>
      <c r="H443" s="62"/>
      <c r="I443" s="167">
        <v>74988.5</v>
      </c>
      <c r="J443" s="62">
        <v>74988.5</v>
      </c>
      <c r="K443" s="93"/>
      <c r="M443" s="46">
        <v>1</v>
      </c>
      <c r="N443" s="46">
        <v>0</v>
      </c>
      <c r="O443" s="46">
        <v>74988.5</v>
      </c>
      <c r="P443" s="98"/>
      <c r="Q443" s="23" t="s">
        <v>1408</v>
      </c>
      <c r="R443" s="24" t="s">
        <v>1348</v>
      </c>
      <c r="S443" s="25" t="s">
        <v>325</v>
      </c>
      <c r="T443" s="26">
        <v>0</v>
      </c>
      <c r="U443" s="26">
        <v>1</v>
      </c>
      <c r="V443" s="26">
        <v>74988.5</v>
      </c>
      <c r="W443" s="127">
        <f t="shared" si="85"/>
        <v>0</v>
      </c>
      <c r="X443" s="127">
        <f t="shared" si="78"/>
        <v>1</v>
      </c>
      <c r="Y443" s="127">
        <f t="shared" si="86"/>
        <v>0</v>
      </c>
      <c r="Z443" s="127">
        <f t="shared" si="87"/>
        <v>74988.5</v>
      </c>
      <c r="AA443" s="27"/>
      <c r="AB443" s="36" t="s">
        <v>16</v>
      </c>
      <c r="AC443" s="181">
        <f t="shared" si="89"/>
        <v>1</v>
      </c>
      <c r="AD443" s="181">
        <f t="shared" si="88"/>
        <v>74988.5</v>
      </c>
      <c r="AE443" s="181">
        <v>3</v>
      </c>
      <c r="AF443" s="181">
        <v>3</v>
      </c>
      <c r="AG443" s="101" t="str">
        <f t="shared" si="90"/>
        <v/>
      </c>
      <c r="AH443" s="190">
        <v>1</v>
      </c>
      <c r="AI443" s="69">
        <f t="shared" si="83"/>
        <v>1</v>
      </c>
    </row>
    <row r="444" spans="1:38" ht="66" hidden="1" x14ac:dyDescent="0.3">
      <c r="A444" s="134" t="s">
        <v>1349</v>
      </c>
      <c r="B444" s="139" t="s">
        <v>3132</v>
      </c>
      <c r="C444" s="204" t="s">
        <v>325</v>
      </c>
      <c r="D444" s="133"/>
      <c r="E444" s="78"/>
      <c r="F444" s="62">
        <v>2</v>
      </c>
      <c r="G444" s="163"/>
      <c r="H444" s="62"/>
      <c r="I444" s="167">
        <v>83493.929999999993</v>
      </c>
      <c r="J444" s="62">
        <v>166987.85999999999</v>
      </c>
      <c r="K444" s="93"/>
      <c r="M444" s="46">
        <v>2</v>
      </c>
      <c r="N444" s="46">
        <v>0</v>
      </c>
      <c r="O444" s="46">
        <v>166987.85999999999</v>
      </c>
      <c r="P444" s="98"/>
      <c r="Q444" s="23" t="s">
        <v>1409</v>
      </c>
      <c r="R444" s="24" t="s">
        <v>1350</v>
      </c>
      <c r="S444" s="25" t="s">
        <v>325</v>
      </c>
      <c r="T444" s="26">
        <v>0</v>
      </c>
      <c r="U444" s="26">
        <v>2</v>
      </c>
      <c r="V444" s="26">
        <v>83493.929999999993</v>
      </c>
      <c r="W444" s="127">
        <f t="shared" si="85"/>
        <v>0</v>
      </c>
      <c r="X444" s="127">
        <f t="shared" si="78"/>
        <v>2</v>
      </c>
      <c r="Y444" s="127">
        <f t="shared" si="86"/>
        <v>0</v>
      </c>
      <c r="Z444" s="127">
        <f t="shared" si="87"/>
        <v>166987.85999999999</v>
      </c>
      <c r="AA444" s="27"/>
      <c r="AB444" s="36" t="s">
        <v>16</v>
      </c>
      <c r="AC444" s="181">
        <f t="shared" si="89"/>
        <v>2</v>
      </c>
      <c r="AD444" s="181">
        <f t="shared" si="88"/>
        <v>166987.85999999999</v>
      </c>
      <c r="AE444" s="181">
        <v>3</v>
      </c>
      <c r="AF444" s="181">
        <v>3</v>
      </c>
      <c r="AG444" s="101" t="str">
        <f t="shared" si="90"/>
        <v/>
      </c>
      <c r="AH444" s="190">
        <v>2</v>
      </c>
      <c r="AI444" s="69">
        <f t="shared" si="83"/>
        <v>2</v>
      </c>
    </row>
    <row r="445" spans="1:38" ht="49.5" hidden="1" x14ac:dyDescent="0.3">
      <c r="A445" s="134" t="s">
        <v>1351</v>
      </c>
      <c r="B445" s="139" t="s">
        <v>3133</v>
      </c>
      <c r="C445" s="204" t="s">
        <v>325</v>
      </c>
      <c r="D445" s="133"/>
      <c r="E445" s="78"/>
      <c r="F445" s="62">
        <v>2</v>
      </c>
      <c r="G445" s="163"/>
      <c r="H445" s="62"/>
      <c r="I445" s="167">
        <v>76194.460000000006</v>
      </c>
      <c r="J445" s="62">
        <v>152388.92000000001</v>
      </c>
      <c r="K445" s="93"/>
      <c r="M445" s="46">
        <v>2</v>
      </c>
      <c r="N445" s="46">
        <v>0</v>
      </c>
      <c r="O445" s="46">
        <v>152388.92000000001</v>
      </c>
      <c r="P445" s="98"/>
      <c r="Q445" s="23" t="s">
        <v>1410</v>
      </c>
      <c r="R445" s="24" t="s">
        <v>1352</v>
      </c>
      <c r="S445" s="25" t="s">
        <v>325</v>
      </c>
      <c r="T445" s="26">
        <v>0</v>
      </c>
      <c r="U445" s="26">
        <v>2</v>
      </c>
      <c r="V445" s="26">
        <v>76194.460000000006</v>
      </c>
      <c r="W445" s="127">
        <f t="shared" si="85"/>
        <v>0</v>
      </c>
      <c r="X445" s="127">
        <f t="shared" si="78"/>
        <v>2</v>
      </c>
      <c r="Y445" s="127">
        <f t="shared" si="86"/>
        <v>0</v>
      </c>
      <c r="Z445" s="127">
        <f t="shared" si="87"/>
        <v>152388.92000000001</v>
      </c>
      <c r="AA445" s="27"/>
      <c r="AB445" s="36" t="s">
        <v>16</v>
      </c>
      <c r="AC445" s="181">
        <f t="shared" si="89"/>
        <v>2</v>
      </c>
      <c r="AD445" s="181">
        <f t="shared" si="88"/>
        <v>152388.92000000001</v>
      </c>
      <c r="AE445" s="181">
        <v>3</v>
      </c>
      <c r="AF445" s="181">
        <v>3</v>
      </c>
      <c r="AG445" s="101" t="str">
        <f t="shared" si="90"/>
        <v/>
      </c>
      <c r="AH445" s="190">
        <v>2</v>
      </c>
      <c r="AI445" s="69">
        <f t="shared" si="83"/>
        <v>2</v>
      </c>
    </row>
    <row r="446" spans="1:38" ht="49.5" hidden="1" x14ac:dyDescent="0.3">
      <c r="A446" s="134" t="s">
        <v>1353</v>
      </c>
      <c r="B446" s="139" t="s">
        <v>3134</v>
      </c>
      <c r="C446" s="204" t="s">
        <v>325</v>
      </c>
      <c r="D446" s="133"/>
      <c r="E446" s="78"/>
      <c r="F446" s="62">
        <v>2</v>
      </c>
      <c r="G446" s="163"/>
      <c r="H446" s="62"/>
      <c r="I446" s="167">
        <v>17998.689999999999</v>
      </c>
      <c r="J446" s="62">
        <v>35997.379999999997</v>
      </c>
      <c r="K446" s="93"/>
      <c r="M446" s="46">
        <v>2</v>
      </c>
      <c r="N446" s="46">
        <v>0</v>
      </c>
      <c r="O446" s="46">
        <v>35997.379999999997</v>
      </c>
      <c r="P446" s="98"/>
      <c r="Q446" s="23" t="s">
        <v>1411</v>
      </c>
      <c r="R446" s="24" t="s">
        <v>1354</v>
      </c>
      <c r="S446" s="25" t="s">
        <v>325</v>
      </c>
      <c r="T446" s="26">
        <v>0</v>
      </c>
      <c r="U446" s="26">
        <v>2</v>
      </c>
      <c r="V446" s="26">
        <v>17998.689999999999</v>
      </c>
      <c r="W446" s="127">
        <f t="shared" si="85"/>
        <v>0</v>
      </c>
      <c r="X446" s="127">
        <f t="shared" si="78"/>
        <v>2</v>
      </c>
      <c r="Y446" s="127">
        <f t="shared" si="86"/>
        <v>0</v>
      </c>
      <c r="Z446" s="127">
        <f t="shared" si="87"/>
        <v>35997.379999999997</v>
      </c>
      <c r="AA446" s="27"/>
      <c r="AB446" s="36" t="s">
        <v>16</v>
      </c>
      <c r="AC446" s="181">
        <f t="shared" si="89"/>
        <v>2</v>
      </c>
      <c r="AD446" s="181">
        <f t="shared" si="88"/>
        <v>35997.379999999997</v>
      </c>
      <c r="AE446" s="181">
        <v>3</v>
      </c>
      <c r="AF446" s="181">
        <v>3</v>
      </c>
      <c r="AG446" s="101" t="str">
        <f t="shared" si="90"/>
        <v/>
      </c>
      <c r="AH446" s="190">
        <v>2</v>
      </c>
      <c r="AI446" s="69">
        <f t="shared" si="83"/>
        <v>2</v>
      </c>
    </row>
    <row r="447" spans="1:38" s="69" customFormat="1" ht="33" customHeight="1" x14ac:dyDescent="0.3">
      <c r="A447" s="85" t="s">
        <v>1146</v>
      </c>
      <c r="B447" s="86" t="s">
        <v>1147</v>
      </c>
      <c r="C447" s="87" t="s">
        <v>14</v>
      </c>
      <c r="D447" s="88">
        <v>1</v>
      </c>
      <c r="E447" s="88"/>
      <c r="F447" s="88"/>
      <c r="G447" s="236"/>
      <c r="H447" s="238"/>
      <c r="I447" s="237"/>
      <c r="J447" s="88">
        <v>2798664.24</v>
      </c>
      <c r="K447" s="95" t="s">
        <v>15</v>
      </c>
      <c r="L447" s="73"/>
      <c r="M447" s="42">
        <v>1</v>
      </c>
      <c r="N447" s="42">
        <v>46826.900000000023</v>
      </c>
      <c r="O447" s="42">
        <v>1200171.78</v>
      </c>
      <c r="P447" s="98"/>
      <c r="Q447" s="13" t="s">
        <v>1412</v>
      </c>
      <c r="R447" s="14" t="s">
        <v>1147</v>
      </c>
      <c r="S447" s="15" t="s">
        <v>14</v>
      </c>
      <c r="T447" s="16">
        <v>1</v>
      </c>
      <c r="U447" s="16"/>
      <c r="V447" s="16">
        <f>SUMIFS(AD:AD,AE:AE,AE447)</f>
        <v>2798664.24</v>
      </c>
      <c r="W447" s="16">
        <f t="shared" ref="W447:X447" si="91">IF(Y447=0,0,1)</f>
        <v>1</v>
      </c>
      <c r="X447" s="16">
        <f t="shared" si="91"/>
        <v>1</v>
      </c>
      <c r="Y447" s="16">
        <f>SUMIFS(Y:Y,AF:AF,AE447)</f>
        <v>26136.259999999951</v>
      </c>
      <c r="Z447" s="16">
        <f>SUMIFS(Z:Z,AF:AF,AE447)</f>
        <v>1226308.04</v>
      </c>
      <c r="AA447" s="17" t="s">
        <v>15</v>
      </c>
      <c r="AB447" s="40" t="s">
        <v>16</v>
      </c>
      <c r="AC447" s="181">
        <f t="shared" si="89"/>
        <v>1</v>
      </c>
      <c r="AD447" s="183"/>
      <c r="AE447" s="183">
        <v>4</v>
      </c>
      <c r="AF447" s="183"/>
      <c r="AG447" s="101" t="str">
        <f t="shared" si="90"/>
        <v/>
      </c>
      <c r="AH447" s="190">
        <v>1</v>
      </c>
      <c r="AI447" s="69">
        <f t="shared" si="83"/>
        <v>1</v>
      </c>
    </row>
    <row r="448" spans="1:38" s="69" customFormat="1" ht="49.5" hidden="1" customHeight="1" x14ac:dyDescent="0.3">
      <c r="A448" s="55" t="s">
        <v>1148</v>
      </c>
      <c r="B448" s="53" t="s">
        <v>1149</v>
      </c>
      <c r="C448" s="54" t="s">
        <v>1150</v>
      </c>
      <c r="D448" s="75">
        <v>48</v>
      </c>
      <c r="E448" s="75"/>
      <c r="F448" s="75"/>
      <c r="G448" s="75"/>
      <c r="H448" s="229"/>
      <c r="I448" s="75">
        <v>13068.13</v>
      </c>
      <c r="J448" s="75">
        <v>627270.24</v>
      </c>
      <c r="K448" s="91" t="s">
        <v>1151</v>
      </c>
      <c r="L448" s="73"/>
      <c r="M448" s="46">
        <v>30</v>
      </c>
      <c r="N448" s="46">
        <v>26136.260000000009</v>
      </c>
      <c r="O448" s="46">
        <v>392043.9</v>
      </c>
      <c r="P448" s="98"/>
      <c r="Q448" s="23" t="s">
        <v>1421</v>
      </c>
      <c r="R448" s="24" t="s">
        <v>1149</v>
      </c>
      <c r="S448" s="25" t="s">
        <v>1150</v>
      </c>
      <c r="T448" s="26">
        <v>48</v>
      </c>
      <c r="U448" s="26">
        <v>48</v>
      </c>
      <c r="V448" s="26">
        <v>13068.13</v>
      </c>
      <c r="W448" s="102">
        <f t="shared" ref="W448:W450" si="92">AH448-M448</f>
        <v>2</v>
      </c>
      <c r="X448" s="26">
        <f t="shared" si="78"/>
        <v>32</v>
      </c>
      <c r="Y448" s="26">
        <f>Z448-O448</f>
        <v>26136.259999999951</v>
      </c>
      <c r="Z448" s="26">
        <f t="shared" ref="Z448:Z450" si="93">ROUND(V448*X448,2)</f>
        <v>418180.16</v>
      </c>
      <c r="AA448" s="33" t="s">
        <v>15</v>
      </c>
      <c r="AB448" s="36" t="s">
        <v>16</v>
      </c>
      <c r="AC448" s="181">
        <f t="shared" si="89"/>
        <v>48</v>
      </c>
      <c r="AD448" s="181">
        <f t="shared" ref="AD448:AD450" si="94">ROUND(V448*AC448,2)</f>
        <v>627270.24</v>
      </c>
      <c r="AE448" s="181">
        <v>4</v>
      </c>
      <c r="AF448" s="181">
        <v>4</v>
      </c>
      <c r="AG448" s="101" t="str">
        <f t="shared" si="90"/>
        <v/>
      </c>
      <c r="AH448" s="191">
        <v>32</v>
      </c>
      <c r="AI448" s="69">
        <f t="shared" si="83"/>
        <v>48</v>
      </c>
    </row>
    <row r="449" spans="1:35" s="69" customFormat="1" ht="66" hidden="1" customHeight="1" x14ac:dyDescent="0.3">
      <c r="A449" s="55" t="s">
        <v>1152</v>
      </c>
      <c r="B449" s="53" t="s">
        <v>1153</v>
      </c>
      <c r="C449" s="54" t="s">
        <v>998</v>
      </c>
      <c r="D449" s="75">
        <v>6720</v>
      </c>
      <c r="E449" s="75"/>
      <c r="F449" s="75"/>
      <c r="G449" s="75"/>
      <c r="H449" s="75"/>
      <c r="I449" s="75">
        <v>54.57</v>
      </c>
      <c r="J449" s="75">
        <v>366710.4</v>
      </c>
      <c r="K449" s="91" t="s">
        <v>1154</v>
      </c>
      <c r="L449" s="73"/>
      <c r="M449" s="46">
        <v>2360</v>
      </c>
      <c r="N449" s="46">
        <v>0</v>
      </c>
      <c r="O449" s="46">
        <v>128785.2</v>
      </c>
      <c r="P449" s="98"/>
      <c r="Q449" s="23" t="s">
        <v>1426</v>
      </c>
      <c r="R449" s="24" t="s">
        <v>1153</v>
      </c>
      <c r="S449" s="25" t="s">
        <v>998</v>
      </c>
      <c r="T449" s="26">
        <v>6720</v>
      </c>
      <c r="U449" s="26">
        <v>6720</v>
      </c>
      <c r="V449" s="26">
        <v>54.57</v>
      </c>
      <c r="W449" s="102">
        <f t="shared" si="92"/>
        <v>0</v>
      </c>
      <c r="X449" s="26">
        <f t="shared" si="78"/>
        <v>2360</v>
      </c>
      <c r="Y449" s="26">
        <f>Z449-O449</f>
        <v>0</v>
      </c>
      <c r="Z449" s="26">
        <f t="shared" si="93"/>
        <v>128785.2</v>
      </c>
      <c r="AA449" s="33" t="s">
        <v>15</v>
      </c>
      <c r="AB449" s="36" t="s">
        <v>16</v>
      </c>
      <c r="AC449" s="181">
        <f t="shared" si="89"/>
        <v>6720</v>
      </c>
      <c r="AD449" s="181">
        <f t="shared" si="94"/>
        <v>366710.4</v>
      </c>
      <c r="AE449" s="181">
        <v>4</v>
      </c>
      <c r="AF449" s="181">
        <v>4</v>
      </c>
      <c r="AG449" s="101" t="str">
        <f t="shared" si="90"/>
        <v/>
      </c>
      <c r="AH449" s="190">
        <v>2360</v>
      </c>
      <c r="AI449" s="69">
        <f t="shared" si="83"/>
        <v>6720</v>
      </c>
    </row>
    <row r="450" spans="1:35" s="69" customFormat="1" ht="33" hidden="1" x14ac:dyDescent="0.3">
      <c r="A450" s="66">
        <v>4.3</v>
      </c>
      <c r="B450" s="57" t="s">
        <v>1355</v>
      </c>
      <c r="C450" s="58" t="s">
        <v>1360</v>
      </c>
      <c r="D450" s="77"/>
      <c r="E450" s="117">
        <v>1570</v>
      </c>
      <c r="F450" s="59"/>
      <c r="G450" s="142"/>
      <c r="H450" s="142"/>
      <c r="I450" s="77">
        <v>1149.48</v>
      </c>
      <c r="J450" s="59">
        <v>1804683.6</v>
      </c>
      <c r="K450" s="92"/>
      <c r="L450" s="73"/>
      <c r="M450" s="46">
        <v>591</v>
      </c>
      <c r="N450" s="46">
        <v>20690.640000000014</v>
      </c>
      <c r="O450" s="46">
        <v>679342.68</v>
      </c>
      <c r="P450" s="98"/>
      <c r="Q450" s="23" t="s">
        <v>1402</v>
      </c>
      <c r="R450" s="24" t="s">
        <v>1502</v>
      </c>
      <c r="S450" s="25" t="s">
        <v>1360</v>
      </c>
      <c r="T450" s="26">
        <v>0</v>
      </c>
      <c r="U450" s="26">
        <v>1570</v>
      </c>
      <c r="V450" s="26">
        <v>1149.48</v>
      </c>
      <c r="W450" s="102">
        <f t="shared" si="92"/>
        <v>0</v>
      </c>
      <c r="X450" s="26">
        <f t="shared" si="78"/>
        <v>591</v>
      </c>
      <c r="Y450" s="26">
        <f>Z450-O450</f>
        <v>0</v>
      </c>
      <c r="Z450" s="26">
        <f t="shared" si="93"/>
        <v>679342.68</v>
      </c>
      <c r="AA450" s="27"/>
      <c r="AB450" s="36" t="s">
        <v>16</v>
      </c>
      <c r="AC450" s="181">
        <f t="shared" si="89"/>
        <v>1570</v>
      </c>
      <c r="AD450" s="181">
        <f t="shared" si="94"/>
        <v>1804683.6</v>
      </c>
      <c r="AE450" s="181">
        <v>4</v>
      </c>
      <c r="AF450" s="181">
        <v>4</v>
      </c>
      <c r="AG450" s="101" t="str">
        <f t="shared" si="90"/>
        <v/>
      </c>
      <c r="AH450" s="191">
        <v>591</v>
      </c>
      <c r="AI450" s="69">
        <f t="shared" si="83"/>
        <v>1570</v>
      </c>
    </row>
    <row r="451" spans="1:35" s="69" customFormat="1" ht="33" customHeight="1" x14ac:dyDescent="0.3">
      <c r="A451" s="85" t="s">
        <v>1155</v>
      </c>
      <c r="B451" s="86" t="s">
        <v>1156</v>
      </c>
      <c r="C451" s="87" t="s">
        <v>14</v>
      </c>
      <c r="D451" s="88">
        <v>1</v>
      </c>
      <c r="E451" s="88"/>
      <c r="F451" s="88"/>
      <c r="G451" s="88"/>
      <c r="H451" s="88"/>
      <c r="I451" s="88"/>
      <c r="J451" s="88">
        <v>10715306.710000001</v>
      </c>
      <c r="K451" s="95" t="s">
        <v>15</v>
      </c>
      <c r="L451" s="73"/>
      <c r="M451" s="42">
        <v>1</v>
      </c>
      <c r="N451" s="42">
        <v>216917.39000000007</v>
      </c>
      <c r="O451" s="42">
        <v>9583613.3399999999</v>
      </c>
      <c r="P451" s="98"/>
      <c r="Q451" s="13" t="s">
        <v>1413</v>
      </c>
      <c r="R451" s="14" t="s">
        <v>1156</v>
      </c>
      <c r="S451" s="15" t="s">
        <v>14</v>
      </c>
      <c r="T451" s="16">
        <v>1</v>
      </c>
      <c r="U451" s="16"/>
      <c r="V451" s="16">
        <f>SUMIFS(AD:AD,AE:AE,AE451)</f>
        <v>10715306.709999999</v>
      </c>
      <c r="W451" s="16">
        <f t="shared" ref="W451:X451" si="95">IF(Y451=0,0,1)</f>
        <v>0</v>
      </c>
      <c r="X451" s="16">
        <f t="shared" si="95"/>
        <v>1</v>
      </c>
      <c r="Y451" s="16">
        <f>SUMIFS(Y:Y,AF:AF,AE451)</f>
        <v>0</v>
      </c>
      <c r="Z451" s="16">
        <f>SUMIFS(Z:Z,AF:AF,AE451)</f>
        <v>9583613.3399999999</v>
      </c>
      <c r="AA451" s="17" t="s">
        <v>15</v>
      </c>
      <c r="AB451" s="40" t="s">
        <v>16</v>
      </c>
      <c r="AC451" s="181">
        <f t="shared" si="89"/>
        <v>1</v>
      </c>
      <c r="AD451" s="183"/>
      <c r="AE451" s="183">
        <v>5</v>
      </c>
      <c r="AF451" s="183"/>
      <c r="AG451" s="101" t="str">
        <f t="shared" si="90"/>
        <v/>
      </c>
      <c r="AH451" s="190">
        <v>1</v>
      </c>
      <c r="AI451" s="69">
        <f t="shared" si="83"/>
        <v>1</v>
      </c>
    </row>
    <row r="452" spans="1:35" s="69" customFormat="1" ht="49.5" hidden="1" customHeight="1" x14ac:dyDescent="0.3">
      <c r="A452" s="130" t="s">
        <v>1157</v>
      </c>
      <c r="B452" s="240" t="s">
        <v>1158</v>
      </c>
      <c r="C452" s="132" t="s">
        <v>30</v>
      </c>
      <c r="D452" s="133">
        <v>1698.29</v>
      </c>
      <c r="E452" s="75"/>
      <c r="F452" s="75"/>
      <c r="G452" s="75"/>
      <c r="H452" s="75"/>
      <c r="I452" s="75">
        <v>3662.23</v>
      </c>
      <c r="J452" s="75">
        <v>6219528.5899999999</v>
      </c>
      <c r="K452" s="91" t="s">
        <v>1159</v>
      </c>
      <c r="L452" s="73"/>
      <c r="M452" s="46">
        <v>1698.29</v>
      </c>
      <c r="N452" s="46">
        <v>0</v>
      </c>
      <c r="O452" s="46">
        <v>6219528.5899999999</v>
      </c>
      <c r="P452" s="98"/>
      <c r="Q452" s="23" t="s">
        <v>1421</v>
      </c>
      <c r="R452" s="24" t="s">
        <v>1158</v>
      </c>
      <c r="S452" s="25" t="s">
        <v>30</v>
      </c>
      <c r="T452" s="26">
        <v>1698.29</v>
      </c>
      <c r="U452" s="26">
        <v>1698.29</v>
      </c>
      <c r="V452" s="26">
        <v>3662.23</v>
      </c>
      <c r="W452" s="127">
        <f t="shared" ref="W452:W471" si="96">AH452-M452</f>
        <v>0</v>
      </c>
      <c r="X452" s="127">
        <f t="shared" si="78"/>
        <v>1698.29</v>
      </c>
      <c r="Y452" s="127">
        <f t="shared" ref="Y452:Y471" si="97">Z452-O452</f>
        <v>0</v>
      </c>
      <c r="Z452" s="127">
        <f t="shared" ref="Z452:Z471" si="98">ROUND(V452*X452,2)</f>
        <v>6219528.5899999999</v>
      </c>
      <c r="AA452" s="33" t="s">
        <v>15</v>
      </c>
      <c r="AB452" s="36" t="s">
        <v>16</v>
      </c>
      <c r="AC452" s="181">
        <f t="shared" si="89"/>
        <v>1698.29</v>
      </c>
      <c r="AD452" s="181">
        <f t="shared" ref="AD452:AD471" si="99">ROUND(V452*AC452,2)</f>
        <v>6219528.5899999999</v>
      </c>
      <c r="AE452" s="181">
        <v>5</v>
      </c>
      <c r="AF452" s="181">
        <v>5</v>
      </c>
      <c r="AG452" s="101" t="str">
        <f t="shared" si="90"/>
        <v/>
      </c>
      <c r="AH452" s="190">
        <v>1698.29</v>
      </c>
      <c r="AI452" s="69">
        <f t="shared" si="83"/>
        <v>1698.29</v>
      </c>
    </row>
    <row r="453" spans="1:35" s="69" customFormat="1" ht="49.5" hidden="1" x14ac:dyDescent="0.3">
      <c r="A453" s="130" t="s">
        <v>1160</v>
      </c>
      <c r="B453" s="240" t="s">
        <v>1161</v>
      </c>
      <c r="C453" s="132" t="s">
        <v>50</v>
      </c>
      <c r="D453" s="133">
        <v>2123.4</v>
      </c>
      <c r="E453" s="75"/>
      <c r="F453" s="75"/>
      <c r="G453" s="75"/>
      <c r="H453" s="75"/>
      <c r="I453" s="75">
        <v>353</v>
      </c>
      <c r="J453" s="75">
        <v>749560.2</v>
      </c>
      <c r="K453" s="91" t="s">
        <v>1162</v>
      </c>
      <c r="L453" s="73"/>
      <c r="M453" s="46">
        <v>2123.4</v>
      </c>
      <c r="N453" s="46">
        <v>0</v>
      </c>
      <c r="O453" s="46">
        <v>749560.2</v>
      </c>
      <c r="P453" s="98"/>
      <c r="Q453" s="23" t="s">
        <v>1426</v>
      </c>
      <c r="R453" s="24" t="s">
        <v>1161</v>
      </c>
      <c r="S453" s="25" t="s">
        <v>50</v>
      </c>
      <c r="T453" s="26">
        <v>2123.4</v>
      </c>
      <c r="U453" s="26">
        <v>2123.4</v>
      </c>
      <c r="V453" s="26">
        <v>353</v>
      </c>
      <c r="W453" s="127">
        <f t="shared" si="96"/>
        <v>0</v>
      </c>
      <c r="X453" s="127">
        <v>2123.4</v>
      </c>
      <c r="Y453" s="127">
        <f t="shared" si="97"/>
        <v>0</v>
      </c>
      <c r="Z453" s="127">
        <f t="shared" si="98"/>
        <v>749560.2</v>
      </c>
      <c r="AA453" s="33" t="s">
        <v>15</v>
      </c>
      <c r="AB453" s="36" t="s">
        <v>16</v>
      </c>
      <c r="AC453" s="181">
        <f t="shared" si="89"/>
        <v>2123.4</v>
      </c>
      <c r="AD453" s="181">
        <f t="shared" si="99"/>
        <v>749560.2</v>
      </c>
      <c r="AE453" s="181">
        <v>5</v>
      </c>
      <c r="AF453" s="181">
        <v>5</v>
      </c>
      <c r="AG453" s="101" t="str">
        <f t="shared" si="90"/>
        <v/>
      </c>
      <c r="AH453" s="190">
        <v>2123.4</v>
      </c>
      <c r="AI453" s="69">
        <f t="shared" si="83"/>
        <v>2123.4</v>
      </c>
    </row>
    <row r="454" spans="1:35" s="69" customFormat="1" ht="42" hidden="1" customHeight="1" x14ac:dyDescent="0.3">
      <c r="A454" s="130" t="s">
        <v>1163</v>
      </c>
      <c r="B454" s="240" t="s">
        <v>1164</v>
      </c>
      <c r="C454" s="132" t="s">
        <v>162</v>
      </c>
      <c r="D454" s="133">
        <v>59</v>
      </c>
      <c r="E454" s="75"/>
      <c r="F454" s="75"/>
      <c r="G454" s="75"/>
      <c r="H454" s="75"/>
      <c r="I454" s="75">
        <v>217.02</v>
      </c>
      <c r="J454" s="75">
        <v>12804.18</v>
      </c>
      <c r="K454" s="91" t="s">
        <v>1165</v>
      </c>
      <c r="L454" s="73"/>
      <c r="M454" s="46">
        <v>59</v>
      </c>
      <c r="N454" s="46">
        <v>6293.58</v>
      </c>
      <c r="O454" s="46">
        <v>12804.18</v>
      </c>
      <c r="P454" s="98"/>
      <c r="Q454" s="23" t="s">
        <v>1402</v>
      </c>
      <c r="R454" s="24" t="s">
        <v>1164</v>
      </c>
      <c r="S454" s="25" t="s">
        <v>162</v>
      </c>
      <c r="T454" s="26">
        <v>59</v>
      </c>
      <c r="U454" s="26">
        <v>59</v>
      </c>
      <c r="V454" s="26">
        <v>217.02</v>
      </c>
      <c r="W454" s="127">
        <f t="shared" si="96"/>
        <v>0</v>
      </c>
      <c r="X454" s="127">
        <f t="shared" si="78"/>
        <v>59</v>
      </c>
      <c r="Y454" s="127">
        <f t="shared" si="97"/>
        <v>0</v>
      </c>
      <c r="Z454" s="127">
        <f t="shared" si="98"/>
        <v>12804.18</v>
      </c>
      <c r="AA454" s="33" t="s">
        <v>15</v>
      </c>
      <c r="AB454" s="36" t="s">
        <v>16</v>
      </c>
      <c r="AC454" s="181">
        <f t="shared" si="89"/>
        <v>59</v>
      </c>
      <c r="AD454" s="181">
        <f t="shared" si="99"/>
        <v>12804.18</v>
      </c>
      <c r="AE454" s="181">
        <v>5</v>
      </c>
      <c r="AF454" s="181">
        <v>5</v>
      </c>
      <c r="AG454" s="101" t="str">
        <f t="shared" si="90"/>
        <v/>
      </c>
      <c r="AH454" s="194">
        <v>59</v>
      </c>
      <c r="AI454" s="69">
        <f t="shared" si="83"/>
        <v>59</v>
      </c>
    </row>
    <row r="455" spans="1:35" s="69" customFormat="1" ht="26.1" hidden="1" customHeight="1" x14ac:dyDescent="0.3">
      <c r="A455" s="130" t="s">
        <v>1166</v>
      </c>
      <c r="B455" s="131" t="s">
        <v>1167</v>
      </c>
      <c r="C455" s="132" t="s">
        <v>559</v>
      </c>
      <c r="D455" s="133">
        <v>30</v>
      </c>
      <c r="E455" s="75"/>
      <c r="F455" s="75"/>
      <c r="G455" s="75"/>
      <c r="H455" s="75"/>
      <c r="I455" s="75">
        <v>50</v>
      </c>
      <c r="J455" s="75">
        <v>1500</v>
      </c>
      <c r="K455" s="91" t="s">
        <v>1168</v>
      </c>
      <c r="L455" s="73"/>
      <c r="M455" s="46">
        <v>30</v>
      </c>
      <c r="N455" s="46">
        <v>500</v>
      </c>
      <c r="O455" s="46">
        <v>1500</v>
      </c>
      <c r="P455" s="98"/>
      <c r="Q455" s="23" t="s">
        <v>1373</v>
      </c>
      <c r="R455" s="24" t="s">
        <v>1167</v>
      </c>
      <c r="S455" s="25" t="s">
        <v>559</v>
      </c>
      <c r="T455" s="26">
        <v>30</v>
      </c>
      <c r="U455" s="26">
        <v>30</v>
      </c>
      <c r="V455" s="26">
        <v>50</v>
      </c>
      <c r="W455" s="127">
        <f t="shared" si="96"/>
        <v>0</v>
      </c>
      <c r="X455" s="127">
        <f t="shared" si="78"/>
        <v>30</v>
      </c>
      <c r="Y455" s="127">
        <f t="shared" si="97"/>
        <v>0</v>
      </c>
      <c r="Z455" s="127">
        <f t="shared" si="98"/>
        <v>1500</v>
      </c>
      <c r="AA455" s="33" t="s">
        <v>15</v>
      </c>
      <c r="AB455" s="36" t="s">
        <v>16</v>
      </c>
      <c r="AC455" s="181">
        <f t="shared" si="89"/>
        <v>30</v>
      </c>
      <c r="AD455" s="181">
        <f t="shared" si="99"/>
        <v>1500</v>
      </c>
      <c r="AE455" s="181">
        <v>5</v>
      </c>
      <c r="AF455" s="181">
        <v>5</v>
      </c>
      <c r="AG455" s="101" t="str">
        <f t="shared" si="90"/>
        <v/>
      </c>
      <c r="AH455" s="194">
        <v>30</v>
      </c>
      <c r="AI455" s="69">
        <f t="shared" si="83"/>
        <v>30</v>
      </c>
    </row>
    <row r="456" spans="1:35" s="69" customFormat="1" ht="26.1" hidden="1" customHeight="1" x14ac:dyDescent="0.3">
      <c r="A456" s="130" t="s">
        <v>1169</v>
      </c>
      <c r="B456" s="131" t="s">
        <v>1170</v>
      </c>
      <c r="C456" s="132" t="s">
        <v>81</v>
      </c>
      <c r="D456" s="133">
        <v>9</v>
      </c>
      <c r="E456" s="75"/>
      <c r="F456" s="75"/>
      <c r="G456" s="75"/>
      <c r="H456" s="75"/>
      <c r="I456" s="75">
        <v>1900.97</v>
      </c>
      <c r="J456" s="75">
        <v>17108.73</v>
      </c>
      <c r="K456" s="91" t="s">
        <v>1171</v>
      </c>
      <c r="L456" s="73"/>
      <c r="M456" s="46">
        <v>9</v>
      </c>
      <c r="N456" s="46">
        <v>0</v>
      </c>
      <c r="O456" s="46">
        <v>17108.73</v>
      </c>
      <c r="P456" s="98"/>
      <c r="Q456" s="23" t="s">
        <v>1393</v>
      </c>
      <c r="R456" s="24" t="s">
        <v>1170</v>
      </c>
      <c r="S456" s="25" t="s">
        <v>81</v>
      </c>
      <c r="T456" s="26">
        <v>9</v>
      </c>
      <c r="U456" s="26">
        <v>9</v>
      </c>
      <c r="V456" s="26">
        <v>1900.97</v>
      </c>
      <c r="W456" s="127">
        <f t="shared" si="96"/>
        <v>0</v>
      </c>
      <c r="X456" s="127">
        <f t="shared" si="78"/>
        <v>9</v>
      </c>
      <c r="Y456" s="127">
        <f t="shared" si="97"/>
        <v>0</v>
      </c>
      <c r="Z456" s="127">
        <f t="shared" si="98"/>
        <v>17108.73</v>
      </c>
      <c r="AA456" s="33" t="s">
        <v>15</v>
      </c>
      <c r="AB456" s="36" t="s">
        <v>16</v>
      </c>
      <c r="AC456" s="181">
        <f t="shared" si="89"/>
        <v>9</v>
      </c>
      <c r="AD456" s="181">
        <f t="shared" si="99"/>
        <v>17108.73</v>
      </c>
      <c r="AE456" s="181">
        <v>5</v>
      </c>
      <c r="AF456" s="181">
        <v>5</v>
      </c>
      <c r="AG456" s="101" t="str">
        <f t="shared" si="90"/>
        <v/>
      </c>
      <c r="AH456" s="190">
        <v>9</v>
      </c>
      <c r="AI456" s="69">
        <f t="shared" si="83"/>
        <v>9</v>
      </c>
    </row>
    <row r="457" spans="1:35" s="69" customFormat="1" ht="26.1" hidden="1" customHeight="1" x14ac:dyDescent="0.3">
      <c r="A457" s="130" t="s">
        <v>1172</v>
      </c>
      <c r="B457" s="131" t="s">
        <v>1173</v>
      </c>
      <c r="C457" s="132" t="s">
        <v>81</v>
      </c>
      <c r="D457" s="133">
        <v>5</v>
      </c>
      <c r="E457" s="75"/>
      <c r="F457" s="75"/>
      <c r="G457" s="75"/>
      <c r="H457" s="75"/>
      <c r="I457" s="75">
        <v>1230.75</v>
      </c>
      <c r="J457" s="75">
        <v>6153.75</v>
      </c>
      <c r="K457" s="91" t="s">
        <v>1174</v>
      </c>
      <c r="L457" s="73"/>
      <c r="M457" s="46">
        <v>5</v>
      </c>
      <c r="N457" s="46">
        <v>0</v>
      </c>
      <c r="O457" s="46">
        <v>6153.75</v>
      </c>
      <c r="P457" s="98"/>
      <c r="Q457" s="23" t="s">
        <v>1403</v>
      </c>
      <c r="R457" s="24" t="s">
        <v>1173</v>
      </c>
      <c r="S457" s="25" t="s">
        <v>81</v>
      </c>
      <c r="T457" s="26">
        <v>5</v>
      </c>
      <c r="U457" s="26">
        <v>5</v>
      </c>
      <c r="V457" s="26">
        <v>1230.75</v>
      </c>
      <c r="W457" s="127">
        <f t="shared" si="96"/>
        <v>0</v>
      </c>
      <c r="X457" s="127">
        <f t="shared" si="78"/>
        <v>5</v>
      </c>
      <c r="Y457" s="127">
        <f t="shared" si="97"/>
        <v>0</v>
      </c>
      <c r="Z457" s="127">
        <f t="shared" si="98"/>
        <v>6153.75</v>
      </c>
      <c r="AA457" s="33" t="s">
        <v>15</v>
      </c>
      <c r="AB457" s="36" t="s">
        <v>16</v>
      </c>
      <c r="AC457" s="181">
        <f t="shared" si="89"/>
        <v>5</v>
      </c>
      <c r="AD457" s="181">
        <f t="shared" si="99"/>
        <v>6153.75</v>
      </c>
      <c r="AE457" s="181">
        <v>5</v>
      </c>
      <c r="AF457" s="181">
        <v>5</v>
      </c>
      <c r="AG457" s="101" t="str">
        <f t="shared" si="90"/>
        <v/>
      </c>
      <c r="AH457" s="190">
        <v>5</v>
      </c>
      <c r="AI457" s="69">
        <f t="shared" si="83"/>
        <v>5</v>
      </c>
    </row>
    <row r="458" spans="1:35" s="69" customFormat="1" ht="33" hidden="1" x14ac:dyDescent="0.3">
      <c r="A458" s="55" t="s">
        <v>1175</v>
      </c>
      <c r="B458" s="53" t="s">
        <v>1176</v>
      </c>
      <c r="C458" s="54" t="s">
        <v>81</v>
      </c>
      <c r="D458" s="75">
        <v>756</v>
      </c>
      <c r="E458" s="75"/>
      <c r="F458" s="75"/>
      <c r="G458" s="75"/>
      <c r="H458" s="75"/>
      <c r="I458" s="75">
        <v>1666.11</v>
      </c>
      <c r="J458" s="75">
        <v>1259579.1599999999</v>
      </c>
      <c r="K458" s="91" t="s">
        <v>1177</v>
      </c>
      <c r="L458" s="73"/>
      <c r="M458" s="46">
        <v>471</v>
      </c>
      <c r="N458" s="46">
        <v>118293.81000000006</v>
      </c>
      <c r="O458" s="46">
        <v>784737.81</v>
      </c>
      <c r="P458" s="98"/>
      <c r="Q458" s="23" t="s">
        <v>1427</v>
      </c>
      <c r="R458" s="24" t="s">
        <v>1176</v>
      </c>
      <c r="S458" s="25" t="s">
        <v>81</v>
      </c>
      <c r="T458" s="26">
        <v>756</v>
      </c>
      <c r="U458" s="26">
        <v>756</v>
      </c>
      <c r="V458" s="26">
        <v>1666.11</v>
      </c>
      <c r="W458" s="128">
        <f t="shared" si="96"/>
        <v>0</v>
      </c>
      <c r="X458" s="26">
        <f t="shared" si="78"/>
        <v>471</v>
      </c>
      <c r="Y458" s="26">
        <f t="shared" si="97"/>
        <v>0</v>
      </c>
      <c r="Z458" s="26">
        <f t="shared" si="98"/>
        <v>784737.81</v>
      </c>
      <c r="AA458" s="33" t="s">
        <v>15</v>
      </c>
      <c r="AB458" s="36" t="s">
        <v>16</v>
      </c>
      <c r="AC458" s="181">
        <f t="shared" si="89"/>
        <v>756</v>
      </c>
      <c r="AD458" s="181">
        <f t="shared" si="99"/>
        <v>1259579.1599999999</v>
      </c>
      <c r="AE458" s="181">
        <v>5</v>
      </c>
      <c r="AF458" s="181">
        <v>5</v>
      </c>
      <c r="AG458" s="101" t="str">
        <f t="shared" si="90"/>
        <v/>
      </c>
      <c r="AH458" s="191">
        <v>471</v>
      </c>
      <c r="AI458" s="69">
        <f t="shared" si="83"/>
        <v>756</v>
      </c>
    </row>
    <row r="459" spans="1:35" s="69" customFormat="1" ht="49.5" hidden="1" customHeight="1" x14ac:dyDescent="0.3">
      <c r="A459" s="130" t="s">
        <v>1178</v>
      </c>
      <c r="B459" s="240" t="s">
        <v>1179</v>
      </c>
      <c r="C459" s="132" t="s">
        <v>81</v>
      </c>
      <c r="D459" s="133">
        <v>2</v>
      </c>
      <c r="E459" s="75"/>
      <c r="F459" s="75"/>
      <c r="G459" s="75"/>
      <c r="H459" s="75"/>
      <c r="I459" s="75">
        <v>48513</v>
      </c>
      <c r="J459" s="75">
        <v>97026</v>
      </c>
      <c r="K459" s="91" t="s">
        <v>1180</v>
      </c>
      <c r="L459" s="73"/>
      <c r="M459" s="46">
        <v>2</v>
      </c>
      <c r="N459" s="46">
        <v>0</v>
      </c>
      <c r="O459" s="46">
        <v>97026</v>
      </c>
      <c r="P459" s="98"/>
      <c r="Q459" s="23" t="s">
        <v>1428</v>
      </c>
      <c r="R459" s="24" t="s">
        <v>1179</v>
      </c>
      <c r="S459" s="25" t="s">
        <v>81</v>
      </c>
      <c r="T459" s="26">
        <v>2</v>
      </c>
      <c r="U459" s="26">
        <v>2</v>
      </c>
      <c r="V459" s="26">
        <v>48513</v>
      </c>
      <c r="W459" s="127">
        <f t="shared" si="96"/>
        <v>0</v>
      </c>
      <c r="X459" s="127">
        <v>2</v>
      </c>
      <c r="Y459" s="127">
        <f t="shared" si="97"/>
        <v>0</v>
      </c>
      <c r="Z459" s="127">
        <f t="shared" si="98"/>
        <v>97026</v>
      </c>
      <c r="AA459" s="33" t="s">
        <v>15</v>
      </c>
      <c r="AB459" s="36" t="s">
        <v>16</v>
      </c>
      <c r="AC459" s="181">
        <f t="shared" si="89"/>
        <v>2</v>
      </c>
      <c r="AD459" s="181">
        <f t="shared" si="99"/>
        <v>97026</v>
      </c>
      <c r="AE459" s="181">
        <v>5</v>
      </c>
      <c r="AF459" s="181">
        <v>5</v>
      </c>
      <c r="AG459" s="101" t="str">
        <f t="shared" si="90"/>
        <v/>
      </c>
      <c r="AH459" s="190">
        <v>2</v>
      </c>
      <c r="AI459" s="69">
        <f t="shared" si="83"/>
        <v>2</v>
      </c>
    </row>
    <row r="460" spans="1:35" s="69" customFormat="1" ht="41.25" hidden="1" x14ac:dyDescent="0.3">
      <c r="A460" s="130" t="s">
        <v>1181</v>
      </c>
      <c r="B460" s="131" t="s">
        <v>1182</v>
      </c>
      <c r="C460" s="132" t="s">
        <v>1183</v>
      </c>
      <c r="D460" s="133">
        <v>18</v>
      </c>
      <c r="E460" s="75">
        <v>38</v>
      </c>
      <c r="F460" s="75"/>
      <c r="G460" s="75"/>
      <c r="H460" s="75"/>
      <c r="I460" s="75">
        <v>587.1</v>
      </c>
      <c r="J460" s="75">
        <v>22309.8</v>
      </c>
      <c r="K460" s="91" t="s">
        <v>1184</v>
      </c>
      <c r="L460" s="73"/>
      <c r="M460" s="46">
        <v>38</v>
      </c>
      <c r="N460" s="46">
        <v>0</v>
      </c>
      <c r="O460" s="46">
        <v>22309.8</v>
      </c>
      <c r="P460" s="98"/>
      <c r="Q460" s="23" t="s">
        <v>1387</v>
      </c>
      <c r="R460" s="24" t="s">
        <v>1182</v>
      </c>
      <c r="S460" s="25" t="s">
        <v>1183</v>
      </c>
      <c r="T460" s="26">
        <v>18</v>
      </c>
      <c r="U460" s="26">
        <v>38</v>
      </c>
      <c r="V460" s="26">
        <v>587.1</v>
      </c>
      <c r="W460" s="127">
        <f t="shared" si="96"/>
        <v>0</v>
      </c>
      <c r="X460" s="127">
        <f t="shared" ref="X460:X494" si="100">W460+M460</f>
        <v>38</v>
      </c>
      <c r="Y460" s="127">
        <f t="shared" si="97"/>
        <v>0</v>
      </c>
      <c r="Z460" s="127">
        <f t="shared" si="98"/>
        <v>22309.8</v>
      </c>
      <c r="AA460" s="27" t="s">
        <v>15</v>
      </c>
      <c r="AB460" s="36" t="s">
        <v>16</v>
      </c>
      <c r="AC460" s="181">
        <f t="shared" si="89"/>
        <v>38</v>
      </c>
      <c r="AD460" s="181">
        <f t="shared" si="99"/>
        <v>22309.8</v>
      </c>
      <c r="AE460" s="181">
        <v>5</v>
      </c>
      <c r="AF460" s="181">
        <v>5</v>
      </c>
      <c r="AG460" s="101" t="str">
        <f t="shared" si="90"/>
        <v/>
      </c>
      <c r="AH460" s="194">
        <v>38</v>
      </c>
      <c r="AI460" s="69">
        <f t="shared" ref="AI460:AI503" si="101">IF(G460=0,IF(F460=0,IF(E460=0,D460,E460),F460),G460)</f>
        <v>38</v>
      </c>
    </row>
    <row r="461" spans="1:35" s="69" customFormat="1" ht="49.5" hidden="1" customHeight="1" x14ac:dyDescent="0.3">
      <c r="A461" s="55" t="s">
        <v>1185</v>
      </c>
      <c r="B461" s="53" t="s">
        <v>1186</v>
      </c>
      <c r="C461" s="54" t="s">
        <v>162</v>
      </c>
      <c r="D461" s="75">
        <v>9</v>
      </c>
      <c r="E461" s="75"/>
      <c r="F461" s="75"/>
      <c r="G461" s="75"/>
      <c r="H461" s="75"/>
      <c r="I461" s="75">
        <v>664.14</v>
      </c>
      <c r="J461" s="75">
        <v>5977.26</v>
      </c>
      <c r="K461" s="91" t="s">
        <v>1187</v>
      </c>
      <c r="L461" s="73"/>
      <c r="M461" s="46">
        <v>0</v>
      </c>
      <c r="N461" s="46">
        <v>0</v>
      </c>
      <c r="O461" s="46">
        <v>0</v>
      </c>
      <c r="P461" s="98"/>
      <c r="Q461" s="23" t="s">
        <v>1405</v>
      </c>
      <c r="R461" s="24" t="s">
        <v>1186</v>
      </c>
      <c r="S461" s="25" t="s">
        <v>162</v>
      </c>
      <c r="T461" s="26">
        <v>9</v>
      </c>
      <c r="U461" s="26">
        <v>9</v>
      </c>
      <c r="V461" s="26">
        <v>664.14</v>
      </c>
      <c r="W461" s="26">
        <f t="shared" si="96"/>
        <v>0</v>
      </c>
      <c r="X461" s="26">
        <f t="shared" si="100"/>
        <v>0</v>
      </c>
      <c r="Y461" s="26">
        <f t="shared" si="97"/>
        <v>0</v>
      </c>
      <c r="Z461" s="26">
        <f t="shared" si="98"/>
        <v>0</v>
      </c>
      <c r="AA461" s="33" t="s">
        <v>15</v>
      </c>
      <c r="AB461" s="36" t="s">
        <v>16</v>
      </c>
      <c r="AC461" s="181">
        <f t="shared" si="89"/>
        <v>9</v>
      </c>
      <c r="AD461" s="181">
        <f t="shared" si="99"/>
        <v>5977.26</v>
      </c>
      <c r="AE461" s="181">
        <v>5</v>
      </c>
      <c r="AF461" s="181">
        <v>5</v>
      </c>
      <c r="AG461" s="101" t="str">
        <f t="shared" si="90"/>
        <v/>
      </c>
      <c r="AH461" s="190">
        <v>0</v>
      </c>
      <c r="AI461" s="69">
        <f t="shared" si="101"/>
        <v>9</v>
      </c>
    </row>
    <row r="462" spans="1:35" s="69" customFormat="1" ht="39" hidden="1" x14ac:dyDescent="0.3">
      <c r="A462" s="55" t="s">
        <v>1188</v>
      </c>
      <c r="B462" s="53" t="s">
        <v>1189</v>
      </c>
      <c r="C462" s="54" t="s">
        <v>81</v>
      </c>
      <c r="D462" s="75">
        <v>68</v>
      </c>
      <c r="E462" s="75"/>
      <c r="F462" s="75"/>
      <c r="G462" s="75"/>
      <c r="H462" s="75"/>
      <c r="I462" s="75">
        <v>847.07</v>
      </c>
      <c r="J462" s="75">
        <v>57600.76</v>
      </c>
      <c r="K462" s="91" t="s">
        <v>1190</v>
      </c>
      <c r="L462" s="73"/>
      <c r="M462" s="46">
        <v>40</v>
      </c>
      <c r="N462" s="46">
        <v>0</v>
      </c>
      <c r="O462" s="46">
        <v>33882.800000000003</v>
      </c>
      <c r="P462" s="98"/>
      <c r="Q462" s="23" t="s">
        <v>1406</v>
      </c>
      <c r="R462" s="24" t="s">
        <v>1189</v>
      </c>
      <c r="S462" s="25" t="s">
        <v>81</v>
      </c>
      <c r="T462" s="26">
        <v>68</v>
      </c>
      <c r="U462" s="26">
        <v>68</v>
      </c>
      <c r="V462" s="26">
        <v>847.07</v>
      </c>
      <c r="W462" s="128">
        <f t="shared" si="96"/>
        <v>0</v>
      </c>
      <c r="X462" s="26">
        <f t="shared" si="100"/>
        <v>40</v>
      </c>
      <c r="Y462" s="26">
        <f t="shared" si="97"/>
        <v>0</v>
      </c>
      <c r="Z462" s="26">
        <f t="shared" si="98"/>
        <v>33882.800000000003</v>
      </c>
      <c r="AA462" s="33" t="s">
        <v>15</v>
      </c>
      <c r="AB462" s="36" t="s">
        <v>16</v>
      </c>
      <c r="AC462" s="181">
        <f t="shared" si="89"/>
        <v>68</v>
      </c>
      <c r="AD462" s="181">
        <f t="shared" si="99"/>
        <v>57600.76</v>
      </c>
      <c r="AE462" s="181">
        <v>5</v>
      </c>
      <c r="AF462" s="181">
        <v>5</v>
      </c>
      <c r="AG462" s="101" t="str">
        <f t="shared" si="90"/>
        <v/>
      </c>
      <c r="AH462" s="190">
        <v>40</v>
      </c>
      <c r="AI462" s="69">
        <f t="shared" si="101"/>
        <v>68</v>
      </c>
    </row>
    <row r="463" spans="1:35" s="69" customFormat="1" ht="41.25" hidden="1" x14ac:dyDescent="0.3">
      <c r="A463" s="130" t="s">
        <v>1191</v>
      </c>
      <c r="B463" s="131" t="s">
        <v>1192</v>
      </c>
      <c r="C463" s="132" t="s">
        <v>30</v>
      </c>
      <c r="D463" s="133">
        <v>27.54</v>
      </c>
      <c r="E463" s="75"/>
      <c r="F463" s="75">
        <v>87.54</v>
      </c>
      <c r="G463" s="75"/>
      <c r="H463" s="75"/>
      <c r="I463" s="75">
        <v>293.74</v>
      </c>
      <c r="J463" s="75">
        <v>25714</v>
      </c>
      <c r="K463" s="91" t="s">
        <v>1193</v>
      </c>
      <c r="L463" s="73"/>
      <c r="M463" s="46">
        <v>87.54</v>
      </c>
      <c r="N463" s="46">
        <v>0</v>
      </c>
      <c r="O463" s="46">
        <v>25714</v>
      </c>
      <c r="P463" s="98"/>
      <c r="Q463" s="23" t="s">
        <v>1414</v>
      </c>
      <c r="R463" s="24" t="s">
        <v>1192</v>
      </c>
      <c r="S463" s="25" t="s">
        <v>30</v>
      </c>
      <c r="T463" s="26">
        <v>27.54</v>
      </c>
      <c r="U463" s="26">
        <v>87.54</v>
      </c>
      <c r="V463" s="26">
        <v>293.74</v>
      </c>
      <c r="W463" s="127">
        <f t="shared" si="96"/>
        <v>0</v>
      </c>
      <c r="X463" s="127">
        <f t="shared" si="100"/>
        <v>87.54</v>
      </c>
      <c r="Y463" s="127">
        <f t="shared" si="97"/>
        <v>0</v>
      </c>
      <c r="Z463" s="127">
        <f t="shared" si="98"/>
        <v>25714</v>
      </c>
      <c r="AA463" s="27" t="s">
        <v>15</v>
      </c>
      <c r="AB463" s="36" t="s">
        <v>16</v>
      </c>
      <c r="AC463" s="181">
        <f t="shared" si="89"/>
        <v>87.54</v>
      </c>
      <c r="AD463" s="181">
        <f t="shared" si="99"/>
        <v>25714</v>
      </c>
      <c r="AE463" s="181">
        <v>5</v>
      </c>
      <c r="AF463" s="181">
        <v>5</v>
      </c>
      <c r="AG463" s="101" t="str">
        <f t="shared" si="90"/>
        <v/>
      </c>
      <c r="AH463" s="190">
        <v>87.54</v>
      </c>
      <c r="AI463" s="69">
        <f t="shared" si="101"/>
        <v>87.54</v>
      </c>
    </row>
    <row r="464" spans="1:35" s="69" customFormat="1" ht="33" hidden="1" customHeight="1" x14ac:dyDescent="0.3">
      <c r="A464" s="130" t="s">
        <v>1194</v>
      </c>
      <c r="B464" s="131" t="s">
        <v>1195</v>
      </c>
      <c r="C464" s="132" t="s">
        <v>1196</v>
      </c>
      <c r="D464" s="133">
        <v>2</v>
      </c>
      <c r="E464" s="75"/>
      <c r="F464" s="75"/>
      <c r="G464" s="75"/>
      <c r="H464" s="75"/>
      <c r="I464" s="75">
        <v>10000</v>
      </c>
      <c r="J464" s="75">
        <v>20000</v>
      </c>
      <c r="K464" s="91" t="s">
        <v>1197</v>
      </c>
      <c r="L464" s="73"/>
      <c r="M464" s="46">
        <v>2</v>
      </c>
      <c r="N464" s="46">
        <v>0</v>
      </c>
      <c r="O464" s="46">
        <v>20000</v>
      </c>
      <c r="P464" s="98"/>
      <c r="Q464" s="23" t="s">
        <v>1429</v>
      </c>
      <c r="R464" s="24" t="s">
        <v>1195</v>
      </c>
      <c r="S464" s="25" t="s">
        <v>1196</v>
      </c>
      <c r="T464" s="26">
        <v>2</v>
      </c>
      <c r="U464" s="26">
        <v>2</v>
      </c>
      <c r="V464" s="26">
        <v>10000</v>
      </c>
      <c r="W464" s="127">
        <f t="shared" si="96"/>
        <v>0</v>
      </c>
      <c r="X464" s="127">
        <f t="shared" si="100"/>
        <v>2</v>
      </c>
      <c r="Y464" s="127">
        <f t="shared" si="97"/>
        <v>0</v>
      </c>
      <c r="Z464" s="127">
        <f t="shared" si="98"/>
        <v>20000</v>
      </c>
      <c r="AA464" s="33" t="s">
        <v>15</v>
      </c>
      <c r="AB464" s="36" t="s">
        <v>16</v>
      </c>
      <c r="AC464" s="181">
        <f t="shared" si="89"/>
        <v>2</v>
      </c>
      <c r="AD464" s="181">
        <f t="shared" si="99"/>
        <v>20000</v>
      </c>
      <c r="AE464" s="181">
        <v>5</v>
      </c>
      <c r="AF464" s="181">
        <v>5</v>
      </c>
      <c r="AG464" s="101" t="str">
        <f t="shared" si="90"/>
        <v/>
      </c>
      <c r="AH464" s="190">
        <v>2</v>
      </c>
      <c r="AI464" s="69">
        <f t="shared" si="101"/>
        <v>2</v>
      </c>
    </row>
    <row r="465" spans="1:35" s="69" customFormat="1" ht="33" hidden="1" customHeight="1" x14ac:dyDescent="0.3">
      <c r="A465" s="55" t="s">
        <v>1198</v>
      </c>
      <c r="B465" s="53" t="s">
        <v>1199</v>
      </c>
      <c r="C465" s="54" t="s">
        <v>30</v>
      </c>
      <c r="D465" s="75">
        <v>1064.31</v>
      </c>
      <c r="E465" s="75"/>
      <c r="F465" s="75"/>
      <c r="G465" s="75"/>
      <c r="H465" s="75"/>
      <c r="I465" s="75">
        <v>210</v>
      </c>
      <c r="J465" s="75">
        <v>223505.1</v>
      </c>
      <c r="K465" s="91" t="s">
        <v>1200</v>
      </c>
      <c r="L465" s="73"/>
      <c r="M465" s="46">
        <v>845</v>
      </c>
      <c r="N465" s="46">
        <v>19110</v>
      </c>
      <c r="O465" s="46">
        <v>177450</v>
      </c>
      <c r="P465" s="98"/>
      <c r="Q465" s="23" t="s">
        <v>1430</v>
      </c>
      <c r="R465" s="24" t="s">
        <v>1199</v>
      </c>
      <c r="S465" s="25" t="s">
        <v>30</v>
      </c>
      <c r="T465" s="26">
        <v>1064.31</v>
      </c>
      <c r="U465" s="26">
        <v>1064.31</v>
      </c>
      <c r="V465" s="26">
        <v>210</v>
      </c>
      <c r="W465" s="128">
        <f t="shared" si="96"/>
        <v>0</v>
      </c>
      <c r="X465" s="26">
        <f t="shared" si="100"/>
        <v>845</v>
      </c>
      <c r="Y465" s="26">
        <f t="shared" si="97"/>
        <v>0</v>
      </c>
      <c r="Z465" s="26">
        <f t="shared" si="98"/>
        <v>177450</v>
      </c>
      <c r="AA465" s="33" t="s">
        <v>15</v>
      </c>
      <c r="AB465" s="36" t="s">
        <v>16</v>
      </c>
      <c r="AC465" s="181">
        <f t="shared" si="89"/>
        <v>1064.31</v>
      </c>
      <c r="AD465" s="181">
        <f t="shared" si="99"/>
        <v>223505.1</v>
      </c>
      <c r="AE465" s="181">
        <v>5</v>
      </c>
      <c r="AF465" s="181">
        <v>5</v>
      </c>
      <c r="AG465" s="101" t="str">
        <f t="shared" si="90"/>
        <v/>
      </c>
      <c r="AH465" s="191">
        <v>845</v>
      </c>
      <c r="AI465" s="69">
        <f t="shared" si="101"/>
        <v>1064.31</v>
      </c>
    </row>
    <row r="466" spans="1:35" s="69" customFormat="1" ht="33" hidden="1" x14ac:dyDescent="0.3">
      <c r="A466" s="55" t="s">
        <v>1201</v>
      </c>
      <c r="B466" s="53" t="s">
        <v>1202</v>
      </c>
      <c r="C466" s="54" t="s">
        <v>30</v>
      </c>
      <c r="D466" s="75">
        <v>1910.54</v>
      </c>
      <c r="E466" s="75"/>
      <c r="F466" s="75"/>
      <c r="G466" s="75"/>
      <c r="H466" s="75"/>
      <c r="I466" s="75">
        <v>300</v>
      </c>
      <c r="J466" s="75">
        <v>573162</v>
      </c>
      <c r="K466" s="91" t="s">
        <v>1203</v>
      </c>
      <c r="L466" s="73"/>
      <c r="M466" s="46">
        <v>1106</v>
      </c>
      <c r="N466" s="46">
        <v>39600</v>
      </c>
      <c r="O466" s="46">
        <v>331800</v>
      </c>
      <c r="P466" s="98"/>
      <c r="Q466" s="23" t="s">
        <v>1431</v>
      </c>
      <c r="R466" s="24" t="s">
        <v>1202</v>
      </c>
      <c r="S466" s="25" t="s">
        <v>30</v>
      </c>
      <c r="T466" s="26">
        <v>1910.54</v>
      </c>
      <c r="U466" s="26">
        <v>1910.54</v>
      </c>
      <c r="V466" s="26">
        <v>300</v>
      </c>
      <c r="W466" s="128">
        <f t="shared" si="96"/>
        <v>0</v>
      </c>
      <c r="X466" s="26">
        <f t="shared" si="100"/>
        <v>1106</v>
      </c>
      <c r="Y466" s="26">
        <f t="shared" si="97"/>
        <v>0</v>
      </c>
      <c r="Z466" s="26">
        <f t="shared" si="98"/>
        <v>331800</v>
      </c>
      <c r="AA466" s="33" t="s">
        <v>15</v>
      </c>
      <c r="AB466" s="36" t="s">
        <v>16</v>
      </c>
      <c r="AC466" s="181">
        <f t="shared" si="89"/>
        <v>1910.54</v>
      </c>
      <c r="AD466" s="181">
        <f t="shared" si="99"/>
        <v>573162</v>
      </c>
      <c r="AE466" s="181">
        <v>5</v>
      </c>
      <c r="AF466" s="181">
        <v>5</v>
      </c>
      <c r="AG466" s="101" t="str">
        <f t="shared" si="90"/>
        <v/>
      </c>
      <c r="AH466" s="191">
        <v>1106</v>
      </c>
      <c r="AI466" s="69">
        <f t="shared" si="101"/>
        <v>1910.54</v>
      </c>
    </row>
    <row r="467" spans="1:35" s="69" customFormat="1" ht="33" hidden="1" x14ac:dyDescent="0.3">
      <c r="A467" s="55" t="s">
        <v>1204</v>
      </c>
      <c r="B467" s="53" t="s">
        <v>1205</v>
      </c>
      <c r="C467" s="54" t="s">
        <v>30</v>
      </c>
      <c r="D467" s="75">
        <v>2738.45</v>
      </c>
      <c r="E467" s="75"/>
      <c r="F467" s="75"/>
      <c r="G467" s="75"/>
      <c r="H467" s="75"/>
      <c r="I467" s="75">
        <v>200</v>
      </c>
      <c r="J467" s="75">
        <v>547690</v>
      </c>
      <c r="K467" s="91" t="s">
        <v>1206</v>
      </c>
      <c r="L467" s="73"/>
      <c r="M467" s="46">
        <v>1256.3</v>
      </c>
      <c r="N467" s="46">
        <v>33120</v>
      </c>
      <c r="O467" s="46">
        <v>251260</v>
      </c>
      <c r="P467" s="98"/>
      <c r="Q467" s="23" t="s">
        <v>1395</v>
      </c>
      <c r="R467" s="24" t="s">
        <v>1205</v>
      </c>
      <c r="S467" s="25" t="s">
        <v>30</v>
      </c>
      <c r="T467" s="26">
        <v>2738.45</v>
      </c>
      <c r="U467" s="26">
        <v>2738.45</v>
      </c>
      <c r="V467" s="26">
        <v>200</v>
      </c>
      <c r="W467" s="128">
        <f t="shared" si="96"/>
        <v>0</v>
      </c>
      <c r="X467" s="26">
        <f t="shared" si="100"/>
        <v>1256.3</v>
      </c>
      <c r="Y467" s="26">
        <f t="shared" si="97"/>
        <v>0</v>
      </c>
      <c r="Z467" s="26">
        <f t="shared" si="98"/>
        <v>251260</v>
      </c>
      <c r="AA467" s="33" t="s">
        <v>15</v>
      </c>
      <c r="AB467" s="36" t="s">
        <v>16</v>
      </c>
      <c r="AC467" s="181">
        <f t="shared" si="89"/>
        <v>2738.45</v>
      </c>
      <c r="AD467" s="181">
        <f t="shared" si="99"/>
        <v>547690</v>
      </c>
      <c r="AE467" s="181">
        <v>5</v>
      </c>
      <c r="AF467" s="181">
        <v>5</v>
      </c>
      <c r="AG467" s="101" t="str">
        <f t="shared" si="90"/>
        <v/>
      </c>
      <c r="AH467" s="191">
        <v>1256.3</v>
      </c>
      <c r="AI467" s="69">
        <f t="shared" si="101"/>
        <v>2738.45</v>
      </c>
    </row>
    <row r="468" spans="1:35" s="69" customFormat="1" ht="33" customHeight="1" x14ac:dyDescent="0.3">
      <c r="A468" s="55" t="s">
        <v>1207</v>
      </c>
      <c r="B468" s="53" t="s">
        <v>1208</v>
      </c>
      <c r="C468" s="54" t="s">
        <v>14</v>
      </c>
      <c r="D468" s="75">
        <v>1</v>
      </c>
      <c r="E468" s="75"/>
      <c r="F468" s="76"/>
      <c r="G468" s="76"/>
      <c r="H468" s="76"/>
      <c r="I468" s="75">
        <v>21460.9</v>
      </c>
      <c r="J468" s="75">
        <v>21460.9</v>
      </c>
      <c r="K468" s="91" t="s">
        <v>1209</v>
      </c>
      <c r="L468" s="73"/>
      <c r="M468" s="46">
        <v>0</v>
      </c>
      <c r="N468" s="46">
        <v>0</v>
      </c>
      <c r="O468" s="46">
        <v>0</v>
      </c>
      <c r="P468" s="98"/>
      <c r="Q468" s="23" t="s">
        <v>1432</v>
      </c>
      <c r="R468" s="24" t="s">
        <v>1208</v>
      </c>
      <c r="S468" s="25" t="s">
        <v>14</v>
      </c>
      <c r="T468" s="26">
        <v>1</v>
      </c>
      <c r="U468" s="26">
        <v>1</v>
      </c>
      <c r="V468" s="26">
        <v>21460.9</v>
      </c>
      <c r="W468" s="26">
        <f t="shared" si="96"/>
        <v>0</v>
      </c>
      <c r="X468" s="26">
        <f t="shared" si="100"/>
        <v>0</v>
      </c>
      <c r="Y468" s="136">
        <f t="shared" si="97"/>
        <v>0</v>
      </c>
      <c r="Z468" s="26">
        <f t="shared" si="98"/>
        <v>0</v>
      </c>
      <c r="AA468" s="33" t="s">
        <v>15</v>
      </c>
      <c r="AB468" s="36" t="s">
        <v>16</v>
      </c>
      <c r="AC468" s="181">
        <f t="shared" si="89"/>
        <v>1</v>
      </c>
      <c r="AD468" s="181">
        <f t="shared" si="99"/>
        <v>21460.9</v>
      </c>
      <c r="AE468" s="181">
        <v>5</v>
      </c>
      <c r="AF468" s="181">
        <v>5</v>
      </c>
      <c r="AG468" s="101" t="str">
        <f t="shared" si="90"/>
        <v/>
      </c>
      <c r="AH468" s="190">
        <v>0</v>
      </c>
      <c r="AI468" s="69">
        <f t="shared" si="101"/>
        <v>1</v>
      </c>
    </row>
    <row r="469" spans="1:35" s="69" customFormat="1" ht="39" hidden="1" x14ac:dyDescent="0.3">
      <c r="A469" s="134">
        <v>5.18</v>
      </c>
      <c r="B469" s="135" t="s">
        <v>1356</v>
      </c>
      <c r="C469" s="204" t="s">
        <v>97</v>
      </c>
      <c r="D469" s="244"/>
      <c r="E469" s="59">
        <v>720</v>
      </c>
      <c r="F469" s="180"/>
      <c r="G469" s="180"/>
      <c r="H469" s="180"/>
      <c r="I469" s="178">
        <v>273.11</v>
      </c>
      <c r="J469" s="59">
        <v>196639.2</v>
      </c>
      <c r="K469" s="92"/>
      <c r="L469" s="73"/>
      <c r="M469" s="46">
        <v>640</v>
      </c>
      <c r="N469" s="46">
        <v>0</v>
      </c>
      <c r="O469" s="46">
        <v>174790.39999999999</v>
      </c>
      <c r="P469" s="98"/>
      <c r="Q469" s="23" t="s">
        <v>1433</v>
      </c>
      <c r="R469" s="24" t="s">
        <v>1503</v>
      </c>
      <c r="S469" s="25" t="s">
        <v>97</v>
      </c>
      <c r="T469" s="26">
        <v>0</v>
      </c>
      <c r="U469" s="26">
        <v>720</v>
      </c>
      <c r="V469" s="26">
        <v>273.11</v>
      </c>
      <c r="W469" s="128">
        <f t="shared" si="96"/>
        <v>0</v>
      </c>
      <c r="X469" s="127">
        <f t="shared" si="100"/>
        <v>640</v>
      </c>
      <c r="Y469" s="127">
        <f t="shared" si="97"/>
        <v>0</v>
      </c>
      <c r="Z469" s="127">
        <f t="shared" si="98"/>
        <v>174790.39999999999</v>
      </c>
      <c r="AA469" s="27"/>
      <c r="AB469" s="36" t="s">
        <v>16</v>
      </c>
      <c r="AC469" s="181">
        <f t="shared" si="89"/>
        <v>720</v>
      </c>
      <c r="AD469" s="181">
        <f t="shared" si="99"/>
        <v>196639.2</v>
      </c>
      <c r="AE469" s="181">
        <v>5</v>
      </c>
      <c r="AF469" s="181">
        <v>5</v>
      </c>
      <c r="AG469" s="101" t="str">
        <f t="shared" si="90"/>
        <v/>
      </c>
      <c r="AH469" s="191">
        <v>640</v>
      </c>
      <c r="AI469" s="69">
        <f t="shared" si="101"/>
        <v>720</v>
      </c>
    </row>
    <row r="470" spans="1:35" s="69" customFormat="1" ht="39" hidden="1" x14ac:dyDescent="0.3">
      <c r="A470" s="144">
        <v>5.19</v>
      </c>
      <c r="B470" s="145" t="s">
        <v>1357</v>
      </c>
      <c r="C470" s="206" t="s">
        <v>30</v>
      </c>
      <c r="D470" s="221"/>
      <c r="E470" s="175">
        <v>212</v>
      </c>
      <c r="F470" s="180"/>
      <c r="G470" s="180"/>
      <c r="H470" s="180"/>
      <c r="I470" s="179">
        <v>1859.87</v>
      </c>
      <c r="J470" s="175">
        <v>394292.44</v>
      </c>
      <c r="K470" s="176"/>
      <c r="L470" s="73"/>
      <c r="M470" s="46">
        <v>212</v>
      </c>
      <c r="N470" s="46">
        <v>0</v>
      </c>
      <c r="O470" s="46">
        <v>394292.44</v>
      </c>
      <c r="P470" s="98"/>
      <c r="Q470" s="23" t="s">
        <v>1382</v>
      </c>
      <c r="R470" s="24" t="s">
        <v>1504</v>
      </c>
      <c r="S470" s="25" t="s">
        <v>30</v>
      </c>
      <c r="T470" s="26">
        <v>0</v>
      </c>
      <c r="U470" s="26">
        <v>212</v>
      </c>
      <c r="V470" s="26">
        <v>1859.87</v>
      </c>
      <c r="W470" s="127">
        <f t="shared" si="96"/>
        <v>0</v>
      </c>
      <c r="X470" s="127">
        <f t="shared" si="100"/>
        <v>212</v>
      </c>
      <c r="Y470" s="127">
        <f t="shared" si="97"/>
        <v>0</v>
      </c>
      <c r="Z470" s="127">
        <f t="shared" si="98"/>
        <v>394292.44</v>
      </c>
      <c r="AA470" s="27"/>
      <c r="AB470" s="36" t="s">
        <v>16</v>
      </c>
      <c r="AC470" s="181">
        <f t="shared" si="89"/>
        <v>212</v>
      </c>
      <c r="AD470" s="181">
        <f t="shared" si="99"/>
        <v>394292.44</v>
      </c>
      <c r="AE470" s="181">
        <v>5</v>
      </c>
      <c r="AF470" s="181">
        <v>5</v>
      </c>
      <c r="AG470" s="101" t="str">
        <f t="shared" si="90"/>
        <v/>
      </c>
      <c r="AH470" s="190">
        <v>212</v>
      </c>
      <c r="AI470" s="69">
        <f t="shared" si="101"/>
        <v>212</v>
      </c>
    </row>
    <row r="471" spans="1:35" s="69" customFormat="1" ht="39" x14ac:dyDescent="0.3">
      <c r="A471" s="210" t="s">
        <v>3106</v>
      </c>
      <c r="B471" s="208" t="s">
        <v>3107</v>
      </c>
      <c r="C471" s="204" t="s">
        <v>14</v>
      </c>
      <c r="D471" s="208"/>
      <c r="E471" s="159"/>
      <c r="F471" s="156"/>
      <c r="G471" s="156">
        <v>1</v>
      </c>
      <c r="H471" s="156"/>
      <c r="I471" s="158"/>
      <c r="J471" s="159">
        <v>263694.64</v>
      </c>
      <c r="K471" s="160"/>
      <c r="L471" s="73"/>
      <c r="M471" s="46">
        <v>1</v>
      </c>
      <c r="N471" s="46">
        <v>0</v>
      </c>
      <c r="O471" s="46">
        <v>263694.64</v>
      </c>
      <c r="P471" s="98"/>
      <c r="Q471" s="23" t="s">
        <v>3108</v>
      </c>
      <c r="R471" s="24" t="s">
        <v>3107</v>
      </c>
      <c r="S471" s="25" t="s">
        <v>14</v>
      </c>
      <c r="T471" s="26"/>
      <c r="U471" s="26">
        <v>1</v>
      </c>
      <c r="V471" s="26">
        <v>263694.64</v>
      </c>
      <c r="W471" s="127">
        <f t="shared" si="96"/>
        <v>0</v>
      </c>
      <c r="X471" s="127">
        <f t="shared" si="100"/>
        <v>1</v>
      </c>
      <c r="Y471" s="127">
        <f t="shared" si="97"/>
        <v>0</v>
      </c>
      <c r="Z471" s="127">
        <f t="shared" si="98"/>
        <v>263694.64</v>
      </c>
      <c r="AA471" s="27"/>
      <c r="AB471" s="36"/>
      <c r="AC471" s="181">
        <f t="shared" si="89"/>
        <v>1</v>
      </c>
      <c r="AD471" s="181">
        <f t="shared" si="99"/>
        <v>263694.64</v>
      </c>
      <c r="AE471" s="181">
        <v>5</v>
      </c>
      <c r="AF471" s="181">
        <v>5</v>
      </c>
      <c r="AG471" s="101"/>
      <c r="AH471" s="193">
        <v>1</v>
      </c>
      <c r="AI471" s="69">
        <f t="shared" si="101"/>
        <v>1</v>
      </c>
    </row>
    <row r="472" spans="1:35" s="69" customFormat="1" ht="33" x14ac:dyDescent="0.3">
      <c r="A472" s="150" t="s">
        <v>1210</v>
      </c>
      <c r="B472" s="151" t="s">
        <v>1211</v>
      </c>
      <c r="C472" s="152" t="s">
        <v>14</v>
      </c>
      <c r="D472" s="153">
        <v>1</v>
      </c>
      <c r="E472" s="153"/>
      <c r="F472" s="153"/>
      <c r="G472" s="153"/>
      <c r="H472" s="153"/>
      <c r="I472" s="153"/>
      <c r="J472" s="153">
        <v>3143726.96</v>
      </c>
      <c r="K472" s="154" t="s">
        <v>15</v>
      </c>
      <c r="L472" s="73"/>
      <c r="M472" s="42">
        <v>1</v>
      </c>
      <c r="N472" s="42">
        <v>127936</v>
      </c>
      <c r="O472" s="42">
        <v>2497193.37</v>
      </c>
      <c r="P472" s="98"/>
      <c r="Q472" s="13" t="s">
        <v>1415</v>
      </c>
      <c r="R472" s="14" t="s">
        <v>1211</v>
      </c>
      <c r="S472" s="15" t="s">
        <v>14</v>
      </c>
      <c r="T472" s="16">
        <v>1</v>
      </c>
      <c r="U472" s="16"/>
      <c r="V472" s="16">
        <f>SUMIFS(AD:AD,AE:AE,AE472)</f>
        <v>3143726.9600000004</v>
      </c>
      <c r="W472" s="16">
        <f t="shared" ref="W472:X472" si="102">IF(Y472=0,0,1)</f>
        <v>1</v>
      </c>
      <c r="X472" s="16">
        <f t="shared" si="102"/>
        <v>1</v>
      </c>
      <c r="Y472" s="16">
        <f>SUMIFS(Y:Y,AF:AF,AE472)</f>
        <v>47468</v>
      </c>
      <c r="Z472" s="16">
        <f>SUMIFS(Z:Z,AF:AF,AE472)</f>
        <v>2544661.37</v>
      </c>
      <c r="AA472" s="17" t="s">
        <v>15</v>
      </c>
      <c r="AB472" s="40" t="s">
        <v>16</v>
      </c>
      <c r="AC472" s="181">
        <f t="shared" si="89"/>
        <v>1</v>
      </c>
      <c r="AD472" s="183"/>
      <c r="AE472" s="183">
        <v>6</v>
      </c>
      <c r="AF472" s="183"/>
      <c r="AG472" s="101" t="str">
        <f t="shared" si="90"/>
        <v/>
      </c>
      <c r="AH472" s="190">
        <v>1</v>
      </c>
      <c r="AI472" s="69">
        <f t="shared" si="101"/>
        <v>1</v>
      </c>
    </row>
    <row r="473" spans="1:35" s="69" customFormat="1" ht="33" hidden="1" customHeight="1" x14ac:dyDescent="0.3">
      <c r="A473" s="130" t="s">
        <v>1212</v>
      </c>
      <c r="B473" s="131" t="s">
        <v>1213</v>
      </c>
      <c r="C473" s="132" t="s">
        <v>1014</v>
      </c>
      <c r="D473" s="133">
        <v>10</v>
      </c>
      <c r="E473" s="75"/>
      <c r="F473" s="75"/>
      <c r="G473" s="75"/>
      <c r="H473" s="75"/>
      <c r="I473" s="75">
        <v>770</v>
      </c>
      <c r="J473" s="75">
        <v>7700</v>
      </c>
      <c r="K473" s="91" t="s">
        <v>1214</v>
      </c>
      <c r="L473" s="73"/>
      <c r="M473" s="46">
        <v>10</v>
      </c>
      <c r="N473" s="46">
        <v>0</v>
      </c>
      <c r="O473" s="46">
        <v>7700</v>
      </c>
      <c r="P473" s="98"/>
      <c r="Q473" s="23" t="s">
        <v>1421</v>
      </c>
      <c r="R473" s="24" t="s">
        <v>1213</v>
      </c>
      <c r="S473" s="25" t="s">
        <v>1014</v>
      </c>
      <c r="T473" s="26">
        <v>10</v>
      </c>
      <c r="U473" s="26">
        <v>10</v>
      </c>
      <c r="V473" s="26">
        <v>770</v>
      </c>
      <c r="W473" s="127">
        <f t="shared" ref="W473:W491" si="103">AH473-M473</f>
        <v>0</v>
      </c>
      <c r="X473" s="127">
        <f t="shared" si="100"/>
        <v>10</v>
      </c>
      <c r="Y473" s="127">
        <f t="shared" ref="Y473:Y491" si="104">Z473-O473</f>
        <v>0</v>
      </c>
      <c r="Z473" s="127">
        <f t="shared" ref="Z473:Z491" si="105">ROUND(V473*X473,2)</f>
        <v>7700</v>
      </c>
      <c r="AA473" s="33" t="s">
        <v>15</v>
      </c>
      <c r="AB473" s="36" t="s">
        <v>16</v>
      </c>
      <c r="AC473" s="181">
        <f t="shared" si="89"/>
        <v>10</v>
      </c>
      <c r="AD473" s="181">
        <f t="shared" ref="AD473:AD491" si="106">ROUND(V473*AC473,2)</f>
        <v>7700</v>
      </c>
      <c r="AE473" s="181">
        <v>6</v>
      </c>
      <c r="AF473" s="181">
        <v>6</v>
      </c>
      <c r="AG473" s="101" t="str">
        <f t="shared" si="90"/>
        <v/>
      </c>
      <c r="AH473" s="190">
        <v>10</v>
      </c>
      <c r="AI473" s="69">
        <f t="shared" si="101"/>
        <v>10</v>
      </c>
    </row>
    <row r="474" spans="1:35" s="69" customFormat="1" ht="33" hidden="1" customHeight="1" x14ac:dyDescent="0.3">
      <c r="A474" s="130" t="s">
        <v>1215</v>
      </c>
      <c r="B474" s="131" t="s">
        <v>1216</v>
      </c>
      <c r="C474" s="132" t="s">
        <v>1217</v>
      </c>
      <c r="D474" s="133">
        <v>100</v>
      </c>
      <c r="E474" s="75"/>
      <c r="F474" s="75"/>
      <c r="G474" s="75"/>
      <c r="H474" s="75"/>
      <c r="I474" s="75">
        <v>201</v>
      </c>
      <c r="J474" s="75">
        <v>20100</v>
      </c>
      <c r="K474" s="91" t="s">
        <v>1218</v>
      </c>
      <c r="L474" s="73"/>
      <c r="M474" s="46">
        <v>100</v>
      </c>
      <c r="N474" s="46">
        <v>0</v>
      </c>
      <c r="O474" s="46">
        <v>20100</v>
      </c>
      <c r="P474" s="98"/>
      <c r="Q474" s="23" t="s">
        <v>1426</v>
      </c>
      <c r="R474" s="24" t="s">
        <v>1216</v>
      </c>
      <c r="S474" s="25" t="s">
        <v>1217</v>
      </c>
      <c r="T474" s="26">
        <v>100</v>
      </c>
      <c r="U474" s="26">
        <v>100</v>
      </c>
      <c r="V474" s="26">
        <v>201</v>
      </c>
      <c r="W474" s="127">
        <f t="shared" si="103"/>
        <v>0</v>
      </c>
      <c r="X474" s="127">
        <f t="shared" si="100"/>
        <v>100</v>
      </c>
      <c r="Y474" s="127">
        <f t="shared" si="104"/>
        <v>0</v>
      </c>
      <c r="Z474" s="127">
        <f t="shared" si="105"/>
        <v>20100</v>
      </c>
      <c r="AA474" s="33" t="s">
        <v>15</v>
      </c>
      <c r="AB474" s="36" t="s">
        <v>16</v>
      </c>
      <c r="AC474" s="181">
        <f t="shared" si="89"/>
        <v>100</v>
      </c>
      <c r="AD474" s="181">
        <f t="shared" si="106"/>
        <v>20100</v>
      </c>
      <c r="AE474" s="181">
        <v>6</v>
      </c>
      <c r="AF474" s="181">
        <v>6</v>
      </c>
      <c r="AG474" s="101" t="str">
        <f t="shared" si="90"/>
        <v/>
      </c>
      <c r="AH474" s="190">
        <v>100</v>
      </c>
      <c r="AI474" s="69">
        <f t="shared" si="101"/>
        <v>100</v>
      </c>
    </row>
    <row r="475" spans="1:35" s="69" customFormat="1" ht="39" hidden="1" x14ac:dyDescent="0.3">
      <c r="A475" s="130" t="s">
        <v>1219</v>
      </c>
      <c r="B475" s="131" t="s">
        <v>1220</v>
      </c>
      <c r="C475" s="132" t="s">
        <v>1221</v>
      </c>
      <c r="D475" s="133">
        <v>50</v>
      </c>
      <c r="E475" s="75"/>
      <c r="F475" s="75"/>
      <c r="G475" s="75"/>
      <c r="H475" s="75"/>
      <c r="I475" s="75">
        <v>300</v>
      </c>
      <c r="J475" s="75">
        <v>15000</v>
      </c>
      <c r="K475" s="91" t="s">
        <v>1222</v>
      </c>
      <c r="L475" s="73"/>
      <c r="M475" s="46">
        <v>50</v>
      </c>
      <c r="N475" s="46">
        <v>0</v>
      </c>
      <c r="O475" s="46">
        <v>15000</v>
      </c>
      <c r="P475" s="98"/>
      <c r="Q475" s="23" t="s">
        <v>1402</v>
      </c>
      <c r="R475" s="24" t="s">
        <v>1220</v>
      </c>
      <c r="S475" s="25" t="s">
        <v>1221</v>
      </c>
      <c r="T475" s="26">
        <v>50</v>
      </c>
      <c r="U475" s="26">
        <v>50</v>
      </c>
      <c r="V475" s="26">
        <v>300</v>
      </c>
      <c r="W475" s="127">
        <f t="shared" si="103"/>
        <v>0</v>
      </c>
      <c r="X475" s="127">
        <f t="shared" si="100"/>
        <v>50</v>
      </c>
      <c r="Y475" s="127">
        <f t="shared" si="104"/>
        <v>0</v>
      </c>
      <c r="Z475" s="127">
        <f t="shared" si="105"/>
        <v>15000</v>
      </c>
      <c r="AA475" s="33" t="s">
        <v>15</v>
      </c>
      <c r="AB475" s="36" t="s">
        <v>16</v>
      </c>
      <c r="AC475" s="181">
        <f t="shared" si="89"/>
        <v>50</v>
      </c>
      <c r="AD475" s="181">
        <f t="shared" si="106"/>
        <v>15000</v>
      </c>
      <c r="AE475" s="181">
        <v>6</v>
      </c>
      <c r="AF475" s="181">
        <v>6</v>
      </c>
      <c r="AG475" s="101" t="str">
        <f t="shared" si="90"/>
        <v/>
      </c>
      <c r="AH475" s="190">
        <v>50</v>
      </c>
      <c r="AI475" s="69">
        <f t="shared" si="101"/>
        <v>50</v>
      </c>
    </row>
    <row r="476" spans="1:35" s="69" customFormat="1" ht="33" hidden="1" customHeight="1" x14ac:dyDescent="0.3">
      <c r="A476" s="130" t="s">
        <v>1223</v>
      </c>
      <c r="B476" s="131" t="s">
        <v>1224</v>
      </c>
      <c r="C476" s="132" t="s">
        <v>325</v>
      </c>
      <c r="D476" s="133">
        <v>75</v>
      </c>
      <c r="E476" s="75"/>
      <c r="F476" s="75"/>
      <c r="G476" s="75"/>
      <c r="H476" s="75"/>
      <c r="I476" s="75">
        <v>650</v>
      </c>
      <c r="J476" s="75">
        <v>48750</v>
      </c>
      <c r="K476" s="91" t="s">
        <v>1225</v>
      </c>
      <c r="L476" s="73"/>
      <c r="M476" s="46">
        <v>75</v>
      </c>
      <c r="N476" s="46">
        <v>0</v>
      </c>
      <c r="O476" s="46">
        <v>48750</v>
      </c>
      <c r="P476" s="98"/>
      <c r="Q476" s="23" t="s">
        <v>1373</v>
      </c>
      <c r="R476" s="24" t="s">
        <v>1224</v>
      </c>
      <c r="S476" s="25" t="s">
        <v>325</v>
      </c>
      <c r="T476" s="26">
        <v>75</v>
      </c>
      <c r="U476" s="26">
        <v>75</v>
      </c>
      <c r="V476" s="26">
        <v>650</v>
      </c>
      <c r="W476" s="127">
        <f t="shared" si="103"/>
        <v>0</v>
      </c>
      <c r="X476" s="127">
        <f t="shared" si="100"/>
        <v>75</v>
      </c>
      <c r="Y476" s="127">
        <f t="shared" si="104"/>
        <v>0</v>
      </c>
      <c r="Z476" s="127">
        <f t="shared" si="105"/>
        <v>48750</v>
      </c>
      <c r="AA476" s="33" t="s">
        <v>15</v>
      </c>
      <c r="AB476" s="36" t="s">
        <v>16</v>
      </c>
      <c r="AC476" s="181">
        <f t="shared" si="89"/>
        <v>75</v>
      </c>
      <c r="AD476" s="181">
        <f t="shared" si="106"/>
        <v>48750</v>
      </c>
      <c r="AE476" s="181">
        <v>6</v>
      </c>
      <c r="AF476" s="181">
        <v>6</v>
      </c>
      <c r="AG476" s="101" t="str">
        <f t="shared" si="90"/>
        <v/>
      </c>
      <c r="AH476" s="190">
        <v>75</v>
      </c>
      <c r="AI476" s="69">
        <f t="shared" si="101"/>
        <v>75</v>
      </c>
    </row>
    <row r="477" spans="1:35" s="69" customFormat="1" ht="33" hidden="1" customHeight="1" x14ac:dyDescent="0.3">
      <c r="A477" s="130" t="s">
        <v>1226</v>
      </c>
      <c r="B477" s="131" t="s">
        <v>1227</v>
      </c>
      <c r="C477" s="132" t="s">
        <v>1228</v>
      </c>
      <c r="D477" s="133">
        <v>200</v>
      </c>
      <c r="E477" s="75"/>
      <c r="F477" s="75"/>
      <c r="G477" s="75"/>
      <c r="H477" s="75"/>
      <c r="I477" s="75">
        <v>28</v>
      </c>
      <c r="J477" s="75">
        <v>5600</v>
      </c>
      <c r="K477" s="91" t="s">
        <v>1229</v>
      </c>
      <c r="L477" s="73"/>
      <c r="M477" s="46">
        <v>200</v>
      </c>
      <c r="N477" s="46">
        <v>0</v>
      </c>
      <c r="O477" s="46">
        <v>5600</v>
      </c>
      <c r="P477" s="98"/>
      <c r="Q477" s="23" t="s">
        <v>1393</v>
      </c>
      <c r="R477" s="24" t="s">
        <v>1227</v>
      </c>
      <c r="S477" s="25" t="s">
        <v>1228</v>
      </c>
      <c r="T477" s="26">
        <v>200</v>
      </c>
      <c r="U477" s="26">
        <v>200</v>
      </c>
      <c r="V477" s="26">
        <v>28</v>
      </c>
      <c r="W477" s="127">
        <f t="shared" si="103"/>
        <v>0</v>
      </c>
      <c r="X477" s="127">
        <f t="shared" si="100"/>
        <v>200</v>
      </c>
      <c r="Y477" s="127">
        <f t="shared" si="104"/>
        <v>0</v>
      </c>
      <c r="Z477" s="127">
        <f t="shared" si="105"/>
        <v>5600</v>
      </c>
      <c r="AA477" s="33" t="s">
        <v>15</v>
      </c>
      <c r="AB477" s="36" t="s">
        <v>16</v>
      </c>
      <c r="AC477" s="181">
        <f t="shared" si="89"/>
        <v>200</v>
      </c>
      <c r="AD477" s="181">
        <f t="shared" si="106"/>
        <v>5600</v>
      </c>
      <c r="AE477" s="181">
        <v>6</v>
      </c>
      <c r="AF477" s="181">
        <v>6</v>
      </c>
      <c r="AG477" s="101" t="str">
        <f t="shared" si="90"/>
        <v/>
      </c>
      <c r="AH477" s="190">
        <v>200</v>
      </c>
      <c r="AI477" s="69">
        <f t="shared" si="101"/>
        <v>200</v>
      </c>
    </row>
    <row r="478" spans="1:35" s="69" customFormat="1" ht="33" hidden="1" customHeight="1" x14ac:dyDescent="0.3">
      <c r="A478" s="55" t="s">
        <v>1230</v>
      </c>
      <c r="B478" s="53" t="s">
        <v>1231</v>
      </c>
      <c r="C478" s="54" t="s">
        <v>1228</v>
      </c>
      <c r="D478" s="75">
        <v>100</v>
      </c>
      <c r="E478" s="75"/>
      <c r="F478" s="75"/>
      <c r="G478" s="75"/>
      <c r="H478" s="75"/>
      <c r="I478" s="75">
        <v>500</v>
      </c>
      <c r="J478" s="75">
        <v>50000</v>
      </c>
      <c r="K478" s="91" t="s">
        <v>1232</v>
      </c>
      <c r="L478" s="73"/>
      <c r="M478" s="46">
        <v>62</v>
      </c>
      <c r="N478" s="46">
        <v>0</v>
      </c>
      <c r="O478" s="46">
        <v>31000</v>
      </c>
      <c r="P478" s="98"/>
      <c r="Q478" s="23" t="s">
        <v>1403</v>
      </c>
      <c r="R478" s="24" t="s">
        <v>1231</v>
      </c>
      <c r="S478" s="25" t="s">
        <v>1228</v>
      </c>
      <c r="T478" s="26">
        <v>100</v>
      </c>
      <c r="U478" s="26">
        <v>100</v>
      </c>
      <c r="V478" s="26">
        <v>500</v>
      </c>
      <c r="W478" s="128">
        <f t="shared" si="103"/>
        <v>0</v>
      </c>
      <c r="X478" s="26">
        <f t="shared" si="100"/>
        <v>62</v>
      </c>
      <c r="Y478" s="26">
        <f t="shared" si="104"/>
        <v>0</v>
      </c>
      <c r="Z478" s="26">
        <f t="shared" si="105"/>
        <v>31000</v>
      </c>
      <c r="AA478" s="33" t="s">
        <v>15</v>
      </c>
      <c r="AB478" s="36" t="s">
        <v>16</v>
      </c>
      <c r="AC478" s="181">
        <f t="shared" ref="AC478:AC499" si="107">IF(U478="",T478,U478)</f>
        <v>100</v>
      </c>
      <c r="AD478" s="181">
        <f t="shared" si="106"/>
        <v>50000</v>
      </c>
      <c r="AE478" s="181">
        <v>6</v>
      </c>
      <c r="AF478" s="181">
        <v>6</v>
      </c>
      <c r="AG478" s="101" t="str">
        <f t="shared" ref="AG478:AG503" si="108">IF(X478&gt;AI478,"超估","")</f>
        <v/>
      </c>
      <c r="AH478" s="191">
        <v>62</v>
      </c>
      <c r="AI478" s="69">
        <f t="shared" si="101"/>
        <v>100</v>
      </c>
    </row>
    <row r="479" spans="1:35" s="69" customFormat="1" ht="33" hidden="1" customHeight="1" x14ac:dyDescent="0.3">
      <c r="A479" s="55" t="s">
        <v>1233</v>
      </c>
      <c r="B479" s="53" t="s">
        <v>1234</v>
      </c>
      <c r="C479" s="54" t="s">
        <v>1235</v>
      </c>
      <c r="D479" s="75">
        <v>75</v>
      </c>
      <c r="E479" s="75"/>
      <c r="F479" s="75"/>
      <c r="G479" s="75"/>
      <c r="H479" s="75"/>
      <c r="I479" s="75">
        <v>280</v>
      </c>
      <c r="J479" s="75">
        <v>21000</v>
      </c>
      <c r="K479" s="91" t="s">
        <v>1236</v>
      </c>
      <c r="L479" s="73"/>
      <c r="M479" s="46">
        <v>38</v>
      </c>
      <c r="N479" s="46">
        <v>0</v>
      </c>
      <c r="O479" s="46">
        <v>10640</v>
      </c>
      <c r="P479" s="98"/>
      <c r="Q479" s="23" t="s">
        <v>1427</v>
      </c>
      <c r="R479" s="24" t="s">
        <v>1234</v>
      </c>
      <c r="S479" s="25" t="s">
        <v>1235</v>
      </c>
      <c r="T479" s="26">
        <v>75</v>
      </c>
      <c r="U479" s="26">
        <v>75</v>
      </c>
      <c r="V479" s="26">
        <v>280</v>
      </c>
      <c r="W479" s="128">
        <f t="shared" si="103"/>
        <v>0</v>
      </c>
      <c r="X479" s="26">
        <f t="shared" si="100"/>
        <v>38</v>
      </c>
      <c r="Y479" s="26">
        <f t="shared" si="104"/>
        <v>0</v>
      </c>
      <c r="Z479" s="26">
        <f t="shared" si="105"/>
        <v>10640</v>
      </c>
      <c r="AA479" s="33" t="s">
        <v>15</v>
      </c>
      <c r="AB479" s="36" t="s">
        <v>16</v>
      </c>
      <c r="AC479" s="181">
        <f t="shared" si="107"/>
        <v>75</v>
      </c>
      <c r="AD479" s="181">
        <f t="shared" si="106"/>
        <v>21000</v>
      </c>
      <c r="AE479" s="181">
        <v>6</v>
      </c>
      <c r="AF479" s="181">
        <v>6</v>
      </c>
      <c r="AG479" s="101" t="str">
        <f t="shared" si="108"/>
        <v/>
      </c>
      <c r="AH479" s="191">
        <v>38</v>
      </c>
      <c r="AI479" s="69">
        <f t="shared" si="101"/>
        <v>75</v>
      </c>
    </row>
    <row r="480" spans="1:35" s="69" customFormat="1" ht="49.5" hidden="1" x14ac:dyDescent="0.3">
      <c r="A480" s="130" t="s">
        <v>1237</v>
      </c>
      <c r="B480" s="240" t="s">
        <v>1238</v>
      </c>
      <c r="C480" s="132" t="s">
        <v>1235</v>
      </c>
      <c r="D480" s="133">
        <v>50</v>
      </c>
      <c r="E480" s="75"/>
      <c r="F480" s="75"/>
      <c r="G480" s="75"/>
      <c r="H480" s="75"/>
      <c r="I480" s="75">
        <v>350</v>
      </c>
      <c r="J480" s="75">
        <v>17500</v>
      </c>
      <c r="K480" s="91" t="s">
        <v>1239</v>
      </c>
      <c r="L480" s="73"/>
      <c r="M480" s="46">
        <v>50</v>
      </c>
      <c r="N480" s="46">
        <v>0</v>
      </c>
      <c r="O480" s="46">
        <v>17500</v>
      </c>
      <c r="P480" s="98"/>
      <c r="Q480" s="23" t="s">
        <v>1428</v>
      </c>
      <c r="R480" s="24" t="s">
        <v>1238</v>
      </c>
      <c r="S480" s="25" t="s">
        <v>1235</v>
      </c>
      <c r="T480" s="26">
        <v>50</v>
      </c>
      <c r="U480" s="26">
        <v>50</v>
      </c>
      <c r="V480" s="26">
        <v>350</v>
      </c>
      <c r="W480" s="127">
        <f t="shared" si="103"/>
        <v>0</v>
      </c>
      <c r="X480" s="127">
        <f t="shared" si="100"/>
        <v>50</v>
      </c>
      <c r="Y480" s="127">
        <f t="shared" si="104"/>
        <v>0</v>
      </c>
      <c r="Z480" s="127">
        <f t="shared" si="105"/>
        <v>17500</v>
      </c>
      <c r="AA480" s="33" t="s">
        <v>15</v>
      </c>
      <c r="AB480" s="36" t="s">
        <v>16</v>
      </c>
      <c r="AC480" s="181">
        <f t="shared" si="107"/>
        <v>50</v>
      </c>
      <c r="AD480" s="181">
        <f t="shared" si="106"/>
        <v>17500</v>
      </c>
      <c r="AE480" s="181">
        <v>6</v>
      </c>
      <c r="AF480" s="181">
        <v>6</v>
      </c>
      <c r="AG480" s="101" t="str">
        <f t="shared" si="108"/>
        <v/>
      </c>
      <c r="AH480" s="190">
        <v>50</v>
      </c>
      <c r="AI480" s="69">
        <f t="shared" si="101"/>
        <v>50</v>
      </c>
    </row>
    <row r="481" spans="1:35" s="69" customFormat="1" ht="33" hidden="1" customHeight="1" x14ac:dyDescent="0.3">
      <c r="A481" s="130" t="s">
        <v>1240</v>
      </c>
      <c r="B481" s="131" t="s">
        <v>1241</v>
      </c>
      <c r="C481" s="132" t="s">
        <v>325</v>
      </c>
      <c r="D481" s="133">
        <v>10</v>
      </c>
      <c r="E481" s="75"/>
      <c r="F481" s="75"/>
      <c r="G481" s="75"/>
      <c r="H481" s="75"/>
      <c r="I481" s="75">
        <v>560</v>
      </c>
      <c r="J481" s="75">
        <v>5600</v>
      </c>
      <c r="K481" s="91" t="s">
        <v>1242</v>
      </c>
      <c r="L481" s="73"/>
      <c r="M481" s="46">
        <v>10</v>
      </c>
      <c r="N481" s="46">
        <v>0</v>
      </c>
      <c r="O481" s="46">
        <v>5600</v>
      </c>
      <c r="P481" s="98"/>
      <c r="Q481" s="23" t="s">
        <v>1387</v>
      </c>
      <c r="R481" s="24" t="s">
        <v>1241</v>
      </c>
      <c r="S481" s="25" t="s">
        <v>325</v>
      </c>
      <c r="T481" s="26">
        <v>10</v>
      </c>
      <c r="U481" s="26">
        <v>10</v>
      </c>
      <c r="V481" s="26">
        <v>560</v>
      </c>
      <c r="W481" s="127">
        <f t="shared" si="103"/>
        <v>0</v>
      </c>
      <c r="X481" s="127">
        <f t="shared" si="100"/>
        <v>10</v>
      </c>
      <c r="Y481" s="127">
        <f t="shared" si="104"/>
        <v>0</v>
      </c>
      <c r="Z481" s="127">
        <f t="shared" si="105"/>
        <v>5600</v>
      </c>
      <c r="AA481" s="33" t="s">
        <v>15</v>
      </c>
      <c r="AB481" s="36" t="s">
        <v>16</v>
      </c>
      <c r="AC481" s="181">
        <f t="shared" si="107"/>
        <v>10</v>
      </c>
      <c r="AD481" s="181">
        <f t="shared" si="106"/>
        <v>5600</v>
      </c>
      <c r="AE481" s="181">
        <v>6</v>
      </c>
      <c r="AF481" s="181">
        <v>6</v>
      </c>
      <c r="AG481" s="101" t="str">
        <f t="shared" si="108"/>
        <v/>
      </c>
      <c r="AH481" s="191">
        <v>10</v>
      </c>
      <c r="AI481" s="69">
        <f t="shared" si="101"/>
        <v>10</v>
      </c>
    </row>
    <row r="482" spans="1:35" s="69" customFormat="1" ht="33" hidden="1" customHeight="1" x14ac:dyDescent="0.3">
      <c r="A482" s="130" t="s">
        <v>1243</v>
      </c>
      <c r="B482" s="131" t="s">
        <v>1244</v>
      </c>
      <c r="C482" s="132" t="s">
        <v>162</v>
      </c>
      <c r="D482" s="133">
        <v>4</v>
      </c>
      <c r="E482" s="75"/>
      <c r="F482" s="75"/>
      <c r="G482" s="75"/>
      <c r="H482" s="75"/>
      <c r="I482" s="75">
        <v>250</v>
      </c>
      <c r="J482" s="75">
        <v>1000</v>
      </c>
      <c r="K482" s="91" t="s">
        <v>1245</v>
      </c>
      <c r="L482" s="73"/>
      <c r="M482" s="46">
        <v>4</v>
      </c>
      <c r="N482" s="46">
        <v>0</v>
      </c>
      <c r="O482" s="46">
        <v>1000</v>
      </c>
      <c r="P482" s="98"/>
      <c r="Q482" s="23" t="s">
        <v>1405</v>
      </c>
      <c r="R482" s="24" t="s">
        <v>1244</v>
      </c>
      <c r="S482" s="25" t="s">
        <v>162</v>
      </c>
      <c r="T482" s="26">
        <v>4</v>
      </c>
      <c r="U482" s="26">
        <v>4</v>
      </c>
      <c r="V482" s="26">
        <v>250</v>
      </c>
      <c r="W482" s="127">
        <f t="shared" si="103"/>
        <v>0</v>
      </c>
      <c r="X482" s="127">
        <f t="shared" si="100"/>
        <v>4</v>
      </c>
      <c r="Y482" s="127">
        <f t="shared" si="104"/>
        <v>0</v>
      </c>
      <c r="Z482" s="127">
        <f t="shared" si="105"/>
        <v>1000</v>
      </c>
      <c r="AA482" s="33" t="s">
        <v>15</v>
      </c>
      <c r="AB482" s="36" t="s">
        <v>16</v>
      </c>
      <c r="AC482" s="181">
        <f t="shared" si="107"/>
        <v>4</v>
      </c>
      <c r="AD482" s="181">
        <f t="shared" si="106"/>
        <v>1000</v>
      </c>
      <c r="AE482" s="181">
        <v>6</v>
      </c>
      <c r="AF482" s="181">
        <v>6</v>
      </c>
      <c r="AG482" s="101" t="str">
        <f t="shared" si="108"/>
        <v/>
      </c>
      <c r="AH482" s="190">
        <v>4</v>
      </c>
      <c r="AI482" s="69">
        <f t="shared" si="101"/>
        <v>4</v>
      </c>
    </row>
    <row r="483" spans="1:35" s="69" customFormat="1" ht="49.5" hidden="1" customHeight="1" x14ac:dyDescent="0.3">
      <c r="A483" s="130" t="s">
        <v>1246</v>
      </c>
      <c r="B483" s="240" t="s">
        <v>1247</v>
      </c>
      <c r="C483" s="132" t="s">
        <v>325</v>
      </c>
      <c r="D483" s="133">
        <v>5</v>
      </c>
      <c r="E483" s="75"/>
      <c r="F483" s="75"/>
      <c r="G483" s="75"/>
      <c r="H483" s="75"/>
      <c r="I483" s="75">
        <v>8300</v>
      </c>
      <c r="J483" s="75">
        <v>41500</v>
      </c>
      <c r="K483" s="91" t="s">
        <v>1248</v>
      </c>
      <c r="L483" s="73"/>
      <c r="M483" s="46">
        <v>5</v>
      </c>
      <c r="N483" s="46">
        <v>0</v>
      </c>
      <c r="O483" s="46">
        <v>41500</v>
      </c>
      <c r="P483" s="98"/>
      <c r="Q483" s="23" t="s">
        <v>1406</v>
      </c>
      <c r="R483" s="24" t="s">
        <v>1247</v>
      </c>
      <c r="S483" s="25" t="s">
        <v>325</v>
      </c>
      <c r="T483" s="26">
        <v>5</v>
      </c>
      <c r="U483" s="26">
        <v>5</v>
      </c>
      <c r="V483" s="26">
        <v>8300</v>
      </c>
      <c r="W483" s="127">
        <f t="shared" si="103"/>
        <v>0</v>
      </c>
      <c r="X483" s="127">
        <f t="shared" si="100"/>
        <v>5</v>
      </c>
      <c r="Y483" s="127">
        <f t="shared" si="104"/>
        <v>0</v>
      </c>
      <c r="Z483" s="127">
        <f t="shared" si="105"/>
        <v>41500</v>
      </c>
      <c r="AA483" s="33" t="s">
        <v>15</v>
      </c>
      <c r="AB483" s="36" t="s">
        <v>16</v>
      </c>
      <c r="AC483" s="181">
        <f t="shared" si="107"/>
        <v>5</v>
      </c>
      <c r="AD483" s="181">
        <f t="shared" si="106"/>
        <v>41500</v>
      </c>
      <c r="AE483" s="181">
        <v>6</v>
      </c>
      <c r="AF483" s="181">
        <v>6</v>
      </c>
      <c r="AG483" s="101" t="str">
        <f t="shared" si="108"/>
        <v/>
      </c>
      <c r="AH483" s="190">
        <v>5</v>
      </c>
      <c r="AI483" s="69">
        <f t="shared" si="101"/>
        <v>5</v>
      </c>
    </row>
    <row r="484" spans="1:35" s="69" customFormat="1" ht="33" hidden="1" customHeight="1" x14ac:dyDescent="0.3">
      <c r="A484" s="130" t="s">
        <v>1249</v>
      </c>
      <c r="B484" s="131" t="s">
        <v>1250</v>
      </c>
      <c r="C484" s="132" t="s">
        <v>325</v>
      </c>
      <c r="D484" s="133">
        <v>5</v>
      </c>
      <c r="E484" s="75"/>
      <c r="F484" s="75"/>
      <c r="G484" s="75"/>
      <c r="H484" s="75"/>
      <c r="I484" s="75">
        <v>1160</v>
      </c>
      <c r="J484" s="75">
        <v>5800</v>
      </c>
      <c r="K484" s="91" t="s">
        <v>1251</v>
      </c>
      <c r="L484" s="73"/>
      <c r="M484" s="46">
        <v>5</v>
      </c>
      <c r="N484" s="46">
        <v>0</v>
      </c>
      <c r="O484" s="46">
        <v>5800</v>
      </c>
      <c r="P484" s="98"/>
      <c r="Q484" s="23" t="s">
        <v>1414</v>
      </c>
      <c r="R484" s="24" t="s">
        <v>1250</v>
      </c>
      <c r="S484" s="25" t="s">
        <v>325</v>
      </c>
      <c r="T484" s="26">
        <v>5</v>
      </c>
      <c r="U484" s="26">
        <v>5</v>
      </c>
      <c r="V484" s="26">
        <v>1160</v>
      </c>
      <c r="W484" s="127">
        <f t="shared" si="103"/>
        <v>0</v>
      </c>
      <c r="X484" s="127">
        <f t="shared" si="100"/>
        <v>5</v>
      </c>
      <c r="Y484" s="127">
        <f t="shared" si="104"/>
        <v>0</v>
      </c>
      <c r="Z484" s="127">
        <f t="shared" si="105"/>
        <v>5800</v>
      </c>
      <c r="AA484" s="33" t="s">
        <v>15</v>
      </c>
      <c r="AB484" s="36" t="s">
        <v>16</v>
      </c>
      <c r="AC484" s="181">
        <f t="shared" si="107"/>
        <v>5</v>
      </c>
      <c r="AD484" s="181">
        <f t="shared" si="106"/>
        <v>5800</v>
      </c>
      <c r="AE484" s="181">
        <v>6</v>
      </c>
      <c r="AF484" s="181">
        <v>6</v>
      </c>
      <c r="AG484" s="101" t="str">
        <f t="shared" si="108"/>
        <v/>
      </c>
      <c r="AH484" s="190">
        <v>5</v>
      </c>
      <c r="AI484" s="69">
        <f t="shared" si="101"/>
        <v>5</v>
      </c>
    </row>
    <row r="485" spans="1:35" s="69" customFormat="1" ht="49.5" hidden="1" x14ac:dyDescent="0.3">
      <c r="A485" s="130" t="s">
        <v>1252</v>
      </c>
      <c r="B485" s="240" t="s">
        <v>1253</v>
      </c>
      <c r="C485" s="132" t="s">
        <v>325</v>
      </c>
      <c r="D485" s="133">
        <v>5</v>
      </c>
      <c r="E485" s="75"/>
      <c r="F485" s="75"/>
      <c r="G485" s="75"/>
      <c r="H485" s="75"/>
      <c r="I485" s="75">
        <v>600</v>
      </c>
      <c r="J485" s="75">
        <v>3000</v>
      </c>
      <c r="K485" s="91" t="s">
        <v>1254</v>
      </c>
      <c r="L485" s="73"/>
      <c r="M485" s="46">
        <v>5</v>
      </c>
      <c r="N485" s="46">
        <v>0</v>
      </c>
      <c r="O485" s="46">
        <v>3000</v>
      </c>
      <c r="P485" s="98"/>
      <c r="Q485" s="23" t="s">
        <v>1429</v>
      </c>
      <c r="R485" s="24" t="s">
        <v>1253</v>
      </c>
      <c r="S485" s="25" t="s">
        <v>325</v>
      </c>
      <c r="T485" s="26">
        <v>5</v>
      </c>
      <c r="U485" s="26">
        <v>5</v>
      </c>
      <c r="V485" s="26">
        <v>600</v>
      </c>
      <c r="W485" s="127">
        <f t="shared" si="103"/>
        <v>0</v>
      </c>
      <c r="X485" s="127">
        <f t="shared" si="100"/>
        <v>5</v>
      </c>
      <c r="Y485" s="127">
        <f t="shared" si="104"/>
        <v>0</v>
      </c>
      <c r="Z485" s="127">
        <f t="shared" si="105"/>
        <v>3000</v>
      </c>
      <c r="AA485" s="33" t="s">
        <v>15</v>
      </c>
      <c r="AB485" s="36" t="s">
        <v>16</v>
      </c>
      <c r="AC485" s="181">
        <f t="shared" si="107"/>
        <v>5</v>
      </c>
      <c r="AD485" s="181">
        <f t="shared" si="106"/>
        <v>3000</v>
      </c>
      <c r="AE485" s="181">
        <v>6</v>
      </c>
      <c r="AF485" s="181">
        <v>6</v>
      </c>
      <c r="AG485" s="101" t="str">
        <f t="shared" si="108"/>
        <v/>
      </c>
      <c r="AH485" s="190">
        <v>5</v>
      </c>
      <c r="AI485" s="69">
        <f t="shared" si="101"/>
        <v>5</v>
      </c>
    </row>
    <row r="486" spans="1:35" s="69" customFormat="1" ht="49.5" hidden="1" customHeight="1" x14ac:dyDescent="0.3">
      <c r="A486" s="130" t="s">
        <v>1255</v>
      </c>
      <c r="B486" s="240" t="s">
        <v>1256</v>
      </c>
      <c r="C486" s="132" t="s">
        <v>325</v>
      </c>
      <c r="D486" s="133">
        <v>5</v>
      </c>
      <c r="E486" s="75"/>
      <c r="F486" s="75"/>
      <c r="G486" s="75"/>
      <c r="H486" s="75"/>
      <c r="I486" s="75">
        <v>1800</v>
      </c>
      <c r="J486" s="75">
        <v>9000</v>
      </c>
      <c r="K486" s="91" t="s">
        <v>1257</v>
      </c>
      <c r="L486" s="73"/>
      <c r="M486" s="46">
        <v>5</v>
      </c>
      <c r="N486" s="46">
        <v>0</v>
      </c>
      <c r="O486" s="46">
        <v>9000</v>
      </c>
      <c r="P486" s="98"/>
      <c r="Q486" s="23" t="s">
        <v>1430</v>
      </c>
      <c r="R486" s="24" t="s">
        <v>1256</v>
      </c>
      <c r="S486" s="25" t="s">
        <v>325</v>
      </c>
      <c r="T486" s="26">
        <v>5</v>
      </c>
      <c r="U486" s="26">
        <v>5</v>
      </c>
      <c r="V486" s="26">
        <v>1800</v>
      </c>
      <c r="W486" s="127">
        <f t="shared" si="103"/>
        <v>0</v>
      </c>
      <c r="X486" s="127">
        <f t="shared" si="100"/>
        <v>5</v>
      </c>
      <c r="Y486" s="127">
        <f t="shared" si="104"/>
        <v>0</v>
      </c>
      <c r="Z486" s="127">
        <f t="shared" si="105"/>
        <v>9000</v>
      </c>
      <c r="AA486" s="33" t="s">
        <v>15</v>
      </c>
      <c r="AB486" s="36" t="s">
        <v>16</v>
      </c>
      <c r="AC486" s="181">
        <f t="shared" si="107"/>
        <v>5</v>
      </c>
      <c r="AD486" s="181">
        <f t="shared" si="106"/>
        <v>9000</v>
      </c>
      <c r="AE486" s="181">
        <v>6</v>
      </c>
      <c r="AF486" s="181">
        <v>6</v>
      </c>
      <c r="AG486" s="101" t="str">
        <f t="shared" si="108"/>
        <v/>
      </c>
      <c r="AH486" s="190">
        <v>5</v>
      </c>
      <c r="AI486" s="69">
        <f t="shared" si="101"/>
        <v>5</v>
      </c>
    </row>
    <row r="487" spans="1:35" s="69" customFormat="1" ht="39" hidden="1" x14ac:dyDescent="0.3">
      <c r="A487" s="55" t="s">
        <v>1258</v>
      </c>
      <c r="B487" s="53" t="s">
        <v>1259</v>
      </c>
      <c r="C487" s="54" t="s">
        <v>325</v>
      </c>
      <c r="D487" s="75">
        <v>80</v>
      </c>
      <c r="E487" s="75"/>
      <c r="F487" s="75"/>
      <c r="G487" s="75"/>
      <c r="H487" s="75"/>
      <c r="I487" s="75">
        <v>2200</v>
      </c>
      <c r="J487" s="75">
        <v>176000</v>
      </c>
      <c r="K487" s="91" t="s">
        <v>1260</v>
      </c>
      <c r="L487" s="73"/>
      <c r="M487" s="46">
        <v>65</v>
      </c>
      <c r="N487" s="46">
        <v>33000</v>
      </c>
      <c r="O487" s="46">
        <v>143000</v>
      </c>
      <c r="P487" s="98"/>
      <c r="Q487" s="23" t="s">
        <v>1431</v>
      </c>
      <c r="R487" s="24" t="s">
        <v>1259</v>
      </c>
      <c r="S487" s="25" t="s">
        <v>325</v>
      </c>
      <c r="T487" s="26">
        <v>80</v>
      </c>
      <c r="U487" s="26">
        <v>80</v>
      </c>
      <c r="V487" s="26">
        <v>2200</v>
      </c>
      <c r="W487" s="128">
        <f t="shared" si="103"/>
        <v>0</v>
      </c>
      <c r="X487" s="26">
        <f t="shared" si="100"/>
        <v>65</v>
      </c>
      <c r="Y487" s="26">
        <f t="shared" si="104"/>
        <v>0</v>
      </c>
      <c r="Z487" s="26">
        <f t="shared" si="105"/>
        <v>143000</v>
      </c>
      <c r="AA487" s="33" t="s">
        <v>15</v>
      </c>
      <c r="AB487" s="36" t="s">
        <v>16</v>
      </c>
      <c r="AC487" s="181">
        <f t="shared" si="107"/>
        <v>80</v>
      </c>
      <c r="AD487" s="181">
        <f t="shared" si="106"/>
        <v>176000</v>
      </c>
      <c r="AE487" s="181">
        <v>6</v>
      </c>
      <c r="AF487" s="181">
        <v>6</v>
      </c>
      <c r="AG487" s="101" t="str">
        <f t="shared" si="108"/>
        <v/>
      </c>
      <c r="AH487" s="191">
        <v>65</v>
      </c>
      <c r="AI487" s="69">
        <f t="shared" si="101"/>
        <v>80</v>
      </c>
    </row>
    <row r="488" spans="1:35" s="69" customFormat="1" ht="42" x14ac:dyDescent="0.3">
      <c r="A488" s="130" t="s">
        <v>1261</v>
      </c>
      <c r="B488" s="131" t="s">
        <v>1262</v>
      </c>
      <c r="C488" s="132" t="s">
        <v>14</v>
      </c>
      <c r="D488" s="133">
        <v>1</v>
      </c>
      <c r="E488" s="75"/>
      <c r="F488" s="75"/>
      <c r="G488" s="75"/>
      <c r="H488" s="75"/>
      <c r="I488" s="75">
        <v>261478.99</v>
      </c>
      <c r="J488" s="75">
        <v>261478.99</v>
      </c>
      <c r="K488" s="91" t="s">
        <v>1263</v>
      </c>
      <c r="L488" s="73"/>
      <c r="M488" s="46">
        <v>1</v>
      </c>
      <c r="N488" s="46">
        <v>0</v>
      </c>
      <c r="O488" s="46">
        <v>261478.99</v>
      </c>
      <c r="P488" s="98"/>
      <c r="Q488" s="23" t="s">
        <v>1395</v>
      </c>
      <c r="R488" s="24" t="s">
        <v>1262</v>
      </c>
      <c r="S488" s="25" t="s">
        <v>14</v>
      </c>
      <c r="T488" s="26">
        <v>1</v>
      </c>
      <c r="U488" s="26">
        <v>1</v>
      </c>
      <c r="V488" s="26">
        <v>261478.99</v>
      </c>
      <c r="W488" s="127">
        <f t="shared" si="103"/>
        <v>0</v>
      </c>
      <c r="X488" s="127">
        <f t="shared" si="100"/>
        <v>1</v>
      </c>
      <c r="Y488" s="127">
        <f t="shared" si="104"/>
        <v>0</v>
      </c>
      <c r="Z488" s="127">
        <f t="shared" si="105"/>
        <v>261478.99</v>
      </c>
      <c r="AA488" s="33" t="s">
        <v>1499</v>
      </c>
      <c r="AB488" s="36" t="s">
        <v>16</v>
      </c>
      <c r="AC488" s="181">
        <f t="shared" si="107"/>
        <v>1</v>
      </c>
      <c r="AD488" s="181">
        <f t="shared" si="106"/>
        <v>261478.99</v>
      </c>
      <c r="AE488" s="181">
        <v>6</v>
      </c>
      <c r="AF488" s="181">
        <v>6</v>
      </c>
      <c r="AG488" s="101" t="str">
        <f t="shared" si="108"/>
        <v/>
      </c>
      <c r="AH488" s="190">
        <v>1</v>
      </c>
      <c r="AI488" s="69">
        <f t="shared" si="101"/>
        <v>1</v>
      </c>
    </row>
    <row r="489" spans="1:35" s="69" customFormat="1" ht="39" hidden="1" x14ac:dyDescent="0.3">
      <c r="A489" s="55" t="s">
        <v>1264</v>
      </c>
      <c r="B489" s="53" t="s">
        <v>1265</v>
      </c>
      <c r="C489" s="54" t="s">
        <v>30</v>
      </c>
      <c r="D489" s="75">
        <v>5000</v>
      </c>
      <c r="E489" s="75"/>
      <c r="F489" s="75"/>
      <c r="G489" s="75"/>
      <c r="H489" s="75"/>
      <c r="I489" s="75">
        <v>13</v>
      </c>
      <c r="J489" s="75">
        <v>65000</v>
      </c>
      <c r="K489" s="91" t="s">
        <v>1266</v>
      </c>
      <c r="L489" s="73"/>
      <c r="M489" s="46">
        <v>0</v>
      </c>
      <c r="N489" s="46">
        <v>0</v>
      </c>
      <c r="O489" s="46">
        <v>0</v>
      </c>
      <c r="P489" s="98"/>
      <c r="Q489" s="23" t="s">
        <v>1432</v>
      </c>
      <c r="R489" s="24" t="s">
        <v>1265</v>
      </c>
      <c r="S489" s="25" t="s">
        <v>30</v>
      </c>
      <c r="T489" s="26">
        <v>5000</v>
      </c>
      <c r="U489" s="26">
        <v>5000</v>
      </c>
      <c r="V489" s="26">
        <v>13</v>
      </c>
      <c r="W489" s="26">
        <f t="shared" si="103"/>
        <v>0</v>
      </c>
      <c r="X489" s="26">
        <f t="shared" si="100"/>
        <v>0</v>
      </c>
      <c r="Y489" s="26">
        <f t="shared" si="104"/>
        <v>0</v>
      </c>
      <c r="Z489" s="26">
        <f t="shared" si="105"/>
        <v>0</v>
      </c>
      <c r="AA489" s="33" t="s">
        <v>15</v>
      </c>
      <c r="AB489" s="36" t="s">
        <v>16</v>
      </c>
      <c r="AC489" s="181">
        <f t="shared" si="107"/>
        <v>5000</v>
      </c>
      <c r="AD489" s="181">
        <f t="shared" si="106"/>
        <v>65000</v>
      </c>
      <c r="AE489" s="181">
        <v>6</v>
      </c>
      <c r="AF489" s="181">
        <v>6</v>
      </c>
      <c r="AG489" s="101" t="str">
        <f t="shared" si="108"/>
        <v/>
      </c>
      <c r="AH489" s="190">
        <v>0</v>
      </c>
      <c r="AI489" s="69">
        <f t="shared" si="101"/>
        <v>5000</v>
      </c>
    </row>
    <row r="490" spans="1:35" s="69" customFormat="1" ht="39" hidden="1" x14ac:dyDescent="0.3">
      <c r="A490" s="55" t="s">
        <v>1267</v>
      </c>
      <c r="B490" s="53" t="s">
        <v>1268</v>
      </c>
      <c r="C490" s="54" t="s">
        <v>1269</v>
      </c>
      <c r="D490" s="75">
        <v>48</v>
      </c>
      <c r="E490" s="75"/>
      <c r="F490" s="75"/>
      <c r="G490" s="75"/>
      <c r="H490" s="75"/>
      <c r="I490" s="75">
        <v>47468</v>
      </c>
      <c r="J490" s="75">
        <v>2278464</v>
      </c>
      <c r="K490" s="91" t="s">
        <v>1270</v>
      </c>
      <c r="L490" s="73"/>
      <c r="M490" s="46">
        <v>38</v>
      </c>
      <c r="N490" s="46">
        <v>94936</v>
      </c>
      <c r="O490" s="46">
        <v>1803784</v>
      </c>
      <c r="P490" s="98"/>
      <c r="Q490" s="23" t="s">
        <v>1433</v>
      </c>
      <c r="R490" s="24" t="s">
        <v>1268</v>
      </c>
      <c r="S490" s="25" t="s">
        <v>1269</v>
      </c>
      <c r="T490" s="26">
        <v>48</v>
      </c>
      <c r="U490" s="26">
        <v>48</v>
      </c>
      <c r="V490" s="26">
        <v>47468</v>
      </c>
      <c r="W490" s="102">
        <f t="shared" si="103"/>
        <v>1</v>
      </c>
      <c r="X490" s="26">
        <f t="shared" si="100"/>
        <v>39</v>
      </c>
      <c r="Y490" s="26">
        <f>Z490-O490</f>
        <v>47468</v>
      </c>
      <c r="Z490" s="26">
        <f t="shared" si="105"/>
        <v>1851252</v>
      </c>
      <c r="AA490" s="33" t="s">
        <v>15</v>
      </c>
      <c r="AB490" s="36" t="s">
        <v>16</v>
      </c>
      <c r="AC490" s="181">
        <f t="shared" si="107"/>
        <v>48</v>
      </c>
      <c r="AD490" s="181">
        <f t="shared" si="106"/>
        <v>2278464</v>
      </c>
      <c r="AE490" s="181">
        <v>6</v>
      </c>
      <c r="AF490" s="181">
        <v>6</v>
      </c>
      <c r="AG490" s="101" t="str">
        <f t="shared" si="108"/>
        <v/>
      </c>
      <c r="AH490" s="191">
        <v>39</v>
      </c>
      <c r="AI490" s="69">
        <f t="shared" si="101"/>
        <v>48</v>
      </c>
    </row>
    <row r="491" spans="1:35" s="69" customFormat="1" ht="39" x14ac:dyDescent="0.3">
      <c r="A491" s="55" t="s">
        <v>1271</v>
      </c>
      <c r="B491" s="53" t="s">
        <v>1272</v>
      </c>
      <c r="C491" s="54" t="s">
        <v>14</v>
      </c>
      <c r="D491" s="75">
        <v>1</v>
      </c>
      <c r="E491" s="75"/>
      <c r="F491" s="75"/>
      <c r="G491" s="75"/>
      <c r="H491" s="75"/>
      <c r="I491" s="75">
        <v>111233.97</v>
      </c>
      <c r="J491" s="75">
        <v>111233.97</v>
      </c>
      <c r="K491" s="91" t="s">
        <v>1273</v>
      </c>
      <c r="L491" s="73"/>
      <c r="M491" s="46">
        <v>0.6</v>
      </c>
      <c r="N491" s="46">
        <v>0</v>
      </c>
      <c r="O491" s="46">
        <v>66740.38</v>
      </c>
      <c r="P491" s="98"/>
      <c r="Q491" s="23" t="s">
        <v>1382</v>
      </c>
      <c r="R491" s="24" t="s">
        <v>1272</v>
      </c>
      <c r="S491" s="25" t="s">
        <v>14</v>
      </c>
      <c r="T491" s="26">
        <v>1</v>
      </c>
      <c r="U491" s="26">
        <v>1</v>
      </c>
      <c r="V491" s="26">
        <v>111233.97</v>
      </c>
      <c r="W491" s="128">
        <f t="shared" si="103"/>
        <v>0</v>
      </c>
      <c r="X491" s="26">
        <f t="shared" si="100"/>
        <v>0.6</v>
      </c>
      <c r="Y491" s="136">
        <f t="shared" si="104"/>
        <v>0</v>
      </c>
      <c r="Z491" s="26">
        <f t="shared" si="105"/>
        <v>66740.38</v>
      </c>
      <c r="AA491" s="33" t="s">
        <v>15</v>
      </c>
      <c r="AB491" s="36" t="s">
        <v>16</v>
      </c>
      <c r="AC491" s="181">
        <f t="shared" si="107"/>
        <v>1</v>
      </c>
      <c r="AD491" s="181">
        <f t="shared" si="106"/>
        <v>111233.97</v>
      </c>
      <c r="AE491" s="181">
        <v>6</v>
      </c>
      <c r="AF491" s="181">
        <v>6</v>
      </c>
      <c r="AG491" s="101" t="str">
        <f t="shared" si="108"/>
        <v/>
      </c>
      <c r="AH491" s="191">
        <v>0.6</v>
      </c>
      <c r="AI491" s="69">
        <f t="shared" si="101"/>
        <v>1</v>
      </c>
    </row>
    <row r="492" spans="1:35" s="69" customFormat="1" ht="33" x14ac:dyDescent="0.3">
      <c r="A492" s="85" t="s">
        <v>1274</v>
      </c>
      <c r="B492" s="86" t="s">
        <v>1275</v>
      </c>
      <c r="C492" s="87" t="s">
        <v>14</v>
      </c>
      <c r="D492" s="88">
        <v>1</v>
      </c>
      <c r="E492" s="88"/>
      <c r="F492" s="88"/>
      <c r="G492" s="88"/>
      <c r="H492" s="88"/>
      <c r="I492" s="88"/>
      <c r="J492" s="88">
        <v>2884379.96</v>
      </c>
      <c r="K492" s="95" t="s">
        <v>15</v>
      </c>
      <c r="L492" s="73"/>
      <c r="M492" s="42">
        <v>1</v>
      </c>
      <c r="N492" s="42">
        <v>94936</v>
      </c>
      <c r="O492" s="42">
        <v>2227925.17</v>
      </c>
      <c r="P492" s="98"/>
      <c r="Q492" s="13" t="s">
        <v>1416</v>
      </c>
      <c r="R492" s="14" t="s">
        <v>1275</v>
      </c>
      <c r="S492" s="15" t="s">
        <v>14</v>
      </c>
      <c r="T492" s="16">
        <v>1</v>
      </c>
      <c r="U492" s="16"/>
      <c r="V492" s="16">
        <f>SUMIFS(AD:AD,AE:AE,AE492)</f>
        <v>2884379.96</v>
      </c>
      <c r="W492" s="16">
        <f t="shared" ref="W492:X492" si="109">IF(Y492=0,0,1)</f>
        <v>1</v>
      </c>
      <c r="X492" s="16">
        <f t="shared" si="109"/>
        <v>1</v>
      </c>
      <c r="Y492" s="16">
        <f>SUMIFS(Y:Y,AF:AF,AE492)</f>
        <v>47468</v>
      </c>
      <c r="Z492" s="16">
        <f>SUMIFS(Z:Z,AF:AF,AE492)</f>
        <v>2275393.17</v>
      </c>
      <c r="AA492" s="17" t="s">
        <v>15</v>
      </c>
      <c r="AB492" s="40" t="s">
        <v>16</v>
      </c>
      <c r="AC492" s="181">
        <f t="shared" si="107"/>
        <v>1</v>
      </c>
      <c r="AD492" s="183"/>
      <c r="AE492" s="183">
        <v>7</v>
      </c>
      <c r="AF492" s="183"/>
      <c r="AG492" s="101" t="str">
        <f t="shared" si="108"/>
        <v/>
      </c>
      <c r="AH492" s="190">
        <v>1</v>
      </c>
      <c r="AI492" s="69">
        <f t="shared" si="101"/>
        <v>1</v>
      </c>
    </row>
    <row r="493" spans="1:35" s="69" customFormat="1" ht="39" hidden="1" x14ac:dyDescent="0.3">
      <c r="A493" s="55" t="s">
        <v>1276</v>
      </c>
      <c r="B493" s="53" t="s">
        <v>1277</v>
      </c>
      <c r="C493" s="54" t="s">
        <v>1269</v>
      </c>
      <c r="D493" s="75">
        <v>48</v>
      </c>
      <c r="E493" s="75"/>
      <c r="F493" s="75"/>
      <c r="G493" s="75"/>
      <c r="H493" s="75"/>
      <c r="I493" s="75">
        <v>47468</v>
      </c>
      <c r="J493" s="75">
        <v>2278464</v>
      </c>
      <c r="K493" s="91" t="s">
        <v>1278</v>
      </c>
      <c r="L493" s="73"/>
      <c r="M493" s="46">
        <v>38</v>
      </c>
      <c r="N493" s="46">
        <v>94936</v>
      </c>
      <c r="O493" s="46">
        <v>1803784</v>
      </c>
      <c r="P493" s="98"/>
      <c r="Q493" s="23" t="s">
        <v>1421</v>
      </c>
      <c r="R493" s="24" t="s">
        <v>1277</v>
      </c>
      <c r="S493" s="25" t="s">
        <v>1269</v>
      </c>
      <c r="T493" s="26">
        <v>48</v>
      </c>
      <c r="U493" s="26">
        <v>48</v>
      </c>
      <c r="V493" s="26">
        <v>47468</v>
      </c>
      <c r="W493" s="102">
        <f t="shared" ref="W493:W494" si="110">AH493-M493</f>
        <v>1</v>
      </c>
      <c r="X493" s="26">
        <f t="shared" si="100"/>
        <v>39</v>
      </c>
      <c r="Y493" s="26">
        <f>Z493-O493</f>
        <v>47468</v>
      </c>
      <c r="Z493" s="26">
        <f t="shared" ref="Z493:Z494" si="111">ROUND(V493*X493,2)</f>
        <v>1851252</v>
      </c>
      <c r="AA493" s="33" t="s">
        <v>15</v>
      </c>
      <c r="AB493" s="36" t="s">
        <v>16</v>
      </c>
      <c r="AC493" s="181">
        <f t="shared" si="107"/>
        <v>48</v>
      </c>
      <c r="AD493" s="181">
        <f t="shared" ref="AD493:AD494" si="112">ROUND(V493*AC493,2)</f>
        <v>2278464</v>
      </c>
      <c r="AE493" s="181">
        <v>7</v>
      </c>
      <c r="AF493" s="181">
        <v>7</v>
      </c>
      <c r="AG493" s="101" t="str">
        <f t="shared" si="108"/>
        <v/>
      </c>
      <c r="AH493" s="191">
        <v>39</v>
      </c>
      <c r="AI493" s="69">
        <f t="shared" si="101"/>
        <v>48</v>
      </c>
    </row>
    <row r="494" spans="1:35" s="69" customFormat="1" ht="33" x14ac:dyDescent="0.3">
      <c r="A494" s="55" t="s">
        <v>1279</v>
      </c>
      <c r="B494" s="53" t="s">
        <v>1280</v>
      </c>
      <c r="C494" s="54" t="s">
        <v>14</v>
      </c>
      <c r="D494" s="75">
        <v>1</v>
      </c>
      <c r="E494" s="75"/>
      <c r="F494" s="75"/>
      <c r="G494" s="75"/>
      <c r="H494" s="75"/>
      <c r="I494" s="75">
        <v>605915.96</v>
      </c>
      <c r="J494" s="75">
        <v>605915.96</v>
      </c>
      <c r="K494" s="91" t="s">
        <v>1281</v>
      </c>
      <c r="L494" s="73"/>
      <c r="M494" s="46">
        <v>0.7</v>
      </c>
      <c r="N494" s="46">
        <v>0</v>
      </c>
      <c r="O494" s="46">
        <v>424141.17</v>
      </c>
      <c r="P494" s="98"/>
      <c r="Q494" s="23" t="s">
        <v>1426</v>
      </c>
      <c r="R494" s="24" t="s">
        <v>1280</v>
      </c>
      <c r="S494" s="25" t="s">
        <v>14</v>
      </c>
      <c r="T494" s="26">
        <v>1</v>
      </c>
      <c r="U494" s="26">
        <v>1</v>
      </c>
      <c r="V494" s="26">
        <v>605915.96</v>
      </c>
      <c r="W494" s="128">
        <f t="shared" si="110"/>
        <v>0</v>
      </c>
      <c r="X494" s="26">
        <f t="shared" si="100"/>
        <v>0.7</v>
      </c>
      <c r="Y494" s="136">
        <f>Z494-O494</f>
        <v>0</v>
      </c>
      <c r="Z494" s="26">
        <f t="shared" si="111"/>
        <v>424141.17</v>
      </c>
      <c r="AA494" s="33" t="s">
        <v>15</v>
      </c>
      <c r="AB494" s="36" t="s">
        <v>16</v>
      </c>
      <c r="AC494" s="181">
        <f t="shared" si="107"/>
        <v>1</v>
      </c>
      <c r="AD494" s="181">
        <f t="shared" si="112"/>
        <v>605915.96</v>
      </c>
      <c r="AE494" s="181">
        <v>7</v>
      </c>
      <c r="AF494" s="181">
        <v>7</v>
      </c>
      <c r="AG494" s="101" t="str">
        <f t="shared" si="108"/>
        <v/>
      </c>
      <c r="AH494" s="191">
        <v>0.7</v>
      </c>
      <c r="AI494" s="69">
        <f t="shared" si="101"/>
        <v>1</v>
      </c>
    </row>
    <row r="495" spans="1:35" s="69" customFormat="1" ht="63" x14ac:dyDescent="0.3">
      <c r="A495" s="85" t="s">
        <v>1282</v>
      </c>
      <c r="B495" s="86" t="s">
        <v>1283</v>
      </c>
      <c r="C495" s="87" t="s">
        <v>14</v>
      </c>
      <c r="D495" s="88">
        <v>1</v>
      </c>
      <c r="E495" s="88"/>
      <c r="F495" s="88"/>
      <c r="G495" s="88"/>
      <c r="H495" s="88"/>
      <c r="I495" s="88"/>
      <c r="J495" s="88">
        <v>37525596.329999998</v>
      </c>
      <c r="K495" s="95" t="s">
        <v>1284</v>
      </c>
      <c r="L495" s="73"/>
      <c r="M495" s="42">
        <v>1</v>
      </c>
      <c r="N495" s="42">
        <v>1382436.2600000128</v>
      </c>
      <c r="O495" s="42">
        <v>26876882.349999972</v>
      </c>
      <c r="P495" s="98"/>
      <c r="Q495" s="28" t="s">
        <v>1417</v>
      </c>
      <c r="R495" s="29" t="s">
        <v>1283</v>
      </c>
      <c r="S495" s="30" t="s">
        <v>14</v>
      </c>
      <c r="T495" s="31">
        <v>1</v>
      </c>
      <c r="U495" s="31"/>
      <c r="V495" s="31">
        <v>37525596.329999998</v>
      </c>
      <c r="W495" s="31">
        <f t="shared" ref="W495:X496" si="113">IF(Y495=0,0,1)</f>
        <v>1</v>
      </c>
      <c r="X495" s="31">
        <f t="shared" si="113"/>
        <v>1</v>
      </c>
      <c r="Y495" s="31">
        <f>Z495-O495</f>
        <v>923309.61000001431</v>
      </c>
      <c r="Z495" s="31">
        <f>Z7-Z8-Z377-Z407-Z447-Z451-Z472-Z492-Z496-Z498</f>
        <v>27800191.959999986</v>
      </c>
      <c r="AA495" s="32" t="s">
        <v>1418</v>
      </c>
      <c r="AB495" s="40" t="s">
        <v>16</v>
      </c>
      <c r="AC495" s="181">
        <f t="shared" si="107"/>
        <v>1</v>
      </c>
      <c r="AD495" s="183"/>
      <c r="AE495" s="183">
        <v>8</v>
      </c>
      <c r="AF495" s="183"/>
      <c r="AG495" s="101" t="str">
        <f t="shared" si="108"/>
        <v/>
      </c>
      <c r="AH495" s="190">
        <v>1</v>
      </c>
      <c r="AI495" s="69">
        <f t="shared" si="101"/>
        <v>1</v>
      </c>
    </row>
    <row r="496" spans="1:35" s="69" customFormat="1" ht="157.5" x14ac:dyDescent="0.3">
      <c r="A496" s="85" t="s">
        <v>1285</v>
      </c>
      <c r="B496" s="86" t="s">
        <v>1286</v>
      </c>
      <c r="C496" s="87" t="s">
        <v>14</v>
      </c>
      <c r="D496" s="88">
        <v>1</v>
      </c>
      <c r="E496" s="88"/>
      <c r="F496" s="88"/>
      <c r="G496" s="88"/>
      <c r="H496" s="88"/>
      <c r="I496" s="88"/>
      <c r="J496" s="88">
        <v>3336000</v>
      </c>
      <c r="K496" s="95" t="s">
        <v>1287</v>
      </c>
      <c r="L496" s="73"/>
      <c r="M496" s="42">
        <v>1</v>
      </c>
      <c r="N496" s="42">
        <v>0</v>
      </c>
      <c r="O496" s="42">
        <v>2863500</v>
      </c>
      <c r="P496" s="98"/>
      <c r="Q496" s="13" t="s">
        <v>1419</v>
      </c>
      <c r="R496" s="14" t="s">
        <v>1286</v>
      </c>
      <c r="S496" s="15" t="s">
        <v>14</v>
      </c>
      <c r="T496" s="16">
        <v>1</v>
      </c>
      <c r="U496" s="16"/>
      <c r="V496" s="16">
        <f>SUMIFS(AD:AD,AE:AE,AE496)</f>
        <v>3336000</v>
      </c>
      <c r="W496" s="16">
        <f t="shared" si="113"/>
        <v>0</v>
      </c>
      <c r="X496" s="16">
        <f t="shared" si="113"/>
        <v>1</v>
      </c>
      <c r="Y496" s="16">
        <f>SUMIFS(Y:Y,AF:AF,AE496)</f>
        <v>0</v>
      </c>
      <c r="Z496" s="16">
        <f>SUMIFS(Z:Z,AF:AF,AE496)</f>
        <v>2863500</v>
      </c>
      <c r="AA496" s="17" t="s">
        <v>1287</v>
      </c>
      <c r="AB496" s="40" t="s">
        <v>16</v>
      </c>
      <c r="AC496" s="181">
        <f t="shared" si="107"/>
        <v>1</v>
      </c>
      <c r="AD496" s="183"/>
      <c r="AE496" s="183">
        <v>9</v>
      </c>
      <c r="AF496" s="183"/>
      <c r="AG496" s="101" t="str">
        <f t="shared" si="108"/>
        <v/>
      </c>
      <c r="AH496" s="190">
        <v>1</v>
      </c>
      <c r="AI496" s="69">
        <f t="shared" si="101"/>
        <v>1</v>
      </c>
    </row>
    <row r="497" spans="1:35" s="69" customFormat="1" ht="33" hidden="1" x14ac:dyDescent="0.3">
      <c r="A497" s="55" t="s">
        <v>1288</v>
      </c>
      <c r="B497" s="53" t="s">
        <v>1286</v>
      </c>
      <c r="C497" s="54" t="s">
        <v>23</v>
      </c>
      <c r="D497" s="75">
        <v>22240</v>
      </c>
      <c r="E497" s="75"/>
      <c r="F497" s="75"/>
      <c r="G497" s="75"/>
      <c r="H497" s="75"/>
      <c r="I497" s="75">
        <v>150</v>
      </c>
      <c r="J497" s="75">
        <v>3336000</v>
      </c>
      <c r="K497" s="91" t="s">
        <v>1289</v>
      </c>
      <c r="L497" s="73"/>
      <c r="M497" s="46">
        <v>19090</v>
      </c>
      <c r="N497" s="46">
        <v>0</v>
      </c>
      <c r="O497" s="46">
        <v>2863500</v>
      </c>
      <c r="P497" s="98"/>
      <c r="Q497" s="23" t="s">
        <v>1421</v>
      </c>
      <c r="R497" s="24" t="s">
        <v>1286</v>
      </c>
      <c r="S497" s="25" t="s">
        <v>23</v>
      </c>
      <c r="T497" s="26">
        <v>22240</v>
      </c>
      <c r="U497" s="26">
        <v>22240</v>
      </c>
      <c r="V497" s="26">
        <v>150</v>
      </c>
      <c r="W497" s="103">
        <f t="shared" ref="W497" si="114">AH497-M497</f>
        <v>0</v>
      </c>
      <c r="X497" s="26">
        <f t="shared" ref="X497" si="115">W497+M497</f>
        <v>19090</v>
      </c>
      <c r="Y497" s="26">
        <f>Z497-O497</f>
        <v>0</v>
      </c>
      <c r="Z497" s="26">
        <f>ROUND(V497*X497,2)</f>
        <v>2863500</v>
      </c>
      <c r="AA497" s="33" t="s">
        <v>15</v>
      </c>
      <c r="AB497" s="36" t="s">
        <v>16</v>
      </c>
      <c r="AC497" s="181">
        <f t="shared" si="107"/>
        <v>22240</v>
      </c>
      <c r="AD497" s="181">
        <f t="shared" ref="AD497" si="116">ROUND(V497*AC497,2)</f>
        <v>3336000</v>
      </c>
      <c r="AE497" s="181">
        <v>9</v>
      </c>
      <c r="AF497" s="181">
        <v>9</v>
      </c>
      <c r="AG497" s="101" t="str">
        <f t="shared" si="108"/>
        <v/>
      </c>
      <c r="AH497" s="190">
        <v>19090</v>
      </c>
      <c r="AI497" s="69">
        <f t="shared" si="101"/>
        <v>22240</v>
      </c>
    </row>
    <row r="498" spans="1:35" s="69" customFormat="1" ht="178.5" x14ac:dyDescent="0.3">
      <c r="A498" s="85" t="s">
        <v>1290</v>
      </c>
      <c r="B498" s="86" t="s">
        <v>1291</v>
      </c>
      <c r="C498" s="87" t="s">
        <v>14</v>
      </c>
      <c r="D498" s="88">
        <v>1</v>
      </c>
      <c r="E498" s="88"/>
      <c r="F498" s="88"/>
      <c r="G498" s="88"/>
      <c r="H498" s="88"/>
      <c r="I498" s="88"/>
      <c r="J498" s="88">
        <v>212800</v>
      </c>
      <c r="K498" s="95" t="s">
        <v>1292</v>
      </c>
      <c r="L498" s="73"/>
      <c r="M498" s="42">
        <v>1</v>
      </c>
      <c r="N498" s="42">
        <v>0</v>
      </c>
      <c r="O498" s="42">
        <v>212800</v>
      </c>
      <c r="P498" s="98"/>
      <c r="Q498" s="13" t="s">
        <v>1420</v>
      </c>
      <c r="R498" s="14" t="s">
        <v>1291</v>
      </c>
      <c r="S498" s="15" t="s">
        <v>14</v>
      </c>
      <c r="T498" s="16">
        <v>1</v>
      </c>
      <c r="U498" s="16"/>
      <c r="V498" s="16">
        <f>SUMIFS(AD:AD,AE:AE,AE498)</f>
        <v>212800</v>
      </c>
      <c r="W498" s="16">
        <f t="shared" ref="W498:X498" si="117">IF(Y498=0,0,1)</f>
        <v>0</v>
      </c>
      <c r="X498" s="16">
        <f t="shared" si="117"/>
        <v>1</v>
      </c>
      <c r="Y498" s="16">
        <f>SUMIFS(Y:Y,AF:AF,AE498)</f>
        <v>0</v>
      </c>
      <c r="Z498" s="16">
        <f>SUMIFS(Z:Z,AF:AF,AE498)</f>
        <v>212800</v>
      </c>
      <c r="AA498" s="17" t="s">
        <v>1292</v>
      </c>
      <c r="AB498" s="40" t="s">
        <v>16</v>
      </c>
      <c r="AC498" s="181">
        <f t="shared" si="107"/>
        <v>1</v>
      </c>
      <c r="AD498" s="183"/>
      <c r="AE498" s="183">
        <v>10</v>
      </c>
      <c r="AF498" s="183"/>
      <c r="AG498" s="101" t="str">
        <f t="shared" si="108"/>
        <v/>
      </c>
      <c r="AH498" s="190">
        <v>1</v>
      </c>
      <c r="AI498" s="69">
        <f t="shared" si="101"/>
        <v>1</v>
      </c>
    </row>
    <row r="499" spans="1:35" s="69" customFormat="1" ht="33" hidden="1" x14ac:dyDescent="0.3">
      <c r="A499" s="55" t="s">
        <v>1293</v>
      </c>
      <c r="B499" s="53" t="s">
        <v>1294</v>
      </c>
      <c r="C499" s="54" t="s">
        <v>50</v>
      </c>
      <c r="D499" s="75">
        <v>3800</v>
      </c>
      <c r="E499" s="75"/>
      <c r="F499" s="75"/>
      <c r="G499" s="75"/>
      <c r="H499" s="75"/>
      <c r="I499" s="75">
        <v>56</v>
      </c>
      <c r="J499" s="75">
        <v>212800</v>
      </c>
      <c r="K499" s="91" t="s">
        <v>1295</v>
      </c>
      <c r="L499" s="73"/>
      <c r="M499" s="46">
        <v>3800</v>
      </c>
      <c r="N499" s="46">
        <v>0</v>
      </c>
      <c r="O499" s="46">
        <v>212800</v>
      </c>
      <c r="P499" s="98"/>
      <c r="Q499" s="23" t="s">
        <v>1421</v>
      </c>
      <c r="R499" s="24" t="s">
        <v>1294</v>
      </c>
      <c r="S499" s="25" t="s">
        <v>50</v>
      </c>
      <c r="T499" s="26">
        <v>3800</v>
      </c>
      <c r="U499" s="26">
        <v>3800</v>
      </c>
      <c r="V499" s="26">
        <v>56</v>
      </c>
      <c r="W499" s="26">
        <f t="shared" ref="W499" si="118">AH499-M499</f>
        <v>0</v>
      </c>
      <c r="X499" s="26">
        <f t="shared" ref="X499" si="119">W499+M499</f>
        <v>3800</v>
      </c>
      <c r="Y499" s="26">
        <v>0</v>
      </c>
      <c r="Z499" s="26">
        <f t="shared" ref="Z499" si="120">ROUND(V499*X499,2)</f>
        <v>212800</v>
      </c>
      <c r="AA499" s="33" t="s">
        <v>15</v>
      </c>
      <c r="AB499" s="36" t="s">
        <v>16</v>
      </c>
      <c r="AC499" s="181">
        <f t="shared" si="107"/>
        <v>3800</v>
      </c>
      <c r="AD499" s="181">
        <f t="shared" ref="AD499" si="121">ROUND(V499*AC499,2)</f>
        <v>212800</v>
      </c>
      <c r="AE499" s="181">
        <v>10</v>
      </c>
      <c r="AF499" s="181">
        <v>10</v>
      </c>
      <c r="AG499" s="101" t="str">
        <f t="shared" si="108"/>
        <v/>
      </c>
      <c r="AH499" s="190">
        <v>3800</v>
      </c>
      <c r="AI499" s="69">
        <f t="shared" si="101"/>
        <v>3800</v>
      </c>
    </row>
    <row r="500" spans="1:35" s="69" customFormat="1" ht="33" hidden="1" x14ac:dyDescent="0.3">
      <c r="A500" s="52"/>
      <c r="B500" s="53" t="s">
        <v>1296</v>
      </c>
      <c r="C500" s="54"/>
      <c r="D500" s="75"/>
      <c r="E500" s="75"/>
      <c r="F500" s="75"/>
      <c r="G500" s="75"/>
      <c r="H500" s="75"/>
      <c r="I500" s="75"/>
      <c r="J500" s="75"/>
      <c r="K500" s="91"/>
      <c r="L500" s="73"/>
      <c r="M500" s="46"/>
      <c r="N500" s="46">
        <v>14007100.000000013</v>
      </c>
      <c r="O500" s="46">
        <v>275404200</v>
      </c>
      <c r="P500" s="98"/>
      <c r="Q500" s="23" t="s">
        <v>1421</v>
      </c>
      <c r="R500" s="24" t="s">
        <v>1422</v>
      </c>
      <c r="S500" s="25"/>
      <c r="T500" s="26"/>
      <c r="U500" s="26"/>
      <c r="V500" s="26"/>
      <c r="W500" s="26"/>
      <c r="X500" s="26"/>
      <c r="Y500" s="26">
        <f>Y8+Y377+Y407+Y447+Y451+Y472+Y492+Y495+Y496+Y498</f>
        <v>9355400.0000000149</v>
      </c>
      <c r="Z500" s="26">
        <f>ROUNDDOWN((Z8+Z377+Z407+Z447+Z451+Z472+Z492+Z496+Z498+(Z8+Z377+Z407+Z447+Z451+Z472+Z492)*0.1095000004)/1000,1)*1000</f>
        <v>284759600</v>
      </c>
      <c r="AA500" s="33"/>
      <c r="AB500" s="36" t="s">
        <v>16</v>
      </c>
      <c r="AC500" s="181"/>
      <c r="AD500" s="181"/>
      <c r="AE500" s="181"/>
      <c r="AF500" s="181"/>
      <c r="AG500" s="101" t="str">
        <f t="shared" si="108"/>
        <v/>
      </c>
      <c r="AH500" s="190"/>
      <c r="AI500" s="69">
        <f t="shared" si="101"/>
        <v>0</v>
      </c>
    </row>
    <row r="501" spans="1:35" s="69" customFormat="1" ht="33" hidden="1" x14ac:dyDescent="0.3">
      <c r="A501" s="52"/>
      <c r="B501" s="53" t="s">
        <v>1297</v>
      </c>
      <c r="C501" s="54"/>
      <c r="D501" s="75"/>
      <c r="E501" s="75"/>
      <c r="F501" s="75"/>
      <c r="G501" s="75"/>
      <c r="H501" s="75"/>
      <c r="I501" s="75"/>
      <c r="J501" s="75"/>
      <c r="K501" s="91"/>
      <c r="L501" s="73"/>
      <c r="M501" s="39"/>
      <c r="N501" s="39">
        <v>9675</v>
      </c>
      <c r="O501" s="39">
        <v>19291</v>
      </c>
      <c r="P501" s="98"/>
      <c r="Q501" s="8" t="s">
        <v>1505</v>
      </c>
      <c r="R501" s="9" t="s">
        <v>1506</v>
      </c>
      <c r="S501" s="10" t="s">
        <v>14</v>
      </c>
      <c r="T501" s="11"/>
      <c r="U501" s="11"/>
      <c r="V501" s="11"/>
      <c r="W501" s="11"/>
      <c r="X501" s="11"/>
      <c r="Y501" s="11">
        <v>9675</v>
      </c>
      <c r="Z501" s="11">
        <v>19291</v>
      </c>
      <c r="AA501" s="12" t="s">
        <v>15</v>
      </c>
      <c r="AB501" s="37" t="s">
        <v>16</v>
      </c>
      <c r="AC501" s="182"/>
      <c r="AD501" s="182">
        <v>295040.74</v>
      </c>
      <c r="AE501" s="182">
        <v>12929586.060000001</v>
      </c>
      <c r="AF501" s="182"/>
      <c r="AG501" s="101" t="str">
        <f t="shared" si="108"/>
        <v/>
      </c>
      <c r="AH501" s="190"/>
      <c r="AI501" s="69">
        <f t="shared" si="101"/>
        <v>0</v>
      </c>
    </row>
    <row r="502" spans="1:35" s="69" customFormat="1" ht="33" hidden="1" x14ac:dyDescent="0.3">
      <c r="A502" s="382" t="s">
        <v>1298</v>
      </c>
      <c r="B502" s="383"/>
      <c r="C502" s="383"/>
      <c r="D502" s="383"/>
      <c r="E502" s="383"/>
      <c r="F502" s="383"/>
      <c r="G502" s="383"/>
      <c r="H502" s="383"/>
      <c r="I502" s="383"/>
      <c r="J502" s="383"/>
      <c r="K502" s="384"/>
      <c r="L502" s="89"/>
      <c r="M502" s="46"/>
      <c r="N502" s="46">
        <v>2999475</v>
      </c>
      <c r="O502" s="46">
        <v>131240691</v>
      </c>
      <c r="P502" s="98"/>
      <c r="Q502" s="23" t="s">
        <v>1421</v>
      </c>
      <c r="R502" s="24" t="s">
        <v>1507</v>
      </c>
      <c r="S502" s="25"/>
      <c r="T502" s="26"/>
      <c r="U502" s="26"/>
      <c r="V502" s="26"/>
      <c r="W502" s="26"/>
      <c r="X502" s="26"/>
      <c r="Y502" s="26">
        <v>2999475</v>
      </c>
      <c r="Z502" s="26">
        <v>131240691</v>
      </c>
      <c r="AA502" s="33"/>
      <c r="AB502" s="36" t="s">
        <v>16</v>
      </c>
      <c r="AC502" s="181"/>
      <c r="AD502" s="181"/>
      <c r="AE502" s="181"/>
      <c r="AF502" s="181"/>
      <c r="AG502" s="101" t="str">
        <f t="shared" si="108"/>
        <v/>
      </c>
      <c r="AH502" s="190"/>
      <c r="AI502" s="69">
        <f t="shared" si="101"/>
        <v>0</v>
      </c>
    </row>
    <row r="503" spans="1:35" s="69" customFormat="1" ht="153" hidden="1" customHeight="1" x14ac:dyDescent="0.3">
      <c r="A503" s="390" t="s">
        <v>1299</v>
      </c>
      <c r="B503" s="391"/>
      <c r="C503" s="391"/>
      <c r="D503" s="391"/>
      <c r="E503" s="391"/>
      <c r="F503" s="391"/>
      <c r="G503" s="391"/>
      <c r="H503" s="391"/>
      <c r="I503" s="391"/>
      <c r="J503" s="391"/>
      <c r="K503" s="392"/>
      <c r="L503" s="90"/>
      <c r="M503" s="39"/>
      <c r="N503" s="39">
        <v>0</v>
      </c>
      <c r="O503" s="39">
        <v>737520</v>
      </c>
      <c r="P503" s="98"/>
      <c r="Q503" s="8" t="s">
        <v>1508</v>
      </c>
      <c r="R503" s="9" t="s">
        <v>1509</v>
      </c>
      <c r="S503" s="10" t="s">
        <v>14</v>
      </c>
      <c r="T503" s="11"/>
      <c r="U503" s="11"/>
      <c r="V503" s="11"/>
      <c r="W503" s="11"/>
      <c r="X503" s="11"/>
      <c r="Y503" s="11">
        <v>0</v>
      </c>
      <c r="Z503" s="11">
        <f>SUM(Z504:Z506)</f>
        <v>737520</v>
      </c>
      <c r="AA503" s="12" t="s">
        <v>15</v>
      </c>
      <c r="AB503" s="37" t="s">
        <v>16</v>
      </c>
      <c r="AC503" s="182"/>
      <c r="AD503" s="182"/>
      <c r="AE503" s="182"/>
      <c r="AF503" s="182"/>
      <c r="AG503" s="101" t="str">
        <f t="shared" si="108"/>
        <v/>
      </c>
      <c r="AH503" s="190"/>
      <c r="AI503" s="69">
        <f t="shared" si="101"/>
        <v>0</v>
      </c>
    </row>
    <row r="504" spans="1:35" ht="33" x14ac:dyDescent="0.3">
      <c r="M504" s="46">
        <v>519.42999999999995</v>
      </c>
      <c r="N504" s="46">
        <v>0</v>
      </c>
      <c r="O504" s="46">
        <v>298672</v>
      </c>
      <c r="P504" s="98"/>
      <c r="Q504" s="23" t="s">
        <v>1421</v>
      </c>
      <c r="R504" s="24" t="s">
        <v>1510</v>
      </c>
      <c r="S504" s="25" t="s">
        <v>23</v>
      </c>
      <c r="T504" s="26"/>
      <c r="U504" s="26"/>
      <c r="V504" s="26">
        <v>575</v>
      </c>
      <c r="W504" s="26">
        <f>X504-M504</f>
        <v>0</v>
      </c>
      <c r="X504" s="26">
        <v>519.42999999999995</v>
      </c>
      <c r="Y504" s="26">
        <f>Z504-O504</f>
        <v>0</v>
      </c>
      <c r="Z504" s="26">
        <f>ROUNDDOWN(V504*X504,0)</f>
        <v>298672</v>
      </c>
      <c r="AA504" s="33" t="s">
        <v>15</v>
      </c>
      <c r="AB504" s="36" t="s">
        <v>16</v>
      </c>
      <c r="AG504" s="101"/>
      <c r="AH504" s="185">
        <v>519.42999999999995</v>
      </c>
      <c r="AI504" s="69"/>
    </row>
    <row r="505" spans="1:35" ht="33" x14ac:dyDescent="0.3">
      <c r="M505" s="46">
        <v>0</v>
      </c>
      <c r="N505" s="46">
        <v>0</v>
      </c>
      <c r="O505" s="46">
        <v>0</v>
      </c>
      <c r="P505" s="98"/>
      <c r="Q505" s="23" t="s">
        <v>1426</v>
      </c>
      <c r="R505" s="24" t="s">
        <v>1511</v>
      </c>
      <c r="S505" s="25" t="s">
        <v>110</v>
      </c>
      <c r="T505" s="26"/>
      <c r="U505" s="26"/>
      <c r="V505" s="26">
        <v>20</v>
      </c>
      <c r="W505" s="26">
        <f>X505-M505</f>
        <v>0</v>
      </c>
      <c r="X505" s="26">
        <v>0</v>
      </c>
      <c r="Y505" s="26">
        <f>Z505-O505</f>
        <v>0</v>
      </c>
      <c r="Z505" s="26">
        <f>ROUNDDOWN(V505*X505,0)</f>
        <v>0</v>
      </c>
      <c r="AA505" s="33" t="s">
        <v>15</v>
      </c>
      <c r="AB505" s="36" t="s">
        <v>16</v>
      </c>
      <c r="AG505" s="101"/>
      <c r="AH505" s="185">
        <v>0</v>
      </c>
      <c r="AI505" s="69"/>
    </row>
    <row r="506" spans="1:35" ht="33" x14ac:dyDescent="0.3">
      <c r="M506" s="46">
        <v>54856</v>
      </c>
      <c r="N506" s="46">
        <v>0</v>
      </c>
      <c r="O506" s="46">
        <v>438848</v>
      </c>
      <c r="P506" s="98"/>
      <c r="Q506" s="23" t="s">
        <v>1402</v>
      </c>
      <c r="R506" s="24" t="s">
        <v>1512</v>
      </c>
      <c r="S506" s="25" t="s">
        <v>110</v>
      </c>
      <c r="T506" s="26"/>
      <c r="U506" s="26"/>
      <c r="V506" s="26">
        <v>8</v>
      </c>
      <c r="W506" s="26">
        <f>X506-M506</f>
        <v>0</v>
      </c>
      <c r="X506" s="26">
        <v>54856</v>
      </c>
      <c r="Y506" s="26">
        <f>Z506-O506</f>
        <v>0</v>
      </c>
      <c r="Z506" s="26">
        <f>ROUNDDOWN(V506*X506,0)</f>
        <v>438848</v>
      </c>
      <c r="AA506" s="33" t="s">
        <v>15</v>
      </c>
      <c r="AB506" s="36" t="s">
        <v>16</v>
      </c>
      <c r="AG506" s="101"/>
      <c r="AH506" s="185">
        <v>54856</v>
      </c>
      <c r="AI506" s="69"/>
    </row>
  </sheetData>
  <autoFilter ref="A6:K503" xr:uid="{745AA45A-1115-4D12-8076-1F56B440D015}">
    <filterColumn colId="2">
      <filters>
        <filter val="式"/>
      </filters>
    </filterColumn>
  </autoFilter>
  <mergeCells count="13">
    <mergeCell ref="Z5:AA5"/>
    <mergeCell ref="A502:K502"/>
    <mergeCell ref="A1:K1"/>
    <mergeCell ref="A2:K2"/>
    <mergeCell ref="A3:K3"/>
    <mergeCell ref="Q3:AA3"/>
    <mergeCell ref="A4:K4"/>
    <mergeCell ref="Q4:AA4"/>
    <mergeCell ref="A503:K503"/>
    <mergeCell ref="A5:I5"/>
    <mergeCell ref="J5:K5"/>
    <mergeCell ref="M5:O5"/>
    <mergeCell ref="Q5:X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1CFC-B0A1-4D0E-9AA2-01A7045275D7}">
  <sheetPr>
    <tabColor theme="8" tint="0.39997558519241921"/>
  </sheetPr>
  <dimension ref="A1:AL506"/>
  <sheetViews>
    <sheetView view="pageBreakPreview" topLeftCell="A5" zoomScale="80" zoomScaleNormal="80" zoomScaleSheetLayoutView="80" workbookViewId="0">
      <pane ySplit="1470" topLeftCell="A151" activePane="bottomLeft"/>
      <selection activeCell="R218" sqref="R218"/>
      <selection pane="bottomLeft" activeCell="K160" sqref="K160"/>
    </sheetView>
  </sheetViews>
  <sheetFormatPr defaultColWidth="8.5" defaultRowHeight="19.5" x14ac:dyDescent="0.3"/>
  <cols>
    <col min="1" max="1" width="5.25" style="72" customWidth="1"/>
    <col min="2" max="2" width="26.25" style="73" customWidth="1"/>
    <col min="3" max="3" width="5.5" style="73" customWidth="1"/>
    <col min="4" max="4" width="12.75" style="73" customWidth="1"/>
    <col min="5" max="5" width="14" style="73" customWidth="1"/>
    <col min="6" max="6" width="14.375" style="73" customWidth="1"/>
    <col min="7" max="7" width="10.75" style="73" customWidth="1"/>
    <col min="8" max="8" width="15.375" style="73" customWidth="1"/>
    <col min="9" max="9" width="14.75" style="73" customWidth="1"/>
    <col min="10" max="10" width="23" style="73" customWidth="1"/>
    <col min="11" max="11" width="10.875" style="73" customWidth="1"/>
    <col min="12" max="12" width="1.5" style="73" customWidth="1"/>
    <col min="13" max="15" width="11.5" style="2" customWidth="1"/>
    <col min="16" max="16" width="1.25" style="96" customWidth="1"/>
    <col min="17" max="17" width="4.25" style="3" hidden="1" customWidth="1"/>
    <col min="18" max="18" width="35.25" hidden="1" customWidth="1"/>
    <col min="19" max="19" width="5.75" hidden="1" customWidth="1"/>
    <col min="20" max="20" width="9" hidden="1" customWidth="1"/>
    <col min="21" max="21" width="9.375" hidden="1" customWidth="1"/>
    <col min="22" max="22" width="12" hidden="1" customWidth="1"/>
    <col min="23" max="23" width="11.375" customWidth="1"/>
    <col min="24" max="24" width="11.75" customWidth="1"/>
    <col min="25" max="25" width="12.875" customWidth="1"/>
    <col min="26" max="26" width="12" customWidth="1"/>
    <col min="27" max="27" width="5.25" style="34" customWidth="1"/>
    <col min="28" max="28" width="1.125" customWidth="1"/>
    <col min="29" max="32" width="1.125" style="181" customWidth="1"/>
    <col min="33" max="33" width="1.125" style="71" customWidth="1"/>
    <col min="34" max="34" width="16.5" style="185" customWidth="1"/>
    <col min="35" max="35" width="15.375" style="70" customWidth="1"/>
    <col min="36" max="36" width="8.375" style="70" customWidth="1"/>
    <col min="37" max="37" width="1.625" style="70" customWidth="1"/>
    <col min="38" max="38" width="16.375" style="70" bestFit="1" customWidth="1"/>
    <col min="39" max="224" width="8.5" style="70"/>
    <col min="225" max="225" width="5.25" style="70" customWidth="1"/>
    <col min="226" max="226" width="26.25" style="70" customWidth="1"/>
    <col min="227" max="227" width="5.5" style="70" customWidth="1"/>
    <col min="228" max="228" width="8.5" style="70"/>
    <col min="229" max="230" width="10.875" style="70" customWidth="1"/>
    <col min="231" max="231" width="15.25" style="70" customWidth="1"/>
    <col min="232" max="232" width="0.75" style="70" customWidth="1"/>
    <col min="233" max="235" width="0.625" style="70" customWidth="1"/>
    <col min="236" max="480" width="8.5" style="70"/>
    <col min="481" max="481" width="5.25" style="70" customWidth="1"/>
    <col min="482" max="482" width="26.25" style="70" customWidth="1"/>
    <col min="483" max="483" width="5.5" style="70" customWidth="1"/>
    <col min="484" max="484" width="8.5" style="70"/>
    <col min="485" max="486" width="10.875" style="70" customWidth="1"/>
    <col min="487" max="487" width="15.25" style="70" customWidth="1"/>
    <col min="488" max="488" width="0.75" style="70" customWidth="1"/>
    <col min="489" max="491" width="0.625" style="70" customWidth="1"/>
    <col min="492" max="736" width="8.5" style="70"/>
    <col min="737" max="737" width="5.25" style="70" customWidth="1"/>
    <col min="738" max="738" width="26.25" style="70" customWidth="1"/>
    <col min="739" max="739" width="5.5" style="70" customWidth="1"/>
    <col min="740" max="740" width="8.5" style="70"/>
    <col min="741" max="742" width="10.875" style="70" customWidth="1"/>
    <col min="743" max="743" width="15.25" style="70" customWidth="1"/>
    <col min="744" max="744" width="0.75" style="70" customWidth="1"/>
    <col min="745" max="747" width="0.625" style="70" customWidth="1"/>
    <col min="748" max="992" width="8.5" style="70"/>
    <col min="993" max="993" width="5.25" style="70" customWidth="1"/>
    <col min="994" max="994" width="26.25" style="70" customWidth="1"/>
    <col min="995" max="995" width="5.5" style="70" customWidth="1"/>
    <col min="996" max="996" width="8.5" style="70"/>
    <col min="997" max="998" width="10.875" style="70" customWidth="1"/>
    <col min="999" max="999" width="15.25" style="70" customWidth="1"/>
    <col min="1000" max="1000" width="0.75" style="70" customWidth="1"/>
    <col min="1001" max="1003" width="0.625" style="70" customWidth="1"/>
    <col min="1004" max="1248" width="8.5" style="70"/>
    <col min="1249" max="1249" width="5.25" style="70" customWidth="1"/>
    <col min="1250" max="1250" width="26.25" style="70" customWidth="1"/>
    <col min="1251" max="1251" width="5.5" style="70" customWidth="1"/>
    <col min="1252" max="1252" width="8.5" style="70"/>
    <col min="1253" max="1254" width="10.875" style="70" customWidth="1"/>
    <col min="1255" max="1255" width="15.25" style="70" customWidth="1"/>
    <col min="1256" max="1256" width="0.75" style="70" customWidth="1"/>
    <col min="1257" max="1259" width="0.625" style="70" customWidth="1"/>
    <col min="1260" max="1504" width="8.5" style="70"/>
    <col min="1505" max="1505" width="5.25" style="70" customWidth="1"/>
    <col min="1506" max="1506" width="26.25" style="70" customWidth="1"/>
    <col min="1507" max="1507" width="5.5" style="70" customWidth="1"/>
    <col min="1508" max="1508" width="8.5" style="70"/>
    <col min="1509" max="1510" width="10.875" style="70" customWidth="1"/>
    <col min="1511" max="1511" width="15.25" style="70" customWidth="1"/>
    <col min="1512" max="1512" width="0.75" style="70" customWidth="1"/>
    <col min="1513" max="1515" width="0.625" style="70" customWidth="1"/>
    <col min="1516" max="1760" width="8.5" style="70"/>
    <col min="1761" max="1761" width="5.25" style="70" customWidth="1"/>
    <col min="1762" max="1762" width="26.25" style="70" customWidth="1"/>
    <col min="1763" max="1763" width="5.5" style="70" customWidth="1"/>
    <col min="1764" max="1764" width="8.5" style="70"/>
    <col min="1765" max="1766" width="10.875" style="70" customWidth="1"/>
    <col min="1767" max="1767" width="15.25" style="70" customWidth="1"/>
    <col min="1768" max="1768" width="0.75" style="70" customWidth="1"/>
    <col min="1769" max="1771" width="0.625" style="70" customWidth="1"/>
    <col min="1772" max="2016" width="8.5" style="70"/>
    <col min="2017" max="2017" width="5.25" style="70" customWidth="1"/>
    <col min="2018" max="2018" width="26.25" style="70" customWidth="1"/>
    <col min="2019" max="2019" width="5.5" style="70" customWidth="1"/>
    <col min="2020" max="2020" width="8.5" style="70"/>
    <col min="2021" max="2022" width="10.875" style="70" customWidth="1"/>
    <col min="2023" max="2023" width="15.25" style="70" customWidth="1"/>
    <col min="2024" max="2024" width="0.75" style="70" customWidth="1"/>
    <col min="2025" max="2027" width="0.625" style="70" customWidth="1"/>
    <col min="2028" max="2272" width="8.5" style="70"/>
    <col min="2273" max="2273" width="5.25" style="70" customWidth="1"/>
    <col min="2274" max="2274" width="26.25" style="70" customWidth="1"/>
    <col min="2275" max="2275" width="5.5" style="70" customWidth="1"/>
    <col min="2276" max="2276" width="8.5" style="70"/>
    <col min="2277" max="2278" width="10.875" style="70" customWidth="1"/>
    <col min="2279" max="2279" width="15.25" style="70" customWidth="1"/>
    <col min="2280" max="2280" width="0.75" style="70" customWidth="1"/>
    <col min="2281" max="2283" width="0.625" style="70" customWidth="1"/>
    <col min="2284" max="2528" width="8.5" style="70"/>
    <col min="2529" max="2529" width="5.25" style="70" customWidth="1"/>
    <col min="2530" max="2530" width="26.25" style="70" customWidth="1"/>
    <col min="2531" max="2531" width="5.5" style="70" customWidth="1"/>
    <col min="2532" max="2532" width="8.5" style="70"/>
    <col min="2533" max="2534" width="10.875" style="70" customWidth="1"/>
    <col min="2535" max="2535" width="15.25" style="70" customWidth="1"/>
    <col min="2536" max="2536" width="0.75" style="70" customWidth="1"/>
    <col min="2537" max="2539" width="0.625" style="70" customWidth="1"/>
    <col min="2540" max="2784" width="8.5" style="70"/>
    <col min="2785" max="2785" width="5.25" style="70" customWidth="1"/>
    <col min="2786" max="2786" width="26.25" style="70" customWidth="1"/>
    <col min="2787" max="2787" width="5.5" style="70" customWidth="1"/>
    <col min="2788" max="2788" width="8.5" style="70"/>
    <col min="2789" max="2790" width="10.875" style="70" customWidth="1"/>
    <col min="2791" max="2791" width="15.25" style="70" customWidth="1"/>
    <col min="2792" max="2792" width="0.75" style="70" customWidth="1"/>
    <col min="2793" max="2795" width="0.625" style="70" customWidth="1"/>
    <col min="2796" max="3040" width="8.5" style="70"/>
    <col min="3041" max="3041" width="5.25" style="70" customWidth="1"/>
    <col min="3042" max="3042" width="26.25" style="70" customWidth="1"/>
    <col min="3043" max="3043" width="5.5" style="70" customWidth="1"/>
    <col min="3044" max="3044" width="8.5" style="70"/>
    <col min="3045" max="3046" width="10.875" style="70" customWidth="1"/>
    <col min="3047" max="3047" width="15.25" style="70" customWidth="1"/>
    <col min="3048" max="3048" width="0.75" style="70" customWidth="1"/>
    <col min="3049" max="3051" width="0.625" style="70" customWidth="1"/>
    <col min="3052" max="3296" width="8.5" style="70"/>
    <col min="3297" max="3297" width="5.25" style="70" customWidth="1"/>
    <col min="3298" max="3298" width="26.25" style="70" customWidth="1"/>
    <col min="3299" max="3299" width="5.5" style="70" customWidth="1"/>
    <col min="3300" max="3300" width="8.5" style="70"/>
    <col min="3301" max="3302" width="10.875" style="70" customWidth="1"/>
    <col min="3303" max="3303" width="15.25" style="70" customWidth="1"/>
    <col min="3304" max="3304" width="0.75" style="70" customWidth="1"/>
    <col min="3305" max="3307" width="0.625" style="70" customWidth="1"/>
    <col min="3308" max="3552" width="8.5" style="70"/>
    <col min="3553" max="3553" width="5.25" style="70" customWidth="1"/>
    <col min="3554" max="3554" width="26.25" style="70" customWidth="1"/>
    <col min="3555" max="3555" width="5.5" style="70" customWidth="1"/>
    <col min="3556" max="3556" width="8.5" style="70"/>
    <col min="3557" max="3558" width="10.875" style="70" customWidth="1"/>
    <col min="3559" max="3559" width="15.25" style="70" customWidth="1"/>
    <col min="3560" max="3560" width="0.75" style="70" customWidth="1"/>
    <col min="3561" max="3563" width="0.625" style="70" customWidth="1"/>
    <col min="3564" max="3808" width="8.5" style="70"/>
    <col min="3809" max="3809" width="5.25" style="70" customWidth="1"/>
    <col min="3810" max="3810" width="26.25" style="70" customWidth="1"/>
    <col min="3811" max="3811" width="5.5" style="70" customWidth="1"/>
    <col min="3812" max="3812" width="8.5" style="70"/>
    <col min="3813" max="3814" width="10.875" style="70" customWidth="1"/>
    <col min="3815" max="3815" width="15.25" style="70" customWidth="1"/>
    <col min="3816" max="3816" width="0.75" style="70" customWidth="1"/>
    <col min="3817" max="3819" width="0.625" style="70" customWidth="1"/>
    <col min="3820" max="4064" width="8.5" style="70"/>
    <col min="4065" max="4065" width="5.25" style="70" customWidth="1"/>
    <col min="4066" max="4066" width="26.25" style="70" customWidth="1"/>
    <col min="4067" max="4067" width="5.5" style="70" customWidth="1"/>
    <col min="4068" max="4068" width="8.5" style="70"/>
    <col min="4069" max="4070" width="10.875" style="70" customWidth="1"/>
    <col min="4071" max="4071" width="15.25" style="70" customWidth="1"/>
    <col min="4072" max="4072" width="0.75" style="70" customWidth="1"/>
    <col min="4073" max="4075" width="0.625" style="70" customWidth="1"/>
    <col min="4076" max="4320" width="8.5" style="70"/>
    <col min="4321" max="4321" width="5.25" style="70" customWidth="1"/>
    <col min="4322" max="4322" width="26.25" style="70" customWidth="1"/>
    <col min="4323" max="4323" width="5.5" style="70" customWidth="1"/>
    <col min="4324" max="4324" width="8.5" style="70"/>
    <col min="4325" max="4326" width="10.875" style="70" customWidth="1"/>
    <col min="4327" max="4327" width="15.25" style="70" customWidth="1"/>
    <col min="4328" max="4328" width="0.75" style="70" customWidth="1"/>
    <col min="4329" max="4331" width="0.625" style="70" customWidth="1"/>
    <col min="4332" max="4576" width="8.5" style="70"/>
    <col min="4577" max="4577" width="5.25" style="70" customWidth="1"/>
    <col min="4578" max="4578" width="26.25" style="70" customWidth="1"/>
    <col min="4579" max="4579" width="5.5" style="70" customWidth="1"/>
    <col min="4580" max="4580" width="8.5" style="70"/>
    <col min="4581" max="4582" width="10.875" style="70" customWidth="1"/>
    <col min="4583" max="4583" width="15.25" style="70" customWidth="1"/>
    <col min="4584" max="4584" width="0.75" style="70" customWidth="1"/>
    <col min="4585" max="4587" width="0.625" style="70" customWidth="1"/>
    <col min="4588" max="4832" width="8.5" style="70"/>
    <col min="4833" max="4833" width="5.25" style="70" customWidth="1"/>
    <col min="4834" max="4834" width="26.25" style="70" customWidth="1"/>
    <col min="4835" max="4835" width="5.5" style="70" customWidth="1"/>
    <col min="4836" max="4836" width="8.5" style="70"/>
    <col min="4837" max="4838" width="10.875" style="70" customWidth="1"/>
    <col min="4839" max="4839" width="15.25" style="70" customWidth="1"/>
    <col min="4840" max="4840" width="0.75" style="70" customWidth="1"/>
    <col min="4841" max="4843" width="0.625" style="70" customWidth="1"/>
    <col min="4844" max="5088" width="8.5" style="70"/>
    <col min="5089" max="5089" width="5.25" style="70" customWidth="1"/>
    <col min="5090" max="5090" width="26.25" style="70" customWidth="1"/>
    <col min="5091" max="5091" width="5.5" style="70" customWidth="1"/>
    <col min="5092" max="5092" width="8.5" style="70"/>
    <col min="5093" max="5094" width="10.875" style="70" customWidth="1"/>
    <col min="5095" max="5095" width="15.25" style="70" customWidth="1"/>
    <col min="5096" max="5096" width="0.75" style="70" customWidth="1"/>
    <col min="5097" max="5099" width="0.625" style="70" customWidth="1"/>
    <col min="5100" max="5344" width="8.5" style="70"/>
    <col min="5345" max="5345" width="5.25" style="70" customWidth="1"/>
    <col min="5346" max="5346" width="26.25" style="70" customWidth="1"/>
    <col min="5347" max="5347" width="5.5" style="70" customWidth="1"/>
    <col min="5348" max="5348" width="8.5" style="70"/>
    <col min="5349" max="5350" width="10.875" style="70" customWidth="1"/>
    <col min="5351" max="5351" width="15.25" style="70" customWidth="1"/>
    <col min="5352" max="5352" width="0.75" style="70" customWidth="1"/>
    <col min="5353" max="5355" width="0.625" style="70" customWidth="1"/>
    <col min="5356" max="5600" width="8.5" style="70"/>
    <col min="5601" max="5601" width="5.25" style="70" customWidth="1"/>
    <col min="5602" max="5602" width="26.25" style="70" customWidth="1"/>
    <col min="5603" max="5603" width="5.5" style="70" customWidth="1"/>
    <col min="5604" max="5604" width="8.5" style="70"/>
    <col min="5605" max="5606" width="10.875" style="70" customWidth="1"/>
    <col min="5607" max="5607" width="15.25" style="70" customWidth="1"/>
    <col min="5608" max="5608" width="0.75" style="70" customWidth="1"/>
    <col min="5609" max="5611" width="0.625" style="70" customWidth="1"/>
    <col min="5612" max="5856" width="8.5" style="70"/>
    <col min="5857" max="5857" width="5.25" style="70" customWidth="1"/>
    <col min="5858" max="5858" width="26.25" style="70" customWidth="1"/>
    <col min="5859" max="5859" width="5.5" style="70" customWidth="1"/>
    <col min="5860" max="5860" width="8.5" style="70"/>
    <col min="5861" max="5862" width="10.875" style="70" customWidth="1"/>
    <col min="5863" max="5863" width="15.25" style="70" customWidth="1"/>
    <col min="5864" max="5864" width="0.75" style="70" customWidth="1"/>
    <col min="5865" max="5867" width="0.625" style="70" customWidth="1"/>
    <col min="5868" max="6112" width="8.5" style="70"/>
    <col min="6113" max="6113" width="5.25" style="70" customWidth="1"/>
    <col min="6114" max="6114" width="26.25" style="70" customWidth="1"/>
    <col min="6115" max="6115" width="5.5" style="70" customWidth="1"/>
    <col min="6116" max="6116" width="8.5" style="70"/>
    <col min="6117" max="6118" width="10.875" style="70" customWidth="1"/>
    <col min="6119" max="6119" width="15.25" style="70" customWidth="1"/>
    <col min="6120" max="6120" width="0.75" style="70" customWidth="1"/>
    <col min="6121" max="6123" width="0.625" style="70" customWidth="1"/>
    <col min="6124" max="6368" width="8.5" style="70"/>
    <col min="6369" max="6369" width="5.25" style="70" customWidth="1"/>
    <col min="6370" max="6370" width="26.25" style="70" customWidth="1"/>
    <col min="6371" max="6371" width="5.5" style="70" customWidth="1"/>
    <col min="6372" max="6372" width="8.5" style="70"/>
    <col min="6373" max="6374" width="10.875" style="70" customWidth="1"/>
    <col min="6375" max="6375" width="15.25" style="70" customWidth="1"/>
    <col min="6376" max="6376" width="0.75" style="70" customWidth="1"/>
    <col min="6377" max="6379" width="0.625" style="70" customWidth="1"/>
    <col min="6380" max="6624" width="8.5" style="70"/>
    <col min="6625" max="6625" width="5.25" style="70" customWidth="1"/>
    <col min="6626" max="6626" width="26.25" style="70" customWidth="1"/>
    <col min="6627" max="6627" width="5.5" style="70" customWidth="1"/>
    <col min="6628" max="6628" width="8.5" style="70"/>
    <col min="6629" max="6630" width="10.875" style="70" customWidth="1"/>
    <col min="6631" max="6631" width="15.25" style="70" customWidth="1"/>
    <col min="6632" max="6632" width="0.75" style="70" customWidth="1"/>
    <col min="6633" max="6635" width="0.625" style="70" customWidth="1"/>
    <col min="6636" max="6880" width="8.5" style="70"/>
    <col min="6881" max="6881" width="5.25" style="70" customWidth="1"/>
    <col min="6882" max="6882" width="26.25" style="70" customWidth="1"/>
    <col min="6883" max="6883" width="5.5" style="70" customWidth="1"/>
    <col min="6884" max="6884" width="8.5" style="70"/>
    <col min="6885" max="6886" width="10.875" style="70" customWidth="1"/>
    <col min="6887" max="6887" width="15.25" style="70" customWidth="1"/>
    <col min="6888" max="6888" width="0.75" style="70" customWidth="1"/>
    <col min="6889" max="6891" width="0.625" style="70" customWidth="1"/>
    <col min="6892" max="7136" width="8.5" style="70"/>
    <col min="7137" max="7137" width="5.25" style="70" customWidth="1"/>
    <col min="7138" max="7138" width="26.25" style="70" customWidth="1"/>
    <col min="7139" max="7139" width="5.5" style="70" customWidth="1"/>
    <col min="7140" max="7140" width="8.5" style="70"/>
    <col min="7141" max="7142" width="10.875" style="70" customWidth="1"/>
    <col min="7143" max="7143" width="15.25" style="70" customWidth="1"/>
    <col min="7144" max="7144" width="0.75" style="70" customWidth="1"/>
    <col min="7145" max="7147" width="0.625" style="70" customWidth="1"/>
    <col min="7148" max="7392" width="8.5" style="70"/>
    <col min="7393" max="7393" width="5.25" style="70" customWidth="1"/>
    <col min="7394" max="7394" width="26.25" style="70" customWidth="1"/>
    <col min="7395" max="7395" width="5.5" style="70" customWidth="1"/>
    <col min="7396" max="7396" width="8.5" style="70"/>
    <col min="7397" max="7398" width="10.875" style="70" customWidth="1"/>
    <col min="7399" max="7399" width="15.25" style="70" customWidth="1"/>
    <col min="7400" max="7400" width="0.75" style="70" customWidth="1"/>
    <col min="7401" max="7403" width="0.625" style="70" customWidth="1"/>
    <col min="7404" max="7648" width="8.5" style="70"/>
    <col min="7649" max="7649" width="5.25" style="70" customWidth="1"/>
    <col min="7650" max="7650" width="26.25" style="70" customWidth="1"/>
    <col min="7651" max="7651" width="5.5" style="70" customWidth="1"/>
    <col min="7652" max="7652" width="8.5" style="70"/>
    <col min="7653" max="7654" width="10.875" style="70" customWidth="1"/>
    <col min="7655" max="7655" width="15.25" style="70" customWidth="1"/>
    <col min="7656" max="7656" width="0.75" style="70" customWidth="1"/>
    <col min="7657" max="7659" width="0.625" style="70" customWidth="1"/>
    <col min="7660" max="7904" width="8.5" style="70"/>
    <col min="7905" max="7905" width="5.25" style="70" customWidth="1"/>
    <col min="7906" max="7906" width="26.25" style="70" customWidth="1"/>
    <col min="7907" max="7907" width="5.5" style="70" customWidth="1"/>
    <col min="7908" max="7908" width="8.5" style="70"/>
    <col min="7909" max="7910" width="10.875" style="70" customWidth="1"/>
    <col min="7911" max="7911" width="15.25" style="70" customWidth="1"/>
    <col min="7912" max="7912" width="0.75" style="70" customWidth="1"/>
    <col min="7913" max="7915" width="0.625" style="70" customWidth="1"/>
    <col min="7916" max="8160" width="8.5" style="70"/>
    <col min="8161" max="8161" width="5.25" style="70" customWidth="1"/>
    <col min="8162" max="8162" width="26.25" style="70" customWidth="1"/>
    <col min="8163" max="8163" width="5.5" style="70" customWidth="1"/>
    <col min="8164" max="8164" width="8.5" style="70"/>
    <col min="8165" max="8166" width="10.875" style="70" customWidth="1"/>
    <col min="8167" max="8167" width="15.25" style="70" customWidth="1"/>
    <col min="8168" max="8168" width="0.75" style="70" customWidth="1"/>
    <col min="8169" max="8171" width="0.625" style="70" customWidth="1"/>
    <col min="8172" max="8416" width="8.5" style="70"/>
    <col min="8417" max="8417" width="5.25" style="70" customWidth="1"/>
    <col min="8418" max="8418" width="26.25" style="70" customWidth="1"/>
    <col min="8419" max="8419" width="5.5" style="70" customWidth="1"/>
    <col min="8420" max="8420" width="8.5" style="70"/>
    <col min="8421" max="8422" width="10.875" style="70" customWidth="1"/>
    <col min="8423" max="8423" width="15.25" style="70" customWidth="1"/>
    <col min="8424" max="8424" width="0.75" style="70" customWidth="1"/>
    <col min="8425" max="8427" width="0.625" style="70" customWidth="1"/>
    <col min="8428" max="8672" width="8.5" style="70"/>
    <col min="8673" max="8673" width="5.25" style="70" customWidth="1"/>
    <col min="8674" max="8674" width="26.25" style="70" customWidth="1"/>
    <col min="8675" max="8675" width="5.5" style="70" customWidth="1"/>
    <col min="8676" max="8676" width="8.5" style="70"/>
    <col min="8677" max="8678" width="10.875" style="70" customWidth="1"/>
    <col min="8679" max="8679" width="15.25" style="70" customWidth="1"/>
    <col min="8680" max="8680" width="0.75" style="70" customWidth="1"/>
    <col min="8681" max="8683" width="0.625" style="70" customWidth="1"/>
    <col min="8684" max="8928" width="8.5" style="70"/>
    <col min="8929" max="8929" width="5.25" style="70" customWidth="1"/>
    <col min="8930" max="8930" width="26.25" style="70" customWidth="1"/>
    <col min="8931" max="8931" width="5.5" style="70" customWidth="1"/>
    <col min="8932" max="8932" width="8.5" style="70"/>
    <col min="8933" max="8934" width="10.875" style="70" customWidth="1"/>
    <col min="8935" max="8935" width="15.25" style="70" customWidth="1"/>
    <col min="8936" max="8936" width="0.75" style="70" customWidth="1"/>
    <col min="8937" max="8939" width="0.625" style="70" customWidth="1"/>
    <col min="8940" max="9184" width="8.5" style="70"/>
    <col min="9185" max="9185" width="5.25" style="70" customWidth="1"/>
    <col min="9186" max="9186" width="26.25" style="70" customWidth="1"/>
    <col min="9187" max="9187" width="5.5" style="70" customWidth="1"/>
    <col min="9188" max="9188" width="8.5" style="70"/>
    <col min="9189" max="9190" width="10.875" style="70" customWidth="1"/>
    <col min="9191" max="9191" width="15.25" style="70" customWidth="1"/>
    <col min="9192" max="9192" width="0.75" style="70" customWidth="1"/>
    <col min="9193" max="9195" width="0.625" style="70" customWidth="1"/>
    <col min="9196" max="9440" width="8.5" style="70"/>
    <col min="9441" max="9441" width="5.25" style="70" customWidth="1"/>
    <col min="9442" max="9442" width="26.25" style="70" customWidth="1"/>
    <col min="9443" max="9443" width="5.5" style="70" customWidth="1"/>
    <col min="9444" max="9444" width="8.5" style="70"/>
    <col min="9445" max="9446" width="10.875" style="70" customWidth="1"/>
    <col min="9447" max="9447" width="15.25" style="70" customWidth="1"/>
    <col min="9448" max="9448" width="0.75" style="70" customWidth="1"/>
    <col min="9449" max="9451" width="0.625" style="70" customWidth="1"/>
    <col min="9452" max="9696" width="8.5" style="70"/>
    <col min="9697" max="9697" width="5.25" style="70" customWidth="1"/>
    <col min="9698" max="9698" width="26.25" style="70" customWidth="1"/>
    <col min="9699" max="9699" width="5.5" style="70" customWidth="1"/>
    <col min="9700" max="9700" width="8.5" style="70"/>
    <col min="9701" max="9702" width="10.875" style="70" customWidth="1"/>
    <col min="9703" max="9703" width="15.25" style="70" customWidth="1"/>
    <col min="9704" max="9704" width="0.75" style="70" customWidth="1"/>
    <col min="9705" max="9707" width="0.625" style="70" customWidth="1"/>
    <col min="9708" max="9952" width="8.5" style="70"/>
    <col min="9953" max="9953" width="5.25" style="70" customWidth="1"/>
    <col min="9954" max="9954" width="26.25" style="70" customWidth="1"/>
    <col min="9955" max="9955" width="5.5" style="70" customWidth="1"/>
    <col min="9956" max="9956" width="8.5" style="70"/>
    <col min="9957" max="9958" width="10.875" style="70" customWidth="1"/>
    <col min="9959" max="9959" width="15.25" style="70" customWidth="1"/>
    <col min="9960" max="9960" width="0.75" style="70" customWidth="1"/>
    <col min="9961" max="9963" width="0.625" style="70" customWidth="1"/>
    <col min="9964" max="10208" width="8.5" style="70"/>
    <col min="10209" max="10209" width="5.25" style="70" customWidth="1"/>
    <col min="10210" max="10210" width="26.25" style="70" customWidth="1"/>
    <col min="10211" max="10211" width="5.5" style="70" customWidth="1"/>
    <col min="10212" max="10212" width="8.5" style="70"/>
    <col min="10213" max="10214" width="10.875" style="70" customWidth="1"/>
    <col min="10215" max="10215" width="15.25" style="70" customWidth="1"/>
    <col min="10216" max="10216" width="0.75" style="70" customWidth="1"/>
    <col min="10217" max="10219" width="0.625" style="70" customWidth="1"/>
    <col min="10220" max="10464" width="8.5" style="70"/>
    <col min="10465" max="10465" width="5.25" style="70" customWidth="1"/>
    <col min="10466" max="10466" width="26.25" style="70" customWidth="1"/>
    <col min="10467" max="10467" width="5.5" style="70" customWidth="1"/>
    <col min="10468" max="10468" width="8.5" style="70"/>
    <col min="10469" max="10470" width="10.875" style="70" customWidth="1"/>
    <col min="10471" max="10471" width="15.25" style="70" customWidth="1"/>
    <col min="10472" max="10472" width="0.75" style="70" customWidth="1"/>
    <col min="10473" max="10475" width="0.625" style="70" customWidth="1"/>
    <col min="10476" max="10720" width="8.5" style="70"/>
    <col min="10721" max="10721" width="5.25" style="70" customWidth="1"/>
    <col min="10722" max="10722" width="26.25" style="70" customWidth="1"/>
    <col min="10723" max="10723" width="5.5" style="70" customWidth="1"/>
    <col min="10724" max="10724" width="8.5" style="70"/>
    <col min="10725" max="10726" width="10.875" style="70" customWidth="1"/>
    <col min="10727" max="10727" width="15.25" style="70" customWidth="1"/>
    <col min="10728" max="10728" width="0.75" style="70" customWidth="1"/>
    <col min="10729" max="10731" width="0.625" style="70" customWidth="1"/>
    <col min="10732" max="10976" width="8.5" style="70"/>
    <col min="10977" max="10977" width="5.25" style="70" customWidth="1"/>
    <col min="10978" max="10978" width="26.25" style="70" customWidth="1"/>
    <col min="10979" max="10979" width="5.5" style="70" customWidth="1"/>
    <col min="10980" max="10980" width="8.5" style="70"/>
    <col min="10981" max="10982" width="10.875" style="70" customWidth="1"/>
    <col min="10983" max="10983" width="15.25" style="70" customWidth="1"/>
    <col min="10984" max="10984" width="0.75" style="70" customWidth="1"/>
    <col min="10985" max="10987" width="0.625" style="70" customWidth="1"/>
    <col min="10988" max="11232" width="8.5" style="70"/>
    <col min="11233" max="11233" width="5.25" style="70" customWidth="1"/>
    <col min="11234" max="11234" width="26.25" style="70" customWidth="1"/>
    <col min="11235" max="11235" width="5.5" style="70" customWidth="1"/>
    <col min="11236" max="11236" width="8.5" style="70"/>
    <col min="11237" max="11238" width="10.875" style="70" customWidth="1"/>
    <col min="11239" max="11239" width="15.25" style="70" customWidth="1"/>
    <col min="11240" max="11240" width="0.75" style="70" customWidth="1"/>
    <col min="11241" max="11243" width="0.625" style="70" customWidth="1"/>
    <col min="11244" max="11488" width="8.5" style="70"/>
    <col min="11489" max="11489" width="5.25" style="70" customWidth="1"/>
    <col min="11490" max="11490" width="26.25" style="70" customWidth="1"/>
    <col min="11491" max="11491" width="5.5" style="70" customWidth="1"/>
    <col min="11492" max="11492" width="8.5" style="70"/>
    <col min="11493" max="11494" width="10.875" style="70" customWidth="1"/>
    <col min="11495" max="11495" width="15.25" style="70" customWidth="1"/>
    <col min="11496" max="11496" width="0.75" style="70" customWidth="1"/>
    <col min="11497" max="11499" width="0.625" style="70" customWidth="1"/>
    <col min="11500" max="11744" width="8.5" style="70"/>
    <col min="11745" max="11745" width="5.25" style="70" customWidth="1"/>
    <col min="11746" max="11746" width="26.25" style="70" customWidth="1"/>
    <col min="11747" max="11747" width="5.5" style="70" customWidth="1"/>
    <col min="11748" max="11748" width="8.5" style="70"/>
    <col min="11749" max="11750" width="10.875" style="70" customWidth="1"/>
    <col min="11751" max="11751" width="15.25" style="70" customWidth="1"/>
    <col min="11752" max="11752" width="0.75" style="70" customWidth="1"/>
    <col min="11753" max="11755" width="0.625" style="70" customWidth="1"/>
    <col min="11756" max="12000" width="8.5" style="70"/>
    <col min="12001" max="12001" width="5.25" style="70" customWidth="1"/>
    <col min="12002" max="12002" width="26.25" style="70" customWidth="1"/>
    <col min="12003" max="12003" width="5.5" style="70" customWidth="1"/>
    <col min="12004" max="12004" width="8.5" style="70"/>
    <col min="12005" max="12006" width="10.875" style="70" customWidth="1"/>
    <col min="12007" max="12007" width="15.25" style="70" customWidth="1"/>
    <col min="12008" max="12008" width="0.75" style="70" customWidth="1"/>
    <col min="12009" max="12011" width="0.625" style="70" customWidth="1"/>
    <col min="12012" max="12256" width="8.5" style="70"/>
    <col min="12257" max="12257" width="5.25" style="70" customWidth="1"/>
    <col min="12258" max="12258" width="26.25" style="70" customWidth="1"/>
    <col min="12259" max="12259" width="5.5" style="70" customWidth="1"/>
    <col min="12260" max="12260" width="8.5" style="70"/>
    <col min="12261" max="12262" width="10.875" style="70" customWidth="1"/>
    <col min="12263" max="12263" width="15.25" style="70" customWidth="1"/>
    <col min="12264" max="12264" width="0.75" style="70" customWidth="1"/>
    <col min="12265" max="12267" width="0.625" style="70" customWidth="1"/>
    <col min="12268" max="12512" width="8.5" style="70"/>
    <col min="12513" max="12513" width="5.25" style="70" customWidth="1"/>
    <col min="12514" max="12514" width="26.25" style="70" customWidth="1"/>
    <col min="12515" max="12515" width="5.5" style="70" customWidth="1"/>
    <col min="12516" max="12516" width="8.5" style="70"/>
    <col min="12517" max="12518" width="10.875" style="70" customWidth="1"/>
    <col min="12519" max="12519" width="15.25" style="70" customWidth="1"/>
    <col min="12520" max="12520" width="0.75" style="70" customWidth="1"/>
    <col min="12521" max="12523" width="0.625" style="70" customWidth="1"/>
    <col min="12524" max="12768" width="8.5" style="70"/>
    <col min="12769" max="12769" width="5.25" style="70" customWidth="1"/>
    <col min="12770" max="12770" width="26.25" style="70" customWidth="1"/>
    <col min="12771" max="12771" width="5.5" style="70" customWidth="1"/>
    <col min="12772" max="12772" width="8.5" style="70"/>
    <col min="12773" max="12774" width="10.875" style="70" customWidth="1"/>
    <col min="12775" max="12775" width="15.25" style="70" customWidth="1"/>
    <col min="12776" max="12776" width="0.75" style="70" customWidth="1"/>
    <col min="12777" max="12779" width="0.625" style="70" customWidth="1"/>
    <col min="12780" max="13024" width="8.5" style="70"/>
    <col min="13025" max="13025" width="5.25" style="70" customWidth="1"/>
    <col min="13026" max="13026" width="26.25" style="70" customWidth="1"/>
    <col min="13027" max="13027" width="5.5" style="70" customWidth="1"/>
    <col min="13028" max="13028" width="8.5" style="70"/>
    <col min="13029" max="13030" width="10.875" style="70" customWidth="1"/>
    <col min="13031" max="13031" width="15.25" style="70" customWidth="1"/>
    <col min="13032" max="13032" width="0.75" style="70" customWidth="1"/>
    <col min="13033" max="13035" width="0.625" style="70" customWidth="1"/>
    <col min="13036" max="13280" width="8.5" style="70"/>
    <col min="13281" max="13281" width="5.25" style="70" customWidth="1"/>
    <col min="13282" max="13282" width="26.25" style="70" customWidth="1"/>
    <col min="13283" max="13283" width="5.5" style="70" customWidth="1"/>
    <col min="13284" max="13284" width="8.5" style="70"/>
    <col min="13285" max="13286" width="10.875" style="70" customWidth="1"/>
    <col min="13287" max="13287" width="15.25" style="70" customWidth="1"/>
    <col min="13288" max="13288" width="0.75" style="70" customWidth="1"/>
    <col min="13289" max="13291" width="0.625" style="70" customWidth="1"/>
    <col min="13292" max="13536" width="8.5" style="70"/>
    <col min="13537" max="13537" width="5.25" style="70" customWidth="1"/>
    <col min="13538" max="13538" width="26.25" style="70" customWidth="1"/>
    <col min="13539" max="13539" width="5.5" style="70" customWidth="1"/>
    <col min="13540" max="13540" width="8.5" style="70"/>
    <col min="13541" max="13542" width="10.875" style="70" customWidth="1"/>
    <col min="13543" max="13543" width="15.25" style="70" customWidth="1"/>
    <col min="13544" max="13544" width="0.75" style="70" customWidth="1"/>
    <col min="13545" max="13547" width="0.625" style="70" customWidth="1"/>
    <col min="13548" max="13792" width="8.5" style="70"/>
    <col min="13793" max="13793" width="5.25" style="70" customWidth="1"/>
    <col min="13794" max="13794" width="26.25" style="70" customWidth="1"/>
    <col min="13795" max="13795" width="5.5" style="70" customWidth="1"/>
    <col min="13796" max="13796" width="8.5" style="70"/>
    <col min="13797" max="13798" width="10.875" style="70" customWidth="1"/>
    <col min="13799" max="13799" width="15.25" style="70" customWidth="1"/>
    <col min="13800" max="13800" width="0.75" style="70" customWidth="1"/>
    <col min="13801" max="13803" width="0.625" style="70" customWidth="1"/>
    <col min="13804" max="14048" width="8.5" style="70"/>
    <col min="14049" max="14049" width="5.25" style="70" customWidth="1"/>
    <col min="14050" max="14050" width="26.25" style="70" customWidth="1"/>
    <col min="14051" max="14051" width="5.5" style="70" customWidth="1"/>
    <col min="14052" max="14052" width="8.5" style="70"/>
    <col min="14053" max="14054" width="10.875" style="70" customWidth="1"/>
    <col min="14055" max="14055" width="15.25" style="70" customWidth="1"/>
    <col min="14056" max="14056" width="0.75" style="70" customWidth="1"/>
    <col min="14057" max="14059" width="0.625" style="70" customWidth="1"/>
    <col min="14060" max="14304" width="8.5" style="70"/>
    <col min="14305" max="14305" width="5.25" style="70" customWidth="1"/>
    <col min="14306" max="14306" width="26.25" style="70" customWidth="1"/>
    <col min="14307" max="14307" width="5.5" style="70" customWidth="1"/>
    <col min="14308" max="14308" width="8.5" style="70"/>
    <col min="14309" max="14310" width="10.875" style="70" customWidth="1"/>
    <col min="14311" max="14311" width="15.25" style="70" customWidth="1"/>
    <col min="14312" max="14312" width="0.75" style="70" customWidth="1"/>
    <col min="14313" max="14315" width="0.625" style="70" customWidth="1"/>
    <col min="14316" max="14560" width="8.5" style="70"/>
    <col min="14561" max="14561" width="5.25" style="70" customWidth="1"/>
    <col min="14562" max="14562" width="26.25" style="70" customWidth="1"/>
    <col min="14563" max="14563" width="5.5" style="70" customWidth="1"/>
    <col min="14564" max="14564" width="8.5" style="70"/>
    <col min="14565" max="14566" width="10.875" style="70" customWidth="1"/>
    <col min="14567" max="14567" width="15.25" style="70" customWidth="1"/>
    <col min="14568" max="14568" width="0.75" style="70" customWidth="1"/>
    <col min="14569" max="14571" width="0.625" style="70" customWidth="1"/>
    <col min="14572" max="14816" width="8.5" style="70"/>
    <col min="14817" max="14817" width="5.25" style="70" customWidth="1"/>
    <col min="14818" max="14818" width="26.25" style="70" customWidth="1"/>
    <col min="14819" max="14819" width="5.5" style="70" customWidth="1"/>
    <col min="14820" max="14820" width="8.5" style="70"/>
    <col min="14821" max="14822" width="10.875" style="70" customWidth="1"/>
    <col min="14823" max="14823" width="15.25" style="70" customWidth="1"/>
    <col min="14824" max="14824" width="0.75" style="70" customWidth="1"/>
    <col min="14825" max="14827" width="0.625" style="70" customWidth="1"/>
    <col min="14828" max="15072" width="8.5" style="70"/>
    <col min="15073" max="15073" width="5.25" style="70" customWidth="1"/>
    <col min="15074" max="15074" width="26.25" style="70" customWidth="1"/>
    <col min="15075" max="15075" width="5.5" style="70" customWidth="1"/>
    <col min="15076" max="15076" width="8.5" style="70"/>
    <col min="15077" max="15078" width="10.875" style="70" customWidth="1"/>
    <col min="15079" max="15079" width="15.25" style="70" customWidth="1"/>
    <col min="15080" max="15080" width="0.75" style="70" customWidth="1"/>
    <col min="15081" max="15083" width="0.625" style="70" customWidth="1"/>
    <col min="15084" max="15328" width="8.5" style="70"/>
    <col min="15329" max="15329" width="5.25" style="70" customWidth="1"/>
    <col min="15330" max="15330" width="26.25" style="70" customWidth="1"/>
    <col min="15331" max="15331" width="5.5" style="70" customWidth="1"/>
    <col min="15332" max="15332" width="8.5" style="70"/>
    <col min="15333" max="15334" width="10.875" style="70" customWidth="1"/>
    <col min="15335" max="15335" width="15.25" style="70" customWidth="1"/>
    <col min="15336" max="15336" width="0.75" style="70" customWidth="1"/>
    <col min="15337" max="15339" width="0.625" style="70" customWidth="1"/>
    <col min="15340" max="15584" width="8.5" style="70"/>
    <col min="15585" max="15585" width="5.25" style="70" customWidth="1"/>
    <col min="15586" max="15586" width="26.25" style="70" customWidth="1"/>
    <col min="15587" max="15587" width="5.5" style="70" customWidth="1"/>
    <col min="15588" max="15588" width="8.5" style="70"/>
    <col min="15589" max="15590" width="10.875" style="70" customWidth="1"/>
    <col min="15591" max="15591" width="15.25" style="70" customWidth="1"/>
    <col min="15592" max="15592" width="0.75" style="70" customWidth="1"/>
    <col min="15593" max="15595" width="0.625" style="70" customWidth="1"/>
    <col min="15596" max="15840" width="8.5" style="70"/>
    <col min="15841" max="15841" width="5.25" style="70" customWidth="1"/>
    <col min="15842" max="15842" width="26.25" style="70" customWidth="1"/>
    <col min="15843" max="15843" width="5.5" style="70" customWidth="1"/>
    <col min="15844" max="15844" width="8.5" style="70"/>
    <col min="15845" max="15846" width="10.875" style="70" customWidth="1"/>
    <col min="15847" max="15847" width="15.25" style="70" customWidth="1"/>
    <col min="15848" max="15848" width="0.75" style="70" customWidth="1"/>
    <col min="15849" max="15851" width="0.625" style="70" customWidth="1"/>
    <col min="15852" max="16096" width="8.5" style="70"/>
    <col min="16097" max="16097" width="5.25" style="70" customWidth="1"/>
    <col min="16098" max="16098" width="26.25" style="70" customWidth="1"/>
    <col min="16099" max="16099" width="5.5" style="70" customWidth="1"/>
    <col min="16100" max="16100" width="8.5" style="70"/>
    <col min="16101" max="16102" width="10.875" style="70" customWidth="1"/>
    <col min="16103" max="16103" width="15.25" style="70" customWidth="1"/>
    <col min="16104" max="16104" width="0.75" style="70" customWidth="1"/>
    <col min="16105" max="16107" width="0.625" style="70" customWidth="1"/>
    <col min="16108" max="16384" width="8.5" style="70"/>
  </cols>
  <sheetData>
    <row r="1" spans="1:38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47"/>
      <c r="W1" s="99"/>
      <c r="X1" s="99"/>
      <c r="Y1" s="99"/>
      <c r="Z1" s="99"/>
      <c r="AA1" s="100"/>
    </row>
    <row r="2" spans="1:38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47"/>
    </row>
    <row r="3" spans="1:38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47"/>
      <c r="Q3" s="386" t="s">
        <v>0</v>
      </c>
      <c r="R3" s="387"/>
      <c r="S3" s="387"/>
      <c r="T3" s="387"/>
      <c r="U3" s="387"/>
      <c r="V3" s="387"/>
      <c r="W3" s="387"/>
      <c r="X3" s="387"/>
      <c r="Y3" s="387"/>
      <c r="Z3" s="387"/>
      <c r="AA3" s="387"/>
    </row>
    <row r="4" spans="1:38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48"/>
      <c r="Q4" s="389">
        <v>22</v>
      </c>
      <c r="R4" s="387"/>
      <c r="S4" s="387"/>
      <c r="T4" s="387"/>
      <c r="U4" s="387"/>
      <c r="V4" s="387"/>
      <c r="W4" s="387"/>
      <c r="X4" s="387"/>
      <c r="Y4" s="387"/>
      <c r="Z4" s="387"/>
      <c r="AA4" s="387"/>
    </row>
    <row r="5" spans="1:38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93" t="s">
        <v>4</v>
      </c>
      <c r="K5" s="393"/>
      <c r="L5" s="74"/>
      <c r="M5" s="394" t="s">
        <v>3145</v>
      </c>
      <c r="N5" s="394"/>
      <c r="O5" s="394"/>
      <c r="P5" s="96"/>
      <c r="Q5" s="395" t="s">
        <v>2</v>
      </c>
      <c r="R5" s="396"/>
      <c r="S5" s="396"/>
      <c r="T5" s="396"/>
      <c r="U5" s="396"/>
      <c r="V5" s="396"/>
      <c r="W5" s="396"/>
      <c r="X5" s="396"/>
      <c r="Y5" s="4" t="s">
        <v>1361</v>
      </c>
      <c r="Z5" s="380">
        <v>45838</v>
      </c>
      <c r="AA5" s="381"/>
      <c r="AB5"/>
      <c r="AC5" s="181"/>
      <c r="AD5" s="181"/>
      <c r="AE5" s="181"/>
      <c r="AF5" s="181"/>
    </row>
    <row r="6" spans="1:38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1" t="s">
        <v>9</v>
      </c>
      <c r="J6" s="51" t="s">
        <v>3068</v>
      </c>
      <c r="K6" s="50" t="s">
        <v>11</v>
      </c>
      <c r="L6" s="47"/>
      <c r="M6" s="1" t="s">
        <v>1423</v>
      </c>
      <c r="N6" s="1" t="s">
        <v>1424</v>
      </c>
      <c r="O6" s="1" t="s">
        <v>1425</v>
      </c>
      <c r="P6" s="97"/>
      <c r="Q6" s="5" t="s">
        <v>5</v>
      </c>
      <c r="R6" s="6" t="s">
        <v>1362</v>
      </c>
      <c r="S6" s="6" t="s">
        <v>7</v>
      </c>
      <c r="T6" s="6" t="s">
        <v>1363</v>
      </c>
      <c r="U6" s="6" t="s">
        <v>1364</v>
      </c>
      <c r="V6" s="6" t="s">
        <v>1365</v>
      </c>
      <c r="W6" s="6" t="s">
        <v>1366</v>
      </c>
      <c r="X6" s="214" t="s">
        <v>1367</v>
      </c>
      <c r="Y6" s="214" t="s">
        <v>1368</v>
      </c>
      <c r="Z6" s="214" t="s">
        <v>1369</v>
      </c>
      <c r="AA6" s="7" t="s">
        <v>1370</v>
      </c>
      <c r="AB6" s="36"/>
      <c r="AH6" s="222">
        <f>AJ7</f>
        <v>0.76922199999999996</v>
      </c>
      <c r="AI6" s="104">
        <f>AJ9</f>
        <v>2.7223580888212855E-2</v>
      </c>
      <c r="AJ6" s="197" t="s">
        <v>1513</v>
      </c>
      <c r="AL6" s="68" t="s">
        <v>3110</v>
      </c>
    </row>
    <row r="7" spans="1:38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>
        <v>383773907</v>
      </c>
      <c r="K7" s="53" t="s">
        <v>15</v>
      </c>
      <c r="L7" s="73"/>
      <c r="M7" s="39">
        <v>1</v>
      </c>
      <c r="N7" s="39">
        <v>9355400</v>
      </c>
      <c r="O7" s="39">
        <v>284759600</v>
      </c>
      <c r="P7" s="98"/>
      <c r="Q7" s="8" t="s">
        <v>12</v>
      </c>
      <c r="R7" s="9" t="s">
        <v>13</v>
      </c>
      <c r="S7" s="10" t="s">
        <v>14</v>
      </c>
      <c r="T7" s="11">
        <v>1</v>
      </c>
      <c r="U7" s="11"/>
      <c r="V7" s="11">
        <f>V8+V377+V407+V447+V451+V472+V492+V495+V496+V498</f>
        <v>383773907</v>
      </c>
      <c r="W7" s="11">
        <f>IF(Y7=0,0,1)</f>
        <v>1</v>
      </c>
      <c r="X7" s="11">
        <f>IF(Z7=0,0,1)</f>
        <v>1</v>
      </c>
      <c r="Y7" s="11">
        <f>Y8+Y377+Y407+Y447+Y451+Y472+Y492+Y495+Y496+Y498</f>
        <v>10447699.999999978</v>
      </c>
      <c r="Z7" s="11">
        <f>ROUNDDOWN((Z8+Z377+Z407+Z447+Z451+Z472+Z492+Z496+Z498+(Z8+Z377+Z407+Z447+Z451+Z472+Z492)*0.1095000004)/1000,1)*1000</f>
        <v>295207300</v>
      </c>
      <c r="AA7" s="12" t="s">
        <v>15</v>
      </c>
      <c r="AB7" s="232"/>
      <c r="AC7" s="182"/>
      <c r="AD7" s="182"/>
      <c r="AE7" s="182"/>
      <c r="AF7" s="182"/>
      <c r="AG7" s="101"/>
      <c r="AH7" s="187"/>
      <c r="AI7" s="126">
        <f>V7</f>
        <v>383773907</v>
      </c>
      <c r="AJ7" s="201">
        <f>ROUND(Z7/AI7,6)</f>
        <v>0.76922199999999996</v>
      </c>
    </row>
    <row r="8" spans="1:38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>
        <v>291889770.98000002</v>
      </c>
      <c r="K8" s="86" t="s">
        <v>15</v>
      </c>
      <c r="L8" s="73"/>
      <c r="M8" s="42">
        <v>1</v>
      </c>
      <c r="N8" s="42">
        <v>8056060.1299999999</v>
      </c>
      <c r="O8" s="42">
        <v>212739535.11000001</v>
      </c>
      <c r="P8" s="98"/>
      <c r="Q8" s="13" t="s">
        <v>1371</v>
      </c>
      <c r="R8" s="14" t="s">
        <v>18</v>
      </c>
      <c r="S8" s="15" t="s">
        <v>14</v>
      </c>
      <c r="T8" s="16">
        <v>1</v>
      </c>
      <c r="U8" s="16"/>
      <c r="V8" s="16">
        <f>V9+V38+V133+V177+V202+V220+V237+V327+V369</f>
        <v>291889770.98000008</v>
      </c>
      <c r="W8" s="16">
        <f t="shared" ref="W8:X9" si="0">IF(Y8=0,0,1)</f>
        <v>1</v>
      </c>
      <c r="X8" s="16">
        <f t="shared" si="0"/>
        <v>1</v>
      </c>
      <c r="Y8" s="16">
        <f>Y9+Y38+Y133+Y177+Y202+Y220+Y237+Y327+Y369</f>
        <v>8926573.870000001</v>
      </c>
      <c r="Z8" s="16">
        <f>Z9+Z38+Z133+Z177+Z202+Z220+Z237+Z327+Z369</f>
        <v>221666108.98000002</v>
      </c>
      <c r="AA8" s="17" t="s">
        <v>15</v>
      </c>
      <c r="AB8" s="40" t="s">
        <v>16</v>
      </c>
      <c r="AC8" s="183"/>
      <c r="AD8" s="183"/>
      <c r="AE8" s="183"/>
      <c r="AF8" s="183"/>
      <c r="AG8" s="101"/>
      <c r="AH8" s="188"/>
      <c r="AJ8" s="124" t="s">
        <v>1514</v>
      </c>
    </row>
    <row r="9" spans="1:38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>
        <v>90137193.75</v>
      </c>
      <c r="K9" s="80" t="s">
        <v>15</v>
      </c>
      <c r="L9" s="73"/>
      <c r="M9" s="45">
        <v>1</v>
      </c>
      <c r="N9" s="45">
        <v>828423.41</v>
      </c>
      <c r="O9" s="45">
        <v>74627381.010000005</v>
      </c>
      <c r="P9" s="98"/>
      <c r="Q9" s="18" t="s">
        <v>1372</v>
      </c>
      <c r="R9" s="19" t="s">
        <v>20</v>
      </c>
      <c r="S9" s="20" t="s">
        <v>14</v>
      </c>
      <c r="T9" s="21">
        <v>1</v>
      </c>
      <c r="U9" s="21"/>
      <c r="V9" s="21">
        <f>SUMIFS(AD:AD,AE:AE,AE9)</f>
        <v>90137193.75000003</v>
      </c>
      <c r="W9" s="21">
        <f t="shared" si="0"/>
        <v>1</v>
      </c>
      <c r="X9" s="21">
        <f t="shared" si="0"/>
        <v>1</v>
      </c>
      <c r="Y9" s="21">
        <f>SUMIFS(Y:Y,AF:AF,AE9)</f>
        <v>313600</v>
      </c>
      <c r="Z9" s="21">
        <f>SUMIFS(Z:Z,AF:AF,AE9)</f>
        <v>74940981.010000005</v>
      </c>
      <c r="AA9" s="22" t="s">
        <v>15</v>
      </c>
      <c r="AB9" s="43" t="s">
        <v>16</v>
      </c>
      <c r="AC9" s="184">
        <f>IF(U9=0,T9,U9)</f>
        <v>1</v>
      </c>
      <c r="AD9" s="184"/>
      <c r="AE9" s="181">
        <v>1.1000000000000001</v>
      </c>
      <c r="AF9" s="181"/>
      <c r="AG9" s="101"/>
      <c r="AH9" s="189" t="s">
        <v>3061</v>
      </c>
      <c r="AJ9" s="125">
        <f>Y7/AI7</f>
        <v>2.7223580888212855E-2</v>
      </c>
      <c r="AL9" s="101" t="s">
        <v>3062</v>
      </c>
    </row>
    <row r="10" spans="1:38" s="69" customFormat="1" ht="39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 t="s">
        <v>15</v>
      </c>
      <c r="I10" s="75">
        <v>193.12</v>
      </c>
      <c r="J10" s="75">
        <v>105184.74</v>
      </c>
      <c r="K10" s="91" t="s">
        <v>24</v>
      </c>
      <c r="L10" s="73"/>
      <c r="M10" s="46">
        <v>408.7</v>
      </c>
      <c r="N10" s="46">
        <v>0</v>
      </c>
      <c r="O10" s="46">
        <v>78928.14</v>
      </c>
      <c r="P10" s="98"/>
      <c r="Q10" s="23" t="s">
        <v>1421</v>
      </c>
      <c r="R10" s="24" t="s">
        <v>22</v>
      </c>
      <c r="S10" s="25" t="s">
        <v>23</v>
      </c>
      <c r="T10" s="26">
        <v>544.66</v>
      </c>
      <c r="U10" s="26">
        <v>544.66</v>
      </c>
      <c r="V10" s="26">
        <v>193.12</v>
      </c>
      <c r="W10" s="127">
        <f>AH10-M10</f>
        <v>0</v>
      </c>
      <c r="X10" s="127">
        <f>W10+M10</f>
        <v>408.7</v>
      </c>
      <c r="Y10" s="127">
        <f t="shared" ref="Y10:Y37" si="1">Z10-O10</f>
        <v>0</v>
      </c>
      <c r="Z10" s="127">
        <f>ROUND(V10*X10,2)</f>
        <v>78928.14</v>
      </c>
      <c r="AA10" s="33" t="s">
        <v>15</v>
      </c>
      <c r="AB10" s="36" t="s">
        <v>16</v>
      </c>
      <c r="AC10" s="181">
        <f>IF(U10="",T10,U10)</f>
        <v>544.66</v>
      </c>
      <c r="AD10" s="181">
        <f t="shared" ref="AD10:AD37" si="2">ROUND(V10*AC10,2)</f>
        <v>105184.74</v>
      </c>
      <c r="AE10" s="181">
        <v>1.1000000000000001</v>
      </c>
      <c r="AF10" s="181">
        <v>1.1000000000000001</v>
      </c>
      <c r="AG10" s="101" t="str">
        <f>IF(X10&gt;AI10,"超估","")</f>
        <v/>
      </c>
      <c r="AH10" s="192">
        <v>408.7</v>
      </c>
      <c r="AI10" s="69">
        <f>IF(G10=0,IF(F10=0,IF(E10=0,D10,E10),F10),G10)</f>
        <v>544.66</v>
      </c>
    </row>
    <row r="11" spans="1:38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 t="s">
        <v>15</v>
      </c>
      <c r="I11" s="75">
        <v>1046.22</v>
      </c>
      <c r="J11" s="75">
        <v>7417092.9900000002</v>
      </c>
      <c r="K11" s="91" t="s">
        <v>27</v>
      </c>
      <c r="L11" s="73"/>
      <c r="M11" s="46">
        <v>6531.11</v>
      </c>
      <c r="N11" s="46">
        <v>0</v>
      </c>
      <c r="O11" s="46">
        <v>6832977.9000000004</v>
      </c>
      <c r="P11" s="98"/>
      <c r="Q11" s="23" t="s">
        <v>1426</v>
      </c>
      <c r="R11" s="24" t="s">
        <v>26</v>
      </c>
      <c r="S11" s="25" t="s">
        <v>23</v>
      </c>
      <c r="T11" s="26">
        <v>7089.42</v>
      </c>
      <c r="U11" s="26">
        <v>7089.42</v>
      </c>
      <c r="V11" s="26">
        <v>1046.22</v>
      </c>
      <c r="W11" s="128">
        <f>AH11-M11</f>
        <v>0</v>
      </c>
      <c r="X11" s="26">
        <f t="shared" ref="X11:X74" si="3">W11+M11</f>
        <v>6531.11</v>
      </c>
      <c r="Y11" s="26">
        <f t="shared" si="1"/>
        <v>0</v>
      </c>
      <c r="Z11" s="26">
        <f t="shared" ref="Z11:Z74" si="4">ROUND(V11*X11,2)</f>
        <v>6832977.9000000004</v>
      </c>
      <c r="AA11" s="33" t="s">
        <v>15</v>
      </c>
      <c r="AB11" s="36" t="s">
        <v>16</v>
      </c>
      <c r="AC11" s="181">
        <f t="shared" ref="AC11:AC74" si="5">IF(U11="",T11,U11)</f>
        <v>7089.42</v>
      </c>
      <c r="AD11" s="181">
        <f t="shared" si="2"/>
        <v>7417092.9900000002</v>
      </c>
      <c r="AE11" s="181">
        <v>1.1000000000000001</v>
      </c>
      <c r="AF11" s="181">
        <v>1.1000000000000001</v>
      </c>
      <c r="AG11" s="101" t="str">
        <f t="shared" ref="AG11:AG74" si="6">IF(X11&gt;AI11,"超估","")</f>
        <v/>
      </c>
      <c r="AH11" s="193">
        <v>6531.11</v>
      </c>
      <c r="AI11" s="69">
        <f t="shared" ref="AI11:AI74" si="7">IF(G11=0,IF(F11=0,IF(E11=0,D11,E11),F11),G11)</f>
        <v>7089.42</v>
      </c>
    </row>
    <row r="12" spans="1:38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 t="s">
        <v>15</v>
      </c>
      <c r="I12" s="75">
        <v>6200</v>
      </c>
      <c r="J12" s="75">
        <v>28619200</v>
      </c>
      <c r="K12" s="91" t="s">
        <v>31</v>
      </c>
      <c r="L12" s="73"/>
      <c r="M12" s="46">
        <v>4610.7</v>
      </c>
      <c r="N12" s="46">
        <v>0</v>
      </c>
      <c r="O12" s="46">
        <v>28586340</v>
      </c>
      <c r="P12" s="98"/>
      <c r="Q12" s="23" t="s">
        <v>1402</v>
      </c>
      <c r="R12" s="24" t="s">
        <v>29</v>
      </c>
      <c r="S12" s="25" t="s">
        <v>30</v>
      </c>
      <c r="T12" s="26">
        <v>4616</v>
      </c>
      <c r="U12" s="26">
        <v>4616</v>
      </c>
      <c r="V12" s="26">
        <v>6200</v>
      </c>
      <c r="W12" s="127">
        <f t="shared" ref="W12:W75" si="8">AH12-M12</f>
        <v>0</v>
      </c>
      <c r="X12" s="127">
        <f t="shared" si="3"/>
        <v>4610.7</v>
      </c>
      <c r="Y12" s="127">
        <f t="shared" si="1"/>
        <v>0</v>
      </c>
      <c r="Z12" s="127">
        <f t="shared" si="4"/>
        <v>28586340</v>
      </c>
      <c r="AA12" s="33" t="s">
        <v>15</v>
      </c>
      <c r="AB12" s="36" t="s">
        <v>16</v>
      </c>
      <c r="AC12" s="181">
        <f t="shared" si="5"/>
        <v>4616</v>
      </c>
      <c r="AD12" s="181">
        <f t="shared" si="2"/>
        <v>28619200</v>
      </c>
      <c r="AE12" s="181">
        <v>1.1000000000000001</v>
      </c>
      <c r="AF12" s="181">
        <v>1.1000000000000001</v>
      </c>
      <c r="AG12" s="101" t="str">
        <f t="shared" si="6"/>
        <v/>
      </c>
      <c r="AH12" s="192">
        <v>4610.7</v>
      </c>
      <c r="AI12" s="69">
        <f t="shared" si="7"/>
        <v>4616</v>
      </c>
    </row>
    <row r="13" spans="1:38" s="69" customFormat="1" ht="58.5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 t="s">
        <v>15</v>
      </c>
      <c r="I13" s="75">
        <v>48.28</v>
      </c>
      <c r="J13" s="75">
        <v>1533324.52</v>
      </c>
      <c r="K13" s="91" t="s">
        <v>35</v>
      </c>
      <c r="L13" s="73"/>
      <c r="M13" s="46">
        <v>28942.799999999999</v>
      </c>
      <c r="N13" s="46">
        <v>0</v>
      </c>
      <c r="O13" s="46">
        <v>1397358.38</v>
      </c>
      <c r="P13" s="98"/>
      <c r="Q13" s="23" t="s">
        <v>1373</v>
      </c>
      <c r="R13" s="24" t="s">
        <v>33</v>
      </c>
      <c r="S13" s="25" t="s">
        <v>34</v>
      </c>
      <c r="T13" s="26">
        <v>29759</v>
      </c>
      <c r="U13" s="26">
        <v>31759</v>
      </c>
      <c r="V13" s="26">
        <v>48.28</v>
      </c>
      <c r="W13" s="128">
        <f>AH13-M13</f>
        <v>0</v>
      </c>
      <c r="X13" s="127">
        <f>W13+M13</f>
        <v>28942.799999999999</v>
      </c>
      <c r="Y13" s="127">
        <f t="shared" si="1"/>
        <v>0</v>
      </c>
      <c r="Z13" s="127">
        <f t="shared" si="4"/>
        <v>1397358.38</v>
      </c>
      <c r="AA13" s="27" t="s">
        <v>15</v>
      </c>
      <c r="AB13" s="36" t="s">
        <v>16</v>
      </c>
      <c r="AC13" s="181">
        <f t="shared" si="5"/>
        <v>31759</v>
      </c>
      <c r="AD13" s="181">
        <f t="shared" si="2"/>
        <v>1533324.52</v>
      </c>
      <c r="AE13" s="181">
        <v>1.1000000000000001</v>
      </c>
      <c r="AF13" s="181">
        <v>1.1000000000000001</v>
      </c>
      <c r="AG13" s="101" t="str">
        <f t="shared" si="6"/>
        <v/>
      </c>
      <c r="AH13" s="191">
        <v>28942.799999999999</v>
      </c>
      <c r="AI13" s="69">
        <f t="shared" si="7"/>
        <v>31759</v>
      </c>
    </row>
    <row r="14" spans="1:38" s="69" customFormat="1" ht="39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 t="s">
        <v>15</v>
      </c>
      <c r="I14" s="75">
        <v>599.75</v>
      </c>
      <c r="J14" s="75">
        <v>438681.14</v>
      </c>
      <c r="K14" s="91" t="s">
        <v>38</v>
      </c>
      <c r="L14" s="73"/>
      <c r="M14" s="46">
        <v>519.42999999999995</v>
      </c>
      <c r="N14" s="46">
        <v>0</v>
      </c>
      <c r="O14" s="46">
        <v>311528.14</v>
      </c>
      <c r="P14" s="98"/>
      <c r="Q14" s="23" t="s">
        <v>1393</v>
      </c>
      <c r="R14" s="24" t="s">
        <v>37</v>
      </c>
      <c r="S14" s="25" t="s">
        <v>23</v>
      </c>
      <c r="T14" s="26">
        <v>731.44</v>
      </c>
      <c r="U14" s="26">
        <v>731.44</v>
      </c>
      <c r="V14" s="26">
        <v>599.75</v>
      </c>
      <c r="W14" s="127">
        <f t="shared" si="8"/>
        <v>0</v>
      </c>
      <c r="X14" s="127">
        <f t="shared" si="3"/>
        <v>519.42999999999995</v>
      </c>
      <c r="Y14" s="127">
        <f t="shared" si="1"/>
        <v>0</v>
      </c>
      <c r="Z14" s="127">
        <f t="shared" si="4"/>
        <v>311528.14</v>
      </c>
      <c r="AA14" s="33" t="s">
        <v>15</v>
      </c>
      <c r="AB14" s="36" t="s">
        <v>16</v>
      </c>
      <c r="AC14" s="181">
        <f t="shared" si="5"/>
        <v>731.44</v>
      </c>
      <c r="AD14" s="181">
        <f t="shared" si="2"/>
        <v>438681.14</v>
      </c>
      <c r="AE14" s="181">
        <v>1.1000000000000001</v>
      </c>
      <c r="AF14" s="181">
        <v>1.1000000000000001</v>
      </c>
      <c r="AG14" s="101" t="str">
        <f t="shared" si="6"/>
        <v/>
      </c>
      <c r="AH14" s="190">
        <v>519.42999999999995</v>
      </c>
      <c r="AI14" s="69">
        <f t="shared" si="7"/>
        <v>731.44</v>
      </c>
    </row>
    <row r="15" spans="1:38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 t="s">
        <v>15</v>
      </c>
      <c r="I15" s="75">
        <v>104.64</v>
      </c>
      <c r="J15" s="75">
        <v>786788.16</v>
      </c>
      <c r="K15" s="91" t="s">
        <v>41</v>
      </c>
      <c r="L15" s="73"/>
      <c r="M15" s="46">
        <v>2219</v>
      </c>
      <c r="N15" s="46">
        <v>0</v>
      </c>
      <c r="O15" s="46">
        <v>232196.16</v>
      </c>
      <c r="P15" s="98"/>
      <c r="Q15" s="23" t="s">
        <v>1403</v>
      </c>
      <c r="R15" s="24" t="s">
        <v>40</v>
      </c>
      <c r="S15" s="25" t="s">
        <v>23</v>
      </c>
      <c r="T15" s="26">
        <v>7519</v>
      </c>
      <c r="U15" s="26">
        <v>7519</v>
      </c>
      <c r="V15" s="26">
        <v>104.64</v>
      </c>
      <c r="W15" s="128">
        <f t="shared" si="8"/>
        <v>0</v>
      </c>
      <c r="X15" s="26">
        <f t="shared" si="3"/>
        <v>2219</v>
      </c>
      <c r="Y15" s="26">
        <f t="shared" si="1"/>
        <v>0</v>
      </c>
      <c r="Z15" s="26">
        <f t="shared" si="4"/>
        <v>232196.16</v>
      </c>
      <c r="AA15" s="33" t="s">
        <v>15</v>
      </c>
      <c r="AB15" s="36" t="s">
        <v>16</v>
      </c>
      <c r="AC15" s="181">
        <f t="shared" si="5"/>
        <v>7519</v>
      </c>
      <c r="AD15" s="181">
        <f t="shared" si="2"/>
        <v>786788.16</v>
      </c>
      <c r="AE15" s="181">
        <v>1.1000000000000001</v>
      </c>
      <c r="AF15" s="181">
        <v>1.1000000000000001</v>
      </c>
      <c r="AG15" s="101" t="str">
        <f t="shared" si="6"/>
        <v/>
      </c>
      <c r="AH15" s="193">
        <v>2219</v>
      </c>
      <c r="AI15" s="69">
        <f t="shared" si="7"/>
        <v>7519</v>
      </c>
    </row>
    <row r="16" spans="1:38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 t="s">
        <v>15</v>
      </c>
      <c r="I16" s="75">
        <v>1027.43</v>
      </c>
      <c r="J16" s="75">
        <v>22850043.199999999</v>
      </c>
      <c r="K16" s="91" t="s">
        <v>44</v>
      </c>
      <c r="L16" s="73"/>
      <c r="M16" s="46">
        <v>19090</v>
      </c>
      <c r="N16" s="46">
        <v>0</v>
      </c>
      <c r="O16" s="46">
        <v>19613638.699999999</v>
      </c>
      <c r="P16" s="98"/>
      <c r="Q16" s="23" t="s">
        <v>1427</v>
      </c>
      <c r="R16" s="24" t="s">
        <v>43</v>
      </c>
      <c r="S16" s="25" t="s">
        <v>34</v>
      </c>
      <c r="T16" s="26">
        <v>22240</v>
      </c>
      <c r="U16" s="26">
        <v>22240</v>
      </c>
      <c r="V16" s="26">
        <v>1027.43</v>
      </c>
      <c r="W16" s="128">
        <f t="shared" si="8"/>
        <v>0</v>
      </c>
      <c r="X16" s="121">
        <f t="shared" si="3"/>
        <v>19090</v>
      </c>
      <c r="Y16" s="26">
        <f t="shared" si="1"/>
        <v>0</v>
      </c>
      <c r="Z16" s="26">
        <f t="shared" si="4"/>
        <v>19613638.699999999</v>
      </c>
      <c r="AA16" s="33" t="s">
        <v>15</v>
      </c>
      <c r="AB16" s="36" t="s">
        <v>16</v>
      </c>
      <c r="AC16" s="181">
        <f t="shared" si="5"/>
        <v>22240</v>
      </c>
      <c r="AD16" s="181">
        <f t="shared" si="2"/>
        <v>22850043.199999999</v>
      </c>
      <c r="AE16" s="181">
        <v>1.1000000000000001</v>
      </c>
      <c r="AF16" s="181">
        <v>1.1000000000000001</v>
      </c>
      <c r="AG16" s="101" t="str">
        <f t="shared" si="6"/>
        <v/>
      </c>
      <c r="AH16" s="193">
        <v>19090</v>
      </c>
      <c r="AI16" s="69">
        <f t="shared" si="7"/>
        <v>22240</v>
      </c>
    </row>
    <row r="17" spans="1:35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 t="s">
        <v>15</v>
      </c>
      <c r="I17" s="75">
        <v>1085.04</v>
      </c>
      <c r="J17" s="75">
        <v>7302774.9199999999</v>
      </c>
      <c r="K17" s="91" t="s">
        <v>47</v>
      </c>
      <c r="L17" s="73"/>
      <c r="M17" s="46">
        <v>4956</v>
      </c>
      <c r="N17" s="46">
        <v>0</v>
      </c>
      <c r="O17" s="46">
        <v>5377458.2400000002</v>
      </c>
      <c r="P17" s="98"/>
      <c r="Q17" s="23" t="s">
        <v>1428</v>
      </c>
      <c r="R17" s="24" t="s">
        <v>46</v>
      </c>
      <c r="S17" s="25" t="s">
        <v>23</v>
      </c>
      <c r="T17" s="26">
        <v>6730.42</v>
      </c>
      <c r="U17" s="26">
        <v>6730.42</v>
      </c>
      <c r="V17" s="26">
        <v>1085.04</v>
      </c>
      <c r="W17" s="26">
        <f t="shared" si="8"/>
        <v>0</v>
      </c>
      <c r="X17" s="121">
        <f t="shared" si="3"/>
        <v>4956</v>
      </c>
      <c r="Y17" s="26">
        <f t="shared" si="1"/>
        <v>0</v>
      </c>
      <c r="Z17" s="26">
        <f t="shared" si="4"/>
        <v>5377458.2400000002</v>
      </c>
      <c r="AA17" s="33" t="s">
        <v>15</v>
      </c>
      <c r="AB17" s="36" t="s">
        <v>16</v>
      </c>
      <c r="AC17" s="181">
        <f t="shared" si="5"/>
        <v>6730.42</v>
      </c>
      <c r="AD17" s="181">
        <f t="shared" si="2"/>
        <v>7302774.9199999999</v>
      </c>
      <c r="AE17" s="181">
        <v>1.1000000000000001</v>
      </c>
      <c r="AF17" s="181">
        <v>1.1000000000000001</v>
      </c>
      <c r="AG17" s="101" t="str">
        <f t="shared" si="6"/>
        <v/>
      </c>
      <c r="AH17" s="190">
        <v>4956</v>
      </c>
      <c r="AI17" s="69">
        <f t="shared" si="7"/>
        <v>6730.42</v>
      </c>
    </row>
    <row r="18" spans="1:35" s="69" customFormat="1" ht="78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 t="s">
        <v>15</v>
      </c>
      <c r="I18" s="75">
        <v>30.45</v>
      </c>
      <c r="J18" s="75">
        <v>113745.98</v>
      </c>
      <c r="K18" s="91" t="s">
        <v>51</v>
      </c>
      <c r="L18" s="73"/>
      <c r="M18" s="46">
        <v>2100</v>
      </c>
      <c r="N18" s="46">
        <v>0</v>
      </c>
      <c r="O18" s="46">
        <v>63945</v>
      </c>
      <c r="P18" s="98"/>
      <c r="Q18" s="23" t="s">
        <v>1387</v>
      </c>
      <c r="R18" s="24" t="s">
        <v>49</v>
      </c>
      <c r="S18" s="25" t="s">
        <v>50</v>
      </c>
      <c r="T18" s="26">
        <v>3735.5</v>
      </c>
      <c r="U18" s="26">
        <v>3735.5</v>
      </c>
      <c r="V18" s="26">
        <v>30.45</v>
      </c>
      <c r="W18" s="127">
        <f t="shared" si="8"/>
        <v>0</v>
      </c>
      <c r="X18" s="127">
        <f t="shared" si="3"/>
        <v>2100</v>
      </c>
      <c r="Y18" s="127">
        <f t="shared" si="1"/>
        <v>0</v>
      </c>
      <c r="Z18" s="127">
        <f t="shared" si="4"/>
        <v>63945</v>
      </c>
      <c r="AA18" s="33" t="s">
        <v>15</v>
      </c>
      <c r="AB18" s="36" t="s">
        <v>16</v>
      </c>
      <c r="AC18" s="181">
        <f t="shared" si="5"/>
        <v>3735.5</v>
      </c>
      <c r="AD18" s="181">
        <f t="shared" si="2"/>
        <v>113745.98</v>
      </c>
      <c r="AE18" s="181">
        <v>1.1000000000000001</v>
      </c>
      <c r="AF18" s="181">
        <v>1.1000000000000001</v>
      </c>
      <c r="AG18" s="101" t="str">
        <f t="shared" si="6"/>
        <v/>
      </c>
      <c r="AH18" s="190">
        <v>2100</v>
      </c>
      <c r="AI18" s="69">
        <f t="shared" si="7"/>
        <v>3735.5</v>
      </c>
    </row>
    <row r="19" spans="1:35" s="69" customFormat="1" ht="58.5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 t="s">
        <v>15</v>
      </c>
      <c r="I19" s="75">
        <v>28.48</v>
      </c>
      <c r="J19" s="75">
        <v>290638.40000000002</v>
      </c>
      <c r="K19" s="91" t="s">
        <v>54</v>
      </c>
      <c r="L19" s="73"/>
      <c r="M19" s="46">
        <v>300</v>
      </c>
      <c r="N19" s="46">
        <v>0</v>
      </c>
      <c r="O19" s="46">
        <v>8544</v>
      </c>
      <c r="P19" s="98"/>
      <c r="Q19" s="23" t="s">
        <v>1405</v>
      </c>
      <c r="R19" s="24" t="s">
        <v>53</v>
      </c>
      <c r="S19" s="25" t="s">
        <v>50</v>
      </c>
      <c r="T19" s="26">
        <v>10205</v>
      </c>
      <c r="U19" s="26">
        <v>10205</v>
      </c>
      <c r="V19" s="26">
        <v>28.48</v>
      </c>
      <c r="W19" s="127">
        <f t="shared" si="8"/>
        <v>0</v>
      </c>
      <c r="X19" s="127">
        <f t="shared" si="3"/>
        <v>300</v>
      </c>
      <c r="Y19" s="127">
        <f t="shared" si="1"/>
        <v>0</v>
      </c>
      <c r="Z19" s="127">
        <f t="shared" si="4"/>
        <v>8544</v>
      </c>
      <c r="AA19" s="33" t="s">
        <v>15</v>
      </c>
      <c r="AB19" s="36" t="s">
        <v>16</v>
      </c>
      <c r="AC19" s="181">
        <f t="shared" si="5"/>
        <v>10205</v>
      </c>
      <c r="AD19" s="181">
        <f t="shared" si="2"/>
        <v>290638.40000000002</v>
      </c>
      <c r="AE19" s="181">
        <v>1.1000000000000001</v>
      </c>
      <c r="AF19" s="181">
        <v>1.1000000000000001</v>
      </c>
      <c r="AG19" s="101" t="str">
        <f t="shared" si="6"/>
        <v/>
      </c>
      <c r="AH19" s="190">
        <v>300</v>
      </c>
      <c r="AI19" s="69">
        <f t="shared" si="7"/>
        <v>10205</v>
      </c>
    </row>
    <row r="20" spans="1:35" s="69" customFormat="1" ht="58.5" x14ac:dyDescent="0.3">
      <c r="A20" s="55" t="s">
        <v>55</v>
      </c>
      <c r="B20" s="53" t="s">
        <v>56</v>
      </c>
      <c r="C20" s="54" t="s">
        <v>30</v>
      </c>
      <c r="D20" s="75">
        <v>142.6</v>
      </c>
      <c r="E20" s="75"/>
      <c r="F20" s="75"/>
      <c r="G20" s="75"/>
      <c r="H20" s="75" t="s">
        <v>15</v>
      </c>
      <c r="I20" s="75">
        <v>65.400000000000006</v>
      </c>
      <c r="J20" s="75">
        <v>9326.0400000000009</v>
      </c>
      <c r="K20" s="91" t="s">
        <v>57</v>
      </c>
      <c r="L20" s="73"/>
      <c r="M20" s="46">
        <v>73</v>
      </c>
      <c r="N20" s="46">
        <v>0</v>
      </c>
      <c r="O20" s="46">
        <v>4774.2</v>
      </c>
      <c r="P20" s="98"/>
      <c r="Q20" s="23" t="s">
        <v>1406</v>
      </c>
      <c r="R20" s="24" t="s">
        <v>56</v>
      </c>
      <c r="S20" s="25" t="s">
        <v>30</v>
      </c>
      <c r="T20" s="26">
        <v>142.6</v>
      </c>
      <c r="U20" s="26">
        <v>142.6</v>
      </c>
      <c r="V20" s="26">
        <v>65.400000000000006</v>
      </c>
      <c r="W20" s="128">
        <f t="shared" si="8"/>
        <v>0</v>
      </c>
      <c r="X20" s="26">
        <f t="shared" si="3"/>
        <v>73</v>
      </c>
      <c r="Y20" s="26">
        <f t="shared" si="1"/>
        <v>0</v>
      </c>
      <c r="Z20" s="26">
        <f t="shared" si="4"/>
        <v>4774.2</v>
      </c>
      <c r="AA20" s="33" t="s">
        <v>15</v>
      </c>
      <c r="AB20" s="36" t="s">
        <v>16</v>
      </c>
      <c r="AC20" s="181">
        <f t="shared" si="5"/>
        <v>142.6</v>
      </c>
      <c r="AD20" s="181">
        <f t="shared" si="2"/>
        <v>9326.0400000000009</v>
      </c>
      <c r="AE20" s="181">
        <v>1.1000000000000001</v>
      </c>
      <c r="AF20" s="181">
        <v>1.1000000000000001</v>
      </c>
      <c r="AG20" s="101" t="str">
        <f t="shared" si="6"/>
        <v/>
      </c>
      <c r="AH20" s="194">
        <v>73</v>
      </c>
      <c r="AI20" s="69">
        <f t="shared" si="7"/>
        <v>142.6</v>
      </c>
    </row>
    <row r="21" spans="1:35" s="69" customFormat="1" ht="39" x14ac:dyDescent="0.3">
      <c r="A21" s="55" t="s">
        <v>58</v>
      </c>
      <c r="B21" s="53" t="s">
        <v>59</v>
      </c>
      <c r="C21" s="54" t="s">
        <v>50</v>
      </c>
      <c r="D21" s="75">
        <v>8459.2999999999993</v>
      </c>
      <c r="E21" s="75"/>
      <c r="F21" s="75"/>
      <c r="G21" s="75"/>
      <c r="H21" s="75" t="s">
        <v>15</v>
      </c>
      <c r="I21" s="75">
        <v>20.190000000000001</v>
      </c>
      <c r="J21" s="75">
        <v>170793.27</v>
      </c>
      <c r="K21" s="91" t="s">
        <v>60</v>
      </c>
      <c r="L21" s="73"/>
      <c r="M21" s="46">
        <v>7834</v>
      </c>
      <c r="N21" s="46">
        <v>0</v>
      </c>
      <c r="O21" s="46">
        <v>158168.46</v>
      </c>
      <c r="P21" s="98"/>
      <c r="Q21" s="23" t="s">
        <v>1414</v>
      </c>
      <c r="R21" s="24" t="s">
        <v>59</v>
      </c>
      <c r="S21" s="25" t="s">
        <v>50</v>
      </c>
      <c r="T21" s="26">
        <v>8459.2999999999993</v>
      </c>
      <c r="U21" s="26">
        <v>8459.2999999999993</v>
      </c>
      <c r="V21" s="26">
        <v>20.190000000000001</v>
      </c>
      <c r="W21" s="128">
        <f t="shared" si="8"/>
        <v>0</v>
      </c>
      <c r="X21" s="26">
        <f t="shared" si="3"/>
        <v>7834</v>
      </c>
      <c r="Y21" s="26">
        <f t="shared" si="1"/>
        <v>0</v>
      </c>
      <c r="Z21" s="26">
        <f t="shared" si="4"/>
        <v>158168.46</v>
      </c>
      <c r="AA21" s="33" t="s">
        <v>15</v>
      </c>
      <c r="AB21" s="36" t="s">
        <v>16</v>
      </c>
      <c r="AC21" s="181">
        <f t="shared" si="5"/>
        <v>8459.2999999999993</v>
      </c>
      <c r="AD21" s="181">
        <f t="shared" si="2"/>
        <v>170793.27</v>
      </c>
      <c r="AE21" s="181">
        <v>1.1000000000000001</v>
      </c>
      <c r="AF21" s="181">
        <v>1.1000000000000001</v>
      </c>
      <c r="AG21" s="101" t="str">
        <f t="shared" si="6"/>
        <v/>
      </c>
      <c r="AH21" s="194">
        <v>7834</v>
      </c>
      <c r="AI21" s="69">
        <f t="shared" si="7"/>
        <v>8459.2999999999993</v>
      </c>
    </row>
    <row r="22" spans="1:35" s="69" customFormat="1" ht="39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 t="s">
        <v>15</v>
      </c>
      <c r="I22" s="75">
        <v>2492.81</v>
      </c>
      <c r="J22" s="75">
        <v>3163126.61</v>
      </c>
      <c r="K22" s="91" t="s">
        <v>63</v>
      </c>
      <c r="L22" s="73"/>
      <c r="M22" s="46">
        <v>369</v>
      </c>
      <c r="N22" s="46">
        <v>650623.41</v>
      </c>
      <c r="O22" s="46">
        <v>919846.89</v>
      </c>
      <c r="P22" s="98"/>
      <c r="Q22" s="23" t="s">
        <v>1429</v>
      </c>
      <c r="R22" s="24" t="s">
        <v>62</v>
      </c>
      <c r="S22" s="25" t="s">
        <v>23</v>
      </c>
      <c r="T22" s="26">
        <v>1268.9000000000001</v>
      </c>
      <c r="U22" s="26">
        <v>1268.9000000000001</v>
      </c>
      <c r="V22" s="26">
        <v>2492.81</v>
      </c>
      <c r="W22" s="128">
        <f t="shared" si="8"/>
        <v>0</v>
      </c>
      <c r="X22" s="121">
        <f t="shared" si="3"/>
        <v>369</v>
      </c>
      <c r="Y22" s="26">
        <f t="shared" si="1"/>
        <v>0</v>
      </c>
      <c r="Z22" s="26">
        <f t="shared" si="4"/>
        <v>919846.89</v>
      </c>
      <c r="AA22" s="33" t="s">
        <v>15</v>
      </c>
      <c r="AB22" s="36" t="s">
        <v>16</v>
      </c>
      <c r="AC22" s="181">
        <f t="shared" si="5"/>
        <v>1268.9000000000001</v>
      </c>
      <c r="AD22" s="181">
        <f t="shared" si="2"/>
        <v>3163126.61</v>
      </c>
      <c r="AE22" s="181">
        <v>1.1000000000000001</v>
      </c>
      <c r="AF22" s="181">
        <v>1.1000000000000001</v>
      </c>
      <c r="AG22" s="101" t="str">
        <f t="shared" si="6"/>
        <v/>
      </c>
      <c r="AH22" s="191">
        <v>369</v>
      </c>
      <c r="AI22" s="69">
        <f t="shared" si="7"/>
        <v>1268.9000000000001</v>
      </c>
    </row>
    <row r="23" spans="1:35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 t="s">
        <v>15</v>
      </c>
      <c r="I23" s="75">
        <v>521.17999999999995</v>
      </c>
      <c r="J23" s="75">
        <v>343457.62</v>
      </c>
      <c r="K23" s="91" t="s">
        <v>67</v>
      </c>
      <c r="L23" s="73"/>
      <c r="M23" s="46">
        <v>659</v>
      </c>
      <c r="N23" s="46">
        <v>0</v>
      </c>
      <c r="O23" s="46">
        <v>343457.62</v>
      </c>
      <c r="P23" s="98"/>
      <c r="Q23" s="23" t="s">
        <v>1430</v>
      </c>
      <c r="R23" s="24" t="s">
        <v>65</v>
      </c>
      <c r="S23" s="25" t="s">
        <v>66</v>
      </c>
      <c r="T23" s="26">
        <v>659</v>
      </c>
      <c r="U23" s="26">
        <v>659</v>
      </c>
      <c r="V23" s="26">
        <v>521.17999999999995</v>
      </c>
      <c r="W23" s="127">
        <f t="shared" si="8"/>
        <v>0</v>
      </c>
      <c r="X23" s="127">
        <f t="shared" si="3"/>
        <v>659</v>
      </c>
      <c r="Y23" s="127">
        <f t="shared" si="1"/>
        <v>0</v>
      </c>
      <c r="Z23" s="127">
        <f t="shared" si="4"/>
        <v>343457.62</v>
      </c>
      <c r="AA23" s="33" t="s">
        <v>15</v>
      </c>
      <c r="AB23" s="36" t="s">
        <v>16</v>
      </c>
      <c r="AC23" s="181">
        <f t="shared" si="5"/>
        <v>659</v>
      </c>
      <c r="AD23" s="181">
        <f t="shared" si="2"/>
        <v>343457.62</v>
      </c>
      <c r="AE23" s="181">
        <v>1.1000000000000001</v>
      </c>
      <c r="AF23" s="181">
        <v>1.1000000000000001</v>
      </c>
      <c r="AG23" s="101" t="str">
        <f t="shared" si="6"/>
        <v/>
      </c>
      <c r="AH23" s="193">
        <v>659</v>
      </c>
      <c r="AI23" s="69">
        <f t="shared" si="7"/>
        <v>659</v>
      </c>
    </row>
    <row r="24" spans="1:35" s="69" customFormat="1" ht="39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 t="s">
        <v>15</v>
      </c>
      <c r="I24" s="75">
        <v>289.69</v>
      </c>
      <c r="J24" s="75">
        <v>73378.48</v>
      </c>
      <c r="K24" s="91" t="s">
        <v>70</v>
      </c>
      <c r="L24" s="73"/>
      <c r="M24" s="46">
        <v>250</v>
      </c>
      <c r="N24" s="46">
        <v>0</v>
      </c>
      <c r="O24" s="46">
        <v>72422.5</v>
      </c>
      <c r="P24" s="98"/>
      <c r="Q24" s="23" t="s">
        <v>1431</v>
      </c>
      <c r="R24" s="24" t="s">
        <v>69</v>
      </c>
      <c r="S24" s="25" t="s">
        <v>30</v>
      </c>
      <c r="T24" s="26">
        <v>253.3</v>
      </c>
      <c r="U24" s="26">
        <v>253.3</v>
      </c>
      <c r="V24" s="26">
        <v>289.69</v>
      </c>
      <c r="W24" s="127">
        <f t="shared" si="8"/>
        <v>0</v>
      </c>
      <c r="X24" s="127">
        <f t="shared" si="3"/>
        <v>250</v>
      </c>
      <c r="Y24" s="127">
        <f t="shared" si="1"/>
        <v>0</v>
      </c>
      <c r="Z24" s="127">
        <f t="shared" si="4"/>
        <v>72422.5</v>
      </c>
      <c r="AA24" s="33" t="s">
        <v>15</v>
      </c>
      <c r="AB24" s="36" t="s">
        <v>16</v>
      </c>
      <c r="AC24" s="181">
        <f t="shared" si="5"/>
        <v>253.3</v>
      </c>
      <c r="AD24" s="181">
        <f t="shared" si="2"/>
        <v>73378.48</v>
      </c>
      <c r="AE24" s="181">
        <v>1.1000000000000001</v>
      </c>
      <c r="AF24" s="181">
        <v>1.1000000000000001</v>
      </c>
      <c r="AG24" s="101" t="str">
        <f t="shared" si="6"/>
        <v/>
      </c>
      <c r="AH24" s="190">
        <v>250</v>
      </c>
      <c r="AI24" s="69">
        <f t="shared" si="7"/>
        <v>253.3</v>
      </c>
    </row>
    <row r="25" spans="1:35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 t="s">
        <v>15</v>
      </c>
      <c r="I25" s="75">
        <v>3311.45</v>
      </c>
      <c r="J25" s="75">
        <v>264916</v>
      </c>
      <c r="K25" s="91" t="s">
        <v>74</v>
      </c>
      <c r="L25" s="73"/>
      <c r="M25" s="46">
        <v>0</v>
      </c>
      <c r="N25" s="46">
        <v>0</v>
      </c>
      <c r="O25" s="46">
        <v>0</v>
      </c>
      <c r="P25" s="98"/>
      <c r="Q25" s="23" t="s">
        <v>1395</v>
      </c>
      <c r="R25" s="24" t="s">
        <v>72</v>
      </c>
      <c r="S25" s="25" t="s">
        <v>73</v>
      </c>
      <c r="T25" s="26">
        <v>80</v>
      </c>
      <c r="U25" s="26">
        <v>80</v>
      </c>
      <c r="V25" s="26">
        <v>3311.45</v>
      </c>
      <c r="W25" s="26">
        <f t="shared" si="8"/>
        <v>0</v>
      </c>
      <c r="X25" s="26">
        <f t="shared" si="3"/>
        <v>0</v>
      </c>
      <c r="Y25" s="26">
        <f t="shared" si="1"/>
        <v>0</v>
      </c>
      <c r="Z25" s="26">
        <f t="shared" si="4"/>
        <v>0</v>
      </c>
      <c r="AA25" s="33" t="s">
        <v>15</v>
      </c>
      <c r="AB25" s="36" t="s">
        <v>16</v>
      </c>
      <c r="AC25" s="181">
        <f t="shared" si="5"/>
        <v>80</v>
      </c>
      <c r="AD25" s="181">
        <f t="shared" si="2"/>
        <v>264916</v>
      </c>
      <c r="AE25" s="181">
        <v>1.1000000000000001</v>
      </c>
      <c r="AF25" s="181">
        <v>1.1000000000000001</v>
      </c>
      <c r="AG25" s="101" t="str">
        <f t="shared" si="6"/>
        <v/>
      </c>
      <c r="AH25" s="190">
        <v>0</v>
      </c>
      <c r="AI25" s="69">
        <f t="shared" si="7"/>
        <v>80</v>
      </c>
    </row>
    <row r="26" spans="1:35" s="69" customFormat="1" ht="33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 t="s">
        <v>15</v>
      </c>
      <c r="I26" s="75">
        <v>3082.28</v>
      </c>
      <c r="J26" s="75">
        <v>3939153.84</v>
      </c>
      <c r="K26" s="91" t="s">
        <v>78</v>
      </c>
      <c r="L26" s="73"/>
      <c r="M26" s="46">
        <v>1153</v>
      </c>
      <c r="N26" s="46">
        <v>0</v>
      </c>
      <c r="O26" s="46">
        <v>3553868.84</v>
      </c>
      <c r="P26" s="98"/>
      <c r="Q26" s="23" t="s">
        <v>1432</v>
      </c>
      <c r="R26" s="24" t="s">
        <v>76</v>
      </c>
      <c r="S26" s="25" t="s">
        <v>77</v>
      </c>
      <c r="T26" s="26">
        <v>1278</v>
      </c>
      <c r="U26" s="26">
        <v>1278</v>
      </c>
      <c r="V26" s="26">
        <v>3082.28</v>
      </c>
      <c r="W26" s="128">
        <f t="shared" si="8"/>
        <v>0</v>
      </c>
      <c r="X26" s="121">
        <f t="shared" si="3"/>
        <v>1153</v>
      </c>
      <c r="Y26" s="26">
        <f t="shared" si="1"/>
        <v>0</v>
      </c>
      <c r="Z26" s="26">
        <f t="shared" si="4"/>
        <v>3553868.84</v>
      </c>
      <c r="AA26" s="33" t="s">
        <v>15</v>
      </c>
      <c r="AB26" s="36" t="s">
        <v>16</v>
      </c>
      <c r="AC26" s="181">
        <f t="shared" si="5"/>
        <v>1278</v>
      </c>
      <c r="AD26" s="181">
        <f t="shared" si="2"/>
        <v>3939153.84</v>
      </c>
      <c r="AE26" s="181">
        <v>1.1000000000000001</v>
      </c>
      <c r="AF26" s="181">
        <v>1.1000000000000001</v>
      </c>
      <c r="AG26" s="101" t="str">
        <f t="shared" si="6"/>
        <v/>
      </c>
      <c r="AH26" s="192">
        <v>1153</v>
      </c>
      <c r="AI26" s="69">
        <f t="shared" si="7"/>
        <v>1278</v>
      </c>
    </row>
    <row r="27" spans="1:35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 t="s">
        <v>15</v>
      </c>
      <c r="I27" s="75">
        <v>1200</v>
      </c>
      <c r="J27" s="75">
        <v>36000</v>
      </c>
      <c r="K27" s="91" t="s">
        <v>82</v>
      </c>
      <c r="L27" s="73"/>
      <c r="M27" s="46">
        <v>0</v>
      </c>
      <c r="N27" s="46">
        <v>0</v>
      </c>
      <c r="O27" s="46">
        <v>0</v>
      </c>
      <c r="P27" s="98"/>
      <c r="Q27" s="23" t="s">
        <v>1433</v>
      </c>
      <c r="R27" s="24" t="s">
        <v>80</v>
      </c>
      <c r="S27" s="25" t="s">
        <v>81</v>
      </c>
      <c r="T27" s="26">
        <v>30</v>
      </c>
      <c r="U27" s="26">
        <v>30</v>
      </c>
      <c r="V27" s="26">
        <v>1200</v>
      </c>
      <c r="W27" s="26">
        <f t="shared" si="8"/>
        <v>0</v>
      </c>
      <c r="X27" s="26">
        <f t="shared" si="3"/>
        <v>0</v>
      </c>
      <c r="Y27" s="26">
        <f t="shared" si="1"/>
        <v>0</v>
      </c>
      <c r="Z27" s="26">
        <f t="shared" si="4"/>
        <v>0</v>
      </c>
      <c r="AA27" s="33" t="s">
        <v>15</v>
      </c>
      <c r="AB27" s="36" t="s">
        <v>16</v>
      </c>
      <c r="AC27" s="181">
        <f t="shared" si="5"/>
        <v>30</v>
      </c>
      <c r="AD27" s="181">
        <f t="shared" si="2"/>
        <v>36000</v>
      </c>
      <c r="AE27" s="181">
        <v>1.1000000000000001</v>
      </c>
      <c r="AF27" s="181">
        <v>1.1000000000000001</v>
      </c>
      <c r="AG27" s="101" t="str">
        <f t="shared" si="6"/>
        <v/>
      </c>
      <c r="AH27" s="192">
        <v>0</v>
      </c>
      <c r="AI27" s="69">
        <f t="shared" si="7"/>
        <v>30</v>
      </c>
    </row>
    <row r="28" spans="1:35" s="69" customFormat="1" ht="33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 t="s">
        <v>15</v>
      </c>
      <c r="I28" s="75">
        <v>3000</v>
      </c>
      <c r="J28" s="75">
        <v>36000</v>
      </c>
      <c r="K28" s="91" t="s">
        <v>85</v>
      </c>
      <c r="L28" s="73"/>
      <c r="M28" s="46">
        <v>12</v>
      </c>
      <c r="N28" s="46">
        <v>0</v>
      </c>
      <c r="O28" s="46">
        <v>36000</v>
      </c>
      <c r="P28" s="98"/>
      <c r="Q28" s="23" t="s">
        <v>1382</v>
      </c>
      <c r="R28" s="24" t="s">
        <v>84</v>
      </c>
      <c r="S28" s="25" t="s">
        <v>81</v>
      </c>
      <c r="T28" s="26">
        <v>12</v>
      </c>
      <c r="U28" s="26">
        <v>12</v>
      </c>
      <c r="V28" s="26">
        <v>3000</v>
      </c>
      <c r="W28" s="127">
        <f t="shared" si="8"/>
        <v>0</v>
      </c>
      <c r="X28" s="127">
        <f t="shared" si="3"/>
        <v>12</v>
      </c>
      <c r="Y28" s="127">
        <f t="shared" si="1"/>
        <v>0</v>
      </c>
      <c r="Z28" s="127">
        <f t="shared" si="4"/>
        <v>36000</v>
      </c>
      <c r="AA28" s="33" t="s">
        <v>15</v>
      </c>
      <c r="AB28" s="36" t="s">
        <v>16</v>
      </c>
      <c r="AC28" s="181">
        <f t="shared" si="5"/>
        <v>12</v>
      </c>
      <c r="AD28" s="181">
        <f t="shared" si="2"/>
        <v>36000</v>
      </c>
      <c r="AE28" s="181">
        <v>1.1000000000000001</v>
      </c>
      <c r="AF28" s="181">
        <v>1.1000000000000001</v>
      </c>
      <c r="AG28" s="101" t="str">
        <f t="shared" si="6"/>
        <v/>
      </c>
      <c r="AH28" s="192">
        <v>12</v>
      </c>
      <c r="AI28" s="69">
        <f t="shared" si="7"/>
        <v>12</v>
      </c>
    </row>
    <row r="29" spans="1:35" s="69" customFormat="1" ht="33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 t="s">
        <v>15</v>
      </c>
      <c r="I29" s="75">
        <v>3000</v>
      </c>
      <c r="J29" s="75">
        <v>60000</v>
      </c>
      <c r="K29" s="91" t="s">
        <v>88</v>
      </c>
      <c r="L29" s="73"/>
      <c r="M29" s="46">
        <v>20</v>
      </c>
      <c r="N29" s="46">
        <v>0</v>
      </c>
      <c r="O29" s="46">
        <v>60000</v>
      </c>
      <c r="P29" s="98"/>
      <c r="Q29" s="23" t="s">
        <v>1434</v>
      </c>
      <c r="R29" s="24" t="s">
        <v>87</v>
      </c>
      <c r="S29" s="25" t="s">
        <v>81</v>
      </c>
      <c r="T29" s="26">
        <v>20</v>
      </c>
      <c r="U29" s="26">
        <v>20</v>
      </c>
      <c r="V29" s="26">
        <v>3000</v>
      </c>
      <c r="W29" s="127">
        <f t="shared" si="8"/>
        <v>0</v>
      </c>
      <c r="X29" s="127">
        <f t="shared" si="3"/>
        <v>20</v>
      </c>
      <c r="Y29" s="127">
        <f t="shared" si="1"/>
        <v>0</v>
      </c>
      <c r="Z29" s="127">
        <f t="shared" si="4"/>
        <v>60000</v>
      </c>
      <c r="AA29" s="33" t="s">
        <v>15</v>
      </c>
      <c r="AB29" s="36" t="s">
        <v>16</v>
      </c>
      <c r="AC29" s="181">
        <f t="shared" si="5"/>
        <v>20</v>
      </c>
      <c r="AD29" s="181">
        <f t="shared" si="2"/>
        <v>60000</v>
      </c>
      <c r="AE29" s="181">
        <v>1.1000000000000001</v>
      </c>
      <c r="AF29" s="181">
        <v>1.1000000000000001</v>
      </c>
      <c r="AG29" s="101" t="str">
        <f t="shared" si="6"/>
        <v/>
      </c>
      <c r="AH29" s="192">
        <v>20</v>
      </c>
      <c r="AI29" s="69">
        <f t="shared" si="7"/>
        <v>20</v>
      </c>
    </row>
    <row r="30" spans="1:35" s="69" customFormat="1" ht="33" x14ac:dyDescent="0.3">
      <c r="A30" s="55" t="s">
        <v>89</v>
      </c>
      <c r="B30" s="53" t="s">
        <v>90</v>
      </c>
      <c r="C30" s="54" t="s">
        <v>81</v>
      </c>
      <c r="D30" s="75">
        <v>19</v>
      </c>
      <c r="E30" s="75"/>
      <c r="F30" s="75"/>
      <c r="G30" s="75"/>
      <c r="H30" s="75" t="s">
        <v>15</v>
      </c>
      <c r="I30" s="75">
        <v>3000</v>
      </c>
      <c r="J30" s="75">
        <v>57000</v>
      </c>
      <c r="K30" s="91" t="s">
        <v>91</v>
      </c>
      <c r="L30" s="73"/>
      <c r="M30" s="46">
        <v>16</v>
      </c>
      <c r="N30" s="46">
        <v>0</v>
      </c>
      <c r="O30" s="46">
        <v>48000</v>
      </c>
      <c r="P30" s="98"/>
      <c r="Q30" s="23" t="s">
        <v>1388</v>
      </c>
      <c r="R30" s="24" t="s">
        <v>90</v>
      </c>
      <c r="S30" s="25" t="s">
        <v>81</v>
      </c>
      <c r="T30" s="26">
        <v>19</v>
      </c>
      <c r="U30" s="26">
        <v>19</v>
      </c>
      <c r="V30" s="26">
        <v>3000</v>
      </c>
      <c r="W30" s="128">
        <f t="shared" si="8"/>
        <v>0</v>
      </c>
      <c r="X30" s="26">
        <f t="shared" si="3"/>
        <v>16</v>
      </c>
      <c r="Y30" s="26">
        <f t="shared" si="1"/>
        <v>0</v>
      </c>
      <c r="Z30" s="26">
        <f t="shared" si="4"/>
        <v>48000</v>
      </c>
      <c r="AA30" s="33" t="s">
        <v>15</v>
      </c>
      <c r="AB30" s="36" t="s">
        <v>16</v>
      </c>
      <c r="AC30" s="181">
        <f t="shared" si="5"/>
        <v>19</v>
      </c>
      <c r="AD30" s="181">
        <f t="shared" si="2"/>
        <v>57000</v>
      </c>
      <c r="AE30" s="181">
        <v>1.1000000000000001</v>
      </c>
      <c r="AF30" s="181">
        <v>1.1000000000000001</v>
      </c>
      <c r="AG30" s="101" t="str">
        <f t="shared" si="6"/>
        <v/>
      </c>
      <c r="AH30" s="191">
        <v>16</v>
      </c>
      <c r="AI30" s="69">
        <f t="shared" si="7"/>
        <v>19</v>
      </c>
    </row>
    <row r="31" spans="1:35" s="69" customFormat="1" ht="39" x14ac:dyDescent="0.3">
      <c r="A31" s="55" t="s">
        <v>92</v>
      </c>
      <c r="B31" s="53" t="s">
        <v>93</v>
      </c>
      <c r="C31" s="54" t="s">
        <v>14</v>
      </c>
      <c r="D31" s="75">
        <v>1</v>
      </c>
      <c r="E31" s="75"/>
      <c r="F31" s="75"/>
      <c r="G31" s="75"/>
      <c r="H31" s="75" t="s">
        <v>15</v>
      </c>
      <c r="I31" s="75">
        <v>400000</v>
      </c>
      <c r="J31" s="75">
        <v>400000</v>
      </c>
      <c r="K31" s="91" t="s">
        <v>94</v>
      </c>
      <c r="L31" s="73"/>
      <c r="M31" s="46">
        <v>1</v>
      </c>
      <c r="N31" s="46">
        <v>0</v>
      </c>
      <c r="O31" s="46">
        <v>200000</v>
      </c>
      <c r="P31" s="98"/>
      <c r="Q31" s="23" t="s">
        <v>1389</v>
      </c>
      <c r="R31" s="24" t="s">
        <v>93</v>
      </c>
      <c r="S31" s="25" t="s">
        <v>14</v>
      </c>
      <c r="T31" s="26">
        <v>1</v>
      </c>
      <c r="U31" s="26">
        <v>1</v>
      </c>
      <c r="V31" s="26">
        <v>400000</v>
      </c>
      <c r="W31" s="128">
        <f t="shared" si="8"/>
        <v>0</v>
      </c>
      <c r="X31" s="26">
        <v>0.5</v>
      </c>
      <c r="Y31" s="26">
        <f t="shared" si="1"/>
        <v>0</v>
      </c>
      <c r="Z31" s="26">
        <f t="shared" si="4"/>
        <v>200000</v>
      </c>
      <c r="AA31" s="33" t="s">
        <v>15</v>
      </c>
      <c r="AB31" s="36" t="s">
        <v>16</v>
      </c>
      <c r="AC31" s="181">
        <f t="shared" si="5"/>
        <v>1</v>
      </c>
      <c r="AD31" s="181">
        <f t="shared" si="2"/>
        <v>400000</v>
      </c>
      <c r="AE31" s="181">
        <v>1.1000000000000001</v>
      </c>
      <c r="AF31" s="181">
        <v>1.1000000000000001</v>
      </c>
      <c r="AG31" s="101" t="str">
        <f t="shared" si="6"/>
        <v/>
      </c>
      <c r="AH31" s="192">
        <v>1</v>
      </c>
      <c r="AI31" s="69">
        <f t="shared" si="7"/>
        <v>1</v>
      </c>
    </row>
    <row r="32" spans="1:35" s="69" customFormat="1" ht="58.5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6" t="s">
        <v>15</v>
      </c>
      <c r="I32" s="75">
        <v>280</v>
      </c>
      <c r="J32" s="75">
        <v>8624000</v>
      </c>
      <c r="K32" s="91" t="s">
        <v>98</v>
      </c>
      <c r="L32" s="73"/>
      <c r="M32" s="46">
        <v>13162</v>
      </c>
      <c r="N32" s="46">
        <v>177800</v>
      </c>
      <c r="O32" s="46">
        <v>3685360</v>
      </c>
      <c r="P32" s="98"/>
      <c r="Q32" s="23" t="s">
        <v>1390</v>
      </c>
      <c r="R32" s="24" t="s">
        <v>96</v>
      </c>
      <c r="S32" s="25" t="s">
        <v>97</v>
      </c>
      <c r="T32" s="26">
        <v>30800</v>
      </c>
      <c r="U32" s="26">
        <v>30800</v>
      </c>
      <c r="V32" s="26">
        <v>280</v>
      </c>
      <c r="W32" s="128">
        <f t="shared" si="8"/>
        <v>1120</v>
      </c>
      <c r="X32" s="26">
        <f t="shared" si="3"/>
        <v>14282</v>
      </c>
      <c r="Y32" s="26">
        <f t="shared" si="1"/>
        <v>313600</v>
      </c>
      <c r="Z32" s="26">
        <f t="shared" si="4"/>
        <v>3998960</v>
      </c>
      <c r="AA32" s="33" t="s">
        <v>15</v>
      </c>
      <c r="AB32" s="36" t="s">
        <v>16</v>
      </c>
      <c r="AC32" s="181">
        <f t="shared" si="5"/>
        <v>30800</v>
      </c>
      <c r="AD32" s="181">
        <f t="shared" si="2"/>
        <v>8624000</v>
      </c>
      <c r="AE32" s="181">
        <v>1.1000000000000001</v>
      </c>
      <c r="AF32" s="181">
        <v>1.1000000000000001</v>
      </c>
      <c r="AG32" s="101" t="str">
        <f t="shared" si="6"/>
        <v/>
      </c>
      <c r="AH32" s="191">
        <f>13162+1120</f>
        <v>14282</v>
      </c>
      <c r="AI32" s="69">
        <f t="shared" si="7"/>
        <v>30800</v>
      </c>
    </row>
    <row r="33" spans="1:35" s="69" customFormat="1" ht="39" x14ac:dyDescent="0.3">
      <c r="A33" s="134" t="s">
        <v>1302</v>
      </c>
      <c r="B33" s="135" t="s">
        <v>1303</v>
      </c>
      <c r="C33" s="204" t="s">
        <v>50</v>
      </c>
      <c r="D33" s="216"/>
      <c r="E33" s="59">
        <v>2405</v>
      </c>
      <c r="F33" s="59"/>
      <c r="G33" s="59"/>
      <c r="H33" s="59" t="s">
        <v>15</v>
      </c>
      <c r="I33" s="58">
        <v>70.23</v>
      </c>
      <c r="J33" s="59">
        <v>168903.15</v>
      </c>
      <c r="K33" s="92"/>
      <c r="L33" s="73"/>
      <c r="M33" s="46">
        <v>2405</v>
      </c>
      <c r="N33" s="46">
        <v>0</v>
      </c>
      <c r="O33" s="46">
        <v>168903.15</v>
      </c>
      <c r="P33" s="98"/>
      <c r="Q33" s="23" t="s">
        <v>1391</v>
      </c>
      <c r="R33" s="24" t="s">
        <v>1435</v>
      </c>
      <c r="S33" s="25" t="s">
        <v>50</v>
      </c>
      <c r="T33" s="26">
        <v>0</v>
      </c>
      <c r="U33" s="26">
        <v>2405</v>
      </c>
      <c r="V33" s="26">
        <v>70.23</v>
      </c>
      <c r="W33" s="127">
        <f t="shared" si="8"/>
        <v>0</v>
      </c>
      <c r="X33" s="127">
        <f t="shared" si="3"/>
        <v>2405</v>
      </c>
      <c r="Y33" s="127">
        <f t="shared" si="1"/>
        <v>0</v>
      </c>
      <c r="Z33" s="127">
        <f t="shared" si="4"/>
        <v>168903.15</v>
      </c>
      <c r="AA33" s="27" t="s">
        <v>15</v>
      </c>
      <c r="AB33" s="36" t="s">
        <v>16</v>
      </c>
      <c r="AC33" s="181">
        <f t="shared" si="5"/>
        <v>2405</v>
      </c>
      <c r="AD33" s="181">
        <f t="shared" si="2"/>
        <v>168903.15</v>
      </c>
      <c r="AE33" s="181">
        <v>1.1000000000000001</v>
      </c>
      <c r="AF33" s="181">
        <v>1.1000000000000001</v>
      </c>
      <c r="AG33" s="101" t="str">
        <f t="shared" si="6"/>
        <v/>
      </c>
      <c r="AH33" s="190">
        <v>2405</v>
      </c>
      <c r="AI33" s="69">
        <f t="shared" si="7"/>
        <v>2405</v>
      </c>
    </row>
    <row r="34" spans="1:35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 t="s">
        <v>15</v>
      </c>
      <c r="I34" s="61">
        <v>20000</v>
      </c>
      <c r="J34" s="62">
        <v>3000000</v>
      </c>
      <c r="K34" s="93"/>
      <c r="M34" s="46">
        <v>127</v>
      </c>
      <c r="N34" s="46">
        <v>0</v>
      </c>
      <c r="O34" s="46">
        <v>2540000</v>
      </c>
      <c r="P34" s="98"/>
      <c r="Q34" s="23" t="s">
        <v>1436</v>
      </c>
      <c r="R34" s="24" t="s">
        <v>1437</v>
      </c>
      <c r="S34" s="25" t="s">
        <v>1358</v>
      </c>
      <c r="T34" s="26">
        <v>0</v>
      </c>
      <c r="U34" s="26">
        <v>150</v>
      </c>
      <c r="V34" s="26">
        <v>20000</v>
      </c>
      <c r="W34" s="128">
        <f t="shared" si="8"/>
        <v>0</v>
      </c>
      <c r="X34" s="26">
        <f t="shared" si="3"/>
        <v>127</v>
      </c>
      <c r="Y34" s="26">
        <f t="shared" si="1"/>
        <v>0</v>
      </c>
      <c r="Z34" s="26">
        <f t="shared" si="4"/>
        <v>2540000</v>
      </c>
      <c r="AA34" s="27"/>
      <c r="AB34" s="36" t="s">
        <v>16</v>
      </c>
      <c r="AC34" s="181">
        <f t="shared" si="5"/>
        <v>150</v>
      </c>
      <c r="AD34" s="181">
        <f t="shared" si="2"/>
        <v>3000000</v>
      </c>
      <c r="AE34" s="181">
        <v>1.1000000000000001</v>
      </c>
      <c r="AF34" s="181">
        <v>1.1000000000000001</v>
      </c>
      <c r="AG34" s="101" t="str">
        <f t="shared" si="6"/>
        <v/>
      </c>
      <c r="AH34" s="193">
        <v>127</v>
      </c>
      <c r="AI34" s="69">
        <f t="shared" si="7"/>
        <v>150</v>
      </c>
    </row>
    <row r="35" spans="1:35" ht="42" customHeight="1" x14ac:dyDescent="0.3">
      <c r="A35" s="134" t="s">
        <v>1306</v>
      </c>
      <c r="B35" s="217" t="s">
        <v>1307</v>
      </c>
      <c r="C35" s="204" t="s">
        <v>50</v>
      </c>
      <c r="D35" s="216"/>
      <c r="E35" s="63"/>
      <c r="F35" s="62">
        <v>138.05000000000001</v>
      </c>
      <c r="G35" s="62"/>
      <c r="H35" s="62" t="s">
        <v>15</v>
      </c>
      <c r="I35" s="61">
        <v>165.22</v>
      </c>
      <c r="J35" s="62">
        <v>22808.62</v>
      </c>
      <c r="K35" s="93"/>
      <c r="M35" s="46">
        <v>138.05000000000001</v>
      </c>
      <c r="N35" s="46">
        <v>0</v>
      </c>
      <c r="O35" s="46">
        <v>22808.62</v>
      </c>
      <c r="P35" s="98"/>
      <c r="Q35" s="23" t="s">
        <v>1374</v>
      </c>
      <c r="R35" s="24" t="s">
        <v>1375</v>
      </c>
      <c r="S35" s="25" t="s">
        <v>50</v>
      </c>
      <c r="T35" s="26">
        <v>0</v>
      </c>
      <c r="U35" s="26">
        <v>138.05000000000001</v>
      </c>
      <c r="V35" s="26">
        <v>165.22</v>
      </c>
      <c r="W35" s="127">
        <f t="shared" si="8"/>
        <v>0</v>
      </c>
      <c r="X35" s="127">
        <f t="shared" si="3"/>
        <v>138.05000000000001</v>
      </c>
      <c r="Y35" s="127">
        <f t="shared" si="1"/>
        <v>0</v>
      </c>
      <c r="Z35" s="127">
        <f t="shared" si="4"/>
        <v>22808.62</v>
      </c>
      <c r="AA35" s="27"/>
      <c r="AB35" s="36" t="s">
        <v>16</v>
      </c>
      <c r="AC35" s="181">
        <f t="shared" si="5"/>
        <v>138.05000000000001</v>
      </c>
      <c r="AD35" s="181">
        <f t="shared" si="2"/>
        <v>22808.62</v>
      </c>
      <c r="AE35" s="181">
        <v>1.1000000000000001</v>
      </c>
      <c r="AF35" s="181">
        <v>1.1000000000000001</v>
      </c>
      <c r="AG35" s="101" t="str">
        <f t="shared" si="6"/>
        <v/>
      </c>
      <c r="AH35" s="190">
        <v>138.05000000000001</v>
      </c>
      <c r="AI35" s="69">
        <f t="shared" si="7"/>
        <v>138.05000000000001</v>
      </c>
    </row>
    <row r="36" spans="1:35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62">
        <v>2000</v>
      </c>
      <c r="G36" s="62"/>
      <c r="H36" s="62" t="s">
        <v>15</v>
      </c>
      <c r="I36" s="61">
        <v>100</v>
      </c>
      <c r="J36" s="62">
        <v>200000</v>
      </c>
      <c r="K36" s="93"/>
      <c r="M36" s="46">
        <v>2000</v>
      </c>
      <c r="N36" s="46">
        <v>0</v>
      </c>
      <c r="O36" s="46">
        <v>200000</v>
      </c>
      <c r="P36" s="98"/>
      <c r="Q36" s="23" t="s">
        <v>1376</v>
      </c>
      <c r="R36" s="24" t="s">
        <v>1377</v>
      </c>
      <c r="S36" s="25" t="s">
        <v>34</v>
      </c>
      <c r="T36" s="26">
        <v>0</v>
      </c>
      <c r="U36" s="26">
        <v>2000</v>
      </c>
      <c r="V36" s="26">
        <v>100</v>
      </c>
      <c r="W36" s="127">
        <f t="shared" si="8"/>
        <v>0</v>
      </c>
      <c r="X36" s="127">
        <f t="shared" si="3"/>
        <v>2000</v>
      </c>
      <c r="Y36" s="127">
        <f t="shared" si="1"/>
        <v>0</v>
      </c>
      <c r="Z36" s="127">
        <f t="shared" si="4"/>
        <v>200000</v>
      </c>
      <c r="AA36" s="27"/>
      <c r="AB36" s="36" t="s">
        <v>16</v>
      </c>
      <c r="AC36" s="181">
        <f t="shared" si="5"/>
        <v>2000</v>
      </c>
      <c r="AD36" s="181">
        <f t="shared" si="2"/>
        <v>200000</v>
      </c>
      <c r="AE36" s="181">
        <v>1.1000000000000001</v>
      </c>
      <c r="AF36" s="181">
        <v>1.1000000000000001</v>
      </c>
      <c r="AG36" s="101" t="str">
        <f t="shared" si="6"/>
        <v/>
      </c>
      <c r="AH36" s="190">
        <v>2000</v>
      </c>
      <c r="AI36" s="69">
        <f t="shared" si="7"/>
        <v>2000</v>
      </c>
    </row>
    <row r="37" spans="1:35" ht="33" x14ac:dyDescent="0.3">
      <c r="A37" s="134" t="s">
        <v>1310</v>
      </c>
      <c r="B37" s="217" t="s">
        <v>1311</v>
      </c>
      <c r="C37" s="204" t="s">
        <v>50</v>
      </c>
      <c r="D37" s="216"/>
      <c r="E37" s="63"/>
      <c r="F37" s="62">
        <v>3324.02</v>
      </c>
      <c r="G37" s="62"/>
      <c r="H37" s="62" t="s">
        <v>15</v>
      </c>
      <c r="I37" s="61">
        <v>33.35</v>
      </c>
      <c r="J37" s="62">
        <v>110856.07</v>
      </c>
      <c r="K37" s="93"/>
      <c r="M37" s="46">
        <v>3324.02</v>
      </c>
      <c r="N37" s="46">
        <v>0</v>
      </c>
      <c r="O37" s="46">
        <v>110856.07</v>
      </c>
      <c r="P37" s="98"/>
      <c r="Q37" s="23" t="s">
        <v>1378</v>
      </c>
      <c r="R37" s="24" t="s">
        <v>1379</v>
      </c>
      <c r="S37" s="25" t="s">
        <v>50</v>
      </c>
      <c r="T37" s="26">
        <v>0</v>
      </c>
      <c r="U37" s="26">
        <v>3324.02</v>
      </c>
      <c r="V37" s="26">
        <v>33.35</v>
      </c>
      <c r="W37" s="127">
        <f t="shared" si="8"/>
        <v>0</v>
      </c>
      <c r="X37" s="127">
        <f t="shared" si="3"/>
        <v>3324.02</v>
      </c>
      <c r="Y37" s="127">
        <f t="shared" si="1"/>
        <v>0</v>
      </c>
      <c r="Z37" s="127">
        <f t="shared" si="4"/>
        <v>110856.07</v>
      </c>
      <c r="AA37" s="27"/>
      <c r="AB37" s="36" t="s">
        <v>16</v>
      </c>
      <c r="AC37" s="181">
        <f t="shared" si="5"/>
        <v>3324.02</v>
      </c>
      <c r="AD37" s="181">
        <f t="shared" si="2"/>
        <v>110856.07</v>
      </c>
      <c r="AE37" s="181">
        <v>1.1000000000000001</v>
      </c>
      <c r="AF37" s="181">
        <v>1.1000000000000001</v>
      </c>
      <c r="AG37" s="101" t="str">
        <f t="shared" si="6"/>
        <v/>
      </c>
      <c r="AH37" s="190">
        <v>3324.02</v>
      </c>
      <c r="AI37" s="69">
        <f t="shared" si="7"/>
        <v>3324.02</v>
      </c>
    </row>
    <row r="38" spans="1:35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4" t="s">
        <v>15</v>
      </c>
      <c r="I38" s="82"/>
      <c r="J38" s="82">
        <v>42752872.340000004</v>
      </c>
      <c r="K38" s="94" t="s">
        <v>15</v>
      </c>
      <c r="L38" s="73"/>
      <c r="M38" s="45">
        <v>1</v>
      </c>
      <c r="N38" s="45">
        <v>2472245.77</v>
      </c>
      <c r="O38" s="45">
        <v>10990684</v>
      </c>
      <c r="P38" s="98"/>
      <c r="Q38" s="18" t="s">
        <v>1380</v>
      </c>
      <c r="R38" s="19" t="s">
        <v>100</v>
      </c>
      <c r="S38" s="20" t="s">
        <v>14</v>
      </c>
      <c r="T38" s="21">
        <v>1</v>
      </c>
      <c r="U38" s="21"/>
      <c r="V38" s="21">
        <f>SUMIFS(AD:AD,AE:AE,AE38)</f>
        <v>42752872.340000033</v>
      </c>
      <c r="W38" s="21">
        <f t="shared" ref="W38:X38" si="9">IF(Y38=0,0,1)</f>
        <v>1</v>
      </c>
      <c r="X38" s="21">
        <f t="shared" si="9"/>
        <v>1</v>
      </c>
      <c r="Y38" s="21">
        <f>SUMIFS(Y:Y,AF:AF,AE38)</f>
        <v>4518672.49</v>
      </c>
      <c r="Z38" s="21">
        <f>SUMIFS(Z:Z,AF:AF,AE38)</f>
        <v>15509356.49</v>
      </c>
      <c r="AA38" s="22" t="s">
        <v>15</v>
      </c>
      <c r="AB38" s="43" t="s">
        <v>16</v>
      </c>
      <c r="AC38" s="181">
        <f t="shared" si="5"/>
        <v>1</v>
      </c>
      <c r="AD38" s="184"/>
      <c r="AE38" s="181">
        <v>1.2</v>
      </c>
      <c r="AF38" s="181"/>
      <c r="AG38" s="101" t="str">
        <f t="shared" si="6"/>
        <v/>
      </c>
      <c r="AH38" s="190">
        <v>1</v>
      </c>
      <c r="AI38" s="69">
        <f t="shared" si="7"/>
        <v>1</v>
      </c>
    </row>
    <row r="39" spans="1:35" s="69" customFormat="1" ht="39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 t="s">
        <v>15</v>
      </c>
      <c r="I39" s="75">
        <v>320.74</v>
      </c>
      <c r="J39" s="75">
        <v>753030.16</v>
      </c>
      <c r="K39" s="91" t="s">
        <v>104</v>
      </c>
      <c r="L39" s="73"/>
      <c r="M39" s="46">
        <v>0</v>
      </c>
      <c r="N39" s="46">
        <v>0</v>
      </c>
      <c r="O39" s="46">
        <v>0</v>
      </c>
      <c r="P39" s="98"/>
      <c r="Q39" s="23" t="s">
        <v>1421</v>
      </c>
      <c r="R39" s="24" t="s">
        <v>102</v>
      </c>
      <c r="S39" s="25" t="s">
        <v>103</v>
      </c>
      <c r="T39" s="26">
        <v>2347.79</v>
      </c>
      <c r="U39" s="26">
        <v>2347.79</v>
      </c>
      <c r="V39" s="26">
        <f t="shared" ref="V39:V102" si="10">I39</f>
        <v>320.74</v>
      </c>
      <c r="W39" s="128">
        <f t="shared" si="8"/>
        <v>822</v>
      </c>
      <c r="X39" s="26">
        <f t="shared" si="3"/>
        <v>822</v>
      </c>
      <c r="Y39" s="26">
        <f t="shared" ref="Y39:Y102" si="11">Z39-O39</f>
        <v>263648.28000000003</v>
      </c>
      <c r="Z39" s="26">
        <f t="shared" si="4"/>
        <v>263648.28000000003</v>
      </c>
      <c r="AA39" s="33" t="s">
        <v>15</v>
      </c>
      <c r="AB39" s="36" t="s">
        <v>16</v>
      </c>
      <c r="AC39" s="181">
        <f t="shared" si="5"/>
        <v>2347.79</v>
      </c>
      <c r="AD39" s="181">
        <f>ROUND(V39*AC39,2)</f>
        <v>753030.16</v>
      </c>
      <c r="AE39" s="181">
        <v>1.2</v>
      </c>
      <c r="AF39" s="181">
        <v>1.2</v>
      </c>
      <c r="AG39" s="101" t="str">
        <f t="shared" si="6"/>
        <v/>
      </c>
      <c r="AH39" s="191">
        <f>822</f>
        <v>822</v>
      </c>
      <c r="AI39" s="69">
        <f t="shared" si="7"/>
        <v>2347.79</v>
      </c>
    </row>
    <row r="40" spans="1:35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 t="s">
        <v>15</v>
      </c>
      <c r="I40" s="75">
        <v>346.08</v>
      </c>
      <c r="J40" s="75">
        <v>261553.42</v>
      </c>
      <c r="K40" s="91" t="s">
        <v>107</v>
      </c>
      <c r="L40" s="73"/>
      <c r="M40" s="46">
        <v>0</v>
      </c>
      <c r="N40" s="46">
        <v>0</v>
      </c>
      <c r="O40" s="46">
        <v>0</v>
      </c>
      <c r="P40" s="98"/>
      <c r="Q40" s="23" t="s">
        <v>1426</v>
      </c>
      <c r="R40" s="24" t="s">
        <v>106</v>
      </c>
      <c r="S40" s="25" t="s">
        <v>103</v>
      </c>
      <c r="T40" s="26">
        <v>755.76</v>
      </c>
      <c r="U40" s="26">
        <v>755.76</v>
      </c>
      <c r="V40" s="26">
        <f t="shared" si="10"/>
        <v>346.08</v>
      </c>
      <c r="W40" s="26">
        <f t="shared" si="8"/>
        <v>0</v>
      </c>
      <c r="X40" s="26">
        <f t="shared" si="3"/>
        <v>0</v>
      </c>
      <c r="Y40" s="26">
        <f t="shared" si="11"/>
        <v>0</v>
      </c>
      <c r="Z40" s="26">
        <f t="shared" si="4"/>
        <v>0</v>
      </c>
      <c r="AA40" s="33" t="s">
        <v>15</v>
      </c>
      <c r="AB40" s="36" t="s">
        <v>16</v>
      </c>
      <c r="AC40" s="181">
        <f t="shared" si="5"/>
        <v>755.76</v>
      </c>
      <c r="AD40" s="181">
        <f t="shared" ref="AD40:AD103" si="12">ROUND(V40*AC40,2)</f>
        <v>261553.42</v>
      </c>
      <c r="AE40" s="181">
        <v>1.2</v>
      </c>
      <c r="AF40" s="181">
        <v>1.2</v>
      </c>
      <c r="AG40" s="101" t="str">
        <f t="shared" si="6"/>
        <v/>
      </c>
      <c r="AH40" s="190">
        <v>0</v>
      </c>
      <c r="AI40" s="69">
        <f t="shared" si="7"/>
        <v>755.76</v>
      </c>
    </row>
    <row r="41" spans="1:35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 t="s">
        <v>15</v>
      </c>
      <c r="I41" s="75">
        <v>36.4</v>
      </c>
      <c r="J41" s="75">
        <v>1355298.67</v>
      </c>
      <c r="K41" s="91" t="s">
        <v>111</v>
      </c>
      <c r="L41" s="73"/>
      <c r="M41" s="46">
        <v>4011.3</v>
      </c>
      <c r="N41" s="46">
        <v>63747.32</v>
      </c>
      <c r="O41" s="46">
        <v>146011.32</v>
      </c>
      <c r="P41" s="98"/>
      <c r="Q41" s="23" t="s">
        <v>1402</v>
      </c>
      <c r="R41" s="24" t="s">
        <v>109</v>
      </c>
      <c r="S41" s="25" t="s">
        <v>110</v>
      </c>
      <c r="T41" s="26">
        <v>37233.480000000003</v>
      </c>
      <c r="U41" s="26">
        <v>37233.480000000003</v>
      </c>
      <c r="V41" s="26">
        <f t="shared" si="10"/>
        <v>36.4</v>
      </c>
      <c r="W41" s="128">
        <f t="shared" si="8"/>
        <v>10712</v>
      </c>
      <c r="X41" s="26">
        <f t="shared" si="3"/>
        <v>14723.3</v>
      </c>
      <c r="Y41" s="26">
        <f t="shared" si="11"/>
        <v>389916.8</v>
      </c>
      <c r="Z41" s="26">
        <f t="shared" si="4"/>
        <v>535928.12</v>
      </c>
      <c r="AA41" s="33" t="s">
        <v>15</v>
      </c>
      <c r="AB41" s="36" t="s">
        <v>16</v>
      </c>
      <c r="AC41" s="181">
        <f t="shared" si="5"/>
        <v>37233.480000000003</v>
      </c>
      <c r="AD41" s="181">
        <f t="shared" si="12"/>
        <v>1355298.67</v>
      </c>
      <c r="AE41" s="181">
        <v>1.2</v>
      </c>
      <c r="AF41" s="181">
        <v>1.2</v>
      </c>
      <c r="AG41" s="101" t="str">
        <f t="shared" si="6"/>
        <v/>
      </c>
      <c r="AH41" s="191">
        <f>4011.3+10712</f>
        <v>14723.3</v>
      </c>
      <c r="AI41" s="69">
        <f t="shared" si="7"/>
        <v>37233.480000000003</v>
      </c>
    </row>
    <row r="42" spans="1:35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 t="s">
        <v>15</v>
      </c>
      <c r="I42" s="75">
        <v>3115.13</v>
      </c>
      <c r="J42" s="75">
        <v>918901.05</v>
      </c>
      <c r="K42" s="91" t="s">
        <v>114</v>
      </c>
      <c r="L42" s="73"/>
      <c r="M42" s="46">
        <v>36.6</v>
      </c>
      <c r="N42" s="46">
        <v>11214.47</v>
      </c>
      <c r="O42" s="46">
        <v>114013.75999999999</v>
      </c>
      <c r="P42" s="98"/>
      <c r="Q42" s="23" t="s">
        <v>1373</v>
      </c>
      <c r="R42" s="24" t="s">
        <v>392</v>
      </c>
      <c r="S42" s="25" t="s">
        <v>23</v>
      </c>
      <c r="T42" s="26">
        <v>294.98</v>
      </c>
      <c r="U42" s="26">
        <v>294.98</v>
      </c>
      <c r="V42" s="26">
        <f t="shared" si="10"/>
        <v>3115.13</v>
      </c>
      <c r="W42" s="128">
        <f t="shared" si="8"/>
        <v>39.20000000000001</v>
      </c>
      <c r="X42" s="26">
        <f t="shared" si="3"/>
        <v>75.800000000000011</v>
      </c>
      <c r="Y42" s="26">
        <f t="shared" si="11"/>
        <v>122113.09000000001</v>
      </c>
      <c r="Z42" s="26">
        <f t="shared" si="4"/>
        <v>236126.85</v>
      </c>
      <c r="AA42" s="33" t="s">
        <v>15</v>
      </c>
      <c r="AB42" s="36" t="s">
        <v>16</v>
      </c>
      <c r="AC42" s="181">
        <f t="shared" si="5"/>
        <v>294.98</v>
      </c>
      <c r="AD42" s="181">
        <f t="shared" si="12"/>
        <v>918901.05</v>
      </c>
      <c r="AE42" s="181">
        <v>1.2</v>
      </c>
      <c r="AF42" s="181">
        <v>1.2</v>
      </c>
      <c r="AG42" s="101" t="str">
        <f t="shared" si="6"/>
        <v/>
      </c>
      <c r="AH42" s="191">
        <f>36.6+39.2</f>
        <v>75.800000000000011</v>
      </c>
      <c r="AI42" s="69">
        <f t="shared" si="7"/>
        <v>294.98</v>
      </c>
    </row>
    <row r="43" spans="1:35" s="69" customFormat="1" ht="39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 t="s">
        <v>15</v>
      </c>
      <c r="I43" s="75">
        <v>3321.13</v>
      </c>
      <c r="J43" s="75">
        <v>2811934.35</v>
      </c>
      <c r="K43" s="91" t="s">
        <v>117</v>
      </c>
      <c r="L43" s="73"/>
      <c r="M43" s="46">
        <v>282.3</v>
      </c>
      <c r="N43" s="46">
        <v>323145.95</v>
      </c>
      <c r="O43" s="46">
        <v>937555</v>
      </c>
      <c r="P43" s="98"/>
      <c r="Q43" s="23" t="s">
        <v>1393</v>
      </c>
      <c r="R43" s="24" t="s">
        <v>116</v>
      </c>
      <c r="S43" s="25" t="s">
        <v>23</v>
      </c>
      <c r="T43" s="26">
        <v>846.68</v>
      </c>
      <c r="U43" s="26">
        <v>846.68</v>
      </c>
      <c r="V43" s="26">
        <f t="shared" si="10"/>
        <v>3321.13</v>
      </c>
      <c r="W43" s="128">
        <f t="shared" si="8"/>
        <v>157.59999999999997</v>
      </c>
      <c r="X43" s="26">
        <f t="shared" si="3"/>
        <v>439.9</v>
      </c>
      <c r="Y43" s="26">
        <f t="shared" si="11"/>
        <v>523410.09000000008</v>
      </c>
      <c r="Z43" s="26">
        <f t="shared" si="4"/>
        <v>1460965.09</v>
      </c>
      <c r="AA43" s="33" t="s">
        <v>15</v>
      </c>
      <c r="AB43" s="36" t="s">
        <v>16</v>
      </c>
      <c r="AC43" s="181">
        <f t="shared" si="5"/>
        <v>846.68</v>
      </c>
      <c r="AD43" s="181">
        <f t="shared" si="12"/>
        <v>2811934.35</v>
      </c>
      <c r="AE43" s="181">
        <v>1.2</v>
      </c>
      <c r="AF43" s="181">
        <v>1.2</v>
      </c>
      <c r="AG43" s="101" t="str">
        <f t="shared" si="6"/>
        <v/>
      </c>
      <c r="AH43" s="191">
        <f>282.3+157.6</f>
        <v>439.9</v>
      </c>
      <c r="AI43" s="69">
        <f t="shared" si="7"/>
        <v>846.68</v>
      </c>
    </row>
    <row r="44" spans="1:35" s="69" customFormat="1" ht="26.1" customHeight="1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 t="s">
        <v>15</v>
      </c>
      <c r="I44" s="75">
        <v>533.64</v>
      </c>
      <c r="J44" s="75">
        <v>1273974.78</v>
      </c>
      <c r="K44" s="91" t="s">
        <v>120</v>
      </c>
      <c r="L44" s="73"/>
      <c r="M44" s="46">
        <v>815.4</v>
      </c>
      <c r="N44" s="46">
        <v>104273.26</v>
      </c>
      <c r="O44" s="46">
        <v>435130.06</v>
      </c>
      <c r="P44" s="98"/>
      <c r="Q44" s="23" t="s">
        <v>1403</v>
      </c>
      <c r="R44" s="24" t="s">
        <v>119</v>
      </c>
      <c r="S44" s="25" t="s">
        <v>50</v>
      </c>
      <c r="T44" s="26">
        <v>2387.33</v>
      </c>
      <c r="U44" s="26">
        <v>2387.33</v>
      </c>
      <c r="V44" s="26">
        <f t="shared" si="10"/>
        <v>533.64</v>
      </c>
      <c r="W44" s="128">
        <f t="shared" si="8"/>
        <v>226.80000000000007</v>
      </c>
      <c r="X44" s="26">
        <f t="shared" si="3"/>
        <v>1042.2</v>
      </c>
      <c r="Y44" s="26">
        <f t="shared" si="11"/>
        <v>121029.54999999999</v>
      </c>
      <c r="Z44" s="26">
        <f t="shared" si="4"/>
        <v>556159.61</v>
      </c>
      <c r="AA44" s="33" t="s">
        <v>15</v>
      </c>
      <c r="AB44" s="36" t="s">
        <v>16</v>
      </c>
      <c r="AC44" s="181">
        <f t="shared" si="5"/>
        <v>2387.33</v>
      </c>
      <c r="AD44" s="181">
        <f t="shared" si="12"/>
        <v>1273974.78</v>
      </c>
      <c r="AE44" s="181">
        <v>1.2</v>
      </c>
      <c r="AF44" s="181">
        <v>1.2</v>
      </c>
      <c r="AG44" s="101" t="str">
        <f t="shared" si="6"/>
        <v/>
      </c>
      <c r="AH44" s="191">
        <f>815.4+226.8</f>
        <v>1042.2</v>
      </c>
      <c r="AI44" s="69">
        <f t="shared" si="7"/>
        <v>2387.33</v>
      </c>
    </row>
    <row r="45" spans="1:35" s="69" customFormat="1" ht="26.1" customHeight="1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 t="s">
        <v>15</v>
      </c>
      <c r="I45" s="75">
        <v>1299.8900000000001</v>
      </c>
      <c r="J45" s="75">
        <v>1770710.16</v>
      </c>
      <c r="K45" s="91" t="s">
        <v>123</v>
      </c>
      <c r="L45" s="73"/>
      <c r="M45" s="46">
        <v>165</v>
      </c>
      <c r="N45" s="46">
        <v>214481.85</v>
      </c>
      <c r="O45" s="46">
        <v>214481.85</v>
      </c>
      <c r="P45" s="98"/>
      <c r="Q45" s="23" t="s">
        <v>1427</v>
      </c>
      <c r="R45" s="24" t="s">
        <v>122</v>
      </c>
      <c r="S45" s="25" t="s">
        <v>50</v>
      </c>
      <c r="T45" s="26">
        <v>1362.2</v>
      </c>
      <c r="U45" s="26">
        <v>1362.2</v>
      </c>
      <c r="V45" s="26">
        <f t="shared" si="10"/>
        <v>1299.8900000000001</v>
      </c>
      <c r="W45" s="128">
        <f t="shared" si="8"/>
        <v>139.19999999999999</v>
      </c>
      <c r="X45" s="26">
        <f t="shared" si="3"/>
        <v>304.2</v>
      </c>
      <c r="Y45" s="26">
        <f t="shared" si="11"/>
        <v>180944.68999999997</v>
      </c>
      <c r="Z45" s="26">
        <f t="shared" si="4"/>
        <v>395426.54</v>
      </c>
      <c r="AA45" s="33" t="s">
        <v>15</v>
      </c>
      <c r="AB45" s="36" t="s">
        <v>16</v>
      </c>
      <c r="AC45" s="181">
        <f t="shared" si="5"/>
        <v>1362.2</v>
      </c>
      <c r="AD45" s="181">
        <f t="shared" si="12"/>
        <v>1770710.16</v>
      </c>
      <c r="AE45" s="181">
        <v>1.2</v>
      </c>
      <c r="AF45" s="181">
        <v>1.2</v>
      </c>
      <c r="AG45" s="101" t="str">
        <f t="shared" si="6"/>
        <v/>
      </c>
      <c r="AH45" s="191">
        <f>165+139.2</f>
        <v>304.2</v>
      </c>
      <c r="AI45" s="69">
        <f t="shared" si="7"/>
        <v>1362.2</v>
      </c>
    </row>
    <row r="46" spans="1:35" s="69" customFormat="1" ht="26.1" customHeight="1" x14ac:dyDescent="0.3">
      <c r="A46" s="55" t="s">
        <v>124</v>
      </c>
      <c r="B46" s="53" t="s">
        <v>125</v>
      </c>
      <c r="C46" s="54" t="s">
        <v>110</v>
      </c>
      <c r="D46" s="75">
        <v>4781.5600000000004</v>
      </c>
      <c r="E46" s="75"/>
      <c r="F46" s="75"/>
      <c r="G46" s="75"/>
      <c r="H46" s="75" t="s">
        <v>15</v>
      </c>
      <c r="I46" s="75">
        <v>60</v>
      </c>
      <c r="J46" s="75">
        <v>286893.59999999998</v>
      </c>
      <c r="K46" s="91" t="s">
        <v>126</v>
      </c>
      <c r="L46" s="73"/>
      <c r="M46" s="46">
        <v>3546.4</v>
      </c>
      <c r="N46" s="46">
        <v>39984</v>
      </c>
      <c r="O46" s="46">
        <v>212784</v>
      </c>
      <c r="P46" s="98"/>
      <c r="Q46" s="23" t="s">
        <v>1428</v>
      </c>
      <c r="R46" s="24" t="s">
        <v>125</v>
      </c>
      <c r="S46" s="25" t="s">
        <v>110</v>
      </c>
      <c r="T46" s="26">
        <v>4781.5600000000004</v>
      </c>
      <c r="U46" s="26">
        <v>4781.5600000000004</v>
      </c>
      <c r="V46" s="26">
        <f t="shared" si="10"/>
        <v>60</v>
      </c>
      <c r="W46" s="128">
        <f t="shared" si="8"/>
        <v>0</v>
      </c>
      <c r="X46" s="26">
        <f t="shared" si="3"/>
        <v>3546.4</v>
      </c>
      <c r="Y46" s="26">
        <f t="shared" si="11"/>
        <v>0</v>
      </c>
      <c r="Z46" s="26">
        <f t="shared" si="4"/>
        <v>212784</v>
      </c>
      <c r="AA46" s="33" t="s">
        <v>15</v>
      </c>
      <c r="AB46" s="36" t="s">
        <v>16</v>
      </c>
      <c r="AC46" s="181">
        <f t="shared" si="5"/>
        <v>4781.5600000000004</v>
      </c>
      <c r="AD46" s="181">
        <f t="shared" si="12"/>
        <v>286893.59999999998</v>
      </c>
      <c r="AE46" s="181">
        <v>1.2</v>
      </c>
      <c r="AF46" s="181">
        <v>1.2</v>
      </c>
      <c r="AG46" s="101" t="str">
        <f t="shared" si="6"/>
        <v/>
      </c>
      <c r="AH46" s="191">
        <v>3546.4</v>
      </c>
      <c r="AI46" s="69">
        <f t="shared" si="7"/>
        <v>4781.5600000000004</v>
      </c>
    </row>
    <row r="47" spans="1:35" s="69" customFormat="1" ht="39" x14ac:dyDescent="0.3">
      <c r="A47" s="55" t="s">
        <v>127</v>
      </c>
      <c r="B47" s="53" t="s">
        <v>128</v>
      </c>
      <c r="C47" s="54" t="s">
        <v>110</v>
      </c>
      <c r="D47" s="75">
        <v>4781.5600000000004</v>
      </c>
      <c r="E47" s="75"/>
      <c r="F47" s="75"/>
      <c r="G47" s="75"/>
      <c r="H47" s="75" t="s">
        <v>15</v>
      </c>
      <c r="I47" s="75">
        <v>31.9</v>
      </c>
      <c r="J47" s="75">
        <v>152531.76</v>
      </c>
      <c r="K47" s="91" t="s">
        <v>129</v>
      </c>
      <c r="L47" s="73"/>
      <c r="M47" s="46">
        <v>3546.4</v>
      </c>
      <c r="N47" s="46">
        <v>21258.16</v>
      </c>
      <c r="O47" s="46">
        <v>113130.16</v>
      </c>
      <c r="P47" s="98"/>
      <c r="Q47" s="23" t="s">
        <v>1387</v>
      </c>
      <c r="R47" s="24" t="s">
        <v>128</v>
      </c>
      <c r="S47" s="25" t="s">
        <v>110</v>
      </c>
      <c r="T47" s="26">
        <v>4781.5600000000004</v>
      </c>
      <c r="U47" s="26">
        <v>4781.5600000000004</v>
      </c>
      <c r="V47" s="26">
        <f t="shared" si="10"/>
        <v>31.9</v>
      </c>
      <c r="W47" s="128">
        <f t="shared" si="8"/>
        <v>0</v>
      </c>
      <c r="X47" s="26">
        <f t="shared" si="3"/>
        <v>3546.4</v>
      </c>
      <c r="Y47" s="26">
        <f t="shared" si="11"/>
        <v>0</v>
      </c>
      <c r="Z47" s="26">
        <f t="shared" si="4"/>
        <v>113130.16</v>
      </c>
      <c r="AA47" s="33" t="s">
        <v>15</v>
      </c>
      <c r="AB47" s="36" t="s">
        <v>16</v>
      </c>
      <c r="AC47" s="181">
        <f t="shared" si="5"/>
        <v>4781.5600000000004</v>
      </c>
      <c r="AD47" s="181">
        <f t="shared" si="12"/>
        <v>152531.76</v>
      </c>
      <c r="AE47" s="181">
        <v>1.2</v>
      </c>
      <c r="AF47" s="181">
        <v>1.2</v>
      </c>
      <c r="AG47" s="101" t="str">
        <f t="shared" si="6"/>
        <v/>
      </c>
      <c r="AH47" s="191">
        <v>3546.4</v>
      </c>
      <c r="AI47" s="69">
        <f t="shared" si="7"/>
        <v>4781.5600000000004</v>
      </c>
    </row>
    <row r="48" spans="1:35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 t="s">
        <v>15</v>
      </c>
      <c r="I48" s="75">
        <v>107.31</v>
      </c>
      <c r="J48" s="75">
        <v>246905.29</v>
      </c>
      <c r="K48" s="91" t="s">
        <v>132</v>
      </c>
      <c r="L48" s="73"/>
      <c r="M48" s="46">
        <v>1855</v>
      </c>
      <c r="N48" s="46">
        <v>0</v>
      </c>
      <c r="O48" s="46">
        <v>199060.05</v>
      </c>
      <c r="P48" s="98"/>
      <c r="Q48" s="23" t="s">
        <v>1405</v>
      </c>
      <c r="R48" s="24" t="s">
        <v>131</v>
      </c>
      <c r="S48" s="25" t="s">
        <v>110</v>
      </c>
      <c r="T48" s="26">
        <v>2300.86</v>
      </c>
      <c r="U48" s="26">
        <v>2300.86</v>
      </c>
      <c r="V48" s="26">
        <f t="shared" si="10"/>
        <v>107.31</v>
      </c>
      <c r="W48" s="128">
        <f t="shared" si="8"/>
        <v>0</v>
      </c>
      <c r="X48" s="26">
        <f t="shared" si="3"/>
        <v>1855</v>
      </c>
      <c r="Y48" s="26">
        <f t="shared" si="11"/>
        <v>0</v>
      </c>
      <c r="Z48" s="26">
        <f t="shared" si="4"/>
        <v>199060.05</v>
      </c>
      <c r="AA48" s="33" t="s">
        <v>15</v>
      </c>
      <c r="AB48" s="36" t="s">
        <v>16</v>
      </c>
      <c r="AC48" s="181">
        <f t="shared" si="5"/>
        <v>2300.86</v>
      </c>
      <c r="AD48" s="181">
        <f t="shared" si="12"/>
        <v>246905.29</v>
      </c>
      <c r="AE48" s="181">
        <v>1.2</v>
      </c>
      <c r="AF48" s="181">
        <v>1.2</v>
      </c>
      <c r="AG48" s="101" t="str">
        <f t="shared" si="6"/>
        <v/>
      </c>
      <c r="AH48" s="191">
        <v>1855</v>
      </c>
      <c r="AI48" s="69">
        <f t="shared" si="7"/>
        <v>2300.86</v>
      </c>
    </row>
    <row r="49" spans="1:35" s="69" customFormat="1" ht="33" x14ac:dyDescent="0.3">
      <c r="A49" s="55" t="s">
        <v>133</v>
      </c>
      <c r="B49" s="215" t="s">
        <v>134</v>
      </c>
      <c r="C49" s="54" t="s">
        <v>50</v>
      </c>
      <c r="D49" s="75">
        <v>5207.01</v>
      </c>
      <c r="E49" s="75"/>
      <c r="F49" s="75"/>
      <c r="G49" s="75"/>
      <c r="H49" s="75" t="s">
        <v>15</v>
      </c>
      <c r="I49" s="75">
        <v>2964</v>
      </c>
      <c r="J49" s="75">
        <v>15433577.640000001</v>
      </c>
      <c r="K49" s="137" t="s">
        <v>135</v>
      </c>
      <c r="L49" s="73"/>
      <c r="M49" s="46">
        <v>1759.3</v>
      </c>
      <c r="N49" s="46">
        <v>795241.2</v>
      </c>
      <c r="O49" s="46">
        <v>5214565.2</v>
      </c>
      <c r="P49" s="98"/>
      <c r="Q49" s="23" t="s">
        <v>1406</v>
      </c>
      <c r="R49" s="24" t="s">
        <v>134</v>
      </c>
      <c r="S49" s="25" t="s">
        <v>50</v>
      </c>
      <c r="T49" s="26">
        <v>5207.01</v>
      </c>
      <c r="U49" s="26">
        <v>5207.01</v>
      </c>
      <c r="V49" s="26">
        <f t="shared" si="10"/>
        <v>2964</v>
      </c>
      <c r="W49" s="128">
        <f t="shared" si="8"/>
        <v>212.20000000000005</v>
      </c>
      <c r="X49" s="26">
        <f t="shared" si="3"/>
        <v>1971.5</v>
      </c>
      <c r="Y49" s="26">
        <f t="shared" si="11"/>
        <v>628960.79999999981</v>
      </c>
      <c r="Z49" s="26">
        <f t="shared" si="4"/>
        <v>5843526</v>
      </c>
      <c r="AA49" s="33" t="s">
        <v>15</v>
      </c>
      <c r="AB49" s="36" t="s">
        <v>16</v>
      </c>
      <c r="AC49" s="181">
        <f t="shared" si="5"/>
        <v>5207.01</v>
      </c>
      <c r="AD49" s="181">
        <f t="shared" si="12"/>
        <v>15433577.640000001</v>
      </c>
      <c r="AE49" s="181">
        <v>1.2</v>
      </c>
      <c r="AF49" s="181">
        <v>1.2</v>
      </c>
      <c r="AG49" s="101" t="str">
        <f t="shared" si="6"/>
        <v/>
      </c>
      <c r="AH49" s="191">
        <f>1759.3+212.2</f>
        <v>1971.5</v>
      </c>
      <c r="AI49" s="69">
        <f t="shared" si="7"/>
        <v>5207.01</v>
      </c>
    </row>
    <row r="50" spans="1:35" s="69" customFormat="1" ht="39" x14ac:dyDescent="0.3">
      <c r="A50" s="55" t="s">
        <v>136</v>
      </c>
      <c r="B50" s="53" t="s">
        <v>3138</v>
      </c>
      <c r="C50" s="54" t="s">
        <v>50</v>
      </c>
      <c r="D50" s="75">
        <v>693.8</v>
      </c>
      <c r="E50" s="75"/>
      <c r="F50" s="75"/>
      <c r="G50" s="75"/>
      <c r="H50" s="75" t="s">
        <v>15</v>
      </c>
      <c r="I50" s="75">
        <v>3961.57</v>
      </c>
      <c r="J50" s="75">
        <v>2748537.27</v>
      </c>
      <c r="K50" s="137" t="s">
        <v>138</v>
      </c>
      <c r="L50" s="73"/>
      <c r="M50" s="46">
        <v>0</v>
      </c>
      <c r="N50" s="46">
        <v>0</v>
      </c>
      <c r="O50" s="46">
        <v>0</v>
      </c>
      <c r="P50" s="98"/>
      <c r="Q50" s="23" t="s">
        <v>1414</v>
      </c>
      <c r="R50" s="24" t="s">
        <v>137</v>
      </c>
      <c r="S50" s="25" t="s">
        <v>50</v>
      </c>
      <c r="T50" s="26">
        <v>693.8</v>
      </c>
      <c r="U50" s="26">
        <v>693.8</v>
      </c>
      <c r="V50" s="26">
        <f t="shared" si="10"/>
        <v>3961.57</v>
      </c>
      <c r="W50" s="128">
        <f>AH50-M50</f>
        <v>286.8</v>
      </c>
      <c r="X50" s="26">
        <f t="shared" si="3"/>
        <v>286.8</v>
      </c>
      <c r="Y50" s="26">
        <f t="shared" si="11"/>
        <v>1136178.28</v>
      </c>
      <c r="Z50" s="26">
        <f t="shared" si="4"/>
        <v>1136178.28</v>
      </c>
      <c r="AA50" s="33" t="s">
        <v>15</v>
      </c>
      <c r="AB50" s="36" t="s">
        <v>16</v>
      </c>
      <c r="AC50" s="181">
        <f t="shared" si="5"/>
        <v>693.8</v>
      </c>
      <c r="AD50" s="181">
        <f t="shared" si="12"/>
        <v>2748537.27</v>
      </c>
      <c r="AE50" s="181">
        <v>1.2</v>
      </c>
      <c r="AF50" s="181">
        <v>1.2</v>
      </c>
      <c r="AG50" s="101" t="str">
        <f t="shared" si="6"/>
        <v/>
      </c>
      <c r="AH50" s="191">
        <f>286.8</f>
        <v>286.8</v>
      </c>
      <c r="AI50" s="69">
        <f t="shared" si="7"/>
        <v>693.8</v>
      </c>
    </row>
    <row r="51" spans="1:35" s="69" customFormat="1" ht="26.1" customHeight="1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 t="s">
        <v>15</v>
      </c>
      <c r="I51" s="75">
        <v>3965.81</v>
      </c>
      <c r="J51" s="75">
        <v>1488090.89</v>
      </c>
      <c r="K51" s="137" t="s">
        <v>141</v>
      </c>
      <c r="L51" s="73"/>
      <c r="M51" s="46">
        <v>0</v>
      </c>
      <c r="N51" s="46">
        <v>0</v>
      </c>
      <c r="O51" s="46">
        <v>0</v>
      </c>
      <c r="P51" s="98"/>
      <c r="Q51" s="23" t="s">
        <v>1429</v>
      </c>
      <c r="R51" s="24" t="s">
        <v>140</v>
      </c>
      <c r="S51" s="25" t="s">
        <v>50</v>
      </c>
      <c r="T51" s="26">
        <v>375.23</v>
      </c>
      <c r="U51" s="26">
        <v>375.23</v>
      </c>
      <c r="V51" s="26">
        <f t="shared" si="10"/>
        <v>3965.81</v>
      </c>
      <c r="W51" s="26">
        <f t="shared" si="8"/>
        <v>0</v>
      </c>
      <c r="X51" s="26">
        <f t="shared" si="3"/>
        <v>0</v>
      </c>
      <c r="Y51" s="26">
        <f t="shared" si="11"/>
        <v>0</v>
      </c>
      <c r="Z51" s="26">
        <f t="shared" si="4"/>
        <v>0</v>
      </c>
      <c r="AA51" s="33" t="s">
        <v>15</v>
      </c>
      <c r="AB51" s="36" t="s">
        <v>16</v>
      </c>
      <c r="AC51" s="181">
        <f t="shared" si="5"/>
        <v>375.23</v>
      </c>
      <c r="AD51" s="181">
        <f t="shared" si="12"/>
        <v>1488090.89</v>
      </c>
      <c r="AE51" s="181">
        <v>1.2</v>
      </c>
      <c r="AF51" s="181">
        <v>1.2</v>
      </c>
      <c r="AG51" s="101" t="str">
        <f t="shared" si="6"/>
        <v/>
      </c>
      <c r="AH51" s="190">
        <v>0</v>
      </c>
      <c r="AI51" s="69">
        <f t="shared" si="7"/>
        <v>375.23</v>
      </c>
    </row>
    <row r="52" spans="1:35" s="69" customFormat="1" ht="26.1" customHeight="1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 t="s">
        <v>15</v>
      </c>
      <c r="I52" s="75">
        <v>773.88</v>
      </c>
      <c r="J52" s="75">
        <v>26931.02</v>
      </c>
      <c r="K52" s="91" t="s">
        <v>144</v>
      </c>
      <c r="L52" s="73"/>
      <c r="M52" s="46">
        <v>0</v>
      </c>
      <c r="N52" s="46">
        <v>0</v>
      </c>
      <c r="O52" s="46">
        <v>0</v>
      </c>
      <c r="P52" s="98"/>
      <c r="Q52" s="23" t="s">
        <v>1430</v>
      </c>
      <c r="R52" s="24" t="s">
        <v>143</v>
      </c>
      <c r="S52" s="25" t="s">
        <v>50</v>
      </c>
      <c r="T52" s="26">
        <v>34.799999999999997</v>
      </c>
      <c r="U52" s="26">
        <v>34.799999999999997</v>
      </c>
      <c r="V52" s="26">
        <f t="shared" si="10"/>
        <v>773.88</v>
      </c>
      <c r="W52" s="26">
        <f t="shared" si="8"/>
        <v>0</v>
      </c>
      <c r="X52" s="26">
        <f t="shared" si="3"/>
        <v>0</v>
      </c>
      <c r="Y52" s="26">
        <f t="shared" si="11"/>
        <v>0</v>
      </c>
      <c r="Z52" s="26">
        <f t="shared" si="4"/>
        <v>0</v>
      </c>
      <c r="AA52" s="33" t="s">
        <v>15</v>
      </c>
      <c r="AB52" s="36" t="s">
        <v>16</v>
      </c>
      <c r="AC52" s="181">
        <f t="shared" si="5"/>
        <v>34.799999999999997</v>
      </c>
      <c r="AD52" s="181">
        <f t="shared" si="12"/>
        <v>26931.02</v>
      </c>
      <c r="AE52" s="181">
        <v>1.2</v>
      </c>
      <c r="AF52" s="181">
        <v>1.2</v>
      </c>
      <c r="AG52" s="101" t="str">
        <f t="shared" si="6"/>
        <v/>
      </c>
      <c r="AH52" s="190">
        <v>0</v>
      </c>
      <c r="AI52" s="69">
        <f t="shared" si="7"/>
        <v>34.799999999999997</v>
      </c>
    </row>
    <row r="53" spans="1:35" s="69" customFormat="1" ht="26.1" customHeight="1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 t="s">
        <v>15</v>
      </c>
      <c r="I53" s="75">
        <v>948.4</v>
      </c>
      <c r="J53" s="75">
        <v>11361.83</v>
      </c>
      <c r="K53" s="91" t="s">
        <v>147</v>
      </c>
      <c r="L53" s="73"/>
      <c r="M53" s="46">
        <v>0</v>
      </c>
      <c r="N53" s="46">
        <v>0</v>
      </c>
      <c r="O53" s="46">
        <v>0</v>
      </c>
      <c r="P53" s="98"/>
      <c r="Q53" s="23" t="s">
        <v>1431</v>
      </c>
      <c r="R53" s="24" t="s">
        <v>146</v>
      </c>
      <c r="S53" s="25" t="s">
        <v>50</v>
      </c>
      <c r="T53" s="26">
        <v>11.98</v>
      </c>
      <c r="U53" s="26">
        <v>11.98</v>
      </c>
      <c r="V53" s="26">
        <f t="shared" si="10"/>
        <v>948.4</v>
      </c>
      <c r="W53" s="26">
        <f t="shared" si="8"/>
        <v>0</v>
      </c>
      <c r="X53" s="26">
        <f t="shared" si="3"/>
        <v>0</v>
      </c>
      <c r="Y53" s="26">
        <f t="shared" si="11"/>
        <v>0</v>
      </c>
      <c r="Z53" s="26">
        <f t="shared" si="4"/>
        <v>0</v>
      </c>
      <c r="AA53" s="33" t="s">
        <v>15</v>
      </c>
      <c r="AB53" s="36" t="s">
        <v>16</v>
      </c>
      <c r="AC53" s="181">
        <f t="shared" si="5"/>
        <v>11.98</v>
      </c>
      <c r="AD53" s="181">
        <f t="shared" si="12"/>
        <v>11361.83</v>
      </c>
      <c r="AE53" s="181">
        <v>1.2</v>
      </c>
      <c r="AF53" s="181">
        <v>1.2</v>
      </c>
      <c r="AG53" s="101" t="str">
        <f t="shared" si="6"/>
        <v/>
      </c>
      <c r="AH53" s="190">
        <v>0</v>
      </c>
      <c r="AI53" s="69">
        <f t="shared" si="7"/>
        <v>11.98</v>
      </c>
    </row>
    <row r="54" spans="1:35" s="69" customFormat="1" ht="26.1" customHeight="1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 t="s">
        <v>15</v>
      </c>
      <c r="I54" s="75">
        <v>6163.46</v>
      </c>
      <c r="J54" s="75">
        <v>870650.36</v>
      </c>
      <c r="K54" s="91" t="s">
        <v>150</v>
      </c>
      <c r="L54" s="73"/>
      <c r="M54" s="46">
        <v>0</v>
      </c>
      <c r="N54" s="46">
        <v>0</v>
      </c>
      <c r="O54" s="46">
        <v>0</v>
      </c>
      <c r="P54" s="98"/>
      <c r="Q54" s="23" t="s">
        <v>1395</v>
      </c>
      <c r="R54" s="24" t="s">
        <v>149</v>
      </c>
      <c r="S54" s="25" t="s">
        <v>50</v>
      </c>
      <c r="T54" s="26">
        <v>141.26</v>
      </c>
      <c r="U54" s="26">
        <v>141.26</v>
      </c>
      <c r="V54" s="26">
        <f t="shared" si="10"/>
        <v>6163.46</v>
      </c>
      <c r="W54" s="128">
        <f t="shared" si="8"/>
        <v>12</v>
      </c>
      <c r="X54" s="26">
        <f t="shared" si="3"/>
        <v>12</v>
      </c>
      <c r="Y54" s="26">
        <f t="shared" si="11"/>
        <v>73961.52</v>
      </c>
      <c r="Z54" s="26">
        <f t="shared" si="4"/>
        <v>73961.52</v>
      </c>
      <c r="AA54" s="33" t="s">
        <v>15</v>
      </c>
      <c r="AB54" s="36" t="s">
        <v>16</v>
      </c>
      <c r="AC54" s="181">
        <f t="shared" si="5"/>
        <v>141.26</v>
      </c>
      <c r="AD54" s="181">
        <f t="shared" si="12"/>
        <v>870650.36</v>
      </c>
      <c r="AE54" s="181">
        <v>1.2</v>
      </c>
      <c r="AF54" s="181">
        <v>1.2</v>
      </c>
      <c r="AG54" s="101" t="str">
        <f t="shared" si="6"/>
        <v/>
      </c>
      <c r="AH54" s="191">
        <f>12</f>
        <v>12</v>
      </c>
      <c r="AI54" s="69">
        <f t="shared" si="7"/>
        <v>141.26</v>
      </c>
    </row>
    <row r="55" spans="1:35" s="69" customFormat="1" ht="26.1" customHeight="1" x14ac:dyDescent="0.3">
      <c r="A55" s="55" t="s">
        <v>151</v>
      </c>
      <c r="B55" s="53" t="s">
        <v>152</v>
      </c>
      <c r="C55" s="54" t="s">
        <v>81</v>
      </c>
      <c r="D55" s="75">
        <v>1</v>
      </c>
      <c r="E55" s="75"/>
      <c r="F55" s="75"/>
      <c r="G55" s="75"/>
      <c r="H55" s="75" t="s">
        <v>15</v>
      </c>
      <c r="I55" s="75">
        <v>169519.61</v>
      </c>
      <c r="J55" s="75">
        <v>169519.61</v>
      </c>
      <c r="K55" s="91" t="s">
        <v>153</v>
      </c>
      <c r="L55" s="73"/>
      <c r="M55" s="46">
        <v>0</v>
      </c>
      <c r="N55" s="46">
        <v>0</v>
      </c>
      <c r="O55" s="46">
        <v>0</v>
      </c>
      <c r="P55" s="98"/>
      <c r="Q55" s="23" t="s">
        <v>1432</v>
      </c>
      <c r="R55" s="24" t="s">
        <v>152</v>
      </c>
      <c r="S55" s="25" t="s">
        <v>81</v>
      </c>
      <c r="T55" s="26">
        <v>1</v>
      </c>
      <c r="U55" s="26">
        <v>1</v>
      </c>
      <c r="V55" s="26">
        <f t="shared" si="10"/>
        <v>169519.61</v>
      </c>
      <c r="W55" s="26">
        <f t="shared" si="8"/>
        <v>0</v>
      </c>
      <c r="X55" s="26">
        <f t="shared" si="3"/>
        <v>0</v>
      </c>
      <c r="Y55" s="26">
        <f t="shared" si="11"/>
        <v>0</v>
      </c>
      <c r="Z55" s="26">
        <f t="shared" si="4"/>
        <v>0</v>
      </c>
      <c r="AA55" s="33" t="s">
        <v>15</v>
      </c>
      <c r="AB55" s="36" t="s">
        <v>16</v>
      </c>
      <c r="AC55" s="181">
        <f t="shared" si="5"/>
        <v>1</v>
      </c>
      <c r="AD55" s="181">
        <f t="shared" si="12"/>
        <v>169519.61</v>
      </c>
      <c r="AE55" s="181">
        <v>1.2</v>
      </c>
      <c r="AF55" s="181">
        <v>1.2</v>
      </c>
      <c r="AG55" s="101" t="str">
        <f t="shared" si="6"/>
        <v/>
      </c>
      <c r="AH55" s="190">
        <v>0</v>
      </c>
      <c r="AI55" s="69">
        <f t="shared" si="7"/>
        <v>1</v>
      </c>
    </row>
    <row r="56" spans="1:35" s="69" customFormat="1" ht="26.1" customHeight="1" x14ac:dyDescent="0.3">
      <c r="A56" s="55" t="s">
        <v>154</v>
      </c>
      <c r="B56" s="53" t="s">
        <v>155</v>
      </c>
      <c r="C56" s="54" t="s">
        <v>81</v>
      </c>
      <c r="D56" s="75">
        <v>1</v>
      </c>
      <c r="E56" s="75"/>
      <c r="F56" s="75"/>
      <c r="G56" s="75"/>
      <c r="H56" s="75" t="s">
        <v>15</v>
      </c>
      <c r="I56" s="75">
        <v>350211.64</v>
      </c>
      <c r="J56" s="75">
        <v>350211.64</v>
      </c>
      <c r="K56" s="91" t="s">
        <v>156</v>
      </c>
      <c r="L56" s="73"/>
      <c r="M56" s="46">
        <v>0</v>
      </c>
      <c r="N56" s="46">
        <v>0</v>
      </c>
      <c r="O56" s="46">
        <v>0</v>
      </c>
      <c r="P56" s="98"/>
      <c r="Q56" s="23" t="s">
        <v>1433</v>
      </c>
      <c r="R56" s="24" t="s">
        <v>155</v>
      </c>
      <c r="S56" s="25" t="s">
        <v>81</v>
      </c>
      <c r="T56" s="26">
        <v>1</v>
      </c>
      <c r="U56" s="26">
        <v>1</v>
      </c>
      <c r="V56" s="26">
        <f t="shared" si="10"/>
        <v>350211.64</v>
      </c>
      <c r="W56" s="26">
        <f t="shared" si="8"/>
        <v>0</v>
      </c>
      <c r="X56" s="26">
        <f t="shared" si="3"/>
        <v>0</v>
      </c>
      <c r="Y56" s="26">
        <f t="shared" si="11"/>
        <v>0</v>
      </c>
      <c r="Z56" s="26">
        <f t="shared" si="4"/>
        <v>0</v>
      </c>
      <c r="AA56" s="33" t="s">
        <v>15</v>
      </c>
      <c r="AB56" s="36" t="s">
        <v>16</v>
      </c>
      <c r="AC56" s="181">
        <f t="shared" si="5"/>
        <v>1</v>
      </c>
      <c r="AD56" s="181">
        <f t="shared" si="12"/>
        <v>350211.64</v>
      </c>
      <c r="AE56" s="181">
        <v>1.2</v>
      </c>
      <c r="AF56" s="181">
        <v>1.2</v>
      </c>
      <c r="AG56" s="101" t="str">
        <f t="shared" si="6"/>
        <v/>
      </c>
      <c r="AH56" s="190">
        <v>0</v>
      </c>
      <c r="AI56" s="69">
        <f t="shared" si="7"/>
        <v>1</v>
      </c>
    </row>
    <row r="57" spans="1:35" s="69" customFormat="1" ht="26.1" customHeight="1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 t="s">
        <v>15</v>
      </c>
      <c r="I57" s="75">
        <v>309726.87</v>
      </c>
      <c r="J57" s="75">
        <v>309726.87</v>
      </c>
      <c r="K57" s="91" t="s">
        <v>159</v>
      </c>
      <c r="L57" s="73"/>
      <c r="M57" s="46">
        <v>0</v>
      </c>
      <c r="N57" s="46">
        <v>0</v>
      </c>
      <c r="O57" s="46">
        <v>0</v>
      </c>
      <c r="P57" s="98"/>
      <c r="Q57" s="23" t="s">
        <v>1382</v>
      </c>
      <c r="R57" s="24" t="s">
        <v>158</v>
      </c>
      <c r="S57" s="25" t="s">
        <v>81</v>
      </c>
      <c r="T57" s="26">
        <v>1</v>
      </c>
      <c r="U57" s="26">
        <v>1</v>
      </c>
      <c r="V57" s="26">
        <f t="shared" si="10"/>
        <v>309726.87</v>
      </c>
      <c r="W57" s="26">
        <f t="shared" si="8"/>
        <v>0</v>
      </c>
      <c r="X57" s="26">
        <f t="shared" si="3"/>
        <v>0</v>
      </c>
      <c r="Y57" s="26">
        <f t="shared" si="11"/>
        <v>0</v>
      </c>
      <c r="Z57" s="26">
        <f t="shared" si="4"/>
        <v>0</v>
      </c>
      <c r="AA57" s="33" t="s">
        <v>15</v>
      </c>
      <c r="AB57" s="36" t="s">
        <v>16</v>
      </c>
      <c r="AC57" s="181">
        <f t="shared" si="5"/>
        <v>1</v>
      </c>
      <c r="AD57" s="181">
        <f t="shared" si="12"/>
        <v>309726.87</v>
      </c>
      <c r="AE57" s="181">
        <v>1.2</v>
      </c>
      <c r="AF57" s="181">
        <v>1.2</v>
      </c>
      <c r="AG57" s="101" t="str">
        <f t="shared" si="6"/>
        <v/>
      </c>
      <c r="AH57" s="190">
        <v>0</v>
      </c>
      <c r="AI57" s="69">
        <f t="shared" si="7"/>
        <v>1</v>
      </c>
    </row>
    <row r="58" spans="1:35" s="69" customFormat="1" ht="26.1" customHeight="1" x14ac:dyDescent="0.3">
      <c r="A58" s="55" t="s">
        <v>160</v>
      </c>
      <c r="B58" s="53" t="s">
        <v>161</v>
      </c>
      <c r="C58" s="54" t="s">
        <v>162</v>
      </c>
      <c r="D58" s="75">
        <v>19</v>
      </c>
      <c r="E58" s="75"/>
      <c r="F58" s="75"/>
      <c r="G58" s="75"/>
      <c r="H58" s="75" t="s">
        <v>15</v>
      </c>
      <c r="I58" s="75">
        <v>1134.56</v>
      </c>
      <c r="J58" s="75">
        <v>21556.639999999999</v>
      </c>
      <c r="K58" s="91" t="s">
        <v>163</v>
      </c>
      <c r="L58" s="73"/>
      <c r="M58" s="46">
        <v>0</v>
      </c>
      <c r="N58" s="46">
        <v>0</v>
      </c>
      <c r="O58" s="46">
        <v>0</v>
      </c>
      <c r="P58" s="98"/>
      <c r="Q58" s="23" t="s">
        <v>1434</v>
      </c>
      <c r="R58" s="24" t="s">
        <v>161</v>
      </c>
      <c r="S58" s="25" t="s">
        <v>162</v>
      </c>
      <c r="T58" s="26">
        <v>19</v>
      </c>
      <c r="U58" s="26">
        <v>19</v>
      </c>
      <c r="V58" s="26">
        <f t="shared" si="10"/>
        <v>1134.56</v>
      </c>
      <c r="W58" s="26">
        <f t="shared" si="8"/>
        <v>0</v>
      </c>
      <c r="X58" s="26">
        <f t="shared" si="3"/>
        <v>0</v>
      </c>
      <c r="Y58" s="26">
        <f t="shared" si="11"/>
        <v>0</v>
      </c>
      <c r="Z58" s="26">
        <f t="shared" si="4"/>
        <v>0</v>
      </c>
      <c r="AA58" s="33" t="s">
        <v>15</v>
      </c>
      <c r="AB58" s="36" t="s">
        <v>16</v>
      </c>
      <c r="AC58" s="181">
        <f t="shared" si="5"/>
        <v>19</v>
      </c>
      <c r="AD58" s="181">
        <f t="shared" si="12"/>
        <v>21556.639999999999</v>
      </c>
      <c r="AE58" s="181">
        <v>1.2</v>
      </c>
      <c r="AF58" s="181">
        <v>1.2</v>
      </c>
      <c r="AG58" s="101" t="str">
        <f t="shared" si="6"/>
        <v/>
      </c>
      <c r="AH58" s="190">
        <v>0</v>
      </c>
      <c r="AI58" s="69">
        <f t="shared" si="7"/>
        <v>19</v>
      </c>
    </row>
    <row r="59" spans="1:35" s="69" customFormat="1" ht="26.1" customHeight="1" x14ac:dyDescent="0.3">
      <c r="A59" s="55" t="s">
        <v>164</v>
      </c>
      <c r="B59" s="118" t="s">
        <v>165</v>
      </c>
      <c r="C59" s="54" t="s">
        <v>103</v>
      </c>
      <c r="D59" s="75">
        <v>179.11</v>
      </c>
      <c r="E59" s="75"/>
      <c r="F59" s="75"/>
      <c r="G59" s="75"/>
      <c r="H59" s="75" t="s">
        <v>15</v>
      </c>
      <c r="I59" s="120">
        <v>145.21</v>
      </c>
      <c r="J59" s="75">
        <v>26008.560000000001</v>
      </c>
      <c r="K59" s="91" t="s">
        <v>166</v>
      </c>
      <c r="L59" s="73"/>
      <c r="M59" s="46">
        <v>0</v>
      </c>
      <c r="N59" s="46">
        <v>0</v>
      </c>
      <c r="O59" s="46">
        <v>0</v>
      </c>
      <c r="P59" s="98"/>
      <c r="Q59" s="23" t="s">
        <v>1388</v>
      </c>
      <c r="R59" s="24" t="s">
        <v>165</v>
      </c>
      <c r="S59" s="25" t="s">
        <v>103</v>
      </c>
      <c r="T59" s="26">
        <v>179.11</v>
      </c>
      <c r="U59" s="26">
        <v>179.11</v>
      </c>
      <c r="V59" s="26">
        <f t="shared" si="10"/>
        <v>145.21</v>
      </c>
      <c r="W59" s="26">
        <f t="shared" si="8"/>
        <v>0</v>
      </c>
      <c r="X59" s="26">
        <f t="shared" si="3"/>
        <v>0</v>
      </c>
      <c r="Y59" s="26">
        <f t="shared" si="11"/>
        <v>0</v>
      </c>
      <c r="Z59" s="26">
        <f t="shared" si="4"/>
        <v>0</v>
      </c>
      <c r="AA59" s="33" t="s">
        <v>15</v>
      </c>
      <c r="AB59" s="36" t="s">
        <v>16</v>
      </c>
      <c r="AC59" s="181">
        <f t="shared" si="5"/>
        <v>179.11</v>
      </c>
      <c r="AD59" s="181">
        <f t="shared" si="12"/>
        <v>26008.560000000001</v>
      </c>
      <c r="AE59" s="181">
        <v>1.2</v>
      </c>
      <c r="AF59" s="181">
        <v>1.2</v>
      </c>
      <c r="AG59" s="101" t="str">
        <f t="shared" si="6"/>
        <v/>
      </c>
      <c r="AH59" s="190">
        <v>0</v>
      </c>
      <c r="AI59" s="69">
        <f t="shared" si="7"/>
        <v>179.11</v>
      </c>
    </row>
    <row r="60" spans="1:35" s="69" customFormat="1" ht="26.1" customHeight="1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 t="s">
        <v>15</v>
      </c>
      <c r="I60" s="75">
        <v>2755.97</v>
      </c>
      <c r="J60" s="75">
        <v>2176665.11</v>
      </c>
      <c r="K60" s="91" t="s">
        <v>169</v>
      </c>
      <c r="L60" s="73"/>
      <c r="M60" s="46">
        <v>164</v>
      </c>
      <c r="N60" s="46">
        <v>308668.64</v>
      </c>
      <c r="O60" s="46">
        <v>451979.08</v>
      </c>
      <c r="P60" s="98"/>
      <c r="Q60" s="23" t="s">
        <v>1389</v>
      </c>
      <c r="R60" s="24" t="s">
        <v>168</v>
      </c>
      <c r="S60" s="25" t="s">
        <v>30</v>
      </c>
      <c r="T60" s="26">
        <v>789.8</v>
      </c>
      <c r="U60" s="26">
        <v>789.8</v>
      </c>
      <c r="V60" s="26">
        <f t="shared" si="10"/>
        <v>2755.97</v>
      </c>
      <c r="W60" s="128">
        <f t="shared" si="8"/>
        <v>313.8</v>
      </c>
      <c r="X60" s="26">
        <f t="shared" si="3"/>
        <v>477.8</v>
      </c>
      <c r="Y60" s="26">
        <f t="shared" si="11"/>
        <v>864823.3899999999</v>
      </c>
      <c r="Z60" s="26">
        <f t="shared" si="4"/>
        <v>1316802.47</v>
      </c>
      <c r="AA60" s="33" t="s">
        <v>15</v>
      </c>
      <c r="AB60" s="36" t="s">
        <v>16</v>
      </c>
      <c r="AC60" s="181">
        <f t="shared" si="5"/>
        <v>789.8</v>
      </c>
      <c r="AD60" s="181">
        <f t="shared" si="12"/>
        <v>2176665.11</v>
      </c>
      <c r="AE60" s="181">
        <v>1.2</v>
      </c>
      <c r="AF60" s="181">
        <v>1.2</v>
      </c>
      <c r="AG60" s="101" t="str">
        <f t="shared" si="6"/>
        <v/>
      </c>
      <c r="AH60" s="191">
        <f>164+313.8</f>
        <v>477.8</v>
      </c>
      <c r="AI60" s="69">
        <f t="shared" si="7"/>
        <v>789.8</v>
      </c>
    </row>
    <row r="61" spans="1:35" s="69" customFormat="1" ht="26.1" customHeight="1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 t="s">
        <v>15</v>
      </c>
      <c r="I61" s="75">
        <v>576.79999999999995</v>
      </c>
      <c r="J61" s="75">
        <v>18053.84</v>
      </c>
      <c r="K61" s="91" t="s">
        <v>172</v>
      </c>
      <c r="L61" s="73"/>
      <c r="M61" s="46">
        <v>0</v>
      </c>
      <c r="N61" s="46">
        <v>0</v>
      </c>
      <c r="O61" s="46">
        <v>0</v>
      </c>
      <c r="P61" s="98"/>
      <c r="Q61" s="23" t="s">
        <v>1390</v>
      </c>
      <c r="R61" s="24" t="s">
        <v>171</v>
      </c>
      <c r="S61" s="25" t="s">
        <v>30</v>
      </c>
      <c r="T61" s="26">
        <v>31.3</v>
      </c>
      <c r="U61" s="26">
        <v>31.3</v>
      </c>
      <c r="V61" s="26">
        <f t="shared" si="10"/>
        <v>576.79999999999995</v>
      </c>
      <c r="W61" s="26">
        <f t="shared" si="8"/>
        <v>0</v>
      </c>
      <c r="X61" s="26">
        <f t="shared" si="3"/>
        <v>0</v>
      </c>
      <c r="Y61" s="26">
        <f t="shared" si="11"/>
        <v>0</v>
      </c>
      <c r="Z61" s="26">
        <f t="shared" si="4"/>
        <v>0</v>
      </c>
      <c r="AA61" s="33" t="s">
        <v>15</v>
      </c>
      <c r="AB61" s="36" t="s">
        <v>16</v>
      </c>
      <c r="AC61" s="181">
        <f t="shared" si="5"/>
        <v>31.3</v>
      </c>
      <c r="AD61" s="181">
        <f t="shared" si="12"/>
        <v>18053.84</v>
      </c>
      <c r="AE61" s="181">
        <v>1.2</v>
      </c>
      <c r="AF61" s="181">
        <v>1.2</v>
      </c>
      <c r="AG61" s="101" t="str">
        <f t="shared" si="6"/>
        <v/>
      </c>
      <c r="AH61" s="190">
        <v>0</v>
      </c>
      <c r="AI61" s="69">
        <f t="shared" si="7"/>
        <v>31.3</v>
      </c>
    </row>
    <row r="62" spans="1:35" s="69" customFormat="1" ht="26.1" customHeight="1" x14ac:dyDescent="0.3">
      <c r="A62" s="55" t="s">
        <v>173</v>
      </c>
      <c r="B62" s="215" t="s">
        <v>174</v>
      </c>
      <c r="C62" s="54" t="s">
        <v>30</v>
      </c>
      <c r="D62" s="75">
        <v>360.35</v>
      </c>
      <c r="E62" s="75"/>
      <c r="F62" s="75"/>
      <c r="G62" s="75"/>
      <c r="H62" s="75" t="s">
        <v>15</v>
      </c>
      <c r="I62" s="75">
        <v>615.34</v>
      </c>
      <c r="J62" s="75">
        <v>221737.77</v>
      </c>
      <c r="K62" s="91" t="s">
        <v>175</v>
      </c>
      <c r="L62" s="73"/>
      <c r="M62" s="46">
        <v>132</v>
      </c>
      <c r="N62" s="46">
        <v>0</v>
      </c>
      <c r="O62" s="46">
        <v>81224.88</v>
      </c>
      <c r="P62" s="98"/>
      <c r="Q62" s="23" t="s">
        <v>1391</v>
      </c>
      <c r="R62" s="24" t="s">
        <v>174</v>
      </c>
      <c r="S62" s="25" t="s">
        <v>30</v>
      </c>
      <c r="T62" s="26">
        <v>360.35</v>
      </c>
      <c r="U62" s="26">
        <v>360.35</v>
      </c>
      <c r="V62" s="26">
        <f t="shared" si="10"/>
        <v>615.34</v>
      </c>
      <c r="W62" s="128">
        <f t="shared" si="8"/>
        <v>0</v>
      </c>
      <c r="X62" s="26">
        <f t="shared" si="3"/>
        <v>132</v>
      </c>
      <c r="Y62" s="26">
        <f t="shared" si="11"/>
        <v>0</v>
      </c>
      <c r="Z62" s="26">
        <f t="shared" si="4"/>
        <v>81224.88</v>
      </c>
      <c r="AA62" s="33" t="s">
        <v>15</v>
      </c>
      <c r="AB62" s="36" t="s">
        <v>16</v>
      </c>
      <c r="AC62" s="181">
        <f t="shared" si="5"/>
        <v>360.35</v>
      </c>
      <c r="AD62" s="181">
        <f t="shared" si="12"/>
        <v>221737.77</v>
      </c>
      <c r="AE62" s="181">
        <v>1.2</v>
      </c>
      <c r="AF62" s="181">
        <v>1.2</v>
      </c>
      <c r="AG62" s="101" t="str">
        <f t="shared" si="6"/>
        <v/>
      </c>
      <c r="AH62" s="191">
        <v>132</v>
      </c>
      <c r="AI62" s="69">
        <f t="shared" si="7"/>
        <v>360.35</v>
      </c>
    </row>
    <row r="63" spans="1:35" s="69" customFormat="1" ht="26.1" customHeight="1" x14ac:dyDescent="0.3">
      <c r="A63" s="55" t="s">
        <v>176</v>
      </c>
      <c r="B63" s="215" t="s">
        <v>177</v>
      </c>
      <c r="C63" s="54" t="s">
        <v>30</v>
      </c>
      <c r="D63" s="75">
        <v>691.14</v>
      </c>
      <c r="E63" s="75"/>
      <c r="F63" s="75"/>
      <c r="G63" s="75"/>
      <c r="H63" s="75" t="s">
        <v>15</v>
      </c>
      <c r="I63" s="75">
        <v>685.3</v>
      </c>
      <c r="J63" s="75">
        <v>473638.24</v>
      </c>
      <c r="K63" s="91" t="s">
        <v>178</v>
      </c>
      <c r="L63" s="73"/>
      <c r="M63" s="46">
        <v>421</v>
      </c>
      <c r="N63" s="46">
        <v>0</v>
      </c>
      <c r="O63" s="46">
        <v>288511.3</v>
      </c>
      <c r="P63" s="98"/>
      <c r="Q63" s="23" t="s">
        <v>1436</v>
      </c>
      <c r="R63" s="24" t="s">
        <v>177</v>
      </c>
      <c r="S63" s="25" t="s">
        <v>30</v>
      </c>
      <c r="T63" s="26">
        <v>691.14</v>
      </c>
      <c r="U63" s="26">
        <v>691.14</v>
      </c>
      <c r="V63" s="26">
        <f t="shared" si="10"/>
        <v>685.3</v>
      </c>
      <c r="W63" s="128">
        <f t="shared" si="8"/>
        <v>0</v>
      </c>
      <c r="X63" s="26">
        <f t="shared" si="3"/>
        <v>421</v>
      </c>
      <c r="Y63" s="26">
        <f t="shared" si="11"/>
        <v>0</v>
      </c>
      <c r="Z63" s="26">
        <f t="shared" si="4"/>
        <v>288511.3</v>
      </c>
      <c r="AA63" s="33" t="s">
        <v>15</v>
      </c>
      <c r="AB63" s="36" t="s">
        <v>16</v>
      </c>
      <c r="AC63" s="181">
        <f t="shared" si="5"/>
        <v>691.14</v>
      </c>
      <c r="AD63" s="181">
        <f t="shared" si="12"/>
        <v>473638.24</v>
      </c>
      <c r="AE63" s="181">
        <v>1.2</v>
      </c>
      <c r="AF63" s="181">
        <v>1.2</v>
      </c>
      <c r="AG63" s="101" t="str">
        <f t="shared" si="6"/>
        <v/>
      </c>
      <c r="AH63" s="191">
        <v>421</v>
      </c>
      <c r="AI63" s="69">
        <f t="shared" si="7"/>
        <v>691.14</v>
      </c>
    </row>
    <row r="64" spans="1:35" s="69" customFormat="1" ht="26.1" customHeight="1" x14ac:dyDescent="0.3">
      <c r="A64" s="55" t="s">
        <v>179</v>
      </c>
      <c r="B64" s="215" t="s">
        <v>180</v>
      </c>
      <c r="C64" s="54" t="s">
        <v>30</v>
      </c>
      <c r="D64" s="75">
        <v>890.62</v>
      </c>
      <c r="E64" s="75"/>
      <c r="F64" s="75"/>
      <c r="G64" s="75"/>
      <c r="H64" s="75" t="s">
        <v>15</v>
      </c>
      <c r="I64" s="75">
        <v>699.72</v>
      </c>
      <c r="J64" s="75">
        <v>623184.63</v>
      </c>
      <c r="K64" s="91" t="s">
        <v>181</v>
      </c>
      <c r="L64" s="73"/>
      <c r="M64" s="46">
        <v>457</v>
      </c>
      <c r="N64" s="46">
        <v>0</v>
      </c>
      <c r="O64" s="46">
        <v>319772.03999999998</v>
      </c>
      <c r="P64" s="98"/>
      <c r="Q64" s="23" t="s">
        <v>1374</v>
      </c>
      <c r="R64" s="24" t="s">
        <v>180</v>
      </c>
      <c r="S64" s="25" t="s">
        <v>30</v>
      </c>
      <c r="T64" s="26">
        <v>890.62</v>
      </c>
      <c r="U64" s="26">
        <v>890.62</v>
      </c>
      <c r="V64" s="26">
        <f t="shared" si="10"/>
        <v>699.72</v>
      </c>
      <c r="W64" s="128">
        <f t="shared" si="8"/>
        <v>192</v>
      </c>
      <c r="X64" s="26">
        <f t="shared" si="3"/>
        <v>649</v>
      </c>
      <c r="Y64" s="26">
        <f t="shared" si="11"/>
        <v>134346.24000000005</v>
      </c>
      <c r="Z64" s="26">
        <f t="shared" si="4"/>
        <v>454118.28</v>
      </c>
      <c r="AA64" s="33" t="s">
        <v>15</v>
      </c>
      <c r="AB64" s="36" t="s">
        <v>16</v>
      </c>
      <c r="AC64" s="181">
        <f t="shared" si="5"/>
        <v>890.62</v>
      </c>
      <c r="AD64" s="181">
        <f t="shared" si="12"/>
        <v>623184.63</v>
      </c>
      <c r="AE64" s="181">
        <v>1.2</v>
      </c>
      <c r="AF64" s="181">
        <v>1.2</v>
      </c>
      <c r="AG64" s="101" t="str">
        <f t="shared" si="6"/>
        <v/>
      </c>
      <c r="AH64" s="191">
        <f>457+192</f>
        <v>649</v>
      </c>
      <c r="AI64" s="69">
        <f t="shared" si="7"/>
        <v>890.62</v>
      </c>
    </row>
    <row r="65" spans="1:35" s="69" customFormat="1" ht="26.1" customHeight="1" x14ac:dyDescent="0.3">
      <c r="A65" s="55" t="s">
        <v>182</v>
      </c>
      <c r="B65" s="53" t="s">
        <v>183</v>
      </c>
      <c r="C65" s="54" t="s">
        <v>30</v>
      </c>
      <c r="D65" s="75">
        <v>85.77</v>
      </c>
      <c r="E65" s="75"/>
      <c r="F65" s="75"/>
      <c r="G65" s="75"/>
      <c r="H65" s="75" t="s">
        <v>15</v>
      </c>
      <c r="I65" s="75">
        <v>1199.33</v>
      </c>
      <c r="J65" s="75">
        <v>102866.53</v>
      </c>
      <c r="K65" s="91" t="s">
        <v>184</v>
      </c>
      <c r="L65" s="73"/>
      <c r="M65" s="46">
        <v>0</v>
      </c>
      <c r="N65" s="46">
        <v>0</v>
      </c>
      <c r="O65" s="46">
        <v>0</v>
      </c>
      <c r="P65" s="98"/>
      <c r="Q65" s="23" t="s">
        <v>1376</v>
      </c>
      <c r="R65" s="24" t="s">
        <v>183</v>
      </c>
      <c r="S65" s="25" t="s">
        <v>30</v>
      </c>
      <c r="T65" s="26">
        <v>85.77</v>
      </c>
      <c r="U65" s="26">
        <v>85.77</v>
      </c>
      <c r="V65" s="26">
        <f t="shared" si="10"/>
        <v>1199.33</v>
      </c>
      <c r="W65" s="128">
        <f t="shared" si="8"/>
        <v>12</v>
      </c>
      <c r="X65" s="26">
        <f t="shared" si="3"/>
        <v>12</v>
      </c>
      <c r="Y65" s="26">
        <f t="shared" si="11"/>
        <v>14391.96</v>
      </c>
      <c r="Z65" s="26">
        <f t="shared" si="4"/>
        <v>14391.96</v>
      </c>
      <c r="AA65" s="33" t="s">
        <v>15</v>
      </c>
      <c r="AB65" s="36" t="s">
        <v>16</v>
      </c>
      <c r="AC65" s="181">
        <f t="shared" si="5"/>
        <v>85.77</v>
      </c>
      <c r="AD65" s="181">
        <f t="shared" si="12"/>
        <v>102866.53</v>
      </c>
      <c r="AE65" s="181">
        <v>1.2</v>
      </c>
      <c r="AF65" s="181">
        <v>1.2</v>
      </c>
      <c r="AG65" s="101" t="str">
        <f t="shared" si="6"/>
        <v/>
      </c>
      <c r="AH65" s="191">
        <f>12</f>
        <v>12</v>
      </c>
      <c r="AI65" s="69">
        <f t="shared" si="7"/>
        <v>85.77</v>
      </c>
    </row>
    <row r="66" spans="1:35" s="69" customFormat="1" ht="26.1" customHeight="1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 t="s">
        <v>15</v>
      </c>
      <c r="I66" s="75">
        <v>57.68</v>
      </c>
      <c r="J66" s="75">
        <v>10833.46</v>
      </c>
      <c r="K66" s="91" t="s">
        <v>187</v>
      </c>
      <c r="L66" s="73"/>
      <c r="M66" s="46">
        <v>0</v>
      </c>
      <c r="N66" s="46">
        <v>0</v>
      </c>
      <c r="O66" s="46">
        <v>0</v>
      </c>
      <c r="P66" s="98"/>
      <c r="Q66" s="23" t="s">
        <v>1378</v>
      </c>
      <c r="R66" s="24" t="s">
        <v>186</v>
      </c>
      <c r="S66" s="25" t="s">
        <v>30</v>
      </c>
      <c r="T66" s="26">
        <v>187.82</v>
      </c>
      <c r="U66" s="26">
        <v>187.82</v>
      </c>
      <c r="V66" s="26">
        <f t="shared" si="10"/>
        <v>57.68</v>
      </c>
      <c r="W66" s="26">
        <f t="shared" si="8"/>
        <v>0</v>
      </c>
      <c r="X66" s="26">
        <f t="shared" si="3"/>
        <v>0</v>
      </c>
      <c r="Y66" s="26">
        <f t="shared" si="11"/>
        <v>0</v>
      </c>
      <c r="Z66" s="26">
        <f t="shared" si="4"/>
        <v>0</v>
      </c>
      <c r="AA66" s="33" t="s">
        <v>15</v>
      </c>
      <c r="AB66" s="36" t="s">
        <v>16</v>
      </c>
      <c r="AC66" s="181">
        <f t="shared" si="5"/>
        <v>187.82</v>
      </c>
      <c r="AD66" s="181">
        <f t="shared" si="12"/>
        <v>10833.46</v>
      </c>
      <c r="AE66" s="181">
        <v>1.2</v>
      </c>
      <c r="AF66" s="181">
        <v>1.2</v>
      </c>
      <c r="AG66" s="101" t="str">
        <f t="shared" si="6"/>
        <v/>
      </c>
      <c r="AH66" s="190">
        <v>0</v>
      </c>
      <c r="AI66" s="69">
        <f t="shared" si="7"/>
        <v>187.82</v>
      </c>
    </row>
    <row r="67" spans="1:35" s="69" customFormat="1" ht="26.1" customHeight="1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 t="s">
        <v>15</v>
      </c>
      <c r="I67" s="75">
        <v>138.84</v>
      </c>
      <c r="J67" s="75">
        <v>2611.58</v>
      </c>
      <c r="K67" s="91" t="s">
        <v>190</v>
      </c>
      <c r="L67" s="73"/>
      <c r="M67" s="46">
        <v>0</v>
      </c>
      <c r="N67" s="46">
        <v>0</v>
      </c>
      <c r="O67" s="46">
        <v>0</v>
      </c>
      <c r="P67" s="98"/>
      <c r="Q67" s="23" t="s">
        <v>1438</v>
      </c>
      <c r="R67" s="24" t="s">
        <v>189</v>
      </c>
      <c r="S67" s="25" t="s">
        <v>30</v>
      </c>
      <c r="T67" s="26">
        <v>18.809999999999999</v>
      </c>
      <c r="U67" s="26">
        <v>18.809999999999999</v>
      </c>
      <c r="V67" s="26">
        <f t="shared" si="10"/>
        <v>138.84</v>
      </c>
      <c r="W67" s="26">
        <f t="shared" si="8"/>
        <v>0</v>
      </c>
      <c r="X67" s="26">
        <f t="shared" si="3"/>
        <v>0</v>
      </c>
      <c r="Y67" s="26">
        <f t="shared" si="11"/>
        <v>0</v>
      </c>
      <c r="Z67" s="26">
        <f t="shared" si="4"/>
        <v>0</v>
      </c>
      <c r="AA67" s="33" t="s">
        <v>15</v>
      </c>
      <c r="AB67" s="36" t="s">
        <v>16</v>
      </c>
      <c r="AC67" s="181">
        <f t="shared" si="5"/>
        <v>18.809999999999999</v>
      </c>
      <c r="AD67" s="181">
        <f t="shared" si="12"/>
        <v>2611.58</v>
      </c>
      <c r="AE67" s="181">
        <v>1.2</v>
      </c>
      <c r="AF67" s="181">
        <v>1.2</v>
      </c>
      <c r="AG67" s="101" t="str">
        <f t="shared" si="6"/>
        <v/>
      </c>
      <c r="AH67" s="190">
        <v>0</v>
      </c>
      <c r="AI67" s="69">
        <f t="shared" si="7"/>
        <v>18.809999999999999</v>
      </c>
    </row>
    <row r="68" spans="1:35" s="69" customFormat="1" ht="26.1" customHeight="1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 t="s">
        <v>15</v>
      </c>
      <c r="I68" s="75">
        <v>2145.42</v>
      </c>
      <c r="J68" s="75">
        <v>43938.2</v>
      </c>
      <c r="K68" s="91" t="s">
        <v>193</v>
      </c>
      <c r="L68" s="73"/>
      <c r="M68" s="46">
        <v>0</v>
      </c>
      <c r="N68" s="46">
        <v>0</v>
      </c>
      <c r="O68" s="46">
        <v>0</v>
      </c>
      <c r="P68" s="98"/>
      <c r="Q68" s="23" t="s">
        <v>1439</v>
      </c>
      <c r="R68" s="24" t="s">
        <v>192</v>
      </c>
      <c r="S68" s="25" t="s">
        <v>50</v>
      </c>
      <c r="T68" s="26">
        <v>20.48</v>
      </c>
      <c r="U68" s="26">
        <v>20.48</v>
      </c>
      <c r="V68" s="26">
        <f t="shared" si="10"/>
        <v>2145.42</v>
      </c>
      <c r="W68" s="26">
        <f t="shared" si="8"/>
        <v>0</v>
      </c>
      <c r="X68" s="26">
        <f t="shared" si="3"/>
        <v>0</v>
      </c>
      <c r="Y68" s="26">
        <f t="shared" si="11"/>
        <v>0</v>
      </c>
      <c r="Z68" s="26">
        <f t="shared" si="4"/>
        <v>0</v>
      </c>
      <c r="AA68" s="33" t="s">
        <v>15</v>
      </c>
      <c r="AB68" s="36" t="s">
        <v>16</v>
      </c>
      <c r="AC68" s="181">
        <f t="shared" si="5"/>
        <v>20.48</v>
      </c>
      <c r="AD68" s="181">
        <f t="shared" si="12"/>
        <v>43938.2</v>
      </c>
      <c r="AE68" s="181">
        <v>1.2</v>
      </c>
      <c r="AF68" s="181">
        <v>1.2</v>
      </c>
      <c r="AG68" s="101" t="str">
        <f t="shared" si="6"/>
        <v/>
      </c>
      <c r="AH68" s="190">
        <v>0</v>
      </c>
      <c r="AI68" s="69">
        <f t="shared" si="7"/>
        <v>20.48</v>
      </c>
    </row>
    <row r="69" spans="1:35" s="69" customFormat="1" ht="26.1" customHeight="1" x14ac:dyDescent="0.3">
      <c r="A69" s="55" t="s">
        <v>194</v>
      </c>
      <c r="B69" s="53" t="s">
        <v>195</v>
      </c>
      <c r="C69" s="54" t="s">
        <v>30</v>
      </c>
      <c r="D69" s="75">
        <v>354.7</v>
      </c>
      <c r="E69" s="75"/>
      <c r="F69" s="75"/>
      <c r="G69" s="75"/>
      <c r="H69" s="75" t="s">
        <v>15</v>
      </c>
      <c r="I69" s="75">
        <v>511.4</v>
      </c>
      <c r="J69" s="75">
        <v>181393.58</v>
      </c>
      <c r="K69" s="91" t="s">
        <v>3143</v>
      </c>
      <c r="L69" s="73"/>
      <c r="M69" s="46">
        <v>0</v>
      </c>
      <c r="N69" s="46">
        <v>0</v>
      </c>
      <c r="O69" s="46">
        <v>0</v>
      </c>
      <c r="P69" s="98"/>
      <c r="Q69" s="23" t="s">
        <v>1440</v>
      </c>
      <c r="R69" s="24" t="s">
        <v>195</v>
      </c>
      <c r="S69" s="25" t="s">
        <v>30</v>
      </c>
      <c r="T69" s="26">
        <v>354.7</v>
      </c>
      <c r="U69" s="26">
        <v>354.7</v>
      </c>
      <c r="V69" s="26">
        <f t="shared" si="10"/>
        <v>511.4</v>
      </c>
      <c r="W69" s="128">
        <f t="shared" si="8"/>
        <v>127</v>
      </c>
      <c r="X69" s="26">
        <f t="shared" si="3"/>
        <v>127</v>
      </c>
      <c r="Y69" s="26">
        <f t="shared" si="11"/>
        <v>64947.8</v>
      </c>
      <c r="Z69" s="26">
        <f t="shared" si="4"/>
        <v>64947.8</v>
      </c>
      <c r="AA69" s="33" t="s">
        <v>15</v>
      </c>
      <c r="AB69" s="36" t="s">
        <v>16</v>
      </c>
      <c r="AC69" s="181">
        <f t="shared" si="5"/>
        <v>354.7</v>
      </c>
      <c r="AD69" s="181">
        <f t="shared" si="12"/>
        <v>181393.58</v>
      </c>
      <c r="AE69" s="181">
        <v>1.2</v>
      </c>
      <c r="AF69" s="181">
        <v>1.2</v>
      </c>
      <c r="AG69" s="101" t="str">
        <f t="shared" si="6"/>
        <v/>
      </c>
      <c r="AH69" s="191">
        <f>127</f>
        <v>127</v>
      </c>
      <c r="AI69" s="69">
        <f t="shared" si="7"/>
        <v>354.7</v>
      </c>
    </row>
    <row r="70" spans="1:35" s="69" customFormat="1" ht="26.1" customHeight="1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 t="s">
        <v>15</v>
      </c>
      <c r="I70" s="75">
        <v>578.86</v>
      </c>
      <c r="J70" s="75">
        <v>25875.040000000001</v>
      </c>
      <c r="K70" s="91" t="s">
        <v>199</v>
      </c>
      <c r="L70" s="73"/>
      <c r="M70" s="46">
        <v>0</v>
      </c>
      <c r="N70" s="46">
        <v>0</v>
      </c>
      <c r="O70" s="46">
        <v>0</v>
      </c>
      <c r="P70" s="98"/>
      <c r="Q70" s="23" t="s">
        <v>1441</v>
      </c>
      <c r="R70" s="24" t="s">
        <v>198</v>
      </c>
      <c r="S70" s="25" t="s">
        <v>30</v>
      </c>
      <c r="T70" s="26">
        <v>44.7</v>
      </c>
      <c r="U70" s="26">
        <v>44.7</v>
      </c>
      <c r="V70" s="26">
        <f t="shared" si="10"/>
        <v>578.86</v>
      </c>
      <c r="W70" s="26">
        <f t="shared" si="8"/>
        <v>0</v>
      </c>
      <c r="X70" s="26">
        <f t="shared" si="3"/>
        <v>0</v>
      </c>
      <c r="Y70" s="26">
        <f t="shared" si="11"/>
        <v>0</v>
      </c>
      <c r="Z70" s="26">
        <f t="shared" si="4"/>
        <v>0</v>
      </c>
      <c r="AA70" s="33" t="s">
        <v>15</v>
      </c>
      <c r="AB70" s="36" t="s">
        <v>16</v>
      </c>
      <c r="AC70" s="181">
        <f t="shared" si="5"/>
        <v>44.7</v>
      </c>
      <c r="AD70" s="181">
        <f t="shared" si="12"/>
        <v>25875.040000000001</v>
      </c>
      <c r="AE70" s="181">
        <v>1.2</v>
      </c>
      <c r="AF70" s="181">
        <v>1.2</v>
      </c>
      <c r="AG70" s="101" t="str">
        <f t="shared" si="6"/>
        <v/>
      </c>
      <c r="AH70" s="190">
        <v>0</v>
      </c>
      <c r="AI70" s="69">
        <f t="shared" si="7"/>
        <v>44.7</v>
      </c>
    </row>
    <row r="71" spans="1:35" s="69" customFormat="1" ht="26.1" customHeight="1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 t="s">
        <v>15</v>
      </c>
      <c r="I71" s="75">
        <v>723.06</v>
      </c>
      <c r="J71" s="75">
        <v>22414.86</v>
      </c>
      <c r="K71" s="91" t="s">
        <v>202</v>
      </c>
      <c r="L71" s="73"/>
      <c r="M71" s="46">
        <v>0</v>
      </c>
      <c r="N71" s="46">
        <v>0</v>
      </c>
      <c r="O71" s="46">
        <v>0</v>
      </c>
      <c r="P71" s="98"/>
      <c r="Q71" s="23" t="s">
        <v>1442</v>
      </c>
      <c r="R71" s="24" t="s">
        <v>201</v>
      </c>
      <c r="S71" s="25" t="s">
        <v>30</v>
      </c>
      <c r="T71" s="26">
        <v>31</v>
      </c>
      <c r="U71" s="26">
        <v>31</v>
      </c>
      <c r="V71" s="26">
        <f t="shared" si="10"/>
        <v>723.06</v>
      </c>
      <c r="W71" s="26">
        <f t="shared" si="8"/>
        <v>0</v>
      </c>
      <c r="X71" s="26">
        <f t="shared" si="3"/>
        <v>0</v>
      </c>
      <c r="Y71" s="26">
        <f t="shared" si="11"/>
        <v>0</v>
      </c>
      <c r="Z71" s="26">
        <f t="shared" si="4"/>
        <v>0</v>
      </c>
      <c r="AA71" s="33" t="s">
        <v>15</v>
      </c>
      <c r="AB71" s="36" t="s">
        <v>16</v>
      </c>
      <c r="AC71" s="181">
        <f t="shared" si="5"/>
        <v>31</v>
      </c>
      <c r="AD71" s="181">
        <f t="shared" si="12"/>
        <v>22414.86</v>
      </c>
      <c r="AE71" s="181">
        <v>1.2</v>
      </c>
      <c r="AF71" s="181">
        <v>1.2</v>
      </c>
      <c r="AG71" s="101" t="str">
        <f t="shared" si="6"/>
        <v/>
      </c>
      <c r="AH71" s="190">
        <v>0</v>
      </c>
      <c r="AI71" s="69">
        <f t="shared" si="7"/>
        <v>31</v>
      </c>
    </row>
    <row r="72" spans="1:35" s="69" customFormat="1" ht="26.1" customHeight="1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 t="s">
        <v>15</v>
      </c>
      <c r="I72" s="75">
        <v>829.15</v>
      </c>
      <c r="J72" s="75">
        <v>15007.62</v>
      </c>
      <c r="K72" s="91" t="s">
        <v>205</v>
      </c>
      <c r="L72" s="73"/>
      <c r="M72" s="46">
        <v>0</v>
      </c>
      <c r="N72" s="46">
        <v>0</v>
      </c>
      <c r="O72" s="46">
        <v>0</v>
      </c>
      <c r="P72" s="98"/>
      <c r="Q72" s="23" t="s">
        <v>1443</v>
      </c>
      <c r="R72" s="24" t="s">
        <v>204</v>
      </c>
      <c r="S72" s="25" t="s">
        <v>30</v>
      </c>
      <c r="T72" s="26">
        <v>18.100000000000001</v>
      </c>
      <c r="U72" s="26">
        <v>18.100000000000001</v>
      </c>
      <c r="V72" s="26">
        <f t="shared" si="10"/>
        <v>829.15</v>
      </c>
      <c r="W72" s="26">
        <f t="shared" si="8"/>
        <v>0</v>
      </c>
      <c r="X72" s="26">
        <f t="shared" si="3"/>
        <v>0</v>
      </c>
      <c r="Y72" s="26">
        <f t="shared" si="11"/>
        <v>0</v>
      </c>
      <c r="Z72" s="26">
        <f t="shared" si="4"/>
        <v>0</v>
      </c>
      <c r="AA72" s="33" t="s">
        <v>15</v>
      </c>
      <c r="AB72" s="36" t="s">
        <v>16</v>
      </c>
      <c r="AC72" s="181">
        <f t="shared" si="5"/>
        <v>18.100000000000001</v>
      </c>
      <c r="AD72" s="181">
        <f t="shared" si="12"/>
        <v>15007.62</v>
      </c>
      <c r="AE72" s="181">
        <v>1.2</v>
      </c>
      <c r="AF72" s="181">
        <v>1.2</v>
      </c>
      <c r="AG72" s="101" t="str">
        <f t="shared" si="6"/>
        <v/>
      </c>
      <c r="AH72" s="190">
        <v>0</v>
      </c>
      <c r="AI72" s="69">
        <f t="shared" si="7"/>
        <v>18.100000000000001</v>
      </c>
    </row>
    <row r="73" spans="1:35" s="69" customFormat="1" ht="26.1" customHeight="1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 t="s">
        <v>15</v>
      </c>
      <c r="I73" s="75">
        <v>443.93</v>
      </c>
      <c r="J73" s="75">
        <v>80084.97</v>
      </c>
      <c r="K73" s="91" t="s">
        <v>208</v>
      </c>
      <c r="L73" s="73"/>
      <c r="M73" s="46">
        <v>0</v>
      </c>
      <c r="N73" s="46">
        <v>0</v>
      </c>
      <c r="O73" s="46">
        <v>0</v>
      </c>
      <c r="P73" s="98"/>
      <c r="Q73" s="23" t="s">
        <v>1444</v>
      </c>
      <c r="R73" s="24" t="s">
        <v>207</v>
      </c>
      <c r="S73" s="25" t="s">
        <v>30</v>
      </c>
      <c r="T73" s="26">
        <v>180.4</v>
      </c>
      <c r="U73" s="26">
        <v>180.4</v>
      </c>
      <c r="V73" s="26">
        <f t="shared" si="10"/>
        <v>443.93</v>
      </c>
      <c r="W73" s="26">
        <f t="shared" si="8"/>
        <v>0</v>
      </c>
      <c r="X73" s="26">
        <f t="shared" si="3"/>
        <v>0</v>
      </c>
      <c r="Y73" s="26">
        <f t="shared" si="11"/>
        <v>0</v>
      </c>
      <c r="Z73" s="26">
        <f t="shared" si="4"/>
        <v>0</v>
      </c>
      <c r="AA73" s="33" t="s">
        <v>15</v>
      </c>
      <c r="AB73" s="36" t="s">
        <v>16</v>
      </c>
      <c r="AC73" s="181">
        <f t="shared" si="5"/>
        <v>180.4</v>
      </c>
      <c r="AD73" s="181">
        <f t="shared" si="12"/>
        <v>80084.97</v>
      </c>
      <c r="AE73" s="181">
        <v>1.2</v>
      </c>
      <c r="AF73" s="181">
        <v>1.2</v>
      </c>
      <c r="AG73" s="101" t="str">
        <f t="shared" si="6"/>
        <v/>
      </c>
      <c r="AH73" s="190">
        <v>0</v>
      </c>
      <c r="AI73" s="69">
        <f t="shared" si="7"/>
        <v>180.4</v>
      </c>
    </row>
    <row r="74" spans="1:35" s="69" customFormat="1" ht="26.1" customHeight="1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 t="s">
        <v>15</v>
      </c>
      <c r="I74" s="75">
        <v>578.86</v>
      </c>
      <c r="J74" s="75">
        <v>14818.82</v>
      </c>
      <c r="K74" s="91" t="s">
        <v>211</v>
      </c>
      <c r="L74" s="73"/>
      <c r="M74" s="46">
        <v>0</v>
      </c>
      <c r="N74" s="46">
        <v>0</v>
      </c>
      <c r="O74" s="46">
        <v>0</v>
      </c>
      <c r="P74" s="98"/>
      <c r="Q74" s="23" t="s">
        <v>1408</v>
      </c>
      <c r="R74" s="24" t="s">
        <v>210</v>
      </c>
      <c r="S74" s="25" t="s">
        <v>30</v>
      </c>
      <c r="T74" s="26">
        <v>25.6</v>
      </c>
      <c r="U74" s="26">
        <v>25.6</v>
      </c>
      <c r="V74" s="26">
        <f t="shared" si="10"/>
        <v>578.86</v>
      </c>
      <c r="W74" s="26">
        <f t="shared" si="8"/>
        <v>0</v>
      </c>
      <c r="X74" s="26">
        <f t="shared" si="3"/>
        <v>0</v>
      </c>
      <c r="Y74" s="26">
        <f t="shared" si="11"/>
        <v>0</v>
      </c>
      <c r="Z74" s="26">
        <f t="shared" si="4"/>
        <v>0</v>
      </c>
      <c r="AA74" s="33" t="s">
        <v>15</v>
      </c>
      <c r="AB74" s="36" t="s">
        <v>16</v>
      </c>
      <c r="AC74" s="181">
        <f t="shared" si="5"/>
        <v>25.6</v>
      </c>
      <c r="AD74" s="181">
        <f t="shared" si="12"/>
        <v>14818.82</v>
      </c>
      <c r="AE74" s="181">
        <v>1.2</v>
      </c>
      <c r="AF74" s="181">
        <v>1.2</v>
      </c>
      <c r="AG74" s="101" t="str">
        <f t="shared" si="6"/>
        <v/>
      </c>
      <c r="AH74" s="190">
        <v>0</v>
      </c>
      <c r="AI74" s="69">
        <f t="shared" si="7"/>
        <v>25.6</v>
      </c>
    </row>
    <row r="75" spans="1:35" s="69" customFormat="1" ht="26.1" customHeight="1" x14ac:dyDescent="0.3">
      <c r="A75" s="55" t="s">
        <v>212</v>
      </c>
      <c r="B75" s="53" t="s">
        <v>213</v>
      </c>
      <c r="C75" s="54" t="s">
        <v>81</v>
      </c>
      <c r="D75" s="75">
        <v>7</v>
      </c>
      <c r="E75" s="75"/>
      <c r="F75" s="75"/>
      <c r="G75" s="75"/>
      <c r="H75" s="75" t="s">
        <v>15</v>
      </c>
      <c r="I75" s="75">
        <v>17307.09</v>
      </c>
      <c r="J75" s="75">
        <v>121149.63</v>
      </c>
      <c r="K75" s="91" t="s">
        <v>214</v>
      </c>
      <c r="L75" s="73"/>
      <c r="M75" s="46">
        <v>0</v>
      </c>
      <c r="N75" s="46">
        <v>0</v>
      </c>
      <c r="O75" s="46">
        <v>0</v>
      </c>
      <c r="P75" s="98"/>
      <c r="Q75" s="23" t="s">
        <v>1409</v>
      </c>
      <c r="R75" s="24" t="s">
        <v>213</v>
      </c>
      <c r="S75" s="25" t="s">
        <v>81</v>
      </c>
      <c r="T75" s="26">
        <v>7</v>
      </c>
      <c r="U75" s="26">
        <v>7</v>
      </c>
      <c r="V75" s="26">
        <f t="shared" si="10"/>
        <v>17307.09</v>
      </c>
      <c r="W75" s="26">
        <f t="shared" si="8"/>
        <v>0</v>
      </c>
      <c r="X75" s="26">
        <f t="shared" ref="X75:X132" si="13">W75+M75</f>
        <v>0</v>
      </c>
      <c r="Y75" s="26">
        <f t="shared" si="11"/>
        <v>0</v>
      </c>
      <c r="Z75" s="26">
        <f t="shared" ref="Z75:Z138" si="14">ROUND(V75*X75,2)</f>
        <v>0</v>
      </c>
      <c r="AA75" s="33" t="s">
        <v>15</v>
      </c>
      <c r="AB75" s="36" t="s">
        <v>16</v>
      </c>
      <c r="AC75" s="181">
        <f t="shared" ref="AC75:AC138" si="15">IF(U75="",T75,U75)</f>
        <v>7</v>
      </c>
      <c r="AD75" s="181">
        <f t="shared" si="12"/>
        <v>121149.63</v>
      </c>
      <c r="AE75" s="181">
        <v>1.2</v>
      </c>
      <c r="AF75" s="181">
        <v>1.2</v>
      </c>
      <c r="AG75" s="101" t="str">
        <f t="shared" ref="AG75:AG138" si="16">IF(X75&gt;AI75,"超估","")</f>
        <v/>
      </c>
      <c r="AH75" s="190">
        <v>0</v>
      </c>
      <c r="AI75" s="69">
        <f t="shared" ref="AI75:AI138" si="17">IF(G75=0,IF(F75=0,IF(E75=0,D75,E75),F75),G75)</f>
        <v>7</v>
      </c>
    </row>
    <row r="76" spans="1:35" s="69" customFormat="1" ht="26.1" customHeight="1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 t="s">
        <v>15</v>
      </c>
      <c r="I76" s="75">
        <v>443.93</v>
      </c>
      <c r="J76" s="75">
        <v>3462.65</v>
      </c>
      <c r="K76" s="91" t="s">
        <v>217</v>
      </c>
      <c r="L76" s="73"/>
      <c r="M76" s="46">
        <v>0</v>
      </c>
      <c r="N76" s="46">
        <v>0</v>
      </c>
      <c r="O76" s="46">
        <v>0</v>
      </c>
      <c r="P76" s="98"/>
      <c r="Q76" s="23" t="s">
        <v>1410</v>
      </c>
      <c r="R76" s="24" t="s">
        <v>216</v>
      </c>
      <c r="S76" s="25" t="s">
        <v>30</v>
      </c>
      <c r="T76" s="26">
        <v>7.8</v>
      </c>
      <c r="U76" s="26">
        <v>7.8</v>
      </c>
      <c r="V76" s="26">
        <f t="shared" si="10"/>
        <v>443.93</v>
      </c>
      <c r="W76" s="26">
        <f t="shared" ref="W76:W132" si="18">AH76-M76</f>
        <v>0</v>
      </c>
      <c r="X76" s="26">
        <f t="shared" si="13"/>
        <v>0</v>
      </c>
      <c r="Y76" s="26">
        <f t="shared" si="11"/>
        <v>0</v>
      </c>
      <c r="Z76" s="26">
        <f t="shared" si="14"/>
        <v>0</v>
      </c>
      <c r="AA76" s="33" t="s">
        <v>15</v>
      </c>
      <c r="AB76" s="36" t="s">
        <v>16</v>
      </c>
      <c r="AC76" s="181">
        <f t="shared" si="15"/>
        <v>7.8</v>
      </c>
      <c r="AD76" s="181">
        <f t="shared" si="12"/>
        <v>3462.65</v>
      </c>
      <c r="AE76" s="181">
        <v>1.2</v>
      </c>
      <c r="AF76" s="181">
        <v>1.2</v>
      </c>
      <c r="AG76" s="101" t="str">
        <f t="shared" si="16"/>
        <v/>
      </c>
      <c r="AH76" s="190">
        <v>0</v>
      </c>
      <c r="AI76" s="69">
        <f t="shared" si="17"/>
        <v>7.8</v>
      </c>
    </row>
    <row r="77" spans="1:35" s="69" customFormat="1" ht="26.1" customHeight="1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 t="s">
        <v>15</v>
      </c>
      <c r="I77" s="75">
        <v>13705.7</v>
      </c>
      <c r="J77" s="75">
        <v>27411.4</v>
      </c>
      <c r="K77" s="91" t="s">
        <v>220</v>
      </c>
      <c r="L77" s="73"/>
      <c r="M77" s="46">
        <v>0</v>
      </c>
      <c r="N77" s="46">
        <v>0</v>
      </c>
      <c r="O77" s="46">
        <v>0</v>
      </c>
      <c r="P77" s="98"/>
      <c r="Q77" s="23" t="s">
        <v>1411</v>
      </c>
      <c r="R77" s="24" t="s">
        <v>219</v>
      </c>
      <c r="S77" s="25" t="s">
        <v>81</v>
      </c>
      <c r="T77" s="26">
        <v>2</v>
      </c>
      <c r="U77" s="26">
        <v>2</v>
      </c>
      <c r="V77" s="26">
        <f t="shared" si="10"/>
        <v>13705.7</v>
      </c>
      <c r="W77" s="26">
        <f t="shared" si="18"/>
        <v>0</v>
      </c>
      <c r="X77" s="26">
        <f t="shared" si="13"/>
        <v>0</v>
      </c>
      <c r="Y77" s="26">
        <f t="shared" si="11"/>
        <v>0</v>
      </c>
      <c r="Z77" s="26">
        <f t="shared" si="14"/>
        <v>0</v>
      </c>
      <c r="AA77" s="33" t="s">
        <v>15</v>
      </c>
      <c r="AB77" s="36" t="s">
        <v>16</v>
      </c>
      <c r="AC77" s="181">
        <f t="shared" si="15"/>
        <v>2</v>
      </c>
      <c r="AD77" s="181">
        <f t="shared" si="12"/>
        <v>27411.4</v>
      </c>
      <c r="AE77" s="181">
        <v>1.2</v>
      </c>
      <c r="AF77" s="181">
        <v>1.2</v>
      </c>
      <c r="AG77" s="101" t="str">
        <f t="shared" si="16"/>
        <v/>
      </c>
      <c r="AH77" s="190">
        <v>0</v>
      </c>
      <c r="AI77" s="69">
        <f t="shared" si="17"/>
        <v>2</v>
      </c>
    </row>
    <row r="78" spans="1:35" s="69" customFormat="1" ht="26.1" customHeight="1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 t="s">
        <v>15</v>
      </c>
      <c r="I78" s="75">
        <v>25126.95</v>
      </c>
      <c r="J78" s="75">
        <v>75380.850000000006</v>
      </c>
      <c r="K78" s="91" t="s">
        <v>223</v>
      </c>
      <c r="L78" s="73"/>
      <c r="M78" s="46">
        <v>0</v>
      </c>
      <c r="N78" s="46">
        <v>0</v>
      </c>
      <c r="O78" s="46">
        <v>0</v>
      </c>
      <c r="P78" s="98"/>
      <c r="Q78" s="23" t="s">
        <v>1445</v>
      </c>
      <c r="R78" s="24" t="s">
        <v>222</v>
      </c>
      <c r="S78" s="25" t="s">
        <v>81</v>
      </c>
      <c r="T78" s="26">
        <v>3</v>
      </c>
      <c r="U78" s="26">
        <v>3</v>
      </c>
      <c r="V78" s="26">
        <f t="shared" si="10"/>
        <v>25126.95</v>
      </c>
      <c r="W78" s="26">
        <f t="shared" si="18"/>
        <v>0</v>
      </c>
      <c r="X78" s="26">
        <f t="shared" si="13"/>
        <v>0</v>
      </c>
      <c r="Y78" s="26">
        <f t="shared" si="11"/>
        <v>0</v>
      </c>
      <c r="Z78" s="26">
        <f t="shared" si="14"/>
        <v>0</v>
      </c>
      <c r="AA78" s="33" t="s">
        <v>15</v>
      </c>
      <c r="AB78" s="36" t="s">
        <v>16</v>
      </c>
      <c r="AC78" s="181">
        <f t="shared" si="15"/>
        <v>3</v>
      </c>
      <c r="AD78" s="181">
        <f t="shared" si="12"/>
        <v>75380.850000000006</v>
      </c>
      <c r="AE78" s="181">
        <v>1.2</v>
      </c>
      <c r="AF78" s="181">
        <v>1.2</v>
      </c>
      <c r="AG78" s="101" t="str">
        <f t="shared" si="16"/>
        <v/>
      </c>
      <c r="AH78" s="190">
        <v>0</v>
      </c>
      <c r="AI78" s="69">
        <f t="shared" si="17"/>
        <v>3</v>
      </c>
    </row>
    <row r="79" spans="1:35" s="69" customFormat="1" ht="26.1" customHeight="1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 t="s">
        <v>15</v>
      </c>
      <c r="I79" s="75">
        <v>2901.57</v>
      </c>
      <c r="J79" s="75">
        <v>52228.26</v>
      </c>
      <c r="K79" s="91" t="s">
        <v>226</v>
      </c>
      <c r="L79" s="73"/>
      <c r="M79" s="46">
        <v>0</v>
      </c>
      <c r="N79" s="46">
        <v>0</v>
      </c>
      <c r="O79" s="46">
        <v>0</v>
      </c>
      <c r="P79" s="98"/>
      <c r="Q79" s="23" t="s">
        <v>1383</v>
      </c>
      <c r="R79" s="24" t="s">
        <v>225</v>
      </c>
      <c r="S79" s="25" t="s">
        <v>30</v>
      </c>
      <c r="T79" s="26">
        <v>18</v>
      </c>
      <c r="U79" s="26">
        <v>18</v>
      </c>
      <c r="V79" s="26">
        <f t="shared" si="10"/>
        <v>2901.57</v>
      </c>
      <c r="W79" s="26">
        <f t="shared" si="18"/>
        <v>0</v>
      </c>
      <c r="X79" s="26">
        <f t="shared" si="13"/>
        <v>0</v>
      </c>
      <c r="Y79" s="26">
        <f t="shared" si="11"/>
        <v>0</v>
      </c>
      <c r="Z79" s="26">
        <f t="shared" si="14"/>
        <v>0</v>
      </c>
      <c r="AA79" s="33" t="s">
        <v>15</v>
      </c>
      <c r="AB79" s="36" t="s">
        <v>16</v>
      </c>
      <c r="AC79" s="181">
        <f t="shared" si="15"/>
        <v>18</v>
      </c>
      <c r="AD79" s="181">
        <f t="shared" si="12"/>
        <v>52228.26</v>
      </c>
      <c r="AE79" s="181">
        <v>1.2</v>
      </c>
      <c r="AF79" s="181">
        <v>1.2</v>
      </c>
      <c r="AG79" s="101" t="str">
        <f t="shared" si="16"/>
        <v/>
      </c>
      <c r="AH79" s="190">
        <v>0</v>
      </c>
      <c r="AI79" s="69">
        <f t="shared" si="17"/>
        <v>18</v>
      </c>
    </row>
    <row r="80" spans="1:35" s="69" customFormat="1" ht="26.1" customHeight="1" x14ac:dyDescent="0.3">
      <c r="A80" s="130" t="s">
        <v>227</v>
      </c>
      <c r="B80" s="131" t="s">
        <v>228</v>
      </c>
      <c r="C80" s="132" t="s">
        <v>30</v>
      </c>
      <c r="D80" s="133">
        <v>17.100000000000001</v>
      </c>
      <c r="E80" s="75"/>
      <c r="F80" s="75"/>
      <c r="G80" s="75"/>
      <c r="H80" s="75" t="s">
        <v>15</v>
      </c>
      <c r="I80" s="75">
        <v>1762.96</v>
      </c>
      <c r="J80" s="75">
        <v>30146.62</v>
      </c>
      <c r="K80" s="91" t="s">
        <v>229</v>
      </c>
      <c r="L80" s="73"/>
      <c r="M80" s="46">
        <v>17.100000000000001</v>
      </c>
      <c r="N80" s="46">
        <v>0</v>
      </c>
      <c r="O80" s="46">
        <v>30146.62</v>
      </c>
      <c r="P80" s="98"/>
      <c r="Q80" s="23" t="s">
        <v>1384</v>
      </c>
      <c r="R80" s="24" t="s">
        <v>228</v>
      </c>
      <c r="S80" s="25" t="s">
        <v>30</v>
      </c>
      <c r="T80" s="26">
        <v>17.100000000000001</v>
      </c>
      <c r="U80" s="26">
        <v>17.100000000000001</v>
      </c>
      <c r="V80" s="26">
        <f t="shared" si="10"/>
        <v>1762.96</v>
      </c>
      <c r="W80" s="127">
        <f t="shared" si="18"/>
        <v>0</v>
      </c>
      <c r="X80" s="127">
        <f t="shared" si="13"/>
        <v>17.100000000000001</v>
      </c>
      <c r="Y80" s="127">
        <f t="shared" si="11"/>
        <v>0</v>
      </c>
      <c r="Z80" s="127">
        <f t="shared" si="14"/>
        <v>30146.62</v>
      </c>
      <c r="AA80" s="33" t="s">
        <v>15</v>
      </c>
      <c r="AB80" s="36" t="s">
        <v>16</v>
      </c>
      <c r="AC80" s="181">
        <f t="shared" si="15"/>
        <v>17.100000000000001</v>
      </c>
      <c r="AD80" s="181">
        <f t="shared" si="12"/>
        <v>30146.62</v>
      </c>
      <c r="AE80" s="181">
        <v>1.2</v>
      </c>
      <c r="AF80" s="181">
        <v>1.2</v>
      </c>
      <c r="AG80" s="101" t="str">
        <f t="shared" si="16"/>
        <v/>
      </c>
      <c r="AH80" s="191">
        <v>17.100000000000001</v>
      </c>
      <c r="AI80" s="69">
        <f t="shared" si="17"/>
        <v>17.100000000000001</v>
      </c>
    </row>
    <row r="81" spans="1:35" s="69" customFormat="1" ht="26.1" customHeight="1" x14ac:dyDescent="0.3">
      <c r="A81" s="130" t="s">
        <v>230</v>
      </c>
      <c r="B81" s="131" t="s">
        <v>231</v>
      </c>
      <c r="C81" s="132" t="s">
        <v>30</v>
      </c>
      <c r="D81" s="133">
        <v>77.400000000000006</v>
      </c>
      <c r="E81" s="75"/>
      <c r="F81" s="75"/>
      <c r="G81" s="75"/>
      <c r="H81" s="75" t="s">
        <v>15</v>
      </c>
      <c r="I81" s="75">
        <v>1224.3</v>
      </c>
      <c r="J81" s="75">
        <v>94760.82</v>
      </c>
      <c r="K81" s="91" t="s">
        <v>232</v>
      </c>
      <c r="L81" s="73"/>
      <c r="M81" s="46">
        <v>56</v>
      </c>
      <c r="N81" s="46">
        <v>0</v>
      </c>
      <c r="O81" s="46">
        <v>68560.800000000003</v>
      </c>
      <c r="P81" s="98"/>
      <c r="Q81" s="23" t="s">
        <v>1385</v>
      </c>
      <c r="R81" s="24" t="s">
        <v>231</v>
      </c>
      <c r="S81" s="25" t="s">
        <v>30</v>
      </c>
      <c r="T81" s="26">
        <v>77.400000000000006</v>
      </c>
      <c r="U81" s="26">
        <v>77.400000000000006</v>
      </c>
      <c r="V81" s="26">
        <f t="shared" si="10"/>
        <v>1224.3</v>
      </c>
      <c r="W81" s="127">
        <f t="shared" si="18"/>
        <v>0</v>
      </c>
      <c r="X81" s="127">
        <f t="shared" si="13"/>
        <v>56</v>
      </c>
      <c r="Y81" s="127">
        <f t="shared" si="11"/>
        <v>0</v>
      </c>
      <c r="Z81" s="127">
        <f t="shared" si="14"/>
        <v>68560.800000000003</v>
      </c>
      <c r="AA81" s="33" t="s">
        <v>15</v>
      </c>
      <c r="AB81" s="36" t="s">
        <v>16</v>
      </c>
      <c r="AC81" s="181">
        <f t="shared" si="15"/>
        <v>77.400000000000006</v>
      </c>
      <c r="AD81" s="181">
        <f t="shared" si="12"/>
        <v>94760.82</v>
      </c>
      <c r="AE81" s="181">
        <v>1.2</v>
      </c>
      <c r="AF81" s="181">
        <v>1.2</v>
      </c>
      <c r="AG81" s="101" t="str">
        <f t="shared" si="16"/>
        <v/>
      </c>
      <c r="AH81" s="191">
        <v>56</v>
      </c>
      <c r="AI81" s="69">
        <f t="shared" si="17"/>
        <v>77.400000000000006</v>
      </c>
    </row>
    <row r="82" spans="1:35" s="69" customFormat="1" ht="26.1" customHeight="1" x14ac:dyDescent="0.3">
      <c r="A82" s="55" t="s">
        <v>233</v>
      </c>
      <c r="B82" s="215" t="s">
        <v>234</v>
      </c>
      <c r="C82" s="54" t="s">
        <v>30</v>
      </c>
      <c r="D82" s="75">
        <v>32.5</v>
      </c>
      <c r="E82" s="75"/>
      <c r="F82" s="75"/>
      <c r="G82" s="75"/>
      <c r="H82" s="75" t="s">
        <v>15</v>
      </c>
      <c r="I82" s="75">
        <v>1148.7</v>
      </c>
      <c r="J82" s="75">
        <v>37332.75</v>
      </c>
      <c r="K82" s="91" t="s">
        <v>235</v>
      </c>
      <c r="L82" s="73"/>
      <c r="M82" s="46">
        <v>0</v>
      </c>
      <c r="N82" s="46">
        <v>0</v>
      </c>
      <c r="O82" s="46">
        <v>0</v>
      </c>
      <c r="P82" s="98"/>
      <c r="Q82" s="23" t="s">
        <v>1446</v>
      </c>
      <c r="R82" s="24" t="s">
        <v>234</v>
      </c>
      <c r="S82" s="25" t="s">
        <v>30</v>
      </c>
      <c r="T82" s="26">
        <v>32.5</v>
      </c>
      <c r="U82" s="26">
        <v>32.5</v>
      </c>
      <c r="V82" s="26">
        <f t="shared" si="10"/>
        <v>1148.7</v>
      </c>
      <c r="W82" s="26">
        <f t="shared" si="18"/>
        <v>0</v>
      </c>
      <c r="X82" s="26">
        <f t="shared" si="13"/>
        <v>0</v>
      </c>
      <c r="Y82" s="26">
        <f t="shared" si="11"/>
        <v>0</v>
      </c>
      <c r="Z82" s="26">
        <f t="shared" si="14"/>
        <v>0</v>
      </c>
      <c r="AA82" s="33" t="s">
        <v>15</v>
      </c>
      <c r="AB82" s="36" t="s">
        <v>16</v>
      </c>
      <c r="AC82" s="181">
        <f t="shared" si="15"/>
        <v>32.5</v>
      </c>
      <c r="AD82" s="181">
        <f t="shared" si="12"/>
        <v>37332.75</v>
      </c>
      <c r="AE82" s="181">
        <v>1.2</v>
      </c>
      <c r="AF82" s="181">
        <v>1.2</v>
      </c>
      <c r="AG82" s="101" t="str">
        <f t="shared" si="16"/>
        <v/>
      </c>
      <c r="AH82" s="190">
        <v>0</v>
      </c>
      <c r="AI82" s="69">
        <f t="shared" si="17"/>
        <v>32.5</v>
      </c>
    </row>
    <row r="83" spans="1:35" s="69" customFormat="1" ht="26.1" customHeight="1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 t="s">
        <v>15</v>
      </c>
      <c r="I83" s="75">
        <v>19780.169999999998</v>
      </c>
      <c r="J83" s="75">
        <v>19780.169999999998</v>
      </c>
      <c r="K83" s="91" t="s">
        <v>238</v>
      </c>
      <c r="L83" s="73"/>
      <c r="M83" s="46">
        <v>0</v>
      </c>
      <c r="N83" s="46">
        <v>0</v>
      </c>
      <c r="O83" s="46">
        <v>0</v>
      </c>
      <c r="P83" s="98"/>
      <c r="Q83" s="23" t="s">
        <v>1447</v>
      </c>
      <c r="R83" s="24" t="s">
        <v>237</v>
      </c>
      <c r="S83" s="25" t="s">
        <v>81</v>
      </c>
      <c r="T83" s="26">
        <v>1</v>
      </c>
      <c r="U83" s="26">
        <v>1</v>
      </c>
      <c r="V83" s="26">
        <f t="shared" si="10"/>
        <v>19780.169999999998</v>
      </c>
      <c r="W83" s="26">
        <f t="shared" si="18"/>
        <v>0</v>
      </c>
      <c r="X83" s="26">
        <f t="shared" si="13"/>
        <v>0</v>
      </c>
      <c r="Y83" s="26">
        <f t="shared" si="11"/>
        <v>0</v>
      </c>
      <c r="Z83" s="26">
        <f t="shared" si="14"/>
        <v>0</v>
      </c>
      <c r="AA83" s="33" t="s">
        <v>15</v>
      </c>
      <c r="AB83" s="36" t="s">
        <v>16</v>
      </c>
      <c r="AC83" s="181">
        <f t="shared" si="15"/>
        <v>1</v>
      </c>
      <c r="AD83" s="181">
        <f t="shared" si="12"/>
        <v>19780.169999999998</v>
      </c>
      <c r="AE83" s="181">
        <v>1.2</v>
      </c>
      <c r="AF83" s="181">
        <v>1.2</v>
      </c>
      <c r="AG83" s="101" t="str">
        <f t="shared" si="16"/>
        <v/>
      </c>
      <c r="AH83" s="190">
        <v>0</v>
      </c>
      <c r="AI83" s="69">
        <f t="shared" si="17"/>
        <v>1</v>
      </c>
    </row>
    <row r="84" spans="1:35" s="69" customFormat="1" ht="26.1" customHeight="1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 t="s">
        <v>15</v>
      </c>
      <c r="I84" s="75">
        <v>1218.03</v>
      </c>
      <c r="J84" s="75">
        <v>1218.03</v>
      </c>
      <c r="K84" s="91" t="s">
        <v>241</v>
      </c>
      <c r="L84" s="73"/>
      <c r="M84" s="46">
        <v>0</v>
      </c>
      <c r="N84" s="46">
        <v>0</v>
      </c>
      <c r="O84" s="46">
        <v>0</v>
      </c>
      <c r="P84" s="98"/>
      <c r="Q84" s="23" t="s">
        <v>1448</v>
      </c>
      <c r="R84" s="24" t="s">
        <v>240</v>
      </c>
      <c r="S84" s="25" t="s">
        <v>81</v>
      </c>
      <c r="T84" s="26">
        <v>1</v>
      </c>
      <c r="U84" s="26">
        <v>1</v>
      </c>
      <c r="V84" s="26">
        <f t="shared" si="10"/>
        <v>1218.03</v>
      </c>
      <c r="W84" s="26">
        <f t="shared" si="18"/>
        <v>0</v>
      </c>
      <c r="X84" s="26">
        <f t="shared" si="13"/>
        <v>0</v>
      </c>
      <c r="Y84" s="26">
        <f t="shared" si="11"/>
        <v>0</v>
      </c>
      <c r="Z84" s="26">
        <f t="shared" si="14"/>
        <v>0</v>
      </c>
      <c r="AA84" s="33" t="s">
        <v>15</v>
      </c>
      <c r="AB84" s="36" t="s">
        <v>16</v>
      </c>
      <c r="AC84" s="181">
        <f t="shared" si="15"/>
        <v>1</v>
      </c>
      <c r="AD84" s="181">
        <f t="shared" si="12"/>
        <v>1218.03</v>
      </c>
      <c r="AE84" s="181">
        <v>1.2</v>
      </c>
      <c r="AF84" s="181">
        <v>1.2</v>
      </c>
      <c r="AG84" s="101" t="str">
        <f t="shared" si="16"/>
        <v/>
      </c>
      <c r="AH84" s="190">
        <v>0</v>
      </c>
      <c r="AI84" s="69">
        <f t="shared" si="17"/>
        <v>1</v>
      </c>
    </row>
    <row r="85" spans="1:35" s="69" customFormat="1" ht="26.1" customHeight="1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 t="s">
        <v>15</v>
      </c>
      <c r="I85" s="75">
        <v>3110.7</v>
      </c>
      <c r="J85" s="75">
        <v>3110.7</v>
      </c>
      <c r="K85" s="91" t="s">
        <v>244</v>
      </c>
      <c r="L85" s="73"/>
      <c r="M85" s="46">
        <v>0</v>
      </c>
      <c r="N85" s="46">
        <v>0</v>
      </c>
      <c r="O85" s="46">
        <v>0</v>
      </c>
      <c r="P85" s="98"/>
      <c r="Q85" s="23" t="s">
        <v>1449</v>
      </c>
      <c r="R85" s="24" t="s">
        <v>243</v>
      </c>
      <c r="S85" s="25" t="s">
        <v>81</v>
      </c>
      <c r="T85" s="26">
        <v>1</v>
      </c>
      <c r="U85" s="26">
        <v>1</v>
      </c>
      <c r="V85" s="26">
        <f t="shared" si="10"/>
        <v>3110.7</v>
      </c>
      <c r="W85" s="26">
        <f t="shared" si="18"/>
        <v>0</v>
      </c>
      <c r="X85" s="26">
        <f t="shared" si="13"/>
        <v>0</v>
      </c>
      <c r="Y85" s="26">
        <f t="shared" si="11"/>
        <v>0</v>
      </c>
      <c r="Z85" s="26">
        <f t="shared" si="14"/>
        <v>0</v>
      </c>
      <c r="AA85" s="33" t="s">
        <v>15</v>
      </c>
      <c r="AB85" s="36" t="s">
        <v>16</v>
      </c>
      <c r="AC85" s="181">
        <f t="shared" si="15"/>
        <v>1</v>
      </c>
      <c r="AD85" s="181">
        <f t="shared" si="12"/>
        <v>3110.7</v>
      </c>
      <c r="AE85" s="181">
        <v>1.2</v>
      </c>
      <c r="AF85" s="181">
        <v>1.2</v>
      </c>
      <c r="AG85" s="101" t="str">
        <f t="shared" si="16"/>
        <v/>
      </c>
      <c r="AH85" s="190">
        <v>0</v>
      </c>
      <c r="AI85" s="69">
        <f t="shared" si="17"/>
        <v>1</v>
      </c>
    </row>
    <row r="86" spans="1:35" s="69" customFormat="1" ht="26.1" customHeight="1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 t="s">
        <v>15</v>
      </c>
      <c r="I86" s="75">
        <v>1251.0999999999999</v>
      </c>
      <c r="J86" s="75">
        <v>1251.0999999999999</v>
      </c>
      <c r="K86" s="91" t="s">
        <v>247</v>
      </c>
      <c r="L86" s="73"/>
      <c r="M86" s="46">
        <v>0</v>
      </c>
      <c r="N86" s="46">
        <v>0</v>
      </c>
      <c r="O86" s="46">
        <v>0</v>
      </c>
      <c r="P86" s="98"/>
      <c r="Q86" s="23" t="s">
        <v>1450</v>
      </c>
      <c r="R86" s="24" t="s">
        <v>246</v>
      </c>
      <c r="S86" s="25" t="s">
        <v>81</v>
      </c>
      <c r="T86" s="26">
        <v>1</v>
      </c>
      <c r="U86" s="26">
        <v>1</v>
      </c>
      <c r="V86" s="26">
        <f t="shared" si="10"/>
        <v>1251.0999999999999</v>
      </c>
      <c r="W86" s="26">
        <f t="shared" si="18"/>
        <v>0</v>
      </c>
      <c r="X86" s="26">
        <f t="shared" si="13"/>
        <v>0</v>
      </c>
      <c r="Y86" s="26">
        <f t="shared" si="11"/>
        <v>0</v>
      </c>
      <c r="Z86" s="26">
        <f t="shared" si="14"/>
        <v>0</v>
      </c>
      <c r="AA86" s="33" t="s">
        <v>15</v>
      </c>
      <c r="AB86" s="36" t="s">
        <v>16</v>
      </c>
      <c r="AC86" s="181">
        <f t="shared" si="15"/>
        <v>1</v>
      </c>
      <c r="AD86" s="181">
        <f t="shared" si="12"/>
        <v>1251.0999999999999</v>
      </c>
      <c r="AE86" s="181">
        <v>1.2</v>
      </c>
      <c r="AF86" s="181">
        <v>1.2</v>
      </c>
      <c r="AG86" s="101" t="str">
        <f t="shared" si="16"/>
        <v/>
      </c>
      <c r="AH86" s="190">
        <v>0</v>
      </c>
      <c r="AI86" s="69">
        <f t="shared" si="17"/>
        <v>1</v>
      </c>
    </row>
    <row r="87" spans="1:35" s="69" customFormat="1" ht="26.1" customHeight="1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 t="s">
        <v>15</v>
      </c>
      <c r="I87" s="75">
        <v>9500.58</v>
      </c>
      <c r="J87" s="75">
        <v>9500.58</v>
      </c>
      <c r="K87" s="91" t="s">
        <v>250</v>
      </c>
      <c r="L87" s="73"/>
      <c r="M87" s="46">
        <v>0</v>
      </c>
      <c r="N87" s="46">
        <v>0</v>
      </c>
      <c r="O87" s="46">
        <v>0</v>
      </c>
      <c r="P87" s="98"/>
      <c r="Q87" s="23" t="s">
        <v>1451</v>
      </c>
      <c r="R87" s="24" t="s">
        <v>249</v>
      </c>
      <c r="S87" s="25" t="s">
        <v>81</v>
      </c>
      <c r="T87" s="26">
        <v>1</v>
      </c>
      <c r="U87" s="26">
        <v>1</v>
      </c>
      <c r="V87" s="26">
        <f t="shared" si="10"/>
        <v>9500.58</v>
      </c>
      <c r="W87" s="26">
        <f t="shared" si="18"/>
        <v>0</v>
      </c>
      <c r="X87" s="26">
        <f t="shared" si="13"/>
        <v>0</v>
      </c>
      <c r="Y87" s="26">
        <f t="shared" si="11"/>
        <v>0</v>
      </c>
      <c r="Z87" s="26">
        <f t="shared" si="14"/>
        <v>0</v>
      </c>
      <c r="AA87" s="33" t="s">
        <v>15</v>
      </c>
      <c r="AB87" s="36" t="s">
        <v>16</v>
      </c>
      <c r="AC87" s="181">
        <f t="shared" si="15"/>
        <v>1</v>
      </c>
      <c r="AD87" s="181">
        <f t="shared" si="12"/>
        <v>9500.58</v>
      </c>
      <c r="AE87" s="181">
        <v>1.2</v>
      </c>
      <c r="AF87" s="181">
        <v>1.2</v>
      </c>
      <c r="AG87" s="101" t="str">
        <f t="shared" si="16"/>
        <v/>
      </c>
      <c r="AH87" s="190">
        <v>0</v>
      </c>
      <c r="AI87" s="69">
        <f t="shared" si="17"/>
        <v>1</v>
      </c>
    </row>
    <row r="88" spans="1:35" s="69" customFormat="1" ht="26.1" customHeight="1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 t="s">
        <v>15</v>
      </c>
      <c r="I88" s="75">
        <v>3871.43</v>
      </c>
      <c r="J88" s="75">
        <v>3871.43</v>
      </c>
      <c r="K88" s="91" t="s">
        <v>253</v>
      </c>
      <c r="L88" s="73"/>
      <c r="M88" s="46">
        <v>0</v>
      </c>
      <c r="N88" s="46">
        <v>0</v>
      </c>
      <c r="O88" s="46">
        <v>0</v>
      </c>
      <c r="P88" s="98"/>
      <c r="Q88" s="23" t="s">
        <v>1452</v>
      </c>
      <c r="R88" s="24" t="s">
        <v>252</v>
      </c>
      <c r="S88" s="25" t="s">
        <v>81</v>
      </c>
      <c r="T88" s="26">
        <v>1</v>
      </c>
      <c r="U88" s="26">
        <v>1</v>
      </c>
      <c r="V88" s="26">
        <f t="shared" si="10"/>
        <v>3871.43</v>
      </c>
      <c r="W88" s="26">
        <f t="shared" si="18"/>
        <v>0</v>
      </c>
      <c r="X88" s="26">
        <f t="shared" si="13"/>
        <v>0</v>
      </c>
      <c r="Y88" s="26">
        <f t="shared" si="11"/>
        <v>0</v>
      </c>
      <c r="Z88" s="26">
        <f t="shared" si="14"/>
        <v>0</v>
      </c>
      <c r="AA88" s="33" t="s">
        <v>15</v>
      </c>
      <c r="AB88" s="36" t="s">
        <v>16</v>
      </c>
      <c r="AC88" s="181">
        <f t="shared" si="15"/>
        <v>1</v>
      </c>
      <c r="AD88" s="181">
        <f t="shared" si="12"/>
        <v>3871.43</v>
      </c>
      <c r="AE88" s="181">
        <v>1.2</v>
      </c>
      <c r="AF88" s="181">
        <v>1.2</v>
      </c>
      <c r="AG88" s="101" t="str">
        <f t="shared" si="16"/>
        <v/>
      </c>
      <c r="AH88" s="190">
        <v>0</v>
      </c>
      <c r="AI88" s="69">
        <f t="shared" si="17"/>
        <v>1</v>
      </c>
    </row>
    <row r="89" spans="1:35" s="69" customFormat="1" ht="26.1" customHeight="1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 t="s">
        <v>15</v>
      </c>
      <c r="I89" s="75">
        <v>25380.34</v>
      </c>
      <c r="J89" s="75">
        <v>25380.34</v>
      </c>
      <c r="K89" s="91" t="s">
        <v>256</v>
      </c>
      <c r="L89" s="73"/>
      <c r="M89" s="46">
        <v>0</v>
      </c>
      <c r="N89" s="46">
        <v>0</v>
      </c>
      <c r="O89" s="46">
        <v>0</v>
      </c>
      <c r="P89" s="98"/>
      <c r="Q89" s="23" t="s">
        <v>1453</v>
      </c>
      <c r="R89" s="24" t="s">
        <v>255</v>
      </c>
      <c r="S89" s="25" t="s">
        <v>81</v>
      </c>
      <c r="T89" s="26">
        <v>1</v>
      </c>
      <c r="U89" s="26">
        <v>1</v>
      </c>
      <c r="V89" s="26">
        <f t="shared" si="10"/>
        <v>25380.34</v>
      </c>
      <c r="W89" s="26">
        <f t="shared" si="18"/>
        <v>0</v>
      </c>
      <c r="X89" s="26">
        <f t="shared" si="13"/>
        <v>0</v>
      </c>
      <c r="Y89" s="26">
        <f t="shared" si="11"/>
        <v>0</v>
      </c>
      <c r="Z89" s="26">
        <f t="shared" si="14"/>
        <v>0</v>
      </c>
      <c r="AA89" s="33" t="s">
        <v>15</v>
      </c>
      <c r="AB89" s="36" t="s">
        <v>16</v>
      </c>
      <c r="AC89" s="181">
        <f t="shared" si="15"/>
        <v>1</v>
      </c>
      <c r="AD89" s="181">
        <f t="shared" si="12"/>
        <v>25380.34</v>
      </c>
      <c r="AE89" s="181">
        <v>1.2</v>
      </c>
      <c r="AF89" s="181">
        <v>1.2</v>
      </c>
      <c r="AG89" s="101" t="str">
        <f t="shared" si="16"/>
        <v/>
      </c>
      <c r="AH89" s="190">
        <v>0</v>
      </c>
      <c r="AI89" s="69">
        <f t="shared" si="17"/>
        <v>1</v>
      </c>
    </row>
    <row r="90" spans="1:35" s="69" customFormat="1" ht="26.1" customHeight="1" x14ac:dyDescent="0.3">
      <c r="A90" s="55" t="s">
        <v>257</v>
      </c>
      <c r="B90" s="53" t="s">
        <v>258</v>
      </c>
      <c r="C90" s="54" t="s">
        <v>30</v>
      </c>
      <c r="D90" s="75">
        <v>13.9</v>
      </c>
      <c r="E90" s="75"/>
      <c r="F90" s="75"/>
      <c r="G90" s="75"/>
      <c r="H90" s="75" t="s">
        <v>15</v>
      </c>
      <c r="I90" s="75">
        <v>1285.31</v>
      </c>
      <c r="J90" s="75">
        <v>17865.810000000001</v>
      </c>
      <c r="K90" s="91" t="s">
        <v>259</v>
      </c>
      <c r="L90" s="73"/>
      <c r="M90" s="46">
        <v>0</v>
      </c>
      <c r="N90" s="46">
        <v>0</v>
      </c>
      <c r="O90" s="46">
        <v>0</v>
      </c>
      <c r="P90" s="98"/>
      <c r="Q90" s="23" t="s">
        <v>1454</v>
      </c>
      <c r="R90" s="24" t="s">
        <v>258</v>
      </c>
      <c r="S90" s="25" t="s">
        <v>30</v>
      </c>
      <c r="T90" s="26">
        <v>13.9</v>
      </c>
      <c r="U90" s="26">
        <v>13.9</v>
      </c>
      <c r="V90" s="26">
        <f t="shared" si="10"/>
        <v>1285.31</v>
      </c>
      <c r="W90" s="26">
        <f t="shared" si="18"/>
        <v>0</v>
      </c>
      <c r="X90" s="26">
        <f t="shared" si="13"/>
        <v>0</v>
      </c>
      <c r="Y90" s="26">
        <f t="shared" si="11"/>
        <v>0</v>
      </c>
      <c r="Z90" s="26">
        <f t="shared" si="14"/>
        <v>0</v>
      </c>
      <c r="AA90" s="33" t="s">
        <v>15</v>
      </c>
      <c r="AB90" s="36" t="s">
        <v>16</v>
      </c>
      <c r="AC90" s="181">
        <f t="shared" si="15"/>
        <v>13.9</v>
      </c>
      <c r="AD90" s="181">
        <f t="shared" si="12"/>
        <v>17865.810000000001</v>
      </c>
      <c r="AE90" s="181">
        <v>1.2</v>
      </c>
      <c r="AF90" s="181">
        <v>1.2</v>
      </c>
      <c r="AG90" s="101" t="str">
        <f t="shared" si="16"/>
        <v/>
      </c>
      <c r="AH90" s="190">
        <v>0</v>
      </c>
      <c r="AI90" s="69">
        <f t="shared" si="17"/>
        <v>13.9</v>
      </c>
    </row>
    <row r="91" spans="1:35" s="69" customFormat="1" ht="26.1" customHeight="1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 t="s">
        <v>15</v>
      </c>
      <c r="I91" s="75">
        <v>1976.06</v>
      </c>
      <c r="J91" s="75">
        <v>186046.05</v>
      </c>
      <c r="K91" s="91" t="s">
        <v>262</v>
      </c>
      <c r="L91" s="73"/>
      <c r="M91" s="46">
        <v>0</v>
      </c>
      <c r="N91" s="46">
        <v>0</v>
      </c>
      <c r="O91" s="46">
        <v>0</v>
      </c>
      <c r="P91" s="98"/>
      <c r="Q91" s="23" t="s">
        <v>1455</v>
      </c>
      <c r="R91" s="24" t="s">
        <v>261</v>
      </c>
      <c r="S91" s="25" t="s">
        <v>30</v>
      </c>
      <c r="T91" s="26">
        <v>94.15</v>
      </c>
      <c r="U91" s="26">
        <v>94.15</v>
      </c>
      <c r="V91" s="26">
        <f t="shared" si="10"/>
        <v>1976.06</v>
      </c>
      <c r="W91" s="26">
        <f t="shared" si="18"/>
        <v>0</v>
      </c>
      <c r="X91" s="26">
        <f t="shared" si="13"/>
        <v>0</v>
      </c>
      <c r="Y91" s="26">
        <f t="shared" si="11"/>
        <v>0</v>
      </c>
      <c r="Z91" s="26">
        <f t="shared" si="14"/>
        <v>0</v>
      </c>
      <c r="AA91" s="33" t="s">
        <v>15</v>
      </c>
      <c r="AB91" s="36" t="s">
        <v>16</v>
      </c>
      <c r="AC91" s="181">
        <f t="shared" si="15"/>
        <v>94.15</v>
      </c>
      <c r="AD91" s="181">
        <f t="shared" si="12"/>
        <v>186046.05</v>
      </c>
      <c r="AE91" s="181">
        <v>1.2</v>
      </c>
      <c r="AF91" s="181">
        <v>1.2</v>
      </c>
      <c r="AG91" s="101" t="str">
        <f t="shared" si="16"/>
        <v/>
      </c>
      <c r="AH91" s="190">
        <v>0</v>
      </c>
      <c r="AI91" s="69">
        <f t="shared" si="17"/>
        <v>94.15</v>
      </c>
    </row>
    <row r="92" spans="1:35" s="69" customFormat="1" ht="26.1" customHeight="1" x14ac:dyDescent="0.3">
      <c r="A92" s="55" t="s">
        <v>263</v>
      </c>
      <c r="B92" s="53" t="s">
        <v>264</v>
      </c>
      <c r="C92" s="54" t="s">
        <v>30</v>
      </c>
      <c r="D92" s="75">
        <v>13.5</v>
      </c>
      <c r="E92" s="75"/>
      <c r="F92" s="75"/>
      <c r="G92" s="75"/>
      <c r="H92" s="75" t="s">
        <v>15</v>
      </c>
      <c r="I92" s="75">
        <v>1889.54</v>
      </c>
      <c r="J92" s="75">
        <v>25508.79</v>
      </c>
      <c r="K92" s="91" t="s">
        <v>265</v>
      </c>
      <c r="L92" s="73"/>
      <c r="M92" s="46">
        <v>0</v>
      </c>
      <c r="N92" s="46">
        <v>0</v>
      </c>
      <c r="O92" s="46">
        <v>0</v>
      </c>
      <c r="P92" s="98"/>
      <c r="Q92" s="23" t="s">
        <v>1456</v>
      </c>
      <c r="R92" s="24" t="s">
        <v>264</v>
      </c>
      <c r="S92" s="25" t="s">
        <v>30</v>
      </c>
      <c r="T92" s="26">
        <v>13.5</v>
      </c>
      <c r="U92" s="26">
        <v>13.5</v>
      </c>
      <c r="V92" s="26">
        <f t="shared" si="10"/>
        <v>1889.54</v>
      </c>
      <c r="W92" s="26">
        <f t="shared" si="18"/>
        <v>0</v>
      </c>
      <c r="X92" s="26">
        <f t="shared" si="13"/>
        <v>0</v>
      </c>
      <c r="Y92" s="26">
        <f t="shared" si="11"/>
        <v>0</v>
      </c>
      <c r="Z92" s="26">
        <f t="shared" si="14"/>
        <v>0</v>
      </c>
      <c r="AA92" s="33" t="s">
        <v>15</v>
      </c>
      <c r="AB92" s="36" t="s">
        <v>16</v>
      </c>
      <c r="AC92" s="181">
        <f t="shared" si="15"/>
        <v>13.5</v>
      </c>
      <c r="AD92" s="181">
        <f t="shared" si="12"/>
        <v>25508.79</v>
      </c>
      <c r="AE92" s="181">
        <v>1.2</v>
      </c>
      <c r="AF92" s="181">
        <v>1.2</v>
      </c>
      <c r="AG92" s="101" t="str">
        <f t="shared" si="16"/>
        <v/>
      </c>
      <c r="AH92" s="190">
        <v>0</v>
      </c>
      <c r="AI92" s="69">
        <f t="shared" si="17"/>
        <v>13.5</v>
      </c>
    </row>
    <row r="93" spans="1:35" s="69" customFormat="1" ht="33" x14ac:dyDescent="0.3">
      <c r="A93" s="55" t="s">
        <v>266</v>
      </c>
      <c r="B93" s="53" t="s">
        <v>267</v>
      </c>
      <c r="C93" s="54" t="s">
        <v>30</v>
      </c>
      <c r="D93" s="75">
        <v>13.7</v>
      </c>
      <c r="E93" s="75"/>
      <c r="F93" s="75"/>
      <c r="G93" s="75"/>
      <c r="H93" s="75" t="s">
        <v>15</v>
      </c>
      <c r="I93" s="75">
        <v>1778.66</v>
      </c>
      <c r="J93" s="75">
        <v>24367.64</v>
      </c>
      <c r="K93" s="91" t="s">
        <v>268</v>
      </c>
      <c r="L93" s="73"/>
      <c r="M93" s="46">
        <v>0</v>
      </c>
      <c r="N93" s="46">
        <v>0</v>
      </c>
      <c r="O93" s="46">
        <v>0</v>
      </c>
      <c r="P93" s="98"/>
      <c r="Q93" s="23" t="s">
        <v>1457</v>
      </c>
      <c r="R93" s="24" t="s">
        <v>267</v>
      </c>
      <c r="S93" s="25" t="s">
        <v>30</v>
      </c>
      <c r="T93" s="26">
        <v>13.7</v>
      </c>
      <c r="U93" s="26">
        <v>13.7</v>
      </c>
      <c r="V93" s="26">
        <f t="shared" si="10"/>
        <v>1778.66</v>
      </c>
      <c r="W93" s="26">
        <f t="shared" si="18"/>
        <v>0</v>
      </c>
      <c r="X93" s="26">
        <f t="shared" si="13"/>
        <v>0</v>
      </c>
      <c r="Y93" s="26">
        <f t="shared" si="11"/>
        <v>0</v>
      </c>
      <c r="Z93" s="26">
        <f t="shared" si="14"/>
        <v>0</v>
      </c>
      <c r="AA93" s="33" t="s">
        <v>15</v>
      </c>
      <c r="AB93" s="36" t="s">
        <v>16</v>
      </c>
      <c r="AC93" s="181">
        <f t="shared" si="15"/>
        <v>13.7</v>
      </c>
      <c r="AD93" s="181">
        <f t="shared" si="12"/>
        <v>24367.64</v>
      </c>
      <c r="AE93" s="181">
        <v>1.2</v>
      </c>
      <c r="AF93" s="181">
        <v>1.2</v>
      </c>
      <c r="AG93" s="101" t="str">
        <f t="shared" si="16"/>
        <v/>
      </c>
      <c r="AH93" s="190">
        <v>0</v>
      </c>
      <c r="AI93" s="69">
        <f t="shared" si="17"/>
        <v>13.7</v>
      </c>
    </row>
    <row r="94" spans="1:35" s="69" customFormat="1" ht="26.1" customHeight="1" x14ac:dyDescent="0.3">
      <c r="A94" s="55" t="s">
        <v>269</v>
      </c>
      <c r="B94" s="53" t="s">
        <v>270</v>
      </c>
      <c r="C94" s="54" t="s">
        <v>30</v>
      </c>
      <c r="D94" s="75">
        <v>17.920000000000002</v>
      </c>
      <c r="E94" s="75"/>
      <c r="F94" s="75"/>
      <c r="G94" s="75"/>
      <c r="H94" s="75" t="s">
        <v>15</v>
      </c>
      <c r="I94" s="75">
        <v>2939.14</v>
      </c>
      <c r="J94" s="75">
        <v>52669.39</v>
      </c>
      <c r="K94" s="91" t="s">
        <v>271</v>
      </c>
      <c r="L94" s="73"/>
      <c r="M94" s="46">
        <v>0</v>
      </c>
      <c r="N94" s="46">
        <v>0</v>
      </c>
      <c r="O94" s="46">
        <v>0</v>
      </c>
      <c r="P94" s="98"/>
      <c r="Q94" s="23" t="s">
        <v>1458</v>
      </c>
      <c r="R94" s="24" t="s">
        <v>270</v>
      </c>
      <c r="S94" s="25" t="s">
        <v>30</v>
      </c>
      <c r="T94" s="26">
        <v>17.920000000000002</v>
      </c>
      <c r="U94" s="26">
        <v>17.920000000000002</v>
      </c>
      <c r="V94" s="26">
        <f t="shared" si="10"/>
        <v>2939.14</v>
      </c>
      <c r="W94" s="26">
        <f t="shared" si="18"/>
        <v>0</v>
      </c>
      <c r="X94" s="26">
        <f t="shared" si="13"/>
        <v>0</v>
      </c>
      <c r="Y94" s="26">
        <f t="shared" si="11"/>
        <v>0</v>
      </c>
      <c r="Z94" s="26">
        <f t="shared" si="14"/>
        <v>0</v>
      </c>
      <c r="AA94" s="33" t="s">
        <v>15</v>
      </c>
      <c r="AB94" s="36" t="s">
        <v>16</v>
      </c>
      <c r="AC94" s="181">
        <f t="shared" si="15"/>
        <v>17.920000000000002</v>
      </c>
      <c r="AD94" s="181">
        <f t="shared" si="12"/>
        <v>52669.39</v>
      </c>
      <c r="AE94" s="181">
        <v>1.2</v>
      </c>
      <c r="AF94" s="181">
        <v>1.2</v>
      </c>
      <c r="AG94" s="101" t="str">
        <f t="shared" si="16"/>
        <v/>
      </c>
      <c r="AH94" s="190">
        <v>0</v>
      </c>
      <c r="AI94" s="69">
        <f t="shared" si="17"/>
        <v>17.920000000000002</v>
      </c>
    </row>
    <row r="95" spans="1:35" s="69" customFormat="1" ht="26.1" customHeight="1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 t="s">
        <v>15</v>
      </c>
      <c r="I95" s="75">
        <v>23030.799999999999</v>
      </c>
      <c r="J95" s="75">
        <v>23030.799999999999</v>
      </c>
      <c r="K95" s="91" t="s">
        <v>274</v>
      </c>
      <c r="L95" s="73"/>
      <c r="M95" s="46">
        <v>0</v>
      </c>
      <c r="N95" s="46">
        <v>0</v>
      </c>
      <c r="O95" s="46">
        <v>0</v>
      </c>
      <c r="P95" s="98"/>
      <c r="Q95" s="23" t="s">
        <v>1459</v>
      </c>
      <c r="R95" s="24" t="s">
        <v>273</v>
      </c>
      <c r="S95" s="25" t="s">
        <v>81</v>
      </c>
      <c r="T95" s="26">
        <v>1</v>
      </c>
      <c r="U95" s="26">
        <v>1</v>
      </c>
      <c r="V95" s="26">
        <f t="shared" si="10"/>
        <v>23030.799999999999</v>
      </c>
      <c r="W95" s="26">
        <f t="shared" si="18"/>
        <v>0</v>
      </c>
      <c r="X95" s="26">
        <f t="shared" si="13"/>
        <v>0</v>
      </c>
      <c r="Y95" s="26">
        <f t="shared" si="11"/>
        <v>0</v>
      </c>
      <c r="Z95" s="26">
        <f t="shared" si="14"/>
        <v>0</v>
      </c>
      <c r="AA95" s="33" t="s">
        <v>15</v>
      </c>
      <c r="AB95" s="36" t="s">
        <v>16</v>
      </c>
      <c r="AC95" s="181">
        <f t="shared" si="15"/>
        <v>1</v>
      </c>
      <c r="AD95" s="181">
        <f t="shared" si="12"/>
        <v>23030.799999999999</v>
      </c>
      <c r="AE95" s="181">
        <v>1.2</v>
      </c>
      <c r="AF95" s="181">
        <v>1.2</v>
      </c>
      <c r="AG95" s="101" t="str">
        <f t="shared" si="16"/>
        <v/>
      </c>
      <c r="AH95" s="190">
        <v>0</v>
      </c>
      <c r="AI95" s="69">
        <f t="shared" si="17"/>
        <v>1</v>
      </c>
    </row>
    <row r="96" spans="1:35" s="69" customFormat="1" ht="26.1" customHeight="1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 t="s">
        <v>15</v>
      </c>
      <c r="I96" s="75">
        <v>18605.919999999998</v>
      </c>
      <c r="J96" s="75">
        <v>37211.839999999997</v>
      </c>
      <c r="K96" s="91" t="s">
        <v>277</v>
      </c>
      <c r="L96" s="73"/>
      <c r="M96" s="46">
        <v>0</v>
      </c>
      <c r="N96" s="46">
        <v>0</v>
      </c>
      <c r="O96" s="46">
        <v>0</v>
      </c>
      <c r="P96" s="98"/>
      <c r="Q96" s="23" t="s">
        <v>1460</v>
      </c>
      <c r="R96" s="24" t="s">
        <v>276</v>
      </c>
      <c r="S96" s="25" t="s">
        <v>81</v>
      </c>
      <c r="T96" s="26">
        <v>2</v>
      </c>
      <c r="U96" s="26">
        <v>2</v>
      </c>
      <c r="V96" s="26">
        <f t="shared" si="10"/>
        <v>18605.919999999998</v>
      </c>
      <c r="W96" s="26">
        <f t="shared" si="18"/>
        <v>0</v>
      </c>
      <c r="X96" s="26">
        <f t="shared" si="13"/>
        <v>0</v>
      </c>
      <c r="Y96" s="26">
        <f t="shared" si="11"/>
        <v>0</v>
      </c>
      <c r="Z96" s="26">
        <f t="shared" si="14"/>
        <v>0</v>
      </c>
      <c r="AA96" s="33" t="s">
        <v>15</v>
      </c>
      <c r="AB96" s="36" t="s">
        <v>16</v>
      </c>
      <c r="AC96" s="181">
        <f t="shared" si="15"/>
        <v>2</v>
      </c>
      <c r="AD96" s="181">
        <f t="shared" si="12"/>
        <v>37211.839999999997</v>
      </c>
      <c r="AE96" s="181">
        <v>1.2</v>
      </c>
      <c r="AF96" s="181">
        <v>1.2</v>
      </c>
      <c r="AG96" s="101" t="str">
        <f t="shared" si="16"/>
        <v/>
      </c>
      <c r="AH96" s="190">
        <v>0</v>
      </c>
      <c r="AI96" s="69">
        <f t="shared" si="17"/>
        <v>2</v>
      </c>
    </row>
    <row r="97" spans="1:35" s="69" customFormat="1" ht="26.1" customHeight="1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 t="s">
        <v>15</v>
      </c>
      <c r="I97" s="75">
        <v>18605.919999999998</v>
      </c>
      <c r="J97" s="75">
        <v>18605.919999999998</v>
      </c>
      <c r="K97" s="91" t="s">
        <v>280</v>
      </c>
      <c r="L97" s="73"/>
      <c r="M97" s="46">
        <v>0</v>
      </c>
      <c r="N97" s="46">
        <v>0</v>
      </c>
      <c r="O97" s="46">
        <v>0</v>
      </c>
      <c r="P97" s="98"/>
      <c r="Q97" s="23" t="s">
        <v>1461</v>
      </c>
      <c r="R97" s="24" t="s">
        <v>279</v>
      </c>
      <c r="S97" s="25" t="s">
        <v>81</v>
      </c>
      <c r="T97" s="26">
        <v>1</v>
      </c>
      <c r="U97" s="26">
        <v>1</v>
      </c>
      <c r="V97" s="26">
        <f t="shared" si="10"/>
        <v>18605.919999999998</v>
      </c>
      <c r="W97" s="26">
        <f t="shared" si="18"/>
        <v>0</v>
      </c>
      <c r="X97" s="26">
        <f t="shared" si="13"/>
        <v>0</v>
      </c>
      <c r="Y97" s="26">
        <f t="shared" si="11"/>
        <v>0</v>
      </c>
      <c r="Z97" s="26">
        <f t="shared" si="14"/>
        <v>0</v>
      </c>
      <c r="AA97" s="33" t="s">
        <v>15</v>
      </c>
      <c r="AB97" s="36" t="s">
        <v>16</v>
      </c>
      <c r="AC97" s="181">
        <f t="shared" si="15"/>
        <v>1</v>
      </c>
      <c r="AD97" s="181">
        <f t="shared" si="12"/>
        <v>18605.919999999998</v>
      </c>
      <c r="AE97" s="181">
        <v>1.2</v>
      </c>
      <c r="AF97" s="181">
        <v>1.2</v>
      </c>
      <c r="AG97" s="101" t="str">
        <f t="shared" si="16"/>
        <v/>
      </c>
      <c r="AH97" s="190">
        <v>0</v>
      </c>
      <c r="AI97" s="69">
        <f t="shared" si="17"/>
        <v>1</v>
      </c>
    </row>
    <row r="98" spans="1:35" s="69" customFormat="1" ht="26.1" customHeight="1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 t="s">
        <v>15</v>
      </c>
      <c r="I98" s="75">
        <v>11655.48</v>
      </c>
      <c r="J98" s="75">
        <v>34966.44</v>
      </c>
      <c r="K98" s="91" t="s">
        <v>283</v>
      </c>
      <c r="L98" s="73"/>
      <c r="M98" s="46">
        <v>0</v>
      </c>
      <c r="N98" s="46">
        <v>0</v>
      </c>
      <c r="O98" s="46">
        <v>0</v>
      </c>
      <c r="P98" s="98"/>
      <c r="Q98" s="23" t="s">
        <v>1462</v>
      </c>
      <c r="R98" s="24" t="s">
        <v>282</v>
      </c>
      <c r="S98" s="25" t="s">
        <v>81</v>
      </c>
      <c r="T98" s="26">
        <v>3</v>
      </c>
      <c r="U98" s="26">
        <v>3</v>
      </c>
      <c r="V98" s="26">
        <f t="shared" si="10"/>
        <v>11655.48</v>
      </c>
      <c r="W98" s="26">
        <f t="shared" si="18"/>
        <v>0</v>
      </c>
      <c r="X98" s="26">
        <f t="shared" si="13"/>
        <v>0</v>
      </c>
      <c r="Y98" s="26">
        <f t="shared" si="11"/>
        <v>0</v>
      </c>
      <c r="Z98" s="26">
        <f t="shared" si="14"/>
        <v>0</v>
      </c>
      <c r="AA98" s="33" t="s">
        <v>15</v>
      </c>
      <c r="AB98" s="36" t="s">
        <v>16</v>
      </c>
      <c r="AC98" s="181">
        <f t="shared" si="15"/>
        <v>3</v>
      </c>
      <c r="AD98" s="181">
        <f t="shared" si="12"/>
        <v>34966.44</v>
      </c>
      <c r="AE98" s="181">
        <v>1.2</v>
      </c>
      <c r="AF98" s="181">
        <v>1.2</v>
      </c>
      <c r="AG98" s="101" t="str">
        <f t="shared" si="16"/>
        <v/>
      </c>
      <c r="AH98" s="190">
        <v>0</v>
      </c>
      <c r="AI98" s="69">
        <f t="shared" si="17"/>
        <v>3</v>
      </c>
    </row>
    <row r="99" spans="1:35" s="69" customFormat="1" ht="26.1" customHeight="1" x14ac:dyDescent="0.3">
      <c r="A99" s="246" t="s">
        <v>284</v>
      </c>
      <c r="B99" s="247" t="s">
        <v>285</v>
      </c>
      <c r="C99" s="248" t="s">
        <v>81</v>
      </c>
      <c r="D99" s="249">
        <v>4</v>
      </c>
      <c r="E99" s="75"/>
      <c r="F99" s="75"/>
      <c r="G99" s="75"/>
      <c r="H99" s="75" t="s">
        <v>15</v>
      </c>
      <c r="I99" s="75">
        <v>25108.91</v>
      </c>
      <c r="J99" s="75">
        <v>100435.64</v>
      </c>
      <c r="K99" s="91" t="s">
        <v>286</v>
      </c>
      <c r="L99" s="73"/>
      <c r="M99" s="46">
        <v>0</v>
      </c>
      <c r="N99" s="46">
        <v>0</v>
      </c>
      <c r="O99" s="46">
        <v>0</v>
      </c>
      <c r="P99" s="98"/>
      <c r="Q99" s="23" t="s">
        <v>1463</v>
      </c>
      <c r="R99" s="24" t="s">
        <v>285</v>
      </c>
      <c r="S99" s="25" t="s">
        <v>81</v>
      </c>
      <c r="T99" s="26">
        <v>4</v>
      </c>
      <c r="U99" s="26">
        <v>4</v>
      </c>
      <c r="V99" s="26">
        <f t="shared" si="10"/>
        <v>25108.91</v>
      </c>
      <c r="W99" s="26">
        <f t="shared" si="18"/>
        <v>0</v>
      </c>
      <c r="X99" s="26">
        <f t="shared" si="13"/>
        <v>0</v>
      </c>
      <c r="Y99" s="26">
        <f t="shared" si="11"/>
        <v>0</v>
      </c>
      <c r="Z99" s="26">
        <f t="shared" si="14"/>
        <v>0</v>
      </c>
      <c r="AA99" s="33" t="s">
        <v>15</v>
      </c>
      <c r="AB99" s="36" t="s">
        <v>16</v>
      </c>
      <c r="AC99" s="181">
        <f t="shared" si="15"/>
        <v>4</v>
      </c>
      <c r="AD99" s="181">
        <f t="shared" si="12"/>
        <v>100435.64</v>
      </c>
      <c r="AE99" s="181">
        <v>1.2</v>
      </c>
      <c r="AF99" s="181">
        <v>1.2</v>
      </c>
      <c r="AG99" s="101" t="str">
        <f t="shared" si="16"/>
        <v/>
      </c>
      <c r="AH99" s="190">
        <v>0</v>
      </c>
      <c r="AI99" s="69">
        <f t="shared" si="17"/>
        <v>4</v>
      </c>
    </row>
    <row r="100" spans="1:35" s="69" customFormat="1" ht="26.1" customHeight="1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 t="s">
        <v>15</v>
      </c>
      <c r="I100" s="75">
        <v>22416.92</v>
      </c>
      <c r="J100" s="75">
        <v>112084.6</v>
      </c>
      <c r="K100" s="91" t="s">
        <v>289</v>
      </c>
      <c r="L100" s="73"/>
      <c r="M100" s="46">
        <v>0</v>
      </c>
      <c r="N100" s="46">
        <v>0</v>
      </c>
      <c r="O100" s="46">
        <v>0</v>
      </c>
      <c r="P100" s="98"/>
      <c r="Q100" s="23" t="s">
        <v>1464</v>
      </c>
      <c r="R100" s="24" t="s">
        <v>288</v>
      </c>
      <c r="S100" s="25" t="s">
        <v>81</v>
      </c>
      <c r="T100" s="26">
        <v>5</v>
      </c>
      <c r="U100" s="26">
        <v>5</v>
      </c>
      <c r="V100" s="26">
        <f t="shared" si="10"/>
        <v>22416.92</v>
      </c>
      <c r="W100" s="26">
        <f t="shared" si="18"/>
        <v>0</v>
      </c>
      <c r="X100" s="26">
        <f t="shared" si="13"/>
        <v>0</v>
      </c>
      <c r="Y100" s="26">
        <f t="shared" si="11"/>
        <v>0</v>
      </c>
      <c r="Z100" s="26">
        <f t="shared" si="14"/>
        <v>0</v>
      </c>
      <c r="AA100" s="33" t="s">
        <v>15</v>
      </c>
      <c r="AB100" s="36" t="s">
        <v>16</v>
      </c>
      <c r="AC100" s="181">
        <f t="shared" si="15"/>
        <v>5</v>
      </c>
      <c r="AD100" s="181">
        <f t="shared" si="12"/>
        <v>112084.6</v>
      </c>
      <c r="AE100" s="181">
        <v>1.2</v>
      </c>
      <c r="AF100" s="181">
        <v>1.2</v>
      </c>
      <c r="AG100" s="101" t="str">
        <f t="shared" si="16"/>
        <v/>
      </c>
      <c r="AH100" s="190">
        <v>0</v>
      </c>
      <c r="AI100" s="69">
        <f t="shared" si="17"/>
        <v>5</v>
      </c>
    </row>
    <row r="101" spans="1:35" s="69" customFormat="1" ht="26.1" customHeight="1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 t="s">
        <v>15</v>
      </c>
      <c r="I101" s="75">
        <v>21724.76</v>
      </c>
      <c r="J101" s="75">
        <v>21724.76</v>
      </c>
      <c r="K101" s="91" t="s">
        <v>292</v>
      </c>
      <c r="L101" s="73"/>
      <c r="M101" s="46">
        <v>0</v>
      </c>
      <c r="N101" s="46">
        <v>0</v>
      </c>
      <c r="O101" s="46">
        <v>0</v>
      </c>
      <c r="P101" s="98"/>
      <c r="Q101" s="23" t="s">
        <v>1465</v>
      </c>
      <c r="R101" s="24" t="s">
        <v>291</v>
      </c>
      <c r="S101" s="25" t="s">
        <v>81</v>
      </c>
      <c r="T101" s="26">
        <v>1</v>
      </c>
      <c r="U101" s="26">
        <v>1</v>
      </c>
      <c r="V101" s="26">
        <f t="shared" si="10"/>
        <v>21724.76</v>
      </c>
      <c r="W101" s="26">
        <f t="shared" si="18"/>
        <v>0</v>
      </c>
      <c r="X101" s="26">
        <f t="shared" si="13"/>
        <v>0</v>
      </c>
      <c r="Y101" s="26">
        <f t="shared" si="11"/>
        <v>0</v>
      </c>
      <c r="Z101" s="26">
        <f t="shared" si="14"/>
        <v>0</v>
      </c>
      <c r="AA101" s="33" t="s">
        <v>15</v>
      </c>
      <c r="AB101" s="36" t="s">
        <v>16</v>
      </c>
      <c r="AC101" s="181">
        <f t="shared" si="15"/>
        <v>1</v>
      </c>
      <c r="AD101" s="181">
        <f t="shared" si="12"/>
        <v>21724.76</v>
      </c>
      <c r="AE101" s="181">
        <v>1.2</v>
      </c>
      <c r="AF101" s="181">
        <v>1.2</v>
      </c>
      <c r="AG101" s="101" t="str">
        <f t="shared" si="16"/>
        <v/>
      </c>
      <c r="AH101" s="190">
        <v>0</v>
      </c>
      <c r="AI101" s="69">
        <f t="shared" si="17"/>
        <v>1</v>
      </c>
    </row>
    <row r="102" spans="1:35" s="69" customFormat="1" ht="26.1" customHeight="1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 t="s">
        <v>15</v>
      </c>
      <c r="I102" s="75">
        <v>17341.04</v>
      </c>
      <c r="J102" s="75">
        <v>34682.080000000002</v>
      </c>
      <c r="K102" s="91" t="s">
        <v>295</v>
      </c>
      <c r="L102" s="73"/>
      <c r="M102" s="46">
        <v>0</v>
      </c>
      <c r="N102" s="46">
        <v>0</v>
      </c>
      <c r="O102" s="46">
        <v>0</v>
      </c>
      <c r="P102" s="98"/>
      <c r="Q102" s="23" t="s">
        <v>1466</v>
      </c>
      <c r="R102" s="24" t="s">
        <v>294</v>
      </c>
      <c r="S102" s="25" t="s">
        <v>81</v>
      </c>
      <c r="T102" s="26">
        <v>2</v>
      </c>
      <c r="U102" s="26">
        <v>2</v>
      </c>
      <c r="V102" s="26">
        <f t="shared" si="10"/>
        <v>17341.04</v>
      </c>
      <c r="W102" s="26">
        <f t="shared" si="18"/>
        <v>0</v>
      </c>
      <c r="X102" s="26">
        <f t="shared" si="13"/>
        <v>0</v>
      </c>
      <c r="Y102" s="26">
        <f t="shared" si="11"/>
        <v>0</v>
      </c>
      <c r="Z102" s="26">
        <f t="shared" si="14"/>
        <v>0</v>
      </c>
      <c r="AA102" s="33" t="s">
        <v>15</v>
      </c>
      <c r="AB102" s="36" t="s">
        <v>16</v>
      </c>
      <c r="AC102" s="181">
        <f t="shared" si="15"/>
        <v>2</v>
      </c>
      <c r="AD102" s="181">
        <f t="shared" si="12"/>
        <v>34682.080000000002</v>
      </c>
      <c r="AE102" s="181">
        <v>1.2</v>
      </c>
      <c r="AF102" s="181">
        <v>1.2</v>
      </c>
      <c r="AG102" s="101" t="str">
        <f t="shared" si="16"/>
        <v/>
      </c>
      <c r="AH102" s="190">
        <v>0</v>
      </c>
      <c r="AI102" s="69">
        <f t="shared" si="17"/>
        <v>2</v>
      </c>
    </row>
    <row r="103" spans="1:35" s="69" customFormat="1" ht="26.1" customHeight="1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 t="s">
        <v>15</v>
      </c>
      <c r="I103" s="75">
        <v>17341.04</v>
      </c>
      <c r="J103" s="75">
        <v>17341.04</v>
      </c>
      <c r="K103" s="91" t="s">
        <v>298</v>
      </c>
      <c r="L103" s="73"/>
      <c r="M103" s="46">
        <v>0</v>
      </c>
      <c r="N103" s="46">
        <v>0</v>
      </c>
      <c r="O103" s="46">
        <v>0</v>
      </c>
      <c r="P103" s="98"/>
      <c r="Q103" s="23" t="s">
        <v>1467</v>
      </c>
      <c r="R103" s="24" t="s">
        <v>297</v>
      </c>
      <c r="S103" s="25" t="s">
        <v>81</v>
      </c>
      <c r="T103" s="26">
        <v>1</v>
      </c>
      <c r="U103" s="26">
        <v>1</v>
      </c>
      <c r="V103" s="26">
        <f t="shared" ref="V103:V166" si="19">I103</f>
        <v>17341.04</v>
      </c>
      <c r="W103" s="26">
        <f t="shared" si="18"/>
        <v>0</v>
      </c>
      <c r="X103" s="26">
        <f t="shared" si="13"/>
        <v>0</v>
      </c>
      <c r="Y103" s="26">
        <f t="shared" ref="Y103:Y132" si="20">Z103-O103</f>
        <v>0</v>
      </c>
      <c r="Z103" s="26">
        <f t="shared" si="14"/>
        <v>0</v>
      </c>
      <c r="AA103" s="33" t="s">
        <v>15</v>
      </c>
      <c r="AB103" s="36" t="s">
        <v>16</v>
      </c>
      <c r="AC103" s="181">
        <f t="shared" si="15"/>
        <v>1</v>
      </c>
      <c r="AD103" s="181">
        <f t="shared" si="12"/>
        <v>17341.04</v>
      </c>
      <c r="AE103" s="181">
        <v>1.2</v>
      </c>
      <c r="AF103" s="181">
        <v>1.2</v>
      </c>
      <c r="AG103" s="101" t="str">
        <f t="shared" si="16"/>
        <v/>
      </c>
      <c r="AH103" s="190">
        <v>0</v>
      </c>
      <c r="AI103" s="69">
        <f t="shared" si="17"/>
        <v>1</v>
      </c>
    </row>
    <row r="104" spans="1:35" s="69" customFormat="1" ht="26.1" customHeight="1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 t="s">
        <v>15</v>
      </c>
      <c r="I104" s="75">
        <v>17341.04</v>
      </c>
      <c r="J104" s="75">
        <v>104046.24</v>
      </c>
      <c r="K104" s="91" t="s">
        <v>301</v>
      </c>
      <c r="L104" s="73"/>
      <c r="M104" s="46">
        <v>0</v>
      </c>
      <c r="N104" s="46">
        <v>0</v>
      </c>
      <c r="O104" s="46">
        <v>0</v>
      </c>
      <c r="P104" s="98"/>
      <c r="Q104" s="23" t="s">
        <v>1468</v>
      </c>
      <c r="R104" s="24" t="s">
        <v>300</v>
      </c>
      <c r="S104" s="25" t="s">
        <v>81</v>
      </c>
      <c r="T104" s="26">
        <v>6</v>
      </c>
      <c r="U104" s="26">
        <v>6</v>
      </c>
      <c r="V104" s="26">
        <f t="shared" si="19"/>
        <v>17341.04</v>
      </c>
      <c r="W104" s="26">
        <f t="shared" si="18"/>
        <v>0</v>
      </c>
      <c r="X104" s="26">
        <f t="shared" si="13"/>
        <v>0</v>
      </c>
      <c r="Y104" s="26">
        <f t="shared" si="20"/>
        <v>0</v>
      </c>
      <c r="Z104" s="26">
        <f t="shared" si="14"/>
        <v>0</v>
      </c>
      <c r="AA104" s="33" t="s">
        <v>15</v>
      </c>
      <c r="AB104" s="36" t="s">
        <v>16</v>
      </c>
      <c r="AC104" s="181">
        <f t="shared" si="15"/>
        <v>6</v>
      </c>
      <c r="AD104" s="181">
        <f t="shared" ref="AD104:AD132" si="21">ROUND(V104*AC104,2)</f>
        <v>104046.24</v>
      </c>
      <c r="AE104" s="181">
        <v>1.2</v>
      </c>
      <c r="AF104" s="181">
        <v>1.2</v>
      </c>
      <c r="AG104" s="101" t="str">
        <f t="shared" si="16"/>
        <v/>
      </c>
      <c r="AH104" s="190">
        <v>0</v>
      </c>
      <c r="AI104" s="69">
        <f t="shared" si="17"/>
        <v>6</v>
      </c>
    </row>
    <row r="105" spans="1:35" s="69" customFormat="1" ht="26.1" customHeight="1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 t="s">
        <v>15</v>
      </c>
      <c r="I105" s="75">
        <v>17497.64</v>
      </c>
      <c r="J105" s="75">
        <v>34995.279999999999</v>
      </c>
      <c r="K105" s="91" t="s">
        <v>304</v>
      </c>
      <c r="L105" s="73"/>
      <c r="M105" s="46">
        <v>0</v>
      </c>
      <c r="N105" s="46">
        <v>0</v>
      </c>
      <c r="O105" s="46">
        <v>0</v>
      </c>
      <c r="P105" s="98"/>
      <c r="Q105" s="23" t="s">
        <v>1469</v>
      </c>
      <c r="R105" s="24" t="s">
        <v>303</v>
      </c>
      <c r="S105" s="25" t="s">
        <v>81</v>
      </c>
      <c r="T105" s="26">
        <v>2</v>
      </c>
      <c r="U105" s="26">
        <v>2</v>
      </c>
      <c r="V105" s="26">
        <f t="shared" si="19"/>
        <v>17497.64</v>
      </c>
      <c r="W105" s="26">
        <f t="shared" si="18"/>
        <v>0</v>
      </c>
      <c r="X105" s="26">
        <f t="shared" si="13"/>
        <v>0</v>
      </c>
      <c r="Y105" s="26">
        <f t="shared" si="20"/>
        <v>0</v>
      </c>
      <c r="Z105" s="26">
        <f t="shared" si="14"/>
        <v>0</v>
      </c>
      <c r="AA105" s="33" t="s">
        <v>15</v>
      </c>
      <c r="AB105" s="36" t="s">
        <v>16</v>
      </c>
      <c r="AC105" s="181">
        <f t="shared" si="15"/>
        <v>2</v>
      </c>
      <c r="AD105" s="181">
        <f t="shared" si="21"/>
        <v>34995.279999999999</v>
      </c>
      <c r="AE105" s="181">
        <v>1.2</v>
      </c>
      <c r="AF105" s="181">
        <v>1.2</v>
      </c>
      <c r="AG105" s="101" t="str">
        <f t="shared" si="16"/>
        <v/>
      </c>
      <c r="AH105" s="190">
        <v>0</v>
      </c>
      <c r="AI105" s="69">
        <f t="shared" si="17"/>
        <v>2</v>
      </c>
    </row>
    <row r="106" spans="1:35" s="69" customFormat="1" ht="26.1" customHeight="1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 t="s">
        <v>15</v>
      </c>
      <c r="I106" s="75">
        <v>1501.74</v>
      </c>
      <c r="J106" s="75">
        <v>3003.48</v>
      </c>
      <c r="K106" s="91" t="s">
        <v>307</v>
      </c>
      <c r="L106" s="73"/>
      <c r="M106" s="46">
        <v>0</v>
      </c>
      <c r="N106" s="46">
        <v>0</v>
      </c>
      <c r="O106" s="46">
        <v>0</v>
      </c>
      <c r="P106" s="98"/>
      <c r="Q106" s="23" t="s">
        <v>1470</v>
      </c>
      <c r="R106" s="24" t="s">
        <v>306</v>
      </c>
      <c r="S106" s="25" t="s">
        <v>81</v>
      </c>
      <c r="T106" s="26">
        <v>2</v>
      </c>
      <c r="U106" s="26">
        <v>2</v>
      </c>
      <c r="V106" s="26">
        <f t="shared" si="19"/>
        <v>1501.74</v>
      </c>
      <c r="W106" s="26">
        <f t="shared" si="18"/>
        <v>0</v>
      </c>
      <c r="X106" s="26">
        <f t="shared" si="13"/>
        <v>0</v>
      </c>
      <c r="Y106" s="26">
        <f t="shared" si="20"/>
        <v>0</v>
      </c>
      <c r="Z106" s="26">
        <f t="shared" si="14"/>
        <v>0</v>
      </c>
      <c r="AA106" s="33" t="s">
        <v>15</v>
      </c>
      <c r="AB106" s="36" t="s">
        <v>16</v>
      </c>
      <c r="AC106" s="181">
        <f t="shared" si="15"/>
        <v>2</v>
      </c>
      <c r="AD106" s="181">
        <f t="shared" si="21"/>
        <v>3003.48</v>
      </c>
      <c r="AE106" s="181">
        <v>1.2</v>
      </c>
      <c r="AF106" s="181">
        <v>1.2</v>
      </c>
      <c r="AG106" s="101" t="str">
        <f t="shared" si="16"/>
        <v/>
      </c>
      <c r="AH106" s="190">
        <v>0</v>
      </c>
      <c r="AI106" s="69">
        <f t="shared" si="17"/>
        <v>2</v>
      </c>
    </row>
    <row r="107" spans="1:35" s="69" customFormat="1" ht="26.1" customHeight="1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 t="s">
        <v>15</v>
      </c>
      <c r="I107" s="75">
        <v>994.98</v>
      </c>
      <c r="J107" s="75">
        <v>994.98</v>
      </c>
      <c r="K107" s="91" t="s">
        <v>310</v>
      </c>
      <c r="L107" s="73"/>
      <c r="M107" s="46">
        <v>0</v>
      </c>
      <c r="N107" s="46">
        <v>0</v>
      </c>
      <c r="O107" s="46">
        <v>0</v>
      </c>
      <c r="P107" s="98"/>
      <c r="Q107" s="23" t="s">
        <v>1471</v>
      </c>
      <c r="R107" s="24" t="s">
        <v>309</v>
      </c>
      <c r="S107" s="25" t="s">
        <v>81</v>
      </c>
      <c r="T107" s="26">
        <v>1</v>
      </c>
      <c r="U107" s="26">
        <v>1</v>
      </c>
      <c r="V107" s="26">
        <f t="shared" si="19"/>
        <v>994.98</v>
      </c>
      <c r="W107" s="26">
        <f t="shared" si="18"/>
        <v>0</v>
      </c>
      <c r="X107" s="26">
        <f t="shared" si="13"/>
        <v>0</v>
      </c>
      <c r="Y107" s="26">
        <f t="shared" si="20"/>
        <v>0</v>
      </c>
      <c r="Z107" s="26">
        <f t="shared" si="14"/>
        <v>0</v>
      </c>
      <c r="AA107" s="33" t="s">
        <v>15</v>
      </c>
      <c r="AB107" s="36" t="s">
        <v>16</v>
      </c>
      <c r="AC107" s="181">
        <f t="shared" si="15"/>
        <v>1</v>
      </c>
      <c r="AD107" s="181">
        <f t="shared" si="21"/>
        <v>994.98</v>
      </c>
      <c r="AE107" s="181">
        <v>1.2</v>
      </c>
      <c r="AF107" s="181">
        <v>1.2</v>
      </c>
      <c r="AG107" s="101" t="str">
        <f t="shared" si="16"/>
        <v/>
      </c>
      <c r="AH107" s="190">
        <v>0</v>
      </c>
      <c r="AI107" s="69">
        <f t="shared" si="17"/>
        <v>1</v>
      </c>
    </row>
    <row r="108" spans="1:35" s="69" customFormat="1" ht="26.1" customHeight="1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 t="s">
        <v>15</v>
      </c>
      <c r="I108" s="75">
        <v>331.66</v>
      </c>
      <c r="J108" s="75">
        <v>3979.92</v>
      </c>
      <c r="K108" s="91" t="s">
        <v>313</v>
      </c>
      <c r="L108" s="73"/>
      <c r="M108" s="46">
        <v>0</v>
      </c>
      <c r="N108" s="46">
        <v>0</v>
      </c>
      <c r="O108" s="46">
        <v>0</v>
      </c>
      <c r="P108" s="98"/>
      <c r="Q108" s="23" t="s">
        <v>1472</v>
      </c>
      <c r="R108" s="24" t="s">
        <v>312</v>
      </c>
      <c r="S108" s="25" t="s">
        <v>81</v>
      </c>
      <c r="T108" s="26">
        <v>12</v>
      </c>
      <c r="U108" s="26">
        <v>12</v>
      </c>
      <c r="V108" s="26">
        <f t="shared" si="19"/>
        <v>331.66</v>
      </c>
      <c r="W108" s="26">
        <f t="shared" si="18"/>
        <v>0</v>
      </c>
      <c r="X108" s="26">
        <f t="shared" si="13"/>
        <v>0</v>
      </c>
      <c r="Y108" s="26">
        <f t="shared" si="20"/>
        <v>0</v>
      </c>
      <c r="Z108" s="26">
        <f t="shared" si="14"/>
        <v>0</v>
      </c>
      <c r="AA108" s="33" t="s">
        <v>15</v>
      </c>
      <c r="AB108" s="36" t="s">
        <v>16</v>
      </c>
      <c r="AC108" s="181">
        <f t="shared" si="15"/>
        <v>12</v>
      </c>
      <c r="AD108" s="181">
        <f t="shared" si="21"/>
        <v>3979.92</v>
      </c>
      <c r="AE108" s="181">
        <v>1.2</v>
      </c>
      <c r="AF108" s="181">
        <v>1.2</v>
      </c>
      <c r="AG108" s="101" t="str">
        <f t="shared" si="16"/>
        <v/>
      </c>
      <c r="AH108" s="190">
        <v>0</v>
      </c>
      <c r="AI108" s="69">
        <f t="shared" si="17"/>
        <v>12</v>
      </c>
    </row>
    <row r="109" spans="1:35" s="69" customFormat="1" ht="26.1" customHeight="1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 t="s">
        <v>15</v>
      </c>
      <c r="I109" s="75">
        <v>1096.44</v>
      </c>
      <c r="J109" s="75">
        <v>2192.88</v>
      </c>
      <c r="K109" s="91" t="s">
        <v>316</v>
      </c>
      <c r="L109" s="73"/>
      <c r="M109" s="46">
        <v>0</v>
      </c>
      <c r="N109" s="46">
        <v>0</v>
      </c>
      <c r="O109" s="46">
        <v>0</v>
      </c>
      <c r="P109" s="98"/>
      <c r="Q109" s="23" t="s">
        <v>1473</v>
      </c>
      <c r="R109" s="24" t="s">
        <v>315</v>
      </c>
      <c r="S109" s="25" t="s">
        <v>81</v>
      </c>
      <c r="T109" s="26">
        <v>2</v>
      </c>
      <c r="U109" s="26">
        <v>2</v>
      </c>
      <c r="V109" s="26">
        <f t="shared" si="19"/>
        <v>1096.44</v>
      </c>
      <c r="W109" s="26">
        <f t="shared" si="18"/>
        <v>0</v>
      </c>
      <c r="X109" s="26">
        <f t="shared" si="13"/>
        <v>0</v>
      </c>
      <c r="Y109" s="26">
        <f t="shared" si="20"/>
        <v>0</v>
      </c>
      <c r="Z109" s="26">
        <f t="shared" si="14"/>
        <v>0</v>
      </c>
      <c r="AA109" s="33" t="s">
        <v>15</v>
      </c>
      <c r="AB109" s="36" t="s">
        <v>16</v>
      </c>
      <c r="AC109" s="181">
        <f t="shared" si="15"/>
        <v>2</v>
      </c>
      <c r="AD109" s="181">
        <f t="shared" si="21"/>
        <v>2192.88</v>
      </c>
      <c r="AE109" s="181">
        <v>1.2</v>
      </c>
      <c r="AF109" s="181">
        <v>1.2</v>
      </c>
      <c r="AG109" s="101" t="str">
        <f t="shared" si="16"/>
        <v/>
      </c>
      <c r="AH109" s="190">
        <v>0</v>
      </c>
      <c r="AI109" s="69">
        <f t="shared" si="17"/>
        <v>2</v>
      </c>
    </row>
    <row r="110" spans="1:35" s="69" customFormat="1" ht="26.1" customHeight="1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 t="s">
        <v>15</v>
      </c>
      <c r="I110" s="75">
        <v>952.24</v>
      </c>
      <c r="J110" s="75">
        <v>3808.96</v>
      </c>
      <c r="K110" s="91" t="s">
        <v>319</v>
      </c>
      <c r="L110" s="73"/>
      <c r="M110" s="46">
        <v>0</v>
      </c>
      <c r="N110" s="46">
        <v>0</v>
      </c>
      <c r="O110" s="46">
        <v>0</v>
      </c>
      <c r="P110" s="98"/>
      <c r="Q110" s="23" t="s">
        <v>1474</v>
      </c>
      <c r="R110" s="24" t="s">
        <v>318</v>
      </c>
      <c r="S110" s="25" t="s">
        <v>81</v>
      </c>
      <c r="T110" s="26">
        <v>4</v>
      </c>
      <c r="U110" s="26">
        <v>4</v>
      </c>
      <c r="V110" s="26">
        <f t="shared" si="19"/>
        <v>952.24</v>
      </c>
      <c r="W110" s="26">
        <f t="shared" si="18"/>
        <v>0</v>
      </c>
      <c r="X110" s="26">
        <f t="shared" si="13"/>
        <v>0</v>
      </c>
      <c r="Y110" s="26">
        <f t="shared" si="20"/>
        <v>0</v>
      </c>
      <c r="Z110" s="26">
        <f t="shared" si="14"/>
        <v>0</v>
      </c>
      <c r="AA110" s="33" t="s">
        <v>15</v>
      </c>
      <c r="AB110" s="36" t="s">
        <v>16</v>
      </c>
      <c r="AC110" s="181">
        <f t="shared" si="15"/>
        <v>4</v>
      </c>
      <c r="AD110" s="181">
        <f t="shared" si="21"/>
        <v>3808.96</v>
      </c>
      <c r="AE110" s="181">
        <v>1.2</v>
      </c>
      <c r="AF110" s="181">
        <v>1.2</v>
      </c>
      <c r="AG110" s="101" t="str">
        <f t="shared" si="16"/>
        <v/>
      </c>
      <c r="AH110" s="190">
        <v>0</v>
      </c>
      <c r="AI110" s="69">
        <f t="shared" si="17"/>
        <v>4</v>
      </c>
    </row>
    <row r="111" spans="1:35" s="69" customFormat="1" ht="49.5" x14ac:dyDescent="0.3">
      <c r="A111" s="130" t="s">
        <v>320</v>
      </c>
      <c r="B111" s="240" t="s">
        <v>321</v>
      </c>
      <c r="C111" s="132" t="s">
        <v>50</v>
      </c>
      <c r="D111" s="133">
        <v>676.98</v>
      </c>
      <c r="E111" s="75">
        <v>773.78</v>
      </c>
      <c r="F111" s="75"/>
      <c r="G111" s="75"/>
      <c r="H111" s="75" t="s">
        <v>15</v>
      </c>
      <c r="I111" s="75">
        <v>647.70000000000005</v>
      </c>
      <c r="J111" s="75">
        <v>501177.31</v>
      </c>
      <c r="K111" s="91" t="s">
        <v>322</v>
      </c>
      <c r="L111" s="73"/>
      <c r="M111" s="46">
        <v>354.83</v>
      </c>
      <c r="N111" s="46">
        <v>0</v>
      </c>
      <c r="O111" s="46">
        <v>229823.39</v>
      </c>
      <c r="P111" s="98"/>
      <c r="Q111" s="23" t="s">
        <v>1475</v>
      </c>
      <c r="R111" s="24" t="s">
        <v>321</v>
      </c>
      <c r="S111" s="25" t="s">
        <v>50</v>
      </c>
      <c r="T111" s="26">
        <v>676.98</v>
      </c>
      <c r="U111" s="26">
        <v>773.78</v>
      </c>
      <c r="V111" s="26">
        <f t="shared" si="19"/>
        <v>647.70000000000005</v>
      </c>
      <c r="W111" s="128">
        <f t="shared" si="18"/>
        <v>0</v>
      </c>
      <c r="X111" s="127">
        <f t="shared" si="13"/>
        <v>354.83</v>
      </c>
      <c r="Y111" s="127">
        <f t="shared" si="20"/>
        <v>0</v>
      </c>
      <c r="Z111" s="127">
        <f t="shared" si="14"/>
        <v>229823.39</v>
      </c>
      <c r="AA111" s="27" t="s">
        <v>15</v>
      </c>
      <c r="AB111" s="36" t="s">
        <v>16</v>
      </c>
      <c r="AC111" s="181">
        <f t="shared" si="15"/>
        <v>773.78</v>
      </c>
      <c r="AD111" s="181">
        <f t="shared" si="21"/>
        <v>501177.31</v>
      </c>
      <c r="AE111" s="181">
        <v>1.2</v>
      </c>
      <c r="AF111" s="181">
        <v>1.2</v>
      </c>
      <c r="AG111" s="101" t="str">
        <f t="shared" si="16"/>
        <v/>
      </c>
      <c r="AH111" s="191">
        <v>354.83</v>
      </c>
      <c r="AI111" s="69">
        <f t="shared" si="17"/>
        <v>773.78</v>
      </c>
    </row>
    <row r="112" spans="1:35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 t="s">
        <v>15</v>
      </c>
      <c r="I112" s="75">
        <v>10413.299999999999</v>
      </c>
      <c r="J112" s="75">
        <v>20826.599999999999</v>
      </c>
      <c r="K112" s="91" t="s">
        <v>326</v>
      </c>
      <c r="L112" s="73"/>
      <c r="M112" s="46">
        <v>0</v>
      </c>
      <c r="N112" s="46">
        <v>0</v>
      </c>
      <c r="O112" s="46">
        <v>0</v>
      </c>
      <c r="P112" s="98"/>
      <c r="Q112" s="23" t="s">
        <v>1476</v>
      </c>
      <c r="R112" s="24" t="s">
        <v>324</v>
      </c>
      <c r="S112" s="25" t="s">
        <v>325</v>
      </c>
      <c r="T112" s="26">
        <v>2</v>
      </c>
      <c r="U112" s="26">
        <v>2</v>
      </c>
      <c r="V112" s="26">
        <f t="shared" si="19"/>
        <v>10413.299999999999</v>
      </c>
      <c r="W112" s="26">
        <f t="shared" si="18"/>
        <v>0</v>
      </c>
      <c r="X112" s="26">
        <f t="shared" si="13"/>
        <v>0</v>
      </c>
      <c r="Y112" s="26">
        <f t="shared" si="20"/>
        <v>0</v>
      </c>
      <c r="Z112" s="26">
        <f t="shared" si="14"/>
        <v>0</v>
      </c>
      <c r="AA112" s="33" t="s">
        <v>15</v>
      </c>
      <c r="AB112" s="36" t="s">
        <v>16</v>
      </c>
      <c r="AC112" s="181">
        <f t="shared" si="15"/>
        <v>2</v>
      </c>
      <c r="AD112" s="181">
        <f t="shared" si="21"/>
        <v>20826.599999999999</v>
      </c>
      <c r="AE112" s="181">
        <v>1.2</v>
      </c>
      <c r="AF112" s="181">
        <v>1.2</v>
      </c>
      <c r="AG112" s="101" t="str">
        <f t="shared" si="16"/>
        <v/>
      </c>
      <c r="AH112" s="190">
        <v>0</v>
      </c>
      <c r="AI112" s="69">
        <f t="shared" si="17"/>
        <v>2</v>
      </c>
    </row>
    <row r="113" spans="1:35" s="69" customFormat="1" ht="33" x14ac:dyDescent="0.3">
      <c r="A113" s="130" t="s">
        <v>327</v>
      </c>
      <c r="B113" s="131" t="s">
        <v>328</v>
      </c>
      <c r="C113" s="132" t="s">
        <v>81</v>
      </c>
      <c r="D113" s="133">
        <v>1</v>
      </c>
      <c r="E113" s="75"/>
      <c r="F113" s="75"/>
      <c r="G113" s="75"/>
      <c r="H113" s="75" t="s">
        <v>15</v>
      </c>
      <c r="I113" s="75">
        <v>101421.35</v>
      </c>
      <c r="J113" s="75">
        <v>101421.35</v>
      </c>
      <c r="K113" s="91" t="s">
        <v>329</v>
      </c>
      <c r="L113" s="73"/>
      <c r="M113" s="46">
        <v>1</v>
      </c>
      <c r="N113" s="46">
        <v>0</v>
      </c>
      <c r="O113" s="46">
        <v>101421.35</v>
      </c>
      <c r="P113" s="98"/>
      <c r="Q113" s="23" t="s">
        <v>1477</v>
      </c>
      <c r="R113" s="24" t="s">
        <v>328</v>
      </c>
      <c r="S113" s="25" t="s">
        <v>81</v>
      </c>
      <c r="T113" s="26">
        <v>1</v>
      </c>
      <c r="U113" s="26">
        <v>1</v>
      </c>
      <c r="V113" s="26">
        <f t="shared" si="19"/>
        <v>101421.35</v>
      </c>
      <c r="W113" s="127">
        <f t="shared" si="18"/>
        <v>0</v>
      </c>
      <c r="X113" s="127">
        <f t="shared" si="13"/>
        <v>1</v>
      </c>
      <c r="Y113" s="127">
        <f t="shared" si="20"/>
        <v>0</v>
      </c>
      <c r="Z113" s="127">
        <f t="shared" si="14"/>
        <v>101421.35</v>
      </c>
      <c r="AA113" s="33" t="s">
        <v>15</v>
      </c>
      <c r="AB113" s="36" t="s">
        <v>16</v>
      </c>
      <c r="AC113" s="181">
        <f t="shared" si="15"/>
        <v>1</v>
      </c>
      <c r="AD113" s="181">
        <f t="shared" si="21"/>
        <v>101421.35</v>
      </c>
      <c r="AE113" s="181">
        <v>1.2</v>
      </c>
      <c r="AF113" s="181">
        <v>1.2</v>
      </c>
      <c r="AG113" s="101" t="str">
        <f t="shared" si="16"/>
        <v/>
      </c>
      <c r="AH113" s="190">
        <v>1</v>
      </c>
      <c r="AI113" s="69">
        <f t="shared" si="17"/>
        <v>1</v>
      </c>
    </row>
    <row r="114" spans="1:35" s="69" customFormat="1" ht="33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 t="s">
        <v>15</v>
      </c>
      <c r="I114" s="75">
        <v>4575.26</v>
      </c>
      <c r="J114" s="75">
        <v>13725.78</v>
      </c>
      <c r="K114" s="91" t="s">
        <v>332</v>
      </c>
      <c r="L114" s="73"/>
      <c r="M114" s="46">
        <v>0</v>
      </c>
      <c r="N114" s="46">
        <v>0</v>
      </c>
      <c r="O114" s="46">
        <v>0</v>
      </c>
      <c r="P114" s="98"/>
      <c r="Q114" s="23" t="s">
        <v>1478</v>
      </c>
      <c r="R114" s="24" t="s">
        <v>331</v>
      </c>
      <c r="S114" s="25" t="s">
        <v>325</v>
      </c>
      <c r="T114" s="26">
        <v>3</v>
      </c>
      <c r="U114" s="26">
        <v>3</v>
      </c>
      <c r="V114" s="26">
        <f t="shared" si="19"/>
        <v>4575.26</v>
      </c>
      <c r="W114" s="26">
        <f t="shared" si="18"/>
        <v>0</v>
      </c>
      <c r="X114" s="26">
        <f t="shared" si="13"/>
        <v>0</v>
      </c>
      <c r="Y114" s="26">
        <f t="shared" si="20"/>
        <v>0</v>
      </c>
      <c r="Z114" s="26">
        <f t="shared" si="14"/>
        <v>0</v>
      </c>
      <c r="AA114" s="33" t="s">
        <v>15</v>
      </c>
      <c r="AB114" s="36" t="s">
        <v>16</v>
      </c>
      <c r="AC114" s="181">
        <f t="shared" si="15"/>
        <v>3</v>
      </c>
      <c r="AD114" s="181">
        <f t="shared" si="21"/>
        <v>13725.78</v>
      </c>
      <c r="AE114" s="181">
        <v>1.2</v>
      </c>
      <c r="AF114" s="181">
        <v>1.2</v>
      </c>
      <c r="AG114" s="101" t="str">
        <f t="shared" si="16"/>
        <v/>
      </c>
      <c r="AH114" s="190">
        <v>0</v>
      </c>
      <c r="AI114" s="69">
        <f t="shared" si="17"/>
        <v>3</v>
      </c>
    </row>
    <row r="115" spans="1:35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 t="s">
        <v>15</v>
      </c>
      <c r="I115" s="75">
        <v>12634.43</v>
      </c>
      <c r="J115" s="75">
        <v>12634.43</v>
      </c>
      <c r="K115" s="91" t="s">
        <v>335</v>
      </c>
      <c r="L115" s="73"/>
      <c r="M115" s="46">
        <v>0</v>
      </c>
      <c r="N115" s="46">
        <v>0</v>
      </c>
      <c r="O115" s="46">
        <v>0</v>
      </c>
      <c r="P115" s="98"/>
      <c r="Q115" s="23" t="s">
        <v>1479</v>
      </c>
      <c r="R115" s="24" t="s">
        <v>334</v>
      </c>
      <c r="S115" s="25" t="s">
        <v>81</v>
      </c>
      <c r="T115" s="26">
        <v>1</v>
      </c>
      <c r="U115" s="26">
        <v>1</v>
      </c>
      <c r="V115" s="26">
        <f t="shared" si="19"/>
        <v>12634.43</v>
      </c>
      <c r="W115" s="26">
        <f t="shared" si="18"/>
        <v>0</v>
      </c>
      <c r="X115" s="26">
        <f t="shared" si="13"/>
        <v>0</v>
      </c>
      <c r="Y115" s="26">
        <f t="shared" si="20"/>
        <v>0</v>
      </c>
      <c r="Z115" s="26">
        <f t="shared" si="14"/>
        <v>0</v>
      </c>
      <c r="AA115" s="33" t="s">
        <v>15</v>
      </c>
      <c r="AB115" s="36" t="s">
        <v>16</v>
      </c>
      <c r="AC115" s="181">
        <f t="shared" si="15"/>
        <v>1</v>
      </c>
      <c r="AD115" s="181">
        <f t="shared" si="21"/>
        <v>12634.43</v>
      </c>
      <c r="AE115" s="181">
        <v>1.2</v>
      </c>
      <c r="AF115" s="181">
        <v>1.2</v>
      </c>
      <c r="AG115" s="101" t="str">
        <f t="shared" si="16"/>
        <v/>
      </c>
      <c r="AH115" s="190">
        <v>0</v>
      </c>
      <c r="AI115" s="69">
        <f t="shared" si="17"/>
        <v>1</v>
      </c>
    </row>
    <row r="116" spans="1:35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 t="s">
        <v>15</v>
      </c>
      <c r="I116" s="75">
        <v>15300</v>
      </c>
      <c r="J116" s="75">
        <v>974304</v>
      </c>
      <c r="K116" s="91" t="s">
        <v>339</v>
      </c>
      <c r="L116" s="73"/>
      <c r="M116" s="46">
        <v>35.700000000000003</v>
      </c>
      <c r="N116" s="46">
        <v>546210</v>
      </c>
      <c r="O116" s="46">
        <v>546210</v>
      </c>
      <c r="P116" s="98"/>
      <c r="Q116" s="23" t="s">
        <v>1480</v>
      </c>
      <c r="R116" s="24" t="s">
        <v>337</v>
      </c>
      <c r="S116" s="25" t="s">
        <v>338</v>
      </c>
      <c r="T116" s="26">
        <v>63.68</v>
      </c>
      <c r="U116" s="26">
        <v>63.68</v>
      </c>
      <c r="V116" s="26">
        <f t="shared" si="19"/>
        <v>15300</v>
      </c>
      <c r="W116" s="128">
        <f t="shared" si="18"/>
        <v>0</v>
      </c>
      <c r="X116" s="26">
        <f t="shared" si="13"/>
        <v>35.700000000000003</v>
      </c>
      <c r="Y116" s="26">
        <f t="shared" si="20"/>
        <v>0</v>
      </c>
      <c r="Z116" s="26">
        <f t="shared" si="14"/>
        <v>546210</v>
      </c>
      <c r="AA116" s="33" t="s">
        <v>15</v>
      </c>
      <c r="AB116" s="36" t="s">
        <v>16</v>
      </c>
      <c r="AC116" s="181">
        <f t="shared" si="15"/>
        <v>63.68</v>
      </c>
      <c r="AD116" s="181">
        <f t="shared" si="21"/>
        <v>974304</v>
      </c>
      <c r="AE116" s="181">
        <v>1.2</v>
      </c>
      <c r="AF116" s="181">
        <v>1.2</v>
      </c>
      <c r="AG116" s="101" t="str">
        <f t="shared" si="16"/>
        <v/>
      </c>
      <c r="AH116" s="191">
        <v>35.700000000000003</v>
      </c>
      <c r="AI116" s="69">
        <f t="shared" si="17"/>
        <v>63.68</v>
      </c>
    </row>
    <row r="117" spans="1:35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 t="s">
        <v>15</v>
      </c>
      <c r="I117" s="75">
        <v>4498.58</v>
      </c>
      <c r="J117" s="75">
        <v>278911.96000000002</v>
      </c>
      <c r="K117" s="91" t="s">
        <v>342</v>
      </c>
      <c r="L117" s="73"/>
      <c r="M117" s="46">
        <v>16</v>
      </c>
      <c r="N117" s="46">
        <v>0</v>
      </c>
      <c r="O117" s="46">
        <v>71977.279999999999</v>
      </c>
      <c r="P117" s="98"/>
      <c r="Q117" s="23" t="s">
        <v>1481</v>
      </c>
      <c r="R117" s="24" t="s">
        <v>341</v>
      </c>
      <c r="S117" s="25" t="s">
        <v>81</v>
      </c>
      <c r="T117" s="26">
        <v>62</v>
      </c>
      <c r="U117" s="26">
        <v>62</v>
      </c>
      <c r="V117" s="26">
        <f t="shared" si="19"/>
        <v>4498.58</v>
      </c>
      <c r="W117" s="128">
        <f t="shared" si="18"/>
        <v>0</v>
      </c>
      <c r="X117" s="26">
        <f t="shared" si="13"/>
        <v>16</v>
      </c>
      <c r="Y117" s="26">
        <f t="shared" si="20"/>
        <v>0</v>
      </c>
      <c r="Z117" s="26">
        <f t="shared" si="14"/>
        <v>71977.279999999999</v>
      </c>
      <c r="AA117" s="33" t="s">
        <v>15</v>
      </c>
      <c r="AB117" s="36" t="s">
        <v>16</v>
      </c>
      <c r="AC117" s="181">
        <f t="shared" si="15"/>
        <v>62</v>
      </c>
      <c r="AD117" s="181">
        <f t="shared" si="21"/>
        <v>278911.96000000002</v>
      </c>
      <c r="AE117" s="181">
        <v>1.2</v>
      </c>
      <c r="AF117" s="181">
        <v>1.2</v>
      </c>
      <c r="AG117" s="101" t="str">
        <f t="shared" si="16"/>
        <v/>
      </c>
      <c r="AH117" s="191">
        <v>16</v>
      </c>
      <c r="AI117" s="69">
        <f t="shared" si="17"/>
        <v>62</v>
      </c>
    </row>
    <row r="118" spans="1:35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 t="s">
        <v>15</v>
      </c>
      <c r="I118" s="75">
        <v>3353.68</v>
      </c>
      <c r="J118" s="75">
        <v>50305.2</v>
      </c>
      <c r="K118" s="91" t="s">
        <v>345</v>
      </c>
      <c r="L118" s="73"/>
      <c r="M118" s="46">
        <v>2</v>
      </c>
      <c r="N118" s="46">
        <v>0</v>
      </c>
      <c r="O118" s="46">
        <v>6707.36</v>
      </c>
      <c r="P118" s="98"/>
      <c r="Q118" s="23" t="s">
        <v>1482</v>
      </c>
      <c r="R118" s="24" t="s">
        <v>344</v>
      </c>
      <c r="S118" s="25" t="s">
        <v>81</v>
      </c>
      <c r="T118" s="26">
        <v>15</v>
      </c>
      <c r="U118" s="26">
        <v>15</v>
      </c>
      <c r="V118" s="26">
        <f t="shared" si="19"/>
        <v>3353.68</v>
      </c>
      <c r="W118" s="128">
        <f t="shared" si="18"/>
        <v>0</v>
      </c>
      <c r="X118" s="26">
        <f t="shared" si="13"/>
        <v>2</v>
      </c>
      <c r="Y118" s="26">
        <f t="shared" si="20"/>
        <v>0</v>
      </c>
      <c r="Z118" s="26">
        <f t="shared" si="14"/>
        <v>6707.36</v>
      </c>
      <c r="AA118" s="33" t="s">
        <v>15</v>
      </c>
      <c r="AB118" s="36" t="s">
        <v>16</v>
      </c>
      <c r="AC118" s="181">
        <f t="shared" si="15"/>
        <v>15</v>
      </c>
      <c r="AD118" s="181">
        <f t="shared" si="21"/>
        <v>50305.2</v>
      </c>
      <c r="AE118" s="181">
        <v>1.2</v>
      </c>
      <c r="AF118" s="181">
        <v>1.2</v>
      </c>
      <c r="AG118" s="101" t="str">
        <f t="shared" si="16"/>
        <v/>
      </c>
      <c r="AH118" s="191">
        <v>2</v>
      </c>
      <c r="AI118" s="69">
        <f t="shared" si="17"/>
        <v>15</v>
      </c>
    </row>
    <row r="119" spans="1:35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 t="s">
        <v>15</v>
      </c>
      <c r="I119" s="75">
        <v>9874.4</v>
      </c>
      <c r="J119" s="75">
        <v>128367.2</v>
      </c>
      <c r="K119" s="91" t="s">
        <v>348</v>
      </c>
      <c r="L119" s="73"/>
      <c r="M119" s="46">
        <v>0</v>
      </c>
      <c r="N119" s="46">
        <v>0</v>
      </c>
      <c r="O119" s="46">
        <v>0</v>
      </c>
      <c r="P119" s="98"/>
      <c r="Q119" s="23" t="s">
        <v>1483</v>
      </c>
      <c r="R119" s="24" t="s">
        <v>347</v>
      </c>
      <c r="S119" s="25" t="s">
        <v>30</v>
      </c>
      <c r="T119" s="26">
        <v>13</v>
      </c>
      <c r="U119" s="26">
        <v>13</v>
      </c>
      <c r="V119" s="26">
        <f t="shared" si="19"/>
        <v>9874.4</v>
      </c>
      <c r="W119" s="26">
        <f t="shared" si="18"/>
        <v>0</v>
      </c>
      <c r="X119" s="26">
        <f t="shared" si="13"/>
        <v>0</v>
      </c>
      <c r="Y119" s="26">
        <f t="shared" si="20"/>
        <v>0</v>
      </c>
      <c r="Z119" s="26">
        <f t="shared" si="14"/>
        <v>0</v>
      </c>
      <c r="AA119" s="33" t="s">
        <v>15</v>
      </c>
      <c r="AB119" s="36" t="s">
        <v>16</v>
      </c>
      <c r="AC119" s="181">
        <f t="shared" si="15"/>
        <v>13</v>
      </c>
      <c r="AD119" s="181">
        <f t="shared" si="21"/>
        <v>128367.2</v>
      </c>
      <c r="AE119" s="181">
        <v>1.2</v>
      </c>
      <c r="AF119" s="181">
        <v>1.2</v>
      </c>
      <c r="AG119" s="101" t="str">
        <f t="shared" si="16"/>
        <v/>
      </c>
      <c r="AH119" s="190">
        <v>0</v>
      </c>
      <c r="AI119" s="69">
        <f t="shared" si="17"/>
        <v>13</v>
      </c>
    </row>
    <row r="120" spans="1:35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 t="s">
        <v>15</v>
      </c>
      <c r="I120" s="75">
        <v>6554.37</v>
      </c>
      <c r="J120" s="75">
        <v>273317.23</v>
      </c>
      <c r="K120" s="91" t="s">
        <v>351</v>
      </c>
      <c r="L120" s="73"/>
      <c r="M120" s="46">
        <v>0</v>
      </c>
      <c r="N120" s="46">
        <v>0</v>
      </c>
      <c r="O120" s="46">
        <v>0</v>
      </c>
      <c r="P120" s="98"/>
      <c r="Q120" s="23" t="s">
        <v>1484</v>
      </c>
      <c r="R120" s="24" t="s">
        <v>350</v>
      </c>
      <c r="S120" s="25" t="s">
        <v>30</v>
      </c>
      <c r="T120" s="26">
        <v>41.7</v>
      </c>
      <c r="U120" s="26">
        <v>41.7</v>
      </c>
      <c r="V120" s="26">
        <f t="shared" si="19"/>
        <v>6554.37</v>
      </c>
      <c r="W120" s="26">
        <f t="shared" si="18"/>
        <v>0</v>
      </c>
      <c r="X120" s="26">
        <f t="shared" si="13"/>
        <v>0</v>
      </c>
      <c r="Y120" s="26">
        <f t="shared" si="20"/>
        <v>0</v>
      </c>
      <c r="Z120" s="26">
        <f t="shared" si="14"/>
        <v>0</v>
      </c>
      <c r="AA120" s="33" t="s">
        <v>15</v>
      </c>
      <c r="AB120" s="36" t="s">
        <v>16</v>
      </c>
      <c r="AC120" s="181">
        <f t="shared" si="15"/>
        <v>41.7</v>
      </c>
      <c r="AD120" s="181">
        <f t="shared" si="21"/>
        <v>273317.23</v>
      </c>
      <c r="AE120" s="181">
        <v>1.2</v>
      </c>
      <c r="AF120" s="181">
        <v>1.2</v>
      </c>
      <c r="AG120" s="101" t="str">
        <f t="shared" si="16"/>
        <v/>
      </c>
      <c r="AH120" s="190">
        <v>0</v>
      </c>
      <c r="AI120" s="69">
        <f t="shared" si="17"/>
        <v>41.7</v>
      </c>
    </row>
    <row r="121" spans="1:35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 t="s">
        <v>15</v>
      </c>
      <c r="I121" s="75">
        <v>8390.73</v>
      </c>
      <c r="J121" s="75">
        <v>10907.95</v>
      </c>
      <c r="K121" s="91" t="s">
        <v>354</v>
      </c>
      <c r="L121" s="73"/>
      <c r="M121" s="46">
        <v>0</v>
      </c>
      <c r="N121" s="46">
        <v>0</v>
      </c>
      <c r="O121" s="46">
        <v>0</v>
      </c>
      <c r="P121" s="98"/>
      <c r="Q121" s="23" t="s">
        <v>1485</v>
      </c>
      <c r="R121" s="24" t="s">
        <v>353</v>
      </c>
      <c r="S121" s="25" t="s">
        <v>30</v>
      </c>
      <c r="T121" s="26">
        <v>1.3</v>
      </c>
      <c r="U121" s="26">
        <v>1.3</v>
      </c>
      <c r="V121" s="26">
        <f t="shared" si="19"/>
        <v>8390.73</v>
      </c>
      <c r="W121" s="26">
        <f t="shared" si="18"/>
        <v>0</v>
      </c>
      <c r="X121" s="26">
        <f t="shared" si="13"/>
        <v>0</v>
      </c>
      <c r="Y121" s="26">
        <f t="shared" si="20"/>
        <v>0</v>
      </c>
      <c r="Z121" s="26">
        <f t="shared" si="14"/>
        <v>0</v>
      </c>
      <c r="AA121" s="33" t="s">
        <v>15</v>
      </c>
      <c r="AB121" s="36" t="s">
        <v>16</v>
      </c>
      <c r="AC121" s="181">
        <f t="shared" si="15"/>
        <v>1.3</v>
      </c>
      <c r="AD121" s="181">
        <f t="shared" si="21"/>
        <v>10907.95</v>
      </c>
      <c r="AE121" s="181">
        <v>1.2</v>
      </c>
      <c r="AF121" s="181">
        <v>1.2</v>
      </c>
      <c r="AG121" s="101" t="str">
        <f t="shared" si="16"/>
        <v/>
      </c>
      <c r="AH121" s="190">
        <v>0</v>
      </c>
      <c r="AI121" s="69">
        <f t="shared" si="17"/>
        <v>1.3</v>
      </c>
    </row>
    <row r="122" spans="1:35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 t="s">
        <v>15</v>
      </c>
      <c r="I122" s="75">
        <v>671.99</v>
      </c>
      <c r="J122" s="75">
        <v>82184.38</v>
      </c>
      <c r="K122" s="91" t="s">
        <v>357</v>
      </c>
      <c r="L122" s="73"/>
      <c r="M122" s="46">
        <v>0</v>
      </c>
      <c r="N122" s="46">
        <v>0</v>
      </c>
      <c r="O122" s="46">
        <v>0</v>
      </c>
      <c r="P122" s="98"/>
      <c r="Q122" s="23" t="s">
        <v>1486</v>
      </c>
      <c r="R122" s="24" t="s">
        <v>356</v>
      </c>
      <c r="S122" s="25" t="s">
        <v>30</v>
      </c>
      <c r="T122" s="26">
        <v>122.3</v>
      </c>
      <c r="U122" s="26">
        <v>122.3</v>
      </c>
      <c r="V122" s="26">
        <f t="shared" si="19"/>
        <v>671.99</v>
      </c>
      <c r="W122" s="26">
        <f t="shared" si="18"/>
        <v>0</v>
      </c>
      <c r="X122" s="26">
        <f t="shared" si="13"/>
        <v>0</v>
      </c>
      <c r="Y122" s="26">
        <f t="shared" si="20"/>
        <v>0</v>
      </c>
      <c r="Z122" s="26">
        <f t="shared" si="14"/>
        <v>0</v>
      </c>
      <c r="AA122" s="33" t="s">
        <v>15</v>
      </c>
      <c r="AB122" s="36" t="s">
        <v>16</v>
      </c>
      <c r="AC122" s="181">
        <f t="shared" si="15"/>
        <v>122.3</v>
      </c>
      <c r="AD122" s="181">
        <f t="shared" si="21"/>
        <v>82184.38</v>
      </c>
      <c r="AE122" s="181">
        <v>1.2</v>
      </c>
      <c r="AF122" s="181">
        <v>1.2</v>
      </c>
      <c r="AG122" s="101" t="str">
        <f t="shared" si="16"/>
        <v/>
      </c>
      <c r="AH122" s="190">
        <v>0</v>
      </c>
      <c r="AI122" s="69">
        <f t="shared" si="17"/>
        <v>122.3</v>
      </c>
    </row>
    <row r="123" spans="1:35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 t="s">
        <v>15</v>
      </c>
      <c r="I123" s="75">
        <v>935.67</v>
      </c>
      <c r="J123" s="75">
        <v>94512.03</v>
      </c>
      <c r="K123" s="91" t="s">
        <v>360</v>
      </c>
      <c r="L123" s="73"/>
      <c r="M123" s="46">
        <v>0</v>
      </c>
      <c r="N123" s="46">
        <v>0</v>
      </c>
      <c r="O123" s="46">
        <v>0</v>
      </c>
      <c r="P123" s="98"/>
      <c r="Q123" s="23" t="s">
        <v>1487</v>
      </c>
      <c r="R123" s="24" t="s">
        <v>359</v>
      </c>
      <c r="S123" s="25" t="s">
        <v>30</v>
      </c>
      <c r="T123" s="26">
        <v>101.01</v>
      </c>
      <c r="U123" s="26">
        <v>101.01</v>
      </c>
      <c r="V123" s="26">
        <f t="shared" si="19"/>
        <v>935.67</v>
      </c>
      <c r="W123" s="26">
        <f t="shared" si="18"/>
        <v>0</v>
      </c>
      <c r="X123" s="26">
        <f t="shared" si="13"/>
        <v>0</v>
      </c>
      <c r="Y123" s="26">
        <f t="shared" si="20"/>
        <v>0</v>
      </c>
      <c r="Z123" s="26">
        <f t="shared" si="14"/>
        <v>0</v>
      </c>
      <c r="AA123" s="33" t="s">
        <v>15</v>
      </c>
      <c r="AB123" s="36" t="s">
        <v>16</v>
      </c>
      <c r="AC123" s="181">
        <f t="shared" si="15"/>
        <v>101.01</v>
      </c>
      <c r="AD123" s="181">
        <f t="shared" si="21"/>
        <v>94512.03</v>
      </c>
      <c r="AE123" s="181">
        <v>1.2</v>
      </c>
      <c r="AF123" s="181">
        <v>1.2</v>
      </c>
      <c r="AG123" s="101" t="str">
        <f t="shared" si="16"/>
        <v/>
      </c>
      <c r="AH123" s="190">
        <v>0</v>
      </c>
      <c r="AI123" s="69">
        <f t="shared" si="17"/>
        <v>101.01</v>
      </c>
    </row>
    <row r="124" spans="1:35" s="69" customFormat="1" ht="33" x14ac:dyDescent="0.3">
      <c r="A124" s="55" t="s">
        <v>361</v>
      </c>
      <c r="B124" s="211" t="s">
        <v>362</v>
      </c>
      <c r="C124" s="54" t="s">
        <v>30</v>
      </c>
      <c r="D124" s="75">
        <v>489</v>
      </c>
      <c r="E124" s="75"/>
      <c r="F124" s="75"/>
      <c r="G124" s="75"/>
      <c r="H124" s="75" t="s">
        <v>15</v>
      </c>
      <c r="I124" s="75">
        <v>658.31</v>
      </c>
      <c r="J124" s="75">
        <v>321913.59000000003</v>
      </c>
      <c r="K124" s="91" t="s">
        <v>363</v>
      </c>
      <c r="L124" s="73"/>
      <c r="M124" s="46">
        <v>277.7</v>
      </c>
      <c r="N124" s="46">
        <v>20210.12</v>
      </c>
      <c r="O124" s="46">
        <v>182812.69</v>
      </c>
      <c r="P124" s="98"/>
      <c r="Q124" s="23" t="s">
        <v>1488</v>
      </c>
      <c r="R124" s="24" t="s">
        <v>362</v>
      </c>
      <c r="S124" s="25" t="s">
        <v>30</v>
      </c>
      <c r="T124" s="26">
        <v>489</v>
      </c>
      <c r="U124" s="26">
        <v>489</v>
      </c>
      <c r="V124" s="26">
        <f t="shared" si="19"/>
        <v>658.31</v>
      </c>
      <c r="W124" s="128">
        <f t="shared" si="18"/>
        <v>0</v>
      </c>
      <c r="X124" s="26">
        <f t="shared" si="13"/>
        <v>277.7</v>
      </c>
      <c r="Y124" s="26">
        <f t="shared" si="20"/>
        <v>0</v>
      </c>
      <c r="Z124" s="26">
        <f t="shared" si="14"/>
        <v>182812.69</v>
      </c>
      <c r="AA124" s="33" t="s">
        <v>15</v>
      </c>
      <c r="AB124" s="36" t="s">
        <v>16</v>
      </c>
      <c r="AC124" s="181">
        <f t="shared" si="15"/>
        <v>489</v>
      </c>
      <c r="AD124" s="181">
        <f t="shared" si="21"/>
        <v>321913.59000000003</v>
      </c>
      <c r="AE124" s="181">
        <v>1.2</v>
      </c>
      <c r="AF124" s="181">
        <v>1.2</v>
      </c>
      <c r="AG124" s="101" t="str">
        <f t="shared" si="16"/>
        <v/>
      </c>
      <c r="AH124" s="191">
        <v>277.7</v>
      </c>
      <c r="AI124" s="69">
        <f t="shared" si="17"/>
        <v>489</v>
      </c>
    </row>
    <row r="125" spans="1:35" s="69" customFormat="1" ht="33" x14ac:dyDescent="0.3">
      <c r="A125" s="55" t="s">
        <v>364</v>
      </c>
      <c r="B125" s="211" t="s">
        <v>3111</v>
      </c>
      <c r="C125" s="54" t="s">
        <v>30</v>
      </c>
      <c r="D125" s="75">
        <v>216</v>
      </c>
      <c r="E125" s="75"/>
      <c r="F125" s="75"/>
      <c r="G125" s="75"/>
      <c r="H125" s="75" t="s">
        <v>15</v>
      </c>
      <c r="I125" s="75">
        <v>730.41</v>
      </c>
      <c r="J125" s="75">
        <v>157768.56</v>
      </c>
      <c r="K125" s="91" t="s">
        <v>366</v>
      </c>
      <c r="L125" s="73"/>
      <c r="M125" s="46">
        <v>120</v>
      </c>
      <c r="N125" s="46">
        <v>0</v>
      </c>
      <c r="O125" s="46">
        <v>87649.2</v>
      </c>
      <c r="P125" s="98"/>
      <c r="Q125" s="23" t="s">
        <v>1489</v>
      </c>
      <c r="R125" s="24" t="s">
        <v>365</v>
      </c>
      <c r="S125" s="25" t="s">
        <v>30</v>
      </c>
      <c r="T125" s="26">
        <v>216</v>
      </c>
      <c r="U125" s="26">
        <v>216</v>
      </c>
      <c r="V125" s="26">
        <f t="shared" si="19"/>
        <v>730.41</v>
      </c>
      <c r="W125" s="128">
        <f t="shared" si="18"/>
        <v>0</v>
      </c>
      <c r="X125" s="26">
        <f t="shared" si="13"/>
        <v>120</v>
      </c>
      <c r="Y125" s="26">
        <f t="shared" si="20"/>
        <v>0</v>
      </c>
      <c r="Z125" s="26">
        <f t="shared" si="14"/>
        <v>87649.2</v>
      </c>
      <c r="AA125" s="33" t="s">
        <v>15</v>
      </c>
      <c r="AB125" s="36" t="s">
        <v>16</v>
      </c>
      <c r="AC125" s="181">
        <f t="shared" si="15"/>
        <v>216</v>
      </c>
      <c r="AD125" s="181">
        <f t="shared" si="21"/>
        <v>157768.56</v>
      </c>
      <c r="AE125" s="181">
        <v>1.2</v>
      </c>
      <c r="AF125" s="181">
        <v>1.2</v>
      </c>
      <c r="AG125" s="101" t="str">
        <f t="shared" si="16"/>
        <v/>
      </c>
      <c r="AH125" s="193">
        <v>120</v>
      </c>
      <c r="AI125" s="69">
        <f t="shared" si="17"/>
        <v>216</v>
      </c>
    </row>
    <row r="126" spans="1:35" s="69" customFormat="1" ht="33" x14ac:dyDescent="0.3">
      <c r="A126" s="55" t="s">
        <v>367</v>
      </c>
      <c r="B126" s="53" t="s">
        <v>368</v>
      </c>
      <c r="C126" s="54" t="s">
        <v>30</v>
      </c>
      <c r="D126" s="75">
        <v>45.16</v>
      </c>
      <c r="E126" s="75"/>
      <c r="F126" s="75"/>
      <c r="G126" s="75"/>
      <c r="H126" s="75" t="s">
        <v>15</v>
      </c>
      <c r="I126" s="75">
        <v>406.4</v>
      </c>
      <c r="J126" s="75">
        <v>18353.02</v>
      </c>
      <c r="K126" s="91" t="s">
        <v>369</v>
      </c>
      <c r="L126" s="73"/>
      <c r="M126" s="46">
        <v>0</v>
      </c>
      <c r="N126" s="46">
        <v>0</v>
      </c>
      <c r="O126" s="46">
        <v>0</v>
      </c>
      <c r="P126" s="98"/>
      <c r="Q126" s="23" t="s">
        <v>1398</v>
      </c>
      <c r="R126" s="24" t="s">
        <v>368</v>
      </c>
      <c r="S126" s="25" t="s">
        <v>30</v>
      </c>
      <c r="T126" s="26">
        <v>45.16</v>
      </c>
      <c r="U126" s="26">
        <v>45.16</v>
      </c>
      <c r="V126" s="26">
        <f t="shared" si="19"/>
        <v>406.4</v>
      </c>
      <c r="W126" s="26">
        <f t="shared" si="18"/>
        <v>0</v>
      </c>
      <c r="X126" s="26">
        <f t="shared" si="13"/>
        <v>0</v>
      </c>
      <c r="Y126" s="26">
        <f t="shared" si="20"/>
        <v>0</v>
      </c>
      <c r="Z126" s="26">
        <f t="shared" si="14"/>
        <v>0</v>
      </c>
      <c r="AA126" s="33" t="s">
        <v>15</v>
      </c>
      <c r="AB126" s="36" t="s">
        <v>16</v>
      </c>
      <c r="AC126" s="181">
        <f t="shared" si="15"/>
        <v>45.16</v>
      </c>
      <c r="AD126" s="181">
        <f t="shared" si="21"/>
        <v>18353.02</v>
      </c>
      <c r="AE126" s="181">
        <v>1.2</v>
      </c>
      <c r="AF126" s="181">
        <v>1.2</v>
      </c>
      <c r="AG126" s="101" t="str">
        <f t="shared" si="16"/>
        <v/>
      </c>
      <c r="AH126" s="190">
        <v>0</v>
      </c>
      <c r="AI126" s="69">
        <f t="shared" si="17"/>
        <v>45.16</v>
      </c>
    </row>
    <row r="127" spans="1:35" s="69" customFormat="1" ht="33" x14ac:dyDescent="0.3">
      <c r="A127" s="55" t="s">
        <v>370</v>
      </c>
      <c r="B127" s="53" t="s">
        <v>371</v>
      </c>
      <c r="C127" s="54" t="s">
        <v>30</v>
      </c>
      <c r="D127" s="75">
        <v>116.8</v>
      </c>
      <c r="E127" s="75"/>
      <c r="F127" s="75"/>
      <c r="G127" s="75"/>
      <c r="H127" s="75" t="s">
        <v>15</v>
      </c>
      <c r="I127" s="75">
        <v>457.9</v>
      </c>
      <c r="J127" s="75">
        <v>53482.720000000001</v>
      </c>
      <c r="K127" s="91" t="s">
        <v>372</v>
      </c>
      <c r="L127" s="73"/>
      <c r="M127" s="46">
        <v>52</v>
      </c>
      <c r="N127" s="46">
        <v>23810.799999999999</v>
      </c>
      <c r="O127" s="46">
        <v>23810.799999999999</v>
      </c>
      <c r="P127" s="98"/>
      <c r="Q127" s="23" t="s">
        <v>1399</v>
      </c>
      <c r="R127" s="24" t="s">
        <v>371</v>
      </c>
      <c r="S127" s="25" t="s">
        <v>30</v>
      </c>
      <c r="T127" s="26">
        <v>116.8</v>
      </c>
      <c r="U127" s="26">
        <v>116.8</v>
      </c>
      <c r="V127" s="26">
        <f t="shared" si="19"/>
        <v>457.9</v>
      </c>
      <c r="W127" s="128">
        <f t="shared" si="18"/>
        <v>0</v>
      </c>
      <c r="X127" s="26">
        <f t="shared" si="13"/>
        <v>52</v>
      </c>
      <c r="Y127" s="26">
        <f t="shared" si="20"/>
        <v>0</v>
      </c>
      <c r="Z127" s="26">
        <f t="shared" si="14"/>
        <v>23810.799999999999</v>
      </c>
      <c r="AA127" s="33" t="s">
        <v>15</v>
      </c>
      <c r="AB127" s="36" t="s">
        <v>16</v>
      </c>
      <c r="AC127" s="181">
        <f t="shared" si="15"/>
        <v>116.8</v>
      </c>
      <c r="AD127" s="181">
        <f t="shared" si="21"/>
        <v>53482.720000000001</v>
      </c>
      <c r="AE127" s="181">
        <v>1.2</v>
      </c>
      <c r="AF127" s="181">
        <v>1.2</v>
      </c>
      <c r="AG127" s="101" t="str">
        <f t="shared" si="16"/>
        <v/>
      </c>
      <c r="AH127" s="191">
        <v>52</v>
      </c>
      <c r="AI127" s="69">
        <f t="shared" si="17"/>
        <v>116.8</v>
      </c>
    </row>
    <row r="128" spans="1:35" s="69" customFormat="1" ht="39" x14ac:dyDescent="0.3">
      <c r="A128" s="55" t="s">
        <v>373</v>
      </c>
      <c r="B128" s="53" t="s">
        <v>374</v>
      </c>
      <c r="C128" s="54" t="s">
        <v>30</v>
      </c>
      <c r="D128" s="75">
        <v>25.8</v>
      </c>
      <c r="E128" s="75"/>
      <c r="F128" s="75"/>
      <c r="G128" s="75"/>
      <c r="H128" s="75" t="s">
        <v>15</v>
      </c>
      <c r="I128" s="75">
        <v>499.1</v>
      </c>
      <c r="J128" s="75">
        <v>12876.78</v>
      </c>
      <c r="K128" s="91" t="s">
        <v>375</v>
      </c>
      <c r="L128" s="73"/>
      <c r="M128" s="46">
        <v>0</v>
      </c>
      <c r="N128" s="46">
        <v>0</v>
      </c>
      <c r="O128" s="46">
        <v>0</v>
      </c>
      <c r="P128" s="98"/>
      <c r="Q128" s="23" t="s">
        <v>1490</v>
      </c>
      <c r="R128" s="24" t="s">
        <v>374</v>
      </c>
      <c r="S128" s="25" t="s">
        <v>30</v>
      </c>
      <c r="T128" s="26">
        <v>25.8</v>
      </c>
      <c r="U128" s="26">
        <v>25.8</v>
      </c>
      <c r="V128" s="26">
        <f t="shared" si="19"/>
        <v>499.1</v>
      </c>
      <c r="W128" s="26">
        <f t="shared" si="18"/>
        <v>0</v>
      </c>
      <c r="X128" s="26">
        <f t="shared" si="13"/>
        <v>0</v>
      </c>
      <c r="Y128" s="26">
        <f t="shared" si="20"/>
        <v>0</v>
      </c>
      <c r="Z128" s="26">
        <f t="shared" si="14"/>
        <v>0</v>
      </c>
      <c r="AA128" s="33" t="s">
        <v>15</v>
      </c>
      <c r="AB128" s="36" t="s">
        <v>16</v>
      </c>
      <c r="AC128" s="181">
        <f t="shared" si="15"/>
        <v>25.8</v>
      </c>
      <c r="AD128" s="181">
        <f t="shared" si="21"/>
        <v>12876.78</v>
      </c>
      <c r="AE128" s="181">
        <v>1.2</v>
      </c>
      <c r="AF128" s="181">
        <v>1.2</v>
      </c>
      <c r="AG128" s="101" t="str">
        <f t="shared" si="16"/>
        <v/>
      </c>
      <c r="AH128" s="190">
        <v>0</v>
      </c>
      <c r="AI128" s="69">
        <f t="shared" si="17"/>
        <v>25.8</v>
      </c>
    </row>
    <row r="129" spans="1:38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 t="s">
        <v>15</v>
      </c>
      <c r="I129" s="75">
        <v>545.85</v>
      </c>
      <c r="J129" s="75">
        <v>29415.86</v>
      </c>
      <c r="K129" s="91" t="s">
        <v>378</v>
      </c>
      <c r="L129" s="73"/>
      <c r="M129" s="46">
        <v>0</v>
      </c>
      <c r="N129" s="46">
        <v>0</v>
      </c>
      <c r="O129" s="46">
        <v>0</v>
      </c>
      <c r="P129" s="98"/>
      <c r="Q129" s="23" t="s">
        <v>1491</v>
      </c>
      <c r="R129" s="24" t="s">
        <v>377</v>
      </c>
      <c r="S129" s="25" t="s">
        <v>30</v>
      </c>
      <c r="T129" s="26">
        <v>53.89</v>
      </c>
      <c r="U129" s="26">
        <v>53.89</v>
      </c>
      <c r="V129" s="26">
        <f t="shared" si="19"/>
        <v>545.85</v>
      </c>
      <c r="W129" s="26">
        <f t="shared" si="18"/>
        <v>0</v>
      </c>
      <c r="X129" s="26">
        <f t="shared" si="13"/>
        <v>0</v>
      </c>
      <c r="Y129" s="26">
        <f t="shared" si="20"/>
        <v>0</v>
      </c>
      <c r="Z129" s="26">
        <f t="shared" si="14"/>
        <v>0</v>
      </c>
      <c r="AA129" s="33" t="s">
        <v>15</v>
      </c>
      <c r="AB129" s="36" t="s">
        <v>16</v>
      </c>
      <c r="AC129" s="181">
        <f t="shared" si="15"/>
        <v>53.89</v>
      </c>
      <c r="AD129" s="181">
        <f t="shared" si="21"/>
        <v>29415.86</v>
      </c>
      <c r="AE129" s="181">
        <v>1.2</v>
      </c>
      <c r="AF129" s="181">
        <v>1.2</v>
      </c>
      <c r="AG129" s="101" t="str">
        <f t="shared" si="16"/>
        <v/>
      </c>
      <c r="AH129" s="190">
        <v>0</v>
      </c>
      <c r="AI129" s="69">
        <f t="shared" si="17"/>
        <v>53.89</v>
      </c>
    </row>
    <row r="130" spans="1:38" s="69" customFormat="1" ht="33" x14ac:dyDescent="0.3">
      <c r="A130" s="55" t="s">
        <v>379</v>
      </c>
      <c r="B130" s="53" t="s">
        <v>380</v>
      </c>
      <c r="C130" s="54" t="s">
        <v>30</v>
      </c>
      <c r="D130" s="75">
        <v>21</v>
      </c>
      <c r="E130" s="75"/>
      <c r="F130" s="75"/>
      <c r="G130" s="75"/>
      <c r="H130" s="75" t="s">
        <v>15</v>
      </c>
      <c r="I130" s="75">
        <v>644.09</v>
      </c>
      <c r="J130" s="75">
        <v>13525.89</v>
      </c>
      <c r="K130" s="91" t="s">
        <v>381</v>
      </c>
      <c r="L130" s="73"/>
      <c r="M130" s="46">
        <v>0</v>
      </c>
      <c r="N130" s="46">
        <v>0</v>
      </c>
      <c r="O130" s="46">
        <v>0</v>
      </c>
      <c r="P130" s="98"/>
      <c r="Q130" s="23" t="s">
        <v>1492</v>
      </c>
      <c r="R130" s="24" t="s">
        <v>380</v>
      </c>
      <c r="S130" s="25" t="s">
        <v>30</v>
      </c>
      <c r="T130" s="26">
        <v>21</v>
      </c>
      <c r="U130" s="26">
        <v>21</v>
      </c>
      <c r="V130" s="26">
        <f t="shared" si="19"/>
        <v>644.09</v>
      </c>
      <c r="W130" s="26">
        <f t="shared" si="18"/>
        <v>0</v>
      </c>
      <c r="X130" s="26">
        <f t="shared" si="13"/>
        <v>0</v>
      </c>
      <c r="Y130" s="26">
        <f t="shared" si="20"/>
        <v>0</v>
      </c>
      <c r="Z130" s="26">
        <f t="shared" si="14"/>
        <v>0</v>
      </c>
      <c r="AA130" s="33" t="s">
        <v>15</v>
      </c>
      <c r="AB130" s="36" t="s">
        <v>16</v>
      </c>
      <c r="AC130" s="181">
        <f t="shared" si="15"/>
        <v>21</v>
      </c>
      <c r="AD130" s="181">
        <f t="shared" si="21"/>
        <v>13525.89</v>
      </c>
      <c r="AE130" s="181">
        <v>1.2</v>
      </c>
      <c r="AF130" s="181">
        <v>1.2</v>
      </c>
      <c r="AG130" s="101" t="str">
        <f t="shared" si="16"/>
        <v/>
      </c>
      <c r="AH130" s="190">
        <v>0</v>
      </c>
      <c r="AI130" s="69">
        <f t="shared" si="17"/>
        <v>21</v>
      </c>
    </row>
    <row r="131" spans="1:38" s="69" customFormat="1" ht="33" x14ac:dyDescent="0.3">
      <c r="A131" s="55" t="s">
        <v>382</v>
      </c>
      <c r="B131" s="53" t="s">
        <v>383</v>
      </c>
      <c r="C131" s="54" t="s">
        <v>30</v>
      </c>
      <c r="D131" s="75">
        <v>275.60000000000002</v>
      </c>
      <c r="E131" s="75"/>
      <c r="F131" s="75"/>
      <c r="G131" s="75"/>
      <c r="H131" s="75" t="s">
        <v>15</v>
      </c>
      <c r="I131" s="75">
        <v>7340.41</v>
      </c>
      <c r="J131" s="75">
        <v>2023017</v>
      </c>
      <c r="K131" s="91" t="s">
        <v>384</v>
      </c>
      <c r="L131" s="73"/>
      <c r="M131" s="46">
        <v>0</v>
      </c>
      <c r="N131" s="46">
        <v>0</v>
      </c>
      <c r="O131" s="46">
        <v>0</v>
      </c>
      <c r="P131" s="98"/>
      <c r="Q131" s="23" t="s">
        <v>1493</v>
      </c>
      <c r="R131" s="24" t="s">
        <v>383</v>
      </c>
      <c r="S131" s="25" t="s">
        <v>30</v>
      </c>
      <c r="T131" s="26">
        <v>275.60000000000002</v>
      </c>
      <c r="U131" s="26">
        <v>275.60000000000002</v>
      </c>
      <c r="V131" s="26">
        <f t="shared" si="19"/>
        <v>7340.41</v>
      </c>
      <c r="W131" s="26">
        <f t="shared" si="18"/>
        <v>0</v>
      </c>
      <c r="X131" s="26">
        <f t="shared" si="13"/>
        <v>0</v>
      </c>
      <c r="Y131" s="26">
        <f t="shared" si="20"/>
        <v>0</v>
      </c>
      <c r="Z131" s="26">
        <f t="shared" si="14"/>
        <v>0</v>
      </c>
      <c r="AA131" s="33" t="s">
        <v>15</v>
      </c>
      <c r="AB131" s="36" t="s">
        <v>16</v>
      </c>
      <c r="AC131" s="181">
        <f t="shared" si="15"/>
        <v>275.60000000000002</v>
      </c>
      <c r="AD131" s="181">
        <f t="shared" si="21"/>
        <v>2023017</v>
      </c>
      <c r="AE131" s="181">
        <v>1.2</v>
      </c>
      <c r="AF131" s="181">
        <v>1.2</v>
      </c>
      <c r="AG131" s="101" t="str">
        <f t="shared" si="16"/>
        <v/>
      </c>
      <c r="AH131" s="190">
        <v>0</v>
      </c>
      <c r="AI131" s="69">
        <f t="shared" si="17"/>
        <v>275.60000000000002</v>
      </c>
    </row>
    <row r="132" spans="1:38" s="69" customFormat="1" ht="33" x14ac:dyDescent="0.3">
      <c r="A132" s="130" t="s">
        <v>385</v>
      </c>
      <c r="B132" s="131" t="s">
        <v>386</v>
      </c>
      <c r="C132" s="132" t="s">
        <v>81</v>
      </c>
      <c r="D132" s="133">
        <v>1</v>
      </c>
      <c r="E132" s="75"/>
      <c r="F132" s="75"/>
      <c r="G132" s="75"/>
      <c r="H132" s="75" t="s">
        <v>15</v>
      </c>
      <c r="I132" s="75">
        <v>913345.81</v>
      </c>
      <c r="J132" s="75">
        <v>913345.81</v>
      </c>
      <c r="K132" s="91" t="s">
        <v>387</v>
      </c>
      <c r="L132" s="73"/>
      <c r="M132" s="46">
        <v>1</v>
      </c>
      <c r="N132" s="46">
        <v>0</v>
      </c>
      <c r="O132" s="46">
        <v>913345.81</v>
      </c>
      <c r="P132" s="98"/>
      <c r="Q132" s="23" t="s">
        <v>1494</v>
      </c>
      <c r="R132" s="24" t="s">
        <v>386</v>
      </c>
      <c r="S132" s="25" t="s">
        <v>81</v>
      </c>
      <c r="T132" s="26">
        <v>1</v>
      </c>
      <c r="U132" s="26">
        <v>1</v>
      </c>
      <c r="V132" s="26">
        <f t="shared" si="19"/>
        <v>913345.81</v>
      </c>
      <c r="W132" s="127">
        <f t="shared" si="18"/>
        <v>0</v>
      </c>
      <c r="X132" s="127">
        <f t="shared" si="13"/>
        <v>1</v>
      </c>
      <c r="Y132" s="127">
        <f t="shared" si="20"/>
        <v>0</v>
      </c>
      <c r="Z132" s="127">
        <f t="shared" si="14"/>
        <v>913345.81</v>
      </c>
      <c r="AA132" s="33" t="s">
        <v>15</v>
      </c>
      <c r="AB132" s="36" t="s">
        <v>16</v>
      </c>
      <c r="AC132" s="181">
        <f t="shared" si="15"/>
        <v>1</v>
      </c>
      <c r="AD132" s="181">
        <f t="shared" si="21"/>
        <v>913345.81</v>
      </c>
      <c r="AE132" s="181">
        <v>1.2</v>
      </c>
      <c r="AF132" s="181">
        <v>1.2</v>
      </c>
      <c r="AG132" s="101" t="str">
        <f t="shared" si="16"/>
        <v/>
      </c>
      <c r="AH132" s="191">
        <v>1</v>
      </c>
      <c r="AI132" s="69">
        <f t="shared" si="17"/>
        <v>1</v>
      </c>
    </row>
    <row r="133" spans="1:38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 t="s">
        <v>15</v>
      </c>
      <c r="I133" s="82"/>
      <c r="J133" s="82">
        <v>62087911.219999999</v>
      </c>
      <c r="K133" s="94" t="s">
        <v>15</v>
      </c>
      <c r="L133" s="73"/>
      <c r="M133" s="45">
        <v>1</v>
      </c>
      <c r="N133" s="45">
        <v>0</v>
      </c>
      <c r="O133" s="45">
        <v>56096887.920000002</v>
      </c>
      <c r="P133" s="98"/>
      <c r="Q133" s="18" t="s">
        <v>1381</v>
      </c>
      <c r="R133" s="19" t="s">
        <v>389</v>
      </c>
      <c r="S133" s="20" t="s">
        <v>14</v>
      </c>
      <c r="T133" s="21">
        <v>1</v>
      </c>
      <c r="U133" s="21"/>
      <c r="V133" s="21">
        <f>SUMIFS(AD:AD,AE:AE,AE133)</f>
        <v>62087911.219999999</v>
      </c>
      <c r="W133" s="21">
        <f t="shared" ref="W133:X133" si="22">IF(Y133=0,0,1)</f>
        <v>1</v>
      </c>
      <c r="X133" s="21">
        <f t="shared" si="22"/>
        <v>1</v>
      </c>
      <c r="Y133" s="21">
        <f>SUMIFS(Y:Y,AF:AF,AE133)</f>
        <v>1773742.5</v>
      </c>
      <c r="Z133" s="21">
        <f>SUMIFS(Z:Z,AF:AF,AE133)</f>
        <v>57870630.420000017</v>
      </c>
      <c r="AA133" s="22" t="s">
        <v>15</v>
      </c>
      <c r="AB133" s="43" t="s">
        <v>16</v>
      </c>
      <c r="AC133" s="181">
        <f t="shared" si="15"/>
        <v>1</v>
      </c>
      <c r="AD133" s="184"/>
      <c r="AE133" s="184">
        <v>1.3</v>
      </c>
      <c r="AF133" s="184"/>
      <c r="AG133" s="101" t="str">
        <f t="shared" si="16"/>
        <v/>
      </c>
      <c r="AH133" s="190">
        <v>1</v>
      </c>
      <c r="AI133" s="69">
        <f t="shared" si="17"/>
        <v>1</v>
      </c>
    </row>
    <row r="134" spans="1:38" s="69" customFormat="1" ht="39" x14ac:dyDescent="0.3">
      <c r="A134" s="130" t="s">
        <v>390</v>
      </c>
      <c r="B134" s="131" t="s">
        <v>102</v>
      </c>
      <c r="C134" s="132" t="s">
        <v>103</v>
      </c>
      <c r="D134" s="133">
        <v>274.45</v>
      </c>
      <c r="E134" s="75"/>
      <c r="F134" s="75"/>
      <c r="G134" s="75"/>
      <c r="H134" s="75" t="s">
        <v>15</v>
      </c>
      <c r="I134" s="75">
        <v>320.74</v>
      </c>
      <c r="J134" s="75">
        <v>88027.09</v>
      </c>
      <c r="K134" s="91" t="s">
        <v>104</v>
      </c>
      <c r="L134" s="73"/>
      <c r="M134" s="46">
        <v>225</v>
      </c>
      <c r="N134" s="46">
        <v>0</v>
      </c>
      <c r="O134" s="46">
        <v>72166.5</v>
      </c>
      <c r="P134" s="98"/>
      <c r="Q134" s="23" t="s">
        <v>1421</v>
      </c>
      <c r="R134" s="24" t="s">
        <v>102</v>
      </c>
      <c r="S134" s="25" t="s">
        <v>103</v>
      </c>
      <c r="T134" s="26">
        <v>274.45</v>
      </c>
      <c r="U134" s="26">
        <v>274.45</v>
      </c>
      <c r="V134" s="26">
        <f t="shared" si="19"/>
        <v>320.74</v>
      </c>
      <c r="W134" s="127">
        <f t="shared" ref="W134:W176" si="23">AH134-M134</f>
        <v>0</v>
      </c>
      <c r="X134" s="127">
        <f t="shared" ref="X134:X176" si="24">W134+M134</f>
        <v>225</v>
      </c>
      <c r="Y134" s="127">
        <f t="shared" ref="Y134:Y176" si="25">Z134-O134</f>
        <v>0</v>
      </c>
      <c r="Z134" s="127">
        <f t="shared" si="14"/>
        <v>72166.5</v>
      </c>
      <c r="AA134" s="33" t="s">
        <v>15</v>
      </c>
      <c r="AB134" s="36" t="s">
        <v>16</v>
      </c>
      <c r="AC134" s="181">
        <f t="shared" si="15"/>
        <v>274.45</v>
      </c>
      <c r="AD134" s="181">
        <f t="shared" ref="AD134:AD176" si="26">ROUND(V134*AC134,2)</f>
        <v>88027.09</v>
      </c>
      <c r="AE134" s="181">
        <v>1.3</v>
      </c>
      <c r="AF134" s="181">
        <v>1.3</v>
      </c>
      <c r="AG134" s="101" t="str">
        <f t="shared" si="16"/>
        <v/>
      </c>
      <c r="AH134" s="190">
        <v>225</v>
      </c>
      <c r="AI134" s="69">
        <f t="shared" si="17"/>
        <v>274.45</v>
      </c>
    </row>
    <row r="135" spans="1:38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 t="s">
        <v>15</v>
      </c>
      <c r="I135" s="75">
        <v>3115.13</v>
      </c>
      <c r="J135" s="75">
        <v>137751.04999999999</v>
      </c>
      <c r="K135" s="91" t="s">
        <v>114</v>
      </c>
      <c r="L135" s="73"/>
      <c r="M135" s="46">
        <v>16.79</v>
      </c>
      <c r="N135" s="46">
        <v>0</v>
      </c>
      <c r="O135" s="46">
        <v>52303.03</v>
      </c>
      <c r="P135" s="98"/>
      <c r="Q135" s="23" t="s">
        <v>1426</v>
      </c>
      <c r="R135" s="24" t="s">
        <v>392</v>
      </c>
      <c r="S135" s="25" t="s">
        <v>23</v>
      </c>
      <c r="T135" s="26">
        <v>44.22</v>
      </c>
      <c r="U135" s="26">
        <v>44.22</v>
      </c>
      <c r="V135" s="26">
        <f t="shared" si="19"/>
        <v>3115.13</v>
      </c>
      <c r="W135" s="26">
        <f t="shared" si="23"/>
        <v>0</v>
      </c>
      <c r="X135" s="26">
        <f t="shared" si="24"/>
        <v>16.79</v>
      </c>
      <c r="Y135" s="26">
        <f t="shared" si="25"/>
        <v>0</v>
      </c>
      <c r="Z135" s="26">
        <f t="shared" si="14"/>
        <v>52303.03</v>
      </c>
      <c r="AA135" s="33" t="s">
        <v>15</v>
      </c>
      <c r="AB135" s="36" t="s">
        <v>16</v>
      </c>
      <c r="AC135" s="181">
        <f t="shared" si="15"/>
        <v>44.22</v>
      </c>
      <c r="AD135" s="181">
        <f t="shared" si="26"/>
        <v>137751.04999999999</v>
      </c>
      <c r="AE135" s="181">
        <v>1.3</v>
      </c>
      <c r="AF135" s="181">
        <v>1.3</v>
      </c>
      <c r="AG135" s="101" t="str">
        <f t="shared" si="16"/>
        <v/>
      </c>
      <c r="AH135" s="190">
        <v>16.79</v>
      </c>
      <c r="AI135" s="69">
        <f t="shared" si="17"/>
        <v>44.22</v>
      </c>
    </row>
    <row r="136" spans="1:38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 t="s">
        <v>15</v>
      </c>
      <c r="I136" s="75">
        <v>3321.13</v>
      </c>
      <c r="J136" s="75">
        <v>318728.84999999998</v>
      </c>
      <c r="K136" s="91" t="s">
        <v>117</v>
      </c>
      <c r="L136" s="73"/>
      <c r="M136" s="46">
        <v>26.5</v>
      </c>
      <c r="N136" s="46">
        <v>0</v>
      </c>
      <c r="O136" s="46">
        <v>88009.95</v>
      </c>
      <c r="P136" s="98"/>
      <c r="Q136" s="23" t="s">
        <v>1402</v>
      </c>
      <c r="R136" s="24" t="s">
        <v>116</v>
      </c>
      <c r="S136" s="25" t="s">
        <v>23</v>
      </c>
      <c r="T136" s="26">
        <v>95.97</v>
      </c>
      <c r="U136" s="26">
        <v>95.97</v>
      </c>
      <c r="V136" s="26">
        <f t="shared" si="19"/>
        <v>3321.13</v>
      </c>
      <c r="W136" s="128">
        <f t="shared" si="23"/>
        <v>0</v>
      </c>
      <c r="X136" s="26">
        <f t="shared" si="24"/>
        <v>26.5</v>
      </c>
      <c r="Y136" s="26">
        <f t="shared" si="25"/>
        <v>0</v>
      </c>
      <c r="Z136" s="26">
        <f t="shared" si="14"/>
        <v>88009.95</v>
      </c>
      <c r="AA136" s="33" t="s">
        <v>15</v>
      </c>
      <c r="AB136" s="36" t="s">
        <v>16</v>
      </c>
      <c r="AC136" s="181">
        <f t="shared" si="15"/>
        <v>95.97</v>
      </c>
      <c r="AD136" s="181">
        <f t="shared" si="26"/>
        <v>318728.84999999998</v>
      </c>
      <c r="AE136" s="181">
        <v>1.3</v>
      </c>
      <c r="AF136" s="181">
        <v>1.3</v>
      </c>
      <c r="AG136" s="101" t="str">
        <f t="shared" si="16"/>
        <v/>
      </c>
      <c r="AH136" s="191">
        <v>26.5</v>
      </c>
      <c r="AI136" s="69">
        <f t="shared" si="17"/>
        <v>95.97</v>
      </c>
    </row>
    <row r="137" spans="1:38" s="69" customFormat="1" ht="39" x14ac:dyDescent="0.3">
      <c r="A137" s="130" t="s">
        <v>394</v>
      </c>
      <c r="B137" s="131" t="s">
        <v>395</v>
      </c>
      <c r="C137" s="132" t="s">
        <v>23</v>
      </c>
      <c r="D137" s="133">
        <v>1216.8</v>
      </c>
      <c r="E137" s="75"/>
      <c r="F137" s="75"/>
      <c r="G137" s="75"/>
      <c r="H137" s="133">
        <v>709.04</v>
      </c>
      <c r="I137" s="75">
        <v>3643.73</v>
      </c>
      <c r="J137" s="75">
        <v>2583550.3199999998</v>
      </c>
      <c r="K137" s="91" t="s">
        <v>396</v>
      </c>
      <c r="L137" s="73"/>
      <c r="M137" s="46">
        <v>645.58000000000004</v>
      </c>
      <c r="N137" s="46">
        <v>0</v>
      </c>
      <c r="O137" s="46">
        <v>2352319.21</v>
      </c>
      <c r="P137" s="98"/>
      <c r="Q137" s="23" t="s">
        <v>1373</v>
      </c>
      <c r="R137" s="24" t="s">
        <v>395</v>
      </c>
      <c r="S137" s="25" t="s">
        <v>23</v>
      </c>
      <c r="T137" s="26">
        <v>1216.8</v>
      </c>
      <c r="U137" s="26">
        <v>709.04</v>
      </c>
      <c r="V137" s="26">
        <f t="shared" si="19"/>
        <v>3643.73</v>
      </c>
      <c r="W137" s="127">
        <f t="shared" si="23"/>
        <v>0</v>
      </c>
      <c r="X137" s="127">
        <f t="shared" si="24"/>
        <v>645.58000000000004</v>
      </c>
      <c r="Y137" s="127">
        <f t="shared" si="25"/>
        <v>0</v>
      </c>
      <c r="Z137" s="127">
        <f t="shared" si="14"/>
        <v>2352319.21</v>
      </c>
      <c r="AA137" s="33" t="s">
        <v>15</v>
      </c>
      <c r="AB137" s="36" t="s">
        <v>16</v>
      </c>
      <c r="AC137" s="181">
        <f t="shared" si="15"/>
        <v>709.04</v>
      </c>
      <c r="AD137" s="181">
        <f t="shared" si="26"/>
        <v>2583550.3199999998</v>
      </c>
      <c r="AE137" s="181">
        <v>1.3</v>
      </c>
      <c r="AF137" s="181">
        <v>1.3</v>
      </c>
      <c r="AG137" s="101" t="str">
        <f t="shared" si="16"/>
        <v/>
      </c>
      <c r="AH137" s="191">
        <v>645.58000000000004</v>
      </c>
      <c r="AI137" s="69">
        <f t="shared" si="17"/>
        <v>1216.8</v>
      </c>
      <c r="AL137" s="195">
        <v>388.56</v>
      </c>
    </row>
    <row r="138" spans="1:38" s="69" customFormat="1" ht="33" x14ac:dyDescent="0.3">
      <c r="A138" s="130" t="s">
        <v>397</v>
      </c>
      <c r="B138" s="122" t="s">
        <v>109</v>
      </c>
      <c r="C138" s="132" t="s">
        <v>110</v>
      </c>
      <c r="D138" s="133">
        <v>4788.7700000000004</v>
      </c>
      <c r="E138" s="75"/>
      <c r="F138" s="75"/>
      <c r="G138" s="75"/>
      <c r="H138" s="75" t="s">
        <v>15</v>
      </c>
      <c r="I138" s="75">
        <v>36.4</v>
      </c>
      <c r="J138" s="75">
        <v>174311.23</v>
      </c>
      <c r="K138" s="91" t="s">
        <v>111</v>
      </c>
      <c r="L138" s="73"/>
      <c r="M138" s="46">
        <v>4778</v>
      </c>
      <c r="N138" s="46">
        <v>0</v>
      </c>
      <c r="O138" s="46">
        <v>173919.2</v>
      </c>
      <c r="P138" s="98"/>
      <c r="Q138" s="23" t="s">
        <v>1393</v>
      </c>
      <c r="R138" s="24" t="s">
        <v>109</v>
      </c>
      <c r="S138" s="25" t="s">
        <v>110</v>
      </c>
      <c r="T138" s="26">
        <v>4788.7700000000004</v>
      </c>
      <c r="U138" s="26">
        <v>4788.7700000000004</v>
      </c>
      <c r="V138" s="26">
        <f t="shared" si="19"/>
        <v>36.4</v>
      </c>
      <c r="W138" s="127">
        <f t="shared" si="23"/>
        <v>0</v>
      </c>
      <c r="X138" s="127">
        <f t="shared" si="24"/>
        <v>4778</v>
      </c>
      <c r="Y138" s="127">
        <f t="shared" si="25"/>
        <v>0</v>
      </c>
      <c r="Z138" s="127">
        <f t="shared" si="14"/>
        <v>173919.2</v>
      </c>
      <c r="AA138" s="33" t="s">
        <v>15</v>
      </c>
      <c r="AB138" s="36" t="s">
        <v>16</v>
      </c>
      <c r="AC138" s="181">
        <f t="shared" si="15"/>
        <v>4788.7700000000004</v>
      </c>
      <c r="AD138" s="181">
        <f t="shared" si="26"/>
        <v>174311.23</v>
      </c>
      <c r="AE138" s="181">
        <v>1.3</v>
      </c>
      <c r="AF138" s="181">
        <v>1.3</v>
      </c>
      <c r="AG138" s="101" t="str">
        <f t="shared" si="16"/>
        <v/>
      </c>
      <c r="AH138" s="193">
        <v>4778</v>
      </c>
      <c r="AI138" s="69">
        <f t="shared" si="17"/>
        <v>4788.7700000000004</v>
      </c>
      <c r="AL138" s="195">
        <v>4788.7700000000004</v>
      </c>
    </row>
    <row r="139" spans="1:38" s="69" customFormat="1" ht="33" x14ac:dyDescent="0.3">
      <c r="A139" s="130" t="s">
        <v>398</v>
      </c>
      <c r="B139" s="122" t="s">
        <v>399</v>
      </c>
      <c r="C139" s="132" t="s">
        <v>110</v>
      </c>
      <c r="D139" s="133">
        <v>205535.32</v>
      </c>
      <c r="E139" s="75"/>
      <c r="F139" s="75"/>
      <c r="G139" s="75"/>
      <c r="H139" s="75" t="s">
        <v>15</v>
      </c>
      <c r="I139" s="75">
        <v>38.71</v>
      </c>
      <c r="J139" s="75">
        <v>7956272.2400000002</v>
      </c>
      <c r="K139" s="91" t="s">
        <v>400</v>
      </c>
      <c r="L139" s="73"/>
      <c r="M139" s="46">
        <v>202264.52</v>
      </c>
      <c r="N139" s="46">
        <v>0</v>
      </c>
      <c r="O139" s="46">
        <v>7829659.5700000003</v>
      </c>
      <c r="P139" s="98"/>
      <c r="Q139" s="23" t="s">
        <v>1403</v>
      </c>
      <c r="R139" s="24" t="s">
        <v>399</v>
      </c>
      <c r="S139" s="25" t="s">
        <v>110</v>
      </c>
      <c r="T139" s="26">
        <v>205535.32</v>
      </c>
      <c r="U139" s="26">
        <v>205535.32</v>
      </c>
      <c r="V139" s="26">
        <f t="shared" si="19"/>
        <v>38.71</v>
      </c>
      <c r="W139" s="127">
        <f t="shared" si="23"/>
        <v>0</v>
      </c>
      <c r="X139" s="127">
        <f t="shared" si="24"/>
        <v>202264.52</v>
      </c>
      <c r="Y139" s="127">
        <f t="shared" si="25"/>
        <v>0</v>
      </c>
      <c r="Z139" s="127">
        <f t="shared" ref="Z139:Z203" si="27">ROUND(V139*X139,2)</f>
        <v>7829659.5700000003</v>
      </c>
      <c r="AA139" s="33" t="s">
        <v>15</v>
      </c>
      <c r="AB139" s="36" t="s">
        <v>16</v>
      </c>
      <c r="AC139" s="181">
        <f t="shared" ref="AC139:AC202" si="28">IF(U139="",T139,U139)</f>
        <v>205535.32</v>
      </c>
      <c r="AD139" s="181">
        <f t="shared" si="26"/>
        <v>7956272.2400000002</v>
      </c>
      <c r="AE139" s="181">
        <v>1.3</v>
      </c>
      <c r="AF139" s="181">
        <v>1.3</v>
      </c>
      <c r="AG139" s="101" t="str">
        <f t="shared" ref="AG139:AG202" si="29">IF(X139&gt;AI139,"超估","")</f>
        <v/>
      </c>
      <c r="AH139" s="190">
        <v>202264.52</v>
      </c>
      <c r="AI139" s="69">
        <f t="shared" ref="AI139:AI202" si="30">IF(G139=0,IF(F139=0,IF(E139=0,D139,E139),F139),G139)</f>
        <v>205535.32</v>
      </c>
      <c r="AL139" s="195">
        <v>72641</v>
      </c>
    </row>
    <row r="140" spans="1:38" s="69" customFormat="1" ht="33" x14ac:dyDescent="0.3">
      <c r="A140" s="130" t="s">
        <v>401</v>
      </c>
      <c r="B140" s="131" t="s">
        <v>402</v>
      </c>
      <c r="C140" s="132" t="s">
        <v>50</v>
      </c>
      <c r="D140" s="133">
        <v>320.89999999999998</v>
      </c>
      <c r="E140" s="75"/>
      <c r="F140" s="75"/>
      <c r="G140" s="75"/>
      <c r="H140" s="133">
        <v>351.33</v>
      </c>
      <c r="I140" s="75">
        <v>1154.98</v>
      </c>
      <c r="J140" s="75">
        <v>405779.12</v>
      </c>
      <c r="K140" s="91" t="s">
        <v>403</v>
      </c>
      <c r="L140" s="73"/>
      <c r="M140" s="46">
        <v>320.08999999999997</v>
      </c>
      <c r="N140" s="46">
        <v>0</v>
      </c>
      <c r="O140" s="46">
        <v>369697.55</v>
      </c>
      <c r="P140" s="98"/>
      <c r="Q140" s="23" t="s">
        <v>1427</v>
      </c>
      <c r="R140" s="24" t="s">
        <v>402</v>
      </c>
      <c r="S140" s="25" t="s">
        <v>50</v>
      </c>
      <c r="T140" s="26">
        <v>320.89999999999998</v>
      </c>
      <c r="U140" s="26">
        <v>351.33</v>
      </c>
      <c r="V140" s="26">
        <f t="shared" si="19"/>
        <v>1154.98</v>
      </c>
      <c r="W140" s="127">
        <f t="shared" si="23"/>
        <v>0</v>
      </c>
      <c r="X140" s="127">
        <f t="shared" si="24"/>
        <v>320.08999999999997</v>
      </c>
      <c r="Y140" s="127">
        <f t="shared" si="25"/>
        <v>0</v>
      </c>
      <c r="Z140" s="127">
        <f t="shared" si="27"/>
        <v>369697.55</v>
      </c>
      <c r="AA140" s="33" t="s">
        <v>15</v>
      </c>
      <c r="AB140" s="36" t="s">
        <v>16</v>
      </c>
      <c r="AC140" s="181">
        <f t="shared" si="28"/>
        <v>351.33</v>
      </c>
      <c r="AD140" s="181">
        <f t="shared" si="26"/>
        <v>405779.12</v>
      </c>
      <c r="AE140" s="181">
        <v>1.3</v>
      </c>
      <c r="AF140" s="181">
        <v>1.3</v>
      </c>
      <c r="AG140" s="101" t="str">
        <f t="shared" si="29"/>
        <v/>
      </c>
      <c r="AH140" s="191">
        <v>320.08999999999997</v>
      </c>
      <c r="AI140" s="69">
        <f t="shared" si="30"/>
        <v>320.89999999999998</v>
      </c>
      <c r="AL140" s="195">
        <v>351.34</v>
      </c>
    </row>
    <row r="141" spans="1:38" s="69" customFormat="1" ht="57.75" x14ac:dyDescent="0.3">
      <c r="A141" s="130" t="s">
        <v>404</v>
      </c>
      <c r="B141" s="131" t="s">
        <v>405</v>
      </c>
      <c r="C141" s="132" t="s">
        <v>50</v>
      </c>
      <c r="D141" s="133">
        <v>493.85</v>
      </c>
      <c r="E141" s="203"/>
      <c r="F141" s="203"/>
      <c r="G141" s="203"/>
      <c r="H141" s="133">
        <v>574.89</v>
      </c>
      <c r="I141" s="75">
        <v>982.98</v>
      </c>
      <c r="J141" s="75">
        <v>565105.37</v>
      </c>
      <c r="K141" s="91" t="s">
        <v>406</v>
      </c>
      <c r="L141" s="73"/>
      <c r="M141" s="46">
        <v>493.85</v>
      </c>
      <c r="N141" s="46">
        <v>0</v>
      </c>
      <c r="O141" s="46">
        <v>485444.67</v>
      </c>
      <c r="P141" s="98"/>
      <c r="Q141" s="23" t="s">
        <v>1428</v>
      </c>
      <c r="R141" s="24" t="s">
        <v>405</v>
      </c>
      <c r="S141" s="25" t="s">
        <v>50</v>
      </c>
      <c r="T141" s="26">
        <v>493.85</v>
      </c>
      <c r="U141" s="26">
        <v>574.89</v>
      </c>
      <c r="V141" s="26">
        <f t="shared" si="19"/>
        <v>982.98</v>
      </c>
      <c r="W141" s="127">
        <f t="shared" si="23"/>
        <v>0</v>
      </c>
      <c r="X141" s="127">
        <f t="shared" si="24"/>
        <v>493.85</v>
      </c>
      <c r="Y141" s="127">
        <f t="shared" si="25"/>
        <v>0</v>
      </c>
      <c r="Z141" s="127">
        <f t="shared" si="27"/>
        <v>485444.67</v>
      </c>
      <c r="AA141" s="33" t="s">
        <v>15</v>
      </c>
      <c r="AB141" s="36" t="s">
        <v>16</v>
      </c>
      <c r="AC141" s="181">
        <f t="shared" si="28"/>
        <v>574.89</v>
      </c>
      <c r="AD141" s="181">
        <f t="shared" si="26"/>
        <v>565105.37</v>
      </c>
      <c r="AE141" s="181">
        <v>1.3</v>
      </c>
      <c r="AF141" s="181">
        <v>1.3</v>
      </c>
      <c r="AG141" s="101" t="str">
        <f t="shared" si="29"/>
        <v/>
      </c>
      <c r="AH141" s="192">
        <v>493.85</v>
      </c>
      <c r="AI141" s="69">
        <f t="shared" si="30"/>
        <v>493.85</v>
      </c>
      <c r="AL141" s="195">
        <v>574.89200000000017</v>
      </c>
    </row>
    <row r="142" spans="1:38" s="69" customFormat="1" ht="41.25" x14ac:dyDescent="0.3">
      <c r="A142" s="130" t="s">
        <v>407</v>
      </c>
      <c r="B142" s="131" t="s">
        <v>408</v>
      </c>
      <c r="C142" s="132" t="s">
        <v>50</v>
      </c>
      <c r="D142" s="133">
        <v>126.48</v>
      </c>
      <c r="E142" s="203"/>
      <c r="F142" s="203"/>
      <c r="G142" s="203"/>
      <c r="H142" s="133">
        <v>138</v>
      </c>
      <c r="I142" s="75">
        <v>804.79</v>
      </c>
      <c r="J142" s="75">
        <v>111061.02</v>
      </c>
      <c r="K142" s="91" t="s">
        <v>409</v>
      </c>
      <c r="L142" s="73"/>
      <c r="M142" s="46">
        <v>126.48</v>
      </c>
      <c r="N142" s="46">
        <v>0</v>
      </c>
      <c r="O142" s="46">
        <v>101789.84</v>
      </c>
      <c r="P142" s="98"/>
      <c r="Q142" s="23" t="s">
        <v>1387</v>
      </c>
      <c r="R142" s="24" t="s">
        <v>408</v>
      </c>
      <c r="S142" s="25" t="s">
        <v>50</v>
      </c>
      <c r="T142" s="26">
        <v>126.48</v>
      </c>
      <c r="U142" s="26">
        <v>138</v>
      </c>
      <c r="V142" s="26">
        <f t="shared" si="19"/>
        <v>804.79</v>
      </c>
      <c r="W142" s="127">
        <f t="shared" si="23"/>
        <v>0</v>
      </c>
      <c r="X142" s="127">
        <f t="shared" si="24"/>
        <v>126.48</v>
      </c>
      <c r="Y142" s="127">
        <f t="shared" si="25"/>
        <v>0</v>
      </c>
      <c r="Z142" s="127">
        <f t="shared" si="27"/>
        <v>101789.84</v>
      </c>
      <c r="AA142" s="33" t="s">
        <v>15</v>
      </c>
      <c r="AB142" s="36" t="s">
        <v>16</v>
      </c>
      <c r="AC142" s="181">
        <f t="shared" si="28"/>
        <v>138</v>
      </c>
      <c r="AD142" s="181">
        <f t="shared" si="26"/>
        <v>111061.02</v>
      </c>
      <c r="AE142" s="181">
        <v>1.3</v>
      </c>
      <c r="AF142" s="181">
        <v>1.3</v>
      </c>
      <c r="AG142" s="101" t="str">
        <f t="shared" si="29"/>
        <v/>
      </c>
      <c r="AH142" s="192">
        <v>126.48</v>
      </c>
      <c r="AI142" s="69">
        <f t="shared" si="30"/>
        <v>126.48</v>
      </c>
      <c r="AL142" s="195">
        <v>120</v>
      </c>
    </row>
    <row r="143" spans="1:38" s="69" customFormat="1" ht="33" x14ac:dyDescent="0.3">
      <c r="A143" s="55" t="s">
        <v>410</v>
      </c>
      <c r="B143" s="53" t="s">
        <v>411</v>
      </c>
      <c r="C143" s="54" t="s">
        <v>412</v>
      </c>
      <c r="D143" s="75">
        <v>12205</v>
      </c>
      <c r="E143" s="75"/>
      <c r="F143" s="75"/>
      <c r="G143" s="75"/>
      <c r="H143" s="75" t="s">
        <v>15</v>
      </c>
      <c r="I143" s="75">
        <v>75</v>
      </c>
      <c r="J143" s="75">
        <v>915375</v>
      </c>
      <c r="K143" s="91" t="s">
        <v>413</v>
      </c>
      <c r="L143" s="73"/>
      <c r="M143" s="46">
        <v>0</v>
      </c>
      <c r="N143" s="46">
        <v>0</v>
      </c>
      <c r="O143" s="46">
        <v>0</v>
      </c>
      <c r="P143" s="98"/>
      <c r="Q143" s="23" t="s">
        <v>1405</v>
      </c>
      <c r="R143" s="24" t="s">
        <v>411</v>
      </c>
      <c r="S143" s="25" t="s">
        <v>412</v>
      </c>
      <c r="T143" s="26">
        <v>12205</v>
      </c>
      <c r="U143" s="26">
        <v>12205</v>
      </c>
      <c r="V143" s="26">
        <f t="shared" si="19"/>
        <v>75</v>
      </c>
      <c r="W143" s="128">
        <f t="shared" si="23"/>
        <v>0</v>
      </c>
      <c r="X143" s="26">
        <f t="shared" si="24"/>
        <v>0</v>
      </c>
      <c r="Y143" s="26">
        <f t="shared" si="25"/>
        <v>0</v>
      </c>
      <c r="Z143" s="26">
        <f t="shared" si="27"/>
        <v>0</v>
      </c>
      <c r="AA143" s="33" t="s">
        <v>15</v>
      </c>
      <c r="AB143" s="36" t="s">
        <v>16</v>
      </c>
      <c r="AC143" s="181">
        <f t="shared" si="28"/>
        <v>12205</v>
      </c>
      <c r="AD143" s="181">
        <f t="shared" si="26"/>
        <v>915375</v>
      </c>
      <c r="AE143" s="181">
        <v>1.3</v>
      </c>
      <c r="AF143" s="181">
        <v>1.3</v>
      </c>
      <c r="AG143" s="101" t="str">
        <f t="shared" si="29"/>
        <v/>
      </c>
      <c r="AH143" s="191">
        <v>0</v>
      </c>
      <c r="AI143" s="69">
        <f t="shared" si="30"/>
        <v>12205</v>
      </c>
    </row>
    <row r="144" spans="1:38" s="69" customFormat="1" ht="33" x14ac:dyDescent="0.3">
      <c r="A144" s="55" t="s">
        <v>414</v>
      </c>
      <c r="B144" s="53" t="s">
        <v>125</v>
      </c>
      <c r="C144" s="54" t="s">
        <v>110</v>
      </c>
      <c r="D144" s="75">
        <v>8317</v>
      </c>
      <c r="E144" s="75"/>
      <c r="F144" s="75"/>
      <c r="G144" s="75"/>
      <c r="H144" s="75" t="s">
        <v>15</v>
      </c>
      <c r="I144" s="75">
        <v>60</v>
      </c>
      <c r="J144" s="75">
        <v>499020</v>
      </c>
      <c r="K144" s="91" t="s">
        <v>126</v>
      </c>
      <c r="L144" s="73"/>
      <c r="M144" s="46">
        <v>5520</v>
      </c>
      <c r="N144" s="46">
        <v>0</v>
      </c>
      <c r="O144" s="46">
        <v>331200</v>
      </c>
      <c r="P144" s="98"/>
      <c r="Q144" s="23" t="s">
        <v>1406</v>
      </c>
      <c r="R144" s="24" t="s">
        <v>125</v>
      </c>
      <c r="S144" s="25" t="s">
        <v>110</v>
      </c>
      <c r="T144" s="26">
        <v>8317</v>
      </c>
      <c r="U144" s="26">
        <v>8317</v>
      </c>
      <c r="V144" s="26">
        <f t="shared" si="19"/>
        <v>60</v>
      </c>
      <c r="W144" s="128">
        <f t="shared" si="23"/>
        <v>0</v>
      </c>
      <c r="X144" s="26">
        <f t="shared" si="24"/>
        <v>5520</v>
      </c>
      <c r="Y144" s="26">
        <f t="shared" si="25"/>
        <v>0</v>
      </c>
      <c r="Z144" s="26">
        <f t="shared" si="27"/>
        <v>331200</v>
      </c>
      <c r="AA144" s="33" t="s">
        <v>15</v>
      </c>
      <c r="AB144" s="36" t="s">
        <v>16</v>
      </c>
      <c r="AC144" s="181">
        <f t="shared" si="28"/>
        <v>8317</v>
      </c>
      <c r="AD144" s="181">
        <f t="shared" si="26"/>
        <v>499020</v>
      </c>
      <c r="AE144" s="181">
        <v>1.3</v>
      </c>
      <c r="AF144" s="181">
        <v>1.3</v>
      </c>
      <c r="AG144" s="101" t="str">
        <f t="shared" si="29"/>
        <v/>
      </c>
      <c r="AH144" s="191">
        <v>5520</v>
      </c>
      <c r="AI144" s="69">
        <f t="shared" si="30"/>
        <v>8317</v>
      </c>
    </row>
    <row r="145" spans="1:35" s="69" customFormat="1" ht="39" x14ac:dyDescent="0.3">
      <c r="A145" s="55" t="s">
        <v>415</v>
      </c>
      <c r="B145" s="53" t="s">
        <v>3147</v>
      </c>
      <c r="C145" s="54" t="s">
        <v>110</v>
      </c>
      <c r="D145" s="75">
        <v>8317</v>
      </c>
      <c r="E145" s="75"/>
      <c r="F145" s="75"/>
      <c r="G145" s="75"/>
      <c r="H145" s="75" t="s">
        <v>15</v>
      </c>
      <c r="I145" s="75">
        <v>31.9</v>
      </c>
      <c r="J145" s="75">
        <v>265312.3</v>
      </c>
      <c r="K145" s="91" t="s">
        <v>3148</v>
      </c>
      <c r="L145" s="73"/>
      <c r="M145" s="46">
        <v>5520</v>
      </c>
      <c r="N145" s="46">
        <v>0</v>
      </c>
      <c r="O145" s="46">
        <v>176088</v>
      </c>
      <c r="P145" s="98"/>
      <c r="Q145" s="23" t="s">
        <v>1414</v>
      </c>
      <c r="R145" s="24" t="s">
        <v>128</v>
      </c>
      <c r="S145" s="25" t="s">
        <v>110</v>
      </c>
      <c r="T145" s="26">
        <v>8317</v>
      </c>
      <c r="U145" s="26">
        <v>8317</v>
      </c>
      <c r="V145" s="26">
        <f t="shared" si="19"/>
        <v>31.9</v>
      </c>
      <c r="W145" s="128">
        <f t="shared" si="23"/>
        <v>0</v>
      </c>
      <c r="X145" s="26">
        <f t="shared" si="24"/>
        <v>5520</v>
      </c>
      <c r="Y145" s="26">
        <f t="shared" si="25"/>
        <v>0</v>
      </c>
      <c r="Z145" s="26">
        <f t="shared" si="27"/>
        <v>176088</v>
      </c>
      <c r="AA145" s="33" t="s">
        <v>15</v>
      </c>
      <c r="AB145" s="36" t="s">
        <v>16</v>
      </c>
      <c r="AC145" s="181">
        <f t="shared" si="28"/>
        <v>8317</v>
      </c>
      <c r="AD145" s="181">
        <f t="shared" si="26"/>
        <v>265312.3</v>
      </c>
      <c r="AE145" s="181">
        <v>1.3</v>
      </c>
      <c r="AF145" s="181">
        <v>1.3</v>
      </c>
      <c r="AG145" s="101" t="str">
        <f t="shared" si="29"/>
        <v/>
      </c>
      <c r="AH145" s="191">
        <v>5520</v>
      </c>
      <c r="AI145" s="69">
        <f t="shared" si="30"/>
        <v>8317</v>
      </c>
    </row>
    <row r="146" spans="1:35" s="69" customFormat="1" ht="39" x14ac:dyDescent="0.3">
      <c r="A146" s="55" t="s">
        <v>416</v>
      </c>
      <c r="B146" s="53" t="s">
        <v>417</v>
      </c>
      <c r="C146" s="54" t="s">
        <v>110</v>
      </c>
      <c r="D146" s="75">
        <v>1087</v>
      </c>
      <c r="E146" s="75"/>
      <c r="F146" s="75"/>
      <c r="G146" s="75"/>
      <c r="H146" s="75" t="s">
        <v>15</v>
      </c>
      <c r="I146" s="75">
        <v>278.10000000000002</v>
      </c>
      <c r="J146" s="75">
        <v>302294.7</v>
      </c>
      <c r="K146" s="91" t="s">
        <v>418</v>
      </c>
      <c r="L146" s="73"/>
      <c r="M146" s="46">
        <v>0</v>
      </c>
      <c r="N146" s="46">
        <v>0</v>
      </c>
      <c r="O146" s="46">
        <v>0</v>
      </c>
      <c r="P146" s="98"/>
      <c r="Q146" s="23" t="s">
        <v>1429</v>
      </c>
      <c r="R146" s="24" t="s">
        <v>417</v>
      </c>
      <c r="S146" s="25" t="s">
        <v>110</v>
      </c>
      <c r="T146" s="26">
        <v>1087</v>
      </c>
      <c r="U146" s="26">
        <v>1087</v>
      </c>
      <c r="V146" s="26">
        <f t="shared" si="19"/>
        <v>278.10000000000002</v>
      </c>
      <c r="W146" s="128">
        <f t="shared" si="23"/>
        <v>0</v>
      </c>
      <c r="X146" s="26">
        <f t="shared" si="24"/>
        <v>0</v>
      </c>
      <c r="Y146" s="26">
        <f t="shared" si="25"/>
        <v>0</v>
      </c>
      <c r="Z146" s="26">
        <f t="shared" si="27"/>
        <v>0</v>
      </c>
      <c r="AA146" s="33" t="s">
        <v>15</v>
      </c>
      <c r="AB146" s="36" t="s">
        <v>16</v>
      </c>
      <c r="AC146" s="181">
        <f t="shared" si="28"/>
        <v>1087</v>
      </c>
      <c r="AD146" s="181">
        <f t="shared" si="26"/>
        <v>302294.7</v>
      </c>
      <c r="AE146" s="181">
        <v>1.3</v>
      </c>
      <c r="AF146" s="181">
        <v>1.3</v>
      </c>
      <c r="AG146" s="101" t="str">
        <f t="shared" si="29"/>
        <v/>
      </c>
      <c r="AH146" s="191">
        <v>0</v>
      </c>
      <c r="AI146" s="69">
        <f t="shared" si="30"/>
        <v>1087</v>
      </c>
    </row>
    <row r="147" spans="1:35" s="69" customFormat="1" ht="58.5" x14ac:dyDescent="0.3">
      <c r="A147" s="55" t="s">
        <v>419</v>
      </c>
      <c r="B147" s="53" t="s">
        <v>420</v>
      </c>
      <c r="C147" s="54" t="s">
        <v>50</v>
      </c>
      <c r="D147" s="75">
        <v>172</v>
      </c>
      <c r="E147" s="75"/>
      <c r="F147" s="75"/>
      <c r="G147" s="75"/>
      <c r="H147" s="75" t="s">
        <v>15</v>
      </c>
      <c r="I147" s="75">
        <v>1400</v>
      </c>
      <c r="J147" s="75">
        <v>240800</v>
      </c>
      <c r="K147" s="91" t="s">
        <v>421</v>
      </c>
      <c r="L147" s="73"/>
      <c r="M147" s="46">
        <v>0</v>
      </c>
      <c r="N147" s="46">
        <v>0</v>
      </c>
      <c r="O147" s="46">
        <v>0</v>
      </c>
      <c r="P147" s="98"/>
      <c r="Q147" s="23" t="s">
        <v>1430</v>
      </c>
      <c r="R147" s="24" t="s">
        <v>420</v>
      </c>
      <c r="S147" s="25" t="s">
        <v>50</v>
      </c>
      <c r="T147" s="26">
        <v>172</v>
      </c>
      <c r="U147" s="26">
        <v>172</v>
      </c>
      <c r="V147" s="26">
        <f t="shared" si="19"/>
        <v>1400</v>
      </c>
      <c r="W147" s="26">
        <f t="shared" si="23"/>
        <v>0</v>
      </c>
      <c r="X147" s="26">
        <f t="shared" si="24"/>
        <v>0</v>
      </c>
      <c r="Y147" s="26">
        <f t="shared" si="25"/>
        <v>0</v>
      </c>
      <c r="Z147" s="26">
        <f t="shared" si="27"/>
        <v>0</v>
      </c>
      <c r="AA147" s="33" t="s">
        <v>15</v>
      </c>
      <c r="AB147" s="36" t="s">
        <v>16</v>
      </c>
      <c r="AC147" s="181">
        <f t="shared" si="28"/>
        <v>172</v>
      </c>
      <c r="AD147" s="181">
        <f t="shared" si="26"/>
        <v>240800</v>
      </c>
      <c r="AE147" s="181">
        <v>1.3</v>
      </c>
      <c r="AF147" s="181">
        <v>1.3</v>
      </c>
      <c r="AG147" s="101" t="str">
        <f t="shared" si="29"/>
        <v/>
      </c>
      <c r="AH147" s="190">
        <v>0</v>
      </c>
      <c r="AI147" s="69">
        <f t="shared" si="30"/>
        <v>172</v>
      </c>
    </row>
    <row r="148" spans="1:35" s="69" customFormat="1" ht="97.5" x14ac:dyDescent="0.3">
      <c r="A148" s="130" t="s">
        <v>422</v>
      </c>
      <c r="B148" s="131" t="s">
        <v>3070</v>
      </c>
      <c r="C148" s="132" t="s">
        <v>110</v>
      </c>
      <c r="D148" s="133">
        <v>150400</v>
      </c>
      <c r="E148" s="75"/>
      <c r="F148" s="75"/>
      <c r="G148" s="75"/>
      <c r="H148" s="75">
        <v>154935.98000000001</v>
      </c>
      <c r="I148" s="75">
        <v>107.31</v>
      </c>
      <c r="J148" s="75">
        <v>16626180.01</v>
      </c>
      <c r="K148" s="91" t="s">
        <v>132</v>
      </c>
      <c r="L148" s="73"/>
      <c r="M148" s="46">
        <v>150350.57999999999</v>
      </c>
      <c r="N148" s="46">
        <v>0</v>
      </c>
      <c r="O148" s="46">
        <v>16134120.74</v>
      </c>
      <c r="P148" s="98"/>
      <c r="Q148" s="23" t="s">
        <v>1431</v>
      </c>
      <c r="R148" s="24" t="s">
        <v>131</v>
      </c>
      <c r="S148" s="25" t="s">
        <v>110</v>
      </c>
      <c r="T148" s="26">
        <v>150400</v>
      </c>
      <c r="U148" s="26">
        <v>154935.98000000001</v>
      </c>
      <c r="V148" s="26">
        <f t="shared" si="19"/>
        <v>107.31</v>
      </c>
      <c r="W148" s="127">
        <f t="shared" si="23"/>
        <v>0</v>
      </c>
      <c r="X148" s="127">
        <f t="shared" si="24"/>
        <v>150350.57999999999</v>
      </c>
      <c r="Y148" s="127">
        <f t="shared" si="25"/>
        <v>0</v>
      </c>
      <c r="Z148" s="127">
        <f t="shared" si="27"/>
        <v>16134120.74</v>
      </c>
      <c r="AA148" s="33" t="s">
        <v>15</v>
      </c>
      <c r="AB148" s="36" t="s">
        <v>16</v>
      </c>
      <c r="AC148" s="181">
        <f t="shared" si="28"/>
        <v>154935.98000000001</v>
      </c>
      <c r="AD148" s="181">
        <f t="shared" si="26"/>
        <v>16626180.01</v>
      </c>
      <c r="AE148" s="181">
        <v>1.3</v>
      </c>
      <c r="AF148" s="181">
        <v>1.3</v>
      </c>
      <c r="AG148" s="101" t="str">
        <f t="shared" si="29"/>
        <v/>
      </c>
      <c r="AH148" s="191">
        <v>150350.57999999999</v>
      </c>
      <c r="AI148" s="69">
        <f t="shared" si="30"/>
        <v>150400</v>
      </c>
    </row>
    <row r="149" spans="1:35" s="69" customFormat="1" ht="39" x14ac:dyDescent="0.3">
      <c r="A149" s="130" t="s">
        <v>423</v>
      </c>
      <c r="B149" s="131" t="s">
        <v>424</v>
      </c>
      <c r="C149" s="132" t="s">
        <v>50</v>
      </c>
      <c r="D149" s="133">
        <v>1140.1600000000001</v>
      </c>
      <c r="E149" s="75"/>
      <c r="F149" s="75"/>
      <c r="G149" s="75"/>
      <c r="H149" s="75" t="s">
        <v>15</v>
      </c>
      <c r="I149" s="75">
        <v>692.16</v>
      </c>
      <c r="J149" s="75">
        <v>789173.15</v>
      </c>
      <c r="K149" s="91" t="s">
        <v>425</v>
      </c>
      <c r="L149" s="73"/>
      <c r="M149" s="46">
        <v>1139.5999999999999</v>
      </c>
      <c r="N149" s="46">
        <v>0</v>
      </c>
      <c r="O149" s="46">
        <v>788785.54</v>
      </c>
      <c r="P149" s="98"/>
      <c r="Q149" s="23" t="s">
        <v>1395</v>
      </c>
      <c r="R149" s="24" t="s">
        <v>424</v>
      </c>
      <c r="S149" s="25" t="s">
        <v>50</v>
      </c>
      <c r="T149" s="26">
        <v>1140.1600000000001</v>
      </c>
      <c r="U149" s="26">
        <v>1140.1600000000001</v>
      </c>
      <c r="V149" s="26">
        <f t="shared" si="19"/>
        <v>692.16</v>
      </c>
      <c r="W149" s="127">
        <f t="shared" si="23"/>
        <v>0</v>
      </c>
      <c r="X149" s="127">
        <f t="shared" si="24"/>
        <v>1139.5999999999999</v>
      </c>
      <c r="Y149" s="127">
        <f t="shared" si="25"/>
        <v>0</v>
      </c>
      <c r="Z149" s="127">
        <f t="shared" si="27"/>
        <v>788785.54</v>
      </c>
      <c r="AA149" s="33" t="s">
        <v>15</v>
      </c>
      <c r="AB149" s="36" t="s">
        <v>16</v>
      </c>
      <c r="AC149" s="181">
        <f t="shared" si="28"/>
        <v>1140.1600000000001</v>
      </c>
      <c r="AD149" s="181">
        <f t="shared" si="26"/>
        <v>789173.15</v>
      </c>
      <c r="AE149" s="181">
        <v>1.3</v>
      </c>
      <c r="AF149" s="181">
        <v>1.3</v>
      </c>
      <c r="AG149" s="101" t="str">
        <f t="shared" si="29"/>
        <v/>
      </c>
      <c r="AH149" s="191">
        <v>1139.5999999999999</v>
      </c>
      <c r="AI149" s="69">
        <f t="shared" si="30"/>
        <v>1140.1600000000001</v>
      </c>
    </row>
    <row r="150" spans="1:35" s="69" customFormat="1" ht="58.5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203"/>
      <c r="F150" s="203"/>
      <c r="G150" s="203"/>
      <c r="H150" s="203" t="s">
        <v>15</v>
      </c>
      <c r="I150" s="75">
        <v>48.28</v>
      </c>
      <c r="J150" s="75">
        <v>25472.05</v>
      </c>
      <c r="K150" s="91" t="s">
        <v>35</v>
      </c>
      <c r="L150" s="73"/>
      <c r="M150" s="46">
        <v>527.59</v>
      </c>
      <c r="N150" s="46">
        <v>0</v>
      </c>
      <c r="O150" s="46">
        <v>25472.05</v>
      </c>
      <c r="P150" s="98"/>
      <c r="Q150" s="23" t="s">
        <v>1432</v>
      </c>
      <c r="R150" s="24" t="s">
        <v>33</v>
      </c>
      <c r="S150" s="25" t="s">
        <v>34</v>
      </c>
      <c r="T150" s="26">
        <v>527.59</v>
      </c>
      <c r="U150" s="26">
        <v>527.59</v>
      </c>
      <c r="V150" s="26">
        <f t="shared" si="19"/>
        <v>48.28</v>
      </c>
      <c r="W150" s="127">
        <f t="shared" si="23"/>
        <v>0</v>
      </c>
      <c r="X150" s="127">
        <f t="shared" si="24"/>
        <v>527.59</v>
      </c>
      <c r="Y150" s="127">
        <f t="shared" si="25"/>
        <v>0</v>
      </c>
      <c r="Z150" s="127">
        <f t="shared" si="27"/>
        <v>25472.05</v>
      </c>
      <c r="AA150" s="33" t="s">
        <v>15</v>
      </c>
      <c r="AB150" s="36" t="s">
        <v>16</v>
      </c>
      <c r="AC150" s="181">
        <f t="shared" si="28"/>
        <v>527.59</v>
      </c>
      <c r="AD150" s="181">
        <f t="shared" si="26"/>
        <v>25472.05</v>
      </c>
      <c r="AE150" s="181">
        <v>1.3</v>
      </c>
      <c r="AF150" s="181">
        <v>1.3</v>
      </c>
      <c r="AG150" s="101" t="str">
        <f t="shared" si="29"/>
        <v/>
      </c>
      <c r="AH150" s="190">
        <v>527.59</v>
      </c>
      <c r="AI150" s="69">
        <f t="shared" si="30"/>
        <v>527.59</v>
      </c>
    </row>
    <row r="151" spans="1:35" s="69" customFormat="1" ht="58.5" x14ac:dyDescent="0.3">
      <c r="A151" s="130" t="s">
        <v>427</v>
      </c>
      <c r="B151" s="131" t="s">
        <v>428</v>
      </c>
      <c r="C151" s="132" t="s">
        <v>34</v>
      </c>
      <c r="D151" s="133">
        <v>355.42</v>
      </c>
      <c r="E151" s="203"/>
      <c r="F151" s="203"/>
      <c r="G151" s="203"/>
      <c r="H151" s="203" t="s">
        <v>15</v>
      </c>
      <c r="I151" s="75">
        <v>721.06</v>
      </c>
      <c r="J151" s="75">
        <v>256279.15</v>
      </c>
      <c r="K151" s="91" t="s">
        <v>429</v>
      </c>
      <c r="L151" s="73"/>
      <c r="M151" s="46">
        <v>0</v>
      </c>
      <c r="N151" s="46">
        <v>0</v>
      </c>
      <c r="O151" s="46">
        <v>0</v>
      </c>
      <c r="P151" s="98"/>
      <c r="Q151" s="23" t="s">
        <v>1433</v>
      </c>
      <c r="R151" s="24" t="s">
        <v>428</v>
      </c>
      <c r="S151" s="25" t="s">
        <v>34</v>
      </c>
      <c r="T151" s="26">
        <v>355.42</v>
      </c>
      <c r="U151" s="26">
        <v>355.42</v>
      </c>
      <c r="V151" s="26">
        <f t="shared" si="19"/>
        <v>721.06</v>
      </c>
      <c r="W151" s="127">
        <f t="shared" si="23"/>
        <v>0</v>
      </c>
      <c r="X151" s="127">
        <f t="shared" si="24"/>
        <v>0</v>
      </c>
      <c r="Y151" s="127">
        <f t="shared" si="25"/>
        <v>0</v>
      </c>
      <c r="Z151" s="127">
        <f t="shared" si="27"/>
        <v>0</v>
      </c>
      <c r="AA151" s="33" t="s">
        <v>15</v>
      </c>
      <c r="AB151" s="36" t="s">
        <v>16</v>
      </c>
      <c r="AC151" s="181">
        <f t="shared" si="28"/>
        <v>355.42</v>
      </c>
      <c r="AD151" s="181">
        <f t="shared" si="26"/>
        <v>256279.15</v>
      </c>
      <c r="AE151" s="181">
        <v>1.3</v>
      </c>
      <c r="AF151" s="181">
        <v>1.3</v>
      </c>
      <c r="AG151" s="101" t="str">
        <f t="shared" si="29"/>
        <v/>
      </c>
      <c r="AH151" s="190">
        <v>0</v>
      </c>
      <c r="AI151" s="69">
        <f t="shared" si="30"/>
        <v>355.42</v>
      </c>
    </row>
    <row r="152" spans="1:35" s="69" customFormat="1" ht="33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203" t="s">
        <v>15</v>
      </c>
      <c r="I152" s="75">
        <v>28</v>
      </c>
      <c r="J152" s="75">
        <v>914900</v>
      </c>
      <c r="K152" s="91" t="s">
        <v>432</v>
      </c>
      <c r="L152" s="73"/>
      <c r="M152" s="46">
        <v>22573</v>
      </c>
      <c r="N152" s="46">
        <v>0</v>
      </c>
      <c r="O152" s="46">
        <v>632044</v>
      </c>
      <c r="P152" s="98"/>
      <c r="Q152" s="23" t="s">
        <v>1382</v>
      </c>
      <c r="R152" s="24" t="s">
        <v>431</v>
      </c>
      <c r="S152" s="25" t="s">
        <v>50</v>
      </c>
      <c r="T152" s="26">
        <v>272</v>
      </c>
      <c r="U152" s="26">
        <v>32675</v>
      </c>
      <c r="V152" s="26">
        <f t="shared" si="19"/>
        <v>28</v>
      </c>
      <c r="W152" s="128">
        <f t="shared" si="23"/>
        <v>0</v>
      </c>
      <c r="X152" s="26">
        <f t="shared" si="24"/>
        <v>22573</v>
      </c>
      <c r="Y152" s="26">
        <f t="shared" si="25"/>
        <v>0</v>
      </c>
      <c r="Z152" s="26">
        <f t="shared" si="27"/>
        <v>632044</v>
      </c>
      <c r="AA152" s="27" t="s">
        <v>15</v>
      </c>
      <c r="AB152" s="36" t="s">
        <v>16</v>
      </c>
      <c r="AC152" s="181">
        <f t="shared" si="28"/>
        <v>32675</v>
      </c>
      <c r="AD152" s="181">
        <f t="shared" si="26"/>
        <v>914900</v>
      </c>
      <c r="AE152" s="181">
        <v>1.3</v>
      </c>
      <c r="AF152" s="181">
        <v>1.3</v>
      </c>
      <c r="AG152" s="101" t="str">
        <f t="shared" si="29"/>
        <v/>
      </c>
      <c r="AH152" s="191">
        <v>22573</v>
      </c>
      <c r="AI152" s="69">
        <f t="shared" si="30"/>
        <v>32675</v>
      </c>
    </row>
    <row r="153" spans="1:35" s="69" customFormat="1" ht="39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203"/>
      <c r="F153" s="203"/>
      <c r="G153" s="203"/>
      <c r="H153" s="203" t="s">
        <v>15</v>
      </c>
      <c r="I153" s="75">
        <v>19012.060000000001</v>
      </c>
      <c r="J153" s="75">
        <v>14144972.640000001</v>
      </c>
      <c r="K153" s="91" t="s">
        <v>435</v>
      </c>
      <c r="L153" s="73"/>
      <c r="M153" s="46">
        <v>744</v>
      </c>
      <c r="N153" s="46">
        <v>0</v>
      </c>
      <c r="O153" s="46">
        <v>14144972.640000001</v>
      </c>
      <c r="P153" s="98"/>
      <c r="Q153" s="23" t="s">
        <v>1434</v>
      </c>
      <c r="R153" s="24" t="s">
        <v>434</v>
      </c>
      <c r="S153" s="25" t="s">
        <v>30</v>
      </c>
      <c r="T153" s="26">
        <v>744</v>
      </c>
      <c r="U153" s="26">
        <v>744</v>
      </c>
      <c r="V153" s="26">
        <f t="shared" si="19"/>
        <v>19012.060000000001</v>
      </c>
      <c r="W153" s="127">
        <f t="shared" si="23"/>
        <v>0</v>
      </c>
      <c r="X153" s="127">
        <f t="shared" si="24"/>
        <v>744</v>
      </c>
      <c r="Y153" s="127">
        <f t="shared" si="25"/>
        <v>0</v>
      </c>
      <c r="Z153" s="127">
        <f t="shared" si="27"/>
        <v>14144972.640000001</v>
      </c>
      <c r="AA153" s="33" t="s">
        <v>15</v>
      </c>
      <c r="AB153" s="36" t="s">
        <v>16</v>
      </c>
      <c r="AC153" s="181">
        <f t="shared" si="28"/>
        <v>744</v>
      </c>
      <c r="AD153" s="181">
        <f t="shared" si="26"/>
        <v>14144972.640000001</v>
      </c>
      <c r="AE153" s="181">
        <v>1.3</v>
      </c>
      <c r="AF153" s="181">
        <v>1.3</v>
      </c>
      <c r="AG153" s="101" t="str">
        <f t="shared" si="29"/>
        <v/>
      </c>
      <c r="AH153" s="190">
        <v>744</v>
      </c>
      <c r="AI153" s="69">
        <f t="shared" si="30"/>
        <v>744</v>
      </c>
    </row>
    <row r="154" spans="1:35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 t="s">
        <v>15</v>
      </c>
      <c r="I154" s="75">
        <v>373.1</v>
      </c>
      <c r="J154" s="75">
        <v>50741.599999999999</v>
      </c>
      <c r="K154" s="91" t="s">
        <v>438</v>
      </c>
      <c r="L154" s="73"/>
      <c r="M154" s="46">
        <v>112</v>
      </c>
      <c r="N154" s="46">
        <v>0</v>
      </c>
      <c r="O154" s="46">
        <v>41787.199999999997</v>
      </c>
      <c r="P154" s="98"/>
      <c r="Q154" s="23" t="s">
        <v>1388</v>
      </c>
      <c r="R154" s="24" t="s">
        <v>437</v>
      </c>
      <c r="S154" s="25" t="s">
        <v>50</v>
      </c>
      <c r="T154" s="26">
        <v>136</v>
      </c>
      <c r="U154" s="26">
        <v>136</v>
      </c>
      <c r="V154" s="26">
        <f t="shared" si="19"/>
        <v>373.1</v>
      </c>
      <c r="W154" s="128">
        <f t="shared" si="23"/>
        <v>0</v>
      </c>
      <c r="X154" s="26">
        <f t="shared" si="24"/>
        <v>112</v>
      </c>
      <c r="Y154" s="26">
        <f t="shared" si="25"/>
        <v>0</v>
      </c>
      <c r="Z154" s="26">
        <f t="shared" si="27"/>
        <v>41787.199999999997</v>
      </c>
      <c r="AA154" s="33" t="s">
        <v>15</v>
      </c>
      <c r="AB154" s="36" t="s">
        <v>16</v>
      </c>
      <c r="AC154" s="181">
        <f t="shared" si="28"/>
        <v>136</v>
      </c>
      <c r="AD154" s="181">
        <f t="shared" si="26"/>
        <v>50741.599999999999</v>
      </c>
      <c r="AE154" s="181">
        <v>1.3</v>
      </c>
      <c r="AF154" s="181">
        <v>1.3</v>
      </c>
      <c r="AG154" s="101" t="str">
        <f t="shared" si="29"/>
        <v/>
      </c>
      <c r="AH154" s="191">
        <v>112</v>
      </c>
      <c r="AI154" s="69">
        <f t="shared" si="30"/>
        <v>136</v>
      </c>
    </row>
    <row r="155" spans="1:35" s="69" customFormat="1" ht="39" x14ac:dyDescent="0.3">
      <c r="A155" s="55" t="s">
        <v>439</v>
      </c>
      <c r="B155" s="53" t="s">
        <v>440</v>
      </c>
      <c r="C155" s="54" t="s">
        <v>50</v>
      </c>
      <c r="D155" s="75">
        <v>136</v>
      </c>
      <c r="E155" s="75"/>
      <c r="F155" s="75"/>
      <c r="G155" s="75"/>
      <c r="H155" s="75" t="s">
        <v>15</v>
      </c>
      <c r="I155" s="75">
        <v>616.53</v>
      </c>
      <c r="J155" s="75">
        <v>83848.08</v>
      </c>
      <c r="K155" s="91" t="s">
        <v>441</v>
      </c>
      <c r="L155" s="73"/>
      <c r="M155" s="46">
        <v>0</v>
      </c>
      <c r="N155" s="46">
        <v>0</v>
      </c>
      <c r="O155" s="46">
        <v>0</v>
      </c>
      <c r="P155" s="98"/>
      <c r="Q155" s="23" t="s">
        <v>1389</v>
      </c>
      <c r="R155" s="24" t="s">
        <v>440</v>
      </c>
      <c r="S155" s="25" t="s">
        <v>50</v>
      </c>
      <c r="T155" s="26">
        <v>136</v>
      </c>
      <c r="U155" s="26">
        <v>136</v>
      </c>
      <c r="V155" s="26">
        <f t="shared" si="19"/>
        <v>616.53</v>
      </c>
      <c r="W155" s="26">
        <f t="shared" si="23"/>
        <v>0</v>
      </c>
      <c r="X155" s="26">
        <f t="shared" si="24"/>
        <v>0</v>
      </c>
      <c r="Y155" s="26">
        <f t="shared" si="25"/>
        <v>0</v>
      </c>
      <c r="Z155" s="26">
        <f t="shared" si="27"/>
        <v>0</v>
      </c>
      <c r="AA155" s="33" t="s">
        <v>15</v>
      </c>
      <c r="AB155" s="36" t="s">
        <v>16</v>
      </c>
      <c r="AC155" s="181">
        <f t="shared" si="28"/>
        <v>136</v>
      </c>
      <c r="AD155" s="181">
        <f t="shared" si="26"/>
        <v>83848.08</v>
      </c>
      <c r="AE155" s="181">
        <v>1.3</v>
      </c>
      <c r="AF155" s="181">
        <v>1.3</v>
      </c>
      <c r="AG155" s="101" t="str">
        <f t="shared" si="29"/>
        <v/>
      </c>
      <c r="AH155" s="190">
        <v>0</v>
      </c>
      <c r="AI155" s="69">
        <f t="shared" si="30"/>
        <v>136</v>
      </c>
    </row>
    <row r="156" spans="1:35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 t="s">
        <v>15</v>
      </c>
      <c r="I156" s="75">
        <v>2664.06</v>
      </c>
      <c r="J156" s="75">
        <v>9590.6200000000008</v>
      </c>
      <c r="K156" s="91" t="s">
        <v>444</v>
      </c>
      <c r="L156" s="73"/>
      <c r="M156" s="46">
        <v>0</v>
      </c>
      <c r="N156" s="46">
        <v>0</v>
      </c>
      <c r="O156" s="46">
        <v>0</v>
      </c>
      <c r="P156" s="98"/>
      <c r="Q156" s="23" t="s">
        <v>1390</v>
      </c>
      <c r="R156" s="24" t="s">
        <v>443</v>
      </c>
      <c r="S156" s="25" t="s">
        <v>50</v>
      </c>
      <c r="T156" s="26">
        <v>3.6</v>
      </c>
      <c r="U156" s="26">
        <v>3.6</v>
      </c>
      <c r="V156" s="26">
        <f t="shared" si="19"/>
        <v>2664.06</v>
      </c>
      <c r="W156" s="26">
        <f t="shared" si="23"/>
        <v>0</v>
      </c>
      <c r="X156" s="26">
        <f t="shared" si="24"/>
        <v>0</v>
      </c>
      <c r="Y156" s="26">
        <f t="shared" si="25"/>
        <v>0</v>
      </c>
      <c r="Z156" s="26">
        <f t="shared" si="27"/>
        <v>0</v>
      </c>
      <c r="AA156" s="33" t="s">
        <v>15</v>
      </c>
      <c r="AB156" s="36" t="s">
        <v>16</v>
      </c>
      <c r="AC156" s="181">
        <f t="shared" si="28"/>
        <v>3.6</v>
      </c>
      <c r="AD156" s="181">
        <f t="shared" si="26"/>
        <v>9590.6200000000008</v>
      </c>
      <c r="AE156" s="181">
        <v>1.3</v>
      </c>
      <c r="AF156" s="181">
        <v>1.3</v>
      </c>
      <c r="AG156" s="101" t="str">
        <f t="shared" si="29"/>
        <v/>
      </c>
      <c r="AH156" s="190">
        <v>0</v>
      </c>
      <c r="AI156" s="69">
        <f t="shared" si="30"/>
        <v>3.6</v>
      </c>
    </row>
    <row r="157" spans="1:35" s="69" customFormat="1" ht="39" x14ac:dyDescent="0.3">
      <c r="A157" s="55" t="s">
        <v>445</v>
      </c>
      <c r="B157" s="53" t="s">
        <v>446</v>
      </c>
      <c r="C157" s="54" t="s">
        <v>30</v>
      </c>
      <c r="D157" s="75">
        <v>44</v>
      </c>
      <c r="E157" s="75"/>
      <c r="F157" s="75"/>
      <c r="G157" s="75"/>
      <c r="H157" s="75" t="s">
        <v>15</v>
      </c>
      <c r="I157" s="75">
        <v>5183.22</v>
      </c>
      <c r="J157" s="75">
        <v>228061.68</v>
      </c>
      <c r="K157" s="137" t="s">
        <v>447</v>
      </c>
      <c r="L157" s="73"/>
      <c r="M157" s="46">
        <v>35</v>
      </c>
      <c r="N157" s="46">
        <v>0</v>
      </c>
      <c r="O157" s="46">
        <v>181412.7</v>
      </c>
      <c r="P157" s="98"/>
      <c r="Q157" s="23" t="s">
        <v>1391</v>
      </c>
      <c r="R157" s="24" t="s">
        <v>446</v>
      </c>
      <c r="S157" s="25" t="s">
        <v>30</v>
      </c>
      <c r="T157" s="26">
        <v>44</v>
      </c>
      <c r="U157" s="26">
        <v>44</v>
      </c>
      <c r="V157" s="26">
        <f t="shared" si="19"/>
        <v>5183.22</v>
      </c>
      <c r="W157" s="128">
        <f t="shared" si="23"/>
        <v>0</v>
      </c>
      <c r="X157" s="26">
        <f t="shared" si="24"/>
        <v>35</v>
      </c>
      <c r="Y157" s="26">
        <f t="shared" si="25"/>
        <v>0</v>
      </c>
      <c r="Z157" s="26">
        <f t="shared" si="27"/>
        <v>181412.7</v>
      </c>
      <c r="AA157" s="33" t="s">
        <v>15</v>
      </c>
      <c r="AB157" s="36" t="s">
        <v>16</v>
      </c>
      <c r="AC157" s="181">
        <f t="shared" si="28"/>
        <v>44</v>
      </c>
      <c r="AD157" s="181">
        <f t="shared" si="26"/>
        <v>228061.68</v>
      </c>
      <c r="AE157" s="181">
        <v>1.3</v>
      </c>
      <c r="AF157" s="181">
        <v>1.3</v>
      </c>
      <c r="AG157" s="101" t="str">
        <f t="shared" si="29"/>
        <v/>
      </c>
      <c r="AH157" s="191">
        <v>35</v>
      </c>
      <c r="AI157" s="69">
        <f t="shared" si="30"/>
        <v>44</v>
      </c>
    </row>
    <row r="158" spans="1:35" s="69" customFormat="1" ht="39" x14ac:dyDescent="0.3">
      <c r="A158" s="55" t="s">
        <v>448</v>
      </c>
      <c r="B158" s="53" t="s">
        <v>449</v>
      </c>
      <c r="C158" s="54" t="s">
        <v>30</v>
      </c>
      <c r="D158" s="75">
        <v>94.14</v>
      </c>
      <c r="E158" s="75"/>
      <c r="F158" s="75"/>
      <c r="G158" s="75"/>
      <c r="H158" s="75" t="s">
        <v>15</v>
      </c>
      <c r="I158" s="75">
        <v>9392.57</v>
      </c>
      <c r="J158" s="75">
        <v>884216.54</v>
      </c>
      <c r="K158" s="137" t="s">
        <v>450</v>
      </c>
      <c r="L158" s="73"/>
      <c r="M158" s="46">
        <v>0</v>
      </c>
      <c r="N158" s="46">
        <v>0</v>
      </c>
      <c r="O158" s="46">
        <v>0</v>
      </c>
      <c r="P158" s="98"/>
      <c r="Q158" s="23" t="s">
        <v>1436</v>
      </c>
      <c r="R158" s="24" t="s">
        <v>449</v>
      </c>
      <c r="S158" s="25" t="s">
        <v>30</v>
      </c>
      <c r="T158" s="26">
        <v>94.14</v>
      </c>
      <c r="U158" s="26">
        <v>94.14</v>
      </c>
      <c r="V158" s="26">
        <f t="shared" si="19"/>
        <v>9392.57</v>
      </c>
      <c r="W158" s="128">
        <f t="shared" si="23"/>
        <v>75</v>
      </c>
      <c r="X158" s="26">
        <f t="shared" si="24"/>
        <v>75</v>
      </c>
      <c r="Y158" s="26">
        <f t="shared" si="25"/>
        <v>704442.75</v>
      </c>
      <c r="Z158" s="26">
        <f t="shared" si="27"/>
        <v>704442.75</v>
      </c>
      <c r="AA158" s="33" t="s">
        <v>15</v>
      </c>
      <c r="AB158" s="36" t="s">
        <v>16</v>
      </c>
      <c r="AC158" s="181">
        <f t="shared" si="28"/>
        <v>94.14</v>
      </c>
      <c r="AD158" s="181">
        <f t="shared" si="26"/>
        <v>884216.54</v>
      </c>
      <c r="AE158" s="181">
        <v>1.3</v>
      </c>
      <c r="AF158" s="181">
        <v>1.3</v>
      </c>
      <c r="AG158" s="101" t="str">
        <f t="shared" si="29"/>
        <v/>
      </c>
      <c r="AH158" s="191">
        <f>75</f>
        <v>75</v>
      </c>
      <c r="AI158" s="69">
        <f t="shared" si="30"/>
        <v>94.14</v>
      </c>
    </row>
    <row r="159" spans="1:35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 t="s">
        <v>15</v>
      </c>
      <c r="I159" s="75">
        <v>2388.5700000000002</v>
      </c>
      <c r="J159" s="75">
        <v>272296.98</v>
      </c>
      <c r="K159" s="137" t="s">
        <v>453</v>
      </c>
      <c r="L159" s="73"/>
      <c r="M159" s="46">
        <v>0</v>
      </c>
      <c r="N159" s="46">
        <v>0</v>
      </c>
      <c r="O159" s="46">
        <v>0</v>
      </c>
      <c r="P159" s="98"/>
      <c r="Q159" s="23" t="s">
        <v>1374</v>
      </c>
      <c r="R159" s="24" t="s">
        <v>452</v>
      </c>
      <c r="S159" s="25" t="s">
        <v>30</v>
      </c>
      <c r="T159" s="26">
        <v>114</v>
      </c>
      <c r="U159" s="26">
        <v>114</v>
      </c>
      <c r="V159" s="26">
        <f t="shared" si="19"/>
        <v>2388.5700000000002</v>
      </c>
      <c r="W159" s="128">
        <f t="shared" si="23"/>
        <v>68</v>
      </c>
      <c r="X159" s="26">
        <f t="shared" si="24"/>
        <v>68</v>
      </c>
      <c r="Y159" s="26">
        <f t="shared" si="25"/>
        <v>162422.76</v>
      </c>
      <c r="Z159" s="26">
        <f t="shared" si="27"/>
        <v>162422.76</v>
      </c>
      <c r="AA159" s="33" t="s">
        <v>15</v>
      </c>
      <c r="AB159" s="36" t="s">
        <v>16</v>
      </c>
      <c r="AC159" s="181">
        <f t="shared" si="28"/>
        <v>114</v>
      </c>
      <c r="AD159" s="181">
        <f t="shared" si="26"/>
        <v>272296.98</v>
      </c>
      <c r="AE159" s="181">
        <v>1.3</v>
      </c>
      <c r="AF159" s="181">
        <v>1.3</v>
      </c>
      <c r="AG159" s="101" t="str">
        <f t="shared" si="29"/>
        <v/>
      </c>
      <c r="AH159" s="191">
        <f>68</f>
        <v>68</v>
      </c>
      <c r="AI159" s="69">
        <f t="shared" si="30"/>
        <v>114</v>
      </c>
    </row>
    <row r="160" spans="1:35" s="69" customFormat="1" ht="39" x14ac:dyDescent="0.3">
      <c r="A160" s="130" t="s">
        <v>454</v>
      </c>
      <c r="B160" s="131" t="s">
        <v>455</v>
      </c>
      <c r="C160" s="132" t="s">
        <v>30</v>
      </c>
      <c r="D160" s="133">
        <v>44</v>
      </c>
      <c r="E160" s="75"/>
      <c r="F160" s="75"/>
      <c r="G160" s="75"/>
      <c r="H160" s="75" t="s">
        <v>15</v>
      </c>
      <c r="I160" s="75">
        <v>80192.710000000006</v>
      </c>
      <c r="J160" s="75">
        <v>3528479.24</v>
      </c>
      <c r="K160" s="137" t="s">
        <v>456</v>
      </c>
      <c r="L160" s="73"/>
      <c r="M160" s="46">
        <v>35</v>
      </c>
      <c r="N160" s="46">
        <v>0</v>
      </c>
      <c r="O160" s="46">
        <v>2806744.85</v>
      </c>
      <c r="P160" s="98"/>
      <c r="Q160" s="23" t="s">
        <v>1376</v>
      </c>
      <c r="R160" s="24" t="s">
        <v>455</v>
      </c>
      <c r="S160" s="25" t="s">
        <v>30</v>
      </c>
      <c r="T160" s="26">
        <v>44</v>
      </c>
      <c r="U160" s="26">
        <v>44</v>
      </c>
      <c r="V160" s="26">
        <f t="shared" si="19"/>
        <v>80192.710000000006</v>
      </c>
      <c r="W160" s="128">
        <f t="shared" si="23"/>
        <v>9</v>
      </c>
      <c r="X160" s="127">
        <f t="shared" si="24"/>
        <v>44</v>
      </c>
      <c r="Y160" s="127">
        <f t="shared" si="25"/>
        <v>721734.39000000013</v>
      </c>
      <c r="Z160" s="127">
        <f t="shared" si="27"/>
        <v>3528479.24</v>
      </c>
      <c r="AA160" s="33" t="s">
        <v>15</v>
      </c>
      <c r="AB160" s="36" t="s">
        <v>16</v>
      </c>
      <c r="AC160" s="181">
        <f t="shared" si="28"/>
        <v>44</v>
      </c>
      <c r="AD160" s="181">
        <f t="shared" si="26"/>
        <v>3528479.24</v>
      </c>
      <c r="AE160" s="181">
        <v>1.3</v>
      </c>
      <c r="AF160" s="181">
        <v>1.3</v>
      </c>
      <c r="AG160" s="101" t="str">
        <f t="shared" si="29"/>
        <v/>
      </c>
      <c r="AH160" s="191">
        <f>35+9</f>
        <v>44</v>
      </c>
      <c r="AI160" s="69">
        <f t="shared" si="30"/>
        <v>44</v>
      </c>
    </row>
    <row r="161" spans="1:35" s="69" customFormat="1" ht="58.5" x14ac:dyDescent="0.3">
      <c r="A161" s="130" t="s">
        <v>457</v>
      </c>
      <c r="B161" s="131" t="s">
        <v>458</v>
      </c>
      <c r="C161" s="132" t="s">
        <v>30</v>
      </c>
      <c r="D161" s="133">
        <v>90</v>
      </c>
      <c r="E161" s="75"/>
      <c r="F161" s="75"/>
      <c r="G161" s="75"/>
      <c r="H161" s="75" t="s">
        <v>15</v>
      </c>
      <c r="I161" s="75">
        <v>9257.1299999999992</v>
      </c>
      <c r="J161" s="75">
        <v>833141.7</v>
      </c>
      <c r="K161" s="137" t="s">
        <v>459</v>
      </c>
      <c r="L161" s="73"/>
      <c r="M161" s="46">
        <v>70</v>
      </c>
      <c r="N161" s="46">
        <v>0</v>
      </c>
      <c r="O161" s="46">
        <v>647999.1</v>
      </c>
      <c r="P161" s="98"/>
      <c r="Q161" s="23" t="s">
        <v>1378</v>
      </c>
      <c r="R161" s="24" t="s">
        <v>458</v>
      </c>
      <c r="S161" s="25" t="s">
        <v>30</v>
      </c>
      <c r="T161" s="26">
        <v>90</v>
      </c>
      <c r="U161" s="26">
        <v>90</v>
      </c>
      <c r="V161" s="26">
        <f t="shared" si="19"/>
        <v>9257.1299999999992</v>
      </c>
      <c r="W161" s="128">
        <f t="shared" si="23"/>
        <v>20</v>
      </c>
      <c r="X161" s="127">
        <f t="shared" si="24"/>
        <v>90</v>
      </c>
      <c r="Y161" s="127">
        <f t="shared" si="25"/>
        <v>185142.59999999998</v>
      </c>
      <c r="Z161" s="127">
        <f t="shared" si="27"/>
        <v>833141.7</v>
      </c>
      <c r="AA161" s="33" t="s">
        <v>15</v>
      </c>
      <c r="AB161" s="36" t="s">
        <v>16</v>
      </c>
      <c r="AC161" s="181">
        <f t="shared" si="28"/>
        <v>90</v>
      </c>
      <c r="AD161" s="181">
        <f t="shared" si="26"/>
        <v>833141.7</v>
      </c>
      <c r="AE161" s="181">
        <v>1.3</v>
      </c>
      <c r="AF161" s="181">
        <v>1.3</v>
      </c>
      <c r="AG161" s="101" t="str">
        <f t="shared" si="29"/>
        <v/>
      </c>
      <c r="AH161" s="191">
        <f>70+20</f>
        <v>90</v>
      </c>
      <c r="AI161" s="69">
        <f t="shared" si="30"/>
        <v>90</v>
      </c>
    </row>
    <row r="162" spans="1:35" s="69" customFormat="1" ht="33" x14ac:dyDescent="0.3">
      <c r="A162" s="55" t="s">
        <v>460</v>
      </c>
      <c r="B162" s="53" t="s">
        <v>461</v>
      </c>
      <c r="C162" s="54" t="s">
        <v>81</v>
      </c>
      <c r="D162" s="75">
        <v>1</v>
      </c>
      <c r="E162" s="75"/>
      <c r="F162" s="75"/>
      <c r="G162" s="75"/>
      <c r="H162" s="75" t="s">
        <v>15</v>
      </c>
      <c r="I162" s="75">
        <v>58649</v>
      </c>
      <c r="J162" s="75">
        <v>58649</v>
      </c>
      <c r="K162" s="137" t="s">
        <v>462</v>
      </c>
      <c r="L162" s="73"/>
      <c r="M162" s="46">
        <v>0</v>
      </c>
      <c r="N162" s="46">
        <v>0</v>
      </c>
      <c r="O162" s="46">
        <v>0</v>
      </c>
      <c r="P162" s="98"/>
      <c r="Q162" s="23" t="s">
        <v>1438</v>
      </c>
      <c r="R162" s="24" t="s">
        <v>461</v>
      </c>
      <c r="S162" s="25" t="s">
        <v>81</v>
      </c>
      <c r="T162" s="26">
        <v>1</v>
      </c>
      <c r="U162" s="26">
        <v>1</v>
      </c>
      <c r="V162" s="26">
        <f t="shared" si="19"/>
        <v>58649</v>
      </c>
      <c r="W162" s="26">
        <f t="shared" si="23"/>
        <v>0</v>
      </c>
      <c r="X162" s="26">
        <f t="shared" si="24"/>
        <v>0</v>
      </c>
      <c r="Y162" s="26">
        <f t="shared" si="25"/>
        <v>0</v>
      </c>
      <c r="Z162" s="26">
        <f t="shared" si="27"/>
        <v>0</v>
      </c>
      <c r="AA162" s="33" t="s">
        <v>15</v>
      </c>
      <c r="AB162" s="36" t="s">
        <v>16</v>
      </c>
      <c r="AC162" s="181">
        <f t="shared" si="28"/>
        <v>1</v>
      </c>
      <c r="AD162" s="181">
        <f t="shared" si="26"/>
        <v>58649</v>
      </c>
      <c r="AE162" s="181">
        <v>1.3</v>
      </c>
      <c r="AF162" s="181">
        <v>1.3</v>
      </c>
      <c r="AG162" s="101" t="str">
        <f t="shared" si="29"/>
        <v/>
      </c>
      <c r="AH162" s="190">
        <v>0</v>
      </c>
      <c r="AI162" s="69">
        <f t="shared" si="30"/>
        <v>1</v>
      </c>
    </row>
    <row r="163" spans="1:35" s="69" customFormat="1" ht="33" x14ac:dyDescent="0.3">
      <c r="A163" s="130" t="s">
        <v>463</v>
      </c>
      <c r="B163" s="131" t="s">
        <v>464</v>
      </c>
      <c r="C163" s="132" t="s">
        <v>81</v>
      </c>
      <c r="D163" s="133">
        <v>1</v>
      </c>
      <c r="E163" s="75"/>
      <c r="F163" s="75"/>
      <c r="G163" s="75"/>
      <c r="H163" s="75" t="s">
        <v>15</v>
      </c>
      <c r="I163" s="75">
        <v>107614.5</v>
      </c>
      <c r="J163" s="75">
        <v>107614.5</v>
      </c>
      <c r="K163" s="137" t="s">
        <v>465</v>
      </c>
      <c r="L163" s="73"/>
      <c r="M163" s="46">
        <v>0.8</v>
      </c>
      <c r="N163" s="46">
        <v>0</v>
      </c>
      <c r="O163" s="46">
        <v>86091.6</v>
      </c>
      <c r="P163" s="98"/>
      <c r="Q163" s="23" t="s">
        <v>1439</v>
      </c>
      <c r="R163" s="24" t="s">
        <v>464</v>
      </c>
      <c r="S163" s="25" t="s">
        <v>81</v>
      </c>
      <c r="T163" s="26">
        <v>1</v>
      </c>
      <c r="U163" s="26">
        <v>1</v>
      </c>
      <c r="V163" s="26">
        <f t="shared" si="19"/>
        <v>107614.5</v>
      </c>
      <c r="W163" s="26">
        <f t="shared" si="23"/>
        <v>0</v>
      </c>
      <c r="X163" s="127">
        <f t="shared" si="24"/>
        <v>0.8</v>
      </c>
      <c r="Y163" s="127">
        <f t="shared" si="25"/>
        <v>0</v>
      </c>
      <c r="Z163" s="127">
        <f t="shared" si="27"/>
        <v>86091.6</v>
      </c>
      <c r="AA163" s="33" t="s">
        <v>15</v>
      </c>
      <c r="AB163" s="36" t="s">
        <v>16</v>
      </c>
      <c r="AC163" s="181">
        <f t="shared" si="28"/>
        <v>1</v>
      </c>
      <c r="AD163" s="181">
        <f t="shared" si="26"/>
        <v>107614.5</v>
      </c>
      <c r="AE163" s="181">
        <v>1.3</v>
      </c>
      <c r="AF163" s="181">
        <v>1.3</v>
      </c>
      <c r="AG163" s="101" t="str">
        <f t="shared" si="29"/>
        <v/>
      </c>
      <c r="AH163" s="191">
        <v>0.8</v>
      </c>
      <c r="AI163" s="69">
        <f t="shared" si="30"/>
        <v>1</v>
      </c>
    </row>
    <row r="164" spans="1:35" s="69" customFormat="1" ht="33" x14ac:dyDescent="0.3">
      <c r="A164" s="55" t="s">
        <v>466</v>
      </c>
      <c r="B164" s="53" t="s">
        <v>467</v>
      </c>
      <c r="C164" s="54" t="s">
        <v>30</v>
      </c>
      <c r="D164" s="75">
        <v>13.2</v>
      </c>
      <c r="E164" s="75"/>
      <c r="F164" s="75"/>
      <c r="G164" s="75"/>
      <c r="H164" s="75" t="s">
        <v>15</v>
      </c>
      <c r="I164" s="75">
        <v>2809.33</v>
      </c>
      <c r="J164" s="75">
        <v>37083.160000000003</v>
      </c>
      <c r="K164" s="137" t="s">
        <v>468</v>
      </c>
      <c r="L164" s="73"/>
      <c r="M164" s="46">
        <v>0</v>
      </c>
      <c r="N164" s="46">
        <v>0</v>
      </c>
      <c r="O164" s="46">
        <v>0</v>
      </c>
      <c r="P164" s="98"/>
      <c r="Q164" s="23" t="s">
        <v>1440</v>
      </c>
      <c r="R164" s="24" t="s">
        <v>467</v>
      </c>
      <c r="S164" s="25" t="s">
        <v>30</v>
      </c>
      <c r="T164" s="26">
        <v>13.2</v>
      </c>
      <c r="U164" s="26">
        <v>13.2</v>
      </c>
      <c r="V164" s="26">
        <f t="shared" si="19"/>
        <v>2809.33</v>
      </c>
      <c r="W164" s="26">
        <f t="shared" si="23"/>
        <v>0</v>
      </c>
      <c r="X164" s="26">
        <f t="shared" si="24"/>
        <v>0</v>
      </c>
      <c r="Y164" s="26">
        <f t="shared" si="25"/>
        <v>0</v>
      </c>
      <c r="Z164" s="26">
        <f t="shared" si="27"/>
        <v>0</v>
      </c>
      <c r="AA164" s="33" t="s">
        <v>15</v>
      </c>
      <c r="AB164" s="36" t="s">
        <v>16</v>
      </c>
      <c r="AC164" s="181">
        <f t="shared" si="28"/>
        <v>13.2</v>
      </c>
      <c r="AD164" s="181">
        <f t="shared" si="26"/>
        <v>37083.160000000003</v>
      </c>
      <c r="AE164" s="181">
        <v>1.3</v>
      </c>
      <c r="AF164" s="181">
        <v>1.3</v>
      </c>
      <c r="AG164" s="101" t="str">
        <f t="shared" si="29"/>
        <v/>
      </c>
      <c r="AH164" s="190">
        <v>0</v>
      </c>
      <c r="AI164" s="69">
        <f t="shared" si="30"/>
        <v>13.2</v>
      </c>
    </row>
    <row r="165" spans="1:35" s="69" customFormat="1" ht="39" x14ac:dyDescent="0.3">
      <c r="A165" s="55" t="s">
        <v>469</v>
      </c>
      <c r="B165" s="53" t="s">
        <v>470</v>
      </c>
      <c r="C165" s="54" t="s">
        <v>30</v>
      </c>
      <c r="D165" s="75">
        <v>3</v>
      </c>
      <c r="E165" s="75"/>
      <c r="F165" s="75"/>
      <c r="G165" s="75"/>
      <c r="H165" s="75" t="s">
        <v>15</v>
      </c>
      <c r="I165" s="75">
        <v>2433.89</v>
      </c>
      <c r="J165" s="75">
        <v>7301.67</v>
      </c>
      <c r="K165" s="137" t="s">
        <v>471</v>
      </c>
      <c r="L165" s="73"/>
      <c r="M165" s="46">
        <v>0</v>
      </c>
      <c r="N165" s="46">
        <v>0</v>
      </c>
      <c r="O165" s="46">
        <v>0</v>
      </c>
      <c r="P165" s="98"/>
      <c r="Q165" s="23" t="s">
        <v>1441</v>
      </c>
      <c r="R165" s="24" t="s">
        <v>470</v>
      </c>
      <c r="S165" s="25" t="s">
        <v>30</v>
      </c>
      <c r="T165" s="26">
        <v>3</v>
      </c>
      <c r="U165" s="26">
        <v>3</v>
      </c>
      <c r="V165" s="26">
        <f t="shared" si="19"/>
        <v>2433.89</v>
      </c>
      <c r="W165" s="26">
        <f t="shared" si="23"/>
        <v>0</v>
      </c>
      <c r="X165" s="26">
        <f t="shared" si="24"/>
        <v>0</v>
      </c>
      <c r="Y165" s="26">
        <f t="shared" si="25"/>
        <v>0</v>
      </c>
      <c r="Z165" s="26">
        <f t="shared" si="27"/>
        <v>0</v>
      </c>
      <c r="AA165" s="33" t="s">
        <v>15</v>
      </c>
      <c r="AB165" s="36" t="s">
        <v>16</v>
      </c>
      <c r="AC165" s="181">
        <f t="shared" si="28"/>
        <v>3</v>
      </c>
      <c r="AD165" s="181">
        <f t="shared" si="26"/>
        <v>7301.67</v>
      </c>
      <c r="AE165" s="181">
        <v>1.3</v>
      </c>
      <c r="AF165" s="181">
        <v>1.3</v>
      </c>
      <c r="AG165" s="101" t="str">
        <f t="shared" si="29"/>
        <v/>
      </c>
      <c r="AH165" s="190">
        <v>0</v>
      </c>
      <c r="AI165" s="69">
        <f t="shared" si="30"/>
        <v>3</v>
      </c>
    </row>
    <row r="166" spans="1:35" s="69" customFormat="1" ht="39" x14ac:dyDescent="0.3">
      <c r="A166" s="55" t="s">
        <v>472</v>
      </c>
      <c r="B166" s="53" t="s">
        <v>473</v>
      </c>
      <c r="C166" s="54" t="s">
        <v>30</v>
      </c>
      <c r="D166" s="75">
        <v>6</v>
      </c>
      <c r="E166" s="75"/>
      <c r="F166" s="75"/>
      <c r="G166" s="75"/>
      <c r="H166" s="75" t="s">
        <v>15</v>
      </c>
      <c r="I166" s="75">
        <v>2888.64</v>
      </c>
      <c r="J166" s="75">
        <v>17331.84</v>
      </c>
      <c r="K166" s="137" t="s">
        <v>474</v>
      </c>
      <c r="L166" s="73"/>
      <c r="M166" s="46">
        <v>0</v>
      </c>
      <c r="N166" s="46">
        <v>0</v>
      </c>
      <c r="O166" s="46">
        <v>0</v>
      </c>
      <c r="P166" s="98"/>
      <c r="Q166" s="23" t="s">
        <v>1442</v>
      </c>
      <c r="R166" s="24" t="s">
        <v>473</v>
      </c>
      <c r="S166" s="25" t="s">
        <v>30</v>
      </c>
      <c r="T166" s="26">
        <v>6</v>
      </c>
      <c r="U166" s="26">
        <v>6</v>
      </c>
      <c r="V166" s="26">
        <f t="shared" si="19"/>
        <v>2888.64</v>
      </c>
      <c r="W166" s="26">
        <f t="shared" si="23"/>
        <v>0</v>
      </c>
      <c r="X166" s="26">
        <f t="shared" si="24"/>
        <v>0</v>
      </c>
      <c r="Y166" s="26">
        <f t="shared" si="25"/>
        <v>0</v>
      </c>
      <c r="Z166" s="26">
        <f t="shared" si="27"/>
        <v>0</v>
      </c>
      <c r="AA166" s="33" t="s">
        <v>15</v>
      </c>
      <c r="AB166" s="36" t="s">
        <v>16</v>
      </c>
      <c r="AC166" s="181">
        <f t="shared" si="28"/>
        <v>6</v>
      </c>
      <c r="AD166" s="181">
        <f t="shared" si="26"/>
        <v>17331.84</v>
      </c>
      <c r="AE166" s="181">
        <v>1.3</v>
      </c>
      <c r="AF166" s="181">
        <v>1.3</v>
      </c>
      <c r="AG166" s="101" t="str">
        <f t="shared" si="29"/>
        <v/>
      </c>
      <c r="AH166" s="190">
        <v>0</v>
      </c>
      <c r="AI166" s="69">
        <f t="shared" si="30"/>
        <v>6</v>
      </c>
    </row>
    <row r="167" spans="1:35" s="69" customFormat="1" ht="58.5" x14ac:dyDescent="0.3">
      <c r="A167" s="130" t="s">
        <v>475</v>
      </c>
      <c r="B167" s="131" t="s">
        <v>476</v>
      </c>
      <c r="C167" s="132" t="s">
        <v>14</v>
      </c>
      <c r="D167" s="133">
        <v>1</v>
      </c>
      <c r="E167" s="75"/>
      <c r="F167" s="75"/>
      <c r="G167" s="75"/>
      <c r="H167" s="75" t="s">
        <v>15</v>
      </c>
      <c r="I167" s="75">
        <v>430876.81</v>
      </c>
      <c r="J167" s="75">
        <v>430876.81</v>
      </c>
      <c r="K167" s="137" t="s">
        <v>477</v>
      </c>
      <c r="L167" s="73"/>
      <c r="M167" s="46">
        <v>1</v>
      </c>
      <c r="N167" s="46">
        <v>0</v>
      </c>
      <c r="O167" s="46">
        <v>430876.81</v>
      </c>
      <c r="P167" s="98"/>
      <c r="Q167" s="23" t="s">
        <v>1443</v>
      </c>
      <c r="R167" s="24" t="s">
        <v>476</v>
      </c>
      <c r="S167" s="25" t="s">
        <v>14</v>
      </c>
      <c r="T167" s="26">
        <v>1</v>
      </c>
      <c r="U167" s="26">
        <v>1</v>
      </c>
      <c r="V167" s="26">
        <f t="shared" ref="V167:V176" si="31">I167</f>
        <v>430876.81</v>
      </c>
      <c r="W167" s="127">
        <f t="shared" si="23"/>
        <v>0</v>
      </c>
      <c r="X167" s="127">
        <f t="shared" si="24"/>
        <v>1</v>
      </c>
      <c r="Y167" s="127">
        <f t="shared" si="25"/>
        <v>0</v>
      </c>
      <c r="Z167" s="127">
        <f t="shared" si="27"/>
        <v>430876.81</v>
      </c>
      <c r="AA167" s="33" t="s">
        <v>15</v>
      </c>
      <c r="AB167" s="36" t="s">
        <v>16</v>
      </c>
      <c r="AC167" s="181">
        <f t="shared" si="28"/>
        <v>1</v>
      </c>
      <c r="AD167" s="181">
        <f t="shared" si="26"/>
        <v>430876.81</v>
      </c>
      <c r="AE167" s="181">
        <v>1.3</v>
      </c>
      <c r="AF167" s="181">
        <v>1.3</v>
      </c>
      <c r="AG167" s="101" t="str">
        <f t="shared" si="29"/>
        <v/>
      </c>
      <c r="AH167" s="191">
        <v>1</v>
      </c>
      <c r="AI167" s="69">
        <f t="shared" si="30"/>
        <v>1</v>
      </c>
    </row>
    <row r="168" spans="1:35" s="69" customFormat="1" ht="39" x14ac:dyDescent="0.3">
      <c r="A168" s="130" t="s">
        <v>478</v>
      </c>
      <c r="B168" s="131" t="s">
        <v>479</v>
      </c>
      <c r="C168" s="132" t="s">
        <v>81</v>
      </c>
      <c r="D168" s="133">
        <v>1</v>
      </c>
      <c r="E168" s="75"/>
      <c r="F168" s="75"/>
      <c r="G168" s="75"/>
      <c r="H168" s="75" t="s">
        <v>15</v>
      </c>
      <c r="I168" s="75">
        <v>29563.21</v>
      </c>
      <c r="J168" s="75">
        <v>29563.21</v>
      </c>
      <c r="K168" s="137" t="s">
        <v>480</v>
      </c>
      <c r="L168" s="73"/>
      <c r="M168" s="46">
        <v>1</v>
      </c>
      <c r="N168" s="46">
        <v>0</v>
      </c>
      <c r="O168" s="46">
        <v>29563.21</v>
      </c>
      <c r="P168" s="98"/>
      <c r="Q168" s="23" t="s">
        <v>1444</v>
      </c>
      <c r="R168" s="24" t="s">
        <v>479</v>
      </c>
      <c r="S168" s="25" t="s">
        <v>81</v>
      </c>
      <c r="T168" s="26">
        <v>1</v>
      </c>
      <c r="U168" s="26">
        <v>1</v>
      </c>
      <c r="V168" s="26">
        <f t="shared" si="31"/>
        <v>29563.21</v>
      </c>
      <c r="W168" s="127">
        <f t="shared" si="23"/>
        <v>0</v>
      </c>
      <c r="X168" s="127">
        <f t="shared" si="24"/>
        <v>1</v>
      </c>
      <c r="Y168" s="127">
        <f t="shared" si="25"/>
        <v>0</v>
      </c>
      <c r="Z168" s="127">
        <f t="shared" si="27"/>
        <v>29563.21</v>
      </c>
      <c r="AA168" s="33" t="s">
        <v>15</v>
      </c>
      <c r="AB168" s="36" t="s">
        <v>16</v>
      </c>
      <c r="AC168" s="181">
        <f t="shared" si="28"/>
        <v>1</v>
      </c>
      <c r="AD168" s="181">
        <f t="shared" si="26"/>
        <v>29563.21</v>
      </c>
      <c r="AE168" s="181">
        <v>1.3</v>
      </c>
      <c r="AF168" s="181">
        <v>1.3</v>
      </c>
      <c r="AG168" s="101" t="str">
        <f t="shared" si="29"/>
        <v/>
      </c>
      <c r="AH168" s="194">
        <v>1</v>
      </c>
      <c r="AI168" s="69">
        <f t="shared" si="30"/>
        <v>1</v>
      </c>
    </row>
    <row r="169" spans="1:35" s="69" customFormat="1" ht="33" x14ac:dyDescent="0.3">
      <c r="A169" s="130" t="s">
        <v>481</v>
      </c>
      <c r="B169" s="131" t="s">
        <v>482</v>
      </c>
      <c r="C169" s="132" t="s">
        <v>81</v>
      </c>
      <c r="D169" s="133">
        <v>1</v>
      </c>
      <c r="E169" s="75"/>
      <c r="F169" s="75"/>
      <c r="G169" s="75"/>
      <c r="H169" s="75" t="s">
        <v>15</v>
      </c>
      <c r="I169" s="75">
        <v>1061152.75</v>
      </c>
      <c r="J169" s="75">
        <v>1061152.75</v>
      </c>
      <c r="K169" s="137" t="s">
        <v>483</v>
      </c>
      <c r="L169" s="73"/>
      <c r="M169" s="46">
        <v>1</v>
      </c>
      <c r="N169" s="46">
        <v>0</v>
      </c>
      <c r="O169" s="46">
        <v>1061152.75</v>
      </c>
      <c r="P169" s="98"/>
      <c r="Q169" s="23" t="s">
        <v>1408</v>
      </c>
      <c r="R169" s="24" t="s">
        <v>482</v>
      </c>
      <c r="S169" s="25" t="s">
        <v>81</v>
      </c>
      <c r="T169" s="26">
        <v>1</v>
      </c>
      <c r="U169" s="26">
        <v>1</v>
      </c>
      <c r="V169" s="26">
        <f t="shared" si="31"/>
        <v>1061152.75</v>
      </c>
      <c r="W169" s="127">
        <f t="shared" si="23"/>
        <v>0</v>
      </c>
      <c r="X169" s="127">
        <f t="shared" si="24"/>
        <v>1</v>
      </c>
      <c r="Y169" s="127">
        <f t="shared" si="25"/>
        <v>0</v>
      </c>
      <c r="Z169" s="127">
        <f t="shared" si="27"/>
        <v>1061152.75</v>
      </c>
      <c r="AA169" s="33" t="s">
        <v>15</v>
      </c>
      <c r="AB169" s="36" t="s">
        <v>16</v>
      </c>
      <c r="AC169" s="181">
        <f t="shared" si="28"/>
        <v>1</v>
      </c>
      <c r="AD169" s="181">
        <f t="shared" si="26"/>
        <v>1061152.75</v>
      </c>
      <c r="AE169" s="181">
        <v>1.3</v>
      </c>
      <c r="AF169" s="181">
        <v>1.3</v>
      </c>
      <c r="AG169" s="101" t="str">
        <f t="shared" si="29"/>
        <v/>
      </c>
      <c r="AH169" s="191">
        <v>1</v>
      </c>
      <c r="AI169" s="69">
        <f t="shared" si="30"/>
        <v>1</v>
      </c>
    </row>
    <row r="170" spans="1:35" s="69" customFormat="1" ht="33" x14ac:dyDescent="0.3">
      <c r="A170" s="130" t="s">
        <v>484</v>
      </c>
      <c r="B170" s="131" t="s">
        <v>485</v>
      </c>
      <c r="C170" s="132" t="s">
        <v>81</v>
      </c>
      <c r="D170" s="133">
        <v>1</v>
      </c>
      <c r="E170" s="75"/>
      <c r="F170" s="75"/>
      <c r="G170" s="75"/>
      <c r="H170" s="75" t="s">
        <v>15</v>
      </c>
      <c r="I170" s="75">
        <v>2431046.88</v>
      </c>
      <c r="J170" s="75">
        <v>2431046.88</v>
      </c>
      <c r="K170" s="137" t="s">
        <v>486</v>
      </c>
      <c r="L170" s="73"/>
      <c r="M170" s="46">
        <v>1</v>
      </c>
      <c r="N170" s="46">
        <v>0</v>
      </c>
      <c r="O170" s="46">
        <v>2431046.88</v>
      </c>
      <c r="P170" s="98"/>
      <c r="Q170" s="23" t="s">
        <v>1409</v>
      </c>
      <c r="R170" s="24" t="s">
        <v>485</v>
      </c>
      <c r="S170" s="25" t="s">
        <v>81</v>
      </c>
      <c r="T170" s="26">
        <v>1</v>
      </c>
      <c r="U170" s="26">
        <v>1</v>
      </c>
      <c r="V170" s="26">
        <f t="shared" si="31"/>
        <v>2431046.88</v>
      </c>
      <c r="W170" s="127">
        <f t="shared" si="23"/>
        <v>0</v>
      </c>
      <c r="X170" s="127">
        <f t="shared" si="24"/>
        <v>1</v>
      </c>
      <c r="Y170" s="127">
        <f t="shared" si="25"/>
        <v>0</v>
      </c>
      <c r="Z170" s="127">
        <f t="shared" si="27"/>
        <v>2431046.88</v>
      </c>
      <c r="AA170" s="33" t="s">
        <v>15</v>
      </c>
      <c r="AB170" s="36" t="s">
        <v>16</v>
      </c>
      <c r="AC170" s="181">
        <f t="shared" si="28"/>
        <v>1</v>
      </c>
      <c r="AD170" s="181">
        <f t="shared" si="26"/>
        <v>2431046.88</v>
      </c>
      <c r="AE170" s="181">
        <v>1.3</v>
      </c>
      <c r="AF170" s="181">
        <v>1.3</v>
      </c>
      <c r="AG170" s="101" t="str">
        <f t="shared" si="29"/>
        <v/>
      </c>
      <c r="AH170" s="194">
        <v>1</v>
      </c>
      <c r="AI170" s="69">
        <f t="shared" si="30"/>
        <v>1</v>
      </c>
    </row>
    <row r="171" spans="1:35" s="69" customFormat="1" ht="33" x14ac:dyDescent="0.3">
      <c r="A171" s="134" t="s">
        <v>1312</v>
      </c>
      <c r="B171" s="135" t="s">
        <v>1313</v>
      </c>
      <c r="C171" s="204" t="s">
        <v>14</v>
      </c>
      <c r="D171" s="133"/>
      <c r="E171" s="59">
        <v>1</v>
      </c>
      <c r="F171" s="77"/>
      <c r="G171" s="77"/>
      <c r="H171" s="77" t="s">
        <v>15</v>
      </c>
      <c r="I171" s="77">
        <v>87950.62</v>
      </c>
      <c r="J171" s="59">
        <v>87950.62</v>
      </c>
      <c r="K171" s="92"/>
      <c r="L171" s="73"/>
      <c r="M171" s="46">
        <v>1</v>
      </c>
      <c r="N171" s="46">
        <v>0</v>
      </c>
      <c r="O171" s="46">
        <v>87950.62</v>
      </c>
      <c r="P171" s="98"/>
      <c r="Q171" s="23" t="s">
        <v>1410</v>
      </c>
      <c r="R171" s="24" t="s">
        <v>1495</v>
      </c>
      <c r="S171" s="25" t="s">
        <v>14</v>
      </c>
      <c r="T171" s="26">
        <v>0</v>
      </c>
      <c r="U171" s="26">
        <v>1</v>
      </c>
      <c r="V171" s="26">
        <f t="shared" si="31"/>
        <v>87950.62</v>
      </c>
      <c r="W171" s="127">
        <f t="shared" si="23"/>
        <v>0</v>
      </c>
      <c r="X171" s="127">
        <f t="shared" si="24"/>
        <v>1</v>
      </c>
      <c r="Y171" s="127">
        <f t="shared" si="25"/>
        <v>0</v>
      </c>
      <c r="Z171" s="127">
        <f t="shared" si="27"/>
        <v>87950.62</v>
      </c>
      <c r="AA171" s="27"/>
      <c r="AB171" s="36" t="s">
        <v>16</v>
      </c>
      <c r="AC171" s="181">
        <f t="shared" si="28"/>
        <v>1</v>
      </c>
      <c r="AD171" s="181">
        <f t="shared" si="26"/>
        <v>87950.62</v>
      </c>
      <c r="AE171" s="181">
        <v>1.3</v>
      </c>
      <c r="AF171" s="181">
        <v>1.3</v>
      </c>
      <c r="AG171" s="101" t="str">
        <f t="shared" si="29"/>
        <v/>
      </c>
      <c r="AH171" s="190">
        <v>1</v>
      </c>
      <c r="AI171" s="69">
        <f t="shared" si="30"/>
        <v>1</v>
      </c>
    </row>
    <row r="172" spans="1:35" s="69" customFormat="1" ht="33" x14ac:dyDescent="0.3">
      <c r="A172" s="134" t="s">
        <v>1314</v>
      </c>
      <c r="B172" s="135" t="s">
        <v>1315</v>
      </c>
      <c r="C172" s="204" t="s">
        <v>30</v>
      </c>
      <c r="D172" s="133"/>
      <c r="E172" s="59">
        <v>24</v>
      </c>
      <c r="F172" s="77"/>
      <c r="G172" s="77"/>
      <c r="H172" s="77" t="s">
        <v>15</v>
      </c>
      <c r="I172" s="77">
        <v>4257.93</v>
      </c>
      <c r="J172" s="59">
        <v>102190.32</v>
      </c>
      <c r="K172" s="92"/>
      <c r="L172" s="73"/>
      <c r="M172" s="46">
        <v>24</v>
      </c>
      <c r="N172" s="46">
        <v>0</v>
      </c>
      <c r="O172" s="46">
        <v>102190.32</v>
      </c>
      <c r="P172" s="98"/>
      <c r="Q172" s="23" t="s">
        <v>1411</v>
      </c>
      <c r="R172" s="24" t="s">
        <v>1496</v>
      </c>
      <c r="S172" s="25" t="s">
        <v>30</v>
      </c>
      <c r="T172" s="26">
        <v>0</v>
      </c>
      <c r="U172" s="26">
        <v>24</v>
      </c>
      <c r="V172" s="26">
        <f t="shared" si="31"/>
        <v>4257.93</v>
      </c>
      <c r="W172" s="127">
        <f t="shared" si="23"/>
        <v>0</v>
      </c>
      <c r="X172" s="127">
        <f t="shared" si="24"/>
        <v>24</v>
      </c>
      <c r="Y172" s="127">
        <f t="shared" si="25"/>
        <v>0</v>
      </c>
      <c r="Z172" s="127">
        <f t="shared" si="27"/>
        <v>102190.32</v>
      </c>
      <c r="AA172" s="27"/>
      <c r="AB172" s="36" t="s">
        <v>16</v>
      </c>
      <c r="AC172" s="181">
        <f t="shared" si="28"/>
        <v>24</v>
      </c>
      <c r="AD172" s="181">
        <f t="shared" si="26"/>
        <v>102190.32</v>
      </c>
      <c r="AE172" s="181">
        <v>1.3</v>
      </c>
      <c r="AF172" s="181">
        <v>1.3</v>
      </c>
      <c r="AG172" s="101" t="str">
        <f t="shared" si="29"/>
        <v/>
      </c>
      <c r="AH172" s="190">
        <v>24</v>
      </c>
      <c r="AI172" s="69">
        <f t="shared" si="30"/>
        <v>24</v>
      </c>
    </row>
    <row r="173" spans="1:35" s="69" customFormat="1" ht="33" x14ac:dyDescent="0.3">
      <c r="A173" s="134" t="s">
        <v>1316</v>
      </c>
      <c r="B173" s="135" t="s">
        <v>1317</v>
      </c>
      <c r="C173" s="204" t="s">
        <v>513</v>
      </c>
      <c r="D173" s="133"/>
      <c r="E173" s="59">
        <v>1</v>
      </c>
      <c r="F173" s="77"/>
      <c r="G173" s="205"/>
      <c r="H173" s="205" t="s">
        <v>15</v>
      </c>
      <c r="I173" s="77">
        <v>200835.11</v>
      </c>
      <c r="J173" s="59">
        <v>200835.11</v>
      </c>
      <c r="K173" s="92"/>
      <c r="L173" s="73"/>
      <c r="M173" s="46">
        <v>1</v>
      </c>
      <c r="N173" s="46">
        <v>0</v>
      </c>
      <c r="O173" s="46">
        <v>200835.11</v>
      </c>
      <c r="P173" s="98"/>
      <c r="Q173" s="23" t="s">
        <v>1445</v>
      </c>
      <c r="R173" s="24" t="s">
        <v>1497</v>
      </c>
      <c r="S173" s="25" t="s">
        <v>513</v>
      </c>
      <c r="T173" s="26">
        <v>0</v>
      </c>
      <c r="U173" s="26">
        <v>1</v>
      </c>
      <c r="V173" s="26">
        <f t="shared" si="31"/>
        <v>200835.11</v>
      </c>
      <c r="W173" s="127">
        <f t="shared" si="23"/>
        <v>0</v>
      </c>
      <c r="X173" s="127">
        <f t="shared" si="24"/>
        <v>1</v>
      </c>
      <c r="Y173" s="127">
        <f t="shared" si="25"/>
        <v>0</v>
      </c>
      <c r="Z173" s="127">
        <f t="shared" si="27"/>
        <v>200835.11</v>
      </c>
      <c r="AA173" s="27"/>
      <c r="AB173" s="36" t="s">
        <v>16</v>
      </c>
      <c r="AC173" s="181">
        <f t="shared" si="28"/>
        <v>1</v>
      </c>
      <c r="AD173" s="181">
        <f t="shared" si="26"/>
        <v>200835.11</v>
      </c>
      <c r="AE173" s="181">
        <v>1.3</v>
      </c>
      <c r="AF173" s="181">
        <v>1.3</v>
      </c>
      <c r="AG173" s="101" t="str">
        <f t="shared" si="29"/>
        <v/>
      </c>
      <c r="AH173" s="190">
        <v>1</v>
      </c>
      <c r="AI173" s="69">
        <f t="shared" si="30"/>
        <v>1</v>
      </c>
    </row>
    <row r="174" spans="1:35" ht="33" x14ac:dyDescent="0.3">
      <c r="A174" s="134" t="s">
        <v>1318</v>
      </c>
      <c r="B174" s="135" t="s">
        <v>1319</v>
      </c>
      <c r="C174" s="204" t="s">
        <v>412</v>
      </c>
      <c r="D174" s="133"/>
      <c r="E174" s="78"/>
      <c r="F174" s="116">
        <v>150400</v>
      </c>
      <c r="G174" s="116"/>
      <c r="H174" s="116">
        <v>154935.98000000001</v>
      </c>
      <c r="I174" s="167">
        <v>16.21</v>
      </c>
      <c r="J174" s="62">
        <v>2511512.2400000002</v>
      </c>
      <c r="K174" s="93"/>
      <c r="M174" s="46">
        <v>150350.57999999999</v>
      </c>
      <c r="N174" s="46">
        <v>0</v>
      </c>
      <c r="O174" s="46">
        <v>2437182.9</v>
      </c>
      <c r="P174" s="98"/>
      <c r="Q174" s="23" t="s">
        <v>1383</v>
      </c>
      <c r="R174" s="24" t="s">
        <v>1319</v>
      </c>
      <c r="S174" s="25" t="s">
        <v>412</v>
      </c>
      <c r="T174" s="26">
        <v>0</v>
      </c>
      <c r="U174" s="26">
        <v>154935.98000000001</v>
      </c>
      <c r="V174" s="26">
        <f t="shared" si="31"/>
        <v>16.21</v>
      </c>
      <c r="W174" s="127">
        <f t="shared" si="23"/>
        <v>0</v>
      </c>
      <c r="X174" s="127">
        <f t="shared" si="24"/>
        <v>150350.57999999999</v>
      </c>
      <c r="Y174" s="127">
        <f t="shared" si="25"/>
        <v>0</v>
      </c>
      <c r="Z174" s="127">
        <f t="shared" si="27"/>
        <v>2437182.9</v>
      </c>
      <c r="AA174" s="27"/>
      <c r="AB174" s="36" t="s">
        <v>16</v>
      </c>
      <c r="AC174" s="181">
        <f t="shared" si="28"/>
        <v>154935.98000000001</v>
      </c>
      <c r="AD174" s="181">
        <f t="shared" si="26"/>
        <v>2511512.2400000002</v>
      </c>
      <c r="AE174" s="181">
        <v>1.3</v>
      </c>
      <c r="AF174" s="181">
        <v>1.3</v>
      </c>
      <c r="AG174" s="101" t="str">
        <f t="shared" si="29"/>
        <v/>
      </c>
      <c r="AH174" s="191">
        <v>150350.57999999999</v>
      </c>
      <c r="AI174" s="69">
        <f t="shared" si="30"/>
        <v>150400</v>
      </c>
    </row>
    <row r="175" spans="1:35" ht="33" x14ac:dyDescent="0.3">
      <c r="A175" s="134" t="s">
        <v>1320</v>
      </c>
      <c r="B175" s="135" t="s">
        <v>1321</v>
      </c>
      <c r="C175" s="204" t="s">
        <v>325</v>
      </c>
      <c r="D175" s="133"/>
      <c r="E175" s="78"/>
      <c r="F175" s="62">
        <v>18</v>
      </c>
      <c r="G175" s="62"/>
      <c r="H175" s="62" t="s">
        <v>15</v>
      </c>
      <c r="I175" s="167">
        <v>79588.210000000006</v>
      </c>
      <c r="J175" s="62">
        <v>1432587.78</v>
      </c>
      <c r="K175" s="93"/>
      <c r="M175" s="46">
        <v>18</v>
      </c>
      <c r="N175" s="46">
        <v>0</v>
      </c>
      <c r="O175" s="46">
        <v>1432587.78</v>
      </c>
      <c r="P175" s="98"/>
      <c r="Q175" s="23" t="s">
        <v>1384</v>
      </c>
      <c r="R175" s="24" t="s">
        <v>1321</v>
      </c>
      <c r="S175" s="25" t="s">
        <v>325</v>
      </c>
      <c r="T175" s="26">
        <v>0</v>
      </c>
      <c r="U175" s="26">
        <v>18</v>
      </c>
      <c r="V175" s="26">
        <f t="shared" si="31"/>
        <v>79588.210000000006</v>
      </c>
      <c r="W175" s="127">
        <f t="shared" si="23"/>
        <v>0</v>
      </c>
      <c r="X175" s="127">
        <f t="shared" si="24"/>
        <v>18</v>
      </c>
      <c r="Y175" s="127">
        <f t="shared" si="25"/>
        <v>0</v>
      </c>
      <c r="Z175" s="127">
        <f t="shared" si="27"/>
        <v>1432587.78</v>
      </c>
      <c r="AA175" s="27"/>
      <c r="AB175" s="36" t="s">
        <v>16</v>
      </c>
      <c r="AC175" s="181">
        <f t="shared" si="28"/>
        <v>18</v>
      </c>
      <c r="AD175" s="181">
        <f t="shared" si="26"/>
        <v>1432587.78</v>
      </c>
      <c r="AE175" s="181">
        <v>1.3</v>
      </c>
      <c r="AF175" s="181">
        <v>1.3</v>
      </c>
      <c r="AG175" s="101" t="str">
        <f t="shared" si="29"/>
        <v/>
      </c>
      <c r="AH175" s="194">
        <v>18</v>
      </c>
      <c r="AI175" s="69">
        <f t="shared" si="30"/>
        <v>18</v>
      </c>
    </row>
    <row r="176" spans="1:35" ht="39" x14ac:dyDescent="0.3">
      <c r="A176" s="134" t="s">
        <v>1322</v>
      </c>
      <c r="B176" s="135" t="s">
        <v>1323</v>
      </c>
      <c r="C176" s="204" t="s">
        <v>325</v>
      </c>
      <c r="D176" s="133"/>
      <c r="E176" s="78"/>
      <c r="F176" s="62">
        <v>2</v>
      </c>
      <c r="G176" s="62"/>
      <c r="H176" s="62">
        <v>3</v>
      </c>
      <c r="I176" s="167">
        <v>120491.2</v>
      </c>
      <c r="J176" s="62">
        <v>361473.6</v>
      </c>
      <c r="K176" s="93"/>
      <c r="M176" s="46">
        <v>3</v>
      </c>
      <c r="N176" s="46">
        <v>0</v>
      </c>
      <c r="O176" s="46">
        <v>361473.6</v>
      </c>
      <c r="P176" s="98"/>
      <c r="Q176" s="23" t="s">
        <v>1385</v>
      </c>
      <c r="R176" s="24" t="s">
        <v>1323</v>
      </c>
      <c r="S176" s="25" t="s">
        <v>325</v>
      </c>
      <c r="T176" s="26">
        <v>0</v>
      </c>
      <c r="U176" s="26">
        <v>3</v>
      </c>
      <c r="V176" s="26">
        <f t="shared" si="31"/>
        <v>120491.2</v>
      </c>
      <c r="W176" s="128">
        <f t="shared" si="23"/>
        <v>0</v>
      </c>
      <c r="X176" s="127">
        <f t="shared" si="24"/>
        <v>3</v>
      </c>
      <c r="Y176" s="127">
        <f t="shared" si="25"/>
        <v>0</v>
      </c>
      <c r="Z176" s="127">
        <f t="shared" si="27"/>
        <v>361473.6</v>
      </c>
      <c r="AA176" s="27"/>
      <c r="AB176" s="36" t="s">
        <v>16</v>
      </c>
      <c r="AC176" s="181">
        <f t="shared" si="28"/>
        <v>3</v>
      </c>
      <c r="AD176" s="181">
        <f t="shared" si="26"/>
        <v>361473.6</v>
      </c>
      <c r="AE176" s="181">
        <v>1.3</v>
      </c>
      <c r="AF176" s="181">
        <v>1.3</v>
      </c>
      <c r="AG176" s="101" t="str">
        <f t="shared" si="29"/>
        <v>超估</v>
      </c>
      <c r="AH176" s="191">
        <v>3</v>
      </c>
      <c r="AI176" s="69">
        <f t="shared" si="30"/>
        <v>2</v>
      </c>
    </row>
    <row r="177" spans="1:35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4"/>
      <c r="H177" s="84" t="s">
        <v>15</v>
      </c>
      <c r="I177" s="82"/>
      <c r="J177" s="82">
        <v>25916103.719999999</v>
      </c>
      <c r="K177" s="94" t="s">
        <v>15</v>
      </c>
      <c r="L177" s="73"/>
      <c r="M177" s="45">
        <v>1</v>
      </c>
      <c r="N177" s="45">
        <v>0</v>
      </c>
      <c r="O177" s="45">
        <v>22861804.32</v>
      </c>
      <c r="P177" s="98"/>
      <c r="Q177" s="18" t="s">
        <v>1386</v>
      </c>
      <c r="R177" s="19" t="s">
        <v>488</v>
      </c>
      <c r="S177" s="20" t="s">
        <v>14</v>
      </c>
      <c r="T177" s="21">
        <v>1</v>
      </c>
      <c r="U177" s="21"/>
      <c r="V177" s="21">
        <f>SUMIFS(AD:AD,AE:AE,AE177)</f>
        <v>25916103.719999999</v>
      </c>
      <c r="W177" s="21">
        <f t="shared" ref="W177:X177" si="32">IF(Y177=0,0,1)</f>
        <v>0</v>
      </c>
      <c r="X177" s="21">
        <f t="shared" si="32"/>
        <v>1</v>
      </c>
      <c r="Y177" s="21">
        <f>SUMIFS(Y:Y,AF:AF,AE177)</f>
        <v>0</v>
      </c>
      <c r="Z177" s="21">
        <f>SUMIFS(Z:Z,AF:AF,AE177)</f>
        <v>22861804.32</v>
      </c>
      <c r="AA177" s="22" t="s">
        <v>15</v>
      </c>
      <c r="AB177" s="43" t="s">
        <v>16</v>
      </c>
      <c r="AC177" s="181">
        <f t="shared" si="28"/>
        <v>1</v>
      </c>
      <c r="AD177" s="184"/>
      <c r="AE177" s="184">
        <v>1.4</v>
      </c>
      <c r="AF177" s="184"/>
      <c r="AG177" s="101" t="str">
        <f t="shared" si="29"/>
        <v/>
      </c>
      <c r="AH177" s="190">
        <v>1</v>
      </c>
      <c r="AI177" s="69">
        <f t="shared" si="30"/>
        <v>1</v>
      </c>
    </row>
    <row r="178" spans="1:35" s="69" customFormat="1" ht="39" x14ac:dyDescent="0.3">
      <c r="A178" s="130" t="s">
        <v>489</v>
      </c>
      <c r="B178" s="131" t="s">
        <v>392</v>
      </c>
      <c r="C178" s="132" t="s">
        <v>23</v>
      </c>
      <c r="D178" s="133">
        <v>20</v>
      </c>
      <c r="E178" s="75"/>
      <c r="F178" s="75"/>
      <c r="G178" s="75"/>
      <c r="H178" s="75" t="s">
        <v>15</v>
      </c>
      <c r="I178" s="75">
        <v>3115.13</v>
      </c>
      <c r="J178" s="75">
        <v>62302.6</v>
      </c>
      <c r="K178" s="91" t="s">
        <v>114</v>
      </c>
      <c r="L178" s="73"/>
      <c r="M178" s="46">
        <v>19.45</v>
      </c>
      <c r="N178" s="46">
        <v>0</v>
      </c>
      <c r="O178" s="46">
        <v>60589.279999999999</v>
      </c>
      <c r="P178" s="98"/>
      <c r="Q178" s="23" t="s">
        <v>1421</v>
      </c>
      <c r="R178" s="24" t="s">
        <v>392</v>
      </c>
      <c r="S178" s="25" t="s">
        <v>23</v>
      </c>
      <c r="T178" s="26">
        <v>20</v>
      </c>
      <c r="U178" s="26">
        <v>20</v>
      </c>
      <c r="V178" s="26">
        <f t="shared" ref="V178:V201" si="33">I178</f>
        <v>3115.13</v>
      </c>
      <c r="W178" s="127">
        <f t="shared" ref="W178:W201" si="34">AH178-M178</f>
        <v>0</v>
      </c>
      <c r="X178" s="127">
        <f t="shared" ref="X178:X241" si="35">W178+M178</f>
        <v>19.45</v>
      </c>
      <c r="Y178" s="127">
        <f t="shared" ref="Y178:Y201" si="36">Z178-O178</f>
        <v>0</v>
      </c>
      <c r="Z178" s="127">
        <f t="shared" si="27"/>
        <v>60589.279999999999</v>
      </c>
      <c r="AA178" s="33" t="s">
        <v>15</v>
      </c>
      <c r="AB178" s="36" t="s">
        <v>16</v>
      </c>
      <c r="AC178" s="181">
        <f t="shared" si="28"/>
        <v>20</v>
      </c>
      <c r="AD178" s="181">
        <f t="shared" ref="AD178:AD219" si="37">ROUND(V178*AC178,2)</f>
        <v>62302.6</v>
      </c>
      <c r="AE178" s="181">
        <v>1.4</v>
      </c>
      <c r="AF178" s="181">
        <v>1.4</v>
      </c>
      <c r="AG178" s="101" t="str">
        <f t="shared" si="29"/>
        <v/>
      </c>
      <c r="AH178" s="191">
        <v>19.45</v>
      </c>
      <c r="AI178" s="69">
        <f t="shared" si="30"/>
        <v>20</v>
      </c>
    </row>
    <row r="179" spans="1:35" s="69" customFormat="1" ht="39" x14ac:dyDescent="0.3">
      <c r="A179" s="130" t="s">
        <v>490</v>
      </c>
      <c r="B179" s="131" t="s">
        <v>116</v>
      </c>
      <c r="C179" s="132" t="s">
        <v>23</v>
      </c>
      <c r="D179" s="133">
        <v>354</v>
      </c>
      <c r="E179" s="75"/>
      <c r="F179" s="75"/>
      <c r="G179" s="75"/>
      <c r="H179" s="75" t="s">
        <v>15</v>
      </c>
      <c r="I179" s="75">
        <v>3321.13</v>
      </c>
      <c r="J179" s="75">
        <v>1175680.02</v>
      </c>
      <c r="K179" s="91" t="s">
        <v>117</v>
      </c>
      <c r="L179" s="73"/>
      <c r="M179" s="46">
        <v>326.60000000000002</v>
      </c>
      <c r="N179" s="46">
        <v>0</v>
      </c>
      <c r="O179" s="46">
        <v>1084681.06</v>
      </c>
      <c r="P179" s="98"/>
      <c r="Q179" s="23" t="s">
        <v>1426</v>
      </c>
      <c r="R179" s="24" t="s">
        <v>116</v>
      </c>
      <c r="S179" s="25" t="s">
        <v>23</v>
      </c>
      <c r="T179" s="26">
        <v>354</v>
      </c>
      <c r="U179" s="26">
        <v>354</v>
      </c>
      <c r="V179" s="26">
        <f t="shared" si="33"/>
        <v>3321.13</v>
      </c>
      <c r="W179" s="127">
        <f t="shared" si="34"/>
        <v>0</v>
      </c>
      <c r="X179" s="127">
        <f t="shared" si="35"/>
        <v>326.60000000000002</v>
      </c>
      <c r="Y179" s="127">
        <f t="shared" si="36"/>
        <v>0</v>
      </c>
      <c r="Z179" s="127">
        <f t="shared" si="27"/>
        <v>1084681.06</v>
      </c>
      <c r="AA179" s="33" t="s">
        <v>15</v>
      </c>
      <c r="AB179" s="36" t="s">
        <v>16</v>
      </c>
      <c r="AC179" s="181">
        <f t="shared" si="28"/>
        <v>354</v>
      </c>
      <c r="AD179" s="181">
        <f t="shared" si="37"/>
        <v>1175680.02</v>
      </c>
      <c r="AE179" s="181">
        <v>1.4</v>
      </c>
      <c r="AF179" s="181">
        <v>1.4</v>
      </c>
      <c r="AG179" s="101" t="str">
        <f t="shared" si="29"/>
        <v/>
      </c>
      <c r="AH179" s="191">
        <v>326.60000000000002</v>
      </c>
      <c r="AI179" s="69">
        <f t="shared" si="30"/>
        <v>354</v>
      </c>
    </row>
    <row r="180" spans="1:35" s="69" customFormat="1" ht="39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203"/>
      <c r="F180" s="203"/>
      <c r="G180" s="203"/>
      <c r="H180" s="203" t="s">
        <v>15</v>
      </c>
      <c r="I180" s="75">
        <v>3643.73</v>
      </c>
      <c r="J180" s="75">
        <v>0</v>
      </c>
      <c r="K180" s="91" t="s">
        <v>396</v>
      </c>
      <c r="L180" s="73"/>
      <c r="M180" s="46">
        <v>0</v>
      </c>
      <c r="N180" s="46">
        <v>0</v>
      </c>
      <c r="O180" s="46">
        <v>0</v>
      </c>
      <c r="P180" s="98"/>
      <c r="Q180" s="23" t="s">
        <v>1402</v>
      </c>
      <c r="R180" s="24" t="s">
        <v>395</v>
      </c>
      <c r="S180" s="25" t="s">
        <v>23</v>
      </c>
      <c r="T180" s="26">
        <v>690</v>
      </c>
      <c r="U180" s="26">
        <v>0</v>
      </c>
      <c r="V180" s="26">
        <f t="shared" si="33"/>
        <v>3643.73</v>
      </c>
      <c r="W180" s="127">
        <f t="shared" si="34"/>
        <v>0</v>
      </c>
      <c r="X180" s="127">
        <f t="shared" si="35"/>
        <v>0</v>
      </c>
      <c r="Y180" s="127">
        <f t="shared" si="36"/>
        <v>0</v>
      </c>
      <c r="Z180" s="127">
        <f t="shared" si="27"/>
        <v>0</v>
      </c>
      <c r="AA180" s="33" t="s">
        <v>15</v>
      </c>
      <c r="AB180" s="36" t="s">
        <v>16</v>
      </c>
      <c r="AC180" s="181">
        <f t="shared" si="28"/>
        <v>0</v>
      </c>
      <c r="AD180" s="181">
        <f t="shared" si="37"/>
        <v>0</v>
      </c>
      <c r="AE180" s="181">
        <v>1.4</v>
      </c>
      <c r="AF180" s="181">
        <v>1.4</v>
      </c>
      <c r="AG180" s="101" t="str">
        <f t="shared" si="29"/>
        <v/>
      </c>
      <c r="AH180" s="194">
        <v>0</v>
      </c>
      <c r="AI180" s="69">
        <f t="shared" si="30"/>
        <v>690</v>
      </c>
    </row>
    <row r="181" spans="1:35" s="69" customFormat="1" ht="33" customHeight="1" x14ac:dyDescent="0.3">
      <c r="A181" s="130" t="s">
        <v>492</v>
      </c>
      <c r="B181" s="131" t="s">
        <v>493</v>
      </c>
      <c r="C181" s="132" t="s">
        <v>23</v>
      </c>
      <c r="D181" s="133">
        <v>1065</v>
      </c>
      <c r="E181" s="203"/>
      <c r="F181" s="203"/>
      <c r="G181" s="203"/>
      <c r="H181" s="203">
        <v>1900.83</v>
      </c>
      <c r="I181" s="75">
        <v>200</v>
      </c>
      <c r="J181" s="75">
        <v>380166</v>
      </c>
      <c r="K181" s="91" t="s">
        <v>494</v>
      </c>
      <c r="L181" s="73"/>
      <c r="M181" s="46">
        <v>1815.71</v>
      </c>
      <c r="N181" s="46">
        <v>0</v>
      </c>
      <c r="O181" s="46">
        <v>363142</v>
      </c>
      <c r="P181" s="98"/>
      <c r="Q181" s="23" t="s">
        <v>1373</v>
      </c>
      <c r="R181" s="24" t="s">
        <v>493</v>
      </c>
      <c r="S181" s="25" t="s">
        <v>23</v>
      </c>
      <c r="T181" s="26">
        <v>1065</v>
      </c>
      <c r="U181" s="26">
        <v>1900.83</v>
      </c>
      <c r="V181" s="26">
        <f t="shared" si="33"/>
        <v>200</v>
      </c>
      <c r="W181" s="128">
        <f>AH181-M181</f>
        <v>0</v>
      </c>
      <c r="X181" s="127">
        <f t="shared" si="35"/>
        <v>1815.71</v>
      </c>
      <c r="Y181" s="127">
        <f t="shared" si="36"/>
        <v>0</v>
      </c>
      <c r="Z181" s="127">
        <f t="shared" si="27"/>
        <v>363142</v>
      </c>
      <c r="AA181" s="33" t="s">
        <v>15</v>
      </c>
      <c r="AB181" s="36" t="s">
        <v>16</v>
      </c>
      <c r="AC181" s="181">
        <f t="shared" si="28"/>
        <v>1900.83</v>
      </c>
      <c r="AD181" s="181">
        <f t="shared" si="37"/>
        <v>380166</v>
      </c>
      <c r="AE181" s="181">
        <v>1.4</v>
      </c>
      <c r="AF181" s="181">
        <v>1.4</v>
      </c>
      <c r="AG181" s="101" t="str">
        <f t="shared" si="29"/>
        <v>超估</v>
      </c>
      <c r="AH181" s="191">
        <v>1815.71</v>
      </c>
      <c r="AI181" s="69">
        <f t="shared" si="30"/>
        <v>1065</v>
      </c>
    </row>
    <row r="182" spans="1:35" s="69" customFormat="1" ht="57.75" x14ac:dyDescent="0.3">
      <c r="A182" s="130" t="s">
        <v>495</v>
      </c>
      <c r="B182" s="131" t="s">
        <v>405</v>
      </c>
      <c r="C182" s="132" t="s">
        <v>50</v>
      </c>
      <c r="D182" s="133">
        <v>1229</v>
      </c>
      <c r="E182" s="203"/>
      <c r="F182" s="203"/>
      <c r="G182" s="203"/>
      <c r="H182" s="203">
        <v>1437.49</v>
      </c>
      <c r="I182" s="75">
        <v>982.98</v>
      </c>
      <c r="J182" s="75">
        <v>1413023.92</v>
      </c>
      <c r="K182" s="91" t="s">
        <v>406</v>
      </c>
      <c r="L182" s="73"/>
      <c r="M182" s="46">
        <v>1349</v>
      </c>
      <c r="N182" s="46">
        <v>0</v>
      </c>
      <c r="O182" s="46">
        <v>1326040.02</v>
      </c>
      <c r="P182" s="98"/>
      <c r="Q182" s="23" t="s">
        <v>1393</v>
      </c>
      <c r="R182" s="24" t="s">
        <v>405</v>
      </c>
      <c r="S182" s="25" t="s">
        <v>50</v>
      </c>
      <c r="T182" s="26">
        <v>1229</v>
      </c>
      <c r="U182" s="26">
        <v>1437.49</v>
      </c>
      <c r="V182" s="26">
        <f t="shared" si="33"/>
        <v>982.98</v>
      </c>
      <c r="W182" s="128">
        <f t="shared" si="34"/>
        <v>0</v>
      </c>
      <c r="X182" s="127">
        <f t="shared" si="35"/>
        <v>1349</v>
      </c>
      <c r="Y182" s="127">
        <f t="shared" si="36"/>
        <v>0</v>
      </c>
      <c r="Z182" s="127">
        <f t="shared" si="27"/>
        <v>1326040.02</v>
      </c>
      <c r="AA182" s="33" t="s">
        <v>15</v>
      </c>
      <c r="AB182" s="36" t="s">
        <v>16</v>
      </c>
      <c r="AC182" s="181">
        <f t="shared" si="28"/>
        <v>1437.49</v>
      </c>
      <c r="AD182" s="181">
        <f t="shared" si="37"/>
        <v>1413023.92</v>
      </c>
      <c r="AE182" s="181">
        <v>1.4</v>
      </c>
      <c r="AF182" s="181">
        <v>1.4</v>
      </c>
      <c r="AG182" s="101" t="str">
        <f t="shared" si="29"/>
        <v>超估</v>
      </c>
      <c r="AH182" s="191">
        <v>1349</v>
      </c>
      <c r="AI182" s="69">
        <f t="shared" si="30"/>
        <v>1229</v>
      </c>
    </row>
    <row r="183" spans="1:35" s="69" customFormat="1" ht="41.25" x14ac:dyDescent="0.3">
      <c r="A183" s="130" t="s">
        <v>496</v>
      </c>
      <c r="B183" s="131" t="s">
        <v>408</v>
      </c>
      <c r="C183" s="132" t="s">
        <v>50</v>
      </c>
      <c r="D183" s="133">
        <v>285</v>
      </c>
      <c r="E183" s="203"/>
      <c r="F183" s="203"/>
      <c r="G183" s="203"/>
      <c r="H183" s="203">
        <v>685.45</v>
      </c>
      <c r="I183" s="75">
        <v>804.79</v>
      </c>
      <c r="J183" s="75">
        <v>551643.31000000006</v>
      </c>
      <c r="K183" s="91" t="s">
        <v>409</v>
      </c>
      <c r="L183" s="73"/>
      <c r="M183" s="46">
        <v>551</v>
      </c>
      <c r="N183" s="46">
        <v>0</v>
      </c>
      <c r="O183" s="46">
        <v>443439.29</v>
      </c>
      <c r="P183" s="98"/>
      <c r="Q183" s="23" t="s">
        <v>1403</v>
      </c>
      <c r="R183" s="24" t="s">
        <v>408</v>
      </c>
      <c r="S183" s="25" t="s">
        <v>50</v>
      </c>
      <c r="T183" s="26">
        <v>285</v>
      </c>
      <c r="U183" s="26">
        <v>685.45</v>
      </c>
      <c r="V183" s="26">
        <f t="shared" si="33"/>
        <v>804.79</v>
      </c>
      <c r="W183" s="243">
        <f t="shared" si="34"/>
        <v>0</v>
      </c>
      <c r="X183" s="209">
        <f t="shared" si="35"/>
        <v>551</v>
      </c>
      <c r="Y183" s="127">
        <f t="shared" si="36"/>
        <v>0</v>
      </c>
      <c r="Z183" s="127">
        <f t="shared" si="27"/>
        <v>443439.29</v>
      </c>
      <c r="AA183" s="33" t="s">
        <v>15</v>
      </c>
      <c r="AB183" s="36" t="s">
        <v>16</v>
      </c>
      <c r="AC183" s="181">
        <f t="shared" si="28"/>
        <v>685.45</v>
      </c>
      <c r="AD183" s="181">
        <f t="shared" si="37"/>
        <v>551643.31000000006</v>
      </c>
      <c r="AE183" s="181">
        <v>1.4</v>
      </c>
      <c r="AF183" s="181">
        <v>1.4</v>
      </c>
      <c r="AG183" s="101" t="str">
        <f t="shared" si="29"/>
        <v>超估</v>
      </c>
      <c r="AH183" s="191">
        <v>551</v>
      </c>
      <c r="AI183" s="69">
        <f t="shared" si="30"/>
        <v>285</v>
      </c>
    </row>
    <row r="184" spans="1:35" s="69" customFormat="1" ht="33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203"/>
      <c r="F184" s="203"/>
      <c r="G184" s="203"/>
      <c r="H184" s="203">
        <v>18482.54</v>
      </c>
      <c r="I184" s="75">
        <v>36.4</v>
      </c>
      <c r="J184" s="75">
        <v>672764.46</v>
      </c>
      <c r="K184" s="91" t="s">
        <v>111</v>
      </c>
      <c r="L184" s="73"/>
      <c r="M184" s="46">
        <v>13110.94</v>
      </c>
      <c r="N184" s="46">
        <v>0</v>
      </c>
      <c r="O184" s="46">
        <v>477238.22</v>
      </c>
      <c r="P184" s="98"/>
      <c r="Q184" s="23" t="s">
        <v>1427</v>
      </c>
      <c r="R184" s="24" t="s">
        <v>109</v>
      </c>
      <c r="S184" s="25" t="s">
        <v>110</v>
      </c>
      <c r="T184" s="26">
        <v>13716</v>
      </c>
      <c r="U184" s="26">
        <v>18482.54</v>
      </c>
      <c r="V184" s="26">
        <f t="shared" si="33"/>
        <v>36.4</v>
      </c>
      <c r="W184" s="128">
        <f t="shared" si="34"/>
        <v>0</v>
      </c>
      <c r="X184" s="127">
        <f t="shared" si="35"/>
        <v>13110.94</v>
      </c>
      <c r="Y184" s="127">
        <f t="shared" si="36"/>
        <v>0</v>
      </c>
      <c r="Z184" s="127">
        <f t="shared" si="27"/>
        <v>477238.22</v>
      </c>
      <c r="AA184" s="33" t="s">
        <v>15</v>
      </c>
      <c r="AB184" s="36" t="s">
        <v>16</v>
      </c>
      <c r="AC184" s="181">
        <f t="shared" si="28"/>
        <v>18482.54</v>
      </c>
      <c r="AD184" s="181">
        <f t="shared" si="37"/>
        <v>672764.46</v>
      </c>
      <c r="AE184" s="181">
        <v>1.4</v>
      </c>
      <c r="AF184" s="181">
        <v>1.4</v>
      </c>
      <c r="AG184" s="101" t="str">
        <f t="shared" si="29"/>
        <v/>
      </c>
      <c r="AH184" s="191">
        <v>13110.94</v>
      </c>
      <c r="AI184" s="69">
        <f t="shared" si="30"/>
        <v>13716</v>
      </c>
    </row>
    <row r="185" spans="1:35" s="69" customFormat="1" ht="39" x14ac:dyDescent="0.3">
      <c r="A185" s="130" t="s">
        <v>498</v>
      </c>
      <c r="B185" s="131" t="s">
        <v>399</v>
      </c>
      <c r="C185" s="132" t="s">
        <v>110</v>
      </c>
      <c r="D185" s="133">
        <v>13810</v>
      </c>
      <c r="E185" s="203"/>
      <c r="F185" s="203"/>
      <c r="G185" s="203"/>
      <c r="H185" s="203">
        <v>36577.19</v>
      </c>
      <c r="I185" s="75">
        <v>38.71</v>
      </c>
      <c r="J185" s="75">
        <v>1415903.02</v>
      </c>
      <c r="K185" s="91" t="s">
        <v>400</v>
      </c>
      <c r="L185" s="73"/>
      <c r="M185" s="46">
        <v>28173</v>
      </c>
      <c r="N185" s="46">
        <v>0</v>
      </c>
      <c r="O185" s="46">
        <v>1090576.83</v>
      </c>
      <c r="P185" s="98"/>
      <c r="Q185" s="23" t="s">
        <v>1428</v>
      </c>
      <c r="R185" s="24" t="s">
        <v>399</v>
      </c>
      <c r="S185" s="25" t="s">
        <v>110</v>
      </c>
      <c r="T185" s="26">
        <v>13810</v>
      </c>
      <c r="U185" s="26">
        <v>36577.19</v>
      </c>
      <c r="V185" s="26">
        <f t="shared" si="33"/>
        <v>38.71</v>
      </c>
      <c r="W185" s="128">
        <f t="shared" si="34"/>
        <v>0</v>
      </c>
      <c r="X185" s="127">
        <f t="shared" si="35"/>
        <v>28173</v>
      </c>
      <c r="Y185" s="127">
        <f t="shared" si="36"/>
        <v>0</v>
      </c>
      <c r="Z185" s="127">
        <f t="shared" si="27"/>
        <v>1090576.83</v>
      </c>
      <c r="AA185" s="33" t="s">
        <v>15</v>
      </c>
      <c r="AB185" s="36" t="s">
        <v>16</v>
      </c>
      <c r="AC185" s="181">
        <f t="shared" si="28"/>
        <v>36577.19</v>
      </c>
      <c r="AD185" s="181">
        <f t="shared" si="37"/>
        <v>1415903.02</v>
      </c>
      <c r="AE185" s="181">
        <v>1.4</v>
      </c>
      <c r="AF185" s="181">
        <v>1.4</v>
      </c>
      <c r="AG185" s="101" t="str">
        <f t="shared" si="29"/>
        <v>超估</v>
      </c>
      <c r="AH185" s="191">
        <v>28173</v>
      </c>
      <c r="AI185" s="69">
        <f t="shared" si="30"/>
        <v>13810</v>
      </c>
    </row>
    <row r="186" spans="1:35" s="69" customFormat="1" ht="33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203"/>
      <c r="F186" s="203">
        <v>754.47</v>
      </c>
      <c r="G186" s="203"/>
      <c r="H186" s="203">
        <v>762.55</v>
      </c>
      <c r="I186" s="75">
        <v>2510.79</v>
      </c>
      <c r="J186" s="75">
        <v>1914602.91</v>
      </c>
      <c r="K186" s="91" t="s">
        <v>501</v>
      </c>
      <c r="L186" s="73"/>
      <c r="M186" s="46">
        <v>754.3</v>
      </c>
      <c r="N186" s="46">
        <v>0</v>
      </c>
      <c r="O186" s="46">
        <v>1893888.9</v>
      </c>
      <c r="P186" s="98"/>
      <c r="Q186" s="23" t="s">
        <v>1387</v>
      </c>
      <c r="R186" s="24" t="s">
        <v>500</v>
      </c>
      <c r="S186" s="25" t="s">
        <v>50</v>
      </c>
      <c r="T186" s="26">
        <v>699</v>
      </c>
      <c r="U186" s="26">
        <v>762.55</v>
      </c>
      <c r="V186" s="26">
        <f t="shared" si="33"/>
        <v>2510.79</v>
      </c>
      <c r="W186" s="128">
        <f t="shared" si="34"/>
        <v>0</v>
      </c>
      <c r="X186" s="127">
        <f t="shared" si="35"/>
        <v>754.3</v>
      </c>
      <c r="Y186" s="127">
        <f t="shared" si="36"/>
        <v>0</v>
      </c>
      <c r="Z186" s="127">
        <f t="shared" si="27"/>
        <v>1893888.9</v>
      </c>
      <c r="AA186" s="27"/>
      <c r="AB186" s="36" t="s">
        <v>16</v>
      </c>
      <c r="AC186" s="181">
        <f t="shared" si="28"/>
        <v>762.55</v>
      </c>
      <c r="AD186" s="181">
        <f t="shared" si="37"/>
        <v>1914602.91</v>
      </c>
      <c r="AE186" s="181">
        <v>1.4</v>
      </c>
      <c r="AF186" s="181">
        <v>1.4</v>
      </c>
      <c r="AG186" s="101" t="str">
        <f t="shared" si="29"/>
        <v/>
      </c>
      <c r="AH186" s="191">
        <v>754.3</v>
      </c>
      <c r="AI186" s="69">
        <f t="shared" si="30"/>
        <v>754.47</v>
      </c>
    </row>
    <row r="187" spans="1:35" s="69" customFormat="1" ht="39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203"/>
      <c r="F187" s="203"/>
      <c r="G187" s="203"/>
      <c r="H187" s="203">
        <v>318.56</v>
      </c>
      <c r="I187" s="75">
        <v>3298.06</v>
      </c>
      <c r="J187" s="75">
        <v>1050629.99</v>
      </c>
      <c r="K187" s="91" t="s">
        <v>504</v>
      </c>
      <c r="L187" s="73"/>
      <c r="M187" s="46">
        <v>304.60000000000002</v>
      </c>
      <c r="N187" s="46">
        <v>0</v>
      </c>
      <c r="O187" s="46">
        <v>1004589.08</v>
      </c>
      <c r="P187" s="98"/>
      <c r="Q187" s="23" t="s">
        <v>1405</v>
      </c>
      <c r="R187" s="24" t="s">
        <v>503</v>
      </c>
      <c r="S187" s="25" t="s">
        <v>103</v>
      </c>
      <c r="T187" s="26">
        <v>275</v>
      </c>
      <c r="U187" s="26">
        <v>318.56</v>
      </c>
      <c r="V187" s="26">
        <f t="shared" si="33"/>
        <v>3298.06</v>
      </c>
      <c r="W187" s="128">
        <f t="shared" si="34"/>
        <v>0</v>
      </c>
      <c r="X187" s="127">
        <f t="shared" si="35"/>
        <v>304.60000000000002</v>
      </c>
      <c r="Y187" s="127">
        <f t="shared" si="36"/>
        <v>0</v>
      </c>
      <c r="Z187" s="127">
        <f t="shared" si="27"/>
        <v>1004589.08</v>
      </c>
      <c r="AA187" s="33"/>
      <c r="AB187" s="36" t="s">
        <v>16</v>
      </c>
      <c r="AC187" s="181">
        <f t="shared" si="28"/>
        <v>318.56</v>
      </c>
      <c r="AD187" s="181">
        <f t="shared" si="37"/>
        <v>1050629.99</v>
      </c>
      <c r="AE187" s="181">
        <v>1.4</v>
      </c>
      <c r="AF187" s="181">
        <v>1.4</v>
      </c>
      <c r="AG187" s="101" t="str">
        <f t="shared" si="29"/>
        <v>超估</v>
      </c>
      <c r="AH187" s="191">
        <v>304.60000000000002</v>
      </c>
      <c r="AI187" s="69">
        <f t="shared" si="30"/>
        <v>275</v>
      </c>
    </row>
    <row r="188" spans="1:35" s="69" customFormat="1" ht="39" x14ac:dyDescent="0.3">
      <c r="A188" s="130" t="s">
        <v>505</v>
      </c>
      <c r="B188" s="131" t="s">
        <v>506</v>
      </c>
      <c r="C188" s="132" t="s">
        <v>50</v>
      </c>
      <c r="D188" s="133">
        <v>203</v>
      </c>
      <c r="E188" s="75"/>
      <c r="F188" s="75"/>
      <c r="G188" s="75"/>
      <c r="H188" s="75">
        <v>418.05</v>
      </c>
      <c r="I188" s="75">
        <v>2952.19</v>
      </c>
      <c r="J188" s="75">
        <v>1234163.03</v>
      </c>
      <c r="K188" s="91" t="s">
        <v>507</v>
      </c>
      <c r="L188" s="73"/>
      <c r="M188" s="46">
        <v>392.5</v>
      </c>
      <c r="N188" s="46">
        <v>0</v>
      </c>
      <c r="O188" s="46">
        <v>1158734.58</v>
      </c>
      <c r="P188" s="98"/>
      <c r="Q188" s="23" t="s">
        <v>1406</v>
      </c>
      <c r="R188" s="24" t="s">
        <v>506</v>
      </c>
      <c r="S188" s="25" t="s">
        <v>50</v>
      </c>
      <c r="T188" s="26">
        <v>203</v>
      </c>
      <c r="U188" s="26">
        <v>418.05</v>
      </c>
      <c r="V188" s="26">
        <f t="shared" si="33"/>
        <v>2952.19</v>
      </c>
      <c r="W188" s="128">
        <f t="shared" si="34"/>
        <v>0</v>
      </c>
      <c r="X188" s="127">
        <f t="shared" si="35"/>
        <v>392.5</v>
      </c>
      <c r="Y188" s="127">
        <f t="shared" si="36"/>
        <v>0</v>
      </c>
      <c r="Z188" s="127">
        <f t="shared" si="27"/>
        <v>1158734.58</v>
      </c>
      <c r="AA188" s="33" t="s">
        <v>15</v>
      </c>
      <c r="AB188" s="36" t="s">
        <v>16</v>
      </c>
      <c r="AC188" s="181">
        <f t="shared" si="28"/>
        <v>418.05</v>
      </c>
      <c r="AD188" s="181">
        <f t="shared" si="37"/>
        <v>1234163.03</v>
      </c>
      <c r="AE188" s="181">
        <v>1.4</v>
      </c>
      <c r="AF188" s="181">
        <v>1.4</v>
      </c>
      <c r="AG188" s="101" t="str">
        <f t="shared" si="29"/>
        <v>超估</v>
      </c>
      <c r="AH188" s="191">
        <v>392.5</v>
      </c>
      <c r="AI188" s="69">
        <f t="shared" si="30"/>
        <v>203</v>
      </c>
    </row>
    <row r="189" spans="1:35" s="69" customFormat="1" ht="33" x14ac:dyDescent="0.3">
      <c r="A189" s="130" t="s">
        <v>508</v>
      </c>
      <c r="B189" s="131" t="s">
        <v>509</v>
      </c>
      <c r="C189" s="132" t="s">
        <v>50</v>
      </c>
      <c r="D189" s="133">
        <v>405</v>
      </c>
      <c r="E189" s="75"/>
      <c r="F189" s="75"/>
      <c r="G189" s="75"/>
      <c r="H189" s="75" t="s">
        <v>15</v>
      </c>
      <c r="I189" s="75">
        <v>1454.57</v>
      </c>
      <c r="J189" s="75">
        <v>589100.85</v>
      </c>
      <c r="K189" s="91" t="s">
        <v>510</v>
      </c>
      <c r="L189" s="73"/>
      <c r="M189" s="46">
        <v>405</v>
      </c>
      <c r="N189" s="46">
        <v>0</v>
      </c>
      <c r="O189" s="46">
        <v>589100.85</v>
      </c>
      <c r="P189" s="98"/>
      <c r="Q189" s="23" t="s">
        <v>1414</v>
      </c>
      <c r="R189" s="24" t="s">
        <v>509</v>
      </c>
      <c r="S189" s="25" t="s">
        <v>50</v>
      </c>
      <c r="T189" s="26">
        <v>405</v>
      </c>
      <c r="U189" s="26">
        <v>405</v>
      </c>
      <c r="V189" s="26">
        <f t="shared" si="33"/>
        <v>1454.57</v>
      </c>
      <c r="W189" s="127">
        <f t="shared" si="34"/>
        <v>0</v>
      </c>
      <c r="X189" s="127">
        <f t="shared" si="35"/>
        <v>405</v>
      </c>
      <c r="Y189" s="127">
        <f t="shared" si="36"/>
        <v>0</v>
      </c>
      <c r="Z189" s="127">
        <f t="shared" si="27"/>
        <v>589100.85</v>
      </c>
      <c r="AA189" s="33" t="s">
        <v>15</v>
      </c>
      <c r="AB189" s="36" t="s">
        <v>16</v>
      </c>
      <c r="AC189" s="181">
        <f t="shared" si="28"/>
        <v>405</v>
      </c>
      <c r="AD189" s="181">
        <f t="shared" si="37"/>
        <v>589100.85</v>
      </c>
      <c r="AE189" s="181">
        <v>1.4</v>
      </c>
      <c r="AF189" s="181">
        <v>1.4</v>
      </c>
      <c r="AG189" s="101" t="str">
        <f t="shared" si="29"/>
        <v/>
      </c>
      <c r="AH189" s="194">
        <v>405</v>
      </c>
      <c r="AI189" s="69">
        <f t="shared" si="30"/>
        <v>405</v>
      </c>
    </row>
    <row r="190" spans="1:35" s="69" customFormat="1" ht="58.5" x14ac:dyDescent="0.3">
      <c r="A190" s="130" t="s">
        <v>511</v>
      </c>
      <c r="B190" s="131" t="s">
        <v>512</v>
      </c>
      <c r="C190" s="132" t="s">
        <v>513</v>
      </c>
      <c r="D190" s="133">
        <v>372</v>
      </c>
      <c r="E190" s="75"/>
      <c r="F190" s="75"/>
      <c r="G190" s="75"/>
      <c r="H190" s="75" t="s">
        <v>15</v>
      </c>
      <c r="I190" s="75">
        <v>435</v>
      </c>
      <c r="J190" s="75">
        <v>161820</v>
      </c>
      <c r="K190" s="91" t="s">
        <v>514</v>
      </c>
      <c r="L190" s="73"/>
      <c r="M190" s="46">
        <v>292</v>
      </c>
      <c r="N190" s="46">
        <v>0</v>
      </c>
      <c r="O190" s="46">
        <v>127020</v>
      </c>
      <c r="P190" s="98"/>
      <c r="Q190" s="23" t="s">
        <v>1429</v>
      </c>
      <c r="R190" s="24" t="s">
        <v>512</v>
      </c>
      <c r="S190" s="25" t="s">
        <v>513</v>
      </c>
      <c r="T190" s="26">
        <v>372</v>
      </c>
      <c r="U190" s="26">
        <v>372</v>
      </c>
      <c r="V190" s="26">
        <f t="shared" si="33"/>
        <v>435</v>
      </c>
      <c r="W190" s="127">
        <f t="shared" si="34"/>
        <v>0</v>
      </c>
      <c r="X190" s="127">
        <f t="shared" si="35"/>
        <v>292</v>
      </c>
      <c r="Y190" s="127">
        <f t="shared" si="36"/>
        <v>0</v>
      </c>
      <c r="Z190" s="127">
        <f t="shared" si="27"/>
        <v>127020</v>
      </c>
      <c r="AA190" s="33" t="s">
        <v>15</v>
      </c>
      <c r="AB190" s="36" t="s">
        <v>16</v>
      </c>
      <c r="AC190" s="181">
        <f t="shared" si="28"/>
        <v>372</v>
      </c>
      <c r="AD190" s="181">
        <f t="shared" si="37"/>
        <v>161820</v>
      </c>
      <c r="AE190" s="181">
        <v>1.4</v>
      </c>
      <c r="AF190" s="181">
        <v>1.4</v>
      </c>
      <c r="AG190" s="101" t="str">
        <f t="shared" si="29"/>
        <v/>
      </c>
      <c r="AH190" s="194">
        <v>292</v>
      </c>
      <c r="AI190" s="69">
        <f t="shared" si="30"/>
        <v>372</v>
      </c>
    </row>
    <row r="191" spans="1:35" s="69" customFormat="1" ht="33" x14ac:dyDescent="0.3">
      <c r="A191" s="130" t="s">
        <v>515</v>
      </c>
      <c r="B191" s="131" t="s">
        <v>516</v>
      </c>
      <c r="C191" s="132" t="s">
        <v>50</v>
      </c>
      <c r="D191" s="133">
        <v>1984</v>
      </c>
      <c r="E191" s="75"/>
      <c r="F191" s="75"/>
      <c r="G191" s="75"/>
      <c r="H191" s="75" t="s">
        <v>15</v>
      </c>
      <c r="I191" s="75">
        <v>885.8</v>
      </c>
      <c r="J191" s="75">
        <v>1757427.2</v>
      </c>
      <c r="K191" s="91" t="s">
        <v>517</v>
      </c>
      <c r="L191" s="73"/>
      <c r="M191" s="46">
        <v>1796.5</v>
      </c>
      <c r="N191" s="46">
        <v>0</v>
      </c>
      <c r="O191" s="46">
        <v>1591339.7</v>
      </c>
      <c r="P191" s="98"/>
      <c r="Q191" s="23" t="s">
        <v>1430</v>
      </c>
      <c r="R191" s="24" t="s">
        <v>516</v>
      </c>
      <c r="S191" s="25" t="s">
        <v>50</v>
      </c>
      <c r="T191" s="26">
        <v>1984</v>
      </c>
      <c r="U191" s="26">
        <v>1984</v>
      </c>
      <c r="V191" s="26">
        <f t="shared" si="33"/>
        <v>885.8</v>
      </c>
      <c r="W191" s="127">
        <f t="shared" si="34"/>
        <v>0</v>
      </c>
      <c r="X191" s="127">
        <f t="shared" si="35"/>
        <v>1796.5</v>
      </c>
      <c r="Y191" s="127">
        <f t="shared" si="36"/>
        <v>0</v>
      </c>
      <c r="Z191" s="127">
        <f t="shared" si="27"/>
        <v>1591339.7</v>
      </c>
      <c r="AA191" s="33" t="s">
        <v>15</v>
      </c>
      <c r="AB191" s="36" t="s">
        <v>16</v>
      </c>
      <c r="AC191" s="181">
        <f t="shared" si="28"/>
        <v>1984</v>
      </c>
      <c r="AD191" s="181">
        <f t="shared" si="37"/>
        <v>1757427.2</v>
      </c>
      <c r="AE191" s="181">
        <v>1.4</v>
      </c>
      <c r="AF191" s="181">
        <v>1.4</v>
      </c>
      <c r="AG191" s="101" t="str">
        <f t="shared" si="29"/>
        <v/>
      </c>
      <c r="AH191" s="190">
        <v>1796.5</v>
      </c>
      <c r="AI191" s="69">
        <f t="shared" si="30"/>
        <v>1984</v>
      </c>
    </row>
    <row r="192" spans="1:35" s="69" customFormat="1" ht="33" x14ac:dyDescent="0.3">
      <c r="A192" s="130" t="s">
        <v>518</v>
      </c>
      <c r="B192" s="131" t="s">
        <v>189</v>
      </c>
      <c r="C192" s="132" t="s">
        <v>30</v>
      </c>
      <c r="D192" s="133">
        <v>45</v>
      </c>
      <c r="E192" s="75"/>
      <c r="F192" s="75"/>
      <c r="G192" s="75"/>
      <c r="H192" s="75" t="s">
        <v>15</v>
      </c>
      <c r="I192" s="75">
        <v>138.84</v>
      </c>
      <c r="J192" s="75">
        <v>6247.8</v>
      </c>
      <c r="K192" s="91" t="s">
        <v>190</v>
      </c>
      <c r="L192" s="73"/>
      <c r="M192" s="46">
        <v>36.96</v>
      </c>
      <c r="N192" s="46">
        <v>0</v>
      </c>
      <c r="O192" s="46">
        <v>5131.53</v>
      </c>
      <c r="P192" s="98"/>
      <c r="Q192" s="23" t="s">
        <v>1431</v>
      </c>
      <c r="R192" s="24" t="s">
        <v>189</v>
      </c>
      <c r="S192" s="25" t="s">
        <v>30</v>
      </c>
      <c r="T192" s="26">
        <v>45</v>
      </c>
      <c r="U192" s="26">
        <v>45</v>
      </c>
      <c r="V192" s="26">
        <f t="shared" si="33"/>
        <v>138.84</v>
      </c>
      <c r="W192" s="127">
        <f t="shared" si="34"/>
        <v>0</v>
      </c>
      <c r="X192" s="127">
        <f t="shared" si="35"/>
        <v>36.96</v>
      </c>
      <c r="Y192" s="127">
        <f t="shared" si="36"/>
        <v>0</v>
      </c>
      <c r="Z192" s="127">
        <f t="shared" si="27"/>
        <v>5131.53</v>
      </c>
      <c r="AA192" s="33" t="s">
        <v>15</v>
      </c>
      <c r="AB192" s="36" t="s">
        <v>16</v>
      </c>
      <c r="AC192" s="181">
        <f t="shared" si="28"/>
        <v>45</v>
      </c>
      <c r="AD192" s="181">
        <f t="shared" si="37"/>
        <v>6247.8</v>
      </c>
      <c r="AE192" s="181">
        <v>1.4</v>
      </c>
      <c r="AF192" s="181">
        <v>1.4</v>
      </c>
      <c r="AG192" s="101" t="str">
        <f t="shared" si="29"/>
        <v/>
      </c>
      <c r="AH192" s="194">
        <v>36.96</v>
      </c>
      <c r="AI192" s="69">
        <f t="shared" si="30"/>
        <v>45</v>
      </c>
    </row>
    <row r="193" spans="1:38" s="69" customFormat="1" ht="33" x14ac:dyDescent="0.3">
      <c r="A193" s="130" t="s">
        <v>519</v>
      </c>
      <c r="B193" s="131" t="s">
        <v>520</v>
      </c>
      <c r="C193" s="132" t="s">
        <v>30</v>
      </c>
      <c r="D193" s="133">
        <v>62</v>
      </c>
      <c r="E193" s="75"/>
      <c r="F193" s="75"/>
      <c r="G193" s="75"/>
      <c r="H193" s="76" t="s">
        <v>15</v>
      </c>
      <c r="I193" s="75">
        <v>326.3</v>
      </c>
      <c r="J193" s="75">
        <v>20230.599999999999</v>
      </c>
      <c r="K193" s="91" t="s">
        <v>521</v>
      </c>
      <c r="L193" s="73"/>
      <c r="M193" s="46">
        <v>59</v>
      </c>
      <c r="N193" s="46">
        <v>0</v>
      </c>
      <c r="O193" s="46">
        <v>19251.7</v>
      </c>
      <c r="P193" s="98"/>
      <c r="Q193" s="23" t="s">
        <v>1395</v>
      </c>
      <c r="R193" s="24" t="s">
        <v>520</v>
      </c>
      <c r="S193" s="25" t="s">
        <v>30</v>
      </c>
      <c r="T193" s="26">
        <v>62</v>
      </c>
      <c r="U193" s="26">
        <v>62</v>
      </c>
      <c r="V193" s="26">
        <f t="shared" si="33"/>
        <v>326.3</v>
      </c>
      <c r="W193" s="127">
        <f t="shared" si="34"/>
        <v>0</v>
      </c>
      <c r="X193" s="127">
        <f t="shared" si="35"/>
        <v>59</v>
      </c>
      <c r="Y193" s="127">
        <f t="shared" si="36"/>
        <v>0</v>
      </c>
      <c r="Z193" s="127">
        <f t="shared" si="27"/>
        <v>19251.7</v>
      </c>
      <c r="AA193" s="33" t="s">
        <v>15</v>
      </c>
      <c r="AB193" s="36" t="s">
        <v>16</v>
      </c>
      <c r="AC193" s="181">
        <f t="shared" si="28"/>
        <v>62</v>
      </c>
      <c r="AD193" s="181">
        <f t="shared" si="37"/>
        <v>20230.599999999999</v>
      </c>
      <c r="AE193" s="181">
        <v>1.4</v>
      </c>
      <c r="AF193" s="181">
        <v>1.4</v>
      </c>
      <c r="AG193" s="101" t="str">
        <f t="shared" si="29"/>
        <v/>
      </c>
      <c r="AH193" s="194">
        <v>59</v>
      </c>
      <c r="AI193" s="69">
        <f t="shared" si="30"/>
        <v>62</v>
      </c>
    </row>
    <row r="194" spans="1:38" s="69" customFormat="1" ht="39" x14ac:dyDescent="0.3">
      <c r="A194" s="130" t="s">
        <v>522</v>
      </c>
      <c r="B194" s="131" t="s">
        <v>424</v>
      </c>
      <c r="C194" s="132" t="s">
        <v>50</v>
      </c>
      <c r="D194" s="133">
        <v>275</v>
      </c>
      <c r="E194" s="75"/>
      <c r="F194" s="75"/>
      <c r="G194" s="161"/>
      <c r="H194" s="158">
        <v>2016.9</v>
      </c>
      <c r="I194" s="166">
        <v>692.16</v>
      </c>
      <c r="J194" s="75">
        <v>1396017.5</v>
      </c>
      <c r="K194" s="91" t="s">
        <v>425</v>
      </c>
      <c r="L194" s="73"/>
      <c r="M194" s="46">
        <v>275</v>
      </c>
      <c r="N194" s="46">
        <v>0</v>
      </c>
      <c r="O194" s="46">
        <v>190344</v>
      </c>
      <c r="P194" s="98"/>
      <c r="Q194" s="23" t="s">
        <v>1432</v>
      </c>
      <c r="R194" s="24" t="s">
        <v>424</v>
      </c>
      <c r="S194" s="25" t="s">
        <v>50</v>
      </c>
      <c r="T194" s="26">
        <v>275</v>
      </c>
      <c r="U194" s="26">
        <v>2016.9</v>
      </c>
      <c r="V194" s="26">
        <f t="shared" si="33"/>
        <v>692.16</v>
      </c>
      <c r="W194" s="128">
        <f t="shared" si="34"/>
        <v>0</v>
      </c>
      <c r="X194" s="127">
        <f t="shared" si="35"/>
        <v>275</v>
      </c>
      <c r="Y194" s="127">
        <f t="shared" si="36"/>
        <v>0</v>
      </c>
      <c r="Z194" s="127">
        <f t="shared" si="27"/>
        <v>190344</v>
      </c>
      <c r="AA194" s="33" t="s">
        <v>15</v>
      </c>
      <c r="AB194" s="36" t="s">
        <v>16</v>
      </c>
      <c r="AC194" s="181">
        <f t="shared" si="28"/>
        <v>2016.9</v>
      </c>
      <c r="AD194" s="181">
        <f t="shared" si="37"/>
        <v>1396017.5</v>
      </c>
      <c r="AE194" s="181">
        <v>1.4</v>
      </c>
      <c r="AF194" s="181">
        <v>1.4</v>
      </c>
      <c r="AG194" s="101" t="str">
        <f t="shared" si="29"/>
        <v/>
      </c>
      <c r="AH194" s="191">
        <v>275</v>
      </c>
      <c r="AI194" s="69">
        <f t="shared" si="30"/>
        <v>275</v>
      </c>
    </row>
    <row r="195" spans="1:38" s="69" customFormat="1" ht="41.25" x14ac:dyDescent="0.3">
      <c r="A195" s="130" t="s">
        <v>523</v>
      </c>
      <c r="B195" s="131" t="s">
        <v>524</v>
      </c>
      <c r="C195" s="132" t="s">
        <v>30</v>
      </c>
      <c r="D195" s="133">
        <v>429</v>
      </c>
      <c r="E195" s="75"/>
      <c r="F195" s="75"/>
      <c r="G195" s="161"/>
      <c r="H195" s="158" t="s">
        <v>15</v>
      </c>
      <c r="I195" s="166">
        <v>1707.13</v>
      </c>
      <c r="J195" s="75">
        <v>0</v>
      </c>
      <c r="K195" s="91" t="s">
        <v>525</v>
      </c>
      <c r="L195" s="73"/>
      <c r="M195" s="46">
        <v>0</v>
      </c>
      <c r="N195" s="46">
        <v>0</v>
      </c>
      <c r="O195" s="46">
        <v>0</v>
      </c>
      <c r="P195" s="98"/>
      <c r="Q195" s="23" t="s">
        <v>1433</v>
      </c>
      <c r="R195" s="24" t="s">
        <v>524</v>
      </c>
      <c r="S195" s="25" t="s">
        <v>30</v>
      </c>
      <c r="T195" s="26">
        <v>429</v>
      </c>
      <c r="U195" s="26">
        <v>0</v>
      </c>
      <c r="V195" s="26">
        <f t="shared" si="33"/>
        <v>1707.13</v>
      </c>
      <c r="W195" s="127">
        <f t="shared" si="34"/>
        <v>0</v>
      </c>
      <c r="X195" s="127">
        <f t="shared" si="35"/>
        <v>0</v>
      </c>
      <c r="Y195" s="127">
        <f t="shared" si="36"/>
        <v>0</v>
      </c>
      <c r="Z195" s="127">
        <f t="shared" si="27"/>
        <v>0</v>
      </c>
      <c r="AA195" s="33" t="s">
        <v>15</v>
      </c>
      <c r="AB195" s="36" t="s">
        <v>16</v>
      </c>
      <c r="AC195" s="181">
        <f t="shared" si="28"/>
        <v>0</v>
      </c>
      <c r="AD195" s="181">
        <f t="shared" si="37"/>
        <v>0</v>
      </c>
      <c r="AE195" s="181">
        <v>1.4</v>
      </c>
      <c r="AF195" s="181">
        <v>1.4</v>
      </c>
      <c r="AG195" s="101" t="str">
        <f t="shared" si="29"/>
        <v/>
      </c>
      <c r="AH195" s="190">
        <v>0</v>
      </c>
      <c r="AI195" s="69">
        <f t="shared" si="30"/>
        <v>429</v>
      </c>
    </row>
    <row r="196" spans="1:38" s="69" customFormat="1" ht="39" x14ac:dyDescent="0.3">
      <c r="A196" s="130" t="s">
        <v>526</v>
      </c>
      <c r="B196" s="131" t="s">
        <v>527</v>
      </c>
      <c r="C196" s="132" t="s">
        <v>34</v>
      </c>
      <c r="D196" s="133">
        <v>1597.5</v>
      </c>
      <c r="E196" s="75"/>
      <c r="F196" s="75"/>
      <c r="G196" s="161"/>
      <c r="H196" s="158">
        <v>2059.1999999999998</v>
      </c>
      <c r="I196" s="166">
        <v>49</v>
      </c>
      <c r="J196" s="75">
        <v>100900.8</v>
      </c>
      <c r="K196" s="91" t="s">
        <v>528</v>
      </c>
      <c r="L196" s="73"/>
      <c r="M196" s="46">
        <v>1530</v>
      </c>
      <c r="N196" s="46">
        <v>0</v>
      </c>
      <c r="O196" s="46">
        <v>74970</v>
      </c>
      <c r="P196" s="98"/>
      <c r="Q196" s="23" t="s">
        <v>1382</v>
      </c>
      <c r="R196" s="24" t="s">
        <v>527</v>
      </c>
      <c r="S196" s="25" t="s">
        <v>34</v>
      </c>
      <c r="T196" s="26">
        <v>1597.5</v>
      </c>
      <c r="U196" s="26">
        <v>2059.1999999999998</v>
      </c>
      <c r="V196" s="26">
        <f t="shared" si="33"/>
        <v>49</v>
      </c>
      <c r="W196" s="128">
        <f t="shared" si="34"/>
        <v>0</v>
      </c>
      <c r="X196" s="127">
        <f t="shared" si="35"/>
        <v>1530</v>
      </c>
      <c r="Y196" s="127">
        <f t="shared" si="36"/>
        <v>0</v>
      </c>
      <c r="Z196" s="127">
        <f t="shared" si="27"/>
        <v>74970</v>
      </c>
      <c r="AA196" s="33" t="s">
        <v>15</v>
      </c>
      <c r="AB196" s="36" t="s">
        <v>16</v>
      </c>
      <c r="AC196" s="181">
        <f t="shared" si="28"/>
        <v>2059.1999999999998</v>
      </c>
      <c r="AD196" s="181">
        <f t="shared" si="37"/>
        <v>100900.8</v>
      </c>
      <c r="AE196" s="181">
        <v>1.4</v>
      </c>
      <c r="AF196" s="181">
        <v>1.4</v>
      </c>
      <c r="AG196" s="101" t="str">
        <f t="shared" si="29"/>
        <v/>
      </c>
      <c r="AH196" s="191">
        <v>1530</v>
      </c>
      <c r="AI196" s="69">
        <f t="shared" si="30"/>
        <v>1597.5</v>
      </c>
    </row>
    <row r="197" spans="1:38" s="69" customFormat="1" ht="39" x14ac:dyDescent="0.3">
      <c r="A197" s="134" t="s">
        <v>1324</v>
      </c>
      <c r="B197" s="135" t="s">
        <v>1325</v>
      </c>
      <c r="C197" s="204" t="s">
        <v>23</v>
      </c>
      <c r="D197" s="216"/>
      <c r="E197" s="117">
        <v>1362.5</v>
      </c>
      <c r="F197" s="77"/>
      <c r="G197" s="226"/>
      <c r="H197" s="230" t="s">
        <v>15</v>
      </c>
      <c r="I197" s="178">
        <v>926.62</v>
      </c>
      <c r="J197" s="59">
        <v>1262519.75</v>
      </c>
      <c r="K197" s="92"/>
      <c r="L197" s="73"/>
      <c r="M197" s="46">
        <v>1345</v>
      </c>
      <c r="N197" s="46">
        <v>0</v>
      </c>
      <c r="O197" s="46">
        <v>1246303.8999999999</v>
      </c>
      <c r="P197" s="98"/>
      <c r="Q197" s="23" t="s">
        <v>1434</v>
      </c>
      <c r="R197" s="24" t="s">
        <v>1498</v>
      </c>
      <c r="S197" s="25" t="s">
        <v>23</v>
      </c>
      <c r="T197" s="26">
        <v>0</v>
      </c>
      <c r="U197" s="26">
        <v>1362.5</v>
      </c>
      <c r="V197" s="26">
        <f t="shared" si="33"/>
        <v>926.62</v>
      </c>
      <c r="W197" s="127">
        <f t="shared" si="34"/>
        <v>0</v>
      </c>
      <c r="X197" s="127">
        <f t="shared" si="35"/>
        <v>1345</v>
      </c>
      <c r="Y197" s="127">
        <f t="shared" si="36"/>
        <v>0</v>
      </c>
      <c r="Z197" s="127">
        <f t="shared" si="27"/>
        <v>1246303.8999999999</v>
      </c>
      <c r="AA197" s="27"/>
      <c r="AB197" s="36" t="s">
        <v>16</v>
      </c>
      <c r="AC197" s="181">
        <f t="shared" si="28"/>
        <v>1362.5</v>
      </c>
      <c r="AD197" s="181">
        <f t="shared" si="37"/>
        <v>1262519.75</v>
      </c>
      <c r="AE197" s="181">
        <v>1.4</v>
      </c>
      <c r="AF197" s="181">
        <v>1.4</v>
      </c>
      <c r="AG197" s="101" t="str">
        <f t="shared" si="29"/>
        <v/>
      </c>
      <c r="AH197" s="194">
        <v>1345</v>
      </c>
      <c r="AI197" s="69">
        <f t="shared" si="30"/>
        <v>1362.5</v>
      </c>
    </row>
    <row r="198" spans="1:38" ht="39" x14ac:dyDescent="0.3">
      <c r="A198" s="134" t="s">
        <v>1326</v>
      </c>
      <c r="B198" s="135" t="s">
        <v>3136</v>
      </c>
      <c r="C198" s="204" t="s">
        <v>50</v>
      </c>
      <c r="D198" s="216"/>
      <c r="E198" s="78"/>
      <c r="F198" s="62">
        <v>548.70000000000005</v>
      </c>
      <c r="G198" s="163"/>
      <c r="H198" s="62">
        <v>805.73</v>
      </c>
      <c r="I198" s="167">
        <v>3120.78</v>
      </c>
      <c r="J198" s="62">
        <v>2514506.0699999998</v>
      </c>
      <c r="K198" s="93"/>
      <c r="M198" s="46">
        <v>672.3</v>
      </c>
      <c r="N198" s="46">
        <v>0</v>
      </c>
      <c r="O198" s="46">
        <v>2098100.39</v>
      </c>
      <c r="P198" s="98"/>
      <c r="Q198" s="23" t="s">
        <v>1388</v>
      </c>
      <c r="R198" s="24" t="s">
        <v>1327</v>
      </c>
      <c r="S198" s="25" t="s">
        <v>50</v>
      </c>
      <c r="T198" s="26">
        <v>0</v>
      </c>
      <c r="U198" s="26">
        <v>805.73</v>
      </c>
      <c r="V198" s="26">
        <f t="shared" si="33"/>
        <v>3120.78</v>
      </c>
      <c r="W198" s="128">
        <f t="shared" si="34"/>
        <v>0</v>
      </c>
      <c r="X198" s="127">
        <f t="shared" si="35"/>
        <v>672.3</v>
      </c>
      <c r="Y198" s="127">
        <f t="shared" si="36"/>
        <v>0</v>
      </c>
      <c r="Z198" s="127">
        <f>ROUND(V198*X198,2)</f>
        <v>2098100.39</v>
      </c>
      <c r="AA198" s="27"/>
      <c r="AB198" s="36" t="s">
        <v>16</v>
      </c>
      <c r="AC198" s="181">
        <f t="shared" si="28"/>
        <v>805.73</v>
      </c>
      <c r="AD198" s="181">
        <f t="shared" si="37"/>
        <v>2514506.0699999998</v>
      </c>
      <c r="AE198" s="181">
        <v>1.4</v>
      </c>
      <c r="AF198" s="181">
        <v>1.4</v>
      </c>
      <c r="AG198" s="101" t="str">
        <f t="shared" si="29"/>
        <v>超估</v>
      </c>
      <c r="AH198" s="191">
        <v>672.3</v>
      </c>
      <c r="AI198" s="69">
        <f t="shared" si="30"/>
        <v>548.70000000000005</v>
      </c>
    </row>
    <row r="199" spans="1:38" ht="49.5" x14ac:dyDescent="0.3">
      <c r="A199" s="134" t="s">
        <v>1328</v>
      </c>
      <c r="B199" s="139" t="s">
        <v>1329</v>
      </c>
      <c r="C199" s="204" t="s">
        <v>30</v>
      </c>
      <c r="D199" s="216"/>
      <c r="E199" s="78"/>
      <c r="F199" s="62">
        <v>410</v>
      </c>
      <c r="G199" s="163"/>
      <c r="H199" s="62" t="s">
        <v>15</v>
      </c>
      <c r="I199" s="167">
        <v>5733.63</v>
      </c>
      <c r="J199" s="62">
        <v>2350788.2999999998</v>
      </c>
      <c r="K199" s="93"/>
      <c r="M199" s="46">
        <v>410</v>
      </c>
      <c r="N199" s="46">
        <v>0</v>
      </c>
      <c r="O199" s="46">
        <v>2350788.2999999998</v>
      </c>
      <c r="P199" s="98"/>
      <c r="Q199" s="23" t="s">
        <v>1389</v>
      </c>
      <c r="R199" s="24" t="s">
        <v>1329</v>
      </c>
      <c r="S199" s="25" t="s">
        <v>30</v>
      </c>
      <c r="T199" s="26">
        <v>0</v>
      </c>
      <c r="U199" s="26">
        <v>410</v>
      </c>
      <c r="V199" s="26">
        <f t="shared" si="33"/>
        <v>5733.63</v>
      </c>
      <c r="W199" s="127">
        <f t="shared" si="34"/>
        <v>0</v>
      </c>
      <c r="X199" s="127">
        <f t="shared" si="35"/>
        <v>410</v>
      </c>
      <c r="Y199" s="127">
        <f t="shared" si="36"/>
        <v>0</v>
      </c>
      <c r="Z199" s="127">
        <f t="shared" si="27"/>
        <v>2350788.2999999998</v>
      </c>
      <c r="AA199" s="27"/>
      <c r="AB199" s="36" t="s">
        <v>16</v>
      </c>
      <c r="AC199" s="181">
        <f t="shared" si="28"/>
        <v>410</v>
      </c>
      <c r="AD199" s="181">
        <f t="shared" si="37"/>
        <v>2350788.2999999998</v>
      </c>
      <c r="AE199" s="181">
        <v>1.4</v>
      </c>
      <c r="AF199" s="181">
        <v>1.4</v>
      </c>
      <c r="AG199" s="101" t="str">
        <f t="shared" si="29"/>
        <v/>
      </c>
      <c r="AH199" s="190">
        <v>410</v>
      </c>
      <c r="AI199" s="69">
        <f t="shared" si="30"/>
        <v>410</v>
      </c>
    </row>
    <row r="200" spans="1:38" ht="58.5" x14ac:dyDescent="0.3">
      <c r="A200" s="134" t="s">
        <v>1330</v>
      </c>
      <c r="B200" s="135" t="s">
        <v>3135</v>
      </c>
      <c r="C200" s="204" t="s">
        <v>23</v>
      </c>
      <c r="D200" s="216"/>
      <c r="E200" s="78"/>
      <c r="F200" s="62">
        <v>690</v>
      </c>
      <c r="G200" s="163"/>
      <c r="H200" s="62">
        <v>1526.83</v>
      </c>
      <c r="I200" s="167">
        <v>3832.97</v>
      </c>
      <c r="J200" s="62">
        <v>5852293.5899999999</v>
      </c>
      <c r="K200" s="93"/>
      <c r="M200" s="46">
        <v>1469.66</v>
      </c>
      <c r="N200" s="46">
        <v>0</v>
      </c>
      <c r="O200" s="46">
        <v>5633162.6900000004</v>
      </c>
      <c r="P200" s="98"/>
      <c r="Q200" s="23" t="s">
        <v>1390</v>
      </c>
      <c r="R200" s="24" t="s">
        <v>1331</v>
      </c>
      <c r="S200" s="25" t="s">
        <v>23</v>
      </c>
      <c r="T200" s="26">
        <v>0</v>
      </c>
      <c r="U200" s="26">
        <v>1526.83</v>
      </c>
      <c r="V200" s="26">
        <f t="shared" si="33"/>
        <v>3832.97</v>
      </c>
      <c r="W200" s="128">
        <f t="shared" si="34"/>
        <v>0</v>
      </c>
      <c r="X200" s="127">
        <f t="shared" si="35"/>
        <v>1469.66</v>
      </c>
      <c r="Y200" s="127">
        <f t="shared" si="36"/>
        <v>0</v>
      </c>
      <c r="Z200" s="127">
        <f t="shared" si="27"/>
        <v>5633162.6900000004</v>
      </c>
      <c r="AA200" s="27"/>
      <c r="AB200" s="36" t="s">
        <v>16</v>
      </c>
      <c r="AC200" s="181">
        <f t="shared" si="28"/>
        <v>1526.83</v>
      </c>
      <c r="AD200" s="181">
        <f t="shared" si="37"/>
        <v>5852293.5899999999</v>
      </c>
      <c r="AE200" s="181">
        <v>1.4</v>
      </c>
      <c r="AF200" s="181">
        <v>1.4</v>
      </c>
      <c r="AG200" s="101" t="str">
        <f t="shared" si="29"/>
        <v>超估</v>
      </c>
      <c r="AH200" s="191">
        <v>1469.66</v>
      </c>
      <c r="AI200" s="69">
        <f t="shared" si="30"/>
        <v>690</v>
      </c>
    </row>
    <row r="201" spans="1:38" ht="33" x14ac:dyDescent="0.3">
      <c r="A201" s="134" t="s">
        <v>1332</v>
      </c>
      <c r="B201" s="135" t="s">
        <v>1333</v>
      </c>
      <c r="C201" s="204" t="s">
        <v>50</v>
      </c>
      <c r="D201" s="216"/>
      <c r="E201" s="78"/>
      <c r="F201" s="62">
        <v>48</v>
      </c>
      <c r="G201" s="163"/>
      <c r="H201" s="62" t="s">
        <v>15</v>
      </c>
      <c r="I201" s="167">
        <v>695.25</v>
      </c>
      <c r="J201" s="62">
        <v>33372</v>
      </c>
      <c r="K201" s="93"/>
      <c r="M201" s="46">
        <v>48</v>
      </c>
      <c r="N201" s="46">
        <v>0</v>
      </c>
      <c r="O201" s="46">
        <v>33372</v>
      </c>
      <c r="P201" s="98"/>
      <c r="Q201" s="23" t="s">
        <v>1391</v>
      </c>
      <c r="R201" s="24" t="s">
        <v>1333</v>
      </c>
      <c r="S201" s="25" t="s">
        <v>50</v>
      </c>
      <c r="T201" s="26">
        <v>0</v>
      </c>
      <c r="U201" s="26">
        <v>48</v>
      </c>
      <c r="V201" s="26">
        <f t="shared" si="33"/>
        <v>695.25</v>
      </c>
      <c r="W201" s="127">
        <f t="shared" si="34"/>
        <v>0</v>
      </c>
      <c r="X201" s="127">
        <f t="shared" si="35"/>
        <v>48</v>
      </c>
      <c r="Y201" s="127">
        <f t="shared" si="36"/>
        <v>0</v>
      </c>
      <c r="Z201" s="127">
        <f t="shared" si="27"/>
        <v>33372</v>
      </c>
      <c r="AA201" s="27"/>
      <c r="AB201" s="36" t="s">
        <v>16</v>
      </c>
      <c r="AC201" s="181">
        <f t="shared" si="28"/>
        <v>48</v>
      </c>
      <c r="AD201" s="181">
        <f t="shared" si="37"/>
        <v>33372</v>
      </c>
      <c r="AE201" s="181">
        <v>1.4</v>
      </c>
      <c r="AF201" s="181">
        <v>1.4</v>
      </c>
      <c r="AG201" s="101" t="str">
        <f t="shared" si="29"/>
        <v/>
      </c>
      <c r="AH201" s="190">
        <v>48</v>
      </c>
      <c r="AI201" s="69">
        <f t="shared" si="30"/>
        <v>48</v>
      </c>
    </row>
    <row r="202" spans="1:38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227"/>
      <c r="H202" s="231" t="s">
        <v>15</v>
      </c>
      <c r="I202" s="228"/>
      <c r="J202" s="82">
        <v>33543936.84</v>
      </c>
      <c r="K202" s="94" t="s">
        <v>15</v>
      </c>
      <c r="L202" s="73"/>
      <c r="M202" s="45">
        <v>1</v>
      </c>
      <c r="N202" s="45">
        <v>3898405.37</v>
      </c>
      <c r="O202" s="45">
        <v>32078506.57</v>
      </c>
      <c r="P202" s="98"/>
      <c r="Q202" s="18" t="s">
        <v>1392</v>
      </c>
      <c r="R202" s="19" t="s">
        <v>530</v>
      </c>
      <c r="S202" s="20" t="s">
        <v>14</v>
      </c>
      <c r="T202" s="21">
        <v>1</v>
      </c>
      <c r="U202" s="21"/>
      <c r="V202" s="21">
        <f>SUMIFS(AD:AD,AE:AE,AE202)</f>
        <v>33543936.840000004</v>
      </c>
      <c r="W202" s="21">
        <f t="shared" ref="W202:X202" si="38">IF(Y202=0,0,1)</f>
        <v>1</v>
      </c>
      <c r="X202" s="21">
        <f t="shared" si="38"/>
        <v>1</v>
      </c>
      <c r="Y202" s="21">
        <f>SUMIFS(Y:Y,AF:AF,AE202)</f>
        <v>135241.02000000002</v>
      </c>
      <c r="Z202" s="21">
        <f>SUMIFS(Z:Z,AF:AF,AE202)</f>
        <v>32213747.59</v>
      </c>
      <c r="AA202" s="22" t="s">
        <v>15</v>
      </c>
      <c r="AB202" s="43" t="s">
        <v>16</v>
      </c>
      <c r="AC202" s="181">
        <f t="shared" si="28"/>
        <v>1</v>
      </c>
      <c r="AD202" s="181"/>
      <c r="AE202" s="184">
        <v>1.5</v>
      </c>
      <c r="AF202" s="184"/>
      <c r="AG202" s="101" t="str">
        <f t="shared" si="29"/>
        <v/>
      </c>
      <c r="AH202" s="190">
        <v>1</v>
      </c>
      <c r="AI202" s="69">
        <f t="shared" si="30"/>
        <v>1</v>
      </c>
    </row>
    <row r="203" spans="1:38" s="69" customFormat="1" ht="49.5" customHeight="1" x14ac:dyDescent="0.3">
      <c r="A203" s="130" t="s">
        <v>531</v>
      </c>
      <c r="B203" s="131" t="s">
        <v>392</v>
      </c>
      <c r="C203" s="132" t="s">
        <v>23</v>
      </c>
      <c r="D203" s="133">
        <v>250</v>
      </c>
      <c r="E203" s="75"/>
      <c r="F203" s="75"/>
      <c r="G203" s="75"/>
      <c r="H203" s="239">
        <v>11.7</v>
      </c>
      <c r="I203" s="75">
        <v>3115.13</v>
      </c>
      <c r="J203" s="75">
        <v>36447.019999999997</v>
      </c>
      <c r="K203" s="91" t="s">
        <v>114</v>
      </c>
      <c r="L203" s="73"/>
      <c r="M203" s="46">
        <v>11.7</v>
      </c>
      <c r="N203" s="46">
        <v>0</v>
      </c>
      <c r="O203" s="46">
        <v>36447.019999999997</v>
      </c>
      <c r="P203" s="98"/>
      <c r="Q203" s="23" t="s">
        <v>1421</v>
      </c>
      <c r="R203" s="24" t="s">
        <v>392</v>
      </c>
      <c r="S203" s="25" t="s">
        <v>23</v>
      </c>
      <c r="T203" s="26">
        <v>250</v>
      </c>
      <c r="U203" s="26">
        <v>11.7</v>
      </c>
      <c r="V203" s="26">
        <v>3115.13</v>
      </c>
      <c r="W203" s="127">
        <f t="shared" ref="W203:W219" si="39">AH203-M203</f>
        <v>0</v>
      </c>
      <c r="X203" s="127">
        <f t="shared" si="35"/>
        <v>11.7</v>
      </c>
      <c r="Y203" s="127">
        <f t="shared" ref="Y203:Y219" si="40">Z203-O203</f>
        <v>0</v>
      </c>
      <c r="Z203" s="127">
        <f t="shared" si="27"/>
        <v>36447.019999999997</v>
      </c>
      <c r="AA203" s="33" t="s">
        <v>15</v>
      </c>
      <c r="AB203" s="36" t="s">
        <v>16</v>
      </c>
      <c r="AC203" s="181">
        <f t="shared" ref="AC203:AC266" si="41">IF(U203="",T203,U203)</f>
        <v>11.7</v>
      </c>
      <c r="AD203" s="181">
        <f t="shared" si="37"/>
        <v>36447.019999999997</v>
      </c>
      <c r="AE203" s="181">
        <v>1.5</v>
      </c>
      <c r="AF203" s="181">
        <v>1.5</v>
      </c>
      <c r="AG203" s="101" t="str">
        <f t="shared" ref="AG203:AG266" si="42">IF(X203&gt;AI203,"超估","")</f>
        <v/>
      </c>
      <c r="AH203" s="190">
        <v>11.7</v>
      </c>
      <c r="AI203" s="69">
        <f t="shared" ref="AI203:AI266" si="43">IF(G203=0,IF(F203=0,IF(E203=0,D203,E203),F203),G203)</f>
        <v>250</v>
      </c>
    </row>
    <row r="204" spans="1:38" s="69" customFormat="1" ht="49.5" customHeight="1" x14ac:dyDescent="0.3">
      <c r="A204" s="130" t="s">
        <v>532</v>
      </c>
      <c r="B204" s="131" t="s">
        <v>116</v>
      </c>
      <c r="C204" s="132" t="s">
        <v>23</v>
      </c>
      <c r="D204" s="133">
        <v>2474</v>
      </c>
      <c r="E204" s="75"/>
      <c r="F204" s="75"/>
      <c r="G204" s="75"/>
      <c r="H204" s="75">
        <v>2593.6999999999998</v>
      </c>
      <c r="I204" s="75">
        <v>3321.13</v>
      </c>
      <c r="J204" s="75">
        <v>8614014.8800000008</v>
      </c>
      <c r="K204" s="91" t="s">
        <v>117</v>
      </c>
      <c r="L204" s="73"/>
      <c r="M204" s="46">
        <v>2473.35</v>
      </c>
      <c r="N204" s="46">
        <v>0</v>
      </c>
      <c r="O204" s="46">
        <v>8214316.8899999997</v>
      </c>
      <c r="P204" s="98"/>
      <c r="Q204" s="23" t="s">
        <v>1426</v>
      </c>
      <c r="R204" s="24" t="s">
        <v>116</v>
      </c>
      <c r="S204" s="25" t="s">
        <v>23</v>
      </c>
      <c r="T204" s="26">
        <v>2474</v>
      </c>
      <c r="U204" s="26">
        <v>2593.6999999999998</v>
      </c>
      <c r="V204" s="26">
        <v>3321.13</v>
      </c>
      <c r="W204" s="127">
        <f t="shared" si="39"/>
        <v>0</v>
      </c>
      <c r="X204" s="127">
        <f t="shared" si="35"/>
        <v>2473.35</v>
      </c>
      <c r="Y204" s="127">
        <f t="shared" si="40"/>
        <v>0</v>
      </c>
      <c r="Z204" s="127">
        <f t="shared" ref="Z204:Z267" si="44">ROUND(V204*X204,2)</f>
        <v>8214316.8899999997</v>
      </c>
      <c r="AA204" s="33" t="s">
        <v>15</v>
      </c>
      <c r="AB204" s="36" t="s">
        <v>16</v>
      </c>
      <c r="AC204" s="181">
        <f t="shared" si="41"/>
        <v>2593.6999999999998</v>
      </c>
      <c r="AD204" s="181">
        <f t="shared" si="37"/>
        <v>8614014.8800000008</v>
      </c>
      <c r="AE204" s="181">
        <v>1.5</v>
      </c>
      <c r="AF204" s="181">
        <v>1.5</v>
      </c>
      <c r="AG204" s="101" t="str">
        <f t="shared" si="42"/>
        <v/>
      </c>
      <c r="AH204" s="194">
        <v>2473.35</v>
      </c>
      <c r="AI204" s="69">
        <f t="shared" si="43"/>
        <v>2474</v>
      </c>
      <c r="AL204" s="196">
        <v>2782.2855</v>
      </c>
    </row>
    <row r="205" spans="1:38" s="69" customFormat="1" ht="49.5" customHeight="1" x14ac:dyDescent="0.3">
      <c r="A205" s="130" t="s">
        <v>533</v>
      </c>
      <c r="B205" s="131" t="s">
        <v>534</v>
      </c>
      <c r="C205" s="132" t="s">
        <v>23</v>
      </c>
      <c r="D205" s="133">
        <v>1187</v>
      </c>
      <c r="E205" s="75"/>
      <c r="F205" s="75"/>
      <c r="G205" s="75"/>
      <c r="H205" s="75">
        <v>1256.1500000000001</v>
      </c>
      <c r="I205" s="75">
        <v>1749.25</v>
      </c>
      <c r="J205" s="75">
        <v>2197320.39</v>
      </c>
      <c r="K205" s="91" t="s">
        <v>535</v>
      </c>
      <c r="L205" s="73"/>
      <c r="M205" s="46">
        <v>1187</v>
      </c>
      <c r="N205" s="46">
        <v>0</v>
      </c>
      <c r="O205" s="46">
        <v>2076359.75</v>
      </c>
      <c r="P205" s="98"/>
      <c r="Q205" s="23" t="s">
        <v>1402</v>
      </c>
      <c r="R205" s="24" t="s">
        <v>534</v>
      </c>
      <c r="S205" s="25" t="s">
        <v>23</v>
      </c>
      <c r="T205" s="26">
        <v>1187</v>
      </c>
      <c r="U205" s="26">
        <v>1256.1500000000001</v>
      </c>
      <c r="V205" s="26">
        <v>1749.25</v>
      </c>
      <c r="W205" s="127">
        <f t="shared" si="39"/>
        <v>0</v>
      </c>
      <c r="X205" s="127">
        <f t="shared" si="35"/>
        <v>1187</v>
      </c>
      <c r="Y205" s="127">
        <f t="shared" si="40"/>
        <v>0</v>
      </c>
      <c r="Z205" s="127">
        <f t="shared" si="44"/>
        <v>2076359.75</v>
      </c>
      <c r="AA205" s="33" t="s">
        <v>15</v>
      </c>
      <c r="AB205" s="36" t="s">
        <v>16</v>
      </c>
      <c r="AC205" s="181">
        <f t="shared" si="41"/>
        <v>1256.1500000000001</v>
      </c>
      <c r="AD205" s="181">
        <f t="shared" si="37"/>
        <v>2197320.39</v>
      </c>
      <c r="AE205" s="181">
        <v>1.5</v>
      </c>
      <c r="AF205" s="181">
        <v>1.5</v>
      </c>
      <c r="AG205" s="101" t="str">
        <f t="shared" si="42"/>
        <v/>
      </c>
      <c r="AH205" s="194">
        <v>1187</v>
      </c>
      <c r="AI205" s="69">
        <f t="shared" si="43"/>
        <v>1187</v>
      </c>
      <c r="AL205" s="195">
        <v>1161.5828000000001</v>
      </c>
    </row>
    <row r="206" spans="1:38" s="69" customFormat="1" ht="39" x14ac:dyDescent="0.3">
      <c r="A206" s="130" t="s">
        <v>536</v>
      </c>
      <c r="B206" s="131" t="s">
        <v>493</v>
      </c>
      <c r="C206" s="132" t="s">
        <v>23</v>
      </c>
      <c r="D206" s="133">
        <v>3911</v>
      </c>
      <c r="E206" s="75"/>
      <c r="F206" s="75"/>
      <c r="G206" s="75"/>
      <c r="H206" s="75" t="s">
        <v>15</v>
      </c>
      <c r="I206" s="75">
        <v>200</v>
      </c>
      <c r="J206" s="75">
        <v>782200</v>
      </c>
      <c r="K206" s="91" t="s">
        <v>494</v>
      </c>
      <c r="L206" s="73"/>
      <c r="M206" s="46">
        <v>3672.05</v>
      </c>
      <c r="N206" s="46">
        <v>0</v>
      </c>
      <c r="O206" s="46">
        <v>734410</v>
      </c>
      <c r="P206" s="98"/>
      <c r="Q206" s="23" t="s">
        <v>1373</v>
      </c>
      <c r="R206" s="24" t="s">
        <v>493</v>
      </c>
      <c r="S206" s="25" t="s">
        <v>23</v>
      </c>
      <c r="T206" s="26">
        <v>3911</v>
      </c>
      <c r="U206" s="26">
        <v>3911</v>
      </c>
      <c r="V206" s="26">
        <v>200</v>
      </c>
      <c r="W206" s="127">
        <f t="shared" si="39"/>
        <v>0</v>
      </c>
      <c r="X206" s="127">
        <f t="shared" si="35"/>
        <v>3672.05</v>
      </c>
      <c r="Y206" s="127">
        <f t="shared" si="40"/>
        <v>0</v>
      </c>
      <c r="Z206" s="127">
        <f t="shared" si="44"/>
        <v>734410</v>
      </c>
      <c r="AA206" s="33" t="s">
        <v>15</v>
      </c>
      <c r="AB206" s="36" t="s">
        <v>16</v>
      </c>
      <c r="AC206" s="181">
        <f t="shared" si="41"/>
        <v>3911</v>
      </c>
      <c r="AD206" s="181">
        <f t="shared" si="37"/>
        <v>782200</v>
      </c>
      <c r="AE206" s="181">
        <v>1.5</v>
      </c>
      <c r="AF206" s="181">
        <v>1.5</v>
      </c>
      <c r="AG206" s="101" t="str">
        <f t="shared" si="42"/>
        <v/>
      </c>
      <c r="AH206" s="194">
        <v>3672.05</v>
      </c>
      <c r="AI206" s="69">
        <f t="shared" si="43"/>
        <v>3911</v>
      </c>
      <c r="AL206" s="198">
        <f>AL203+AL204+AL205</f>
        <v>3943.8683000000001</v>
      </c>
    </row>
    <row r="207" spans="1:38" s="69" customFormat="1" ht="57.75" x14ac:dyDescent="0.3">
      <c r="A207" s="130" t="s">
        <v>537</v>
      </c>
      <c r="B207" s="131" t="s">
        <v>405</v>
      </c>
      <c r="C207" s="132" t="s">
        <v>50</v>
      </c>
      <c r="D207" s="133">
        <v>3820</v>
      </c>
      <c r="E207" s="75"/>
      <c r="F207" s="75">
        <v>4730</v>
      </c>
      <c r="G207" s="75"/>
      <c r="H207" s="75">
        <v>5411.06</v>
      </c>
      <c r="I207" s="75">
        <v>982.98</v>
      </c>
      <c r="J207" s="75">
        <v>5318963.76</v>
      </c>
      <c r="K207" s="91" t="s">
        <v>406</v>
      </c>
      <c r="L207" s="73"/>
      <c r="M207" s="46">
        <v>5409.2</v>
      </c>
      <c r="N207" s="46">
        <v>282311.86</v>
      </c>
      <c r="O207" s="46">
        <v>5317135.42</v>
      </c>
      <c r="P207" s="98"/>
      <c r="Q207" s="23" t="s">
        <v>1393</v>
      </c>
      <c r="R207" s="24" t="s">
        <v>405</v>
      </c>
      <c r="S207" s="25" t="s">
        <v>50</v>
      </c>
      <c r="T207" s="26">
        <v>3820</v>
      </c>
      <c r="U207" s="26">
        <v>5411.06</v>
      </c>
      <c r="V207" s="26">
        <v>982.98</v>
      </c>
      <c r="W207" s="128">
        <f t="shared" si="39"/>
        <v>0</v>
      </c>
      <c r="X207" s="127">
        <f t="shared" si="35"/>
        <v>5409.2</v>
      </c>
      <c r="Y207" s="127">
        <f t="shared" si="40"/>
        <v>0</v>
      </c>
      <c r="Z207" s="127">
        <f t="shared" si="44"/>
        <v>5317135.42</v>
      </c>
      <c r="AA207" s="27" t="s">
        <v>15</v>
      </c>
      <c r="AB207" s="36" t="s">
        <v>16</v>
      </c>
      <c r="AC207" s="181">
        <f t="shared" si="41"/>
        <v>5411.06</v>
      </c>
      <c r="AD207" s="181">
        <f t="shared" si="37"/>
        <v>5318963.76</v>
      </c>
      <c r="AE207" s="181">
        <v>1.5</v>
      </c>
      <c r="AF207" s="181">
        <v>1.5</v>
      </c>
      <c r="AG207" s="101" t="str">
        <f t="shared" si="42"/>
        <v>超估</v>
      </c>
      <c r="AH207" s="191">
        <v>5409.2</v>
      </c>
      <c r="AI207" s="69">
        <f t="shared" si="43"/>
        <v>4730</v>
      </c>
      <c r="AL207" s="195">
        <v>5411.06</v>
      </c>
    </row>
    <row r="208" spans="1:38" s="69" customFormat="1" ht="41.25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203"/>
      <c r="F208" s="203"/>
      <c r="G208" s="203"/>
      <c r="H208" s="203">
        <v>1811.33</v>
      </c>
      <c r="I208" s="75">
        <v>804.79</v>
      </c>
      <c r="J208" s="75">
        <v>1457740.27</v>
      </c>
      <c r="K208" s="91" t="s">
        <v>409</v>
      </c>
      <c r="L208" s="73"/>
      <c r="M208" s="46">
        <v>1796.3</v>
      </c>
      <c r="N208" s="46">
        <v>163935.73000000001</v>
      </c>
      <c r="O208" s="46">
        <v>1445644.28</v>
      </c>
      <c r="P208" s="98"/>
      <c r="Q208" s="23" t="s">
        <v>1403</v>
      </c>
      <c r="R208" s="24" t="s">
        <v>408</v>
      </c>
      <c r="S208" s="25" t="s">
        <v>50</v>
      </c>
      <c r="T208" s="26">
        <v>800</v>
      </c>
      <c r="U208" s="26">
        <v>1811.33</v>
      </c>
      <c r="V208" s="26">
        <v>804.79</v>
      </c>
      <c r="W208" s="128">
        <f t="shared" si="39"/>
        <v>0</v>
      </c>
      <c r="X208" s="127">
        <f t="shared" si="35"/>
        <v>1796.3</v>
      </c>
      <c r="Y208" s="127">
        <f t="shared" si="40"/>
        <v>0</v>
      </c>
      <c r="Z208" s="127">
        <f t="shared" si="44"/>
        <v>1445644.28</v>
      </c>
      <c r="AA208" s="33" t="s">
        <v>15</v>
      </c>
      <c r="AB208" s="36" t="s">
        <v>16</v>
      </c>
      <c r="AC208" s="181">
        <f t="shared" si="41"/>
        <v>1811.33</v>
      </c>
      <c r="AD208" s="181">
        <f t="shared" si="37"/>
        <v>1457740.27</v>
      </c>
      <c r="AE208" s="181">
        <v>1.5</v>
      </c>
      <c r="AF208" s="181">
        <v>1.5</v>
      </c>
      <c r="AG208" s="101" t="str">
        <f t="shared" si="42"/>
        <v>超估</v>
      </c>
      <c r="AH208" s="191">
        <v>1796.3</v>
      </c>
      <c r="AI208" s="69">
        <f t="shared" si="43"/>
        <v>800</v>
      </c>
    </row>
    <row r="209" spans="1:35" s="69" customFormat="1" ht="41.25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203"/>
      <c r="F209" s="203"/>
      <c r="G209" s="203"/>
      <c r="H209" s="203">
        <v>1210.32</v>
      </c>
      <c r="I209" s="75">
        <v>533.64</v>
      </c>
      <c r="J209" s="75">
        <v>645875.16</v>
      </c>
      <c r="K209" s="91" t="s">
        <v>120</v>
      </c>
      <c r="L209" s="73"/>
      <c r="M209" s="46">
        <v>1121.2</v>
      </c>
      <c r="N209" s="46">
        <v>128660.61</v>
      </c>
      <c r="O209" s="46">
        <v>598317.17000000004</v>
      </c>
      <c r="P209" s="98"/>
      <c r="Q209" s="23" t="s">
        <v>1427</v>
      </c>
      <c r="R209" s="24" t="s">
        <v>119</v>
      </c>
      <c r="S209" s="25" t="s">
        <v>50</v>
      </c>
      <c r="T209" s="26">
        <v>258</v>
      </c>
      <c r="U209" s="26">
        <v>1210.32</v>
      </c>
      <c r="V209" s="26">
        <v>533.64</v>
      </c>
      <c r="W209" s="128">
        <f t="shared" si="39"/>
        <v>0</v>
      </c>
      <c r="X209" s="127">
        <f t="shared" si="35"/>
        <v>1121.2</v>
      </c>
      <c r="Y209" s="127">
        <f t="shared" si="40"/>
        <v>0</v>
      </c>
      <c r="Z209" s="127">
        <f t="shared" si="44"/>
        <v>598317.17000000004</v>
      </c>
      <c r="AA209" s="33" t="s">
        <v>15</v>
      </c>
      <c r="AB209" s="36" t="s">
        <v>16</v>
      </c>
      <c r="AC209" s="181">
        <f t="shared" si="41"/>
        <v>1210.32</v>
      </c>
      <c r="AD209" s="181">
        <f t="shared" si="37"/>
        <v>645875.16</v>
      </c>
      <c r="AE209" s="181">
        <v>1.5</v>
      </c>
      <c r="AF209" s="181">
        <v>1.5</v>
      </c>
      <c r="AG209" s="101" t="str">
        <f t="shared" si="42"/>
        <v>超估</v>
      </c>
      <c r="AH209" s="191">
        <v>1121.2</v>
      </c>
      <c r="AI209" s="69">
        <f t="shared" si="43"/>
        <v>258</v>
      </c>
    </row>
    <row r="210" spans="1:35" s="69" customFormat="1" ht="39" x14ac:dyDescent="0.3">
      <c r="A210" s="130" t="s">
        <v>540</v>
      </c>
      <c r="B210" s="131" t="s">
        <v>109</v>
      </c>
      <c r="C210" s="132" t="s">
        <v>110</v>
      </c>
      <c r="D210" s="133">
        <v>133401</v>
      </c>
      <c r="E210" s="203"/>
      <c r="F210" s="203"/>
      <c r="G210" s="203"/>
      <c r="H210" s="203">
        <v>153939.46</v>
      </c>
      <c r="I210" s="75">
        <v>36.4</v>
      </c>
      <c r="J210" s="75">
        <v>5603396.3399999999</v>
      </c>
      <c r="K210" s="91" t="s">
        <v>111</v>
      </c>
      <c r="L210" s="73"/>
      <c r="M210" s="46">
        <v>153669.92000000001</v>
      </c>
      <c r="N210" s="46">
        <v>759850</v>
      </c>
      <c r="O210" s="46">
        <v>5593585.0899999999</v>
      </c>
      <c r="P210" s="98"/>
      <c r="Q210" s="23" t="s">
        <v>1428</v>
      </c>
      <c r="R210" s="24" t="s">
        <v>109</v>
      </c>
      <c r="S210" s="25" t="s">
        <v>110</v>
      </c>
      <c r="T210" s="26">
        <v>133401</v>
      </c>
      <c r="U210" s="26">
        <v>153939.46</v>
      </c>
      <c r="V210" s="26">
        <v>36.4</v>
      </c>
      <c r="W210" s="128">
        <f t="shared" si="39"/>
        <v>0</v>
      </c>
      <c r="X210" s="127">
        <f t="shared" si="35"/>
        <v>153669.92000000001</v>
      </c>
      <c r="Y210" s="127">
        <f t="shared" si="40"/>
        <v>0</v>
      </c>
      <c r="Z210" s="127">
        <f t="shared" si="44"/>
        <v>5593585.0899999999</v>
      </c>
      <c r="AA210" s="33" t="s">
        <v>15</v>
      </c>
      <c r="AB210" s="36" t="s">
        <v>16</v>
      </c>
      <c r="AC210" s="181">
        <f t="shared" si="41"/>
        <v>153939.46</v>
      </c>
      <c r="AD210" s="181">
        <f t="shared" si="37"/>
        <v>5603396.3399999999</v>
      </c>
      <c r="AE210" s="181">
        <v>1.5</v>
      </c>
      <c r="AF210" s="181">
        <v>1.5</v>
      </c>
      <c r="AG210" s="101" t="str">
        <f t="shared" si="42"/>
        <v>超估</v>
      </c>
      <c r="AH210" s="191">
        <v>153669.92000000001</v>
      </c>
      <c r="AI210" s="69">
        <f t="shared" si="43"/>
        <v>133401</v>
      </c>
    </row>
    <row r="211" spans="1:35" s="69" customFormat="1" ht="39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203"/>
      <c r="F211" s="203"/>
      <c r="G211" s="203"/>
      <c r="H211" s="203">
        <v>185226.6</v>
      </c>
      <c r="I211" s="75">
        <v>38.71</v>
      </c>
      <c r="J211" s="75">
        <v>7170121.6900000004</v>
      </c>
      <c r="K211" s="91" t="s">
        <v>400</v>
      </c>
      <c r="L211" s="73"/>
      <c r="M211" s="46">
        <v>185029</v>
      </c>
      <c r="N211" s="46">
        <v>2563647.17</v>
      </c>
      <c r="O211" s="46">
        <v>7162472.5899999999</v>
      </c>
      <c r="P211" s="98"/>
      <c r="Q211" s="23" t="s">
        <v>1387</v>
      </c>
      <c r="R211" s="24" t="s">
        <v>399</v>
      </c>
      <c r="S211" s="25" t="s">
        <v>110</v>
      </c>
      <c r="T211" s="26">
        <v>118802</v>
      </c>
      <c r="U211" s="26">
        <v>185226.6</v>
      </c>
      <c r="V211" s="26">
        <v>38.71</v>
      </c>
      <c r="W211" s="128">
        <f t="shared" si="39"/>
        <v>0</v>
      </c>
      <c r="X211" s="127">
        <f t="shared" si="35"/>
        <v>185029</v>
      </c>
      <c r="Y211" s="127">
        <f t="shared" si="40"/>
        <v>0</v>
      </c>
      <c r="Z211" s="127">
        <f t="shared" si="44"/>
        <v>7162472.5899999999</v>
      </c>
      <c r="AA211" s="33" t="s">
        <v>15</v>
      </c>
      <c r="AB211" s="36" t="s">
        <v>16</v>
      </c>
      <c r="AC211" s="181">
        <f t="shared" si="41"/>
        <v>185226.6</v>
      </c>
      <c r="AD211" s="181">
        <f t="shared" si="37"/>
        <v>7170121.6900000004</v>
      </c>
      <c r="AE211" s="181">
        <v>1.5</v>
      </c>
      <c r="AF211" s="181">
        <v>1.5</v>
      </c>
      <c r="AG211" s="101" t="str">
        <f t="shared" si="42"/>
        <v>超估</v>
      </c>
      <c r="AH211" s="191">
        <v>185029</v>
      </c>
      <c r="AI211" s="69">
        <f t="shared" si="43"/>
        <v>118802</v>
      </c>
    </row>
    <row r="212" spans="1:35" s="69" customFormat="1" ht="58.5" x14ac:dyDescent="0.3">
      <c r="A212" s="55" t="s">
        <v>542</v>
      </c>
      <c r="B212" s="53" t="s">
        <v>543</v>
      </c>
      <c r="C212" s="54" t="s">
        <v>30</v>
      </c>
      <c r="D212" s="75">
        <v>129</v>
      </c>
      <c r="E212" s="75"/>
      <c r="F212" s="75"/>
      <c r="G212" s="75"/>
      <c r="H212" s="75" t="s">
        <v>15</v>
      </c>
      <c r="I212" s="75">
        <v>2865.95</v>
      </c>
      <c r="J212" s="75">
        <v>369707.55</v>
      </c>
      <c r="K212" s="91" t="s">
        <v>544</v>
      </c>
      <c r="L212" s="73"/>
      <c r="M212" s="46">
        <v>0</v>
      </c>
      <c r="N212" s="46">
        <v>0</v>
      </c>
      <c r="O212" s="46">
        <v>0</v>
      </c>
      <c r="P212" s="98"/>
      <c r="Q212" s="23" t="s">
        <v>1405</v>
      </c>
      <c r="R212" s="24" t="s">
        <v>543</v>
      </c>
      <c r="S212" s="25" t="s">
        <v>30</v>
      </c>
      <c r="T212" s="26">
        <v>129</v>
      </c>
      <c r="U212" s="26">
        <v>129</v>
      </c>
      <c r="V212" s="26">
        <v>2865.95</v>
      </c>
      <c r="W212" s="128">
        <f t="shared" si="39"/>
        <v>36</v>
      </c>
      <c r="X212" s="26">
        <f t="shared" si="35"/>
        <v>36</v>
      </c>
      <c r="Y212" s="26">
        <f t="shared" si="40"/>
        <v>103174.2</v>
      </c>
      <c r="Z212" s="26">
        <f t="shared" si="44"/>
        <v>103174.2</v>
      </c>
      <c r="AA212" s="33" t="s">
        <v>15</v>
      </c>
      <c r="AB212" s="36" t="s">
        <v>16</v>
      </c>
      <c r="AC212" s="181">
        <f t="shared" si="41"/>
        <v>129</v>
      </c>
      <c r="AD212" s="181">
        <f t="shared" si="37"/>
        <v>369707.55</v>
      </c>
      <c r="AE212" s="181">
        <v>1.5</v>
      </c>
      <c r="AF212" s="181">
        <v>1.5</v>
      </c>
      <c r="AG212" s="101" t="str">
        <f t="shared" si="42"/>
        <v/>
      </c>
      <c r="AH212" s="191">
        <f>36</f>
        <v>36</v>
      </c>
      <c r="AI212" s="69">
        <f t="shared" si="43"/>
        <v>129</v>
      </c>
    </row>
    <row r="213" spans="1:35" s="69" customFormat="1" ht="58.5" x14ac:dyDescent="0.3">
      <c r="A213" s="55" t="s">
        <v>545</v>
      </c>
      <c r="B213" s="53" t="s">
        <v>546</v>
      </c>
      <c r="C213" s="54" t="s">
        <v>81</v>
      </c>
      <c r="D213" s="75">
        <v>54</v>
      </c>
      <c r="E213" s="75"/>
      <c r="F213" s="75"/>
      <c r="G213" s="75"/>
      <c r="H213" s="75" t="s">
        <v>15</v>
      </c>
      <c r="I213" s="75">
        <v>1478.05</v>
      </c>
      <c r="J213" s="75">
        <v>79814.7</v>
      </c>
      <c r="K213" s="91" t="s">
        <v>547</v>
      </c>
      <c r="L213" s="73"/>
      <c r="M213" s="46">
        <v>0</v>
      </c>
      <c r="N213" s="46">
        <v>0</v>
      </c>
      <c r="O213" s="46">
        <v>0</v>
      </c>
      <c r="P213" s="98"/>
      <c r="Q213" s="23" t="s">
        <v>1406</v>
      </c>
      <c r="R213" s="24" t="s">
        <v>546</v>
      </c>
      <c r="S213" s="25" t="s">
        <v>81</v>
      </c>
      <c r="T213" s="26">
        <v>54</v>
      </c>
      <c r="U213" s="26">
        <v>54</v>
      </c>
      <c r="V213" s="26">
        <v>1478.05</v>
      </c>
      <c r="W213" s="128">
        <f t="shared" si="39"/>
        <v>18</v>
      </c>
      <c r="X213" s="26">
        <f t="shared" si="35"/>
        <v>18</v>
      </c>
      <c r="Y213" s="26">
        <f t="shared" si="40"/>
        <v>26604.9</v>
      </c>
      <c r="Z213" s="26">
        <f t="shared" si="44"/>
        <v>26604.9</v>
      </c>
      <c r="AA213" s="33" t="s">
        <v>15</v>
      </c>
      <c r="AB213" s="36" t="s">
        <v>16</v>
      </c>
      <c r="AC213" s="181">
        <f t="shared" si="41"/>
        <v>54</v>
      </c>
      <c r="AD213" s="181">
        <f t="shared" si="37"/>
        <v>79814.7</v>
      </c>
      <c r="AE213" s="181">
        <v>1.5</v>
      </c>
      <c r="AF213" s="181">
        <v>1.5</v>
      </c>
      <c r="AG213" s="101" t="str">
        <f t="shared" si="42"/>
        <v/>
      </c>
      <c r="AH213" s="191">
        <f>18</f>
        <v>18</v>
      </c>
      <c r="AI213" s="69">
        <f t="shared" si="43"/>
        <v>54</v>
      </c>
    </row>
    <row r="214" spans="1:35" s="69" customFormat="1" ht="49.5" x14ac:dyDescent="0.3">
      <c r="A214" s="55" t="s">
        <v>548</v>
      </c>
      <c r="B214" s="138" t="s">
        <v>549</v>
      </c>
      <c r="C214" s="54" t="s">
        <v>30</v>
      </c>
      <c r="D214" s="75">
        <v>170</v>
      </c>
      <c r="E214" s="75"/>
      <c r="F214" s="75"/>
      <c r="G214" s="75"/>
      <c r="H214" s="75" t="s">
        <v>15</v>
      </c>
      <c r="I214" s="75">
        <v>151.72</v>
      </c>
      <c r="J214" s="75">
        <v>25792.400000000001</v>
      </c>
      <c r="K214" s="91" t="s">
        <v>550</v>
      </c>
      <c r="L214" s="73"/>
      <c r="M214" s="46">
        <v>0</v>
      </c>
      <c r="N214" s="46">
        <v>0</v>
      </c>
      <c r="O214" s="46">
        <v>0</v>
      </c>
      <c r="P214" s="98"/>
      <c r="Q214" s="23" t="s">
        <v>1414</v>
      </c>
      <c r="R214" s="24" t="s">
        <v>549</v>
      </c>
      <c r="S214" s="25" t="s">
        <v>30</v>
      </c>
      <c r="T214" s="26">
        <v>170</v>
      </c>
      <c r="U214" s="26">
        <v>170</v>
      </c>
      <c r="V214" s="26">
        <v>151.72</v>
      </c>
      <c r="W214" s="128">
        <f t="shared" si="39"/>
        <v>36</v>
      </c>
      <c r="X214" s="26">
        <f t="shared" si="35"/>
        <v>36</v>
      </c>
      <c r="Y214" s="26">
        <f t="shared" si="40"/>
        <v>5461.92</v>
      </c>
      <c r="Z214" s="26">
        <f t="shared" si="44"/>
        <v>5461.92</v>
      </c>
      <c r="AA214" s="33" t="s">
        <v>15</v>
      </c>
      <c r="AB214" s="36" t="s">
        <v>16</v>
      </c>
      <c r="AC214" s="181">
        <f t="shared" si="41"/>
        <v>170</v>
      </c>
      <c r="AD214" s="181">
        <f t="shared" si="37"/>
        <v>25792.400000000001</v>
      </c>
      <c r="AE214" s="181">
        <v>1.5</v>
      </c>
      <c r="AF214" s="181">
        <v>1.5</v>
      </c>
      <c r="AG214" s="101" t="str">
        <f t="shared" si="42"/>
        <v/>
      </c>
      <c r="AH214" s="191">
        <f>36</f>
        <v>36</v>
      </c>
      <c r="AI214" s="69">
        <f t="shared" si="43"/>
        <v>170</v>
      </c>
    </row>
    <row r="215" spans="1:35" s="69" customFormat="1" ht="33" x14ac:dyDescent="0.3">
      <c r="A215" s="55" t="s">
        <v>551</v>
      </c>
      <c r="B215" s="138" t="s">
        <v>552</v>
      </c>
      <c r="C215" s="54" t="s">
        <v>325</v>
      </c>
      <c r="D215" s="75">
        <v>4</v>
      </c>
      <c r="E215" s="75"/>
      <c r="F215" s="75"/>
      <c r="G215" s="75"/>
      <c r="H215" s="75">
        <v>6</v>
      </c>
      <c r="I215" s="75">
        <v>15779.6</v>
      </c>
      <c r="J215" s="75">
        <v>94677.6</v>
      </c>
      <c r="K215" s="91" t="s">
        <v>553</v>
      </c>
      <c r="L215" s="73"/>
      <c r="M215" s="46">
        <v>2</v>
      </c>
      <c r="N215" s="46">
        <v>0</v>
      </c>
      <c r="O215" s="46">
        <v>31559.200000000001</v>
      </c>
      <c r="P215" s="98"/>
      <c r="Q215" s="23" t="s">
        <v>1429</v>
      </c>
      <c r="R215" s="24" t="s">
        <v>552</v>
      </c>
      <c r="S215" s="25" t="s">
        <v>325</v>
      </c>
      <c r="T215" s="26">
        <v>4</v>
      </c>
      <c r="U215" s="26">
        <v>6</v>
      </c>
      <c r="V215" s="26">
        <v>15779.6</v>
      </c>
      <c r="W215" s="128">
        <f t="shared" si="39"/>
        <v>0</v>
      </c>
      <c r="X215" s="26">
        <f t="shared" si="35"/>
        <v>2</v>
      </c>
      <c r="Y215" s="26">
        <f t="shared" si="40"/>
        <v>0</v>
      </c>
      <c r="Z215" s="26">
        <f t="shared" si="44"/>
        <v>31559.200000000001</v>
      </c>
      <c r="AA215" s="33" t="s">
        <v>15</v>
      </c>
      <c r="AB215" s="36" t="s">
        <v>16</v>
      </c>
      <c r="AC215" s="181">
        <f t="shared" si="41"/>
        <v>6</v>
      </c>
      <c r="AD215" s="181">
        <f t="shared" si="37"/>
        <v>94677.6</v>
      </c>
      <c r="AE215" s="181">
        <v>1.5</v>
      </c>
      <c r="AF215" s="181">
        <v>1.5</v>
      </c>
      <c r="AG215" s="101" t="str">
        <f t="shared" si="42"/>
        <v/>
      </c>
      <c r="AH215" s="191">
        <v>2</v>
      </c>
      <c r="AI215" s="69">
        <f t="shared" si="43"/>
        <v>4</v>
      </c>
    </row>
    <row r="216" spans="1:35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 t="s">
        <v>15</v>
      </c>
      <c r="I216" s="75">
        <v>138.84</v>
      </c>
      <c r="J216" s="75">
        <v>62894.52</v>
      </c>
      <c r="K216" s="91" t="s">
        <v>190</v>
      </c>
      <c r="L216" s="73"/>
      <c r="M216" s="46">
        <v>285</v>
      </c>
      <c r="N216" s="46">
        <v>0</v>
      </c>
      <c r="O216" s="46">
        <v>39569.4</v>
      </c>
      <c r="P216" s="98"/>
      <c r="Q216" s="23" t="s">
        <v>1430</v>
      </c>
      <c r="R216" s="24" t="s">
        <v>189</v>
      </c>
      <c r="S216" s="25" t="s">
        <v>30</v>
      </c>
      <c r="T216" s="26">
        <v>453</v>
      </c>
      <c r="U216" s="26">
        <v>453</v>
      </c>
      <c r="V216" s="26">
        <v>138.84</v>
      </c>
      <c r="W216" s="128">
        <f t="shared" si="39"/>
        <v>0</v>
      </c>
      <c r="X216" s="26">
        <f t="shared" si="35"/>
        <v>285</v>
      </c>
      <c r="Y216" s="26">
        <f t="shared" si="40"/>
        <v>0</v>
      </c>
      <c r="Z216" s="26">
        <f t="shared" si="44"/>
        <v>39569.4</v>
      </c>
      <c r="AA216" s="33" t="s">
        <v>15</v>
      </c>
      <c r="AB216" s="36" t="s">
        <v>16</v>
      </c>
      <c r="AC216" s="181">
        <f t="shared" si="41"/>
        <v>453</v>
      </c>
      <c r="AD216" s="181">
        <f t="shared" si="37"/>
        <v>62894.52</v>
      </c>
      <c r="AE216" s="181">
        <v>1.5</v>
      </c>
      <c r="AF216" s="181">
        <v>1.5</v>
      </c>
      <c r="AG216" s="101" t="str">
        <f t="shared" si="42"/>
        <v/>
      </c>
      <c r="AH216" s="191">
        <v>285</v>
      </c>
      <c r="AI216" s="69">
        <f t="shared" si="43"/>
        <v>453</v>
      </c>
    </row>
    <row r="217" spans="1:35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 t="s">
        <v>15</v>
      </c>
      <c r="I217" s="75">
        <v>326.3</v>
      </c>
      <c r="J217" s="75">
        <v>548184</v>
      </c>
      <c r="K217" s="91" t="s">
        <v>521</v>
      </c>
      <c r="L217" s="73"/>
      <c r="M217" s="46">
        <v>936</v>
      </c>
      <c r="N217" s="46">
        <v>0</v>
      </c>
      <c r="O217" s="46">
        <v>305416.8</v>
      </c>
      <c r="P217" s="98"/>
      <c r="Q217" s="23" t="s">
        <v>1431</v>
      </c>
      <c r="R217" s="24" t="s">
        <v>520</v>
      </c>
      <c r="S217" s="25" t="s">
        <v>30</v>
      </c>
      <c r="T217" s="26">
        <v>1680</v>
      </c>
      <c r="U217" s="26">
        <v>1680</v>
      </c>
      <c r="V217" s="26">
        <v>326.3</v>
      </c>
      <c r="W217" s="128">
        <f t="shared" si="39"/>
        <v>0</v>
      </c>
      <c r="X217" s="26">
        <f t="shared" si="35"/>
        <v>936</v>
      </c>
      <c r="Y217" s="26">
        <f t="shared" si="40"/>
        <v>0</v>
      </c>
      <c r="Z217" s="26">
        <f t="shared" si="44"/>
        <v>305416.8</v>
      </c>
      <c r="AA217" s="33" t="s">
        <v>15</v>
      </c>
      <c r="AB217" s="36" t="s">
        <v>16</v>
      </c>
      <c r="AC217" s="181">
        <f t="shared" si="41"/>
        <v>1680</v>
      </c>
      <c r="AD217" s="181">
        <f t="shared" si="37"/>
        <v>548184</v>
      </c>
      <c r="AE217" s="181">
        <v>1.5</v>
      </c>
      <c r="AF217" s="181">
        <v>1.5</v>
      </c>
      <c r="AG217" s="101" t="str">
        <f t="shared" si="42"/>
        <v/>
      </c>
      <c r="AH217" s="191">
        <v>936</v>
      </c>
      <c r="AI217" s="69">
        <f t="shared" si="43"/>
        <v>1680</v>
      </c>
    </row>
    <row r="218" spans="1:35" s="69" customFormat="1" ht="39" x14ac:dyDescent="0.3">
      <c r="A218" s="130" t="s">
        <v>556</v>
      </c>
      <c r="B218" s="131" t="s">
        <v>424</v>
      </c>
      <c r="C218" s="132" t="s">
        <v>50</v>
      </c>
      <c r="D218" s="133">
        <v>756</v>
      </c>
      <c r="E218" s="75"/>
      <c r="F218" s="75"/>
      <c r="G218" s="75"/>
      <c r="H218" s="75" t="s">
        <v>15</v>
      </c>
      <c r="I218" s="75">
        <v>692.16</v>
      </c>
      <c r="J218" s="75">
        <v>523272.96000000002</v>
      </c>
      <c r="K218" s="91" t="s">
        <v>425</v>
      </c>
      <c r="L218" s="73"/>
      <c r="M218" s="46">
        <v>756</v>
      </c>
      <c r="N218" s="46">
        <v>0</v>
      </c>
      <c r="O218" s="46">
        <v>523272.96000000002</v>
      </c>
      <c r="P218" s="98"/>
      <c r="Q218" s="23" t="s">
        <v>1395</v>
      </c>
      <c r="R218" s="24" t="s">
        <v>424</v>
      </c>
      <c r="S218" s="25" t="s">
        <v>50</v>
      </c>
      <c r="T218" s="26">
        <v>756</v>
      </c>
      <c r="U218" s="26">
        <v>756</v>
      </c>
      <c r="V218" s="26">
        <v>692.16</v>
      </c>
      <c r="W218" s="127">
        <f t="shared" si="39"/>
        <v>0</v>
      </c>
      <c r="X218" s="127">
        <f t="shared" si="35"/>
        <v>756</v>
      </c>
      <c r="Y218" s="127">
        <f t="shared" si="40"/>
        <v>0</v>
      </c>
      <c r="Z218" s="127">
        <f t="shared" si="44"/>
        <v>523272.96000000002</v>
      </c>
      <c r="AA218" s="33" t="s">
        <v>15</v>
      </c>
      <c r="AB218" s="36" t="s">
        <v>16</v>
      </c>
      <c r="AC218" s="181">
        <f t="shared" si="41"/>
        <v>756</v>
      </c>
      <c r="AD218" s="181">
        <f t="shared" si="37"/>
        <v>523272.96000000002</v>
      </c>
      <c r="AE218" s="181">
        <v>1.5</v>
      </c>
      <c r="AF218" s="181">
        <v>1.5</v>
      </c>
      <c r="AG218" s="101" t="str">
        <f t="shared" si="42"/>
        <v/>
      </c>
      <c r="AH218" s="191">
        <v>756</v>
      </c>
      <c r="AI218" s="69">
        <f t="shared" si="43"/>
        <v>756</v>
      </c>
    </row>
    <row r="219" spans="1:35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 t="s">
        <v>15</v>
      </c>
      <c r="I219" s="75">
        <v>422.3</v>
      </c>
      <c r="J219" s="75">
        <v>13513.6</v>
      </c>
      <c r="K219" s="91" t="s">
        <v>560</v>
      </c>
      <c r="L219" s="73"/>
      <c r="M219" s="46">
        <v>0</v>
      </c>
      <c r="N219" s="46">
        <v>0</v>
      </c>
      <c r="O219" s="46">
        <v>0</v>
      </c>
      <c r="P219" s="98"/>
      <c r="Q219" s="23" t="s">
        <v>1432</v>
      </c>
      <c r="R219" s="24" t="s">
        <v>558</v>
      </c>
      <c r="S219" s="25" t="s">
        <v>559</v>
      </c>
      <c r="T219" s="26">
        <v>32</v>
      </c>
      <c r="U219" s="26">
        <v>32</v>
      </c>
      <c r="V219" s="26">
        <v>422.3</v>
      </c>
      <c r="W219" s="26">
        <f t="shared" si="39"/>
        <v>0</v>
      </c>
      <c r="X219" s="26">
        <f t="shared" si="35"/>
        <v>0</v>
      </c>
      <c r="Y219" s="26">
        <f t="shared" si="40"/>
        <v>0</v>
      </c>
      <c r="Z219" s="26">
        <f t="shared" si="44"/>
        <v>0</v>
      </c>
      <c r="AA219" s="33" t="s">
        <v>15</v>
      </c>
      <c r="AB219" s="36" t="s">
        <v>16</v>
      </c>
      <c r="AC219" s="181">
        <f t="shared" si="41"/>
        <v>32</v>
      </c>
      <c r="AD219" s="181">
        <f t="shared" si="37"/>
        <v>13513.6</v>
      </c>
      <c r="AE219" s="181">
        <v>1.5</v>
      </c>
      <c r="AF219" s="181">
        <v>1.5</v>
      </c>
      <c r="AG219" s="101" t="str">
        <f t="shared" si="42"/>
        <v/>
      </c>
      <c r="AH219" s="190">
        <v>0</v>
      </c>
      <c r="AI219" s="69">
        <f t="shared" si="43"/>
        <v>32</v>
      </c>
    </row>
    <row r="220" spans="1:35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 t="s">
        <v>15</v>
      </c>
      <c r="I220" s="82"/>
      <c r="J220" s="82">
        <v>13861675.58</v>
      </c>
      <c r="K220" s="94" t="s">
        <v>15</v>
      </c>
      <c r="L220" s="73"/>
      <c r="M220" s="45">
        <v>1</v>
      </c>
      <c r="N220" s="45">
        <v>268785.58</v>
      </c>
      <c r="O220" s="45">
        <v>6066730</v>
      </c>
      <c r="P220" s="98"/>
      <c r="Q220" s="18" t="s">
        <v>1394</v>
      </c>
      <c r="R220" s="19" t="s">
        <v>562</v>
      </c>
      <c r="S220" s="20" t="s">
        <v>14</v>
      </c>
      <c r="T220" s="21">
        <v>1</v>
      </c>
      <c r="U220" s="21"/>
      <c r="V220" s="21">
        <f>SUMIFS(AD:AD,AE:AE,AE220)</f>
        <v>13861675.579999998</v>
      </c>
      <c r="W220" s="21">
        <f t="shared" ref="W220:X220" si="45">IF(Y220=0,0,1)</f>
        <v>1</v>
      </c>
      <c r="X220" s="21">
        <f t="shared" si="45"/>
        <v>1</v>
      </c>
      <c r="Y220" s="21">
        <f>SUMIFS(Y:Y,AF:AF,AE220)</f>
        <v>1496418.06</v>
      </c>
      <c r="Z220" s="21">
        <f>SUMIFS(Z:Z,AF:AF,AE220)</f>
        <v>7563148.0599999977</v>
      </c>
      <c r="AA220" s="22" t="s">
        <v>15</v>
      </c>
      <c r="AB220" s="43" t="s">
        <v>16</v>
      </c>
      <c r="AC220" s="181">
        <f t="shared" si="41"/>
        <v>1</v>
      </c>
      <c r="AD220" s="184"/>
      <c r="AE220" s="184">
        <v>1.6</v>
      </c>
      <c r="AF220" s="184"/>
      <c r="AG220" s="101" t="str">
        <f t="shared" si="42"/>
        <v/>
      </c>
      <c r="AH220" s="190">
        <v>1</v>
      </c>
      <c r="AI220" s="69">
        <f t="shared" si="43"/>
        <v>1</v>
      </c>
    </row>
    <row r="221" spans="1:35" s="69" customFormat="1" ht="58.5" x14ac:dyDescent="0.3">
      <c r="A221" s="55" t="s">
        <v>563</v>
      </c>
      <c r="B221" s="53" t="s">
        <v>564</v>
      </c>
      <c r="C221" s="54" t="s">
        <v>23</v>
      </c>
      <c r="D221" s="75">
        <v>256</v>
      </c>
      <c r="E221" s="75"/>
      <c r="F221" s="75"/>
      <c r="G221" s="75"/>
      <c r="H221" s="75">
        <v>380.68</v>
      </c>
      <c r="I221" s="75">
        <v>7517.56</v>
      </c>
      <c r="J221" s="75">
        <v>2861784.74</v>
      </c>
      <c r="K221" s="91" t="s">
        <v>565</v>
      </c>
      <c r="L221" s="73"/>
      <c r="M221" s="46">
        <v>144.1</v>
      </c>
      <c r="N221" s="46">
        <v>0</v>
      </c>
      <c r="O221" s="46">
        <v>1083280.3999999999</v>
      </c>
      <c r="P221" s="98"/>
      <c r="Q221" s="23" t="s">
        <v>1421</v>
      </c>
      <c r="R221" s="24" t="s">
        <v>564</v>
      </c>
      <c r="S221" s="25" t="s">
        <v>23</v>
      </c>
      <c r="T221" s="26">
        <v>256</v>
      </c>
      <c r="U221" s="26">
        <v>380.68</v>
      </c>
      <c r="V221" s="26">
        <v>7517.56</v>
      </c>
      <c r="W221" s="128">
        <f t="shared" ref="W221:W236" si="46">AH221-M221</f>
        <v>0</v>
      </c>
      <c r="X221" s="26">
        <f t="shared" si="35"/>
        <v>144.1</v>
      </c>
      <c r="Y221" s="26">
        <f t="shared" ref="Y221:Y236" si="47">Z221-O221</f>
        <v>0</v>
      </c>
      <c r="Z221" s="26">
        <f t="shared" si="44"/>
        <v>1083280.3999999999</v>
      </c>
      <c r="AA221" s="33" t="s">
        <v>15</v>
      </c>
      <c r="AB221" s="36" t="s">
        <v>16</v>
      </c>
      <c r="AC221" s="181">
        <f t="shared" si="41"/>
        <v>380.68</v>
      </c>
      <c r="AD221" s="181">
        <f t="shared" ref="AD221:AD236" si="48">ROUND(V221*AC221,2)</f>
        <v>2861784.74</v>
      </c>
      <c r="AE221" s="181">
        <v>1.6</v>
      </c>
      <c r="AF221" s="181">
        <v>1.6</v>
      </c>
      <c r="AG221" s="101" t="str">
        <f t="shared" si="42"/>
        <v/>
      </c>
      <c r="AH221" s="191">
        <v>144.1</v>
      </c>
      <c r="AI221" s="69">
        <f t="shared" si="43"/>
        <v>256</v>
      </c>
    </row>
    <row r="222" spans="1:35" s="69" customFormat="1" ht="58.5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917.25</v>
      </c>
      <c r="I222" s="75">
        <v>7496.96</v>
      </c>
      <c r="J222" s="75">
        <v>6876586.5599999996</v>
      </c>
      <c r="K222" s="91" t="s">
        <v>568</v>
      </c>
      <c r="L222" s="73"/>
      <c r="M222" s="46">
        <v>437.3</v>
      </c>
      <c r="N222" s="46">
        <v>0</v>
      </c>
      <c r="O222" s="46">
        <v>3278420.61</v>
      </c>
      <c r="P222" s="98"/>
      <c r="Q222" s="23" t="s">
        <v>1426</v>
      </c>
      <c r="R222" s="24" t="s">
        <v>567</v>
      </c>
      <c r="S222" s="25" t="s">
        <v>23</v>
      </c>
      <c r="T222" s="26">
        <v>766</v>
      </c>
      <c r="U222" s="26">
        <v>917.25</v>
      </c>
      <c r="V222" s="26">
        <v>7496.96</v>
      </c>
      <c r="W222" s="128">
        <f t="shared" si="46"/>
        <v>0</v>
      </c>
      <c r="X222" s="26">
        <f t="shared" si="35"/>
        <v>437.3</v>
      </c>
      <c r="Y222" s="26">
        <f t="shared" si="47"/>
        <v>0</v>
      </c>
      <c r="Z222" s="26">
        <f t="shared" si="44"/>
        <v>3278420.61</v>
      </c>
      <c r="AA222" s="33" t="s">
        <v>15</v>
      </c>
      <c r="AB222" s="36" t="s">
        <v>16</v>
      </c>
      <c r="AC222" s="181">
        <f t="shared" si="41"/>
        <v>917.25</v>
      </c>
      <c r="AD222" s="181">
        <f t="shared" si="48"/>
        <v>6876586.5599999996</v>
      </c>
      <c r="AE222" s="181">
        <v>1.6</v>
      </c>
      <c r="AF222" s="181">
        <v>1.6</v>
      </c>
      <c r="AG222" s="101" t="str">
        <f t="shared" si="42"/>
        <v/>
      </c>
      <c r="AH222" s="191">
        <v>437.3</v>
      </c>
      <c r="AI222" s="69">
        <f t="shared" si="43"/>
        <v>766</v>
      </c>
    </row>
    <row r="223" spans="1:35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 t="s">
        <v>15</v>
      </c>
      <c r="I223" s="75">
        <v>11.6</v>
      </c>
      <c r="J223" s="75">
        <v>59194.8</v>
      </c>
      <c r="K223" s="91" t="s">
        <v>571</v>
      </c>
      <c r="L223" s="73"/>
      <c r="M223" s="46">
        <v>798</v>
      </c>
      <c r="N223" s="46">
        <v>0</v>
      </c>
      <c r="O223" s="46">
        <v>9256.7999999999993</v>
      </c>
      <c r="P223" s="98"/>
      <c r="Q223" s="23" t="s">
        <v>1402</v>
      </c>
      <c r="R223" s="24" t="s">
        <v>570</v>
      </c>
      <c r="S223" s="25" t="s">
        <v>50</v>
      </c>
      <c r="T223" s="26">
        <v>5103</v>
      </c>
      <c r="U223" s="26">
        <v>5103</v>
      </c>
      <c r="V223" s="26">
        <v>11.6</v>
      </c>
      <c r="W223" s="128">
        <f t="shared" si="46"/>
        <v>0</v>
      </c>
      <c r="X223" s="26">
        <f t="shared" si="35"/>
        <v>798</v>
      </c>
      <c r="Y223" s="26">
        <f t="shared" si="47"/>
        <v>0</v>
      </c>
      <c r="Z223" s="26">
        <f t="shared" si="44"/>
        <v>9256.7999999999993</v>
      </c>
      <c r="AA223" s="33" t="s">
        <v>15</v>
      </c>
      <c r="AB223" s="36" t="s">
        <v>16</v>
      </c>
      <c r="AC223" s="181">
        <f t="shared" si="41"/>
        <v>5103</v>
      </c>
      <c r="AD223" s="181">
        <f t="shared" si="48"/>
        <v>59194.8</v>
      </c>
      <c r="AE223" s="181">
        <v>1.6</v>
      </c>
      <c r="AF223" s="181">
        <v>1.6</v>
      </c>
      <c r="AG223" s="101" t="str">
        <f t="shared" si="42"/>
        <v/>
      </c>
      <c r="AH223" s="191">
        <v>798</v>
      </c>
      <c r="AI223" s="69">
        <f t="shared" si="43"/>
        <v>5103</v>
      </c>
    </row>
    <row r="224" spans="1:35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6734.4</v>
      </c>
      <c r="I224" s="75">
        <v>42.46</v>
      </c>
      <c r="J224" s="75">
        <v>285942.62</v>
      </c>
      <c r="K224" s="91" t="s">
        <v>574</v>
      </c>
      <c r="L224" s="73"/>
      <c r="M224" s="46">
        <v>2381</v>
      </c>
      <c r="N224" s="46">
        <v>0</v>
      </c>
      <c r="O224" s="46">
        <v>101097.26</v>
      </c>
      <c r="P224" s="98"/>
      <c r="Q224" s="23" t="s">
        <v>1373</v>
      </c>
      <c r="R224" s="24" t="s">
        <v>573</v>
      </c>
      <c r="S224" s="25" t="s">
        <v>50</v>
      </c>
      <c r="T224" s="26">
        <v>5103</v>
      </c>
      <c r="U224" s="26">
        <v>6734.4</v>
      </c>
      <c r="V224" s="26">
        <v>42.46</v>
      </c>
      <c r="W224" s="128">
        <f t="shared" si="46"/>
        <v>0</v>
      </c>
      <c r="X224" s="26">
        <f t="shared" si="35"/>
        <v>2381</v>
      </c>
      <c r="Y224" s="26">
        <f t="shared" si="47"/>
        <v>0</v>
      </c>
      <c r="Z224" s="26">
        <f t="shared" si="44"/>
        <v>101097.26</v>
      </c>
      <c r="AA224" s="33" t="s">
        <v>15</v>
      </c>
      <c r="AB224" s="36" t="s">
        <v>16</v>
      </c>
      <c r="AC224" s="181">
        <f t="shared" si="41"/>
        <v>6734.4</v>
      </c>
      <c r="AD224" s="181">
        <f t="shared" si="48"/>
        <v>285942.62</v>
      </c>
      <c r="AE224" s="181">
        <v>1.6</v>
      </c>
      <c r="AF224" s="181">
        <v>1.6</v>
      </c>
      <c r="AG224" s="101" t="str">
        <f t="shared" si="42"/>
        <v/>
      </c>
      <c r="AH224" s="191">
        <v>2381</v>
      </c>
      <c r="AI224" s="69">
        <f t="shared" si="43"/>
        <v>5103</v>
      </c>
    </row>
    <row r="225" spans="1:35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19027.2</v>
      </c>
      <c r="I225" s="75">
        <v>15.96</v>
      </c>
      <c r="J225" s="75">
        <v>303674.11</v>
      </c>
      <c r="K225" s="91" t="s">
        <v>577</v>
      </c>
      <c r="L225" s="73"/>
      <c r="M225" s="46">
        <v>7986</v>
      </c>
      <c r="N225" s="46">
        <v>0</v>
      </c>
      <c r="O225" s="46">
        <v>127456.56</v>
      </c>
      <c r="P225" s="98"/>
      <c r="Q225" s="23" t="s">
        <v>1393</v>
      </c>
      <c r="R225" s="24" t="s">
        <v>576</v>
      </c>
      <c r="S225" s="25" t="s">
        <v>50</v>
      </c>
      <c r="T225" s="26">
        <v>15307</v>
      </c>
      <c r="U225" s="26">
        <v>19027.2</v>
      </c>
      <c r="V225" s="26">
        <v>15.96</v>
      </c>
      <c r="W225" s="128">
        <f t="shared" si="46"/>
        <v>0</v>
      </c>
      <c r="X225" s="26">
        <f t="shared" si="35"/>
        <v>7986</v>
      </c>
      <c r="Y225" s="26">
        <f t="shared" si="47"/>
        <v>0</v>
      </c>
      <c r="Z225" s="26">
        <f t="shared" si="44"/>
        <v>127456.56</v>
      </c>
      <c r="AA225" s="33" t="s">
        <v>15</v>
      </c>
      <c r="AB225" s="36" t="s">
        <v>16</v>
      </c>
      <c r="AC225" s="181">
        <f t="shared" si="41"/>
        <v>19027.2</v>
      </c>
      <c r="AD225" s="181">
        <f t="shared" si="48"/>
        <v>303674.11</v>
      </c>
      <c r="AE225" s="181">
        <v>1.6</v>
      </c>
      <c r="AF225" s="181">
        <v>1.6</v>
      </c>
      <c r="AG225" s="101" t="str">
        <f t="shared" si="42"/>
        <v/>
      </c>
      <c r="AH225" s="191">
        <v>7986</v>
      </c>
      <c r="AI225" s="69">
        <f t="shared" si="43"/>
        <v>15307</v>
      </c>
    </row>
    <row r="226" spans="1:35" s="69" customFormat="1" ht="39" x14ac:dyDescent="0.3">
      <c r="A226" s="130" t="s">
        <v>578</v>
      </c>
      <c r="B226" s="131" t="s">
        <v>392</v>
      </c>
      <c r="C226" s="132" t="s">
        <v>23</v>
      </c>
      <c r="D226" s="133">
        <v>24</v>
      </c>
      <c r="E226" s="75"/>
      <c r="F226" s="75"/>
      <c r="G226" s="75"/>
      <c r="H226" s="75" t="s">
        <v>15</v>
      </c>
      <c r="I226" s="75">
        <v>3115.13</v>
      </c>
      <c r="J226" s="75">
        <v>74763.12</v>
      </c>
      <c r="K226" s="91" t="s">
        <v>114</v>
      </c>
      <c r="L226" s="73"/>
      <c r="M226" s="46">
        <v>5</v>
      </c>
      <c r="N226" s="46">
        <v>0</v>
      </c>
      <c r="O226" s="46">
        <v>15575.65</v>
      </c>
      <c r="P226" s="98"/>
      <c r="Q226" s="23" t="s">
        <v>1403</v>
      </c>
      <c r="R226" s="24" t="s">
        <v>392</v>
      </c>
      <c r="S226" s="25" t="s">
        <v>23</v>
      </c>
      <c r="T226" s="26">
        <v>24</v>
      </c>
      <c r="U226" s="26">
        <v>24</v>
      </c>
      <c r="V226" s="26">
        <v>3115.13</v>
      </c>
      <c r="W226" s="128">
        <f t="shared" si="46"/>
        <v>19</v>
      </c>
      <c r="X226" s="127">
        <f t="shared" si="35"/>
        <v>24</v>
      </c>
      <c r="Y226" s="127">
        <f t="shared" si="47"/>
        <v>59187.469999999994</v>
      </c>
      <c r="Z226" s="127">
        <f t="shared" si="44"/>
        <v>74763.12</v>
      </c>
      <c r="AA226" s="33" t="s">
        <v>15</v>
      </c>
      <c r="AB226" s="36" t="s">
        <v>16</v>
      </c>
      <c r="AC226" s="181">
        <f t="shared" si="41"/>
        <v>24</v>
      </c>
      <c r="AD226" s="181">
        <f t="shared" si="48"/>
        <v>74763.12</v>
      </c>
      <c r="AE226" s="181">
        <v>1.6</v>
      </c>
      <c r="AF226" s="181">
        <v>1.6</v>
      </c>
      <c r="AG226" s="101" t="str">
        <f t="shared" si="42"/>
        <v/>
      </c>
      <c r="AH226" s="191">
        <f>5+19</f>
        <v>24</v>
      </c>
      <c r="AI226" s="69">
        <f t="shared" si="43"/>
        <v>24</v>
      </c>
    </row>
    <row r="227" spans="1:35" s="69" customFormat="1" ht="39" x14ac:dyDescent="0.3">
      <c r="A227" s="55" t="s">
        <v>579</v>
      </c>
      <c r="B227" s="53" t="s">
        <v>116</v>
      </c>
      <c r="C227" s="54" t="s">
        <v>23</v>
      </c>
      <c r="D227" s="75">
        <v>237</v>
      </c>
      <c r="E227" s="75"/>
      <c r="F227" s="75"/>
      <c r="G227" s="75"/>
      <c r="H227" s="75" t="s">
        <v>15</v>
      </c>
      <c r="I227" s="75">
        <v>3321.13</v>
      </c>
      <c r="J227" s="75">
        <v>787107.81</v>
      </c>
      <c r="K227" s="91" t="s">
        <v>117</v>
      </c>
      <c r="L227" s="73"/>
      <c r="M227" s="46">
        <v>120.35</v>
      </c>
      <c r="N227" s="46">
        <v>108268.84</v>
      </c>
      <c r="O227" s="46">
        <v>399698</v>
      </c>
      <c r="P227" s="98"/>
      <c r="Q227" s="23" t="s">
        <v>1427</v>
      </c>
      <c r="R227" s="24" t="s">
        <v>116</v>
      </c>
      <c r="S227" s="25" t="s">
        <v>23</v>
      </c>
      <c r="T227" s="26">
        <v>237</v>
      </c>
      <c r="U227" s="26">
        <v>237</v>
      </c>
      <c r="V227" s="26">
        <v>3321.13</v>
      </c>
      <c r="W227" s="128">
        <f t="shared" si="46"/>
        <v>103.6</v>
      </c>
      <c r="X227" s="26">
        <f t="shared" si="35"/>
        <v>223.95</v>
      </c>
      <c r="Y227" s="26">
        <f t="shared" si="47"/>
        <v>344069.06000000006</v>
      </c>
      <c r="Z227" s="26">
        <f t="shared" si="44"/>
        <v>743767.06</v>
      </c>
      <c r="AA227" s="33" t="s">
        <v>15</v>
      </c>
      <c r="AB227" s="36" t="s">
        <v>16</v>
      </c>
      <c r="AC227" s="181">
        <f t="shared" si="41"/>
        <v>237</v>
      </c>
      <c r="AD227" s="181">
        <f t="shared" si="48"/>
        <v>787107.81</v>
      </c>
      <c r="AE227" s="181">
        <v>1.6</v>
      </c>
      <c r="AF227" s="181">
        <v>1.6</v>
      </c>
      <c r="AG227" s="101" t="str">
        <f t="shared" si="42"/>
        <v/>
      </c>
      <c r="AH227" s="191">
        <f>120.35+103.6</f>
        <v>223.95</v>
      </c>
      <c r="AI227" s="69">
        <f t="shared" si="43"/>
        <v>237</v>
      </c>
    </row>
    <row r="228" spans="1:35" s="69" customFormat="1" ht="39" x14ac:dyDescent="0.3">
      <c r="A228" s="55" t="s">
        <v>580</v>
      </c>
      <c r="B228" s="53" t="s">
        <v>493</v>
      </c>
      <c r="C228" s="54" t="s">
        <v>23</v>
      </c>
      <c r="D228" s="75">
        <v>261</v>
      </c>
      <c r="E228" s="75"/>
      <c r="F228" s="75"/>
      <c r="G228" s="75"/>
      <c r="H228" s="75" t="s">
        <v>15</v>
      </c>
      <c r="I228" s="75">
        <v>200</v>
      </c>
      <c r="J228" s="75">
        <v>52200</v>
      </c>
      <c r="K228" s="91" t="s">
        <v>494</v>
      </c>
      <c r="L228" s="73"/>
      <c r="M228" s="46">
        <v>125.35</v>
      </c>
      <c r="N228" s="46">
        <v>6520</v>
      </c>
      <c r="O228" s="46">
        <v>25070</v>
      </c>
      <c r="P228" s="98"/>
      <c r="Q228" s="23" t="s">
        <v>1428</v>
      </c>
      <c r="R228" s="24" t="s">
        <v>493</v>
      </c>
      <c r="S228" s="25" t="s">
        <v>23</v>
      </c>
      <c r="T228" s="26">
        <v>261</v>
      </c>
      <c r="U228" s="26">
        <v>261</v>
      </c>
      <c r="V228" s="26">
        <v>200</v>
      </c>
      <c r="W228" s="128">
        <f t="shared" si="46"/>
        <v>122.6</v>
      </c>
      <c r="X228" s="26">
        <f t="shared" si="35"/>
        <v>247.95</v>
      </c>
      <c r="Y228" s="26">
        <f t="shared" si="47"/>
        <v>24520</v>
      </c>
      <c r="Z228" s="26">
        <f t="shared" si="44"/>
        <v>49590</v>
      </c>
      <c r="AA228" s="33" t="s">
        <v>15</v>
      </c>
      <c r="AB228" s="36" t="s">
        <v>16</v>
      </c>
      <c r="AC228" s="181">
        <f t="shared" si="41"/>
        <v>261</v>
      </c>
      <c r="AD228" s="181">
        <f t="shared" si="48"/>
        <v>52200</v>
      </c>
      <c r="AE228" s="181">
        <v>1.6</v>
      </c>
      <c r="AF228" s="181">
        <v>1.6</v>
      </c>
      <c r="AG228" s="101" t="str">
        <f t="shared" si="42"/>
        <v/>
      </c>
      <c r="AH228" s="191">
        <f>AH226+AH227</f>
        <v>247.95</v>
      </c>
      <c r="AI228" s="69">
        <f t="shared" si="43"/>
        <v>261</v>
      </c>
    </row>
    <row r="229" spans="1:35" s="69" customFormat="1" ht="33" x14ac:dyDescent="0.3">
      <c r="A229" s="55" t="s">
        <v>581</v>
      </c>
      <c r="B229" s="53" t="s">
        <v>582</v>
      </c>
      <c r="C229" s="54" t="s">
        <v>50</v>
      </c>
      <c r="D229" s="75">
        <v>745</v>
      </c>
      <c r="E229" s="75"/>
      <c r="F229" s="75"/>
      <c r="G229" s="75"/>
      <c r="H229" s="75" t="s">
        <v>15</v>
      </c>
      <c r="I229" s="75">
        <v>698.31</v>
      </c>
      <c r="J229" s="75">
        <v>520240.95</v>
      </c>
      <c r="K229" s="91" t="s">
        <v>583</v>
      </c>
      <c r="L229" s="73"/>
      <c r="M229" s="46">
        <v>256</v>
      </c>
      <c r="N229" s="46">
        <v>0</v>
      </c>
      <c r="O229" s="46">
        <v>178767.35999999999</v>
      </c>
      <c r="P229" s="98"/>
      <c r="Q229" s="23" t="s">
        <v>1387</v>
      </c>
      <c r="R229" s="24" t="s">
        <v>582</v>
      </c>
      <c r="S229" s="25" t="s">
        <v>50</v>
      </c>
      <c r="T229" s="26">
        <v>745</v>
      </c>
      <c r="U229" s="26">
        <v>745</v>
      </c>
      <c r="V229" s="26">
        <v>698.31</v>
      </c>
      <c r="W229" s="128">
        <f t="shared" si="46"/>
        <v>312</v>
      </c>
      <c r="X229" s="26">
        <f t="shared" si="35"/>
        <v>568</v>
      </c>
      <c r="Y229" s="26">
        <f t="shared" si="47"/>
        <v>217872.72000000003</v>
      </c>
      <c r="Z229" s="26">
        <f t="shared" si="44"/>
        <v>396640.08</v>
      </c>
      <c r="AA229" s="33" t="s">
        <v>15</v>
      </c>
      <c r="AB229" s="36" t="s">
        <v>16</v>
      </c>
      <c r="AC229" s="181">
        <f t="shared" si="41"/>
        <v>745</v>
      </c>
      <c r="AD229" s="181">
        <f t="shared" si="48"/>
        <v>520240.95</v>
      </c>
      <c r="AE229" s="181">
        <v>1.6</v>
      </c>
      <c r="AF229" s="181">
        <v>1.6</v>
      </c>
      <c r="AG229" s="101" t="str">
        <f t="shared" si="42"/>
        <v/>
      </c>
      <c r="AH229" s="191">
        <f>256+312</f>
        <v>568</v>
      </c>
      <c r="AI229" s="69">
        <f t="shared" si="43"/>
        <v>745</v>
      </c>
    </row>
    <row r="230" spans="1:35" s="69" customFormat="1" ht="41.25" x14ac:dyDescent="0.3">
      <c r="A230" s="55" t="s">
        <v>584</v>
      </c>
      <c r="B230" s="53" t="s">
        <v>119</v>
      </c>
      <c r="C230" s="54" t="s">
        <v>50</v>
      </c>
      <c r="D230" s="75">
        <v>915</v>
      </c>
      <c r="E230" s="75"/>
      <c r="F230" s="75"/>
      <c r="G230" s="75"/>
      <c r="H230" s="75" t="s">
        <v>15</v>
      </c>
      <c r="I230" s="75">
        <v>533.64</v>
      </c>
      <c r="J230" s="75">
        <v>488280.6</v>
      </c>
      <c r="K230" s="91" t="s">
        <v>120</v>
      </c>
      <c r="L230" s="73"/>
      <c r="M230" s="46">
        <v>254.5</v>
      </c>
      <c r="N230" s="46">
        <v>0</v>
      </c>
      <c r="O230" s="46">
        <v>135811.38</v>
      </c>
      <c r="P230" s="98"/>
      <c r="Q230" s="23" t="s">
        <v>1405</v>
      </c>
      <c r="R230" s="24" t="s">
        <v>119</v>
      </c>
      <c r="S230" s="25" t="s">
        <v>50</v>
      </c>
      <c r="T230" s="26">
        <v>915</v>
      </c>
      <c r="U230" s="26">
        <v>915</v>
      </c>
      <c r="V230" s="26">
        <v>533.64</v>
      </c>
      <c r="W230" s="128">
        <f t="shared" si="46"/>
        <v>622</v>
      </c>
      <c r="X230" s="26">
        <f t="shared" si="35"/>
        <v>876.5</v>
      </c>
      <c r="Y230" s="26">
        <f t="shared" si="47"/>
        <v>331924.08</v>
      </c>
      <c r="Z230" s="26">
        <f t="shared" si="44"/>
        <v>467735.46</v>
      </c>
      <c r="AA230" s="33" t="s">
        <v>15</v>
      </c>
      <c r="AB230" s="36" t="s">
        <v>16</v>
      </c>
      <c r="AC230" s="181">
        <f t="shared" si="41"/>
        <v>915</v>
      </c>
      <c r="AD230" s="181">
        <f t="shared" si="48"/>
        <v>488280.6</v>
      </c>
      <c r="AE230" s="181">
        <v>1.6</v>
      </c>
      <c r="AF230" s="181">
        <v>1.6</v>
      </c>
      <c r="AG230" s="101" t="str">
        <f t="shared" si="42"/>
        <v/>
      </c>
      <c r="AH230" s="191">
        <f>254.5+622</f>
        <v>876.5</v>
      </c>
      <c r="AI230" s="69">
        <f t="shared" si="43"/>
        <v>915</v>
      </c>
    </row>
    <row r="231" spans="1:35" s="69" customFormat="1" ht="33" x14ac:dyDescent="0.3">
      <c r="A231" s="130" t="s">
        <v>585</v>
      </c>
      <c r="B231" s="131" t="s">
        <v>109</v>
      </c>
      <c r="C231" s="132" t="s">
        <v>110</v>
      </c>
      <c r="D231" s="133">
        <v>9227</v>
      </c>
      <c r="E231" s="75"/>
      <c r="F231" s="75"/>
      <c r="G231" s="75"/>
      <c r="H231" s="75" t="s">
        <v>15</v>
      </c>
      <c r="I231" s="75">
        <v>36.4</v>
      </c>
      <c r="J231" s="75">
        <v>335862.8</v>
      </c>
      <c r="K231" s="91" t="s">
        <v>111</v>
      </c>
      <c r="L231" s="73"/>
      <c r="M231" s="46">
        <v>9227</v>
      </c>
      <c r="N231" s="46">
        <v>16380</v>
      </c>
      <c r="O231" s="46">
        <v>335862.8</v>
      </c>
      <c r="P231" s="98"/>
      <c r="Q231" s="23" t="s">
        <v>1406</v>
      </c>
      <c r="R231" s="24" t="s">
        <v>109</v>
      </c>
      <c r="S231" s="25" t="s">
        <v>110</v>
      </c>
      <c r="T231" s="26">
        <v>9227</v>
      </c>
      <c r="U231" s="26">
        <v>9227</v>
      </c>
      <c r="V231" s="26">
        <v>36.4</v>
      </c>
      <c r="W231" s="128">
        <f t="shared" si="46"/>
        <v>0</v>
      </c>
      <c r="X231" s="127">
        <f t="shared" si="35"/>
        <v>9227</v>
      </c>
      <c r="Y231" s="127">
        <f t="shared" si="47"/>
        <v>0</v>
      </c>
      <c r="Z231" s="127">
        <f t="shared" si="44"/>
        <v>335862.8</v>
      </c>
      <c r="AA231" s="33" t="s">
        <v>15</v>
      </c>
      <c r="AB231" s="36" t="s">
        <v>16</v>
      </c>
      <c r="AC231" s="181">
        <f t="shared" si="41"/>
        <v>9227</v>
      </c>
      <c r="AD231" s="181">
        <f t="shared" si="48"/>
        <v>335862.8</v>
      </c>
      <c r="AE231" s="181">
        <v>1.6</v>
      </c>
      <c r="AF231" s="181">
        <v>1.6</v>
      </c>
      <c r="AG231" s="101" t="str">
        <f t="shared" si="42"/>
        <v/>
      </c>
      <c r="AH231" s="191">
        <v>9227</v>
      </c>
      <c r="AI231" s="69">
        <f t="shared" si="43"/>
        <v>9227</v>
      </c>
    </row>
    <row r="232" spans="1:35" s="69" customFormat="1" ht="58.5" x14ac:dyDescent="0.3">
      <c r="A232" s="55" t="s">
        <v>586</v>
      </c>
      <c r="B232" s="53" t="s">
        <v>587</v>
      </c>
      <c r="C232" s="54" t="s">
        <v>513</v>
      </c>
      <c r="D232" s="75">
        <v>189</v>
      </c>
      <c r="E232" s="75"/>
      <c r="F232" s="75"/>
      <c r="G232" s="75"/>
      <c r="H232" s="75" t="s">
        <v>15</v>
      </c>
      <c r="I232" s="75">
        <v>40</v>
      </c>
      <c r="J232" s="75">
        <v>7560</v>
      </c>
      <c r="K232" s="91" t="s">
        <v>588</v>
      </c>
      <c r="L232" s="73"/>
      <c r="M232" s="46">
        <v>0</v>
      </c>
      <c r="N232" s="46">
        <v>0</v>
      </c>
      <c r="O232" s="46">
        <v>0</v>
      </c>
      <c r="P232" s="98"/>
      <c r="Q232" s="23" t="s">
        <v>1414</v>
      </c>
      <c r="R232" s="24" t="s">
        <v>587</v>
      </c>
      <c r="S232" s="25" t="s">
        <v>513</v>
      </c>
      <c r="T232" s="26">
        <v>189</v>
      </c>
      <c r="U232" s="26">
        <v>189</v>
      </c>
      <c r="V232" s="26">
        <v>40</v>
      </c>
      <c r="W232" s="26">
        <f t="shared" si="46"/>
        <v>0</v>
      </c>
      <c r="X232" s="26">
        <f t="shared" si="35"/>
        <v>0</v>
      </c>
      <c r="Y232" s="26">
        <f t="shared" si="47"/>
        <v>0</v>
      </c>
      <c r="Z232" s="26">
        <f t="shared" si="44"/>
        <v>0</v>
      </c>
      <c r="AA232" s="33" t="s">
        <v>15</v>
      </c>
      <c r="AB232" s="36" t="s">
        <v>16</v>
      </c>
      <c r="AC232" s="181">
        <f t="shared" si="41"/>
        <v>189</v>
      </c>
      <c r="AD232" s="181">
        <f t="shared" si="48"/>
        <v>7560</v>
      </c>
      <c r="AE232" s="181">
        <v>1.6</v>
      </c>
      <c r="AF232" s="181">
        <v>1.6</v>
      </c>
      <c r="AG232" s="101" t="str">
        <f t="shared" si="42"/>
        <v/>
      </c>
      <c r="AH232" s="190">
        <v>0</v>
      </c>
      <c r="AI232" s="69">
        <f t="shared" si="43"/>
        <v>189</v>
      </c>
    </row>
    <row r="233" spans="1:35" s="69" customFormat="1" ht="58.5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 t="s">
        <v>15</v>
      </c>
      <c r="I233" s="75">
        <v>3615.3</v>
      </c>
      <c r="J233" s="75">
        <v>426605.4</v>
      </c>
      <c r="K233" s="91" t="s">
        <v>591</v>
      </c>
      <c r="L233" s="73"/>
      <c r="M233" s="46">
        <v>40</v>
      </c>
      <c r="N233" s="46">
        <v>65075.4</v>
      </c>
      <c r="O233" s="46">
        <v>144612</v>
      </c>
      <c r="P233" s="98"/>
      <c r="Q233" s="23" t="s">
        <v>1429</v>
      </c>
      <c r="R233" s="24" t="s">
        <v>590</v>
      </c>
      <c r="S233" s="25" t="s">
        <v>325</v>
      </c>
      <c r="T233" s="26">
        <v>118</v>
      </c>
      <c r="U233" s="26">
        <v>118</v>
      </c>
      <c r="V233" s="26">
        <v>3615.3</v>
      </c>
      <c r="W233" s="128">
        <f t="shared" si="46"/>
        <v>42</v>
      </c>
      <c r="X233" s="26">
        <f t="shared" si="35"/>
        <v>82</v>
      </c>
      <c r="Y233" s="26">
        <f t="shared" si="47"/>
        <v>151842.59999999998</v>
      </c>
      <c r="Z233" s="26">
        <f t="shared" si="44"/>
        <v>296454.59999999998</v>
      </c>
      <c r="AA233" s="33" t="s">
        <v>15</v>
      </c>
      <c r="AB233" s="36" t="s">
        <v>16</v>
      </c>
      <c r="AC233" s="181">
        <f t="shared" si="41"/>
        <v>118</v>
      </c>
      <c r="AD233" s="181">
        <f t="shared" si="48"/>
        <v>426605.4</v>
      </c>
      <c r="AE233" s="181">
        <v>1.6</v>
      </c>
      <c r="AF233" s="181">
        <v>1.6</v>
      </c>
      <c r="AG233" s="101" t="str">
        <f t="shared" si="42"/>
        <v/>
      </c>
      <c r="AH233" s="191">
        <f>40+42</f>
        <v>82</v>
      </c>
      <c r="AI233" s="69">
        <f t="shared" si="43"/>
        <v>118</v>
      </c>
    </row>
    <row r="234" spans="1:35" s="69" customFormat="1" ht="58.5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 t="s">
        <v>15</v>
      </c>
      <c r="I234" s="75">
        <v>113.98</v>
      </c>
      <c r="J234" s="75">
        <v>316066.53999999998</v>
      </c>
      <c r="K234" s="91" t="s">
        <v>594</v>
      </c>
      <c r="L234" s="73"/>
      <c r="M234" s="46">
        <v>940</v>
      </c>
      <c r="N234" s="46">
        <v>48213.54</v>
      </c>
      <c r="O234" s="46">
        <v>107141.2</v>
      </c>
      <c r="P234" s="98"/>
      <c r="Q234" s="23" t="s">
        <v>1430</v>
      </c>
      <c r="R234" s="24" t="s">
        <v>593</v>
      </c>
      <c r="S234" s="25" t="s">
        <v>110</v>
      </c>
      <c r="T234" s="26">
        <v>2773</v>
      </c>
      <c r="U234" s="26">
        <v>2773</v>
      </c>
      <c r="V234" s="26">
        <v>113.98</v>
      </c>
      <c r="W234" s="128">
        <f t="shared" si="46"/>
        <v>962</v>
      </c>
      <c r="X234" s="26">
        <f t="shared" si="35"/>
        <v>1902</v>
      </c>
      <c r="Y234" s="26">
        <f t="shared" si="47"/>
        <v>109648.76</v>
      </c>
      <c r="Z234" s="26">
        <f t="shared" si="44"/>
        <v>216789.96</v>
      </c>
      <c r="AA234" s="33" t="s">
        <v>15</v>
      </c>
      <c r="AB234" s="36" t="s">
        <v>16</v>
      </c>
      <c r="AC234" s="181">
        <f t="shared" si="41"/>
        <v>2773</v>
      </c>
      <c r="AD234" s="181">
        <f t="shared" si="48"/>
        <v>316066.53999999998</v>
      </c>
      <c r="AE234" s="181">
        <v>1.6</v>
      </c>
      <c r="AF234" s="181">
        <v>1.6</v>
      </c>
      <c r="AG234" s="101" t="str">
        <f t="shared" si="42"/>
        <v/>
      </c>
      <c r="AH234" s="191">
        <f>940+962</f>
        <v>1902</v>
      </c>
      <c r="AI234" s="69">
        <f t="shared" si="43"/>
        <v>2773</v>
      </c>
    </row>
    <row r="235" spans="1:35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6" t="s">
        <v>15</v>
      </c>
      <c r="I235" s="75">
        <v>138.84</v>
      </c>
      <c r="J235" s="75">
        <v>15550.08</v>
      </c>
      <c r="K235" s="91" t="s">
        <v>190</v>
      </c>
      <c r="L235" s="73"/>
      <c r="M235" s="46">
        <v>0</v>
      </c>
      <c r="N235" s="46">
        <v>0</v>
      </c>
      <c r="O235" s="46">
        <v>0</v>
      </c>
      <c r="P235" s="98"/>
      <c r="Q235" s="23" t="s">
        <v>1431</v>
      </c>
      <c r="R235" s="24" t="s">
        <v>189</v>
      </c>
      <c r="S235" s="25" t="s">
        <v>30</v>
      </c>
      <c r="T235" s="26">
        <v>112</v>
      </c>
      <c r="U235" s="26">
        <v>112</v>
      </c>
      <c r="V235" s="26">
        <v>138.84</v>
      </c>
      <c r="W235" s="26">
        <f t="shared" si="46"/>
        <v>0</v>
      </c>
      <c r="X235" s="26">
        <f t="shared" si="35"/>
        <v>0</v>
      </c>
      <c r="Y235" s="26">
        <f t="shared" si="47"/>
        <v>0</v>
      </c>
      <c r="Z235" s="26">
        <f t="shared" si="44"/>
        <v>0</v>
      </c>
      <c r="AA235" s="33" t="s">
        <v>15</v>
      </c>
      <c r="AB235" s="36" t="s">
        <v>16</v>
      </c>
      <c r="AC235" s="181">
        <f t="shared" si="41"/>
        <v>112</v>
      </c>
      <c r="AD235" s="181">
        <f t="shared" si="48"/>
        <v>15550.08</v>
      </c>
      <c r="AE235" s="181">
        <v>1.6</v>
      </c>
      <c r="AF235" s="181">
        <v>1.6</v>
      </c>
      <c r="AG235" s="101" t="str">
        <f t="shared" si="42"/>
        <v/>
      </c>
      <c r="AH235" s="190">
        <v>0</v>
      </c>
      <c r="AI235" s="69">
        <f t="shared" si="43"/>
        <v>112</v>
      </c>
    </row>
    <row r="236" spans="1:35" ht="39" x14ac:dyDescent="0.3">
      <c r="A236" s="67" t="s">
        <v>1334</v>
      </c>
      <c r="B236" s="64" t="s">
        <v>1335</v>
      </c>
      <c r="C236" s="61" t="s">
        <v>50</v>
      </c>
      <c r="D236" s="78"/>
      <c r="E236" s="78"/>
      <c r="F236" s="62">
        <v>518.22</v>
      </c>
      <c r="G236" s="140"/>
      <c r="H236" s="62" t="s">
        <v>15</v>
      </c>
      <c r="I236" s="167">
        <v>868.85</v>
      </c>
      <c r="J236" s="62">
        <v>450255.45</v>
      </c>
      <c r="K236" s="93"/>
      <c r="M236" s="46">
        <v>143.5</v>
      </c>
      <c r="N236" s="46">
        <v>24327.8</v>
      </c>
      <c r="O236" s="46">
        <v>124679.98</v>
      </c>
      <c r="P236" s="98"/>
      <c r="Q236" s="23" t="s">
        <v>1395</v>
      </c>
      <c r="R236" s="24" t="s">
        <v>1396</v>
      </c>
      <c r="S236" s="25" t="s">
        <v>50</v>
      </c>
      <c r="T236" s="26">
        <v>0</v>
      </c>
      <c r="U236" s="26">
        <v>518.22</v>
      </c>
      <c r="V236" s="26">
        <v>868.85</v>
      </c>
      <c r="W236" s="128">
        <f t="shared" si="46"/>
        <v>296.2</v>
      </c>
      <c r="X236" s="26">
        <f t="shared" si="35"/>
        <v>439.7</v>
      </c>
      <c r="Y236" s="26">
        <f t="shared" si="47"/>
        <v>257353.37</v>
      </c>
      <c r="Z236" s="26">
        <f t="shared" si="44"/>
        <v>382033.35</v>
      </c>
      <c r="AA236" s="27"/>
      <c r="AB236" s="36" t="s">
        <v>16</v>
      </c>
      <c r="AC236" s="181">
        <f t="shared" si="41"/>
        <v>518.22</v>
      </c>
      <c r="AD236" s="181">
        <f t="shared" si="48"/>
        <v>450255.45</v>
      </c>
      <c r="AE236" s="181">
        <v>1.6</v>
      </c>
      <c r="AF236" s="181">
        <v>1.6</v>
      </c>
      <c r="AG236" s="101" t="str">
        <f t="shared" si="42"/>
        <v/>
      </c>
      <c r="AH236" s="191">
        <f>143.5+296.2</f>
        <v>439.7</v>
      </c>
      <c r="AI236" s="69">
        <f t="shared" si="43"/>
        <v>518.22</v>
      </c>
    </row>
    <row r="237" spans="1:35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4" t="s">
        <v>15</v>
      </c>
      <c r="I237" s="82"/>
      <c r="J237" s="82">
        <v>7859013.9699999997</v>
      </c>
      <c r="K237" s="94" t="s">
        <v>15</v>
      </c>
      <c r="L237" s="73"/>
      <c r="M237" s="45">
        <v>1</v>
      </c>
      <c r="N237" s="45">
        <v>0</v>
      </c>
      <c r="O237" s="45">
        <v>2680245.52</v>
      </c>
      <c r="P237" s="98"/>
      <c r="Q237" s="18" t="s">
        <v>1397</v>
      </c>
      <c r="R237" s="19" t="s">
        <v>597</v>
      </c>
      <c r="S237" s="20" t="s">
        <v>14</v>
      </c>
      <c r="T237" s="21">
        <v>1</v>
      </c>
      <c r="U237" s="21"/>
      <c r="V237" s="21">
        <f>SUMIFS(AD:AD,AE:AE,AE237)</f>
        <v>7859013.9699999997</v>
      </c>
      <c r="W237" s="21">
        <f t="shared" ref="W237:X237" si="49">IF(Y237=0,0,1)</f>
        <v>1</v>
      </c>
      <c r="X237" s="21">
        <f t="shared" si="49"/>
        <v>1</v>
      </c>
      <c r="Y237" s="21">
        <f>SUMIFS(Y:Y,AF:AF,AE237)</f>
        <v>398053.8</v>
      </c>
      <c r="Z237" s="21">
        <f>SUMIFS(Z:Z,AF:AF,AE237)</f>
        <v>3078299.32</v>
      </c>
      <c r="AA237" s="22" t="s">
        <v>15</v>
      </c>
      <c r="AB237" s="43" t="s">
        <v>16</v>
      </c>
      <c r="AC237" s="181">
        <f t="shared" si="41"/>
        <v>1</v>
      </c>
      <c r="AD237" s="184"/>
      <c r="AE237" s="184">
        <v>1.7</v>
      </c>
      <c r="AF237" s="184"/>
      <c r="AG237" s="101" t="str">
        <f t="shared" si="42"/>
        <v/>
      </c>
      <c r="AH237" s="190">
        <v>1</v>
      </c>
      <c r="AI237" s="69">
        <f t="shared" si="43"/>
        <v>1</v>
      </c>
    </row>
    <row r="238" spans="1:35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 t="s">
        <v>15</v>
      </c>
      <c r="I238" s="75">
        <v>704.52</v>
      </c>
      <c r="J238" s="75">
        <v>1829427.08</v>
      </c>
      <c r="K238" s="91" t="s">
        <v>600</v>
      </c>
      <c r="L238" s="73"/>
      <c r="M238" s="46">
        <v>316</v>
      </c>
      <c r="N238" s="46">
        <v>0</v>
      </c>
      <c r="O238" s="46">
        <v>222628.32</v>
      </c>
      <c r="P238" s="98"/>
      <c r="Q238" s="23" t="s">
        <v>1421</v>
      </c>
      <c r="R238" s="24" t="s">
        <v>599</v>
      </c>
      <c r="S238" s="25" t="s">
        <v>103</v>
      </c>
      <c r="T238" s="26">
        <v>2596.6999999999998</v>
      </c>
      <c r="U238" s="26">
        <v>2596.6999999999998</v>
      </c>
      <c r="V238" s="26">
        <v>704.52</v>
      </c>
      <c r="W238" s="128">
        <f t="shared" ref="W238:W301" si="50">AH238-M238</f>
        <v>565</v>
      </c>
      <c r="X238" s="26">
        <f t="shared" si="35"/>
        <v>881</v>
      </c>
      <c r="Y238" s="26">
        <f t="shared" ref="Y238:Y301" si="51">Z238-O238</f>
        <v>398053.8</v>
      </c>
      <c r="Z238" s="26">
        <f t="shared" si="44"/>
        <v>620682.12</v>
      </c>
      <c r="AA238" s="33" t="s">
        <v>15</v>
      </c>
      <c r="AB238" s="36" t="s">
        <v>16</v>
      </c>
      <c r="AC238" s="181">
        <f t="shared" si="41"/>
        <v>2596.6999999999998</v>
      </c>
      <c r="AD238" s="181">
        <f t="shared" ref="AD238:AD301" si="52">ROUND(V238*AC238,2)</f>
        <v>1829427.08</v>
      </c>
      <c r="AE238" s="181">
        <v>1.7</v>
      </c>
      <c r="AF238" s="181">
        <v>1.7</v>
      </c>
      <c r="AG238" s="101" t="str">
        <f t="shared" si="42"/>
        <v/>
      </c>
      <c r="AH238" s="191">
        <f>316+565</f>
        <v>881</v>
      </c>
      <c r="AI238" s="69">
        <f t="shared" si="43"/>
        <v>2596.6999999999998</v>
      </c>
    </row>
    <row r="239" spans="1:35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 t="s">
        <v>15</v>
      </c>
      <c r="I239" s="75">
        <v>400</v>
      </c>
      <c r="J239" s="75">
        <v>50400</v>
      </c>
      <c r="K239" s="91" t="s">
        <v>603</v>
      </c>
      <c r="L239" s="73"/>
      <c r="M239" s="46">
        <v>0</v>
      </c>
      <c r="N239" s="46">
        <v>0</v>
      </c>
      <c r="O239" s="46">
        <v>0</v>
      </c>
      <c r="P239" s="98"/>
      <c r="Q239" s="23" t="s">
        <v>1426</v>
      </c>
      <c r="R239" s="24" t="s">
        <v>602</v>
      </c>
      <c r="S239" s="25" t="s">
        <v>559</v>
      </c>
      <c r="T239" s="26">
        <v>126</v>
      </c>
      <c r="U239" s="26">
        <v>126</v>
      </c>
      <c r="V239" s="26">
        <v>400</v>
      </c>
      <c r="W239" s="26">
        <f t="shared" si="50"/>
        <v>0</v>
      </c>
      <c r="X239" s="26">
        <f t="shared" si="35"/>
        <v>0</v>
      </c>
      <c r="Y239" s="26">
        <f t="shared" si="51"/>
        <v>0</v>
      </c>
      <c r="Z239" s="26">
        <f t="shared" si="44"/>
        <v>0</v>
      </c>
      <c r="AA239" s="33" t="s">
        <v>15</v>
      </c>
      <c r="AB239" s="36" t="s">
        <v>16</v>
      </c>
      <c r="AC239" s="181">
        <f t="shared" si="41"/>
        <v>126</v>
      </c>
      <c r="AD239" s="181">
        <f t="shared" si="52"/>
        <v>50400</v>
      </c>
      <c r="AE239" s="181">
        <v>1.7</v>
      </c>
      <c r="AF239" s="181">
        <v>1.7</v>
      </c>
      <c r="AG239" s="101" t="str">
        <f t="shared" si="42"/>
        <v/>
      </c>
      <c r="AH239" s="190">
        <v>0</v>
      </c>
      <c r="AI239" s="69">
        <f t="shared" si="43"/>
        <v>126</v>
      </c>
    </row>
    <row r="240" spans="1:35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 t="s">
        <v>15</v>
      </c>
      <c r="I240" s="75">
        <v>3569.95</v>
      </c>
      <c r="J240" s="75">
        <v>42839.4</v>
      </c>
      <c r="K240" s="91" t="s">
        <v>607</v>
      </c>
      <c r="L240" s="73"/>
      <c r="M240" s="46">
        <v>0</v>
      </c>
      <c r="N240" s="46">
        <v>0</v>
      </c>
      <c r="O240" s="46">
        <v>0</v>
      </c>
      <c r="P240" s="98"/>
      <c r="Q240" s="23" t="s">
        <v>1402</v>
      </c>
      <c r="R240" s="24" t="s">
        <v>605</v>
      </c>
      <c r="S240" s="25" t="s">
        <v>606</v>
      </c>
      <c r="T240" s="26">
        <v>12</v>
      </c>
      <c r="U240" s="26">
        <v>12</v>
      </c>
      <c r="V240" s="26">
        <v>3569.95</v>
      </c>
      <c r="W240" s="26">
        <f t="shared" si="50"/>
        <v>0</v>
      </c>
      <c r="X240" s="26">
        <f t="shared" si="35"/>
        <v>0</v>
      </c>
      <c r="Y240" s="26">
        <f t="shared" si="51"/>
        <v>0</v>
      </c>
      <c r="Z240" s="26">
        <f t="shared" si="44"/>
        <v>0</v>
      </c>
      <c r="AA240" s="33" t="s">
        <v>15</v>
      </c>
      <c r="AB240" s="36" t="s">
        <v>16</v>
      </c>
      <c r="AC240" s="181">
        <f t="shared" si="41"/>
        <v>12</v>
      </c>
      <c r="AD240" s="181">
        <f t="shared" si="52"/>
        <v>42839.4</v>
      </c>
      <c r="AE240" s="181">
        <v>1.7</v>
      </c>
      <c r="AF240" s="181">
        <v>1.7</v>
      </c>
      <c r="AG240" s="101" t="str">
        <f t="shared" si="42"/>
        <v/>
      </c>
      <c r="AH240" s="190">
        <v>0</v>
      </c>
      <c r="AI240" s="69">
        <f t="shared" si="43"/>
        <v>12</v>
      </c>
    </row>
    <row r="241" spans="1:35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 t="s">
        <v>15</v>
      </c>
      <c r="I241" s="75">
        <v>4083.1</v>
      </c>
      <c r="J241" s="75">
        <v>73495.8</v>
      </c>
      <c r="K241" s="91" t="s">
        <v>610</v>
      </c>
      <c r="L241" s="73"/>
      <c r="M241" s="46">
        <v>5</v>
      </c>
      <c r="N241" s="46">
        <v>0</v>
      </c>
      <c r="O241" s="46">
        <v>20415.5</v>
      </c>
      <c r="P241" s="98"/>
      <c r="Q241" s="23" t="s">
        <v>1373</v>
      </c>
      <c r="R241" s="24" t="s">
        <v>609</v>
      </c>
      <c r="S241" s="25" t="s">
        <v>606</v>
      </c>
      <c r="T241" s="26">
        <v>18</v>
      </c>
      <c r="U241" s="26">
        <v>18</v>
      </c>
      <c r="V241" s="26">
        <v>4083.1</v>
      </c>
      <c r="W241" s="26">
        <f t="shared" si="50"/>
        <v>0</v>
      </c>
      <c r="X241" s="26">
        <f t="shared" si="35"/>
        <v>5</v>
      </c>
      <c r="Y241" s="26">
        <f t="shared" si="51"/>
        <v>0</v>
      </c>
      <c r="Z241" s="26">
        <f t="shared" si="44"/>
        <v>20415.5</v>
      </c>
      <c r="AA241" s="33" t="s">
        <v>15</v>
      </c>
      <c r="AB241" s="36" t="s">
        <v>16</v>
      </c>
      <c r="AC241" s="181">
        <f t="shared" si="41"/>
        <v>18</v>
      </c>
      <c r="AD241" s="181">
        <f t="shared" si="52"/>
        <v>73495.8</v>
      </c>
      <c r="AE241" s="181">
        <v>1.7</v>
      </c>
      <c r="AF241" s="181">
        <v>1.7</v>
      </c>
      <c r="AG241" s="101" t="str">
        <f t="shared" si="42"/>
        <v/>
      </c>
      <c r="AH241" s="190">
        <v>5</v>
      </c>
      <c r="AI241" s="69">
        <f t="shared" si="43"/>
        <v>18</v>
      </c>
    </row>
    <row r="242" spans="1:35" s="69" customFormat="1" ht="39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203"/>
      <c r="F242" s="203"/>
      <c r="G242" s="203"/>
      <c r="H242" s="203" t="s">
        <v>15</v>
      </c>
      <c r="I242" s="75">
        <v>7408.5</v>
      </c>
      <c r="J242" s="75">
        <v>37042.5</v>
      </c>
      <c r="K242" s="91" t="s">
        <v>613</v>
      </c>
      <c r="L242" s="73"/>
      <c r="M242" s="46">
        <v>5</v>
      </c>
      <c r="N242" s="46">
        <v>0</v>
      </c>
      <c r="O242" s="46">
        <v>37042.5</v>
      </c>
      <c r="P242" s="98"/>
      <c r="Q242" s="23" t="s">
        <v>1393</v>
      </c>
      <c r="R242" s="24" t="s">
        <v>612</v>
      </c>
      <c r="S242" s="25" t="s">
        <v>606</v>
      </c>
      <c r="T242" s="26">
        <v>5</v>
      </c>
      <c r="U242" s="26">
        <v>5</v>
      </c>
      <c r="V242" s="26">
        <v>7408.5</v>
      </c>
      <c r="W242" s="127">
        <f t="shared" si="50"/>
        <v>0</v>
      </c>
      <c r="X242" s="127">
        <f t="shared" ref="X242:X305" si="53">W242+M242</f>
        <v>5</v>
      </c>
      <c r="Y242" s="127">
        <f t="shared" si="51"/>
        <v>0</v>
      </c>
      <c r="Z242" s="127">
        <f t="shared" si="44"/>
        <v>37042.5</v>
      </c>
      <c r="AA242" s="33" t="s">
        <v>15</v>
      </c>
      <c r="AB242" s="36" t="s">
        <v>16</v>
      </c>
      <c r="AC242" s="181">
        <f t="shared" si="41"/>
        <v>5</v>
      </c>
      <c r="AD242" s="181">
        <f t="shared" si="52"/>
        <v>37042.5</v>
      </c>
      <c r="AE242" s="181">
        <v>1.7</v>
      </c>
      <c r="AF242" s="181">
        <v>1.7</v>
      </c>
      <c r="AG242" s="101" t="str">
        <f t="shared" si="42"/>
        <v/>
      </c>
      <c r="AH242" s="190">
        <v>5</v>
      </c>
      <c r="AI242" s="69">
        <f t="shared" si="43"/>
        <v>5</v>
      </c>
    </row>
    <row r="243" spans="1:35" s="69" customFormat="1" ht="39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203"/>
      <c r="F243" s="203"/>
      <c r="G243" s="203"/>
      <c r="H243" s="203" t="s">
        <v>15</v>
      </c>
      <c r="I243" s="75">
        <v>10319.280000000001</v>
      </c>
      <c r="J243" s="75">
        <v>51596.4</v>
      </c>
      <c r="K243" s="91" t="s">
        <v>616</v>
      </c>
      <c r="L243" s="73"/>
      <c r="M243" s="46">
        <v>5</v>
      </c>
      <c r="N243" s="46">
        <v>0</v>
      </c>
      <c r="O243" s="46">
        <v>51596.4</v>
      </c>
      <c r="P243" s="98"/>
      <c r="Q243" s="23" t="s">
        <v>1403</v>
      </c>
      <c r="R243" s="24" t="s">
        <v>615</v>
      </c>
      <c r="S243" s="25" t="s">
        <v>606</v>
      </c>
      <c r="T243" s="26">
        <v>5</v>
      </c>
      <c r="U243" s="26">
        <v>5</v>
      </c>
      <c r="V243" s="26">
        <v>10319.280000000001</v>
      </c>
      <c r="W243" s="127">
        <f t="shared" si="50"/>
        <v>0</v>
      </c>
      <c r="X243" s="127">
        <f t="shared" si="53"/>
        <v>5</v>
      </c>
      <c r="Y243" s="127">
        <f t="shared" si="51"/>
        <v>0</v>
      </c>
      <c r="Z243" s="127">
        <f t="shared" si="44"/>
        <v>51596.4</v>
      </c>
      <c r="AA243" s="33" t="s">
        <v>15</v>
      </c>
      <c r="AB243" s="36" t="s">
        <v>16</v>
      </c>
      <c r="AC243" s="181">
        <f t="shared" si="41"/>
        <v>5</v>
      </c>
      <c r="AD243" s="181">
        <f t="shared" si="52"/>
        <v>51596.4</v>
      </c>
      <c r="AE243" s="181">
        <v>1.7</v>
      </c>
      <c r="AF243" s="181">
        <v>1.7</v>
      </c>
      <c r="AG243" s="101" t="str">
        <f t="shared" si="42"/>
        <v/>
      </c>
      <c r="AH243" s="190">
        <v>5</v>
      </c>
      <c r="AI243" s="69">
        <f t="shared" si="43"/>
        <v>5</v>
      </c>
    </row>
    <row r="244" spans="1:35" s="69" customFormat="1" ht="39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203"/>
      <c r="F244" s="203"/>
      <c r="G244" s="203"/>
      <c r="H244" s="203" t="s">
        <v>15</v>
      </c>
      <c r="I244" s="75">
        <v>15164.14</v>
      </c>
      <c r="J244" s="75">
        <v>30328.28</v>
      </c>
      <c r="K244" s="91" t="s">
        <v>619</v>
      </c>
      <c r="L244" s="73"/>
      <c r="M244" s="46">
        <v>2</v>
      </c>
      <c r="N244" s="46">
        <v>0</v>
      </c>
      <c r="O244" s="46">
        <v>30328.28</v>
      </c>
      <c r="P244" s="98"/>
      <c r="Q244" s="23" t="s">
        <v>1427</v>
      </c>
      <c r="R244" s="24" t="s">
        <v>618</v>
      </c>
      <c r="S244" s="25" t="s">
        <v>606</v>
      </c>
      <c r="T244" s="26">
        <v>2</v>
      </c>
      <c r="U244" s="26">
        <v>2</v>
      </c>
      <c r="V244" s="26">
        <v>15164.14</v>
      </c>
      <c r="W244" s="127">
        <f t="shared" si="50"/>
        <v>0</v>
      </c>
      <c r="X244" s="127">
        <f t="shared" si="53"/>
        <v>2</v>
      </c>
      <c r="Y244" s="127">
        <f t="shared" si="51"/>
        <v>0</v>
      </c>
      <c r="Z244" s="127">
        <f t="shared" si="44"/>
        <v>30328.28</v>
      </c>
      <c r="AA244" s="33" t="s">
        <v>15</v>
      </c>
      <c r="AB244" s="36" t="s">
        <v>16</v>
      </c>
      <c r="AC244" s="181">
        <f t="shared" si="41"/>
        <v>2</v>
      </c>
      <c r="AD244" s="181">
        <f t="shared" si="52"/>
        <v>30328.28</v>
      </c>
      <c r="AE244" s="181">
        <v>1.7</v>
      </c>
      <c r="AF244" s="181">
        <v>1.7</v>
      </c>
      <c r="AG244" s="101" t="str">
        <f t="shared" si="42"/>
        <v/>
      </c>
      <c r="AH244" s="190">
        <v>2</v>
      </c>
      <c r="AI244" s="69">
        <f t="shared" si="43"/>
        <v>2</v>
      </c>
    </row>
    <row r="245" spans="1:35" s="69" customFormat="1" ht="39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203"/>
      <c r="F245" s="203"/>
      <c r="G245" s="203"/>
      <c r="H245" s="203" t="s">
        <v>15</v>
      </c>
      <c r="I245" s="75">
        <v>21803.06</v>
      </c>
      <c r="J245" s="75">
        <v>130818.36</v>
      </c>
      <c r="K245" s="91" t="s">
        <v>622</v>
      </c>
      <c r="L245" s="73"/>
      <c r="M245" s="46">
        <v>6</v>
      </c>
      <c r="N245" s="46">
        <v>0</v>
      </c>
      <c r="O245" s="46">
        <v>130818.36</v>
      </c>
      <c r="P245" s="98"/>
      <c r="Q245" s="23" t="s">
        <v>1428</v>
      </c>
      <c r="R245" s="24" t="s">
        <v>621</v>
      </c>
      <c r="S245" s="25" t="s">
        <v>606</v>
      </c>
      <c r="T245" s="26">
        <v>6</v>
      </c>
      <c r="U245" s="26">
        <v>6</v>
      </c>
      <c r="V245" s="26">
        <v>21803.06</v>
      </c>
      <c r="W245" s="127">
        <f t="shared" si="50"/>
        <v>0</v>
      </c>
      <c r="X245" s="127">
        <f t="shared" si="53"/>
        <v>6</v>
      </c>
      <c r="Y245" s="127">
        <f t="shared" si="51"/>
        <v>0</v>
      </c>
      <c r="Z245" s="127">
        <f t="shared" si="44"/>
        <v>130818.36</v>
      </c>
      <c r="AA245" s="33" t="s">
        <v>15</v>
      </c>
      <c r="AB245" s="36" t="s">
        <v>16</v>
      </c>
      <c r="AC245" s="181">
        <f t="shared" si="41"/>
        <v>6</v>
      </c>
      <c r="AD245" s="181">
        <f t="shared" si="52"/>
        <v>130818.36</v>
      </c>
      <c r="AE245" s="181">
        <v>1.7</v>
      </c>
      <c r="AF245" s="181">
        <v>1.7</v>
      </c>
      <c r="AG245" s="101" t="str">
        <f t="shared" si="42"/>
        <v/>
      </c>
      <c r="AH245" s="190">
        <v>6</v>
      </c>
      <c r="AI245" s="69">
        <f t="shared" si="43"/>
        <v>6</v>
      </c>
    </row>
    <row r="246" spans="1:35" s="69" customFormat="1" ht="39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203"/>
      <c r="F246" s="203"/>
      <c r="G246" s="203"/>
      <c r="H246" s="203" t="s">
        <v>15</v>
      </c>
      <c r="I246" s="75">
        <v>26196.51</v>
      </c>
      <c r="J246" s="75">
        <v>78589.53</v>
      </c>
      <c r="K246" s="91" t="s">
        <v>625</v>
      </c>
      <c r="L246" s="73"/>
      <c r="M246" s="46">
        <v>3</v>
      </c>
      <c r="N246" s="46">
        <v>0</v>
      </c>
      <c r="O246" s="46">
        <v>78589.53</v>
      </c>
      <c r="P246" s="98"/>
      <c r="Q246" s="23" t="s">
        <v>1387</v>
      </c>
      <c r="R246" s="24" t="s">
        <v>624</v>
      </c>
      <c r="S246" s="25" t="s">
        <v>606</v>
      </c>
      <c r="T246" s="26">
        <v>3</v>
      </c>
      <c r="U246" s="26">
        <v>3</v>
      </c>
      <c r="V246" s="26">
        <v>26196.51</v>
      </c>
      <c r="W246" s="127">
        <f t="shared" si="50"/>
        <v>0</v>
      </c>
      <c r="X246" s="127">
        <f t="shared" si="53"/>
        <v>3</v>
      </c>
      <c r="Y246" s="127">
        <f t="shared" si="51"/>
        <v>0</v>
      </c>
      <c r="Z246" s="127">
        <f t="shared" si="44"/>
        <v>78589.53</v>
      </c>
      <c r="AA246" s="33" t="s">
        <v>15</v>
      </c>
      <c r="AB246" s="36" t="s">
        <v>16</v>
      </c>
      <c r="AC246" s="181">
        <f t="shared" si="41"/>
        <v>3</v>
      </c>
      <c r="AD246" s="181">
        <f t="shared" si="52"/>
        <v>78589.53</v>
      </c>
      <c r="AE246" s="181">
        <v>1.7</v>
      </c>
      <c r="AF246" s="181">
        <v>1.7</v>
      </c>
      <c r="AG246" s="101" t="str">
        <f t="shared" si="42"/>
        <v/>
      </c>
      <c r="AH246" s="190">
        <v>3</v>
      </c>
      <c r="AI246" s="69">
        <f t="shared" si="43"/>
        <v>3</v>
      </c>
    </row>
    <row r="247" spans="1:35" s="69" customFormat="1" ht="39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203"/>
      <c r="F247" s="203"/>
      <c r="G247" s="203"/>
      <c r="H247" s="203" t="s">
        <v>15</v>
      </c>
      <c r="I247" s="75">
        <v>29984.85</v>
      </c>
      <c r="J247" s="75">
        <v>59969.7</v>
      </c>
      <c r="K247" s="91" t="s">
        <v>628</v>
      </c>
      <c r="L247" s="73"/>
      <c r="M247" s="46">
        <v>2</v>
      </c>
      <c r="N247" s="46">
        <v>0</v>
      </c>
      <c r="O247" s="46">
        <v>59969.7</v>
      </c>
      <c r="P247" s="98"/>
      <c r="Q247" s="23" t="s">
        <v>1405</v>
      </c>
      <c r="R247" s="24" t="s">
        <v>627</v>
      </c>
      <c r="S247" s="25" t="s">
        <v>606</v>
      </c>
      <c r="T247" s="26">
        <v>2</v>
      </c>
      <c r="U247" s="26">
        <v>2</v>
      </c>
      <c r="V247" s="26">
        <v>29984.85</v>
      </c>
      <c r="W247" s="127">
        <f t="shared" si="50"/>
        <v>0</v>
      </c>
      <c r="X247" s="127">
        <f t="shared" si="53"/>
        <v>2</v>
      </c>
      <c r="Y247" s="127">
        <f t="shared" si="51"/>
        <v>0</v>
      </c>
      <c r="Z247" s="127">
        <f t="shared" si="44"/>
        <v>59969.7</v>
      </c>
      <c r="AA247" s="33" t="s">
        <v>15</v>
      </c>
      <c r="AB247" s="36" t="s">
        <v>16</v>
      </c>
      <c r="AC247" s="181">
        <f t="shared" si="41"/>
        <v>2</v>
      </c>
      <c r="AD247" s="181">
        <f t="shared" si="52"/>
        <v>59969.7</v>
      </c>
      <c r="AE247" s="181">
        <v>1.7</v>
      </c>
      <c r="AF247" s="181">
        <v>1.7</v>
      </c>
      <c r="AG247" s="101" t="str">
        <f t="shared" si="42"/>
        <v/>
      </c>
      <c r="AH247" s="190">
        <v>2</v>
      </c>
      <c r="AI247" s="69">
        <f t="shared" si="43"/>
        <v>2</v>
      </c>
    </row>
    <row r="248" spans="1:35" s="69" customFormat="1" ht="39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203"/>
      <c r="F248" s="203"/>
      <c r="G248" s="203"/>
      <c r="H248" s="203" t="s">
        <v>15</v>
      </c>
      <c r="I248" s="75">
        <v>38914.949999999997</v>
      </c>
      <c r="J248" s="75">
        <v>116744.85</v>
      </c>
      <c r="K248" s="91" t="s">
        <v>631</v>
      </c>
      <c r="L248" s="73"/>
      <c r="M248" s="46">
        <v>3</v>
      </c>
      <c r="N248" s="46">
        <v>0</v>
      </c>
      <c r="O248" s="46">
        <v>116744.85</v>
      </c>
      <c r="P248" s="98"/>
      <c r="Q248" s="23" t="s">
        <v>1406</v>
      </c>
      <c r="R248" s="24" t="s">
        <v>630</v>
      </c>
      <c r="S248" s="25" t="s">
        <v>606</v>
      </c>
      <c r="T248" s="26">
        <v>3</v>
      </c>
      <c r="U248" s="26">
        <v>3</v>
      </c>
      <c r="V248" s="26">
        <v>38914.949999999997</v>
      </c>
      <c r="W248" s="127">
        <f t="shared" si="50"/>
        <v>0</v>
      </c>
      <c r="X248" s="127">
        <f t="shared" si="53"/>
        <v>3</v>
      </c>
      <c r="Y248" s="127">
        <f t="shared" si="51"/>
        <v>0</v>
      </c>
      <c r="Z248" s="127">
        <f t="shared" si="44"/>
        <v>116744.85</v>
      </c>
      <c r="AA248" s="33" t="s">
        <v>15</v>
      </c>
      <c r="AB248" s="36" t="s">
        <v>16</v>
      </c>
      <c r="AC248" s="181">
        <f t="shared" si="41"/>
        <v>3</v>
      </c>
      <c r="AD248" s="181">
        <f t="shared" si="52"/>
        <v>116744.85</v>
      </c>
      <c r="AE248" s="181">
        <v>1.7</v>
      </c>
      <c r="AF248" s="181">
        <v>1.7</v>
      </c>
      <c r="AG248" s="101" t="str">
        <f t="shared" si="42"/>
        <v/>
      </c>
      <c r="AH248" s="190">
        <v>3</v>
      </c>
      <c r="AI248" s="69">
        <f t="shared" si="43"/>
        <v>3</v>
      </c>
    </row>
    <row r="249" spans="1:35" s="69" customFormat="1" ht="39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203"/>
      <c r="F249" s="203"/>
      <c r="G249" s="203"/>
      <c r="H249" s="203" t="s">
        <v>15</v>
      </c>
      <c r="I249" s="75">
        <v>43624.88</v>
      </c>
      <c r="J249" s="75">
        <v>130874.64</v>
      </c>
      <c r="K249" s="91" t="s">
        <v>634</v>
      </c>
      <c r="L249" s="73"/>
      <c r="M249" s="46">
        <v>3</v>
      </c>
      <c r="N249" s="46">
        <v>0</v>
      </c>
      <c r="O249" s="46">
        <v>130874.64</v>
      </c>
      <c r="P249" s="98"/>
      <c r="Q249" s="23" t="s">
        <v>1414</v>
      </c>
      <c r="R249" s="24" t="s">
        <v>633</v>
      </c>
      <c r="S249" s="25" t="s">
        <v>606</v>
      </c>
      <c r="T249" s="26">
        <v>3</v>
      </c>
      <c r="U249" s="26">
        <v>3</v>
      </c>
      <c r="V249" s="26">
        <v>43624.88</v>
      </c>
      <c r="W249" s="127">
        <f t="shared" si="50"/>
        <v>0</v>
      </c>
      <c r="X249" s="127">
        <f t="shared" si="53"/>
        <v>3</v>
      </c>
      <c r="Y249" s="127">
        <f t="shared" si="51"/>
        <v>0</v>
      </c>
      <c r="Z249" s="127">
        <f t="shared" si="44"/>
        <v>130874.64</v>
      </c>
      <c r="AA249" s="33" t="s">
        <v>15</v>
      </c>
      <c r="AB249" s="36" t="s">
        <v>16</v>
      </c>
      <c r="AC249" s="181">
        <f t="shared" si="41"/>
        <v>3</v>
      </c>
      <c r="AD249" s="181">
        <f t="shared" si="52"/>
        <v>130874.64</v>
      </c>
      <c r="AE249" s="181">
        <v>1.7</v>
      </c>
      <c r="AF249" s="181">
        <v>1.7</v>
      </c>
      <c r="AG249" s="101" t="str">
        <f t="shared" si="42"/>
        <v/>
      </c>
      <c r="AH249" s="190">
        <v>3</v>
      </c>
      <c r="AI249" s="69">
        <f t="shared" si="43"/>
        <v>3</v>
      </c>
    </row>
    <row r="250" spans="1:35" s="69" customFormat="1" ht="39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203"/>
      <c r="F250" s="203"/>
      <c r="G250" s="203"/>
      <c r="H250" s="203" t="s">
        <v>15</v>
      </c>
      <c r="I250" s="75">
        <v>73088.800000000003</v>
      </c>
      <c r="J250" s="75">
        <v>73088.800000000003</v>
      </c>
      <c r="K250" s="91" t="s">
        <v>637</v>
      </c>
      <c r="L250" s="73"/>
      <c r="M250" s="46">
        <v>1</v>
      </c>
      <c r="N250" s="46">
        <v>0</v>
      </c>
      <c r="O250" s="46">
        <v>73088.800000000003</v>
      </c>
      <c r="P250" s="98"/>
      <c r="Q250" s="23" t="s">
        <v>1429</v>
      </c>
      <c r="R250" s="24" t="s">
        <v>636</v>
      </c>
      <c r="S250" s="25" t="s">
        <v>606</v>
      </c>
      <c r="T250" s="26">
        <v>1</v>
      </c>
      <c r="U250" s="26">
        <v>1</v>
      </c>
      <c r="V250" s="26">
        <v>73088.800000000003</v>
      </c>
      <c r="W250" s="127">
        <f t="shared" si="50"/>
        <v>0</v>
      </c>
      <c r="X250" s="127">
        <f t="shared" si="53"/>
        <v>1</v>
      </c>
      <c r="Y250" s="127">
        <f t="shared" si="51"/>
        <v>0</v>
      </c>
      <c r="Z250" s="127">
        <f t="shared" si="44"/>
        <v>73088.800000000003</v>
      </c>
      <c r="AA250" s="33" t="s">
        <v>15</v>
      </c>
      <c r="AB250" s="36" t="s">
        <v>16</v>
      </c>
      <c r="AC250" s="181">
        <f t="shared" si="41"/>
        <v>1</v>
      </c>
      <c r="AD250" s="181">
        <f t="shared" si="52"/>
        <v>73088.800000000003</v>
      </c>
      <c r="AE250" s="181">
        <v>1.7</v>
      </c>
      <c r="AF250" s="181">
        <v>1.7</v>
      </c>
      <c r="AG250" s="101" t="str">
        <f t="shared" si="42"/>
        <v/>
      </c>
      <c r="AH250" s="190">
        <v>1</v>
      </c>
      <c r="AI250" s="69">
        <f t="shared" si="43"/>
        <v>1</v>
      </c>
    </row>
    <row r="251" spans="1:35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 t="s">
        <v>15</v>
      </c>
      <c r="I251" s="75">
        <v>22814.5</v>
      </c>
      <c r="J251" s="75">
        <v>136887</v>
      </c>
      <c r="K251" s="91" t="s">
        <v>640</v>
      </c>
      <c r="L251" s="73"/>
      <c r="M251" s="46">
        <v>0</v>
      </c>
      <c r="N251" s="46">
        <v>0</v>
      </c>
      <c r="O251" s="46">
        <v>0</v>
      </c>
      <c r="P251" s="98"/>
      <c r="Q251" s="23" t="s">
        <v>1430</v>
      </c>
      <c r="R251" s="24" t="s">
        <v>639</v>
      </c>
      <c r="S251" s="25" t="s">
        <v>606</v>
      </c>
      <c r="T251" s="26">
        <v>6</v>
      </c>
      <c r="U251" s="26">
        <v>6</v>
      </c>
      <c r="V251" s="26">
        <v>22814.5</v>
      </c>
      <c r="W251" s="26">
        <f t="shared" si="50"/>
        <v>0</v>
      </c>
      <c r="X251" s="26">
        <f t="shared" si="53"/>
        <v>0</v>
      </c>
      <c r="Y251" s="26">
        <f t="shared" si="51"/>
        <v>0</v>
      </c>
      <c r="Z251" s="26">
        <f t="shared" si="44"/>
        <v>0</v>
      </c>
      <c r="AA251" s="33" t="s">
        <v>15</v>
      </c>
      <c r="AB251" s="36" t="s">
        <v>16</v>
      </c>
      <c r="AC251" s="181">
        <f t="shared" si="41"/>
        <v>6</v>
      </c>
      <c r="AD251" s="181">
        <f t="shared" si="52"/>
        <v>136887</v>
      </c>
      <c r="AE251" s="181">
        <v>1.7</v>
      </c>
      <c r="AF251" s="181">
        <v>1.7</v>
      </c>
      <c r="AG251" s="101" t="str">
        <f t="shared" si="42"/>
        <v/>
      </c>
      <c r="AH251" s="190">
        <v>0</v>
      </c>
      <c r="AI251" s="69">
        <f t="shared" si="43"/>
        <v>6</v>
      </c>
    </row>
    <row r="252" spans="1:35" s="69" customFormat="1" ht="58.5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203"/>
      <c r="F252" s="203"/>
      <c r="G252" s="203"/>
      <c r="H252" s="203">
        <v>8</v>
      </c>
      <c r="I252" s="75">
        <v>1963.3</v>
      </c>
      <c r="J252" s="75">
        <v>15706.4</v>
      </c>
      <c r="K252" s="91" t="s">
        <v>643</v>
      </c>
      <c r="L252" s="73"/>
      <c r="M252" s="46">
        <v>3</v>
      </c>
      <c r="N252" s="46">
        <v>0</v>
      </c>
      <c r="O252" s="46">
        <v>5889.9</v>
      </c>
      <c r="P252" s="98"/>
      <c r="Q252" s="23" t="s">
        <v>1431</v>
      </c>
      <c r="R252" s="24" t="s">
        <v>642</v>
      </c>
      <c r="S252" s="25" t="s">
        <v>606</v>
      </c>
      <c r="T252" s="26">
        <v>3</v>
      </c>
      <c r="U252" s="26">
        <v>8</v>
      </c>
      <c r="V252" s="26">
        <v>1963.3</v>
      </c>
      <c r="W252" s="127">
        <f t="shared" si="50"/>
        <v>0</v>
      </c>
      <c r="X252" s="127">
        <f t="shared" si="53"/>
        <v>3</v>
      </c>
      <c r="Y252" s="127">
        <f t="shared" si="51"/>
        <v>0</v>
      </c>
      <c r="Z252" s="127">
        <f t="shared" si="44"/>
        <v>5889.9</v>
      </c>
      <c r="AA252" s="33" t="s">
        <v>15</v>
      </c>
      <c r="AB252" s="36" t="s">
        <v>16</v>
      </c>
      <c r="AC252" s="181">
        <f t="shared" si="41"/>
        <v>8</v>
      </c>
      <c r="AD252" s="181">
        <f t="shared" si="52"/>
        <v>15706.4</v>
      </c>
      <c r="AE252" s="181">
        <v>1.7</v>
      </c>
      <c r="AF252" s="181">
        <v>1.7</v>
      </c>
      <c r="AG252" s="101" t="str">
        <f t="shared" si="42"/>
        <v/>
      </c>
      <c r="AH252" s="190">
        <v>3</v>
      </c>
      <c r="AI252" s="69">
        <f t="shared" si="43"/>
        <v>3</v>
      </c>
    </row>
    <row r="253" spans="1:35" s="69" customFormat="1" ht="58.5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203"/>
      <c r="F253" s="203"/>
      <c r="G253" s="203"/>
      <c r="H253" s="203">
        <v>10</v>
      </c>
      <c r="I253" s="75">
        <v>2216.6</v>
      </c>
      <c r="J253" s="75">
        <v>22166</v>
      </c>
      <c r="K253" s="91" t="s">
        <v>646</v>
      </c>
      <c r="L253" s="73"/>
      <c r="M253" s="46">
        <v>5</v>
      </c>
      <c r="N253" s="46">
        <v>0</v>
      </c>
      <c r="O253" s="46">
        <v>11083</v>
      </c>
      <c r="P253" s="98"/>
      <c r="Q253" s="23" t="s">
        <v>1395</v>
      </c>
      <c r="R253" s="24" t="s">
        <v>645</v>
      </c>
      <c r="S253" s="25" t="s">
        <v>606</v>
      </c>
      <c r="T253" s="26">
        <v>5</v>
      </c>
      <c r="U253" s="26">
        <v>10</v>
      </c>
      <c r="V253" s="26">
        <v>2216.6</v>
      </c>
      <c r="W253" s="127">
        <f t="shared" si="50"/>
        <v>0</v>
      </c>
      <c r="X253" s="127">
        <f t="shared" si="53"/>
        <v>5</v>
      </c>
      <c r="Y253" s="127">
        <f t="shared" si="51"/>
        <v>0</v>
      </c>
      <c r="Z253" s="127">
        <f t="shared" si="44"/>
        <v>11083</v>
      </c>
      <c r="AA253" s="33" t="s">
        <v>15</v>
      </c>
      <c r="AB253" s="36" t="s">
        <v>16</v>
      </c>
      <c r="AC253" s="181">
        <f t="shared" si="41"/>
        <v>10</v>
      </c>
      <c r="AD253" s="181">
        <f t="shared" si="52"/>
        <v>22166</v>
      </c>
      <c r="AE253" s="181">
        <v>1.7</v>
      </c>
      <c r="AF253" s="181">
        <v>1.7</v>
      </c>
      <c r="AG253" s="101" t="str">
        <f t="shared" si="42"/>
        <v/>
      </c>
      <c r="AH253" s="190">
        <v>5</v>
      </c>
      <c r="AI253" s="69">
        <f t="shared" si="43"/>
        <v>5</v>
      </c>
    </row>
    <row r="254" spans="1:35" s="69" customFormat="1" ht="58.5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203" t="s">
        <v>15</v>
      </c>
      <c r="I254" s="75">
        <v>2999.02</v>
      </c>
      <c r="J254" s="75">
        <v>50983.34</v>
      </c>
      <c r="K254" s="91" t="s">
        <v>649</v>
      </c>
      <c r="L254" s="73"/>
      <c r="M254" s="46">
        <v>7</v>
      </c>
      <c r="N254" s="46">
        <v>0</v>
      </c>
      <c r="O254" s="46">
        <v>20993.14</v>
      </c>
      <c r="P254" s="98"/>
      <c r="Q254" s="23" t="s">
        <v>1432</v>
      </c>
      <c r="R254" s="24" t="s">
        <v>648</v>
      </c>
      <c r="S254" s="25" t="s">
        <v>606</v>
      </c>
      <c r="T254" s="26">
        <v>7</v>
      </c>
      <c r="U254" s="26">
        <v>17</v>
      </c>
      <c r="V254" s="26">
        <v>2999.02</v>
      </c>
      <c r="W254" s="26">
        <f t="shared" si="50"/>
        <v>0</v>
      </c>
      <c r="X254" s="26">
        <f t="shared" si="53"/>
        <v>7</v>
      </c>
      <c r="Y254" s="26">
        <f t="shared" si="51"/>
        <v>0</v>
      </c>
      <c r="Z254" s="26">
        <f t="shared" si="44"/>
        <v>20993.14</v>
      </c>
      <c r="AA254" s="27" t="s">
        <v>15</v>
      </c>
      <c r="AB254" s="36" t="s">
        <v>16</v>
      </c>
      <c r="AC254" s="181">
        <f t="shared" si="41"/>
        <v>17</v>
      </c>
      <c r="AD254" s="181">
        <f t="shared" si="52"/>
        <v>50983.34</v>
      </c>
      <c r="AE254" s="181">
        <v>1.7</v>
      </c>
      <c r="AF254" s="181">
        <v>1.7</v>
      </c>
      <c r="AG254" s="101" t="str">
        <f t="shared" si="42"/>
        <v/>
      </c>
      <c r="AH254" s="190">
        <v>7</v>
      </c>
      <c r="AI254" s="69">
        <f t="shared" si="43"/>
        <v>17</v>
      </c>
    </row>
    <row r="255" spans="1:35" s="69" customFormat="1" ht="58.5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203"/>
      <c r="F255" s="203"/>
      <c r="G255" s="203"/>
      <c r="H255" s="203" t="s">
        <v>15</v>
      </c>
      <c r="I255" s="75">
        <v>4720.5600000000004</v>
      </c>
      <c r="J255" s="75">
        <v>14161.68</v>
      </c>
      <c r="K255" s="91" t="s">
        <v>652</v>
      </c>
      <c r="L255" s="73"/>
      <c r="M255" s="46">
        <v>3</v>
      </c>
      <c r="N255" s="46">
        <v>0</v>
      </c>
      <c r="O255" s="46">
        <v>14161.68</v>
      </c>
      <c r="P255" s="98"/>
      <c r="Q255" s="23" t="s">
        <v>1433</v>
      </c>
      <c r="R255" s="24" t="s">
        <v>651</v>
      </c>
      <c r="S255" s="25" t="s">
        <v>606</v>
      </c>
      <c r="T255" s="26">
        <v>3</v>
      </c>
      <c r="U255" s="26">
        <v>3</v>
      </c>
      <c r="V255" s="26">
        <v>4720.5600000000004</v>
      </c>
      <c r="W255" s="127">
        <f t="shared" si="50"/>
        <v>0</v>
      </c>
      <c r="X255" s="127">
        <f t="shared" si="53"/>
        <v>3</v>
      </c>
      <c r="Y255" s="127">
        <f t="shared" si="51"/>
        <v>0</v>
      </c>
      <c r="Z255" s="127">
        <f t="shared" si="44"/>
        <v>14161.68</v>
      </c>
      <c r="AA255" s="33" t="s">
        <v>15</v>
      </c>
      <c r="AB255" s="36" t="s">
        <v>16</v>
      </c>
      <c r="AC255" s="181">
        <f t="shared" si="41"/>
        <v>3</v>
      </c>
      <c r="AD255" s="181">
        <f t="shared" si="52"/>
        <v>14161.68</v>
      </c>
      <c r="AE255" s="181">
        <v>1.7</v>
      </c>
      <c r="AF255" s="181">
        <v>1.7</v>
      </c>
      <c r="AG255" s="101" t="str">
        <f t="shared" si="42"/>
        <v/>
      </c>
      <c r="AH255" s="190">
        <v>3</v>
      </c>
      <c r="AI255" s="69">
        <f t="shared" si="43"/>
        <v>3</v>
      </c>
    </row>
    <row r="256" spans="1:35" s="69" customFormat="1" ht="58.5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203"/>
      <c r="F256" s="203"/>
      <c r="G256" s="203"/>
      <c r="H256" s="203">
        <v>5</v>
      </c>
      <c r="I256" s="75">
        <v>5897.9</v>
      </c>
      <c r="J256" s="75">
        <v>29489.5</v>
      </c>
      <c r="K256" s="91" t="s">
        <v>655</v>
      </c>
      <c r="L256" s="73"/>
      <c r="M256" s="46">
        <v>4</v>
      </c>
      <c r="N256" s="46">
        <v>0</v>
      </c>
      <c r="O256" s="46">
        <v>23591.599999999999</v>
      </c>
      <c r="P256" s="98"/>
      <c r="Q256" s="23" t="s">
        <v>1382</v>
      </c>
      <c r="R256" s="24" t="s">
        <v>654</v>
      </c>
      <c r="S256" s="25" t="s">
        <v>606</v>
      </c>
      <c r="T256" s="26">
        <v>4</v>
      </c>
      <c r="U256" s="26">
        <v>5</v>
      </c>
      <c r="V256" s="26">
        <v>5897.9</v>
      </c>
      <c r="W256" s="127">
        <f t="shared" si="50"/>
        <v>0</v>
      </c>
      <c r="X256" s="127">
        <f t="shared" si="53"/>
        <v>4</v>
      </c>
      <c r="Y256" s="127">
        <f t="shared" si="51"/>
        <v>0</v>
      </c>
      <c r="Z256" s="127">
        <f t="shared" si="44"/>
        <v>23591.599999999999</v>
      </c>
      <c r="AA256" s="33" t="s">
        <v>15</v>
      </c>
      <c r="AB256" s="36" t="s">
        <v>16</v>
      </c>
      <c r="AC256" s="181">
        <f t="shared" si="41"/>
        <v>5</v>
      </c>
      <c r="AD256" s="181">
        <f t="shared" si="52"/>
        <v>29489.5</v>
      </c>
      <c r="AE256" s="181">
        <v>1.7</v>
      </c>
      <c r="AF256" s="181">
        <v>1.7</v>
      </c>
      <c r="AG256" s="101" t="str">
        <f t="shared" si="42"/>
        <v/>
      </c>
      <c r="AH256" s="190">
        <v>4</v>
      </c>
      <c r="AI256" s="69">
        <f t="shared" si="43"/>
        <v>4</v>
      </c>
    </row>
    <row r="257" spans="1:35" s="69" customFormat="1" ht="58.5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203"/>
      <c r="F257" s="203"/>
      <c r="G257" s="203"/>
      <c r="H257" s="203" t="s">
        <v>15</v>
      </c>
      <c r="I257" s="75">
        <v>9356.16</v>
      </c>
      <c r="J257" s="75">
        <v>9356.16</v>
      </c>
      <c r="K257" s="91" t="s">
        <v>658</v>
      </c>
      <c r="L257" s="73"/>
      <c r="M257" s="46">
        <v>1</v>
      </c>
      <c r="N257" s="46">
        <v>0</v>
      </c>
      <c r="O257" s="46">
        <v>9356.16</v>
      </c>
      <c r="P257" s="98"/>
      <c r="Q257" s="23" t="s">
        <v>1434</v>
      </c>
      <c r="R257" s="24" t="s">
        <v>657</v>
      </c>
      <c r="S257" s="25" t="s">
        <v>606</v>
      </c>
      <c r="T257" s="26">
        <v>1</v>
      </c>
      <c r="U257" s="26">
        <v>1</v>
      </c>
      <c r="V257" s="26">
        <v>9356.16</v>
      </c>
      <c r="W257" s="127">
        <f t="shared" si="50"/>
        <v>0</v>
      </c>
      <c r="X257" s="127">
        <f t="shared" si="53"/>
        <v>1</v>
      </c>
      <c r="Y257" s="127">
        <f t="shared" si="51"/>
        <v>0</v>
      </c>
      <c r="Z257" s="127">
        <f t="shared" si="44"/>
        <v>9356.16</v>
      </c>
      <c r="AA257" s="33" t="s">
        <v>15</v>
      </c>
      <c r="AB257" s="36" t="s">
        <v>16</v>
      </c>
      <c r="AC257" s="181">
        <f t="shared" si="41"/>
        <v>1</v>
      </c>
      <c r="AD257" s="181">
        <f t="shared" si="52"/>
        <v>9356.16</v>
      </c>
      <c r="AE257" s="181">
        <v>1.7</v>
      </c>
      <c r="AF257" s="181">
        <v>1.7</v>
      </c>
      <c r="AG257" s="101" t="str">
        <f t="shared" si="42"/>
        <v/>
      </c>
      <c r="AH257" s="190">
        <v>1</v>
      </c>
      <c r="AI257" s="69">
        <f t="shared" si="43"/>
        <v>1</v>
      </c>
    </row>
    <row r="258" spans="1:35" s="69" customFormat="1" ht="58.5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203"/>
      <c r="F258" s="203"/>
      <c r="G258" s="203"/>
      <c r="H258" s="203" t="s">
        <v>15</v>
      </c>
      <c r="I258" s="75">
        <v>13184.01</v>
      </c>
      <c r="J258" s="75">
        <v>13184.01</v>
      </c>
      <c r="K258" s="91" t="s">
        <v>661</v>
      </c>
      <c r="L258" s="73"/>
      <c r="M258" s="46">
        <v>1</v>
      </c>
      <c r="N258" s="46">
        <v>0</v>
      </c>
      <c r="O258" s="46">
        <v>13184.01</v>
      </c>
      <c r="P258" s="98"/>
      <c r="Q258" s="23" t="s">
        <v>1388</v>
      </c>
      <c r="R258" s="24" t="s">
        <v>660</v>
      </c>
      <c r="S258" s="25" t="s">
        <v>606</v>
      </c>
      <c r="T258" s="26">
        <v>1</v>
      </c>
      <c r="U258" s="26">
        <v>1</v>
      </c>
      <c r="V258" s="26">
        <v>13184.01</v>
      </c>
      <c r="W258" s="127">
        <f t="shared" si="50"/>
        <v>0</v>
      </c>
      <c r="X258" s="127">
        <f t="shared" si="53"/>
        <v>1</v>
      </c>
      <c r="Y258" s="127">
        <f t="shared" si="51"/>
        <v>0</v>
      </c>
      <c r="Z258" s="127">
        <f t="shared" si="44"/>
        <v>13184.01</v>
      </c>
      <c r="AA258" s="33" t="s">
        <v>15</v>
      </c>
      <c r="AB258" s="36" t="s">
        <v>16</v>
      </c>
      <c r="AC258" s="181">
        <f t="shared" si="41"/>
        <v>1</v>
      </c>
      <c r="AD258" s="181">
        <f t="shared" si="52"/>
        <v>13184.01</v>
      </c>
      <c r="AE258" s="181">
        <v>1.7</v>
      </c>
      <c r="AF258" s="181">
        <v>1.7</v>
      </c>
      <c r="AG258" s="101" t="str">
        <f t="shared" si="42"/>
        <v/>
      </c>
      <c r="AH258" s="190">
        <v>1</v>
      </c>
      <c r="AI258" s="69">
        <f t="shared" si="43"/>
        <v>1</v>
      </c>
    </row>
    <row r="259" spans="1:35" s="69" customFormat="1" ht="39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203"/>
      <c r="F259" s="203"/>
      <c r="G259" s="203"/>
      <c r="H259" s="203" t="s">
        <v>15</v>
      </c>
      <c r="I259" s="75">
        <v>1859.87</v>
      </c>
      <c r="J259" s="75">
        <v>87432.49</v>
      </c>
      <c r="K259" s="91" t="s">
        <v>664</v>
      </c>
      <c r="L259" s="73"/>
      <c r="M259" s="46">
        <v>47.01</v>
      </c>
      <c r="N259" s="46">
        <v>0</v>
      </c>
      <c r="O259" s="46">
        <v>87432.49</v>
      </c>
      <c r="P259" s="98"/>
      <c r="Q259" s="23" t="s">
        <v>1389</v>
      </c>
      <c r="R259" s="24" t="s">
        <v>663</v>
      </c>
      <c r="S259" s="25" t="s">
        <v>30</v>
      </c>
      <c r="T259" s="26">
        <v>47.01</v>
      </c>
      <c r="U259" s="26">
        <v>47.01</v>
      </c>
      <c r="V259" s="26">
        <v>1859.87</v>
      </c>
      <c r="W259" s="127">
        <f t="shared" si="50"/>
        <v>0</v>
      </c>
      <c r="X259" s="127">
        <f t="shared" si="53"/>
        <v>47.01</v>
      </c>
      <c r="Y259" s="127">
        <f t="shared" si="51"/>
        <v>0</v>
      </c>
      <c r="Z259" s="127">
        <f t="shared" si="44"/>
        <v>87432.49</v>
      </c>
      <c r="AA259" s="33" t="s">
        <v>15</v>
      </c>
      <c r="AB259" s="36" t="s">
        <v>16</v>
      </c>
      <c r="AC259" s="181">
        <f t="shared" si="41"/>
        <v>47.01</v>
      </c>
      <c r="AD259" s="181">
        <f t="shared" si="52"/>
        <v>87432.49</v>
      </c>
      <c r="AE259" s="181">
        <v>1.7</v>
      </c>
      <c r="AF259" s="181">
        <v>1.7</v>
      </c>
      <c r="AG259" s="101" t="str">
        <f t="shared" si="42"/>
        <v/>
      </c>
      <c r="AH259" s="190">
        <v>47.01</v>
      </c>
      <c r="AI259" s="69">
        <f t="shared" si="43"/>
        <v>47.01</v>
      </c>
    </row>
    <row r="260" spans="1:35" s="69" customFormat="1" ht="58.5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203"/>
      <c r="F260" s="203"/>
      <c r="G260" s="203"/>
      <c r="H260" s="203" t="s">
        <v>15</v>
      </c>
      <c r="I260" s="75">
        <v>40</v>
      </c>
      <c r="J260" s="75">
        <v>2520</v>
      </c>
      <c r="K260" s="91" t="s">
        <v>667</v>
      </c>
      <c r="L260" s="73"/>
      <c r="M260" s="46">
        <v>63</v>
      </c>
      <c r="N260" s="46">
        <v>0</v>
      </c>
      <c r="O260" s="46">
        <v>2520</v>
      </c>
      <c r="P260" s="98"/>
      <c r="Q260" s="23" t="s">
        <v>1390</v>
      </c>
      <c r="R260" s="24" t="s">
        <v>666</v>
      </c>
      <c r="S260" s="25" t="s">
        <v>325</v>
      </c>
      <c r="T260" s="26">
        <v>63</v>
      </c>
      <c r="U260" s="26">
        <v>63</v>
      </c>
      <c r="V260" s="26">
        <v>40</v>
      </c>
      <c r="W260" s="127">
        <f t="shared" si="50"/>
        <v>0</v>
      </c>
      <c r="X260" s="127">
        <f t="shared" si="53"/>
        <v>63</v>
      </c>
      <c r="Y260" s="127">
        <f t="shared" si="51"/>
        <v>0</v>
      </c>
      <c r="Z260" s="127">
        <f t="shared" si="44"/>
        <v>2520</v>
      </c>
      <c r="AA260" s="33" t="s">
        <v>15</v>
      </c>
      <c r="AB260" s="36" t="s">
        <v>16</v>
      </c>
      <c r="AC260" s="181">
        <f t="shared" si="41"/>
        <v>63</v>
      </c>
      <c r="AD260" s="181">
        <f t="shared" si="52"/>
        <v>2520</v>
      </c>
      <c r="AE260" s="181">
        <v>1.7</v>
      </c>
      <c r="AF260" s="181">
        <v>1.7</v>
      </c>
      <c r="AG260" s="101" t="str">
        <f t="shared" si="42"/>
        <v/>
      </c>
      <c r="AH260" s="190">
        <v>63</v>
      </c>
      <c r="AI260" s="69">
        <f t="shared" si="43"/>
        <v>63</v>
      </c>
    </row>
    <row r="261" spans="1:35" s="69" customFormat="1" ht="58.5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203"/>
      <c r="F261" s="203"/>
      <c r="G261" s="203"/>
      <c r="H261" s="203" t="s">
        <v>15</v>
      </c>
      <c r="I261" s="75">
        <v>35</v>
      </c>
      <c r="J261" s="75">
        <v>11025</v>
      </c>
      <c r="K261" s="91" t="s">
        <v>670</v>
      </c>
      <c r="L261" s="73"/>
      <c r="M261" s="46">
        <v>315</v>
      </c>
      <c r="N261" s="46">
        <v>0</v>
      </c>
      <c r="O261" s="46">
        <v>11025</v>
      </c>
      <c r="P261" s="98"/>
      <c r="Q261" s="23" t="s">
        <v>1391</v>
      </c>
      <c r="R261" s="24" t="s">
        <v>669</v>
      </c>
      <c r="S261" s="25" t="s">
        <v>162</v>
      </c>
      <c r="T261" s="26">
        <v>315</v>
      </c>
      <c r="U261" s="26">
        <v>315</v>
      </c>
      <c r="V261" s="26">
        <v>35</v>
      </c>
      <c r="W261" s="127">
        <f t="shared" si="50"/>
        <v>0</v>
      </c>
      <c r="X261" s="127">
        <f t="shared" si="53"/>
        <v>315</v>
      </c>
      <c r="Y261" s="127">
        <f t="shared" si="51"/>
        <v>0</v>
      </c>
      <c r="Z261" s="127">
        <f t="shared" si="44"/>
        <v>11025</v>
      </c>
      <c r="AA261" s="33" t="s">
        <v>15</v>
      </c>
      <c r="AB261" s="36" t="s">
        <v>16</v>
      </c>
      <c r="AC261" s="181">
        <f t="shared" si="41"/>
        <v>315</v>
      </c>
      <c r="AD261" s="181">
        <f t="shared" si="52"/>
        <v>11025</v>
      </c>
      <c r="AE261" s="181">
        <v>1.7</v>
      </c>
      <c r="AF261" s="181">
        <v>1.7</v>
      </c>
      <c r="AG261" s="101" t="str">
        <f t="shared" si="42"/>
        <v/>
      </c>
      <c r="AH261" s="190">
        <v>315</v>
      </c>
      <c r="AI261" s="69">
        <f t="shared" si="43"/>
        <v>315</v>
      </c>
    </row>
    <row r="262" spans="1:35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 t="s">
        <v>15</v>
      </c>
      <c r="I262" s="75">
        <v>10</v>
      </c>
      <c r="J262" s="75">
        <v>12000</v>
      </c>
      <c r="K262" s="91" t="s">
        <v>673</v>
      </c>
      <c r="L262" s="73"/>
      <c r="M262" s="46">
        <v>0</v>
      </c>
      <c r="N262" s="46">
        <v>0</v>
      </c>
      <c r="O262" s="46">
        <v>0</v>
      </c>
      <c r="P262" s="98"/>
      <c r="Q262" s="23" t="s">
        <v>1436</v>
      </c>
      <c r="R262" s="24" t="s">
        <v>672</v>
      </c>
      <c r="S262" s="25" t="s">
        <v>30</v>
      </c>
      <c r="T262" s="26">
        <v>1200</v>
      </c>
      <c r="U262" s="26">
        <v>1200</v>
      </c>
      <c r="V262" s="26">
        <v>10</v>
      </c>
      <c r="W262" s="26">
        <f t="shared" si="50"/>
        <v>0</v>
      </c>
      <c r="X262" s="26">
        <f t="shared" si="53"/>
        <v>0</v>
      </c>
      <c r="Y262" s="26">
        <f t="shared" si="51"/>
        <v>0</v>
      </c>
      <c r="Z262" s="26">
        <f t="shared" si="44"/>
        <v>0</v>
      </c>
      <c r="AA262" s="33" t="s">
        <v>15</v>
      </c>
      <c r="AB262" s="36" t="s">
        <v>16</v>
      </c>
      <c r="AC262" s="181">
        <f t="shared" si="41"/>
        <v>1200</v>
      </c>
      <c r="AD262" s="181">
        <f t="shared" si="52"/>
        <v>12000</v>
      </c>
      <c r="AE262" s="181">
        <v>1.7</v>
      </c>
      <c r="AF262" s="181">
        <v>1.7</v>
      </c>
      <c r="AG262" s="101" t="str">
        <f t="shared" si="42"/>
        <v/>
      </c>
      <c r="AH262" s="190">
        <v>0</v>
      </c>
      <c r="AI262" s="69">
        <f t="shared" si="43"/>
        <v>1200</v>
      </c>
    </row>
    <row r="263" spans="1:35" s="69" customFormat="1" ht="33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203"/>
      <c r="F263" s="203"/>
      <c r="G263" s="203"/>
      <c r="H263" s="203" t="s">
        <v>15</v>
      </c>
      <c r="I263" s="75">
        <v>531</v>
      </c>
      <c r="J263" s="75">
        <v>16381.35</v>
      </c>
      <c r="K263" s="91" t="s">
        <v>676</v>
      </c>
      <c r="L263" s="73"/>
      <c r="M263" s="46">
        <v>30.85</v>
      </c>
      <c r="N263" s="46">
        <v>0</v>
      </c>
      <c r="O263" s="46">
        <v>16381.35</v>
      </c>
      <c r="P263" s="98"/>
      <c r="Q263" s="23" t="s">
        <v>1374</v>
      </c>
      <c r="R263" s="24" t="s">
        <v>675</v>
      </c>
      <c r="S263" s="25" t="s">
        <v>50</v>
      </c>
      <c r="T263" s="26">
        <v>30.85</v>
      </c>
      <c r="U263" s="26">
        <v>30.85</v>
      </c>
      <c r="V263" s="26">
        <v>531</v>
      </c>
      <c r="W263" s="127">
        <f t="shared" si="50"/>
        <v>0</v>
      </c>
      <c r="X263" s="127">
        <f t="shared" si="53"/>
        <v>30.85</v>
      </c>
      <c r="Y263" s="127">
        <f t="shared" si="51"/>
        <v>0</v>
      </c>
      <c r="Z263" s="127">
        <f t="shared" si="44"/>
        <v>16381.35</v>
      </c>
      <c r="AA263" s="33" t="s">
        <v>15</v>
      </c>
      <c r="AB263" s="36" t="s">
        <v>16</v>
      </c>
      <c r="AC263" s="181">
        <f t="shared" si="41"/>
        <v>30.85</v>
      </c>
      <c r="AD263" s="181">
        <f t="shared" si="52"/>
        <v>16381.35</v>
      </c>
      <c r="AE263" s="181">
        <v>1.7</v>
      </c>
      <c r="AF263" s="181">
        <v>1.7</v>
      </c>
      <c r="AG263" s="101" t="str">
        <f t="shared" si="42"/>
        <v/>
      </c>
      <c r="AH263" s="190">
        <v>30.85</v>
      </c>
      <c r="AI263" s="69">
        <f t="shared" si="43"/>
        <v>30.85</v>
      </c>
    </row>
    <row r="264" spans="1:35" s="69" customFormat="1" ht="33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203"/>
      <c r="F264" s="203"/>
      <c r="G264" s="203"/>
      <c r="H264" s="225" t="s">
        <v>15</v>
      </c>
      <c r="I264" s="75">
        <v>3386.57</v>
      </c>
      <c r="J264" s="75">
        <v>12530.31</v>
      </c>
      <c r="K264" s="91" t="s">
        <v>679</v>
      </c>
      <c r="L264" s="73"/>
      <c r="M264" s="46">
        <v>3.7</v>
      </c>
      <c r="N264" s="46">
        <v>0</v>
      </c>
      <c r="O264" s="46">
        <v>12530.31</v>
      </c>
      <c r="P264" s="98"/>
      <c r="Q264" s="23" t="s">
        <v>1376</v>
      </c>
      <c r="R264" s="24" t="s">
        <v>678</v>
      </c>
      <c r="S264" s="25" t="s">
        <v>23</v>
      </c>
      <c r="T264" s="26">
        <v>3.7</v>
      </c>
      <c r="U264" s="26">
        <v>3.7</v>
      </c>
      <c r="V264" s="26">
        <v>3386.57</v>
      </c>
      <c r="W264" s="127">
        <f t="shared" si="50"/>
        <v>0</v>
      </c>
      <c r="X264" s="127">
        <f t="shared" si="53"/>
        <v>3.7</v>
      </c>
      <c r="Y264" s="127">
        <f t="shared" si="51"/>
        <v>0</v>
      </c>
      <c r="Z264" s="127">
        <f t="shared" si="44"/>
        <v>12530.31</v>
      </c>
      <c r="AA264" s="33" t="s">
        <v>15</v>
      </c>
      <c r="AB264" s="36" t="s">
        <v>16</v>
      </c>
      <c r="AC264" s="181">
        <f t="shared" si="41"/>
        <v>3.7</v>
      </c>
      <c r="AD264" s="181">
        <f t="shared" si="52"/>
        <v>12530.31</v>
      </c>
      <c r="AE264" s="181">
        <v>1.7</v>
      </c>
      <c r="AF264" s="181">
        <v>1.7</v>
      </c>
      <c r="AG264" s="101" t="str">
        <f t="shared" si="42"/>
        <v/>
      </c>
      <c r="AH264" s="190">
        <v>3.7</v>
      </c>
      <c r="AI264" s="69">
        <f t="shared" si="43"/>
        <v>3.7</v>
      </c>
    </row>
    <row r="265" spans="1:35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161"/>
      <c r="H265" s="158" t="s">
        <v>15</v>
      </c>
      <c r="I265" s="166">
        <v>108000</v>
      </c>
      <c r="J265" s="75">
        <v>108000</v>
      </c>
      <c r="K265" s="91" t="s">
        <v>682</v>
      </c>
      <c r="L265" s="73"/>
      <c r="M265" s="46">
        <v>0</v>
      </c>
      <c r="N265" s="46">
        <v>0</v>
      </c>
      <c r="O265" s="46">
        <v>0</v>
      </c>
      <c r="P265" s="98"/>
      <c r="Q265" s="23" t="s">
        <v>1378</v>
      </c>
      <c r="R265" s="24" t="s">
        <v>681</v>
      </c>
      <c r="S265" s="25" t="s">
        <v>14</v>
      </c>
      <c r="T265" s="26">
        <v>1</v>
      </c>
      <c r="U265" s="26">
        <v>1</v>
      </c>
      <c r="V265" s="26">
        <v>108000</v>
      </c>
      <c r="W265" s="26">
        <f t="shared" si="50"/>
        <v>0</v>
      </c>
      <c r="X265" s="26">
        <f t="shared" si="53"/>
        <v>0</v>
      </c>
      <c r="Y265" s="26">
        <f t="shared" si="51"/>
        <v>0</v>
      </c>
      <c r="Z265" s="26">
        <f t="shared" si="44"/>
        <v>0</v>
      </c>
      <c r="AA265" s="33" t="s">
        <v>15</v>
      </c>
      <c r="AB265" s="36" t="s">
        <v>16</v>
      </c>
      <c r="AC265" s="181">
        <f t="shared" si="41"/>
        <v>1</v>
      </c>
      <c r="AD265" s="181">
        <f t="shared" si="52"/>
        <v>108000</v>
      </c>
      <c r="AE265" s="181">
        <v>1.7</v>
      </c>
      <c r="AF265" s="181">
        <v>1.7</v>
      </c>
      <c r="AG265" s="101" t="str">
        <f t="shared" si="42"/>
        <v/>
      </c>
      <c r="AH265" s="190">
        <v>0</v>
      </c>
      <c r="AI265" s="69">
        <f t="shared" si="43"/>
        <v>1</v>
      </c>
    </row>
    <row r="266" spans="1:35" s="69" customFormat="1" ht="39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161"/>
      <c r="H266" s="158" t="s">
        <v>15</v>
      </c>
      <c r="I266" s="166">
        <v>500</v>
      </c>
      <c r="J266" s="75">
        <v>724160</v>
      </c>
      <c r="K266" s="91" t="s">
        <v>685</v>
      </c>
      <c r="L266" s="73"/>
      <c r="M266" s="46">
        <v>0</v>
      </c>
      <c r="N266" s="46">
        <v>0</v>
      </c>
      <c r="O266" s="46">
        <v>0</v>
      </c>
      <c r="P266" s="98"/>
      <c r="Q266" s="23" t="s">
        <v>1438</v>
      </c>
      <c r="R266" s="24" t="s">
        <v>684</v>
      </c>
      <c r="S266" s="25" t="s">
        <v>50</v>
      </c>
      <c r="T266" s="26">
        <v>1448.32</v>
      </c>
      <c r="U266" s="26">
        <v>1448.32</v>
      </c>
      <c r="V266" s="26">
        <v>500</v>
      </c>
      <c r="W266" s="26">
        <f t="shared" si="50"/>
        <v>0</v>
      </c>
      <c r="X266" s="26">
        <f t="shared" si="53"/>
        <v>0</v>
      </c>
      <c r="Y266" s="26">
        <f t="shared" si="51"/>
        <v>0</v>
      </c>
      <c r="Z266" s="26">
        <f t="shared" si="44"/>
        <v>0</v>
      </c>
      <c r="AA266" s="33" t="s">
        <v>15</v>
      </c>
      <c r="AB266" s="36" t="s">
        <v>16</v>
      </c>
      <c r="AC266" s="181">
        <f t="shared" si="41"/>
        <v>1448.32</v>
      </c>
      <c r="AD266" s="181">
        <f t="shared" si="52"/>
        <v>724160</v>
      </c>
      <c r="AE266" s="181">
        <v>1.7</v>
      </c>
      <c r="AF266" s="181">
        <v>1.7</v>
      </c>
      <c r="AG266" s="101" t="str">
        <f t="shared" si="42"/>
        <v/>
      </c>
      <c r="AH266" s="190">
        <v>0</v>
      </c>
      <c r="AI266" s="69">
        <f t="shared" si="43"/>
        <v>1448.32</v>
      </c>
    </row>
    <row r="267" spans="1:35" s="69" customFormat="1" ht="78" hidden="1" x14ac:dyDescent="0.3">
      <c r="A267" s="55" t="s">
        <v>686</v>
      </c>
      <c r="B267" s="53" t="s">
        <v>687</v>
      </c>
      <c r="C267" s="54" t="s">
        <v>606</v>
      </c>
      <c r="D267" s="75">
        <v>42</v>
      </c>
      <c r="E267" s="75"/>
      <c r="F267" s="75"/>
      <c r="G267" s="161"/>
      <c r="H267" s="158" t="s">
        <v>15</v>
      </c>
      <c r="I267" s="166">
        <v>10176.969999999999</v>
      </c>
      <c r="J267" s="75">
        <v>427432.74</v>
      </c>
      <c r="K267" s="91" t="s">
        <v>688</v>
      </c>
      <c r="L267" s="73"/>
      <c r="M267" s="46">
        <v>0</v>
      </c>
      <c r="N267" s="46">
        <v>0</v>
      </c>
      <c r="O267" s="46">
        <v>0</v>
      </c>
      <c r="P267" s="98"/>
      <c r="Q267" s="23" t="s">
        <v>1439</v>
      </c>
      <c r="R267" s="24" t="s">
        <v>687</v>
      </c>
      <c r="S267" s="25" t="s">
        <v>606</v>
      </c>
      <c r="T267" s="26">
        <v>42</v>
      </c>
      <c r="U267" s="26">
        <v>42</v>
      </c>
      <c r="V267" s="26">
        <v>10176.969999999999</v>
      </c>
      <c r="W267" s="26">
        <f t="shared" si="50"/>
        <v>0</v>
      </c>
      <c r="X267" s="26">
        <f t="shared" si="53"/>
        <v>0</v>
      </c>
      <c r="Y267" s="26">
        <f t="shared" si="51"/>
        <v>0</v>
      </c>
      <c r="Z267" s="26">
        <f t="shared" si="44"/>
        <v>0</v>
      </c>
      <c r="AA267" s="33" t="s">
        <v>15</v>
      </c>
      <c r="AB267" s="36" t="s">
        <v>16</v>
      </c>
      <c r="AC267" s="181">
        <f t="shared" ref="AC267:AC330" si="54">IF(U267="",T267,U267)</f>
        <v>42</v>
      </c>
      <c r="AD267" s="181">
        <f t="shared" si="52"/>
        <v>427432.74</v>
      </c>
      <c r="AE267" s="181">
        <v>1.7</v>
      </c>
      <c r="AF267" s="181">
        <v>1.7</v>
      </c>
      <c r="AG267" s="101" t="str">
        <f t="shared" ref="AG267:AG330" si="55">IF(X267&gt;AI267,"超估","")</f>
        <v/>
      </c>
      <c r="AH267" s="190">
        <v>0</v>
      </c>
      <c r="AI267" s="69">
        <f t="shared" ref="AI267:AI330" si="56">IF(G267=0,IF(F267=0,IF(E267=0,D267,E267),F267),G267)</f>
        <v>42</v>
      </c>
    </row>
    <row r="268" spans="1:35" s="69" customFormat="1" ht="78" hidden="1" x14ac:dyDescent="0.3">
      <c r="A268" s="55" t="s">
        <v>689</v>
      </c>
      <c r="B268" s="53" t="s">
        <v>690</v>
      </c>
      <c r="C268" s="54" t="s">
        <v>606</v>
      </c>
      <c r="D268" s="75">
        <v>19</v>
      </c>
      <c r="E268" s="75"/>
      <c r="F268" s="75"/>
      <c r="G268" s="161"/>
      <c r="H268" s="158" t="s">
        <v>15</v>
      </c>
      <c r="I268" s="166">
        <v>13526.18</v>
      </c>
      <c r="J268" s="75">
        <v>256997.42</v>
      </c>
      <c r="K268" s="91" t="s">
        <v>691</v>
      </c>
      <c r="L268" s="73"/>
      <c r="M268" s="46">
        <v>0</v>
      </c>
      <c r="N268" s="46">
        <v>0</v>
      </c>
      <c r="O268" s="46">
        <v>0</v>
      </c>
      <c r="P268" s="98"/>
      <c r="Q268" s="23" t="s">
        <v>1440</v>
      </c>
      <c r="R268" s="24" t="s">
        <v>690</v>
      </c>
      <c r="S268" s="25" t="s">
        <v>606</v>
      </c>
      <c r="T268" s="26">
        <v>19</v>
      </c>
      <c r="U268" s="26">
        <v>19</v>
      </c>
      <c r="V268" s="26">
        <v>13526.18</v>
      </c>
      <c r="W268" s="26">
        <f t="shared" si="50"/>
        <v>0</v>
      </c>
      <c r="X268" s="26">
        <f t="shared" si="53"/>
        <v>0</v>
      </c>
      <c r="Y268" s="26">
        <f t="shared" si="51"/>
        <v>0</v>
      </c>
      <c r="Z268" s="26">
        <f t="shared" ref="Z268:Z331" si="57">ROUND(V268*X268,2)</f>
        <v>0</v>
      </c>
      <c r="AA268" s="33" t="s">
        <v>15</v>
      </c>
      <c r="AB268" s="36" t="s">
        <v>16</v>
      </c>
      <c r="AC268" s="181">
        <f t="shared" si="54"/>
        <v>19</v>
      </c>
      <c r="AD268" s="181">
        <f t="shared" si="52"/>
        <v>256997.42</v>
      </c>
      <c r="AE268" s="181">
        <v>1.7</v>
      </c>
      <c r="AF268" s="181">
        <v>1.7</v>
      </c>
      <c r="AG268" s="101" t="str">
        <f t="shared" si="55"/>
        <v/>
      </c>
      <c r="AH268" s="190">
        <v>0</v>
      </c>
      <c r="AI268" s="69">
        <f t="shared" si="56"/>
        <v>19</v>
      </c>
    </row>
    <row r="269" spans="1:35" s="69" customFormat="1" ht="78" hidden="1" x14ac:dyDescent="0.3">
      <c r="A269" s="55" t="s">
        <v>692</v>
      </c>
      <c r="B269" s="53" t="s">
        <v>693</v>
      </c>
      <c r="C269" s="54" t="s">
        <v>606</v>
      </c>
      <c r="D269" s="75">
        <v>8</v>
      </c>
      <c r="E269" s="75"/>
      <c r="F269" s="75"/>
      <c r="G269" s="161"/>
      <c r="H269" s="158" t="s">
        <v>15</v>
      </c>
      <c r="I269" s="166">
        <v>8660.64</v>
      </c>
      <c r="J269" s="75">
        <v>69285.119999999995</v>
      </c>
      <c r="K269" s="91" t="s">
        <v>694</v>
      </c>
      <c r="L269" s="73"/>
      <c r="M269" s="46">
        <v>0</v>
      </c>
      <c r="N269" s="46">
        <v>0</v>
      </c>
      <c r="O269" s="46">
        <v>0</v>
      </c>
      <c r="P269" s="98"/>
      <c r="Q269" s="23" t="s">
        <v>1441</v>
      </c>
      <c r="R269" s="24" t="s">
        <v>693</v>
      </c>
      <c r="S269" s="25" t="s">
        <v>606</v>
      </c>
      <c r="T269" s="26">
        <v>8</v>
      </c>
      <c r="U269" s="26">
        <v>8</v>
      </c>
      <c r="V269" s="26">
        <v>8660.64</v>
      </c>
      <c r="W269" s="26">
        <f t="shared" si="50"/>
        <v>0</v>
      </c>
      <c r="X269" s="26">
        <f t="shared" si="53"/>
        <v>0</v>
      </c>
      <c r="Y269" s="26">
        <f t="shared" si="51"/>
        <v>0</v>
      </c>
      <c r="Z269" s="26">
        <f t="shared" si="57"/>
        <v>0</v>
      </c>
      <c r="AA269" s="33" t="s">
        <v>15</v>
      </c>
      <c r="AB269" s="36" t="s">
        <v>16</v>
      </c>
      <c r="AC269" s="181">
        <f t="shared" si="54"/>
        <v>8</v>
      </c>
      <c r="AD269" s="181">
        <f t="shared" si="52"/>
        <v>69285.119999999995</v>
      </c>
      <c r="AE269" s="181">
        <v>1.7</v>
      </c>
      <c r="AF269" s="181">
        <v>1.7</v>
      </c>
      <c r="AG269" s="101" t="str">
        <f t="shared" si="55"/>
        <v/>
      </c>
      <c r="AH269" s="190">
        <v>0</v>
      </c>
      <c r="AI269" s="69">
        <f t="shared" si="56"/>
        <v>8</v>
      </c>
    </row>
    <row r="270" spans="1:35" s="69" customFormat="1" ht="78" hidden="1" x14ac:dyDescent="0.3">
      <c r="A270" s="55" t="s">
        <v>695</v>
      </c>
      <c r="B270" s="53" t="s">
        <v>696</v>
      </c>
      <c r="C270" s="54" t="s">
        <v>606</v>
      </c>
      <c r="D270" s="75">
        <v>8</v>
      </c>
      <c r="E270" s="75"/>
      <c r="F270" s="75"/>
      <c r="G270" s="161"/>
      <c r="H270" s="158" t="s">
        <v>15</v>
      </c>
      <c r="I270" s="166">
        <v>17930.64</v>
      </c>
      <c r="J270" s="75">
        <v>143445.12</v>
      </c>
      <c r="K270" s="91" t="s">
        <v>697</v>
      </c>
      <c r="L270" s="73"/>
      <c r="M270" s="46">
        <v>0</v>
      </c>
      <c r="N270" s="46">
        <v>0</v>
      </c>
      <c r="O270" s="46">
        <v>0</v>
      </c>
      <c r="P270" s="98"/>
      <c r="Q270" s="23" t="s">
        <v>1442</v>
      </c>
      <c r="R270" s="24" t="s">
        <v>696</v>
      </c>
      <c r="S270" s="25" t="s">
        <v>606</v>
      </c>
      <c r="T270" s="26">
        <v>8</v>
      </c>
      <c r="U270" s="26">
        <v>8</v>
      </c>
      <c r="V270" s="26">
        <v>17930.64</v>
      </c>
      <c r="W270" s="26">
        <f t="shared" si="50"/>
        <v>0</v>
      </c>
      <c r="X270" s="26">
        <f t="shared" si="53"/>
        <v>0</v>
      </c>
      <c r="Y270" s="26">
        <f t="shared" si="51"/>
        <v>0</v>
      </c>
      <c r="Z270" s="26">
        <f t="shared" si="57"/>
        <v>0</v>
      </c>
      <c r="AA270" s="33" t="s">
        <v>15</v>
      </c>
      <c r="AB270" s="36" t="s">
        <v>16</v>
      </c>
      <c r="AC270" s="181">
        <f t="shared" si="54"/>
        <v>8</v>
      </c>
      <c r="AD270" s="181">
        <f t="shared" si="52"/>
        <v>143445.12</v>
      </c>
      <c r="AE270" s="181">
        <v>1.7</v>
      </c>
      <c r="AF270" s="181">
        <v>1.7</v>
      </c>
      <c r="AG270" s="101" t="str">
        <f t="shared" si="55"/>
        <v/>
      </c>
      <c r="AH270" s="190">
        <v>0</v>
      </c>
      <c r="AI270" s="69">
        <f t="shared" si="56"/>
        <v>8</v>
      </c>
    </row>
    <row r="271" spans="1:35" s="69" customFormat="1" ht="78" hidden="1" x14ac:dyDescent="0.3">
      <c r="A271" s="55" t="s">
        <v>698</v>
      </c>
      <c r="B271" s="53" t="s">
        <v>699</v>
      </c>
      <c r="C271" s="54" t="s">
        <v>606</v>
      </c>
      <c r="D271" s="75">
        <v>14</v>
      </c>
      <c r="E271" s="75"/>
      <c r="F271" s="75"/>
      <c r="G271" s="161"/>
      <c r="H271" s="158" t="s">
        <v>15</v>
      </c>
      <c r="I271" s="166">
        <v>5272.95</v>
      </c>
      <c r="J271" s="75">
        <v>73821.3</v>
      </c>
      <c r="K271" s="91" t="s">
        <v>700</v>
      </c>
      <c r="L271" s="73"/>
      <c r="M271" s="46">
        <v>0</v>
      </c>
      <c r="N271" s="46">
        <v>0</v>
      </c>
      <c r="O271" s="46">
        <v>0</v>
      </c>
      <c r="P271" s="98"/>
      <c r="Q271" s="23" t="s">
        <v>1443</v>
      </c>
      <c r="R271" s="24" t="s">
        <v>699</v>
      </c>
      <c r="S271" s="25" t="s">
        <v>606</v>
      </c>
      <c r="T271" s="26">
        <v>14</v>
      </c>
      <c r="U271" s="26">
        <v>14</v>
      </c>
      <c r="V271" s="26">
        <v>5272.95</v>
      </c>
      <c r="W271" s="26">
        <f t="shared" si="50"/>
        <v>0</v>
      </c>
      <c r="X271" s="26">
        <f t="shared" si="53"/>
        <v>0</v>
      </c>
      <c r="Y271" s="26">
        <f t="shared" si="51"/>
        <v>0</v>
      </c>
      <c r="Z271" s="26">
        <f t="shared" si="57"/>
        <v>0</v>
      </c>
      <c r="AA271" s="33" t="s">
        <v>15</v>
      </c>
      <c r="AB271" s="36" t="s">
        <v>16</v>
      </c>
      <c r="AC271" s="181">
        <f t="shared" si="54"/>
        <v>14</v>
      </c>
      <c r="AD271" s="181">
        <f t="shared" si="52"/>
        <v>73821.3</v>
      </c>
      <c r="AE271" s="181">
        <v>1.7</v>
      </c>
      <c r="AF271" s="181">
        <v>1.7</v>
      </c>
      <c r="AG271" s="101" t="str">
        <f t="shared" si="55"/>
        <v/>
      </c>
      <c r="AH271" s="190">
        <v>0</v>
      </c>
      <c r="AI271" s="69">
        <f t="shared" si="56"/>
        <v>14</v>
      </c>
    </row>
    <row r="272" spans="1:35" s="69" customFormat="1" ht="78" hidden="1" x14ac:dyDescent="0.3">
      <c r="A272" s="55" t="s">
        <v>701</v>
      </c>
      <c r="B272" s="53" t="s">
        <v>702</v>
      </c>
      <c r="C272" s="54" t="s">
        <v>606</v>
      </c>
      <c r="D272" s="75">
        <v>15</v>
      </c>
      <c r="E272" s="75"/>
      <c r="F272" s="75"/>
      <c r="G272" s="161"/>
      <c r="H272" s="158" t="s">
        <v>15</v>
      </c>
      <c r="I272" s="166">
        <v>5272.95</v>
      </c>
      <c r="J272" s="75">
        <v>79094.25</v>
      </c>
      <c r="K272" s="91" t="s">
        <v>703</v>
      </c>
      <c r="L272" s="73"/>
      <c r="M272" s="46">
        <v>0</v>
      </c>
      <c r="N272" s="46">
        <v>0</v>
      </c>
      <c r="O272" s="46">
        <v>0</v>
      </c>
      <c r="P272" s="98"/>
      <c r="Q272" s="23" t="s">
        <v>1444</v>
      </c>
      <c r="R272" s="24" t="s">
        <v>702</v>
      </c>
      <c r="S272" s="25" t="s">
        <v>606</v>
      </c>
      <c r="T272" s="26">
        <v>15</v>
      </c>
      <c r="U272" s="26">
        <v>15</v>
      </c>
      <c r="V272" s="26">
        <v>5272.95</v>
      </c>
      <c r="W272" s="26">
        <f t="shared" si="50"/>
        <v>0</v>
      </c>
      <c r="X272" s="26">
        <f t="shared" si="53"/>
        <v>0</v>
      </c>
      <c r="Y272" s="26">
        <f t="shared" si="51"/>
        <v>0</v>
      </c>
      <c r="Z272" s="26">
        <f t="shared" si="57"/>
        <v>0</v>
      </c>
      <c r="AA272" s="33" t="s">
        <v>15</v>
      </c>
      <c r="AB272" s="36" t="s">
        <v>16</v>
      </c>
      <c r="AC272" s="181">
        <f t="shared" si="54"/>
        <v>15</v>
      </c>
      <c r="AD272" s="181">
        <f t="shared" si="52"/>
        <v>79094.25</v>
      </c>
      <c r="AE272" s="181">
        <v>1.7</v>
      </c>
      <c r="AF272" s="181">
        <v>1.7</v>
      </c>
      <c r="AG272" s="101" t="str">
        <f t="shared" si="55"/>
        <v/>
      </c>
      <c r="AH272" s="190">
        <v>0</v>
      </c>
      <c r="AI272" s="69">
        <f t="shared" si="56"/>
        <v>15</v>
      </c>
    </row>
    <row r="273" spans="1:35" s="69" customFormat="1" ht="78" hidden="1" x14ac:dyDescent="0.3">
      <c r="A273" s="55" t="s">
        <v>704</v>
      </c>
      <c r="B273" s="53" t="s">
        <v>705</v>
      </c>
      <c r="C273" s="54" t="s">
        <v>606</v>
      </c>
      <c r="D273" s="75">
        <v>1</v>
      </c>
      <c r="E273" s="75"/>
      <c r="F273" s="75"/>
      <c r="G273" s="161"/>
      <c r="H273" s="158" t="s">
        <v>15</v>
      </c>
      <c r="I273" s="166">
        <v>7859.47</v>
      </c>
      <c r="J273" s="75">
        <v>7859.47</v>
      </c>
      <c r="K273" s="91" t="s">
        <v>706</v>
      </c>
      <c r="L273" s="73"/>
      <c r="M273" s="46">
        <v>0</v>
      </c>
      <c r="N273" s="46">
        <v>0</v>
      </c>
      <c r="O273" s="46">
        <v>0</v>
      </c>
      <c r="P273" s="98"/>
      <c r="Q273" s="23" t="s">
        <v>1408</v>
      </c>
      <c r="R273" s="24" t="s">
        <v>705</v>
      </c>
      <c r="S273" s="25" t="s">
        <v>606</v>
      </c>
      <c r="T273" s="26">
        <v>1</v>
      </c>
      <c r="U273" s="26">
        <v>1</v>
      </c>
      <c r="V273" s="26">
        <v>7859.47</v>
      </c>
      <c r="W273" s="26">
        <f t="shared" si="50"/>
        <v>0</v>
      </c>
      <c r="X273" s="26">
        <f t="shared" si="53"/>
        <v>0</v>
      </c>
      <c r="Y273" s="26">
        <f t="shared" si="51"/>
        <v>0</v>
      </c>
      <c r="Z273" s="26">
        <f t="shared" si="57"/>
        <v>0</v>
      </c>
      <c r="AA273" s="33" t="s">
        <v>15</v>
      </c>
      <c r="AB273" s="36" t="s">
        <v>16</v>
      </c>
      <c r="AC273" s="181">
        <f t="shared" si="54"/>
        <v>1</v>
      </c>
      <c r="AD273" s="181">
        <f t="shared" si="52"/>
        <v>7859.47</v>
      </c>
      <c r="AE273" s="181">
        <v>1.7</v>
      </c>
      <c r="AF273" s="181">
        <v>1.7</v>
      </c>
      <c r="AG273" s="101" t="str">
        <f t="shared" si="55"/>
        <v/>
      </c>
      <c r="AH273" s="190">
        <v>0</v>
      </c>
      <c r="AI273" s="69">
        <f t="shared" si="56"/>
        <v>1</v>
      </c>
    </row>
    <row r="274" spans="1:35" s="69" customFormat="1" ht="78" hidden="1" x14ac:dyDescent="0.3">
      <c r="A274" s="55" t="s">
        <v>707</v>
      </c>
      <c r="B274" s="53" t="s">
        <v>708</v>
      </c>
      <c r="C274" s="54" t="s">
        <v>606</v>
      </c>
      <c r="D274" s="75">
        <v>1</v>
      </c>
      <c r="E274" s="75"/>
      <c r="F274" s="75"/>
      <c r="G274" s="161"/>
      <c r="H274" s="158" t="s">
        <v>15</v>
      </c>
      <c r="I274" s="166">
        <v>5839.45</v>
      </c>
      <c r="J274" s="75">
        <v>5839.45</v>
      </c>
      <c r="K274" s="91" t="s">
        <v>709</v>
      </c>
      <c r="L274" s="73"/>
      <c r="M274" s="46">
        <v>0</v>
      </c>
      <c r="N274" s="46">
        <v>0</v>
      </c>
      <c r="O274" s="46">
        <v>0</v>
      </c>
      <c r="P274" s="98"/>
      <c r="Q274" s="23" t="s">
        <v>1409</v>
      </c>
      <c r="R274" s="24" t="s">
        <v>708</v>
      </c>
      <c r="S274" s="25" t="s">
        <v>606</v>
      </c>
      <c r="T274" s="26">
        <v>1</v>
      </c>
      <c r="U274" s="26">
        <v>1</v>
      </c>
      <c r="V274" s="26">
        <v>5839.45</v>
      </c>
      <c r="W274" s="26">
        <f t="shared" si="50"/>
        <v>0</v>
      </c>
      <c r="X274" s="26">
        <f t="shared" si="53"/>
        <v>0</v>
      </c>
      <c r="Y274" s="26">
        <f t="shared" si="51"/>
        <v>0</v>
      </c>
      <c r="Z274" s="26">
        <f t="shared" si="57"/>
        <v>0</v>
      </c>
      <c r="AA274" s="33" t="s">
        <v>15</v>
      </c>
      <c r="AB274" s="36" t="s">
        <v>16</v>
      </c>
      <c r="AC274" s="181">
        <f t="shared" si="54"/>
        <v>1</v>
      </c>
      <c r="AD274" s="181">
        <f t="shared" si="52"/>
        <v>5839.45</v>
      </c>
      <c r="AE274" s="181">
        <v>1.7</v>
      </c>
      <c r="AF274" s="181">
        <v>1.7</v>
      </c>
      <c r="AG274" s="101" t="str">
        <f t="shared" si="55"/>
        <v/>
      </c>
      <c r="AH274" s="190">
        <v>0</v>
      </c>
      <c r="AI274" s="69">
        <f t="shared" si="56"/>
        <v>1</v>
      </c>
    </row>
    <row r="275" spans="1:35" s="69" customFormat="1" ht="78" hidden="1" x14ac:dyDescent="0.3">
      <c r="A275" s="55" t="s">
        <v>710</v>
      </c>
      <c r="B275" s="53" t="s">
        <v>711</v>
      </c>
      <c r="C275" s="54" t="s">
        <v>606</v>
      </c>
      <c r="D275" s="75">
        <v>1</v>
      </c>
      <c r="E275" s="75"/>
      <c r="F275" s="75"/>
      <c r="G275" s="161"/>
      <c r="H275" s="158" t="s">
        <v>15</v>
      </c>
      <c r="I275" s="166">
        <v>7189.97</v>
      </c>
      <c r="J275" s="75">
        <v>7189.97</v>
      </c>
      <c r="K275" s="91" t="s">
        <v>712</v>
      </c>
      <c r="L275" s="73"/>
      <c r="M275" s="46">
        <v>0</v>
      </c>
      <c r="N275" s="46">
        <v>0</v>
      </c>
      <c r="O275" s="46">
        <v>0</v>
      </c>
      <c r="P275" s="98"/>
      <c r="Q275" s="23" t="s">
        <v>1410</v>
      </c>
      <c r="R275" s="24" t="s">
        <v>711</v>
      </c>
      <c r="S275" s="25" t="s">
        <v>606</v>
      </c>
      <c r="T275" s="26">
        <v>1</v>
      </c>
      <c r="U275" s="26">
        <v>1</v>
      </c>
      <c r="V275" s="26">
        <v>7189.97</v>
      </c>
      <c r="W275" s="26">
        <f t="shared" si="50"/>
        <v>0</v>
      </c>
      <c r="X275" s="26">
        <f t="shared" si="53"/>
        <v>0</v>
      </c>
      <c r="Y275" s="26">
        <f t="shared" si="51"/>
        <v>0</v>
      </c>
      <c r="Z275" s="26">
        <f t="shared" si="57"/>
        <v>0</v>
      </c>
      <c r="AA275" s="33" t="s">
        <v>15</v>
      </c>
      <c r="AB275" s="36" t="s">
        <v>16</v>
      </c>
      <c r="AC275" s="181">
        <f t="shared" si="54"/>
        <v>1</v>
      </c>
      <c r="AD275" s="181">
        <f t="shared" si="52"/>
        <v>7189.97</v>
      </c>
      <c r="AE275" s="181">
        <v>1.7</v>
      </c>
      <c r="AF275" s="181">
        <v>1.7</v>
      </c>
      <c r="AG275" s="101" t="str">
        <f t="shared" si="55"/>
        <v/>
      </c>
      <c r="AH275" s="190">
        <v>0</v>
      </c>
      <c r="AI275" s="69">
        <f t="shared" si="56"/>
        <v>1</v>
      </c>
    </row>
    <row r="276" spans="1:35" s="69" customFormat="1" ht="78" hidden="1" x14ac:dyDescent="0.3">
      <c r="A276" s="55" t="s">
        <v>713</v>
      </c>
      <c r="B276" s="53" t="s">
        <v>714</v>
      </c>
      <c r="C276" s="54" t="s">
        <v>606</v>
      </c>
      <c r="D276" s="75">
        <v>4</v>
      </c>
      <c r="E276" s="75"/>
      <c r="F276" s="75"/>
      <c r="G276" s="161"/>
      <c r="H276" s="158" t="s">
        <v>15</v>
      </c>
      <c r="I276" s="166">
        <v>4860.95</v>
      </c>
      <c r="J276" s="75">
        <v>19443.8</v>
      </c>
      <c r="K276" s="91" t="s">
        <v>715</v>
      </c>
      <c r="L276" s="73"/>
      <c r="M276" s="46">
        <v>0</v>
      </c>
      <c r="N276" s="46">
        <v>0</v>
      </c>
      <c r="O276" s="46">
        <v>0</v>
      </c>
      <c r="P276" s="98"/>
      <c r="Q276" s="23" t="s">
        <v>1411</v>
      </c>
      <c r="R276" s="24" t="s">
        <v>714</v>
      </c>
      <c r="S276" s="25" t="s">
        <v>606</v>
      </c>
      <c r="T276" s="26">
        <v>4</v>
      </c>
      <c r="U276" s="26">
        <v>4</v>
      </c>
      <c r="V276" s="26">
        <v>4860.95</v>
      </c>
      <c r="W276" s="26">
        <f t="shared" si="50"/>
        <v>0</v>
      </c>
      <c r="X276" s="26">
        <f t="shared" si="53"/>
        <v>0</v>
      </c>
      <c r="Y276" s="26">
        <f t="shared" si="51"/>
        <v>0</v>
      </c>
      <c r="Z276" s="26">
        <f t="shared" si="57"/>
        <v>0</v>
      </c>
      <c r="AA276" s="33" t="s">
        <v>15</v>
      </c>
      <c r="AB276" s="36" t="s">
        <v>16</v>
      </c>
      <c r="AC276" s="181">
        <f t="shared" si="54"/>
        <v>4</v>
      </c>
      <c r="AD276" s="181">
        <f t="shared" si="52"/>
        <v>19443.8</v>
      </c>
      <c r="AE276" s="181">
        <v>1.7</v>
      </c>
      <c r="AF276" s="181">
        <v>1.7</v>
      </c>
      <c r="AG276" s="101" t="str">
        <f t="shared" si="55"/>
        <v/>
      </c>
      <c r="AH276" s="190">
        <v>0</v>
      </c>
      <c r="AI276" s="69">
        <f t="shared" si="56"/>
        <v>4</v>
      </c>
    </row>
    <row r="277" spans="1:35" s="69" customFormat="1" ht="78" hidden="1" x14ac:dyDescent="0.3">
      <c r="A277" s="55" t="s">
        <v>716</v>
      </c>
      <c r="B277" s="53" t="s">
        <v>717</v>
      </c>
      <c r="C277" s="54" t="s">
        <v>606</v>
      </c>
      <c r="D277" s="75">
        <v>1</v>
      </c>
      <c r="E277" s="75"/>
      <c r="F277" s="75"/>
      <c r="G277" s="161"/>
      <c r="H277" s="158" t="s">
        <v>15</v>
      </c>
      <c r="I277" s="166">
        <v>14800.45</v>
      </c>
      <c r="J277" s="75">
        <v>14800.45</v>
      </c>
      <c r="K277" s="91" t="s">
        <v>718</v>
      </c>
      <c r="L277" s="73"/>
      <c r="M277" s="46">
        <v>0</v>
      </c>
      <c r="N277" s="46">
        <v>0</v>
      </c>
      <c r="O277" s="46">
        <v>0</v>
      </c>
      <c r="P277" s="98"/>
      <c r="Q277" s="23" t="s">
        <v>1445</v>
      </c>
      <c r="R277" s="24" t="s">
        <v>717</v>
      </c>
      <c r="S277" s="25" t="s">
        <v>606</v>
      </c>
      <c r="T277" s="26">
        <v>1</v>
      </c>
      <c r="U277" s="26">
        <v>1</v>
      </c>
      <c r="V277" s="26">
        <v>14800.45</v>
      </c>
      <c r="W277" s="26">
        <f t="shared" si="50"/>
        <v>0</v>
      </c>
      <c r="X277" s="26">
        <f t="shared" si="53"/>
        <v>0</v>
      </c>
      <c r="Y277" s="26">
        <f t="shared" si="51"/>
        <v>0</v>
      </c>
      <c r="Z277" s="26">
        <f t="shared" si="57"/>
        <v>0</v>
      </c>
      <c r="AA277" s="33" t="s">
        <v>15</v>
      </c>
      <c r="AB277" s="36" t="s">
        <v>16</v>
      </c>
      <c r="AC277" s="181">
        <f t="shared" si="54"/>
        <v>1</v>
      </c>
      <c r="AD277" s="181">
        <f t="shared" si="52"/>
        <v>14800.45</v>
      </c>
      <c r="AE277" s="181">
        <v>1.7</v>
      </c>
      <c r="AF277" s="181">
        <v>1.7</v>
      </c>
      <c r="AG277" s="101" t="str">
        <f t="shared" si="55"/>
        <v/>
      </c>
      <c r="AH277" s="190">
        <v>0</v>
      </c>
      <c r="AI277" s="69">
        <f t="shared" si="56"/>
        <v>1</v>
      </c>
    </row>
    <row r="278" spans="1:35" s="69" customFormat="1" ht="78" hidden="1" x14ac:dyDescent="0.3">
      <c r="A278" s="55" t="s">
        <v>719</v>
      </c>
      <c r="B278" s="53" t="s">
        <v>720</v>
      </c>
      <c r="C278" s="54" t="s">
        <v>606</v>
      </c>
      <c r="D278" s="75">
        <v>1</v>
      </c>
      <c r="E278" s="75"/>
      <c r="F278" s="75"/>
      <c r="G278" s="161"/>
      <c r="H278" s="158" t="s">
        <v>15</v>
      </c>
      <c r="I278" s="166">
        <v>6661.47</v>
      </c>
      <c r="J278" s="75">
        <v>6661.47</v>
      </c>
      <c r="K278" s="91" t="s">
        <v>721</v>
      </c>
      <c r="L278" s="73"/>
      <c r="M278" s="46">
        <v>0</v>
      </c>
      <c r="N278" s="46">
        <v>0</v>
      </c>
      <c r="O278" s="46">
        <v>0</v>
      </c>
      <c r="P278" s="98"/>
      <c r="Q278" s="23" t="s">
        <v>1383</v>
      </c>
      <c r="R278" s="24" t="s">
        <v>720</v>
      </c>
      <c r="S278" s="25" t="s">
        <v>606</v>
      </c>
      <c r="T278" s="26">
        <v>1</v>
      </c>
      <c r="U278" s="26">
        <v>1</v>
      </c>
      <c r="V278" s="26">
        <v>6661.47</v>
      </c>
      <c r="W278" s="26">
        <f t="shared" si="50"/>
        <v>0</v>
      </c>
      <c r="X278" s="26">
        <f t="shared" si="53"/>
        <v>0</v>
      </c>
      <c r="Y278" s="26">
        <f t="shared" si="51"/>
        <v>0</v>
      </c>
      <c r="Z278" s="26">
        <f t="shared" si="57"/>
        <v>0</v>
      </c>
      <c r="AA278" s="33" t="s">
        <v>15</v>
      </c>
      <c r="AB278" s="36" t="s">
        <v>16</v>
      </c>
      <c r="AC278" s="181">
        <f t="shared" si="54"/>
        <v>1</v>
      </c>
      <c r="AD278" s="181">
        <f t="shared" si="52"/>
        <v>6661.47</v>
      </c>
      <c r="AE278" s="181">
        <v>1.7</v>
      </c>
      <c r="AF278" s="181">
        <v>1.7</v>
      </c>
      <c r="AG278" s="101" t="str">
        <f t="shared" si="55"/>
        <v/>
      </c>
      <c r="AH278" s="190">
        <v>0</v>
      </c>
      <c r="AI278" s="69">
        <f t="shared" si="56"/>
        <v>1</v>
      </c>
    </row>
    <row r="279" spans="1:35" s="69" customFormat="1" ht="78" hidden="1" x14ac:dyDescent="0.3">
      <c r="A279" s="55" t="s">
        <v>722</v>
      </c>
      <c r="B279" s="53" t="s">
        <v>723</v>
      </c>
      <c r="C279" s="54" t="s">
        <v>606</v>
      </c>
      <c r="D279" s="75">
        <v>1</v>
      </c>
      <c r="E279" s="75"/>
      <c r="F279" s="75"/>
      <c r="G279" s="161"/>
      <c r="H279" s="158" t="s">
        <v>15</v>
      </c>
      <c r="I279" s="166">
        <v>15584.47</v>
      </c>
      <c r="J279" s="75">
        <v>15584.47</v>
      </c>
      <c r="K279" s="91" t="s">
        <v>724</v>
      </c>
      <c r="L279" s="73"/>
      <c r="M279" s="46">
        <v>0</v>
      </c>
      <c r="N279" s="46">
        <v>0</v>
      </c>
      <c r="O279" s="46">
        <v>0</v>
      </c>
      <c r="P279" s="98"/>
      <c r="Q279" s="23" t="s">
        <v>1384</v>
      </c>
      <c r="R279" s="24" t="s">
        <v>723</v>
      </c>
      <c r="S279" s="25" t="s">
        <v>606</v>
      </c>
      <c r="T279" s="26">
        <v>1</v>
      </c>
      <c r="U279" s="26">
        <v>1</v>
      </c>
      <c r="V279" s="26">
        <v>15584.47</v>
      </c>
      <c r="W279" s="26">
        <f t="shared" si="50"/>
        <v>0</v>
      </c>
      <c r="X279" s="26">
        <f t="shared" si="53"/>
        <v>0</v>
      </c>
      <c r="Y279" s="26">
        <f t="shared" si="51"/>
        <v>0</v>
      </c>
      <c r="Z279" s="26">
        <f t="shared" si="57"/>
        <v>0</v>
      </c>
      <c r="AA279" s="33" t="s">
        <v>15</v>
      </c>
      <c r="AB279" s="36" t="s">
        <v>16</v>
      </c>
      <c r="AC279" s="181">
        <f t="shared" si="54"/>
        <v>1</v>
      </c>
      <c r="AD279" s="181">
        <f t="shared" si="52"/>
        <v>15584.47</v>
      </c>
      <c r="AE279" s="181">
        <v>1.7</v>
      </c>
      <c r="AF279" s="181">
        <v>1.7</v>
      </c>
      <c r="AG279" s="101" t="str">
        <f t="shared" si="55"/>
        <v/>
      </c>
      <c r="AH279" s="190">
        <v>0</v>
      </c>
      <c r="AI279" s="69">
        <f t="shared" si="56"/>
        <v>1</v>
      </c>
    </row>
    <row r="280" spans="1:35" s="69" customFormat="1" ht="78" hidden="1" x14ac:dyDescent="0.3">
      <c r="A280" s="55" t="s">
        <v>725</v>
      </c>
      <c r="B280" s="53" t="s">
        <v>726</v>
      </c>
      <c r="C280" s="54" t="s">
        <v>606</v>
      </c>
      <c r="D280" s="75">
        <v>4</v>
      </c>
      <c r="E280" s="75"/>
      <c r="F280" s="75"/>
      <c r="G280" s="161"/>
      <c r="H280" s="158" t="s">
        <v>15</v>
      </c>
      <c r="I280" s="166">
        <v>3949.4</v>
      </c>
      <c r="J280" s="75">
        <v>15797.6</v>
      </c>
      <c r="K280" s="91" t="s">
        <v>727</v>
      </c>
      <c r="L280" s="73"/>
      <c r="M280" s="46">
        <v>0</v>
      </c>
      <c r="N280" s="46">
        <v>0</v>
      </c>
      <c r="O280" s="46">
        <v>0</v>
      </c>
      <c r="P280" s="98"/>
      <c r="Q280" s="23" t="s">
        <v>1385</v>
      </c>
      <c r="R280" s="24" t="s">
        <v>726</v>
      </c>
      <c r="S280" s="25" t="s">
        <v>606</v>
      </c>
      <c r="T280" s="26">
        <v>4</v>
      </c>
      <c r="U280" s="26">
        <v>4</v>
      </c>
      <c r="V280" s="26">
        <v>3949.4</v>
      </c>
      <c r="W280" s="26">
        <f t="shared" si="50"/>
        <v>0</v>
      </c>
      <c r="X280" s="26">
        <f t="shared" si="53"/>
        <v>0</v>
      </c>
      <c r="Y280" s="26">
        <f t="shared" si="51"/>
        <v>0</v>
      </c>
      <c r="Z280" s="26">
        <f t="shared" si="57"/>
        <v>0</v>
      </c>
      <c r="AA280" s="33" t="s">
        <v>15</v>
      </c>
      <c r="AB280" s="36" t="s">
        <v>16</v>
      </c>
      <c r="AC280" s="181">
        <f t="shared" si="54"/>
        <v>4</v>
      </c>
      <c r="AD280" s="181">
        <f t="shared" si="52"/>
        <v>15797.6</v>
      </c>
      <c r="AE280" s="181">
        <v>1.7</v>
      </c>
      <c r="AF280" s="181">
        <v>1.7</v>
      </c>
      <c r="AG280" s="101" t="str">
        <f t="shared" si="55"/>
        <v/>
      </c>
      <c r="AH280" s="190">
        <v>0</v>
      </c>
      <c r="AI280" s="69">
        <f t="shared" si="56"/>
        <v>4</v>
      </c>
    </row>
    <row r="281" spans="1:35" s="69" customFormat="1" ht="58.5" hidden="1" x14ac:dyDescent="0.3">
      <c r="A281" s="55" t="s">
        <v>728</v>
      </c>
      <c r="B281" s="53" t="s">
        <v>729</v>
      </c>
      <c r="C281" s="54" t="s">
        <v>606</v>
      </c>
      <c r="D281" s="75">
        <v>1</v>
      </c>
      <c r="E281" s="75"/>
      <c r="F281" s="75"/>
      <c r="G281" s="161"/>
      <c r="H281" s="158" t="s">
        <v>15</v>
      </c>
      <c r="I281" s="166">
        <v>227.07</v>
      </c>
      <c r="J281" s="75">
        <v>227.07</v>
      </c>
      <c r="K281" s="91" t="s">
        <v>730</v>
      </c>
      <c r="L281" s="73"/>
      <c r="M281" s="46">
        <v>0</v>
      </c>
      <c r="N281" s="46">
        <v>0</v>
      </c>
      <c r="O281" s="46">
        <v>0</v>
      </c>
      <c r="P281" s="98"/>
      <c r="Q281" s="23" t="s">
        <v>1446</v>
      </c>
      <c r="R281" s="24" t="s">
        <v>729</v>
      </c>
      <c r="S281" s="25" t="s">
        <v>606</v>
      </c>
      <c r="T281" s="26">
        <v>1</v>
      </c>
      <c r="U281" s="26">
        <v>1</v>
      </c>
      <c r="V281" s="26">
        <v>227.07</v>
      </c>
      <c r="W281" s="26">
        <f t="shared" si="50"/>
        <v>0</v>
      </c>
      <c r="X281" s="26">
        <f t="shared" si="53"/>
        <v>0</v>
      </c>
      <c r="Y281" s="26">
        <f t="shared" si="51"/>
        <v>0</v>
      </c>
      <c r="Z281" s="26">
        <f t="shared" si="57"/>
        <v>0</v>
      </c>
      <c r="AA281" s="33" t="s">
        <v>15</v>
      </c>
      <c r="AB281" s="36" t="s">
        <v>16</v>
      </c>
      <c r="AC281" s="181">
        <f t="shared" si="54"/>
        <v>1</v>
      </c>
      <c r="AD281" s="181">
        <f t="shared" si="52"/>
        <v>227.07</v>
      </c>
      <c r="AE281" s="181">
        <v>1.7</v>
      </c>
      <c r="AF281" s="181">
        <v>1.7</v>
      </c>
      <c r="AG281" s="101" t="str">
        <f t="shared" si="55"/>
        <v/>
      </c>
      <c r="AH281" s="190">
        <v>0</v>
      </c>
      <c r="AI281" s="69">
        <f t="shared" si="56"/>
        <v>1</v>
      </c>
    </row>
    <row r="282" spans="1:35" s="69" customFormat="1" ht="39" hidden="1" x14ac:dyDescent="0.3">
      <c r="A282" s="55" t="s">
        <v>731</v>
      </c>
      <c r="B282" s="53" t="s">
        <v>732</v>
      </c>
      <c r="C282" s="54" t="s">
        <v>606</v>
      </c>
      <c r="D282" s="75">
        <v>1</v>
      </c>
      <c r="E282" s="75"/>
      <c r="F282" s="75"/>
      <c r="G282" s="161"/>
      <c r="H282" s="158" t="s">
        <v>15</v>
      </c>
      <c r="I282" s="166">
        <v>277.02999999999997</v>
      </c>
      <c r="J282" s="75">
        <v>277.02999999999997</v>
      </c>
      <c r="K282" s="91" t="s">
        <v>733</v>
      </c>
      <c r="L282" s="73"/>
      <c r="M282" s="46">
        <v>0</v>
      </c>
      <c r="N282" s="46">
        <v>0</v>
      </c>
      <c r="O282" s="46">
        <v>0</v>
      </c>
      <c r="P282" s="98"/>
      <c r="Q282" s="23" t="s">
        <v>1447</v>
      </c>
      <c r="R282" s="24" t="s">
        <v>732</v>
      </c>
      <c r="S282" s="25" t="s">
        <v>606</v>
      </c>
      <c r="T282" s="26">
        <v>1</v>
      </c>
      <c r="U282" s="26">
        <v>1</v>
      </c>
      <c r="V282" s="26">
        <v>277.02999999999997</v>
      </c>
      <c r="W282" s="26">
        <f t="shared" si="50"/>
        <v>0</v>
      </c>
      <c r="X282" s="26">
        <f t="shared" si="53"/>
        <v>0</v>
      </c>
      <c r="Y282" s="26">
        <f t="shared" si="51"/>
        <v>0</v>
      </c>
      <c r="Z282" s="26">
        <f t="shared" si="57"/>
        <v>0</v>
      </c>
      <c r="AA282" s="33" t="s">
        <v>15</v>
      </c>
      <c r="AB282" s="36" t="s">
        <v>16</v>
      </c>
      <c r="AC282" s="181">
        <f t="shared" si="54"/>
        <v>1</v>
      </c>
      <c r="AD282" s="181">
        <f t="shared" si="52"/>
        <v>277.02999999999997</v>
      </c>
      <c r="AE282" s="181">
        <v>1.7</v>
      </c>
      <c r="AF282" s="181">
        <v>1.7</v>
      </c>
      <c r="AG282" s="101" t="str">
        <f t="shared" si="55"/>
        <v/>
      </c>
      <c r="AH282" s="190">
        <v>0</v>
      </c>
      <c r="AI282" s="69">
        <f t="shared" si="56"/>
        <v>1</v>
      </c>
    </row>
    <row r="283" spans="1:35" s="69" customFormat="1" ht="39" hidden="1" x14ac:dyDescent="0.3">
      <c r="A283" s="55" t="s">
        <v>734</v>
      </c>
      <c r="B283" s="53" t="s">
        <v>735</v>
      </c>
      <c r="C283" s="54" t="s">
        <v>606</v>
      </c>
      <c r="D283" s="75">
        <v>1</v>
      </c>
      <c r="E283" s="75"/>
      <c r="F283" s="75"/>
      <c r="G283" s="161"/>
      <c r="H283" s="158" t="s">
        <v>15</v>
      </c>
      <c r="I283" s="166">
        <v>286.3</v>
      </c>
      <c r="J283" s="75">
        <v>286.3</v>
      </c>
      <c r="K283" s="91" t="s">
        <v>736</v>
      </c>
      <c r="L283" s="73"/>
      <c r="M283" s="46">
        <v>0</v>
      </c>
      <c r="N283" s="46">
        <v>0</v>
      </c>
      <c r="O283" s="46">
        <v>0</v>
      </c>
      <c r="P283" s="98"/>
      <c r="Q283" s="23" t="s">
        <v>1448</v>
      </c>
      <c r="R283" s="24" t="s">
        <v>735</v>
      </c>
      <c r="S283" s="25" t="s">
        <v>606</v>
      </c>
      <c r="T283" s="26">
        <v>1</v>
      </c>
      <c r="U283" s="26">
        <v>1</v>
      </c>
      <c r="V283" s="26">
        <v>286.3</v>
      </c>
      <c r="W283" s="26">
        <f t="shared" si="50"/>
        <v>0</v>
      </c>
      <c r="X283" s="26">
        <f t="shared" si="53"/>
        <v>0</v>
      </c>
      <c r="Y283" s="26">
        <f t="shared" si="51"/>
        <v>0</v>
      </c>
      <c r="Z283" s="26">
        <f t="shared" si="57"/>
        <v>0</v>
      </c>
      <c r="AA283" s="33" t="s">
        <v>15</v>
      </c>
      <c r="AB283" s="36" t="s">
        <v>16</v>
      </c>
      <c r="AC283" s="181">
        <f t="shared" si="54"/>
        <v>1</v>
      </c>
      <c r="AD283" s="181">
        <f t="shared" si="52"/>
        <v>286.3</v>
      </c>
      <c r="AE283" s="181">
        <v>1.7</v>
      </c>
      <c r="AF283" s="181">
        <v>1.7</v>
      </c>
      <c r="AG283" s="101" t="str">
        <f t="shared" si="55"/>
        <v/>
      </c>
      <c r="AH283" s="190">
        <v>0</v>
      </c>
      <c r="AI283" s="69">
        <f t="shared" si="56"/>
        <v>1</v>
      </c>
    </row>
    <row r="284" spans="1:35" s="69" customFormat="1" ht="39" hidden="1" x14ac:dyDescent="0.3">
      <c r="A284" s="55" t="s">
        <v>737</v>
      </c>
      <c r="B284" s="53" t="s">
        <v>738</v>
      </c>
      <c r="C284" s="54" t="s">
        <v>606</v>
      </c>
      <c r="D284" s="75">
        <v>1</v>
      </c>
      <c r="E284" s="75"/>
      <c r="F284" s="75"/>
      <c r="G284" s="161"/>
      <c r="H284" s="158" t="s">
        <v>15</v>
      </c>
      <c r="I284" s="166">
        <v>134.37</v>
      </c>
      <c r="J284" s="75">
        <v>134.37</v>
      </c>
      <c r="K284" s="91" t="s">
        <v>739</v>
      </c>
      <c r="L284" s="73"/>
      <c r="M284" s="46">
        <v>0</v>
      </c>
      <c r="N284" s="46">
        <v>0</v>
      </c>
      <c r="O284" s="46">
        <v>0</v>
      </c>
      <c r="P284" s="98"/>
      <c r="Q284" s="23" t="s">
        <v>1449</v>
      </c>
      <c r="R284" s="24" t="s">
        <v>738</v>
      </c>
      <c r="S284" s="25" t="s">
        <v>606</v>
      </c>
      <c r="T284" s="26">
        <v>1</v>
      </c>
      <c r="U284" s="26">
        <v>1</v>
      </c>
      <c r="V284" s="26">
        <v>134.37</v>
      </c>
      <c r="W284" s="26">
        <f t="shared" si="50"/>
        <v>0</v>
      </c>
      <c r="X284" s="26">
        <f t="shared" si="53"/>
        <v>0</v>
      </c>
      <c r="Y284" s="26">
        <f t="shared" si="51"/>
        <v>0</v>
      </c>
      <c r="Z284" s="26">
        <f t="shared" si="57"/>
        <v>0</v>
      </c>
      <c r="AA284" s="33" t="s">
        <v>15</v>
      </c>
      <c r="AB284" s="36" t="s">
        <v>16</v>
      </c>
      <c r="AC284" s="181">
        <f t="shared" si="54"/>
        <v>1</v>
      </c>
      <c r="AD284" s="181">
        <f t="shared" si="52"/>
        <v>134.37</v>
      </c>
      <c r="AE284" s="181">
        <v>1.7</v>
      </c>
      <c r="AF284" s="181">
        <v>1.7</v>
      </c>
      <c r="AG284" s="101" t="str">
        <f t="shared" si="55"/>
        <v/>
      </c>
      <c r="AH284" s="190">
        <v>0</v>
      </c>
      <c r="AI284" s="69">
        <f t="shared" si="56"/>
        <v>1</v>
      </c>
    </row>
    <row r="285" spans="1:35" s="69" customFormat="1" ht="39" hidden="1" x14ac:dyDescent="0.3">
      <c r="A285" s="55" t="s">
        <v>740</v>
      </c>
      <c r="B285" s="53" t="s">
        <v>741</v>
      </c>
      <c r="C285" s="54" t="s">
        <v>606</v>
      </c>
      <c r="D285" s="75">
        <v>1</v>
      </c>
      <c r="E285" s="75"/>
      <c r="F285" s="75"/>
      <c r="G285" s="161"/>
      <c r="H285" s="158" t="s">
        <v>15</v>
      </c>
      <c r="I285" s="166">
        <v>142.1</v>
      </c>
      <c r="J285" s="75">
        <v>142.1</v>
      </c>
      <c r="K285" s="91" t="s">
        <v>742</v>
      </c>
      <c r="L285" s="73"/>
      <c r="M285" s="46">
        <v>0</v>
      </c>
      <c r="N285" s="46">
        <v>0</v>
      </c>
      <c r="O285" s="46">
        <v>0</v>
      </c>
      <c r="P285" s="98"/>
      <c r="Q285" s="23" t="s">
        <v>1450</v>
      </c>
      <c r="R285" s="24" t="s">
        <v>741</v>
      </c>
      <c r="S285" s="25" t="s">
        <v>606</v>
      </c>
      <c r="T285" s="26">
        <v>1</v>
      </c>
      <c r="U285" s="26">
        <v>1</v>
      </c>
      <c r="V285" s="26">
        <v>142.1</v>
      </c>
      <c r="W285" s="26">
        <f t="shared" si="50"/>
        <v>0</v>
      </c>
      <c r="X285" s="26">
        <f t="shared" si="53"/>
        <v>0</v>
      </c>
      <c r="Y285" s="26">
        <f t="shared" si="51"/>
        <v>0</v>
      </c>
      <c r="Z285" s="26">
        <f t="shared" si="57"/>
        <v>0</v>
      </c>
      <c r="AA285" s="33" t="s">
        <v>15</v>
      </c>
      <c r="AB285" s="36" t="s">
        <v>16</v>
      </c>
      <c r="AC285" s="181">
        <f t="shared" si="54"/>
        <v>1</v>
      </c>
      <c r="AD285" s="181">
        <f t="shared" si="52"/>
        <v>142.1</v>
      </c>
      <c r="AE285" s="181">
        <v>1.7</v>
      </c>
      <c r="AF285" s="181">
        <v>1.7</v>
      </c>
      <c r="AG285" s="101" t="str">
        <f t="shared" si="55"/>
        <v/>
      </c>
      <c r="AH285" s="190">
        <v>0</v>
      </c>
      <c r="AI285" s="69">
        <f t="shared" si="56"/>
        <v>1</v>
      </c>
    </row>
    <row r="286" spans="1:35" s="69" customFormat="1" ht="39" hidden="1" x14ac:dyDescent="0.3">
      <c r="A286" s="55" t="s">
        <v>743</v>
      </c>
      <c r="B286" s="53" t="s">
        <v>744</v>
      </c>
      <c r="C286" s="54" t="s">
        <v>606</v>
      </c>
      <c r="D286" s="75">
        <v>1</v>
      </c>
      <c r="E286" s="75"/>
      <c r="F286" s="75"/>
      <c r="G286" s="161"/>
      <c r="H286" s="158" t="s">
        <v>15</v>
      </c>
      <c r="I286" s="166">
        <v>90.32</v>
      </c>
      <c r="J286" s="75">
        <v>90.32</v>
      </c>
      <c r="K286" s="91" t="s">
        <v>745</v>
      </c>
      <c r="L286" s="73"/>
      <c r="M286" s="46">
        <v>0</v>
      </c>
      <c r="N286" s="46">
        <v>0</v>
      </c>
      <c r="O286" s="46">
        <v>0</v>
      </c>
      <c r="P286" s="98"/>
      <c r="Q286" s="23" t="s">
        <v>1451</v>
      </c>
      <c r="R286" s="24" t="s">
        <v>744</v>
      </c>
      <c r="S286" s="25" t="s">
        <v>606</v>
      </c>
      <c r="T286" s="26">
        <v>1</v>
      </c>
      <c r="U286" s="26">
        <v>1</v>
      </c>
      <c r="V286" s="26">
        <v>90.32</v>
      </c>
      <c r="W286" s="26">
        <f t="shared" si="50"/>
        <v>0</v>
      </c>
      <c r="X286" s="26">
        <f t="shared" si="53"/>
        <v>0</v>
      </c>
      <c r="Y286" s="26">
        <f t="shared" si="51"/>
        <v>0</v>
      </c>
      <c r="Z286" s="26">
        <f t="shared" si="57"/>
        <v>0</v>
      </c>
      <c r="AA286" s="33" t="s">
        <v>15</v>
      </c>
      <c r="AB286" s="36" t="s">
        <v>16</v>
      </c>
      <c r="AC286" s="181">
        <f t="shared" si="54"/>
        <v>1</v>
      </c>
      <c r="AD286" s="181">
        <f t="shared" si="52"/>
        <v>90.32</v>
      </c>
      <c r="AE286" s="181">
        <v>1.7</v>
      </c>
      <c r="AF286" s="181">
        <v>1.7</v>
      </c>
      <c r="AG286" s="101" t="str">
        <f t="shared" si="55"/>
        <v/>
      </c>
      <c r="AH286" s="190">
        <v>0</v>
      </c>
      <c r="AI286" s="69">
        <f t="shared" si="56"/>
        <v>1</v>
      </c>
    </row>
    <row r="287" spans="1:35" s="69" customFormat="1" ht="58.5" hidden="1" x14ac:dyDescent="0.3">
      <c r="A287" s="55" t="s">
        <v>746</v>
      </c>
      <c r="B287" s="53" t="s">
        <v>747</v>
      </c>
      <c r="C287" s="54" t="s">
        <v>606</v>
      </c>
      <c r="D287" s="75">
        <v>1</v>
      </c>
      <c r="E287" s="75"/>
      <c r="F287" s="75"/>
      <c r="G287" s="161"/>
      <c r="H287" s="158" t="s">
        <v>15</v>
      </c>
      <c r="I287" s="166">
        <v>125.1</v>
      </c>
      <c r="J287" s="75">
        <v>125.1</v>
      </c>
      <c r="K287" s="91" t="s">
        <v>748</v>
      </c>
      <c r="L287" s="73"/>
      <c r="M287" s="46">
        <v>0</v>
      </c>
      <c r="N287" s="46">
        <v>0</v>
      </c>
      <c r="O287" s="46">
        <v>0</v>
      </c>
      <c r="P287" s="98"/>
      <c r="Q287" s="23" t="s">
        <v>1452</v>
      </c>
      <c r="R287" s="24" t="s">
        <v>747</v>
      </c>
      <c r="S287" s="25" t="s">
        <v>606</v>
      </c>
      <c r="T287" s="26">
        <v>1</v>
      </c>
      <c r="U287" s="26">
        <v>1</v>
      </c>
      <c r="V287" s="26">
        <v>125.1</v>
      </c>
      <c r="W287" s="26">
        <f t="shared" si="50"/>
        <v>0</v>
      </c>
      <c r="X287" s="26">
        <f t="shared" si="53"/>
        <v>0</v>
      </c>
      <c r="Y287" s="26">
        <f t="shared" si="51"/>
        <v>0</v>
      </c>
      <c r="Z287" s="26">
        <f t="shared" si="57"/>
        <v>0</v>
      </c>
      <c r="AA287" s="33" t="s">
        <v>15</v>
      </c>
      <c r="AB287" s="36" t="s">
        <v>16</v>
      </c>
      <c r="AC287" s="181">
        <f t="shared" si="54"/>
        <v>1</v>
      </c>
      <c r="AD287" s="181">
        <f t="shared" si="52"/>
        <v>125.1</v>
      </c>
      <c r="AE287" s="181">
        <v>1.7</v>
      </c>
      <c r="AF287" s="181">
        <v>1.7</v>
      </c>
      <c r="AG287" s="101" t="str">
        <f t="shared" si="55"/>
        <v/>
      </c>
      <c r="AH287" s="190">
        <v>0</v>
      </c>
      <c r="AI287" s="69">
        <f t="shared" si="56"/>
        <v>1</v>
      </c>
    </row>
    <row r="288" spans="1:35" s="69" customFormat="1" ht="58.5" hidden="1" x14ac:dyDescent="0.3">
      <c r="A288" s="55" t="s">
        <v>749</v>
      </c>
      <c r="B288" s="53" t="s">
        <v>750</v>
      </c>
      <c r="C288" s="54" t="s">
        <v>606</v>
      </c>
      <c r="D288" s="75">
        <v>1</v>
      </c>
      <c r="E288" s="75"/>
      <c r="F288" s="75"/>
      <c r="G288" s="161"/>
      <c r="H288" s="158" t="s">
        <v>15</v>
      </c>
      <c r="I288" s="166">
        <v>137.04</v>
      </c>
      <c r="J288" s="75">
        <v>137.04</v>
      </c>
      <c r="K288" s="91" t="s">
        <v>751</v>
      </c>
      <c r="L288" s="73"/>
      <c r="M288" s="46">
        <v>0</v>
      </c>
      <c r="N288" s="46">
        <v>0</v>
      </c>
      <c r="O288" s="46">
        <v>0</v>
      </c>
      <c r="P288" s="98"/>
      <c r="Q288" s="23" t="s">
        <v>1453</v>
      </c>
      <c r="R288" s="24" t="s">
        <v>750</v>
      </c>
      <c r="S288" s="25" t="s">
        <v>606</v>
      </c>
      <c r="T288" s="26">
        <v>1</v>
      </c>
      <c r="U288" s="26">
        <v>1</v>
      </c>
      <c r="V288" s="26">
        <v>137.04</v>
      </c>
      <c r="W288" s="26">
        <f t="shared" si="50"/>
        <v>0</v>
      </c>
      <c r="X288" s="26">
        <f t="shared" si="53"/>
        <v>0</v>
      </c>
      <c r="Y288" s="26">
        <f t="shared" si="51"/>
        <v>0</v>
      </c>
      <c r="Z288" s="26">
        <f t="shared" si="57"/>
        <v>0</v>
      </c>
      <c r="AA288" s="33" t="s">
        <v>15</v>
      </c>
      <c r="AB288" s="36" t="s">
        <v>16</v>
      </c>
      <c r="AC288" s="181">
        <f t="shared" si="54"/>
        <v>1</v>
      </c>
      <c r="AD288" s="181">
        <f t="shared" si="52"/>
        <v>137.04</v>
      </c>
      <c r="AE288" s="181">
        <v>1.7</v>
      </c>
      <c r="AF288" s="181">
        <v>1.7</v>
      </c>
      <c r="AG288" s="101" t="str">
        <f t="shared" si="55"/>
        <v/>
      </c>
      <c r="AH288" s="190">
        <v>0</v>
      </c>
      <c r="AI288" s="69">
        <f t="shared" si="56"/>
        <v>1</v>
      </c>
    </row>
    <row r="289" spans="1:35" s="69" customFormat="1" ht="39" hidden="1" x14ac:dyDescent="0.3">
      <c r="A289" s="55" t="s">
        <v>752</v>
      </c>
      <c r="B289" s="53" t="s">
        <v>753</v>
      </c>
      <c r="C289" s="54" t="s">
        <v>606</v>
      </c>
      <c r="D289" s="75">
        <v>1</v>
      </c>
      <c r="E289" s="75"/>
      <c r="F289" s="75"/>
      <c r="G289" s="161"/>
      <c r="H289" s="158" t="s">
        <v>15</v>
      </c>
      <c r="I289" s="166">
        <v>107.12</v>
      </c>
      <c r="J289" s="75">
        <v>107.12</v>
      </c>
      <c r="K289" s="91" t="s">
        <v>754</v>
      </c>
      <c r="L289" s="73"/>
      <c r="M289" s="46">
        <v>0</v>
      </c>
      <c r="N289" s="46">
        <v>0</v>
      </c>
      <c r="O289" s="46">
        <v>0</v>
      </c>
      <c r="P289" s="98"/>
      <c r="Q289" s="23" t="s">
        <v>1454</v>
      </c>
      <c r="R289" s="24" t="s">
        <v>753</v>
      </c>
      <c r="S289" s="25" t="s">
        <v>606</v>
      </c>
      <c r="T289" s="26">
        <v>1</v>
      </c>
      <c r="U289" s="26">
        <v>1</v>
      </c>
      <c r="V289" s="26">
        <v>107.12</v>
      </c>
      <c r="W289" s="26">
        <f t="shared" si="50"/>
        <v>0</v>
      </c>
      <c r="X289" s="26">
        <f t="shared" si="53"/>
        <v>0</v>
      </c>
      <c r="Y289" s="26">
        <f t="shared" si="51"/>
        <v>0</v>
      </c>
      <c r="Z289" s="26">
        <f t="shared" si="57"/>
        <v>0</v>
      </c>
      <c r="AA289" s="33" t="s">
        <v>15</v>
      </c>
      <c r="AB289" s="36" t="s">
        <v>16</v>
      </c>
      <c r="AC289" s="181">
        <f t="shared" si="54"/>
        <v>1</v>
      </c>
      <c r="AD289" s="181">
        <f t="shared" si="52"/>
        <v>107.12</v>
      </c>
      <c r="AE289" s="181">
        <v>1.7</v>
      </c>
      <c r="AF289" s="181">
        <v>1.7</v>
      </c>
      <c r="AG289" s="101" t="str">
        <f t="shared" si="55"/>
        <v/>
      </c>
      <c r="AH289" s="190">
        <v>0</v>
      </c>
      <c r="AI289" s="69">
        <f t="shared" si="56"/>
        <v>1</v>
      </c>
    </row>
    <row r="290" spans="1:35" s="69" customFormat="1" ht="39" hidden="1" x14ac:dyDescent="0.3">
      <c r="A290" s="55" t="s">
        <v>755</v>
      </c>
      <c r="B290" s="53" t="s">
        <v>756</v>
      </c>
      <c r="C290" s="54" t="s">
        <v>606</v>
      </c>
      <c r="D290" s="75">
        <v>1</v>
      </c>
      <c r="E290" s="75"/>
      <c r="F290" s="75"/>
      <c r="G290" s="161"/>
      <c r="H290" s="158" t="s">
        <v>15</v>
      </c>
      <c r="I290" s="166">
        <v>124.17</v>
      </c>
      <c r="J290" s="75">
        <v>124.17</v>
      </c>
      <c r="K290" s="91" t="s">
        <v>757</v>
      </c>
      <c r="L290" s="73"/>
      <c r="M290" s="46">
        <v>0</v>
      </c>
      <c r="N290" s="46">
        <v>0</v>
      </c>
      <c r="O290" s="46">
        <v>0</v>
      </c>
      <c r="P290" s="98"/>
      <c r="Q290" s="23" t="s">
        <v>1455</v>
      </c>
      <c r="R290" s="24" t="s">
        <v>756</v>
      </c>
      <c r="S290" s="25" t="s">
        <v>606</v>
      </c>
      <c r="T290" s="26">
        <v>1</v>
      </c>
      <c r="U290" s="26">
        <v>1</v>
      </c>
      <c r="V290" s="26">
        <v>124.17</v>
      </c>
      <c r="W290" s="26">
        <f t="shared" si="50"/>
        <v>0</v>
      </c>
      <c r="X290" s="26">
        <f t="shared" si="53"/>
        <v>0</v>
      </c>
      <c r="Y290" s="26">
        <f t="shared" si="51"/>
        <v>0</v>
      </c>
      <c r="Z290" s="26">
        <f t="shared" si="57"/>
        <v>0</v>
      </c>
      <c r="AA290" s="33" t="s">
        <v>15</v>
      </c>
      <c r="AB290" s="36" t="s">
        <v>16</v>
      </c>
      <c r="AC290" s="181">
        <f t="shared" si="54"/>
        <v>1</v>
      </c>
      <c r="AD290" s="181">
        <f t="shared" si="52"/>
        <v>124.17</v>
      </c>
      <c r="AE290" s="181">
        <v>1.7</v>
      </c>
      <c r="AF290" s="181">
        <v>1.7</v>
      </c>
      <c r="AG290" s="101" t="str">
        <f t="shared" si="55"/>
        <v/>
      </c>
      <c r="AH290" s="190">
        <v>0</v>
      </c>
      <c r="AI290" s="69">
        <f t="shared" si="56"/>
        <v>1</v>
      </c>
    </row>
    <row r="291" spans="1:35" s="69" customFormat="1" ht="39" hidden="1" x14ac:dyDescent="0.3">
      <c r="A291" s="55" t="s">
        <v>758</v>
      </c>
      <c r="B291" s="53" t="s">
        <v>759</v>
      </c>
      <c r="C291" s="54" t="s">
        <v>606</v>
      </c>
      <c r="D291" s="75">
        <v>1</v>
      </c>
      <c r="E291" s="75"/>
      <c r="F291" s="75"/>
      <c r="G291" s="161"/>
      <c r="H291" s="158" t="s">
        <v>15</v>
      </c>
      <c r="I291" s="166">
        <v>121.59</v>
      </c>
      <c r="J291" s="75">
        <v>121.59</v>
      </c>
      <c r="K291" s="91" t="s">
        <v>760</v>
      </c>
      <c r="L291" s="73"/>
      <c r="M291" s="46">
        <v>0</v>
      </c>
      <c r="N291" s="46">
        <v>0</v>
      </c>
      <c r="O291" s="46">
        <v>0</v>
      </c>
      <c r="P291" s="98"/>
      <c r="Q291" s="23" t="s">
        <v>1456</v>
      </c>
      <c r="R291" s="24" t="s">
        <v>759</v>
      </c>
      <c r="S291" s="25" t="s">
        <v>606</v>
      </c>
      <c r="T291" s="26">
        <v>1</v>
      </c>
      <c r="U291" s="26">
        <v>1</v>
      </c>
      <c r="V291" s="26">
        <v>121.59</v>
      </c>
      <c r="W291" s="26">
        <f t="shared" si="50"/>
        <v>0</v>
      </c>
      <c r="X291" s="26">
        <f t="shared" si="53"/>
        <v>0</v>
      </c>
      <c r="Y291" s="26">
        <f t="shared" si="51"/>
        <v>0</v>
      </c>
      <c r="Z291" s="26">
        <f t="shared" si="57"/>
        <v>0</v>
      </c>
      <c r="AA291" s="33" t="s">
        <v>15</v>
      </c>
      <c r="AB291" s="36" t="s">
        <v>16</v>
      </c>
      <c r="AC291" s="181">
        <f t="shared" si="54"/>
        <v>1</v>
      </c>
      <c r="AD291" s="181">
        <f t="shared" si="52"/>
        <v>121.59</v>
      </c>
      <c r="AE291" s="181">
        <v>1.7</v>
      </c>
      <c r="AF291" s="181">
        <v>1.7</v>
      </c>
      <c r="AG291" s="101" t="str">
        <f t="shared" si="55"/>
        <v/>
      </c>
      <c r="AH291" s="190">
        <v>0</v>
      </c>
      <c r="AI291" s="69">
        <f t="shared" si="56"/>
        <v>1</v>
      </c>
    </row>
    <row r="292" spans="1:35" s="69" customFormat="1" ht="39" hidden="1" x14ac:dyDescent="0.3">
      <c r="A292" s="55" t="s">
        <v>761</v>
      </c>
      <c r="B292" s="53" t="s">
        <v>762</v>
      </c>
      <c r="C292" s="54" t="s">
        <v>606</v>
      </c>
      <c r="D292" s="75">
        <v>1</v>
      </c>
      <c r="E292" s="75"/>
      <c r="F292" s="75"/>
      <c r="G292" s="161"/>
      <c r="H292" s="158" t="s">
        <v>15</v>
      </c>
      <c r="I292" s="166">
        <v>154.51</v>
      </c>
      <c r="J292" s="75">
        <v>154.51</v>
      </c>
      <c r="K292" s="91" t="s">
        <v>763</v>
      </c>
      <c r="L292" s="73"/>
      <c r="M292" s="46">
        <v>0</v>
      </c>
      <c r="N292" s="46">
        <v>0</v>
      </c>
      <c r="O292" s="46">
        <v>0</v>
      </c>
      <c r="P292" s="98"/>
      <c r="Q292" s="23" t="s">
        <v>1457</v>
      </c>
      <c r="R292" s="24" t="s">
        <v>762</v>
      </c>
      <c r="S292" s="25" t="s">
        <v>606</v>
      </c>
      <c r="T292" s="26">
        <v>1</v>
      </c>
      <c r="U292" s="26">
        <v>1</v>
      </c>
      <c r="V292" s="26">
        <v>154.51</v>
      </c>
      <c r="W292" s="26">
        <f t="shared" si="50"/>
        <v>0</v>
      </c>
      <c r="X292" s="26">
        <f t="shared" si="53"/>
        <v>0</v>
      </c>
      <c r="Y292" s="26">
        <f t="shared" si="51"/>
        <v>0</v>
      </c>
      <c r="Z292" s="26">
        <f t="shared" si="57"/>
        <v>0</v>
      </c>
      <c r="AA292" s="33" t="s">
        <v>15</v>
      </c>
      <c r="AB292" s="36" t="s">
        <v>16</v>
      </c>
      <c r="AC292" s="181">
        <f t="shared" si="54"/>
        <v>1</v>
      </c>
      <c r="AD292" s="181">
        <f t="shared" si="52"/>
        <v>154.51</v>
      </c>
      <c r="AE292" s="181">
        <v>1.7</v>
      </c>
      <c r="AF292" s="181">
        <v>1.7</v>
      </c>
      <c r="AG292" s="101" t="str">
        <f t="shared" si="55"/>
        <v/>
      </c>
      <c r="AH292" s="190">
        <v>0</v>
      </c>
      <c r="AI292" s="69">
        <f t="shared" si="56"/>
        <v>1</v>
      </c>
    </row>
    <row r="293" spans="1:35" s="69" customFormat="1" ht="58.5" hidden="1" x14ac:dyDescent="0.3">
      <c r="A293" s="55" t="s">
        <v>764</v>
      </c>
      <c r="B293" s="53" t="s">
        <v>765</v>
      </c>
      <c r="C293" s="54" t="s">
        <v>606</v>
      </c>
      <c r="D293" s="75">
        <v>1</v>
      </c>
      <c r="E293" s="75"/>
      <c r="F293" s="75"/>
      <c r="G293" s="161"/>
      <c r="H293" s="158" t="s">
        <v>15</v>
      </c>
      <c r="I293" s="166">
        <v>36.549999999999997</v>
      </c>
      <c r="J293" s="75">
        <v>36.549999999999997</v>
      </c>
      <c r="K293" s="91" t="s">
        <v>766</v>
      </c>
      <c r="L293" s="73"/>
      <c r="M293" s="46">
        <v>0</v>
      </c>
      <c r="N293" s="46">
        <v>0</v>
      </c>
      <c r="O293" s="46">
        <v>0</v>
      </c>
      <c r="P293" s="98"/>
      <c r="Q293" s="23" t="s">
        <v>1458</v>
      </c>
      <c r="R293" s="24" t="s">
        <v>765</v>
      </c>
      <c r="S293" s="25" t="s">
        <v>606</v>
      </c>
      <c r="T293" s="26">
        <v>1</v>
      </c>
      <c r="U293" s="26">
        <v>1</v>
      </c>
      <c r="V293" s="26">
        <v>36.549999999999997</v>
      </c>
      <c r="W293" s="26">
        <f t="shared" si="50"/>
        <v>0</v>
      </c>
      <c r="X293" s="26">
        <f t="shared" si="53"/>
        <v>0</v>
      </c>
      <c r="Y293" s="26">
        <f t="shared" si="51"/>
        <v>0</v>
      </c>
      <c r="Z293" s="26">
        <f t="shared" si="57"/>
        <v>0</v>
      </c>
      <c r="AA293" s="33" t="s">
        <v>15</v>
      </c>
      <c r="AB293" s="36" t="s">
        <v>16</v>
      </c>
      <c r="AC293" s="181">
        <f t="shared" si="54"/>
        <v>1</v>
      </c>
      <c r="AD293" s="181">
        <f t="shared" si="52"/>
        <v>36.549999999999997</v>
      </c>
      <c r="AE293" s="181">
        <v>1.7</v>
      </c>
      <c r="AF293" s="181">
        <v>1.7</v>
      </c>
      <c r="AG293" s="101" t="str">
        <f t="shared" si="55"/>
        <v/>
      </c>
      <c r="AH293" s="190">
        <v>0</v>
      </c>
      <c r="AI293" s="69">
        <f t="shared" si="56"/>
        <v>1</v>
      </c>
    </row>
    <row r="294" spans="1:35" s="69" customFormat="1" ht="39" hidden="1" x14ac:dyDescent="0.3">
      <c r="A294" s="55" t="s">
        <v>767</v>
      </c>
      <c r="B294" s="53" t="s">
        <v>768</v>
      </c>
      <c r="C294" s="54" t="s">
        <v>606</v>
      </c>
      <c r="D294" s="75">
        <v>1</v>
      </c>
      <c r="E294" s="75"/>
      <c r="F294" s="75"/>
      <c r="G294" s="161"/>
      <c r="H294" s="158" t="s">
        <v>15</v>
      </c>
      <c r="I294" s="166">
        <v>27.8</v>
      </c>
      <c r="J294" s="75">
        <v>27.8</v>
      </c>
      <c r="K294" s="91" t="s">
        <v>769</v>
      </c>
      <c r="L294" s="73"/>
      <c r="M294" s="46">
        <v>0</v>
      </c>
      <c r="N294" s="46">
        <v>0</v>
      </c>
      <c r="O294" s="46">
        <v>0</v>
      </c>
      <c r="P294" s="98"/>
      <c r="Q294" s="23" t="s">
        <v>1459</v>
      </c>
      <c r="R294" s="24" t="s">
        <v>768</v>
      </c>
      <c r="S294" s="25" t="s">
        <v>606</v>
      </c>
      <c r="T294" s="26">
        <v>1</v>
      </c>
      <c r="U294" s="26">
        <v>1</v>
      </c>
      <c r="V294" s="26">
        <v>27.8</v>
      </c>
      <c r="W294" s="26">
        <f t="shared" si="50"/>
        <v>0</v>
      </c>
      <c r="X294" s="26">
        <f t="shared" si="53"/>
        <v>0</v>
      </c>
      <c r="Y294" s="26">
        <f t="shared" si="51"/>
        <v>0</v>
      </c>
      <c r="Z294" s="26">
        <f t="shared" si="57"/>
        <v>0</v>
      </c>
      <c r="AA294" s="33" t="s">
        <v>15</v>
      </c>
      <c r="AB294" s="36" t="s">
        <v>16</v>
      </c>
      <c r="AC294" s="181">
        <f t="shared" si="54"/>
        <v>1</v>
      </c>
      <c r="AD294" s="181">
        <f t="shared" si="52"/>
        <v>27.8</v>
      </c>
      <c r="AE294" s="181">
        <v>1.7</v>
      </c>
      <c r="AF294" s="181">
        <v>1.7</v>
      </c>
      <c r="AG294" s="101" t="str">
        <f t="shared" si="55"/>
        <v/>
      </c>
      <c r="AH294" s="190">
        <v>0</v>
      </c>
      <c r="AI294" s="69">
        <f t="shared" si="56"/>
        <v>1</v>
      </c>
    </row>
    <row r="295" spans="1:35" s="69" customFormat="1" ht="39" hidden="1" x14ac:dyDescent="0.3">
      <c r="A295" s="55" t="s">
        <v>770</v>
      </c>
      <c r="B295" s="53" t="s">
        <v>771</v>
      </c>
      <c r="C295" s="54" t="s">
        <v>606</v>
      </c>
      <c r="D295" s="75">
        <v>1</v>
      </c>
      <c r="E295" s="75"/>
      <c r="F295" s="75"/>
      <c r="G295" s="161"/>
      <c r="H295" s="158" t="s">
        <v>15</v>
      </c>
      <c r="I295" s="166">
        <v>105.13</v>
      </c>
      <c r="J295" s="75">
        <v>105.13</v>
      </c>
      <c r="K295" s="91" t="s">
        <v>772</v>
      </c>
      <c r="L295" s="73"/>
      <c r="M295" s="46">
        <v>0</v>
      </c>
      <c r="N295" s="46">
        <v>0</v>
      </c>
      <c r="O295" s="46">
        <v>0</v>
      </c>
      <c r="P295" s="98"/>
      <c r="Q295" s="23" t="s">
        <v>1460</v>
      </c>
      <c r="R295" s="24" t="s">
        <v>771</v>
      </c>
      <c r="S295" s="25" t="s">
        <v>606</v>
      </c>
      <c r="T295" s="26">
        <v>1</v>
      </c>
      <c r="U295" s="26">
        <v>1</v>
      </c>
      <c r="V295" s="26">
        <v>105.13</v>
      </c>
      <c r="W295" s="26">
        <f t="shared" si="50"/>
        <v>0</v>
      </c>
      <c r="X295" s="26">
        <f t="shared" si="53"/>
        <v>0</v>
      </c>
      <c r="Y295" s="26">
        <f t="shared" si="51"/>
        <v>0</v>
      </c>
      <c r="Z295" s="26">
        <f t="shared" si="57"/>
        <v>0</v>
      </c>
      <c r="AA295" s="33" t="s">
        <v>15</v>
      </c>
      <c r="AB295" s="36" t="s">
        <v>16</v>
      </c>
      <c r="AC295" s="181">
        <f t="shared" si="54"/>
        <v>1</v>
      </c>
      <c r="AD295" s="181">
        <f t="shared" si="52"/>
        <v>105.13</v>
      </c>
      <c r="AE295" s="181">
        <v>1.7</v>
      </c>
      <c r="AF295" s="181">
        <v>1.7</v>
      </c>
      <c r="AG295" s="101" t="str">
        <f t="shared" si="55"/>
        <v/>
      </c>
      <c r="AH295" s="190">
        <v>0</v>
      </c>
      <c r="AI295" s="69">
        <f t="shared" si="56"/>
        <v>1</v>
      </c>
    </row>
    <row r="296" spans="1:35" s="69" customFormat="1" ht="39" hidden="1" x14ac:dyDescent="0.3">
      <c r="A296" s="55" t="s">
        <v>773</v>
      </c>
      <c r="B296" s="53" t="s">
        <v>774</v>
      </c>
      <c r="C296" s="54" t="s">
        <v>606</v>
      </c>
      <c r="D296" s="75">
        <v>1</v>
      </c>
      <c r="E296" s="75"/>
      <c r="F296" s="75"/>
      <c r="G296" s="161"/>
      <c r="H296" s="158" t="s">
        <v>15</v>
      </c>
      <c r="I296" s="166">
        <v>53.12</v>
      </c>
      <c r="J296" s="75">
        <v>53.12</v>
      </c>
      <c r="K296" s="91" t="s">
        <v>775</v>
      </c>
      <c r="L296" s="73"/>
      <c r="M296" s="46">
        <v>0</v>
      </c>
      <c r="N296" s="46">
        <v>0</v>
      </c>
      <c r="O296" s="46">
        <v>0</v>
      </c>
      <c r="P296" s="98"/>
      <c r="Q296" s="23" t="s">
        <v>1461</v>
      </c>
      <c r="R296" s="24" t="s">
        <v>774</v>
      </c>
      <c r="S296" s="25" t="s">
        <v>606</v>
      </c>
      <c r="T296" s="26">
        <v>1</v>
      </c>
      <c r="U296" s="26">
        <v>1</v>
      </c>
      <c r="V296" s="26">
        <v>53.12</v>
      </c>
      <c r="W296" s="26">
        <f t="shared" si="50"/>
        <v>0</v>
      </c>
      <c r="X296" s="26">
        <f t="shared" si="53"/>
        <v>0</v>
      </c>
      <c r="Y296" s="26">
        <f t="shared" si="51"/>
        <v>0</v>
      </c>
      <c r="Z296" s="26">
        <f t="shared" si="57"/>
        <v>0</v>
      </c>
      <c r="AA296" s="33" t="s">
        <v>15</v>
      </c>
      <c r="AB296" s="36" t="s">
        <v>16</v>
      </c>
      <c r="AC296" s="181">
        <f t="shared" si="54"/>
        <v>1</v>
      </c>
      <c r="AD296" s="181">
        <f t="shared" si="52"/>
        <v>53.12</v>
      </c>
      <c r="AE296" s="181">
        <v>1.7</v>
      </c>
      <c r="AF296" s="181">
        <v>1.7</v>
      </c>
      <c r="AG296" s="101" t="str">
        <f t="shared" si="55"/>
        <v/>
      </c>
      <c r="AH296" s="190">
        <v>0</v>
      </c>
      <c r="AI296" s="69">
        <f t="shared" si="56"/>
        <v>1</v>
      </c>
    </row>
    <row r="297" spans="1:35" s="69" customFormat="1" ht="58.5" hidden="1" x14ac:dyDescent="0.3">
      <c r="A297" s="55" t="s">
        <v>776</v>
      </c>
      <c r="B297" s="53" t="s">
        <v>777</v>
      </c>
      <c r="C297" s="54" t="s">
        <v>606</v>
      </c>
      <c r="D297" s="75">
        <v>1</v>
      </c>
      <c r="E297" s="75"/>
      <c r="F297" s="75"/>
      <c r="G297" s="161"/>
      <c r="H297" s="158" t="s">
        <v>15</v>
      </c>
      <c r="I297" s="166">
        <v>36.380000000000003</v>
      </c>
      <c r="J297" s="75">
        <v>36.380000000000003</v>
      </c>
      <c r="K297" s="91" t="s">
        <v>778</v>
      </c>
      <c r="L297" s="73"/>
      <c r="M297" s="46">
        <v>0</v>
      </c>
      <c r="N297" s="46">
        <v>0</v>
      </c>
      <c r="O297" s="46">
        <v>0</v>
      </c>
      <c r="P297" s="98"/>
      <c r="Q297" s="23" t="s">
        <v>1462</v>
      </c>
      <c r="R297" s="24" t="s">
        <v>777</v>
      </c>
      <c r="S297" s="25" t="s">
        <v>606</v>
      </c>
      <c r="T297" s="26">
        <v>1</v>
      </c>
      <c r="U297" s="26">
        <v>1</v>
      </c>
      <c r="V297" s="26">
        <v>36.380000000000003</v>
      </c>
      <c r="W297" s="26">
        <f t="shared" si="50"/>
        <v>0</v>
      </c>
      <c r="X297" s="26">
        <f t="shared" si="53"/>
        <v>0</v>
      </c>
      <c r="Y297" s="26">
        <f t="shared" si="51"/>
        <v>0</v>
      </c>
      <c r="Z297" s="26">
        <f t="shared" si="57"/>
        <v>0</v>
      </c>
      <c r="AA297" s="33" t="s">
        <v>15</v>
      </c>
      <c r="AB297" s="36" t="s">
        <v>16</v>
      </c>
      <c r="AC297" s="181">
        <f t="shared" si="54"/>
        <v>1</v>
      </c>
      <c r="AD297" s="181">
        <f t="shared" si="52"/>
        <v>36.380000000000003</v>
      </c>
      <c r="AE297" s="181">
        <v>1.7</v>
      </c>
      <c r="AF297" s="181">
        <v>1.7</v>
      </c>
      <c r="AG297" s="101" t="str">
        <f t="shared" si="55"/>
        <v/>
      </c>
      <c r="AH297" s="190">
        <v>0</v>
      </c>
      <c r="AI297" s="69">
        <f t="shared" si="56"/>
        <v>1</v>
      </c>
    </row>
    <row r="298" spans="1:35" s="69" customFormat="1" ht="58.5" hidden="1" x14ac:dyDescent="0.3">
      <c r="A298" s="55" t="s">
        <v>779</v>
      </c>
      <c r="B298" s="53" t="s">
        <v>780</v>
      </c>
      <c r="C298" s="54" t="s">
        <v>606</v>
      </c>
      <c r="D298" s="75">
        <v>1</v>
      </c>
      <c r="E298" s="75"/>
      <c r="F298" s="75"/>
      <c r="G298" s="161"/>
      <c r="H298" s="158" t="s">
        <v>15</v>
      </c>
      <c r="I298" s="166">
        <v>59.74</v>
      </c>
      <c r="J298" s="75">
        <v>59.74</v>
      </c>
      <c r="K298" s="91" t="s">
        <v>781</v>
      </c>
      <c r="L298" s="73"/>
      <c r="M298" s="46">
        <v>0</v>
      </c>
      <c r="N298" s="46">
        <v>0</v>
      </c>
      <c r="O298" s="46">
        <v>0</v>
      </c>
      <c r="P298" s="98"/>
      <c r="Q298" s="23" t="s">
        <v>1463</v>
      </c>
      <c r="R298" s="24" t="s">
        <v>780</v>
      </c>
      <c r="S298" s="25" t="s">
        <v>606</v>
      </c>
      <c r="T298" s="26">
        <v>1</v>
      </c>
      <c r="U298" s="26">
        <v>1</v>
      </c>
      <c r="V298" s="26">
        <v>59.74</v>
      </c>
      <c r="W298" s="26">
        <f t="shared" si="50"/>
        <v>0</v>
      </c>
      <c r="X298" s="26">
        <f t="shared" si="53"/>
        <v>0</v>
      </c>
      <c r="Y298" s="26">
        <f t="shared" si="51"/>
        <v>0</v>
      </c>
      <c r="Z298" s="26">
        <f t="shared" si="57"/>
        <v>0</v>
      </c>
      <c r="AA298" s="33" t="s">
        <v>15</v>
      </c>
      <c r="AB298" s="36" t="s">
        <v>16</v>
      </c>
      <c r="AC298" s="181">
        <f t="shared" si="54"/>
        <v>1</v>
      </c>
      <c r="AD298" s="181">
        <f t="shared" si="52"/>
        <v>59.74</v>
      </c>
      <c r="AE298" s="181">
        <v>1.7</v>
      </c>
      <c r="AF298" s="181">
        <v>1.7</v>
      </c>
      <c r="AG298" s="101" t="str">
        <f t="shared" si="55"/>
        <v/>
      </c>
      <c r="AH298" s="190">
        <v>0</v>
      </c>
      <c r="AI298" s="69">
        <f t="shared" si="56"/>
        <v>1</v>
      </c>
    </row>
    <row r="299" spans="1:35" s="69" customFormat="1" ht="58.5" hidden="1" x14ac:dyDescent="0.3">
      <c r="A299" s="55" t="s">
        <v>782</v>
      </c>
      <c r="B299" s="53" t="s">
        <v>783</v>
      </c>
      <c r="C299" s="54" t="s">
        <v>606</v>
      </c>
      <c r="D299" s="75">
        <v>1</v>
      </c>
      <c r="E299" s="75"/>
      <c r="F299" s="75"/>
      <c r="G299" s="161"/>
      <c r="H299" s="158" t="s">
        <v>15</v>
      </c>
      <c r="I299" s="166">
        <v>80.41</v>
      </c>
      <c r="J299" s="75">
        <v>80.41</v>
      </c>
      <c r="K299" s="91" t="s">
        <v>784</v>
      </c>
      <c r="L299" s="73"/>
      <c r="M299" s="46">
        <v>0</v>
      </c>
      <c r="N299" s="46">
        <v>0</v>
      </c>
      <c r="O299" s="46">
        <v>0</v>
      </c>
      <c r="P299" s="98"/>
      <c r="Q299" s="23" t="s">
        <v>1464</v>
      </c>
      <c r="R299" s="24" t="s">
        <v>783</v>
      </c>
      <c r="S299" s="25" t="s">
        <v>606</v>
      </c>
      <c r="T299" s="26">
        <v>1</v>
      </c>
      <c r="U299" s="26">
        <v>1</v>
      </c>
      <c r="V299" s="26">
        <v>80.41</v>
      </c>
      <c r="W299" s="26">
        <f t="shared" si="50"/>
        <v>0</v>
      </c>
      <c r="X299" s="26">
        <f t="shared" si="53"/>
        <v>0</v>
      </c>
      <c r="Y299" s="26">
        <f t="shared" si="51"/>
        <v>0</v>
      </c>
      <c r="Z299" s="26">
        <f t="shared" si="57"/>
        <v>0</v>
      </c>
      <c r="AA299" s="33" t="s">
        <v>15</v>
      </c>
      <c r="AB299" s="36" t="s">
        <v>16</v>
      </c>
      <c r="AC299" s="181">
        <f t="shared" si="54"/>
        <v>1</v>
      </c>
      <c r="AD299" s="181">
        <f t="shared" si="52"/>
        <v>80.41</v>
      </c>
      <c r="AE299" s="181">
        <v>1.7</v>
      </c>
      <c r="AF299" s="181">
        <v>1.7</v>
      </c>
      <c r="AG299" s="101" t="str">
        <f t="shared" si="55"/>
        <v/>
      </c>
      <c r="AH299" s="190">
        <v>0</v>
      </c>
      <c r="AI299" s="69">
        <f t="shared" si="56"/>
        <v>1</v>
      </c>
    </row>
    <row r="300" spans="1:35" s="69" customFormat="1" ht="39" hidden="1" x14ac:dyDescent="0.3">
      <c r="A300" s="55" t="s">
        <v>785</v>
      </c>
      <c r="B300" s="53" t="s">
        <v>786</v>
      </c>
      <c r="C300" s="54" t="s">
        <v>606</v>
      </c>
      <c r="D300" s="75">
        <v>1</v>
      </c>
      <c r="E300" s="75"/>
      <c r="F300" s="75"/>
      <c r="G300" s="161"/>
      <c r="H300" s="158" t="s">
        <v>15</v>
      </c>
      <c r="I300" s="166">
        <v>64.959999999999994</v>
      </c>
      <c r="J300" s="75">
        <v>64.959999999999994</v>
      </c>
      <c r="K300" s="91" t="s">
        <v>787</v>
      </c>
      <c r="L300" s="73"/>
      <c r="M300" s="46">
        <v>0</v>
      </c>
      <c r="N300" s="46">
        <v>0</v>
      </c>
      <c r="O300" s="46">
        <v>0</v>
      </c>
      <c r="P300" s="98"/>
      <c r="Q300" s="23" t="s">
        <v>1465</v>
      </c>
      <c r="R300" s="24" t="s">
        <v>786</v>
      </c>
      <c r="S300" s="25" t="s">
        <v>606</v>
      </c>
      <c r="T300" s="26">
        <v>1</v>
      </c>
      <c r="U300" s="26">
        <v>1</v>
      </c>
      <c r="V300" s="26">
        <v>64.959999999999994</v>
      </c>
      <c r="W300" s="26">
        <f t="shared" si="50"/>
        <v>0</v>
      </c>
      <c r="X300" s="26">
        <f t="shared" si="53"/>
        <v>0</v>
      </c>
      <c r="Y300" s="26">
        <f t="shared" si="51"/>
        <v>0</v>
      </c>
      <c r="Z300" s="26">
        <f t="shared" si="57"/>
        <v>0</v>
      </c>
      <c r="AA300" s="33" t="s">
        <v>15</v>
      </c>
      <c r="AB300" s="36" t="s">
        <v>16</v>
      </c>
      <c r="AC300" s="181">
        <f t="shared" si="54"/>
        <v>1</v>
      </c>
      <c r="AD300" s="181">
        <f t="shared" si="52"/>
        <v>64.959999999999994</v>
      </c>
      <c r="AE300" s="181">
        <v>1.7</v>
      </c>
      <c r="AF300" s="181">
        <v>1.7</v>
      </c>
      <c r="AG300" s="101" t="str">
        <f t="shared" si="55"/>
        <v/>
      </c>
      <c r="AH300" s="190">
        <v>0</v>
      </c>
      <c r="AI300" s="69">
        <f t="shared" si="56"/>
        <v>1</v>
      </c>
    </row>
    <row r="301" spans="1:35" s="69" customFormat="1" ht="58.5" hidden="1" x14ac:dyDescent="0.3">
      <c r="A301" s="55" t="s">
        <v>788</v>
      </c>
      <c r="B301" s="53" t="s">
        <v>789</v>
      </c>
      <c r="C301" s="54" t="s">
        <v>606</v>
      </c>
      <c r="D301" s="75">
        <v>1</v>
      </c>
      <c r="E301" s="75"/>
      <c r="F301" s="75"/>
      <c r="G301" s="161"/>
      <c r="H301" s="158" t="s">
        <v>15</v>
      </c>
      <c r="I301" s="166">
        <v>95.86</v>
      </c>
      <c r="J301" s="75">
        <v>95.86</v>
      </c>
      <c r="K301" s="91" t="s">
        <v>790</v>
      </c>
      <c r="L301" s="73"/>
      <c r="M301" s="46">
        <v>0</v>
      </c>
      <c r="N301" s="46">
        <v>0</v>
      </c>
      <c r="O301" s="46">
        <v>0</v>
      </c>
      <c r="P301" s="98"/>
      <c r="Q301" s="23" t="s">
        <v>1466</v>
      </c>
      <c r="R301" s="24" t="s">
        <v>789</v>
      </c>
      <c r="S301" s="25" t="s">
        <v>606</v>
      </c>
      <c r="T301" s="26">
        <v>1</v>
      </c>
      <c r="U301" s="26">
        <v>1</v>
      </c>
      <c r="V301" s="26">
        <v>95.86</v>
      </c>
      <c r="W301" s="26">
        <f t="shared" si="50"/>
        <v>0</v>
      </c>
      <c r="X301" s="26">
        <f t="shared" si="53"/>
        <v>0</v>
      </c>
      <c r="Y301" s="26">
        <f t="shared" si="51"/>
        <v>0</v>
      </c>
      <c r="Z301" s="26">
        <f t="shared" si="57"/>
        <v>0</v>
      </c>
      <c r="AA301" s="33" t="s">
        <v>15</v>
      </c>
      <c r="AB301" s="36" t="s">
        <v>16</v>
      </c>
      <c r="AC301" s="181">
        <f t="shared" si="54"/>
        <v>1</v>
      </c>
      <c r="AD301" s="181">
        <f t="shared" si="52"/>
        <v>95.86</v>
      </c>
      <c r="AE301" s="181">
        <v>1.7</v>
      </c>
      <c r="AF301" s="181">
        <v>1.7</v>
      </c>
      <c r="AG301" s="101" t="str">
        <f t="shared" si="55"/>
        <v/>
      </c>
      <c r="AH301" s="190">
        <v>0</v>
      </c>
      <c r="AI301" s="69">
        <f t="shared" si="56"/>
        <v>1</v>
      </c>
    </row>
    <row r="302" spans="1:35" s="69" customFormat="1" ht="39" hidden="1" x14ac:dyDescent="0.3">
      <c r="A302" s="55" t="s">
        <v>791</v>
      </c>
      <c r="B302" s="53" t="s">
        <v>792</v>
      </c>
      <c r="C302" s="54" t="s">
        <v>606</v>
      </c>
      <c r="D302" s="75">
        <v>1</v>
      </c>
      <c r="E302" s="75"/>
      <c r="F302" s="75"/>
      <c r="G302" s="161"/>
      <c r="H302" s="158" t="s">
        <v>15</v>
      </c>
      <c r="I302" s="166">
        <v>93.29</v>
      </c>
      <c r="J302" s="75">
        <v>93.29</v>
      </c>
      <c r="K302" s="91" t="s">
        <v>793</v>
      </c>
      <c r="L302" s="73"/>
      <c r="M302" s="46">
        <v>0</v>
      </c>
      <c r="N302" s="46">
        <v>0</v>
      </c>
      <c r="O302" s="46">
        <v>0</v>
      </c>
      <c r="P302" s="98"/>
      <c r="Q302" s="23" t="s">
        <v>1467</v>
      </c>
      <c r="R302" s="24" t="s">
        <v>792</v>
      </c>
      <c r="S302" s="25" t="s">
        <v>606</v>
      </c>
      <c r="T302" s="26">
        <v>1</v>
      </c>
      <c r="U302" s="26">
        <v>1</v>
      </c>
      <c r="V302" s="26">
        <v>93.29</v>
      </c>
      <c r="W302" s="26">
        <f t="shared" ref="W302:W326" si="58">AH302-M302</f>
        <v>0</v>
      </c>
      <c r="X302" s="26">
        <f t="shared" si="53"/>
        <v>0</v>
      </c>
      <c r="Y302" s="26">
        <f t="shared" ref="Y302:Y326" si="59">Z302-O302</f>
        <v>0</v>
      </c>
      <c r="Z302" s="26">
        <f t="shared" si="57"/>
        <v>0</v>
      </c>
      <c r="AA302" s="33" t="s">
        <v>15</v>
      </c>
      <c r="AB302" s="36" t="s">
        <v>16</v>
      </c>
      <c r="AC302" s="181">
        <f t="shared" si="54"/>
        <v>1</v>
      </c>
      <c r="AD302" s="181">
        <f t="shared" ref="AD302:AD365" si="60">ROUND(V302*AC302,2)</f>
        <v>93.29</v>
      </c>
      <c r="AE302" s="181">
        <v>1.7</v>
      </c>
      <c r="AF302" s="181">
        <v>1.7</v>
      </c>
      <c r="AG302" s="101" t="str">
        <f t="shared" si="55"/>
        <v/>
      </c>
      <c r="AH302" s="190">
        <v>0</v>
      </c>
      <c r="AI302" s="69">
        <f t="shared" si="56"/>
        <v>1</v>
      </c>
    </row>
    <row r="303" spans="1:35" s="69" customFormat="1" ht="58.5" hidden="1" x14ac:dyDescent="0.3">
      <c r="A303" s="55" t="s">
        <v>794</v>
      </c>
      <c r="B303" s="53" t="s">
        <v>795</v>
      </c>
      <c r="C303" s="54" t="s">
        <v>606</v>
      </c>
      <c r="D303" s="75">
        <v>1</v>
      </c>
      <c r="E303" s="75"/>
      <c r="F303" s="75"/>
      <c r="G303" s="161"/>
      <c r="H303" s="158" t="s">
        <v>15</v>
      </c>
      <c r="I303" s="166">
        <v>93.8</v>
      </c>
      <c r="J303" s="75">
        <v>93.8</v>
      </c>
      <c r="K303" s="91" t="s">
        <v>796</v>
      </c>
      <c r="L303" s="73"/>
      <c r="M303" s="46">
        <v>0</v>
      </c>
      <c r="N303" s="46">
        <v>0</v>
      </c>
      <c r="O303" s="46">
        <v>0</v>
      </c>
      <c r="P303" s="98"/>
      <c r="Q303" s="23" t="s">
        <v>1468</v>
      </c>
      <c r="R303" s="24" t="s">
        <v>795</v>
      </c>
      <c r="S303" s="25" t="s">
        <v>606</v>
      </c>
      <c r="T303" s="26">
        <v>1</v>
      </c>
      <c r="U303" s="26">
        <v>1</v>
      </c>
      <c r="V303" s="26">
        <v>93.8</v>
      </c>
      <c r="W303" s="26">
        <f t="shared" si="58"/>
        <v>0</v>
      </c>
      <c r="X303" s="26">
        <f t="shared" si="53"/>
        <v>0</v>
      </c>
      <c r="Y303" s="26">
        <f t="shared" si="59"/>
        <v>0</v>
      </c>
      <c r="Z303" s="26">
        <f t="shared" si="57"/>
        <v>0</v>
      </c>
      <c r="AA303" s="33" t="s">
        <v>15</v>
      </c>
      <c r="AB303" s="36" t="s">
        <v>16</v>
      </c>
      <c r="AC303" s="181">
        <f t="shared" si="54"/>
        <v>1</v>
      </c>
      <c r="AD303" s="181">
        <f t="shared" si="60"/>
        <v>93.8</v>
      </c>
      <c r="AE303" s="181">
        <v>1.7</v>
      </c>
      <c r="AF303" s="181">
        <v>1.7</v>
      </c>
      <c r="AG303" s="101" t="str">
        <f t="shared" si="55"/>
        <v/>
      </c>
      <c r="AH303" s="190">
        <v>0</v>
      </c>
      <c r="AI303" s="69">
        <f t="shared" si="56"/>
        <v>1</v>
      </c>
    </row>
    <row r="304" spans="1:35" s="69" customFormat="1" ht="39" hidden="1" x14ac:dyDescent="0.3">
      <c r="A304" s="55" t="s">
        <v>797</v>
      </c>
      <c r="B304" s="53" t="s">
        <v>798</v>
      </c>
      <c r="C304" s="54" t="s">
        <v>606</v>
      </c>
      <c r="D304" s="75">
        <v>1</v>
      </c>
      <c r="E304" s="75"/>
      <c r="F304" s="75"/>
      <c r="G304" s="161"/>
      <c r="H304" s="158" t="s">
        <v>15</v>
      </c>
      <c r="I304" s="166">
        <v>63.35</v>
      </c>
      <c r="J304" s="75">
        <v>63.35</v>
      </c>
      <c r="K304" s="91" t="s">
        <v>799</v>
      </c>
      <c r="L304" s="73"/>
      <c r="M304" s="46">
        <v>0</v>
      </c>
      <c r="N304" s="46">
        <v>0</v>
      </c>
      <c r="O304" s="46">
        <v>0</v>
      </c>
      <c r="P304" s="98"/>
      <c r="Q304" s="23" t="s">
        <v>1469</v>
      </c>
      <c r="R304" s="24" t="s">
        <v>798</v>
      </c>
      <c r="S304" s="25" t="s">
        <v>606</v>
      </c>
      <c r="T304" s="26">
        <v>1</v>
      </c>
      <c r="U304" s="26">
        <v>1</v>
      </c>
      <c r="V304" s="26">
        <v>63.35</v>
      </c>
      <c r="W304" s="26">
        <f t="shared" si="58"/>
        <v>0</v>
      </c>
      <c r="X304" s="26">
        <f t="shared" si="53"/>
        <v>0</v>
      </c>
      <c r="Y304" s="26">
        <f t="shared" si="59"/>
        <v>0</v>
      </c>
      <c r="Z304" s="26">
        <f t="shared" si="57"/>
        <v>0</v>
      </c>
      <c r="AA304" s="33" t="s">
        <v>15</v>
      </c>
      <c r="AB304" s="36" t="s">
        <v>16</v>
      </c>
      <c r="AC304" s="181">
        <f t="shared" si="54"/>
        <v>1</v>
      </c>
      <c r="AD304" s="181">
        <f t="shared" si="60"/>
        <v>63.35</v>
      </c>
      <c r="AE304" s="181">
        <v>1.7</v>
      </c>
      <c r="AF304" s="181">
        <v>1.7</v>
      </c>
      <c r="AG304" s="101" t="str">
        <f t="shared" si="55"/>
        <v/>
      </c>
      <c r="AH304" s="190">
        <v>0</v>
      </c>
      <c r="AI304" s="69">
        <f t="shared" si="56"/>
        <v>1</v>
      </c>
    </row>
    <row r="305" spans="1:35" s="69" customFormat="1" ht="39" hidden="1" x14ac:dyDescent="0.3">
      <c r="A305" s="55" t="s">
        <v>800</v>
      </c>
      <c r="B305" s="53" t="s">
        <v>801</v>
      </c>
      <c r="C305" s="54" t="s">
        <v>606</v>
      </c>
      <c r="D305" s="75">
        <v>1</v>
      </c>
      <c r="E305" s="75"/>
      <c r="F305" s="75"/>
      <c r="G305" s="161"/>
      <c r="H305" s="158" t="s">
        <v>15</v>
      </c>
      <c r="I305" s="166">
        <v>156.05000000000001</v>
      </c>
      <c r="J305" s="75">
        <v>156.05000000000001</v>
      </c>
      <c r="K305" s="91" t="s">
        <v>802</v>
      </c>
      <c r="L305" s="73"/>
      <c r="M305" s="46">
        <v>0</v>
      </c>
      <c r="N305" s="46">
        <v>0</v>
      </c>
      <c r="O305" s="46">
        <v>0</v>
      </c>
      <c r="P305" s="98"/>
      <c r="Q305" s="23" t="s">
        <v>1470</v>
      </c>
      <c r="R305" s="24" t="s">
        <v>801</v>
      </c>
      <c r="S305" s="25" t="s">
        <v>606</v>
      </c>
      <c r="T305" s="26">
        <v>1</v>
      </c>
      <c r="U305" s="26">
        <v>1</v>
      </c>
      <c r="V305" s="26">
        <v>156.05000000000001</v>
      </c>
      <c r="W305" s="26">
        <f t="shared" si="58"/>
        <v>0</v>
      </c>
      <c r="X305" s="26">
        <f t="shared" si="53"/>
        <v>0</v>
      </c>
      <c r="Y305" s="26">
        <f t="shared" si="59"/>
        <v>0</v>
      </c>
      <c r="Z305" s="26">
        <f t="shared" si="57"/>
        <v>0</v>
      </c>
      <c r="AA305" s="33" t="s">
        <v>15</v>
      </c>
      <c r="AB305" s="36" t="s">
        <v>16</v>
      </c>
      <c r="AC305" s="181">
        <f t="shared" si="54"/>
        <v>1</v>
      </c>
      <c r="AD305" s="181">
        <f t="shared" si="60"/>
        <v>156.05000000000001</v>
      </c>
      <c r="AE305" s="181">
        <v>1.7</v>
      </c>
      <c r="AF305" s="181">
        <v>1.7</v>
      </c>
      <c r="AG305" s="101" t="str">
        <f t="shared" si="55"/>
        <v/>
      </c>
      <c r="AH305" s="190">
        <v>0</v>
      </c>
      <c r="AI305" s="69">
        <f t="shared" si="56"/>
        <v>1</v>
      </c>
    </row>
    <row r="306" spans="1:35" s="69" customFormat="1" ht="58.5" hidden="1" x14ac:dyDescent="0.3">
      <c r="A306" s="55" t="s">
        <v>803</v>
      </c>
      <c r="B306" s="53" t="s">
        <v>804</v>
      </c>
      <c r="C306" s="54" t="s">
        <v>606</v>
      </c>
      <c r="D306" s="75">
        <v>1</v>
      </c>
      <c r="E306" s="75"/>
      <c r="F306" s="75"/>
      <c r="G306" s="161"/>
      <c r="H306" s="158" t="s">
        <v>15</v>
      </c>
      <c r="I306" s="166">
        <v>69.08</v>
      </c>
      <c r="J306" s="75">
        <v>69.08</v>
      </c>
      <c r="K306" s="91" t="s">
        <v>805</v>
      </c>
      <c r="L306" s="73"/>
      <c r="M306" s="46">
        <v>0</v>
      </c>
      <c r="N306" s="46">
        <v>0</v>
      </c>
      <c r="O306" s="46">
        <v>0</v>
      </c>
      <c r="P306" s="98"/>
      <c r="Q306" s="23" t="s">
        <v>1471</v>
      </c>
      <c r="R306" s="24" t="s">
        <v>804</v>
      </c>
      <c r="S306" s="25" t="s">
        <v>606</v>
      </c>
      <c r="T306" s="26">
        <v>1</v>
      </c>
      <c r="U306" s="26">
        <v>1</v>
      </c>
      <c r="V306" s="26">
        <v>69.08</v>
      </c>
      <c r="W306" s="26">
        <f t="shared" si="58"/>
        <v>0</v>
      </c>
      <c r="X306" s="26">
        <f t="shared" ref="X306:X370" si="61">W306+M306</f>
        <v>0</v>
      </c>
      <c r="Y306" s="26">
        <f t="shared" si="59"/>
        <v>0</v>
      </c>
      <c r="Z306" s="26">
        <f t="shared" si="57"/>
        <v>0</v>
      </c>
      <c r="AA306" s="33" t="s">
        <v>15</v>
      </c>
      <c r="AB306" s="36" t="s">
        <v>16</v>
      </c>
      <c r="AC306" s="181">
        <f t="shared" si="54"/>
        <v>1</v>
      </c>
      <c r="AD306" s="181">
        <f t="shared" si="60"/>
        <v>69.08</v>
      </c>
      <c r="AE306" s="181">
        <v>1.7</v>
      </c>
      <c r="AF306" s="181">
        <v>1.7</v>
      </c>
      <c r="AG306" s="101" t="str">
        <f t="shared" si="55"/>
        <v/>
      </c>
      <c r="AH306" s="190">
        <v>0</v>
      </c>
      <c r="AI306" s="69">
        <f t="shared" si="56"/>
        <v>1</v>
      </c>
    </row>
    <row r="307" spans="1:35" s="69" customFormat="1" ht="39" hidden="1" x14ac:dyDescent="0.3">
      <c r="A307" s="55" t="s">
        <v>806</v>
      </c>
      <c r="B307" s="53" t="s">
        <v>807</v>
      </c>
      <c r="C307" s="54" t="s">
        <v>606</v>
      </c>
      <c r="D307" s="75">
        <v>1</v>
      </c>
      <c r="E307" s="75"/>
      <c r="F307" s="75"/>
      <c r="G307" s="161"/>
      <c r="H307" s="158" t="s">
        <v>15</v>
      </c>
      <c r="I307" s="166">
        <v>55.62</v>
      </c>
      <c r="J307" s="75">
        <v>55.62</v>
      </c>
      <c r="K307" s="91" t="s">
        <v>808</v>
      </c>
      <c r="L307" s="73"/>
      <c r="M307" s="46">
        <v>0</v>
      </c>
      <c r="N307" s="46">
        <v>0</v>
      </c>
      <c r="O307" s="46">
        <v>0</v>
      </c>
      <c r="P307" s="98"/>
      <c r="Q307" s="23" t="s">
        <v>1472</v>
      </c>
      <c r="R307" s="24" t="s">
        <v>807</v>
      </c>
      <c r="S307" s="25" t="s">
        <v>606</v>
      </c>
      <c r="T307" s="26">
        <v>1</v>
      </c>
      <c r="U307" s="26">
        <v>1</v>
      </c>
      <c r="V307" s="26">
        <v>55.62</v>
      </c>
      <c r="W307" s="26">
        <f t="shared" si="58"/>
        <v>0</v>
      </c>
      <c r="X307" s="26">
        <f t="shared" si="61"/>
        <v>0</v>
      </c>
      <c r="Y307" s="26">
        <f t="shared" si="59"/>
        <v>0</v>
      </c>
      <c r="Z307" s="26">
        <f t="shared" si="57"/>
        <v>0</v>
      </c>
      <c r="AA307" s="33" t="s">
        <v>15</v>
      </c>
      <c r="AB307" s="36" t="s">
        <v>16</v>
      </c>
      <c r="AC307" s="181">
        <f t="shared" si="54"/>
        <v>1</v>
      </c>
      <c r="AD307" s="181">
        <f t="shared" si="60"/>
        <v>55.62</v>
      </c>
      <c r="AE307" s="181">
        <v>1.7</v>
      </c>
      <c r="AF307" s="181">
        <v>1.7</v>
      </c>
      <c r="AG307" s="101" t="str">
        <f t="shared" si="55"/>
        <v/>
      </c>
      <c r="AH307" s="190">
        <v>0</v>
      </c>
      <c r="AI307" s="69">
        <f t="shared" si="56"/>
        <v>1</v>
      </c>
    </row>
    <row r="308" spans="1:35" s="69" customFormat="1" ht="39" hidden="1" x14ac:dyDescent="0.3">
      <c r="A308" s="55" t="s">
        <v>809</v>
      </c>
      <c r="B308" s="53" t="s">
        <v>810</v>
      </c>
      <c r="C308" s="54" t="s">
        <v>606</v>
      </c>
      <c r="D308" s="75">
        <v>1</v>
      </c>
      <c r="E308" s="75"/>
      <c r="F308" s="75"/>
      <c r="G308" s="161"/>
      <c r="H308" s="158" t="s">
        <v>15</v>
      </c>
      <c r="I308" s="166">
        <v>91.67</v>
      </c>
      <c r="J308" s="75">
        <v>91.67</v>
      </c>
      <c r="K308" s="91" t="s">
        <v>811</v>
      </c>
      <c r="L308" s="73"/>
      <c r="M308" s="46">
        <v>0</v>
      </c>
      <c r="N308" s="46">
        <v>0</v>
      </c>
      <c r="O308" s="46">
        <v>0</v>
      </c>
      <c r="P308" s="98"/>
      <c r="Q308" s="23" t="s">
        <v>1473</v>
      </c>
      <c r="R308" s="24" t="s">
        <v>810</v>
      </c>
      <c r="S308" s="25" t="s">
        <v>606</v>
      </c>
      <c r="T308" s="26">
        <v>1</v>
      </c>
      <c r="U308" s="26">
        <v>1</v>
      </c>
      <c r="V308" s="26">
        <v>91.67</v>
      </c>
      <c r="W308" s="26">
        <f t="shared" si="58"/>
        <v>0</v>
      </c>
      <c r="X308" s="26">
        <f t="shared" si="61"/>
        <v>0</v>
      </c>
      <c r="Y308" s="26">
        <f t="shared" si="59"/>
        <v>0</v>
      </c>
      <c r="Z308" s="26">
        <f t="shared" si="57"/>
        <v>0</v>
      </c>
      <c r="AA308" s="33" t="s">
        <v>15</v>
      </c>
      <c r="AB308" s="36" t="s">
        <v>16</v>
      </c>
      <c r="AC308" s="181">
        <f t="shared" si="54"/>
        <v>1</v>
      </c>
      <c r="AD308" s="181">
        <f t="shared" si="60"/>
        <v>91.67</v>
      </c>
      <c r="AE308" s="181">
        <v>1.7</v>
      </c>
      <c r="AF308" s="181">
        <v>1.7</v>
      </c>
      <c r="AG308" s="101" t="str">
        <f t="shared" si="55"/>
        <v/>
      </c>
      <c r="AH308" s="190">
        <v>0</v>
      </c>
      <c r="AI308" s="69">
        <f t="shared" si="56"/>
        <v>1</v>
      </c>
    </row>
    <row r="309" spans="1:35" s="69" customFormat="1" ht="39" hidden="1" x14ac:dyDescent="0.3">
      <c r="A309" s="55" t="s">
        <v>812</v>
      </c>
      <c r="B309" s="53" t="s">
        <v>813</v>
      </c>
      <c r="C309" s="54" t="s">
        <v>606</v>
      </c>
      <c r="D309" s="75">
        <v>1</v>
      </c>
      <c r="E309" s="75"/>
      <c r="F309" s="75"/>
      <c r="G309" s="161"/>
      <c r="H309" s="158" t="s">
        <v>15</v>
      </c>
      <c r="I309" s="166">
        <v>68.5</v>
      </c>
      <c r="J309" s="75">
        <v>68.5</v>
      </c>
      <c r="K309" s="91" t="s">
        <v>814</v>
      </c>
      <c r="L309" s="73"/>
      <c r="M309" s="46">
        <v>0</v>
      </c>
      <c r="N309" s="46">
        <v>0</v>
      </c>
      <c r="O309" s="46">
        <v>0</v>
      </c>
      <c r="P309" s="98"/>
      <c r="Q309" s="23" t="s">
        <v>1474</v>
      </c>
      <c r="R309" s="24" t="s">
        <v>813</v>
      </c>
      <c r="S309" s="25" t="s">
        <v>606</v>
      </c>
      <c r="T309" s="26">
        <v>1</v>
      </c>
      <c r="U309" s="26">
        <v>1</v>
      </c>
      <c r="V309" s="26">
        <v>68.5</v>
      </c>
      <c r="W309" s="26">
        <f t="shared" si="58"/>
        <v>0</v>
      </c>
      <c r="X309" s="26">
        <f t="shared" si="61"/>
        <v>0</v>
      </c>
      <c r="Y309" s="26">
        <f t="shared" si="59"/>
        <v>0</v>
      </c>
      <c r="Z309" s="26">
        <f t="shared" si="57"/>
        <v>0</v>
      </c>
      <c r="AA309" s="33" t="s">
        <v>15</v>
      </c>
      <c r="AB309" s="36" t="s">
        <v>16</v>
      </c>
      <c r="AC309" s="181">
        <f t="shared" si="54"/>
        <v>1</v>
      </c>
      <c r="AD309" s="181">
        <f t="shared" si="60"/>
        <v>68.5</v>
      </c>
      <c r="AE309" s="181">
        <v>1.7</v>
      </c>
      <c r="AF309" s="181">
        <v>1.7</v>
      </c>
      <c r="AG309" s="101" t="str">
        <f t="shared" si="55"/>
        <v/>
      </c>
      <c r="AH309" s="190">
        <v>0</v>
      </c>
      <c r="AI309" s="69">
        <f t="shared" si="56"/>
        <v>1</v>
      </c>
    </row>
    <row r="310" spans="1:35" s="69" customFormat="1" ht="39" hidden="1" x14ac:dyDescent="0.3">
      <c r="A310" s="55" t="s">
        <v>815</v>
      </c>
      <c r="B310" s="53" t="s">
        <v>816</v>
      </c>
      <c r="C310" s="54" t="s">
        <v>606</v>
      </c>
      <c r="D310" s="75">
        <v>1</v>
      </c>
      <c r="E310" s="75"/>
      <c r="F310" s="75"/>
      <c r="G310" s="161"/>
      <c r="H310" s="158" t="s">
        <v>15</v>
      </c>
      <c r="I310" s="166">
        <v>58.2</v>
      </c>
      <c r="J310" s="75">
        <v>58.2</v>
      </c>
      <c r="K310" s="91" t="s">
        <v>817</v>
      </c>
      <c r="L310" s="73"/>
      <c r="M310" s="46">
        <v>0</v>
      </c>
      <c r="N310" s="46">
        <v>0</v>
      </c>
      <c r="O310" s="46">
        <v>0</v>
      </c>
      <c r="P310" s="98"/>
      <c r="Q310" s="23" t="s">
        <v>1475</v>
      </c>
      <c r="R310" s="24" t="s">
        <v>816</v>
      </c>
      <c r="S310" s="25" t="s">
        <v>606</v>
      </c>
      <c r="T310" s="26">
        <v>1</v>
      </c>
      <c r="U310" s="26">
        <v>1</v>
      </c>
      <c r="V310" s="26">
        <v>58.2</v>
      </c>
      <c r="W310" s="26">
        <f t="shared" si="58"/>
        <v>0</v>
      </c>
      <c r="X310" s="26">
        <f t="shared" si="61"/>
        <v>0</v>
      </c>
      <c r="Y310" s="26">
        <f t="shared" si="59"/>
        <v>0</v>
      </c>
      <c r="Z310" s="26">
        <f t="shared" si="57"/>
        <v>0</v>
      </c>
      <c r="AA310" s="33" t="s">
        <v>15</v>
      </c>
      <c r="AB310" s="36" t="s">
        <v>16</v>
      </c>
      <c r="AC310" s="181">
        <f t="shared" si="54"/>
        <v>1</v>
      </c>
      <c r="AD310" s="181">
        <f t="shared" si="60"/>
        <v>58.2</v>
      </c>
      <c r="AE310" s="181">
        <v>1.7</v>
      </c>
      <c r="AF310" s="181">
        <v>1.7</v>
      </c>
      <c r="AG310" s="101" t="str">
        <f t="shared" si="55"/>
        <v/>
      </c>
      <c r="AH310" s="190">
        <v>0</v>
      </c>
      <c r="AI310" s="69">
        <f t="shared" si="56"/>
        <v>1</v>
      </c>
    </row>
    <row r="311" spans="1:35" s="69" customFormat="1" ht="39" hidden="1" x14ac:dyDescent="0.3">
      <c r="A311" s="55" t="s">
        <v>818</v>
      </c>
      <c r="B311" s="53" t="s">
        <v>819</v>
      </c>
      <c r="C311" s="54" t="s">
        <v>606</v>
      </c>
      <c r="D311" s="75">
        <v>1</v>
      </c>
      <c r="E311" s="75"/>
      <c r="F311" s="75"/>
      <c r="G311" s="161"/>
      <c r="H311" s="158" t="s">
        <v>15</v>
      </c>
      <c r="I311" s="166">
        <v>70.040000000000006</v>
      </c>
      <c r="J311" s="75">
        <v>70.040000000000006</v>
      </c>
      <c r="K311" s="91" t="s">
        <v>820</v>
      </c>
      <c r="L311" s="73"/>
      <c r="M311" s="46">
        <v>0</v>
      </c>
      <c r="N311" s="46">
        <v>0</v>
      </c>
      <c r="O311" s="46">
        <v>0</v>
      </c>
      <c r="P311" s="98"/>
      <c r="Q311" s="23" t="s">
        <v>1476</v>
      </c>
      <c r="R311" s="24" t="s">
        <v>819</v>
      </c>
      <c r="S311" s="25" t="s">
        <v>606</v>
      </c>
      <c r="T311" s="26">
        <v>1</v>
      </c>
      <c r="U311" s="26">
        <v>1</v>
      </c>
      <c r="V311" s="26">
        <v>70.040000000000006</v>
      </c>
      <c r="W311" s="26">
        <f t="shared" si="58"/>
        <v>0</v>
      </c>
      <c r="X311" s="26">
        <f t="shared" si="61"/>
        <v>0</v>
      </c>
      <c r="Y311" s="26">
        <f t="shared" si="59"/>
        <v>0</v>
      </c>
      <c r="Z311" s="26">
        <f t="shared" si="57"/>
        <v>0</v>
      </c>
      <c r="AA311" s="33" t="s">
        <v>15</v>
      </c>
      <c r="AB311" s="36" t="s">
        <v>16</v>
      </c>
      <c r="AC311" s="181">
        <f t="shared" si="54"/>
        <v>1</v>
      </c>
      <c r="AD311" s="181">
        <f t="shared" si="60"/>
        <v>70.040000000000006</v>
      </c>
      <c r="AE311" s="181">
        <v>1.7</v>
      </c>
      <c r="AF311" s="181">
        <v>1.7</v>
      </c>
      <c r="AG311" s="101" t="str">
        <f t="shared" si="55"/>
        <v/>
      </c>
      <c r="AH311" s="190">
        <v>0</v>
      </c>
      <c r="AI311" s="69">
        <f t="shared" si="56"/>
        <v>1</v>
      </c>
    </row>
    <row r="312" spans="1:35" s="69" customFormat="1" ht="39" hidden="1" x14ac:dyDescent="0.3">
      <c r="A312" s="55" t="s">
        <v>821</v>
      </c>
      <c r="B312" s="53" t="s">
        <v>822</v>
      </c>
      <c r="C312" s="54" t="s">
        <v>606</v>
      </c>
      <c r="D312" s="75">
        <v>1</v>
      </c>
      <c r="E312" s="75"/>
      <c r="F312" s="75"/>
      <c r="G312" s="161"/>
      <c r="H312" s="158" t="s">
        <v>15</v>
      </c>
      <c r="I312" s="166">
        <v>61.29</v>
      </c>
      <c r="J312" s="75">
        <v>61.29</v>
      </c>
      <c r="K312" s="91" t="s">
        <v>823</v>
      </c>
      <c r="L312" s="73"/>
      <c r="M312" s="46">
        <v>0</v>
      </c>
      <c r="N312" s="46">
        <v>0</v>
      </c>
      <c r="O312" s="46">
        <v>0</v>
      </c>
      <c r="P312" s="98"/>
      <c r="Q312" s="23" t="s">
        <v>1477</v>
      </c>
      <c r="R312" s="24" t="s">
        <v>822</v>
      </c>
      <c r="S312" s="25" t="s">
        <v>606</v>
      </c>
      <c r="T312" s="26">
        <v>1</v>
      </c>
      <c r="U312" s="26">
        <v>1</v>
      </c>
      <c r="V312" s="26">
        <v>61.29</v>
      </c>
      <c r="W312" s="26">
        <f t="shared" si="58"/>
        <v>0</v>
      </c>
      <c r="X312" s="26">
        <f t="shared" si="61"/>
        <v>0</v>
      </c>
      <c r="Y312" s="26">
        <f t="shared" si="59"/>
        <v>0</v>
      </c>
      <c r="Z312" s="26">
        <f t="shared" si="57"/>
        <v>0</v>
      </c>
      <c r="AA312" s="33" t="s">
        <v>15</v>
      </c>
      <c r="AB312" s="36" t="s">
        <v>16</v>
      </c>
      <c r="AC312" s="181">
        <f t="shared" si="54"/>
        <v>1</v>
      </c>
      <c r="AD312" s="181">
        <f t="shared" si="60"/>
        <v>61.29</v>
      </c>
      <c r="AE312" s="181">
        <v>1.7</v>
      </c>
      <c r="AF312" s="181">
        <v>1.7</v>
      </c>
      <c r="AG312" s="101" t="str">
        <f t="shared" si="55"/>
        <v/>
      </c>
      <c r="AH312" s="190">
        <v>0</v>
      </c>
      <c r="AI312" s="69">
        <f t="shared" si="56"/>
        <v>1</v>
      </c>
    </row>
    <row r="313" spans="1:35" s="69" customFormat="1" ht="39" hidden="1" x14ac:dyDescent="0.3">
      <c r="A313" s="55" t="s">
        <v>824</v>
      </c>
      <c r="B313" s="53" t="s">
        <v>825</v>
      </c>
      <c r="C313" s="54" t="s">
        <v>606</v>
      </c>
      <c r="D313" s="75">
        <v>1</v>
      </c>
      <c r="E313" s="75"/>
      <c r="F313" s="75"/>
      <c r="G313" s="161"/>
      <c r="H313" s="158" t="s">
        <v>15</v>
      </c>
      <c r="I313" s="166">
        <v>59.74</v>
      </c>
      <c r="J313" s="75">
        <v>59.74</v>
      </c>
      <c r="K313" s="91" t="s">
        <v>826</v>
      </c>
      <c r="L313" s="73"/>
      <c r="M313" s="46">
        <v>0</v>
      </c>
      <c r="N313" s="46">
        <v>0</v>
      </c>
      <c r="O313" s="46">
        <v>0</v>
      </c>
      <c r="P313" s="98"/>
      <c r="Q313" s="23" t="s">
        <v>1478</v>
      </c>
      <c r="R313" s="24" t="s">
        <v>825</v>
      </c>
      <c r="S313" s="25" t="s">
        <v>606</v>
      </c>
      <c r="T313" s="26">
        <v>1</v>
      </c>
      <c r="U313" s="26">
        <v>1</v>
      </c>
      <c r="V313" s="26">
        <v>59.74</v>
      </c>
      <c r="W313" s="26">
        <f t="shared" si="58"/>
        <v>0</v>
      </c>
      <c r="X313" s="26">
        <f t="shared" si="61"/>
        <v>0</v>
      </c>
      <c r="Y313" s="26">
        <f t="shared" si="59"/>
        <v>0</v>
      </c>
      <c r="Z313" s="26">
        <f t="shared" si="57"/>
        <v>0</v>
      </c>
      <c r="AA313" s="33" t="s">
        <v>15</v>
      </c>
      <c r="AB313" s="36" t="s">
        <v>16</v>
      </c>
      <c r="AC313" s="181">
        <f t="shared" si="54"/>
        <v>1</v>
      </c>
      <c r="AD313" s="181">
        <f t="shared" si="60"/>
        <v>59.74</v>
      </c>
      <c r="AE313" s="181">
        <v>1.7</v>
      </c>
      <c r="AF313" s="181">
        <v>1.7</v>
      </c>
      <c r="AG313" s="101" t="str">
        <f t="shared" si="55"/>
        <v/>
      </c>
      <c r="AH313" s="190">
        <v>0</v>
      </c>
      <c r="AI313" s="69">
        <f t="shared" si="56"/>
        <v>1</v>
      </c>
    </row>
    <row r="314" spans="1:35" s="69" customFormat="1" ht="39" hidden="1" x14ac:dyDescent="0.3">
      <c r="A314" s="55" t="s">
        <v>827</v>
      </c>
      <c r="B314" s="53" t="s">
        <v>828</v>
      </c>
      <c r="C314" s="54" t="s">
        <v>606</v>
      </c>
      <c r="D314" s="75">
        <v>1</v>
      </c>
      <c r="E314" s="75"/>
      <c r="F314" s="75"/>
      <c r="G314" s="161"/>
      <c r="H314" s="158" t="s">
        <v>15</v>
      </c>
      <c r="I314" s="166">
        <v>69.58</v>
      </c>
      <c r="J314" s="75">
        <v>69.58</v>
      </c>
      <c r="K314" s="91" t="s">
        <v>829</v>
      </c>
      <c r="L314" s="73"/>
      <c r="M314" s="46">
        <v>0</v>
      </c>
      <c r="N314" s="46">
        <v>0</v>
      </c>
      <c r="O314" s="46">
        <v>0</v>
      </c>
      <c r="P314" s="98"/>
      <c r="Q314" s="23" t="s">
        <v>1479</v>
      </c>
      <c r="R314" s="24" t="s">
        <v>828</v>
      </c>
      <c r="S314" s="25" t="s">
        <v>606</v>
      </c>
      <c r="T314" s="26">
        <v>1</v>
      </c>
      <c r="U314" s="26">
        <v>1</v>
      </c>
      <c r="V314" s="26">
        <v>69.58</v>
      </c>
      <c r="W314" s="26">
        <f t="shared" si="58"/>
        <v>0</v>
      </c>
      <c r="X314" s="26">
        <f t="shared" si="61"/>
        <v>0</v>
      </c>
      <c r="Y314" s="26">
        <f t="shared" si="59"/>
        <v>0</v>
      </c>
      <c r="Z314" s="26">
        <f t="shared" si="57"/>
        <v>0</v>
      </c>
      <c r="AA314" s="33" t="s">
        <v>15</v>
      </c>
      <c r="AB314" s="36" t="s">
        <v>16</v>
      </c>
      <c r="AC314" s="181">
        <f t="shared" si="54"/>
        <v>1</v>
      </c>
      <c r="AD314" s="181">
        <f t="shared" si="60"/>
        <v>69.58</v>
      </c>
      <c r="AE314" s="181">
        <v>1.7</v>
      </c>
      <c r="AF314" s="181">
        <v>1.7</v>
      </c>
      <c r="AG314" s="101" t="str">
        <f t="shared" si="55"/>
        <v/>
      </c>
      <c r="AH314" s="190">
        <v>0</v>
      </c>
      <c r="AI314" s="69">
        <f t="shared" si="56"/>
        <v>1</v>
      </c>
    </row>
    <row r="315" spans="1:35" s="69" customFormat="1" ht="39" hidden="1" x14ac:dyDescent="0.3">
      <c r="A315" s="55" t="s">
        <v>830</v>
      </c>
      <c r="B315" s="53" t="s">
        <v>831</v>
      </c>
      <c r="C315" s="54" t="s">
        <v>606</v>
      </c>
      <c r="D315" s="75">
        <v>1</v>
      </c>
      <c r="E315" s="75"/>
      <c r="F315" s="75"/>
      <c r="G315" s="161"/>
      <c r="H315" s="158" t="s">
        <v>15</v>
      </c>
      <c r="I315" s="166">
        <v>112.84</v>
      </c>
      <c r="J315" s="75">
        <v>112.84</v>
      </c>
      <c r="K315" s="91" t="s">
        <v>832</v>
      </c>
      <c r="L315" s="73"/>
      <c r="M315" s="46">
        <v>0</v>
      </c>
      <c r="N315" s="46">
        <v>0</v>
      </c>
      <c r="O315" s="46">
        <v>0</v>
      </c>
      <c r="P315" s="98"/>
      <c r="Q315" s="23" t="s">
        <v>1480</v>
      </c>
      <c r="R315" s="24" t="s">
        <v>831</v>
      </c>
      <c r="S315" s="25" t="s">
        <v>606</v>
      </c>
      <c r="T315" s="26">
        <v>1</v>
      </c>
      <c r="U315" s="26">
        <v>1</v>
      </c>
      <c r="V315" s="26">
        <v>112.84</v>
      </c>
      <c r="W315" s="26">
        <f t="shared" si="58"/>
        <v>0</v>
      </c>
      <c r="X315" s="26">
        <f t="shared" si="61"/>
        <v>0</v>
      </c>
      <c r="Y315" s="26">
        <f t="shared" si="59"/>
        <v>0</v>
      </c>
      <c r="Z315" s="26">
        <f t="shared" si="57"/>
        <v>0</v>
      </c>
      <c r="AA315" s="33" t="s">
        <v>15</v>
      </c>
      <c r="AB315" s="36" t="s">
        <v>16</v>
      </c>
      <c r="AC315" s="181">
        <f t="shared" si="54"/>
        <v>1</v>
      </c>
      <c r="AD315" s="181">
        <f t="shared" si="60"/>
        <v>112.84</v>
      </c>
      <c r="AE315" s="181">
        <v>1.7</v>
      </c>
      <c r="AF315" s="181">
        <v>1.7</v>
      </c>
      <c r="AG315" s="101" t="str">
        <f t="shared" si="55"/>
        <v/>
      </c>
      <c r="AH315" s="190">
        <v>0</v>
      </c>
      <c r="AI315" s="69">
        <f t="shared" si="56"/>
        <v>1</v>
      </c>
    </row>
    <row r="316" spans="1:35" s="69" customFormat="1" ht="39" hidden="1" x14ac:dyDescent="0.3">
      <c r="A316" s="55" t="s">
        <v>833</v>
      </c>
      <c r="B316" s="53" t="s">
        <v>834</v>
      </c>
      <c r="C316" s="54" t="s">
        <v>606</v>
      </c>
      <c r="D316" s="75">
        <v>1</v>
      </c>
      <c r="E316" s="75"/>
      <c r="F316" s="75"/>
      <c r="G316" s="161"/>
      <c r="H316" s="158" t="s">
        <v>15</v>
      </c>
      <c r="I316" s="166">
        <v>102.54</v>
      </c>
      <c r="J316" s="75">
        <v>102.54</v>
      </c>
      <c r="K316" s="91" t="s">
        <v>835</v>
      </c>
      <c r="L316" s="73"/>
      <c r="M316" s="46">
        <v>0</v>
      </c>
      <c r="N316" s="46">
        <v>0</v>
      </c>
      <c r="O316" s="46">
        <v>0</v>
      </c>
      <c r="P316" s="98"/>
      <c r="Q316" s="23" t="s">
        <v>1481</v>
      </c>
      <c r="R316" s="24" t="s">
        <v>834</v>
      </c>
      <c r="S316" s="25" t="s">
        <v>606</v>
      </c>
      <c r="T316" s="26">
        <v>1</v>
      </c>
      <c r="U316" s="26">
        <v>1</v>
      </c>
      <c r="V316" s="26">
        <v>102.54</v>
      </c>
      <c r="W316" s="26">
        <f t="shared" si="58"/>
        <v>0</v>
      </c>
      <c r="X316" s="26">
        <f t="shared" si="61"/>
        <v>0</v>
      </c>
      <c r="Y316" s="26">
        <f t="shared" si="59"/>
        <v>0</v>
      </c>
      <c r="Z316" s="26">
        <f t="shared" si="57"/>
        <v>0</v>
      </c>
      <c r="AA316" s="33" t="s">
        <v>15</v>
      </c>
      <c r="AB316" s="36" t="s">
        <v>16</v>
      </c>
      <c r="AC316" s="181">
        <f t="shared" si="54"/>
        <v>1</v>
      </c>
      <c r="AD316" s="181">
        <f t="shared" si="60"/>
        <v>102.54</v>
      </c>
      <c r="AE316" s="181">
        <v>1.7</v>
      </c>
      <c r="AF316" s="181">
        <v>1.7</v>
      </c>
      <c r="AG316" s="101" t="str">
        <f t="shared" si="55"/>
        <v/>
      </c>
      <c r="AH316" s="190">
        <v>0</v>
      </c>
      <c r="AI316" s="69">
        <f t="shared" si="56"/>
        <v>1</v>
      </c>
    </row>
    <row r="317" spans="1:35" s="69" customFormat="1" ht="39" hidden="1" x14ac:dyDescent="0.3">
      <c r="A317" s="55" t="s">
        <v>836</v>
      </c>
      <c r="B317" s="53" t="s">
        <v>837</v>
      </c>
      <c r="C317" s="54" t="s">
        <v>606</v>
      </c>
      <c r="D317" s="75">
        <v>1</v>
      </c>
      <c r="E317" s="75"/>
      <c r="F317" s="75"/>
      <c r="G317" s="161"/>
      <c r="H317" s="158" t="s">
        <v>15</v>
      </c>
      <c r="I317" s="166">
        <v>82.99</v>
      </c>
      <c r="J317" s="75">
        <v>82.99</v>
      </c>
      <c r="K317" s="91" t="s">
        <v>838</v>
      </c>
      <c r="L317" s="73"/>
      <c r="M317" s="46">
        <v>0</v>
      </c>
      <c r="N317" s="46">
        <v>0</v>
      </c>
      <c r="O317" s="46">
        <v>0</v>
      </c>
      <c r="P317" s="98"/>
      <c r="Q317" s="23" t="s">
        <v>1482</v>
      </c>
      <c r="R317" s="24" t="s">
        <v>837</v>
      </c>
      <c r="S317" s="25" t="s">
        <v>606</v>
      </c>
      <c r="T317" s="26">
        <v>1</v>
      </c>
      <c r="U317" s="26">
        <v>1</v>
      </c>
      <c r="V317" s="26">
        <v>82.99</v>
      </c>
      <c r="W317" s="26">
        <f t="shared" si="58"/>
        <v>0</v>
      </c>
      <c r="X317" s="26">
        <f t="shared" si="61"/>
        <v>0</v>
      </c>
      <c r="Y317" s="26">
        <f t="shared" si="59"/>
        <v>0</v>
      </c>
      <c r="Z317" s="26">
        <f t="shared" si="57"/>
        <v>0</v>
      </c>
      <c r="AA317" s="33" t="s">
        <v>15</v>
      </c>
      <c r="AB317" s="36" t="s">
        <v>16</v>
      </c>
      <c r="AC317" s="181">
        <f t="shared" si="54"/>
        <v>1</v>
      </c>
      <c r="AD317" s="181">
        <f t="shared" si="60"/>
        <v>82.99</v>
      </c>
      <c r="AE317" s="181">
        <v>1.7</v>
      </c>
      <c r="AF317" s="181">
        <v>1.7</v>
      </c>
      <c r="AG317" s="101" t="str">
        <f t="shared" si="55"/>
        <v/>
      </c>
      <c r="AH317" s="190">
        <v>0</v>
      </c>
      <c r="AI317" s="69">
        <f t="shared" si="56"/>
        <v>1</v>
      </c>
    </row>
    <row r="318" spans="1:35" s="69" customFormat="1" ht="58.5" hidden="1" x14ac:dyDescent="0.3">
      <c r="A318" s="55" t="s">
        <v>839</v>
      </c>
      <c r="B318" s="53" t="s">
        <v>840</v>
      </c>
      <c r="C318" s="54" t="s">
        <v>606</v>
      </c>
      <c r="D318" s="75">
        <v>1</v>
      </c>
      <c r="E318" s="75"/>
      <c r="F318" s="75"/>
      <c r="G318" s="161"/>
      <c r="H318" s="158" t="s">
        <v>15</v>
      </c>
      <c r="I318" s="166">
        <v>80.41</v>
      </c>
      <c r="J318" s="75">
        <v>80.41</v>
      </c>
      <c r="K318" s="91" t="s">
        <v>841</v>
      </c>
      <c r="L318" s="73"/>
      <c r="M318" s="46">
        <v>0</v>
      </c>
      <c r="N318" s="46">
        <v>0</v>
      </c>
      <c r="O318" s="46">
        <v>0</v>
      </c>
      <c r="P318" s="98"/>
      <c r="Q318" s="23" t="s">
        <v>1483</v>
      </c>
      <c r="R318" s="24" t="s">
        <v>840</v>
      </c>
      <c r="S318" s="25" t="s">
        <v>606</v>
      </c>
      <c r="T318" s="26">
        <v>1</v>
      </c>
      <c r="U318" s="26">
        <v>1</v>
      </c>
      <c r="V318" s="26">
        <v>80.41</v>
      </c>
      <c r="W318" s="26">
        <f t="shared" si="58"/>
        <v>0</v>
      </c>
      <c r="X318" s="26">
        <f t="shared" si="61"/>
        <v>0</v>
      </c>
      <c r="Y318" s="26">
        <f t="shared" si="59"/>
        <v>0</v>
      </c>
      <c r="Z318" s="26">
        <f t="shared" si="57"/>
        <v>0</v>
      </c>
      <c r="AA318" s="33" t="s">
        <v>15</v>
      </c>
      <c r="AB318" s="36" t="s">
        <v>16</v>
      </c>
      <c r="AC318" s="181">
        <f t="shared" si="54"/>
        <v>1</v>
      </c>
      <c r="AD318" s="181">
        <f t="shared" si="60"/>
        <v>80.41</v>
      </c>
      <c r="AE318" s="181">
        <v>1.7</v>
      </c>
      <c r="AF318" s="181">
        <v>1.7</v>
      </c>
      <c r="AG318" s="101" t="str">
        <f t="shared" si="55"/>
        <v/>
      </c>
      <c r="AH318" s="190">
        <v>0</v>
      </c>
      <c r="AI318" s="69">
        <f t="shared" si="56"/>
        <v>1</v>
      </c>
    </row>
    <row r="319" spans="1:35" s="69" customFormat="1" ht="39" hidden="1" x14ac:dyDescent="0.3">
      <c r="A319" s="55" t="s">
        <v>842</v>
      </c>
      <c r="B319" s="53" t="s">
        <v>843</v>
      </c>
      <c r="C319" s="54" t="s">
        <v>606</v>
      </c>
      <c r="D319" s="75">
        <v>1</v>
      </c>
      <c r="E319" s="75"/>
      <c r="F319" s="75"/>
      <c r="G319" s="161"/>
      <c r="H319" s="158" t="s">
        <v>15</v>
      </c>
      <c r="I319" s="166">
        <v>101.01</v>
      </c>
      <c r="J319" s="75">
        <v>101.01</v>
      </c>
      <c r="K319" s="91" t="s">
        <v>844</v>
      </c>
      <c r="L319" s="73"/>
      <c r="M319" s="46">
        <v>0</v>
      </c>
      <c r="N319" s="46">
        <v>0</v>
      </c>
      <c r="O319" s="46">
        <v>0</v>
      </c>
      <c r="P319" s="98"/>
      <c r="Q319" s="23" t="s">
        <v>1484</v>
      </c>
      <c r="R319" s="24" t="s">
        <v>843</v>
      </c>
      <c r="S319" s="25" t="s">
        <v>606</v>
      </c>
      <c r="T319" s="26">
        <v>1</v>
      </c>
      <c r="U319" s="26">
        <v>1</v>
      </c>
      <c r="V319" s="26">
        <v>101.01</v>
      </c>
      <c r="W319" s="26">
        <f t="shared" si="58"/>
        <v>0</v>
      </c>
      <c r="X319" s="26">
        <f t="shared" si="61"/>
        <v>0</v>
      </c>
      <c r="Y319" s="26">
        <f t="shared" si="59"/>
        <v>0</v>
      </c>
      <c r="Z319" s="26">
        <f t="shared" si="57"/>
        <v>0</v>
      </c>
      <c r="AA319" s="33" t="s">
        <v>15</v>
      </c>
      <c r="AB319" s="36" t="s">
        <v>16</v>
      </c>
      <c r="AC319" s="181">
        <f t="shared" si="54"/>
        <v>1</v>
      </c>
      <c r="AD319" s="181">
        <f t="shared" si="60"/>
        <v>101.01</v>
      </c>
      <c r="AE319" s="181">
        <v>1.7</v>
      </c>
      <c r="AF319" s="181">
        <v>1.7</v>
      </c>
      <c r="AG319" s="101" t="str">
        <f t="shared" si="55"/>
        <v/>
      </c>
      <c r="AH319" s="190">
        <v>0</v>
      </c>
      <c r="AI319" s="69">
        <f t="shared" si="56"/>
        <v>1</v>
      </c>
    </row>
    <row r="320" spans="1:35" s="69" customFormat="1" ht="58.5" hidden="1" x14ac:dyDescent="0.3">
      <c r="A320" s="55" t="s">
        <v>845</v>
      </c>
      <c r="B320" s="53" t="s">
        <v>846</v>
      </c>
      <c r="C320" s="54" t="s">
        <v>606</v>
      </c>
      <c r="D320" s="75">
        <v>1</v>
      </c>
      <c r="E320" s="75"/>
      <c r="F320" s="75"/>
      <c r="G320" s="161"/>
      <c r="H320" s="158" t="s">
        <v>15</v>
      </c>
      <c r="I320" s="166">
        <v>76.290000000000006</v>
      </c>
      <c r="J320" s="75">
        <v>76.290000000000006</v>
      </c>
      <c r="K320" s="91" t="s">
        <v>847</v>
      </c>
      <c r="L320" s="73"/>
      <c r="M320" s="46">
        <v>0</v>
      </c>
      <c r="N320" s="46">
        <v>0</v>
      </c>
      <c r="O320" s="46">
        <v>0</v>
      </c>
      <c r="P320" s="98"/>
      <c r="Q320" s="23" t="s">
        <v>1485</v>
      </c>
      <c r="R320" s="24" t="s">
        <v>846</v>
      </c>
      <c r="S320" s="25" t="s">
        <v>606</v>
      </c>
      <c r="T320" s="26">
        <v>1</v>
      </c>
      <c r="U320" s="26">
        <v>1</v>
      </c>
      <c r="V320" s="26">
        <v>76.290000000000006</v>
      </c>
      <c r="W320" s="26">
        <f t="shared" si="58"/>
        <v>0</v>
      </c>
      <c r="X320" s="26">
        <f t="shared" si="61"/>
        <v>0</v>
      </c>
      <c r="Y320" s="26">
        <f t="shared" si="59"/>
        <v>0</v>
      </c>
      <c r="Z320" s="26">
        <f t="shared" si="57"/>
        <v>0</v>
      </c>
      <c r="AA320" s="33" t="s">
        <v>15</v>
      </c>
      <c r="AB320" s="36" t="s">
        <v>16</v>
      </c>
      <c r="AC320" s="181">
        <f t="shared" si="54"/>
        <v>1</v>
      </c>
      <c r="AD320" s="181">
        <f t="shared" si="60"/>
        <v>76.290000000000006</v>
      </c>
      <c r="AE320" s="181">
        <v>1.7</v>
      </c>
      <c r="AF320" s="181">
        <v>1.7</v>
      </c>
      <c r="AG320" s="101" t="str">
        <f t="shared" si="55"/>
        <v/>
      </c>
      <c r="AH320" s="190">
        <v>0</v>
      </c>
      <c r="AI320" s="69">
        <f t="shared" si="56"/>
        <v>1</v>
      </c>
    </row>
    <row r="321" spans="1:35" s="69" customFormat="1" ht="39" hidden="1" x14ac:dyDescent="0.3">
      <c r="A321" s="55" t="s">
        <v>848</v>
      </c>
      <c r="B321" s="53" t="s">
        <v>849</v>
      </c>
      <c r="C321" s="54" t="s">
        <v>606</v>
      </c>
      <c r="D321" s="75">
        <v>1</v>
      </c>
      <c r="E321" s="75"/>
      <c r="F321" s="75"/>
      <c r="G321" s="161"/>
      <c r="H321" s="158" t="s">
        <v>15</v>
      </c>
      <c r="I321" s="166">
        <v>73.650000000000006</v>
      </c>
      <c r="J321" s="75">
        <v>73.650000000000006</v>
      </c>
      <c r="K321" s="91" t="s">
        <v>850</v>
      </c>
      <c r="L321" s="73"/>
      <c r="M321" s="46">
        <v>0</v>
      </c>
      <c r="N321" s="46">
        <v>0</v>
      </c>
      <c r="O321" s="46">
        <v>0</v>
      </c>
      <c r="P321" s="98"/>
      <c r="Q321" s="23" t="s">
        <v>1486</v>
      </c>
      <c r="R321" s="24" t="s">
        <v>849</v>
      </c>
      <c r="S321" s="25" t="s">
        <v>606</v>
      </c>
      <c r="T321" s="26">
        <v>1</v>
      </c>
      <c r="U321" s="26">
        <v>1</v>
      </c>
      <c r="V321" s="26">
        <v>73.650000000000006</v>
      </c>
      <c r="W321" s="26">
        <f t="shared" si="58"/>
        <v>0</v>
      </c>
      <c r="X321" s="26">
        <f t="shared" si="61"/>
        <v>0</v>
      </c>
      <c r="Y321" s="26">
        <f t="shared" si="59"/>
        <v>0</v>
      </c>
      <c r="Z321" s="26">
        <f t="shared" si="57"/>
        <v>0</v>
      </c>
      <c r="AA321" s="33" t="s">
        <v>15</v>
      </c>
      <c r="AB321" s="36" t="s">
        <v>16</v>
      </c>
      <c r="AC321" s="181">
        <f t="shared" si="54"/>
        <v>1</v>
      </c>
      <c r="AD321" s="181">
        <f t="shared" si="60"/>
        <v>73.650000000000006</v>
      </c>
      <c r="AE321" s="181">
        <v>1.7</v>
      </c>
      <c r="AF321" s="181">
        <v>1.7</v>
      </c>
      <c r="AG321" s="101" t="str">
        <f t="shared" si="55"/>
        <v/>
      </c>
      <c r="AH321" s="190">
        <v>0</v>
      </c>
      <c r="AI321" s="69">
        <f t="shared" si="56"/>
        <v>1</v>
      </c>
    </row>
    <row r="322" spans="1:35" s="69" customFormat="1" ht="39" hidden="1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161"/>
      <c r="H322" s="158" t="s">
        <v>15</v>
      </c>
      <c r="I322" s="166">
        <v>43.78</v>
      </c>
      <c r="J322" s="75">
        <v>43.78</v>
      </c>
      <c r="K322" s="91" t="s">
        <v>853</v>
      </c>
      <c r="L322" s="73"/>
      <c r="M322" s="46">
        <v>0</v>
      </c>
      <c r="N322" s="46">
        <v>0</v>
      </c>
      <c r="O322" s="46">
        <v>0</v>
      </c>
      <c r="P322" s="98"/>
      <c r="Q322" s="23" t="s">
        <v>1487</v>
      </c>
      <c r="R322" s="24" t="s">
        <v>852</v>
      </c>
      <c r="S322" s="25" t="s">
        <v>50</v>
      </c>
      <c r="T322" s="26">
        <v>1</v>
      </c>
      <c r="U322" s="26">
        <v>1</v>
      </c>
      <c r="V322" s="26">
        <v>43.78</v>
      </c>
      <c r="W322" s="26">
        <f t="shared" si="58"/>
        <v>0</v>
      </c>
      <c r="X322" s="26">
        <f t="shared" si="61"/>
        <v>0</v>
      </c>
      <c r="Y322" s="26">
        <f t="shared" si="59"/>
        <v>0</v>
      </c>
      <c r="Z322" s="26">
        <f t="shared" si="57"/>
        <v>0</v>
      </c>
      <c r="AA322" s="33" t="s">
        <v>15</v>
      </c>
      <c r="AB322" s="36" t="s">
        <v>16</v>
      </c>
      <c r="AC322" s="181">
        <f t="shared" si="54"/>
        <v>1</v>
      </c>
      <c r="AD322" s="181">
        <f t="shared" si="60"/>
        <v>43.78</v>
      </c>
      <c r="AE322" s="181">
        <v>1.7</v>
      </c>
      <c r="AF322" s="181">
        <v>1.7</v>
      </c>
      <c r="AG322" s="101" t="str">
        <f t="shared" si="55"/>
        <v/>
      </c>
      <c r="AH322" s="190">
        <v>0</v>
      </c>
      <c r="AI322" s="69">
        <f t="shared" si="56"/>
        <v>1</v>
      </c>
    </row>
    <row r="323" spans="1:35" s="69" customFormat="1" ht="39" hidden="1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161"/>
      <c r="H323" s="158" t="s">
        <v>15</v>
      </c>
      <c r="I323" s="166">
        <v>28.11</v>
      </c>
      <c r="J323" s="75">
        <v>28.11</v>
      </c>
      <c r="K323" s="91" t="s">
        <v>857</v>
      </c>
      <c r="L323" s="73"/>
      <c r="M323" s="46">
        <v>0</v>
      </c>
      <c r="N323" s="46">
        <v>0</v>
      </c>
      <c r="O323" s="46">
        <v>0</v>
      </c>
      <c r="P323" s="98"/>
      <c r="Q323" s="23" t="s">
        <v>1488</v>
      </c>
      <c r="R323" s="24" t="s">
        <v>855</v>
      </c>
      <c r="S323" s="25" t="s">
        <v>856</v>
      </c>
      <c r="T323" s="26">
        <v>1</v>
      </c>
      <c r="U323" s="26">
        <v>1</v>
      </c>
      <c r="V323" s="26">
        <v>28.11</v>
      </c>
      <c r="W323" s="26">
        <f t="shared" si="58"/>
        <v>0</v>
      </c>
      <c r="X323" s="26">
        <f t="shared" si="61"/>
        <v>0</v>
      </c>
      <c r="Y323" s="26">
        <f t="shared" si="59"/>
        <v>0</v>
      </c>
      <c r="Z323" s="26">
        <f t="shared" si="57"/>
        <v>0</v>
      </c>
      <c r="AA323" s="33" t="s">
        <v>15</v>
      </c>
      <c r="AB323" s="36" t="s">
        <v>16</v>
      </c>
      <c r="AC323" s="181">
        <f t="shared" si="54"/>
        <v>1</v>
      </c>
      <c r="AD323" s="181">
        <f t="shared" si="60"/>
        <v>28.11</v>
      </c>
      <c r="AE323" s="181">
        <v>1.7</v>
      </c>
      <c r="AF323" s="181">
        <v>1.7</v>
      </c>
      <c r="AG323" s="101" t="str">
        <f t="shared" si="55"/>
        <v/>
      </c>
      <c r="AH323" s="190">
        <v>0</v>
      </c>
      <c r="AI323" s="69">
        <f t="shared" si="56"/>
        <v>1</v>
      </c>
    </row>
    <row r="324" spans="1:35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224"/>
      <c r="H324" s="158" t="s">
        <v>15</v>
      </c>
      <c r="I324" s="166">
        <v>245.47</v>
      </c>
      <c r="J324" s="75">
        <v>245.47</v>
      </c>
      <c r="K324" s="91" t="s">
        <v>860</v>
      </c>
      <c r="L324" s="73"/>
      <c r="M324" s="46">
        <v>0</v>
      </c>
      <c r="N324" s="46">
        <v>0</v>
      </c>
      <c r="O324" s="46">
        <v>0</v>
      </c>
      <c r="P324" s="98"/>
      <c r="Q324" s="23" t="s">
        <v>1489</v>
      </c>
      <c r="R324" s="24" t="s">
        <v>859</v>
      </c>
      <c r="S324" s="25" t="s">
        <v>50</v>
      </c>
      <c r="T324" s="26">
        <v>1</v>
      </c>
      <c r="U324" s="26">
        <v>1</v>
      </c>
      <c r="V324" s="26">
        <v>245.47</v>
      </c>
      <c r="W324" s="26">
        <f t="shared" si="58"/>
        <v>0</v>
      </c>
      <c r="X324" s="26">
        <f t="shared" si="61"/>
        <v>0</v>
      </c>
      <c r="Y324" s="26">
        <f t="shared" si="59"/>
        <v>0</v>
      </c>
      <c r="Z324" s="26">
        <f t="shared" si="57"/>
        <v>0</v>
      </c>
      <c r="AA324" s="33" t="s">
        <v>15</v>
      </c>
      <c r="AB324" s="36" t="s">
        <v>16</v>
      </c>
      <c r="AC324" s="181">
        <f t="shared" si="54"/>
        <v>1</v>
      </c>
      <c r="AD324" s="181">
        <f t="shared" si="60"/>
        <v>245.47</v>
      </c>
      <c r="AE324" s="181">
        <v>1.7</v>
      </c>
      <c r="AF324" s="181">
        <v>1.7</v>
      </c>
      <c r="AG324" s="101" t="str">
        <f t="shared" si="55"/>
        <v/>
      </c>
      <c r="AH324" s="190">
        <v>0</v>
      </c>
      <c r="AI324" s="69">
        <f t="shared" si="56"/>
        <v>1</v>
      </c>
    </row>
    <row r="325" spans="1:35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163"/>
      <c r="H325" s="62" t="s">
        <v>15</v>
      </c>
      <c r="I325" s="167">
        <v>839.94</v>
      </c>
      <c r="J325" s="62">
        <v>61718.79</v>
      </c>
      <c r="K325" s="93"/>
      <c r="M325" s="46">
        <v>0</v>
      </c>
      <c r="N325" s="46">
        <v>0</v>
      </c>
      <c r="O325" s="46">
        <v>0</v>
      </c>
      <c r="P325" s="98"/>
      <c r="Q325" s="23" t="s">
        <v>1398</v>
      </c>
      <c r="R325" s="24" t="s">
        <v>1337</v>
      </c>
      <c r="S325" s="25" t="s">
        <v>30</v>
      </c>
      <c r="T325" s="26">
        <v>0</v>
      </c>
      <c r="U325" s="26">
        <v>73.48</v>
      </c>
      <c r="V325" s="26">
        <v>839.94</v>
      </c>
      <c r="W325" s="26">
        <f t="shared" si="58"/>
        <v>0</v>
      </c>
      <c r="X325" s="26">
        <f t="shared" si="61"/>
        <v>0</v>
      </c>
      <c r="Y325" s="26">
        <f t="shared" si="59"/>
        <v>0</v>
      </c>
      <c r="Z325" s="26">
        <f>ROUND(V325*X325,2)</f>
        <v>0</v>
      </c>
      <c r="AA325" s="27"/>
      <c r="AB325" s="36" t="s">
        <v>16</v>
      </c>
      <c r="AC325" s="181">
        <f t="shared" si="54"/>
        <v>73.48</v>
      </c>
      <c r="AD325" s="181">
        <f t="shared" si="60"/>
        <v>61718.79</v>
      </c>
      <c r="AE325" s="181">
        <v>1.7</v>
      </c>
      <c r="AF325" s="181">
        <v>1.7</v>
      </c>
      <c r="AG325" s="101" t="str">
        <f t="shared" si="55"/>
        <v/>
      </c>
      <c r="AH325" s="190">
        <v>0</v>
      </c>
      <c r="AI325" s="69">
        <f t="shared" si="56"/>
        <v>73.48</v>
      </c>
    </row>
    <row r="326" spans="1:35" ht="39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163"/>
      <c r="H326" s="62" t="s">
        <v>15</v>
      </c>
      <c r="I326" s="167">
        <v>150</v>
      </c>
      <c r="J326" s="62">
        <v>2678400</v>
      </c>
      <c r="K326" s="93"/>
      <c r="M326" s="46">
        <v>10000</v>
      </c>
      <c r="N326" s="46">
        <v>0</v>
      </c>
      <c r="O326" s="46">
        <v>1500000</v>
      </c>
      <c r="P326" s="98"/>
      <c r="Q326" s="23" t="s">
        <v>1399</v>
      </c>
      <c r="R326" s="24" t="s">
        <v>1339</v>
      </c>
      <c r="S326" s="25" t="s">
        <v>1359</v>
      </c>
      <c r="T326" s="26">
        <v>0</v>
      </c>
      <c r="U326" s="26">
        <v>17856</v>
      </c>
      <c r="V326" s="26">
        <v>150</v>
      </c>
      <c r="W326" s="26">
        <f t="shared" si="58"/>
        <v>0</v>
      </c>
      <c r="X326" s="26">
        <f t="shared" si="61"/>
        <v>10000</v>
      </c>
      <c r="Y326" s="26">
        <f t="shared" si="59"/>
        <v>0</v>
      </c>
      <c r="Z326" s="26">
        <f t="shared" si="57"/>
        <v>1500000</v>
      </c>
      <c r="AA326" s="27"/>
      <c r="AB326" s="36" t="s">
        <v>16</v>
      </c>
      <c r="AC326" s="181">
        <f t="shared" si="54"/>
        <v>17856</v>
      </c>
      <c r="AD326" s="181">
        <f t="shared" si="60"/>
        <v>2678400</v>
      </c>
      <c r="AE326" s="181">
        <v>1.7</v>
      </c>
      <c r="AF326" s="181">
        <v>1.7</v>
      </c>
      <c r="AG326" s="101" t="str">
        <f t="shared" si="55"/>
        <v/>
      </c>
      <c r="AH326" s="190">
        <v>10000</v>
      </c>
      <c r="AI326" s="69">
        <f t="shared" si="56"/>
        <v>17856</v>
      </c>
    </row>
    <row r="327" spans="1:35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4" t="s">
        <v>15</v>
      </c>
      <c r="I327" s="82"/>
      <c r="J327" s="82">
        <v>5831452.4900000002</v>
      </c>
      <c r="K327" s="94" t="s">
        <v>15</v>
      </c>
      <c r="L327" s="73"/>
      <c r="M327" s="45">
        <v>1</v>
      </c>
      <c r="N327" s="45">
        <v>588200</v>
      </c>
      <c r="O327" s="45">
        <v>588200</v>
      </c>
      <c r="P327" s="98"/>
      <c r="Q327" s="18" t="s">
        <v>1400</v>
      </c>
      <c r="R327" s="19" t="s">
        <v>862</v>
      </c>
      <c r="S327" s="20" t="s">
        <v>14</v>
      </c>
      <c r="T327" s="21">
        <v>1</v>
      </c>
      <c r="U327" s="21"/>
      <c r="V327" s="21">
        <f>SUMIFS(AD:AD,AE:AE,AE327)</f>
        <v>5831452.4899999993</v>
      </c>
      <c r="W327" s="21">
        <f t="shared" ref="W327:X327" si="62">IF(Y327=0,0,1)</f>
        <v>1</v>
      </c>
      <c r="X327" s="21">
        <f t="shared" si="62"/>
        <v>1</v>
      </c>
      <c r="Y327" s="21">
        <f>SUMIFS(Y:Y,AF:AF,AE327)</f>
        <v>200000</v>
      </c>
      <c r="Z327" s="21">
        <f>SUMIFS(Z:Z,AF:AF,AE327)</f>
        <v>788200</v>
      </c>
      <c r="AA327" s="22" t="s">
        <v>15</v>
      </c>
      <c r="AB327" s="43" t="s">
        <v>16</v>
      </c>
      <c r="AC327" s="181">
        <f t="shared" si="54"/>
        <v>1</v>
      </c>
      <c r="AD327" s="184"/>
      <c r="AE327" s="184">
        <v>1.8</v>
      </c>
      <c r="AF327" s="184"/>
      <c r="AG327" s="101" t="str">
        <f t="shared" si="55"/>
        <v/>
      </c>
      <c r="AH327" s="190">
        <v>1</v>
      </c>
      <c r="AI327" s="69">
        <f t="shared" si="56"/>
        <v>1</v>
      </c>
    </row>
    <row r="328" spans="1:35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 t="s">
        <v>15</v>
      </c>
      <c r="I328" s="75">
        <v>69458</v>
      </c>
      <c r="J328" s="75">
        <v>69458</v>
      </c>
      <c r="K328" s="91" t="s">
        <v>865</v>
      </c>
      <c r="L328" s="73"/>
      <c r="M328" s="46">
        <v>0</v>
      </c>
      <c r="N328" s="46">
        <v>0</v>
      </c>
      <c r="O328" s="46">
        <v>0</v>
      </c>
      <c r="P328" s="98"/>
      <c r="Q328" s="23" t="s">
        <v>1421</v>
      </c>
      <c r="R328" s="24" t="s">
        <v>864</v>
      </c>
      <c r="S328" s="25" t="s">
        <v>14</v>
      </c>
      <c r="T328" s="26">
        <v>1</v>
      </c>
      <c r="U328" s="26">
        <v>1</v>
      </c>
      <c r="V328" s="26">
        <v>69458</v>
      </c>
      <c r="W328" s="26">
        <f t="shared" ref="W328:W368" si="63">AH328-M328</f>
        <v>0</v>
      </c>
      <c r="X328" s="26">
        <f t="shared" si="61"/>
        <v>0</v>
      </c>
      <c r="Y328" s="26">
        <f t="shared" ref="Y328:Y368" si="64">Z328-O328</f>
        <v>0</v>
      </c>
      <c r="Z328" s="26">
        <f t="shared" si="57"/>
        <v>0</v>
      </c>
      <c r="AA328" s="33" t="s">
        <v>15</v>
      </c>
      <c r="AB328" s="36" t="s">
        <v>16</v>
      </c>
      <c r="AC328" s="181">
        <f t="shared" si="54"/>
        <v>1</v>
      </c>
      <c r="AD328" s="181">
        <f t="shared" si="60"/>
        <v>69458</v>
      </c>
      <c r="AE328" s="181">
        <v>1.8</v>
      </c>
      <c r="AF328" s="181">
        <v>1.8</v>
      </c>
      <c r="AG328" s="101" t="str">
        <f t="shared" si="55"/>
        <v/>
      </c>
      <c r="AH328" s="190">
        <v>0</v>
      </c>
      <c r="AI328" s="69">
        <f t="shared" si="56"/>
        <v>1</v>
      </c>
    </row>
    <row r="329" spans="1:35" s="69" customFormat="1" ht="39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 t="s">
        <v>15</v>
      </c>
      <c r="I329" s="75">
        <v>94852.479999999996</v>
      </c>
      <c r="J329" s="75">
        <v>94852.479999999996</v>
      </c>
      <c r="K329" s="91" t="s">
        <v>868</v>
      </c>
      <c r="L329" s="73"/>
      <c r="M329" s="46">
        <v>0</v>
      </c>
      <c r="N329" s="46">
        <v>0</v>
      </c>
      <c r="O329" s="46">
        <v>0</v>
      </c>
      <c r="P329" s="98"/>
      <c r="Q329" s="23" t="s">
        <v>1426</v>
      </c>
      <c r="R329" s="24" t="s">
        <v>867</v>
      </c>
      <c r="S329" s="25" t="s">
        <v>14</v>
      </c>
      <c r="T329" s="26">
        <v>1</v>
      </c>
      <c r="U329" s="26">
        <v>1</v>
      </c>
      <c r="V329" s="26">
        <v>94852.479999999996</v>
      </c>
      <c r="W329" s="26">
        <f t="shared" si="63"/>
        <v>0</v>
      </c>
      <c r="X329" s="26">
        <f t="shared" si="61"/>
        <v>0</v>
      </c>
      <c r="Y329" s="26">
        <f t="shared" si="64"/>
        <v>0</v>
      </c>
      <c r="Z329" s="26">
        <f t="shared" si="57"/>
        <v>0</v>
      </c>
      <c r="AA329" s="33" t="s">
        <v>15</v>
      </c>
      <c r="AB329" s="36" t="s">
        <v>16</v>
      </c>
      <c r="AC329" s="181">
        <f t="shared" si="54"/>
        <v>1</v>
      </c>
      <c r="AD329" s="181">
        <f t="shared" si="60"/>
        <v>94852.479999999996</v>
      </c>
      <c r="AE329" s="181">
        <v>1.8</v>
      </c>
      <c r="AF329" s="181">
        <v>1.8</v>
      </c>
      <c r="AG329" s="101" t="str">
        <f t="shared" si="55"/>
        <v/>
      </c>
      <c r="AH329" s="190">
        <v>0</v>
      </c>
      <c r="AI329" s="69">
        <f t="shared" si="56"/>
        <v>1</v>
      </c>
    </row>
    <row r="330" spans="1:35" s="69" customFormat="1" ht="39" x14ac:dyDescent="0.3">
      <c r="A330" s="55" t="s">
        <v>869</v>
      </c>
      <c r="B330" s="53" t="s">
        <v>870</v>
      </c>
      <c r="C330" s="54" t="s">
        <v>14</v>
      </c>
      <c r="D330" s="75">
        <v>1</v>
      </c>
      <c r="E330" s="75"/>
      <c r="F330" s="75"/>
      <c r="G330" s="75"/>
      <c r="H330" s="75" t="s">
        <v>15</v>
      </c>
      <c r="I330" s="75">
        <v>251510</v>
      </c>
      <c r="J330" s="75">
        <v>251510</v>
      </c>
      <c r="K330" s="91" t="s">
        <v>871</v>
      </c>
      <c r="L330" s="73"/>
      <c r="M330" s="46">
        <v>0</v>
      </c>
      <c r="N330" s="46">
        <v>0</v>
      </c>
      <c r="O330" s="46">
        <v>0</v>
      </c>
      <c r="P330" s="98"/>
      <c r="Q330" s="23" t="s">
        <v>1402</v>
      </c>
      <c r="R330" s="24" t="s">
        <v>870</v>
      </c>
      <c r="S330" s="25" t="s">
        <v>14</v>
      </c>
      <c r="T330" s="26">
        <v>1</v>
      </c>
      <c r="U330" s="26">
        <v>1</v>
      </c>
      <c r="V330" s="26">
        <v>251510</v>
      </c>
      <c r="W330" s="26">
        <f t="shared" si="63"/>
        <v>0</v>
      </c>
      <c r="X330" s="26">
        <f t="shared" si="61"/>
        <v>0</v>
      </c>
      <c r="Y330" s="26">
        <f t="shared" si="64"/>
        <v>0</v>
      </c>
      <c r="Z330" s="26">
        <f t="shared" si="57"/>
        <v>0</v>
      </c>
      <c r="AA330" s="33" t="s">
        <v>15</v>
      </c>
      <c r="AB330" s="36" t="s">
        <v>16</v>
      </c>
      <c r="AC330" s="181">
        <f t="shared" si="54"/>
        <v>1</v>
      </c>
      <c r="AD330" s="181">
        <f t="shared" si="60"/>
        <v>251510</v>
      </c>
      <c r="AE330" s="181">
        <v>1.8</v>
      </c>
      <c r="AF330" s="181">
        <v>1.8</v>
      </c>
      <c r="AG330" s="101" t="str">
        <f t="shared" si="55"/>
        <v/>
      </c>
      <c r="AH330" s="190">
        <v>0</v>
      </c>
      <c r="AI330" s="69">
        <f t="shared" si="56"/>
        <v>1</v>
      </c>
    </row>
    <row r="331" spans="1:35" s="69" customFormat="1" ht="39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 t="s">
        <v>15</v>
      </c>
      <c r="I331" s="75">
        <v>174688.22</v>
      </c>
      <c r="J331" s="75">
        <v>174688.22</v>
      </c>
      <c r="K331" s="91" t="s">
        <v>874</v>
      </c>
      <c r="L331" s="73"/>
      <c r="M331" s="46">
        <v>0</v>
      </c>
      <c r="N331" s="46">
        <v>0</v>
      </c>
      <c r="O331" s="46">
        <v>0</v>
      </c>
      <c r="P331" s="98"/>
      <c r="Q331" s="23" t="s">
        <v>1373</v>
      </c>
      <c r="R331" s="24" t="s">
        <v>873</v>
      </c>
      <c r="S331" s="25" t="s">
        <v>14</v>
      </c>
      <c r="T331" s="26">
        <v>1</v>
      </c>
      <c r="U331" s="26">
        <v>1</v>
      </c>
      <c r="V331" s="26">
        <v>174688.22</v>
      </c>
      <c r="W331" s="26">
        <f t="shared" si="63"/>
        <v>0</v>
      </c>
      <c r="X331" s="26">
        <f t="shared" si="61"/>
        <v>0</v>
      </c>
      <c r="Y331" s="26">
        <f t="shared" si="64"/>
        <v>0</v>
      </c>
      <c r="Z331" s="26">
        <f t="shared" si="57"/>
        <v>0</v>
      </c>
      <c r="AA331" s="33" t="s">
        <v>15</v>
      </c>
      <c r="AB331" s="36" t="s">
        <v>16</v>
      </c>
      <c r="AC331" s="181">
        <f t="shared" ref="AC331:AC412" si="65">IF(U331="",T331,U331)</f>
        <v>1</v>
      </c>
      <c r="AD331" s="181">
        <f t="shared" si="60"/>
        <v>174688.22</v>
      </c>
      <c r="AE331" s="181">
        <v>1.8</v>
      </c>
      <c r="AF331" s="181">
        <v>1.8</v>
      </c>
      <c r="AG331" s="101" t="str">
        <f t="shared" ref="AG331:AG412" si="66">IF(X331&gt;AI331,"超估","")</f>
        <v/>
      </c>
      <c r="AH331" s="190">
        <v>0</v>
      </c>
      <c r="AI331" s="69">
        <f t="shared" ref="AI331:AI394" si="67">IF(G331=0,IF(F331=0,IF(E331=0,D331,E331),F331),G331)</f>
        <v>1</v>
      </c>
    </row>
    <row r="332" spans="1:35" s="69" customFormat="1" ht="39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 t="s">
        <v>15</v>
      </c>
      <c r="I332" s="75">
        <v>21221.84</v>
      </c>
      <c r="J332" s="75">
        <v>21221.84</v>
      </c>
      <c r="K332" s="91" t="s">
        <v>877</v>
      </c>
      <c r="L332" s="73"/>
      <c r="M332" s="46">
        <v>0</v>
      </c>
      <c r="N332" s="46">
        <v>0</v>
      </c>
      <c r="O332" s="46">
        <v>0</v>
      </c>
      <c r="P332" s="98"/>
      <c r="Q332" s="23" t="s">
        <v>1393</v>
      </c>
      <c r="R332" s="24" t="s">
        <v>876</v>
      </c>
      <c r="S332" s="25" t="s">
        <v>14</v>
      </c>
      <c r="T332" s="26">
        <v>1</v>
      </c>
      <c r="U332" s="26">
        <v>1</v>
      </c>
      <c r="V332" s="26">
        <v>21221.84</v>
      </c>
      <c r="W332" s="26">
        <f t="shared" si="63"/>
        <v>0</v>
      </c>
      <c r="X332" s="26">
        <f t="shared" si="61"/>
        <v>0</v>
      </c>
      <c r="Y332" s="26">
        <f t="shared" si="64"/>
        <v>0</v>
      </c>
      <c r="Z332" s="26">
        <f t="shared" ref="Z332:Z368" si="68">ROUND(V332*X332,2)</f>
        <v>0</v>
      </c>
      <c r="AA332" s="33" t="s">
        <v>15</v>
      </c>
      <c r="AB332" s="36" t="s">
        <v>16</v>
      </c>
      <c r="AC332" s="181">
        <f t="shared" si="65"/>
        <v>1</v>
      </c>
      <c r="AD332" s="181">
        <f t="shared" si="60"/>
        <v>21221.84</v>
      </c>
      <c r="AE332" s="181">
        <v>1.8</v>
      </c>
      <c r="AF332" s="181">
        <v>1.8</v>
      </c>
      <c r="AG332" s="101" t="str">
        <f t="shared" si="66"/>
        <v/>
      </c>
      <c r="AH332" s="190">
        <v>0</v>
      </c>
      <c r="AI332" s="69">
        <f t="shared" si="67"/>
        <v>1</v>
      </c>
    </row>
    <row r="333" spans="1:35" s="69" customFormat="1" ht="58.5" x14ac:dyDescent="0.3">
      <c r="A333" s="245" t="s">
        <v>878</v>
      </c>
      <c r="B333" s="118" t="s">
        <v>879</v>
      </c>
      <c r="C333" s="119" t="s">
        <v>3144</v>
      </c>
      <c r="D333" s="120">
        <v>12</v>
      </c>
      <c r="E333" s="75"/>
      <c r="F333" s="75"/>
      <c r="G333" s="75"/>
      <c r="H333" s="75" t="s">
        <v>15</v>
      </c>
      <c r="I333" s="75">
        <v>42800</v>
      </c>
      <c r="J333" s="75">
        <v>513600</v>
      </c>
      <c r="K333" s="91" t="s">
        <v>880</v>
      </c>
      <c r="L333" s="73"/>
      <c r="M333" s="46">
        <v>4</v>
      </c>
      <c r="N333" s="46">
        <v>171200</v>
      </c>
      <c r="O333" s="46">
        <v>171200</v>
      </c>
      <c r="P333" s="98"/>
      <c r="Q333" s="23" t="s">
        <v>1403</v>
      </c>
      <c r="R333" s="24" t="s">
        <v>879</v>
      </c>
      <c r="S333" s="25" t="s">
        <v>81</v>
      </c>
      <c r="T333" s="26">
        <v>12</v>
      </c>
      <c r="U333" s="26">
        <v>12</v>
      </c>
      <c r="V333" s="26">
        <v>42800</v>
      </c>
      <c r="W333" s="128">
        <f t="shared" si="63"/>
        <v>0</v>
      </c>
      <c r="X333" s="26">
        <f t="shared" si="61"/>
        <v>4</v>
      </c>
      <c r="Y333" s="26">
        <f t="shared" si="64"/>
        <v>0</v>
      </c>
      <c r="Z333" s="26">
        <f t="shared" si="68"/>
        <v>171200</v>
      </c>
      <c r="AA333" s="33" t="s">
        <v>15</v>
      </c>
      <c r="AB333" s="36" t="s">
        <v>16</v>
      </c>
      <c r="AC333" s="181">
        <f t="shared" si="65"/>
        <v>12</v>
      </c>
      <c r="AD333" s="181">
        <f t="shared" si="60"/>
        <v>513600</v>
      </c>
      <c r="AE333" s="181">
        <v>1.8</v>
      </c>
      <c r="AF333" s="181">
        <v>1.8</v>
      </c>
      <c r="AG333" s="101" t="str">
        <f t="shared" si="66"/>
        <v/>
      </c>
      <c r="AH333" s="191">
        <v>4</v>
      </c>
      <c r="AI333" s="69">
        <f t="shared" si="67"/>
        <v>12</v>
      </c>
    </row>
    <row r="334" spans="1:35" s="69" customFormat="1" ht="58.5" x14ac:dyDescent="0.3">
      <c r="A334" s="245" t="s">
        <v>881</v>
      </c>
      <c r="B334" s="118" t="s">
        <v>882</v>
      </c>
      <c r="C334" s="119" t="s">
        <v>81</v>
      </c>
      <c r="D334" s="120">
        <v>7</v>
      </c>
      <c r="E334" s="75"/>
      <c r="F334" s="75"/>
      <c r="G334" s="75"/>
      <c r="H334" s="75" t="s">
        <v>15</v>
      </c>
      <c r="I334" s="75">
        <v>60400</v>
      </c>
      <c r="J334" s="75">
        <v>422800</v>
      </c>
      <c r="K334" s="91" t="s">
        <v>883</v>
      </c>
      <c r="L334" s="73"/>
      <c r="M334" s="46">
        <v>5</v>
      </c>
      <c r="N334" s="46">
        <v>302000</v>
      </c>
      <c r="O334" s="46">
        <v>302000</v>
      </c>
      <c r="P334" s="98"/>
      <c r="Q334" s="23" t="s">
        <v>1427</v>
      </c>
      <c r="R334" s="24" t="s">
        <v>882</v>
      </c>
      <c r="S334" s="25" t="s">
        <v>81</v>
      </c>
      <c r="T334" s="26">
        <v>7</v>
      </c>
      <c r="U334" s="26">
        <v>7</v>
      </c>
      <c r="V334" s="26">
        <v>60400</v>
      </c>
      <c r="W334" s="128">
        <f t="shared" si="63"/>
        <v>0</v>
      </c>
      <c r="X334" s="26">
        <f t="shared" si="61"/>
        <v>5</v>
      </c>
      <c r="Y334" s="26">
        <f t="shared" si="64"/>
        <v>0</v>
      </c>
      <c r="Z334" s="26">
        <f t="shared" si="68"/>
        <v>302000</v>
      </c>
      <c r="AA334" s="33" t="s">
        <v>15</v>
      </c>
      <c r="AB334" s="36" t="s">
        <v>16</v>
      </c>
      <c r="AC334" s="181">
        <f t="shared" si="65"/>
        <v>7</v>
      </c>
      <c r="AD334" s="181">
        <f t="shared" si="60"/>
        <v>422800</v>
      </c>
      <c r="AE334" s="181">
        <v>1.8</v>
      </c>
      <c r="AF334" s="181">
        <v>1.8</v>
      </c>
      <c r="AG334" s="101" t="str">
        <f t="shared" si="66"/>
        <v/>
      </c>
      <c r="AH334" s="191">
        <v>5</v>
      </c>
      <c r="AI334" s="69">
        <f t="shared" si="67"/>
        <v>7</v>
      </c>
    </row>
    <row r="335" spans="1:35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 t="s">
        <v>15</v>
      </c>
      <c r="I335" s="75">
        <v>35000</v>
      </c>
      <c r="J335" s="75">
        <v>455000</v>
      </c>
      <c r="K335" s="91" t="s">
        <v>886</v>
      </c>
      <c r="L335" s="73"/>
      <c r="M335" s="46">
        <v>0</v>
      </c>
      <c r="N335" s="46">
        <v>0</v>
      </c>
      <c r="O335" s="46">
        <v>0</v>
      </c>
      <c r="P335" s="98"/>
      <c r="Q335" s="23" t="s">
        <v>1428</v>
      </c>
      <c r="R335" s="24" t="s">
        <v>885</v>
      </c>
      <c r="S335" s="25" t="s">
        <v>81</v>
      </c>
      <c r="T335" s="26">
        <v>13</v>
      </c>
      <c r="U335" s="26">
        <v>13</v>
      </c>
      <c r="V335" s="26">
        <v>35000</v>
      </c>
      <c r="W335" s="26">
        <f t="shared" si="63"/>
        <v>0</v>
      </c>
      <c r="X335" s="26">
        <f t="shared" si="61"/>
        <v>0</v>
      </c>
      <c r="Y335" s="26">
        <f t="shared" si="64"/>
        <v>0</v>
      </c>
      <c r="Z335" s="26">
        <f t="shared" si="68"/>
        <v>0</v>
      </c>
      <c r="AA335" s="33" t="s">
        <v>15</v>
      </c>
      <c r="AB335" s="36" t="s">
        <v>16</v>
      </c>
      <c r="AC335" s="181">
        <f t="shared" si="65"/>
        <v>13</v>
      </c>
      <c r="AD335" s="181">
        <f t="shared" si="60"/>
        <v>455000</v>
      </c>
      <c r="AE335" s="181">
        <v>1.8</v>
      </c>
      <c r="AF335" s="181">
        <v>1.8</v>
      </c>
      <c r="AG335" s="101" t="str">
        <f t="shared" si="66"/>
        <v/>
      </c>
      <c r="AH335" s="190">
        <v>0</v>
      </c>
      <c r="AI335" s="69">
        <f t="shared" si="67"/>
        <v>13</v>
      </c>
    </row>
    <row r="336" spans="1:35" s="69" customFormat="1" ht="58.5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 t="s">
        <v>15</v>
      </c>
      <c r="I336" s="75">
        <v>10000</v>
      </c>
      <c r="J336" s="75">
        <v>130000</v>
      </c>
      <c r="K336" s="91" t="s">
        <v>889</v>
      </c>
      <c r="L336" s="73"/>
      <c r="M336" s="46">
        <v>0</v>
      </c>
      <c r="N336" s="46">
        <v>0</v>
      </c>
      <c r="O336" s="46">
        <v>0</v>
      </c>
      <c r="P336" s="98"/>
      <c r="Q336" s="23" t="s">
        <v>1387</v>
      </c>
      <c r="R336" s="24" t="s">
        <v>888</v>
      </c>
      <c r="S336" s="25" t="s">
        <v>81</v>
      </c>
      <c r="T336" s="26">
        <v>13</v>
      </c>
      <c r="U336" s="26">
        <v>13</v>
      </c>
      <c r="V336" s="26">
        <v>10000</v>
      </c>
      <c r="W336" s="26">
        <f t="shared" si="63"/>
        <v>0</v>
      </c>
      <c r="X336" s="26">
        <f t="shared" si="61"/>
        <v>0</v>
      </c>
      <c r="Y336" s="26">
        <f t="shared" si="64"/>
        <v>0</v>
      </c>
      <c r="Z336" s="26">
        <f t="shared" si="68"/>
        <v>0</v>
      </c>
      <c r="AA336" s="33" t="s">
        <v>15</v>
      </c>
      <c r="AB336" s="36" t="s">
        <v>16</v>
      </c>
      <c r="AC336" s="181">
        <f t="shared" si="65"/>
        <v>13</v>
      </c>
      <c r="AD336" s="181">
        <f t="shared" si="60"/>
        <v>130000</v>
      </c>
      <c r="AE336" s="181">
        <v>1.8</v>
      </c>
      <c r="AF336" s="181">
        <v>1.8</v>
      </c>
      <c r="AG336" s="101" t="str">
        <f t="shared" si="66"/>
        <v/>
      </c>
      <c r="AH336" s="190">
        <v>0</v>
      </c>
      <c r="AI336" s="69">
        <f t="shared" si="67"/>
        <v>13</v>
      </c>
    </row>
    <row r="337" spans="1:35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 t="s">
        <v>15</v>
      </c>
      <c r="I337" s="75">
        <v>1500</v>
      </c>
      <c r="J337" s="75">
        <v>3000</v>
      </c>
      <c r="K337" s="91" t="s">
        <v>892</v>
      </c>
      <c r="L337" s="73"/>
      <c r="M337" s="46">
        <v>0</v>
      </c>
      <c r="N337" s="46">
        <v>0</v>
      </c>
      <c r="O337" s="46">
        <v>0</v>
      </c>
      <c r="P337" s="98"/>
      <c r="Q337" s="23" t="s">
        <v>1405</v>
      </c>
      <c r="R337" s="24" t="s">
        <v>891</v>
      </c>
      <c r="S337" s="25" t="s">
        <v>325</v>
      </c>
      <c r="T337" s="26">
        <v>2</v>
      </c>
      <c r="U337" s="26">
        <v>2</v>
      </c>
      <c r="V337" s="26">
        <v>1500</v>
      </c>
      <c r="W337" s="26">
        <f t="shared" si="63"/>
        <v>0</v>
      </c>
      <c r="X337" s="26">
        <f t="shared" si="61"/>
        <v>0</v>
      </c>
      <c r="Y337" s="26">
        <f t="shared" si="64"/>
        <v>0</v>
      </c>
      <c r="Z337" s="26">
        <f t="shared" si="68"/>
        <v>0</v>
      </c>
      <c r="AA337" s="33" t="s">
        <v>15</v>
      </c>
      <c r="AB337" s="36" t="s">
        <v>16</v>
      </c>
      <c r="AC337" s="181">
        <f t="shared" si="65"/>
        <v>2</v>
      </c>
      <c r="AD337" s="181">
        <f t="shared" si="60"/>
        <v>3000</v>
      </c>
      <c r="AE337" s="181">
        <v>1.8</v>
      </c>
      <c r="AF337" s="181">
        <v>1.8</v>
      </c>
      <c r="AG337" s="101" t="str">
        <f t="shared" si="66"/>
        <v/>
      </c>
      <c r="AH337" s="190">
        <v>0</v>
      </c>
      <c r="AI337" s="69">
        <f t="shared" si="67"/>
        <v>2</v>
      </c>
    </row>
    <row r="338" spans="1:35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 t="s">
        <v>15</v>
      </c>
      <c r="I338" s="75">
        <v>4000</v>
      </c>
      <c r="J338" s="75">
        <v>8000</v>
      </c>
      <c r="K338" s="91" t="s">
        <v>895</v>
      </c>
      <c r="L338" s="73"/>
      <c r="M338" s="46">
        <v>0</v>
      </c>
      <c r="N338" s="46">
        <v>0</v>
      </c>
      <c r="O338" s="46">
        <v>0</v>
      </c>
      <c r="P338" s="98"/>
      <c r="Q338" s="23" t="s">
        <v>1406</v>
      </c>
      <c r="R338" s="24" t="s">
        <v>894</v>
      </c>
      <c r="S338" s="25" t="s">
        <v>325</v>
      </c>
      <c r="T338" s="26">
        <v>2</v>
      </c>
      <c r="U338" s="26">
        <v>2</v>
      </c>
      <c r="V338" s="26">
        <v>4000</v>
      </c>
      <c r="W338" s="26">
        <f t="shared" si="63"/>
        <v>0</v>
      </c>
      <c r="X338" s="26">
        <f t="shared" si="61"/>
        <v>0</v>
      </c>
      <c r="Y338" s="26">
        <f t="shared" si="64"/>
        <v>0</v>
      </c>
      <c r="Z338" s="26">
        <f t="shared" si="68"/>
        <v>0</v>
      </c>
      <c r="AA338" s="33" t="s">
        <v>15</v>
      </c>
      <c r="AB338" s="36" t="s">
        <v>16</v>
      </c>
      <c r="AC338" s="181">
        <f t="shared" si="65"/>
        <v>2</v>
      </c>
      <c r="AD338" s="181">
        <f t="shared" si="60"/>
        <v>8000</v>
      </c>
      <c r="AE338" s="181">
        <v>1.8</v>
      </c>
      <c r="AF338" s="181">
        <v>1.8</v>
      </c>
      <c r="AG338" s="101" t="str">
        <f t="shared" si="66"/>
        <v/>
      </c>
      <c r="AH338" s="190">
        <v>0</v>
      </c>
      <c r="AI338" s="69">
        <f t="shared" si="67"/>
        <v>2</v>
      </c>
    </row>
    <row r="339" spans="1:35" s="69" customFormat="1" ht="33" x14ac:dyDescent="0.3">
      <c r="A339" s="55" t="s">
        <v>896</v>
      </c>
      <c r="B339" s="53" t="s">
        <v>897</v>
      </c>
      <c r="C339" s="54" t="s">
        <v>30</v>
      </c>
      <c r="D339" s="75">
        <v>216.55</v>
      </c>
      <c r="E339" s="75"/>
      <c r="F339" s="75"/>
      <c r="G339" s="75"/>
      <c r="H339" s="75" t="s">
        <v>15</v>
      </c>
      <c r="I339" s="75">
        <v>800</v>
      </c>
      <c r="J339" s="75">
        <v>173240</v>
      </c>
      <c r="K339" s="91" t="s">
        <v>898</v>
      </c>
      <c r="L339" s="73"/>
      <c r="M339" s="46">
        <v>0</v>
      </c>
      <c r="N339" s="46">
        <v>0</v>
      </c>
      <c r="O339" s="46">
        <v>0</v>
      </c>
      <c r="P339" s="98"/>
      <c r="Q339" s="23" t="s">
        <v>1414</v>
      </c>
      <c r="R339" s="24" t="s">
        <v>897</v>
      </c>
      <c r="S339" s="25" t="s">
        <v>30</v>
      </c>
      <c r="T339" s="26">
        <v>216.55</v>
      </c>
      <c r="U339" s="26">
        <v>216.55</v>
      </c>
      <c r="V339" s="26">
        <v>800</v>
      </c>
      <c r="W339" s="26">
        <f t="shared" si="63"/>
        <v>0</v>
      </c>
      <c r="X339" s="26">
        <f t="shared" si="61"/>
        <v>0</v>
      </c>
      <c r="Y339" s="26">
        <f t="shared" si="64"/>
        <v>0</v>
      </c>
      <c r="Z339" s="26">
        <f t="shared" si="68"/>
        <v>0</v>
      </c>
      <c r="AA339" s="33" t="s">
        <v>15</v>
      </c>
      <c r="AB339" s="36" t="s">
        <v>16</v>
      </c>
      <c r="AC339" s="181">
        <f t="shared" si="65"/>
        <v>216.55</v>
      </c>
      <c r="AD339" s="181">
        <f t="shared" si="60"/>
        <v>173240</v>
      </c>
      <c r="AE339" s="181">
        <v>1.8</v>
      </c>
      <c r="AF339" s="181">
        <v>1.8</v>
      </c>
      <c r="AG339" s="101" t="str">
        <f t="shared" si="66"/>
        <v/>
      </c>
      <c r="AH339" s="190">
        <v>0</v>
      </c>
      <c r="AI339" s="69">
        <f t="shared" si="67"/>
        <v>216.55</v>
      </c>
    </row>
    <row r="340" spans="1:35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 t="s">
        <v>15</v>
      </c>
      <c r="I340" s="75">
        <v>11300</v>
      </c>
      <c r="J340" s="75">
        <v>56500</v>
      </c>
      <c r="K340" s="91" t="s">
        <v>901</v>
      </c>
      <c r="L340" s="73"/>
      <c r="M340" s="46">
        <v>0</v>
      </c>
      <c r="N340" s="46">
        <v>0</v>
      </c>
      <c r="O340" s="46">
        <v>0</v>
      </c>
      <c r="P340" s="98"/>
      <c r="Q340" s="23" t="s">
        <v>1429</v>
      </c>
      <c r="R340" s="24" t="s">
        <v>900</v>
      </c>
      <c r="S340" s="25" t="s">
        <v>325</v>
      </c>
      <c r="T340" s="26">
        <v>5</v>
      </c>
      <c r="U340" s="26">
        <v>5</v>
      </c>
      <c r="V340" s="26">
        <v>11300</v>
      </c>
      <c r="W340" s="26">
        <f t="shared" si="63"/>
        <v>0</v>
      </c>
      <c r="X340" s="26">
        <f t="shared" si="61"/>
        <v>0</v>
      </c>
      <c r="Y340" s="26">
        <f t="shared" si="64"/>
        <v>0</v>
      </c>
      <c r="Z340" s="26">
        <f t="shared" si="68"/>
        <v>0</v>
      </c>
      <c r="AA340" s="33" t="s">
        <v>15</v>
      </c>
      <c r="AB340" s="36" t="s">
        <v>16</v>
      </c>
      <c r="AC340" s="181">
        <f t="shared" si="65"/>
        <v>5</v>
      </c>
      <c r="AD340" s="181">
        <f t="shared" si="60"/>
        <v>56500</v>
      </c>
      <c r="AE340" s="181">
        <v>1.8</v>
      </c>
      <c r="AF340" s="181">
        <v>1.8</v>
      </c>
      <c r="AG340" s="101" t="str">
        <f t="shared" si="66"/>
        <v/>
      </c>
      <c r="AH340" s="190">
        <v>0</v>
      </c>
      <c r="AI340" s="69">
        <f t="shared" si="67"/>
        <v>5</v>
      </c>
    </row>
    <row r="341" spans="1:35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 t="s">
        <v>15</v>
      </c>
      <c r="I341" s="75">
        <v>13500</v>
      </c>
      <c r="J341" s="75">
        <v>108000</v>
      </c>
      <c r="K341" s="91" t="s">
        <v>904</v>
      </c>
      <c r="L341" s="73"/>
      <c r="M341" s="46">
        <v>0</v>
      </c>
      <c r="N341" s="46">
        <v>0</v>
      </c>
      <c r="O341" s="46">
        <v>0</v>
      </c>
      <c r="P341" s="98"/>
      <c r="Q341" s="23" t="s">
        <v>1430</v>
      </c>
      <c r="R341" s="24" t="s">
        <v>903</v>
      </c>
      <c r="S341" s="25" t="s">
        <v>325</v>
      </c>
      <c r="T341" s="26">
        <v>8</v>
      </c>
      <c r="U341" s="26">
        <v>8</v>
      </c>
      <c r="V341" s="26">
        <v>13500</v>
      </c>
      <c r="W341" s="26">
        <f t="shared" si="63"/>
        <v>0</v>
      </c>
      <c r="X341" s="26">
        <f t="shared" si="61"/>
        <v>0</v>
      </c>
      <c r="Y341" s="26">
        <f t="shared" si="64"/>
        <v>0</v>
      </c>
      <c r="Z341" s="26">
        <f t="shared" si="68"/>
        <v>0</v>
      </c>
      <c r="AA341" s="33" t="s">
        <v>15</v>
      </c>
      <c r="AB341" s="36" t="s">
        <v>16</v>
      </c>
      <c r="AC341" s="181">
        <f t="shared" si="65"/>
        <v>8</v>
      </c>
      <c r="AD341" s="181">
        <f t="shared" si="60"/>
        <v>108000</v>
      </c>
      <c r="AE341" s="181">
        <v>1.8</v>
      </c>
      <c r="AF341" s="181">
        <v>1.8</v>
      </c>
      <c r="AG341" s="101" t="str">
        <f t="shared" si="66"/>
        <v/>
      </c>
      <c r="AH341" s="190">
        <v>0</v>
      </c>
      <c r="AI341" s="69">
        <f t="shared" si="67"/>
        <v>8</v>
      </c>
    </row>
    <row r="342" spans="1:35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 t="s">
        <v>15</v>
      </c>
      <c r="I342" s="75">
        <v>112963.49</v>
      </c>
      <c r="J342" s="75">
        <v>112963.49</v>
      </c>
      <c r="K342" s="91" t="s">
        <v>907</v>
      </c>
      <c r="L342" s="73"/>
      <c r="M342" s="46">
        <v>0</v>
      </c>
      <c r="N342" s="46">
        <v>0</v>
      </c>
      <c r="O342" s="46">
        <v>0</v>
      </c>
      <c r="P342" s="98"/>
      <c r="Q342" s="23" t="s">
        <v>1431</v>
      </c>
      <c r="R342" s="24" t="s">
        <v>906</v>
      </c>
      <c r="S342" s="25" t="s">
        <v>73</v>
      </c>
      <c r="T342" s="26">
        <v>1</v>
      </c>
      <c r="U342" s="26">
        <v>1</v>
      </c>
      <c r="V342" s="26">
        <v>112963.49</v>
      </c>
      <c r="W342" s="26">
        <f t="shared" si="63"/>
        <v>0</v>
      </c>
      <c r="X342" s="26">
        <f t="shared" si="61"/>
        <v>0</v>
      </c>
      <c r="Y342" s="26">
        <f t="shared" si="64"/>
        <v>0</v>
      </c>
      <c r="Z342" s="26">
        <f t="shared" si="68"/>
        <v>0</v>
      </c>
      <c r="AA342" s="33" t="s">
        <v>15</v>
      </c>
      <c r="AB342" s="36" t="s">
        <v>16</v>
      </c>
      <c r="AC342" s="181">
        <f t="shared" si="65"/>
        <v>1</v>
      </c>
      <c r="AD342" s="181">
        <f t="shared" si="60"/>
        <v>112963.49</v>
      </c>
      <c r="AE342" s="181">
        <v>1.8</v>
      </c>
      <c r="AF342" s="181">
        <v>1.8</v>
      </c>
      <c r="AG342" s="101" t="str">
        <f t="shared" si="66"/>
        <v/>
      </c>
      <c r="AH342" s="190">
        <v>0</v>
      </c>
      <c r="AI342" s="69">
        <f t="shared" si="67"/>
        <v>1</v>
      </c>
    </row>
    <row r="343" spans="1:35" s="69" customFormat="1" ht="33" x14ac:dyDescent="0.3">
      <c r="A343" s="246" t="s">
        <v>908</v>
      </c>
      <c r="B343" s="247" t="s">
        <v>909</v>
      </c>
      <c r="C343" s="248" t="s">
        <v>14</v>
      </c>
      <c r="D343" s="249">
        <v>1</v>
      </c>
      <c r="E343" s="75"/>
      <c r="F343" s="75"/>
      <c r="G343" s="75"/>
      <c r="H343" s="75" t="s">
        <v>15</v>
      </c>
      <c r="I343" s="75">
        <v>322500</v>
      </c>
      <c r="J343" s="75">
        <v>322500</v>
      </c>
      <c r="K343" s="91" t="s">
        <v>910</v>
      </c>
      <c r="L343" s="73"/>
      <c r="M343" s="46">
        <v>0</v>
      </c>
      <c r="N343" s="46">
        <v>0</v>
      </c>
      <c r="O343" s="46">
        <v>0</v>
      </c>
      <c r="P343" s="98"/>
      <c r="Q343" s="23" t="s">
        <v>1395</v>
      </c>
      <c r="R343" s="24" t="s">
        <v>909</v>
      </c>
      <c r="S343" s="25" t="s">
        <v>14</v>
      </c>
      <c r="T343" s="26">
        <v>1</v>
      </c>
      <c r="U343" s="26">
        <v>1</v>
      </c>
      <c r="V343" s="26">
        <v>322500</v>
      </c>
      <c r="W343" s="26">
        <f t="shared" si="63"/>
        <v>0</v>
      </c>
      <c r="X343" s="26">
        <f t="shared" si="61"/>
        <v>0</v>
      </c>
      <c r="Y343" s="26">
        <f t="shared" si="64"/>
        <v>0</v>
      </c>
      <c r="Z343" s="26">
        <f t="shared" si="68"/>
        <v>0</v>
      </c>
      <c r="AA343" s="33" t="s">
        <v>15</v>
      </c>
      <c r="AB343" s="36" t="s">
        <v>16</v>
      </c>
      <c r="AC343" s="181">
        <f t="shared" si="65"/>
        <v>1</v>
      </c>
      <c r="AD343" s="181">
        <f t="shared" si="60"/>
        <v>322500</v>
      </c>
      <c r="AE343" s="181">
        <v>1.8</v>
      </c>
      <c r="AF343" s="181">
        <v>1.8</v>
      </c>
      <c r="AG343" s="101" t="str">
        <f t="shared" si="66"/>
        <v/>
      </c>
      <c r="AH343" s="190">
        <v>0</v>
      </c>
      <c r="AI343" s="69">
        <f t="shared" si="67"/>
        <v>1</v>
      </c>
    </row>
    <row r="344" spans="1:35" s="69" customFormat="1" ht="33" x14ac:dyDescent="0.3">
      <c r="A344" s="246" t="s">
        <v>911</v>
      </c>
      <c r="B344" s="247" t="s">
        <v>912</v>
      </c>
      <c r="C344" s="248" t="s">
        <v>325</v>
      </c>
      <c r="D344" s="249">
        <v>7</v>
      </c>
      <c r="E344" s="75"/>
      <c r="F344" s="75"/>
      <c r="G344" s="75"/>
      <c r="H344" s="75" t="s">
        <v>15</v>
      </c>
      <c r="I344" s="75">
        <v>15500</v>
      </c>
      <c r="J344" s="75">
        <v>108500</v>
      </c>
      <c r="K344" s="91" t="s">
        <v>913</v>
      </c>
      <c r="L344" s="73"/>
      <c r="M344" s="46">
        <v>0</v>
      </c>
      <c r="N344" s="46">
        <v>0</v>
      </c>
      <c r="O344" s="46">
        <v>0</v>
      </c>
      <c r="P344" s="98"/>
      <c r="Q344" s="23" t="s">
        <v>1432</v>
      </c>
      <c r="R344" s="24" t="s">
        <v>912</v>
      </c>
      <c r="S344" s="25" t="s">
        <v>325</v>
      </c>
      <c r="T344" s="26">
        <v>7</v>
      </c>
      <c r="U344" s="26">
        <v>7</v>
      </c>
      <c r="V344" s="26">
        <v>15500</v>
      </c>
      <c r="W344" s="26">
        <f t="shared" si="63"/>
        <v>0</v>
      </c>
      <c r="X344" s="26">
        <f t="shared" si="61"/>
        <v>0</v>
      </c>
      <c r="Y344" s="26">
        <f t="shared" si="64"/>
        <v>0</v>
      </c>
      <c r="Z344" s="26">
        <f t="shared" si="68"/>
        <v>0</v>
      </c>
      <c r="AA344" s="33" t="s">
        <v>15</v>
      </c>
      <c r="AB344" s="36" t="s">
        <v>16</v>
      </c>
      <c r="AC344" s="181">
        <f t="shared" si="65"/>
        <v>7</v>
      </c>
      <c r="AD344" s="181">
        <f t="shared" si="60"/>
        <v>108500</v>
      </c>
      <c r="AE344" s="181">
        <v>1.8</v>
      </c>
      <c r="AF344" s="181">
        <v>1.8</v>
      </c>
      <c r="AG344" s="101" t="str">
        <f t="shared" si="66"/>
        <v/>
      </c>
      <c r="AH344" s="190">
        <v>0</v>
      </c>
      <c r="AI344" s="69">
        <f t="shared" si="67"/>
        <v>7</v>
      </c>
    </row>
    <row r="345" spans="1:35" s="69" customFormat="1" ht="33" x14ac:dyDescent="0.3">
      <c r="A345" s="246" t="s">
        <v>914</v>
      </c>
      <c r="B345" s="247" t="s">
        <v>915</v>
      </c>
      <c r="C345" s="248" t="s">
        <v>325</v>
      </c>
      <c r="D345" s="249">
        <v>2</v>
      </c>
      <c r="E345" s="75"/>
      <c r="F345" s="75"/>
      <c r="G345" s="75"/>
      <c r="H345" s="75" t="s">
        <v>15</v>
      </c>
      <c r="I345" s="75">
        <v>113300</v>
      </c>
      <c r="J345" s="75">
        <v>226600</v>
      </c>
      <c r="K345" s="91" t="s">
        <v>916</v>
      </c>
      <c r="L345" s="73"/>
      <c r="M345" s="46">
        <v>0</v>
      </c>
      <c r="N345" s="46">
        <v>0</v>
      </c>
      <c r="O345" s="46">
        <v>0</v>
      </c>
      <c r="P345" s="98"/>
      <c r="Q345" s="23" t="s">
        <v>1433</v>
      </c>
      <c r="R345" s="24" t="s">
        <v>915</v>
      </c>
      <c r="S345" s="25" t="s">
        <v>325</v>
      </c>
      <c r="T345" s="26">
        <v>2</v>
      </c>
      <c r="U345" s="26">
        <v>2</v>
      </c>
      <c r="V345" s="26">
        <v>113300</v>
      </c>
      <c r="W345" s="26">
        <f t="shared" si="63"/>
        <v>0</v>
      </c>
      <c r="X345" s="26">
        <f t="shared" si="61"/>
        <v>0</v>
      </c>
      <c r="Y345" s="26">
        <f t="shared" si="64"/>
        <v>0</v>
      </c>
      <c r="Z345" s="26">
        <f t="shared" si="68"/>
        <v>0</v>
      </c>
      <c r="AA345" s="33" t="s">
        <v>15</v>
      </c>
      <c r="AB345" s="36" t="s">
        <v>16</v>
      </c>
      <c r="AC345" s="181">
        <f t="shared" si="65"/>
        <v>2</v>
      </c>
      <c r="AD345" s="181">
        <f t="shared" si="60"/>
        <v>226600</v>
      </c>
      <c r="AE345" s="181">
        <v>1.8</v>
      </c>
      <c r="AF345" s="181">
        <v>1.8</v>
      </c>
      <c r="AG345" s="101" t="str">
        <f t="shared" si="66"/>
        <v/>
      </c>
      <c r="AH345" s="190">
        <v>0</v>
      </c>
      <c r="AI345" s="69">
        <f t="shared" si="67"/>
        <v>2</v>
      </c>
    </row>
    <row r="346" spans="1:35" s="69" customFormat="1" ht="33" x14ac:dyDescent="0.3">
      <c r="A346" s="55" t="s">
        <v>917</v>
      </c>
      <c r="B346" s="53" t="s">
        <v>918</v>
      </c>
      <c r="C346" s="54" t="s">
        <v>325</v>
      </c>
      <c r="D346" s="75">
        <v>9</v>
      </c>
      <c r="E346" s="75"/>
      <c r="F346" s="75"/>
      <c r="G346" s="75"/>
      <c r="H346" s="75" t="s">
        <v>15</v>
      </c>
      <c r="I346" s="75">
        <v>100000</v>
      </c>
      <c r="J346" s="75">
        <v>900000</v>
      </c>
      <c r="K346" s="91" t="s">
        <v>919</v>
      </c>
      <c r="L346" s="73"/>
      <c r="M346" s="46">
        <v>1</v>
      </c>
      <c r="N346" s="46">
        <v>100000</v>
      </c>
      <c r="O346" s="46">
        <v>100000</v>
      </c>
      <c r="P346" s="98"/>
      <c r="Q346" s="23" t="s">
        <v>1382</v>
      </c>
      <c r="R346" s="24" t="s">
        <v>918</v>
      </c>
      <c r="S346" s="25" t="s">
        <v>325</v>
      </c>
      <c r="T346" s="26">
        <v>9</v>
      </c>
      <c r="U346" s="26">
        <v>9</v>
      </c>
      <c r="V346" s="26">
        <v>100000</v>
      </c>
      <c r="W346" s="128">
        <f t="shared" si="63"/>
        <v>2</v>
      </c>
      <c r="X346" s="26">
        <f t="shared" si="61"/>
        <v>3</v>
      </c>
      <c r="Y346" s="26">
        <f t="shared" si="64"/>
        <v>200000</v>
      </c>
      <c r="Z346" s="26">
        <f t="shared" si="68"/>
        <v>300000</v>
      </c>
      <c r="AA346" s="33" t="s">
        <v>15</v>
      </c>
      <c r="AB346" s="36" t="s">
        <v>16</v>
      </c>
      <c r="AC346" s="181">
        <f t="shared" si="65"/>
        <v>9</v>
      </c>
      <c r="AD346" s="181">
        <f t="shared" si="60"/>
        <v>900000</v>
      </c>
      <c r="AE346" s="181">
        <v>1.8</v>
      </c>
      <c r="AF346" s="181">
        <v>1.8</v>
      </c>
      <c r="AG346" s="101" t="str">
        <f t="shared" si="66"/>
        <v/>
      </c>
      <c r="AH346" s="191">
        <f>1+2</f>
        <v>3</v>
      </c>
      <c r="AI346" s="69">
        <f t="shared" si="67"/>
        <v>9</v>
      </c>
    </row>
    <row r="347" spans="1:35" s="69" customFormat="1" ht="33" x14ac:dyDescent="0.3">
      <c r="A347" s="55" t="s">
        <v>920</v>
      </c>
      <c r="B347" s="53" t="s">
        <v>921</v>
      </c>
      <c r="C347" s="54" t="s">
        <v>81</v>
      </c>
      <c r="D347" s="75">
        <v>2</v>
      </c>
      <c r="E347" s="75"/>
      <c r="F347" s="75"/>
      <c r="G347" s="75"/>
      <c r="H347" s="75" t="s">
        <v>15</v>
      </c>
      <c r="I347" s="75">
        <v>15000</v>
      </c>
      <c r="J347" s="75">
        <v>30000</v>
      </c>
      <c r="K347" s="91" t="s">
        <v>922</v>
      </c>
      <c r="L347" s="73"/>
      <c r="M347" s="46">
        <v>1</v>
      </c>
      <c r="N347" s="46">
        <v>15000</v>
      </c>
      <c r="O347" s="46">
        <v>15000</v>
      </c>
      <c r="P347" s="98"/>
      <c r="Q347" s="23" t="s">
        <v>1434</v>
      </c>
      <c r="R347" s="24" t="s">
        <v>921</v>
      </c>
      <c r="S347" s="25" t="s">
        <v>81</v>
      </c>
      <c r="T347" s="26">
        <v>2</v>
      </c>
      <c r="U347" s="26">
        <v>2</v>
      </c>
      <c r="V347" s="26">
        <v>15000</v>
      </c>
      <c r="W347" s="128">
        <f t="shared" si="63"/>
        <v>0</v>
      </c>
      <c r="X347" s="26">
        <f t="shared" si="61"/>
        <v>1</v>
      </c>
      <c r="Y347" s="26">
        <f t="shared" si="64"/>
        <v>0</v>
      </c>
      <c r="Z347" s="26">
        <f t="shared" si="68"/>
        <v>15000</v>
      </c>
      <c r="AA347" s="33" t="s">
        <v>15</v>
      </c>
      <c r="AB347" s="36" t="s">
        <v>16</v>
      </c>
      <c r="AC347" s="181">
        <f t="shared" si="65"/>
        <v>2</v>
      </c>
      <c r="AD347" s="181">
        <f t="shared" si="60"/>
        <v>30000</v>
      </c>
      <c r="AE347" s="181">
        <v>1.8</v>
      </c>
      <c r="AF347" s="181">
        <v>1.8</v>
      </c>
      <c r="AG347" s="101" t="str">
        <f t="shared" si="66"/>
        <v/>
      </c>
      <c r="AH347" s="191">
        <v>1</v>
      </c>
      <c r="AI347" s="69">
        <f t="shared" si="67"/>
        <v>2</v>
      </c>
    </row>
    <row r="348" spans="1:35" s="69" customFormat="1" ht="39" x14ac:dyDescent="0.3">
      <c r="A348" s="55" t="s">
        <v>923</v>
      </c>
      <c r="B348" s="53" t="s">
        <v>924</v>
      </c>
      <c r="C348" s="54" t="s">
        <v>925</v>
      </c>
      <c r="D348" s="75">
        <v>1</v>
      </c>
      <c r="E348" s="75"/>
      <c r="F348" s="75"/>
      <c r="G348" s="75"/>
      <c r="H348" s="75" t="s">
        <v>15</v>
      </c>
      <c r="I348" s="75">
        <v>15000</v>
      </c>
      <c r="J348" s="75">
        <v>15000</v>
      </c>
      <c r="K348" s="91" t="s">
        <v>926</v>
      </c>
      <c r="L348" s="73"/>
      <c r="M348" s="46">
        <v>0</v>
      </c>
      <c r="N348" s="46">
        <v>0</v>
      </c>
      <c r="O348" s="46">
        <v>0</v>
      </c>
      <c r="P348" s="98"/>
      <c r="Q348" s="23" t="s">
        <v>1388</v>
      </c>
      <c r="R348" s="24" t="s">
        <v>924</v>
      </c>
      <c r="S348" s="25" t="s">
        <v>925</v>
      </c>
      <c r="T348" s="26">
        <v>1</v>
      </c>
      <c r="U348" s="26">
        <v>1</v>
      </c>
      <c r="V348" s="26">
        <v>15000</v>
      </c>
      <c r="W348" s="26">
        <f t="shared" si="63"/>
        <v>0</v>
      </c>
      <c r="X348" s="26">
        <f t="shared" si="61"/>
        <v>0</v>
      </c>
      <c r="Y348" s="26">
        <f t="shared" si="64"/>
        <v>0</v>
      </c>
      <c r="Z348" s="26">
        <f t="shared" si="68"/>
        <v>0</v>
      </c>
      <c r="AA348" s="33" t="s">
        <v>15</v>
      </c>
      <c r="AB348" s="36" t="s">
        <v>16</v>
      </c>
      <c r="AC348" s="181">
        <f t="shared" si="65"/>
        <v>1</v>
      </c>
      <c r="AD348" s="181">
        <f t="shared" si="60"/>
        <v>15000</v>
      </c>
      <c r="AE348" s="181">
        <v>1.8</v>
      </c>
      <c r="AF348" s="181">
        <v>1.8</v>
      </c>
      <c r="AG348" s="101" t="str">
        <f t="shared" si="66"/>
        <v/>
      </c>
      <c r="AH348" s="190">
        <v>0</v>
      </c>
      <c r="AI348" s="69">
        <f t="shared" si="67"/>
        <v>1</v>
      </c>
    </row>
    <row r="349" spans="1:35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 t="s">
        <v>15</v>
      </c>
      <c r="I349" s="75">
        <v>1500</v>
      </c>
      <c r="J349" s="75">
        <v>1500</v>
      </c>
      <c r="K349" s="91" t="s">
        <v>929</v>
      </c>
      <c r="L349" s="73"/>
      <c r="M349" s="46">
        <v>0</v>
      </c>
      <c r="N349" s="46">
        <v>0</v>
      </c>
      <c r="O349" s="46">
        <v>0</v>
      </c>
      <c r="P349" s="98"/>
      <c r="Q349" s="23" t="s">
        <v>1389</v>
      </c>
      <c r="R349" s="24" t="s">
        <v>928</v>
      </c>
      <c r="S349" s="25" t="s">
        <v>325</v>
      </c>
      <c r="T349" s="26">
        <v>1</v>
      </c>
      <c r="U349" s="26">
        <v>1</v>
      </c>
      <c r="V349" s="26">
        <v>1500</v>
      </c>
      <c r="W349" s="26">
        <f t="shared" si="63"/>
        <v>0</v>
      </c>
      <c r="X349" s="26">
        <f t="shared" si="61"/>
        <v>0</v>
      </c>
      <c r="Y349" s="26">
        <f t="shared" si="64"/>
        <v>0</v>
      </c>
      <c r="Z349" s="26">
        <f t="shared" si="68"/>
        <v>0</v>
      </c>
      <c r="AA349" s="33" t="s">
        <v>15</v>
      </c>
      <c r="AB349" s="36" t="s">
        <v>16</v>
      </c>
      <c r="AC349" s="181">
        <f t="shared" si="65"/>
        <v>1</v>
      </c>
      <c r="AD349" s="181">
        <f t="shared" si="60"/>
        <v>1500</v>
      </c>
      <c r="AE349" s="181">
        <v>1.8</v>
      </c>
      <c r="AF349" s="181">
        <v>1.8</v>
      </c>
      <c r="AG349" s="101" t="str">
        <f t="shared" si="66"/>
        <v/>
      </c>
      <c r="AH349" s="190">
        <v>0</v>
      </c>
      <c r="AI349" s="69">
        <f t="shared" si="67"/>
        <v>1</v>
      </c>
    </row>
    <row r="350" spans="1:35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 t="s">
        <v>15</v>
      </c>
      <c r="I350" s="75">
        <v>2600</v>
      </c>
      <c r="J350" s="75">
        <v>7800</v>
      </c>
      <c r="K350" s="91" t="s">
        <v>933</v>
      </c>
      <c r="L350" s="73"/>
      <c r="M350" s="46">
        <v>0</v>
      </c>
      <c r="N350" s="46">
        <v>0</v>
      </c>
      <c r="O350" s="46">
        <v>0</v>
      </c>
      <c r="P350" s="98"/>
      <c r="Q350" s="23" t="s">
        <v>1390</v>
      </c>
      <c r="R350" s="24" t="s">
        <v>931</v>
      </c>
      <c r="S350" s="25" t="s">
        <v>932</v>
      </c>
      <c r="T350" s="26">
        <v>3</v>
      </c>
      <c r="U350" s="26">
        <v>3</v>
      </c>
      <c r="V350" s="26">
        <v>2600</v>
      </c>
      <c r="W350" s="26">
        <f t="shared" si="63"/>
        <v>0</v>
      </c>
      <c r="X350" s="26">
        <f t="shared" si="61"/>
        <v>0</v>
      </c>
      <c r="Y350" s="26">
        <f t="shared" si="64"/>
        <v>0</v>
      </c>
      <c r="Z350" s="26">
        <f t="shared" si="68"/>
        <v>0</v>
      </c>
      <c r="AA350" s="33" t="s">
        <v>15</v>
      </c>
      <c r="AB350" s="36" t="s">
        <v>16</v>
      </c>
      <c r="AC350" s="181">
        <f t="shared" si="65"/>
        <v>3</v>
      </c>
      <c r="AD350" s="181">
        <f t="shared" si="60"/>
        <v>7800</v>
      </c>
      <c r="AE350" s="181">
        <v>1.8</v>
      </c>
      <c r="AF350" s="181">
        <v>1.8</v>
      </c>
      <c r="AG350" s="101" t="str">
        <f t="shared" si="66"/>
        <v/>
      </c>
      <c r="AH350" s="190">
        <v>0</v>
      </c>
      <c r="AI350" s="69">
        <f t="shared" si="67"/>
        <v>3</v>
      </c>
    </row>
    <row r="351" spans="1:35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 t="s">
        <v>15</v>
      </c>
      <c r="I351" s="75">
        <v>4460</v>
      </c>
      <c r="J351" s="75">
        <v>169480</v>
      </c>
      <c r="K351" s="91" t="s">
        <v>936</v>
      </c>
      <c r="L351" s="73"/>
      <c r="M351" s="46">
        <v>0</v>
      </c>
      <c r="N351" s="46">
        <v>0</v>
      </c>
      <c r="O351" s="46">
        <v>0</v>
      </c>
      <c r="P351" s="98"/>
      <c r="Q351" s="23" t="s">
        <v>1391</v>
      </c>
      <c r="R351" s="24" t="s">
        <v>935</v>
      </c>
      <c r="S351" s="25" t="s">
        <v>932</v>
      </c>
      <c r="T351" s="26">
        <v>38</v>
      </c>
      <c r="U351" s="26">
        <v>38</v>
      </c>
      <c r="V351" s="26">
        <v>4460</v>
      </c>
      <c r="W351" s="26">
        <f t="shared" si="63"/>
        <v>0</v>
      </c>
      <c r="X351" s="26">
        <f t="shared" si="61"/>
        <v>0</v>
      </c>
      <c r="Y351" s="26">
        <f t="shared" si="64"/>
        <v>0</v>
      </c>
      <c r="Z351" s="26">
        <f t="shared" si="68"/>
        <v>0</v>
      </c>
      <c r="AA351" s="33" t="s">
        <v>15</v>
      </c>
      <c r="AB351" s="36" t="s">
        <v>16</v>
      </c>
      <c r="AC351" s="181">
        <f t="shared" si="65"/>
        <v>38</v>
      </c>
      <c r="AD351" s="181">
        <f t="shared" si="60"/>
        <v>169480</v>
      </c>
      <c r="AE351" s="181">
        <v>1.8</v>
      </c>
      <c r="AF351" s="181">
        <v>1.8</v>
      </c>
      <c r="AG351" s="101" t="str">
        <f t="shared" si="66"/>
        <v/>
      </c>
      <c r="AH351" s="190">
        <v>0</v>
      </c>
      <c r="AI351" s="69">
        <f t="shared" si="67"/>
        <v>38</v>
      </c>
    </row>
    <row r="352" spans="1:35" s="69" customFormat="1" ht="39" x14ac:dyDescent="0.3">
      <c r="A352" s="55" t="s">
        <v>937</v>
      </c>
      <c r="B352" s="118" t="s">
        <v>938</v>
      </c>
      <c r="C352" s="119" t="s">
        <v>30</v>
      </c>
      <c r="D352" s="120">
        <v>1352</v>
      </c>
      <c r="E352" s="75"/>
      <c r="F352" s="75"/>
      <c r="G352" s="75"/>
      <c r="H352" s="75" t="s">
        <v>15</v>
      </c>
      <c r="I352" s="75">
        <v>30.59</v>
      </c>
      <c r="J352" s="75">
        <v>41357.68</v>
      </c>
      <c r="K352" s="91" t="s">
        <v>939</v>
      </c>
      <c r="L352" s="73"/>
      <c r="M352" s="46">
        <v>0</v>
      </c>
      <c r="N352" s="46">
        <v>0</v>
      </c>
      <c r="O352" s="46">
        <v>0</v>
      </c>
      <c r="P352" s="98"/>
      <c r="Q352" s="23" t="s">
        <v>1436</v>
      </c>
      <c r="R352" s="24" t="s">
        <v>938</v>
      </c>
      <c r="S352" s="25" t="s">
        <v>30</v>
      </c>
      <c r="T352" s="26">
        <v>1352</v>
      </c>
      <c r="U352" s="26">
        <v>1352</v>
      </c>
      <c r="V352" s="26">
        <v>30.59</v>
      </c>
      <c r="W352" s="26">
        <f t="shared" si="63"/>
        <v>0</v>
      </c>
      <c r="X352" s="26">
        <f t="shared" si="61"/>
        <v>0</v>
      </c>
      <c r="Y352" s="26">
        <f t="shared" si="64"/>
        <v>0</v>
      </c>
      <c r="Z352" s="26">
        <f t="shared" si="68"/>
        <v>0</v>
      </c>
      <c r="AA352" s="33" t="s">
        <v>15</v>
      </c>
      <c r="AB352" s="36" t="s">
        <v>16</v>
      </c>
      <c r="AC352" s="181">
        <f t="shared" si="65"/>
        <v>1352</v>
      </c>
      <c r="AD352" s="181">
        <f t="shared" si="60"/>
        <v>41357.68</v>
      </c>
      <c r="AE352" s="181">
        <v>1.8</v>
      </c>
      <c r="AF352" s="181">
        <v>1.8</v>
      </c>
      <c r="AG352" s="101" t="str">
        <f t="shared" si="66"/>
        <v/>
      </c>
      <c r="AH352" s="190">
        <v>0</v>
      </c>
      <c r="AI352" s="69">
        <f t="shared" si="67"/>
        <v>1352</v>
      </c>
    </row>
    <row r="353" spans="1:35" s="69" customFormat="1" ht="58.5" x14ac:dyDescent="0.3">
      <c r="A353" s="55" t="s">
        <v>940</v>
      </c>
      <c r="B353" s="118" t="s">
        <v>941</v>
      </c>
      <c r="C353" s="119" t="s">
        <v>30</v>
      </c>
      <c r="D353" s="120">
        <v>300</v>
      </c>
      <c r="E353" s="75"/>
      <c r="F353" s="75"/>
      <c r="G353" s="75"/>
      <c r="H353" s="75" t="s">
        <v>15</v>
      </c>
      <c r="I353" s="75">
        <v>972.45</v>
      </c>
      <c r="J353" s="75">
        <v>291735</v>
      </c>
      <c r="K353" s="91" t="s">
        <v>942</v>
      </c>
      <c r="L353" s="73"/>
      <c r="M353" s="46">
        <v>0</v>
      </c>
      <c r="N353" s="46">
        <v>0</v>
      </c>
      <c r="O353" s="46">
        <v>0</v>
      </c>
      <c r="P353" s="98"/>
      <c r="Q353" s="23" t="s">
        <v>1374</v>
      </c>
      <c r="R353" s="24" t="s">
        <v>941</v>
      </c>
      <c r="S353" s="25" t="s">
        <v>30</v>
      </c>
      <c r="T353" s="26">
        <v>300</v>
      </c>
      <c r="U353" s="26">
        <v>300</v>
      </c>
      <c r="V353" s="26">
        <v>972.45</v>
      </c>
      <c r="W353" s="26">
        <f t="shared" si="63"/>
        <v>0</v>
      </c>
      <c r="X353" s="26">
        <f t="shared" si="61"/>
        <v>0</v>
      </c>
      <c r="Y353" s="26">
        <f t="shared" si="64"/>
        <v>0</v>
      </c>
      <c r="Z353" s="26">
        <f t="shared" si="68"/>
        <v>0</v>
      </c>
      <c r="AA353" s="33" t="s">
        <v>15</v>
      </c>
      <c r="AB353" s="36" t="s">
        <v>16</v>
      </c>
      <c r="AC353" s="181">
        <f t="shared" si="65"/>
        <v>300</v>
      </c>
      <c r="AD353" s="181">
        <f t="shared" si="60"/>
        <v>291735</v>
      </c>
      <c r="AE353" s="181">
        <v>1.8</v>
      </c>
      <c r="AF353" s="181">
        <v>1.8</v>
      </c>
      <c r="AG353" s="101" t="str">
        <f t="shared" si="66"/>
        <v/>
      </c>
      <c r="AH353" s="190">
        <v>0</v>
      </c>
      <c r="AI353" s="69">
        <f t="shared" si="67"/>
        <v>300</v>
      </c>
    </row>
    <row r="354" spans="1:35" s="69" customFormat="1" ht="58.5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 t="s">
        <v>15</v>
      </c>
      <c r="I354" s="75">
        <v>628.34</v>
      </c>
      <c r="J354" s="75">
        <v>158341.68</v>
      </c>
      <c r="K354" s="91" t="s">
        <v>945</v>
      </c>
      <c r="L354" s="73"/>
      <c r="M354" s="46">
        <v>0</v>
      </c>
      <c r="N354" s="46">
        <v>0</v>
      </c>
      <c r="O354" s="46">
        <v>0</v>
      </c>
      <c r="P354" s="98"/>
      <c r="Q354" s="23" t="s">
        <v>1376</v>
      </c>
      <c r="R354" s="24" t="s">
        <v>944</v>
      </c>
      <c r="S354" s="25" t="s">
        <v>30</v>
      </c>
      <c r="T354" s="26">
        <v>252</v>
      </c>
      <c r="U354" s="26">
        <v>252</v>
      </c>
      <c r="V354" s="26">
        <v>628.34</v>
      </c>
      <c r="W354" s="26">
        <f t="shared" si="63"/>
        <v>0</v>
      </c>
      <c r="X354" s="26">
        <f t="shared" si="61"/>
        <v>0</v>
      </c>
      <c r="Y354" s="26">
        <f t="shared" si="64"/>
        <v>0</v>
      </c>
      <c r="Z354" s="26">
        <f t="shared" si="68"/>
        <v>0</v>
      </c>
      <c r="AA354" s="33" t="s">
        <v>15</v>
      </c>
      <c r="AB354" s="36" t="s">
        <v>16</v>
      </c>
      <c r="AC354" s="181">
        <f t="shared" si="65"/>
        <v>252</v>
      </c>
      <c r="AD354" s="181">
        <f t="shared" si="60"/>
        <v>158341.68</v>
      </c>
      <c r="AE354" s="181">
        <v>1.8</v>
      </c>
      <c r="AF354" s="181">
        <v>1.8</v>
      </c>
      <c r="AG354" s="101" t="str">
        <f t="shared" si="66"/>
        <v/>
      </c>
      <c r="AH354" s="190">
        <v>0</v>
      </c>
      <c r="AI354" s="69">
        <f t="shared" si="67"/>
        <v>252</v>
      </c>
    </row>
    <row r="355" spans="1:35" s="69" customFormat="1" ht="58.5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 t="s">
        <v>15</v>
      </c>
      <c r="I355" s="75">
        <v>497.09</v>
      </c>
      <c r="J355" s="75">
        <v>17895.240000000002</v>
      </c>
      <c r="K355" s="91" t="s">
        <v>948</v>
      </c>
      <c r="L355" s="73"/>
      <c r="M355" s="46">
        <v>0</v>
      </c>
      <c r="N355" s="46">
        <v>0</v>
      </c>
      <c r="O355" s="46">
        <v>0</v>
      </c>
      <c r="P355" s="98"/>
      <c r="Q355" s="23" t="s">
        <v>1378</v>
      </c>
      <c r="R355" s="24" t="s">
        <v>947</v>
      </c>
      <c r="S355" s="25" t="s">
        <v>30</v>
      </c>
      <c r="T355" s="26">
        <v>36</v>
      </c>
      <c r="U355" s="26">
        <v>36</v>
      </c>
      <c r="V355" s="26">
        <v>497.09</v>
      </c>
      <c r="W355" s="26">
        <f t="shared" si="63"/>
        <v>0</v>
      </c>
      <c r="X355" s="26">
        <f t="shared" si="61"/>
        <v>0</v>
      </c>
      <c r="Y355" s="26">
        <f t="shared" si="64"/>
        <v>0</v>
      </c>
      <c r="Z355" s="26">
        <f t="shared" si="68"/>
        <v>0</v>
      </c>
      <c r="AA355" s="33" t="s">
        <v>15</v>
      </c>
      <c r="AB355" s="36" t="s">
        <v>16</v>
      </c>
      <c r="AC355" s="181">
        <f t="shared" si="65"/>
        <v>36</v>
      </c>
      <c r="AD355" s="181">
        <f t="shared" si="60"/>
        <v>17895.240000000002</v>
      </c>
      <c r="AE355" s="181">
        <v>1.8</v>
      </c>
      <c r="AF355" s="181">
        <v>1.8</v>
      </c>
      <c r="AG355" s="101" t="str">
        <f t="shared" si="66"/>
        <v/>
      </c>
      <c r="AH355" s="190">
        <v>0</v>
      </c>
      <c r="AI355" s="69">
        <f t="shared" si="67"/>
        <v>36</v>
      </c>
    </row>
    <row r="356" spans="1:35" s="69" customFormat="1" ht="58.5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 t="s">
        <v>15</v>
      </c>
      <c r="I356" s="75">
        <v>270.2</v>
      </c>
      <c r="J356" s="75">
        <v>42961.8</v>
      </c>
      <c r="K356" s="91" t="s">
        <v>951</v>
      </c>
      <c r="L356" s="73"/>
      <c r="M356" s="46">
        <v>0</v>
      </c>
      <c r="N356" s="46">
        <v>0</v>
      </c>
      <c r="O356" s="46">
        <v>0</v>
      </c>
      <c r="P356" s="98"/>
      <c r="Q356" s="23" t="s">
        <v>1438</v>
      </c>
      <c r="R356" s="24" t="s">
        <v>950</v>
      </c>
      <c r="S356" s="25" t="s">
        <v>30</v>
      </c>
      <c r="T356" s="26">
        <v>159</v>
      </c>
      <c r="U356" s="26">
        <v>159</v>
      </c>
      <c r="V356" s="26">
        <v>270.2</v>
      </c>
      <c r="W356" s="26">
        <f t="shared" si="63"/>
        <v>0</v>
      </c>
      <c r="X356" s="26">
        <f t="shared" si="61"/>
        <v>0</v>
      </c>
      <c r="Y356" s="26">
        <f t="shared" si="64"/>
        <v>0</v>
      </c>
      <c r="Z356" s="26">
        <f t="shared" si="68"/>
        <v>0</v>
      </c>
      <c r="AA356" s="33" t="s">
        <v>15</v>
      </c>
      <c r="AB356" s="36" t="s">
        <v>16</v>
      </c>
      <c r="AC356" s="181">
        <f t="shared" si="65"/>
        <v>159</v>
      </c>
      <c r="AD356" s="181">
        <f t="shared" si="60"/>
        <v>42961.8</v>
      </c>
      <c r="AE356" s="181">
        <v>1.8</v>
      </c>
      <c r="AF356" s="181">
        <v>1.8</v>
      </c>
      <c r="AG356" s="101" t="str">
        <f t="shared" si="66"/>
        <v/>
      </c>
      <c r="AH356" s="190">
        <v>0</v>
      </c>
      <c r="AI356" s="69">
        <f t="shared" si="67"/>
        <v>159</v>
      </c>
    </row>
    <row r="357" spans="1:35" s="69" customFormat="1" ht="58.5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 t="s">
        <v>15</v>
      </c>
      <c r="I357" s="75">
        <v>152.94</v>
      </c>
      <c r="J357" s="75">
        <v>183375.06</v>
      </c>
      <c r="K357" s="91" t="s">
        <v>954</v>
      </c>
      <c r="L357" s="73"/>
      <c r="M357" s="46">
        <v>0</v>
      </c>
      <c r="N357" s="46">
        <v>0</v>
      </c>
      <c r="O357" s="46">
        <v>0</v>
      </c>
      <c r="P357" s="98"/>
      <c r="Q357" s="23" t="s">
        <v>1439</v>
      </c>
      <c r="R357" s="24" t="s">
        <v>953</v>
      </c>
      <c r="S357" s="25" t="s">
        <v>30</v>
      </c>
      <c r="T357" s="26">
        <v>1199</v>
      </c>
      <c r="U357" s="26">
        <v>1199</v>
      </c>
      <c r="V357" s="26">
        <v>152.94</v>
      </c>
      <c r="W357" s="26">
        <f t="shared" si="63"/>
        <v>0</v>
      </c>
      <c r="X357" s="26">
        <f t="shared" si="61"/>
        <v>0</v>
      </c>
      <c r="Y357" s="26">
        <f t="shared" si="64"/>
        <v>0</v>
      </c>
      <c r="Z357" s="26">
        <f t="shared" si="68"/>
        <v>0</v>
      </c>
      <c r="AA357" s="33" t="s">
        <v>15</v>
      </c>
      <c r="AB357" s="36" t="s">
        <v>16</v>
      </c>
      <c r="AC357" s="181">
        <f t="shared" si="65"/>
        <v>1199</v>
      </c>
      <c r="AD357" s="181">
        <f t="shared" si="60"/>
        <v>183375.06</v>
      </c>
      <c r="AE357" s="181">
        <v>1.8</v>
      </c>
      <c r="AF357" s="181">
        <v>1.8</v>
      </c>
      <c r="AG357" s="101" t="str">
        <f t="shared" si="66"/>
        <v/>
      </c>
      <c r="AH357" s="190">
        <v>0</v>
      </c>
      <c r="AI357" s="69">
        <f t="shared" si="67"/>
        <v>1199</v>
      </c>
    </row>
    <row r="358" spans="1:35" s="69" customFormat="1" ht="33" x14ac:dyDescent="0.3">
      <c r="A358" s="55" t="s">
        <v>955</v>
      </c>
      <c r="B358" s="138" t="s">
        <v>956</v>
      </c>
      <c r="C358" s="54" t="s">
        <v>30</v>
      </c>
      <c r="D358" s="75">
        <v>144</v>
      </c>
      <c r="E358" s="75"/>
      <c r="F358" s="75"/>
      <c r="G358" s="75"/>
      <c r="H358" s="75" t="s">
        <v>15</v>
      </c>
      <c r="I358" s="75">
        <v>228.14</v>
      </c>
      <c r="J358" s="75">
        <v>32852.160000000003</v>
      </c>
      <c r="K358" s="91" t="s">
        <v>957</v>
      </c>
      <c r="L358" s="73"/>
      <c r="M358" s="46">
        <v>0</v>
      </c>
      <c r="N358" s="46">
        <v>0</v>
      </c>
      <c r="O358" s="46">
        <v>0</v>
      </c>
      <c r="P358" s="98"/>
      <c r="Q358" s="23" t="s">
        <v>1440</v>
      </c>
      <c r="R358" s="24" t="s">
        <v>956</v>
      </c>
      <c r="S358" s="25" t="s">
        <v>30</v>
      </c>
      <c r="T358" s="26">
        <v>144</v>
      </c>
      <c r="U358" s="26">
        <v>144</v>
      </c>
      <c r="V358" s="26">
        <v>228.14</v>
      </c>
      <c r="W358" s="26">
        <f t="shared" si="63"/>
        <v>0</v>
      </c>
      <c r="X358" s="26">
        <f t="shared" si="61"/>
        <v>0</v>
      </c>
      <c r="Y358" s="26">
        <f t="shared" si="64"/>
        <v>0</v>
      </c>
      <c r="Z358" s="26">
        <f t="shared" si="68"/>
        <v>0</v>
      </c>
      <c r="AA358" s="33" t="s">
        <v>15</v>
      </c>
      <c r="AB358" s="36" t="s">
        <v>16</v>
      </c>
      <c r="AC358" s="181">
        <f t="shared" si="65"/>
        <v>144</v>
      </c>
      <c r="AD358" s="181">
        <f t="shared" si="60"/>
        <v>32852.160000000003</v>
      </c>
      <c r="AE358" s="181">
        <v>1.8</v>
      </c>
      <c r="AF358" s="181">
        <v>1.8</v>
      </c>
      <c r="AG358" s="101" t="str">
        <f t="shared" si="66"/>
        <v/>
      </c>
      <c r="AH358" s="190">
        <v>0</v>
      </c>
      <c r="AI358" s="69">
        <f t="shared" si="67"/>
        <v>144</v>
      </c>
    </row>
    <row r="359" spans="1:35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 t="s">
        <v>15</v>
      </c>
      <c r="I359" s="75">
        <v>90448.13</v>
      </c>
      <c r="J359" s="75">
        <v>90448.13</v>
      </c>
      <c r="K359" s="91" t="s">
        <v>960</v>
      </c>
      <c r="L359" s="73"/>
      <c r="M359" s="46">
        <v>0</v>
      </c>
      <c r="N359" s="46">
        <v>0</v>
      </c>
      <c r="O359" s="46">
        <v>0</v>
      </c>
      <c r="P359" s="98"/>
      <c r="Q359" s="23" t="s">
        <v>1441</v>
      </c>
      <c r="R359" s="24" t="s">
        <v>959</v>
      </c>
      <c r="S359" s="25" t="s">
        <v>14</v>
      </c>
      <c r="T359" s="26">
        <v>1</v>
      </c>
      <c r="U359" s="26">
        <v>1</v>
      </c>
      <c r="V359" s="26">
        <v>90448.13</v>
      </c>
      <c r="W359" s="26">
        <f t="shared" si="63"/>
        <v>0</v>
      </c>
      <c r="X359" s="26">
        <f t="shared" si="61"/>
        <v>0</v>
      </c>
      <c r="Y359" s="26">
        <f t="shared" si="64"/>
        <v>0</v>
      </c>
      <c r="Z359" s="26">
        <f t="shared" si="68"/>
        <v>0</v>
      </c>
      <c r="AA359" s="33" t="s">
        <v>15</v>
      </c>
      <c r="AB359" s="36" t="s">
        <v>16</v>
      </c>
      <c r="AC359" s="181">
        <f t="shared" si="65"/>
        <v>1</v>
      </c>
      <c r="AD359" s="181">
        <f t="shared" si="60"/>
        <v>90448.13</v>
      </c>
      <c r="AE359" s="181">
        <v>1.8</v>
      </c>
      <c r="AF359" s="181">
        <v>1.8</v>
      </c>
      <c r="AG359" s="101" t="str">
        <f t="shared" si="66"/>
        <v/>
      </c>
      <c r="AH359" s="190">
        <v>0</v>
      </c>
      <c r="AI359" s="69">
        <f t="shared" si="67"/>
        <v>1</v>
      </c>
    </row>
    <row r="360" spans="1:35" s="69" customFormat="1" ht="49.5" x14ac:dyDescent="0.3">
      <c r="A360" s="55" t="s">
        <v>961</v>
      </c>
      <c r="B360" s="138" t="s">
        <v>962</v>
      </c>
      <c r="C360" s="54" t="s">
        <v>30</v>
      </c>
      <c r="D360" s="75">
        <v>2702</v>
      </c>
      <c r="E360" s="75"/>
      <c r="F360" s="75"/>
      <c r="G360" s="75"/>
      <c r="H360" s="75" t="s">
        <v>15</v>
      </c>
      <c r="I360" s="75">
        <v>81.569999999999993</v>
      </c>
      <c r="J360" s="75">
        <v>220402.14</v>
      </c>
      <c r="K360" s="91" t="s">
        <v>963</v>
      </c>
      <c r="L360" s="73"/>
      <c r="M360" s="46">
        <v>0</v>
      </c>
      <c r="N360" s="46">
        <v>0</v>
      </c>
      <c r="O360" s="46">
        <v>0</v>
      </c>
      <c r="P360" s="98"/>
      <c r="Q360" s="23" t="s">
        <v>1442</v>
      </c>
      <c r="R360" s="24" t="s">
        <v>962</v>
      </c>
      <c r="S360" s="25" t="s">
        <v>30</v>
      </c>
      <c r="T360" s="26">
        <v>2702</v>
      </c>
      <c r="U360" s="26">
        <v>2702</v>
      </c>
      <c r="V360" s="26">
        <v>81.569999999999993</v>
      </c>
      <c r="W360" s="26">
        <f t="shared" si="63"/>
        <v>0</v>
      </c>
      <c r="X360" s="26">
        <f t="shared" si="61"/>
        <v>0</v>
      </c>
      <c r="Y360" s="26">
        <f t="shared" si="64"/>
        <v>0</v>
      </c>
      <c r="Z360" s="26">
        <f t="shared" si="68"/>
        <v>0</v>
      </c>
      <c r="AA360" s="33" t="s">
        <v>15</v>
      </c>
      <c r="AB360" s="36" t="s">
        <v>16</v>
      </c>
      <c r="AC360" s="181">
        <f t="shared" si="65"/>
        <v>2702</v>
      </c>
      <c r="AD360" s="181">
        <f t="shared" si="60"/>
        <v>220402.14</v>
      </c>
      <c r="AE360" s="181">
        <v>1.8</v>
      </c>
      <c r="AF360" s="181">
        <v>1.8</v>
      </c>
      <c r="AG360" s="101" t="str">
        <f t="shared" si="66"/>
        <v/>
      </c>
      <c r="AH360" s="190">
        <v>0</v>
      </c>
      <c r="AI360" s="69">
        <f t="shared" si="67"/>
        <v>2702</v>
      </c>
    </row>
    <row r="361" spans="1:35" s="69" customFormat="1" ht="39" x14ac:dyDescent="0.3">
      <c r="A361" s="55" t="s">
        <v>964</v>
      </c>
      <c r="B361" s="53" t="s">
        <v>965</v>
      </c>
      <c r="C361" s="54" t="s">
        <v>14</v>
      </c>
      <c r="D361" s="75">
        <v>1</v>
      </c>
      <c r="E361" s="75"/>
      <c r="F361" s="75"/>
      <c r="G361" s="75"/>
      <c r="H361" s="75" t="s">
        <v>15</v>
      </c>
      <c r="I361" s="75">
        <v>25939</v>
      </c>
      <c r="J361" s="75">
        <v>25939</v>
      </c>
      <c r="K361" s="91" t="s">
        <v>966</v>
      </c>
      <c r="L361" s="73"/>
      <c r="M361" s="46">
        <v>0</v>
      </c>
      <c r="N361" s="46">
        <v>0</v>
      </c>
      <c r="O361" s="46">
        <v>0</v>
      </c>
      <c r="P361" s="98"/>
      <c r="Q361" s="23" t="s">
        <v>1443</v>
      </c>
      <c r="R361" s="24" t="s">
        <v>965</v>
      </c>
      <c r="S361" s="25" t="s">
        <v>14</v>
      </c>
      <c r="T361" s="26">
        <v>1</v>
      </c>
      <c r="U361" s="26">
        <v>1</v>
      </c>
      <c r="V361" s="26">
        <v>25939</v>
      </c>
      <c r="W361" s="26">
        <f t="shared" si="63"/>
        <v>0</v>
      </c>
      <c r="X361" s="26">
        <f t="shared" si="61"/>
        <v>0</v>
      </c>
      <c r="Y361" s="26">
        <f t="shared" si="64"/>
        <v>0</v>
      </c>
      <c r="Z361" s="26">
        <f t="shared" si="68"/>
        <v>0</v>
      </c>
      <c r="AA361" s="33" t="s">
        <v>15</v>
      </c>
      <c r="AB361" s="36" t="s">
        <v>16</v>
      </c>
      <c r="AC361" s="181">
        <f t="shared" si="65"/>
        <v>1</v>
      </c>
      <c r="AD361" s="181">
        <f t="shared" si="60"/>
        <v>25939</v>
      </c>
      <c r="AE361" s="181">
        <v>1.8</v>
      </c>
      <c r="AF361" s="181">
        <v>1.8</v>
      </c>
      <c r="AG361" s="101" t="str">
        <f t="shared" si="66"/>
        <v/>
      </c>
      <c r="AH361" s="190">
        <v>0</v>
      </c>
      <c r="AI361" s="69">
        <f t="shared" si="67"/>
        <v>1</v>
      </c>
    </row>
    <row r="362" spans="1:35" s="69" customFormat="1" ht="58.5" x14ac:dyDescent="0.3">
      <c r="A362" s="55" t="s">
        <v>967</v>
      </c>
      <c r="B362" s="53" t="s">
        <v>968</v>
      </c>
      <c r="C362" s="54" t="s">
        <v>30</v>
      </c>
      <c r="D362" s="75">
        <v>1272</v>
      </c>
      <c r="E362" s="75"/>
      <c r="F362" s="75"/>
      <c r="G362" s="75"/>
      <c r="H362" s="75" t="s">
        <v>15</v>
      </c>
      <c r="I362" s="75">
        <v>36.96</v>
      </c>
      <c r="J362" s="75">
        <v>47013.120000000003</v>
      </c>
      <c r="K362" s="91" t="s">
        <v>969</v>
      </c>
      <c r="L362" s="73"/>
      <c r="M362" s="46">
        <v>0</v>
      </c>
      <c r="N362" s="46">
        <v>0</v>
      </c>
      <c r="O362" s="46">
        <v>0</v>
      </c>
      <c r="P362" s="98"/>
      <c r="Q362" s="23" t="s">
        <v>1444</v>
      </c>
      <c r="R362" s="24" t="s">
        <v>968</v>
      </c>
      <c r="S362" s="25" t="s">
        <v>30</v>
      </c>
      <c r="T362" s="26">
        <v>1272</v>
      </c>
      <c r="U362" s="26">
        <v>1272</v>
      </c>
      <c r="V362" s="26">
        <v>36.96</v>
      </c>
      <c r="W362" s="26">
        <f t="shared" si="63"/>
        <v>0</v>
      </c>
      <c r="X362" s="26">
        <f t="shared" si="61"/>
        <v>0</v>
      </c>
      <c r="Y362" s="26">
        <f t="shared" si="64"/>
        <v>0</v>
      </c>
      <c r="Z362" s="26">
        <f t="shared" si="68"/>
        <v>0</v>
      </c>
      <c r="AA362" s="33" t="s">
        <v>15</v>
      </c>
      <c r="AB362" s="36" t="s">
        <v>16</v>
      </c>
      <c r="AC362" s="181">
        <f t="shared" si="65"/>
        <v>1272</v>
      </c>
      <c r="AD362" s="181">
        <f t="shared" si="60"/>
        <v>47013.120000000003</v>
      </c>
      <c r="AE362" s="181">
        <v>1.8</v>
      </c>
      <c r="AF362" s="181">
        <v>1.8</v>
      </c>
      <c r="AG362" s="101" t="str">
        <f t="shared" si="66"/>
        <v/>
      </c>
      <c r="AH362" s="190">
        <v>0</v>
      </c>
      <c r="AI362" s="69">
        <f t="shared" si="67"/>
        <v>1272</v>
      </c>
    </row>
    <row r="363" spans="1:35" s="69" customFormat="1" ht="58.5" x14ac:dyDescent="0.3">
      <c r="A363" s="55" t="s">
        <v>970</v>
      </c>
      <c r="B363" s="53" t="s">
        <v>971</v>
      </c>
      <c r="C363" s="54" t="s">
        <v>30</v>
      </c>
      <c r="D363" s="75">
        <v>1470</v>
      </c>
      <c r="E363" s="75"/>
      <c r="F363" s="75"/>
      <c r="G363" s="75"/>
      <c r="H363" s="75" t="s">
        <v>15</v>
      </c>
      <c r="I363" s="75">
        <v>62.45</v>
      </c>
      <c r="J363" s="75">
        <v>91801.5</v>
      </c>
      <c r="K363" s="91" t="s">
        <v>972</v>
      </c>
      <c r="L363" s="73"/>
      <c r="M363" s="46">
        <v>0</v>
      </c>
      <c r="N363" s="46">
        <v>0</v>
      </c>
      <c r="O363" s="46">
        <v>0</v>
      </c>
      <c r="P363" s="98"/>
      <c r="Q363" s="23" t="s">
        <v>1408</v>
      </c>
      <c r="R363" s="24" t="s">
        <v>971</v>
      </c>
      <c r="S363" s="25" t="s">
        <v>30</v>
      </c>
      <c r="T363" s="26">
        <v>1470</v>
      </c>
      <c r="U363" s="26">
        <v>1470</v>
      </c>
      <c r="V363" s="26">
        <v>62.45</v>
      </c>
      <c r="W363" s="26">
        <f t="shared" si="63"/>
        <v>0</v>
      </c>
      <c r="X363" s="26">
        <f t="shared" si="61"/>
        <v>0</v>
      </c>
      <c r="Y363" s="26">
        <f t="shared" si="64"/>
        <v>0</v>
      </c>
      <c r="Z363" s="26">
        <f t="shared" si="68"/>
        <v>0</v>
      </c>
      <c r="AA363" s="33" t="s">
        <v>15</v>
      </c>
      <c r="AB363" s="36" t="s">
        <v>16</v>
      </c>
      <c r="AC363" s="181">
        <f t="shared" si="65"/>
        <v>1470</v>
      </c>
      <c r="AD363" s="181">
        <f t="shared" si="60"/>
        <v>91801.5</v>
      </c>
      <c r="AE363" s="181">
        <v>1.8</v>
      </c>
      <c r="AF363" s="181">
        <v>1.8</v>
      </c>
      <c r="AG363" s="101" t="str">
        <f t="shared" si="66"/>
        <v/>
      </c>
      <c r="AH363" s="190">
        <v>0</v>
      </c>
      <c r="AI363" s="69">
        <f t="shared" si="67"/>
        <v>1470</v>
      </c>
    </row>
    <row r="364" spans="1:35" s="69" customFormat="1" ht="58.5" x14ac:dyDescent="0.3">
      <c r="A364" s="55" t="s">
        <v>973</v>
      </c>
      <c r="B364" s="53" t="s">
        <v>974</v>
      </c>
      <c r="C364" s="54" t="s">
        <v>30</v>
      </c>
      <c r="D364" s="75">
        <v>407</v>
      </c>
      <c r="E364" s="75"/>
      <c r="F364" s="75"/>
      <c r="G364" s="75"/>
      <c r="H364" s="75" t="s">
        <v>15</v>
      </c>
      <c r="I364" s="75">
        <v>90.49</v>
      </c>
      <c r="J364" s="75">
        <v>36829.43</v>
      </c>
      <c r="K364" s="91" t="s">
        <v>975</v>
      </c>
      <c r="L364" s="73"/>
      <c r="M364" s="46">
        <v>0</v>
      </c>
      <c r="N364" s="46">
        <v>0</v>
      </c>
      <c r="O364" s="46">
        <v>0</v>
      </c>
      <c r="P364" s="98"/>
      <c r="Q364" s="23" t="s">
        <v>1409</v>
      </c>
      <c r="R364" s="24" t="s">
        <v>974</v>
      </c>
      <c r="S364" s="25" t="s">
        <v>30</v>
      </c>
      <c r="T364" s="26">
        <v>407</v>
      </c>
      <c r="U364" s="26">
        <v>407</v>
      </c>
      <c r="V364" s="26">
        <v>90.49</v>
      </c>
      <c r="W364" s="26">
        <f t="shared" si="63"/>
        <v>0</v>
      </c>
      <c r="X364" s="26">
        <f t="shared" si="61"/>
        <v>0</v>
      </c>
      <c r="Y364" s="26">
        <f t="shared" si="64"/>
        <v>0</v>
      </c>
      <c r="Z364" s="26">
        <f t="shared" si="68"/>
        <v>0</v>
      </c>
      <c r="AA364" s="33" t="s">
        <v>15</v>
      </c>
      <c r="AB364" s="36" t="s">
        <v>16</v>
      </c>
      <c r="AC364" s="181">
        <f t="shared" si="65"/>
        <v>407</v>
      </c>
      <c r="AD364" s="181">
        <f t="shared" si="60"/>
        <v>36829.43</v>
      </c>
      <c r="AE364" s="181">
        <v>1.8</v>
      </c>
      <c r="AF364" s="181">
        <v>1.8</v>
      </c>
      <c r="AG364" s="101" t="str">
        <f t="shared" si="66"/>
        <v/>
      </c>
      <c r="AH364" s="190">
        <v>0</v>
      </c>
      <c r="AI364" s="69">
        <f t="shared" si="67"/>
        <v>407</v>
      </c>
    </row>
    <row r="365" spans="1:35" s="69" customFormat="1" ht="58.5" x14ac:dyDescent="0.3">
      <c r="A365" s="55" t="s">
        <v>976</v>
      </c>
      <c r="B365" s="53" t="s">
        <v>977</v>
      </c>
      <c r="C365" s="54" t="s">
        <v>30</v>
      </c>
      <c r="D365" s="75">
        <v>55</v>
      </c>
      <c r="E365" s="75"/>
      <c r="F365" s="75"/>
      <c r="G365" s="75"/>
      <c r="H365" s="75" t="s">
        <v>15</v>
      </c>
      <c r="I365" s="75">
        <v>186.08</v>
      </c>
      <c r="J365" s="75">
        <v>10234.4</v>
      </c>
      <c r="K365" s="91" t="s">
        <v>978</v>
      </c>
      <c r="L365" s="73"/>
      <c r="M365" s="46">
        <v>0</v>
      </c>
      <c r="N365" s="46">
        <v>0</v>
      </c>
      <c r="O365" s="46">
        <v>0</v>
      </c>
      <c r="P365" s="98"/>
      <c r="Q365" s="23" t="s">
        <v>1410</v>
      </c>
      <c r="R365" s="24" t="s">
        <v>977</v>
      </c>
      <c r="S365" s="25" t="s">
        <v>30</v>
      </c>
      <c r="T365" s="26">
        <v>55</v>
      </c>
      <c r="U365" s="26">
        <v>55</v>
      </c>
      <c r="V365" s="26">
        <v>186.08</v>
      </c>
      <c r="W365" s="26">
        <f t="shared" si="63"/>
        <v>0</v>
      </c>
      <c r="X365" s="26">
        <f t="shared" si="61"/>
        <v>0</v>
      </c>
      <c r="Y365" s="26">
        <f t="shared" si="64"/>
        <v>0</v>
      </c>
      <c r="Z365" s="26">
        <f t="shared" si="68"/>
        <v>0</v>
      </c>
      <c r="AA365" s="33" t="s">
        <v>15</v>
      </c>
      <c r="AB365" s="36" t="s">
        <v>16</v>
      </c>
      <c r="AC365" s="181">
        <f t="shared" si="65"/>
        <v>55</v>
      </c>
      <c r="AD365" s="181">
        <f t="shared" si="60"/>
        <v>10234.4</v>
      </c>
      <c r="AE365" s="181">
        <v>1.8</v>
      </c>
      <c r="AF365" s="181">
        <v>1.8</v>
      </c>
      <c r="AG365" s="101" t="str">
        <f t="shared" si="66"/>
        <v/>
      </c>
      <c r="AH365" s="190">
        <v>0</v>
      </c>
      <c r="AI365" s="69">
        <f t="shared" si="67"/>
        <v>55</v>
      </c>
    </row>
    <row r="366" spans="1:35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 t="s">
        <v>15</v>
      </c>
      <c r="I366" s="75">
        <v>51046</v>
      </c>
      <c r="J366" s="75">
        <v>51046</v>
      </c>
      <c r="K366" s="91" t="s">
        <v>981</v>
      </c>
      <c r="L366" s="73"/>
      <c r="M366" s="46">
        <v>0</v>
      </c>
      <c r="N366" s="46">
        <v>0</v>
      </c>
      <c r="O366" s="46">
        <v>0</v>
      </c>
      <c r="P366" s="98"/>
      <c r="Q366" s="23" t="s">
        <v>1411</v>
      </c>
      <c r="R366" s="24" t="s">
        <v>980</v>
      </c>
      <c r="S366" s="25" t="s">
        <v>14</v>
      </c>
      <c r="T366" s="26">
        <v>1</v>
      </c>
      <c r="U366" s="26">
        <v>1</v>
      </c>
      <c r="V366" s="26">
        <v>51046</v>
      </c>
      <c r="W366" s="26">
        <f t="shared" si="63"/>
        <v>0</v>
      </c>
      <c r="X366" s="26">
        <f t="shared" si="61"/>
        <v>0</v>
      </c>
      <c r="Y366" s="26">
        <f t="shared" si="64"/>
        <v>0</v>
      </c>
      <c r="Z366" s="26">
        <f t="shared" si="68"/>
        <v>0</v>
      </c>
      <c r="AA366" s="33" t="s">
        <v>15</v>
      </c>
      <c r="AB366" s="36" t="s">
        <v>16</v>
      </c>
      <c r="AC366" s="181">
        <f t="shared" si="65"/>
        <v>1</v>
      </c>
      <c r="AD366" s="181">
        <f t="shared" ref="AD366:AD368" si="69">ROUND(V366*AC366,2)</f>
        <v>51046</v>
      </c>
      <c r="AE366" s="181">
        <v>1.8</v>
      </c>
      <c r="AF366" s="181">
        <v>1.8</v>
      </c>
      <c r="AG366" s="101" t="str">
        <f t="shared" si="66"/>
        <v/>
      </c>
      <c r="AH366" s="190">
        <v>0</v>
      </c>
      <c r="AI366" s="69">
        <f t="shared" si="67"/>
        <v>1</v>
      </c>
    </row>
    <row r="367" spans="1:35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 t="s">
        <v>15</v>
      </c>
      <c r="I367" s="75">
        <v>671.66</v>
      </c>
      <c r="J367" s="75">
        <v>88659.12</v>
      </c>
      <c r="K367" s="91" t="s">
        <v>984</v>
      </c>
      <c r="L367" s="73"/>
      <c r="M367" s="46">
        <v>0</v>
      </c>
      <c r="N367" s="46">
        <v>0</v>
      </c>
      <c r="O367" s="46">
        <v>0</v>
      </c>
      <c r="P367" s="98"/>
      <c r="Q367" s="23" t="s">
        <v>1445</v>
      </c>
      <c r="R367" s="24" t="s">
        <v>983</v>
      </c>
      <c r="S367" s="25" t="s">
        <v>30</v>
      </c>
      <c r="T367" s="26">
        <v>132</v>
      </c>
      <c r="U367" s="26">
        <v>132</v>
      </c>
      <c r="V367" s="26">
        <v>671.66</v>
      </c>
      <c r="W367" s="26">
        <f t="shared" si="63"/>
        <v>0</v>
      </c>
      <c r="X367" s="26">
        <f t="shared" si="61"/>
        <v>0</v>
      </c>
      <c r="Y367" s="26">
        <f t="shared" si="64"/>
        <v>0</v>
      </c>
      <c r="Z367" s="26">
        <f t="shared" si="68"/>
        <v>0</v>
      </c>
      <c r="AA367" s="33" t="s">
        <v>15</v>
      </c>
      <c r="AB367" s="36" t="s">
        <v>16</v>
      </c>
      <c r="AC367" s="181">
        <f t="shared" si="65"/>
        <v>132</v>
      </c>
      <c r="AD367" s="181">
        <f t="shared" si="69"/>
        <v>88659.12</v>
      </c>
      <c r="AE367" s="181">
        <v>1.8</v>
      </c>
      <c r="AF367" s="181">
        <v>1.8</v>
      </c>
      <c r="AG367" s="101" t="str">
        <f t="shared" si="66"/>
        <v/>
      </c>
      <c r="AH367" s="190">
        <v>0</v>
      </c>
      <c r="AI367" s="69">
        <f t="shared" si="67"/>
        <v>132</v>
      </c>
    </row>
    <row r="368" spans="1:35" s="69" customFormat="1" ht="39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 t="s">
        <v>15</v>
      </c>
      <c r="I368" s="75">
        <v>24347</v>
      </c>
      <c r="J368" s="75">
        <v>24347</v>
      </c>
      <c r="K368" s="91" t="s">
        <v>987</v>
      </c>
      <c r="L368" s="73"/>
      <c r="M368" s="46">
        <v>0</v>
      </c>
      <c r="N368" s="46">
        <v>0</v>
      </c>
      <c r="O368" s="46">
        <v>0</v>
      </c>
      <c r="P368" s="98"/>
      <c r="Q368" s="23" t="s">
        <v>1383</v>
      </c>
      <c r="R368" s="24" t="s">
        <v>986</v>
      </c>
      <c r="S368" s="25" t="s">
        <v>14</v>
      </c>
      <c r="T368" s="26">
        <v>1</v>
      </c>
      <c r="U368" s="26">
        <v>1</v>
      </c>
      <c r="V368" s="26">
        <v>24347</v>
      </c>
      <c r="W368" s="26">
        <f t="shared" si="63"/>
        <v>0</v>
      </c>
      <c r="X368" s="26">
        <f t="shared" si="61"/>
        <v>0</v>
      </c>
      <c r="Y368" s="26">
        <f t="shared" si="64"/>
        <v>0</v>
      </c>
      <c r="Z368" s="26">
        <f t="shared" si="68"/>
        <v>0</v>
      </c>
      <c r="AA368" s="33" t="s">
        <v>15</v>
      </c>
      <c r="AB368" s="36" t="s">
        <v>16</v>
      </c>
      <c r="AC368" s="181">
        <f t="shared" si="65"/>
        <v>1</v>
      </c>
      <c r="AD368" s="181">
        <f t="shared" si="69"/>
        <v>24347</v>
      </c>
      <c r="AE368" s="181">
        <v>1.8</v>
      </c>
      <c r="AF368" s="181">
        <v>1.8</v>
      </c>
      <c r="AG368" s="101" t="str">
        <f t="shared" si="66"/>
        <v/>
      </c>
      <c r="AH368" s="190">
        <v>0</v>
      </c>
      <c r="AI368" s="69">
        <f t="shared" si="67"/>
        <v>1</v>
      </c>
    </row>
    <row r="369" spans="1:35" s="69" customFormat="1" ht="39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 t="s">
        <v>15</v>
      </c>
      <c r="I369" s="82"/>
      <c r="J369" s="82">
        <v>9899611.0700000003</v>
      </c>
      <c r="K369" s="94" t="s">
        <v>15</v>
      </c>
      <c r="L369" s="73"/>
      <c r="M369" s="45">
        <v>1</v>
      </c>
      <c r="N369" s="45">
        <v>0</v>
      </c>
      <c r="O369" s="45">
        <v>6749095.7699999996</v>
      </c>
      <c r="P369" s="98"/>
      <c r="Q369" s="18" t="s">
        <v>1401</v>
      </c>
      <c r="R369" s="19" t="s">
        <v>989</v>
      </c>
      <c r="S369" s="20" t="s">
        <v>14</v>
      </c>
      <c r="T369" s="21">
        <v>1</v>
      </c>
      <c r="U369" s="21"/>
      <c r="V369" s="21">
        <f>SUMIFS(AD:AD,AE:AE,AE369)</f>
        <v>9899611.0700000003</v>
      </c>
      <c r="W369" s="21">
        <f t="shared" ref="W369:X369" si="70">IF(Y369=0,0,1)</f>
        <v>1</v>
      </c>
      <c r="X369" s="21">
        <f t="shared" si="70"/>
        <v>1</v>
      </c>
      <c r="Y369" s="21">
        <f>SUMIFS(Y:Y,AF:AF,AE369)</f>
        <v>90846</v>
      </c>
      <c r="Z369" s="21">
        <f>SUMIFS(Z:Z,AF:AF,AE369)</f>
        <v>6839941.7699999996</v>
      </c>
      <c r="AA369" s="22" t="s">
        <v>15</v>
      </c>
      <c r="AB369" s="43" t="s">
        <v>16</v>
      </c>
      <c r="AC369" s="181">
        <f t="shared" si="65"/>
        <v>1</v>
      </c>
      <c r="AD369" s="184"/>
      <c r="AE369" s="184">
        <v>1.9</v>
      </c>
      <c r="AF369" s="184"/>
      <c r="AG369" s="101" t="str">
        <f t="shared" si="66"/>
        <v/>
      </c>
      <c r="AH369" s="190">
        <v>1</v>
      </c>
      <c r="AI369" s="69">
        <f t="shared" si="67"/>
        <v>1</v>
      </c>
    </row>
    <row r="370" spans="1:35" s="69" customFormat="1" ht="33" x14ac:dyDescent="0.3">
      <c r="A370" s="130" t="s">
        <v>990</v>
      </c>
      <c r="B370" s="240" t="s">
        <v>991</v>
      </c>
      <c r="C370" s="132" t="s">
        <v>30</v>
      </c>
      <c r="D370" s="133">
        <v>1088</v>
      </c>
      <c r="E370" s="75">
        <v>975</v>
      </c>
      <c r="F370" s="75"/>
      <c r="G370" s="75"/>
      <c r="H370" s="75">
        <v>2893</v>
      </c>
      <c r="I370" s="75">
        <v>247.2</v>
      </c>
      <c r="J370" s="75">
        <v>715149.6</v>
      </c>
      <c r="K370" s="91" t="s">
        <v>992</v>
      </c>
      <c r="L370" s="73"/>
      <c r="M370" s="46">
        <v>975</v>
      </c>
      <c r="N370" s="46">
        <v>0</v>
      </c>
      <c r="O370" s="46">
        <v>241020</v>
      </c>
      <c r="P370" s="98"/>
      <c r="Q370" s="23" t="s">
        <v>1421</v>
      </c>
      <c r="R370" s="24" t="s">
        <v>991</v>
      </c>
      <c r="S370" s="25" t="s">
        <v>30</v>
      </c>
      <c r="T370" s="26">
        <v>1088</v>
      </c>
      <c r="U370" s="26">
        <v>2893</v>
      </c>
      <c r="V370" s="26">
        <v>247.2</v>
      </c>
      <c r="W370" s="128">
        <f t="shared" ref="W370:W376" si="71">AH370-M370</f>
        <v>0</v>
      </c>
      <c r="X370" s="127">
        <f t="shared" si="61"/>
        <v>975</v>
      </c>
      <c r="Y370" s="127">
        <f t="shared" ref="Y370:Y376" si="72">Z370-O370</f>
        <v>0</v>
      </c>
      <c r="Z370" s="127">
        <f t="shared" ref="Z370:Z376" si="73">ROUND(V370*X370,2)</f>
        <v>241020</v>
      </c>
      <c r="AA370" s="27" t="s">
        <v>15</v>
      </c>
      <c r="AB370" s="36" t="s">
        <v>16</v>
      </c>
      <c r="AC370" s="181">
        <f t="shared" si="65"/>
        <v>2893</v>
      </c>
      <c r="AD370" s="181">
        <f t="shared" ref="AD370:AD376" si="74">ROUND(V370*AC370,2)</f>
        <v>715149.6</v>
      </c>
      <c r="AE370" s="181">
        <v>1.9</v>
      </c>
      <c r="AF370" s="181">
        <v>1.9</v>
      </c>
      <c r="AG370" s="101" t="str">
        <f t="shared" si="66"/>
        <v/>
      </c>
      <c r="AH370" s="191">
        <v>975</v>
      </c>
      <c r="AI370" s="69">
        <f t="shared" si="67"/>
        <v>975</v>
      </c>
    </row>
    <row r="371" spans="1:35" s="69" customFormat="1" ht="33" x14ac:dyDescent="0.3">
      <c r="A371" s="130" t="s">
        <v>993</v>
      </c>
      <c r="B371" s="240" t="s">
        <v>994</v>
      </c>
      <c r="C371" s="132" t="s">
        <v>30</v>
      </c>
      <c r="D371" s="133">
        <v>1088</v>
      </c>
      <c r="E371" s="75">
        <v>975</v>
      </c>
      <c r="F371" s="75"/>
      <c r="G371" s="75"/>
      <c r="H371" s="75">
        <v>2893</v>
      </c>
      <c r="I371" s="75">
        <v>236.9</v>
      </c>
      <c r="J371" s="75">
        <v>685351.7</v>
      </c>
      <c r="K371" s="91" t="s">
        <v>995</v>
      </c>
      <c r="L371" s="73"/>
      <c r="M371" s="46">
        <v>975</v>
      </c>
      <c r="N371" s="46">
        <v>0</v>
      </c>
      <c r="O371" s="46">
        <v>230977.5</v>
      </c>
      <c r="P371" s="98"/>
      <c r="Q371" s="23" t="s">
        <v>1426</v>
      </c>
      <c r="R371" s="24" t="s">
        <v>994</v>
      </c>
      <c r="S371" s="25" t="s">
        <v>30</v>
      </c>
      <c r="T371" s="26">
        <v>1088</v>
      </c>
      <c r="U371" s="26">
        <v>2893</v>
      </c>
      <c r="V371" s="26">
        <v>236.9</v>
      </c>
      <c r="W371" s="128">
        <f t="shared" si="71"/>
        <v>0</v>
      </c>
      <c r="X371" s="127">
        <f t="shared" ref="X371:X376" si="75">W371+M371</f>
        <v>975</v>
      </c>
      <c r="Y371" s="127">
        <f>Z371-O371</f>
        <v>0</v>
      </c>
      <c r="Z371" s="127">
        <f t="shared" si="73"/>
        <v>230977.5</v>
      </c>
      <c r="AA371" s="27" t="s">
        <v>15</v>
      </c>
      <c r="AB371" s="36" t="s">
        <v>16</v>
      </c>
      <c r="AC371" s="181">
        <f t="shared" si="65"/>
        <v>2893</v>
      </c>
      <c r="AD371" s="181">
        <f t="shared" si="74"/>
        <v>685351.7</v>
      </c>
      <c r="AE371" s="181">
        <v>1.9</v>
      </c>
      <c r="AF371" s="181">
        <v>1.9</v>
      </c>
      <c r="AG371" s="101" t="str">
        <f t="shared" si="66"/>
        <v/>
      </c>
      <c r="AH371" s="191">
        <v>975</v>
      </c>
      <c r="AI371" s="69">
        <f t="shared" si="67"/>
        <v>975</v>
      </c>
    </row>
    <row r="372" spans="1:35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9795.5</v>
      </c>
      <c r="I372" s="75">
        <v>252.35</v>
      </c>
      <c r="J372" s="75">
        <v>2471894.4300000002</v>
      </c>
      <c r="K372" s="91" t="s">
        <v>999</v>
      </c>
      <c r="L372" s="73"/>
      <c r="M372" s="46">
        <v>7744</v>
      </c>
      <c r="N372" s="46">
        <v>0</v>
      </c>
      <c r="O372" s="46">
        <v>1954198.4</v>
      </c>
      <c r="P372" s="98"/>
      <c r="Q372" s="23" t="s">
        <v>1402</v>
      </c>
      <c r="R372" s="24" t="s">
        <v>997</v>
      </c>
      <c r="S372" s="25" t="s">
        <v>998</v>
      </c>
      <c r="T372" s="26">
        <v>6984</v>
      </c>
      <c r="U372" s="26">
        <v>9795.5</v>
      </c>
      <c r="V372" s="26">
        <v>252.35</v>
      </c>
      <c r="W372" s="128">
        <f t="shared" si="71"/>
        <v>360</v>
      </c>
      <c r="X372" s="26">
        <f t="shared" si="75"/>
        <v>8104</v>
      </c>
      <c r="Y372" s="26">
        <f t="shared" si="72"/>
        <v>90846</v>
      </c>
      <c r="Z372" s="26">
        <f t="shared" si="73"/>
        <v>2045044.4</v>
      </c>
      <c r="AA372" s="27" t="s">
        <v>15</v>
      </c>
      <c r="AB372" s="36" t="s">
        <v>16</v>
      </c>
      <c r="AC372" s="181">
        <f t="shared" si="65"/>
        <v>9795.5</v>
      </c>
      <c r="AD372" s="181">
        <f t="shared" si="74"/>
        <v>2471894.4300000002</v>
      </c>
      <c r="AE372" s="181">
        <v>1.9</v>
      </c>
      <c r="AF372" s="181">
        <v>1.9</v>
      </c>
      <c r="AG372" s="101" t="str">
        <f t="shared" si="66"/>
        <v/>
      </c>
      <c r="AH372" s="191">
        <f>7744+360</f>
        <v>8104</v>
      </c>
      <c r="AI372" s="69">
        <f t="shared" si="67"/>
        <v>8744</v>
      </c>
    </row>
    <row r="373" spans="1:35" s="69" customFormat="1" ht="49.5" x14ac:dyDescent="0.3">
      <c r="A373" s="55" t="s">
        <v>1000</v>
      </c>
      <c r="B373" s="138" t="s">
        <v>1001</v>
      </c>
      <c r="C373" s="54" t="s">
        <v>14</v>
      </c>
      <c r="D373" s="75">
        <v>1</v>
      </c>
      <c r="E373" s="75"/>
      <c r="F373" s="75"/>
      <c r="G373" s="75"/>
      <c r="H373" s="75" t="s">
        <v>15</v>
      </c>
      <c r="I373" s="75">
        <v>350000</v>
      </c>
      <c r="J373" s="75">
        <v>350000</v>
      </c>
      <c r="K373" s="91" t="s">
        <v>1002</v>
      </c>
      <c r="L373" s="73"/>
      <c r="M373" s="46">
        <v>1</v>
      </c>
      <c r="N373" s="46">
        <v>0</v>
      </c>
      <c r="O373" s="46">
        <v>157500</v>
      </c>
      <c r="P373" s="98"/>
      <c r="Q373" s="23" t="s">
        <v>1373</v>
      </c>
      <c r="R373" s="24" t="s">
        <v>1001</v>
      </c>
      <c r="S373" s="25" t="s">
        <v>14</v>
      </c>
      <c r="T373" s="26">
        <v>1</v>
      </c>
      <c r="U373" s="26">
        <v>1</v>
      </c>
      <c r="V373" s="26">
        <v>350000</v>
      </c>
      <c r="W373" s="26">
        <f>IF(Y373=0,0,1)</f>
        <v>0</v>
      </c>
      <c r="X373" s="26">
        <f>IF(Z373=0,0,1)</f>
        <v>1</v>
      </c>
      <c r="Y373" s="26">
        <f t="shared" si="72"/>
        <v>0</v>
      </c>
      <c r="Z373" s="26">
        <v>157500</v>
      </c>
      <c r="AA373" s="123">
        <f>Z373/J373</f>
        <v>0.45</v>
      </c>
      <c r="AB373" s="36" t="s">
        <v>16</v>
      </c>
      <c r="AC373" s="181">
        <f t="shared" si="65"/>
        <v>1</v>
      </c>
      <c r="AD373" s="181">
        <f t="shared" si="74"/>
        <v>350000</v>
      </c>
      <c r="AE373" s="181">
        <v>1.9</v>
      </c>
      <c r="AF373" s="181">
        <v>1.9</v>
      </c>
      <c r="AG373" s="101" t="str">
        <f t="shared" si="66"/>
        <v/>
      </c>
      <c r="AH373" s="190">
        <v>1</v>
      </c>
      <c r="AI373" s="69">
        <f t="shared" si="67"/>
        <v>1</v>
      </c>
    </row>
    <row r="374" spans="1:35" s="69" customFormat="1" ht="33" x14ac:dyDescent="0.3">
      <c r="A374" s="55" t="s">
        <v>1003</v>
      </c>
      <c r="B374" s="138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3149</v>
      </c>
      <c r="I374" s="75">
        <v>931.12</v>
      </c>
      <c r="J374" s="75">
        <v>2932096.88</v>
      </c>
      <c r="K374" s="91" t="s">
        <v>1005</v>
      </c>
      <c r="L374" s="73"/>
      <c r="M374" s="46">
        <v>2060</v>
      </c>
      <c r="N374" s="46">
        <v>0</v>
      </c>
      <c r="O374" s="46">
        <v>1918107.2</v>
      </c>
      <c r="P374" s="98"/>
      <c r="Q374" s="23" t="s">
        <v>1393</v>
      </c>
      <c r="R374" s="24" t="s">
        <v>1004</v>
      </c>
      <c r="S374" s="25" t="s">
        <v>97</v>
      </c>
      <c r="T374" s="26">
        <v>1</v>
      </c>
      <c r="U374" s="26">
        <v>3149</v>
      </c>
      <c r="V374" s="26">
        <v>931.12</v>
      </c>
      <c r="W374" s="128">
        <f t="shared" si="71"/>
        <v>0</v>
      </c>
      <c r="X374" s="26">
        <f t="shared" si="75"/>
        <v>2060</v>
      </c>
      <c r="Y374" s="26">
        <f t="shared" si="72"/>
        <v>0</v>
      </c>
      <c r="Z374" s="26">
        <f t="shared" si="73"/>
        <v>1918107.2</v>
      </c>
      <c r="AA374" s="27" t="s">
        <v>15</v>
      </c>
      <c r="AB374" s="36" t="s">
        <v>16</v>
      </c>
      <c r="AC374" s="181">
        <f t="shared" si="65"/>
        <v>3149</v>
      </c>
      <c r="AD374" s="181">
        <f t="shared" si="74"/>
        <v>2932096.88</v>
      </c>
      <c r="AE374" s="181">
        <v>1.9</v>
      </c>
      <c r="AF374" s="181">
        <v>1.9</v>
      </c>
      <c r="AG374" s="101" t="str">
        <f t="shared" si="66"/>
        <v/>
      </c>
      <c r="AH374" s="191">
        <v>2060</v>
      </c>
      <c r="AI374" s="69">
        <f t="shared" si="67"/>
        <v>2480</v>
      </c>
    </row>
    <row r="375" spans="1:35" s="69" customFormat="1" ht="33" x14ac:dyDescent="0.3">
      <c r="A375" s="130" t="s">
        <v>1006</v>
      </c>
      <c r="B375" s="131" t="s">
        <v>678</v>
      </c>
      <c r="C375" s="132" t="s">
        <v>23</v>
      </c>
      <c r="D375" s="133">
        <v>1</v>
      </c>
      <c r="E375" s="203">
        <v>91</v>
      </c>
      <c r="F375" s="203">
        <v>291</v>
      </c>
      <c r="G375" s="203"/>
      <c r="H375" s="203">
        <v>438</v>
      </c>
      <c r="I375" s="75">
        <v>3386.57</v>
      </c>
      <c r="J375" s="75">
        <v>1483317.66</v>
      </c>
      <c r="K375" s="91" t="s">
        <v>679</v>
      </c>
      <c r="L375" s="73"/>
      <c r="M375" s="46">
        <v>291</v>
      </c>
      <c r="N375" s="46">
        <v>0</v>
      </c>
      <c r="O375" s="46">
        <v>985491.87</v>
      </c>
      <c r="P375" s="98"/>
      <c r="Q375" s="23" t="s">
        <v>1403</v>
      </c>
      <c r="R375" s="24" t="s">
        <v>678</v>
      </c>
      <c r="S375" s="25" t="s">
        <v>23</v>
      </c>
      <c r="T375" s="26">
        <v>1</v>
      </c>
      <c r="U375" s="26">
        <v>438</v>
      </c>
      <c r="V375" s="26">
        <v>3386.57</v>
      </c>
      <c r="W375" s="128">
        <f t="shared" si="71"/>
        <v>0</v>
      </c>
      <c r="X375" s="127">
        <f t="shared" si="75"/>
        <v>291</v>
      </c>
      <c r="Y375" s="127">
        <f t="shared" si="72"/>
        <v>0</v>
      </c>
      <c r="Z375" s="127">
        <f t="shared" si="73"/>
        <v>985491.87</v>
      </c>
      <c r="AA375" s="27" t="s">
        <v>15</v>
      </c>
      <c r="AB375" s="36" t="s">
        <v>16</v>
      </c>
      <c r="AC375" s="181">
        <f t="shared" si="65"/>
        <v>438</v>
      </c>
      <c r="AD375" s="181">
        <f t="shared" si="74"/>
        <v>1483317.66</v>
      </c>
      <c r="AE375" s="181">
        <v>1.9</v>
      </c>
      <c r="AF375" s="181">
        <v>1.9</v>
      </c>
      <c r="AG375" s="101" t="str">
        <f t="shared" si="66"/>
        <v/>
      </c>
      <c r="AH375" s="190">
        <v>291</v>
      </c>
      <c r="AI375" s="69">
        <f t="shared" si="67"/>
        <v>291</v>
      </c>
    </row>
    <row r="376" spans="1:35" s="69" customFormat="1" ht="49.5" x14ac:dyDescent="0.3">
      <c r="A376" s="134" t="s">
        <v>1340</v>
      </c>
      <c r="B376" s="139" t="s">
        <v>3137</v>
      </c>
      <c r="C376" s="204" t="s">
        <v>30</v>
      </c>
      <c r="D376" s="133"/>
      <c r="E376" s="59">
        <v>130</v>
      </c>
      <c r="F376" s="77"/>
      <c r="G376" s="77"/>
      <c r="H376" s="77" t="s">
        <v>15</v>
      </c>
      <c r="I376" s="77">
        <v>9706.16</v>
      </c>
      <c r="J376" s="59">
        <v>1261800.8</v>
      </c>
      <c r="K376" s="92"/>
      <c r="L376" s="73"/>
      <c r="M376" s="46">
        <v>130</v>
      </c>
      <c r="N376" s="46">
        <v>0</v>
      </c>
      <c r="O376" s="46">
        <v>1261800.8</v>
      </c>
      <c r="P376" s="98"/>
      <c r="Q376" s="23" t="s">
        <v>1427</v>
      </c>
      <c r="R376" s="24" t="s">
        <v>1500</v>
      </c>
      <c r="S376" s="25" t="s">
        <v>30</v>
      </c>
      <c r="T376" s="26">
        <v>0</v>
      </c>
      <c r="U376" s="26">
        <v>130</v>
      </c>
      <c r="V376" s="26">
        <v>9706.16</v>
      </c>
      <c r="W376" s="127">
        <f t="shared" si="71"/>
        <v>0</v>
      </c>
      <c r="X376" s="127">
        <f t="shared" si="75"/>
        <v>130</v>
      </c>
      <c r="Y376" s="127">
        <f t="shared" si="72"/>
        <v>0</v>
      </c>
      <c r="Z376" s="127">
        <f t="shared" si="73"/>
        <v>1261800.8</v>
      </c>
      <c r="AA376" s="27"/>
      <c r="AB376" s="36" t="s">
        <v>16</v>
      </c>
      <c r="AC376" s="181">
        <f t="shared" si="65"/>
        <v>130</v>
      </c>
      <c r="AD376" s="181">
        <f t="shared" si="74"/>
        <v>1261800.8</v>
      </c>
      <c r="AE376" s="181">
        <v>1.9</v>
      </c>
      <c r="AF376" s="181">
        <v>1.9</v>
      </c>
      <c r="AG376" s="101" t="str">
        <f t="shared" si="66"/>
        <v/>
      </c>
      <c r="AH376" s="191">
        <v>130</v>
      </c>
      <c r="AI376" s="69">
        <f t="shared" si="67"/>
        <v>130</v>
      </c>
    </row>
    <row r="377" spans="1:35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 t="s">
        <v>15</v>
      </c>
      <c r="I377" s="88"/>
      <c r="J377" s="88">
        <v>27540238.109999999</v>
      </c>
      <c r="K377" s="95" t="s">
        <v>15</v>
      </c>
      <c r="L377" s="73"/>
      <c r="M377" s="42">
        <v>1</v>
      </c>
      <c r="N377" s="42">
        <v>254958</v>
      </c>
      <c r="O377" s="42">
        <v>23474873.300000001</v>
      </c>
      <c r="P377" s="98"/>
      <c r="Q377" s="13" t="s">
        <v>1404</v>
      </c>
      <c r="R377" s="14" t="s">
        <v>1008</v>
      </c>
      <c r="S377" s="15" t="s">
        <v>14</v>
      </c>
      <c r="T377" s="16">
        <v>1</v>
      </c>
      <c r="U377" s="16"/>
      <c r="V377" s="16">
        <f>SUMIFS(AD:AD,AE:AE,AE377)</f>
        <v>27540238.110000003</v>
      </c>
      <c r="W377" s="16">
        <f t="shared" ref="W377:X377" si="76">IF(Y377=0,0,1)</f>
        <v>1</v>
      </c>
      <c r="X377" s="16">
        <f t="shared" si="76"/>
        <v>1</v>
      </c>
      <c r="Y377" s="16">
        <f>SUMIFS(Y:Y,AF:AF,AE377)</f>
        <v>180000</v>
      </c>
      <c r="Z377" s="16">
        <f>SUMIFS(Z:Z,AF:AF,AE377)</f>
        <v>23654873.300000004</v>
      </c>
      <c r="AA377" s="17" t="s">
        <v>15</v>
      </c>
      <c r="AB377" s="40" t="s">
        <v>16</v>
      </c>
      <c r="AC377" s="181">
        <f t="shared" si="65"/>
        <v>1</v>
      </c>
      <c r="AD377" s="183"/>
      <c r="AE377" s="183">
        <v>2</v>
      </c>
      <c r="AF377" s="183"/>
      <c r="AG377" s="101" t="str">
        <f t="shared" si="66"/>
        <v/>
      </c>
      <c r="AH377" s="190">
        <v>1</v>
      </c>
      <c r="AI377" s="69">
        <f t="shared" si="67"/>
        <v>1</v>
      </c>
    </row>
    <row r="378" spans="1:35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 t="s">
        <v>15</v>
      </c>
      <c r="I378" s="75">
        <v>711302</v>
      </c>
      <c r="J378" s="75">
        <v>711302</v>
      </c>
      <c r="K378" s="91" t="s">
        <v>1011</v>
      </c>
      <c r="L378" s="73"/>
      <c r="M378" s="46">
        <v>0</v>
      </c>
      <c r="N378" s="46">
        <v>0</v>
      </c>
      <c r="O378" s="46">
        <v>0</v>
      </c>
      <c r="P378" s="98"/>
      <c r="Q378" s="23" t="s">
        <v>1421</v>
      </c>
      <c r="R378" s="24" t="s">
        <v>1010</v>
      </c>
      <c r="S378" s="25" t="s">
        <v>14</v>
      </c>
      <c r="T378" s="26">
        <v>1</v>
      </c>
      <c r="U378" s="26">
        <v>1</v>
      </c>
      <c r="V378" s="26">
        <v>711302</v>
      </c>
      <c r="W378" s="26">
        <f t="shared" ref="W378:W406" si="77">AH378-M378</f>
        <v>0</v>
      </c>
      <c r="X378" s="26">
        <f t="shared" ref="X378:X458" si="78">W378+M378</f>
        <v>0</v>
      </c>
      <c r="Y378" s="26">
        <f t="shared" ref="Y378:Y406" si="79">Z378-O378</f>
        <v>0</v>
      </c>
      <c r="Z378" s="26">
        <f t="shared" ref="Z378:Z406" si="80">ROUND(V378*X378,2)</f>
        <v>0</v>
      </c>
      <c r="AA378" s="33" t="s">
        <v>15</v>
      </c>
      <c r="AB378" s="36" t="s">
        <v>16</v>
      </c>
      <c r="AC378" s="181">
        <f t="shared" si="65"/>
        <v>1</v>
      </c>
      <c r="AD378" s="181">
        <f t="shared" ref="AD378:AD406" si="81">ROUND(V378*AC378,2)</f>
        <v>711302</v>
      </c>
      <c r="AE378" s="181">
        <v>2</v>
      </c>
      <c r="AF378" s="181">
        <v>2</v>
      </c>
      <c r="AG378" s="101" t="str">
        <f t="shared" si="66"/>
        <v/>
      </c>
      <c r="AH378" s="190">
        <v>0</v>
      </c>
      <c r="AI378" s="69">
        <f t="shared" si="67"/>
        <v>1</v>
      </c>
    </row>
    <row r="379" spans="1:35" s="69" customFormat="1" ht="33" customHeight="1" x14ac:dyDescent="0.3">
      <c r="A379" s="55" t="s">
        <v>1012</v>
      </c>
      <c r="B379" s="53" t="s">
        <v>1013</v>
      </c>
      <c r="C379" s="54" t="s">
        <v>1014</v>
      </c>
      <c r="D379" s="75">
        <v>7</v>
      </c>
      <c r="E379" s="75"/>
      <c r="F379" s="75"/>
      <c r="G379" s="75"/>
      <c r="H379" s="76" t="s">
        <v>15</v>
      </c>
      <c r="I379" s="75">
        <v>50000</v>
      </c>
      <c r="J379" s="75">
        <v>350000</v>
      </c>
      <c r="K379" s="91" t="s">
        <v>1015</v>
      </c>
      <c r="L379" s="73"/>
      <c r="M379" s="46">
        <v>0</v>
      </c>
      <c r="N379" s="46">
        <v>0</v>
      </c>
      <c r="O379" s="46">
        <v>0</v>
      </c>
      <c r="P379" s="98"/>
      <c r="Q379" s="23" t="s">
        <v>1426</v>
      </c>
      <c r="R379" s="24" t="s">
        <v>1013</v>
      </c>
      <c r="S379" s="25" t="s">
        <v>1014</v>
      </c>
      <c r="T379" s="26">
        <v>7</v>
      </c>
      <c r="U379" s="26">
        <v>7</v>
      </c>
      <c r="V379" s="26">
        <v>50000</v>
      </c>
      <c r="W379" s="26">
        <f t="shared" si="77"/>
        <v>0</v>
      </c>
      <c r="X379" s="26">
        <f t="shared" si="78"/>
        <v>0</v>
      </c>
      <c r="Y379" s="26">
        <f t="shared" si="79"/>
        <v>0</v>
      </c>
      <c r="Z379" s="26">
        <f t="shared" si="80"/>
        <v>0</v>
      </c>
      <c r="AA379" s="33" t="s">
        <v>15</v>
      </c>
      <c r="AB379" s="36" t="s">
        <v>16</v>
      </c>
      <c r="AC379" s="181">
        <f t="shared" si="65"/>
        <v>7</v>
      </c>
      <c r="AD379" s="181">
        <f t="shared" si="81"/>
        <v>350000</v>
      </c>
      <c r="AE379" s="181">
        <v>2</v>
      </c>
      <c r="AF379" s="181">
        <v>2</v>
      </c>
      <c r="AG379" s="101" t="str">
        <f t="shared" si="66"/>
        <v/>
      </c>
      <c r="AH379" s="190">
        <v>0</v>
      </c>
      <c r="AI379" s="69">
        <f t="shared" si="67"/>
        <v>7</v>
      </c>
    </row>
    <row r="380" spans="1:35" s="69" customFormat="1" ht="33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75"/>
      <c r="F380" s="75">
        <v>400</v>
      </c>
      <c r="G380" s="224"/>
      <c r="H380" s="158" t="s">
        <v>15</v>
      </c>
      <c r="I380" s="166">
        <v>22500</v>
      </c>
      <c r="J380" s="75">
        <v>9000000</v>
      </c>
      <c r="K380" s="91" t="s">
        <v>1018</v>
      </c>
      <c r="L380" s="73"/>
      <c r="M380" s="46">
        <v>400</v>
      </c>
      <c r="N380" s="46">
        <v>0</v>
      </c>
      <c r="O380" s="46">
        <v>9000000</v>
      </c>
      <c r="P380" s="98"/>
      <c r="Q380" s="23" t="s">
        <v>1402</v>
      </c>
      <c r="R380" s="24" t="s">
        <v>1017</v>
      </c>
      <c r="S380" s="25" t="s">
        <v>50</v>
      </c>
      <c r="T380" s="26">
        <v>360</v>
      </c>
      <c r="U380" s="26">
        <v>400</v>
      </c>
      <c r="V380" s="26">
        <v>22500</v>
      </c>
      <c r="W380" s="127">
        <f t="shared" si="77"/>
        <v>0</v>
      </c>
      <c r="X380" s="127">
        <f t="shared" si="78"/>
        <v>400</v>
      </c>
      <c r="Y380" s="127">
        <f t="shared" si="79"/>
        <v>0</v>
      </c>
      <c r="Z380" s="127">
        <f t="shared" si="80"/>
        <v>9000000</v>
      </c>
      <c r="AA380" s="27" t="s">
        <v>15</v>
      </c>
      <c r="AB380" s="36" t="s">
        <v>16</v>
      </c>
      <c r="AC380" s="181">
        <f t="shared" si="65"/>
        <v>400</v>
      </c>
      <c r="AD380" s="181">
        <f t="shared" si="81"/>
        <v>9000000</v>
      </c>
      <c r="AE380" s="181">
        <v>2</v>
      </c>
      <c r="AF380" s="181">
        <v>2</v>
      </c>
      <c r="AG380" s="101" t="str">
        <f t="shared" si="66"/>
        <v/>
      </c>
      <c r="AH380" s="190">
        <v>400</v>
      </c>
      <c r="AI380" s="69">
        <f t="shared" si="67"/>
        <v>400</v>
      </c>
    </row>
    <row r="381" spans="1:35" s="69" customFormat="1" ht="49.5" x14ac:dyDescent="0.3">
      <c r="A381" s="55" t="s">
        <v>1019</v>
      </c>
      <c r="B381" s="138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235"/>
      <c r="H381" s="158" t="s">
        <v>15</v>
      </c>
      <c r="I381" s="166">
        <v>806</v>
      </c>
      <c r="J381" s="75">
        <v>2941900</v>
      </c>
      <c r="K381" s="91" t="s">
        <v>1022</v>
      </c>
      <c r="L381" s="73"/>
      <c r="M381" s="46">
        <v>2070</v>
      </c>
      <c r="N381" s="46">
        <v>74958</v>
      </c>
      <c r="O381" s="46">
        <v>1668420</v>
      </c>
      <c r="P381" s="98"/>
      <c r="Q381" s="23" t="s">
        <v>1373</v>
      </c>
      <c r="R381" s="24" t="s">
        <v>1020</v>
      </c>
      <c r="S381" s="25" t="s">
        <v>1021</v>
      </c>
      <c r="T381" s="26">
        <v>730</v>
      </c>
      <c r="U381" s="26">
        <v>3650</v>
      </c>
      <c r="V381" s="26">
        <v>806</v>
      </c>
      <c r="W381" s="102">
        <f t="shared" si="77"/>
        <v>0</v>
      </c>
      <c r="X381" s="26">
        <f t="shared" si="78"/>
        <v>2070</v>
      </c>
      <c r="Y381" s="26">
        <f t="shared" si="79"/>
        <v>0</v>
      </c>
      <c r="Z381" s="26">
        <f t="shared" si="80"/>
        <v>1668420</v>
      </c>
      <c r="AA381" s="27" t="s">
        <v>15</v>
      </c>
      <c r="AB381" s="36" t="s">
        <v>16</v>
      </c>
      <c r="AC381" s="181">
        <f t="shared" si="65"/>
        <v>3650</v>
      </c>
      <c r="AD381" s="181">
        <f t="shared" si="81"/>
        <v>2941900</v>
      </c>
      <c r="AE381" s="181">
        <v>2</v>
      </c>
      <c r="AF381" s="181">
        <v>2</v>
      </c>
      <c r="AG381" s="101" t="str">
        <f t="shared" si="66"/>
        <v/>
      </c>
      <c r="AH381" s="191">
        <v>2070</v>
      </c>
      <c r="AI381" s="69">
        <f t="shared" si="67"/>
        <v>3650</v>
      </c>
    </row>
    <row r="382" spans="1:35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75">
        <v>4</v>
      </c>
      <c r="F382" s="161">
        <v>5</v>
      </c>
      <c r="G382" s="235"/>
      <c r="H382" s="158" t="s">
        <v>15</v>
      </c>
      <c r="I382" s="166">
        <v>50000</v>
      </c>
      <c r="J382" s="75">
        <v>250000</v>
      </c>
      <c r="K382" s="91" t="s">
        <v>1025</v>
      </c>
      <c r="L382" s="73"/>
      <c r="M382" s="46">
        <v>5</v>
      </c>
      <c r="N382" s="46">
        <v>0</v>
      </c>
      <c r="O382" s="46">
        <v>250000</v>
      </c>
      <c r="P382" s="98"/>
      <c r="Q382" s="23" t="s">
        <v>1393</v>
      </c>
      <c r="R382" s="24" t="s">
        <v>1024</v>
      </c>
      <c r="S382" s="25" t="s">
        <v>1014</v>
      </c>
      <c r="T382" s="26">
        <v>2</v>
      </c>
      <c r="U382" s="26">
        <v>5</v>
      </c>
      <c r="V382" s="26">
        <v>50000</v>
      </c>
      <c r="W382" s="127">
        <f t="shared" si="77"/>
        <v>0</v>
      </c>
      <c r="X382" s="127">
        <f t="shared" si="78"/>
        <v>5</v>
      </c>
      <c r="Y382" s="127">
        <f t="shared" si="79"/>
        <v>0</v>
      </c>
      <c r="Z382" s="127">
        <f t="shared" si="80"/>
        <v>250000</v>
      </c>
      <c r="AA382" s="27" t="s">
        <v>15</v>
      </c>
      <c r="AB382" s="36" t="s">
        <v>16</v>
      </c>
      <c r="AC382" s="181">
        <f t="shared" si="65"/>
        <v>5</v>
      </c>
      <c r="AD382" s="181">
        <f t="shared" si="81"/>
        <v>250000</v>
      </c>
      <c r="AE382" s="181">
        <v>2</v>
      </c>
      <c r="AF382" s="181">
        <v>2</v>
      </c>
      <c r="AG382" s="101" t="str">
        <f t="shared" si="66"/>
        <v/>
      </c>
      <c r="AH382" s="190">
        <v>5</v>
      </c>
      <c r="AI382" s="69">
        <f t="shared" si="67"/>
        <v>5</v>
      </c>
    </row>
    <row r="383" spans="1:35" s="69" customFormat="1" ht="36.75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235"/>
      <c r="H383" s="158" t="s">
        <v>15</v>
      </c>
      <c r="I383" s="166">
        <v>180000</v>
      </c>
      <c r="J383" s="75">
        <v>4320000</v>
      </c>
      <c r="K383" s="91" t="s">
        <v>1029</v>
      </c>
      <c r="L383" s="73"/>
      <c r="M383" s="46">
        <v>17</v>
      </c>
      <c r="N383" s="46">
        <v>180000</v>
      </c>
      <c r="O383" s="46">
        <v>3060000</v>
      </c>
      <c r="P383" s="98"/>
      <c r="Q383" s="23" t="s">
        <v>1403</v>
      </c>
      <c r="R383" s="24" t="s">
        <v>1027</v>
      </c>
      <c r="S383" s="25" t="s">
        <v>1028</v>
      </c>
      <c r="T383" s="26">
        <v>24</v>
      </c>
      <c r="U383" s="26">
        <v>24</v>
      </c>
      <c r="V383" s="26">
        <v>180000</v>
      </c>
      <c r="W383" s="102">
        <f t="shared" si="77"/>
        <v>1</v>
      </c>
      <c r="X383" s="26">
        <f t="shared" si="78"/>
        <v>18</v>
      </c>
      <c r="Y383" s="26">
        <f t="shared" si="79"/>
        <v>180000</v>
      </c>
      <c r="Z383" s="26">
        <f t="shared" si="80"/>
        <v>3240000</v>
      </c>
      <c r="AA383" s="33" t="s">
        <v>15</v>
      </c>
      <c r="AB383" s="36" t="s">
        <v>16</v>
      </c>
      <c r="AC383" s="181">
        <f t="shared" si="65"/>
        <v>24</v>
      </c>
      <c r="AD383" s="181">
        <f t="shared" si="81"/>
        <v>4320000</v>
      </c>
      <c r="AE383" s="181">
        <v>2</v>
      </c>
      <c r="AF383" s="181">
        <v>2</v>
      </c>
      <c r="AG383" s="101" t="str">
        <f t="shared" si="66"/>
        <v/>
      </c>
      <c r="AH383" s="191">
        <f>17+1</f>
        <v>18</v>
      </c>
      <c r="AI383" s="69">
        <f t="shared" si="67"/>
        <v>24</v>
      </c>
    </row>
    <row r="384" spans="1:35" s="69" customFormat="1" ht="34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235"/>
      <c r="H384" s="158" t="s">
        <v>15</v>
      </c>
      <c r="I384" s="166">
        <v>205982.81</v>
      </c>
      <c r="J384" s="75">
        <v>205982.81</v>
      </c>
      <c r="K384" s="91" t="s">
        <v>1032</v>
      </c>
      <c r="L384" s="73"/>
      <c r="M384" s="46">
        <v>0</v>
      </c>
      <c r="N384" s="46">
        <v>0</v>
      </c>
      <c r="O384" s="46">
        <v>0</v>
      </c>
      <c r="P384" s="98"/>
      <c r="Q384" s="23" t="s">
        <v>1427</v>
      </c>
      <c r="R384" s="24" t="s">
        <v>1031</v>
      </c>
      <c r="S384" s="25" t="s">
        <v>14</v>
      </c>
      <c r="T384" s="26">
        <v>1</v>
      </c>
      <c r="U384" s="26">
        <v>1</v>
      </c>
      <c r="V384" s="26">
        <v>205982.81</v>
      </c>
      <c r="W384" s="26">
        <f t="shared" si="77"/>
        <v>0</v>
      </c>
      <c r="X384" s="26">
        <f t="shared" si="78"/>
        <v>0</v>
      </c>
      <c r="Y384" s="26">
        <f t="shared" si="79"/>
        <v>0</v>
      </c>
      <c r="Z384" s="26">
        <f t="shared" si="80"/>
        <v>0</v>
      </c>
      <c r="AA384" s="33" t="s">
        <v>15</v>
      </c>
      <c r="AB384" s="36" t="s">
        <v>16</v>
      </c>
      <c r="AC384" s="181">
        <f t="shared" si="65"/>
        <v>1</v>
      </c>
      <c r="AD384" s="181">
        <f t="shared" si="81"/>
        <v>205982.81</v>
      </c>
      <c r="AE384" s="181">
        <v>2</v>
      </c>
      <c r="AF384" s="181">
        <v>2</v>
      </c>
      <c r="AG384" s="101" t="str">
        <f t="shared" si="66"/>
        <v/>
      </c>
      <c r="AH384" s="190">
        <v>0</v>
      </c>
      <c r="AI384" s="69">
        <f t="shared" si="67"/>
        <v>1</v>
      </c>
    </row>
    <row r="385" spans="1:35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75"/>
      <c r="F385" s="161"/>
      <c r="G385" s="235"/>
      <c r="H385" s="158" t="s">
        <v>15</v>
      </c>
      <c r="I385" s="166">
        <v>2425000</v>
      </c>
      <c r="J385" s="75">
        <v>2425000</v>
      </c>
      <c r="K385" s="91" t="s">
        <v>1035</v>
      </c>
      <c r="L385" s="73"/>
      <c r="M385" s="46">
        <v>1</v>
      </c>
      <c r="N385" s="46">
        <v>0</v>
      </c>
      <c r="O385" s="46">
        <v>2425000</v>
      </c>
      <c r="P385" s="98"/>
      <c r="Q385" s="23" t="s">
        <v>1428</v>
      </c>
      <c r="R385" s="24" t="s">
        <v>1034</v>
      </c>
      <c r="S385" s="25" t="s">
        <v>14</v>
      </c>
      <c r="T385" s="26">
        <v>1</v>
      </c>
      <c r="U385" s="26">
        <v>1</v>
      </c>
      <c r="V385" s="26">
        <v>2425000</v>
      </c>
      <c r="W385" s="127">
        <f t="shared" si="77"/>
        <v>0</v>
      </c>
      <c r="X385" s="127">
        <f t="shared" si="78"/>
        <v>1</v>
      </c>
      <c r="Y385" s="127">
        <f t="shared" si="79"/>
        <v>0</v>
      </c>
      <c r="Z385" s="127">
        <f t="shared" si="80"/>
        <v>2425000</v>
      </c>
      <c r="AA385" s="33" t="s">
        <v>1499</v>
      </c>
      <c r="AB385" s="36" t="s">
        <v>16</v>
      </c>
      <c r="AC385" s="181">
        <f t="shared" si="65"/>
        <v>1</v>
      </c>
      <c r="AD385" s="181">
        <f t="shared" si="81"/>
        <v>2425000</v>
      </c>
      <c r="AE385" s="181">
        <v>2</v>
      </c>
      <c r="AF385" s="181">
        <v>2</v>
      </c>
      <c r="AG385" s="101" t="str">
        <f t="shared" si="66"/>
        <v/>
      </c>
      <c r="AH385" s="190">
        <v>1</v>
      </c>
      <c r="AI385" s="69">
        <f t="shared" si="67"/>
        <v>1</v>
      </c>
    </row>
    <row r="386" spans="1:35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235"/>
      <c r="H386" s="158" t="s">
        <v>15</v>
      </c>
      <c r="I386" s="166">
        <v>350000</v>
      </c>
      <c r="J386" s="75">
        <v>350000</v>
      </c>
      <c r="K386" s="91" t="s">
        <v>1038</v>
      </c>
      <c r="L386" s="73"/>
      <c r="M386" s="46">
        <v>1</v>
      </c>
      <c r="N386" s="46">
        <v>0</v>
      </c>
      <c r="O386" s="46">
        <v>175000</v>
      </c>
      <c r="P386" s="98"/>
      <c r="Q386" s="23" t="s">
        <v>1387</v>
      </c>
      <c r="R386" s="24" t="s">
        <v>1037</v>
      </c>
      <c r="S386" s="25" t="s">
        <v>14</v>
      </c>
      <c r="T386" s="26">
        <v>1</v>
      </c>
      <c r="U386" s="26">
        <v>1</v>
      </c>
      <c r="V386" s="26">
        <v>350000</v>
      </c>
      <c r="W386" s="128">
        <f t="shared" si="77"/>
        <v>0</v>
      </c>
      <c r="X386" s="26">
        <v>0.5</v>
      </c>
      <c r="Y386" s="26">
        <f t="shared" si="79"/>
        <v>0</v>
      </c>
      <c r="Z386" s="26">
        <f t="shared" si="80"/>
        <v>175000</v>
      </c>
      <c r="AA386" s="33" t="s">
        <v>15</v>
      </c>
      <c r="AB386" s="36" t="s">
        <v>16</v>
      </c>
      <c r="AC386" s="181">
        <f t="shared" si="65"/>
        <v>1</v>
      </c>
      <c r="AD386" s="181">
        <f t="shared" si="81"/>
        <v>350000</v>
      </c>
      <c r="AE386" s="181">
        <v>2</v>
      </c>
      <c r="AF386" s="181">
        <v>2</v>
      </c>
      <c r="AG386" s="101" t="str">
        <f t="shared" si="66"/>
        <v/>
      </c>
      <c r="AH386" s="191">
        <v>1</v>
      </c>
      <c r="AI386" s="69">
        <f t="shared" si="67"/>
        <v>1</v>
      </c>
    </row>
    <row r="387" spans="1:35" ht="33" x14ac:dyDescent="0.3">
      <c r="A387" s="134" t="s">
        <v>1342</v>
      </c>
      <c r="B387" s="135" t="s">
        <v>1343</v>
      </c>
      <c r="C387" s="204" t="s">
        <v>50</v>
      </c>
      <c r="D387" s="133"/>
      <c r="E387" s="78"/>
      <c r="F387" s="163">
        <v>320</v>
      </c>
      <c r="G387" s="163"/>
      <c r="H387" s="62" t="s">
        <v>15</v>
      </c>
      <c r="I387" s="167">
        <v>10869.24</v>
      </c>
      <c r="J387" s="62">
        <v>3478156.8</v>
      </c>
      <c r="K387" s="93"/>
      <c r="M387" s="46">
        <v>320</v>
      </c>
      <c r="N387" s="46">
        <v>0</v>
      </c>
      <c r="O387" s="46">
        <v>3478156.8</v>
      </c>
      <c r="P387" s="98"/>
      <c r="Q387" s="23" t="s">
        <v>1405</v>
      </c>
      <c r="R387" s="24" t="s">
        <v>1343</v>
      </c>
      <c r="S387" s="25" t="s">
        <v>50</v>
      </c>
      <c r="T387" s="26">
        <v>0</v>
      </c>
      <c r="U387" s="26">
        <v>320</v>
      </c>
      <c r="V387" s="26">
        <v>10869.24</v>
      </c>
      <c r="W387" s="128">
        <f t="shared" si="77"/>
        <v>0</v>
      </c>
      <c r="X387" s="127">
        <f t="shared" si="78"/>
        <v>320</v>
      </c>
      <c r="Y387" s="127">
        <f t="shared" si="79"/>
        <v>0</v>
      </c>
      <c r="Z387" s="127">
        <f t="shared" si="80"/>
        <v>3478156.8</v>
      </c>
      <c r="AA387" s="27"/>
      <c r="AB387" s="36" t="s">
        <v>16</v>
      </c>
      <c r="AC387" s="181">
        <f t="shared" si="65"/>
        <v>320</v>
      </c>
      <c r="AD387" s="181">
        <f t="shared" si="81"/>
        <v>3478156.8</v>
      </c>
      <c r="AE387" s="181">
        <v>2</v>
      </c>
      <c r="AF387" s="181">
        <v>2</v>
      </c>
      <c r="AG387" s="101" t="str">
        <f t="shared" si="66"/>
        <v/>
      </c>
      <c r="AH387" s="191">
        <v>320</v>
      </c>
      <c r="AI387" s="69">
        <f t="shared" si="67"/>
        <v>320</v>
      </c>
    </row>
    <row r="388" spans="1:35" ht="33" x14ac:dyDescent="0.3">
      <c r="A388" s="144" t="s">
        <v>1344</v>
      </c>
      <c r="B388" s="145" t="s">
        <v>1345</v>
      </c>
      <c r="C388" s="206" t="s">
        <v>325</v>
      </c>
      <c r="D388" s="170"/>
      <c r="E388" s="147"/>
      <c r="F388" s="164">
        <v>2</v>
      </c>
      <c r="G388" s="163"/>
      <c r="H388" s="62" t="s">
        <v>15</v>
      </c>
      <c r="I388" s="168">
        <v>60995.57</v>
      </c>
      <c r="J388" s="148">
        <v>121991.14</v>
      </c>
      <c r="K388" s="149"/>
      <c r="M388" s="46">
        <v>2</v>
      </c>
      <c r="N388" s="46">
        <v>0</v>
      </c>
      <c r="O388" s="46">
        <v>121991.14</v>
      </c>
      <c r="P388" s="98"/>
      <c r="Q388" s="23" t="s">
        <v>1406</v>
      </c>
      <c r="R388" s="24" t="s">
        <v>1345</v>
      </c>
      <c r="S388" s="25" t="s">
        <v>325</v>
      </c>
      <c r="T388" s="26">
        <v>0</v>
      </c>
      <c r="U388" s="26">
        <v>2</v>
      </c>
      <c r="V388" s="26">
        <v>60995.57</v>
      </c>
      <c r="W388" s="127">
        <f t="shared" si="77"/>
        <v>0</v>
      </c>
      <c r="X388" s="127">
        <f t="shared" si="78"/>
        <v>2</v>
      </c>
      <c r="Y388" s="127">
        <f t="shared" si="79"/>
        <v>0</v>
      </c>
      <c r="Z388" s="127">
        <f t="shared" si="80"/>
        <v>121991.14</v>
      </c>
      <c r="AA388" s="27"/>
      <c r="AB388" s="36" t="s">
        <v>16</v>
      </c>
      <c r="AC388" s="181">
        <f t="shared" si="65"/>
        <v>2</v>
      </c>
      <c r="AD388" s="181">
        <f t="shared" si="81"/>
        <v>121991.14</v>
      </c>
      <c r="AE388" s="181">
        <v>2</v>
      </c>
      <c r="AF388" s="181">
        <v>2</v>
      </c>
      <c r="AG388" s="101" t="str">
        <f t="shared" si="66"/>
        <v/>
      </c>
      <c r="AH388" s="190">
        <v>2</v>
      </c>
      <c r="AI388" s="69">
        <f t="shared" si="67"/>
        <v>2</v>
      </c>
    </row>
    <row r="389" spans="1:35" ht="39" x14ac:dyDescent="0.3">
      <c r="A389" s="207" t="s">
        <v>3072</v>
      </c>
      <c r="B389" s="208" t="s">
        <v>3073</v>
      </c>
      <c r="C389" s="204" t="s">
        <v>97</v>
      </c>
      <c r="D389" s="171"/>
      <c r="E389" s="158"/>
      <c r="F389" s="165"/>
      <c r="G389" s="159">
        <v>220</v>
      </c>
      <c r="H389" s="223" t="s">
        <v>15</v>
      </c>
      <c r="I389" s="169">
        <v>1159.82</v>
      </c>
      <c r="J389" s="159">
        <v>255160.4</v>
      </c>
      <c r="K389" s="172"/>
      <c r="M389" s="46">
        <v>220</v>
      </c>
      <c r="N389" s="46">
        <v>0</v>
      </c>
      <c r="O389" s="46">
        <v>255160.4</v>
      </c>
      <c r="P389" s="98"/>
      <c r="Q389" s="23" t="s">
        <v>1414</v>
      </c>
      <c r="R389" s="24" t="s">
        <v>3073</v>
      </c>
      <c r="S389" s="25" t="s">
        <v>97</v>
      </c>
      <c r="T389" s="26"/>
      <c r="U389" s="26">
        <v>220</v>
      </c>
      <c r="V389" s="169">
        <v>1159.82</v>
      </c>
      <c r="W389" s="127">
        <f t="shared" si="77"/>
        <v>0</v>
      </c>
      <c r="X389" s="127">
        <f>W389+M389</f>
        <v>220</v>
      </c>
      <c r="Y389" s="127">
        <f t="shared" si="79"/>
        <v>0</v>
      </c>
      <c r="Z389" s="127">
        <f t="shared" si="80"/>
        <v>255160.4</v>
      </c>
      <c r="AA389" s="27"/>
      <c r="AB389" s="36"/>
      <c r="AC389" s="200">
        <v>220</v>
      </c>
      <c r="AD389" s="181">
        <f t="shared" si="81"/>
        <v>255160.4</v>
      </c>
      <c r="AE389" s="181">
        <v>2</v>
      </c>
      <c r="AF389" s="181">
        <v>2</v>
      </c>
      <c r="AG389" s="101"/>
      <c r="AH389" s="190">
        <v>220</v>
      </c>
      <c r="AI389" s="69">
        <f t="shared" si="67"/>
        <v>220</v>
      </c>
    </row>
    <row r="390" spans="1:35" ht="39" x14ac:dyDescent="0.3">
      <c r="A390" s="207" t="s">
        <v>3074</v>
      </c>
      <c r="B390" s="208" t="s">
        <v>3075</v>
      </c>
      <c r="C390" s="204" t="s">
        <v>97</v>
      </c>
      <c r="D390" s="171"/>
      <c r="E390" s="158"/>
      <c r="F390" s="165"/>
      <c r="G390" s="159">
        <v>264.5</v>
      </c>
      <c r="H390" s="223" t="s">
        <v>15</v>
      </c>
      <c r="I390" s="169">
        <v>689.89</v>
      </c>
      <c r="J390" s="159">
        <v>182475.91</v>
      </c>
      <c r="K390" s="172"/>
      <c r="M390" s="46">
        <v>264.5</v>
      </c>
      <c r="N390" s="46">
        <v>0</v>
      </c>
      <c r="O390" s="46">
        <v>182475.91</v>
      </c>
      <c r="P390" s="98"/>
      <c r="Q390" s="23" t="s">
        <v>1429</v>
      </c>
      <c r="R390" s="24" t="s">
        <v>3075</v>
      </c>
      <c r="S390" s="25" t="s">
        <v>97</v>
      </c>
      <c r="T390" s="26"/>
      <c r="U390" s="26">
        <v>264.5</v>
      </c>
      <c r="V390" s="169">
        <v>689.89</v>
      </c>
      <c r="W390" s="127">
        <f t="shared" si="77"/>
        <v>0</v>
      </c>
      <c r="X390" s="127">
        <f t="shared" ref="X390:X406" si="82">W390+M390</f>
        <v>264.5</v>
      </c>
      <c r="Y390" s="127">
        <f t="shared" si="79"/>
        <v>0</v>
      </c>
      <c r="Z390" s="127">
        <f t="shared" si="80"/>
        <v>182475.91</v>
      </c>
      <c r="AA390" s="27"/>
      <c r="AB390" s="36"/>
      <c r="AC390" s="200">
        <v>264.5</v>
      </c>
      <c r="AD390" s="181">
        <f t="shared" si="81"/>
        <v>182475.91</v>
      </c>
      <c r="AE390" s="181">
        <v>2</v>
      </c>
      <c r="AF390" s="181">
        <v>2</v>
      </c>
      <c r="AG390" s="101"/>
      <c r="AH390" s="190">
        <v>264.5</v>
      </c>
      <c r="AI390" s="69">
        <f t="shared" si="67"/>
        <v>264.5</v>
      </c>
    </row>
    <row r="391" spans="1:35" ht="49.5" x14ac:dyDescent="0.3">
      <c r="A391" s="207" t="s">
        <v>3076</v>
      </c>
      <c r="B391" s="241" t="s">
        <v>3077</v>
      </c>
      <c r="C391" s="204" t="s">
        <v>97</v>
      </c>
      <c r="D391" s="171"/>
      <c r="E391" s="158"/>
      <c r="F391" s="165"/>
      <c r="G391" s="159">
        <v>218.5</v>
      </c>
      <c r="H391" s="223" t="s">
        <v>15</v>
      </c>
      <c r="I391" s="169">
        <v>899.86</v>
      </c>
      <c r="J391" s="159">
        <v>196619.41</v>
      </c>
      <c r="K391" s="172"/>
      <c r="M391" s="46">
        <v>218.5</v>
      </c>
      <c r="N391" s="46">
        <v>0</v>
      </c>
      <c r="O391" s="46">
        <v>196619.41</v>
      </c>
      <c r="P391" s="98"/>
      <c r="Q391" s="23" t="s">
        <v>1430</v>
      </c>
      <c r="R391" s="24" t="s">
        <v>3077</v>
      </c>
      <c r="S391" s="25" t="s">
        <v>97</v>
      </c>
      <c r="T391" s="26"/>
      <c r="U391" s="26">
        <v>218.5</v>
      </c>
      <c r="V391" s="169">
        <v>899.86</v>
      </c>
      <c r="W391" s="127">
        <f t="shared" si="77"/>
        <v>0</v>
      </c>
      <c r="X391" s="127">
        <f t="shared" si="82"/>
        <v>218.5</v>
      </c>
      <c r="Y391" s="127">
        <f t="shared" si="79"/>
        <v>0</v>
      </c>
      <c r="Z391" s="127">
        <f t="shared" si="80"/>
        <v>196619.41</v>
      </c>
      <c r="AA391" s="27"/>
      <c r="AB391" s="36"/>
      <c r="AC391" s="200">
        <v>218.5</v>
      </c>
      <c r="AD391" s="181">
        <f t="shared" si="81"/>
        <v>196619.41</v>
      </c>
      <c r="AE391" s="181">
        <v>2</v>
      </c>
      <c r="AF391" s="181">
        <v>2</v>
      </c>
      <c r="AG391" s="101"/>
      <c r="AH391" s="190">
        <v>218.5</v>
      </c>
      <c r="AI391" s="69">
        <f t="shared" si="67"/>
        <v>218.5</v>
      </c>
    </row>
    <row r="392" spans="1:35" ht="39" x14ac:dyDescent="0.3">
      <c r="A392" s="207" t="s">
        <v>3078</v>
      </c>
      <c r="B392" s="208" t="s">
        <v>3079</v>
      </c>
      <c r="C392" s="204" t="s">
        <v>97</v>
      </c>
      <c r="D392" s="171"/>
      <c r="E392" s="158"/>
      <c r="F392" s="165"/>
      <c r="G392" s="159">
        <v>87.5</v>
      </c>
      <c r="H392" s="223" t="s">
        <v>15</v>
      </c>
      <c r="I392" s="169">
        <v>1499.76</v>
      </c>
      <c r="J392" s="159">
        <v>131229</v>
      </c>
      <c r="K392" s="172"/>
      <c r="M392" s="46">
        <v>87.5</v>
      </c>
      <c r="N392" s="46">
        <v>0</v>
      </c>
      <c r="O392" s="46">
        <v>131229</v>
      </c>
      <c r="P392" s="98"/>
      <c r="Q392" s="23" t="s">
        <v>1431</v>
      </c>
      <c r="R392" s="24" t="s">
        <v>3079</v>
      </c>
      <c r="S392" s="25" t="s">
        <v>97</v>
      </c>
      <c r="T392" s="26"/>
      <c r="U392" s="26">
        <v>87.5</v>
      </c>
      <c r="V392" s="169">
        <v>1499.76</v>
      </c>
      <c r="W392" s="127">
        <f t="shared" si="77"/>
        <v>0</v>
      </c>
      <c r="X392" s="127">
        <f t="shared" si="82"/>
        <v>87.5</v>
      </c>
      <c r="Y392" s="127">
        <f t="shared" si="79"/>
        <v>0</v>
      </c>
      <c r="Z392" s="127">
        <f t="shared" si="80"/>
        <v>131229</v>
      </c>
      <c r="AA392" s="27"/>
      <c r="AB392" s="36"/>
      <c r="AC392" s="200">
        <v>87.5</v>
      </c>
      <c r="AD392" s="181">
        <f t="shared" si="81"/>
        <v>131229</v>
      </c>
      <c r="AE392" s="181">
        <v>2</v>
      </c>
      <c r="AF392" s="181">
        <v>2</v>
      </c>
      <c r="AG392" s="101"/>
      <c r="AH392" s="190">
        <v>87.5</v>
      </c>
      <c r="AI392" s="69">
        <f t="shared" si="67"/>
        <v>87.5</v>
      </c>
    </row>
    <row r="393" spans="1:35" ht="39" x14ac:dyDescent="0.3">
      <c r="A393" s="207" t="s">
        <v>3080</v>
      </c>
      <c r="B393" s="208" t="s">
        <v>3081</v>
      </c>
      <c r="C393" s="204" t="s">
        <v>97</v>
      </c>
      <c r="D393" s="171"/>
      <c r="E393" s="158"/>
      <c r="F393" s="159"/>
      <c r="G393" s="159">
        <v>144.5</v>
      </c>
      <c r="H393" s="159" t="s">
        <v>15</v>
      </c>
      <c r="I393" s="158">
        <v>1419.78</v>
      </c>
      <c r="J393" s="159">
        <v>205158.21</v>
      </c>
      <c r="K393" s="172"/>
      <c r="M393" s="46">
        <v>144.5</v>
      </c>
      <c r="N393" s="46">
        <v>0</v>
      </c>
      <c r="O393" s="46">
        <v>205158.21</v>
      </c>
      <c r="P393" s="98"/>
      <c r="Q393" s="23" t="s">
        <v>1395</v>
      </c>
      <c r="R393" s="24" t="s">
        <v>3081</v>
      </c>
      <c r="S393" s="25" t="s">
        <v>97</v>
      </c>
      <c r="T393" s="26"/>
      <c r="U393" s="26">
        <v>144.5</v>
      </c>
      <c r="V393" s="158">
        <v>1419.78</v>
      </c>
      <c r="W393" s="127">
        <f t="shared" si="77"/>
        <v>0</v>
      </c>
      <c r="X393" s="127">
        <f t="shared" si="82"/>
        <v>144.5</v>
      </c>
      <c r="Y393" s="127">
        <f t="shared" si="79"/>
        <v>0</v>
      </c>
      <c r="Z393" s="127">
        <f t="shared" si="80"/>
        <v>205158.21</v>
      </c>
      <c r="AA393" s="27"/>
      <c r="AB393" s="36"/>
      <c r="AC393" s="200">
        <v>144.5</v>
      </c>
      <c r="AD393" s="181">
        <f t="shared" si="81"/>
        <v>205158.21</v>
      </c>
      <c r="AE393" s="181">
        <v>2</v>
      </c>
      <c r="AF393" s="181">
        <v>2</v>
      </c>
      <c r="AG393" s="101"/>
      <c r="AH393" s="190">
        <v>144.5</v>
      </c>
      <c r="AI393" s="69">
        <f t="shared" si="67"/>
        <v>144.5</v>
      </c>
    </row>
    <row r="394" spans="1:35" x14ac:dyDescent="0.3">
      <c r="A394" s="207" t="s">
        <v>3082</v>
      </c>
      <c r="B394" s="208" t="s">
        <v>3083</v>
      </c>
      <c r="C394" s="204" t="s">
        <v>97</v>
      </c>
      <c r="D394" s="171"/>
      <c r="E394" s="158"/>
      <c r="F394" s="159"/>
      <c r="G394" s="159">
        <v>27</v>
      </c>
      <c r="H394" s="159" t="s">
        <v>15</v>
      </c>
      <c r="I394" s="158">
        <v>2999.53</v>
      </c>
      <c r="J394" s="159">
        <v>80987.31</v>
      </c>
      <c r="K394" s="172"/>
      <c r="M394" s="46">
        <v>27</v>
      </c>
      <c r="N394" s="46">
        <v>0</v>
      </c>
      <c r="O394" s="46">
        <v>80987.31</v>
      </c>
      <c r="P394" s="98"/>
      <c r="Q394" s="23" t="s">
        <v>1432</v>
      </c>
      <c r="R394" s="24" t="s">
        <v>3083</v>
      </c>
      <c r="S394" s="25" t="s">
        <v>97</v>
      </c>
      <c r="T394" s="26"/>
      <c r="U394" s="26">
        <v>27</v>
      </c>
      <c r="V394" s="158">
        <v>2999.53</v>
      </c>
      <c r="W394" s="127">
        <f t="shared" si="77"/>
        <v>0</v>
      </c>
      <c r="X394" s="127">
        <f t="shared" si="82"/>
        <v>27</v>
      </c>
      <c r="Y394" s="127">
        <f t="shared" si="79"/>
        <v>0</v>
      </c>
      <c r="Z394" s="127">
        <f t="shared" si="80"/>
        <v>80987.31</v>
      </c>
      <c r="AA394" s="27"/>
      <c r="AB394" s="36"/>
      <c r="AC394" s="200">
        <v>27</v>
      </c>
      <c r="AD394" s="181">
        <f t="shared" si="81"/>
        <v>80987.31</v>
      </c>
      <c r="AE394" s="181">
        <v>2</v>
      </c>
      <c r="AF394" s="181">
        <v>2</v>
      </c>
      <c r="AG394" s="101"/>
      <c r="AH394" s="190">
        <v>27</v>
      </c>
      <c r="AI394" s="69">
        <f t="shared" si="67"/>
        <v>27</v>
      </c>
    </row>
    <row r="395" spans="1:35" x14ac:dyDescent="0.3">
      <c r="A395" s="207" t="s">
        <v>3084</v>
      </c>
      <c r="B395" s="208" t="s">
        <v>3085</v>
      </c>
      <c r="C395" s="204" t="s">
        <v>97</v>
      </c>
      <c r="D395" s="171"/>
      <c r="E395" s="158"/>
      <c r="F395" s="159"/>
      <c r="G395" s="159">
        <v>28</v>
      </c>
      <c r="H395" s="159" t="s">
        <v>15</v>
      </c>
      <c r="I395" s="158">
        <v>1364.78</v>
      </c>
      <c r="J395" s="159">
        <v>38213.839999999997</v>
      </c>
      <c r="K395" s="172"/>
      <c r="M395" s="46">
        <v>28</v>
      </c>
      <c r="N395" s="46">
        <v>0</v>
      </c>
      <c r="O395" s="46">
        <v>38213.839999999997</v>
      </c>
      <c r="P395" s="98"/>
      <c r="Q395" s="23" t="s">
        <v>1433</v>
      </c>
      <c r="R395" s="24" t="s">
        <v>3085</v>
      </c>
      <c r="S395" s="25" t="s">
        <v>97</v>
      </c>
      <c r="T395" s="26"/>
      <c r="U395" s="26">
        <v>28</v>
      </c>
      <c r="V395" s="158">
        <v>1364.78</v>
      </c>
      <c r="W395" s="127">
        <f t="shared" si="77"/>
        <v>0</v>
      </c>
      <c r="X395" s="127">
        <f t="shared" si="82"/>
        <v>28</v>
      </c>
      <c r="Y395" s="127">
        <f t="shared" si="79"/>
        <v>0</v>
      </c>
      <c r="Z395" s="127">
        <f t="shared" si="80"/>
        <v>38213.839999999997</v>
      </c>
      <c r="AA395" s="27"/>
      <c r="AB395" s="36"/>
      <c r="AC395" s="200">
        <v>28</v>
      </c>
      <c r="AD395" s="181">
        <f t="shared" si="81"/>
        <v>38213.839999999997</v>
      </c>
      <c r="AE395" s="181">
        <v>2</v>
      </c>
      <c r="AF395" s="181">
        <v>2</v>
      </c>
      <c r="AG395" s="101"/>
      <c r="AH395" s="190">
        <v>28</v>
      </c>
      <c r="AI395" s="69">
        <f t="shared" ref="AI395:AI459" si="83">IF(G395=0,IF(F395=0,IF(E395=0,D395,E395),F395),G395)</f>
        <v>28</v>
      </c>
    </row>
    <row r="396" spans="1:35" ht="39" x14ac:dyDescent="0.3">
      <c r="A396" s="207" t="s">
        <v>3086</v>
      </c>
      <c r="B396" s="208" t="s">
        <v>3087</v>
      </c>
      <c r="C396" s="204" t="s">
        <v>97</v>
      </c>
      <c r="D396" s="171"/>
      <c r="E396" s="158"/>
      <c r="F396" s="159"/>
      <c r="G396" s="159">
        <v>156</v>
      </c>
      <c r="H396" s="159" t="s">
        <v>15</v>
      </c>
      <c r="I396" s="158">
        <v>771.88</v>
      </c>
      <c r="J396" s="159">
        <v>120413.28</v>
      </c>
      <c r="K396" s="172"/>
      <c r="M396" s="46">
        <v>156</v>
      </c>
      <c r="N396" s="46">
        <v>0</v>
      </c>
      <c r="O396" s="46">
        <v>120413.28</v>
      </c>
      <c r="P396" s="98"/>
      <c r="Q396" s="23" t="s">
        <v>1382</v>
      </c>
      <c r="R396" s="24" t="s">
        <v>3087</v>
      </c>
      <c r="S396" s="25" t="s">
        <v>97</v>
      </c>
      <c r="T396" s="26"/>
      <c r="U396" s="26">
        <v>156</v>
      </c>
      <c r="V396" s="158">
        <v>771.88</v>
      </c>
      <c r="W396" s="127">
        <f t="shared" si="77"/>
        <v>0</v>
      </c>
      <c r="X396" s="127">
        <f t="shared" si="82"/>
        <v>156</v>
      </c>
      <c r="Y396" s="127">
        <f t="shared" si="79"/>
        <v>0</v>
      </c>
      <c r="Z396" s="127">
        <f t="shared" si="80"/>
        <v>120413.28</v>
      </c>
      <c r="AA396" s="27"/>
      <c r="AB396" s="36"/>
      <c r="AC396" s="200">
        <v>156</v>
      </c>
      <c r="AD396" s="181">
        <f t="shared" si="81"/>
        <v>120413.28</v>
      </c>
      <c r="AE396" s="181">
        <v>2</v>
      </c>
      <c r="AF396" s="181">
        <v>2</v>
      </c>
      <c r="AG396" s="101"/>
      <c r="AH396" s="190">
        <v>156</v>
      </c>
      <c r="AI396" s="69">
        <f t="shared" si="83"/>
        <v>156</v>
      </c>
    </row>
    <row r="397" spans="1:35" ht="39" x14ac:dyDescent="0.3">
      <c r="A397" s="207" t="s">
        <v>3088</v>
      </c>
      <c r="B397" s="208" t="s">
        <v>3089</v>
      </c>
      <c r="C397" s="204" t="s">
        <v>97</v>
      </c>
      <c r="D397" s="171"/>
      <c r="E397" s="158"/>
      <c r="F397" s="159"/>
      <c r="G397" s="242">
        <v>1917</v>
      </c>
      <c r="H397" s="219" t="s">
        <v>15</v>
      </c>
      <c r="I397" s="158">
        <v>400.94</v>
      </c>
      <c r="J397" s="159">
        <v>768601.98</v>
      </c>
      <c r="K397" s="172"/>
      <c r="M397" s="46">
        <v>1917</v>
      </c>
      <c r="N397" s="46">
        <v>0</v>
      </c>
      <c r="O397" s="46">
        <v>768601.98</v>
      </c>
      <c r="P397" s="98"/>
      <c r="Q397" s="23" t="s">
        <v>1434</v>
      </c>
      <c r="R397" s="24" t="s">
        <v>3089</v>
      </c>
      <c r="S397" s="25" t="s">
        <v>97</v>
      </c>
      <c r="T397" s="26"/>
      <c r="U397" s="26">
        <v>1917</v>
      </c>
      <c r="V397" s="158">
        <v>400.94</v>
      </c>
      <c r="W397" s="127">
        <f t="shared" si="77"/>
        <v>0</v>
      </c>
      <c r="X397" s="127">
        <f t="shared" si="82"/>
        <v>1917</v>
      </c>
      <c r="Y397" s="127">
        <f t="shared" si="79"/>
        <v>0</v>
      </c>
      <c r="Z397" s="127">
        <f t="shared" si="80"/>
        <v>768601.98</v>
      </c>
      <c r="AA397" s="27"/>
      <c r="AB397" s="36"/>
      <c r="AC397" s="200">
        <v>1917</v>
      </c>
      <c r="AD397" s="181">
        <f t="shared" si="81"/>
        <v>768601.98</v>
      </c>
      <c r="AE397" s="181">
        <v>2</v>
      </c>
      <c r="AF397" s="181">
        <v>2</v>
      </c>
      <c r="AG397" s="101"/>
      <c r="AH397" s="190">
        <v>1917</v>
      </c>
      <c r="AI397" s="69">
        <f t="shared" si="83"/>
        <v>1917</v>
      </c>
    </row>
    <row r="398" spans="1:35" x14ac:dyDescent="0.3">
      <c r="A398" s="207" t="s">
        <v>3090</v>
      </c>
      <c r="B398" s="208" t="s">
        <v>3091</v>
      </c>
      <c r="C398" s="204" t="s">
        <v>97</v>
      </c>
      <c r="D398" s="171"/>
      <c r="E398" s="158"/>
      <c r="F398" s="159"/>
      <c r="G398" s="159">
        <v>380</v>
      </c>
      <c r="H398" s="159" t="s">
        <v>15</v>
      </c>
      <c r="I398" s="158">
        <v>280.95999999999998</v>
      </c>
      <c r="J398" s="159">
        <v>106764.8</v>
      </c>
      <c r="K398" s="172"/>
      <c r="M398" s="46">
        <v>380</v>
      </c>
      <c r="N398" s="46">
        <v>0</v>
      </c>
      <c r="O398" s="46">
        <v>106764.8</v>
      </c>
      <c r="P398" s="98"/>
      <c r="Q398" s="23" t="s">
        <v>1388</v>
      </c>
      <c r="R398" s="24" t="s">
        <v>3091</v>
      </c>
      <c r="S398" s="25" t="s">
        <v>97</v>
      </c>
      <c r="T398" s="26"/>
      <c r="U398" s="26">
        <v>380</v>
      </c>
      <c r="V398" s="158">
        <v>280.95999999999998</v>
      </c>
      <c r="W398" s="127">
        <f t="shared" si="77"/>
        <v>0</v>
      </c>
      <c r="X398" s="127">
        <f t="shared" si="82"/>
        <v>380</v>
      </c>
      <c r="Y398" s="127">
        <f t="shared" si="79"/>
        <v>0</v>
      </c>
      <c r="Z398" s="127">
        <f t="shared" si="80"/>
        <v>106764.8</v>
      </c>
      <c r="AA398" s="27"/>
      <c r="AB398" s="36"/>
      <c r="AC398" s="200">
        <v>380</v>
      </c>
      <c r="AD398" s="181">
        <f t="shared" si="81"/>
        <v>106764.8</v>
      </c>
      <c r="AE398" s="181">
        <v>2</v>
      </c>
      <c r="AF398" s="181">
        <v>2</v>
      </c>
      <c r="AG398" s="101"/>
      <c r="AH398" s="190">
        <v>380</v>
      </c>
      <c r="AI398" s="69">
        <f t="shared" si="83"/>
        <v>380</v>
      </c>
    </row>
    <row r="399" spans="1:35" ht="33" x14ac:dyDescent="0.3">
      <c r="A399" s="207" t="s">
        <v>3092</v>
      </c>
      <c r="B399" s="241" t="s">
        <v>3093</v>
      </c>
      <c r="C399" s="204" t="s">
        <v>97</v>
      </c>
      <c r="D399" s="171"/>
      <c r="E399" s="158"/>
      <c r="F399" s="159"/>
      <c r="G399" s="159">
        <v>660.5</v>
      </c>
      <c r="H399" s="159" t="s">
        <v>15</v>
      </c>
      <c r="I399" s="158">
        <v>800.87</v>
      </c>
      <c r="J399" s="159">
        <v>528974.64</v>
      </c>
      <c r="K399" s="172"/>
      <c r="M399" s="46">
        <v>660.5</v>
      </c>
      <c r="N399" s="46">
        <v>0</v>
      </c>
      <c r="O399" s="46">
        <v>528974.64</v>
      </c>
      <c r="P399" s="98"/>
      <c r="Q399" s="23" t="s">
        <v>1389</v>
      </c>
      <c r="R399" s="24" t="s">
        <v>3093</v>
      </c>
      <c r="S399" s="25" t="s">
        <v>97</v>
      </c>
      <c r="T399" s="26"/>
      <c r="U399" s="26">
        <v>660.5</v>
      </c>
      <c r="V399" s="158">
        <v>800.87</v>
      </c>
      <c r="W399" s="127">
        <f t="shared" si="77"/>
        <v>0</v>
      </c>
      <c r="X399" s="127">
        <f t="shared" si="82"/>
        <v>660.5</v>
      </c>
      <c r="Y399" s="127">
        <f t="shared" si="79"/>
        <v>0</v>
      </c>
      <c r="Z399" s="127">
        <f t="shared" si="80"/>
        <v>528974.64</v>
      </c>
      <c r="AA399" s="27"/>
      <c r="AB399" s="36"/>
      <c r="AC399" s="200">
        <v>660.5</v>
      </c>
      <c r="AD399" s="181">
        <f t="shared" si="81"/>
        <v>528974.64</v>
      </c>
      <c r="AE399" s="181">
        <v>2</v>
      </c>
      <c r="AF399" s="181">
        <v>2</v>
      </c>
      <c r="AG399" s="101"/>
      <c r="AH399" s="190">
        <v>660.5</v>
      </c>
      <c r="AI399" s="69">
        <f t="shared" si="83"/>
        <v>660.5</v>
      </c>
    </row>
    <row r="400" spans="1:35" x14ac:dyDescent="0.3">
      <c r="A400" s="207" t="s">
        <v>3094</v>
      </c>
      <c r="B400" s="208" t="s">
        <v>3095</v>
      </c>
      <c r="C400" s="204" t="s">
        <v>97</v>
      </c>
      <c r="D400" s="171"/>
      <c r="E400" s="158"/>
      <c r="F400" s="159"/>
      <c r="G400" s="159">
        <v>288.5</v>
      </c>
      <c r="H400" s="159" t="s">
        <v>15</v>
      </c>
      <c r="I400" s="158">
        <v>561.91</v>
      </c>
      <c r="J400" s="159">
        <v>162111.04000000001</v>
      </c>
      <c r="K400" s="172"/>
      <c r="M400" s="46">
        <v>288.5</v>
      </c>
      <c r="N400" s="46">
        <v>0</v>
      </c>
      <c r="O400" s="46">
        <v>162111.04000000001</v>
      </c>
      <c r="P400" s="98"/>
      <c r="Q400" s="23" t="s">
        <v>1390</v>
      </c>
      <c r="R400" s="24" t="s">
        <v>3095</v>
      </c>
      <c r="S400" s="25" t="s">
        <v>97</v>
      </c>
      <c r="T400" s="26"/>
      <c r="U400" s="26">
        <v>288.5</v>
      </c>
      <c r="V400" s="158">
        <v>561.91</v>
      </c>
      <c r="W400" s="127">
        <f t="shared" si="77"/>
        <v>0</v>
      </c>
      <c r="X400" s="127">
        <f t="shared" si="82"/>
        <v>288.5</v>
      </c>
      <c r="Y400" s="127">
        <f t="shared" si="79"/>
        <v>0</v>
      </c>
      <c r="Z400" s="127">
        <f t="shared" si="80"/>
        <v>162111.04000000001</v>
      </c>
      <c r="AA400" s="27"/>
      <c r="AB400" s="36"/>
      <c r="AC400" s="200">
        <v>288.5</v>
      </c>
      <c r="AD400" s="181">
        <f t="shared" si="81"/>
        <v>162111.04000000001</v>
      </c>
      <c r="AE400" s="181">
        <v>2</v>
      </c>
      <c r="AF400" s="181">
        <v>2</v>
      </c>
      <c r="AG400" s="101"/>
      <c r="AH400" s="190">
        <v>288.5</v>
      </c>
      <c r="AI400" s="69">
        <f t="shared" si="83"/>
        <v>288.5</v>
      </c>
    </row>
    <row r="401" spans="1:38" ht="39" x14ac:dyDescent="0.3">
      <c r="A401" s="207" t="s">
        <v>3096</v>
      </c>
      <c r="B401" s="208" t="s">
        <v>3097</v>
      </c>
      <c r="C401" s="204" t="s">
        <v>97</v>
      </c>
      <c r="D401" s="171"/>
      <c r="E401" s="158"/>
      <c r="F401" s="159"/>
      <c r="G401" s="159">
        <v>438</v>
      </c>
      <c r="H401" s="159" t="s">
        <v>15</v>
      </c>
      <c r="I401" s="158">
        <v>519.91999999999996</v>
      </c>
      <c r="J401" s="159">
        <v>227724.96</v>
      </c>
      <c r="K401" s="172"/>
      <c r="M401" s="46">
        <v>438</v>
      </c>
      <c r="N401" s="46">
        <v>0</v>
      </c>
      <c r="O401" s="46">
        <v>227724.96</v>
      </c>
      <c r="P401" s="98"/>
      <c r="Q401" s="23" t="s">
        <v>1391</v>
      </c>
      <c r="R401" s="24" t="s">
        <v>3097</v>
      </c>
      <c r="S401" s="25" t="s">
        <v>97</v>
      </c>
      <c r="T401" s="26"/>
      <c r="U401" s="26">
        <v>438</v>
      </c>
      <c r="V401" s="158">
        <v>519.91999999999996</v>
      </c>
      <c r="W401" s="127">
        <f t="shared" si="77"/>
        <v>0</v>
      </c>
      <c r="X401" s="127">
        <f t="shared" si="82"/>
        <v>438</v>
      </c>
      <c r="Y401" s="127">
        <f t="shared" si="79"/>
        <v>0</v>
      </c>
      <c r="Z401" s="127">
        <f t="shared" si="80"/>
        <v>227724.96</v>
      </c>
      <c r="AA401" s="27"/>
      <c r="AB401" s="36"/>
      <c r="AC401" s="200">
        <v>438</v>
      </c>
      <c r="AD401" s="181">
        <f t="shared" si="81"/>
        <v>227724.96</v>
      </c>
      <c r="AE401" s="181">
        <v>2</v>
      </c>
      <c r="AF401" s="181">
        <v>2</v>
      </c>
      <c r="AG401" s="101"/>
      <c r="AH401" s="190">
        <v>438</v>
      </c>
      <c r="AI401" s="69">
        <f t="shared" si="83"/>
        <v>438</v>
      </c>
    </row>
    <row r="402" spans="1:38" ht="39" x14ac:dyDescent="0.3">
      <c r="A402" s="207" t="s">
        <v>3098</v>
      </c>
      <c r="B402" s="208" t="s">
        <v>3099</v>
      </c>
      <c r="C402" s="204" t="s">
        <v>97</v>
      </c>
      <c r="D402" s="171"/>
      <c r="E402" s="158"/>
      <c r="F402" s="159"/>
      <c r="G402" s="159">
        <v>54</v>
      </c>
      <c r="H402" s="159" t="s">
        <v>15</v>
      </c>
      <c r="I402" s="158">
        <v>1579.75</v>
      </c>
      <c r="J402" s="159">
        <v>85306.5</v>
      </c>
      <c r="K402" s="172"/>
      <c r="M402" s="46">
        <v>54</v>
      </c>
      <c r="N402" s="46">
        <v>0</v>
      </c>
      <c r="O402" s="46">
        <v>85306.5</v>
      </c>
      <c r="P402" s="98"/>
      <c r="Q402" s="23" t="s">
        <v>1436</v>
      </c>
      <c r="R402" s="24" t="s">
        <v>3099</v>
      </c>
      <c r="S402" s="25" t="s">
        <v>97</v>
      </c>
      <c r="T402" s="26"/>
      <c r="U402" s="26">
        <v>54</v>
      </c>
      <c r="V402" s="158">
        <v>1579.75</v>
      </c>
      <c r="W402" s="127">
        <f t="shared" si="77"/>
        <v>0</v>
      </c>
      <c r="X402" s="127">
        <f t="shared" si="82"/>
        <v>54</v>
      </c>
      <c r="Y402" s="127">
        <f t="shared" si="79"/>
        <v>0</v>
      </c>
      <c r="Z402" s="127">
        <f t="shared" si="80"/>
        <v>85306.5</v>
      </c>
      <c r="AA402" s="27"/>
      <c r="AB402" s="36"/>
      <c r="AC402" s="200">
        <v>54</v>
      </c>
      <c r="AD402" s="181">
        <f t="shared" si="81"/>
        <v>85306.5</v>
      </c>
      <c r="AE402" s="181">
        <v>2</v>
      </c>
      <c r="AF402" s="181">
        <v>2</v>
      </c>
      <c r="AG402" s="101"/>
      <c r="AH402" s="190">
        <v>54</v>
      </c>
      <c r="AI402" s="69">
        <f t="shared" si="83"/>
        <v>54</v>
      </c>
    </row>
    <row r="403" spans="1:38" ht="39" x14ac:dyDescent="0.3">
      <c r="A403" s="207" t="s">
        <v>3100</v>
      </c>
      <c r="B403" s="208" t="s">
        <v>3101</v>
      </c>
      <c r="C403" s="204" t="s">
        <v>97</v>
      </c>
      <c r="D403" s="171"/>
      <c r="E403" s="158"/>
      <c r="F403" s="159"/>
      <c r="G403" s="159">
        <v>519.5</v>
      </c>
      <c r="H403" s="159" t="s">
        <v>15</v>
      </c>
      <c r="I403" s="158">
        <v>209.97</v>
      </c>
      <c r="J403" s="159">
        <v>109079.42</v>
      </c>
      <c r="K403" s="172"/>
      <c r="M403" s="46">
        <v>519.5</v>
      </c>
      <c r="N403" s="46">
        <v>0</v>
      </c>
      <c r="O403" s="46">
        <v>109079.42</v>
      </c>
      <c r="P403" s="98"/>
      <c r="Q403" s="23" t="s">
        <v>1374</v>
      </c>
      <c r="R403" s="24" t="s">
        <v>3101</v>
      </c>
      <c r="S403" s="25" t="s">
        <v>97</v>
      </c>
      <c r="T403" s="26"/>
      <c r="U403" s="26">
        <v>519.5</v>
      </c>
      <c r="V403" s="158">
        <v>209.97</v>
      </c>
      <c r="W403" s="127">
        <f t="shared" si="77"/>
        <v>0</v>
      </c>
      <c r="X403" s="127">
        <f t="shared" si="82"/>
        <v>519.5</v>
      </c>
      <c r="Y403" s="127">
        <f t="shared" si="79"/>
        <v>0</v>
      </c>
      <c r="Z403" s="127">
        <f t="shared" si="80"/>
        <v>109079.42</v>
      </c>
      <c r="AA403" s="27"/>
      <c r="AB403" s="36"/>
      <c r="AC403" s="200">
        <v>519.5</v>
      </c>
      <c r="AD403" s="181">
        <f t="shared" si="81"/>
        <v>109079.42</v>
      </c>
      <c r="AE403" s="181">
        <v>2</v>
      </c>
      <c r="AF403" s="181">
        <v>2</v>
      </c>
      <c r="AG403" s="101"/>
      <c r="AH403" s="190">
        <v>519.5</v>
      </c>
      <c r="AI403" s="69">
        <f t="shared" si="83"/>
        <v>519.5</v>
      </c>
    </row>
    <row r="404" spans="1:38" ht="49.5" x14ac:dyDescent="0.3">
      <c r="A404" s="207" t="s">
        <v>3102</v>
      </c>
      <c r="B404" s="241" t="s">
        <v>3103</v>
      </c>
      <c r="C404" s="204" t="s">
        <v>66</v>
      </c>
      <c r="D404" s="171"/>
      <c r="E404" s="158"/>
      <c r="F404" s="159"/>
      <c r="G404" s="159">
        <v>5</v>
      </c>
      <c r="H404" s="159" t="s">
        <v>15</v>
      </c>
      <c r="I404" s="158">
        <v>10798.3</v>
      </c>
      <c r="J404" s="159">
        <v>53991.5</v>
      </c>
      <c r="K404" s="172"/>
      <c r="M404" s="46">
        <v>5</v>
      </c>
      <c r="N404" s="46">
        <v>0</v>
      </c>
      <c r="O404" s="46">
        <v>53991.5</v>
      </c>
      <c r="P404" s="98"/>
      <c r="Q404" s="23" t="s">
        <v>1376</v>
      </c>
      <c r="R404" s="24" t="s">
        <v>3103</v>
      </c>
      <c r="S404" s="25" t="s">
        <v>66</v>
      </c>
      <c r="T404" s="26"/>
      <c r="U404" s="26">
        <v>5</v>
      </c>
      <c r="V404" s="158">
        <v>10798.3</v>
      </c>
      <c r="W404" s="127">
        <f t="shared" si="77"/>
        <v>0</v>
      </c>
      <c r="X404" s="127">
        <f t="shared" si="82"/>
        <v>5</v>
      </c>
      <c r="Y404" s="127">
        <f t="shared" si="79"/>
        <v>0</v>
      </c>
      <c r="Z404" s="127">
        <f t="shared" si="80"/>
        <v>53991.5</v>
      </c>
      <c r="AA404" s="27"/>
      <c r="AB404" s="36"/>
      <c r="AC404" s="200">
        <v>5</v>
      </c>
      <c r="AD404" s="181">
        <f t="shared" si="81"/>
        <v>53991.5</v>
      </c>
      <c r="AE404" s="181">
        <v>2</v>
      </c>
      <c r="AF404" s="181">
        <v>2</v>
      </c>
      <c r="AG404" s="101"/>
      <c r="AH404" s="190">
        <v>5</v>
      </c>
      <c r="AI404" s="69">
        <f t="shared" si="83"/>
        <v>5</v>
      </c>
    </row>
    <row r="405" spans="1:38" ht="49.5" x14ac:dyDescent="0.3">
      <c r="A405" s="207" t="s">
        <v>3104</v>
      </c>
      <c r="B405" s="241" t="s">
        <v>3105</v>
      </c>
      <c r="C405" s="204" t="s">
        <v>66</v>
      </c>
      <c r="D405" s="171"/>
      <c r="E405" s="158"/>
      <c r="F405" s="159"/>
      <c r="G405" s="159">
        <v>6</v>
      </c>
      <c r="H405" s="159" t="s">
        <v>15</v>
      </c>
      <c r="I405" s="158">
        <v>7248.86</v>
      </c>
      <c r="J405" s="159">
        <v>43493.16</v>
      </c>
      <c r="K405" s="172"/>
      <c r="M405" s="46">
        <v>6</v>
      </c>
      <c r="N405" s="46">
        <v>0</v>
      </c>
      <c r="O405" s="46">
        <v>43493.16</v>
      </c>
      <c r="P405" s="98"/>
      <c r="Q405" s="23" t="s">
        <v>1378</v>
      </c>
      <c r="R405" s="24" t="s">
        <v>3105</v>
      </c>
      <c r="S405" s="25" t="s">
        <v>66</v>
      </c>
      <c r="T405" s="26"/>
      <c r="U405" s="26">
        <v>6</v>
      </c>
      <c r="V405" s="158">
        <v>7248.86</v>
      </c>
      <c r="W405" s="127">
        <f t="shared" si="77"/>
        <v>0</v>
      </c>
      <c r="X405" s="127">
        <f t="shared" si="82"/>
        <v>6</v>
      </c>
      <c r="Y405" s="127">
        <f t="shared" si="79"/>
        <v>0</v>
      </c>
      <c r="Z405" s="127">
        <f t="shared" si="80"/>
        <v>43493.16</v>
      </c>
      <c r="AA405" s="27"/>
      <c r="AB405" s="36"/>
      <c r="AC405" s="200">
        <v>6</v>
      </c>
      <c r="AD405" s="181">
        <f t="shared" si="81"/>
        <v>43493.16</v>
      </c>
      <c r="AE405" s="181">
        <v>2</v>
      </c>
      <c r="AF405" s="181">
        <v>2</v>
      </c>
      <c r="AG405" s="101"/>
      <c r="AH405" s="190">
        <v>6</v>
      </c>
      <c r="AI405" s="69">
        <f t="shared" si="83"/>
        <v>6</v>
      </c>
    </row>
    <row r="406" spans="1:38" ht="25.5" customHeight="1" x14ac:dyDescent="0.3">
      <c r="A406" s="233">
        <v>2.29</v>
      </c>
      <c r="B406" s="180" t="s">
        <v>1527</v>
      </c>
      <c r="C406" s="58" t="s">
        <v>97</v>
      </c>
      <c r="D406" s="230"/>
      <c r="E406" s="230"/>
      <c r="F406" s="59"/>
      <c r="G406" s="59"/>
      <c r="H406" s="59">
        <v>320</v>
      </c>
      <c r="I406" s="230">
        <v>280</v>
      </c>
      <c r="J406" s="59">
        <v>89600</v>
      </c>
      <c r="K406" s="234"/>
      <c r="M406" s="46">
        <v>0</v>
      </c>
      <c r="N406" s="46">
        <v>0</v>
      </c>
      <c r="O406" s="46">
        <v>0</v>
      </c>
      <c r="P406" s="98"/>
      <c r="Q406" s="23">
        <v>29</v>
      </c>
      <c r="R406" s="24" t="s">
        <v>1527</v>
      </c>
      <c r="S406" s="25" t="s">
        <v>97</v>
      </c>
      <c r="T406" s="26"/>
      <c r="U406" s="26">
        <v>320</v>
      </c>
      <c r="V406" s="158">
        <v>280</v>
      </c>
      <c r="W406" s="26">
        <f t="shared" si="77"/>
        <v>0</v>
      </c>
      <c r="X406" s="26">
        <f t="shared" si="82"/>
        <v>0</v>
      </c>
      <c r="Y406" s="26">
        <f t="shared" si="79"/>
        <v>0</v>
      </c>
      <c r="Z406" s="26">
        <f t="shared" si="80"/>
        <v>0</v>
      </c>
      <c r="AA406" s="27"/>
      <c r="AB406" s="36"/>
      <c r="AC406" s="200">
        <v>320</v>
      </c>
      <c r="AD406" s="181">
        <f t="shared" si="81"/>
        <v>89600</v>
      </c>
      <c r="AE406" s="200">
        <v>2</v>
      </c>
      <c r="AF406" s="200"/>
      <c r="AG406" s="101"/>
      <c r="AH406" s="190">
        <v>0</v>
      </c>
      <c r="AI406" s="69">
        <f t="shared" si="83"/>
        <v>0</v>
      </c>
    </row>
    <row r="407" spans="1:38" s="69" customFormat="1" ht="33" customHeight="1" x14ac:dyDescent="0.3">
      <c r="A407" s="150" t="s">
        <v>1039</v>
      </c>
      <c r="B407" s="151" t="s">
        <v>1040</v>
      </c>
      <c r="C407" s="152" t="s">
        <v>14</v>
      </c>
      <c r="D407" s="153">
        <v>1</v>
      </c>
      <c r="E407" s="153"/>
      <c r="F407" s="153"/>
      <c r="G407" s="153"/>
      <c r="H407" s="153"/>
      <c r="I407" s="153"/>
      <c r="J407" s="153">
        <v>3727423.71</v>
      </c>
      <c r="K407" s="154" t="s">
        <v>15</v>
      </c>
      <c r="L407" s="73"/>
      <c r="M407" s="42">
        <v>1</v>
      </c>
      <c r="N407" s="42">
        <v>0</v>
      </c>
      <c r="O407" s="42">
        <v>2038723.71</v>
      </c>
      <c r="P407" s="98"/>
      <c r="Q407" s="13" t="s">
        <v>1407</v>
      </c>
      <c r="R407" s="14" t="s">
        <v>1040</v>
      </c>
      <c r="S407" s="15" t="s">
        <v>14</v>
      </c>
      <c r="T407" s="16">
        <v>1</v>
      </c>
      <c r="U407" s="16"/>
      <c r="V407" s="16">
        <f>SUMIFS(AD:AD,AE:AE,AE407)</f>
        <v>3727423.7099999995</v>
      </c>
      <c r="W407" s="16">
        <f t="shared" ref="W407:X407" si="84">IF(Y407=0,0,1)</f>
        <v>0</v>
      </c>
      <c r="X407" s="16">
        <f t="shared" si="84"/>
        <v>1</v>
      </c>
      <c r="Y407" s="16">
        <f>SUMIFS(Y:Y,AF:AF,AE407)</f>
        <v>0</v>
      </c>
      <c r="Z407" s="16">
        <f>SUMIFS(Z:Z,AF:AF,AE407)</f>
        <v>2038723.71</v>
      </c>
      <c r="AA407" s="17" t="s">
        <v>15</v>
      </c>
      <c r="AB407" s="40" t="s">
        <v>16</v>
      </c>
      <c r="AC407" s="181">
        <f t="shared" si="65"/>
        <v>1</v>
      </c>
      <c r="AD407" s="183"/>
      <c r="AE407" s="183">
        <v>3</v>
      </c>
      <c r="AF407" s="183"/>
      <c r="AG407" s="101" t="str">
        <f t="shared" si="66"/>
        <v/>
      </c>
      <c r="AH407" s="190">
        <v>1</v>
      </c>
      <c r="AI407" s="69">
        <f t="shared" si="83"/>
        <v>1</v>
      </c>
    </row>
    <row r="408" spans="1:38" s="69" customFormat="1" ht="66" x14ac:dyDescent="0.3">
      <c r="A408" s="55" t="s">
        <v>1041</v>
      </c>
      <c r="B408" s="138" t="s">
        <v>1042</v>
      </c>
      <c r="C408" s="54" t="s">
        <v>162</v>
      </c>
      <c r="D408" s="75">
        <v>340</v>
      </c>
      <c r="E408" s="75"/>
      <c r="F408" s="75"/>
      <c r="G408" s="75"/>
      <c r="H408" s="75"/>
      <c r="I408" s="75">
        <v>300</v>
      </c>
      <c r="J408" s="75">
        <v>102000</v>
      </c>
      <c r="K408" s="91" t="s">
        <v>1043</v>
      </c>
      <c r="L408" s="73"/>
      <c r="M408" s="46">
        <v>219</v>
      </c>
      <c r="N408" s="46">
        <v>0</v>
      </c>
      <c r="O408" s="46">
        <v>65700</v>
      </c>
      <c r="P408" s="98"/>
      <c r="Q408" s="23" t="s">
        <v>1421</v>
      </c>
      <c r="R408" s="24" t="s">
        <v>1042</v>
      </c>
      <c r="S408" s="25" t="s">
        <v>162</v>
      </c>
      <c r="T408" s="26">
        <v>340</v>
      </c>
      <c r="U408" s="26">
        <v>340</v>
      </c>
      <c r="V408" s="26">
        <v>300</v>
      </c>
      <c r="W408" s="128">
        <f t="shared" ref="W408:W446" si="85">AH408-M408</f>
        <v>0</v>
      </c>
      <c r="X408" s="26">
        <f t="shared" si="78"/>
        <v>219</v>
      </c>
      <c r="Y408" s="26">
        <f t="shared" ref="Y408:Y446" si="86">Z408-O408</f>
        <v>0</v>
      </c>
      <c r="Z408" s="26">
        <f t="shared" ref="Z408:Z446" si="87">ROUND(V408*X408,2)</f>
        <v>65700</v>
      </c>
      <c r="AA408" s="33" t="s">
        <v>15</v>
      </c>
      <c r="AB408" s="36" t="s">
        <v>16</v>
      </c>
      <c r="AC408" s="181">
        <f t="shared" si="65"/>
        <v>340</v>
      </c>
      <c r="AD408" s="181">
        <f t="shared" ref="AD408:AD446" si="88">ROUND(V408*AC408,2)</f>
        <v>102000</v>
      </c>
      <c r="AE408" s="181">
        <v>3</v>
      </c>
      <c r="AF408" s="181">
        <v>3</v>
      </c>
      <c r="AG408" s="101" t="str">
        <f t="shared" si="66"/>
        <v/>
      </c>
      <c r="AH408" s="190">
        <v>219</v>
      </c>
      <c r="AI408" s="69">
        <f t="shared" si="83"/>
        <v>340</v>
      </c>
      <c r="AL408" s="69">
        <v>0</v>
      </c>
    </row>
    <row r="409" spans="1:38" s="69" customFormat="1" ht="49.5" x14ac:dyDescent="0.3">
      <c r="A409" s="55" t="s">
        <v>1044</v>
      </c>
      <c r="B409" s="138" t="s">
        <v>1045</v>
      </c>
      <c r="C409" s="54" t="s">
        <v>325</v>
      </c>
      <c r="D409" s="75">
        <v>68</v>
      </c>
      <c r="E409" s="75"/>
      <c r="F409" s="75"/>
      <c r="G409" s="75"/>
      <c r="H409" s="75"/>
      <c r="I409" s="75">
        <v>3000</v>
      </c>
      <c r="J409" s="75">
        <v>204000</v>
      </c>
      <c r="K409" s="91" t="s">
        <v>1046</v>
      </c>
      <c r="L409" s="73"/>
      <c r="M409" s="46">
        <v>52</v>
      </c>
      <c r="N409" s="46">
        <v>0</v>
      </c>
      <c r="O409" s="46">
        <v>156000</v>
      </c>
      <c r="P409" s="98"/>
      <c r="Q409" s="23" t="s">
        <v>1426</v>
      </c>
      <c r="R409" s="24" t="s">
        <v>1045</v>
      </c>
      <c r="S409" s="25" t="s">
        <v>325</v>
      </c>
      <c r="T409" s="26">
        <v>68</v>
      </c>
      <c r="U409" s="26">
        <v>68</v>
      </c>
      <c r="V409" s="26">
        <v>3000</v>
      </c>
      <c r="W409" s="128">
        <f t="shared" si="85"/>
        <v>0</v>
      </c>
      <c r="X409" s="26">
        <f t="shared" si="78"/>
        <v>52</v>
      </c>
      <c r="Y409" s="26">
        <f t="shared" si="86"/>
        <v>0</v>
      </c>
      <c r="Z409" s="26">
        <f t="shared" si="87"/>
        <v>156000</v>
      </c>
      <c r="AA409" s="33" t="s">
        <v>15</v>
      </c>
      <c r="AB409" s="36" t="s">
        <v>16</v>
      </c>
      <c r="AC409" s="181">
        <f t="shared" si="65"/>
        <v>68</v>
      </c>
      <c r="AD409" s="181">
        <f t="shared" si="88"/>
        <v>204000</v>
      </c>
      <c r="AE409" s="181">
        <v>3</v>
      </c>
      <c r="AF409" s="181">
        <v>3</v>
      </c>
      <c r="AG409" s="101" t="str">
        <f t="shared" si="66"/>
        <v/>
      </c>
      <c r="AH409" s="190">
        <v>52</v>
      </c>
      <c r="AI409" s="69">
        <f t="shared" si="83"/>
        <v>68</v>
      </c>
      <c r="AL409" s="69">
        <v>0</v>
      </c>
    </row>
    <row r="410" spans="1:38" s="69" customFormat="1" ht="33" x14ac:dyDescent="0.3">
      <c r="A410" s="55" t="s">
        <v>1047</v>
      </c>
      <c r="B410" s="138" t="s">
        <v>1048</v>
      </c>
      <c r="C410" s="54" t="s">
        <v>325</v>
      </c>
      <c r="D410" s="75">
        <v>68</v>
      </c>
      <c r="E410" s="75"/>
      <c r="F410" s="75"/>
      <c r="G410" s="75"/>
      <c r="H410" s="75"/>
      <c r="I410" s="75">
        <v>150</v>
      </c>
      <c r="J410" s="75">
        <v>10200</v>
      </c>
      <c r="K410" s="91" t="s">
        <v>1049</v>
      </c>
      <c r="L410" s="73"/>
      <c r="M410" s="46">
        <v>52</v>
      </c>
      <c r="N410" s="46">
        <v>0</v>
      </c>
      <c r="O410" s="46">
        <v>7800</v>
      </c>
      <c r="P410" s="98"/>
      <c r="Q410" s="23" t="s">
        <v>1402</v>
      </c>
      <c r="R410" s="24" t="s">
        <v>1048</v>
      </c>
      <c r="S410" s="25" t="s">
        <v>325</v>
      </c>
      <c r="T410" s="26">
        <v>68</v>
      </c>
      <c r="U410" s="26">
        <v>68</v>
      </c>
      <c r="V410" s="26">
        <v>150</v>
      </c>
      <c r="W410" s="128">
        <f t="shared" si="85"/>
        <v>0</v>
      </c>
      <c r="X410" s="26">
        <f t="shared" si="78"/>
        <v>52</v>
      </c>
      <c r="Y410" s="26">
        <f t="shared" si="86"/>
        <v>0</v>
      </c>
      <c r="Z410" s="26">
        <f t="shared" si="87"/>
        <v>7800</v>
      </c>
      <c r="AA410" s="33" t="s">
        <v>15</v>
      </c>
      <c r="AB410" s="36" t="s">
        <v>16</v>
      </c>
      <c r="AC410" s="181">
        <f t="shared" si="65"/>
        <v>68</v>
      </c>
      <c r="AD410" s="181">
        <f t="shared" si="88"/>
        <v>10200</v>
      </c>
      <c r="AE410" s="181">
        <v>3</v>
      </c>
      <c r="AF410" s="181">
        <v>3</v>
      </c>
      <c r="AG410" s="101" t="str">
        <f t="shared" si="66"/>
        <v/>
      </c>
      <c r="AH410" s="190">
        <v>52</v>
      </c>
      <c r="AI410" s="69">
        <f t="shared" si="83"/>
        <v>68</v>
      </c>
      <c r="AL410" s="69">
        <v>0</v>
      </c>
    </row>
    <row r="411" spans="1:38" s="69" customFormat="1" ht="49.5" x14ac:dyDescent="0.3">
      <c r="A411" s="55" t="s">
        <v>1050</v>
      </c>
      <c r="B411" s="138" t="s">
        <v>1051</v>
      </c>
      <c r="C411" s="54" t="s">
        <v>1052</v>
      </c>
      <c r="D411" s="75">
        <v>9</v>
      </c>
      <c r="E411" s="75"/>
      <c r="F411" s="75"/>
      <c r="G411" s="75"/>
      <c r="H411" s="75"/>
      <c r="I411" s="75">
        <v>1200</v>
      </c>
      <c r="J411" s="75">
        <v>10800</v>
      </c>
      <c r="K411" s="91" t="s">
        <v>1053</v>
      </c>
      <c r="L411" s="73"/>
      <c r="M411" s="46">
        <v>0</v>
      </c>
      <c r="N411" s="46">
        <v>0</v>
      </c>
      <c r="O411" s="46">
        <v>0</v>
      </c>
      <c r="P411" s="98"/>
      <c r="Q411" s="23" t="s">
        <v>1373</v>
      </c>
      <c r="R411" s="24" t="s">
        <v>1051</v>
      </c>
      <c r="S411" s="25" t="s">
        <v>1052</v>
      </c>
      <c r="T411" s="26">
        <v>9</v>
      </c>
      <c r="U411" s="26">
        <v>9</v>
      </c>
      <c r="V411" s="26">
        <v>1200</v>
      </c>
      <c r="W411" s="26">
        <f t="shared" si="85"/>
        <v>0</v>
      </c>
      <c r="X411" s="26">
        <f t="shared" si="78"/>
        <v>0</v>
      </c>
      <c r="Y411" s="26">
        <f t="shared" si="86"/>
        <v>0</v>
      </c>
      <c r="Z411" s="26">
        <f t="shared" si="87"/>
        <v>0</v>
      </c>
      <c r="AA411" s="33" t="s">
        <v>15</v>
      </c>
      <c r="AB411" s="36" t="s">
        <v>16</v>
      </c>
      <c r="AC411" s="181">
        <f t="shared" si="65"/>
        <v>9</v>
      </c>
      <c r="AD411" s="181">
        <f t="shared" si="88"/>
        <v>10800</v>
      </c>
      <c r="AE411" s="181">
        <v>3</v>
      </c>
      <c r="AF411" s="181">
        <v>3</v>
      </c>
      <c r="AG411" s="101" t="str">
        <f t="shared" si="66"/>
        <v/>
      </c>
      <c r="AH411" s="190">
        <v>0</v>
      </c>
      <c r="AI411" s="69">
        <f t="shared" si="83"/>
        <v>9</v>
      </c>
      <c r="AL411" s="69">
        <v>0</v>
      </c>
    </row>
    <row r="412" spans="1:38" s="69" customFormat="1" ht="66" x14ac:dyDescent="0.3">
      <c r="A412" s="55" t="s">
        <v>1054</v>
      </c>
      <c r="B412" s="138" t="s">
        <v>3114</v>
      </c>
      <c r="C412" s="54" t="s">
        <v>325</v>
      </c>
      <c r="D412" s="75">
        <v>38</v>
      </c>
      <c r="E412" s="75"/>
      <c r="F412" s="75"/>
      <c r="G412" s="75"/>
      <c r="H412" s="75"/>
      <c r="I412" s="75">
        <v>650</v>
      </c>
      <c r="J412" s="75">
        <v>24700</v>
      </c>
      <c r="K412" s="91" t="s">
        <v>1056</v>
      </c>
      <c r="L412" s="73"/>
      <c r="M412" s="46">
        <v>12</v>
      </c>
      <c r="N412" s="46">
        <v>0</v>
      </c>
      <c r="O412" s="46">
        <v>7800</v>
      </c>
      <c r="P412" s="98"/>
      <c r="Q412" s="23" t="s">
        <v>1393</v>
      </c>
      <c r="R412" s="24" t="s">
        <v>1055</v>
      </c>
      <c r="S412" s="25" t="s">
        <v>325</v>
      </c>
      <c r="T412" s="26">
        <v>38</v>
      </c>
      <c r="U412" s="26">
        <v>38</v>
      </c>
      <c r="V412" s="26">
        <v>650</v>
      </c>
      <c r="W412" s="128">
        <f t="shared" si="85"/>
        <v>0</v>
      </c>
      <c r="X412" s="26">
        <f t="shared" si="78"/>
        <v>12</v>
      </c>
      <c r="Y412" s="26">
        <f t="shared" si="86"/>
        <v>0</v>
      </c>
      <c r="Z412" s="26">
        <f t="shared" si="87"/>
        <v>7800</v>
      </c>
      <c r="AA412" s="33" t="s">
        <v>15</v>
      </c>
      <c r="AB412" s="36" t="s">
        <v>16</v>
      </c>
      <c r="AC412" s="181">
        <f t="shared" si="65"/>
        <v>38</v>
      </c>
      <c r="AD412" s="181">
        <f t="shared" si="88"/>
        <v>24700</v>
      </c>
      <c r="AE412" s="181">
        <v>3</v>
      </c>
      <c r="AF412" s="181">
        <v>3</v>
      </c>
      <c r="AG412" s="101" t="str">
        <f t="shared" si="66"/>
        <v/>
      </c>
      <c r="AH412" s="190">
        <v>12</v>
      </c>
      <c r="AI412" s="69">
        <f t="shared" si="83"/>
        <v>38</v>
      </c>
      <c r="AL412" s="69">
        <v>0</v>
      </c>
    </row>
    <row r="413" spans="1:38" s="69" customFormat="1" ht="66" customHeight="1" x14ac:dyDescent="0.3">
      <c r="A413" s="55" t="s">
        <v>1057</v>
      </c>
      <c r="B413" s="138" t="s">
        <v>3115</v>
      </c>
      <c r="C413" s="54" t="s">
        <v>325</v>
      </c>
      <c r="D413" s="75">
        <v>38</v>
      </c>
      <c r="E413" s="75"/>
      <c r="F413" s="75"/>
      <c r="G413" s="75"/>
      <c r="H413" s="75"/>
      <c r="I413" s="75">
        <v>1300</v>
      </c>
      <c r="J413" s="75">
        <v>49400</v>
      </c>
      <c r="K413" s="91" t="s">
        <v>1059</v>
      </c>
      <c r="L413" s="73"/>
      <c r="M413" s="46">
        <v>12</v>
      </c>
      <c r="N413" s="46">
        <v>0</v>
      </c>
      <c r="O413" s="46">
        <v>15600</v>
      </c>
      <c r="P413" s="98"/>
      <c r="Q413" s="23" t="s">
        <v>1403</v>
      </c>
      <c r="R413" s="24" t="s">
        <v>1058</v>
      </c>
      <c r="S413" s="25" t="s">
        <v>325</v>
      </c>
      <c r="T413" s="26">
        <v>38</v>
      </c>
      <c r="U413" s="26">
        <v>38</v>
      </c>
      <c r="V413" s="26">
        <v>1300</v>
      </c>
      <c r="W413" s="128">
        <f t="shared" si="85"/>
        <v>0</v>
      </c>
      <c r="X413" s="26">
        <f t="shared" si="78"/>
        <v>12</v>
      </c>
      <c r="Y413" s="26">
        <f t="shared" si="86"/>
        <v>0</v>
      </c>
      <c r="Z413" s="26">
        <f t="shared" si="87"/>
        <v>15600</v>
      </c>
      <c r="AA413" s="33" t="s">
        <v>15</v>
      </c>
      <c r="AB413" s="36" t="s">
        <v>16</v>
      </c>
      <c r="AC413" s="181">
        <f t="shared" ref="AC413:AC477" si="89">IF(U413="",T413,U413)</f>
        <v>38</v>
      </c>
      <c r="AD413" s="181">
        <f t="shared" si="88"/>
        <v>49400</v>
      </c>
      <c r="AE413" s="181">
        <v>3</v>
      </c>
      <c r="AF413" s="181">
        <v>3</v>
      </c>
      <c r="AG413" s="101" t="str">
        <f t="shared" ref="AG413:AG477" si="90">IF(X413&gt;AI413,"超估","")</f>
        <v/>
      </c>
      <c r="AH413" s="190">
        <v>12</v>
      </c>
      <c r="AI413" s="69">
        <f t="shared" si="83"/>
        <v>38</v>
      </c>
      <c r="AL413" s="69">
        <v>0</v>
      </c>
    </row>
    <row r="414" spans="1:38" s="69" customFormat="1" ht="66" customHeight="1" x14ac:dyDescent="0.3">
      <c r="A414" s="55" t="s">
        <v>1060</v>
      </c>
      <c r="B414" s="138" t="s">
        <v>3116</v>
      </c>
      <c r="C414" s="54" t="s">
        <v>325</v>
      </c>
      <c r="D414" s="75">
        <v>7</v>
      </c>
      <c r="E414" s="75"/>
      <c r="F414" s="75"/>
      <c r="G414" s="75"/>
      <c r="H414" s="75"/>
      <c r="I414" s="75">
        <v>3500</v>
      </c>
      <c r="J414" s="75">
        <v>24500</v>
      </c>
      <c r="K414" s="91" t="s">
        <v>1062</v>
      </c>
      <c r="L414" s="73"/>
      <c r="M414" s="46">
        <v>0</v>
      </c>
      <c r="N414" s="46">
        <v>0</v>
      </c>
      <c r="O414" s="46">
        <v>0</v>
      </c>
      <c r="P414" s="98"/>
      <c r="Q414" s="23" t="s">
        <v>1427</v>
      </c>
      <c r="R414" s="24" t="s">
        <v>1061</v>
      </c>
      <c r="S414" s="25" t="s">
        <v>325</v>
      </c>
      <c r="T414" s="26">
        <v>7</v>
      </c>
      <c r="U414" s="26">
        <v>7</v>
      </c>
      <c r="V414" s="26">
        <v>3500</v>
      </c>
      <c r="W414" s="26">
        <f t="shared" si="85"/>
        <v>0</v>
      </c>
      <c r="X414" s="26">
        <f t="shared" si="78"/>
        <v>0</v>
      </c>
      <c r="Y414" s="26">
        <f t="shared" si="86"/>
        <v>0</v>
      </c>
      <c r="Z414" s="26">
        <f t="shared" si="87"/>
        <v>0</v>
      </c>
      <c r="AA414" s="33" t="s">
        <v>15</v>
      </c>
      <c r="AB414" s="36" t="s">
        <v>16</v>
      </c>
      <c r="AC414" s="181">
        <f t="shared" si="89"/>
        <v>7</v>
      </c>
      <c r="AD414" s="181">
        <f t="shared" si="88"/>
        <v>24500</v>
      </c>
      <c r="AE414" s="181">
        <v>3</v>
      </c>
      <c r="AF414" s="181">
        <v>3</v>
      </c>
      <c r="AG414" s="101" t="str">
        <f t="shared" si="90"/>
        <v/>
      </c>
      <c r="AH414" s="190">
        <v>0</v>
      </c>
      <c r="AI414" s="69">
        <f t="shared" si="83"/>
        <v>7</v>
      </c>
      <c r="AL414" s="69">
        <v>0</v>
      </c>
    </row>
    <row r="415" spans="1:38" s="69" customFormat="1" ht="66" customHeight="1" x14ac:dyDescent="0.3">
      <c r="A415" s="55" t="s">
        <v>1063</v>
      </c>
      <c r="B415" s="138" t="s">
        <v>1064</v>
      </c>
      <c r="C415" s="54" t="s">
        <v>325</v>
      </c>
      <c r="D415" s="75">
        <v>5</v>
      </c>
      <c r="E415" s="75"/>
      <c r="F415" s="75"/>
      <c r="G415" s="75"/>
      <c r="H415" s="75"/>
      <c r="I415" s="75">
        <v>700</v>
      </c>
      <c r="J415" s="75">
        <v>3500</v>
      </c>
      <c r="K415" s="91" t="s">
        <v>1065</v>
      </c>
      <c r="L415" s="73"/>
      <c r="M415" s="46">
        <v>0</v>
      </c>
      <c r="N415" s="46">
        <v>0</v>
      </c>
      <c r="O415" s="46">
        <v>0</v>
      </c>
      <c r="P415" s="98"/>
      <c r="Q415" s="23" t="s">
        <v>1428</v>
      </c>
      <c r="R415" s="24" t="s">
        <v>1064</v>
      </c>
      <c r="S415" s="25" t="s">
        <v>325</v>
      </c>
      <c r="T415" s="26">
        <v>5</v>
      </c>
      <c r="U415" s="26">
        <v>5</v>
      </c>
      <c r="V415" s="26">
        <v>700</v>
      </c>
      <c r="W415" s="26">
        <f t="shared" si="85"/>
        <v>0</v>
      </c>
      <c r="X415" s="26">
        <f t="shared" si="78"/>
        <v>0</v>
      </c>
      <c r="Y415" s="26">
        <f t="shared" si="86"/>
        <v>0</v>
      </c>
      <c r="Z415" s="26">
        <f t="shared" si="87"/>
        <v>0</v>
      </c>
      <c r="AA415" s="33" t="s">
        <v>15</v>
      </c>
      <c r="AB415" s="36" t="s">
        <v>16</v>
      </c>
      <c r="AC415" s="181">
        <f t="shared" si="89"/>
        <v>5</v>
      </c>
      <c r="AD415" s="181">
        <f t="shared" si="88"/>
        <v>3500</v>
      </c>
      <c r="AE415" s="181">
        <v>3</v>
      </c>
      <c r="AF415" s="181">
        <v>3</v>
      </c>
      <c r="AG415" s="101" t="str">
        <f t="shared" si="90"/>
        <v/>
      </c>
      <c r="AH415" s="190">
        <v>0</v>
      </c>
      <c r="AI415" s="69">
        <f t="shared" si="83"/>
        <v>5</v>
      </c>
      <c r="AL415" s="69">
        <v>0</v>
      </c>
    </row>
    <row r="416" spans="1:38" s="69" customFormat="1" ht="49.5" customHeight="1" x14ac:dyDescent="0.3">
      <c r="A416" s="55" t="s">
        <v>1066</v>
      </c>
      <c r="B416" s="138" t="s">
        <v>1067</v>
      </c>
      <c r="C416" s="54" t="s">
        <v>66</v>
      </c>
      <c r="D416" s="75">
        <v>1</v>
      </c>
      <c r="E416" s="75"/>
      <c r="F416" s="75"/>
      <c r="G416" s="75"/>
      <c r="H416" s="75"/>
      <c r="I416" s="75">
        <v>15000</v>
      </c>
      <c r="J416" s="75">
        <v>15000</v>
      </c>
      <c r="K416" s="91" t="s">
        <v>1068</v>
      </c>
      <c r="L416" s="73"/>
      <c r="M416" s="46">
        <v>0</v>
      </c>
      <c r="N416" s="46">
        <v>0</v>
      </c>
      <c r="O416" s="46">
        <v>0</v>
      </c>
      <c r="P416" s="98"/>
      <c r="Q416" s="23" t="s">
        <v>1387</v>
      </c>
      <c r="R416" s="24" t="s">
        <v>1067</v>
      </c>
      <c r="S416" s="25" t="s">
        <v>66</v>
      </c>
      <c r="T416" s="26">
        <v>1</v>
      </c>
      <c r="U416" s="26">
        <v>1</v>
      </c>
      <c r="V416" s="26">
        <v>15000</v>
      </c>
      <c r="W416" s="26">
        <f t="shared" si="85"/>
        <v>0</v>
      </c>
      <c r="X416" s="26">
        <f t="shared" si="78"/>
        <v>0</v>
      </c>
      <c r="Y416" s="26">
        <f t="shared" si="86"/>
        <v>0</v>
      </c>
      <c r="Z416" s="26">
        <f t="shared" si="87"/>
        <v>0</v>
      </c>
      <c r="AA416" s="33" t="s">
        <v>15</v>
      </c>
      <c r="AB416" s="36" t="s">
        <v>16</v>
      </c>
      <c r="AC416" s="181">
        <f t="shared" si="89"/>
        <v>1</v>
      </c>
      <c r="AD416" s="181">
        <f t="shared" si="88"/>
        <v>15000</v>
      </c>
      <c r="AE416" s="181">
        <v>3</v>
      </c>
      <c r="AF416" s="181">
        <v>3</v>
      </c>
      <c r="AG416" s="101" t="str">
        <f t="shared" si="90"/>
        <v/>
      </c>
      <c r="AH416" s="190">
        <v>0</v>
      </c>
      <c r="AI416" s="69">
        <f t="shared" si="83"/>
        <v>1</v>
      </c>
      <c r="AL416" s="69">
        <v>0</v>
      </c>
    </row>
    <row r="417" spans="1:38" s="69" customFormat="1" ht="49.5" customHeight="1" x14ac:dyDescent="0.3">
      <c r="A417" s="55" t="s">
        <v>1069</v>
      </c>
      <c r="B417" s="138" t="s">
        <v>1070</v>
      </c>
      <c r="C417" s="54" t="s">
        <v>325</v>
      </c>
      <c r="D417" s="75">
        <v>1</v>
      </c>
      <c r="E417" s="75"/>
      <c r="F417" s="75"/>
      <c r="G417" s="75"/>
      <c r="H417" s="75"/>
      <c r="I417" s="75">
        <v>6000</v>
      </c>
      <c r="J417" s="75">
        <v>6000</v>
      </c>
      <c r="K417" s="91" t="s">
        <v>1071</v>
      </c>
      <c r="L417" s="73"/>
      <c r="M417" s="46">
        <v>0</v>
      </c>
      <c r="N417" s="46">
        <v>0</v>
      </c>
      <c r="O417" s="46">
        <v>0</v>
      </c>
      <c r="P417" s="98"/>
      <c r="Q417" s="23" t="s">
        <v>1405</v>
      </c>
      <c r="R417" s="24" t="s">
        <v>1070</v>
      </c>
      <c r="S417" s="25" t="s">
        <v>325</v>
      </c>
      <c r="T417" s="26">
        <v>1</v>
      </c>
      <c r="U417" s="26">
        <v>1</v>
      </c>
      <c r="V417" s="26">
        <v>6000</v>
      </c>
      <c r="W417" s="26">
        <f t="shared" si="85"/>
        <v>0</v>
      </c>
      <c r="X417" s="26">
        <f t="shared" si="78"/>
        <v>0</v>
      </c>
      <c r="Y417" s="26">
        <f t="shared" si="86"/>
        <v>0</v>
      </c>
      <c r="Z417" s="26">
        <f t="shared" si="87"/>
        <v>0</v>
      </c>
      <c r="AA417" s="33" t="s">
        <v>15</v>
      </c>
      <c r="AB417" s="36" t="s">
        <v>16</v>
      </c>
      <c r="AC417" s="181">
        <f t="shared" si="89"/>
        <v>1</v>
      </c>
      <c r="AD417" s="181">
        <f t="shared" si="88"/>
        <v>6000</v>
      </c>
      <c r="AE417" s="181">
        <v>3</v>
      </c>
      <c r="AF417" s="181">
        <v>3</v>
      </c>
      <c r="AG417" s="101" t="str">
        <f t="shared" si="90"/>
        <v/>
      </c>
      <c r="AH417" s="190">
        <v>0</v>
      </c>
      <c r="AI417" s="69">
        <f t="shared" si="83"/>
        <v>1</v>
      </c>
      <c r="AL417" s="69">
        <v>0</v>
      </c>
    </row>
    <row r="418" spans="1:38" s="69" customFormat="1" ht="92.25" customHeight="1" x14ac:dyDescent="0.3">
      <c r="A418" s="55" t="s">
        <v>1072</v>
      </c>
      <c r="B418" s="138" t="s">
        <v>3141</v>
      </c>
      <c r="C418" s="54" t="s">
        <v>325</v>
      </c>
      <c r="D418" s="75">
        <v>1</v>
      </c>
      <c r="E418" s="75"/>
      <c r="F418" s="75"/>
      <c r="G418" s="75"/>
      <c r="H418" s="75"/>
      <c r="I418" s="75">
        <v>49500</v>
      </c>
      <c r="J418" s="75">
        <v>49500</v>
      </c>
      <c r="K418" s="91" t="s">
        <v>1074</v>
      </c>
      <c r="L418" s="73"/>
      <c r="M418" s="46">
        <v>0</v>
      </c>
      <c r="N418" s="46">
        <v>0</v>
      </c>
      <c r="O418" s="46">
        <v>0</v>
      </c>
      <c r="P418" s="98"/>
      <c r="Q418" s="23" t="s">
        <v>1406</v>
      </c>
      <c r="R418" s="24" t="s">
        <v>1073</v>
      </c>
      <c r="S418" s="25" t="s">
        <v>325</v>
      </c>
      <c r="T418" s="26">
        <v>1</v>
      </c>
      <c r="U418" s="26">
        <v>1</v>
      </c>
      <c r="V418" s="26">
        <v>49500</v>
      </c>
      <c r="W418" s="26">
        <f t="shared" si="85"/>
        <v>0</v>
      </c>
      <c r="X418" s="26">
        <f t="shared" si="78"/>
        <v>0</v>
      </c>
      <c r="Y418" s="26">
        <f t="shared" si="86"/>
        <v>0</v>
      </c>
      <c r="Z418" s="26">
        <f t="shared" si="87"/>
        <v>0</v>
      </c>
      <c r="AA418" s="33" t="s">
        <v>15</v>
      </c>
      <c r="AB418" s="36" t="s">
        <v>16</v>
      </c>
      <c r="AC418" s="181">
        <f t="shared" si="89"/>
        <v>1</v>
      </c>
      <c r="AD418" s="181">
        <f t="shared" si="88"/>
        <v>49500</v>
      </c>
      <c r="AE418" s="181">
        <v>3</v>
      </c>
      <c r="AF418" s="181">
        <v>3</v>
      </c>
      <c r="AG418" s="101" t="str">
        <f t="shared" si="90"/>
        <v/>
      </c>
      <c r="AH418" s="190">
        <v>0</v>
      </c>
      <c r="AI418" s="69">
        <f t="shared" si="83"/>
        <v>1</v>
      </c>
      <c r="AL418" s="69">
        <v>0</v>
      </c>
    </row>
    <row r="419" spans="1:38" s="69" customFormat="1" ht="66" customHeight="1" x14ac:dyDescent="0.3">
      <c r="A419" s="55" t="s">
        <v>1075</v>
      </c>
      <c r="B419" s="138" t="s">
        <v>3118</v>
      </c>
      <c r="C419" s="54" t="s">
        <v>325</v>
      </c>
      <c r="D419" s="75">
        <v>8</v>
      </c>
      <c r="E419" s="75"/>
      <c r="F419" s="75"/>
      <c r="G419" s="75"/>
      <c r="H419" s="75"/>
      <c r="I419" s="75">
        <v>3000</v>
      </c>
      <c r="J419" s="75">
        <v>24000</v>
      </c>
      <c r="K419" s="91" t="s">
        <v>1077</v>
      </c>
      <c r="L419" s="73"/>
      <c r="M419" s="46">
        <v>0</v>
      </c>
      <c r="N419" s="46">
        <v>0</v>
      </c>
      <c r="O419" s="46">
        <v>0</v>
      </c>
      <c r="P419" s="98"/>
      <c r="Q419" s="23" t="s">
        <v>1414</v>
      </c>
      <c r="R419" s="24" t="s">
        <v>1076</v>
      </c>
      <c r="S419" s="25" t="s">
        <v>325</v>
      </c>
      <c r="T419" s="26">
        <v>8</v>
      </c>
      <c r="U419" s="26">
        <v>8</v>
      </c>
      <c r="V419" s="26">
        <v>3000</v>
      </c>
      <c r="W419" s="26">
        <f t="shared" si="85"/>
        <v>0</v>
      </c>
      <c r="X419" s="26">
        <f t="shared" si="78"/>
        <v>0</v>
      </c>
      <c r="Y419" s="26">
        <f t="shared" si="86"/>
        <v>0</v>
      </c>
      <c r="Z419" s="26">
        <f t="shared" si="87"/>
        <v>0</v>
      </c>
      <c r="AA419" s="33" t="s">
        <v>15</v>
      </c>
      <c r="AB419" s="36" t="s">
        <v>16</v>
      </c>
      <c r="AC419" s="181">
        <f t="shared" si="89"/>
        <v>8</v>
      </c>
      <c r="AD419" s="181">
        <f t="shared" si="88"/>
        <v>24000</v>
      </c>
      <c r="AE419" s="181">
        <v>3</v>
      </c>
      <c r="AF419" s="181">
        <v>3</v>
      </c>
      <c r="AG419" s="101" t="str">
        <f t="shared" si="90"/>
        <v/>
      </c>
      <c r="AH419" s="190">
        <v>0</v>
      </c>
      <c r="AI419" s="69">
        <f t="shared" si="83"/>
        <v>8</v>
      </c>
      <c r="AL419" s="69">
        <v>0</v>
      </c>
    </row>
    <row r="420" spans="1:38" s="69" customFormat="1" ht="33" customHeight="1" x14ac:dyDescent="0.3">
      <c r="A420" s="55" t="s">
        <v>1078</v>
      </c>
      <c r="B420" s="138" t="s">
        <v>1079</v>
      </c>
      <c r="C420" s="54" t="s">
        <v>66</v>
      </c>
      <c r="D420" s="75">
        <v>75</v>
      </c>
      <c r="E420" s="75"/>
      <c r="F420" s="75"/>
      <c r="G420" s="75"/>
      <c r="H420" s="75"/>
      <c r="I420" s="75">
        <v>12000</v>
      </c>
      <c r="J420" s="75">
        <v>900000</v>
      </c>
      <c r="K420" s="91" t="s">
        <v>1080</v>
      </c>
      <c r="L420" s="73"/>
      <c r="M420" s="46">
        <v>50</v>
      </c>
      <c r="N420" s="46">
        <v>0</v>
      </c>
      <c r="O420" s="46">
        <v>600000</v>
      </c>
      <c r="P420" s="98"/>
      <c r="Q420" s="23" t="s">
        <v>1429</v>
      </c>
      <c r="R420" s="24" t="s">
        <v>1079</v>
      </c>
      <c r="S420" s="25" t="s">
        <v>66</v>
      </c>
      <c r="T420" s="26">
        <v>75</v>
      </c>
      <c r="U420" s="26">
        <v>75</v>
      </c>
      <c r="V420" s="26">
        <v>12000</v>
      </c>
      <c r="W420" s="128">
        <f t="shared" si="85"/>
        <v>0</v>
      </c>
      <c r="X420" s="26">
        <f t="shared" si="78"/>
        <v>50</v>
      </c>
      <c r="Y420" s="26">
        <f t="shared" si="86"/>
        <v>0</v>
      </c>
      <c r="Z420" s="26">
        <f t="shared" si="87"/>
        <v>600000</v>
      </c>
      <c r="AA420" s="33" t="s">
        <v>15</v>
      </c>
      <c r="AB420" s="36" t="s">
        <v>16</v>
      </c>
      <c r="AC420" s="181">
        <f t="shared" si="89"/>
        <v>75</v>
      </c>
      <c r="AD420" s="181">
        <f t="shared" si="88"/>
        <v>900000</v>
      </c>
      <c r="AE420" s="181">
        <v>3</v>
      </c>
      <c r="AF420" s="181">
        <v>3</v>
      </c>
      <c r="AG420" s="101" t="str">
        <f t="shared" si="90"/>
        <v/>
      </c>
      <c r="AH420" s="191">
        <v>50</v>
      </c>
      <c r="AI420" s="69">
        <f t="shared" si="83"/>
        <v>75</v>
      </c>
      <c r="AL420" s="69">
        <v>0</v>
      </c>
    </row>
    <row r="421" spans="1:38" s="69" customFormat="1" ht="33" customHeight="1" x14ac:dyDescent="0.3">
      <c r="A421" s="55" t="s">
        <v>1081</v>
      </c>
      <c r="B421" s="138" t="s">
        <v>1082</v>
      </c>
      <c r="C421" s="54" t="s">
        <v>1014</v>
      </c>
      <c r="D421" s="75">
        <v>75</v>
      </c>
      <c r="E421" s="75"/>
      <c r="F421" s="75"/>
      <c r="G421" s="75"/>
      <c r="H421" s="75"/>
      <c r="I421" s="75">
        <v>1500</v>
      </c>
      <c r="J421" s="75">
        <v>112500</v>
      </c>
      <c r="K421" s="91" t="s">
        <v>1083</v>
      </c>
      <c r="L421" s="73"/>
      <c r="M421" s="46">
        <v>0</v>
      </c>
      <c r="N421" s="46">
        <v>0</v>
      </c>
      <c r="O421" s="46">
        <v>0</v>
      </c>
      <c r="P421" s="98"/>
      <c r="Q421" s="23" t="s">
        <v>1430</v>
      </c>
      <c r="R421" s="24" t="s">
        <v>1082</v>
      </c>
      <c r="S421" s="25" t="s">
        <v>1014</v>
      </c>
      <c r="T421" s="26">
        <v>75</v>
      </c>
      <c r="U421" s="26">
        <v>75</v>
      </c>
      <c r="V421" s="26">
        <v>1500</v>
      </c>
      <c r="W421" s="128">
        <f t="shared" si="85"/>
        <v>0</v>
      </c>
      <c r="X421" s="26">
        <f t="shared" si="78"/>
        <v>0</v>
      </c>
      <c r="Y421" s="26">
        <f t="shared" si="86"/>
        <v>0</v>
      </c>
      <c r="Z421" s="26">
        <f t="shared" si="87"/>
        <v>0</v>
      </c>
      <c r="AA421" s="33" t="s">
        <v>15</v>
      </c>
      <c r="AB421" s="36" t="s">
        <v>16</v>
      </c>
      <c r="AC421" s="181">
        <f t="shared" si="89"/>
        <v>75</v>
      </c>
      <c r="AD421" s="181">
        <f t="shared" si="88"/>
        <v>112500</v>
      </c>
      <c r="AE421" s="181">
        <v>3</v>
      </c>
      <c r="AF421" s="181">
        <v>3</v>
      </c>
      <c r="AG421" s="101" t="str">
        <f t="shared" si="90"/>
        <v/>
      </c>
      <c r="AH421" s="191">
        <v>0</v>
      </c>
      <c r="AI421" s="69">
        <f t="shared" si="83"/>
        <v>75</v>
      </c>
      <c r="AL421" s="69">
        <v>0</v>
      </c>
    </row>
    <row r="422" spans="1:38" s="69" customFormat="1" ht="66" customHeight="1" x14ac:dyDescent="0.3">
      <c r="A422" s="55" t="s">
        <v>1084</v>
      </c>
      <c r="B422" s="138" t="s">
        <v>1085</v>
      </c>
      <c r="C422" s="54" t="s">
        <v>325</v>
      </c>
      <c r="D422" s="75">
        <v>1</v>
      </c>
      <c r="E422" s="75"/>
      <c r="F422" s="75"/>
      <c r="G422" s="75"/>
      <c r="H422" s="75"/>
      <c r="I422" s="75">
        <v>12000</v>
      </c>
      <c r="J422" s="75">
        <v>12000</v>
      </c>
      <c r="K422" s="91" t="s">
        <v>1086</v>
      </c>
      <c r="L422" s="73"/>
      <c r="M422" s="46">
        <v>0</v>
      </c>
      <c r="N422" s="46">
        <v>0</v>
      </c>
      <c r="O422" s="46">
        <v>0</v>
      </c>
      <c r="P422" s="98"/>
      <c r="Q422" s="23" t="s">
        <v>1431</v>
      </c>
      <c r="R422" s="24" t="s">
        <v>1085</v>
      </c>
      <c r="S422" s="25" t="s">
        <v>325</v>
      </c>
      <c r="T422" s="26">
        <v>1</v>
      </c>
      <c r="U422" s="26">
        <v>1</v>
      </c>
      <c r="V422" s="26">
        <v>12000</v>
      </c>
      <c r="W422" s="26">
        <f t="shared" si="85"/>
        <v>0</v>
      </c>
      <c r="X422" s="26">
        <f t="shared" si="78"/>
        <v>0</v>
      </c>
      <c r="Y422" s="26">
        <f t="shared" si="86"/>
        <v>0</v>
      </c>
      <c r="Z422" s="26">
        <f t="shared" si="87"/>
        <v>0</v>
      </c>
      <c r="AA422" s="33" t="s">
        <v>15</v>
      </c>
      <c r="AB422" s="36" t="s">
        <v>16</v>
      </c>
      <c r="AC422" s="181">
        <f t="shared" si="89"/>
        <v>1</v>
      </c>
      <c r="AD422" s="181">
        <f t="shared" si="88"/>
        <v>12000</v>
      </c>
      <c r="AE422" s="181">
        <v>3</v>
      </c>
      <c r="AF422" s="181">
        <v>3</v>
      </c>
      <c r="AG422" s="101" t="str">
        <f t="shared" si="90"/>
        <v/>
      </c>
      <c r="AH422" s="190">
        <v>0</v>
      </c>
      <c r="AI422" s="69">
        <f t="shared" si="83"/>
        <v>1</v>
      </c>
      <c r="AL422" s="69">
        <v>0</v>
      </c>
    </row>
    <row r="423" spans="1:38" s="69" customFormat="1" ht="49.5" customHeight="1" x14ac:dyDescent="0.3">
      <c r="A423" s="55" t="s">
        <v>1087</v>
      </c>
      <c r="B423" s="138" t="s">
        <v>1088</v>
      </c>
      <c r="C423" s="54" t="s">
        <v>325</v>
      </c>
      <c r="D423" s="75">
        <v>1</v>
      </c>
      <c r="E423" s="75"/>
      <c r="F423" s="75"/>
      <c r="G423" s="75"/>
      <c r="H423" s="75"/>
      <c r="I423" s="75">
        <v>2000</v>
      </c>
      <c r="J423" s="75">
        <v>2000</v>
      </c>
      <c r="K423" s="91" t="s">
        <v>1089</v>
      </c>
      <c r="L423" s="73"/>
      <c r="M423" s="46">
        <v>0</v>
      </c>
      <c r="N423" s="46">
        <v>0</v>
      </c>
      <c r="O423" s="46">
        <v>0</v>
      </c>
      <c r="P423" s="98"/>
      <c r="Q423" s="23" t="s">
        <v>1395</v>
      </c>
      <c r="R423" s="24" t="s">
        <v>1088</v>
      </c>
      <c r="S423" s="25" t="s">
        <v>325</v>
      </c>
      <c r="T423" s="26">
        <v>1</v>
      </c>
      <c r="U423" s="26">
        <v>1</v>
      </c>
      <c r="V423" s="26">
        <v>2000</v>
      </c>
      <c r="W423" s="26">
        <f t="shared" si="85"/>
        <v>0</v>
      </c>
      <c r="X423" s="26">
        <f t="shared" si="78"/>
        <v>0</v>
      </c>
      <c r="Y423" s="26">
        <f t="shared" si="86"/>
        <v>0</v>
      </c>
      <c r="Z423" s="26">
        <f t="shared" si="87"/>
        <v>0</v>
      </c>
      <c r="AA423" s="33" t="s">
        <v>15</v>
      </c>
      <c r="AB423" s="36" t="s">
        <v>16</v>
      </c>
      <c r="AC423" s="181">
        <f t="shared" si="89"/>
        <v>1</v>
      </c>
      <c r="AD423" s="181">
        <f t="shared" si="88"/>
        <v>2000</v>
      </c>
      <c r="AE423" s="181">
        <v>3</v>
      </c>
      <c r="AF423" s="181">
        <v>3</v>
      </c>
      <c r="AG423" s="101" t="str">
        <f t="shared" si="90"/>
        <v/>
      </c>
      <c r="AH423" s="190">
        <v>0</v>
      </c>
      <c r="AI423" s="69">
        <f t="shared" si="83"/>
        <v>1</v>
      </c>
      <c r="AL423" s="69">
        <v>0</v>
      </c>
    </row>
    <row r="424" spans="1:38" s="69" customFormat="1" ht="66" customHeight="1" x14ac:dyDescent="0.3">
      <c r="A424" s="55" t="s">
        <v>1090</v>
      </c>
      <c r="B424" s="138" t="s">
        <v>3119</v>
      </c>
      <c r="C424" s="54" t="s">
        <v>325</v>
      </c>
      <c r="D424" s="75">
        <v>14</v>
      </c>
      <c r="E424" s="75"/>
      <c r="F424" s="75"/>
      <c r="G424" s="75"/>
      <c r="H424" s="75"/>
      <c r="I424" s="75">
        <v>3000</v>
      </c>
      <c r="J424" s="75">
        <v>42000</v>
      </c>
      <c r="K424" s="91" t="s">
        <v>1092</v>
      </c>
      <c r="L424" s="73"/>
      <c r="M424" s="46">
        <v>0</v>
      </c>
      <c r="N424" s="46">
        <v>0</v>
      </c>
      <c r="O424" s="46">
        <v>0</v>
      </c>
      <c r="P424" s="98"/>
      <c r="Q424" s="23" t="s">
        <v>1432</v>
      </c>
      <c r="R424" s="24" t="s">
        <v>1091</v>
      </c>
      <c r="S424" s="25" t="s">
        <v>325</v>
      </c>
      <c r="T424" s="26">
        <v>14</v>
      </c>
      <c r="U424" s="26">
        <v>14</v>
      </c>
      <c r="V424" s="26">
        <v>3000</v>
      </c>
      <c r="W424" s="26">
        <f t="shared" si="85"/>
        <v>0</v>
      </c>
      <c r="X424" s="26">
        <f t="shared" si="78"/>
        <v>0</v>
      </c>
      <c r="Y424" s="26">
        <f t="shared" si="86"/>
        <v>0</v>
      </c>
      <c r="Z424" s="26">
        <f t="shared" si="87"/>
        <v>0</v>
      </c>
      <c r="AA424" s="33" t="s">
        <v>15</v>
      </c>
      <c r="AB424" s="36" t="s">
        <v>16</v>
      </c>
      <c r="AC424" s="181">
        <f t="shared" si="89"/>
        <v>14</v>
      </c>
      <c r="AD424" s="181">
        <f t="shared" si="88"/>
        <v>42000</v>
      </c>
      <c r="AE424" s="181">
        <v>3</v>
      </c>
      <c r="AF424" s="181">
        <v>3</v>
      </c>
      <c r="AG424" s="101" t="str">
        <f t="shared" si="90"/>
        <v/>
      </c>
      <c r="AH424" s="190">
        <v>0</v>
      </c>
      <c r="AI424" s="69">
        <f t="shared" si="83"/>
        <v>14</v>
      </c>
      <c r="AL424" s="69">
        <v>0</v>
      </c>
    </row>
    <row r="425" spans="1:38" s="69" customFormat="1" ht="49.5" customHeight="1" x14ac:dyDescent="0.3">
      <c r="A425" s="55" t="s">
        <v>1093</v>
      </c>
      <c r="B425" s="138" t="s">
        <v>1094</v>
      </c>
      <c r="C425" s="54" t="s">
        <v>325</v>
      </c>
      <c r="D425" s="75">
        <v>3</v>
      </c>
      <c r="E425" s="75"/>
      <c r="F425" s="75"/>
      <c r="G425" s="75"/>
      <c r="H425" s="75"/>
      <c r="I425" s="75">
        <v>1400</v>
      </c>
      <c r="J425" s="75">
        <v>4200</v>
      </c>
      <c r="K425" s="91" t="s">
        <v>1095</v>
      </c>
      <c r="L425" s="73"/>
      <c r="M425" s="46">
        <v>0</v>
      </c>
      <c r="N425" s="46">
        <v>0</v>
      </c>
      <c r="O425" s="46">
        <v>0</v>
      </c>
      <c r="P425" s="98"/>
      <c r="Q425" s="23" t="s">
        <v>1433</v>
      </c>
      <c r="R425" s="24" t="s">
        <v>1094</v>
      </c>
      <c r="S425" s="25" t="s">
        <v>325</v>
      </c>
      <c r="T425" s="26">
        <v>3</v>
      </c>
      <c r="U425" s="26">
        <v>3</v>
      </c>
      <c r="V425" s="26">
        <v>1400</v>
      </c>
      <c r="W425" s="26">
        <f t="shared" si="85"/>
        <v>0</v>
      </c>
      <c r="X425" s="26">
        <f t="shared" si="78"/>
        <v>0</v>
      </c>
      <c r="Y425" s="26">
        <f t="shared" si="86"/>
        <v>0</v>
      </c>
      <c r="Z425" s="26">
        <f t="shared" si="87"/>
        <v>0</v>
      </c>
      <c r="AA425" s="33" t="s">
        <v>15</v>
      </c>
      <c r="AB425" s="36" t="s">
        <v>16</v>
      </c>
      <c r="AC425" s="181">
        <f t="shared" si="89"/>
        <v>3</v>
      </c>
      <c r="AD425" s="181">
        <f t="shared" si="88"/>
        <v>4200</v>
      </c>
      <c r="AE425" s="181">
        <v>3</v>
      </c>
      <c r="AF425" s="181">
        <v>3</v>
      </c>
      <c r="AG425" s="101" t="str">
        <f t="shared" si="90"/>
        <v/>
      </c>
      <c r="AH425" s="190">
        <v>0</v>
      </c>
      <c r="AI425" s="69">
        <f t="shared" si="83"/>
        <v>3</v>
      </c>
      <c r="AL425" s="69">
        <v>0</v>
      </c>
    </row>
    <row r="426" spans="1:38" s="69" customFormat="1" ht="66" customHeight="1" x14ac:dyDescent="0.3">
      <c r="A426" s="55" t="s">
        <v>1096</v>
      </c>
      <c r="B426" s="138" t="s">
        <v>3140</v>
      </c>
      <c r="C426" s="54" t="s">
        <v>66</v>
      </c>
      <c r="D426" s="75">
        <v>5</v>
      </c>
      <c r="E426" s="75"/>
      <c r="F426" s="75"/>
      <c r="G426" s="75"/>
      <c r="H426" s="75"/>
      <c r="I426" s="75">
        <v>18000</v>
      </c>
      <c r="J426" s="75">
        <v>90000</v>
      </c>
      <c r="K426" s="91" t="s">
        <v>1098</v>
      </c>
      <c r="L426" s="73"/>
      <c r="M426" s="46">
        <v>0</v>
      </c>
      <c r="N426" s="46">
        <v>0</v>
      </c>
      <c r="O426" s="46">
        <v>0</v>
      </c>
      <c r="P426" s="98"/>
      <c r="Q426" s="23" t="s">
        <v>1382</v>
      </c>
      <c r="R426" s="24" t="s">
        <v>1097</v>
      </c>
      <c r="S426" s="25" t="s">
        <v>66</v>
      </c>
      <c r="T426" s="26">
        <v>5</v>
      </c>
      <c r="U426" s="26">
        <v>5</v>
      </c>
      <c r="V426" s="26">
        <v>18000</v>
      </c>
      <c r="W426" s="26">
        <f t="shared" si="85"/>
        <v>0</v>
      </c>
      <c r="X426" s="26">
        <f t="shared" si="78"/>
        <v>0</v>
      </c>
      <c r="Y426" s="26">
        <f t="shared" si="86"/>
        <v>0</v>
      </c>
      <c r="Z426" s="26">
        <f t="shared" si="87"/>
        <v>0</v>
      </c>
      <c r="AA426" s="33" t="s">
        <v>15</v>
      </c>
      <c r="AB426" s="36" t="s">
        <v>16</v>
      </c>
      <c r="AC426" s="181">
        <f t="shared" si="89"/>
        <v>5</v>
      </c>
      <c r="AD426" s="181">
        <f t="shared" si="88"/>
        <v>90000</v>
      </c>
      <c r="AE426" s="181">
        <v>3</v>
      </c>
      <c r="AF426" s="181">
        <v>3</v>
      </c>
      <c r="AG426" s="101" t="str">
        <f t="shared" si="90"/>
        <v/>
      </c>
      <c r="AH426" s="190">
        <v>0</v>
      </c>
      <c r="AI426" s="69">
        <f t="shared" si="83"/>
        <v>5</v>
      </c>
      <c r="AL426" s="69">
        <v>0</v>
      </c>
    </row>
    <row r="427" spans="1:38" s="69" customFormat="1" ht="49.5" customHeight="1" x14ac:dyDescent="0.3">
      <c r="A427" s="55" t="s">
        <v>1099</v>
      </c>
      <c r="B427" s="138" t="s">
        <v>1100</v>
      </c>
      <c r="C427" s="54" t="s">
        <v>66</v>
      </c>
      <c r="D427" s="75">
        <v>1</v>
      </c>
      <c r="E427" s="75"/>
      <c r="F427" s="75"/>
      <c r="G427" s="75"/>
      <c r="H427" s="75"/>
      <c r="I427" s="75">
        <v>9000</v>
      </c>
      <c r="J427" s="75">
        <v>9000</v>
      </c>
      <c r="K427" s="91" t="s">
        <v>1101</v>
      </c>
      <c r="L427" s="73"/>
      <c r="M427" s="46">
        <v>0</v>
      </c>
      <c r="N427" s="46">
        <v>0</v>
      </c>
      <c r="O427" s="46">
        <v>0</v>
      </c>
      <c r="P427" s="98"/>
      <c r="Q427" s="23" t="s">
        <v>1434</v>
      </c>
      <c r="R427" s="24" t="s">
        <v>1100</v>
      </c>
      <c r="S427" s="25" t="s">
        <v>66</v>
      </c>
      <c r="T427" s="26">
        <v>1</v>
      </c>
      <c r="U427" s="26">
        <v>1</v>
      </c>
      <c r="V427" s="26">
        <v>9000</v>
      </c>
      <c r="W427" s="26">
        <f t="shared" si="85"/>
        <v>0</v>
      </c>
      <c r="X427" s="26">
        <f t="shared" si="78"/>
        <v>0</v>
      </c>
      <c r="Y427" s="26">
        <f t="shared" si="86"/>
        <v>0</v>
      </c>
      <c r="Z427" s="26">
        <f t="shared" si="87"/>
        <v>0</v>
      </c>
      <c r="AA427" s="33" t="s">
        <v>15</v>
      </c>
      <c r="AB427" s="36" t="s">
        <v>16</v>
      </c>
      <c r="AC427" s="181">
        <f t="shared" si="89"/>
        <v>1</v>
      </c>
      <c r="AD427" s="181">
        <f t="shared" si="88"/>
        <v>9000</v>
      </c>
      <c r="AE427" s="181">
        <v>3</v>
      </c>
      <c r="AF427" s="181">
        <v>3</v>
      </c>
      <c r="AG427" s="101" t="str">
        <f t="shared" si="90"/>
        <v/>
      </c>
      <c r="AH427" s="190">
        <v>0</v>
      </c>
      <c r="AI427" s="69">
        <f t="shared" si="83"/>
        <v>1</v>
      </c>
      <c r="AL427" s="69">
        <v>0</v>
      </c>
    </row>
    <row r="428" spans="1:38" s="69" customFormat="1" ht="49.5" customHeight="1" x14ac:dyDescent="0.3">
      <c r="A428" s="55" t="s">
        <v>1102</v>
      </c>
      <c r="B428" s="138" t="s">
        <v>3120</v>
      </c>
      <c r="C428" s="54" t="s">
        <v>325</v>
      </c>
      <c r="D428" s="75">
        <v>3</v>
      </c>
      <c r="E428" s="75"/>
      <c r="F428" s="75"/>
      <c r="G428" s="75"/>
      <c r="H428" s="75"/>
      <c r="I428" s="75">
        <v>6000</v>
      </c>
      <c r="J428" s="75">
        <v>18000</v>
      </c>
      <c r="K428" s="91" t="s">
        <v>1104</v>
      </c>
      <c r="L428" s="73"/>
      <c r="M428" s="46">
        <v>0</v>
      </c>
      <c r="N428" s="46">
        <v>0</v>
      </c>
      <c r="O428" s="46">
        <v>0</v>
      </c>
      <c r="P428" s="98"/>
      <c r="Q428" s="23" t="s">
        <v>1388</v>
      </c>
      <c r="R428" s="24" t="s">
        <v>1103</v>
      </c>
      <c r="S428" s="25" t="s">
        <v>325</v>
      </c>
      <c r="T428" s="26">
        <v>3</v>
      </c>
      <c r="U428" s="26">
        <v>3</v>
      </c>
      <c r="V428" s="26">
        <v>6000</v>
      </c>
      <c r="W428" s="26">
        <f t="shared" si="85"/>
        <v>0</v>
      </c>
      <c r="X428" s="26">
        <f t="shared" si="78"/>
        <v>0</v>
      </c>
      <c r="Y428" s="26">
        <f t="shared" si="86"/>
        <v>0</v>
      </c>
      <c r="Z428" s="26">
        <f t="shared" si="87"/>
        <v>0</v>
      </c>
      <c r="AA428" s="33" t="s">
        <v>15</v>
      </c>
      <c r="AB428" s="36" t="s">
        <v>16</v>
      </c>
      <c r="AC428" s="181">
        <f t="shared" si="89"/>
        <v>3</v>
      </c>
      <c r="AD428" s="181">
        <f t="shared" si="88"/>
        <v>18000</v>
      </c>
      <c r="AE428" s="181">
        <v>3</v>
      </c>
      <c r="AF428" s="181">
        <v>3</v>
      </c>
      <c r="AG428" s="101" t="str">
        <f t="shared" si="90"/>
        <v/>
      </c>
      <c r="AH428" s="190">
        <v>0</v>
      </c>
      <c r="AI428" s="69">
        <f t="shared" si="83"/>
        <v>3</v>
      </c>
      <c r="AL428" s="69">
        <v>0</v>
      </c>
    </row>
    <row r="429" spans="1:38" s="69" customFormat="1" ht="49.5" customHeight="1" x14ac:dyDescent="0.3">
      <c r="A429" s="55" t="s">
        <v>1105</v>
      </c>
      <c r="B429" s="138" t="s">
        <v>3121</v>
      </c>
      <c r="C429" s="54" t="s">
        <v>66</v>
      </c>
      <c r="D429" s="75">
        <v>1</v>
      </c>
      <c r="E429" s="75"/>
      <c r="F429" s="75"/>
      <c r="G429" s="75"/>
      <c r="H429" s="75"/>
      <c r="I429" s="75">
        <v>2500</v>
      </c>
      <c r="J429" s="75">
        <v>2500</v>
      </c>
      <c r="K429" s="91" t="s">
        <v>1107</v>
      </c>
      <c r="L429" s="73"/>
      <c r="M429" s="46">
        <v>0</v>
      </c>
      <c r="N429" s="46">
        <v>0</v>
      </c>
      <c r="O429" s="46">
        <v>0</v>
      </c>
      <c r="P429" s="98"/>
      <c r="Q429" s="23" t="s">
        <v>1389</v>
      </c>
      <c r="R429" s="24" t="s">
        <v>1106</v>
      </c>
      <c r="S429" s="25" t="s">
        <v>66</v>
      </c>
      <c r="T429" s="26">
        <v>1</v>
      </c>
      <c r="U429" s="26">
        <v>1</v>
      </c>
      <c r="V429" s="26">
        <v>2500</v>
      </c>
      <c r="W429" s="26">
        <f t="shared" si="85"/>
        <v>0</v>
      </c>
      <c r="X429" s="26">
        <f t="shared" si="78"/>
        <v>0</v>
      </c>
      <c r="Y429" s="26">
        <f t="shared" si="86"/>
        <v>0</v>
      </c>
      <c r="Z429" s="26">
        <f t="shared" si="87"/>
        <v>0</v>
      </c>
      <c r="AA429" s="33" t="s">
        <v>15</v>
      </c>
      <c r="AB429" s="36" t="s">
        <v>16</v>
      </c>
      <c r="AC429" s="181">
        <f t="shared" si="89"/>
        <v>1</v>
      </c>
      <c r="AD429" s="181">
        <f t="shared" si="88"/>
        <v>2500</v>
      </c>
      <c r="AE429" s="181">
        <v>3</v>
      </c>
      <c r="AF429" s="181">
        <v>3</v>
      </c>
      <c r="AG429" s="101" t="str">
        <f t="shared" si="90"/>
        <v/>
      </c>
      <c r="AH429" s="190">
        <v>0</v>
      </c>
      <c r="AI429" s="69">
        <f t="shared" si="83"/>
        <v>1</v>
      </c>
      <c r="AL429" s="69">
        <v>0</v>
      </c>
    </row>
    <row r="430" spans="1:38" s="69" customFormat="1" ht="49.5" customHeight="1" x14ac:dyDescent="0.3">
      <c r="A430" s="55" t="s">
        <v>1108</v>
      </c>
      <c r="B430" s="138" t="s">
        <v>1109</v>
      </c>
      <c r="C430" s="54" t="s">
        <v>66</v>
      </c>
      <c r="D430" s="75">
        <v>1</v>
      </c>
      <c r="E430" s="75"/>
      <c r="F430" s="75"/>
      <c r="G430" s="75"/>
      <c r="H430" s="75"/>
      <c r="I430" s="75">
        <v>2500</v>
      </c>
      <c r="J430" s="75">
        <v>2500</v>
      </c>
      <c r="K430" s="91" t="s">
        <v>1110</v>
      </c>
      <c r="L430" s="73"/>
      <c r="M430" s="46">
        <v>0</v>
      </c>
      <c r="N430" s="46">
        <v>0</v>
      </c>
      <c r="O430" s="46">
        <v>0</v>
      </c>
      <c r="P430" s="98"/>
      <c r="Q430" s="23" t="s">
        <v>1390</v>
      </c>
      <c r="R430" s="24" t="s">
        <v>1109</v>
      </c>
      <c r="S430" s="25" t="s">
        <v>66</v>
      </c>
      <c r="T430" s="26">
        <v>1</v>
      </c>
      <c r="U430" s="26">
        <v>1</v>
      </c>
      <c r="V430" s="26">
        <v>2500</v>
      </c>
      <c r="W430" s="26">
        <f t="shared" si="85"/>
        <v>0</v>
      </c>
      <c r="X430" s="26">
        <f t="shared" si="78"/>
        <v>0</v>
      </c>
      <c r="Y430" s="26">
        <f t="shared" si="86"/>
        <v>0</v>
      </c>
      <c r="Z430" s="26">
        <f t="shared" si="87"/>
        <v>0</v>
      </c>
      <c r="AA430" s="33" t="s">
        <v>15</v>
      </c>
      <c r="AB430" s="36" t="s">
        <v>16</v>
      </c>
      <c r="AC430" s="181">
        <f t="shared" si="89"/>
        <v>1</v>
      </c>
      <c r="AD430" s="181">
        <f t="shared" si="88"/>
        <v>2500</v>
      </c>
      <c r="AE430" s="181">
        <v>3</v>
      </c>
      <c r="AF430" s="181">
        <v>3</v>
      </c>
      <c r="AG430" s="101" t="str">
        <f t="shared" si="90"/>
        <v/>
      </c>
      <c r="AH430" s="190">
        <v>0</v>
      </c>
      <c r="AI430" s="69">
        <f t="shared" si="83"/>
        <v>1</v>
      </c>
      <c r="AL430" s="69">
        <v>0</v>
      </c>
    </row>
    <row r="431" spans="1:38" s="69" customFormat="1" ht="49.5" customHeight="1" x14ac:dyDescent="0.3">
      <c r="A431" s="55" t="s">
        <v>1111</v>
      </c>
      <c r="B431" s="138" t="s">
        <v>3122</v>
      </c>
      <c r="C431" s="54" t="s">
        <v>325</v>
      </c>
      <c r="D431" s="75">
        <v>4</v>
      </c>
      <c r="E431" s="75"/>
      <c r="F431" s="75"/>
      <c r="G431" s="75"/>
      <c r="H431" s="75"/>
      <c r="I431" s="75">
        <v>3000</v>
      </c>
      <c r="J431" s="75">
        <v>12000</v>
      </c>
      <c r="K431" s="91" t="s">
        <v>1113</v>
      </c>
      <c r="L431" s="73"/>
      <c r="M431" s="46">
        <v>0</v>
      </c>
      <c r="N431" s="46">
        <v>0</v>
      </c>
      <c r="O431" s="46">
        <v>0</v>
      </c>
      <c r="P431" s="98"/>
      <c r="Q431" s="23" t="s">
        <v>1391</v>
      </c>
      <c r="R431" s="24" t="s">
        <v>1112</v>
      </c>
      <c r="S431" s="25" t="s">
        <v>325</v>
      </c>
      <c r="T431" s="26">
        <v>4</v>
      </c>
      <c r="U431" s="26">
        <v>4</v>
      </c>
      <c r="V431" s="26">
        <v>3000</v>
      </c>
      <c r="W431" s="26">
        <f t="shared" si="85"/>
        <v>0</v>
      </c>
      <c r="X431" s="26">
        <f t="shared" si="78"/>
        <v>0</v>
      </c>
      <c r="Y431" s="26">
        <f t="shared" si="86"/>
        <v>0</v>
      </c>
      <c r="Z431" s="26">
        <f t="shared" si="87"/>
        <v>0</v>
      </c>
      <c r="AA431" s="33" t="s">
        <v>15</v>
      </c>
      <c r="AB431" s="36" t="s">
        <v>16</v>
      </c>
      <c r="AC431" s="181">
        <f t="shared" si="89"/>
        <v>4</v>
      </c>
      <c r="AD431" s="181">
        <f t="shared" si="88"/>
        <v>12000</v>
      </c>
      <c r="AE431" s="181">
        <v>3</v>
      </c>
      <c r="AF431" s="181">
        <v>3</v>
      </c>
      <c r="AG431" s="101" t="str">
        <f t="shared" si="90"/>
        <v/>
      </c>
      <c r="AH431" s="190">
        <v>0</v>
      </c>
      <c r="AI431" s="69">
        <f t="shared" si="83"/>
        <v>4</v>
      </c>
      <c r="AL431" s="69">
        <v>0</v>
      </c>
    </row>
    <row r="432" spans="1:38" s="69" customFormat="1" ht="66" customHeight="1" x14ac:dyDescent="0.3">
      <c r="A432" s="55" t="s">
        <v>1114</v>
      </c>
      <c r="B432" s="138" t="s">
        <v>3123</v>
      </c>
      <c r="C432" s="54" t="s">
        <v>325</v>
      </c>
      <c r="D432" s="75">
        <v>2</v>
      </c>
      <c r="E432" s="75"/>
      <c r="F432" s="75"/>
      <c r="G432" s="75"/>
      <c r="H432" s="75"/>
      <c r="I432" s="75">
        <v>20000</v>
      </c>
      <c r="J432" s="75">
        <v>40000</v>
      </c>
      <c r="K432" s="91" t="s">
        <v>1116</v>
      </c>
      <c r="L432" s="73"/>
      <c r="M432" s="46">
        <v>0</v>
      </c>
      <c r="N432" s="46">
        <v>0</v>
      </c>
      <c r="O432" s="46">
        <v>0</v>
      </c>
      <c r="P432" s="98"/>
      <c r="Q432" s="23" t="s">
        <v>1436</v>
      </c>
      <c r="R432" s="24" t="s">
        <v>1115</v>
      </c>
      <c r="S432" s="25" t="s">
        <v>325</v>
      </c>
      <c r="T432" s="26">
        <v>2</v>
      </c>
      <c r="U432" s="26">
        <v>2</v>
      </c>
      <c r="V432" s="26">
        <v>20000</v>
      </c>
      <c r="W432" s="26">
        <f t="shared" si="85"/>
        <v>0</v>
      </c>
      <c r="X432" s="26">
        <f t="shared" si="78"/>
        <v>0</v>
      </c>
      <c r="Y432" s="26">
        <f t="shared" si="86"/>
        <v>0</v>
      </c>
      <c r="Z432" s="26">
        <f t="shared" si="87"/>
        <v>0</v>
      </c>
      <c r="AA432" s="33" t="s">
        <v>15</v>
      </c>
      <c r="AB432" s="36" t="s">
        <v>16</v>
      </c>
      <c r="AC432" s="181">
        <f t="shared" si="89"/>
        <v>2</v>
      </c>
      <c r="AD432" s="181">
        <f t="shared" si="88"/>
        <v>40000</v>
      </c>
      <c r="AE432" s="181">
        <v>3</v>
      </c>
      <c r="AF432" s="181">
        <v>3</v>
      </c>
      <c r="AG432" s="101" t="str">
        <f t="shared" si="90"/>
        <v/>
      </c>
      <c r="AH432" s="190">
        <v>0</v>
      </c>
      <c r="AI432" s="69">
        <f t="shared" si="83"/>
        <v>2</v>
      </c>
      <c r="AL432" s="69">
        <v>0</v>
      </c>
    </row>
    <row r="433" spans="1:38" s="69" customFormat="1" ht="49.5" customHeight="1" x14ac:dyDescent="0.3">
      <c r="A433" s="55" t="s">
        <v>1117</v>
      </c>
      <c r="B433" s="138" t="s">
        <v>1118</v>
      </c>
      <c r="C433" s="54" t="s">
        <v>66</v>
      </c>
      <c r="D433" s="75">
        <v>1</v>
      </c>
      <c r="E433" s="75"/>
      <c r="F433" s="75"/>
      <c r="G433" s="75"/>
      <c r="H433" s="75"/>
      <c r="I433" s="75">
        <v>15000</v>
      </c>
      <c r="J433" s="75">
        <v>15000</v>
      </c>
      <c r="K433" s="91" t="s">
        <v>1119</v>
      </c>
      <c r="L433" s="73"/>
      <c r="M433" s="46">
        <v>0</v>
      </c>
      <c r="N433" s="46">
        <v>0</v>
      </c>
      <c r="O433" s="46">
        <v>0</v>
      </c>
      <c r="P433" s="98"/>
      <c r="Q433" s="23" t="s">
        <v>1374</v>
      </c>
      <c r="R433" s="24" t="s">
        <v>1118</v>
      </c>
      <c r="S433" s="25" t="s">
        <v>66</v>
      </c>
      <c r="T433" s="26">
        <v>1</v>
      </c>
      <c r="U433" s="26">
        <v>1</v>
      </c>
      <c r="V433" s="26">
        <v>15000</v>
      </c>
      <c r="W433" s="26">
        <f t="shared" si="85"/>
        <v>0</v>
      </c>
      <c r="X433" s="26">
        <f t="shared" si="78"/>
        <v>0</v>
      </c>
      <c r="Y433" s="26">
        <f t="shared" si="86"/>
        <v>0</v>
      </c>
      <c r="Z433" s="26">
        <f t="shared" si="87"/>
        <v>0</v>
      </c>
      <c r="AA433" s="33" t="s">
        <v>15</v>
      </c>
      <c r="AB433" s="36" t="s">
        <v>16</v>
      </c>
      <c r="AC433" s="181">
        <f t="shared" si="89"/>
        <v>1</v>
      </c>
      <c r="AD433" s="181">
        <f t="shared" si="88"/>
        <v>15000</v>
      </c>
      <c r="AE433" s="181">
        <v>3</v>
      </c>
      <c r="AF433" s="181">
        <v>3</v>
      </c>
      <c r="AG433" s="101" t="str">
        <f t="shared" si="90"/>
        <v/>
      </c>
      <c r="AH433" s="190">
        <v>0</v>
      </c>
      <c r="AI433" s="69">
        <f t="shared" si="83"/>
        <v>1</v>
      </c>
      <c r="AL433" s="69">
        <v>0</v>
      </c>
    </row>
    <row r="434" spans="1:38" s="69" customFormat="1" ht="49.5" customHeight="1" x14ac:dyDescent="0.3">
      <c r="A434" s="55" t="s">
        <v>1120</v>
      </c>
      <c r="B434" s="138" t="s">
        <v>1121</v>
      </c>
      <c r="C434" s="54" t="s">
        <v>1122</v>
      </c>
      <c r="D434" s="75">
        <v>3</v>
      </c>
      <c r="E434" s="75"/>
      <c r="F434" s="75"/>
      <c r="G434" s="75"/>
      <c r="H434" s="75"/>
      <c r="I434" s="75">
        <v>1300</v>
      </c>
      <c r="J434" s="75">
        <v>3900</v>
      </c>
      <c r="K434" s="91" t="s">
        <v>1123</v>
      </c>
      <c r="L434" s="73"/>
      <c r="M434" s="46">
        <v>0</v>
      </c>
      <c r="N434" s="46">
        <v>0</v>
      </c>
      <c r="O434" s="46">
        <v>0</v>
      </c>
      <c r="P434" s="98"/>
      <c r="Q434" s="23" t="s">
        <v>1376</v>
      </c>
      <c r="R434" s="24" t="s">
        <v>1121</v>
      </c>
      <c r="S434" s="25" t="s">
        <v>1122</v>
      </c>
      <c r="T434" s="26">
        <v>3</v>
      </c>
      <c r="U434" s="26">
        <v>3</v>
      </c>
      <c r="V434" s="26">
        <v>1300</v>
      </c>
      <c r="W434" s="26">
        <f t="shared" si="85"/>
        <v>0</v>
      </c>
      <c r="X434" s="26">
        <f t="shared" si="78"/>
        <v>0</v>
      </c>
      <c r="Y434" s="26">
        <f t="shared" si="86"/>
        <v>0</v>
      </c>
      <c r="Z434" s="26">
        <f t="shared" si="87"/>
        <v>0</v>
      </c>
      <c r="AA434" s="33" t="s">
        <v>15</v>
      </c>
      <c r="AB434" s="36" t="s">
        <v>16</v>
      </c>
      <c r="AC434" s="181">
        <f t="shared" si="89"/>
        <v>3</v>
      </c>
      <c r="AD434" s="181">
        <f t="shared" si="88"/>
        <v>3900</v>
      </c>
      <c r="AE434" s="181">
        <v>3</v>
      </c>
      <c r="AF434" s="181">
        <v>3</v>
      </c>
      <c r="AG434" s="101" t="str">
        <f t="shared" si="90"/>
        <v/>
      </c>
      <c r="AH434" s="190">
        <v>0</v>
      </c>
      <c r="AI434" s="69">
        <f t="shared" si="83"/>
        <v>3</v>
      </c>
      <c r="AL434" s="69">
        <v>0</v>
      </c>
    </row>
    <row r="435" spans="1:38" s="69" customFormat="1" ht="33" customHeight="1" x14ac:dyDescent="0.3">
      <c r="A435" s="55" t="s">
        <v>1124</v>
      </c>
      <c r="B435" s="138" t="s">
        <v>3124</v>
      </c>
      <c r="C435" s="54" t="s">
        <v>1122</v>
      </c>
      <c r="D435" s="75">
        <v>6</v>
      </c>
      <c r="E435" s="75"/>
      <c r="F435" s="75"/>
      <c r="G435" s="75"/>
      <c r="H435" s="75"/>
      <c r="I435" s="75">
        <v>1000</v>
      </c>
      <c r="J435" s="75">
        <v>6000</v>
      </c>
      <c r="K435" s="91" t="s">
        <v>1126</v>
      </c>
      <c r="L435" s="73"/>
      <c r="M435" s="46">
        <v>0</v>
      </c>
      <c r="N435" s="46">
        <v>0</v>
      </c>
      <c r="O435" s="46">
        <v>0</v>
      </c>
      <c r="P435" s="98"/>
      <c r="Q435" s="23" t="s">
        <v>1378</v>
      </c>
      <c r="R435" s="24" t="s">
        <v>1125</v>
      </c>
      <c r="S435" s="25" t="s">
        <v>1122</v>
      </c>
      <c r="T435" s="26">
        <v>6</v>
      </c>
      <c r="U435" s="26">
        <v>6</v>
      </c>
      <c r="V435" s="26">
        <v>1000</v>
      </c>
      <c r="W435" s="26">
        <f t="shared" si="85"/>
        <v>0</v>
      </c>
      <c r="X435" s="26">
        <f t="shared" si="78"/>
        <v>0</v>
      </c>
      <c r="Y435" s="26">
        <f t="shared" si="86"/>
        <v>0</v>
      </c>
      <c r="Z435" s="26">
        <f t="shared" si="87"/>
        <v>0</v>
      </c>
      <c r="AA435" s="33" t="s">
        <v>15</v>
      </c>
      <c r="AB435" s="36" t="s">
        <v>16</v>
      </c>
      <c r="AC435" s="181">
        <f t="shared" si="89"/>
        <v>6</v>
      </c>
      <c r="AD435" s="181">
        <f t="shared" si="88"/>
        <v>6000</v>
      </c>
      <c r="AE435" s="181">
        <v>3</v>
      </c>
      <c r="AF435" s="181">
        <v>3</v>
      </c>
      <c r="AG435" s="101" t="str">
        <f t="shared" si="90"/>
        <v/>
      </c>
      <c r="AH435" s="190">
        <v>0</v>
      </c>
      <c r="AI435" s="69">
        <f t="shared" si="83"/>
        <v>6</v>
      </c>
      <c r="AL435" s="69">
        <v>0</v>
      </c>
    </row>
    <row r="436" spans="1:38" s="69" customFormat="1" ht="33" customHeight="1" x14ac:dyDescent="0.3">
      <c r="A436" s="55" t="s">
        <v>1127</v>
      </c>
      <c r="B436" s="138" t="s">
        <v>1128</v>
      </c>
      <c r="C436" s="54" t="s">
        <v>325</v>
      </c>
      <c r="D436" s="75">
        <v>2</v>
      </c>
      <c r="E436" s="75"/>
      <c r="F436" s="75"/>
      <c r="G436" s="75"/>
      <c r="H436" s="75"/>
      <c r="I436" s="75">
        <v>9000</v>
      </c>
      <c r="J436" s="75">
        <v>18000</v>
      </c>
      <c r="K436" s="91" t="s">
        <v>1129</v>
      </c>
      <c r="L436" s="73"/>
      <c r="M436" s="46">
        <v>0</v>
      </c>
      <c r="N436" s="46">
        <v>0</v>
      </c>
      <c r="O436" s="46">
        <v>0</v>
      </c>
      <c r="P436" s="98"/>
      <c r="Q436" s="23" t="s">
        <v>1438</v>
      </c>
      <c r="R436" s="24" t="s">
        <v>1128</v>
      </c>
      <c r="S436" s="25" t="s">
        <v>325</v>
      </c>
      <c r="T436" s="26">
        <v>2</v>
      </c>
      <c r="U436" s="26">
        <v>2</v>
      </c>
      <c r="V436" s="26">
        <v>9000</v>
      </c>
      <c r="W436" s="26">
        <f t="shared" si="85"/>
        <v>0</v>
      </c>
      <c r="X436" s="26">
        <f t="shared" si="78"/>
        <v>0</v>
      </c>
      <c r="Y436" s="26">
        <f t="shared" si="86"/>
        <v>0</v>
      </c>
      <c r="Z436" s="26">
        <f t="shared" si="87"/>
        <v>0</v>
      </c>
      <c r="AA436" s="33" t="s">
        <v>15</v>
      </c>
      <c r="AB436" s="36" t="s">
        <v>16</v>
      </c>
      <c r="AC436" s="181">
        <f t="shared" si="89"/>
        <v>2</v>
      </c>
      <c r="AD436" s="181">
        <f t="shared" si="88"/>
        <v>18000</v>
      </c>
      <c r="AE436" s="181">
        <v>3</v>
      </c>
      <c r="AF436" s="181">
        <v>3</v>
      </c>
      <c r="AG436" s="101" t="str">
        <f t="shared" si="90"/>
        <v/>
      </c>
      <c r="AH436" s="190">
        <v>0</v>
      </c>
      <c r="AI436" s="69">
        <f t="shared" si="83"/>
        <v>2</v>
      </c>
      <c r="AL436" s="69">
        <v>0</v>
      </c>
    </row>
    <row r="437" spans="1:38" s="69" customFormat="1" ht="49.5" customHeight="1" x14ac:dyDescent="0.3">
      <c r="A437" s="55" t="s">
        <v>1130</v>
      </c>
      <c r="B437" s="138" t="s">
        <v>3127</v>
      </c>
      <c r="C437" s="54" t="s">
        <v>325</v>
      </c>
      <c r="D437" s="75">
        <v>3</v>
      </c>
      <c r="E437" s="75"/>
      <c r="F437" s="75"/>
      <c r="G437" s="75"/>
      <c r="H437" s="75"/>
      <c r="I437" s="75">
        <v>4200</v>
      </c>
      <c r="J437" s="75">
        <v>12600</v>
      </c>
      <c r="K437" s="91" t="s">
        <v>1132</v>
      </c>
      <c r="L437" s="73"/>
      <c r="M437" s="46">
        <v>0</v>
      </c>
      <c r="N437" s="46">
        <v>0</v>
      </c>
      <c r="O437" s="46">
        <v>0</v>
      </c>
      <c r="P437" s="98"/>
      <c r="Q437" s="23" t="s">
        <v>1439</v>
      </c>
      <c r="R437" s="24" t="s">
        <v>1131</v>
      </c>
      <c r="S437" s="25" t="s">
        <v>325</v>
      </c>
      <c r="T437" s="26">
        <v>3</v>
      </c>
      <c r="U437" s="26">
        <v>3</v>
      </c>
      <c r="V437" s="26">
        <v>4200</v>
      </c>
      <c r="W437" s="26">
        <f t="shared" si="85"/>
        <v>0</v>
      </c>
      <c r="X437" s="26">
        <f t="shared" si="78"/>
        <v>0</v>
      </c>
      <c r="Y437" s="26">
        <f t="shared" si="86"/>
        <v>0</v>
      </c>
      <c r="Z437" s="26">
        <f t="shared" si="87"/>
        <v>0</v>
      </c>
      <c r="AA437" s="33" t="s">
        <v>15</v>
      </c>
      <c r="AB437" s="36" t="s">
        <v>16</v>
      </c>
      <c r="AC437" s="181">
        <f t="shared" si="89"/>
        <v>3</v>
      </c>
      <c r="AD437" s="181">
        <f t="shared" si="88"/>
        <v>12600</v>
      </c>
      <c r="AE437" s="181">
        <v>3</v>
      </c>
      <c r="AF437" s="181">
        <v>3</v>
      </c>
      <c r="AG437" s="101" t="str">
        <f t="shared" si="90"/>
        <v/>
      </c>
      <c r="AH437" s="190">
        <v>0</v>
      </c>
      <c r="AI437" s="69">
        <f t="shared" si="83"/>
        <v>3</v>
      </c>
    </row>
    <row r="438" spans="1:38" s="69" customFormat="1" ht="49.5" customHeight="1" x14ac:dyDescent="0.3">
      <c r="A438" s="55" t="s">
        <v>1133</v>
      </c>
      <c r="B438" s="138" t="s">
        <v>3126</v>
      </c>
      <c r="C438" s="54" t="s">
        <v>66</v>
      </c>
      <c r="D438" s="75">
        <v>4</v>
      </c>
      <c r="E438" s="75"/>
      <c r="F438" s="75"/>
      <c r="G438" s="75"/>
      <c r="H438" s="75"/>
      <c r="I438" s="75">
        <v>1000</v>
      </c>
      <c r="J438" s="75">
        <v>4000</v>
      </c>
      <c r="K438" s="91" t="s">
        <v>1135</v>
      </c>
      <c r="L438" s="73"/>
      <c r="M438" s="46">
        <v>0</v>
      </c>
      <c r="N438" s="46">
        <v>0</v>
      </c>
      <c r="O438" s="46">
        <v>0</v>
      </c>
      <c r="P438" s="98"/>
      <c r="Q438" s="23" t="s">
        <v>1440</v>
      </c>
      <c r="R438" s="24" t="s">
        <v>1134</v>
      </c>
      <c r="S438" s="25" t="s">
        <v>66</v>
      </c>
      <c r="T438" s="26">
        <v>4</v>
      </c>
      <c r="U438" s="26">
        <v>4</v>
      </c>
      <c r="V438" s="26">
        <v>1000</v>
      </c>
      <c r="W438" s="26">
        <f t="shared" si="85"/>
        <v>0</v>
      </c>
      <c r="X438" s="26">
        <f t="shared" si="78"/>
        <v>0</v>
      </c>
      <c r="Y438" s="26">
        <f t="shared" si="86"/>
        <v>0</v>
      </c>
      <c r="Z438" s="26">
        <f t="shared" si="87"/>
        <v>0</v>
      </c>
      <c r="AA438" s="33" t="s">
        <v>15</v>
      </c>
      <c r="AB438" s="36" t="s">
        <v>16</v>
      </c>
      <c r="AC438" s="181">
        <f t="shared" si="89"/>
        <v>4</v>
      </c>
      <c r="AD438" s="181">
        <f t="shared" si="88"/>
        <v>4000</v>
      </c>
      <c r="AE438" s="181">
        <v>3</v>
      </c>
      <c r="AF438" s="181">
        <v>3</v>
      </c>
      <c r="AG438" s="101" t="str">
        <f t="shared" si="90"/>
        <v/>
      </c>
      <c r="AH438" s="190">
        <v>0</v>
      </c>
      <c r="AI438" s="69">
        <f t="shared" si="83"/>
        <v>4</v>
      </c>
    </row>
    <row r="439" spans="1:38" s="69" customFormat="1" ht="49.5" customHeight="1" x14ac:dyDescent="0.3">
      <c r="A439" s="55" t="s">
        <v>1136</v>
      </c>
      <c r="B439" s="138" t="s">
        <v>3125</v>
      </c>
      <c r="C439" s="54" t="s">
        <v>325</v>
      </c>
      <c r="D439" s="75">
        <v>15</v>
      </c>
      <c r="E439" s="75"/>
      <c r="F439" s="75"/>
      <c r="G439" s="75"/>
      <c r="H439" s="75"/>
      <c r="I439" s="75">
        <v>4500</v>
      </c>
      <c r="J439" s="75">
        <v>67500</v>
      </c>
      <c r="K439" s="91" t="s">
        <v>1138</v>
      </c>
      <c r="L439" s="73"/>
      <c r="M439" s="46">
        <v>0</v>
      </c>
      <c r="N439" s="46">
        <v>0</v>
      </c>
      <c r="O439" s="46">
        <v>0</v>
      </c>
      <c r="P439" s="98"/>
      <c r="Q439" s="23" t="s">
        <v>1441</v>
      </c>
      <c r="R439" s="24" t="s">
        <v>1137</v>
      </c>
      <c r="S439" s="25" t="s">
        <v>325</v>
      </c>
      <c r="T439" s="26">
        <v>15</v>
      </c>
      <c r="U439" s="26">
        <v>15</v>
      </c>
      <c r="V439" s="26">
        <v>4500</v>
      </c>
      <c r="W439" s="26">
        <f t="shared" si="85"/>
        <v>0</v>
      </c>
      <c r="X439" s="26">
        <f t="shared" si="78"/>
        <v>0</v>
      </c>
      <c r="Y439" s="26">
        <f t="shared" si="86"/>
        <v>0</v>
      </c>
      <c r="Z439" s="26">
        <f t="shared" si="87"/>
        <v>0</v>
      </c>
      <c r="AA439" s="33" t="s">
        <v>15</v>
      </c>
      <c r="AB439" s="36" t="s">
        <v>16</v>
      </c>
      <c r="AC439" s="181">
        <f t="shared" si="89"/>
        <v>15</v>
      </c>
      <c r="AD439" s="181">
        <f t="shared" si="88"/>
        <v>67500</v>
      </c>
      <c r="AE439" s="181">
        <v>3</v>
      </c>
      <c r="AF439" s="181">
        <v>3</v>
      </c>
      <c r="AG439" s="101" t="str">
        <f t="shared" si="90"/>
        <v/>
      </c>
      <c r="AH439" s="190">
        <v>0</v>
      </c>
      <c r="AI439" s="69">
        <f t="shared" si="83"/>
        <v>15</v>
      </c>
    </row>
    <row r="440" spans="1:38" s="69" customFormat="1" ht="33" customHeight="1" x14ac:dyDescent="0.3">
      <c r="A440" s="55" t="s">
        <v>1139</v>
      </c>
      <c r="B440" s="138" t="s">
        <v>3128</v>
      </c>
      <c r="C440" s="54" t="s">
        <v>325</v>
      </c>
      <c r="D440" s="75">
        <v>2</v>
      </c>
      <c r="E440" s="75"/>
      <c r="F440" s="75"/>
      <c r="G440" s="75"/>
      <c r="H440" s="75"/>
      <c r="I440" s="75">
        <v>636300</v>
      </c>
      <c r="J440" s="75">
        <v>1272600</v>
      </c>
      <c r="K440" s="91" t="s">
        <v>1141</v>
      </c>
      <c r="L440" s="73"/>
      <c r="M440" s="46">
        <v>1</v>
      </c>
      <c r="N440" s="46">
        <v>0</v>
      </c>
      <c r="O440" s="46">
        <v>636300</v>
      </c>
      <c r="P440" s="98"/>
      <c r="Q440" s="23" t="s">
        <v>1442</v>
      </c>
      <c r="R440" s="24" t="s">
        <v>1140</v>
      </c>
      <c r="S440" s="25" t="s">
        <v>325</v>
      </c>
      <c r="T440" s="26">
        <v>2</v>
      </c>
      <c r="U440" s="26">
        <v>2</v>
      </c>
      <c r="V440" s="26">
        <v>636300</v>
      </c>
      <c r="W440" s="26">
        <f t="shared" si="85"/>
        <v>0</v>
      </c>
      <c r="X440" s="26">
        <f t="shared" si="78"/>
        <v>1</v>
      </c>
      <c r="Y440" s="26">
        <f t="shared" si="86"/>
        <v>0</v>
      </c>
      <c r="Z440" s="26">
        <f t="shared" si="87"/>
        <v>636300</v>
      </c>
      <c r="AA440" s="33" t="s">
        <v>15</v>
      </c>
      <c r="AB440" s="36" t="s">
        <v>16</v>
      </c>
      <c r="AC440" s="181">
        <f t="shared" si="89"/>
        <v>2</v>
      </c>
      <c r="AD440" s="181">
        <f t="shared" si="88"/>
        <v>1272600</v>
      </c>
      <c r="AE440" s="181">
        <v>3</v>
      </c>
      <c r="AF440" s="181">
        <v>3</v>
      </c>
      <c r="AG440" s="101" t="str">
        <f t="shared" si="90"/>
        <v/>
      </c>
      <c r="AH440" s="190">
        <v>1</v>
      </c>
      <c r="AI440" s="69">
        <f t="shared" si="83"/>
        <v>2</v>
      </c>
    </row>
    <row r="441" spans="1:38" s="69" customFormat="1" ht="49.5" customHeight="1" x14ac:dyDescent="0.3">
      <c r="A441" s="55" t="s">
        <v>1142</v>
      </c>
      <c r="B441" s="138" t="s">
        <v>3131</v>
      </c>
      <c r="C441" s="54" t="s">
        <v>1144</v>
      </c>
      <c r="D441" s="75">
        <v>4</v>
      </c>
      <c r="E441" s="75"/>
      <c r="F441" s="75"/>
      <c r="G441" s="75"/>
      <c r="H441" s="76"/>
      <c r="I441" s="75">
        <v>2000</v>
      </c>
      <c r="J441" s="75">
        <v>8000</v>
      </c>
      <c r="K441" s="91" t="s">
        <v>1145</v>
      </c>
      <c r="L441" s="73"/>
      <c r="M441" s="46">
        <v>0</v>
      </c>
      <c r="N441" s="46">
        <v>0</v>
      </c>
      <c r="O441" s="46">
        <v>0</v>
      </c>
      <c r="P441" s="98"/>
      <c r="Q441" s="23" t="s">
        <v>1443</v>
      </c>
      <c r="R441" s="24" t="s">
        <v>1143</v>
      </c>
      <c r="S441" s="25" t="s">
        <v>1144</v>
      </c>
      <c r="T441" s="26">
        <v>4</v>
      </c>
      <c r="U441" s="26">
        <v>4</v>
      </c>
      <c r="V441" s="26">
        <v>2000</v>
      </c>
      <c r="W441" s="26">
        <f t="shared" si="85"/>
        <v>0</v>
      </c>
      <c r="X441" s="26">
        <f t="shared" si="78"/>
        <v>0</v>
      </c>
      <c r="Y441" s="26">
        <f t="shared" si="86"/>
        <v>0</v>
      </c>
      <c r="Z441" s="26">
        <f t="shared" si="87"/>
        <v>0</v>
      </c>
      <c r="AA441" s="33" t="s">
        <v>15</v>
      </c>
      <c r="AB441" s="36" t="s">
        <v>16</v>
      </c>
      <c r="AC441" s="181">
        <f t="shared" si="89"/>
        <v>4</v>
      </c>
      <c r="AD441" s="181">
        <f t="shared" si="88"/>
        <v>8000</v>
      </c>
      <c r="AE441" s="181">
        <v>3</v>
      </c>
      <c r="AF441" s="181">
        <v>3</v>
      </c>
      <c r="AG441" s="101" t="str">
        <f t="shared" si="90"/>
        <v/>
      </c>
      <c r="AH441" s="190">
        <v>0</v>
      </c>
      <c r="AI441" s="69">
        <f t="shared" si="83"/>
        <v>4</v>
      </c>
    </row>
    <row r="442" spans="1:38" s="69" customFormat="1" ht="33" x14ac:dyDescent="0.3">
      <c r="A442" s="134">
        <v>3.35</v>
      </c>
      <c r="B442" s="135" t="s">
        <v>1346</v>
      </c>
      <c r="C442" s="204" t="s">
        <v>325</v>
      </c>
      <c r="D442" s="133"/>
      <c r="E442" s="59">
        <v>1</v>
      </c>
      <c r="F442" s="77"/>
      <c r="G442" s="226"/>
      <c r="H442" s="230"/>
      <c r="I442" s="178">
        <v>119161.05</v>
      </c>
      <c r="J442" s="59">
        <v>119161.05</v>
      </c>
      <c r="K442" s="92"/>
      <c r="L442" s="73"/>
      <c r="M442" s="46">
        <v>1</v>
      </c>
      <c r="N442" s="46">
        <v>0</v>
      </c>
      <c r="O442" s="46">
        <v>119161.05</v>
      </c>
      <c r="P442" s="98"/>
      <c r="Q442" s="23" t="s">
        <v>1444</v>
      </c>
      <c r="R442" s="24" t="s">
        <v>1501</v>
      </c>
      <c r="S442" s="25" t="s">
        <v>325</v>
      </c>
      <c r="T442" s="26">
        <v>0</v>
      </c>
      <c r="U442" s="26">
        <v>1</v>
      </c>
      <c r="V442" s="26">
        <v>119161.05</v>
      </c>
      <c r="W442" s="127">
        <f t="shared" si="85"/>
        <v>0</v>
      </c>
      <c r="X442" s="127">
        <f t="shared" si="78"/>
        <v>1</v>
      </c>
      <c r="Y442" s="127">
        <f t="shared" si="86"/>
        <v>0</v>
      </c>
      <c r="Z442" s="127">
        <f t="shared" si="87"/>
        <v>119161.05</v>
      </c>
      <c r="AA442" s="27"/>
      <c r="AB442" s="36" t="s">
        <v>16</v>
      </c>
      <c r="AC442" s="181">
        <f t="shared" si="89"/>
        <v>1</v>
      </c>
      <c r="AD442" s="181">
        <f t="shared" si="88"/>
        <v>119161.05</v>
      </c>
      <c r="AE442" s="181">
        <v>3</v>
      </c>
      <c r="AF442" s="181">
        <v>3</v>
      </c>
      <c r="AG442" s="101" t="str">
        <f t="shared" si="90"/>
        <v/>
      </c>
      <c r="AH442" s="190">
        <v>1</v>
      </c>
      <c r="AI442" s="69">
        <f t="shared" si="83"/>
        <v>1</v>
      </c>
    </row>
    <row r="443" spans="1:38" ht="39" x14ac:dyDescent="0.3">
      <c r="A443" s="134" t="s">
        <v>1347</v>
      </c>
      <c r="B443" s="135" t="s">
        <v>1348</v>
      </c>
      <c r="C443" s="204" t="s">
        <v>325</v>
      </c>
      <c r="D443" s="133"/>
      <c r="E443" s="78"/>
      <c r="F443" s="62">
        <v>1</v>
      </c>
      <c r="G443" s="163"/>
      <c r="H443" s="62"/>
      <c r="I443" s="167">
        <v>74988.5</v>
      </c>
      <c r="J443" s="62">
        <v>74988.5</v>
      </c>
      <c r="K443" s="93"/>
      <c r="M443" s="46">
        <v>1</v>
      </c>
      <c r="N443" s="46">
        <v>0</v>
      </c>
      <c r="O443" s="46">
        <v>74988.5</v>
      </c>
      <c r="P443" s="98"/>
      <c r="Q443" s="23" t="s">
        <v>1408</v>
      </c>
      <c r="R443" s="24" t="s">
        <v>1348</v>
      </c>
      <c r="S443" s="25" t="s">
        <v>325</v>
      </c>
      <c r="T443" s="26">
        <v>0</v>
      </c>
      <c r="U443" s="26">
        <v>1</v>
      </c>
      <c r="V443" s="26">
        <v>74988.5</v>
      </c>
      <c r="W443" s="127">
        <f t="shared" si="85"/>
        <v>0</v>
      </c>
      <c r="X443" s="127">
        <f t="shared" si="78"/>
        <v>1</v>
      </c>
      <c r="Y443" s="127">
        <f t="shared" si="86"/>
        <v>0</v>
      </c>
      <c r="Z443" s="127">
        <f t="shared" si="87"/>
        <v>74988.5</v>
      </c>
      <c r="AA443" s="27"/>
      <c r="AB443" s="36" t="s">
        <v>16</v>
      </c>
      <c r="AC443" s="181">
        <f t="shared" si="89"/>
        <v>1</v>
      </c>
      <c r="AD443" s="181">
        <f t="shared" si="88"/>
        <v>74988.5</v>
      </c>
      <c r="AE443" s="181">
        <v>3</v>
      </c>
      <c r="AF443" s="181">
        <v>3</v>
      </c>
      <c r="AG443" s="101" t="str">
        <f t="shared" si="90"/>
        <v/>
      </c>
      <c r="AH443" s="190">
        <v>1</v>
      </c>
      <c r="AI443" s="69">
        <f t="shared" si="83"/>
        <v>1</v>
      </c>
    </row>
    <row r="444" spans="1:38" ht="66" x14ac:dyDescent="0.3">
      <c r="A444" s="134" t="s">
        <v>1349</v>
      </c>
      <c r="B444" s="139" t="s">
        <v>3132</v>
      </c>
      <c r="C444" s="204" t="s">
        <v>325</v>
      </c>
      <c r="D444" s="133"/>
      <c r="E444" s="78"/>
      <c r="F444" s="62">
        <v>2</v>
      </c>
      <c r="G444" s="163"/>
      <c r="H444" s="62"/>
      <c r="I444" s="167">
        <v>83493.929999999993</v>
      </c>
      <c r="J444" s="62">
        <v>166987.85999999999</v>
      </c>
      <c r="K444" s="93"/>
      <c r="M444" s="46">
        <v>2</v>
      </c>
      <c r="N444" s="46">
        <v>0</v>
      </c>
      <c r="O444" s="46">
        <v>166987.85999999999</v>
      </c>
      <c r="P444" s="98"/>
      <c r="Q444" s="23" t="s">
        <v>1409</v>
      </c>
      <c r="R444" s="24" t="s">
        <v>1350</v>
      </c>
      <c r="S444" s="25" t="s">
        <v>325</v>
      </c>
      <c r="T444" s="26">
        <v>0</v>
      </c>
      <c r="U444" s="26">
        <v>2</v>
      </c>
      <c r="V444" s="26">
        <v>83493.929999999993</v>
      </c>
      <c r="W444" s="127">
        <f t="shared" si="85"/>
        <v>0</v>
      </c>
      <c r="X444" s="127">
        <f t="shared" si="78"/>
        <v>2</v>
      </c>
      <c r="Y444" s="127">
        <f t="shared" si="86"/>
        <v>0</v>
      </c>
      <c r="Z444" s="127">
        <f t="shared" si="87"/>
        <v>166987.85999999999</v>
      </c>
      <c r="AA444" s="27"/>
      <c r="AB444" s="36" t="s">
        <v>16</v>
      </c>
      <c r="AC444" s="181">
        <f t="shared" si="89"/>
        <v>2</v>
      </c>
      <c r="AD444" s="181">
        <f t="shared" si="88"/>
        <v>166987.85999999999</v>
      </c>
      <c r="AE444" s="181">
        <v>3</v>
      </c>
      <c r="AF444" s="181">
        <v>3</v>
      </c>
      <c r="AG444" s="101" t="str">
        <f t="shared" si="90"/>
        <v/>
      </c>
      <c r="AH444" s="190">
        <v>2</v>
      </c>
      <c r="AI444" s="69">
        <f t="shared" si="83"/>
        <v>2</v>
      </c>
    </row>
    <row r="445" spans="1:38" ht="49.5" x14ac:dyDescent="0.3">
      <c r="A445" s="134" t="s">
        <v>1351</v>
      </c>
      <c r="B445" s="139" t="s">
        <v>3133</v>
      </c>
      <c r="C445" s="204" t="s">
        <v>325</v>
      </c>
      <c r="D445" s="133"/>
      <c r="E445" s="78"/>
      <c r="F445" s="62">
        <v>2</v>
      </c>
      <c r="G445" s="163"/>
      <c r="H445" s="62"/>
      <c r="I445" s="167">
        <v>76194.460000000006</v>
      </c>
      <c r="J445" s="62">
        <v>152388.92000000001</v>
      </c>
      <c r="K445" s="93"/>
      <c r="M445" s="46">
        <v>2</v>
      </c>
      <c r="N445" s="46">
        <v>0</v>
      </c>
      <c r="O445" s="46">
        <v>152388.92000000001</v>
      </c>
      <c r="P445" s="98"/>
      <c r="Q445" s="23" t="s">
        <v>1410</v>
      </c>
      <c r="R445" s="24" t="s">
        <v>1352</v>
      </c>
      <c r="S445" s="25" t="s">
        <v>325</v>
      </c>
      <c r="T445" s="26">
        <v>0</v>
      </c>
      <c r="U445" s="26">
        <v>2</v>
      </c>
      <c r="V445" s="26">
        <v>76194.460000000006</v>
      </c>
      <c r="W445" s="127">
        <f t="shared" si="85"/>
        <v>0</v>
      </c>
      <c r="X445" s="127">
        <f t="shared" si="78"/>
        <v>2</v>
      </c>
      <c r="Y445" s="127">
        <f t="shared" si="86"/>
        <v>0</v>
      </c>
      <c r="Z445" s="127">
        <f t="shared" si="87"/>
        <v>152388.92000000001</v>
      </c>
      <c r="AA445" s="27"/>
      <c r="AB445" s="36" t="s">
        <v>16</v>
      </c>
      <c r="AC445" s="181">
        <f t="shared" si="89"/>
        <v>2</v>
      </c>
      <c r="AD445" s="181">
        <f t="shared" si="88"/>
        <v>152388.92000000001</v>
      </c>
      <c r="AE445" s="181">
        <v>3</v>
      </c>
      <c r="AF445" s="181">
        <v>3</v>
      </c>
      <c r="AG445" s="101" t="str">
        <f t="shared" si="90"/>
        <v/>
      </c>
      <c r="AH445" s="190">
        <v>2</v>
      </c>
      <c r="AI445" s="69">
        <f t="shared" si="83"/>
        <v>2</v>
      </c>
    </row>
    <row r="446" spans="1:38" ht="49.5" x14ac:dyDescent="0.3">
      <c r="A446" s="134" t="s">
        <v>1353</v>
      </c>
      <c r="B446" s="139" t="s">
        <v>3134</v>
      </c>
      <c r="C446" s="204" t="s">
        <v>325</v>
      </c>
      <c r="D446" s="133"/>
      <c r="E446" s="78"/>
      <c r="F446" s="62">
        <v>2</v>
      </c>
      <c r="G446" s="163"/>
      <c r="H446" s="62"/>
      <c r="I446" s="167">
        <v>17998.689999999999</v>
      </c>
      <c r="J446" s="62">
        <v>35997.379999999997</v>
      </c>
      <c r="K446" s="93"/>
      <c r="M446" s="46">
        <v>2</v>
      </c>
      <c r="N446" s="46">
        <v>0</v>
      </c>
      <c r="O446" s="46">
        <v>35997.379999999997</v>
      </c>
      <c r="P446" s="98"/>
      <c r="Q446" s="23" t="s">
        <v>1411</v>
      </c>
      <c r="R446" s="24" t="s">
        <v>1354</v>
      </c>
      <c r="S446" s="25" t="s">
        <v>325</v>
      </c>
      <c r="T446" s="26">
        <v>0</v>
      </c>
      <c r="U446" s="26">
        <v>2</v>
      </c>
      <c r="V446" s="26">
        <v>17998.689999999999</v>
      </c>
      <c r="W446" s="127">
        <f t="shared" si="85"/>
        <v>0</v>
      </c>
      <c r="X446" s="127">
        <f t="shared" si="78"/>
        <v>2</v>
      </c>
      <c r="Y446" s="127">
        <f t="shared" si="86"/>
        <v>0</v>
      </c>
      <c r="Z446" s="127">
        <f t="shared" si="87"/>
        <v>35997.379999999997</v>
      </c>
      <c r="AA446" s="27"/>
      <c r="AB446" s="36" t="s">
        <v>16</v>
      </c>
      <c r="AC446" s="181">
        <f t="shared" si="89"/>
        <v>2</v>
      </c>
      <c r="AD446" s="181">
        <f t="shared" si="88"/>
        <v>35997.379999999997</v>
      </c>
      <c r="AE446" s="181">
        <v>3</v>
      </c>
      <c r="AF446" s="181">
        <v>3</v>
      </c>
      <c r="AG446" s="101" t="str">
        <f t="shared" si="90"/>
        <v/>
      </c>
      <c r="AH446" s="190">
        <v>2</v>
      </c>
      <c r="AI446" s="69">
        <f t="shared" si="83"/>
        <v>2</v>
      </c>
    </row>
    <row r="447" spans="1:38" s="69" customFormat="1" ht="33" customHeight="1" x14ac:dyDescent="0.3">
      <c r="A447" s="85" t="s">
        <v>1146</v>
      </c>
      <c r="B447" s="86" t="s">
        <v>1147</v>
      </c>
      <c r="C447" s="87" t="s">
        <v>14</v>
      </c>
      <c r="D447" s="88">
        <v>1</v>
      </c>
      <c r="E447" s="88"/>
      <c r="F447" s="88"/>
      <c r="G447" s="236"/>
      <c r="H447" s="238"/>
      <c r="I447" s="237"/>
      <c r="J447" s="88">
        <v>2798664.24</v>
      </c>
      <c r="K447" s="95" t="s">
        <v>15</v>
      </c>
      <c r="L447" s="73"/>
      <c r="M447" s="42">
        <v>1</v>
      </c>
      <c r="N447" s="42">
        <v>26136.26</v>
      </c>
      <c r="O447" s="42">
        <v>1226308.04</v>
      </c>
      <c r="P447" s="98"/>
      <c r="Q447" s="13" t="s">
        <v>1412</v>
      </c>
      <c r="R447" s="14" t="s">
        <v>1147</v>
      </c>
      <c r="S447" s="15" t="s">
        <v>14</v>
      </c>
      <c r="T447" s="16">
        <v>1</v>
      </c>
      <c r="U447" s="16"/>
      <c r="V447" s="16">
        <f>SUMIFS(AD:AD,AE:AE,AE447)</f>
        <v>2798664.24</v>
      </c>
      <c r="W447" s="16">
        <f t="shared" ref="W447:X447" si="91">IF(Y447=0,0,1)</f>
        <v>1</v>
      </c>
      <c r="X447" s="16">
        <f t="shared" si="91"/>
        <v>1</v>
      </c>
      <c r="Y447" s="16">
        <f>SUMIFS(Y:Y,AF:AF,AE447)</f>
        <v>26136.260000000009</v>
      </c>
      <c r="Z447" s="16">
        <f>SUMIFS(Z:Z,AF:AF,AE447)</f>
        <v>1252444.3</v>
      </c>
      <c r="AA447" s="17" t="s">
        <v>15</v>
      </c>
      <c r="AB447" s="40" t="s">
        <v>16</v>
      </c>
      <c r="AC447" s="181">
        <f t="shared" si="89"/>
        <v>1</v>
      </c>
      <c r="AD447" s="183"/>
      <c r="AE447" s="183">
        <v>4</v>
      </c>
      <c r="AF447" s="183"/>
      <c r="AG447" s="101" t="str">
        <f t="shared" si="90"/>
        <v/>
      </c>
      <c r="AH447" s="190">
        <v>1</v>
      </c>
      <c r="AI447" s="69">
        <f t="shared" si="83"/>
        <v>1</v>
      </c>
    </row>
    <row r="448" spans="1:38" s="69" customFormat="1" ht="49.5" customHeight="1" x14ac:dyDescent="0.3">
      <c r="A448" s="55" t="s">
        <v>1148</v>
      </c>
      <c r="B448" s="53" t="s">
        <v>1149</v>
      </c>
      <c r="C448" s="54" t="s">
        <v>1150</v>
      </c>
      <c r="D448" s="75">
        <v>48</v>
      </c>
      <c r="E448" s="75"/>
      <c r="F448" s="75"/>
      <c r="G448" s="75"/>
      <c r="H448" s="229"/>
      <c r="I448" s="75">
        <v>13068.13</v>
      </c>
      <c r="J448" s="75">
        <v>627270.24</v>
      </c>
      <c r="K448" s="91" t="s">
        <v>1151</v>
      </c>
      <c r="L448" s="73"/>
      <c r="M448" s="46">
        <v>32</v>
      </c>
      <c r="N448" s="46">
        <v>26136.26</v>
      </c>
      <c r="O448" s="46">
        <v>418180.16</v>
      </c>
      <c r="P448" s="98"/>
      <c r="Q448" s="23" t="s">
        <v>1421</v>
      </c>
      <c r="R448" s="24" t="s">
        <v>1149</v>
      </c>
      <c r="S448" s="25" t="s">
        <v>1150</v>
      </c>
      <c r="T448" s="26">
        <v>48</v>
      </c>
      <c r="U448" s="26">
        <v>48</v>
      </c>
      <c r="V448" s="26">
        <v>13068.13</v>
      </c>
      <c r="W448" s="102">
        <f t="shared" ref="W448:W450" si="92">AH448-M448</f>
        <v>2</v>
      </c>
      <c r="X448" s="26">
        <f t="shared" si="78"/>
        <v>34</v>
      </c>
      <c r="Y448" s="26">
        <f>Z448-O448</f>
        <v>26136.260000000009</v>
      </c>
      <c r="Z448" s="26">
        <f t="shared" ref="Z448:Z450" si="93">ROUND(V448*X448,2)</f>
        <v>444316.42</v>
      </c>
      <c r="AA448" s="33" t="s">
        <v>15</v>
      </c>
      <c r="AB448" s="36" t="s">
        <v>16</v>
      </c>
      <c r="AC448" s="181">
        <f t="shared" si="89"/>
        <v>48</v>
      </c>
      <c r="AD448" s="181">
        <f t="shared" ref="AD448:AD450" si="94">ROUND(V448*AC448,2)</f>
        <v>627270.24</v>
      </c>
      <c r="AE448" s="181">
        <v>4</v>
      </c>
      <c r="AF448" s="181">
        <v>4</v>
      </c>
      <c r="AG448" s="101" t="str">
        <f t="shared" si="90"/>
        <v/>
      </c>
      <c r="AH448" s="191">
        <f>32+2</f>
        <v>34</v>
      </c>
      <c r="AI448" s="69">
        <f t="shared" si="83"/>
        <v>48</v>
      </c>
    </row>
    <row r="449" spans="1:35" s="69" customFormat="1" ht="66" customHeight="1" x14ac:dyDescent="0.3">
      <c r="A449" s="55" t="s">
        <v>1152</v>
      </c>
      <c r="B449" s="53" t="s">
        <v>1153</v>
      </c>
      <c r="C449" s="54" t="s">
        <v>998</v>
      </c>
      <c r="D449" s="75">
        <v>6720</v>
      </c>
      <c r="E449" s="75"/>
      <c r="F449" s="75"/>
      <c r="G449" s="75"/>
      <c r="H449" s="75"/>
      <c r="I449" s="75">
        <v>54.57</v>
      </c>
      <c r="J449" s="75">
        <v>366710.4</v>
      </c>
      <c r="K449" s="91" t="s">
        <v>1154</v>
      </c>
      <c r="L449" s="73"/>
      <c r="M449" s="46">
        <v>2360</v>
      </c>
      <c r="N449" s="46">
        <v>0</v>
      </c>
      <c r="O449" s="46">
        <v>128785.2</v>
      </c>
      <c r="P449" s="98"/>
      <c r="Q449" s="23" t="s">
        <v>1426</v>
      </c>
      <c r="R449" s="24" t="s">
        <v>1153</v>
      </c>
      <c r="S449" s="25" t="s">
        <v>998</v>
      </c>
      <c r="T449" s="26">
        <v>6720</v>
      </c>
      <c r="U449" s="26">
        <v>6720</v>
      </c>
      <c r="V449" s="26">
        <v>54.57</v>
      </c>
      <c r="W449" s="102">
        <f t="shared" si="92"/>
        <v>0</v>
      </c>
      <c r="X449" s="26">
        <f t="shared" si="78"/>
        <v>2360</v>
      </c>
      <c r="Y449" s="26">
        <f>Z449-O449</f>
        <v>0</v>
      </c>
      <c r="Z449" s="26">
        <f t="shared" si="93"/>
        <v>128785.2</v>
      </c>
      <c r="AA449" s="33" t="s">
        <v>15</v>
      </c>
      <c r="AB449" s="36" t="s">
        <v>16</v>
      </c>
      <c r="AC449" s="181">
        <f t="shared" si="89"/>
        <v>6720</v>
      </c>
      <c r="AD449" s="181">
        <f t="shared" si="94"/>
        <v>366710.4</v>
      </c>
      <c r="AE449" s="181">
        <v>4</v>
      </c>
      <c r="AF449" s="181">
        <v>4</v>
      </c>
      <c r="AG449" s="101" t="str">
        <f t="shared" si="90"/>
        <v/>
      </c>
      <c r="AH449" s="190">
        <v>2360</v>
      </c>
      <c r="AI449" s="69">
        <f t="shared" si="83"/>
        <v>6720</v>
      </c>
    </row>
    <row r="450" spans="1:35" s="69" customFormat="1" ht="33" x14ac:dyDescent="0.3">
      <c r="A450" s="66">
        <v>4.3</v>
      </c>
      <c r="B450" s="57" t="s">
        <v>1355</v>
      </c>
      <c r="C450" s="58" t="s">
        <v>1360</v>
      </c>
      <c r="D450" s="77"/>
      <c r="E450" s="117">
        <v>1570</v>
      </c>
      <c r="F450" s="59"/>
      <c r="G450" s="142"/>
      <c r="H450" s="142"/>
      <c r="I450" s="77">
        <v>1149.48</v>
      </c>
      <c r="J450" s="59">
        <v>1804683.6</v>
      </c>
      <c r="K450" s="92"/>
      <c r="L450" s="73"/>
      <c r="M450" s="46">
        <v>591</v>
      </c>
      <c r="N450" s="46">
        <v>0</v>
      </c>
      <c r="O450" s="46">
        <v>679342.68</v>
      </c>
      <c r="P450" s="98"/>
      <c r="Q450" s="23" t="s">
        <v>1402</v>
      </c>
      <c r="R450" s="24" t="s">
        <v>1502</v>
      </c>
      <c r="S450" s="25" t="s">
        <v>1360</v>
      </c>
      <c r="T450" s="26">
        <v>0</v>
      </c>
      <c r="U450" s="26">
        <v>1570</v>
      </c>
      <c r="V450" s="26">
        <v>1149.48</v>
      </c>
      <c r="W450" s="102">
        <f t="shared" si="92"/>
        <v>0</v>
      </c>
      <c r="X450" s="26">
        <f t="shared" si="78"/>
        <v>591</v>
      </c>
      <c r="Y450" s="26">
        <f>Z450-O450</f>
        <v>0</v>
      </c>
      <c r="Z450" s="26">
        <f t="shared" si="93"/>
        <v>679342.68</v>
      </c>
      <c r="AA450" s="27"/>
      <c r="AB450" s="36" t="s">
        <v>16</v>
      </c>
      <c r="AC450" s="181">
        <f t="shared" si="89"/>
        <v>1570</v>
      </c>
      <c r="AD450" s="181">
        <f t="shared" si="94"/>
        <v>1804683.6</v>
      </c>
      <c r="AE450" s="181">
        <v>4</v>
      </c>
      <c r="AF450" s="181">
        <v>4</v>
      </c>
      <c r="AG450" s="101" t="str">
        <f t="shared" si="90"/>
        <v/>
      </c>
      <c r="AH450" s="191">
        <v>591</v>
      </c>
      <c r="AI450" s="69">
        <f t="shared" si="83"/>
        <v>1570</v>
      </c>
    </row>
    <row r="451" spans="1:35" s="69" customFormat="1" ht="33" customHeight="1" x14ac:dyDescent="0.3">
      <c r="A451" s="85" t="s">
        <v>1155</v>
      </c>
      <c r="B451" s="86" t="s">
        <v>1156</v>
      </c>
      <c r="C451" s="87" t="s">
        <v>14</v>
      </c>
      <c r="D451" s="88">
        <v>1</v>
      </c>
      <c r="E451" s="88"/>
      <c r="F451" s="88"/>
      <c r="G451" s="88"/>
      <c r="H451" s="88"/>
      <c r="I451" s="88"/>
      <c r="J451" s="88">
        <v>10715306.710000001</v>
      </c>
      <c r="K451" s="95" t="s">
        <v>15</v>
      </c>
      <c r="L451" s="73"/>
      <c r="M451" s="42">
        <v>1</v>
      </c>
      <c r="N451" s="42">
        <v>0</v>
      </c>
      <c r="O451" s="42">
        <v>9583613.3399999999</v>
      </c>
      <c r="P451" s="98"/>
      <c r="Q451" s="13" t="s">
        <v>1413</v>
      </c>
      <c r="R451" s="14" t="s">
        <v>1156</v>
      </c>
      <c r="S451" s="15" t="s">
        <v>14</v>
      </c>
      <c r="T451" s="16">
        <v>1</v>
      </c>
      <c r="U451" s="16"/>
      <c r="V451" s="16">
        <f>SUMIFS(AD:AD,AE:AE,AE451)</f>
        <v>10715306.709999999</v>
      </c>
      <c r="W451" s="16">
        <f t="shared" ref="W451:X451" si="95">IF(Y451=0,0,1)</f>
        <v>1</v>
      </c>
      <c r="X451" s="16">
        <f t="shared" si="95"/>
        <v>1</v>
      </c>
      <c r="Y451" s="16">
        <f>SUMIFS(Y:Y,AF:AF,AE451)</f>
        <v>188937.71999999997</v>
      </c>
      <c r="Z451" s="16">
        <f>SUMIFS(Z:Z,AF:AF,AE451)</f>
        <v>9772551.0600000005</v>
      </c>
      <c r="AA451" s="17" t="s">
        <v>15</v>
      </c>
      <c r="AB451" s="40" t="s">
        <v>16</v>
      </c>
      <c r="AC451" s="181">
        <f t="shared" si="89"/>
        <v>1</v>
      </c>
      <c r="AD451" s="183"/>
      <c r="AE451" s="183">
        <v>5</v>
      </c>
      <c r="AF451" s="183"/>
      <c r="AG451" s="101" t="str">
        <f t="shared" si="90"/>
        <v/>
      </c>
      <c r="AH451" s="190">
        <v>1</v>
      </c>
      <c r="AI451" s="69">
        <f t="shared" si="83"/>
        <v>1</v>
      </c>
    </row>
    <row r="452" spans="1:35" s="69" customFormat="1" ht="49.5" customHeight="1" x14ac:dyDescent="0.3">
      <c r="A452" s="130" t="s">
        <v>1157</v>
      </c>
      <c r="B452" s="240" t="s">
        <v>1158</v>
      </c>
      <c r="C452" s="132" t="s">
        <v>30</v>
      </c>
      <c r="D452" s="133">
        <v>1698.29</v>
      </c>
      <c r="E452" s="75"/>
      <c r="F452" s="75"/>
      <c r="G452" s="75"/>
      <c r="H452" s="75"/>
      <c r="I452" s="75">
        <v>3662.23</v>
      </c>
      <c r="J452" s="75">
        <v>6219528.5899999999</v>
      </c>
      <c r="K452" s="91" t="s">
        <v>1159</v>
      </c>
      <c r="L452" s="73"/>
      <c r="M452" s="46">
        <v>1698.29</v>
      </c>
      <c r="N452" s="46">
        <v>0</v>
      </c>
      <c r="O452" s="46">
        <v>6219528.5899999999</v>
      </c>
      <c r="P452" s="98"/>
      <c r="Q452" s="23" t="s">
        <v>1421</v>
      </c>
      <c r="R452" s="24" t="s">
        <v>1158</v>
      </c>
      <c r="S452" s="25" t="s">
        <v>30</v>
      </c>
      <c r="T452" s="26">
        <v>1698.29</v>
      </c>
      <c r="U452" s="26">
        <v>1698.29</v>
      </c>
      <c r="V452" s="26">
        <v>3662.23</v>
      </c>
      <c r="W452" s="127">
        <f t="shared" ref="W452:W471" si="96">AH452-M452</f>
        <v>0</v>
      </c>
      <c r="X452" s="127">
        <f t="shared" si="78"/>
        <v>1698.29</v>
      </c>
      <c r="Y452" s="127">
        <f t="shared" ref="Y452:Y471" si="97">Z452-O452</f>
        <v>0</v>
      </c>
      <c r="Z452" s="127">
        <f t="shared" ref="Z452:Z471" si="98">ROUND(V452*X452,2)</f>
        <v>6219528.5899999999</v>
      </c>
      <c r="AA452" s="33" t="s">
        <v>15</v>
      </c>
      <c r="AB452" s="36" t="s">
        <v>16</v>
      </c>
      <c r="AC452" s="181">
        <f t="shared" si="89"/>
        <v>1698.29</v>
      </c>
      <c r="AD452" s="181">
        <f t="shared" ref="AD452:AD471" si="99">ROUND(V452*AC452,2)</f>
        <v>6219528.5899999999</v>
      </c>
      <c r="AE452" s="181">
        <v>5</v>
      </c>
      <c r="AF452" s="181">
        <v>5</v>
      </c>
      <c r="AG452" s="101" t="str">
        <f t="shared" si="90"/>
        <v/>
      </c>
      <c r="AH452" s="190">
        <v>1698.29</v>
      </c>
      <c r="AI452" s="69">
        <f t="shared" si="83"/>
        <v>1698.29</v>
      </c>
    </row>
    <row r="453" spans="1:35" s="69" customFormat="1" ht="49.5" x14ac:dyDescent="0.3">
      <c r="A453" s="130" t="s">
        <v>1160</v>
      </c>
      <c r="B453" s="240" t="s">
        <v>1161</v>
      </c>
      <c r="C453" s="132" t="s">
        <v>50</v>
      </c>
      <c r="D453" s="133">
        <v>2123.4</v>
      </c>
      <c r="E453" s="75"/>
      <c r="F453" s="75"/>
      <c r="G453" s="75"/>
      <c r="H453" s="75"/>
      <c r="I453" s="75">
        <v>353</v>
      </c>
      <c r="J453" s="75">
        <v>749560.2</v>
      </c>
      <c r="K453" s="91" t="s">
        <v>1162</v>
      </c>
      <c r="L453" s="73"/>
      <c r="M453" s="46">
        <v>2123.4</v>
      </c>
      <c r="N453" s="46">
        <v>0</v>
      </c>
      <c r="O453" s="46">
        <v>749560.2</v>
      </c>
      <c r="P453" s="98"/>
      <c r="Q453" s="23" t="s">
        <v>1426</v>
      </c>
      <c r="R453" s="24" t="s">
        <v>1161</v>
      </c>
      <c r="S453" s="25" t="s">
        <v>50</v>
      </c>
      <c r="T453" s="26">
        <v>2123.4</v>
      </c>
      <c r="U453" s="26">
        <v>2123.4</v>
      </c>
      <c r="V453" s="26">
        <v>353</v>
      </c>
      <c r="W453" s="127">
        <f t="shared" si="96"/>
        <v>0</v>
      </c>
      <c r="X453" s="127">
        <v>2123.4</v>
      </c>
      <c r="Y453" s="127">
        <f t="shared" si="97"/>
        <v>0</v>
      </c>
      <c r="Z453" s="127">
        <f t="shared" si="98"/>
        <v>749560.2</v>
      </c>
      <c r="AA453" s="33" t="s">
        <v>15</v>
      </c>
      <c r="AB453" s="36" t="s">
        <v>16</v>
      </c>
      <c r="AC453" s="181">
        <f t="shared" si="89"/>
        <v>2123.4</v>
      </c>
      <c r="AD453" s="181">
        <f t="shared" si="99"/>
        <v>749560.2</v>
      </c>
      <c r="AE453" s="181">
        <v>5</v>
      </c>
      <c r="AF453" s="181">
        <v>5</v>
      </c>
      <c r="AG453" s="101" t="str">
        <f t="shared" si="90"/>
        <v/>
      </c>
      <c r="AH453" s="190">
        <v>2123.4</v>
      </c>
      <c r="AI453" s="69">
        <f t="shared" si="83"/>
        <v>2123.4</v>
      </c>
    </row>
    <row r="454" spans="1:35" s="69" customFormat="1" ht="42" customHeight="1" x14ac:dyDescent="0.3">
      <c r="A454" s="130" t="s">
        <v>1163</v>
      </c>
      <c r="B454" s="240" t="s">
        <v>1164</v>
      </c>
      <c r="C454" s="132" t="s">
        <v>162</v>
      </c>
      <c r="D454" s="133">
        <v>59</v>
      </c>
      <c r="E454" s="75"/>
      <c r="F454" s="75"/>
      <c r="G454" s="75"/>
      <c r="H454" s="75"/>
      <c r="I454" s="75">
        <v>217.02</v>
      </c>
      <c r="J454" s="75">
        <v>12804.18</v>
      </c>
      <c r="K454" s="91" t="s">
        <v>1165</v>
      </c>
      <c r="L454" s="73"/>
      <c r="M454" s="46">
        <v>59</v>
      </c>
      <c r="N454" s="46">
        <v>0</v>
      </c>
      <c r="O454" s="46">
        <v>12804.18</v>
      </c>
      <c r="P454" s="98"/>
      <c r="Q454" s="23" t="s">
        <v>1402</v>
      </c>
      <c r="R454" s="24" t="s">
        <v>1164</v>
      </c>
      <c r="S454" s="25" t="s">
        <v>162</v>
      </c>
      <c r="T454" s="26">
        <v>59</v>
      </c>
      <c r="U454" s="26">
        <v>59</v>
      </c>
      <c r="V454" s="26">
        <v>217.02</v>
      </c>
      <c r="W454" s="127">
        <f t="shared" si="96"/>
        <v>0</v>
      </c>
      <c r="X454" s="127">
        <f t="shared" si="78"/>
        <v>59</v>
      </c>
      <c r="Y454" s="127">
        <f t="shared" si="97"/>
        <v>0</v>
      </c>
      <c r="Z454" s="127">
        <f t="shared" si="98"/>
        <v>12804.18</v>
      </c>
      <c r="AA454" s="33" t="s">
        <v>15</v>
      </c>
      <c r="AB454" s="36" t="s">
        <v>16</v>
      </c>
      <c r="AC454" s="181">
        <f t="shared" si="89"/>
        <v>59</v>
      </c>
      <c r="AD454" s="181">
        <f t="shared" si="99"/>
        <v>12804.18</v>
      </c>
      <c r="AE454" s="181">
        <v>5</v>
      </c>
      <c r="AF454" s="181">
        <v>5</v>
      </c>
      <c r="AG454" s="101" t="str">
        <f t="shared" si="90"/>
        <v/>
      </c>
      <c r="AH454" s="194">
        <v>59</v>
      </c>
      <c r="AI454" s="69">
        <f t="shared" si="83"/>
        <v>59</v>
      </c>
    </row>
    <row r="455" spans="1:35" s="69" customFormat="1" ht="26.1" customHeight="1" x14ac:dyDescent="0.3">
      <c r="A455" s="130" t="s">
        <v>1166</v>
      </c>
      <c r="B455" s="131" t="s">
        <v>1167</v>
      </c>
      <c r="C455" s="132" t="s">
        <v>559</v>
      </c>
      <c r="D455" s="133">
        <v>30</v>
      </c>
      <c r="E455" s="75"/>
      <c r="F455" s="75"/>
      <c r="G455" s="75"/>
      <c r="H455" s="75"/>
      <c r="I455" s="75">
        <v>50</v>
      </c>
      <c r="J455" s="75">
        <v>1500</v>
      </c>
      <c r="K455" s="91" t="s">
        <v>1168</v>
      </c>
      <c r="L455" s="73"/>
      <c r="M455" s="46">
        <v>30</v>
      </c>
      <c r="N455" s="46">
        <v>0</v>
      </c>
      <c r="O455" s="46">
        <v>1500</v>
      </c>
      <c r="P455" s="98"/>
      <c r="Q455" s="23" t="s">
        <v>1373</v>
      </c>
      <c r="R455" s="24" t="s">
        <v>1167</v>
      </c>
      <c r="S455" s="25" t="s">
        <v>559</v>
      </c>
      <c r="T455" s="26">
        <v>30</v>
      </c>
      <c r="U455" s="26">
        <v>30</v>
      </c>
      <c r="V455" s="26">
        <v>50</v>
      </c>
      <c r="W455" s="127">
        <f t="shared" si="96"/>
        <v>0</v>
      </c>
      <c r="X455" s="127">
        <f t="shared" si="78"/>
        <v>30</v>
      </c>
      <c r="Y455" s="127">
        <f t="shared" si="97"/>
        <v>0</v>
      </c>
      <c r="Z455" s="127">
        <f t="shared" si="98"/>
        <v>1500</v>
      </c>
      <c r="AA455" s="33" t="s">
        <v>15</v>
      </c>
      <c r="AB455" s="36" t="s">
        <v>16</v>
      </c>
      <c r="AC455" s="181">
        <f t="shared" si="89"/>
        <v>30</v>
      </c>
      <c r="AD455" s="181">
        <f t="shared" si="99"/>
        <v>1500</v>
      </c>
      <c r="AE455" s="181">
        <v>5</v>
      </c>
      <c r="AF455" s="181">
        <v>5</v>
      </c>
      <c r="AG455" s="101" t="str">
        <f t="shared" si="90"/>
        <v/>
      </c>
      <c r="AH455" s="194">
        <v>30</v>
      </c>
      <c r="AI455" s="69">
        <f t="shared" si="83"/>
        <v>30</v>
      </c>
    </row>
    <row r="456" spans="1:35" s="69" customFormat="1" ht="26.1" customHeight="1" x14ac:dyDescent="0.3">
      <c r="A456" s="130" t="s">
        <v>1169</v>
      </c>
      <c r="B456" s="131" t="s">
        <v>1170</v>
      </c>
      <c r="C456" s="132" t="s">
        <v>81</v>
      </c>
      <c r="D456" s="133">
        <v>9</v>
      </c>
      <c r="E456" s="75"/>
      <c r="F456" s="75"/>
      <c r="G456" s="75"/>
      <c r="H456" s="75"/>
      <c r="I456" s="75">
        <v>1900.97</v>
      </c>
      <c r="J456" s="75">
        <v>17108.73</v>
      </c>
      <c r="K456" s="91" t="s">
        <v>1171</v>
      </c>
      <c r="L456" s="73"/>
      <c r="M456" s="46">
        <v>9</v>
      </c>
      <c r="N456" s="46">
        <v>0</v>
      </c>
      <c r="O456" s="46">
        <v>17108.73</v>
      </c>
      <c r="P456" s="98"/>
      <c r="Q456" s="23" t="s">
        <v>1393</v>
      </c>
      <c r="R456" s="24" t="s">
        <v>1170</v>
      </c>
      <c r="S456" s="25" t="s">
        <v>81</v>
      </c>
      <c r="T456" s="26">
        <v>9</v>
      </c>
      <c r="U456" s="26">
        <v>9</v>
      </c>
      <c r="V456" s="26">
        <v>1900.97</v>
      </c>
      <c r="W456" s="127">
        <f t="shared" si="96"/>
        <v>0</v>
      </c>
      <c r="X456" s="127">
        <f t="shared" si="78"/>
        <v>9</v>
      </c>
      <c r="Y456" s="127">
        <f t="shared" si="97"/>
        <v>0</v>
      </c>
      <c r="Z456" s="127">
        <f t="shared" si="98"/>
        <v>17108.73</v>
      </c>
      <c r="AA456" s="33" t="s">
        <v>15</v>
      </c>
      <c r="AB456" s="36" t="s">
        <v>16</v>
      </c>
      <c r="AC456" s="181">
        <f t="shared" si="89"/>
        <v>9</v>
      </c>
      <c r="AD456" s="181">
        <f t="shared" si="99"/>
        <v>17108.73</v>
      </c>
      <c r="AE456" s="181">
        <v>5</v>
      </c>
      <c r="AF456" s="181">
        <v>5</v>
      </c>
      <c r="AG456" s="101" t="str">
        <f t="shared" si="90"/>
        <v/>
      </c>
      <c r="AH456" s="190">
        <v>9</v>
      </c>
      <c r="AI456" s="69">
        <f t="shared" si="83"/>
        <v>9</v>
      </c>
    </row>
    <row r="457" spans="1:35" s="69" customFormat="1" ht="26.1" customHeight="1" x14ac:dyDescent="0.3">
      <c r="A457" s="130" t="s">
        <v>1172</v>
      </c>
      <c r="B457" s="131" t="s">
        <v>1173</v>
      </c>
      <c r="C457" s="132" t="s">
        <v>81</v>
      </c>
      <c r="D457" s="133">
        <v>5</v>
      </c>
      <c r="E457" s="75"/>
      <c r="F457" s="75"/>
      <c r="G457" s="75"/>
      <c r="H457" s="75"/>
      <c r="I457" s="75">
        <v>1230.75</v>
      </c>
      <c r="J457" s="75">
        <v>6153.75</v>
      </c>
      <c r="K457" s="91" t="s">
        <v>1174</v>
      </c>
      <c r="L457" s="73"/>
      <c r="M457" s="46">
        <v>5</v>
      </c>
      <c r="N457" s="46">
        <v>0</v>
      </c>
      <c r="O457" s="46">
        <v>6153.75</v>
      </c>
      <c r="P457" s="98"/>
      <c r="Q457" s="23" t="s">
        <v>1403</v>
      </c>
      <c r="R457" s="24" t="s">
        <v>1173</v>
      </c>
      <c r="S457" s="25" t="s">
        <v>81</v>
      </c>
      <c r="T457" s="26">
        <v>5</v>
      </c>
      <c r="U457" s="26">
        <v>5</v>
      </c>
      <c r="V457" s="26">
        <v>1230.75</v>
      </c>
      <c r="W457" s="127">
        <f t="shared" si="96"/>
        <v>0</v>
      </c>
      <c r="X457" s="127">
        <f t="shared" si="78"/>
        <v>5</v>
      </c>
      <c r="Y457" s="127">
        <f t="shared" si="97"/>
        <v>0</v>
      </c>
      <c r="Z457" s="127">
        <f t="shared" si="98"/>
        <v>6153.75</v>
      </c>
      <c r="AA457" s="33" t="s">
        <v>15</v>
      </c>
      <c r="AB457" s="36" t="s">
        <v>16</v>
      </c>
      <c r="AC457" s="181">
        <f t="shared" si="89"/>
        <v>5</v>
      </c>
      <c r="AD457" s="181">
        <f t="shared" si="99"/>
        <v>6153.75</v>
      </c>
      <c r="AE457" s="181">
        <v>5</v>
      </c>
      <c r="AF457" s="181">
        <v>5</v>
      </c>
      <c r="AG457" s="101" t="str">
        <f t="shared" si="90"/>
        <v/>
      </c>
      <c r="AH457" s="190">
        <v>5</v>
      </c>
      <c r="AI457" s="69">
        <f t="shared" si="83"/>
        <v>5</v>
      </c>
    </row>
    <row r="458" spans="1:35" s="69" customFormat="1" ht="33" x14ac:dyDescent="0.3">
      <c r="A458" s="55" t="s">
        <v>1175</v>
      </c>
      <c r="B458" s="53" t="s">
        <v>1176</v>
      </c>
      <c r="C458" s="54" t="s">
        <v>81</v>
      </c>
      <c r="D458" s="75">
        <v>756</v>
      </c>
      <c r="E458" s="75"/>
      <c r="F458" s="75"/>
      <c r="G458" s="75"/>
      <c r="H458" s="75"/>
      <c r="I458" s="75">
        <v>1666.11</v>
      </c>
      <c r="J458" s="75">
        <v>1259579.1599999999</v>
      </c>
      <c r="K458" s="91" t="s">
        <v>1177</v>
      </c>
      <c r="L458" s="73"/>
      <c r="M458" s="46">
        <v>471</v>
      </c>
      <c r="N458" s="46">
        <v>0</v>
      </c>
      <c r="O458" s="46">
        <v>784737.81</v>
      </c>
      <c r="P458" s="98"/>
      <c r="Q458" s="23" t="s">
        <v>1427</v>
      </c>
      <c r="R458" s="24" t="s">
        <v>1176</v>
      </c>
      <c r="S458" s="25" t="s">
        <v>81</v>
      </c>
      <c r="T458" s="26">
        <v>756</v>
      </c>
      <c r="U458" s="26">
        <v>756</v>
      </c>
      <c r="V458" s="26">
        <v>1666.11</v>
      </c>
      <c r="W458" s="128">
        <f t="shared" si="96"/>
        <v>52</v>
      </c>
      <c r="X458" s="26">
        <f t="shared" si="78"/>
        <v>523</v>
      </c>
      <c r="Y458" s="26">
        <f t="shared" si="97"/>
        <v>86637.719999999972</v>
      </c>
      <c r="Z458" s="26">
        <f t="shared" si="98"/>
        <v>871375.53</v>
      </c>
      <c r="AA458" s="33" t="s">
        <v>15</v>
      </c>
      <c r="AB458" s="36" t="s">
        <v>16</v>
      </c>
      <c r="AC458" s="181">
        <f t="shared" si="89"/>
        <v>756</v>
      </c>
      <c r="AD458" s="181">
        <f t="shared" si="99"/>
        <v>1259579.1599999999</v>
      </c>
      <c r="AE458" s="181">
        <v>5</v>
      </c>
      <c r="AF458" s="181">
        <v>5</v>
      </c>
      <c r="AG458" s="101" t="str">
        <f t="shared" si="90"/>
        <v/>
      </c>
      <c r="AH458" s="191">
        <f>471+52</f>
        <v>523</v>
      </c>
      <c r="AI458" s="69">
        <f t="shared" si="83"/>
        <v>756</v>
      </c>
    </row>
    <row r="459" spans="1:35" s="69" customFormat="1" ht="49.5" customHeight="1" x14ac:dyDescent="0.3">
      <c r="A459" s="130" t="s">
        <v>1178</v>
      </c>
      <c r="B459" s="240" t="s">
        <v>1179</v>
      </c>
      <c r="C459" s="132" t="s">
        <v>81</v>
      </c>
      <c r="D459" s="133">
        <v>2</v>
      </c>
      <c r="E459" s="75"/>
      <c r="F459" s="75"/>
      <c r="G459" s="75"/>
      <c r="H459" s="75"/>
      <c r="I459" s="75">
        <v>48513</v>
      </c>
      <c r="J459" s="75">
        <v>97026</v>
      </c>
      <c r="K459" s="91" t="s">
        <v>1180</v>
      </c>
      <c r="L459" s="73"/>
      <c r="M459" s="46">
        <v>2</v>
      </c>
      <c r="N459" s="46">
        <v>0</v>
      </c>
      <c r="O459" s="46">
        <v>97026</v>
      </c>
      <c r="P459" s="98"/>
      <c r="Q459" s="23" t="s">
        <v>1428</v>
      </c>
      <c r="R459" s="24" t="s">
        <v>1179</v>
      </c>
      <c r="S459" s="25" t="s">
        <v>81</v>
      </c>
      <c r="T459" s="26">
        <v>2</v>
      </c>
      <c r="U459" s="26">
        <v>2</v>
      </c>
      <c r="V459" s="26">
        <v>48513</v>
      </c>
      <c r="W459" s="127">
        <f t="shared" si="96"/>
        <v>0</v>
      </c>
      <c r="X459" s="127">
        <v>2</v>
      </c>
      <c r="Y459" s="127">
        <f t="shared" si="97"/>
        <v>0</v>
      </c>
      <c r="Z459" s="127">
        <f t="shared" si="98"/>
        <v>97026</v>
      </c>
      <c r="AA459" s="33" t="s">
        <v>15</v>
      </c>
      <c r="AB459" s="36" t="s">
        <v>16</v>
      </c>
      <c r="AC459" s="181">
        <f t="shared" si="89"/>
        <v>2</v>
      </c>
      <c r="AD459" s="181">
        <f t="shared" si="99"/>
        <v>97026</v>
      </c>
      <c r="AE459" s="181">
        <v>5</v>
      </c>
      <c r="AF459" s="181">
        <v>5</v>
      </c>
      <c r="AG459" s="101" t="str">
        <f t="shared" si="90"/>
        <v/>
      </c>
      <c r="AH459" s="190">
        <v>2</v>
      </c>
      <c r="AI459" s="69">
        <f t="shared" si="83"/>
        <v>2</v>
      </c>
    </row>
    <row r="460" spans="1:35" s="69" customFormat="1" ht="41.25" x14ac:dyDescent="0.3">
      <c r="A460" s="130" t="s">
        <v>1181</v>
      </c>
      <c r="B460" s="131" t="s">
        <v>1182</v>
      </c>
      <c r="C460" s="132" t="s">
        <v>1183</v>
      </c>
      <c r="D460" s="133">
        <v>18</v>
      </c>
      <c r="E460" s="75">
        <v>38</v>
      </c>
      <c r="F460" s="75"/>
      <c r="G460" s="75"/>
      <c r="H460" s="75"/>
      <c r="I460" s="75">
        <v>587.1</v>
      </c>
      <c r="J460" s="75">
        <v>22309.8</v>
      </c>
      <c r="K460" s="91" t="s">
        <v>1184</v>
      </c>
      <c r="L460" s="73"/>
      <c r="M460" s="46">
        <v>38</v>
      </c>
      <c r="N460" s="46">
        <v>0</v>
      </c>
      <c r="O460" s="46">
        <v>22309.8</v>
      </c>
      <c r="P460" s="98"/>
      <c r="Q460" s="23" t="s">
        <v>1387</v>
      </c>
      <c r="R460" s="24" t="s">
        <v>1182</v>
      </c>
      <c r="S460" s="25" t="s">
        <v>1183</v>
      </c>
      <c r="T460" s="26">
        <v>18</v>
      </c>
      <c r="U460" s="26">
        <v>38</v>
      </c>
      <c r="V460" s="26">
        <v>587.1</v>
      </c>
      <c r="W460" s="127">
        <f t="shared" si="96"/>
        <v>0</v>
      </c>
      <c r="X460" s="127">
        <f t="shared" ref="X460:X493" si="100">W460+M460</f>
        <v>38</v>
      </c>
      <c r="Y460" s="127">
        <f t="shared" si="97"/>
        <v>0</v>
      </c>
      <c r="Z460" s="127">
        <f t="shared" si="98"/>
        <v>22309.8</v>
      </c>
      <c r="AA460" s="27" t="s">
        <v>15</v>
      </c>
      <c r="AB460" s="36" t="s">
        <v>16</v>
      </c>
      <c r="AC460" s="181">
        <f t="shared" si="89"/>
        <v>38</v>
      </c>
      <c r="AD460" s="181">
        <f t="shared" si="99"/>
        <v>22309.8</v>
      </c>
      <c r="AE460" s="181">
        <v>5</v>
      </c>
      <c r="AF460" s="181">
        <v>5</v>
      </c>
      <c r="AG460" s="101" t="str">
        <f t="shared" si="90"/>
        <v/>
      </c>
      <c r="AH460" s="194">
        <v>38</v>
      </c>
      <c r="AI460" s="69">
        <f t="shared" ref="AI460:AI503" si="101">IF(G460=0,IF(F460=0,IF(E460=0,D460,E460),F460),G460)</f>
        <v>38</v>
      </c>
    </row>
    <row r="461" spans="1:35" s="69" customFormat="1" ht="49.5" customHeight="1" x14ac:dyDescent="0.3">
      <c r="A461" s="55" t="s">
        <v>1185</v>
      </c>
      <c r="B461" s="53" t="s">
        <v>1186</v>
      </c>
      <c r="C461" s="54" t="s">
        <v>162</v>
      </c>
      <c r="D461" s="75">
        <v>9</v>
      </c>
      <c r="E461" s="75"/>
      <c r="F461" s="75"/>
      <c r="G461" s="75"/>
      <c r="H461" s="75"/>
      <c r="I461" s="75">
        <v>664.14</v>
      </c>
      <c r="J461" s="75">
        <v>5977.26</v>
      </c>
      <c r="K461" s="91" t="s">
        <v>1187</v>
      </c>
      <c r="L461" s="73"/>
      <c r="M461" s="46">
        <v>0</v>
      </c>
      <c r="N461" s="46">
        <v>0</v>
      </c>
      <c r="O461" s="46">
        <v>0</v>
      </c>
      <c r="P461" s="98"/>
      <c r="Q461" s="23" t="s">
        <v>1405</v>
      </c>
      <c r="R461" s="24" t="s">
        <v>1186</v>
      </c>
      <c r="S461" s="25" t="s">
        <v>162</v>
      </c>
      <c r="T461" s="26">
        <v>9</v>
      </c>
      <c r="U461" s="26">
        <v>9</v>
      </c>
      <c r="V461" s="26">
        <v>664.14</v>
      </c>
      <c r="W461" s="26">
        <f t="shared" si="96"/>
        <v>0</v>
      </c>
      <c r="X461" s="26">
        <f t="shared" si="100"/>
        <v>0</v>
      </c>
      <c r="Y461" s="26">
        <f t="shared" si="97"/>
        <v>0</v>
      </c>
      <c r="Z461" s="26">
        <f t="shared" si="98"/>
        <v>0</v>
      </c>
      <c r="AA461" s="33" t="s">
        <v>15</v>
      </c>
      <c r="AB461" s="36" t="s">
        <v>16</v>
      </c>
      <c r="AC461" s="181">
        <f t="shared" si="89"/>
        <v>9</v>
      </c>
      <c r="AD461" s="181">
        <f t="shared" si="99"/>
        <v>5977.26</v>
      </c>
      <c r="AE461" s="181">
        <v>5</v>
      </c>
      <c r="AF461" s="181">
        <v>5</v>
      </c>
      <c r="AG461" s="101" t="str">
        <f t="shared" si="90"/>
        <v/>
      </c>
      <c r="AH461" s="190">
        <v>0</v>
      </c>
      <c r="AI461" s="69">
        <f t="shared" si="101"/>
        <v>9</v>
      </c>
    </row>
    <row r="462" spans="1:35" s="69" customFormat="1" ht="39" x14ac:dyDescent="0.3">
      <c r="A462" s="55" t="s">
        <v>1188</v>
      </c>
      <c r="B462" s="53" t="s">
        <v>1189</v>
      </c>
      <c r="C462" s="54" t="s">
        <v>81</v>
      </c>
      <c r="D462" s="75">
        <v>68</v>
      </c>
      <c r="E462" s="75"/>
      <c r="F462" s="75"/>
      <c r="G462" s="75"/>
      <c r="H462" s="75"/>
      <c r="I462" s="75">
        <v>847.07</v>
      </c>
      <c r="J462" s="75">
        <v>57600.76</v>
      </c>
      <c r="K462" s="91" t="s">
        <v>1190</v>
      </c>
      <c r="L462" s="73"/>
      <c r="M462" s="46">
        <v>40</v>
      </c>
      <c r="N462" s="46">
        <v>0</v>
      </c>
      <c r="O462" s="46">
        <v>33882.800000000003</v>
      </c>
      <c r="P462" s="98"/>
      <c r="Q462" s="23" t="s">
        <v>1406</v>
      </c>
      <c r="R462" s="24" t="s">
        <v>1189</v>
      </c>
      <c r="S462" s="25" t="s">
        <v>81</v>
      </c>
      <c r="T462" s="26">
        <v>68</v>
      </c>
      <c r="U462" s="26">
        <v>68</v>
      </c>
      <c r="V462" s="26">
        <v>847.07</v>
      </c>
      <c r="W462" s="128">
        <f t="shared" si="96"/>
        <v>0</v>
      </c>
      <c r="X462" s="26">
        <f t="shared" si="100"/>
        <v>40</v>
      </c>
      <c r="Y462" s="26">
        <f t="shared" si="97"/>
        <v>0</v>
      </c>
      <c r="Z462" s="26">
        <f t="shared" si="98"/>
        <v>33882.800000000003</v>
      </c>
      <c r="AA462" s="33" t="s">
        <v>15</v>
      </c>
      <c r="AB462" s="36" t="s">
        <v>16</v>
      </c>
      <c r="AC462" s="181">
        <f t="shared" si="89"/>
        <v>68</v>
      </c>
      <c r="AD462" s="181">
        <f t="shared" si="99"/>
        <v>57600.76</v>
      </c>
      <c r="AE462" s="181">
        <v>5</v>
      </c>
      <c r="AF462" s="181">
        <v>5</v>
      </c>
      <c r="AG462" s="101" t="str">
        <f t="shared" si="90"/>
        <v/>
      </c>
      <c r="AH462" s="190">
        <v>40</v>
      </c>
      <c r="AI462" s="69">
        <f t="shared" si="101"/>
        <v>68</v>
      </c>
    </row>
    <row r="463" spans="1:35" s="69" customFormat="1" ht="41.25" x14ac:dyDescent="0.3">
      <c r="A463" s="130" t="s">
        <v>1191</v>
      </c>
      <c r="B463" s="131" t="s">
        <v>1192</v>
      </c>
      <c r="C463" s="132" t="s">
        <v>30</v>
      </c>
      <c r="D463" s="133">
        <v>27.54</v>
      </c>
      <c r="E463" s="75"/>
      <c r="F463" s="75">
        <v>87.54</v>
      </c>
      <c r="G463" s="75"/>
      <c r="H463" s="75"/>
      <c r="I463" s="75">
        <v>293.74</v>
      </c>
      <c r="J463" s="75">
        <v>25714</v>
      </c>
      <c r="K463" s="91" t="s">
        <v>1193</v>
      </c>
      <c r="L463" s="73"/>
      <c r="M463" s="46">
        <v>87.54</v>
      </c>
      <c r="N463" s="46">
        <v>0</v>
      </c>
      <c r="O463" s="46">
        <v>25714</v>
      </c>
      <c r="P463" s="98"/>
      <c r="Q463" s="23" t="s">
        <v>1414</v>
      </c>
      <c r="R463" s="24" t="s">
        <v>1192</v>
      </c>
      <c r="S463" s="25" t="s">
        <v>30</v>
      </c>
      <c r="T463" s="26">
        <v>27.54</v>
      </c>
      <c r="U463" s="26">
        <v>87.54</v>
      </c>
      <c r="V463" s="26">
        <v>293.74</v>
      </c>
      <c r="W463" s="127">
        <f t="shared" si="96"/>
        <v>0</v>
      </c>
      <c r="X463" s="127">
        <f t="shared" si="100"/>
        <v>87.54</v>
      </c>
      <c r="Y463" s="127">
        <f t="shared" si="97"/>
        <v>0</v>
      </c>
      <c r="Z463" s="127">
        <f t="shared" si="98"/>
        <v>25714</v>
      </c>
      <c r="AA463" s="27" t="s">
        <v>15</v>
      </c>
      <c r="AB463" s="36" t="s">
        <v>16</v>
      </c>
      <c r="AC463" s="181">
        <f t="shared" si="89"/>
        <v>87.54</v>
      </c>
      <c r="AD463" s="181">
        <f t="shared" si="99"/>
        <v>25714</v>
      </c>
      <c r="AE463" s="181">
        <v>5</v>
      </c>
      <c r="AF463" s="181">
        <v>5</v>
      </c>
      <c r="AG463" s="101" t="str">
        <f t="shared" si="90"/>
        <v/>
      </c>
      <c r="AH463" s="190">
        <v>87.54</v>
      </c>
      <c r="AI463" s="69">
        <f t="shared" si="101"/>
        <v>87.54</v>
      </c>
    </row>
    <row r="464" spans="1:35" s="69" customFormat="1" ht="33" customHeight="1" x14ac:dyDescent="0.3">
      <c r="A464" s="130" t="s">
        <v>1194</v>
      </c>
      <c r="B464" s="131" t="s">
        <v>1195</v>
      </c>
      <c r="C464" s="132" t="s">
        <v>1196</v>
      </c>
      <c r="D464" s="133">
        <v>2</v>
      </c>
      <c r="E464" s="75"/>
      <c r="F464" s="75"/>
      <c r="G464" s="75"/>
      <c r="H464" s="75"/>
      <c r="I464" s="75">
        <v>10000</v>
      </c>
      <c r="J464" s="75">
        <v>20000</v>
      </c>
      <c r="K464" s="91" t="s">
        <v>1197</v>
      </c>
      <c r="L464" s="73"/>
      <c r="M464" s="46">
        <v>2</v>
      </c>
      <c r="N464" s="46">
        <v>0</v>
      </c>
      <c r="O464" s="46">
        <v>20000</v>
      </c>
      <c r="P464" s="98"/>
      <c r="Q464" s="23" t="s">
        <v>1429</v>
      </c>
      <c r="R464" s="24" t="s">
        <v>1195</v>
      </c>
      <c r="S464" s="25" t="s">
        <v>1196</v>
      </c>
      <c r="T464" s="26">
        <v>2</v>
      </c>
      <c r="U464" s="26">
        <v>2</v>
      </c>
      <c r="V464" s="26">
        <v>10000</v>
      </c>
      <c r="W464" s="127">
        <f t="shared" si="96"/>
        <v>0</v>
      </c>
      <c r="X464" s="127">
        <f t="shared" si="100"/>
        <v>2</v>
      </c>
      <c r="Y464" s="127">
        <f t="shared" si="97"/>
        <v>0</v>
      </c>
      <c r="Z464" s="127">
        <f t="shared" si="98"/>
        <v>20000</v>
      </c>
      <c r="AA464" s="33" t="s">
        <v>15</v>
      </c>
      <c r="AB464" s="36" t="s">
        <v>16</v>
      </c>
      <c r="AC464" s="181">
        <f t="shared" si="89"/>
        <v>2</v>
      </c>
      <c r="AD464" s="181">
        <f t="shared" si="99"/>
        <v>20000</v>
      </c>
      <c r="AE464" s="181">
        <v>5</v>
      </c>
      <c r="AF464" s="181">
        <v>5</v>
      </c>
      <c r="AG464" s="101" t="str">
        <f t="shared" si="90"/>
        <v/>
      </c>
      <c r="AH464" s="190">
        <v>2</v>
      </c>
      <c r="AI464" s="69">
        <f t="shared" si="101"/>
        <v>2</v>
      </c>
    </row>
    <row r="465" spans="1:35" s="69" customFormat="1" ht="33" customHeight="1" x14ac:dyDescent="0.3">
      <c r="A465" s="55" t="s">
        <v>1198</v>
      </c>
      <c r="B465" s="53" t="s">
        <v>1199</v>
      </c>
      <c r="C465" s="54" t="s">
        <v>30</v>
      </c>
      <c r="D465" s="75">
        <v>1064.31</v>
      </c>
      <c r="E465" s="75"/>
      <c r="F465" s="75"/>
      <c r="G465" s="75"/>
      <c r="H465" s="75"/>
      <c r="I465" s="75">
        <v>210</v>
      </c>
      <c r="J465" s="75">
        <v>223505.1</v>
      </c>
      <c r="K465" s="91" t="s">
        <v>1200</v>
      </c>
      <c r="L465" s="73"/>
      <c r="M465" s="46">
        <v>845</v>
      </c>
      <c r="N465" s="46">
        <v>0</v>
      </c>
      <c r="O465" s="46">
        <v>177450</v>
      </c>
      <c r="P465" s="98"/>
      <c r="Q465" s="23" t="s">
        <v>1430</v>
      </c>
      <c r="R465" s="24" t="s">
        <v>1199</v>
      </c>
      <c r="S465" s="25" t="s">
        <v>30</v>
      </c>
      <c r="T465" s="26">
        <v>1064.31</v>
      </c>
      <c r="U465" s="26">
        <v>1064.31</v>
      </c>
      <c r="V465" s="26">
        <v>210</v>
      </c>
      <c r="W465" s="128">
        <f t="shared" si="96"/>
        <v>110</v>
      </c>
      <c r="X465" s="26">
        <f t="shared" si="100"/>
        <v>955</v>
      </c>
      <c r="Y465" s="26">
        <f t="shared" si="97"/>
        <v>23100</v>
      </c>
      <c r="Z465" s="26">
        <f t="shared" si="98"/>
        <v>200550</v>
      </c>
      <c r="AA465" s="33" t="s">
        <v>15</v>
      </c>
      <c r="AB465" s="36" t="s">
        <v>16</v>
      </c>
      <c r="AC465" s="181">
        <f t="shared" si="89"/>
        <v>1064.31</v>
      </c>
      <c r="AD465" s="181">
        <f t="shared" si="99"/>
        <v>223505.1</v>
      </c>
      <c r="AE465" s="181">
        <v>5</v>
      </c>
      <c r="AF465" s="181">
        <v>5</v>
      </c>
      <c r="AG465" s="101" t="str">
        <f t="shared" si="90"/>
        <v/>
      </c>
      <c r="AH465" s="191">
        <f>845+110</f>
        <v>955</v>
      </c>
      <c r="AI465" s="69">
        <f t="shared" si="101"/>
        <v>1064.31</v>
      </c>
    </row>
    <row r="466" spans="1:35" s="69" customFormat="1" ht="33" x14ac:dyDescent="0.3">
      <c r="A466" s="55" t="s">
        <v>1201</v>
      </c>
      <c r="B466" s="53" t="s">
        <v>1202</v>
      </c>
      <c r="C466" s="54" t="s">
        <v>30</v>
      </c>
      <c r="D466" s="75">
        <v>1910.54</v>
      </c>
      <c r="E466" s="75"/>
      <c r="F466" s="75"/>
      <c r="G466" s="75"/>
      <c r="H466" s="75"/>
      <c r="I466" s="75">
        <v>300</v>
      </c>
      <c r="J466" s="75">
        <v>573162</v>
      </c>
      <c r="K466" s="91" t="s">
        <v>1203</v>
      </c>
      <c r="L466" s="73"/>
      <c r="M466" s="46">
        <v>1106</v>
      </c>
      <c r="N466" s="46">
        <v>0</v>
      </c>
      <c r="O466" s="46">
        <v>331800</v>
      </c>
      <c r="P466" s="98"/>
      <c r="Q466" s="23" t="s">
        <v>1431</v>
      </c>
      <c r="R466" s="24" t="s">
        <v>1202</v>
      </c>
      <c r="S466" s="25" t="s">
        <v>30</v>
      </c>
      <c r="T466" s="26">
        <v>1910.54</v>
      </c>
      <c r="U466" s="26">
        <v>1910.54</v>
      </c>
      <c r="V466" s="26">
        <v>300</v>
      </c>
      <c r="W466" s="128">
        <f t="shared" si="96"/>
        <v>136</v>
      </c>
      <c r="X466" s="26">
        <f t="shared" si="100"/>
        <v>1242</v>
      </c>
      <c r="Y466" s="26">
        <f t="shared" si="97"/>
        <v>40800</v>
      </c>
      <c r="Z466" s="26">
        <f t="shared" si="98"/>
        <v>372600</v>
      </c>
      <c r="AA466" s="33" t="s">
        <v>15</v>
      </c>
      <c r="AB466" s="36" t="s">
        <v>16</v>
      </c>
      <c r="AC466" s="181">
        <f t="shared" si="89"/>
        <v>1910.54</v>
      </c>
      <c r="AD466" s="181">
        <f t="shared" si="99"/>
        <v>573162</v>
      </c>
      <c r="AE466" s="181">
        <v>5</v>
      </c>
      <c r="AF466" s="181">
        <v>5</v>
      </c>
      <c r="AG466" s="101" t="str">
        <f t="shared" si="90"/>
        <v/>
      </c>
      <c r="AH466" s="191">
        <f>1106+136</f>
        <v>1242</v>
      </c>
      <c r="AI466" s="69">
        <f t="shared" si="101"/>
        <v>1910.54</v>
      </c>
    </row>
    <row r="467" spans="1:35" s="69" customFormat="1" ht="33" x14ac:dyDescent="0.3">
      <c r="A467" s="55" t="s">
        <v>1204</v>
      </c>
      <c r="B467" s="53" t="s">
        <v>1205</v>
      </c>
      <c r="C467" s="54" t="s">
        <v>30</v>
      </c>
      <c r="D467" s="75">
        <v>2738.45</v>
      </c>
      <c r="E467" s="75"/>
      <c r="F467" s="75"/>
      <c r="G467" s="75"/>
      <c r="H467" s="75"/>
      <c r="I467" s="75">
        <v>200</v>
      </c>
      <c r="J467" s="75">
        <v>547690</v>
      </c>
      <c r="K467" s="91" t="s">
        <v>1206</v>
      </c>
      <c r="L467" s="73"/>
      <c r="M467" s="46">
        <v>1256.3</v>
      </c>
      <c r="N467" s="46">
        <v>0</v>
      </c>
      <c r="O467" s="46">
        <v>251260</v>
      </c>
      <c r="P467" s="98"/>
      <c r="Q467" s="23" t="s">
        <v>1395</v>
      </c>
      <c r="R467" s="24" t="s">
        <v>1205</v>
      </c>
      <c r="S467" s="25" t="s">
        <v>30</v>
      </c>
      <c r="T467" s="26">
        <v>2738.45</v>
      </c>
      <c r="U467" s="26">
        <v>2738.45</v>
      </c>
      <c r="V467" s="26">
        <v>200</v>
      </c>
      <c r="W467" s="128">
        <f t="shared" si="96"/>
        <v>192</v>
      </c>
      <c r="X467" s="26">
        <f t="shared" si="100"/>
        <v>1448.3</v>
      </c>
      <c r="Y467" s="26">
        <f t="shared" si="97"/>
        <v>38400</v>
      </c>
      <c r="Z467" s="26">
        <f t="shared" si="98"/>
        <v>289660</v>
      </c>
      <c r="AA467" s="33" t="s">
        <v>15</v>
      </c>
      <c r="AB467" s="36" t="s">
        <v>16</v>
      </c>
      <c r="AC467" s="181">
        <f t="shared" si="89"/>
        <v>2738.45</v>
      </c>
      <c r="AD467" s="181">
        <f t="shared" si="99"/>
        <v>547690</v>
      </c>
      <c r="AE467" s="181">
        <v>5</v>
      </c>
      <c r="AF467" s="181">
        <v>5</v>
      </c>
      <c r="AG467" s="101" t="str">
        <f t="shared" si="90"/>
        <v/>
      </c>
      <c r="AH467" s="191">
        <f>1256.3+192</f>
        <v>1448.3</v>
      </c>
      <c r="AI467" s="69">
        <f t="shared" si="101"/>
        <v>2738.45</v>
      </c>
    </row>
    <row r="468" spans="1:35" s="69" customFormat="1" ht="33" customHeight="1" x14ac:dyDescent="0.3">
      <c r="A468" s="55" t="s">
        <v>1207</v>
      </c>
      <c r="B468" s="53" t="s">
        <v>1208</v>
      </c>
      <c r="C468" s="54" t="s">
        <v>14</v>
      </c>
      <c r="D468" s="75">
        <v>1</v>
      </c>
      <c r="E468" s="75"/>
      <c r="F468" s="76"/>
      <c r="G468" s="76"/>
      <c r="H468" s="76"/>
      <c r="I468" s="75">
        <v>21460.9</v>
      </c>
      <c r="J468" s="75">
        <v>21460.9</v>
      </c>
      <c r="K468" s="91" t="s">
        <v>1209</v>
      </c>
      <c r="L468" s="73"/>
      <c r="M468" s="46">
        <v>0</v>
      </c>
      <c r="N468" s="46">
        <v>0</v>
      </c>
      <c r="O468" s="46">
        <v>0</v>
      </c>
      <c r="P468" s="98"/>
      <c r="Q468" s="23" t="s">
        <v>1432</v>
      </c>
      <c r="R468" s="24" t="s">
        <v>1208</v>
      </c>
      <c r="S468" s="25" t="s">
        <v>14</v>
      </c>
      <c r="T468" s="26">
        <v>1</v>
      </c>
      <c r="U468" s="26">
        <v>1</v>
      </c>
      <c r="V468" s="26">
        <v>21460.9</v>
      </c>
      <c r="W468" s="26">
        <f t="shared" si="96"/>
        <v>0</v>
      </c>
      <c r="X468" s="26">
        <f t="shared" si="100"/>
        <v>0</v>
      </c>
      <c r="Y468" s="136">
        <f t="shared" si="97"/>
        <v>0</v>
      </c>
      <c r="Z468" s="26">
        <f t="shared" si="98"/>
        <v>0</v>
      </c>
      <c r="AA468" s="33" t="s">
        <v>15</v>
      </c>
      <c r="AB468" s="36" t="s">
        <v>16</v>
      </c>
      <c r="AC468" s="181">
        <f t="shared" si="89"/>
        <v>1</v>
      </c>
      <c r="AD468" s="181">
        <f t="shared" si="99"/>
        <v>21460.9</v>
      </c>
      <c r="AE468" s="181">
        <v>5</v>
      </c>
      <c r="AF468" s="181">
        <v>5</v>
      </c>
      <c r="AG468" s="101" t="str">
        <f t="shared" si="90"/>
        <v/>
      </c>
      <c r="AH468" s="190">
        <v>0</v>
      </c>
      <c r="AI468" s="69">
        <f t="shared" si="101"/>
        <v>1</v>
      </c>
    </row>
    <row r="469" spans="1:35" s="69" customFormat="1" ht="39" x14ac:dyDescent="0.3">
      <c r="A469" s="134">
        <v>5.18</v>
      </c>
      <c r="B469" s="135" t="s">
        <v>1356</v>
      </c>
      <c r="C469" s="204" t="s">
        <v>97</v>
      </c>
      <c r="D469" s="244"/>
      <c r="E469" s="59">
        <v>720</v>
      </c>
      <c r="F469" s="180"/>
      <c r="G469" s="180"/>
      <c r="H469" s="180"/>
      <c r="I469" s="178">
        <v>273.11</v>
      </c>
      <c r="J469" s="59">
        <v>196639.2</v>
      </c>
      <c r="K469" s="92"/>
      <c r="L469" s="73"/>
      <c r="M469" s="46">
        <v>640</v>
      </c>
      <c r="N469" s="46">
        <v>0</v>
      </c>
      <c r="O469" s="46">
        <v>174790.39999999999</v>
      </c>
      <c r="P469" s="98"/>
      <c r="Q469" s="23" t="s">
        <v>1433</v>
      </c>
      <c r="R469" s="24" t="s">
        <v>1503</v>
      </c>
      <c r="S469" s="25" t="s">
        <v>97</v>
      </c>
      <c r="T469" s="26">
        <v>0</v>
      </c>
      <c r="U469" s="26">
        <v>720</v>
      </c>
      <c r="V469" s="26">
        <v>273.11</v>
      </c>
      <c r="W469" s="128">
        <f t="shared" si="96"/>
        <v>0</v>
      </c>
      <c r="X469" s="127">
        <f t="shared" si="100"/>
        <v>640</v>
      </c>
      <c r="Y469" s="127">
        <f t="shared" si="97"/>
        <v>0</v>
      </c>
      <c r="Z469" s="127">
        <f t="shared" si="98"/>
        <v>174790.39999999999</v>
      </c>
      <c r="AA469" s="27"/>
      <c r="AB469" s="36" t="s">
        <v>16</v>
      </c>
      <c r="AC469" s="181">
        <f t="shared" si="89"/>
        <v>720</v>
      </c>
      <c r="AD469" s="181">
        <f t="shared" si="99"/>
        <v>196639.2</v>
      </c>
      <c r="AE469" s="181">
        <v>5</v>
      </c>
      <c r="AF469" s="181">
        <v>5</v>
      </c>
      <c r="AG469" s="101" t="str">
        <f t="shared" si="90"/>
        <v/>
      </c>
      <c r="AH469" s="191">
        <v>640</v>
      </c>
      <c r="AI469" s="69">
        <f t="shared" si="101"/>
        <v>720</v>
      </c>
    </row>
    <row r="470" spans="1:35" s="69" customFormat="1" ht="39" x14ac:dyDescent="0.3">
      <c r="A470" s="144">
        <v>5.19</v>
      </c>
      <c r="B470" s="145" t="s">
        <v>1357</v>
      </c>
      <c r="C470" s="206" t="s">
        <v>30</v>
      </c>
      <c r="D470" s="221"/>
      <c r="E470" s="175">
        <v>212</v>
      </c>
      <c r="F470" s="180"/>
      <c r="G470" s="180"/>
      <c r="H470" s="180"/>
      <c r="I470" s="179">
        <v>1859.87</v>
      </c>
      <c r="J470" s="175">
        <v>394292.44</v>
      </c>
      <c r="K470" s="176"/>
      <c r="L470" s="73"/>
      <c r="M470" s="46">
        <v>212</v>
      </c>
      <c r="N470" s="46">
        <v>0</v>
      </c>
      <c r="O470" s="46">
        <v>394292.44</v>
      </c>
      <c r="P470" s="98"/>
      <c r="Q470" s="23" t="s">
        <v>1382</v>
      </c>
      <c r="R470" s="24" t="s">
        <v>1504</v>
      </c>
      <c r="S470" s="25" t="s">
        <v>30</v>
      </c>
      <c r="T470" s="26">
        <v>0</v>
      </c>
      <c r="U470" s="26">
        <v>212</v>
      </c>
      <c r="V470" s="26">
        <v>1859.87</v>
      </c>
      <c r="W470" s="127">
        <f t="shared" si="96"/>
        <v>0</v>
      </c>
      <c r="X470" s="127">
        <f t="shared" si="100"/>
        <v>212</v>
      </c>
      <c r="Y470" s="127">
        <f t="shared" si="97"/>
        <v>0</v>
      </c>
      <c r="Z470" s="127">
        <f t="shared" si="98"/>
        <v>394292.44</v>
      </c>
      <c r="AA470" s="27"/>
      <c r="AB470" s="36" t="s">
        <v>16</v>
      </c>
      <c r="AC470" s="181">
        <f t="shared" si="89"/>
        <v>212</v>
      </c>
      <c r="AD470" s="181">
        <f t="shared" si="99"/>
        <v>394292.44</v>
      </c>
      <c r="AE470" s="181">
        <v>5</v>
      </c>
      <c r="AF470" s="181">
        <v>5</v>
      </c>
      <c r="AG470" s="101" t="str">
        <f t="shared" si="90"/>
        <v/>
      </c>
      <c r="AH470" s="190">
        <v>212</v>
      </c>
      <c r="AI470" s="69">
        <f t="shared" si="101"/>
        <v>212</v>
      </c>
    </row>
    <row r="471" spans="1:35" s="69" customFormat="1" ht="39" x14ac:dyDescent="0.3">
      <c r="A471" s="210" t="s">
        <v>3106</v>
      </c>
      <c r="B471" s="208" t="s">
        <v>3107</v>
      </c>
      <c r="C471" s="204" t="s">
        <v>14</v>
      </c>
      <c r="D471" s="208"/>
      <c r="E471" s="159"/>
      <c r="F471" s="156"/>
      <c r="G471" s="156">
        <v>1</v>
      </c>
      <c r="H471" s="156"/>
      <c r="I471" s="158"/>
      <c r="J471" s="159">
        <v>263694.64</v>
      </c>
      <c r="K471" s="160"/>
      <c r="L471" s="73"/>
      <c r="M471" s="46">
        <v>1</v>
      </c>
      <c r="N471" s="46">
        <v>0</v>
      </c>
      <c r="O471" s="46">
        <v>263694.64</v>
      </c>
      <c r="P471" s="98"/>
      <c r="Q471" s="23" t="s">
        <v>3108</v>
      </c>
      <c r="R471" s="24" t="s">
        <v>3107</v>
      </c>
      <c r="S471" s="25" t="s">
        <v>14</v>
      </c>
      <c r="T471" s="26"/>
      <c r="U471" s="26">
        <v>1</v>
      </c>
      <c r="V471" s="26">
        <v>263694.64</v>
      </c>
      <c r="W471" s="127">
        <f t="shared" si="96"/>
        <v>0</v>
      </c>
      <c r="X471" s="127">
        <f t="shared" si="100"/>
        <v>1</v>
      </c>
      <c r="Y471" s="127">
        <f t="shared" si="97"/>
        <v>0</v>
      </c>
      <c r="Z471" s="127">
        <f t="shared" si="98"/>
        <v>263694.64</v>
      </c>
      <c r="AA471" s="27"/>
      <c r="AB471" s="36"/>
      <c r="AC471" s="181">
        <f t="shared" si="89"/>
        <v>1</v>
      </c>
      <c r="AD471" s="181">
        <f t="shared" si="99"/>
        <v>263694.64</v>
      </c>
      <c r="AE471" s="181">
        <v>5</v>
      </c>
      <c r="AF471" s="181">
        <v>5</v>
      </c>
      <c r="AG471" s="101"/>
      <c r="AH471" s="193">
        <v>1</v>
      </c>
      <c r="AI471" s="69">
        <f t="shared" si="101"/>
        <v>1</v>
      </c>
    </row>
    <row r="472" spans="1:35" s="69" customFormat="1" ht="33" x14ac:dyDescent="0.3">
      <c r="A472" s="150" t="s">
        <v>1210</v>
      </c>
      <c r="B472" s="151" t="s">
        <v>1211</v>
      </c>
      <c r="C472" s="152" t="s">
        <v>14</v>
      </c>
      <c r="D472" s="153">
        <v>1</v>
      </c>
      <c r="E472" s="153"/>
      <c r="F472" s="153"/>
      <c r="G472" s="153"/>
      <c r="H472" s="153"/>
      <c r="I472" s="153"/>
      <c r="J472" s="153">
        <v>3143726.96</v>
      </c>
      <c r="K472" s="154" t="s">
        <v>15</v>
      </c>
      <c r="L472" s="73"/>
      <c r="M472" s="42">
        <v>1</v>
      </c>
      <c r="N472" s="42">
        <v>47468</v>
      </c>
      <c r="O472" s="42">
        <v>2544661.37</v>
      </c>
      <c r="P472" s="98"/>
      <c r="Q472" s="13" t="s">
        <v>1415</v>
      </c>
      <c r="R472" s="14" t="s">
        <v>1211</v>
      </c>
      <c r="S472" s="15" t="s">
        <v>14</v>
      </c>
      <c r="T472" s="16">
        <v>1</v>
      </c>
      <c r="U472" s="16"/>
      <c r="V472" s="16">
        <f>SUMIFS(AD:AD,AE:AE,AE472)</f>
        <v>3143726.9600000004</v>
      </c>
      <c r="W472" s="16">
        <f t="shared" ref="W472:X472" si="102">IF(Y472=0,0,1)</f>
        <v>1</v>
      </c>
      <c r="X472" s="16">
        <f t="shared" si="102"/>
        <v>1</v>
      </c>
      <c r="Y472" s="16">
        <f>SUMIFS(Y:Y,AF:AF,AE472)</f>
        <v>47468</v>
      </c>
      <c r="Z472" s="16">
        <f>SUMIFS(Z:Z,AF:AF,AE472)</f>
        <v>2592129.37</v>
      </c>
      <c r="AA472" s="17" t="s">
        <v>15</v>
      </c>
      <c r="AB472" s="40" t="s">
        <v>16</v>
      </c>
      <c r="AC472" s="181">
        <f t="shared" si="89"/>
        <v>1</v>
      </c>
      <c r="AD472" s="183"/>
      <c r="AE472" s="183">
        <v>6</v>
      </c>
      <c r="AF472" s="183"/>
      <c r="AG472" s="101" t="str">
        <f t="shared" si="90"/>
        <v/>
      </c>
      <c r="AH472" s="190">
        <v>1</v>
      </c>
      <c r="AI472" s="69">
        <f t="shared" si="101"/>
        <v>1</v>
      </c>
    </row>
    <row r="473" spans="1:35" s="69" customFormat="1" ht="33" customHeight="1" x14ac:dyDescent="0.3">
      <c r="A473" s="130" t="s">
        <v>1212</v>
      </c>
      <c r="B473" s="131" t="s">
        <v>1213</v>
      </c>
      <c r="C473" s="132" t="s">
        <v>1014</v>
      </c>
      <c r="D473" s="133">
        <v>10</v>
      </c>
      <c r="E473" s="75"/>
      <c r="F473" s="75"/>
      <c r="G473" s="75"/>
      <c r="H473" s="75"/>
      <c r="I473" s="75">
        <v>770</v>
      </c>
      <c r="J473" s="75">
        <v>7700</v>
      </c>
      <c r="K473" s="91" t="s">
        <v>1214</v>
      </c>
      <c r="L473" s="73"/>
      <c r="M473" s="46">
        <v>10</v>
      </c>
      <c r="N473" s="46">
        <v>0</v>
      </c>
      <c r="O473" s="46">
        <v>7700</v>
      </c>
      <c r="P473" s="98"/>
      <c r="Q473" s="23" t="s">
        <v>1421</v>
      </c>
      <c r="R473" s="24" t="s">
        <v>1213</v>
      </c>
      <c r="S473" s="25" t="s">
        <v>1014</v>
      </c>
      <c r="T473" s="26">
        <v>10</v>
      </c>
      <c r="U473" s="26">
        <v>10</v>
      </c>
      <c r="V473" s="26">
        <v>770</v>
      </c>
      <c r="W473" s="127">
        <f t="shared" ref="W473:W491" si="103">AH473-M473</f>
        <v>0</v>
      </c>
      <c r="X473" s="127">
        <f t="shared" si="100"/>
        <v>10</v>
      </c>
      <c r="Y473" s="127">
        <f t="shared" ref="Y473:Y491" si="104">Z473-O473</f>
        <v>0</v>
      </c>
      <c r="Z473" s="127">
        <f t="shared" ref="Z473:Z490" si="105">ROUND(V473*X473,2)</f>
        <v>7700</v>
      </c>
      <c r="AA473" s="33" t="s">
        <v>15</v>
      </c>
      <c r="AB473" s="36" t="s">
        <v>16</v>
      </c>
      <c r="AC473" s="181">
        <f t="shared" si="89"/>
        <v>10</v>
      </c>
      <c r="AD473" s="181">
        <f t="shared" ref="AD473:AD491" si="106">ROUND(V473*AC473,2)</f>
        <v>7700</v>
      </c>
      <c r="AE473" s="181">
        <v>6</v>
      </c>
      <c r="AF473" s="181">
        <v>6</v>
      </c>
      <c r="AG473" s="101" t="str">
        <f t="shared" si="90"/>
        <v/>
      </c>
      <c r="AH473" s="190">
        <v>10</v>
      </c>
      <c r="AI473" s="69">
        <f t="shared" si="101"/>
        <v>10</v>
      </c>
    </row>
    <row r="474" spans="1:35" s="69" customFormat="1" ht="33" customHeight="1" x14ac:dyDescent="0.3">
      <c r="A474" s="130" t="s">
        <v>1215</v>
      </c>
      <c r="B474" s="131" t="s">
        <v>1216</v>
      </c>
      <c r="C474" s="132" t="s">
        <v>1217</v>
      </c>
      <c r="D474" s="133">
        <v>100</v>
      </c>
      <c r="E474" s="75"/>
      <c r="F474" s="75"/>
      <c r="G474" s="75"/>
      <c r="H474" s="75"/>
      <c r="I474" s="75">
        <v>201</v>
      </c>
      <c r="J474" s="75">
        <v>20100</v>
      </c>
      <c r="K474" s="91" t="s">
        <v>1218</v>
      </c>
      <c r="L474" s="73"/>
      <c r="M474" s="46">
        <v>100</v>
      </c>
      <c r="N474" s="46">
        <v>0</v>
      </c>
      <c r="O474" s="46">
        <v>20100</v>
      </c>
      <c r="P474" s="98"/>
      <c r="Q474" s="23" t="s">
        <v>1426</v>
      </c>
      <c r="R474" s="24" t="s">
        <v>1216</v>
      </c>
      <c r="S474" s="25" t="s">
        <v>1217</v>
      </c>
      <c r="T474" s="26">
        <v>100</v>
      </c>
      <c r="U474" s="26">
        <v>100</v>
      </c>
      <c r="V474" s="26">
        <v>201</v>
      </c>
      <c r="W474" s="127">
        <f t="shared" si="103"/>
        <v>0</v>
      </c>
      <c r="X474" s="127">
        <f t="shared" si="100"/>
        <v>100</v>
      </c>
      <c r="Y474" s="127">
        <f t="shared" si="104"/>
        <v>0</v>
      </c>
      <c r="Z474" s="127">
        <f t="shared" si="105"/>
        <v>20100</v>
      </c>
      <c r="AA474" s="33" t="s">
        <v>15</v>
      </c>
      <c r="AB474" s="36" t="s">
        <v>16</v>
      </c>
      <c r="AC474" s="181">
        <f t="shared" si="89"/>
        <v>100</v>
      </c>
      <c r="AD474" s="181">
        <f t="shared" si="106"/>
        <v>20100</v>
      </c>
      <c r="AE474" s="181">
        <v>6</v>
      </c>
      <c r="AF474" s="181">
        <v>6</v>
      </c>
      <c r="AG474" s="101" t="str">
        <f t="shared" si="90"/>
        <v/>
      </c>
      <c r="AH474" s="190">
        <v>100</v>
      </c>
      <c r="AI474" s="69">
        <f t="shared" si="101"/>
        <v>100</v>
      </c>
    </row>
    <row r="475" spans="1:35" s="69" customFormat="1" ht="39" x14ac:dyDescent="0.3">
      <c r="A475" s="130" t="s">
        <v>1219</v>
      </c>
      <c r="B475" s="131" t="s">
        <v>1220</v>
      </c>
      <c r="C475" s="132" t="s">
        <v>1221</v>
      </c>
      <c r="D475" s="133">
        <v>50</v>
      </c>
      <c r="E475" s="75"/>
      <c r="F475" s="75"/>
      <c r="G475" s="75"/>
      <c r="H475" s="75"/>
      <c r="I475" s="75">
        <v>300</v>
      </c>
      <c r="J475" s="75">
        <v>15000</v>
      </c>
      <c r="K475" s="91" t="s">
        <v>1222</v>
      </c>
      <c r="L475" s="73"/>
      <c r="M475" s="46">
        <v>50</v>
      </c>
      <c r="N475" s="46">
        <v>0</v>
      </c>
      <c r="O475" s="46">
        <v>15000</v>
      </c>
      <c r="P475" s="98"/>
      <c r="Q475" s="23" t="s">
        <v>1402</v>
      </c>
      <c r="R475" s="24" t="s">
        <v>1220</v>
      </c>
      <c r="S475" s="25" t="s">
        <v>1221</v>
      </c>
      <c r="T475" s="26">
        <v>50</v>
      </c>
      <c r="U475" s="26">
        <v>50</v>
      </c>
      <c r="V475" s="26">
        <v>300</v>
      </c>
      <c r="W475" s="127">
        <f t="shared" si="103"/>
        <v>0</v>
      </c>
      <c r="X475" s="127">
        <f t="shared" si="100"/>
        <v>50</v>
      </c>
      <c r="Y475" s="127">
        <f t="shared" si="104"/>
        <v>0</v>
      </c>
      <c r="Z475" s="127">
        <f t="shared" si="105"/>
        <v>15000</v>
      </c>
      <c r="AA475" s="33" t="s">
        <v>15</v>
      </c>
      <c r="AB475" s="36" t="s">
        <v>16</v>
      </c>
      <c r="AC475" s="181">
        <f t="shared" si="89"/>
        <v>50</v>
      </c>
      <c r="AD475" s="181">
        <f t="shared" si="106"/>
        <v>15000</v>
      </c>
      <c r="AE475" s="181">
        <v>6</v>
      </c>
      <c r="AF475" s="181">
        <v>6</v>
      </c>
      <c r="AG475" s="101" t="str">
        <f t="shared" si="90"/>
        <v/>
      </c>
      <c r="AH475" s="190">
        <v>50</v>
      </c>
      <c r="AI475" s="69">
        <f t="shared" si="101"/>
        <v>50</v>
      </c>
    </row>
    <row r="476" spans="1:35" s="69" customFormat="1" ht="33" customHeight="1" x14ac:dyDescent="0.3">
      <c r="A476" s="130" t="s">
        <v>1223</v>
      </c>
      <c r="B476" s="131" t="s">
        <v>1224</v>
      </c>
      <c r="C476" s="132" t="s">
        <v>325</v>
      </c>
      <c r="D476" s="133">
        <v>75</v>
      </c>
      <c r="E476" s="75"/>
      <c r="F476" s="75"/>
      <c r="G476" s="75"/>
      <c r="H476" s="75"/>
      <c r="I476" s="75">
        <v>650</v>
      </c>
      <c r="J476" s="75">
        <v>48750</v>
      </c>
      <c r="K476" s="91" t="s">
        <v>1225</v>
      </c>
      <c r="L476" s="73"/>
      <c r="M476" s="46">
        <v>75</v>
      </c>
      <c r="N476" s="46">
        <v>0</v>
      </c>
      <c r="O476" s="46">
        <v>48750</v>
      </c>
      <c r="P476" s="98"/>
      <c r="Q476" s="23" t="s">
        <v>1373</v>
      </c>
      <c r="R476" s="24" t="s">
        <v>1224</v>
      </c>
      <c r="S476" s="25" t="s">
        <v>325</v>
      </c>
      <c r="T476" s="26">
        <v>75</v>
      </c>
      <c r="U476" s="26">
        <v>75</v>
      </c>
      <c r="V476" s="26">
        <v>650</v>
      </c>
      <c r="W476" s="127">
        <f t="shared" si="103"/>
        <v>0</v>
      </c>
      <c r="X476" s="127">
        <f t="shared" si="100"/>
        <v>75</v>
      </c>
      <c r="Y476" s="127">
        <f t="shared" si="104"/>
        <v>0</v>
      </c>
      <c r="Z476" s="127">
        <f t="shared" si="105"/>
        <v>48750</v>
      </c>
      <c r="AA476" s="33" t="s">
        <v>15</v>
      </c>
      <c r="AB476" s="36" t="s">
        <v>16</v>
      </c>
      <c r="AC476" s="181">
        <f t="shared" si="89"/>
        <v>75</v>
      </c>
      <c r="AD476" s="181">
        <f t="shared" si="106"/>
        <v>48750</v>
      </c>
      <c r="AE476" s="181">
        <v>6</v>
      </c>
      <c r="AF476" s="181">
        <v>6</v>
      </c>
      <c r="AG476" s="101" t="str">
        <f t="shared" si="90"/>
        <v/>
      </c>
      <c r="AH476" s="190">
        <v>75</v>
      </c>
      <c r="AI476" s="69">
        <f t="shared" si="101"/>
        <v>75</v>
      </c>
    </row>
    <row r="477" spans="1:35" s="69" customFormat="1" ht="33" customHeight="1" x14ac:dyDescent="0.3">
      <c r="A477" s="130" t="s">
        <v>1226</v>
      </c>
      <c r="B477" s="131" t="s">
        <v>1227</v>
      </c>
      <c r="C477" s="132" t="s">
        <v>1228</v>
      </c>
      <c r="D477" s="133">
        <v>200</v>
      </c>
      <c r="E477" s="75"/>
      <c r="F477" s="75"/>
      <c r="G477" s="75"/>
      <c r="H477" s="75"/>
      <c r="I477" s="75">
        <v>28</v>
      </c>
      <c r="J477" s="75">
        <v>5600</v>
      </c>
      <c r="K477" s="91" t="s">
        <v>1229</v>
      </c>
      <c r="L477" s="73"/>
      <c r="M477" s="46">
        <v>200</v>
      </c>
      <c r="N477" s="46">
        <v>0</v>
      </c>
      <c r="O477" s="46">
        <v>5600</v>
      </c>
      <c r="P477" s="98"/>
      <c r="Q477" s="23" t="s">
        <v>1393</v>
      </c>
      <c r="R477" s="24" t="s">
        <v>1227</v>
      </c>
      <c r="S477" s="25" t="s">
        <v>1228</v>
      </c>
      <c r="T477" s="26">
        <v>200</v>
      </c>
      <c r="U477" s="26">
        <v>200</v>
      </c>
      <c r="V477" s="26">
        <v>28</v>
      </c>
      <c r="W477" s="127">
        <f t="shared" si="103"/>
        <v>0</v>
      </c>
      <c r="X477" s="127">
        <f t="shared" si="100"/>
        <v>200</v>
      </c>
      <c r="Y477" s="127">
        <f t="shared" si="104"/>
        <v>0</v>
      </c>
      <c r="Z477" s="127">
        <f t="shared" si="105"/>
        <v>5600</v>
      </c>
      <c r="AA477" s="33" t="s">
        <v>15</v>
      </c>
      <c r="AB477" s="36" t="s">
        <v>16</v>
      </c>
      <c r="AC477" s="181">
        <f t="shared" si="89"/>
        <v>200</v>
      </c>
      <c r="AD477" s="181">
        <f t="shared" si="106"/>
        <v>5600</v>
      </c>
      <c r="AE477" s="181">
        <v>6</v>
      </c>
      <c r="AF477" s="181">
        <v>6</v>
      </c>
      <c r="AG477" s="101" t="str">
        <f t="shared" si="90"/>
        <v/>
      </c>
      <c r="AH477" s="190">
        <v>200</v>
      </c>
      <c r="AI477" s="69">
        <f t="shared" si="101"/>
        <v>200</v>
      </c>
    </row>
    <row r="478" spans="1:35" s="69" customFormat="1" ht="33" customHeight="1" x14ac:dyDescent="0.3">
      <c r="A478" s="55" t="s">
        <v>1230</v>
      </c>
      <c r="B478" s="53" t="s">
        <v>1231</v>
      </c>
      <c r="C478" s="54" t="s">
        <v>1228</v>
      </c>
      <c r="D478" s="75">
        <v>100</v>
      </c>
      <c r="E478" s="75"/>
      <c r="F478" s="75"/>
      <c r="G478" s="75"/>
      <c r="H478" s="75"/>
      <c r="I478" s="75">
        <v>500</v>
      </c>
      <c r="J478" s="75">
        <v>50000</v>
      </c>
      <c r="K478" s="91" t="s">
        <v>1232</v>
      </c>
      <c r="L478" s="73"/>
      <c r="M478" s="46">
        <v>62</v>
      </c>
      <c r="N478" s="46">
        <v>0</v>
      </c>
      <c r="O478" s="46">
        <v>31000</v>
      </c>
      <c r="P478" s="98"/>
      <c r="Q478" s="23" t="s">
        <v>1403</v>
      </c>
      <c r="R478" s="24" t="s">
        <v>1231</v>
      </c>
      <c r="S478" s="25" t="s">
        <v>1228</v>
      </c>
      <c r="T478" s="26">
        <v>100</v>
      </c>
      <c r="U478" s="26">
        <v>100</v>
      </c>
      <c r="V478" s="26">
        <v>500</v>
      </c>
      <c r="W478" s="128">
        <f t="shared" si="103"/>
        <v>0</v>
      </c>
      <c r="X478" s="26">
        <f t="shared" si="100"/>
        <v>62</v>
      </c>
      <c r="Y478" s="26">
        <f t="shared" si="104"/>
        <v>0</v>
      </c>
      <c r="Z478" s="26">
        <f t="shared" si="105"/>
        <v>31000</v>
      </c>
      <c r="AA478" s="33" t="s">
        <v>15</v>
      </c>
      <c r="AB478" s="36" t="s">
        <v>16</v>
      </c>
      <c r="AC478" s="181">
        <f t="shared" ref="AC478:AC499" si="107">IF(U478="",T478,U478)</f>
        <v>100</v>
      </c>
      <c r="AD478" s="181">
        <f t="shared" si="106"/>
        <v>50000</v>
      </c>
      <c r="AE478" s="181">
        <v>6</v>
      </c>
      <c r="AF478" s="181">
        <v>6</v>
      </c>
      <c r="AG478" s="101" t="str">
        <f t="shared" ref="AG478:AG503" si="108">IF(X478&gt;AI478,"超估","")</f>
        <v/>
      </c>
      <c r="AH478" s="191">
        <v>62</v>
      </c>
      <c r="AI478" s="69">
        <f t="shared" si="101"/>
        <v>100</v>
      </c>
    </row>
    <row r="479" spans="1:35" s="69" customFormat="1" ht="33" customHeight="1" x14ac:dyDescent="0.3">
      <c r="A479" s="55" t="s">
        <v>1233</v>
      </c>
      <c r="B479" s="53" t="s">
        <v>1234</v>
      </c>
      <c r="C479" s="54" t="s">
        <v>1235</v>
      </c>
      <c r="D479" s="75">
        <v>75</v>
      </c>
      <c r="E479" s="75"/>
      <c r="F479" s="75"/>
      <c r="G479" s="75"/>
      <c r="H479" s="75"/>
      <c r="I479" s="75">
        <v>280</v>
      </c>
      <c r="J479" s="75">
        <v>21000</v>
      </c>
      <c r="K479" s="91" t="s">
        <v>1236</v>
      </c>
      <c r="L479" s="73"/>
      <c r="M479" s="46">
        <v>38</v>
      </c>
      <c r="N479" s="46">
        <v>0</v>
      </c>
      <c r="O479" s="46">
        <v>10640</v>
      </c>
      <c r="P479" s="98"/>
      <c r="Q479" s="23" t="s">
        <v>1427</v>
      </c>
      <c r="R479" s="24" t="s">
        <v>1234</v>
      </c>
      <c r="S479" s="25" t="s">
        <v>1235</v>
      </c>
      <c r="T479" s="26">
        <v>75</v>
      </c>
      <c r="U479" s="26">
        <v>75</v>
      </c>
      <c r="V479" s="26">
        <v>280</v>
      </c>
      <c r="W479" s="128">
        <f t="shared" si="103"/>
        <v>0</v>
      </c>
      <c r="X479" s="26">
        <f t="shared" si="100"/>
        <v>38</v>
      </c>
      <c r="Y479" s="26">
        <f t="shared" si="104"/>
        <v>0</v>
      </c>
      <c r="Z479" s="26">
        <f t="shared" si="105"/>
        <v>10640</v>
      </c>
      <c r="AA479" s="33" t="s">
        <v>15</v>
      </c>
      <c r="AB479" s="36" t="s">
        <v>16</v>
      </c>
      <c r="AC479" s="181">
        <f t="shared" si="107"/>
        <v>75</v>
      </c>
      <c r="AD479" s="181">
        <f t="shared" si="106"/>
        <v>21000</v>
      </c>
      <c r="AE479" s="181">
        <v>6</v>
      </c>
      <c r="AF479" s="181">
        <v>6</v>
      </c>
      <c r="AG479" s="101" t="str">
        <f t="shared" si="108"/>
        <v/>
      </c>
      <c r="AH479" s="191">
        <v>38</v>
      </c>
      <c r="AI479" s="69">
        <f t="shared" si="101"/>
        <v>75</v>
      </c>
    </row>
    <row r="480" spans="1:35" s="69" customFormat="1" ht="49.5" x14ac:dyDescent="0.3">
      <c r="A480" s="130" t="s">
        <v>1237</v>
      </c>
      <c r="B480" s="240" t="s">
        <v>1238</v>
      </c>
      <c r="C480" s="132" t="s">
        <v>1235</v>
      </c>
      <c r="D480" s="133">
        <v>50</v>
      </c>
      <c r="E480" s="75"/>
      <c r="F480" s="75"/>
      <c r="G480" s="75"/>
      <c r="H480" s="75"/>
      <c r="I480" s="75">
        <v>350</v>
      </c>
      <c r="J480" s="75">
        <v>17500</v>
      </c>
      <c r="K480" s="91" t="s">
        <v>1239</v>
      </c>
      <c r="L480" s="73"/>
      <c r="M480" s="46">
        <v>50</v>
      </c>
      <c r="N480" s="46">
        <v>0</v>
      </c>
      <c r="O480" s="46">
        <v>17500</v>
      </c>
      <c r="P480" s="98"/>
      <c r="Q480" s="23" t="s">
        <v>1428</v>
      </c>
      <c r="R480" s="24" t="s">
        <v>1238</v>
      </c>
      <c r="S480" s="25" t="s">
        <v>1235</v>
      </c>
      <c r="T480" s="26">
        <v>50</v>
      </c>
      <c r="U480" s="26">
        <v>50</v>
      </c>
      <c r="V480" s="26">
        <v>350</v>
      </c>
      <c r="W480" s="127">
        <f t="shared" si="103"/>
        <v>0</v>
      </c>
      <c r="X480" s="127">
        <f t="shared" si="100"/>
        <v>50</v>
      </c>
      <c r="Y480" s="127">
        <f t="shared" si="104"/>
        <v>0</v>
      </c>
      <c r="Z480" s="127">
        <f t="shared" si="105"/>
        <v>17500</v>
      </c>
      <c r="AA480" s="33" t="s">
        <v>15</v>
      </c>
      <c r="AB480" s="36" t="s">
        <v>16</v>
      </c>
      <c r="AC480" s="181">
        <f t="shared" si="107"/>
        <v>50</v>
      </c>
      <c r="AD480" s="181">
        <f t="shared" si="106"/>
        <v>17500</v>
      </c>
      <c r="AE480" s="181">
        <v>6</v>
      </c>
      <c r="AF480" s="181">
        <v>6</v>
      </c>
      <c r="AG480" s="101" t="str">
        <f t="shared" si="108"/>
        <v/>
      </c>
      <c r="AH480" s="190">
        <v>50</v>
      </c>
      <c r="AI480" s="69">
        <f t="shared" si="101"/>
        <v>50</v>
      </c>
    </row>
    <row r="481" spans="1:38" s="69" customFormat="1" ht="33" customHeight="1" x14ac:dyDescent="0.3">
      <c r="A481" s="130" t="s">
        <v>1240</v>
      </c>
      <c r="B481" s="131" t="s">
        <v>1241</v>
      </c>
      <c r="C481" s="132" t="s">
        <v>325</v>
      </c>
      <c r="D481" s="133">
        <v>10</v>
      </c>
      <c r="E481" s="75"/>
      <c r="F481" s="75"/>
      <c r="G481" s="75"/>
      <c r="H481" s="75"/>
      <c r="I481" s="75">
        <v>560</v>
      </c>
      <c r="J481" s="75">
        <v>5600</v>
      </c>
      <c r="K481" s="91" t="s">
        <v>1242</v>
      </c>
      <c r="L481" s="73"/>
      <c r="M481" s="46">
        <v>10</v>
      </c>
      <c r="N481" s="46">
        <v>0</v>
      </c>
      <c r="O481" s="46">
        <v>5600</v>
      </c>
      <c r="P481" s="98"/>
      <c r="Q481" s="23" t="s">
        <v>1387</v>
      </c>
      <c r="R481" s="24" t="s">
        <v>1241</v>
      </c>
      <c r="S481" s="25" t="s">
        <v>325</v>
      </c>
      <c r="T481" s="26">
        <v>10</v>
      </c>
      <c r="U481" s="26">
        <v>10</v>
      </c>
      <c r="V481" s="26">
        <v>560</v>
      </c>
      <c r="W481" s="127">
        <f t="shared" si="103"/>
        <v>0</v>
      </c>
      <c r="X481" s="127">
        <f t="shared" si="100"/>
        <v>10</v>
      </c>
      <c r="Y481" s="127">
        <f t="shared" si="104"/>
        <v>0</v>
      </c>
      <c r="Z481" s="127">
        <f t="shared" si="105"/>
        <v>5600</v>
      </c>
      <c r="AA481" s="33" t="s">
        <v>15</v>
      </c>
      <c r="AB481" s="36" t="s">
        <v>16</v>
      </c>
      <c r="AC481" s="181">
        <f t="shared" si="107"/>
        <v>10</v>
      </c>
      <c r="AD481" s="181">
        <f t="shared" si="106"/>
        <v>5600</v>
      </c>
      <c r="AE481" s="181">
        <v>6</v>
      </c>
      <c r="AF481" s="181">
        <v>6</v>
      </c>
      <c r="AG481" s="101" t="str">
        <f t="shared" si="108"/>
        <v/>
      </c>
      <c r="AH481" s="191">
        <v>10</v>
      </c>
      <c r="AI481" s="69">
        <f t="shared" si="101"/>
        <v>10</v>
      </c>
    </row>
    <row r="482" spans="1:38" s="69" customFormat="1" ht="33" customHeight="1" x14ac:dyDescent="0.3">
      <c r="A482" s="130" t="s">
        <v>1243</v>
      </c>
      <c r="B482" s="131" t="s">
        <v>1244</v>
      </c>
      <c r="C482" s="132" t="s">
        <v>162</v>
      </c>
      <c r="D482" s="133">
        <v>4</v>
      </c>
      <c r="E482" s="75"/>
      <c r="F482" s="75"/>
      <c r="G482" s="75"/>
      <c r="H482" s="75"/>
      <c r="I482" s="75">
        <v>250</v>
      </c>
      <c r="J482" s="75">
        <v>1000</v>
      </c>
      <c r="K482" s="91" t="s">
        <v>1245</v>
      </c>
      <c r="L482" s="73"/>
      <c r="M482" s="46">
        <v>4</v>
      </c>
      <c r="N482" s="46">
        <v>0</v>
      </c>
      <c r="O482" s="46">
        <v>1000</v>
      </c>
      <c r="P482" s="98"/>
      <c r="Q482" s="23" t="s">
        <v>1405</v>
      </c>
      <c r="R482" s="24" t="s">
        <v>1244</v>
      </c>
      <c r="S482" s="25" t="s">
        <v>162</v>
      </c>
      <c r="T482" s="26">
        <v>4</v>
      </c>
      <c r="U482" s="26">
        <v>4</v>
      </c>
      <c r="V482" s="26">
        <v>250</v>
      </c>
      <c r="W482" s="127">
        <f t="shared" si="103"/>
        <v>0</v>
      </c>
      <c r="X482" s="127">
        <f t="shared" si="100"/>
        <v>4</v>
      </c>
      <c r="Y482" s="127">
        <f t="shared" si="104"/>
        <v>0</v>
      </c>
      <c r="Z482" s="127">
        <f t="shared" si="105"/>
        <v>1000</v>
      </c>
      <c r="AA482" s="33" t="s">
        <v>15</v>
      </c>
      <c r="AB482" s="36" t="s">
        <v>16</v>
      </c>
      <c r="AC482" s="181">
        <f t="shared" si="107"/>
        <v>4</v>
      </c>
      <c r="AD482" s="181">
        <f t="shared" si="106"/>
        <v>1000</v>
      </c>
      <c r="AE482" s="181">
        <v>6</v>
      </c>
      <c r="AF482" s="181">
        <v>6</v>
      </c>
      <c r="AG482" s="101" t="str">
        <f t="shared" si="108"/>
        <v/>
      </c>
      <c r="AH482" s="190">
        <v>4</v>
      </c>
      <c r="AI482" s="69">
        <f t="shared" si="101"/>
        <v>4</v>
      </c>
    </row>
    <row r="483" spans="1:38" s="69" customFormat="1" ht="49.5" customHeight="1" x14ac:dyDescent="0.3">
      <c r="A483" s="130" t="s">
        <v>1246</v>
      </c>
      <c r="B483" s="240" t="s">
        <v>1247</v>
      </c>
      <c r="C483" s="132" t="s">
        <v>325</v>
      </c>
      <c r="D483" s="133">
        <v>5</v>
      </c>
      <c r="E483" s="75"/>
      <c r="F483" s="75"/>
      <c r="G483" s="75"/>
      <c r="H483" s="75"/>
      <c r="I483" s="75">
        <v>8300</v>
      </c>
      <c r="J483" s="75">
        <v>41500</v>
      </c>
      <c r="K483" s="91" t="s">
        <v>1248</v>
      </c>
      <c r="L483" s="73"/>
      <c r="M483" s="46">
        <v>5</v>
      </c>
      <c r="N483" s="46">
        <v>0</v>
      </c>
      <c r="O483" s="46">
        <v>41500</v>
      </c>
      <c r="P483" s="98"/>
      <c r="Q483" s="23" t="s">
        <v>1406</v>
      </c>
      <c r="R483" s="24" t="s">
        <v>1247</v>
      </c>
      <c r="S483" s="25" t="s">
        <v>325</v>
      </c>
      <c r="T483" s="26">
        <v>5</v>
      </c>
      <c r="U483" s="26">
        <v>5</v>
      </c>
      <c r="V483" s="26">
        <v>8300</v>
      </c>
      <c r="W483" s="127">
        <f t="shared" si="103"/>
        <v>0</v>
      </c>
      <c r="X483" s="127">
        <f t="shared" si="100"/>
        <v>5</v>
      </c>
      <c r="Y483" s="127">
        <f t="shared" si="104"/>
        <v>0</v>
      </c>
      <c r="Z483" s="127">
        <f t="shared" si="105"/>
        <v>41500</v>
      </c>
      <c r="AA483" s="33" t="s">
        <v>15</v>
      </c>
      <c r="AB483" s="36" t="s">
        <v>16</v>
      </c>
      <c r="AC483" s="181">
        <f t="shared" si="107"/>
        <v>5</v>
      </c>
      <c r="AD483" s="181">
        <f t="shared" si="106"/>
        <v>41500</v>
      </c>
      <c r="AE483" s="181">
        <v>6</v>
      </c>
      <c r="AF483" s="181">
        <v>6</v>
      </c>
      <c r="AG483" s="101" t="str">
        <f t="shared" si="108"/>
        <v/>
      </c>
      <c r="AH483" s="190">
        <v>5</v>
      </c>
      <c r="AI483" s="69">
        <f t="shared" si="101"/>
        <v>5</v>
      </c>
    </row>
    <row r="484" spans="1:38" s="69" customFormat="1" ht="33" customHeight="1" x14ac:dyDescent="0.3">
      <c r="A484" s="130" t="s">
        <v>1249</v>
      </c>
      <c r="B484" s="131" t="s">
        <v>1250</v>
      </c>
      <c r="C484" s="132" t="s">
        <v>325</v>
      </c>
      <c r="D484" s="133">
        <v>5</v>
      </c>
      <c r="E484" s="75"/>
      <c r="F484" s="75"/>
      <c r="G484" s="75"/>
      <c r="H484" s="75"/>
      <c r="I484" s="75">
        <v>1160</v>
      </c>
      <c r="J484" s="75">
        <v>5800</v>
      </c>
      <c r="K484" s="91" t="s">
        <v>1251</v>
      </c>
      <c r="L484" s="73"/>
      <c r="M484" s="46">
        <v>5</v>
      </c>
      <c r="N484" s="46">
        <v>0</v>
      </c>
      <c r="O484" s="46">
        <v>5800</v>
      </c>
      <c r="P484" s="98"/>
      <c r="Q484" s="23" t="s">
        <v>1414</v>
      </c>
      <c r="R484" s="24" t="s">
        <v>1250</v>
      </c>
      <c r="S484" s="25" t="s">
        <v>325</v>
      </c>
      <c r="T484" s="26">
        <v>5</v>
      </c>
      <c r="U484" s="26">
        <v>5</v>
      </c>
      <c r="V484" s="26">
        <v>1160</v>
      </c>
      <c r="W484" s="127">
        <f t="shared" si="103"/>
        <v>0</v>
      </c>
      <c r="X484" s="127">
        <f t="shared" si="100"/>
        <v>5</v>
      </c>
      <c r="Y484" s="127">
        <f t="shared" si="104"/>
        <v>0</v>
      </c>
      <c r="Z484" s="127">
        <f t="shared" si="105"/>
        <v>5800</v>
      </c>
      <c r="AA484" s="33" t="s">
        <v>15</v>
      </c>
      <c r="AB484" s="36" t="s">
        <v>16</v>
      </c>
      <c r="AC484" s="181">
        <f t="shared" si="107"/>
        <v>5</v>
      </c>
      <c r="AD484" s="181">
        <f t="shared" si="106"/>
        <v>5800</v>
      </c>
      <c r="AE484" s="181">
        <v>6</v>
      </c>
      <c r="AF484" s="181">
        <v>6</v>
      </c>
      <c r="AG484" s="101" t="str">
        <f t="shared" si="108"/>
        <v/>
      </c>
      <c r="AH484" s="190">
        <v>5</v>
      </c>
      <c r="AI484" s="69">
        <f t="shared" si="101"/>
        <v>5</v>
      </c>
    </row>
    <row r="485" spans="1:38" s="69" customFormat="1" ht="49.5" x14ac:dyDescent="0.3">
      <c r="A485" s="130" t="s">
        <v>1252</v>
      </c>
      <c r="B485" s="240" t="s">
        <v>1253</v>
      </c>
      <c r="C485" s="132" t="s">
        <v>325</v>
      </c>
      <c r="D485" s="133">
        <v>5</v>
      </c>
      <c r="E485" s="75"/>
      <c r="F485" s="75"/>
      <c r="G485" s="75"/>
      <c r="H485" s="75"/>
      <c r="I485" s="75">
        <v>600</v>
      </c>
      <c r="J485" s="75">
        <v>3000</v>
      </c>
      <c r="K485" s="91" t="s">
        <v>1254</v>
      </c>
      <c r="L485" s="73"/>
      <c r="M485" s="46">
        <v>5</v>
      </c>
      <c r="N485" s="46">
        <v>0</v>
      </c>
      <c r="O485" s="46">
        <v>3000</v>
      </c>
      <c r="P485" s="98"/>
      <c r="Q485" s="23" t="s">
        <v>1429</v>
      </c>
      <c r="R485" s="24" t="s">
        <v>1253</v>
      </c>
      <c r="S485" s="25" t="s">
        <v>325</v>
      </c>
      <c r="T485" s="26">
        <v>5</v>
      </c>
      <c r="U485" s="26">
        <v>5</v>
      </c>
      <c r="V485" s="26">
        <v>600</v>
      </c>
      <c r="W485" s="127">
        <f t="shared" si="103"/>
        <v>0</v>
      </c>
      <c r="X485" s="127">
        <f t="shared" si="100"/>
        <v>5</v>
      </c>
      <c r="Y485" s="127">
        <f t="shared" si="104"/>
        <v>0</v>
      </c>
      <c r="Z485" s="127">
        <f t="shared" si="105"/>
        <v>3000</v>
      </c>
      <c r="AA485" s="33" t="s">
        <v>15</v>
      </c>
      <c r="AB485" s="36" t="s">
        <v>16</v>
      </c>
      <c r="AC485" s="181">
        <f t="shared" si="107"/>
        <v>5</v>
      </c>
      <c r="AD485" s="181">
        <f t="shared" si="106"/>
        <v>3000</v>
      </c>
      <c r="AE485" s="181">
        <v>6</v>
      </c>
      <c r="AF485" s="181">
        <v>6</v>
      </c>
      <c r="AG485" s="101" t="str">
        <f t="shared" si="108"/>
        <v/>
      </c>
      <c r="AH485" s="190">
        <v>5</v>
      </c>
      <c r="AI485" s="69">
        <f t="shared" si="101"/>
        <v>5</v>
      </c>
    </row>
    <row r="486" spans="1:38" s="69" customFormat="1" ht="49.5" customHeight="1" x14ac:dyDescent="0.3">
      <c r="A486" s="130" t="s">
        <v>1255</v>
      </c>
      <c r="B486" s="240" t="s">
        <v>1256</v>
      </c>
      <c r="C486" s="132" t="s">
        <v>325</v>
      </c>
      <c r="D486" s="133">
        <v>5</v>
      </c>
      <c r="E486" s="75"/>
      <c r="F486" s="75"/>
      <c r="G486" s="75"/>
      <c r="H486" s="75"/>
      <c r="I486" s="75">
        <v>1800</v>
      </c>
      <c r="J486" s="75">
        <v>9000</v>
      </c>
      <c r="K486" s="91" t="s">
        <v>1257</v>
      </c>
      <c r="L486" s="73"/>
      <c r="M486" s="46">
        <v>5</v>
      </c>
      <c r="N486" s="46">
        <v>0</v>
      </c>
      <c r="O486" s="46">
        <v>9000</v>
      </c>
      <c r="P486" s="98"/>
      <c r="Q486" s="23" t="s">
        <v>1430</v>
      </c>
      <c r="R486" s="24" t="s">
        <v>1256</v>
      </c>
      <c r="S486" s="25" t="s">
        <v>325</v>
      </c>
      <c r="T486" s="26">
        <v>5</v>
      </c>
      <c r="U486" s="26">
        <v>5</v>
      </c>
      <c r="V486" s="26">
        <v>1800</v>
      </c>
      <c r="W486" s="127">
        <f t="shared" si="103"/>
        <v>0</v>
      </c>
      <c r="X486" s="127">
        <f t="shared" si="100"/>
        <v>5</v>
      </c>
      <c r="Y486" s="127">
        <f t="shared" si="104"/>
        <v>0</v>
      </c>
      <c r="Z486" s="127">
        <f t="shared" si="105"/>
        <v>9000</v>
      </c>
      <c r="AA486" s="33" t="s">
        <v>15</v>
      </c>
      <c r="AB486" s="36" t="s">
        <v>16</v>
      </c>
      <c r="AC486" s="181">
        <f t="shared" si="107"/>
        <v>5</v>
      </c>
      <c r="AD486" s="181">
        <f t="shared" si="106"/>
        <v>9000</v>
      </c>
      <c r="AE486" s="181">
        <v>6</v>
      </c>
      <c r="AF486" s="181">
        <v>6</v>
      </c>
      <c r="AG486" s="101" t="str">
        <f t="shared" si="108"/>
        <v/>
      </c>
      <c r="AH486" s="190">
        <v>5</v>
      </c>
      <c r="AI486" s="69">
        <f t="shared" si="101"/>
        <v>5</v>
      </c>
    </row>
    <row r="487" spans="1:38" s="69" customFormat="1" ht="39" x14ac:dyDescent="0.3">
      <c r="A487" s="55" t="s">
        <v>1258</v>
      </c>
      <c r="B487" s="53" t="s">
        <v>1259</v>
      </c>
      <c r="C487" s="54" t="s">
        <v>325</v>
      </c>
      <c r="D487" s="75">
        <v>80</v>
      </c>
      <c r="E487" s="75"/>
      <c r="F487" s="75"/>
      <c r="G487" s="75"/>
      <c r="H487" s="75"/>
      <c r="I487" s="75">
        <v>2200</v>
      </c>
      <c r="J487" s="75">
        <v>176000</v>
      </c>
      <c r="K487" s="91" t="s">
        <v>1260</v>
      </c>
      <c r="L487" s="73"/>
      <c r="M487" s="46">
        <v>65</v>
      </c>
      <c r="N487" s="46">
        <v>0</v>
      </c>
      <c r="O487" s="46">
        <v>143000</v>
      </c>
      <c r="P487" s="98"/>
      <c r="Q487" s="23" t="s">
        <v>1431</v>
      </c>
      <c r="R487" s="24" t="s">
        <v>1259</v>
      </c>
      <c r="S487" s="25" t="s">
        <v>325</v>
      </c>
      <c r="T487" s="26">
        <v>80</v>
      </c>
      <c r="U487" s="26">
        <v>80</v>
      </c>
      <c r="V487" s="26">
        <v>2200</v>
      </c>
      <c r="W487" s="128">
        <f t="shared" si="103"/>
        <v>0</v>
      </c>
      <c r="X487" s="26">
        <f t="shared" si="100"/>
        <v>65</v>
      </c>
      <c r="Y487" s="26">
        <f t="shared" si="104"/>
        <v>0</v>
      </c>
      <c r="Z487" s="26">
        <f t="shared" si="105"/>
        <v>143000</v>
      </c>
      <c r="AA487" s="33" t="s">
        <v>15</v>
      </c>
      <c r="AB487" s="36" t="s">
        <v>16</v>
      </c>
      <c r="AC487" s="181">
        <f t="shared" si="107"/>
        <v>80</v>
      </c>
      <c r="AD487" s="181">
        <f t="shared" si="106"/>
        <v>176000</v>
      </c>
      <c r="AE487" s="181">
        <v>6</v>
      </c>
      <c r="AF487" s="181">
        <v>6</v>
      </c>
      <c r="AG487" s="101" t="str">
        <f t="shared" si="108"/>
        <v/>
      </c>
      <c r="AH487" s="191">
        <v>65</v>
      </c>
      <c r="AI487" s="69">
        <f t="shared" si="101"/>
        <v>80</v>
      </c>
    </row>
    <row r="488" spans="1:38" s="69" customFormat="1" ht="42" x14ac:dyDescent="0.3">
      <c r="A488" s="130" t="s">
        <v>1261</v>
      </c>
      <c r="B488" s="131" t="s">
        <v>1262</v>
      </c>
      <c r="C488" s="132" t="s">
        <v>14</v>
      </c>
      <c r="D488" s="133">
        <v>1</v>
      </c>
      <c r="E488" s="75"/>
      <c r="F488" s="75"/>
      <c r="G488" s="75"/>
      <c r="H488" s="75"/>
      <c r="I488" s="75">
        <v>261478.99</v>
      </c>
      <c r="J488" s="75">
        <v>261478.99</v>
      </c>
      <c r="K488" s="91" t="s">
        <v>1263</v>
      </c>
      <c r="L488" s="73"/>
      <c r="M488" s="46">
        <v>1</v>
      </c>
      <c r="N488" s="46">
        <v>0</v>
      </c>
      <c r="O488" s="46">
        <v>261478.99</v>
      </c>
      <c r="P488" s="98"/>
      <c r="Q488" s="23" t="s">
        <v>1395</v>
      </c>
      <c r="R488" s="24" t="s">
        <v>1262</v>
      </c>
      <c r="S488" s="25" t="s">
        <v>14</v>
      </c>
      <c r="T488" s="26">
        <v>1</v>
      </c>
      <c r="U488" s="26">
        <v>1</v>
      </c>
      <c r="V488" s="26">
        <v>261478.99</v>
      </c>
      <c r="W488" s="127">
        <f t="shared" si="103"/>
        <v>0</v>
      </c>
      <c r="X488" s="127">
        <f t="shared" si="100"/>
        <v>1</v>
      </c>
      <c r="Y488" s="127">
        <f t="shared" si="104"/>
        <v>0</v>
      </c>
      <c r="Z488" s="127">
        <f t="shared" si="105"/>
        <v>261478.99</v>
      </c>
      <c r="AA488" s="33" t="s">
        <v>1499</v>
      </c>
      <c r="AB488" s="36" t="s">
        <v>16</v>
      </c>
      <c r="AC488" s="181">
        <f t="shared" si="107"/>
        <v>1</v>
      </c>
      <c r="AD488" s="181">
        <f t="shared" si="106"/>
        <v>261478.99</v>
      </c>
      <c r="AE488" s="181">
        <v>6</v>
      </c>
      <c r="AF488" s="181">
        <v>6</v>
      </c>
      <c r="AG488" s="101" t="str">
        <f t="shared" si="108"/>
        <v/>
      </c>
      <c r="AH488" s="190">
        <v>1</v>
      </c>
      <c r="AI488" s="69">
        <f t="shared" si="101"/>
        <v>1</v>
      </c>
    </row>
    <row r="489" spans="1:38" s="69" customFormat="1" ht="39" x14ac:dyDescent="0.3">
      <c r="A489" s="55" t="s">
        <v>1264</v>
      </c>
      <c r="B489" s="53" t="s">
        <v>1265</v>
      </c>
      <c r="C489" s="54" t="s">
        <v>30</v>
      </c>
      <c r="D489" s="75">
        <v>5000</v>
      </c>
      <c r="E489" s="75"/>
      <c r="F489" s="75"/>
      <c r="G489" s="75"/>
      <c r="H489" s="75"/>
      <c r="I489" s="75">
        <v>13</v>
      </c>
      <c r="J489" s="75">
        <v>65000</v>
      </c>
      <c r="K489" s="91" t="s">
        <v>1266</v>
      </c>
      <c r="L489" s="73"/>
      <c r="M489" s="46">
        <v>0</v>
      </c>
      <c r="N489" s="46">
        <v>0</v>
      </c>
      <c r="O489" s="46">
        <v>0</v>
      </c>
      <c r="P489" s="98"/>
      <c r="Q489" s="23" t="s">
        <v>1432</v>
      </c>
      <c r="R489" s="24" t="s">
        <v>1265</v>
      </c>
      <c r="S489" s="25" t="s">
        <v>30</v>
      </c>
      <c r="T489" s="26">
        <v>5000</v>
      </c>
      <c r="U489" s="26">
        <v>5000</v>
      </c>
      <c r="V489" s="26">
        <v>13</v>
      </c>
      <c r="W489" s="26">
        <f t="shared" si="103"/>
        <v>0</v>
      </c>
      <c r="X489" s="26">
        <f t="shared" si="100"/>
        <v>0</v>
      </c>
      <c r="Y489" s="26">
        <f t="shared" si="104"/>
        <v>0</v>
      </c>
      <c r="Z489" s="26">
        <f t="shared" si="105"/>
        <v>0</v>
      </c>
      <c r="AA489" s="33" t="s">
        <v>15</v>
      </c>
      <c r="AB489" s="36" t="s">
        <v>16</v>
      </c>
      <c r="AC489" s="181">
        <f t="shared" si="107"/>
        <v>5000</v>
      </c>
      <c r="AD489" s="181">
        <f t="shared" si="106"/>
        <v>65000</v>
      </c>
      <c r="AE489" s="181">
        <v>6</v>
      </c>
      <c r="AF489" s="181">
        <v>6</v>
      </c>
      <c r="AG489" s="101" t="str">
        <f t="shared" si="108"/>
        <v/>
      </c>
      <c r="AH489" s="190">
        <v>0</v>
      </c>
      <c r="AI489" s="69">
        <f t="shared" si="101"/>
        <v>5000</v>
      </c>
    </row>
    <row r="490" spans="1:38" s="69" customFormat="1" ht="39" x14ac:dyDescent="0.3">
      <c r="A490" s="55" t="s">
        <v>1267</v>
      </c>
      <c r="B490" s="53" t="s">
        <v>1268</v>
      </c>
      <c r="C490" s="54" t="s">
        <v>1269</v>
      </c>
      <c r="D490" s="75">
        <v>48</v>
      </c>
      <c r="E490" s="75"/>
      <c r="F490" s="75"/>
      <c r="G490" s="75"/>
      <c r="H490" s="75"/>
      <c r="I490" s="75">
        <v>47468</v>
      </c>
      <c r="J490" s="75">
        <v>2278464</v>
      </c>
      <c r="K490" s="91" t="s">
        <v>1270</v>
      </c>
      <c r="L490" s="73"/>
      <c r="M490" s="46">
        <v>39</v>
      </c>
      <c r="N490" s="46">
        <v>47468</v>
      </c>
      <c r="O490" s="46">
        <v>1851252</v>
      </c>
      <c r="P490" s="98"/>
      <c r="Q490" s="23" t="s">
        <v>1433</v>
      </c>
      <c r="R490" s="24" t="s">
        <v>1268</v>
      </c>
      <c r="S490" s="25" t="s">
        <v>1269</v>
      </c>
      <c r="T490" s="26">
        <v>48</v>
      </c>
      <c r="U490" s="26">
        <v>48</v>
      </c>
      <c r="V490" s="26">
        <v>47468</v>
      </c>
      <c r="W490" s="102">
        <f t="shared" si="103"/>
        <v>1</v>
      </c>
      <c r="X490" s="26">
        <f t="shared" si="100"/>
        <v>40</v>
      </c>
      <c r="Y490" s="26">
        <f>Z490-O490</f>
        <v>47468</v>
      </c>
      <c r="Z490" s="26">
        <f t="shared" si="105"/>
        <v>1898720</v>
      </c>
      <c r="AA490" s="33" t="s">
        <v>15</v>
      </c>
      <c r="AB490" s="36" t="s">
        <v>16</v>
      </c>
      <c r="AC490" s="181">
        <f t="shared" si="107"/>
        <v>48</v>
      </c>
      <c r="AD490" s="181">
        <f t="shared" si="106"/>
        <v>2278464</v>
      </c>
      <c r="AE490" s="181">
        <v>6</v>
      </c>
      <c r="AF490" s="181">
        <v>6</v>
      </c>
      <c r="AG490" s="101" t="str">
        <f t="shared" si="108"/>
        <v/>
      </c>
      <c r="AH490" s="191">
        <f>39+1</f>
        <v>40</v>
      </c>
      <c r="AI490" s="69">
        <f t="shared" si="101"/>
        <v>48</v>
      </c>
    </row>
    <row r="491" spans="1:38" s="69" customFormat="1" ht="39" x14ac:dyDescent="0.3">
      <c r="A491" s="55" t="s">
        <v>1271</v>
      </c>
      <c r="B491" s="53" t="s">
        <v>1272</v>
      </c>
      <c r="C491" s="54" t="s">
        <v>14</v>
      </c>
      <c r="D491" s="75">
        <v>1</v>
      </c>
      <c r="E491" s="75"/>
      <c r="F491" s="75"/>
      <c r="G491" s="75"/>
      <c r="H491" s="75"/>
      <c r="I491" s="75">
        <v>111233.97</v>
      </c>
      <c r="J491" s="75">
        <v>111233.97</v>
      </c>
      <c r="K491" s="91" t="s">
        <v>1273</v>
      </c>
      <c r="L491" s="73"/>
      <c r="M491" s="46">
        <v>1</v>
      </c>
      <c r="N491" s="46">
        <v>0</v>
      </c>
      <c r="O491" s="46">
        <v>66740.38</v>
      </c>
      <c r="P491" s="98"/>
      <c r="Q491" s="23" t="s">
        <v>1382</v>
      </c>
      <c r="R491" s="24" t="s">
        <v>1272</v>
      </c>
      <c r="S491" s="25" t="s">
        <v>14</v>
      </c>
      <c r="T491" s="26">
        <v>1</v>
      </c>
      <c r="U491" s="26">
        <v>1</v>
      </c>
      <c r="V491" s="26">
        <v>111233.97</v>
      </c>
      <c r="W491" s="128">
        <f t="shared" si="103"/>
        <v>0</v>
      </c>
      <c r="X491" s="26">
        <v>0.59999998201988114</v>
      </c>
      <c r="Y491" s="136">
        <f t="shared" si="104"/>
        <v>0</v>
      </c>
      <c r="Z491" s="26">
        <f>ROUND(V491*X491,2)</f>
        <v>66740.38</v>
      </c>
      <c r="AA491" s="33" t="s">
        <v>15</v>
      </c>
      <c r="AB491" s="36" t="s">
        <v>16</v>
      </c>
      <c r="AC491" s="181">
        <f t="shared" si="107"/>
        <v>1</v>
      </c>
      <c r="AD491" s="181">
        <f t="shared" si="106"/>
        <v>111233.97</v>
      </c>
      <c r="AE491" s="181">
        <v>6</v>
      </c>
      <c r="AF491" s="181">
        <v>6</v>
      </c>
      <c r="AG491" s="101" t="str">
        <f t="shared" si="108"/>
        <v/>
      </c>
      <c r="AH491" s="191">
        <v>1</v>
      </c>
      <c r="AI491" s="69">
        <f t="shared" si="101"/>
        <v>1</v>
      </c>
      <c r="AL491" s="69">
        <f>O491/Z491</f>
        <v>1</v>
      </c>
    </row>
    <row r="492" spans="1:38" s="69" customFormat="1" ht="33" x14ac:dyDescent="0.3">
      <c r="A492" s="85" t="s">
        <v>1274</v>
      </c>
      <c r="B492" s="86" t="s">
        <v>1275</v>
      </c>
      <c r="C492" s="87" t="s">
        <v>14</v>
      </c>
      <c r="D492" s="88">
        <v>1</v>
      </c>
      <c r="E492" s="88"/>
      <c r="F492" s="88"/>
      <c r="G492" s="88"/>
      <c r="H492" s="88"/>
      <c r="I492" s="88"/>
      <c r="J492" s="88">
        <v>2884379.96</v>
      </c>
      <c r="K492" s="95" t="s">
        <v>15</v>
      </c>
      <c r="L492" s="73"/>
      <c r="M492" s="42">
        <v>1</v>
      </c>
      <c r="N492" s="42">
        <v>47468</v>
      </c>
      <c r="O492" s="42">
        <v>2275393.17</v>
      </c>
      <c r="P492" s="98"/>
      <c r="Q492" s="13" t="s">
        <v>1416</v>
      </c>
      <c r="R492" s="14" t="s">
        <v>1275</v>
      </c>
      <c r="S492" s="15" t="s">
        <v>14</v>
      </c>
      <c r="T492" s="16">
        <v>1</v>
      </c>
      <c r="U492" s="16"/>
      <c r="V492" s="16">
        <f>SUMIFS(AD:AD,AE:AE,AE492)</f>
        <v>2884379.96</v>
      </c>
      <c r="W492" s="16">
        <f t="shared" ref="W492:X492" si="109">IF(Y492=0,0,1)</f>
        <v>1</v>
      </c>
      <c r="X492" s="16">
        <f t="shared" si="109"/>
        <v>1</v>
      </c>
      <c r="Y492" s="16">
        <f>SUMIFS(Y:Y,AF:AF,AE492)</f>
        <v>47468</v>
      </c>
      <c r="Z492" s="16">
        <f>SUMIFS(Z:Z,AF:AF,AE492)</f>
        <v>2322861.17</v>
      </c>
      <c r="AA492" s="17" t="s">
        <v>15</v>
      </c>
      <c r="AB492" s="40" t="s">
        <v>16</v>
      </c>
      <c r="AC492" s="181">
        <f t="shared" si="107"/>
        <v>1</v>
      </c>
      <c r="AD492" s="183"/>
      <c r="AE492" s="183">
        <v>7</v>
      </c>
      <c r="AF492" s="183"/>
      <c r="AG492" s="101" t="str">
        <f t="shared" si="108"/>
        <v/>
      </c>
      <c r="AH492" s="190">
        <v>1</v>
      </c>
      <c r="AI492" s="69">
        <f t="shared" si="101"/>
        <v>1</v>
      </c>
    </row>
    <row r="493" spans="1:38" s="69" customFormat="1" ht="39" x14ac:dyDescent="0.3">
      <c r="A493" s="55" t="s">
        <v>1276</v>
      </c>
      <c r="B493" s="53" t="s">
        <v>1277</v>
      </c>
      <c r="C493" s="54" t="s">
        <v>1269</v>
      </c>
      <c r="D493" s="75">
        <v>48</v>
      </c>
      <c r="E493" s="75"/>
      <c r="F493" s="75"/>
      <c r="G493" s="75"/>
      <c r="H493" s="75"/>
      <c r="I493" s="75">
        <v>47468</v>
      </c>
      <c r="J493" s="75">
        <v>2278464</v>
      </c>
      <c r="K493" s="91" t="s">
        <v>1278</v>
      </c>
      <c r="L493" s="73"/>
      <c r="M493" s="46">
        <v>39</v>
      </c>
      <c r="N493" s="46">
        <v>47468</v>
      </c>
      <c r="O493" s="46">
        <v>1851252</v>
      </c>
      <c r="P493" s="98"/>
      <c r="Q493" s="23" t="s">
        <v>1421</v>
      </c>
      <c r="R493" s="24" t="s">
        <v>1277</v>
      </c>
      <c r="S493" s="25" t="s">
        <v>1269</v>
      </c>
      <c r="T493" s="26">
        <v>48</v>
      </c>
      <c r="U493" s="26">
        <v>48</v>
      </c>
      <c r="V493" s="26">
        <v>47468</v>
      </c>
      <c r="W493" s="102">
        <f t="shared" ref="W493:W494" si="110">AH493-M493</f>
        <v>1</v>
      </c>
      <c r="X493" s="26">
        <f t="shared" si="100"/>
        <v>40</v>
      </c>
      <c r="Y493" s="26">
        <f>Z493-O493</f>
        <v>47468</v>
      </c>
      <c r="Z493" s="26">
        <f t="shared" ref="Z493:Z494" si="111">ROUND(V493*X493,2)</f>
        <v>1898720</v>
      </c>
      <c r="AA493" s="33" t="s">
        <v>15</v>
      </c>
      <c r="AB493" s="36" t="s">
        <v>16</v>
      </c>
      <c r="AC493" s="181">
        <f t="shared" si="107"/>
        <v>48</v>
      </c>
      <c r="AD493" s="181">
        <f t="shared" ref="AD493:AD494" si="112">ROUND(V493*AC493,2)</f>
        <v>2278464</v>
      </c>
      <c r="AE493" s="181">
        <v>7</v>
      </c>
      <c r="AF493" s="181">
        <v>7</v>
      </c>
      <c r="AG493" s="101" t="str">
        <f t="shared" si="108"/>
        <v/>
      </c>
      <c r="AH493" s="191">
        <f>39+1</f>
        <v>40</v>
      </c>
      <c r="AI493" s="69">
        <f t="shared" si="101"/>
        <v>48</v>
      </c>
    </row>
    <row r="494" spans="1:38" s="69" customFormat="1" ht="33" x14ac:dyDescent="0.3">
      <c r="A494" s="55" t="s">
        <v>1279</v>
      </c>
      <c r="B494" s="53" t="s">
        <v>1280</v>
      </c>
      <c r="C494" s="54" t="s">
        <v>14</v>
      </c>
      <c r="D494" s="75">
        <v>1</v>
      </c>
      <c r="E494" s="75"/>
      <c r="F494" s="75"/>
      <c r="G494" s="75"/>
      <c r="H494" s="75"/>
      <c r="I494" s="75">
        <v>605915.96</v>
      </c>
      <c r="J494" s="75">
        <v>605915.96</v>
      </c>
      <c r="K494" s="91" t="s">
        <v>1281</v>
      </c>
      <c r="L494" s="73"/>
      <c r="M494" s="46">
        <v>1</v>
      </c>
      <c r="N494" s="46">
        <v>0</v>
      </c>
      <c r="O494" s="46">
        <v>424141.17</v>
      </c>
      <c r="P494" s="98"/>
      <c r="Q494" s="23" t="s">
        <v>1426</v>
      </c>
      <c r="R494" s="24" t="s">
        <v>1280</v>
      </c>
      <c r="S494" s="25" t="s">
        <v>14</v>
      </c>
      <c r="T494" s="26">
        <v>1</v>
      </c>
      <c r="U494" s="26">
        <v>1</v>
      </c>
      <c r="V494" s="26">
        <v>605915.96</v>
      </c>
      <c r="W494" s="128">
        <f t="shared" si="110"/>
        <v>0</v>
      </c>
      <c r="X494" s="26">
        <v>0.6999999966992122</v>
      </c>
      <c r="Y494" s="136">
        <f>Z494-O494</f>
        <v>0</v>
      </c>
      <c r="Z494" s="26">
        <f t="shared" si="111"/>
        <v>424141.17</v>
      </c>
      <c r="AA494" s="33" t="s">
        <v>15</v>
      </c>
      <c r="AB494" s="36" t="s">
        <v>16</v>
      </c>
      <c r="AC494" s="181">
        <f t="shared" si="107"/>
        <v>1</v>
      </c>
      <c r="AD494" s="181">
        <f t="shared" si="112"/>
        <v>605915.96</v>
      </c>
      <c r="AE494" s="181">
        <v>7</v>
      </c>
      <c r="AF494" s="181">
        <v>7</v>
      </c>
      <c r="AG494" s="101" t="str">
        <f t="shared" si="108"/>
        <v/>
      </c>
      <c r="AH494" s="191">
        <v>1</v>
      </c>
      <c r="AI494" s="69">
        <f t="shared" si="101"/>
        <v>1</v>
      </c>
      <c r="AL494" s="69">
        <f>O494/Z494</f>
        <v>1</v>
      </c>
    </row>
    <row r="495" spans="1:38" s="69" customFormat="1" ht="63" x14ac:dyDescent="0.3">
      <c r="A495" s="85" t="s">
        <v>1282</v>
      </c>
      <c r="B495" s="86" t="s">
        <v>1283</v>
      </c>
      <c r="C495" s="87" t="s">
        <v>14</v>
      </c>
      <c r="D495" s="88">
        <v>1</v>
      </c>
      <c r="E495" s="88"/>
      <c r="F495" s="88"/>
      <c r="G495" s="88"/>
      <c r="H495" s="88"/>
      <c r="I495" s="88"/>
      <c r="J495" s="88">
        <v>37525596.329999998</v>
      </c>
      <c r="K495" s="95" t="s">
        <v>1284</v>
      </c>
      <c r="L495" s="73"/>
      <c r="M495" s="42">
        <v>1</v>
      </c>
      <c r="N495" s="42">
        <v>923309.61</v>
      </c>
      <c r="O495" s="42">
        <v>27800191.960000001</v>
      </c>
      <c r="P495" s="98"/>
      <c r="Q495" s="28" t="s">
        <v>1417</v>
      </c>
      <c r="R495" s="29" t="s">
        <v>1283</v>
      </c>
      <c r="S495" s="30" t="s">
        <v>14</v>
      </c>
      <c r="T495" s="31">
        <v>1</v>
      </c>
      <c r="U495" s="31"/>
      <c r="V495" s="31">
        <v>37525596.329999998</v>
      </c>
      <c r="W495" s="31">
        <f t="shared" ref="W495:X496" si="113">IF(Y495=0,0,1)</f>
        <v>1</v>
      </c>
      <c r="X495" s="31">
        <f t="shared" si="113"/>
        <v>1</v>
      </c>
      <c r="Y495" s="31">
        <f>Z495-O495</f>
        <v>1031116.1499999762</v>
      </c>
      <c r="Z495" s="31">
        <f>Z7-Z8-Z377-Z407-Z447-Z451-Z472-Z492-Z496-Z498</f>
        <v>28831308.109999977</v>
      </c>
      <c r="AA495" s="32" t="s">
        <v>1418</v>
      </c>
      <c r="AB495" s="40" t="s">
        <v>16</v>
      </c>
      <c r="AC495" s="181">
        <f t="shared" si="107"/>
        <v>1</v>
      </c>
      <c r="AD495" s="183"/>
      <c r="AE495" s="183">
        <v>8</v>
      </c>
      <c r="AF495" s="183"/>
      <c r="AG495" s="101" t="str">
        <f t="shared" si="108"/>
        <v/>
      </c>
      <c r="AH495" s="190">
        <v>1</v>
      </c>
      <c r="AI495" s="69">
        <f t="shared" si="101"/>
        <v>1</v>
      </c>
    </row>
    <row r="496" spans="1:38" s="69" customFormat="1" ht="157.5" x14ac:dyDescent="0.3">
      <c r="A496" s="85" t="s">
        <v>1285</v>
      </c>
      <c r="B496" s="86" t="s">
        <v>1286</v>
      </c>
      <c r="C496" s="87" t="s">
        <v>14</v>
      </c>
      <c r="D496" s="88">
        <v>1</v>
      </c>
      <c r="E496" s="88"/>
      <c r="F496" s="88"/>
      <c r="G496" s="88"/>
      <c r="H496" s="88"/>
      <c r="I496" s="88"/>
      <c r="J496" s="88">
        <v>3336000</v>
      </c>
      <c r="K496" s="95" t="s">
        <v>1287</v>
      </c>
      <c r="L496" s="73"/>
      <c r="M496" s="42">
        <v>1</v>
      </c>
      <c r="N496" s="42">
        <v>0</v>
      </c>
      <c r="O496" s="42">
        <v>2863500</v>
      </c>
      <c r="P496" s="98"/>
      <c r="Q496" s="13" t="s">
        <v>1419</v>
      </c>
      <c r="R496" s="14" t="s">
        <v>1286</v>
      </c>
      <c r="S496" s="15" t="s">
        <v>14</v>
      </c>
      <c r="T496" s="16">
        <v>1</v>
      </c>
      <c r="U496" s="16"/>
      <c r="V496" s="16">
        <f>SUMIFS(AD:AD,AE:AE,AE496)</f>
        <v>3336000</v>
      </c>
      <c r="W496" s="16">
        <f t="shared" si="113"/>
        <v>0</v>
      </c>
      <c r="X496" s="16">
        <f t="shared" si="113"/>
        <v>1</v>
      </c>
      <c r="Y496" s="16">
        <f>SUMIFS(Y:Y,AF:AF,AE496)</f>
        <v>0</v>
      </c>
      <c r="Z496" s="16">
        <f>SUMIFS(Z:Z,AF:AF,AE496)</f>
        <v>2863500</v>
      </c>
      <c r="AA496" s="17" t="s">
        <v>1287</v>
      </c>
      <c r="AB496" s="40" t="s">
        <v>16</v>
      </c>
      <c r="AC496" s="181">
        <f t="shared" si="107"/>
        <v>1</v>
      </c>
      <c r="AD496" s="183"/>
      <c r="AE496" s="183">
        <v>9</v>
      </c>
      <c r="AF496" s="183"/>
      <c r="AG496" s="101" t="str">
        <f t="shared" si="108"/>
        <v/>
      </c>
      <c r="AH496" s="190">
        <v>1</v>
      </c>
      <c r="AI496" s="69">
        <f t="shared" si="101"/>
        <v>1</v>
      </c>
    </row>
    <row r="497" spans="1:35" s="69" customFormat="1" ht="33" x14ac:dyDescent="0.3">
      <c r="A497" s="55" t="s">
        <v>1288</v>
      </c>
      <c r="B497" s="53" t="s">
        <v>1286</v>
      </c>
      <c r="C497" s="54" t="s">
        <v>23</v>
      </c>
      <c r="D497" s="75">
        <v>22240</v>
      </c>
      <c r="E497" s="75"/>
      <c r="F497" s="75"/>
      <c r="G497" s="75"/>
      <c r="H497" s="75"/>
      <c r="I497" s="75">
        <v>150</v>
      </c>
      <c r="J497" s="75">
        <v>3336000</v>
      </c>
      <c r="K497" s="91" t="s">
        <v>1289</v>
      </c>
      <c r="L497" s="73"/>
      <c r="M497" s="46">
        <v>19090</v>
      </c>
      <c r="N497" s="46">
        <v>0</v>
      </c>
      <c r="O497" s="46">
        <v>2863500</v>
      </c>
      <c r="P497" s="98"/>
      <c r="Q497" s="23" t="s">
        <v>1421</v>
      </c>
      <c r="R497" s="24" t="s">
        <v>1286</v>
      </c>
      <c r="S497" s="25" t="s">
        <v>23</v>
      </c>
      <c r="T497" s="26">
        <v>22240</v>
      </c>
      <c r="U497" s="26">
        <v>22240</v>
      </c>
      <c r="V497" s="26">
        <v>150</v>
      </c>
      <c r="W497" s="103">
        <f t="shared" ref="W497" si="114">AH497-M497</f>
        <v>0</v>
      </c>
      <c r="X497" s="26">
        <f t="shared" ref="X497" si="115">W497+M497</f>
        <v>19090</v>
      </c>
      <c r="Y497" s="26">
        <f>Z497-O497</f>
        <v>0</v>
      </c>
      <c r="Z497" s="26">
        <f>ROUND(V497*X497,2)</f>
        <v>2863500</v>
      </c>
      <c r="AA497" s="33" t="s">
        <v>15</v>
      </c>
      <c r="AB497" s="36" t="s">
        <v>16</v>
      </c>
      <c r="AC497" s="181">
        <f t="shared" si="107"/>
        <v>22240</v>
      </c>
      <c r="AD497" s="181">
        <f t="shared" ref="AD497" si="116">ROUND(V497*AC497,2)</f>
        <v>3336000</v>
      </c>
      <c r="AE497" s="181">
        <v>9</v>
      </c>
      <c r="AF497" s="181">
        <v>9</v>
      </c>
      <c r="AG497" s="101" t="str">
        <f t="shared" si="108"/>
        <v/>
      </c>
      <c r="AH497" s="190">
        <v>19090</v>
      </c>
      <c r="AI497" s="69">
        <f t="shared" si="101"/>
        <v>22240</v>
      </c>
    </row>
    <row r="498" spans="1:35" s="69" customFormat="1" ht="178.5" x14ac:dyDescent="0.3">
      <c r="A498" s="85" t="s">
        <v>1290</v>
      </c>
      <c r="B498" s="86" t="s">
        <v>1291</v>
      </c>
      <c r="C498" s="87" t="s">
        <v>14</v>
      </c>
      <c r="D498" s="88">
        <v>1</v>
      </c>
      <c r="E498" s="88"/>
      <c r="F498" s="88"/>
      <c r="G498" s="88"/>
      <c r="H498" s="88"/>
      <c r="I498" s="88"/>
      <c r="J498" s="88">
        <v>212800</v>
      </c>
      <c r="K498" s="95" t="s">
        <v>1292</v>
      </c>
      <c r="L498" s="73"/>
      <c r="M498" s="42">
        <v>1</v>
      </c>
      <c r="N498" s="42">
        <v>0</v>
      </c>
      <c r="O498" s="42">
        <v>212800</v>
      </c>
      <c r="P498" s="98"/>
      <c r="Q498" s="13" t="s">
        <v>1420</v>
      </c>
      <c r="R498" s="14" t="s">
        <v>1291</v>
      </c>
      <c r="S498" s="15" t="s">
        <v>14</v>
      </c>
      <c r="T498" s="16">
        <v>1</v>
      </c>
      <c r="U498" s="16"/>
      <c r="V498" s="16">
        <f>SUMIFS(AD:AD,AE:AE,AE498)</f>
        <v>212800</v>
      </c>
      <c r="W498" s="16">
        <f t="shared" ref="W498:X498" si="117">IF(Y498=0,0,1)</f>
        <v>0</v>
      </c>
      <c r="X498" s="16">
        <f t="shared" si="117"/>
        <v>1</v>
      </c>
      <c r="Y498" s="16">
        <f>SUMIFS(Y:Y,AF:AF,AE498)</f>
        <v>0</v>
      </c>
      <c r="Z498" s="16">
        <f>SUMIFS(Z:Z,AF:AF,AE498)</f>
        <v>212800</v>
      </c>
      <c r="AA498" s="17" t="s">
        <v>1292</v>
      </c>
      <c r="AB498" s="40" t="s">
        <v>16</v>
      </c>
      <c r="AC498" s="181">
        <f t="shared" si="107"/>
        <v>1</v>
      </c>
      <c r="AD498" s="183"/>
      <c r="AE498" s="183">
        <v>10</v>
      </c>
      <c r="AF498" s="183"/>
      <c r="AG498" s="101" t="str">
        <f t="shared" si="108"/>
        <v/>
      </c>
      <c r="AH498" s="190">
        <v>1</v>
      </c>
      <c r="AI498" s="69">
        <f t="shared" si="101"/>
        <v>1</v>
      </c>
    </row>
    <row r="499" spans="1:35" s="69" customFormat="1" ht="33" x14ac:dyDescent="0.3">
      <c r="A499" s="55" t="s">
        <v>1293</v>
      </c>
      <c r="B499" s="53" t="s">
        <v>1294</v>
      </c>
      <c r="C499" s="54" t="s">
        <v>50</v>
      </c>
      <c r="D499" s="75">
        <v>3800</v>
      </c>
      <c r="E499" s="75"/>
      <c r="F499" s="75"/>
      <c r="G499" s="75"/>
      <c r="H499" s="75"/>
      <c r="I499" s="75">
        <v>56</v>
      </c>
      <c r="J499" s="75">
        <v>212800</v>
      </c>
      <c r="K499" s="91" t="s">
        <v>1295</v>
      </c>
      <c r="L499" s="73"/>
      <c r="M499" s="46">
        <v>3800</v>
      </c>
      <c r="N499" s="46">
        <v>0</v>
      </c>
      <c r="O499" s="46">
        <v>212800</v>
      </c>
      <c r="P499" s="98"/>
      <c r="Q499" s="23" t="s">
        <v>1421</v>
      </c>
      <c r="R499" s="24" t="s">
        <v>1294</v>
      </c>
      <c r="S499" s="25" t="s">
        <v>50</v>
      </c>
      <c r="T499" s="26">
        <v>3800</v>
      </c>
      <c r="U499" s="26">
        <v>3800</v>
      </c>
      <c r="V499" s="26">
        <v>56</v>
      </c>
      <c r="W499" s="26">
        <f t="shared" ref="W499" si="118">AH499-M499</f>
        <v>0</v>
      </c>
      <c r="X499" s="26">
        <f t="shared" ref="X499" si="119">W499+M499</f>
        <v>3800</v>
      </c>
      <c r="Y499" s="26">
        <v>0</v>
      </c>
      <c r="Z499" s="26">
        <f t="shared" ref="Z499" si="120">ROUND(V499*X499,2)</f>
        <v>212800</v>
      </c>
      <c r="AA499" s="33" t="s">
        <v>15</v>
      </c>
      <c r="AB499" s="36" t="s">
        <v>16</v>
      </c>
      <c r="AC499" s="181">
        <f t="shared" si="107"/>
        <v>3800</v>
      </c>
      <c r="AD499" s="181">
        <f t="shared" ref="AD499" si="121">ROUND(V499*AC499,2)</f>
        <v>212800</v>
      </c>
      <c r="AE499" s="181">
        <v>10</v>
      </c>
      <c r="AF499" s="181">
        <v>10</v>
      </c>
      <c r="AG499" s="101" t="str">
        <f t="shared" si="108"/>
        <v/>
      </c>
      <c r="AH499" s="190">
        <v>3800</v>
      </c>
      <c r="AI499" s="69">
        <f t="shared" si="101"/>
        <v>3800</v>
      </c>
    </row>
    <row r="500" spans="1:35" s="69" customFormat="1" ht="33" x14ac:dyDescent="0.3">
      <c r="A500" s="52"/>
      <c r="B500" s="53" t="s">
        <v>1296</v>
      </c>
      <c r="C500" s="54"/>
      <c r="D500" s="75"/>
      <c r="E500" s="75"/>
      <c r="F500" s="75"/>
      <c r="G500" s="75"/>
      <c r="H500" s="75"/>
      <c r="I500" s="75"/>
      <c r="J500" s="75"/>
      <c r="K500" s="91"/>
      <c r="L500" s="73"/>
      <c r="M500" s="46"/>
      <c r="N500" s="46">
        <v>9355400</v>
      </c>
      <c r="O500" s="46">
        <v>284759600</v>
      </c>
      <c r="P500" s="98"/>
      <c r="Q500" s="23" t="s">
        <v>1421</v>
      </c>
      <c r="R500" s="24" t="s">
        <v>1422</v>
      </c>
      <c r="S500" s="25"/>
      <c r="T500" s="26"/>
      <c r="U500" s="26"/>
      <c r="V500" s="26"/>
      <c r="W500" s="26"/>
      <c r="X500" s="26"/>
      <c r="Y500" s="26">
        <f>Y8+Y377+Y407+Y447+Y451+Y472+Y492+Y495+Y496+Y498</f>
        <v>10447699.999999978</v>
      </c>
      <c r="Z500" s="26">
        <f>ROUNDDOWN((Z8+Z377+Z407+Z447+Z451+Z472+Z492+Z496+Z498+(Z8+Z377+Z407+Z447+Z451+Z472+Z492)*0.1095000004)/1000,1)*1000</f>
        <v>295207300</v>
      </c>
      <c r="AA500" s="33"/>
      <c r="AB500" s="36" t="s">
        <v>16</v>
      </c>
      <c r="AC500" s="181"/>
      <c r="AD500" s="181"/>
      <c r="AE500" s="181"/>
      <c r="AF500" s="181"/>
      <c r="AG500" s="101" t="str">
        <f t="shared" si="108"/>
        <v/>
      </c>
      <c r="AH500" s="190"/>
      <c r="AI500" s="69">
        <f t="shared" si="101"/>
        <v>0</v>
      </c>
    </row>
    <row r="501" spans="1:35" s="69" customFormat="1" ht="33" x14ac:dyDescent="0.3">
      <c r="A501" s="52"/>
      <c r="B501" s="53" t="s">
        <v>1297</v>
      </c>
      <c r="C501" s="54"/>
      <c r="D501" s="75"/>
      <c r="E501" s="75"/>
      <c r="F501" s="75"/>
      <c r="G501" s="75"/>
      <c r="H501" s="75"/>
      <c r="I501" s="75"/>
      <c r="J501" s="75"/>
      <c r="K501" s="91"/>
      <c r="L501" s="73"/>
      <c r="M501" s="39"/>
      <c r="N501" s="39">
        <v>9675</v>
      </c>
      <c r="O501" s="39">
        <v>19291</v>
      </c>
      <c r="P501" s="98"/>
      <c r="Q501" s="8" t="s">
        <v>1505</v>
      </c>
      <c r="R501" s="9" t="s">
        <v>1506</v>
      </c>
      <c r="S501" s="10" t="s">
        <v>14</v>
      </c>
      <c r="T501" s="11"/>
      <c r="U501" s="11"/>
      <c r="V501" s="11"/>
      <c r="W501" s="11"/>
      <c r="X501" s="11"/>
      <c r="Y501" s="11">
        <v>9675</v>
      </c>
      <c r="Z501" s="11">
        <v>19291</v>
      </c>
      <c r="AA501" s="12" t="s">
        <v>15</v>
      </c>
      <c r="AB501" s="37" t="s">
        <v>16</v>
      </c>
      <c r="AC501" s="182"/>
      <c r="AD501" s="182">
        <v>295040.74</v>
      </c>
      <c r="AE501" s="182">
        <v>12929586.060000001</v>
      </c>
      <c r="AF501" s="182"/>
      <c r="AG501" s="101" t="str">
        <f t="shared" si="108"/>
        <v/>
      </c>
      <c r="AH501" s="190"/>
      <c r="AI501" s="69">
        <f t="shared" si="101"/>
        <v>0</v>
      </c>
    </row>
    <row r="502" spans="1:35" s="69" customFormat="1" ht="33" x14ac:dyDescent="0.3">
      <c r="A502" s="382" t="s">
        <v>1298</v>
      </c>
      <c r="B502" s="383"/>
      <c r="C502" s="383"/>
      <c r="D502" s="383"/>
      <c r="E502" s="383"/>
      <c r="F502" s="383"/>
      <c r="G502" s="383"/>
      <c r="H502" s="383"/>
      <c r="I502" s="383"/>
      <c r="J502" s="383"/>
      <c r="K502" s="384"/>
      <c r="L502" s="89"/>
      <c r="M502" s="46"/>
      <c r="N502" s="46">
        <v>2999475</v>
      </c>
      <c r="O502" s="46">
        <v>131240691</v>
      </c>
      <c r="P502" s="98"/>
      <c r="Q502" s="23" t="s">
        <v>1421</v>
      </c>
      <c r="R502" s="24" t="s">
        <v>1507</v>
      </c>
      <c r="S502" s="25"/>
      <c r="T502" s="26"/>
      <c r="U502" s="26"/>
      <c r="V502" s="26"/>
      <c r="W502" s="26"/>
      <c r="X502" s="26"/>
      <c r="Y502" s="26">
        <v>2999475</v>
      </c>
      <c r="Z502" s="26">
        <v>131240691</v>
      </c>
      <c r="AA502" s="33"/>
      <c r="AB502" s="36" t="s">
        <v>16</v>
      </c>
      <c r="AC502" s="181"/>
      <c r="AD502" s="181"/>
      <c r="AE502" s="181"/>
      <c r="AF502" s="181"/>
      <c r="AG502" s="101" t="str">
        <f t="shared" si="108"/>
        <v/>
      </c>
      <c r="AH502" s="190"/>
      <c r="AI502" s="69">
        <f t="shared" si="101"/>
        <v>0</v>
      </c>
    </row>
    <row r="503" spans="1:35" s="69" customFormat="1" ht="153" customHeight="1" x14ac:dyDescent="0.3">
      <c r="A503" s="390" t="s">
        <v>1299</v>
      </c>
      <c r="B503" s="391"/>
      <c r="C503" s="391"/>
      <c r="D503" s="391"/>
      <c r="E503" s="391"/>
      <c r="F503" s="391"/>
      <c r="G503" s="391"/>
      <c r="H503" s="391"/>
      <c r="I503" s="391"/>
      <c r="J503" s="391"/>
      <c r="K503" s="392"/>
      <c r="L503" s="90"/>
      <c r="M503" s="39"/>
      <c r="N503" s="39">
        <v>0</v>
      </c>
      <c r="O503" s="39">
        <v>737520</v>
      </c>
      <c r="P503" s="98"/>
      <c r="Q503" s="8" t="s">
        <v>1508</v>
      </c>
      <c r="R503" s="9" t="s">
        <v>1509</v>
      </c>
      <c r="S503" s="10" t="s">
        <v>14</v>
      </c>
      <c r="T503" s="11"/>
      <c r="U503" s="11"/>
      <c r="V503" s="11"/>
      <c r="W503" s="11"/>
      <c r="X503" s="11"/>
      <c r="Y503" s="11">
        <v>0</v>
      </c>
      <c r="Z503" s="11">
        <f>SUM(Z504:Z506)</f>
        <v>737520</v>
      </c>
      <c r="AA503" s="12" t="s">
        <v>15</v>
      </c>
      <c r="AB503" s="37" t="s">
        <v>16</v>
      </c>
      <c r="AC503" s="182"/>
      <c r="AD503" s="182"/>
      <c r="AE503" s="182"/>
      <c r="AF503" s="182"/>
      <c r="AG503" s="101" t="str">
        <f t="shared" si="108"/>
        <v/>
      </c>
      <c r="AH503" s="190"/>
      <c r="AI503" s="69">
        <f t="shared" si="101"/>
        <v>0</v>
      </c>
    </row>
    <row r="504" spans="1:35" ht="33" x14ac:dyDescent="0.3">
      <c r="M504" s="46">
        <v>519.42999999999995</v>
      </c>
      <c r="N504" s="46">
        <v>0</v>
      </c>
      <c r="O504" s="46">
        <v>298672</v>
      </c>
      <c r="P504" s="98"/>
      <c r="Q504" s="23" t="s">
        <v>1421</v>
      </c>
      <c r="R504" s="24" t="s">
        <v>1510</v>
      </c>
      <c r="S504" s="25" t="s">
        <v>23</v>
      </c>
      <c r="T504" s="26"/>
      <c r="U504" s="26"/>
      <c r="V504" s="26">
        <v>575</v>
      </c>
      <c r="W504" s="26">
        <f>X504-M504</f>
        <v>0</v>
      </c>
      <c r="X504" s="26">
        <v>519.42999999999995</v>
      </c>
      <c r="Y504" s="26">
        <f>Z504-O504</f>
        <v>0</v>
      </c>
      <c r="Z504" s="26">
        <f>ROUNDDOWN(V504*X504,0)</f>
        <v>298672</v>
      </c>
      <c r="AA504" s="33" t="s">
        <v>15</v>
      </c>
      <c r="AB504" s="36" t="s">
        <v>16</v>
      </c>
      <c r="AG504" s="101"/>
      <c r="AH504" s="185">
        <v>519.42999999999995</v>
      </c>
      <c r="AI504" s="69"/>
    </row>
    <row r="505" spans="1:35" ht="33" x14ac:dyDescent="0.3">
      <c r="M505" s="46">
        <v>0</v>
      </c>
      <c r="N505" s="46">
        <v>0</v>
      </c>
      <c r="O505" s="46">
        <v>0</v>
      </c>
      <c r="P505" s="98"/>
      <c r="Q505" s="23" t="s">
        <v>1426</v>
      </c>
      <c r="R505" s="24" t="s">
        <v>1511</v>
      </c>
      <c r="S505" s="25" t="s">
        <v>110</v>
      </c>
      <c r="T505" s="26"/>
      <c r="U505" s="26"/>
      <c r="V505" s="26">
        <v>20</v>
      </c>
      <c r="W505" s="26">
        <f>X505-M505</f>
        <v>0</v>
      </c>
      <c r="X505" s="26">
        <v>0</v>
      </c>
      <c r="Y505" s="26">
        <f>Z505-O505</f>
        <v>0</v>
      </c>
      <c r="Z505" s="26">
        <f>ROUNDDOWN(V505*X505,0)</f>
        <v>0</v>
      </c>
      <c r="AA505" s="33" t="s">
        <v>15</v>
      </c>
      <c r="AB505" s="36" t="s">
        <v>16</v>
      </c>
      <c r="AG505" s="101"/>
      <c r="AH505" s="185">
        <v>0</v>
      </c>
      <c r="AI505" s="69"/>
    </row>
    <row r="506" spans="1:35" ht="33" x14ac:dyDescent="0.3">
      <c r="M506" s="46">
        <v>54856</v>
      </c>
      <c r="N506" s="46">
        <v>0</v>
      </c>
      <c r="O506" s="46">
        <v>438848</v>
      </c>
      <c r="P506" s="98"/>
      <c r="Q506" s="23" t="s">
        <v>1402</v>
      </c>
      <c r="R506" s="24" t="s">
        <v>1512</v>
      </c>
      <c r="S506" s="25" t="s">
        <v>110</v>
      </c>
      <c r="T506" s="26"/>
      <c r="U506" s="26"/>
      <c r="V506" s="26">
        <v>8</v>
      </c>
      <c r="W506" s="26">
        <f>X506-M506</f>
        <v>0</v>
      </c>
      <c r="X506" s="26">
        <v>54856</v>
      </c>
      <c r="Y506" s="26">
        <f>Z506-O506</f>
        <v>0</v>
      </c>
      <c r="Z506" s="26">
        <f>ROUNDDOWN(V506*X506,0)</f>
        <v>438848</v>
      </c>
      <c r="AA506" s="33" t="s">
        <v>15</v>
      </c>
      <c r="AB506" s="36" t="s">
        <v>16</v>
      </c>
      <c r="AG506" s="101"/>
      <c r="AH506" s="185">
        <v>54856</v>
      </c>
      <c r="AI506" s="69"/>
    </row>
  </sheetData>
  <autoFilter ref="A6:K503" xr:uid="{745AA45A-1115-4D12-8076-1F56B440D015}"/>
  <mergeCells count="13">
    <mergeCell ref="A503:K503"/>
    <mergeCell ref="A5:I5"/>
    <mergeCell ref="J5:K5"/>
    <mergeCell ref="M5:O5"/>
    <mergeCell ref="Q5:X5"/>
    <mergeCell ref="Z5:AA5"/>
    <mergeCell ref="A502:K502"/>
    <mergeCell ref="A1:K1"/>
    <mergeCell ref="A2:K2"/>
    <mergeCell ref="A3:K3"/>
    <mergeCell ref="Q3:AA3"/>
    <mergeCell ref="A4:K4"/>
    <mergeCell ref="Q4:AA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706E-4D74-479C-AF46-33B1EB7C0338}">
  <sheetPr>
    <tabColor theme="8" tint="0.39997558519241921"/>
  </sheetPr>
  <dimension ref="A1:AL506"/>
  <sheetViews>
    <sheetView view="pageBreakPreview" topLeftCell="A6" zoomScale="80" zoomScaleNormal="80" zoomScaleSheetLayoutView="80" workbookViewId="0">
      <pane ySplit="1470" topLeftCell="A494" activePane="bottomLeft"/>
      <selection activeCell="AI7" sqref="AI7"/>
      <selection pane="bottomLeft" activeCell="AH497" sqref="AH497"/>
    </sheetView>
  </sheetViews>
  <sheetFormatPr defaultColWidth="8.5" defaultRowHeight="19.5" x14ac:dyDescent="0.3"/>
  <cols>
    <col min="1" max="1" width="5.25" style="72" customWidth="1"/>
    <col min="2" max="2" width="26.25" style="73" customWidth="1"/>
    <col min="3" max="3" width="5.5" style="73" customWidth="1"/>
    <col min="4" max="4" width="12.75" style="73" customWidth="1"/>
    <col min="5" max="5" width="14" style="73" customWidth="1"/>
    <col min="6" max="6" width="14.375" style="73" customWidth="1"/>
    <col min="7" max="7" width="10.75" style="73" customWidth="1"/>
    <col min="8" max="8" width="15.375" style="73" customWidth="1"/>
    <col min="9" max="9" width="14.75" style="73" customWidth="1"/>
    <col min="10" max="10" width="23" style="73" customWidth="1"/>
    <col min="11" max="11" width="10.875" style="73" customWidth="1"/>
    <col min="12" max="12" width="1.5" style="73" customWidth="1"/>
    <col min="13" max="15" width="11.5" style="2" customWidth="1"/>
    <col min="16" max="16" width="1.25" style="96" customWidth="1"/>
    <col min="17" max="17" width="4.25" style="3" hidden="1" customWidth="1"/>
    <col min="18" max="18" width="35.25" hidden="1" customWidth="1"/>
    <col min="19" max="19" width="5.75" hidden="1" customWidth="1"/>
    <col min="20" max="20" width="9" hidden="1" customWidth="1"/>
    <col min="21" max="21" width="9.375" hidden="1" customWidth="1"/>
    <col min="22" max="22" width="12" hidden="1" customWidth="1"/>
    <col min="23" max="23" width="11.375" customWidth="1"/>
    <col min="24" max="24" width="11.75" customWidth="1"/>
    <col min="25" max="25" width="12.875" customWidth="1"/>
    <col min="26" max="26" width="12" customWidth="1"/>
    <col min="27" max="27" width="5.25" style="34" customWidth="1"/>
    <col min="28" max="28" width="1.125" customWidth="1"/>
    <col min="29" max="32" width="1.125" style="181" customWidth="1"/>
    <col min="33" max="33" width="1.125" style="71" customWidth="1"/>
    <col min="34" max="34" width="16.5" style="185" customWidth="1"/>
    <col min="35" max="35" width="15.375" style="70" customWidth="1"/>
    <col min="36" max="36" width="8.375" style="70" customWidth="1"/>
    <col min="37" max="37" width="1.625" style="70" customWidth="1"/>
    <col min="38" max="38" width="16.375" style="70" bestFit="1" customWidth="1"/>
    <col min="39" max="224" width="8.5" style="70"/>
    <col min="225" max="225" width="5.25" style="70" customWidth="1"/>
    <col min="226" max="226" width="26.25" style="70" customWidth="1"/>
    <col min="227" max="227" width="5.5" style="70" customWidth="1"/>
    <col min="228" max="228" width="8.5" style="70"/>
    <col min="229" max="230" width="10.875" style="70" customWidth="1"/>
    <col min="231" max="231" width="15.25" style="70" customWidth="1"/>
    <col min="232" max="232" width="0.75" style="70" customWidth="1"/>
    <col min="233" max="235" width="0.625" style="70" customWidth="1"/>
    <col min="236" max="480" width="8.5" style="70"/>
    <col min="481" max="481" width="5.25" style="70" customWidth="1"/>
    <col min="482" max="482" width="26.25" style="70" customWidth="1"/>
    <col min="483" max="483" width="5.5" style="70" customWidth="1"/>
    <col min="484" max="484" width="8.5" style="70"/>
    <col min="485" max="486" width="10.875" style="70" customWidth="1"/>
    <col min="487" max="487" width="15.25" style="70" customWidth="1"/>
    <col min="488" max="488" width="0.75" style="70" customWidth="1"/>
    <col min="489" max="491" width="0.625" style="70" customWidth="1"/>
    <col min="492" max="736" width="8.5" style="70"/>
    <col min="737" max="737" width="5.25" style="70" customWidth="1"/>
    <col min="738" max="738" width="26.25" style="70" customWidth="1"/>
    <col min="739" max="739" width="5.5" style="70" customWidth="1"/>
    <col min="740" max="740" width="8.5" style="70"/>
    <col min="741" max="742" width="10.875" style="70" customWidth="1"/>
    <col min="743" max="743" width="15.25" style="70" customWidth="1"/>
    <col min="744" max="744" width="0.75" style="70" customWidth="1"/>
    <col min="745" max="747" width="0.625" style="70" customWidth="1"/>
    <col min="748" max="992" width="8.5" style="70"/>
    <col min="993" max="993" width="5.25" style="70" customWidth="1"/>
    <col min="994" max="994" width="26.25" style="70" customWidth="1"/>
    <col min="995" max="995" width="5.5" style="70" customWidth="1"/>
    <col min="996" max="996" width="8.5" style="70"/>
    <col min="997" max="998" width="10.875" style="70" customWidth="1"/>
    <col min="999" max="999" width="15.25" style="70" customWidth="1"/>
    <col min="1000" max="1000" width="0.75" style="70" customWidth="1"/>
    <col min="1001" max="1003" width="0.625" style="70" customWidth="1"/>
    <col min="1004" max="1248" width="8.5" style="70"/>
    <col min="1249" max="1249" width="5.25" style="70" customWidth="1"/>
    <col min="1250" max="1250" width="26.25" style="70" customWidth="1"/>
    <col min="1251" max="1251" width="5.5" style="70" customWidth="1"/>
    <col min="1252" max="1252" width="8.5" style="70"/>
    <col min="1253" max="1254" width="10.875" style="70" customWidth="1"/>
    <col min="1255" max="1255" width="15.25" style="70" customWidth="1"/>
    <col min="1256" max="1256" width="0.75" style="70" customWidth="1"/>
    <col min="1257" max="1259" width="0.625" style="70" customWidth="1"/>
    <col min="1260" max="1504" width="8.5" style="70"/>
    <col min="1505" max="1505" width="5.25" style="70" customWidth="1"/>
    <col min="1506" max="1506" width="26.25" style="70" customWidth="1"/>
    <col min="1507" max="1507" width="5.5" style="70" customWidth="1"/>
    <col min="1508" max="1508" width="8.5" style="70"/>
    <col min="1509" max="1510" width="10.875" style="70" customWidth="1"/>
    <col min="1511" max="1511" width="15.25" style="70" customWidth="1"/>
    <col min="1512" max="1512" width="0.75" style="70" customWidth="1"/>
    <col min="1513" max="1515" width="0.625" style="70" customWidth="1"/>
    <col min="1516" max="1760" width="8.5" style="70"/>
    <col min="1761" max="1761" width="5.25" style="70" customWidth="1"/>
    <col min="1762" max="1762" width="26.25" style="70" customWidth="1"/>
    <col min="1763" max="1763" width="5.5" style="70" customWidth="1"/>
    <col min="1764" max="1764" width="8.5" style="70"/>
    <col min="1765" max="1766" width="10.875" style="70" customWidth="1"/>
    <col min="1767" max="1767" width="15.25" style="70" customWidth="1"/>
    <col min="1768" max="1768" width="0.75" style="70" customWidth="1"/>
    <col min="1769" max="1771" width="0.625" style="70" customWidth="1"/>
    <col min="1772" max="2016" width="8.5" style="70"/>
    <col min="2017" max="2017" width="5.25" style="70" customWidth="1"/>
    <col min="2018" max="2018" width="26.25" style="70" customWidth="1"/>
    <col min="2019" max="2019" width="5.5" style="70" customWidth="1"/>
    <col min="2020" max="2020" width="8.5" style="70"/>
    <col min="2021" max="2022" width="10.875" style="70" customWidth="1"/>
    <col min="2023" max="2023" width="15.25" style="70" customWidth="1"/>
    <col min="2024" max="2024" width="0.75" style="70" customWidth="1"/>
    <col min="2025" max="2027" width="0.625" style="70" customWidth="1"/>
    <col min="2028" max="2272" width="8.5" style="70"/>
    <col min="2273" max="2273" width="5.25" style="70" customWidth="1"/>
    <col min="2274" max="2274" width="26.25" style="70" customWidth="1"/>
    <col min="2275" max="2275" width="5.5" style="70" customWidth="1"/>
    <col min="2276" max="2276" width="8.5" style="70"/>
    <col min="2277" max="2278" width="10.875" style="70" customWidth="1"/>
    <col min="2279" max="2279" width="15.25" style="70" customWidth="1"/>
    <col min="2280" max="2280" width="0.75" style="70" customWidth="1"/>
    <col min="2281" max="2283" width="0.625" style="70" customWidth="1"/>
    <col min="2284" max="2528" width="8.5" style="70"/>
    <col min="2529" max="2529" width="5.25" style="70" customWidth="1"/>
    <col min="2530" max="2530" width="26.25" style="70" customWidth="1"/>
    <col min="2531" max="2531" width="5.5" style="70" customWidth="1"/>
    <col min="2532" max="2532" width="8.5" style="70"/>
    <col min="2533" max="2534" width="10.875" style="70" customWidth="1"/>
    <col min="2535" max="2535" width="15.25" style="70" customWidth="1"/>
    <col min="2536" max="2536" width="0.75" style="70" customWidth="1"/>
    <col min="2537" max="2539" width="0.625" style="70" customWidth="1"/>
    <col min="2540" max="2784" width="8.5" style="70"/>
    <col min="2785" max="2785" width="5.25" style="70" customWidth="1"/>
    <col min="2786" max="2786" width="26.25" style="70" customWidth="1"/>
    <col min="2787" max="2787" width="5.5" style="70" customWidth="1"/>
    <col min="2788" max="2788" width="8.5" style="70"/>
    <col min="2789" max="2790" width="10.875" style="70" customWidth="1"/>
    <col min="2791" max="2791" width="15.25" style="70" customWidth="1"/>
    <col min="2792" max="2792" width="0.75" style="70" customWidth="1"/>
    <col min="2793" max="2795" width="0.625" style="70" customWidth="1"/>
    <col min="2796" max="3040" width="8.5" style="70"/>
    <col min="3041" max="3041" width="5.25" style="70" customWidth="1"/>
    <col min="3042" max="3042" width="26.25" style="70" customWidth="1"/>
    <col min="3043" max="3043" width="5.5" style="70" customWidth="1"/>
    <col min="3044" max="3044" width="8.5" style="70"/>
    <col min="3045" max="3046" width="10.875" style="70" customWidth="1"/>
    <col min="3047" max="3047" width="15.25" style="70" customWidth="1"/>
    <col min="3048" max="3048" width="0.75" style="70" customWidth="1"/>
    <col min="3049" max="3051" width="0.625" style="70" customWidth="1"/>
    <col min="3052" max="3296" width="8.5" style="70"/>
    <col min="3297" max="3297" width="5.25" style="70" customWidth="1"/>
    <col min="3298" max="3298" width="26.25" style="70" customWidth="1"/>
    <col min="3299" max="3299" width="5.5" style="70" customWidth="1"/>
    <col min="3300" max="3300" width="8.5" style="70"/>
    <col min="3301" max="3302" width="10.875" style="70" customWidth="1"/>
    <col min="3303" max="3303" width="15.25" style="70" customWidth="1"/>
    <col min="3304" max="3304" width="0.75" style="70" customWidth="1"/>
    <col min="3305" max="3307" width="0.625" style="70" customWidth="1"/>
    <col min="3308" max="3552" width="8.5" style="70"/>
    <col min="3553" max="3553" width="5.25" style="70" customWidth="1"/>
    <col min="3554" max="3554" width="26.25" style="70" customWidth="1"/>
    <col min="3555" max="3555" width="5.5" style="70" customWidth="1"/>
    <col min="3556" max="3556" width="8.5" style="70"/>
    <col min="3557" max="3558" width="10.875" style="70" customWidth="1"/>
    <col min="3559" max="3559" width="15.25" style="70" customWidth="1"/>
    <col min="3560" max="3560" width="0.75" style="70" customWidth="1"/>
    <col min="3561" max="3563" width="0.625" style="70" customWidth="1"/>
    <col min="3564" max="3808" width="8.5" style="70"/>
    <col min="3809" max="3809" width="5.25" style="70" customWidth="1"/>
    <col min="3810" max="3810" width="26.25" style="70" customWidth="1"/>
    <col min="3811" max="3811" width="5.5" style="70" customWidth="1"/>
    <col min="3812" max="3812" width="8.5" style="70"/>
    <col min="3813" max="3814" width="10.875" style="70" customWidth="1"/>
    <col min="3815" max="3815" width="15.25" style="70" customWidth="1"/>
    <col min="3816" max="3816" width="0.75" style="70" customWidth="1"/>
    <col min="3817" max="3819" width="0.625" style="70" customWidth="1"/>
    <col min="3820" max="4064" width="8.5" style="70"/>
    <col min="4065" max="4065" width="5.25" style="70" customWidth="1"/>
    <col min="4066" max="4066" width="26.25" style="70" customWidth="1"/>
    <col min="4067" max="4067" width="5.5" style="70" customWidth="1"/>
    <col min="4068" max="4068" width="8.5" style="70"/>
    <col min="4069" max="4070" width="10.875" style="70" customWidth="1"/>
    <col min="4071" max="4071" width="15.25" style="70" customWidth="1"/>
    <col min="4072" max="4072" width="0.75" style="70" customWidth="1"/>
    <col min="4073" max="4075" width="0.625" style="70" customWidth="1"/>
    <col min="4076" max="4320" width="8.5" style="70"/>
    <col min="4321" max="4321" width="5.25" style="70" customWidth="1"/>
    <col min="4322" max="4322" width="26.25" style="70" customWidth="1"/>
    <col min="4323" max="4323" width="5.5" style="70" customWidth="1"/>
    <col min="4324" max="4324" width="8.5" style="70"/>
    <col min="4325" max="4326" width="10.875" style="70" customWidth="1"/>
    <col min="4327" max="4327" width="15.25" style="70" customWidth="1"/>
    <col min="4328" max="4328" width="0.75" style="70" customWidth="1"/>
    <col min="4329" max="4331" width="0.625" style="70" customWidth="1"/>
    <col min="4332" max="4576" width="8.5" style="70"/>
    <col min="4577" max="4577" width="5.25" style="70" customWidth="1"/>
    <col min="4578" max="4578" width="26.25" style="70" customWidth="1"/>
    <col min="4579" max="4579" width="5.5" style="70" customWidth="1"/>
    <col min="4580" max="4580" width="8.5" style="70"/>
    <col min="4581" max="4582" width="10.875" style="70" customWidth="1"/>
    <col min="4583" max="4583" width="15.25" style="70" customWidth="1"/>
    <col min="4584" max="4584" width="0.75" style="70" customWidth="1"/>
    <col min="4585" max="4587" width="0.625" style="70" customWidth="1"/>
    <col min="4588" max="4832" width="8.5" style="70"/>
    <col min="4833" max="4833" width="5.25" style="70" customWidth="1"/>
    <col min="4834" max="4834" width="26.25" style="70" customWidth="1"/>
    <col min="4835" max="4835" width="5.5" style="70" customWidth="1"/>
    <col min="4836" max="4836" width="8.5" style="70"/>
    <col min="4837" max="4838" width="10.875" style="70" customWidth="1"/>
    <col min="4839" max="4839" width="15.25" style="70" customWidth="1"/>
    <col min="4840" max="4840" width="0.75" style="70" customWidth="1"/>
    <col min="4841" max="4843" width="0.625" style="70" customWidth="1"/>
    <col min="4844" max="5088" width="8.5" style="70"/>
    <col min="5089" max="5089" width="5.25" style="70" customWidth="1"/>
    <col min="5090" max="5090" width="26.25" style="70" customWidth="1"/>
    <col min="5091" max="5091" width="5.5" style="70" customWidth="1"/>
    <col min="5092" max="5092" width="8.5" style="70"/>
    <col min="5093" max="5094" width="10.875" style="70" customWidth="1"/>
    <col min="5095" max="5095" width="15.25" style="70" customWidth="1"/>
    <col min="5096" max="5096" width="0.75" style="70" customWidth="1"/>
    <col min="5097" max="5099" width="0.625" style="70" customWidth="1"/>
    <col min="5100" max="5344" width="8.5" style="70"/>
    <col min="5345" max="5345" width="5.25" style="70" customWidth="1"/>
    <col min="5346" max="5346" width="26.25" style="70" customWidth="1"/>
    <col min="5347" max="5347" width="5.5" style="70" customWidth="1"/>
    <col min="5348" max="5348" width="8.5" style="70"/>
    <col min="5349" max="5350" width="10.875" style="70" customWidth="1"/>
    <col min="5351" max="5351" width="15.25" style="70" customWidth="1"/>
    <col min="5352" max="5352" width="0.75" style="70" customWidth="1"/>
    <col min="5353" max="5355" width="0.625" style="70" customWidth="1"/>
    <col min="5356" max="5600" width="8.5" style="70"/>
    <col min="5601" max="5601" width="5.25" style="70" customWidth="1"/>
    <col min="5602" max="5602" width="26.25" style="70" customWidth="1"/>
    <col min="5603" max="5603" width="5.5" style="70" customWidth="1"/>
    <col min="5604" max="5604" width="8.5" style="70"/>
    <col min="5605" max="5606" width="10.875" style="70" customWidth="1"/>
    <col min="5607" max="5607" width="15.25" style="70" customWidth="1"/>
    <col min="5608" max="5608" width="0.75" style="70" customWidth="1"/>
    <col min="5609" max="5611" width="0.625" style="70" customWidth="1"/>
    <col min="5612" max="5856" width="8.5" style="70"/>
    <col min="5857" max="5857" width="5.25" style="70" customWidth="1"/>
    <col min="5858" max="5858" width="26.25" style="70" customWidth="1"/>
    <col min="5859" max="5859" width="5.5" style="70" customWidth="1"/>
    <col min="5860" max="5860" width="8.5" style="70"/>
    <col min="5861" max="5862" width="10.875" style="70" customWidth="1"/>
    <col min="5863" max="5863" width="15.25" style="70" customWidth="1"/>
    <col min="5864" max="5864" width="0.75" style="70" customWidth="1"/>
    <col min="5865" max="5867" width="0.625" style="70" customWidth="1"/>
    <col min="5868" max="6112" width="8.5" style="70"/>
    <col min="6113" max="6113" width="5.25" style="70" customWidth="1"/>
    <col min="6114" max="6114" width="26.25" style="70" customWidth="1"/>
    <col min="6115" max="6115" width="5.5" style="70" customWidth="1"/>
    <col min="6116" max="6116" width="8.5" style="70"/>
    <col min="6117" max="6118" width="10.875" style="70" customWidth="1"/>
    <col min="6119" max="6119" width="15.25" style="70" customWidth="1"/>
    <col min="6120" max="6120" width="0.75" style="70" customWidth="1"/>
    <col min="6121" max="6123" width="0.625" style="70" customWidth="1"/>
    <col min="6124" max="6368" width="8.5" style="70"/>
    <col min="6369" max="6369" width="5.25" style="70" customWidth="1"/>
    <col min="6370" max="6370" width="26.25" style="70" customWidth="1"/>
    <col min="6371" max="6371" width="5.5" style="70" customWidth="1"/>
    <col min="6372" max="6372" width="8.5" style="70"/>
    <col min="6373" max="6374" width="10.875" style="70" customWidth="1"/>
    <col min="6375" max="6375" width="15.25" style="70" customWidth="1"/>
    <col min="6376" max="6376" width="0.75" style="70" customWidth="1"/>
    <col min="6377" max="6379" width="0.625" style="70" customWidth="1"/>
    <col min="6380" max="6624" width="8.5" style="70"/>
    <col min="6625" max="6625" width="5.25" style="70" customWidth="1"/>
    <col min="6626" max="6626" width="26.25" style="70" customWidth="1"/>
    <col min="6627" max="6627" width="5.5" style="70" customWidth="1"/>
    <col min="6628" max="6628" width="8.5" style="70"/>
    <col min="6629" max="6630" width="10.875" style="70" customWidth="1"/>
    <col min="6631" max="6631" width="15.25" style="70" customWidth="1"/>
    <col min="6632" max="6632" width="0.75" style="70" customWidth="1"/>
    <col min="6633" max="6635" width="0.625" style="70" customWidth="1"/>
    <col min="6636" max="6880" width="8.5" style="70"/>
    <col min="6881" max="6881" width="5.25" style="70" customWidth="1"/>
    <col min="6882" max="6882" width="26.25" style="70" customWidth="1"/>
    <col min="6883" max="6883" width="5.5" style="70" customWidth="1"/>
    <col min="6884" max="6884" width="8.5" style="70"/>
    <col min="6885" max="6886" width="10.875" style="70" customWidth="1"/>
    <col min="6887" max="6887" width="15.25" style="70" customWidth="1"/>
    <col min="6888" max="6888" width="0.75" style="70" customWidth="1"/>
    <col min="6889" max="6891" width="0.625" style="70" customWidth="1"/>
    <col min="6892" max="7136" width="8.5" style="70"/>
    <col min="7137" max="7137" width="5.25" style="70" customWidth="1"/>
    <col min="7138" max="7138" width="26.25" style="70" customWidth="1"/>
    <col min="7139" max="7139" width="5.5" style="70" customWidth="1"/>
    <col min="7140" max="7140" width="8.5" style="70"/>
    <col min="7141" max="7142" width="10.875" style="70" customWidth="1"/>
    <col min="7143" max="7143" width="15.25" style="70" customWidth="1"/>
    <col min="7144" max="7144" width="0.75" style="70" customWidth="1"/>
    <col min="7145" max="7147" width="0.625" style="70" customWidth="1"/>
    <col min="7148" max="7392" width="8.5" style="70"/>
    <col min="7393" max="7393" width="5.25" style="70" customWidth="1"/>
    <col min="7394" max="7394" width="26.25" style="70" customWidth="1"/>
    <col min="7395" max="7395" width="5.5" style="70" customWidth="1"/>
    <col min="7396" max="7396" width="8.5" style="70"/>
    <col min="7397" max="7398" width="10.875" style="70" customWidth="1"/>
    <col min="7399" max="7399" width="15.25" style="70" customWidth="1"/>
    <col min="7400" max="7400" width="0.75" style="70" customWidth="1"/>
    <col min="7401" max="7403" width="0.625" style="70" customWidth="1"/>
    <col min="7404" max="7648" width="8.5" style="70"/>
    <col min="7649" max="7649" width="5.25" style="70" customWidth="1"/>
    <col min="7650" max="7650" width="26.25" style="70" customWidth="1"/>
    <col min="7651" max="7651" width="5.5" style="70" customWidth="1"/>
    <col min="7652" max="7652" width="8.5" style="70"/>
    <col min="7653" max="7654" width="10.875" style="70" customWidth="1"/>
    <col min="7655" max="7655" width="15.25" style="70" customWidth="1"/>
    <col min="7656" max="7656" width="0.75" style="70" customWidth="1"/>
    <col min="7657" max="7659" width="0.625" style="70" customWidth="1"/>
    <col min="7660" max="7904" width="8.5" style="70"/>
    <col min="7905" max="7905" width="5.25" style="70" customWidth="1"/>
    <col min="7906" max="7906" width="26.25" style="70" customWidth="1"/>
    <col min="7907" max="7907" width="5.5" style="70" customWidth="1"/>
    <col min="7908" max="7908" width="8.5" style="70"/>
    <col min="7909" max="7910" width="10.875" style="70" customWidth="1"/>
    <col min="7911" max="7911" width="15.25" style="70" customWidth="1"/>
    <col min="7912" max="7912" width="0.75" style="70" customWidth="1"/>
    <col min="7913" max="7915" width="0.625" style="70" customWidth="1"/>
    <col min="7916" max="8160" width="8.5" style="70"/>
    <col min="8161" max="8161" width="5.25" style="70" customWidth="1"/>
    <col min="8162" max="8162" width="26.25" style="70" customWidth="1"/>
    <col min="8163" max="8163" width="5.5" style="70" customWidth="1"/>
    <col min="8164" max="8164" width="8.5" style="70"/>
    <col min="8165" max="8166" width="10.875" style="70" customWidth="1"/>
    <col min="8167" max="8167" width="15.25" style="70" customWidth="1"/>
    <col min="8168" max="8168" width="0.75" style="70" customWidth="1"/>
    <col min="8169" max="8171" width="0.625" style="70" customWidth="1"/>
    <col min="8172" max="8416" width="8.5" style="70"/>
    <col min="8417" max="8417" width="5.25" style="70" customWidth="1"/>
    <col min="8418" max="8418" width="26.25" style="70" customWidth="1"/>
    <col min="8419" max="8419" width="5.5" style="70" customWidth="1"/>
    <col min="8420" max="8420" width="8.5" style="70"/>
    <col min="8421" max="8422" width="10.875" style="70" customWidth="1"/>
    <col min="8423" max="8423" width="15.25" style="70" customWidth="1"/>
    <col min="8424" max="8424" width="0.75" style="70" customWidth="1"/>
    <col min="8425" max="8427" width="0.625" style="70" customWidth="1"/>
    <col min="8428" max="8672" width="8.5" style="70"/>
    <col min="8673" max="8673" width="5.25" style="70" customWidth="1"/>
    <col min="8674" max="8674" width="26.25" style="70" customWidth="1"/>
    <col min="8675" max="8675" width="5.5" style="70" customWidth="1"/>
    <col min="8676" max="8676" width="8.5" style="70"/>
    <col min="8677" max="8678" width="10.875" style="70" customWidth="1"/>
    <col min="8679" max="8679" width="15.25" style="70" customWidth="1"/>
    <col min="8680" max="8680" width="0.75" style="70" customWidth="1"/>
    <col min="8681" max="8683" width="0.625" style="70" customWidth="1"/>
    <col min="8684" max="8928" width="8.5" style="70"/>
    <col min="8929" max="8929" width="5.25" style="70" customWidth="1"/>
    <col min="8930" max="8930" width="26.25" style="70" customWidth="1"/>
    <col min="8931" max="8931" width="5.5" style="70" customWidth="1"/>
    <col min="8932" max="8932" width="8.5" style="70"/>
    <col min="8933" max="8934" width="10.875" style="70" customWidth="1"/>
    <col min="8935" max="8935" width="15.25" style="70" customWidth="1"/>
    <col min="8936" max="8936" width="0.75" style="70" customWidth="1"/>
    <col min="8937" max="8939" width="0.625" style="70" customWidth="1"/>
    <col min="8940" max="9184" width="8.5" style="70"/>
    <col min="9185" max="9185" width="5.25" style="70" customWidth="1"/>
    <col min="9186" max="9186" width="26.25" style="70" customWidth="1"/>
    <col min="9187" max="9187" width="5.5" style="70" customWidth="1"/>
    <col min="9188" max="9188" width="8.5" style="70"/>
    <col min="9189" max="9190" width="10.875" style="70" customWidth="1"/>
    <col min="9191" max="9191" width="15.25" style="70" customWidth="1"/>
    <col min="9192" max="9192" width="0.75" style="70" customWidth="1"/>
    <col min="9193" max="9195" width="0.625" style="70" customWidth="1"/>
    <col min="9196" max="9440" width="8.5" style="70"/>
    <col min="9441" max="9441" width="5.25" style="70" customWidth="1"/>
    <col min="9442" max="9442" width="26.25" style="70" customWidth="1"/>
    <col min="9443" max="9443" width="5.5" style="70" customWidth="1"/>
    <col min="9444" max="9444" width="8.5" style="70"/>
    <col min="9445" max="9446" width="10.875" style="70" customWidth="1"/>
    <col min="9447" max="9447" width="15.25" style="70" customWidth="1"/>
    <col min="9448" max="9448" width="0.75" style="70" customWidth="1"/>
    <col min="9449" max="9451" width="0.625" style="70" customWidth="1"/>
    <col min="9452" max="9696" width="8.5" style="70"/>
    <col min="9697" max="9697" width="5.25" style="70" customWidth="1"/>
    <col min="9698" max="9698" width="26.25" style="70" customWidth="1"/>
    <col min="9699" max="9699" width="5.5" style="70" customWidth="1"/>
    <col min="9700" max="9700" width="8.5" style="70"/>
    <col min="9701" max="9702" width="10.875" style="70" customWidth="1"/>
    <col min="9703" max="9703" width="15.25" style="70" customWidth="1"/>
    <col min="9704" max="9704" width="0.75" style="70" customWidth="1"/>
    <col min="9705" max="9707" width="0.625" style="70" customWidth="1"/>
    <col min="9708" max="9952" width="8.5" style="70"/>
    <col min="9953" max="9953" width="5.25" style="70" customWidth="1"/>
    <col min="9954" max="9954" width="26.25" style="70" customWidth="1"/>
    <col min="9955" max="9955" width="5.5" style="70" customWidth="1"/>
    <col min="9956" max="9956" width="8.5" style="70"/>
    <col min="9957" max="9958" width="10.875" style="70" customWidth="1"/>
    <col min="9959" max="9959" width="15.25" style="70" customWidth="1"/>
    <col min="9960" max="9960" width="0.75" style="70" customWidth="1"/>
    <col min="9961" max="9963" width="0.625" style="70" customWidth="1"/>
    <col min="9964" max="10208" width="8.5" style="70"/>
    <col min="10209" max="10209" width="5.25" style="70" customWidth="1"/>
    <col min="10210" max="10210" width="26.25" style="70" customWidth="1"/>
    <col min="10211" max="10211" width="5.5" style="70" customWidth="1"/>
    <col min="10212" max="10212" width="8.5" style="70"/>
    <col min="10213" max="10214" width="10.875" style="70" customWidth="1"/>
    <col min="10215" max="10215" width="15.25" style="70" customWidth="1"/>
    <col min="10216" max="10216" width="0.75" style="70" customWidth="1"/>
    <col min="10217" max="10219" width="0.625" style="70" customWidth="1"/>
    <col min="10220" max="10464" width="8.5" style="70"/>
    <col min="10465" max="10465" width="5.25" style="70" customWidth="1"/>
    <col min="10466" max="10466" width="26.25" style="70" customWidth="1"/>
    <col min="10467" max="10467" width="5.5" style="70" customWidth="1"/>
    <col min="10468" max="10468" width="8.5" style="70"/>
    <col min="10469" max="10470" width="10.875" style="70" customWidth="1"/>
    <col min="10471" max="10471" width="15.25" style="70" customWidth="1"/>
    <col min="10472" max="10472" width="0.75" style="70" customWidth="1"/>
    <col min="10473" max="10475" width="0.625" style="70" customWidth="1"/>
    <col min="10476" max="10720" width="8.5" style="70"/>
    <col min="10721" max="10721" width="5.25" style="70" customWidth="1"/>
    <col min="10722" max="10722" width="26.25" style="70" customWidth="1"/>
    <col min="10723" max="10723" width="5.5" style="70" customWidth="1"/>
    <col min="10724" max="10724" width="8.5" style="70"/>
    <col min="10725" max="10726" width="10.875" style="70" customWidth="1"/>
    <col min="10727" max="10727" width="15.25" style="70" customWidth="1"/>
    <col min="10728" max="10728" width="0.75" style="70" customWidth="1"/>
    <col min="10729" max="10731" width="0.625" style="70" customWidth="1"/>
    <col min="10732" max="10976" width="8.5" style="70"/>
    <col min="10977" max="10977" width="5.25" style="70" customWidth="1"/>
    <col min="10978" max="10978" width="26.25" style="70" customWidth="1"/>
    <col min="10979" max="10979" width="5.5" style="70" customWidth="1"/>
    <col min="10980" max="10980" width="8.5" style="70"/>
    <col min="10981" max="10982" width="10.875" style="70" customWidth="1"/>
    <col min="10983" max="10983" width="15.25" style="70" customWidth="1"/>
    <col min="10984" max="10984" width="0.75" style="70" customWidth="1"/>
    <col min="10985" max="10987" width="0.625" style="70" customWidth="1"/>
    <col min="10988" max="11232" width="8.5" style="70"/>
    <col min="11233" max="11233" width="5.25" style="70" customWidth="1"/>
    <col min="11234" max="11234" width="26.25" style="70" customWidth="1"/>
    <col min="11235" max="11235" width="5.5" style="70" customWidth="1"/>
    <col min="11236" max="11236" width="8.5" style="70"/>
    <col min="11237" max="11238" width="10.875" style="70" customWidth="1"/>
    <col min="11239" max="11239" width="15.25" style="70" customWidth="1"/>
    <col min="11240" max="11240" width="0.75" style="70" customWidth="1"/>
    <col min="11241" max="11243" width="0.625" style="70" customWidth="1"/>
    <col min="11244" max="11488" width="8.5" style="70"/>
    <col min="11489" max="11489" width="5.25" style="70" customWidth="1"/>
    <col min="11490" max="11490" width="26.25" style="70" customWidth="1"/>
    <col min="11491" max="11491" width="5.5" style="70" customWidth="1"/>
    <col min="11492" max="11492" width="8.5" style="70"/>
    <col min="11493" max="11494" width="10.875" style="70" customWidth="1"/>
    <col min="11495" max="11495" width="15.25" style="70" customWidth="1"/>
    <col min="11496" max="11496" width="0.75" style="70" customWidth="1"/>
    <col min="11497" max="11499" width="0.625" style="70" customWidth="1"/>
    <col min="11500" max="11744" width="8.5" style="70"/>
    <col min="11745" max="11745" width="5.25" style="70" customWidth="1"/>
    <col min="11746" max="11746" width="26.25" style="70" customWidth="1"/>
    <col min="11747" max="11747" width="5.5" style="70" customWidth="1"/>
    <col min="11748" max="11748" width="8.5" style="70"/>
    <col min="11749" max="11750" width="10.875" style="70" customWidth="1"/>
    <col min="11751" max="11751" width="15.25" style="70" customWidth="1"/>
    <col min="11752" max="11752" width="0.75" style="70" customWidth="1"/>
    <col min="11753" max="11755" width="0.625" style="70" customWidth="1"/>
    <col min="11756" max="12000" width="8.5" style="70"/>
    <col min="12001" max="12001" width="5.25" style="70" customWidth="1"/>
    <col min="12002" max="12002" width="26.25" style="70" customWidth="1"/>
    <col min="12003" max="12003" width="5.5" style="70" customWidth="1"/>
    <col min="12004" max="12004" width="8.5" style="70"/>
    <col min="12005" max="12006" width="10.875" style="70" customWidth="1"/>
    <col min="12007" max="12007" width="15.25" style="70" customWidth="1"/>
    <col min="12008" max="12008" width="0.75" style="70" customWidth="1"/>
    <col min="12009" max="12011" width="0.625" style="70" customWidth="1"/>
    <col min="12012" max="12256" width="8.5" style="70"/>
    <col min="12257" max="12257" width="5.25" style="70" customWidth="1"/>
    <col min="12258" max="12258" width="26.25" style="70" customWidth="1"/>
    <col min="12259" max="12259" width="5.5" style="70" customWidth="1"/>
    <col min="12260" max="12260" width="8.5" style="70"/>
    <col min="12261" max="12262" width="10.875" style="70" customWidth="1"/>
    <col min="12263" max="12263" width="15.25" style="70" customWidth="1"/>
    <col min="12264" max="12264" width="0.75" style="70" customWidth="1"/>
    <col min="12265" max="12267" width="0.625" style="70" customWidth="1"/>
    <col min="12268" max="12512" width="8.5" style="70"/>
    <col min="12513" max="12513" width="5.25" style="70" customWidth="1"/>
    <col min="12514" max="12514" width="26.25" style="70" customWidth="1"/>
    <col min="12515" max="12515" width="5.5" style="70" customWidth="1"/>
    <col min="12516" max="12516" width="8.5" style="70"/>
    <col min="12517" max="12518" width="10.875" style="70" customWidth="1"/>
    <col min="12519" max="12519" width="15.25" style="70" customWidth="1"/>
    <col min="12520" max="12520" width="0.75" style="70" customWidth="1"/>
    <col min="12521" max="12523" width="0.625" style="70" customWidth="1"/>
    <col min="12524" max="12768" width="8.5" style="70"/>
    <col min="12769" max="12769" width="5.25" style="70" customWidth="1"/>
    <col min="12770" max="12770" width="26.25" style="70" customWidth="1"/>
    <col min="12771" max="12771" width="5.5" style="70" customWidth="1"/>
    <col min="12772" max="12772" width="8.5" style="70"/>
    <col min="12773" max="12774" width="10.875" style="70" customWidth="1"/>
    <col min="12775" max="12775" width="15.25" style="70" customWidth="1"/>
    <col min="12776" max="12776" width="0.75" style="70" customWidth="1"/>
    <col min="12777" max="12779" width="0.625" style="70" customWidth="1"/>
    <col min="12780" max="13024" width="8.5" style="70"/>
    <col min="13025" max="13025" width="5.25" style="70" customWidth="1"/>
    <col min="13026" max="13026" width="26.25" style="70" customWidth="1"/>
    <col min="13027" max="13027" width="5.5" style="70" customWidth="1"/>
    <col min="13028" max="13028" width="8.5" style="70"/>
    <col min="13029" max="13030" width="10.875" style="70" customWidth="1"/>
    <col min="13031" max="13031" width="15.25" style="70" customWidth="1"/>
    <col min="13032" max="13032" width="0.75" style="70" customWidth="1"/>
    <col min="13033" max="13035" width="0.625" style="70" customWidth="1"/>
    <col min="13036" max="13280" width="8.5" style="70"/>
    <col min="13281" max="13281" width="5.25" style="70" customWidth="1"/>
    <col min="13282" max="13282" width="26.25" style="70" customWidth="1"/>
    <col min="13283" max="13283" width="5.5" style="70" customWidth="1"/>
    <col min="13284" max="13284" width="8.5" style="70"/>
    <col min="13285" max="13286" width="10.875" style="70" customWidth="1"/>
    <col min="13287" max="13287" width="15.25" style="70" customWidth="1"/>
    <col min="13288" max="13288" width="0.75" style="70" customWidth="1"/>
    <col min="13289" max="13291" width="0.625" style="70" customWidth="1"/>
    <col min="13292" max="13536" width="8.5" style="70"/>
    <col min="13537" max="13537" width="5.25" style="70" customWidth="1"/>
    <col min="13538" max="13538" width="26.25" style="70" customWidth="1"/>
    <col min="13539" max="13539" width="5.5" style="70" customWidth="1"/>
    <col min="13540" max="13540" width="8.5" style="70"/>
    <col min="13541" max="13542" width="10.875" style="70" customWidth="1"/>
    <col min="13543" max="13543" width="15.25" style="70" customWidth="1"/>
    <col min="13544" max="13544" width="0.75" style="70" customWidth="1"/>
    <col min="13545" max="13547" width="0.625" style="70" customWidth="1"/>
    <col min="13548" max="13792" width="8.5" style="70"/>
    <col min="13793" max="13793" width="5.25" style="70" customWidth="1"/>
    <col min="13794" max="13794" width="26.25" style="70" customWidth="1"/>
    <col min="13795" max="13795" width="5.5" style="70" customWidth="1"/>
    <col min="13796" max="13796" width="8.5" style="70"/>
    <col min="13797" max="13798" width="10.875" style="70" customWidth="1"/>
    <col min="13799" max="13799" width="15.25" style="70" customWidth="1"/>
    <col min="13800" max="13800" width="0.75" style="70" customWidth="1"/>
    <col min="13801" max="13803" width="0.625" style="70" customWidth="1"/>
    <col min="13804" max="14048" width="8.5" style="70"/>
    <col min="14049" max="14049" width="5.25" style="70" customWidth="1"/>
    <col min="14050" max="14050" width="26.25" style="70" customWidth="1"/>
    <col min="14051" max="14051" width="5.5" style="70" customWidth="1"/>
    <col min="14052" max="14052" width="8.5" style="70"/>
    <col min="14053" max="14054" width="10.875" style="70" customWidth="1"/>
    <col min="14055" max="14055" width="15.25" style="70" customWidth="1"/>
    <col min="14056" max="14056" width="0.75" style="70" customWidth="1"/>
    <col min="14057" max="14059" width="0.625" style="70" customWidth="1"/>
    <col min="14060" max="14304" width="8.5" style="70"/>
    <col min="14305" max="14305" width="5.25" style="70" customWidth="1"/>
    <col min="14306" max="14306" width="26.25" style="70" customWidth="1"/>
    <col min="14307" max="14307" width="5.5" style="70" customWidth="1"/>
    <col min="14308" max="14308" width="8.5" style="70"/>
    <col min="14309" max="14310" width="10.875" style="70" customWidth="1"/>
    <col min="14311" max="14311" width="15.25" style="70" customWidth="1"/>
    <col min="14312" max="14312" width="0.75" style="70" customWidth="1"/>
    <col min="14313" max="14315" width="0.625" style="70" customWidth="1"/>
    <col min="14316" max="14560" width="8.5" style="70"/>
    <col min="14561" max="14561" width="5.25" style="70" customWidth="1"/>
    <col min="14562" max="14562" width="26.25" style="70" customWidth="1"/>
    <col min="14563" max="14563" width="5.5" style="70" customWidth="1"/>
    <col min="14564" max="14564" width="8.5" style="70"/>
    <col min="14565" max="14566" width="10.875" style="70" customWidth="1"/>
    <col min="14567" max="14567" width="15.25" style="70" customWidth="1"/>
    <col min="14568" max="14568" width="0.75" style="70" customWidth="1"/>
    <col min="14569" max="14571" width="0.625" style="70" customWidth="1"/>
    <col min="14572" max="14816" width="8.5" style="70"/>
    <col min="14817" max="14817" width="5.25" style="70" customWidth="1"/>
    <col min="14818" max="14818" width="26.25" style="70" customWidth="1"/>
    <col min="14819" max="14819" width="5.5" style="70" customWidth="1"/>
    <col min="14820" max="14820" width="8.5" style="70"/>
    <col min="14821" max="14822" width="10.875" style="70" customWidth="1"/>
    <col min="14823" max="14823" width="15.25" style="70" customWidth="1"/>
    <col min="14824" max="14824" width="0.75" style="70" customWidth="1"/>
    <col min="14825" max="14827" width="0.625" style="70" customWidth="1"/>
    <col min="14828" max="15072" width="8.5" style="70"/>
    <col min="15073" max="15073" width="5.25" style="70" customWidth="1"/>
    <col min="15074" max="15074" width="26.25" style="70" customWidth="1"/>
    <col min="15075" max="15075" width="5.5" style="70" customWidth="1"/>
    <col min="15076" max="15076" width="8.5" style="70"/>
    <col min="15077" max="15078" width="10.875" style="70" customWidth="1"/>
    <col min="15079" max="15079" width="15.25" style="70" customWidth="1"/>
    <col min="15080" max="15080" width="0.75" style="70" customWidth="1"/>
    <col min="15081" max="15083" width="0.625" style="70" customWidth="1"/>
    <col min="15084" max="15328" width="8.5" style="70"/>
    <col min="15329" max="15329" width="5.25" style="70" customWidth="1"/>
    <col min="15330" max="15330" width="26.25" style="70" customWidth="1"/>
    <col min="15331" max="15331" width="5.5" style="70" customWidth="1"/>
    <col min="15332" max="15332" width="8.5" style="70"/>
    <col min="15333" max="15334" width="10.875" style="70" customWidth="1"/>
    <col min="15335" max="15335" width="15.25" style="70" customWidth="1"/>
    <col min="15336" max="15336" width="0.75" style="70" customWidth="1"/>
    <col min="15337" max="15339" width="0.625" style="70" customWidth="1"/>
    <col min="15340" max="15584" width="8.5" style="70"/>
    <col min="15585" max="15585" width="5.25" style="70" customWidth="1"/>
    <col min="15586" max="15586" width="26.25" style="70" customWidth="1"/>
    <col min="15587" max="15587" width="5.5" style="70" customWidth="1"/>
    <col min="15588" max="15588" width="8.5" style="70"/>
    <col min="15589" max="15590" width="10.875" style="70" customWidth="1"/>
    <col min="15591" max="15591" width="15.25" style="70" customWidth="1"/>
    <col min="15592" max="15592" width="0.75" style="70" customWidth="1"/>
    <col min="15593" max="15595" width="0.625" style="70" customWidth="1"/>
    <col min="15596" max="15840" width="8.5" style="70"/>
    <col min="15841" max="15841" width="5.25" style="70" customWidth="1"/>
    <col min="15842" max="15842" width="26.25" style="70" customWidth="1"/>
    <col min="15843" max="15843" width="5.5" style="70" customWidth="1"/>
    <col min="15844" max="15844" width="8.5" style="70"/>
    <col min="15845" max="15846" width="10.875" style="70" customWidth="1"/>
    <col min="15847" max="15847" width="15.25" style="70" customWidth="1"/>
    <col min="15848" max="15848" width="0.75" style="70" customWidth="1"/>
    <col min="15849" max="15851" width="0.625" style="70" customWidth="1"/>
    <col min="15852" max="16096" width="8.5" style="70"/>
    <col min="16097" max="16097" width="5.25" style="70" customWidth="1"/>
    <col min="16098" max="16098" width="26.25" style="70" customWidth="1"/>
    <col min="16099" max="16099" width="5.5" style="70" customWidth="1"/>
    <col min="16100" max="16100" width="8.5" style="70"/>
    <col min="16101" max="16102" width="10.875" style="70" customWidth="1"/>
    <col min="16103" max="16103" width="15.25" style="70" customWidth="1"/>
    <col min="16104" max="16104" width="0.75" style="70" customWidth="1"/>
    <col min="16105" max="16107" width="0.625" style="70" customWidth="1"/>
    <col min="16108" max="16384" width="8.5" style="70"/>
  </cols>
  <sheetData>
    <row r="1" spans="1:38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47"/>
      <c r="W1" s="99"/>
      <c r="X1" s="99"/>
      <c r="Y1" s="99"/>
      <c r="Z1" s="99"/>
      <c r="AA1" s="100"/>
    </row>
    <row r="2" spans="1:38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47"/>
    </row>
    <row r="3" spans="1:38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47"/>
      <c r="Q3" s="386" t="s">
        <v>0</v>
      </c>
      <c r="R3" s="387"/>
      <c r="S3" s="387"/>
      <c r="T3" s="387"/>
      <c r="U3" s="387"/>
      <c r="V3" s="387"/>
      <c r="W3" s="387"/>
      <c r="X3" s="387"/>
      <c r="Y3" s="387"/>
      <c r="Z3" s="387"/>
      <c r="AA3" s="387"/>
    </row>
    <row r="4" spans="1:38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48"/>
      <c r="Q4" s="389">
        <v>23</v>
      </c>
      <c r="R4" s="387"/>
      <c r="S4" s="387"/>
      <c r="T4" s="387"/>
      <c r="U4" s="387"/>
      <c r="V4" s="387"/>
      <c r="W4" s="387"/>
      <c r="X4" s="387"/>
      <c r="Y4" s="387"/>
      <c r="Z4" s="387"/>
      <c r="AA4" s="387"/>
    </row>
    <row r="5" spans="1:38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93" t="s">
        <v>4</v>
      </c>
      <c r="K5" s="393"/>
      <c r="L5" s="74"/>
      <c r="M5" s="394" t="s">
        <v>3152</v>
      </c>
      <c r="N5" s="394"/>
      <c r="O5" s="394"/>
      <c r="P5" s="96"/>
      <c r="Q5" s="395" t="s">
        <v>2</v>
      </c>
      <c r="R5" s="396"/>
      <c r="S5" s="396"/>
      <c r="T5" s="396"/>
      <c r="U5" s="396"/>
      <c r="V5" s="396"/>
      <c r="W5" s="396"/>
      <c r="X5" s="396"/>
      <c r="Y5" s="4" t="s">
        <v>1361</v>
      </c>
      <c r="Z5" s="380">
        <v>45869</v>
      </c>
      <c r="AA5" s="381"/>
      <c r="AB5"/>
      <c r="AC5" s="181"/>
      <c r="AD5" s="181"/>
      <c r="AE5" s="181"/>
      <c r="AF5" s="181"/>
    </row>
    <row r="6" spans="1:38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1" t="s">
        <v>9</v>
      </c>
      <c r="J6" s="51" t="s">
        <v>3068</v>
      </c>
      <c r="K6" s="50" t="s">
        <v>11</v>
      </c>
      <c r="L6" s="47"/>
      <c r="M6" s="1" t="s">
        <v>1423</v>
      </c>
      <c r="N6" s="1" t="s">
        <v>1424</v>
      </c>
      <c r="O6" s="1" t="s">
        <v>1425</v>
      </c>
      <c r="P6" s="97"/>
      <c r="Q6" s="5" t="s">
        <v>5</v>
      </c>
      <c r="R6" s="6" t="s">
        <v>1362</v>
      </c>
      <c r="S6" s="6" t="s">
        <v>7</v>
      </c>
      <c r="T6" s="6" t="s">
        <v>1363</v>
      </c>
      <c r="U6" s="6" t="s">
        <v>1364</v>
      </c>
      <c r="V6" s="6" t="s">
        <v>1365</v>
      </c>
      <c r="W6" s="6" t="s">
        <v>1366</v>
      </c>
      <c r="X6" s="214" t="s">
        <v>1367</v>
      </c>
      <c r="Y6" s="214" t="s">
        <v>1368</v>
      </c>
      <c r="Z6" s="214" t="s">
        <v>1369</v>
      </c>
      <c r="AA6" s="7" t="s">
        <v>1370</v>
      </c>
      <c r="AB6" s="36"/>
      <c r="AH6" s="222">
        <f>AJ7</f>
        <v>0.78947500000000004</v>
      </c>
      <c r="AI6" s="104">
        <f>AJ9</f>
        <v>2.0253331084335552E-2</v>
      </c>
      <c r="AJ6" s="197" t="s">
        <v>1513</v>
      </c>
      <c r="AL6" s="68" t="s">
        <v>3110</v>
      </c>
    </row>
    <row r="7" spans="1:38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>
        <v>383773907</v>
      </c>
      <c r="K7" s="53" t="s">
        <v>15</v>
      </c>
      <c r="L7" s="73"/>
      <c r="M7" s="39">
        <v>1</v>
      </c>
      <c r="N7" s="39">
        <v>10447699.999999978</v>
      </c>
      <c r="O7" s="39">
        <v>295207300</v>
      </c>
      <c r="P7" s="98"/>
      <c r="Q7" s="8" t="s">
        <v>12</v>
      </c>
      <c r="R7" s="9" t="s">
        <v>13</v>
      </c>
      <c r="S7" s="10" t="s">
        <v>14</v>
      </c>
      <c r="T7" s="11">
        <v>1</v>
      </c>
      <c r="U7" s="11"/>
      <c r="V7" s="11">
        <f>V8+V377+V407+V447+V451+V472+V492+V495+V496+V498</f>
        <v>383773907</v>
      </c>
      <c r="W7" s="11">
        <f>IF(Y7=0,0,1)</f>
        <v>1</v>
      </c>
      <c r="X7" s="11">
        <f>IF(Z7=0,0,1)</f>
        <v>1</v>
      </c>
      <c r="Y7" s="11">
        <f>Y8+Y377+Y407+Y447+Y451+Y472+Y492+Y495+Y496+Y498</f>
        <v>7772700.0000000019</v>
      </c>
      <c r="Z7" s="11">
        <f>ROUNDDOWN((Z8+Z377+Z407+Z447+Z451+Z472+Z492+Z496+Z498+(Z8+Z377+Z407+Z447+Z451+Z472+Z492)*0.1095000004)/1000,1)*1000</f>
        <v>302980000</v>
      </c>
      <c r="AA7" s="12" t="s">
        <v>15</v>
      </c>
      <c r="AB7" s="232"/>
      <c r="AC7" s="182"/>
      <c r="AD7" s="182"/>
      <c r="AE7" s="182"/>
      <c r="AF7" s="182"/>
      <c r="AG7" s="101"/>
      <c r="AH7" s="187"/>
      <c r="AI7" s="126">
        <f>V7</f>
        <v>383773907</v>
      </c>
      <c r="AJ7" s="201">
        <f>ROUND(Z7/AI7,6)</f>
        <v>0.78947500000000004</v>
      </c>
    </row>
    <row r="8" spans="1:38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>
        <v>291889770.98000002</v>
      </c>
      <c r="K8" s="86" t="s">
        <v>15</v>
      </c>
      <c r="L8" s="73"/>
      <c r="M8" s="42">
        <v>1</v>
      </c>
      <c r="N8" s="42">
        <v>8926573.870000001</v>
      </c>
      <c r="O8" s="42">
        <v>221666108.98000002</v>
      </c>
      <c r="P8" s="98"/>
      <c r="Q8" s="13" t="s">
        <v>1371</v>
      </c>
      <c r="R8" s="14" t="s">
        <v>18</v>
      </c>
      <c r="S8" s="15" t="s">
        <v>14</v>
      </c>
      <c r="T8" s="16">
        <v>1</v>
      </c>
      <c r="U8" s="16"/>
      <c r="V8" s="16">
        <f>V9+V38+V133+V177+V202+V220+V237+V327+V369</f>
        <v>291889770.98000008</v>
      </c>
      <c r="W8" s="16">
        <f t="shared" ref="W8:X9" si="0">IF(Y8=0,0,1)</f>
        <v>1</v>
      </c>
      <c r="X8" s="16">
        <f t="shared" si="0"/>
        <v>1</v>
      </c>
      <c r="Y8" s="16">
        <f>Y9+Y38+Y133+Y177+Y202+Y220+Y237+Y327+Y369</f>
        <v>5878815.3200000003</v>
      </c>
      <c r="Z8" s="16">
        <f>Z9+Z38+Z133+Z177+Z202+Z220+Z237+Z327+Z369</f>
        <v>227544924.30000001</v>
      </c>
      <c r="AA8" s="17" t="s">
        <v>15</v>
      </c>
      <c r="AB8" s="40" t="s">
        <v>16</v>
      </c>
      <c r="AC8" s="183"/>
      <c r="AD8" s="183"/>
      <c r="AE8" s="183"/>
      <c r="AF8" s="183"/>
      <c r="AG8" s="101"/>
      <c r="AH8" s="188"/>
      <c r="AJ8" s="124" t="s">
        <v>1514</v>
      </c>
    </row>
    <row r="9" spans="1:38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>
        <v>90137193.75</v>
      </c>
      <c r="K9" s="80" t="s">
        <v>15</v>
      </c>
      <c r="L9" s="73"/>
      <c r="M9" s="45">
        <v>1</v>
      </c>
      <c r="N9" s="45">
        <v>313600</v>
      </c>
      <c r="O9" s="45">
        <v>74940981.010000005</v>
      </c>
      <c r="P9" s="98"/>
      <c r="Q9" s="18" t="s">
        <v>1372</v>
      </c>
      <c r="R9" s="19" t="s">
        <v>20</v>
      </c>
      <c r="S9" s="20" t="s">
        <v>14</v>
      </c>
      <c r="T9" s="21">
        <v>1</v>
      </c>
      <c r="U9" s="21"/>
      <c r="V9" s="21">
        <f>SUMIFS(AD:AD,AE:AE,AE9)</f>
        <v>90137193.75000003</v>
      </c>
      <c r="W9" s="21">
        <f t="shared" si="0"/>
        <v>1</v>
      </c>
      <c r="X9" s="21">
        <f t="shared" si="0"/>
        <v>1</v>
      </c>
      <c r="Y9" s="21">
        <f>SUMIFS(Y:Y,AF:AF,AE9)</f>
        <v>760940.50999999954</v>
      </c>
      <c r="Z9" s="21">
        <f>SUMIFS(Z:Z,AF:AF,AE9)</f>
        <v>75701921.520000011</v>
      </c>
      <c r="AA9" s="22" t="s">
        <v>15</v>
      </c>
      <c r="AB9" s="43" t="s">
        <v>16</v>
      </c>
      <c r="AC9" s="184">
        <f>IF(U9=0,T9,U9)</f>
        <v>1</v>
      </c>
      <c r="AD9" s="184"/>
      <c r="AE9" s="181">
        <v>1.1000000000000001</v>
      </c>
      <c r="AF9" s="181"/>
      <c r="AG9" s="101"/>
      <c r="AH9" s="189" t="s">
        <v>3061</v>
      </c>
      <c r="AJ9" s="125">
        <f>Y7/AI7</f>
        <v>2.0253331084335552E-2</v>
      </c>
      <c r="AL9" s="101" t="s">
        <v>3062</v>
      </c>
    </row>
    <row r="10" spans="1:38" s="69" customFormat="1" ht="39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 t="s">
        <v>15</v>
      </c>
      <c r="I10" s="75">
        <v>193.12</v>
      </c>
      <c r="J10" s="75">
        <v>105184.74</v>
      </c>
      <c r="K10" s="91" t="s">
        <v>24</v>
      </c>
      <c r="L10" s="73"/>
      <c r="M10" s="46">
        <v>408.7</v>
      </c>
      <c r="N10" s="46">
        <v>0</v>
      </c>
      <c r="O10" s="46">
        <v>78928.14</v>
      </c>
      <c r="P10" s="98"/>
      <c r="Q10" s="23" t="s">
        <v>1421</v>
      </c>
      <c r="R10" s="24" t="s">
        <v>22</v>
      </c>
      <c r="S10" s="25" t="s">
        <v>23</v>
      </c>
      <c r="T10" s="26">
        <v>544.66</v>
      </c>
      <c r="U10" s="26">
        <v>544.66</v>
      </c>
      <c r="V10" s="26">
        <v>193.12</v>
      </c>
      <c r="W10" s="127">
        <f>AH10-M10</f>
        <v>0</v>
      </c>
      <c r="X10" s="127">
        <f>W10+M10</f>
        <v>408.7</v>
      </c>
      <c r="Y10" s="127">
        <f t="shared" ref="Y10:Y37" si="1">Z10-O10</f>
        <v>0</v>
      </c>
      <c r="Z10" s="127">
        <f>ROUND(V10*X10,2)</f>
        <v>78928.14</v>
      </c>
      <c r="AA10" s="33" t="s">
        <v>15</v>
      </c>
      <c r="AB10" s="36" t="s">
        <v>16</v>
      </c>
      <c r="AC10" s="181">
        <f>IF(U10="",T10,U10)</f>
        <v>544.66</v>
      </c>
      <c r="AD10" s="181">
        <f t="shared" ref="AD10:AD37" si="2">ROUND(V10*AC10,2)</f>
        <v>105184.74</v>
      </c>
      <c r="AE10" s="181">
        <v>1.1000000000000001</v>
      </c>
      <c r="AF10" s="181">
        <v>1.1000000000000001</v>
      </c>
      <c r="AG10" s="101" t="str">
        <f>IF(X10&gt;AI10,"超估","")</f>
        <v/>
      </c>
      <c r="AH10" s="192">
        <v>408.7</v>
      </c>
      <c r="AI10" s="69">
        <f>IF(G10=0,IF(F10=0,IF(E10=0,D10,E10),F10),G10)</f>
        <v>544.66</v>
      </c>
    </row>
    <row r="11" spans="1:38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 t="s">
        <v>15</v>
      </c>
      <c r="I11" s="75">
        <v>1046.22</v>
      </c>
      <c r="J11" s="75">
        <v>7417092.9900000002</v>
      </c>
      <c r="K11" s="91" t="s">
        <v>27</v>
      </c>
      <c r="L11" s="73"/>
      <c r="M11" s="46">
        <v>6531.11</v>
      </c>
      <c r="N11" s="46">
        <v>0</v>
      </c>
      <c r="O11" s="46">
        <v>6832977.9000000004</v>
      </c>
      <c r="P11" s="98"/>
      <c r="Q11" s="23" t="s">
        <v>1426</v>
      </c>
      <c r="R11" s="24" t="s">
        <v>26</v>
      </c>
      <c r="S11" s="25" t="s">
        <v>23</v>
      </c>
      <c r="T11" s="26">
        <v>7089.42</v>
      </c>
      <c r="U11" s="26">
        <v>7089.42</v>
      </c>
      <c r="V11" s="26">
        <v>1046.22</v>
      </c>
      <c r="W11" s="243">
        <f>AH11-M11</f>
        <v>35.5</v>
      </c>
      <c r="X11" s="26">
        <f t="shared" ref="X11:X74" si="3">W11+M11</f>
        <v>6566.61</v>
      </c>
      <c r="Y11" s="26">
        <f t="shared" si="1"/>
        <v>37140.80999999959</v>
      </c>
      <c r="Z11" s="26">
        <f t="shared" ref="Z11:Z74" si="4">ROUND(V11*X11,2)</f>
        <v>6870118.71</v>
      </c>
      <c r="AA11" s="33" t="s">
        <v>15</v>
      </c>
      <c r="AB11" s="36" t="s">
        <v>16</v>
      </c>
      <c r="AC11" s="181">
        <f t="shared" ref="AC11:AC74" si="5">IF(U11="",T11,U11)</f>
        <v>7089.42</v>
      </c>
      <c r="AD11" s="181">
        <f t="shared" si="2"/>
        <v>7417092.9900000002</v>
      </c>
      <c r="AE11" s="181">
        <v>1.1000000000000001</v>
      </c>
      <c r="AF11" s="181">
        <v>1.1000000000000001</v>
      </c>
      <c r="AG11" s="101" t="str">
        <f t="shared" ref="AG11:AG74" si="6">IF(X11&gt;AI11,"超估","")</f>
        <v/>
      </c>
      <c r="AH11" s="193">
        <f>6531.11+35.5</f>
        <v>6566.61</v>
      </c>
      <c r="AI11" s="69">
        <f t="shared" ref="AI11:AI74" si="7">IF(G11=0,IF(F11=0,IF(E11=0,D11,E11),F11),G11)</f>
        <v>7089.42</v>
      </c>
    </row>
    <row r="12" spans="1:38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 t="s">
        <v>15</v>
      </c>
      <c r="I12" s="75">
        <v>6200</v>
      </c>
      <c r="J12" s="75">
        <v>28619200</v>
      </c>
      <c r="K12" s="91" t="s">
        <v>31</v>
      </c>
      <c r="L12" s="73"/>
      <c r="M12" s="46">
        <v>4610.7</v>
      </c>
      <c r="N12" s="46">
        <v>0</v>
      </c>
      <c r="O12" s="46">
        <v>28586340</v>
      </c>
      <c r="P12" s="98"/>
      <c r="Q12" s="23" t="s">
        <v>1402</v>
      </c>
      <c r="R12" s="24" t="s">
        <v>29</v>
      </c>
      <c r="S12" s="25" t="s">
        <v>30</v>
      </c>
      <c r="T12" s="26">
        <v>4616</v>
      </c>
      <c r="U12" s="26">
        <v>4616</v>
      </c>
      <c r="V12" s="26">
        <v>6200</v>
      </c>
      <c r="W12" s="127">
        <f t="shared" ref="W12:W75" si="8">AH12-M12</f>
        <v>0</v>
      </c>
      <c r="X12" s="127">
        <f t="shared" si="3"/>
        <v>4610.7</v>
      </c>
      <c r="Y12" s="127">
        <f t="shared" si="1"/>
        <v>0</v>
      </c>
      <c r="Z12" s="127">
        <f t="shared" si="4"/>
        <v>28586340</v>
      </c>
      <c r="AA12" s="33" t="s">
        <v>15</v>
      </c>
      <c r="AB12" s="36" t="s">
        <v>16</v>
      </c>
      <c r="AC12" s="181">
        <f t="shared" si="5"/>
        <v>4616</v>
      </c>
      <c r="AD12" s="181">
        <f t="shared" si="2"/>
        <v>28619200</v>
      </c>
      <c r="AE12" s="181">
        <v>1.1000000000000001</v>
      </c>
      <c r="AF12" s="181">
        <v>1.1000000000000001</v>
      </c>
      <c r="AG12" s="101" t="str">
        <f t="shared" si="6"/>
        <v/>
      </c>
      <c r="AH12" s="192">
        <v>4610.7</v>
      </c>
      <c r="AI12" s="69">
        <f t="shared" si="7"/>
        <v>4616</v>
      </c>
    </row>
    <row r="13" spans="1:38" s="69" customFormat="1" ht="58.5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 t="s">
        <v>15</v>
      </c>
      <c r="I13" s="75">
        <v>48.28</v>
      </c>
      <c r="J13" s="75">
        <v>1533324.52</v>
      </c>
      <c r="K13" s="91" t="s">
        <v>35</v>
      </c>
      <c r="L13" s="73"/>
      <c r="M13" s="46">
        <v>28942.799999999999</v>
      </c>
      <c r="N13" s="46">
        <v>0</v>
      </c>
      <c r="O13" s="46">
        <v>1397358.38</v>
      </c>
      <c r="P13" s="98"/>
      <c r="Q13" s="23" t="s">
        <v>1373</v>
      </c>
      <c r="R13" s="24" t="s">
        <v>33</v>
      </c>
      <c r="S13" s="25" t="s">
        <v>34</v>
      </c>
      <c r="T13" s="26">
        <v>29759</v>
      </c>
      <c r="U13" s="26">
        <v>31759</v>
      </c>
      <c r="V13" s="26">
        <v>48.28</v>
      </c>
      <c r="W13" s="128">
        <f>AH13-M13</f>
        <v>0</v>
      </c>
      <c r="X13" s="127">
        <f>W13+M13</f>
        <v>28942.799999999999</v>
      </c>
      <c r="Y13" s="127">
        <f t="shared" si="1"/>
        <v>0</v>
      </c>
      <c r="Z13" s="127">
        <f t="shared" si="4"/>
        <v>1397358.38</v>
      </c>
      <c r="AA13" s="27" t="s">
        <v>15</v>
      </c>
      <c r="AB13" s="36" t="s">
        <v>16</v>
      </c>
      <c r="AC13" s="181">
        <f t="shared" si="5"/>
        <v>31759</v>
      </c>
      <c r="AD13" s="181">
        <f t="shared" si="2"/>
        <v>1533324.52</v>
      </c>
      <c r="AE13" s="181">
        <v>1.1000000000000001</v>
      </c>
      <c r="AF13" s="181">
        <v>1.1000000000000001</v>
      </c>
      <c r="AG13" s="101" t="str">
        <f t="shared" si="6"/>
        <v/>
      </c>
      <c r="AH13" s="191">
        <v>28942.799999999999</v>
      </c>
      <c r="AI13" s="69">
        <f t="shared" si="7"/>
        <v>31759</v>
      </c>
    </row>
    <row r="14" spans="1:38" s="69" customFormat="1" ht="39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 t="s">
        <v>15</v>
      </c>
      <c r="I14" s="75">
        <v>599.75</v>
      </c>
      <c r="J14" s="75">
        <v>438681.14</v>
      </c>
      <c r="K14" s="91" t="s">
        <v>38</v>
      </c>
      <c r="L14" s="73"/>
      <c r="M14" s="46">
        <v>519.42999999999995</v>
      </c>
      <c r="N14" s="46">
        <v>0</v>
      </c>
      <c r="O14" s="46">
        <v>311528.14</v>
      </c>
      <c r="P14" s="98"/>
      <c r="Q14" s="23" t="s">
        <v>1393</v>
      </c>
      <c r="R14" s="24" t="s">
        <v>37</v>
      </c>
      <c r="S14" s="25" t="s">
        <v>23</v>
      </c>
      <c r="T14" s="26">
        <v>731.44</v>
      </c>
      <c r="U14" s="26">
        <v>731.44</v>
      </c>
      <c r="V14" s="26">
        <v>599.75</v>
      </c>
      <c r="W14" s="209">
        <f t="shared" si="8"/>
        <v>212.01</v>
      </c>
      <c r="X14" s="127">
        <f t="shared" si="3"/>
        <v>731.43999999999994</v>
      </c>
      <c r="Y14" s="127">
        <f t="shared" si="1"/>
        <v>127153</v>
      </c>
      <c r="Z14" s="127">
        <f t="shared" si="4"/>
        <v>438681.14</v>
      </c>
      <c r="AA14" s="33" t="s">
        <v>15</v>
      </c>
      <c r="AB14" s="36" t="s">
        <v>16</v>
      </c>
      <c r="AC14" s="181">
        <f t="shared" si="5"/>
        <v>731.44</v>
      </c>
      <c r="AD14" s="181">
        <f t="shared" si="2"/>
        <v>438681.14</v>
      </c>
      <c r="AE14" s="181">
        <v>1.1000000000000001</v>
      </c>
      <c r="AF14" s="181">
        <v>1.1000000000000001</v>
      </c>
      <c r="AG14" s="101" t="str">
        <f t="shared" si="6"/>
        <v/>
      </c>
      <c r="AH14" s="191">
        <f>519.43+212.01</f>
        <v>731.43999999999994</v>
      </c>
      <c r="AI14" s="69">
        <f t="shared" si="7"/>
        <v>731.44</v>
      </c>
    </row>
    <row r="15" spans="1:38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 t="s">
        <v>15</v>
      </c>
      <c r="I15" s="75">
        <v>104.64</v>
      </c>
      <c r="J15" s="75">
        <v>786788.16</v>
      </c>
      <c r="K15" s="91" t="s">
        <v>41</v>
      </c>
      <c r="L15" s="73"/>
      <c r="M15" s="46">
        <v>2219</v>
      </c>
      <c r="N15" s="46">
        <v>0</v>
      </c>
      <c r="O15" s="46">
        <v>232196.16</v>
      </c>
      <c r="P15" s="98"/>
      <c r="Q15" s="23" t="s">
        <v>1403</v>
      </c>
      <c r="R15" s="24" t="s">
        <v>40</v>
      </c>
      <c r="S15" s="25" t="s">
        <v>23</v>
      </c>
      <c r="T15" s="26">
        <v>7519</v>
      </c>
      <c r="U15" s="26">
        <v>7519</v>
      </c>
      <c r="V15" s="26">
        <v>104.64</v>
      </c>
      <c r="W15" s="243">
        <f t="shared" si="8"/>
        <v>0</v>
      </c>
      <c r="X15" s="127">
        <f t="shared" si="3"/>
        <v>2219</v>
      </c>
      <c r="Y15" s="127">
        <f t="shared" si="1"/>
        <v>0</v>
      </c>
      <c r="Z15" s="127">
        <f t="shared" si="4"/>
        <v>232196.16</v>
      </c>
      <c r="AA15" s="33" t="s">
        <v>15</v>
      </c>
      <c r="AB15" s="36" t="s">
        <v>16</v>
      </c>
      <c r="AC15" s="181">
        <f t="shared" si="5"/>
        <v>7519</v>
      </c>
      <c r="AD15" s="181">
        <f t="shared" si="2"/>
        <v>786788.16</v>
      </c>
      <c r="AE15" s="181">
        <v>1.1000000000000001</v>
      </c>
      <c r="AF15" s="181">
        <v>1.1000000000000001</v>
      </c>
      <c r="AG15" s="101" t="str">
        <f t="shared" si="6"/>
        <v/>
      </c>
      <c r="AH15" s="191">
        <f>2219</f>
        <v>2219</v>
      </c>
      <c r="AI15" s="69">
        <f t="shared" si="7"/>
        <v>7519</v>
      </c>
    </row>
    <row r="16" spans="1:38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 t="s">
        <v>15</v>
      </c>
      <c r="I16" s="75">
        <v>1027.43</v>
      </c>
      <c r="J16" s="75">
        <v>22850043.199999999</v>
      </c>
      <c r="K16" s="91" t="s">
        <v>44</v>
      </c>
      <c r="L16" s="73"/>
      <c r="M16" s="46">
        <v>19090</v>
      </c>
      <c r="N16" s="46">
        <v>0</v>
      </c>
      <c r="O16" s="46">
        <v>19613638.699999999</v>
      </c>
      <c r="P16" s="98"/>
      <c r="Q16" s="23" t="s">
        <v>1427</v>
      </c>
      <c r="R16" s="24" t="s">
        <v>43</v>
      </c>
      <c r="S16" s="25" t="s">
        <v>34</v>
      </c>
      <c r="T16" s="26">
        <v>22240</v>
      </c>
      <c r="U16" s="26">
        <v>22240</v>
      </c>
      <c r="V16" s="26">
        <v>1027.43</v>
      </c>
      <c r="W16" s="243">
        <f t="shared" si="8"/>
        <v>0</v>
      </c>
      <c r="X16" s="121">
        <f t="shared" si="3"/>
        <v>19090</v>
      </c>
      <c r="Y16" s="127">
        <f t="shared" si="1"/>
        <v>0</v>
      </c>
      <c r="Z16" s="127">
        <f t="shared" si="4"/>
        <v>19613638.699999999</v>
      </c>
      <c r="AA16" s="33" t="s">
        <v>15</v>
      </c>
      <c r="AB16" s="36" t="s">
        <v>16</v>
      </c>
      <c r="AC16" s="181">
        <f t="shared" si="5"/>
        <v>22240</v>
      </c>
      <c r="AD16" s="181">
        <f t="shared" si="2"/>
        <v>22850043.199999999</v>
      </c>
      <c r="AE16" s="181">
        <v>1.1000000000000001</v>
      </c>
      <c r="AF16" s="181">
        <v>1.1000000000000001</v>
      </c>
      <c r="AG16" s="101" t="str">
        <f t="shared" si="6"/>
        <v/>
      </c>
      <c r="AH16" s="193">
        <f>19090</f>
        <v>19090</v>
      </c>
      <c r="AI16" s="69">
        <f t="shared" si="7"/>
        <v>22240</v>
      </c>
    </row>
    <row r="17" spans="1:35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 t="s">
        <v>15</v>
      </c>
      <c r="I17" s="75">
        <v>1085.04</v>
      </c>
      <c r="J17" s="75">
        <v>7302774.9199999999</v>
      </c>
      <c r="K17" s="91" t="s">
        <v>47</v>
      </c>
      <c r="L17" s="73"/>
      <c r="M17" s="46">
        <v>4956</v>
      </c>
      <c r="N17" s="46">
        <v>0</v>
      </c>
      <c r="O17" s="46">
        <v>5377458.2400000002</v>
      </c>
      <c r="P17" s="98"/>
      <c r="Q17" s="23" t="s">
        <v>1428</v>
      </c>
      <c r="R17" s="24" t="s">
        <v>46</v>
      </c>
      <c r="S17" s="25" t="s">
        <v>23</v>
      </c>
      <c r="T17" s="26">
        <v>6730.42</v>
      </c>
      <c r="U17" s="26">
        <v>6730.42</v>
      </c>
      <c r="V17" s="26">
        <v>1085.04</v>
      </c>
      <c r="W17" s="26">
        <f t="shared" si="8"/>
        <v>0</v>
      </c>
      <c r="X17" s="121">
        <f t="shared" si="3"/>
        <v>4956</v>
      </c>
      <c r="Y17" s="127">
        <f t="shared" si="1"/>
        <v>0</v>
      </c>
      <c r="Z17" s="127">
        <f t="shared" si="4"/>
        <v>5377458.2400000002</v>
      </c>
      <c r="AA17" s="33" t="s">
        <v>15</v>
      </c>
      <c r="AB17" s="36" t="s">
        <v>16</v>
      </c>
      <c r="AC17" s="181">
        <f t="shared" si="5"/>
        <v>6730.42</v>
      </c>
      <c r="AD17" s="181">
        <f t="shared" si="2"/>
        <v>7302774.9199999999</v>
      </c>
      <c r="AE17" s="181">
        <v>1.1000000000000001</v>
      </c>
      <c r="AF17" s="181">
        <v>1.1000000000000001</v>
      </c>
      <c r="AG17" s="101" t="str">
        <f t="shared" si="6"/>
        <v/>
      </c>
      <c r="AH17" s="190">
        <v>4956</v>
      </c>
      <c r="AI17" s="69">
        <f t="shared" si="7"/>
        <v>6730.42</v>
      </c>
    </row>
    <row r="18" spans="1:35" s="69" customFormat="1" ht="78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 t="s">
        <v>15</v>
      </c>
      <c r="I18" s="75">
        <v>30.45</v>
      </c>
      <c r="J18" s="75">
        <v>113745.98</v>
      </c>
      <c r="K18" s="91" t="s">
        <v>51</v>
      </c>
      <c r="L18" s="73"/>
      <c r="M18" s="46">
        <v>2100</v>
      </c>
      <c r="N18" s="46">
        <v>0</v>
      </c>
      <c r="O18" s="46">
        <v>63945</v>
      </c>
      <c r="P18" s="98"/>
      <c r="Q18" s="23" t="s">
        <v>1387</v>
      </c>
      <c r="R18" s="24" t="s">
        <v>49</v>
      </c>
      <c r="S18" s="25" t="s">
        <v>50</v>
      </c>
      <c r="T18" s="26">
        <v>3735.5</v>
      </c>
      <c r="U18" s="26">
        <v>3735.5</v>
      </c>
      <c r="V18" s="26">
        <v>30.45</v>
      </c>
      <c r="W18" s="127">
        <f t="shared" si="8"/>
        <v>0</v>
      </c>
      <c r="X18" s="127">
        <f t="shared" si="3"/>
        <v>2100</v>
      </c>
      <c r="Y18" s="127">
        <f t="shared" si="1"/>
        <v>0</v>
      </c>
      <c r="Z18" s="127">
        <f t="shared" si="4"/>
        <v>63945</v>
      </c>
      <c r="AA18" s="33" t="s">
        <v>15</v>
      </c>
      <c r="AB18" s="36" t="s">
        <v>16</v>
      </c>
      <c r="AC18" s="181">
        <f t="shared" si="5"/>
        <v>3735.5</v>
      </c>
      <c r="AD18" s="181">
        <f t="shared" si="2"/>
        <v>113745.98</v>
      </c>
      <c r="AE18" s="181">
        <v>1.1000000000000001</v>
      </c>
      <c r="AF18" s="181">
        <v>1.1000000000000001</v>
      </c>
      <c r="AG18" s="101" t="str">
        <f t="shared" si="6"/>
        <v/>
      </c>
      <c r="AH18" s="190">
        <v>2100</v>
      </c>
      <c r="AI18" s="69">
        <f t="shared" si="7"/>
        <v>3735.5</v>
      </c>
    </row>
    <row r="19" spans="1:35" s="69" customFormat="1" ht="58.5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 t="s">
        <v>15</v>
      </c>
      <c r="I19" s="75">
        <v>28.48</v>
      </c>
      <c r="J19" s="75">
        <v>290638.40000000002</v>
      </c>
      <c r="K19" s="91" t="s">
        <v>54</v>
      </c>
      <c r="L19" s="73"/>
      <c r="M19" s="46">
        <v>300</v>
      </c>
      <c r="N19" s="46">
        <v>0</v>
      </c>
      <c r="O19" s="46">
        <v>8544</v>
      </c>
      <c r="P19" s="98"/>
      <c r="Q19" s="23" t="s">
        <v>1405</v>
      </c>
      <c r="R19" s="24" t="s">
        <v>53</v>
      </c>
      <c r="S19" s="25" t="s">
        <v>50</v>
      </c>
      <c r="T19" s="26">
        <v>10205</v>
      </c>
      <c r="U19" s="26">
        <v>10205</v>
      </c>
      <c r="V19" s="26">
        <v>28.48</v>
      </c>
      <c r="W19" s="209">
        <f t="shared" si="8"/>
        <v>2363.8000000000002</v>
      </c>
      <c r="X19" s="127">
        <f t="shared" si="3"/>
        <v>2663.8</v>
      </c>
      <c r="Y19" s="127">
        <f t="shared" si="1"/>
        <v>67321.02</v>
      </c>
      <c r="Z19" s="127">
        <f t="shared" si="4"/>
        <v>75865.02</v>
      </c>
      <c r="AA19" s="33" t="s">
        <v>15</v>
      </c>
      <c r="AB19" s="36" t="s">
        <v>16</v>
      </c>
      <c r="AC19" s="181">
        <f t="shared" si="5"/>
        <v>10205</v>
      </c>
      <c r="AD19" s="181">
        <f t="shared" si="2"/>
        <v>290638.40000000002</v>
      </c>
      <c r="AE19" s="181">
        <v>1.1000000000000001</v>
      </c>
      <c r="AF19" s="181">
        <v>1.1000000000000001</v>
      </c>
      <c r="AG19" s="101" t="str">
        <f t="shared" si="6"/>
        <v/>
      </c>
      <c r="AH19" s="190">
        <f>300+2363.8</f>
        <v>2663.8</v>
      </c>
      <c r="AI19" s="69">
        <f t="shared" si="7"/>
        <v>10205</v>
      </c>
    </row>
    <row r="20" spans="1:35" s="69" customFormat="1" ht="58.5" x14ac:dyDescent="0.3">
      <c r="A20" s="130" t="s">
        <v>55</v>
      </c>
      <c r="B20" s="131" t="s">
        <v>56</v>
      </c>
      <c r="C20" s="132" t="s">
        <v>30</v>
      </c>
      <c r="D20" s="133">
        <v>142.6</v>
      </c>
      <c r="E20" s="75"/>
      <c r="F20" s="75"/>
      <c r="G20" s="75"/>
      <c r="H20" s="75" t="s">
        <v>15</v>
      </c>
      <c r="I20" s="75">
        <v>65.400000000000006</v>
      </c>
      <c r="J20" s="75">
        <v>9326.0400000000009</v>
      </c>
      <c r="K20" s="91" t="s">
        <v>57</v>
      </c>
      <c r="L20" s="73"/>
      <c r="M20" s="46">
        <v>73</v>
      </c>
      <c r="N20" s="46">
        <v>0</v>
      </c>
      <c r="O20" s="46">
        <v>4774.2</v>
      </c>
      <c r="P20" s="98"/>
      <c r="Q20" s="23" t="s">
        <v>1406</v>
      </c>
      <c r="R20" s="24" t="s">
        <v>56</v>
      </c>
      <c r="S20" s="25" t="s">
        <v>30</v>
      </c>
      <c r="T20" s="26">
        <v>142.6</v>
      </c>
      <c r="U20" s="26">
        <v>142.6</v>
      </c>
      <c r="V20" s="26">
        <v>65.400000000000006</v>
      </c>
      <c r="W20" s="209">
        <f t="shared" si="8"/>
        <v>69.199999999999989</v>
      </c>
      <c r="X20" s="127">
        <f t="shared" si="3"/>
        <v>142.19999999999999</v>
      </c>
      <c r="Y20" s="127">
        <f t="shared" si="1"/>
        <v>4525.6799999999994</v>
      </c>
      <c r="Z20" s="127">
        <f t="shared" si="4"/>
        <v>9299.8799999999992</v>
      </c>
      <c r="AA20" s="33" t="s">
        <v>15</v>
      </c>
      <c r="AB20" s="36" t="s">
        <v>16</v>
      </c>
      <c r="AC20" s="181">
        <f t="shared" si="5"/>
        <v>142.6</v>
      </c>
      <c r="AD20" s="181">
        <f t="shared" si="2"/>
        <v>9326.0400000000009</v>
      </c>
      <c r="AE20" s="181">
        <v>1.1000000000000001</v>
      </c>
      <c r="AF20" s="181">
        <v>1.1000000000000001</v>
      </c>
      <c r="AG20" s="101" t="str">
        <f t="shared" si="6"/>
        <v/>
      </c>
      <c r="AH20" s="192">
        <f>73+69.2</f>
        <v>142.19999999999999</v>
      </c>
      <c r="AI20" s="69">
        <f t="shared" si="7"/>
        <v>142.6</v>
      </c>
    </row>
    <row r="21" spans="1:35" s="69" customFormat="1" ht="39" x14ac:dyDescent="0.3">
      <c r="A21" s="55" t="s">
        <v>58</v>
      </c>
      <c r="B21" s="53" t="s">
        <v>59</v>
      </c>
      <c r="C21" s="54" t="s">
        <v>50</v>
      </c>
      <c r="D21" s="75">
        <v>8459.2999999999993</v>
      </c>
      <c r="E21" s="75"/>
      <c r="F21" s="75"/>
      <c r="G21" s="75"/>
      <c r="H21" s="75" t="s">
        <v>15</v>
      </c>
      <c r="I21" s="75">
        <v>20.190000000000001</v>
      </c>
      <c r="J21" s="75">
        <v>170793.27</v>
      </c>
      <c r="K21" s="91" t="s">
        <v>60</v>
      </c>
      <c r="L21" s="73"/>
      <c r="M21" s="46">
        <v>7834</v>
      </c>
      <c r="N21" s="46">
        <v>0</v>
      </c>
      <c r="O21" s="46">
        <v>158168.46</v>
      </c>
      <c r="P21" s="98"/>
      <c r="Q21" s="23" t="s">
        <v>1414</v>
      </c>
      <c r="R21" s="24" t="s">
        <v>59</v>
      </c>
      <c r="S21" s="25" t="s">
        <v>50</v>
      </c>
      <c r="T21" s="26">
        <v>8459.2999999999993</v>
      </c>
      <c r="U21" s="26">
        <v>8459.2999999999993</v>
      </c>
      <c r="V21" s="26">
        <v>20.190000000000001</v>
      </c>
      <c r="W21" s="128">
        <f t="shared" si="8"/>
        <v>0</v>
      </c>
      <c r="X21" s="26">
        <f t="shared" si="3"/>
        <v>7834</v>
      </c>
      <c r="Y21" s="26">
        <f t="shared" si="1"/>
        <v>0</v>
      </c>
      <c r="Z21" s="26">
        <f t="shared" si="4"/>
        <v>158168.46</v>
      </c>
      <c r="AA21" s="33" t="s">
        <v>15</v>
      </c>
      <c r="AB21" s="36" t="s">
        <v>16</v>
      </c>
      <c r="AC21" s="181">
        <f t="shared" si="5"/>
        <v>8459.2999999999993</v>
      </c>
      <c r="AD21" s="181">
        <f t="shared" si="2"/>
        <v>170793.27</v>
      </c>
      <c r="AE21" s="181">
        <v>1.1000000000000001</v>
      </c>
      <c r="AF21" s="181">
        <v>1.1000000000000001</v>
      </c>
      <c r="AG21" s="101" t="str">
        <f t="shared" si="6"/>
        <v/>
      </c>
      <c r="AH21" s="194">
        <v>7834</v>
      </c>
      <c r="AI21" s="69">
        <f t="shared" si="7"/>
        <v>8459.2999999999993</v>
      </c>
    </row>
    <row r="22" spans="1:35" s="69" customFormat="1" ht="39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 t="s">
        <v>15</v>
      </c>
      <c r="I22" s="75">
        <v>2492.81</v>
      </c>
      <c r="J22" s="75">
        <v>3163126.61</v>
      </c>
      <c r="K22" s="91" t="s">
        <v>63</v>
      </c>
      <c r="L22" s="73"/>
      <c r="M22" s="46">
        <v>369</v>
      </c>
      <c r="N22" s="46">
        <v>0</v>
      </c>
      <c r="O22" s="46">
        <v>919846.89</v>
      </c>
      <c r="P22" s="98"/>
      <c r="Q22" s="23" t="s">
        <v>1429</v>
      </c>
      <c r="R22" s="24" t="s">
        <v>62</v>
      </c>
      <c r="S22" s="25" t="s">
        <v>23</v>
      </c>
      <c r="T22" s="26">
        <v>1268.9000000000001</v>
      </c>
      <c r="U22" s="26">
        <v>1268.9000000000001</v>
      </c>
      <c r="V22" s="26">
        <v>2492.81</v>
      </c>
      <c r="W22" s="128">
        <f t="shared" si="8"/>
        <v>0</v>
      </c>
      <c r="X22" s="121">
        <f t="shared" si="3"/>
        <v>369</v>
      </c>
      <c r="Y22" s="26">
        <f t="shared" si="1"/>
        <v>0</v>
      </c>
      <c r="Z22" s="26">
        <f t="shared" si="4"/>
        <v>919846.89</v>
      </c>
      <c r="AA22" s="33" t="s">
        <v>15</v>
      </c>
      <c r="AB22" s="36" t="s">
        <v>16</v>
      </c>
      <c r="AC22" s="181">
        <f t="shared" si="5"/>
        <v>1268.9000000000001</v>
      </c>
      <c r="AD22" s="181">
        <f t="shared" si="2"/>
        <v>3163126.61</v>
      </c>
      <c r="AE22" s="181">
        <v>1.1000000000000001</v>
      </c>
      <c r="AF22" s="181">
        <v>1.1000000000000001</v>
      </c>
      <c r="AG22" s="101" t="str">
        <f t="shared" si="6"/>
        <v/>
      </c>
      <c r="AH22" s="191">
        <v>369</v>
      </c>
      <c r="AI22" s="69">
        <f t="shared" si="7"/>
        <v>1268.9000000000001</v>
      </c>
    </row>
    <row r="23" spans="1:35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 t="s">
        <v>15</v>
      </c>
      <c r="I23" s="75">
        <v>521.17999999999995</v>
      </c>
      <c r="J23" s="75">
        <v>343457.62</v>
      </c>
      <c r="K23" s="91" t="s">
        <v>67</v>
      </c>
      <c r="L23" s="73"/>
      <c r="M23" s="46">
        <v>659</v>
      </c>
      <c r="N23" s="46">
        <v>0</v>
      </c>
      <c r="O23" s="46">
        <v>343457.62</v>
      </c>
      <c r="P23" s="98"/>
      <c r="Q23" s="23" t="s">
        <v>1430</v>
      </c>
      <c r="R23" s="24" t="s">
        <v>65</v>
      </c>
      <c r="S23" s="25" t="s">
        <v>66</v>
      </c>
      <c r="T23" s="26">
        <v>659</v>
      </c>
      <c r="U23" s="26">
        <v>659</v>
      </c>
      <c r="V23" s="26">
        <v>521.17999999999995</v>
      </c>
      <c r="W23" s="127">
        <f t="shared" si="8"/>
        <v>0</v>
      </c>
      <c r="X23" s="127">
        <f t="shared" si="3"/>
        <v>659</v>
      </c>
      <c r="Y23" s="127">
        <f t="shared" si="1"/>
        <v>0</v>
      </c>
      <c r="Z23" s="127">
        <f t="shared" si="4"/>
        <v>343457.62</v>
      </c>
      <c r="AA23" s="33" t="s">
        <v>15</v>
      </c>
      <c r="AB23" s="36" t="s">
        <v>16</v>
      </c>
      <c r="AC23" s="181">
        <f t="shared" si="5"/>
        <v>659</v>
      </c>
      <c r="AD23" s="181">
        <f t="shared" si="2"/>
        <v>343457.62</v>
      </c>
      <c r="AE23" s="181">
        <v>1.1000000000000001</v>
      </c>
      <c r="AF23" s="181">
        <v>1.1000000000000001</v>
      </c>
      <c r="AG23" s="101" t="str">
        <f t="shared" si="6"/>
        <v/>
      </c>
      <c r="AH23" s="193">
        <v>659</v>
      </c>
      <c r="AI23" s="69">
        <f t="shared" si="7"/>
        <v>659</v>
      </c>
    </row>
    <row r="24" spans="1:35" s="69" customFormat="1" ht="39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 t="s">
        <v>15</v>
      </c>
      <c r="I24" s="75">
        <v>289.69</v>
      </c>
      <c r="J24" s="75">
        <v>73378.48</v>
      </c>
      <c r="K24" s="91" t="s">
        <v>70</v>
      </c>
      <c r="L24" s="73"/>
      <c r="M24" s="46">
        <v>250</v>
      </c>
      <c r="N24" s="46">
        <v>0</v>
      </c>
      <c r="O24" s="46">
        <v>72422.5</v>
      </c>
      <c r="P24" s="98"/>
      <c r="Q24" s="23" t="s">
        <v>1431</v>
      </c>
      <c r="R24" s="24" t="s">
        <v>69</v>
      </c>
      <c r="S24" s="25" t="s">
        <v>30</v>
      </c>
      <c r="T24" s="26">
        <v>253.3</v>
      </c>
      <c r="U24" s="26">
        <v>253.3</v>
      </c>
      <c r="V24" s="26">
        <v>289.69</v>
      </c>
      <c r="W24" s="127">
        <f t="shared" si="8"/>
        <v>0</v>
      </c>
      <c r="X24" s="127">
        <f t="shared" si="3"/>
        <v>250</v>
      </c>
      <c r="Y24" s="127">
        <f t="shared" si="1"/>
        <v>0</v>
      </c>
      <c r="Z24" s="127">
        <f t="shared" si="4"/>
        <v>72422.5</v>
      </c>
      <c r="AA24" s="33" t="s">
        <v>15</v>
      </c>
      <c r="AB24" s="36" t="s">
        <v>16</v>
      </c>
      <c r="AC24" s="181">
        <f t="shared" si="5"/>
        <v>253.3</v>
      </c>
      <c r="AD24" s="181">
        <f t="shared" si="2"/>
        <v>73378.48</v>
      </c>
      <c r="AE24" s="181">
        <v>1.1000000000000001</v>
      </c>
      <c r="AF24" s="181">
        <v>1.1000000000000001</v>
      </c>
      <c r="AG24" s="101" t="str">
        <f t="shared" si="6"/>
        <v/>
      </c>
      <c r="AH24" s="190">
        <v>250</v>
      </c>
      <c r="AI24" s="69">
        <f t="shared" si="7"/>
        <v>253.3</v>
      </c>
    </row>
    <row r="25" spans="1:35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 t="s">
        <v>15</v>
      </c>
      <c r="I25" s="75">
        <v>3311.45</v>
      </c>
      <c r="J25" s="75">
        <v>264916</v>
      </c>
      <c r="K25" s="91" t="s">
        <v>74</v>
      </c>
      <c r="L25" s="73"/>
      <c r="M25" s="46">
        <v>0</v>
      </c>
      <c r="N25" s="46">
        <v>0</v>
      </c>
      <c r="O25" s="46">
        <v>0</v>
      </c>
      <c r="P25" s="98"/>
      <c r="Q25" s="23" t="s">
        <v>1395</v>
      </c>
      <c r="R25" s="24" t="s">
        <v>72</v>
      </c>
      <c r="S25" s="25" t="s">
        <v>73</v>
      </c>
      <c r="T25" s="26">
        <v>80</v>
      </c>
      <c r="U25" s="26">
        <v>80</v>
      </c>
      <c r="V25" s="26">
        <v>3311.45</v>
      </c>
      <c r="W25" s="26">
        <f t="shared" si="8"/>
        <v>0</v>
      </c>
      <c r="X25" s="26">
        <f t="shared" si="3"/>
        <v>0</v>
      </c>
      <c r="Y25" s="26">
        <f t="shared" si="1"/>
        <v>0</v>
      </c>
      <c r="Z25" s="26">
        <f t="shared" si="4"/>
        <v>0</v>
      </c>
      <c r="AA25" s="33" t="s">
        <v>15</v>
      </c>
      <c r="AB25" s="36" t="s">
        <v>16</v>
      </c>
      <c r="AC25" s="181">
        <f t="shared" si="5"/>
        <v>80</v>
      </c>
      <c r="AD25" s="181">
        <f t="shared" si="2"/>
        <v>264916</v>
      </c>
      <c r="AE25" s="181">
        <v>1.1000000000000001</v>
      </c>
      <c r="AF25" s="181">
        <v>1.1000000000000001</v>
      </c>
      <c r="AG25" s="101" t="str">
        <f t="shared" si="6"/>
        <v/>
      </c>
      <c r="AH25" s="190">
        <v>0</v>
      </c>
      <c r="AI25" s="69">
        <f t="shared" si="7"/>
        <v>80</v>
      </c>
    </row>
    <row r="26" spans="1:35" s="69" customFormat="1" ht="33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 t="s">
        <v>15</v>
      </c>
      <c r="I26" s="75">
        <v>3082.28</v>
      </c>
      <c r="J26" s="75">
        <v>3939153.84</v>
      </c>
      <c r="K26" s="91" t="s">
        <v>78</v>
      </c>
      <c r="L26" s="73"/>
      <c r="M26" s="46">
        <v>1153</v>
      </c>
      <c r="N26" s="46">
        <v>0</v>
      </c>
      <c r="O26" s="46">
        <v>3553868.84</v>
      </c>
      <c r="P26" s="98"/>
      <c r="Q26" s="23" t="s">
        <v>1432</v>
      </c>
      <c r="R26" s="24" t="s">
        <v>76</v>
      </c>
      <c r="S26" s="25" t="s">
        <v>77</v>
      </c>
      <c r="T26" s="26">
        <v>1278</v>
      </c>
      <c r="U26" s="26">
        <v>1278</v>
      </c>
      <c r="V26" s="26">
        <v>3082.28</v>
      </c>
      <c r="W26" s="128">
        <f t="shared" si="8"/>
        <v>0</v>
      </c>
      <c r="X26" s="121">
        <f t="shared" si="3"/>
        <v>1153</v>
      </c>
      <c r="Y26" s="26">
        <f t="shared" si="1"/>
        <v>0</v>
      </c>
      <c r="Z26" s="26">
        <f t="shared" si="4"/>
        <v>3553868.84</v>
      </c>
      <c r="AA26" s="33" t="s">
        <v>15</v>
      </c>
      <c r="AB26" s="36" t="s">
        <v>16</v>
      </c>
      <c r="AC26" s="181">
        <f t="shared" si="5"/>
        <v>1278</v>
      </c>
      <c r="AD26" s="181">
        <f t="shared" si="2"/>
        <v>3939153.84</v>
      </c>
      <c r="AE26" s="181">
        <v>1.1000000000000001</v>
      </c>
      <c r="AF26" s="181">
        <v>1.1000000000000001</v>
      </c>
      <c r="AG26" s="101" t="str">
        <f t="shared" si="6"/>
        <v/>
      </c>
      <c r="AH26" s="192">
        <v>1153</v>
      </c>
      <c r="AI26" s="69">
        <f t="shared" si="7"/>
        <v>1278</v>
      </c>
    </row>
    <row r="27" spans="1:35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 t="s">
        <v>15</v>
      </c>
      <c r="I27" s="75">
        <v>1200</v>
      </c>
      <c r="J27" s="75">
        <v>36000</v>
      </c>
      <c r="K27" s="91" t="s">
        <v>82</v>
      </c>
      <c r="L27" s="73"/>
      <c r="M27" s="46">
        <v>0</v>
      </c>
      <c r="N27" s="46">
        <v>0</v>
      </c>
      <c r="O27" s="46">
        <v>0</v>
      </c>
      <c r="P27" s="98"/>
      <c r="Q27" s="23" t="s">
        <v>1433</v>
      </c>
      <c r="R27" s="24" t="s">
        <v>80</v>
      </c>
      <c r="S27" s="25" t="s">
        <v>81</v>
      </c>
      <c r="T27" s="26">
        <v>30</v>
      </c>
      <c r="U27" s="26">
        <v>30</v>
      </c>
      <c r="V27" s="26">
        <v>1200</v>
      </c>
      <c r="W27" s="26">
        <f t="shared" si="8"/>
        <v>0</v>
      </c>
      <c r="X27" s="26">
        <f t="shared" si="3"/>
        <v>0</v>
      </c>
      <c r="Y27" s="26">
        <f t="shared" si="1"/>
        <v>0</v>
      </c>
      <c r="Z27" s="26">
        <f t="shared" si="4"/>
        <v>0</v>
      </c>
      <c r="AA27" s="33" t="s">
        <v>15</v>
      </c>
      <c r="AB27" s="36" t="s">
        <v>16</v>
      </c>
      <c r="AC27" s="181">
        <f t="shared" si="5"/>
        <v>30</v>
      </c>
      <c r="AD27" s="181">
        <f t="shared" si="2"/>
        <v>36000</v>
      </c>
      <c r="AE27" s="181">
        <v>1.1000000000000001</v>
      </c>
      <c r="AF27" s="181">
        <v>1.1000000000000001</v>
      </c>
      <c r="AG27" s="101" t="str">
        <f t="shared" si="6"/>
        <v/>
      </c>
      <c r="AH27" s="192">
        <v>0</v>
      </c>
      <c r="AI27" s="69">
        <f t="shared" si="7"/>
        <v>30</v>
      </c>
    </row>
    <row r="28" spans="1:35" s="69" customFormat="1" ht="33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 t="s">
        <v>15</v>
      </c>
      <c r="I28" s="75">
        <v>3000</v>
      </c>
      <c r="J28" s="75">
        <v>36000</v>
      </c>
      <c r="K28" s="91" t="s">
        <v>85</v>
      </c>
      <c r="L28" s="73"/>
      <c r="M28" s="46">
        <v>12</v>
      </c>
      <c r="N28" s="46">
        <v>0</v>
      </c>
      <c r="O28" s="46">
        <v>36000</v>
      </c>
      <c r="P28" s="98"/>
      <c r="Q28" s="23" t="s">
        <v>1382</v>
      </c>
      <c r="R28" s="24" t="s">
        <v>84</v>
      </c>
      <c r="S28" s="25" t="s">
        <v>81</v>
      </c>
      <c r="T28" s="26">
        <v>12</v>
      </c>
      <c r="U28" s="26">
        <v>12</v>
      </c>
      <c r="V28" s="26">
        <v>3000</v>
      </c>
      <c r="W28" s="127">
        <f t="shared" si="8"/>
        <v>0</v>
      </c>
      <c r="X28" s="127">
        <f t="shared" si="3"/>
        <v>12</v>
      </c>
      <c r="Y28" s="127">
        <f t="shared" si="1"/>
        <v>0</v>
      </c>
      <c r="Z28" s="127">
        <f t="shared" si="4"/>
        <v>36000</v>
      </c>
      <c r="AA28" s="33" t="s">
        <v>15</v>
      </c>
      <c r="AB28" s="36" t="s">
        <v>16</v>
      </c>
      <c r="AC28" s="181">
        <f t="shared" si="5"/>
        <v>12</v>
      </c>
      <c r="AD28" s="181">
        <f t="shared" si="2"/>
        <v>36000</v>
      </c>
      <c r="AE28" s="181">
        <v>1.1000000000000001</v>
      </c>
      <c r="AF28" s="181">
        <v>1.1000000000000001</v>
      </c>
      <c r="AG28" s="101" t="str">
        <f t="shared" si="6"/>
        <v/>
      </c>
      <c r="AH28" s="192">
        <v>12</v>
      </c>
      <c r="AI28" s="69">
        <f t="shared" si="7"/>
        <v>12</v>
      </c>
    </row>
    <row r="29" spans="1:35" s="69" customFormat="1" ht="33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 t="s">
        <v>15</v>
      </c>
      <c r="I29" s="75">
        <v>3000</v>
      </c>
      <c r="J29" s="75">
        <v>60000</v>
      </c>
      <c r="K29" s="91" t="s">
        <v>88</v>
      </c>
      <c r="L29" s="73"/>
      <c r="M29" s="46">
        <v>20</v>
      </c>
      <c r="N29" s="46">
        <v>0</v>
      </c>
      <c r="O29" s="46">
        <v>60000</v>
      </c>
      <c r="P29" s="98"/>
      <c r="Q29" s="23" t="s">
        <v>1434</v>
      </c>
      <c r="R29" s="24" t="s">
        <v>87</v>
      </c>
      <c r="S29" s="25" t="s">
        <v>81</v>
      </c>
      <c r="T29" s="26">
        <v>20</v>
      </c>
      <c r="U29" s="26">
        <v>20</v>
      </c>
      <c r="V29" s="26">
        <v>3000</v>
      </c>
      <c r="W29" s="127">
        <f t="shared" si="8"/>
        <v>0</v>
      </c>
      <c r="X29" s="127">
        <f t="shared" si="3"/>
        <v>20</v>
      </c>
      <c r="Y29" s="127">
        <f t="shared" si="1"/>
        <v>0</v>
      </c>
      <c r="Z29" s="127">
        <f t="shared" si="4"/>
        <v>60000</v>
      </c>
      <c r="AA29" s="33" t="s">
        <v>15</v>
      </c>
      <c r="AB29" s="36" t="s">
        <v>16</v>
      </c>
      <c r="AC29" s="181">
        <f t="shared" si="5"/>
        <v>20</v>
      </c>
      <c r="AD29" s="181">
        <f t="shared" si="2"/>
        <v>60000</v>
      </c>
      <c r="AE29" s="181">
        <v>1.1000000000000001</v>
      </c>
      <c r="AF29" s="181">
        <v>1.1000000000000001</v>
      </c>
      <c r="AG29" s="101" t="str">
        <f t="shared" si="6"/>
        <v/>
      </c>
      <c r="AH29" s="192">
        <v>20</v>
      </c>
      <c r="AI29" s="69">
        <f t="shared" si="7"/>
        <v>20</v>
      </c>
    </row>
    <row r="30" spans="1:35" s="69" customFormat="1" ht="33" x14ac:dyDescent="0.3">
      <c r="A30" s="130" t="s">
        <v>89</v>
      </c>
      <c r="B30" s="131" t="s">
        <v>90</v>
      </c>
      <c r="C30" s="132" t="s">
        <v>81</v>
      </c>
      <c r="D30" s="133">
        <v>19</v>
      </c>
      <c r="E30" s="75"/>
      <c r="F30" s="75"/>
      <c r="G30" s="75"/>
      <c r="H30" s="75" t="s">
        <v>15</v>
      </c>
      <c r="I30" s="75">
        <v>3000</v>
      </c>
      <c r="J30" s="75">
        <v>57000</v>
      </c>
      <c r="K30" s="91" t="s">
        <v>91</v>
      </c>
      <c r="L30" s="73"/>
      <c r="M30" s="46">
        <v>16</v>
      </c>
      <c r="N30" s="46">
        <v>0</v>
      </c>
      <c r="O30" s="46">
        <v>48000</v>
      </c>
      <c r="P30" s="98"/>
      <c r="Q30" s="23" t="s">
        <v>1388</v>
      </c>
      <c r="R30" s="24" t="s">
        <v>90</v>
      </c>
      <c r="S30" s="25" t="s">
        <v>81</v>
      </c>
      <c r="T30" s="26">
        <v>19</v>
      </c>
      <c r="U30" s="26">
        <v>19</v>
      </c>
      <c r="V30" s="26">
        <v>3000</v>
      </c>
      <c r="W30" s="127">
        <f t="shared" si="8"/>
        <v>0</v>
      </c>
      <c r="X30" s="127">
        <f t="shared" si="3"/>
        <v>16</v>
      </c>
      <c r="Y30" s="127">
        <f t="shared" si="1"/>
        <v>0</v>
      </c>
      <c r="Z30" s="127">
        <f t="shared" si="4"/>
        <v>48000</v>
      </c>
      <c r="AA30" s="33" t="s">
        <v>15</v>
      </c>
      <c r="AB30" s="36" t="s">
        <v>16</v>
      </c>
      <c r="AC30" s="181">
        <f t="shared" si="5"/>
        <v>19</v>
      </c>
      <c r="AD30" s="181">
        <f t="shared" si="2"/>
        <v>57000</v>
      </c>
      <c r="AE30" s="181">
        <v>1.1000000000000001</v>
      </c>
      <c r="AF30" s="181">
        <v>1.1000000000000001</v>
      </c>
      <c r="AG30" s="101" t="str">
        <f t="shared" si="6"/>
        <v/>
      </c>
      <c r="AH30" s="191">
        <v>16</v>
      </c>
      <c r="AI30" s="69">
        <f t="shared" si="7"/>
        <v>19</v>
      </c>
    </row>
    <row r="31" spans="1:35" s="69" customFormat="1" ht="39" x14ac:dyDescent="0.3">
      <c r="A31" s="130" t="s">
        <v>92</v>
      </c>
      <c r="B31" s="131" t="s">
        <v>93</v>
      </c>
      <c r="C31" s="132" t="s">
        <v>14</v>
      </c>
      <c r="D31" s="133">
        <v>1</v>
      </c>
      <c r="E31" s="75"/>
      <c r="F31" s="75"/>
      <c r="G31" s="75"/>
      <c r="H31" s="75" t="s">
        <v>15</v>
      </c>
      <c r="I31" s="75">
        <v>400000</v>
      </c>
      <c r="J31" s="75">
        <v>400000</v>
      </c>
      <c r="K31" s="91" t="s">
        <v>94</v>
      </c>
      <c r="L31" s="73"/>
      <c r="M31" s="46">
        <v>0.5</v>
      </c>
      <c r="N31" s="46">
        <v>0</v>
      </c>
      <c r="O31" s="46">
        <v>200000</v>
      </c>
      <c r="P31" s="98"/>
      <c r="Q31" s="23" t="s">
        <v>1389</v>
      </c>
      <c r="R31" s="24" t="s">
        <v>93</v>
      </c>
      <c r="S31" s="25" t="s">
        <v>14</v>
      </c>
      <c r="T31" s="26">
        <v>1</v>
      </c>
      <c r="U31" s="26">
        <v>1</v>
      </c>
      <c r="V31" s="26">
        <v>400000</v>
      </c>
      <c r="W31" s="243">
        <f t="shared" si="8"/>
        <v>0.5</v>
      </c>
      <c r="X31" s="127">
        <f t="shared" si="3"/>
        <v>1</v>
      </c>
      <c r="Y31" s="127">
        <f t="shared" si="1"/>
        <v>200000</v>
      </c>
      <c r="Z31" s="127">
        <f t="shared" si="4"/>
        <v>400000</v>
      </c>
      <c r="AA31" s="33" t="s">
        <v>15</v>
      </c>
      <c r="AB31" s="36" t="s">
        <v>16</v>
      </c>
      <c r="AC31" s="181">
        <f t="shared" si="5"/>
        <v>1</v>
      </c>
      <c r="AD31" s="181">
        <f t="shared" si="2"/>
        <v>400000</v>
      </c>
      <c r="AE31" s="181">
        <v>1.1000000000000001</v>
      </c>
      <c r="AF31" s="181">
        <v>1.1000000000000001</v>
      </c>
      <c r="AG31" s="101" t="str">
        <f t="shared" si="6"/>
        <v/>
      </c>
      <c r="AH31" s="192">
        <f>0.5+0.5</f>
        <v>1</v>
      </c>
      <c r="AI31" s="69">
        <f t="shared" si="7"/>
        <v>1</v>
      </c>
    </row>
    <row r="32" spans="1:35" s="69" customFormat="1" ht="58.5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6" t="s">
        <v>15</v>
      </c>
      <c r="I32" s="75">
        <v>280</v>
      </c>
      <c r="J32" s="75">
        <v>8624000</v>
      </c>
      <c r="K32" s="91" t="s">
        <v>98</v>
      </c>
      <c r="L32" s="73"/>
      <c r="M32" s="46">
        <v>14282</v>
      </c>
      <c r="N32" s="46">
        <v>313600</v>
      </c>
      <c r="O32" s="46">
        <v>3998960</v>
      </c>
      <c r="P32" s="98"/>
      <c r="Q32" s="23" t="s">
        <v>1390</v>
      </c>
      <c r="R32" s="24" t="s">
        <v>96</v>
      </c>
      <c r="S32" s="25" t="s">
        <v>97</v>
      </c>
      <c r="T32" s="26">
        <v>30800</v>
      </c>
      <c r="U32" s="26">
        <v>30800</v>
      </c>
      <c r="V32" s="26">
        <v>280</v>
      </c>
      <c r="W32" s="243">
        <f t="shared" si="8"/>
        <v>1160</v>
      </c>
      <c r="X32" s="26">
        <f t="shared" si="3"/>
        <v>15442</v>
      </c>
      <c r="Y32" s="26">
        <f t="shared" si="1"/>
        <v>324800</v>
      </c>
      <c r="Z32" s="26">
        <f t="shared" si="4"/>
        <v>4323760</v>
      </c>
      <c r="AA32" s="33" t="s">
        <v>15</v>
      </c>
      <c r="AB32" s="36" t="s">
        <v>16</v>
      </c>
      <c r="AC32" s="181">
        <f t="shared" si="5"/>
        <v>30800</v>
      </c>
      <c r="AD32" s="181">
        <f t="shared" si="2"/>
        <v>8624000</v>
      </c>
      <c r="AE32" s="181">
        <v>1.1000000000000001</v>
      </c>
      <c r="AF32" s="181">
        <v>1.1000000000000001</v>
      </c>
      <c r="AG32" s="101" t="str">
        <f t="shared" si="6"/>
        <v/>
      </c>
      <c r="AH32" s="191">
        <f>13162+1120+1160</f>
        <v>15442</v>
      </c>
      <c r="AI32" s="69">
        <f t="shared" si="7"/>
        <v>30800</v>
      </c>
    </row>
    <row r="33" spans="1:35" s="69" customFormat="1" ht="39" x14ac:dyDescent="0.3">
      <c r="A33" s="134" t="s">
        <v>1302</v>
      </c>
      <c r="B33" s="135" t="s">
        <v>1303</v>
      </c>
      <c r="C33" s="204" t="s">
        <v>50</v>
      </c>
      <c r="D33" s="216"/>
      <c r="E33" s="59">
        <v>2405</v>
      </c>
      <c r="F33" s="59"/>
      <c r="G33" s="59"/>
      <c r="H33" s="59" t="s">
        <v>15</v>
      </c>
      <c r="I33" s="58">
        <v>70.23</v>
      </c>
      <c r="J33" s="59">
        <v>168903.15</v>
      </c>
      <c r="K33" s="92"/>
      <c r="L33" s="73"/>
      <c r="M33" s="46">
        <v>2405</v>
      </c>
      <c r="N33" s="46">
        <v>0</v>
      </c>
      <c r="O33" s="46">
        <v>168903.15</v>
      </c>
      <c r="P33" s="98"/>
      <c r="Q33" s="23" t="s">
        <v>1391</v>
      </c>
      <c r="R33" s="24" t="s">
        <v>1435</v>
      </c>
      <c r="S33" s="25" t="s">
        <v>50</v>
      </c>
      <c r="T33" s="26">
        <v>0</v>
      </c>
      <c r="U33" s="26">
        <v>2405</v>
      </c>
      <c r="V33" s="26">
        <v>70.23</v>
      </c>
      <c r="W33" s="127">
        <f t="shared" si="8"/>
        <v>0</v>
      </c>
      <c r="X33" s="127">
        <f t="shared" si="3"/>
        <v>2405</v>
      </c>
      <c r="Y33" s="127">
        <f t="shared" si="1"/>
        <v>0</v>
      </c>
      <c r="Z33" s="127">
        <f t="shared" si="4"/>
        <v>168903.15</v>
      </c>
      <c r="AA33" s="27" t="s">
        <v>15</v>
      </c>
      <c r="AB33" s="36" t="s">
        <v>16</v>
      </c>
      <c r="AC33" s="181">
        <f t="shared" si="5"/>
        <v>2405</v>
      </c>
      <c r="AD33" s="181">
        <f t="shared" si="2"/>
        <v>168903.15</v>
      </c>
      <c r="AE33" s="181">
        <v>1.1000000000000001</v>
      </c>
      <c r="AF33" s="181">
        <v>1.1000000000000001</v>
      </c>
      <c r="AG33" s="101" t="str">
        <f t="shared" si="6"/>
        <v/>
      </c>
      <c r="AH33" s="190">
        <v>2405</v>
      </c>
      <c r="AI33" s="69">
        <f t="shared" si="7"/>
        <v>2405</v>
      </c>
    </row>
    <row r="34" spans="1:35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 t="s">
        <v>15</v>
      </c>
      <c r="I34" s="61">
        <v>20000</v>
      </c>
      <c r="J34" s="62">
        <v>3000000</v>
      </c>
      <c r="K34" s="93"/>
      <c r="M34" s="46">
        <v>127</v>
      </c>
      <c r="N34" s="46">
        <v>0</v>
      </c>
      <c r="O34" s="46">
        <v>2540000</v>
      </c>
      <c r="P34" s="98"/>
      <c r="Q34" s="23" t="s">
        <v>1436</v>
      </c>
      <c r="R34" s="24" t="s">
        <v>1437</v>
      </c>
      <c r="S34" s="25" t="s">
        <v>1358</v>
      </c>
      <c r="T34" s="26">
        <v>0</v>
      </c>
      <c r="U34" s="26">
        <v>150</v>
      </c>
      <c r="V34" s="26">
        <v>20000</v>
      </c>
      <c r="W34" s="128">
        <f t="shared" si="8"/>
        <v>0</v>
      </c>
      <c r="X34" s="26">
        <f t="shared" si="3"/>
        <v>127</v>
      </c>
      <c r="Y34" s="26">
        <f t="shared" si="1"/>
        <v>0</v>
      </c>
      <c r="Z34" s="26">
        <f t="shared" si="4"/>
        <v>2540000</v>
      </c>
      <c r="AA34" s="27"/>
      <c r="AB34" s="36" t="s">
        <v>16</v>
      </c>
      <c r="AC34" s="181">
        <f t="shared" si="5"/>
        <v>150</v>
      </c>
      <c r="AD34" s="181">
        <f t="shared" si="2"/>
        <v>3000000</v>
      </c>
      <c r="AE34" s="181">
        <v>1.1000000000000001</v>
      </c>
      <c r="AF34" s="181">
        <v>1.1000000000000001</v>
      </c>
      <c r="AG34" s="101" t="str">
        <f t="shared" si="6"/>
        <v/>
      </c>
      <c r="AH34" s="193">
        <v>127</v>
      </c>
      <c r="AI34" s="69">
        <f t="shared" si="7"/>
        <v>150</v>
      </c>
    </row>
    <row r="35" spans="1:35" ht="42" customHeight="1" x14ac:dyDescent="0.3">
      <c r="A35" s="134" t="s">
        <v>1306</v>
      </c>
      <c r="B35" s="217" t="s">
        <v>1307</v>
      </c>
      <c r="C35" s="204" t="s">
        <v>50</v>
      </c>
      <c r="D35" s="216"/>
      <c r="E35" s="63"/>
      <c r="F35" s="62">
        <v>138.05000000000001</v>
      </c>
      <c r="G35" s="62"/>
      <c r="H35" s="62" t="s">
        <v>15</v>
      </c>
      <c r="I35" s="61">
        <v>165.22</v>
      </c>
      <c r="J35" s="62">
        <v>22808.62</v>
      </c>
      <c r="K35" s="93"/>
      <c r="M35" s="46">
        <v>138.05000000000001</v>
      </c>
      <c r="N35" s="46">
        <v>0</v>
      </c>
      <c r="O35" s="46">
        <v>22808.62</v>
      </c>
      <c r="P35" s="98"/>
      <c r="Q35" s="23" t="s">
        <v>1374</v>
      </c>
      <c r="R35" s="24" t="s">
        <v>1375</v>
      </c>
      <c r="S35" s="25" t="s">
        <v>50</v>
      </c>
      <c r="T35" s="26">
        <v>0</v>
      </c>
      <c r="U35" s="26">
        <v>138.05000000000001</v>
      </c>
      <c r="V35" s="26">
        <v>165.22</v>
      </c>
      <c r="W35" s="127">
        <f t="shared" si="8"/>
        <v>0</v>
      </c>
      <c r="X35" s="127">
        <f t="shared" si="3"/>
        <v>138.05000000000001</v>
      </c>
      <c r="Y35" s="127">
        <f t="shared" si="1"/>
        <v>0</v>
      </c>
      <c r="Z35" s="127">
        <f t="shared" si="4"/>
        <v>22808.62</v>
      </c>
      <c r="AA35" s="27"/>
      <c r="AB35" s="36" t="s">
        <v>16</v>
      </c>
      <c r="AC35" s="181">
        <f t="shared" si="5"/>
        <v>138.05000000000001</v>
      </c>
      <c r="AD35" s="181">
        <f t="shared" si="2"/>
        <v>22808.62</v>
      </c>
      <c r="AE35" s="181">
        <v>1.1000000000000001</v>
      </c>
      <c r="AF35" s="181">
        <v>1.1000000000000001</v>
      </c>
      <c r="AG35" s="101" t="str">
        <f t="shared" si="6"/>
        <v/>
      </c>
      <c r="AH35" s="190">
        <v>138.05000000000001</v>
      </c>
      <c r="AI35" s="69">
        <f t="shared" si="7"/>
        <v>138.05000000000001</v>
      </c>
    </row>
    <row r="36" spans="1:35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62">
        <v>2000</v>
      </c>
      <c r="G36" s="62"/>
      <c r="H36" s="62" t="s">
        <v>15</v>
      </c>
      <c r="I36" s="61">
        <v>100</v>
      </c>
      <c r="J36" s="62">
        <v>200000</v>
      </c>
      <c r="K36" s="93"/>
      <c r="M36" s="46">
        <v>2000</v>
      </c>
      <c r="N36" s="46">
        <v>0</v>
      </c>
      <c r="O36" s="46">
        <v>200000</v>
      </c>
      <c r="P36" s="98"/>
      <c r="Q36" s="23" t="s">
        <v>1376</v>
      </c>
      <c r="R36" s="24" t="s">
        <v>1377</v>
      </c>
      <c r="S36" s="25" t="s">
        <v>34</v>
      </c>
      <c r="T36" s="26">
        <v>0</v>
      </c>
      <c r="U36" s="26">
        <v>2000</v>
      </c>
      <c r="V36" s="26">
        <v>100</v>
      </c>
      <c r="W36" s="127">
        <f t="shared" si="8"/>
        <v>0</v>
      </c>
      <c r="X36" s="127">
        <f t="shared" si="3"/>
        <v>2000</v>
      </c>
      <c r="Y36" s="127">
        <f t="shared" si="1"/>
        <v>0</v>
      </c>
      <c r="Z36" s="127">
        <f t="shared" si="4"/>
        <v>200000</v>
      </c>
      <c r="AA36" s="27"/>
      <c r="AB36" s="36" t="s">
        <v>16</v>
      </c>
      <c r="AC36" s="181">
        <f t="shared" si="5"/>
        <v>2000</v>
      </c>
      <c r="AD36" s="181">
        <f t="shared" si="2"/>
        <v>200000</v>
      </c>
      <c r="AE36" s="181">
        <v>1.1000000000000001</v>
      </c>
      <c r="AF36" s="181">
        <v>1.1000000000000001</v>
      </c>
      <c r="AG36" s="101" t="str">
        <f t="shared" si="6"/>
        <v/>
      </c>
      <c r="AH36" s="190">
        <v>2000</v>
      </c>
      <c r="AI36" s="69">
        <f t="shared" si="7"/>
        <v>2000</v>
      </c>
    </row>
    <row r="37" spans="1:35" ht="33" x14ac:dyDescent="0.3">
      <c r="A37" s="134" t="s">
        <v>1310</v>
      </c>
      <c r="B37" s="217" t="s">
        <v>1311</v>
      </c>
      <c r="C37" s="204" t="s">
        <v>50</v>
      </c>
      <c r="D37" s="216"/>
      <c r="E37" s="63"/>
      <c r="F37" s="62">
        <v>3324.02</v>
      </c>
      <c r="G37" s="62"/>
      <c r="H37" s="62" t="s">
        <v>15</v>
      </c>
      <c r="I37" s="61">
        <v>33.35</v>
      </c>
      <c r="J37" s="62">
        <v>110856.07</v>
      </c>
      <c r="K37" s="93"/>
      <c r="M37" s="46">
        <v>3324.02</v>
      </c>
      <c r="N37" s="46">
        <v>0</v>
      </c>
      <c r="O37" s="46">
        <v>110856.07</v>
      </c>
      <c r="P37" s="98"/>
      <c r="Q37" s="23" t="s">
        <v>1378</v>
      </c>
      <c r="R37" s="24" t="s">
        <v>1379</v>
      </c>
      <c r="S37" s="25" t="s">
        <v>50</v>
      </c>
      <c r="T37" s="26">
        <v>0</v>
      </c>
      <c r="U37" s="26">
        <v>3324.02</v>
      </c>
      <c r="V37" s="26">
        <v>33.35</v>
      </c>
      <c r="W37" s="127">
        <f t="shared" si="8"/>
        <v>0</v>
      </c>
      <c r="X37" s="127">
        <f t="shared" si="3"/>
        <v>3324.02</v>
      </c>
      <c r="Y37" s="127">
        <f t="shared" si="1"/>
        <v>0</v>
      </c>
      <c r="Z37" s="127">
        <f t="shared" si="4"/>
        <v>110856.07</v>
      </c>
      <c r="AA37" s="27"/>
      <c r="AB37" s="36" t="s">
        <v>16</v>
      </c>
      <c r="AC37" s="181">
        <f t="shared" si="5"/>
        <v>3324.02</v>
      </c>
      <c r="AD37" s="181">
        <f t="shared" si="2"/>
        <v>110856.07</v>
      </c>
      <c r="AE37" s="181">
        <v>1.1000000000000001</v>
      </c>
      <c r="AF37" s="181">
        <v>1.1000000000000001</v>
      </c>
      <c r="AG37" s="101" t="str">
        <f t="shared" si="6"/>
        <v/>
      </c>
      <c r="AH37" s="190">
        <v>3324.02</v>
      </c>
      <c r="AI37" s="69">
        <f t="shared" si="7"/>
        <v>3324.02</v>
      </c>
    </row>
    <row r="38" spans="1:35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4" t="s">
        <v>15</v>
      </c>
      <c r="I38" s="82"/>
      <c r="J38" s="82">
        <v>42752872.340000004</v>
      </c>
      <c r="K38" s="94" t="s">
        <v>15</v>
      </c>
      <c r="L38" s="73"/>
      <c r="M38" s="45">
        <v>1</v>
      </c>
      <c r="N38" s="45">
        <v>4518672.49</v>
      </c>
      <c r="O38" s="45">
        <v>15509356.49</v>
      </c>
      <c r="P38" s="98"/>
      <c r="Q38" s="18" t="s">
        <v>1380</v>
      </c>
      <c r="R38" s="19" t="s">
        <v>100</v>
      </c>
      <c r="S38" s="20" t="s">
        <v>14</v>
      </c>
      <c r="T38" s="21">
        <v>1</v>
      </c>
      <c r="U38" s="21"/>
      <c r="V38" s="21">
        <f>SUMIFS(AD:AD,AE:AE,AE38)</f>
        <v>42752872.340000033</v>
      </c>
      <c r="W38" s="21">
        <f t="shared" ref="W38:X38" si="9">IF(Y38=0,0,1)</f>
        <v>1</v>
      </c>
      <c r="X38" s="21">
        <f t="shared" si="9"/>
        <v>1</v>
      </c>
      <c r="Y38" s="21">
        <f>SUMIFS(Y:Y,AF:AF,AE38)</f>
        <v>3704466.6600000006</v>
      </c>
      <c r="Z38" s="21">
        <f>SUMIFS(Z:Z,AF:AF,AE38)</f>
        <v>19213823.150000006</v>
      </c>
      <c r="AA38" s="22" t="s">
        <v>15</v>
      </c>
      <c r="AB38" s="43" t="s">
        <v>16</v>
      </c>
      <c r="AC38" s="181">
        <f t="shared" si="5"/>
        <v>1</v>
      </c>
      <c r="AD38" s="184"/>
      <c r="AE38" s="181">
        <v>1.2</v>
      </c>
      <c r="AF38" s="181"/>
      <c r="AG38" s="101" t="str">
        <f t="shared" si="6"/>
        <v/>
      </c>
      <c r="AH38" s="190">
        <v>1</v>
      </c>
      <c r="AI38" s="69">
        <f t="shared" si="7"/>
        <v>1</v>
      </c>
    </row>
    <row r="39" spans="1:35" s="69" customFormat="1" ht="39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 t="s">
        <v>15</v>
      </c>
      <c r="I39" s="75">
        <v>320.74</v>
      </c>
      <c r="J39" s="75">
        <v>753030.16</v>
      </c>
      <c r="K39" s="91" t="s">
        <v>104</v>
      </c>
      <c r="L39" s="73"/>
      <c r="M39" s="46">
        <v>822</v>
      </c>
      <c r="N39" s="46">
        <v>263648.28000000003</v>
      </c>
      <c r="O39" s="46">
        <v>263648.28000000003</v>
      </c>
      <c r="P39" s="98"/>
      <c r="Q39" s="23" t="s">
        <v>1421</v>
      </c>
      <c r="R39" s="24" t="s">
        <v>102</v>
      </c>
      <c r="S39" s="25" t="s">
        <v>103</v>
      </c>
      <c r="T39" s="26">
        <v>2347.79</v>
      </c>
      <c r="U39" s="26">
        <v>2347.79</v>
      </c>
      <c r="V39" s="26">
        <f t="shared" ref="V39:V102" si="10">I39</f>
        <v>320.74</v>
      </c>
      <c r="W39" s="243">
        <f t="shared" si="8"/>
        <v>115.60000000000002</v>
      </c>
      <c r="X39" s="26">
        <f t="shared" si="3"/>
        <v>937.6</v>
      </c>
      <c r="Y39" s="26">
        <f t="shared" ref="Y39:Y102" si="11">Z39-O39</f>
        <v>37077.539999999979</v>
      </c>
      <c r="Z39" s="26">
        <f t="shared" si="4"/>
        <v>300725.82</v>
      </c>
      <c r="AA39" s="33" t="s">
        <v>15</v>
      </c>
      <c r="AB39" s="36" t="s">
        <v>16</v>
      </c>
      <c r="AC39" s="181">
        <f t="shared" si="5"/>
        <v>2347.79</v>
      </c>
      <c r="AD39" s="181">
        <f>ROUND(V39*AC39,2)</f>
        <v>753030.16</v>
      </c>
      <c r="AE39" s="181">
        <v>1.2</v>
      </c>
      <c r="AF39" s="181">
        <v>1.2</v>
      </c>
      <c r="AG39" s="101" t="str">
        <f t="shared" si="6"/>
        <v/>
      </c>
      <c r="AH39" s="191">
        <f>822+115.6</f>
        <v>937.6</v>
      </c>
      <c r="AI39" s="69">
        <f t="shared" si="7"/>
        <v>2347.79</v>
      </c>
    </row>
    <row r="40" spans="1:35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 t="s">
        <v>15</v>
      </c>
      <c r="I40" s="75">
        <v>346.08</v>
      </c>
      <c r="J40" s="75">
        <v>261553.42</v>
      </c>
      <c r="K40" s="91" t="s">
        <v>107</v>
      </c>
      <c r="L40" s="73"/>
      <c r="M40" s="46">
        <v>0</v>
      </c>
      <c r="N40" s="46">
        <v>0</v>
      </c>
      <c r="O40" s="46">
        <v>0</v>
      </c>
      <c r="P40" s="98"/>
      <c r="Q40" s="23" t="s">
        <v>1426</v>
      </c>
      <c r="R40" s="24" t="s">
        <v>106</v>
      </c>
      <c r="S40" s="25" t="s">
        <v>103</v>
      </c>
      <c r="T40" s="26">
        <v>755.76</v>
      </c>
      <c r="U40" s="26">
        <v>755.76</v>
      </c>
      <c r="V40" s="26">
        <f t="shared" si="10"/>
        <v>346.08</v>
      </c>
      <c r="W40" s="26">
        <f t="shared" si="8"/>
        <v>0</v>
      </c>
      <c r="X40" s="26">
        <f t="shared" si="3"/>
        <v>0</v>
      </c>
      <c r="Y40" s="26">
        <f t="shared" si="11"/>
        <v>0</v>
      </c>
      <c r="Z40" s="26">
        <f t="shared" si="4"/>
        <v>0</v>
      </c>
      <c r="AA40" s="33" t="s">
        <v>15</v>
      </c>
      <c r="AB40" s="36" t="s">
        <v>16</v>
      </c>
      <c r="AC40" s="181">
        <f t="shared" si="5"/>
        <v>755.76</v>
      </c>
      <c r="AD40" s="181">
        <f t="shared" ref="AD40:AD103" si="12">ROUND(V40*AC40,2)</f>
        <v>261553.42</v>
      </c>
      <c r="AE40" s="181">
        <v>1.2</v>
      </c>
      <c r="AF40" s="181">
        <v>1.2</v>
      </c>
      <c r="AG40" s="101" t="str">
        <f t="shared" si="6"/>
        <v/>
      </c>
      <c r="AH40" s="190">
        <v>0</v>
      </c>
      <c r="AI40" s="69">
        <f t="shared" si="7"/>
        <v>755.76</v>
      </c>
    </row>
    <row r="41" spans="1:35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 t="s">
        <v>15</v>
      </c>
      <c r="I41" s="75">
        <v>36.4</v>
      </c>
      <c r="J41" s="75">
        <v>1355298.67</v>
      </c>
      <c r="K41" s="91" t="s">
        <v>111</v>
      </c>
      <c r="L41" s="73"/>
      <c r="M41" s="46">
        <v>14723.3</v>
      </c>
      <c r="N41" s="46">
        <v>389916.8</v>
      </c>
      <c r="O41" s="46">
        <v>535928.12</v>
      </c>
      <c r="P41" s="98"/>
      <c r="Q41" s="23" t="s">
        <v>1402</v>
      </c>
      <c r="R41" s="24" t="s">
        <v>109</v>
      </c>
      <c r="S41" s="25" t="s">
        <v>110</v>
      </c>
      <c r="T41" s="26">
        <v>37233.480000000003</v>
      </c>
      <c r="U41" s="26">
        <v>37233.480000000003</v>
      </c>
      <c r="V41" s="26">
        <f t="shared" si="10"/>
        <v>36.4</v>
      </c>
      <c r="W41" s="243">
        <f t="shared" si="8"/>
        <v>7037.7999999999993</v>
      </c>
      <c r="X41" s="26">
        <f t="shared" si="3"/>
        <v>21761.1</v>
      </c>
      <c r="Y41" s="26">
        <f t="shared" si="11"/>
        <v>256175.92000000004</v>
      </c>
      <c r="Z41" s="26">
        <f t="shared" si="4"/>
        <v>792104.04</v>
      </c>
      <c r="AA41" s="33" t="s">
        <v>15</v>
      </c>
      <c r="AB41" s="36" t="s">
        <v>16</v>
      </c>
      <c r="AC41" s="181">
        <f t="shared" si="5"/>
        <v>37233.480000000003</v>
      </c>
      <c r="AD41" s="181">
        <f t="shared" si="12"/>
        <v>1355298.67</v>
      </c>
      <c r="AE41" s="181">
        <v>1.2</v>
      </c>
      <c r="AF41" s="181">
        <v>1.2</v>
      </c>
      <c r="AG41" s="101" t="str">
        <f t="shared" si="6"/>
        <v/>
      </c>
      <c r="AH41" s="191">
        <f>4011.3+10712+7037.8</f>
        <v>21761.1</v>
      </c>
      <c r="AI41" s="69">
        <f t="shared" si="7"/>
        <v>37233.480000000003</v>
      </c>
    </row>
    <row r="42" spans="1:35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 t="s">
        <v>15</v>
      </c>
      <c r="I42" s="75">
        <v>3115.13</v>
      </c>
      <c r="J42" s="75">
        <v>918901.05</v>
      </c>
      <c r="K42" s="91" t="s">
        <v>114</v>
      </c>
      <c r="L42" s="73"/>
      <c r="M42" s="46">
        <v>75.800000000000011</v>
      </c>
      <c r="N42" s="46">
        <v>122113.09000000001</v>
      </c>
      <c r="O42" s="46">
        <v>236126.85</v>
      </c>
      <c r="P42" s="98"/>
      <c r="Q42" s="23" t="s">
        <v>1373</v>
      </c>
      <c r="R42" s="24" t="s">
        <v>392</v>
      </c>
      <c r="S42" s="25" t="s">
        <v>23</v>
      </c>
      <c r="T42" s="26">
        <v>294.98</v>
      </c>
      <c r="U42" s="26">
        <v>294.98</v>
      </c>
      <c r="V42" s="26">
        <f t="shared" si="10"/>
        <v>3115.13</v>
      </c>
      <c r="W42" s="243">
        <f t="shared" si="8"/>
        <v>23.900000000000006</v>
      </c>
      <c r="X42" s="26">
        <f t="shared" si="3"/>
        <v>99.700000000000017</v>
      </c>
      <c r="Y42" s="26">
        <f t="shared" si="11"/>
        <v>74451.610000000015</v>
      </c>
      <c r="Z42" s="26">
        <f t="shared" si="4"/>
        <v>310578.46000000002</v>
      </c>
      <c r="AA42" s="33" t="s">
        <v>15</v>
      </c>
      <c r="AB42" s="36" t="s">
        <v>16</v>
      </c>
      <c r="AC42" s="181">
        <f t="shared" si="5"/>
        <v>294.98</v>
      </c>
      <c r="AD42" s="181">
        <f t="shared" si="12"/>
        <v>918901.05</v>
      </c>
      <c r="AE42" s="181">
        <v>1.2</v>
      </c>
      <c r="AF42" s="181">
        <v>1.2</v>
      </c>
      <c r="AG42" s="101" t="str">
        <f t="shared" si="6"/>
        <v/>
      </c>
      <c r="AH42" s="191">
        <f>36.6+39.2+23.9</f>
        <v>99.700000000000017</v>
      </c>
      <c r="AI42" s="69">
        <f t="shared" si="7"/>
        <v>294.98</v>
      </c>
    </row>
    <row r="43" spans="1:35" s="69" customFormat="1" ht="39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 t="s">
        <v>15</v>
      </c>
      <c r="I43" s="75">
        <v>3321.13</v>
      </c>
      <c r="J43" s="75">
        <v>2811934.35</v>
      </c>
      <c r="K43" s="91" t="s">
        <v>117</v>
      </c>
      <c r="L43" s="73"/>
      <c r="M43" s="46">
        <v>439.9</v>
      </c>
      <c r="N43" s="46">
        <v>523410.09000000008</v>
      </c>
      <c r="O43" s="46">
        <v>1460965.09</v>
      </c>
      <c r="P43" s="98"/>
      <c r="Q43" s="23" t="s">
        <v>1393</v>
      </c>
      <c r="R43" s="24" t="s">
        <v>116</v>
      </c>
      <c r="S43" s="25" t="s">
        <v>23</v>
      </c>
      <c r="T43" s="26">
        <v>846.68</v>
      </c>
      <c r="U43" s="26">
        <v>846.68</v>
      </c>
      <c r="V43" s="26">
        <f t="shared" si="10"/>
        <v>3321.13</v>
      </c>
      <c r="W43" s="243">
        <f t="shared" si="8"/>
        <v>131.19999999999993</v>
      </c>
      <c r="X43" s="26">
        <f t="shared" si="3"/>
        <v>571.09999999999991</v>
      </c>
      <c r="Y43" s="26">
        <f t="shared" si="11"/>
        <v>435732.25</v>
      </c>
      <c r="Z43" s="26">
        <f t="shared" si="4"/>
        <v>1896697.34</v>
      </c>
      <c r="AA43" s="33" t="s">
        <v>15</v>
      </c>
      <c r="AB43" s="36" t="s">
        <v>16</v>
      </c>
      <c r="AC43" s="181">
        <f t="shared" si="5"/>
        <v>846.68</v>
      </c>
      <c r="AD43" s="181">
        <f t="shared" si="12"/>
        <v>2811934.35</v>
      </c>
      <c r="AE43" s="181">
        <v>1.2</v>
      </c>
      <c r="AF43" s="181">
        <v>1.2</v>
      </c>
      <c r="AG43" s="101" t="str">
        <f t="shared" si="6"/>
        <v/>
      </c>
      <c r="AH43" s="191">
        <f>282.3+157.6+131.2</f>
        <v>571.09999999999991</v>
      </c>
      <c r="AI43" s="69">
        <f t="shared" si="7"/>
        <v>846.68</v>
      </c>
    </row>
    <row r="44" spans="1:35" s="69" customFormat="1" ht="26.1" customHeight="1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 t="s">
        <v>15</v>
      </c>
      <c r="I44" s="75">
        <v>533.64</v>
      </c>
      <c r="J44" s="75">
        <v>1273974.78</v>
      </c>
      <c r="K44" s="91" t="s">
        <v>120</v>
      </c>
      <c r="L44" s="73"/>
      <c r="M44" s="46">
        <v>1042.2</v>
      </c>
      <c r="N44" s="46">
        <v>121029.54999999999</v>
      </c>
      <c r="O44" s="46">
        <v>556159.61</v>
      </c>
      <c r="P44" s="98"/>
      <c r="Q44" s="23" t="s">
        <v>1403</v>
      </c>
      <c r="R44" s="24" t="s">
        <v>119</v>
      </c>
      <c r="S44" s="25" t="s">
        <v>50</v>
      </c>
      <c r="T44" s="26">
        <v>2387.33</v>
      </c>
      <c r="U44" s="26">
        <v>2387.33</v>
      </c>
      <c r="V44" s="26">
        <f t="shared" si="10"/>
        <v>533.64</v>
      </c>
      <c r="W44" s="243">
        <f t="shared" si="8"/>
        <v>231.09999999999991</v>
      </c>
      <c r="X44" s="26">
        <f t="shared" si="3"/>
        <v>1273.3</v>
      </c>
      <c r="Y44" s="26">
        <f t="shared" si="11"/>
        <v>123324.20000000007</v>
      </c>
      <c r="Z44" s="26">
        <f t="shared" si="4"/>
        <v>679483.81</v>
      </c>
      <c r="AA44" s="33" t="s">
        <v>15</v>
      </c>
      <c r="AB44" s="36" t="s">
        <v>16</v>
      </c>
      <c r="AC44" s="181">
        <f t="shared" si="5"/>
        <v>2387.33</v>
      </c>
      <c r="AD44" s="181">
        <f t="shared" si="12"/>
        <v>1273974.78</v>
      </c>
      <c r="AE44" s="181">
        <v>1.2</v>
      </c>
      <c r="AF44" s="181">
        <v>1.2</v>
      </c>
      <c r="AG44" s="101" t="str">
        <f t="shared" si="6"/>
        <v/>
      </c>
      <c r="AH44" s="191">
        <f>815.4+226.8+231.1</f>
        <v>1273.3</v>
      </c>
      <c r="AI44" s="69">
        <f t="shared" si="7"/>
        <v>2387.33</v>
      </c>
    </row>
    <row r="45" spans="1:35" s="69" customFormat="1" ht="26.1" customHeight="1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 t="s">
        <v>15</v>
      </c>
      <c r="I45" s="75">
        <v>1299.8900000000001</v>
      </c>
      <c r="J45" s="75">
        <v>1770710.16</v>
      </c>
      <c r="K45" s="91" t="s">
        <v>123</v>
      </c>
      <c r="L45" s="73"/>
      <c r="M45" s="46">
        <v>304.2</v>
      </c>
      <c r="N45" s="46">
        <v>180944.68999999997</v>
      </c>
      <c r="O45" s="46">
        <v>395426.54</v>
      </c>
      <c r="P45" s="98"/>
      <c r="Q45" s="23" t="s">
        <v>1427</v>
      </c>
      <c r="R45" s="24" t="s">
        <v>122</v>
      </c>
      <c r="S45" s="25" t="s">
        <v>50</v>
      </c>
      <c r="T45" s="26">
        <v>1362.2</v>
      </c>
      <c r="U45" s="26">
        <v>1362.2</v>
      </c>
      <c r="V45" s="26">
        <f t="shared" si="10"/>
        <v>1299.8900000000001</v>
      </c>
      <c r="W45" s="243">
        <f t="shared" si="8"/>
        <v>39.300000000000011</v>
      </c>
      <c r="X45" s="26">
        <f t="shared" si="3"/>
        <v>343.5</v>
      </c>
      <c r="Y45" s="26">
        <f t="shared" si="11"/>
        <v>51085.679999999993</v>
      </c>
      <c r="Z45" s="26">
        <f t="shared" si="4"/>
        <v>446512.22</v>
      </c>
      <c r="AA45" s="33" t="s">
        <v>15</v>
      </c>
      <c r="AB45" s="36" t="s">
        <v>16</v>
      </c>
      <c r="AC45" s="181">
        <f t="shared" si="5"/>
        <v>1362.2</v>
      </c>
      <c r="AD45" s="181">
        <f t="shared" si="12"/>
        <v>1770710.16</v>
      </c>
      <c r="AE45" s="181">
        <v>1.2</v>
      </c>
      <c r="AF45" s="181">
        <v>1.2</v>
      </c>
      <c r="AG45" s="101" t="str">
        <f t="shared" si="6"/>
        <v/>
      </c>
      <c r="AH45" s="191">
        <f>165+139.2+39.3</f>
        <v>343.5</v>
      </c>
      <c r="AI45" s="69">
        <f t="shared" si="7"/>
        <v>1362.2</v>
      </c>
    </row>
    <row r="46" spans="1:35" s="69" customFormat="1" ht="26.1" customHeight="1" x14ac:dyDescent="0.3">
      <c r="A46" s="130" t="s">
        <v>124</v>
      </c>
      <c r="B46" s="131" t="s">
        <v>125</v>
      </c>
      <c r="C46" s="132" t="s">
        <v>110</v>
      </c>
      <c r="D46" s="133">
        <v>4781.5600000000004</v>
      </c>
      <c r="E46" s="75"/>
      <c r="F46" s="75"/>
      <c r="G46" s="75"/>
      <c r="H46" s="75" t="s">
        <v>15</v>
      </c>
      <c r="I46" s="75">
        <v>60</v>
      </c>
      <c r="J46" s="75">
        <v>286893.59999999998</v>
      </c>
      <c r="K46" s="91" t="s">
        <v>126</v>
      </c>
      <c r="L46" s="73"/>
      <c r="M46" s="46">
        <v>3546.4</v>
      </c>
      <c r="N46" s="46">
        <v>0</v>
      </c>
      <c r="O46" s="46">
        <v>212784</v>
      </c>
      <c r="P46" s="98"/>
      <c r="Q46" s="23" t="s">
        <v>1428</v>
      </c>
      <c r="R46" s="24" t="s">
        <v>125</v>
      </c>
      <c r="S46" s="25" t="s">
        <v>110</v>
      </c>
      <c r="T46" s="26">
        <v>4781.5600000000004</v>
      </c>
      <c r="U46" s="26">
        <v>4781.5600000000004</v>
      </c>
      <c r="V46" s="26">
        <f t="shared" si="10"/>
        <v>60</v>
      </c>
      <c r="W46" s="243">
        <f t="shared" si="8"/>
        <v>1235.0999999999999</v>
      </c>
      <c r="X46" s="127">
        <f t="shared" si="3"/>
        <v>4781.5</v>
      </c>
      <c r="Y46" s="127">
        <f t="shared" si="11"/>
        <v>74106</v>
      </c>
      <c r="Z46" s="127">
        <f t="shared" si="4"/>
        <v>286890</v>
      </c>
      <c r="AA46" s="33" t="s">
        <v>15</v>
      </c>
      <c r="AB46" s="36" t="s">
        <v>16</v>
      </c>
      <c r="AC46" s="181">
        <f t="shared" si="5"/>
        <v>4781.5600000000004</v>
      </c>
      <c r="AD46" s="181">
        <f t="shared" si="12"/>
        <v>286893.59999999998</v>
      </c>
      <c r="AE46" s="181">
        <v>1.2</v>
      </c>
      <c r="AF46" s="181">
        <v>1.2</v>
      </c>
      <c r="AG46" s="101" t="str">
        <f t="shared" si="6"/>
        <v/>
      </c>
      <c r="AH46" s="191">
        <f>3546.4+1235.1</f>
        <v>4781.5</v>
      </c>
      <c r="AI46" s="69">
        <f t="shared" si="7"/>
        <v>4781.5600000000004</v>
      </c>
    </row>
    <row r="47" spans="1:35" s="69" customFormat="1" ht="39" x14ac:dyDescent="0.3">
      <c r="A47" s="130" t="s">
        <v>127</v>
      </c>
      <c r="B47" s="131" t="s">
        <v>128</v>
      </c>
      <c r="C47" s="132" t="s">
        <v>110</v>
      </c>
      <c r="D47" s="133">
        <v>4781.5600000000004</v>
      </c>
      <c r="E47" s="75"/>
      <c r="F47" s="75"/>
      <c r="G47" s="75"/>
      <c r="H47" s="75" t="s">
        <v>15</v>
      </c>
      <c r="I47" s="75">
        <v>31.9</v>
      </c>
      <c r="J47" s="75">
        <v>152531.76</v>
      </c>
      <c r="K47" s="91" t="s">
        <v>129</v>
      </c>
      <c r="L47" s="73"/>
      <c r="M47" s="46">
        <v>3546.4</v>
      </c>
      <c r="N47" s="46">
        <v>0</v>
      </c>
      <c r="O47" s="46">
        <v>113130.16</v>
      </c>
      <c r="P47" s="98"/>
      <c r="Q47" s="23" t="s">
        <v>1387</v>
      </c>
      <c r="R47" s="24" t="s">
        <v>128</v>
      </c>
      <c r="S47" s="25" t="s">
        <v>110</v>
      </c>
      <c r="T47" s="26">
        <v>4781.5600000000004</v>
      </c>
      <c r="U47" s="26">
        <v>4781.5600000000004</v>
      </c>
      <c r="V47" s="26">
        <f t="shared" si="10"/>
        <v>31.9</v>
      </c>
      <c r="W47" s="243">
        <f t="shared" si="8"/>
        <v>1235.0999999999999</v>
      </c>
      <c r="X47" s="127">
        <f t="shared" si="3"/>
        <v>4781.5</v>
      </c>
      <c r="Y47" s="127">
        <f t="shared" si="11"/>
        <v>39399.69</v>
      </c>
      <c r="Z47" s="127">
        <f t="shared" si="4"/>
        <v>152529.85</v>
      </c>
      <c r="AA47" s="33" t="s">
        <v>15</v>
      </c>
      <c r="AB47" s="36" t="s">
        <v>16</v>
      </c>
      <c r="AC47" s="181">
        <f t="shared" si="5"/>
        <v>4781.5600000000004</v>
      </c>
      <c r="AD47" s="181">
        <f t="shared" si="12"/>
        <v>152531.76</v>
      </c>
      <c r="AE47" s="181">
        <v>1.2</v>
      </c>
      <c r="AF47" s="181">
        <v>1.2</v>
      </c>
      <c r="AG47" s="101" t="str">
        <f t="shared" si="6"/>
        <v/>
      </c>
      <c r="AH47" s="191">
        <f>AH46</f>
        <v>4781.5</v>
      </c>
      <c r="AI47" s="69">
        <f t="shared" si="7"/>
        <v>4781.5600000000004</v>
      </c>
    </row>
    <row r="48" spans="1:35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 t="s">
        <v>15</v>
      </c>
      <c r="I48" s="75">
        <v>107.31</v>
      </c>
      <c r="J48" s="75">
        <v>246905.29</v>
      </c>
      <c r="K48" s="91" t="s">
        <v>132</v>
      </c>
      <c r="L48" s="73"/>
      <c r="M48" s="46">
        <v>1855</v>
      </c>
      <c r="N48" s="46">
        <v>0</v>
      </c>
      <c r="O48" s="46">
        <v>199060.05</v>
      </c>
      <c r="P48" s="98"/>
      <c r="Q48" s="23" t="s">
        <v>1405</v>
      </c>
      <c r="R48" s="24" t="s">
        <v>131</v>
      </c>
      <c r="S48" s="25" t="s">
        <v>110</v>
      </c>
      <c r="T48" s="26">
        <v>2300.86</v>
      </c>
      <c r="U48" s="26">
        <v>2300.86</v>
      </c>
      <c r="V48" s="26">
        <f t="shared" si="10"/>
        <v>107.31</v>
      </c>
      <c r="W48" s="128">
        <f t="shared" si="8"/>
        <v>0</v>
      </c>
      <c r="X48" s="26">
        <f t="shared" si="3"/>
        <v>1855</v>
      </c>
      <c r="Y48" s="26">
        <f t="shared" si="11"/>
        <v>0</v>
      </c>
      <c r="Z48" s="26">
        <f t="shared" si="4"/>
        <v>199060.05</v>
      </c>
      <c r="AA48" s="33" t="s">
        <v>15</v>
      </c>
      <c r="AB48" s="36" t="s">
        <v>16</v>
      </c>
      <c r="AC48" s="181">
        <f t="shared" si="5"/>
        <v>2300.86</v>
      </c>
      <c r="AD48" s="181">
        <f t="shared" si="12"/>
        <v>246905.29</v>
      </c>
      <c r="AE48" s="181">
        <v>1.2</v>
      </c>
      <c r="AF48" s="181">
        <v>1.2</v>
      </c>
      <c r="AG48" s="101" t="str">
        <f t="shared" si="6"/>
        <v/>
      </c>
      <c r="AH48" s="191">
        <v>1855</v>
      </c>
      <c r="AI48" s="69">
        <f t="shared" si="7"/>
        <v>2300.86</v>
      </c>
    </row>
    <row r="49" spans="1:35" s="69" customFormat="1" ht="33" x14ac:dyDescent="0.3">
      <c r="A49" s="55" t="s">
        <v>133</v>
      </c>
      <c r="B49" s="215" t="s">
        <v>134</v>
      </c>
      <c r="C49" s="54" t="s">
        <v>50</v>
      </c>
      <c r="D49" s="75">
        <v>5207.01</v>
      </c>
      <c r="E49" s="75"/>
      <c r="F49" s="75"/>
      <c r="G49" s="75"/>
      <c r="H49" s="75" t="s">
        <v>15</v>
      </c>
      <c r="I49" s="75">
        <v>2964</v>
      </c>
      <c r="J49" s="75">
        <v>15433577.640000001</v>
      </c>
      <c r="K49" s="137" t="s">
        <v>135</v>
      </c>
      <c r="L49" s="73"/>
      <c r="M49" s="46">
        <v>1971.5</v>
      </c>
      <c r="N49" s="46">
        <v>628960.79999999981</v>
      </c>
      <c r="O49" s="46">
        <v>5843526</v>
      </c>
      <c r="P49" s="98"/>
      <c r="Q49" s="23" t="s">
        <v>1406</v>
      </c>
      <c r="R49" s="24" t="s">
        <v>134</v>
      </c>
      <c r="S49" s="25" t="s">
        <v>50</v>
      </c>
      <c r="T49" s="26">
        <v>5207.01</v>
      </c>
      <c r="U49" s="26">
        <v>5207.01</v>
      </c>
      <c r="V49" s="26">
        <f t="shared" si="10"/>
        <v>2964</v>
      </c>
      <c r="W49" s="243">
        <f t="shared" si="8"/>
        <v>210.69999999999982</v>
      </c>
      <c r="X49" s="26">
        <f t="shared" si="3"/>
        <v>2182.1999999999998</v>
      </c>
      <c r="Y49" s="26">
        <f t="shared" si="11"/>
        <v>624514.79999999981</v>
      </c>
      <c r="Z49" s="26">
        <f t="shared" si="4"/>
        <v>6468040.7999999998</v>
      </c>
      <c r="AA49" s="33" t="s">
        <v>15</v>
      </c>
      <c r="AB49" s="36" t="s">
        <v>16</v>
      </c>
      <c r="AC49" s="181">
        <f t="shared" si="5"/>
        <v>5207.01</v>
      </c>
      <c r="AD49" s="181">
        <f t="shared" si="12"/>
        <v>15433577.640000001</v>
      </c>
      <c r="AE49" s="181">
        <v>1.2</v>
      </c>
      <c r="AF49" s="181">
        <v>1.2</v>
      </c>
      <c r="AG49" s="101" t="str">
        <f t="shared" si="6"/>
        <v/>
      </c>
      <c r="AH49" s="191">
        <f>1759.3+212.2+210.7</f>
        <v>2182.1999999999998</v>
      </c>
      <c r="AI49" s="69">
        <f t="shared" si="7"/>
        <v>5207.01</v>
      </c>
    </row>
    <row r="50" spans="1:35" s="69" customFormat="1" ht="39" x14ac:dyDescent="0.3">
      <c r="A50" s="55" t="s">
        <v>136</v>
      </c>
      <c r="B50" s="53" t="s">
        <v>3138</v>
      </c>
      <c r="C50" s="54" t="s">
        <v>50</v>
      </c>
      <c r="D50" s="75">
        <v>693.8</v>
      </c>
      <c r="E50" s="75"/>
      <c r="F50" s="75"/>
      <c r="G50" s="75"/>
      <c r="H50" s="75" t="s">
        <v>15</v>
      </c>
      <c r="I50" s="75">
        <v>3961.57</v>
      </c>
      <c r="J50" s="75">
        <v>2748537.27</v>
      </c>
      <c r="K50" s="137" t="s">
        <v>138</v>
      </c>
      <c r="L50" s="73"/>
      <c r="M50" s="46">
        <v>286.8</v>
      </c>
      <c r="N50" s="46">
        <v>1136178.28</v>
      </c>
      <c r="O50" s="46">
        <v>1136178.28</v>
      </c>
      <c r="P50" s="98"/>
      <c r="Q50" s="23" t="s">
        <v>1414</v>
      </c>
      <c r="R50" s="24" t="s">
        <v>137</v>
      </c>
      <c r="S50" s="25" t="s">
        <v>50</v>
      </c>
      <c r="T50" s="26">
        <v>693.8</v>
      </c>
      <c r="U50" s="26">
        <v>693.8</v>
      </c>
      <c r="V50" s="26">
        <f t="shared" si="10"/>
        <v>3961.57</v>
      </c>
      <c r="W50" s="243">
        <f>AH50-M50</f>
        <v>232.99999999999994</v>
      </c>
      <c r="X50" s="26">
        <f t="shared" si="3"/>
        <v>519.79999999999995</v>
      </c>
      <c r="Y50" s="26">
        <f t="shared" si="11"/>
        <v>923045.81</v>
      </c>
      <c r="Z50" s="26">
        <f t="shared" si="4"/>
        <v>2059224.09</v>
      </c>
      <c r="AA50" s="33" t="s">
        <v>15</v>
      </c>
      <c r="AB50" s="36" t="s">
        <v>16</v>
      </c>
      <c r="AC50" s="181">
        <f t="shared" si="5"/>
        <v>693.8</v>
      </c>
      <c r="AD50" s="181">
        <f t="shared" si="12"/>
        <v>2748537.27</v>
      </c>
      <c r="AE50" s="181">
        <v>1.2</v>
      </c>
      <c r="AF50" s="181">
        <v>1.2</v>
      </c>
      <c r="AG50" s="101" t="str">
        <f t="shared" si="6"/>
        <v/>
      </c>
      <c r="AH50" s="191">
        <f>286.8+233</f>
        <v>519.79999999999995</v>
      </c>
      <c r="AI50" s="69">
        <f t="shared" si="7"/>
        <v>693.8</v>
      </c>
    </row>
    <row r="51" spans="1:35" s="69" customFormat="1" ht="26.1" customHeight="1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 t="s">
        <v>15</v>
      </c>
      <c r="I51" s="75">
        <v>3965.81</v>
      </c>
      <c r="J51" s="75">
        <v>1488090.89</v>
      </c>
      <c r="K51" s="137" t="s">
        <v>141</v>
      </c>
      <c r="L51" s="73"/>
      <c r="M51" s="46">
        <v>0</v>
      </c>
      <c r="N51" s="46">
        <v>0</v>
      </c>
      <c r="O51" s="46">
        <v>0</v>
      </c>
      <c r="P51" s="98"/>
      <c r="Q51" s="23" t="s">
        <v>1429</v>
      </c>
      <c r="R51" s="24" t="s">
        <v>140</v>
      </c>
      <c r="S51" s="25" t="s">
        <v>50</v>
      </c>
      <c r="T51" s="26">
        <v>375.23</v>
      </c>
      <c r="U51" s="26">
        <v>375.23</v>
      </c>
      <c r="V51" s="26">
        <f t="shared" si="10"/>
        <v>3965.81</v>
      </c>
      <c r="W51" s="26">
        <f t="shared" si="8"/>
        <v>0</v>
      </c>
      <c r="X51" s="26">
        <f t="shared" si="3"/>
        <v>0</v>
      </c>
      <c r="Y51" s="26">
        <f t="shared" si="11"/>
        <v>0</v>
      </c>
      <c r="Z51" s="26">
        <f t="shared" si="4"/>
        <v>0</v>
      </c>
      <c r="AA51" s="33" t="s">
        <v>15</v>
      </c>
      <c r="AB51" s="36" t="s">
        <v>16</v>
      </c>
      <c r="AC51" s="181">
        <f t="shared" si="5"/>
        <v>375.23</v>
      </c>
      <c r="AD51" s="181">
        <f t="shared" si="12"/>
        <v>1488090.89</v>
      </c>
      <c r="AE51" s="181">
        <v>1.2</v>
      </c>
      <c r="AF51" s="181">
        <v>1.2</v>
      </c>
      <c r="AG51" s="101" t="str">
        <f t="shared" si="6"/>
        <v/>
      </c>
      <c r="AH51" s="190">
        <v>0</v>
      </c>
      <c r="AI51" s="69">
        <f t="shared" si="7"/>
        <v>375.23</v>
      </c>
    </row>
    <row r="52" spans="1:35" s="69" customFormat="1" ht="26.1" customHeight="1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 t="s">
        <v>15</v>
      </c>
      <c r="I52" s="75">
        <v>773.88</v>
      </c>
      <c r="J52" s="75">
        <v>26931.02</v>
      </c>
      <c r="K52" s="91" t="s">
        <v>144</v>
      </c>
      <c r="L52" s="73"/>
      <c r="M52" s="46">
        <v>0</v>
      </c>
      <c r="N52" s="46">
        <v>0</v>
      </c>
      <c r="O52" s="46">
        <v>0</v>
      </c>
      <c r="P52" s="98"/>
      <c r="Q52" s="23" t="s">
        <v>1430</v>
      </c>
      <c r="R52" s="24" t="s">
        <v>143</v>
      </c>
      <c r="S52" s="25" t="s">
        <v>50</v>
      </c>
      <c r="T52" s="26">
        <v>34.799999999999997</v>
      </c>
      <c r="U52" s="26">
        <v>34.799999999999997</v>
      </c>
      <c r="V52" s="26">
        <f t="shared" si="10"/>
        <v>773.88</v>
      </c>
      <c r="W52" s="26">
        <f t="shared" si="8"/>
        <v>0</v>
      </c>
      <c r="X52" s="26">
        <f t="shared" si="3"/>
        <v>0</v>
      </c>
      <c r="Y52" s="26">
        <f t="shared" si="11"/>
        <v>0</v>
      </c>
      <c r="Z52" s="26">
        <f t="shared" si="4"/>
        <v>0</v>
      </c>
      <c r="AA52" s="33" t="s">
        <v>15</v>
      </c>
      <c r="AB52" s="36" t="s">
        <v>16</v>
      </c>
      <c r="AC52" s="181">
        <f t="shared" si="5"/>
        <v>34.799999999999997</v>
      </c>
      <c r="AD52" s="181">
        <f t="shared" si="12"/>
        <v>26931.02</v>
      </c>
      <c r="AE52" s="181">
        <v>1.2</v>
      </c>
      <c r="AF52" s="181">
        <v>1.2</v>
      </c>
      <c r="AG52" s="101" t="str">
        <f t="shared" si="6"/>
        <v/>
      </c>
      <c r="AH52" s="190">
        <v>0</v>
      </c>
      <c r="AI52" s="69">
        <f t="shared" si="7"/>
        <v>34.799999999999997</v>
      </c>
    </row>
    <row r="53" spans="1:35" s="69" customFormat="1" ht="26.1" customHeight="1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 t="s">
        <v>15</v>
      </c>
      <c r="I53" s="75">
        <v>948.4</v>
      </c>
      <c r="J53" s="75">
        <v>11361.83</v>
      </c>
      <c r="K53" s="91" t="s">
        <v>147</v>
      </c>
      <c r="L53" s="73"/>
      <c r="M53" s="46">
        <v>0</v>
      </c>
      <c r="N53" s="46">
        <v>0</v>
      </c>
      <c r="O53" s="46">
        <v>0</v>
      </c>
      <c r="P53" s="98"/>
      <c r="Q53" s="23" t="s">
        <v>1431</v>
      </c>
      <c r="R53" s="24" t="s">
        <v>146</v>
      </c>
      <c r="S53" s="25" t="s">
        <v>50</v>
      </c>
      <c r="T53" s="26">
        <v>11.98</v>
      </c>
      <c r="U53" s="26">
        <v>11.98</v>
      </c>
      <c r="V53" s="26">
        <f t="shared" si="10"/>
        <v>948.4</v>
      </c>
      <c r="W53" s="26">
        <f t="shared" si="8"/>
        <v>0</v>
      </c>
      <c r="X53" s="26">
        <f t="shared" si="3"/>
        <v>0</v>
      </c>
      <c r="Y53" s="26">
        <f t="shared" si="11"/>
        <v>0</v>
      </c>
      <c r="Z53" s="26">
        <f t="shared" si="4"/>
        <v>0</v>
      </c>
      <c r="AA53" s="33" t="s">
        <v>15</v>
      </c>
      <c r="AB53" s="36" t="s">
        <v>16</v>
      </c>
      <c r="AC53" s="181">
        <f t="shared" si="5"/>
        <v>11.98</v>
      </c>
      <c r="AD53" s="181">
        <f t="shared" si="12"/>
        <v>11361.83</v>
      </c>
      <c r="AE53" s="181">
        <v>1.2</v>
      </c>
      <c r="AF53" s="181">
        <v>1.2</v>
      </c>
      <c r="AG53" s="101" t="str">
        <f t="shared" si="6"/>
        <v/>
      </c>
      <c r="AH53" s="190">
        <v>0</v>
      </c>
      <c r="AI53" s="69">
        <f t="shared" si="7"/>
        <v>11.98</v>
      </c>
    </row>
    <row r="54" spans="1:35" s="69" customFormat="1" ht="26.1" customHeight="1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 t="s">
        <v>15</v>
      </c>
      <c r="I54" s="75">
        <v>6163.46</v>
      </c>
      <c r="J54" s="75">
        <v>870650.36</v>
      </c>
      <c r="K54" s="91" t="s">
        <v>150</v>
      </c>
      <c r="L54" s="73"/>
      <c r="M54" s="46">
        <v>12</v>
      </c>
      <c r="N54" s="46">
        <v>73961.52</v>
      </c>
      <c r="O54" s="46">
        <v>73961.52</v>
      </c>
      <c r="P54" s="98"/>
      <c r="Q54" s="23" t="s">
        <v>1395</v>
      </c>
      <c r="R54" s="24" t="s">
        <v>149</v>
      </c>
      <c r="S54" s="25" t="s">
        <v>50</v>
      </c>
      <c r="T54" s="26">
        <v>141.26</v>
      </c>
      <c r="U54" s="26">
        <v>141.26</v>
      </c>
      <c r="V54" s="26">
        <f t="shared" si="10"/>
        <v>6163.46</v>
      </c>
      <c r="W54" s="128">
        <f t="shared" si="8"/>
        <v>0</v>
      </c>
      <c r="X54" s="26">
        <f t="shared" si="3"/>
        <v>12</v>
      </c>
      <c r="Y54" s="26">
        <f t="shared" si="11"/>
        <v>0</v>
      </c>
      <c r="Z54" s="26">
        <f t="shared" si="4"/>
        <v>73961.52</v>
      </c>
      <c r="AA54" s="33" t="s">
        <v>15</v>
      </c>
      <c r="AB54" s="36" t="s">
        <v>16</v>
      </c>
      <c r="AC54" s="181">
        <f t="shared" si="5"/>
        <v>141.26</v>
      </c>
      <c r="AD54" s="181">
        <f t="shared" si="12"/>
        <v>870650.36</v>
      </c>
      <c r="AE54" s="181">
        <v>1.2</v>
      </c>
      <c r="AF54" s="181">
        <v>1.2</v>
      </c>
      <c r="AG54" s="101" t="str">
        <f t="shared" si="6"/>
        <v/>
      </c>
      <c r="AH54" s="191">
        <f>12</f>
        <v>12</v>
      </c>
      <c r="AI54" s="69">
        <f t="shared" si="7"/>
        <v>141.26</v>
      </c>
    </row>
    <row r="55" spans="1:35" s="69" customFormat="1" ht="26.1" customHeight="1" x14ac:dyDescent="0.3">
      <c r="A55" s="55" t="s">
        <v>151</v>
      </c>
      <c r="B55" s="53" t="s">
        <v>152</v>
      </c>
      <c r="C55" s="54" t="s">
        <v>81</v>
      </c>
      <c r="D55" s="75">
        <v>1</v>
      </c>
      <c r="E55" s="75"/>
      <c r="F55" s="75"/>
      <c r="G55" s="75"/>
      <c r="H55" s="75" t="s">
        <v>15</v>
      </c>
      <c r="I55" s="75">
        <v>169519.61</v>
      </c>
      <c r="J55" s="75">
        <v>169519.61</v>
      </c>
      <c r="K55" s="91" t="s">
        <v>153</v>
      </c>
      <c r="L55" s="73"/>
      <c r="M55" s="46">
        <v>0</v>
      </c>
      <c r="N55" s="46">
        <v>0</v>
      </c>
      <c r="O55" s="46">
        <v>0</v>
      </c>
      <c r="P55" s="98"/>
      <c r="Q55" s="23" t="s">
        <v>1432</v>
      </c>
      <c r="R55" s="24" t="s">
        <v>152</v>
      </c>
      <c r="S55" s="25" t="s">
        <v>81</v>
      </c>
      <c r="T55" s="26">
        <v>1</v>
      </c>
      <c r="U55" s="26">
        <v>1</v>
      </c>
      <c r="V55" s="26">
        <f t="shared" si="10"/>
        <v>169519.61</v>
      </c>
      <c r="W55" s="26">
        <f t="shared" si="8"/>
        <v>0</v>
      </c>
      <c r="X55" s="26">
        <f t="shared" si="3"/>
        <v>0</v>
      </c>
      <c r="Y55" s="26">
        <f t="shared" si="11"/>
        <v>0</v>
      </c>
      <c r="Z55" s="26">
        <f t="shared" si="4"/>
        <v>0</v>
      </c>
      <c r="AA55" s="33" t="s">
        <v>15</v>
      </c>
      <c r="AB55" s="36" t="s">
        <v>16</v>
      </c>
      <c r="AC55" s="181">
        <f t="shared" si="5"/>
        <v>1</v>
      </c>
      <c r="AD55" s="181">
        <f t="shared" si="12"/>
        <v>169519.61</v>
      </c>
      <c r="AE55" s="181">
        <v>1.2</v>
      </c>
      <c r="AF55" s="181">
        <v>1.2</v>
      </c>
      <c r="AG55" s="101" t="str">
        <f t="shared" si="6"/>
        <v/>
      </c>
      <c r="AH55" s="190">
        <v>0</v>
      </c>
      <c r="AI55" s="69">
        <f t="shared" si="7"/>
        <v>1</v>
      </c>
    </row>
    <row r="56" spans="1:35" s="69" customFormat="1" ht="26.1" customHeight="1" x14ac:dyDescent="0.3">
      <c r="A56" s="130" t="s">
        <v>154</v>
      </c>
      <c r="B56" s="131" t="s">
        <v>155</v>
      </c>
      <c r="C56" s="132" t="s">
        <v>81</v>
      </c>
      <c r="D56" s="133">
        <v>1</v>
      </c>
      <c r="E56" s="75"/>
      <c r="F56" s="75"/>
      <c r="G56" s="75"/>
      <c r="H56" s="75" t="s">
        <v>15</v>
      </c>
      <c r="I56" s="75">
        <v>350211.64</v>
      </c>
      <c r="J56" s="75">
        <v>350211.64</v>
      </c>
      <c r="K56" s="91" t="s">
        <v>156</v>
      </c>
      <c r="L56" s="73"/>
      <c r="M56" s="46">
        <v>0</v>
      </c>
      <c r="N56" s="46">
        <v>0</v>
      </c>
      <c r="O56" s="46">
        <v>0</v>
      </c>
      <c r="P56" s="98"/>
      <c r="Q56" s="23" t="s">
        <v>1433</v>
      </c>
      <c r="R56" s="24" t="s">
        <v>155</v>
      </c>
      <c r="S56" s="25" t="s">
        <v>81</v>
      </c>
      <c r="T56" s="26">
        <v>1</v>
      </c>
      <c r="U56" s="26">
        <v>1</v>
      </c>
      <c r="V56" s="26">
        <f t="shared" si="10"/>
        <v>350211.64</v>
      </c>
      <c r="W56" s="243">
        <f t="shared" si="8"/>
        <v>1</v>
      </c>
      <c r="X56" s="127">
        <f t="shared" si="3"/>
        <v>1</v>
      </c>
      <c r="Y56" s="127">
        <f t="shared" si="11"/>
        <v>350211.64</v>
      </c>
      <c r="Z56" s="127">
        <f t="shared" si="4"/>
        <v>350211.64</v>
      </c>
      <c r="AA56" s="33" t="s">
        <v>15</v>
      </c>
      <c r="AB56" s="36" t="s">
        <v>16</v>
      </c>
      <c r="AC56" s="181">
        <f t="shared" si="5"/>
        <v>1</v>
      </c>
      <c r="AD56" s="181">
        <f t="shared" si="12"/>
        <v>350211.64</v>
      </c>
      <c r="AE56" s="181">
        <v>1.2</v>
      </c>
      <c r="AF56" s="181">
        <v>1.2</v>
      </c>
      <c r="AG56" s="101" t="str">
        <f t="shared" si="6"/>
        <v/>
      </c>
      <c r="AH56" s="191">
        <f>1</f>
        <v>1</v>
      </c>
      <c r="AI56" s="69">
        <f t="shared" si="7"/>
        <v>1</v>
      </c>
    </row>
    <row r="57" spans="1:35" s="69" customFormat="1" ht="26.1" customHeight="1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 t="s">
        <v>15</v>
      </c>
      <c r="I57" s="75">
        <v>309726.87</v>
      </c>
      <c r="J57" s="75">
        <v>309726.87</v>
      </c>
      <c r="K57" s="91" t="s">
        <v>159</v>
      </c>
      <c r="L57" s="73"/>
      <c r="M57" s="46">
        <v>0</v>
      </c>
      <c r="N57" s="46">
        <v>0</v>
      </c>
      <c r="O57" s="46">
        <v>0</v>
      </c>
      <c r="P57" s="98"/>
      <c r="Q57" s="23" t="s">
        <v>1382</v>
      </c>
      <c r="R57" s="24" t="s">
        <v>158</v>
      </c>
      <c r="S57" s="25" t="s">
        <v>81</v>
      </c>
      <c r="T57" s="26">
        <v>1</v>
      </c>
      <c r="U57" s="26">
        <v>1</v>
      </c>
      <c r="V57" s="26">
        <f t="shared" si="10"/>
        <v>309726.87</v>
      </c>
      <c r="W57" s="26">
        <f t="shared" si="8"/>
        <v>0</v>
      </c>
      <c r="X57" s="26">
        <f t="shared" si="3"/>
        <v>0</v>
      </c>
      <c r="Y57" s="26">
        <f t="shared" si="11"/>
        <v>0</v>
      </c>
      <c r="Z57" s="26">
        <f t="shared" si="4"/>
        <v>0</v>
      </c>
      <c r="AA57" s="33" t="s">
        <v>15</v>
      </c>
      <c r="AB57" s="36" t="s">
        <v>16</v>
      </c>
      <c r="AC57" s="181">
        <f t="shared" si="5"/>
        <v>1</v>
      </c>
      <c r="AD57" s="181">
        <f t="shared" si="12"/>
        <v>309726.87</v>
      </c>
      <c r="AE57" s="181">
        <v>1.2</v>
      </c>
      <c r="AF57" s="181">
        <v>1.2</v>
      </c>
      <c r="AG57" s="101" t="str">
        <f t="shared" si="6"/>
        <v/>
      </c>
      <c r="AH57" s="190">
        <v>0</v>
      </c>
      <c r="AI57" s="69">
        <f t="shared" si="7"/>
        <v>1</v>
      </c>
    </row>
    <row r="58" spans="1:35" s="69" customFormat="1" ht="26.1" customHeight="1" x14ac:dyDescent="0.3">
      <c r="A58" s="55" t="s">
        <v>160</v>
      </c>
      <c r="B58" s="53" t="s">
        <v>161</v>
      </c>
      <c r="C58" s="54" t="s">
        <v>162</v>
      </c>
      <c r="D58" s="75">
        <v>19</v>
      </c>
      <c r="E58" s="75"/>
      <c r="F58" s="75"/>
      <c r="G58" s="75"/>
      <c r="H58" s="75" t="s">
        <v>15</v>
      </c>
      <c r="I58" s="75">
        <v>1134.56</v>
      </c>
      <c r="J58" s="75">
        <v>21556.639999999999</v>
      </c>
      <c r="K58" s="91" t="s">
        <v>163</v>
      </c>
      <c r="L58" s="73"/>
      <c r="M58" s="46">
        <v>0</v>
      </c>
      <c r="N58" s="46">
        <v>0</v>
      </c>
      <c r="O58" s="46">
        <v>0</v>
      </c>
      <c r="P58" s="98"/>
      <c r="Q58" s="23" t="s">
        <v>1434</v>
      </c>
      <c r="R58" s="24" t="s">
        <v>161</v>
      </c>
      <c r="S58" s="25" t="s">
        <v>162</v>
      </c>
      <c r="T58" s="26">
        <v>19</v>
      </c>
      <c r="U58" s="26">
        <v>19</v>
      </c>
      <c r="V58" s="26">
        <f t="shared" si="10"/>
        <v>1134.56</v>
      </c>
      <c r="W58" s="26">
        <f t="shared" si="8"/>
        <v>0</v>
      </c>
      <c r="X58" s="26">
        <f t="shared" si="3"/>
        <v>0</v>
      </c>
      <c r="Y58" s="26">
        <f t="shared" si="11"/>
        <v>0</v>
      </c>
      <c r="Z58" s="26">
        <f t="shared" si="4"/>
        <v>0</v>
      </c>
      <c r="AA58" s="33" t="s">
        <v>15</v>
      </c>
      <c r="AB58" s="36" t="s">
        <v>16</v>
      </c>
      <c r="AC58" s="181">
        <f t="shared" si="5"/>
        <v>19</v>
      </c>
      <c r="AD58" s="181">
        <f t="shared" si="12"/>
        <v>21556.639999999999</v>
      </c>
      <c r="AE58" s="181">
        <v>1.2</v>
      </c>
      <c r="AF58" s="181">
        <v>1.2</v>
      </c>
      <c r="AG58" s="101" t="str">
        <f t="shared" si="6"/>
        <v/>
      </c>
      <c r="AH58" s="190">
        <v>0</v>
      </c>
      <c r="AI58" s="69">
        <f t="shared" si="7"/>
        <v>19</v>
      </c>
    </row>
    <row r="59" spans="1:35" s="69" customFormat="1" ht="26.1" customHeight="1" x14ac:dyDescent="0.3">
      <c r="A59" s="55" t="s">
        <v>164</v>
      </c>
      <c r="B59" s="118" t="s">
        <v>165</v>
      </c>
      <c r="C59" s="54" t="s">
        <v>103</v>
      </c>
      <c r="D59" s="75">
        <v>179.11</v>
      </c>
      <c r="E59" s="75"/>
      <c r="F59" s="75"/>
      <c r="G59" s="75"/>
      <c r="H59" s="75" t="s">
        <v>15</v>
      </c>
      <c r="I59" s="120">
        <v>145.21</v>
      </c>
      <c r="J59" s="75">
        <v>26008.560000000001</v>
      </c>
      <c r="K59" s="91" t="s">
        <v>166</v>
      </c>
      <c r="L59" s="73"/>
      <c r="M59" s="46">
        <v>0</v>
      </c>
      <c r="N59" s="46">
        <v>0</v>
      </c>
      <c r="O59" s="46">
        <v>0</v>
      </c>
      <c r="P59" s="98"/>
      <c r="Q59" s="23" t="s">
        <v>1388</v>
      </c>
      <c r="R59" s="24" t="s">
        <v>165</v>
      </c>
      <c r="S59" s="25" t="s">
        <v>103</v>
      </c>
      <c r="T59" s="26">
        <v>179.11</v>
      </c>
      <c r="U59" s="26">
        <v>179.11</v>
      </c>
      <c r="V59" s="26">
        <f t="shared" si="10"/>
        <v>145.21</v>
      </c>
      <c r="W59" s="26">
        <f t="shared" si="8"/>
        <v>0</v>
      </c>
      <c r="X59" s="26">
        <f t="shared" si="3"/>
        <v>0</v>
      </c>
      <c r="Y59" s="26">
        <f t="shared" si="11"/>
        <v>0</v>
      </c>
      <c r="Z59" s="26">
        <f t="shared" si="4"/>
        <v>0</v>
      </c>
      <c r="AA59" s="33" t="s">
        <v>15</v>
      </c>
      <c r="AB59" s="36" t="s">
        <v>16</v>
      </c>
      <c r="AC59" s="181">
        <f t="shared" si="5"/>
        <v>179.11</v>
      </c>
      <c r="AD59" s="181">
        <f t="shared" si="12"/>
        <v>26008.560000000001</v>
      </c>
      <c r="AE59" s="181">
        <v>1.2</v>
      </c>
      <c r="AF59" s="181">
        <v>1.2</v>
      </c>
      <c r="AG59" s="101" t="str">
        <f t="shared" si="6"/>
        <v/>
      </c>
      <c r="AH59" s="190">
        <v>0</v>
      </c>
      <c r="AI59" s="69">
        <f t="shared" si="7"/>
        <v>179.11</v>
      </c>
    </row>
    <row r="60" spans="1:35" s="69" customFormat="1" ht="26.1" customHeight="1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 t="s">
        <v>15</v>
      </c>
      <c r="I60" s="75">
        <v>2755.97</v>
      </c>
      <c r="J60" s="75">
        <v>2176665.11</v>
      </c>
      <c r="K60" s="91" t="s">
        <v>169</v>
      </c>
      <c r="L60" s="73"/>
      <c r="M60" s="46">
        <v>477.8</v>
      </c>
      <c r="N60" s="46">
        <v>864823.3899999999</v>
      </c>
      <c r="O60" s="46">
        <v>1316802.47</v>
      </c>
      <c r="P60" s="98"/>
      <c r="Q60" s="23" t="s">
        <v>1389</v>
      </c>
      <c r="R60" s="24" t="s">
        <v>168</v>
      </c>
      <c r="S60" s="25" t="s">
        <v>30</v>
      </c>
      <c r="T60" s="26">
        <v>789.8</v>
      </c>
      <c r="U60" s="26">
        <v>789.8</v>
      </c>
      <c r="V60" s="26">
        <f t="shared" si="10"/>
        <v>2755.97</v>
      </c>
      <c r="W60" s="243">
        <f t="shared" si="8"/>
        <v>91.199999999999989</v>
      </c>
      <c r="X60" s="26">
        <f t="shared" si="3"/>
        <v>569</v>
      </c>
      <c r="Y60" s="26">
        <f t="shared" si="11"/>
        <v>251344.45999999996</v>
      </c>
      <c r="Z60" s="26">
        <f t="shared" si="4"/>
        <v>1568146.93</v>
      </c>
      <c r="AA60" s="33" t="s">
        <v>15</v>
      </c>
      <c r="AB60" s="36" t="s">
        <v>16</v>
      </c>
      <c r="AC60" s="181">
        <f t="shared" si="5"/>
        <v>789.8</v>
      </c>
      <c r="AD60" s="181">
        <f t="shared" si="12"/>
        <v>2176665.11</v>
      </c>
      <c r="AE60" s="181">
        <v>1.2</v>
      </c>
      <c r="AF60" s="181">
        <v>1.2</v>
      </c>
      <c r="AG60" s="101" t="str">
        <f t="shared" si="6"/>
        <v/>
      </c>
      <c r="AH60" s="191">
        <f>164+313.8+91.2</f>
        <v>569</v>
      </c>
      <c r="AI60" s="69">
        <f t="shared" si="7"/>
        <v>789.8</v>
      </c>
    </row>
    <row r="61" spans="1:35" s="69" customFormat="1" ht="26.1" customHeight="1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 t="s">
        <v>15</v>
      </c>
      <c r="I61" s="75">
        <v>576.79999999999995</v>
      </c>
      <c r="J61" s="75">
        <v>18053.84</v>
      </c>
      <c r="K61" s="91" t="s">
        <v>172</v>
      </c>
      <c r="L61" s="73"/>
      <c r="M61" s="46">
        <v>0</v>
      </c>
      <c r="N61" s="46">
        <v>0</v>
      </c>
      <c r="O61" s="46">
        <v>0</v>
      </c>
      <c r="P61" s="98"/>
      <c r="Q61" s="23" t="s">
        <v>1390</v>
      </c>
      <c r="R61" s="24" t="s">
        <v>171</v>
      </c>
      <c r="S61" s="25" t="s">
        <v>30</v>
      </c>
      <c r="T61" s="26">
        <v>31.3</v>
      </c>
      <c r="U61" s="26">
        <v>31.3</v>
      </c>
      <c r="V61" s="26">
        <f t="shared" si="10"/>
        <v>576.79999999999995</v>
      </c>
      <c r="W61" s="26">
        <f t="shared" si="8"/>
        <v>0</v>
      </c>
      <c r="X61" s="26">
        <f t="shared" si="3"/>
        <v>0</v>
      </c>
      <c r="Y61" s="26">
        <f t="shared" si="11"/>
        <v>0</v>
      </c>
      <c r="Z61" s="26">
        <f t="shared" si="4"/>
        <v>0</v>
      </c>
      <c r="AA61" s="33" t="s">
        <v>15</v>
      </c>
      <c r="AB61" s="36" t="s">
        <v>16</v>
      </c>
      <c r="AC61" s="181">
        <f t="shared" si="5"/>
        <v>31.3</v>
      </c>
      <c r="AD61" s="181">
        <f t="shared" si="12"/>
        <v>18053.84</v>
      </c>
      <c r="AE61" s="181">
        <v>1.2</v>
      </c>
      <c r="AF61" s="181">
        <v>1.2</v>
      </c>
      <c r="AG61" s="101" t="str">
        <f t="shared" si="6"/>
        <v/>
      </c>
      <c r="AH61" s="190">
        <v>0</v>
      </c>
      <c r="AI61" s="69">
        <f t="shared" si="7"/>
        <v>31.3</v>
      </c>
    </row>
    <row r="62" spans="1:35" s="69" customFormat="1" ht="26.1" customHeight="1" x14ac:dyDescent="0.3">
      <c r="A62" s="55" t="s">
        <v>173</v>
      </c>
      <c r="B62" s="215" t="s">
        <v>174</v>
      </c>
      <c r="C62" s="54" t="s">
        <v>30</v>
      </c>
      <c r="D62" s="75">
        <v>360.35</v>
      </c>
      <c r="E62" s="75"/>
      <c r="F62" s="75"/>
      <c r="G62" s="75"/>
      <c r="H62" s="75" t="s">
        <v>15</v>
      </c>
      <c r="I62" s="75">
        <v>615.34</v>
      </c>
      <c r="J62" s="75">
        <v>221737.77</v>
      </c>
      <c r="K62" s="91" t="s">
        <v>175</v>
      </c>
      <c r="L62" s="73"/>
      <c r="M62" s="46">
        <v>132</v>
      </c>
      <c r="N62" s="46">
        <v>0</v>
      </c>
      <c r="O62" s="46">
        <v>81224.88</v>
      </c>
      <c r="P62" s="98"/>
      <c r="Q62" s="23" t="s">
        <v>1391</v>
      </c>
      <c r="R62" s="24" t="s">
        <v>174</v>
      </c>
      <c r="S62" s="25" t="s">
        <v>30</v>
      </c>
      <c r="T62" s="26">
        <v>360.35</v>
      </c>
      <c r="U62" s="26">
        <v>360.35</v>
      </c>
      <c r="V62" s="26">
        <f t="shared" si="10"/>
        <v>615.34</v>
      </c>
      <c r="W62" s="128">
        <f t="shared" si="8"/>
        <v>0</v>
      </c>
      <c r="X62" s="26">
        <f t="shared" si="3"/>
        <v>132</v>
      </c>
      <c r="Y62" s="26">
        <f t="shared" si="11"/>
        <v>0</v>
      </c>
      <c r="Z62" s="26">
        <f t="shared" si="4"/>
        <v>81224.88</v>
      </c>
      <c r="AA62" s="33" t="s">
        <v>15</v>
      </c>
      <c r="AB62" s="36" t="s">
        <v>16</v>
      </c>
      <c r="AC62" s="181">
        <f t="shared" si="5"/>
        <v>360.35</v>
      </c>
      <c r="AD62" s="181">
        <f t="shared" si="12"/>
        <v>221737.77</v>
      </c>
      <c r="AE62" s="181">
        <v>1.2</v>
      </c>
      <c r="AF62" s="181">
        <v>1.2</v>
      </c>
      <c r="AG62" s="101" t="str">
        <f t="shared" si="6"/>
        <v/>
      </c>
      <c r="AH62" s="191">
        <v>132</v>
      </c>
      <c r="AI62" s="69">
        <f t="shared" si="7"/>
        <v>360.35</v>
      </c>
    </row>
    <row r="63" spans="1:35" s="69" customFormat="1" ht="26.1" customHeight="1" x14ac:dyDescent="0.3">
      <c r="A63" s="55" t="s">
        <v>176</v>
      </c>
      <c r="B63" s="215" t="s">
        <v>177</v>
      </c>
      <c r="C63" s="54" t="s">
        <v>30</v>
      </c>
      <c r="D63" s="75">
        <v>691.14</v>
      </c>
      <c r="E63" s="75"/>
      <c r="F63" s="75"/>
      <c r="G63" s="75"/>
      <c r="H63" s="75" t="s">
        <v>15</v>
      </c>
      <c r="I63" s="75">
        <v>685.3</v>
      </c>
      <c r="J63" s="75">
        <v>473638.24</v>
      </c>
      <c r="K63" s="91" t="s">
        <v>178</v>
      </c>
      <c r="L63" s="73"/>
      <c r="M63" s="46">
        <v>421</v>
      </c>
      <c r="N63" s="46">
        <v>0</v>
      </c>
      <c r="O63" s="46">
        <v>288511.3</v>
      </c>
      <c r="P63" s="98"/>
      <c r="Q63" s="23" t="s">
        <v>1436</v>
      </c>
      <c r="R63" s="24" t="s">
        <v>177</v>
      </c>
      <c r="S63" s="25" t="s">
        <v>30</v>
      </c>
      <c r="T63" s="26">
        <v>691.14</v>
      </c>
      <c r="U63" s="26">
        <v>691.14</v>
      </c>
      <c r="V63" s="26">
        <f t="shared" si="10"/>
        <v>685.3</v>
      </c>
      <c r="W63" s="128">
        <f t="shared" si="8"/>
        <v>0</v>
      </c>
      <c r="X63" s="26">
        <f t="shared" si="3"/>
        <v>421</v>
      </c>
      <c r="Y63" s="26">
        <f t="shared" si="11"/>
        <v>0</v>
      </c>
      <c r="Z63" s="26">
        <f t="shared" si="4"/>
        <v>288511.3</v>
      </c>
      <c r="AA63" s="33" t="s">
        <v>15</v>
      </c>
      <c r="AB63" s="36" t="s">
        <v>16</v>
      </c>
      <c r="AC63" s="181">
        <f t="shared" si="5"/>
        <v>691.14</v>
      </c>
      <c r="AD63" s="181">
        <f t="shared" si="12"/>
        <v>473638.24</v>
      </c>
      <c r="AE63" s="181">
        <v>1.2</v>
      </c>
      <c r="AF63" s="181">
        <v>1.2</v>
      </c>
      <c r="AG63" s="101" t="str">
        <f t="shared" si="6"/>
        <v/>
      </c>
      <c r="AH63" s="191">
        <v>421</v>
      </c>
      <c r="AI63" s="69">
        <f t="shared" si="7"/>
        <v>691.14</v>
      </c>
    </row>
    <row r="64" spans="1:35" s="69" customFormat="1" ht="26.1" customHeight="1" x14ac:dyDescent="0.3">
      <c r="A64" s="55" t="s">
        <v>179</v>
      </c>
      <c r="B64" s="215" t="s">
        <v>180</v>
      </c>
      <c r="C64" s="54" t="s">
        <v>30</v>
      </c>
      <c r="D64" s="75">
        <v>890.62</v>
      </c>
      <c r="E64" s="75"/>
      <c r="F64" s="75"/>
      <c r="G64" s="75"/>
      <c r="H64" s="75" t="s">
        <v>15</v>
      </c>
      <c r="I64" s="75">
        <v>699.72</v>
      </c>
      <c r="J64" s="75">
        <v>623184.63</v>
      </c>
      <c r="K64" s="91" t="s">
        <v>181</v>
      </c>
      <c r="L64" s="73"/>
      <c r="M64" s="46">
        <v>649</v>
      </c>
      <c r="N64" s="46">
        <v>134346.24000000005</v>
      </c>
      <c r="O64" s="46">
        <v>454118.28</v>
      </c>
      <c r="P64" s="98"/>
      <c r="Q64" s="23" t="s">
        <v>1374</v>
      </c>
      <c r="R64" s="24" t="s">
        <v>180</v>
      </c>
      <c r="S64" s="25" t="s">
        <v>30</v>
      </c>
      <c r="T64" s="26">
        <v>890.62</v>
      </c>
      <c r="U64" s="26">
        <v>890.62</v>
      </c>
      <c r="V64" s="26">
        <f t="shared" si="10"/>
        <v>699.72</v>
      </c>
      <c r="W64" s="243">
        <f t="shared" si="8"/>
        <v>52.100000000000023</v>
      </c>
      <c r="X64" s="26">
        <f t="shared" si="3"/>
        <v>701.1</v>
      </c>
      <c r="Y64" s="26">
        <f t="shared" si="11"/>
        <v>36455.409999999974</v>
      </c>
      <c r="Z64" s="26">
        <f t="shared" si="4"/>
        <v>490573.69</v>
      </c>
      <c r="AA64" s="33" t="s">
        <v>15</v>
      </c>
      <c r="AB64" s="36" t="s">
        <v>16</v>
      </c>
      <c r="AC64" s="181">
        <f t="shared" si="5"/>
        <v>890.62</v>
      </c>
      <c r="AD64" s="181">
        <f t="shared" si="12"/>
        <v>623184.63</v>
      </c>
      <c r="AE64" s="181">
        <v>1.2</v>
      </c>
      <c r="AF64" s="181">
        <v>1.2</v>
      </c>
      <c r="AG64" s="101" t="str">
        <f t="shared" si="6"/>
        <v/>
      </c>
      <c r="AH64" s="191">
        <f>457+192+52.1</f>
        <v>701.1</v>
      </c>
      <c r="AI64" s="69">
        <f t="shared" si="7"/>
        <v>890.62</v>
      </c>
    </row>
    <row r="65" spans="1:35" s="69" customFormat="1" ht="26.1" customHeight="1" x14ac:dyDescent="0.3">
      <c r="A65" s="55" t="s">
        <v>182</v>
      </c>
      <c r="B65" s="215" t="s">
        <v>183</v>
      </c>
      <c r="C65" s="54" t="s">
        <v>30</v>
      </c>
      <c r="D65" s="75">
        <v>85.77</v>
      </c>
      <c r="E65" s="75"/>
      <c r="F65" s="75"/>
      <c r="G65" s="75"/>
      <c r="H65" s="75" t="s">
        <v>15</v>
      </c>
      <c r="I65" s="75">
        <v>1199.33</v>
      </c>
      <c r="J65" s="75">
        <v>102866.53</v>
      </c>
      <c r="K65" s="91" t="s">
        <v>184</v>
      </c>
      <c r="L65" s="73"/>
      <c r="M65" s="46">
        <v>12</v>
      </c>
      <c r="N65" s="46">
        <v>14391.96</v>
      </c>
      <c r="O65" s="46">
        <v>14391.96</v>
      </c>
      <c r="P65" s="98"/>
      <c r="Q65" s="23" t="s">
        <v>1376</v>
      </c>
      <c r="R65" s="24" t="s">
        <v>183</v>
      </c>
      <c r="S65" s="25" t="s">
        <v>30</v>
      </c>
      <c r="T65" s="26">
        <v>85.77</v>
      </c>
      <c r="U65" s="26">
        <v>85.77</v>
      </c>
      <c r="V65" s="26">
        <f t="shared" si="10"/>
        <v>1199.33</v>
      </c>
      <c r="W65" s="128">
        <f t="shared" si="8"/>
        <v>0</v>
      </c>
      <c r="X65" s="26">
        <f t="shared" si="3"/>
        <v>12</v>
      </c>
      <c r="Y65" s="26">
        <f t="shared" si="11"/>
        <v>0</v>
      </c>
      <c r="Z65" s="26">
        <f t="shared" si="4"/>
        <v>14391.96</v>
      </c>
      <c r="AA65" s="33" t="s">
        <v>15</v>
      </c>
      <c r="AB65" s="36" t="s">
        <v>16</v>
      </c>
      <c r="AC65" s="181">
        <f t="shared" si="5"/>
        <v>85.77</v>
      </c>
      <c r="AD65" s="181">
        <f t="shared" si="12"/>
        <v>102866.53</v>
      </c>
      <c r="AE65" s="181">
        <v>1.2</v>
      </c>
      <c r="AF65" s="181">
        <v>1.2</v>
      </c>
      <c r="AG65" s="101" t="str">
        <f t="shared" si="6"/>
        <v/>
      </c>
      <c r="AH65" s="191">
        <f>12</f>
        <v>12</v>
      </c>
      <c r="AI65" s="69">
        <f t="shared" si="7"/>
        <v>85.77</v>
      </c>
    </row>
    <row r="66" spans="1:35" s="69" customFormat="1" ht="26.1" customHeight="1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 t="s">
        <v>15</v>
      </c>
      <c r="I66" s="75">
        <v>57.68</v>
      </c>
      <c r="J66" s="75">
        <v>10833.46</v>
      </c>
      <c r="K66" s="91" t="s">
        <v>187</v>
      </c>
      <c r="L66" s="73"/>
      <c r="M66" s="46">
        <v>0</v>
      </c>
      <c r="N66" s="46">
        <v>0</v>
      </c>
      <c r="O66" s="46">
        <v>0</v>
      </c>
      <c r="P66" s="98"/>
      <c r="Q66" s="23" t="s">
        <v>1378</v>
      </c>
      <c r="R66" s="24" t="s">
        <v>186</v>
      </c>
      <c r="S66" s="25" t="s">
        <v>30</v>
      </c>
      <c r="T66" s="26">
        <v>187.82</v>
      </c>
      <c r="U66" s="26">
        <v>187.82</v>
      </c>
      <c r="V66" s="26">
        <f t="shared" si="10"/>
        <v>57.68</v>
      </c>
      <c r="W66" s="26">
        <f t="shared" si="8"/>
        <v>0</v>
      </c>
      <c r="X66" s="26">
        <f t="shared" si="3"/>
        <v>0</v>
      </c>
      <c r="Y66" s="26">
        <f t="shared" si="11"/>
        <v>0</v>
      </c>
      <c r="Z66" s="26">
        <f t="shared" si="4"/>
        <v>0</v>
      </c>
      <c r="AA66" s="33" t="s">
        <v>15</v>
      </c>
      <c r="AB66" s="36" t="s">
        <v>16</v>
      </c>
      <c r="AC66" s="181">
        <f t="shared" si="5"/>
        <v>187.82</v>
      </c>
      <c r="AD66" s="181">
        <f t="shared" si="12"/>
        <v>10833.46</v>
      </c>
      <c r="AE66" s="181">
        <v>1.2</v>
      </c>
      <c r="AF66" s="181">
        <v>1.2</v>
      </c>
      <c r="AG66" s="101" t="str">
        <f t="shared" si="6"/>
        <v/>
      </c>
      <c r="AH66" s="190">
        <v>0</v>
      </c>
      <c r="AI66" s="69">
        <f t="shared" si="7"/>
        <v>187.82</v>
      </c>
    </row>
    <row r="67" spans="1:35" s="69" customFormat="1" ht="26.1" customHeight="1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 t="s">
        <v>15</v>
      </c>
      <c r="I67" s="75">
        <v>138.84</v>
      </c>
      <c r="J67" s="75">
        <v>2611.58</v>
      </c>
      <c r="K67" s="91" t="s">
        <v>190</v>
      </c>
      <c r="L67" s="73"/>
      <c r="M67" s="46">
        <v>0</v>
      </c>
      <c r="N67" s="46">
        <v>0</v>
      </c>
      <c r="O67" s="46">
        <v>0</v>
      </c>
      <c r="P67" s="98"/>
      <c r="Q67" s="23" t="s">
        <v>1438</v>
      </c>
      <c r="R67" s="24" t="s">
        <v>189</v>
      </c>
      <c r="S67" s="25" t="s">
        <v>30</v>
      </c>
      <c r="T67" s="26">
        <v>18.809999999999999</v>
      </c>
      <c r="U67" s="26">
        <v>18.809999999999999</v>
      </c>
      <c r="V67" s="26">
        <f t="shared" si="10"/>
        <v>138.84</v>
      </c>
      <c r="W67" s="26">
        <f t="shared" si="8"/>
        <v>0</v>
      </c>
      <c r="X67" s="26">
        <f t="shared" si="3"/>
        <v>0</v>
      </c>
      <c r="Y67" s="26">
        <f t="shared" si="11"/>
        <v>0</v>
      </c>
      <c r="Z67" s="26">
        <f t="shared" si="4"/>
        <v>0</v>
      </c>
      <c r="AA67" s="33" t="s">
        <v>15</v>
      </c>
      <c r="AB67" s="36" t="s">
        <v>16</v>
      </c>
      <c r="AC67" s="181">
        <f t="shared" si="5"/>
        <v>18.809999999999999</v>
      </c>
      <c r="AD67" s="181">
        <f t="shared" si="12"/>
        <v>2611.58</v>
      </c>
      <c r="AE67" s="181">
        <v>1.2</v>
      </c>
      <c r="AF67" s="181">
        <v>1.2</v>
      </c>
      <c r="AG67" s="101" t="str">
        <f t="shared" si="6"/>
        <v/>
      </c>
      <c r="AH67" s="190">
        <v>0</v>
      </c>
      <c r="AI67" s="69">
        <f t="shared" si="7"/>
        <v>18.809999999999999</v>
      </c>
    </row>
    <row r="68" spans="1:35" s="69" customFormat="1" ht="26.1" customHeight="1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 t="s">
        <v>15</v>
      </c>
      <c r="I68" s="75">
        <v>2145.42</v>
      </c>
      <c r="J68" s="75">
        <v>43938.2</v>
      </c>
      <c r="K68" s="91" t="s">
        <v>193</v>
      </c>
      <c r="L68" s="73"/>
      <c r="M68" s="46">
        <v>0</v>
      </c>
      <c r="N68" s="46">
        <v>0</v>
      </c>
      <c r="O68" s="46">
        <v>0</v>
      </c>
      <c r="P68" s="98"/>
      <c r="Q68" s="23" t="s">
        <v>1439</v>
      </c>
      <c r="R68" s="24" t="s">
        <v>192</v>
      </c>
      <c r="S68" s="25" t="s">
        <v>50</v>
      </c>
      <c r="T68" s="26">
        <v>20.48</v>
      </c>
      <c r="U68" s="26">
        <v>20.48</v>
      </c>
      <c r="V68" s="26">
        <f t="shared" si="10"/>
        <v>2145.42</v>
      </c>
      <c r="W68" s="26">
        <f t="shared" si="8"/>
        <v>0</v>
      </c>
      <c r="X68" s="26">
        <f t="shared" si="3"/>
        <v>0</v>
      </c>
      <c r="Y68" s="26">
        <f t="shared" si="11"/>
        <v>0</v>
      </c>
      <c r="Z68" s="26">
        <f t="shared" si="4"/>
        <v>0</v>
      </c>
      <c r="AA68" s="33" t="s">
        <v>15</v>
      </c>
      <c r="AB68" s="36" t="s">
        <v>16</v>
      </c>
      <c r="AC68" s="181">
        <f t="shared" si="5"/>
        <v>20.48</v>
      </c>
      <c r="AD68" s="181">
        <f t="shared" si="12"/>
        <v>43938.2</v>
      </c>
      <c r="AE68" s="181">
        <v>1.2</v>
      </c>
      <c r="AF68" s="181">
        <v>1.2</v>
      </c>
      <c r="AG68" s="101" t="str">
        <f t="shared" si="6"/>
        <v/>
      </c>
      <c r="AH68" s="190">
        <v>0</v>
      </c>
      <c r="AI68" s="69">
        <f t="shared" si="7"/>
        <v>20.48</v>
      </c>
    </row>
    <row r="69" spans="1:35" s="69" customFormat="1" ht="26.1" customHeight="1" x14ac:dyDescent="0.3">
      <c r="A69" s="55" t="s">
        <v>194</v>
      </c>
      <c r="B69" s="53" t="s">
        <v>195</v>
      </c>
      <c r="C69" s="54" t="s">
        <v>30</v>
      </c>
      <c r="D69" s="75">
        <v>354.7</v>
      </c>
      <c r="E69" s="75"/>
      <c r="F69" s="75"/>
      <c r="G69" s="75"/>
      <c r="H69" s="75" t="s">
        <v>15</v>
      </c>
      <c r="I69" s="75">
        <v>511.4</v>
      </c>
      <c r="J69" s="75">
        <v>181393.58</v>
      </c>
      <c r="K69" s="91" t="s">
        <v>3143</v>
      </c>
      <c r="L69" s="73"/>
      <c r="M69" s="46">
        <v>127</v>
      </c>
      <c r="N69" s="46">
        <v>64947.8</v>
      </c>
      <c r="O69" s="46">
        <v>64947.8</v>
      </c>
      <c r="P69" s="98"/>
      <c r="Q69" s="23" t="s">
        <v>1440</v>
      </c>
      <c r="R69" s="24" t="s">
        <v>195</v>
      </c>
      <c r="S69" s="25" t="s">
        <v>30</v>
      </c>
      <c r="T69" s="26">
        <v>354.7</v>
      </c>
      <c r="U69" s="26">
        <v>354.7</v>
      </c>
      <c r="V69" s="26">
        <f t="shared" si="10"/>
        <v>511.4</v>
      </c>
      <c r="W69" s="128">
        <f t="shared" si="8"/>
        <v>0</v>
      </c>
      <c r="X69" s="26">
        <f t="shared" si="3"/>
        <v>127</v>
      </c>
      <c r="Y69" s="26">
        <f t="shared" si="11"/>
        <v>0</v>
      </c>
      <c r="Z69" s="26">
        <f t="shared" si="4"/>
        <v>64947.8</v>
      </c>
      <c r="AA69" s="33" t="s">
        <v>15</v>
      </c>
      <c r="AB69" s="36" t="s">
        <v>16</v>
      </c>
      <c r="AC69" s="181">
        <f t="shared" si="5"/>
        <v>354.7</v>
      </c>
      <c r="AD69" s="181">
        <f t="shared" si="12"/>
        <v>181393.58</v>
      </c>
      <c r="AE69" s="181">
        <v>1.2</v>
      </c>
      <c r="AF69" s="181">
        <v>1.2</v>
      </c>
      <c r="AG69" s="101" t="str">
        <f t="shared" si="6"/>
        <v/>
      </c>
      <c r="AH69" s="191">
        <f>127</f>
        <v>127</v>
      </c>
      <c r="AI69" s="69">
        <f t="shared" si="7"/>
        <v>354.7</v>
      </c>
    </row>
    <row r="70" spans="1:35" s="69" customFormat="1" ht="26.1" customHeight="1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 t="s">
        <v>15</v>
      </c>
      <c r="I70" s="75">
        <v>578.86</v>
      </c>
      <c r="J70" s="75">
        <v>25875.040000000001</v>
      </c>
      <c r="K70" s="91" t="s">
        <v>199</v>
      </c>
      <c r="L70" s="73"/>
      <c r="M70" s="46">
        <v>0</v>
      </c>
      <c r="N70" s="46">
        <v>0</v>
      </c>
      <c r="O70" s="46">
        <v>0</v>
      </c>
      <c r="P70" s="98"/>
      <c r="Q70" s="23" t="s">
        <v>1441</v>
      </c>
      <c r="R70" s="24" t="s">
        <v>198</v>
      </c>
      <c r="S70" s="25" t="s">
        <v>30</v>
      </c>
      <c r="T70" s="26">
        <v>44.7</v>
      </c>
      <c r="U70" s="26">
        <v>44.7</v>
      </c>
      <c r="V70" s="26">
        <f t="shared" si="10"/>
        <v>578.86</v>
      </c>
      <c r="W70" s="26">
        <f t="shared" si="8"/>
        <v>0</v>
      </c>
      <c r="X70" s="26">
        <f t="shared" si="3"/>
        <v>0</v>
      </c>
      <c r="Y70" s="26">
        <f t="shared" si="11"/>
        <v>0</v>
      </c>
      <c r="Z70" s="26">
        <f t="shared" si="4"/>
        <v>0</v>
      </c>
      <c r="AA70" s="33" t="s">
        <v>15</v>
      </c>
      <c r="AB70" s="36" t="s">
        <v>16</v>
      </c>
      <c r="AC70" s="181">
        <f t="shared" si="5"/>
        <v>44.7</v>
      </c>
      <c r="AD70" s="181">
        <f t="shared" si="12"/>
        <v>25875.040000000001</v>
      </c>
      <c r="AE70" s="181">
        <v>1.2</v>
      </c>
      <c r="AF70" s="181">
        <v>1.2</v>
      </c>
      <c r="AG70" s="101" t="str">
        <f t="shared" si="6"/>
        <v/>
      </c>
      <c r="AH70" s="190">
        <v>0</v>
      </c>
      <c r="AI70" s="69">
        <f t="shared" si="7"/>
        <v>44.7</v>
      </c>
    </row>
    <row r="71" spans="1:35" s="69" customFormat="1" ht="26.1" customHeight="1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 t="s">
        <v>15</v>
      </c>
      <c r="I71" s="75">
        <v>723.06</v>
      </c>
      <c r="J71" s="75">
        <v>22414.86</v>
      </c>
      <c r="K71" s="91" t="s">
        <v>202</v>
      </c>
      <c r="L71" s="73"/>
      <c r="M71" s="46">
        <v>0</v>
      </c>
      <c r="N71" s="46">
        <v>0</v>
      </c>
      <c r="O71" s="46">
        <v>0</v>
      </c>
      <c r="P71" s="98"/>
      <c r="Q71" s="23" t="s">
        <v>1442</v>
      </c>
      <c r="R71" s="24" t="s">
        <v>201</v>
      </c>
      <c r="S71" s="25" t="s">
        <v>30</v>
      </c>
      <c r="T71" s="26">
        <v>31</v>
      </c>
      <c r="U71" s="26">
        <v>31</v>
      </c>
      <c r="V71" s="26">
        <f t="shared" si="10"/>
        <v>723.06</v>
      </c>
      <c r="W71" s="26">
        <f t="shared" si="8"/>
        <v>0</v>
      </c>
      <c r="X71" s="26">
        <f t="shared" si="3"/>
        <v>0</v>
      </c>
      <c r="Y71" s="26">
        <f t="shared" si="11"/>
        <v>0</v>
      </c>
      <c r="Z71" s="26">
        <f t="shared" si="4"/>
        <v>0</v>
      </c>
      <c r="AA71" s="33" t="s">
        <v>15</v>
      </c>
      <c r="AB71" s="36" t="s">
        <v>16</v>
      </c>
      <c r="AC71" s="181">
        <f t="shared" si="5"/>
        <v>31</v>
      </c>
      <c r="AD71" s="181">
        <f t="shared" si="12"/>
        <v>22414.86</v>
      </c>
      <c r="AE71" s="181">
        <v>1.2</v>
      </c>
      <c r="AF71" s="181">
        <v>1.2</v>
      </c>
      <c r="AG71" s="101" t="str">
        <f t="shared" si="6"/>
        <v/>
      </c>
      <c r="AH71" s="190">
        <v>0</v>
      </c>
      <c r="AI71" s="69">
        <f t="shared" si="7"/>
        <v>31</v>
      </c>
    </row>
    <row r="72" spans="1:35" s="69" customFormat="1" ht="26.1" customHeight="1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 t="s">
        <v>15</v>
      </c>
      <c r="I72" s="75">
        <v>829.15</v>
      </c>
      <c r="J72" s="75">
        <v>15007.62</v>
      </c>
      <c r="K72" s="91" t="s">
        <v>205</v>
      </c>
      <c r="L72" s="73"/>
      <c r="M72" s="46">
        <v>0</v>
      </c>
      <c r="N72" s="46">
        <v>0</v>
      </c>
      <c r="O72" s="46">
        <v>0</v>
      </c>
      <c r="P72" s="98"/>
      <c r="Q72" s="23" t="s">
        <v>1443</v>
      </c>
      <c r="R72" s="24" t="s">
        <v>204</v>
      </c>
      <c r="S72" s="25" t="s">
        <v>30</v>
      </c>
      <c r="T72" s="26">
        <v>18.100000000000001</v>
      </c>
      <c r="U72" s="26">
        <v>18.100000000000001</v>
      </c>
      <c r="V72" s="26">
        <f t="shared" si="10"/>
        <v>829.15</v>
      </c>
      <c r="W72" s="26">
        <f t="shared" si="8"/>
        <v>0</v>
      </c>
      <c r="X72" s="26">
        <f t="shared" si="3"/>
        <v>0</v>
      </c>
      <c r="Y72" s="26">
        <f t="shared" si="11"/>
        <v>0</v>
      </c>
      <c r="Z72" s="26">
        <f t="shared" si="4"/>
        <v>0</v>
      </c>
      <c r="AA72" s="33" t="s">
        <v>15</v>
      </c>
      <c r="AB72" s="36" t="s">
        <v>16</v>
      </c>
      <c r="AC72" s="181">
        <f t="shared" si="5"/>
        <v>18.100000000000001</v>
      </c>
      <c r="AD72" s="181">
        <f t="shared" si="12"/>
        <v>15007.62</v>
      </c>
      <c r="AE72" s="181">
        <v>1.2</v>
      </c>
      <c r="AF72" s="181">
        <v>1.2</v>
      </c>
      <c r="AG72" s="101" t="str">
        <f t="shared" si="6"/>
        <v/>
      </c>
      <c r="AH72" s="190">
        <v>0</v>
      </c>
      <c r="AI72" s="69">
        <f t="shared" si="7"/>
        <v>18.100000000000001</v>
      </c>
    </row>
    <row r="73" spans="1:35" s="69" customFormat="1" ht="26.1" customHeight="1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 t="s">
        <v>15</v>
      </c>
      <c r="I73" s="75">
        <v>443.93</v>
      </c>
      <c r="J73" s="75">
        <v>80084.97</v>
      </c>
      <c r="K73" s="91" t="s">
        <v>208</v>
      </c>
      <c r="L73" s="73"/>
      <c r="M73" s="46">
        <v>0</v>
      </c>
      <c r="N73" s="46">
        <v>0</v>
      </c>
      <c r="O73" s="46">
        <v>0</v>
      </c>
      <c r="P73" s="98"/>
      <c r="Q73" s="23" t="s">
        <v>1444</v>
      </c>
      <c r="R73" s="24" t="s">
        <v>207</v>
      </c>
      <c r="S73" s="25" t="s">
        <v>30</v>
      </c>
      <c r="T73" s="26">
        <v>180.4</v>
      </c>
      <c r="U73" s="26">
        <v>180.4</v>
      </c>
      <c r="V73" s="26">
        <f t="shared" si="10"/>
        <v>443.93</v>
      </c>
      <c r="W73" s="26">
        <f t="shared" si="8"/>
        <v>0</v>
      </c>
      <c r="X73" s="26">
        <f t="shared" si="3"/>
        <v>0</v>
      </c>
      <c r="Y73" s="26">
        <f t="shared" si="11"/>
        <v>0</v>
      </c>
      <c r="Z73" s="26">
        <f t="shared" si="4"/>
        <v>0</v>
      </c>
      <c r="AA73" s="33" t="s">
        <v>15</v>
      </c>
      <c r="AB73" s="36" t="s">
        <v>16</v>
      </c>
      <c r="AC73" s="181">
        <f t="shared" si="5"/>
        <v>180.4</v>
      </c>
      <c r="AD73" s="181">
        <f t="shared" si="12"/>
        <v>80084.97</v>
      </c>
      <c r="AE73" s="181">
        <v>1.2</v>
      </c>
      <c r="AF73" s="181">
        <v>1.2</v>
      </c>
      <c r="AG73" s="101" t="str">
        <f t="shared" si="6"/>
        <v/>
      </c>
      <c r="AH73" s="190">
        <v>0</v>
      </c>
      <c r="AI73" s="69">
        <f t="shared" si="7"/>
        <v>180.4</v>
      </c>
    </row>
    <row r="74" spans="1:35" s="69" customFormat="1" ht="26.1" customHeight="1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 t="s">
        <v>15</v>
      </c>
      <c r="I74" s="75">
        <v>578.86</v>
      </c>
      <c r="J74" s="75">
        <v>14818.82</v>
      </c>
      <c r="K74" s="91" t="s">
        <v>211</v>
      </c>
      <c r="L74" s="73"/>
      <c r="M74" s="46">
        <v>0</v>
      </c>
      <c r="N74" s="46">
        <v>0</v>
      </c>
      <c r="O74" s="46">
        <v>0</v>
      </c>
      <c r="P74" s="98"/>
      <c r="Q74" s="23" t="s">
        <v>1408</v>
      </c>
      <c r="R74" s="24" t="s">
        <v>210</v>
      </c>
      <c r="S74" s="25" t="s">
        <v>30</v>
      </c>
      <c r="T74" s="26">
        <v>25.6</v>
      </c>
      <c r="U74" s="26">
        <v>25.6</v>
      </c>
      <c r="V74" s="26">
        <f t="shared" si="10"/>
        <v>578.86</v>
      </c>
      <c r="W74" s="26">
        <f t="shared" si="8"/>
        <v>0</v>
      </c>
      <c r="X74" s="26">
        <f t="shared" si="3"/>
        <v>0</v>
      </c>
      <c r="Y74" s="26">
        <f t="shared" si="11"/>
        <v>0</v>
      </c>
      <c r="Z74" s="26">
        <f t="shared" si="4"/>
        <v>0</v>
      </c>
      <c r="AA74" s="33" t="s">
        <v>15</v>
      </c>
      <c r="AB74" s="36" t="s">
        <v>16</v>
      </c>
      <c r="AC74" s="181">
        <f t="shared" si="5"/>
        <v>25.6</v>
      </c>
      <c r="AD74" s="181">
        <f t="shared" si="12"/>
        <v>14818.82</v>
      </c>
      <c r="AE74" s="181">
        <v>1.2</v>
      </c>
      <c r="AF74" s="181">
        <v>1.2</v>
      </c>
      <c r="AG74" s="101" t="str">
        <f t="shared" si="6"/>
        <v/>
      </c>
      <c r="AH74" s="190">
        <v>0</v>
      </c>
      <c r="AI74" s="69">
        <f t="shared" si="7"/>
        <v>25.6</v>
      </c>
    </row>
    <row r="75" spans="1:35" s="69" customFormat="1" ht="26.1" customHeight="1" x14ac:dyDescent="0.3">
      <c r="A75" s="55" t="s">
        <v>212</v>
      </c>
      <c r="B75" s="53" t="s">
        <v>213</v>
      </c>
      <c r="C75" s="54" t="s">
        <v>81</v>
      </c>
      <c r="D75" s="75">
        <v>7</v>
      </c>
      <c r="E75" s="75"/>
      <c r="F75" s="75"/>
      <c r="G75" s="75"/>
      <c r="H75" s="75" t="s">
        <v>15</v>
      </c>
      <c r="I75" s="75">
        <v>17307.09</v>
      </c>
      <c r="J75" s="75">
        <v>121149.63</v>
      </c>
      <c r="K75" s="91" t="s">
        <v>214</v>
      </c>
      <c r="L75" s="73"/>
      <c r="M75" s="46">
        <v>0</v>
      </c>
      <c r="N75" s="46">
        <v>0</v>
      </c>
      <c r="O75" s="46">
        <v>0</v>
      </c>
      <c r="P75" s="98"/>
      <c r="Q75" s="23" t="s">
        <v>1409</v>
      </c>
      <c r="R75" s="24" t="s">
        <v>213</v>
      </c>
      <c r="S75" s="25" t="s">
        <v>81</v>
      </c>
      <c r="T75" s="26">
        <v>7</v>
      </c>
      <c r="U75" s="26">
        <v>7</v>
      </c>
      <c r="V75" s="26">
        <f t="shared" si="10"/>
        <v>17307.09</v>
      </c>
      <c r="W75" s="26">
        <f t="shared" si="8"/>
        <v>0</v>
      </c>
      <c r="X75" s="26">
        <f t="shared" ref="X75:X132" si="13">W75+M75</f>
        <v>0</v>
      </c>
      <c r="Y75" s="26">
        <f t="shared" si="11"/>
        <v>0</v>
      </c>
      <c r="Z75" s="26">
        <f t="shared" ref="Z75:Z138" si="14">ROUND(V75*X75,2)</f>
        <v>0</v>
      </c>
      <c r="AA75" s="33" t="s">
        <v>15</v>
      </c>
      <c r="AB75" s="36" t="s">
        <v>16</v>
      </c>
      <c r="AC75" s="181">
        <f t="shared" ref="AC75:AC138" si="15">IF(U75="",T75,U75)</f>
        <v>7</v>
      </c>
      <c r="AD75" s="181">
        <f t="shared" si="12"/>
        <v>121149.63</v>
      </c>
      <c r="AE75" s="181">
        <v>1.2</v>
      </c>
      <c r="AF75" s="181">
        <v>1.2</v>
      </c>
      <c r="AG75" s="101" t="str">
        <f t="shared" ref="AG75:AG138" si="16">IF(X75&gt;AI75,"超估","")</f>
        <v/>
      </c>
      <c r="AH75" s="190">
        <v>0</v>
      </c>
      <c r="AI75" s="69">
        <f t="shared" ref="AI75:AI138" si="17">IF(G75=0,IF(F75=0,IF(E75=0,D75,E75),F75),G75)</f>
        <v>7</v>
      </c>
    </row>
    <row r="76" spans="1:35" s="69" customFormat="1" ht="26.1" customHeight="1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 t="s">
        <v>15</v>
      </c>
      <c r="I76" s="75">
        <v>443.93</v>
      </c>
      <c r="J76" s="75">
        <v>3462.65</v>
      </c>
      <c r="K76" s="91" t="s">
        <v>217</v>
      </c>
      <c r="L76" s="73"/>
      <c r="M76" s="46">
        <v>0</v>
      </c>
      <c r="N76" s="46">
        <v>0</v>
      </c>
      <c r="O76" s="46">
        <v>0</v>
      </c>
      <c r="P76" s="98"/>
      <c r="Q76" s="23" t="s">
        <v>1410</v>
      </c>
      <c r="R76" s="24" t="s">
        <v>216</v>
      </c>
      <c r="S76" s="25" t="s">
        <v>30</v>
      </c>
      <c r="T76" s="26">
        <v>7.8</v>
      </c>
      <c r="U76" s="26">
        <v>7.8</v>
      </c>
      <c r="V76" s="26">
        <f t="shared" si="10"/>
        <v>443.93</v>
      </c>
      <c r="W76" s="26">
        <f t="shared" ref="W76:W132" si="18">AH76-M76</f>
        <v>0</v>
      </c>
      <c r="X76" s="26">
        <f t="shared" si="13"/>
        <v>0</v>
      </c>
      <c r="Y76" s="26">
        <f t="shared" si="11"/>
        <v>0</v>
      </c>
      <c r="Z76" s="26">
        <f t="shared" si="14"/>
        <v>0</v>
      </c>
      <c r="AA76" s="33" t="s">
        <v>15</v>
      </c>
      <c r="AB76" s="36" t="s">
        <v>16</v>
      </c>
      <c r="AC76" s="181">
        <f t="shared" si="15"/>
        <v>7.8</v>
      </c>
      <c r="AD76" s="181">
        <f t="shared" si="12"/>
        <v>3462.65</v>
      </c>
      <c r="AE76" s="181">
        <v>1.2</v>
      </c>
      <c r="AF76" s="181">
        <v>1.2</v>
      </c>
      <c r="AG76" s="101" t="str">
        <f t="shared" si="16"/>
        <v/>
      </c>
      <c r="AH76" s="190">
        <v>0</v>
      </c>
      <c r="AI76" s="69">
        <f t="shared" si="17"/>
        <v>7.8</v>
      </c>
    </row>
    <row r="77" spans="1:35" s="69" customFormat="1" ht="26.1" customHeight="1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 t="s">
        <v>15</v>
      </c>
      <c r="I77" s="75">
        <v>13705.7</v>
      </c>
      <c r="J77" s="75">
        <v>27411.4</v>
      </c>
      <c r="K77" s="91" t="s">
        <v>220</v>
      </c>
      <c r="L77" s="73"/>
      <c r="M77" s="46">
        <v>0</v>
      </c>
      <c r="N77" s="46">
        <v>0</v>
      </c>
      <c r="O77" s="46">
        <v>0</v>
      </c>
      <c r="P77" s="98"/>
      <c r="Q77" s="23" t="s">
        <v>1411</v>
      </c>
      <c r="R77" s="24" t="s">
        <v>219</v>
      </c>
      <c r="S77" s="25" t="s">
        <v>81</v>
      </c>
      <c r="T77" s="26">
        <v>2</v>
      </c>
      <c r="U77" s="26">
        <v>2</v>
      </c>
      <c r="V77" s="26">
        <f t="shared" si="10"/>
        <v>13705.7</v>
      </c>
      <c r="W77" s="26">
        <f t="shared" si="18"/>
        <v>0</v>
      </c>
      <c r="X77" s="26">
        <f t="shared" si="13"/>
        <v>0</v>
      </c>
      <c r="Y77" s="26">
        <f t="shared" si="11"/>
        <v>0</v>
      </c>
      <c r="Z77" s="26">
        <f t="shared" si="14"/>
        <v>0</v>
      </c>
      <c r="AA77" s="33" t="s">
        <v>15</v>
      </c>
      <c r="AB77" s="36" t="s">
        <v>16</v>
      </c>
      <c r="AC77" s="181">
        <f t="shared" si="15"/>
        <v>2</v>
      </c>
      <c r="AD77" s="181">
        <f t="shared" si="12"/>
        <v>27411.4</v>
      </c>
      <c r="AE77" s="181">
        <v>1.2</v>
      </c>
      <c r="AF77" s="181">
        <v>1.2</v>
      </c>
      <c r="AG77" s="101" t="str">
        <f t="shared" si="16"/>
        <v/>
      </c>
      <c r="AH77" s="190">
        <v>0</v>
      </c>
      <c r="AI77" s="69">
        <f t="shared" si="17"/>
        <v>2</v>
      </c>
    </row>
    <row r="78" spans="1:35" s="69" customFormat="1" ht="26.1" customHeight="1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 t="s">
        <v>15</v>
      </c>
      <c r="I78" s="75">
        <v>25126.95</v>
      </c>
      <c r="J78" s="75">
        <v>75380.850000000006</v>
      </c>
      <c r="K78" s="91" t="s">
        <v>223</v>
      </c>
      <c r="L78" s="73"/>
      <c r="M78" s="46">
        <v>0</v>
      </c>
      <c r="N78" s="46">
        <v>0</v>
      </c>
      <c r="O78" s="46">
        <v>0</v>
      </c>
      <c r="P78" s="98"/>
      <c r="Q78" s="23" t="s">
        <v>1445</v>
      </c>
      <c r="R78" s="24" t="s">
        <v>222</v>
      </c>
      <c r="S78" s="25" t="s">
        <v>81</v>
      </c>
      <c r="T78" s="26">
        <v>3</v>
      </c>
      <c r="U78" s="26">
        <v>3</v>
      </c>
      <c r="V78" s="26">
        <f t="shared" si="10"/>
        <v>25126.95</v>
      </c>
      <c r="W78" s="26">
        <f t="shared" si="18"/>
        <v>0</v>
      </c>
      <c r="X78" s="26">
        <f t="shared" si="13"/>
        <v>0</v>
      </c>
      <c r="Y78" s="26">
        <f t="shared" si="11"/>
        <v>0</v>
      </c>
      <c r="Z78" s="26">
        <f t="shared" si="14"/>
        <v>0</v>
      </c>
      <c r="AA78" s="33" t="s">
        <v>15</v>
      </c>
      <c r="AB78" s="36" t="s">
        <v>16</v>
      </c>
      <c r="AC78" s="181">
        <f t="shared" si="15"/>
        <v>3</v>
      </c>
      <c r="AD78" s="181">
        <f t="shared" si="12"/>
        <v>75380.850000000006</v>
      </c>
      <c r="AE78" s="181">
        <v>1.2</v>
      </c>
      <c r="AF78" s="181">
        <v>1.2</v>
      </c>
      <c r="AG78" s="101" t="str">
        <f t="shared" si="16"/>
        <v/>
      </c>
      <c r="AH78" s="190">
        <v>0</v>
      </c>
      <c r="AI78" s="69">
        <f t="shared" si="17"/>
        <v>3</v>
      </c>
    </row>
    <row r="79" spans="1:35" s="69" customFormat="1" ht="26.1" customHeight="1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 t="s">
        <v>15</v>
      </c>
      <c r="I79" s="75">
        <v>2901.57</v>
      </c>
      <c r="J79" s="75">
        <v>52228.26</v>
      </c>
      <c r="K79" s="91" t="s">
        <v>226</v>
      </c>
      <c r="L79" s="73"/>
      <c r="M79" s="46">
        <v>0</v>
      </c>
      <c r="N79" s="46">
        <v>0</v>
      </c>
      <c r="O79" s="46">
        <v>0</v>
      </c>
      <c r="P79" s="98"/>
      <c r="Q79" s="23" t="s">
        <v>1383</v>
      </c>
      <c r="R79" s="24" t="s">
        <v>225</v>
      </c>
      <c r="S79" s="25" t="s">
        <v>30</v>
      </c>
      <c r="T79" s="26">
        <v>18</v>
      </c>
      <c r="U79" s="26">
        <v>18</v>
      </c>
      <c r="V79" s="26">
        <f t="shared" si="10"/>
        <v>2901.57</v>
      </c>
      <c r="W79" s="26">
        <f t="shared" si="18"/>
        <v>0</v>
      </c>
      <c r="X79" s="26">
        <f t="shared" si="13"/>
        <v>0</v>
      </c>
      <c r="Y79" s="26">
        <f t="shared" si="11"/>
        <v>0</v>
      </c>
      <c r="Z79" s="26">
        <f t="shared" si="14"/>
        <v>0</v>
      </c>
      <c r="AA79" s="33" t="s">
        <v>15</v>
      </c>
      <c r="AB79" s="36" t="s">
        <v>16</v>
      </c>
      <c r="AC79" s="181">
        <f t="shared" si="15"/>
        <v>18</v>
      </c>
      <c r="AD79" s="181">
        <f t="shared" si="12"/>
        <v>52228.26</v>
      </c>
      <c r="AE79" s="181">
        <v>1.2</v>
      </c>
      <c r="AF79" s="181">
        <v>1.2</v>
      </c>
      <c r="AG79" s="101" t="str">
        <f t="shared" si="16"/>
        <v/>
      </c>
      <c r="AH79" s="190">
        <v>0</v>
      </c>
      <c r="AI79" s="69">
        <f t="shared" si="17"/>
        <v>18</v>
      </c>
    </row>
    <row r="80" spans="1:35" s="69" customFormat="1" ht="26.1" customHeight="1" x14ac:dyDescent="0.3">
      <c r="A80" s="130" t="s">
        <v>227</v>
      </c>
      <c r="B80" s="131" t="s">
        <v>228</v>
      </c>
      <c r="C80" s="132" t="s">
        <v>30</v>
      </c>
      <c r="D80" s="133">
        <v>17.100000000000001</v>
      </c>
      <c r="E80" s="75"/>
      <c r="F80" s="75"/>
      <c r="G80" s="75"/>
      <c r="H80" s="75" t="s">
        <v>15</v>
      </c>
      <c r="I80" s="75">
        <v>1762.96</v>
      </c>
      <c r="J80" s="75">
        <v>30146.62</v>
      </c>
      <c r="K80" s="91" t="s">
        <v>229</v>
      </c>
      <c r="L80" s="73"/>
      <c r="M80" s="46">
        <v>17.100000000000001</v>
      </c>
      <c r="N80" s="46">
        <v>0</v>
      </c>
      <c r="O80" s="46">
        <v>30146.62</v>
      </c>
      <c r="P80" s="98"/>
      <c r="Q80" s="23" t="s">
        <v>1384</v>
      </c>
      <c r="R80" s="24" t="s">
        <v>228</v>
      </c>
      <c r="S80" s="25" t="s">
        <v>30</v>
      </c>
      <c r="T80" s="26">
        <v>17.100000000000001</v>
      </c>
      <c r="U80" s="26">
        <v>17.100000000000001</v>
      </c>
      <c r="V80" s="26">
        <f t="shared" si="10"/>
        <v>1762.96</v>
      </c>
      <c r="W80" s="127">
        <f t="shared" si="18"/>
        <v>0</v>
      </c>
      <c r="X80" s="127">
        <f t="shared" si="13"/>
        <v>17.100000000000001</v>
      </c>
      <c r="Y80" s="127">
        <f t="shared" si="11"/>
        <v>0</v>
      </c>
      <c r="Z80" s="127">
        <f t="shared" si="14"/>
        <v>30146.62</v>
      </c>
      <c r="AA80" s="33" t="s">
        <v>15</v>
      </c>
      <c r="AB80" s="36" t="s">
        <v>16</v>
      </c>
      <c r="AC80" s="181">
        <f t="shared" si="15"/>
        <v>17.100000000000001</v>
      </c>
      <c r="AD80" s="181">
        <f t="shared" si="12"/>
        <v>30146.62</v>
      </c>
      <c r="AE80" s="181">
        <v>1.2</v>
      </c>
      <c r="AF80" s="181">
        <v>1.2</v>
      </c>
      <c r="AG80" s="101" t="str">
        <f t="shared" si="16"/>
        <v/>
      </c>
      <c r="AH80" s="191">
        <v>17.100000000000001</v>
      </c>
      <c r="AI80" s="69">
        <f t="shared" si="17"/>
        <v>17.100000000000001</v>
      </c>
    </row>
    <row r="81" spans="1:35" s="69" customFormat="1" ht="26.1" customHeight="1" x14ac:dyDescent="0.3">
      <c r="A81" s="130" t="s">
        <v>230</v>
      </c>
      <c r="B81" s="131" t="s">
        <v>231</v>
      </c>
      <c r="C81" s="132" t="s">
        <v>30</v>
      </c>
      <c r="D81" s="133">
        <v>77.400000000000006</v>
      </c>
      <c r="E81" s="75"/>
      <c r="F81" s="75"/>
      <c r="G81" s="75"/>
      <c r="H81" s="75" t="s">
        <v>15</v>
      </c>
      <c r="I81" s="75">
        <v>1224.3</v>
      </c>
      <c r="J81" s="75">
        <v>94760.82</v>
      </c>
      <c r="K81" s="91" t="s">
        <v>232</v>
      </c>
      <c r="L81" s="73"/>
      <c r="M81" s="46">
        <v>56</v>
      </c>
      <c r="N81" s="46">
        <v>0</v>
      </c>
      <c r="O81" s="46">
        <v>68560.800000000003</v>
      </c>
      <c r="P81" s="98"/>
      <c r="Q81" s="23" t="s">
        <v>1385</v>
      </c>
      <c r="R81" s="24" t="s">
        <v>231</v>
      </c>
      <c r="S81" s="25" t="s">
        <v>30</v>
      </c>
      <c r="T81" s="26">
        <v>77.400000000000006</v>
      </c>
      <c r="U81" s="26">
        <v>77.400000000000006</v>
      </c>
      <c r="V81" s="26">
        <f t="shared" si="10"/>
        <v>1224.3</v>
      </c>
      <c r="W81" s="127">
        <f t="shared" si="18"/>
        <v>0</v>
      </c>
      <c r="X81" s="127">
        <f t="shared" si="13"/>
        <v>56</v>
      </c>
      <c r="Y81" s="127">
        <f t="shared" si="11"/>
        <v>0</v>
      </c>
      <c r="Z81" s="127">
        <f t="shared" si="14"/>
        <v>68560.800000000003</v>
      </c>
      <c r="AA81" s="33" t="s">
        <v>15</v>
      </c>
      <c r="AB81" s="36" t="s">
        <v>16</v>
      </c>
      <c r="AC81" s="181">
        <f t="shared" si="15"/>
        <v>77.400000000000006</v>
      </c>
      <c r="AD81" s="181">
        <f t="shared" si="12"/>
        <v>94760.82</v>
      </c>
      <c r="AE81" s="181">
        <v>1.2</v>
      </c>
      <c r="AF81" s="181">
        <v>1.2</v>
      </c>
      <c r="AG81" s="101" t="str">
        <f t="shared" si="16"/>
        <v/>
      </c>
      <c r="AH81" s="191">
        <v>56</v>
      </c>
      <c r="AI81" s="69">
        <f t="shared" si="17"/>
        <v>77.400000000000006</v>
      </c>
    </row>
    <row r="82" spans="1:35" s="69" customFormat="1" ht="26.1" customHeight="1" x14ac:dyDescent="0.3">
      <c r="A82" s="55" t="s">
        <v>233</v>
      </c>
      <c r="B82" s="215" t="s">
        <v>234</v>
      </c>
      <c r="C82" s="54" t="s">
        <v>30</v>
      </c>
      <c r="D82" s="75">
        <v>32.5</v>
      </c>
      <c r="E82" s="75"/>
      <c r="F82" s="75"/>
      <c r="G82" s="75"/>
      <c r="H82" s="75" t="s">
        <v>15</v>
      </c>
      <c r="I82" s="75">
        <v>1148.7</v>
      </c>
      <c r="J82" s="75">
        <v>37332.75</v>
      </c>
      <c r="K82" s="91" t="s">
        <v>235</v>
      </c>
      <c r="L82" s="73"/>
      <c r="M82" s="46">
        <v>0</v>
      </c>
      <c r="N82" s="46">
        <v>0</v>
      </c>
      <c r="O82" s="46">
        <v>0</v>
      </c>
      <c r="P82" s="98"/>
      <c r="Q82" s="23" t="s">
        <v>1446</v>
      </c>
      <c r="R82" s="24" t="s">
        <v>234</v>
      </c>
      <c r="S82" s="25" t="s">
        <v>30</v>
      </c>
      <c r="T82" s="26">
        <v>32.5</v>
      </c>
      <c r="U82" s="26">
        <v>32.5</v>
      </c>
      <c r="V82" s="26">
        <f t="shared" si="10"/>
        <v>1148.7</v>
      </c>
      <c r="W82" s="26">
        <f t="shared" si="18"/>
        <v>0</v>
      </c>
      <c r="X82" s="26">
        <f t="shared" si="13"/>
        <v>0</v>
      </c>
      <c r="Y82" s="26">
        <f t="shared" si="11"/>
        <v>0</v>
      </c>
      <c r="Z82" s="26">
        <f t="shared" si="14"/>
        <v>0</v>
      </c>
      <c r="AA82" s="33" t="s">
        <v>15</v>
      </c>
      <c r="AB82" s="36" t="s">
        <v>16</v>
      </c>
      <c r="AC82" s="181">
        <f t="shared" si="15"/>
        <v>32.5</v>
      </c>
      <c r="AD82" s="181">
        <f t="shared" si="12"/>
        <v>37332.75</v>
      </c>
      <c r="AE82" s="181">
        <v>1.2</v>
      </c>
      <c r="AF82" s="181">
        <v>1.2</v>
      </c>
      <c r="AG82" s="101" t="str">
        <f t="shared" si="16"/>
        <v/>
      </c>
      <c r="AH82" s="190">
        <v>0</v>
      </c>
      <c r="AI82" s="69">
        <f t="shared" si="17"/>
        <v>32.5</v>
      </c>
    </row>
    <row r="83" spans="1:35" s="69" customFormat="1" ht="26.1" customHeight="1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 t="s">
        <v>15</v>
      </c>
      <c r="I83" s="75">
        <v>19780.169999999998</v>
      </c>
      <c r="J83" s="75">
        <v>19780.169999999998</v>
      </c>
      <c r="K83" s="91" t="s">
        <v>238</v>
      </c>
      <c r="L83" s="73"/>
      <c r="M83" s="46">
        <v>0</v>
      </c>
      <c r="N83" s="46">
        <v>0</v>
      </c>
      <c r="O83" s="46">
        <v>0</v>
      </c>
      <c r="P83" s="98"/>
      <c r="Q83" s="23" t="s">
        <v>1447</v>
      </c>
      <c r="R83" s="24" t="s">
        <v>237</v>
      </c>
      <c r="S83" s="25" t="s">
        <v>81</v>
      </c>
      <c r="T83" s="26">
        <v>1</v>
      </c>
      <c r="U83" s="26">
        <v>1</v>
      </c>
      <c r="V83" s="26">
        <f t="shared" si="10"/>
        <v>19780.169999999998</v>
      </c>
      <c r="W83" s="26">
        <f t="shared" si="18"/>
        <v>0</v>
      </c>
      <c r="X83" s="26">
        <f t="shared" si="13"/>
        <v>0</v>
      </c>
      <c r="Y83" s="26">
        <f t="shared" si="11"/>
        <v>0</v>
      </c>
      <c r="Z83" s="26">
        <f t="shared" si="14"/>
        <v>0</v>
      </c>
      <c r="AA83" s="33" t="s">
        <v>15</v>
      </c>
      <c r="AB83" s="36" t="s">
        <v>16</v>
      </c>
      <c r="AC83" s="181">
        <f t="shared" si="15"/>
        <v>1</v>
      </c>
      <c r="AD83" s="181">
        <f t="shared" si="12"/>
        <v>19780.169999999998</v>
      </c>
      <c r="AE83" s="181">
        <v>1.2</v>
      </c>
      <c r="AF83" s="181">
        <v>1.2</v>
      </c>
      <c r="AG83" s="101" t="str">
        <f t="shared" si="16"/>
        <v/>
      </c>
      <c r="AH83" s="190">
        <v>0</v>
      </c>
      <c r="AI83" s="69">
        <f t="shared" si="17"/>
        <v>1</v>
      </c>
    </row>
    <row r="84" spans="1:35" s="69" customFormat="1" ht="26.1" customHeight="1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 t="s">
        <v>15</v>
      </c>
      <c r="I84" s="75">
        <v>1218.03</v>
      </c>
      <c r="J84" s="75">
        <v>1218.03</v>
      </c>
      <c r="K84" s="91" t="s">
        <v>241</v>
      </c>
      <c r="L84" s="73"/>
      <c r="M84" s="46">
        <v>0</v>
      </c>
      <c r="N84" s="46">
        <v>0</v>
      </c>
      <c r="O84" s="46">
        <v>0</v>
      </c>
      <c r="P84" s="98"/>
      <c r="Q84" s="23" t="s">
        <v>1448</v>
      </c>
      <c r="R84" s="24" t="s">
        <v>240</v>
      </c>
      <c r="S84" s="25" t="s">
        <v>81</v>
      </c>
      <c r="T84" s="26">
        <v>1</v>
      </c>
      <c r="U84" s="26">
        <v>1</v>
      </c>
      <c r="V84" s="26">
        <f t="shared" si="10"/>
        <v>1218.03</v>
      </c>
      <c r="W84" s="26">
        <f t="shared" si="18"/>
        <v>0</v>
      </c>
      <c r="X84" s="26">
        <f t="shared" si="13"/>
        <v>0</v>
      </c>
      <c r="Y84" s="26">
        <f t="shared" si="11"/>
        <v>0</v>
      </c>
      <c r="Z84" s="26">
        <f t="shared" si="14"/>
        <v>0</v>
      </c>
      <c r="AA84" s="33" t="s">
        <v>15</v>
      </c>
      <c r="AB84" s="36" t="s">
        <v>16</v>
      </c>
      <c r="AC84" s="181">
        <f t="shared" si="15"/>
        <v>1</v>
      </c>
      <c r="AD84" s="181">
        <f t="shared" si="12"/>
        <v>1218.03</v>
      </c>
      <c r="AE84" s="181">
        <v>1.2</v>
      </c>
      <c r="AF84" s="181">
        <v>1.2</v>
      </c>
      <c r="AG84" s="101" t="str">
        <f t="shared" si="16"/>
        <v/>
      </c>
      <c r="AH84" s="190">
        <v>0</v>
      </c>
      <c r="AI84" s="69">
        <f t="shared" si="17"/>
        <v>1</v>
      </c>
    </row>
    <row r="85" spans="1:35" s="69" customFormat="1" ht="26.1" customHeight="1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 t="s">
        <v>15</v>
      </c>
      <c r="I85" s="75">
        <v>3110.7</v>
      </c>
      <c r="J85" s="75">
        <v>3110.7</v>
      </c>
      <c r="K85" s="91" t="s">
        <v>244</v>
      </c>
      <c r="L85" s="73"/>
      <c r="M85" s="46">
        <v>0</v>
      </c>
      <c r="N85" s="46">
        <v>0</v>
      </c>
      <c r="O85" s="46">
        <v>0</v>
      </c>
      <c r="P85" s="98"/>
      <c r="Q85" s="23" t="s">
        <v>1449</v>
      </c>
      <c r="R85" s="24" t="s">
        <v>243</v>
      </c>
      <c r="S85" s="25" t="s">
        <v>81</v>
      </c>
      <c r="T85" s="26">
        <v>1</v>
      </c>
      <c r="U85" s="26">
        <v>1</v>
      </c>
      <c r="V85" s="26">
        <f t="shared" si="10"/>
        <v>3110.7</v>
      </c>
      <c r="W85" s="26">
        <f t="shared" si="18"/>
        <v>0</v>
      </c>
      <c r="X85" s="26">
        <f t="shared" si="13"/>
        <v>0</v>
      </c>
      <c r="Y85" s="26">
        <f t="shared" si="11"/>
        <v>0</v>
      </c>
      <c r="Z85" s="26">
        <f t="shared" si="14"/>
        <v>0</v>
      </c>
      <c r="AA85" s="33" t="s">
        <v>15</v>
      </c>
      <c r="AB85" s="36" t="s">
        <v>16</v>
      </c>
      <c r="AC85" s="181">
        <f t="shared" si="15"/>
        <v>1</v>
      </c>
      <c r="AD85" s="181">
        <f t="shared" si="12"/>
        <v>3110.7</v>
      </c>
      <c r="AE85" s="181">
        <v>1.2</v>
      </c>
      <c r="AF85" s="181">
        <v>1.2</v>
      </c>
      <c r="AG85" s="101" t="str">
        <f t="shared" si="16"/>
        <v/>
      </c>
      <c r="AH85" s="190">
        <v>0</v>
      </c>
      <c r="AI85" s="69">
        <f t="shared" si="17"/>
        <v>1</v>
      </c>
    </row>
    <row r="86" spans="1:35" s="69" customFormat="1" ht="26.1" customHeight="1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 t="s">
        <v>15</v>
      </c>
      <c r="I86" s="75">
        <v>1251.0999999999999</v>
      </c>
      <c r="J86" s="75">
        <v>1251.0999999999999</v>
      </c>
      <c r="K86" s="91" t="s">
        <v>247</v>
      </c>
      <c r="L86" s="73"/>
      <c r="M86" s="46">
        <v>0</v>
      </c>
      <c r="N86" s="46">
        <v>0</v>
      </c>
      <c r="O86" s="46">
        <v>0</v>
      </c>
      <c r="P86" s="98"/>
      <c r="Q86" s="23" t="s">
        <v>1450</v>
      </c>
      <c r="R86" s="24" t="s">
        <v>246</v>
      </c>
      <c r="S86" s="25" t="s">
        <v>81</v>
      </c>
      <c r="T86" s="26">
        <v>1</v>
      </c>
      <c r="U86" s="26">
        <v>1</v>
      </c>
      <c r="V86" s="26">
        <f t="shared" si="10"/>
        <v>1251.0999999999999</v>
      </c>
      <c r="W86" s="26">
        <f t="shared" si="18"/>
        <v>0</v>
      </c>
      <c r="X86" s="26">
        <f t="shared" si="13"/>
        <v>0</v>
      </c>
      <c r="Y86" s="26">
        <f t="shared" si="11"/>
        <v>0</v>
      </c>
      <c r="Z86" s="26">
        <f t="shared" si="14"/>
        <v>0</v>
      </c>
      <c r="AA86" s="33" t="s">
        <v>15</v>
      </c>
      <c r="AB86" s="36" t="s">
        <v>16</v>
      </c>
      <c r="AC86" s="181">
        <f t="shared" si="15"/>
        <v>1</v>
      </c>
      <c r="AD86" s="181">
        <f t="shared" si="12"/>
        <v>1251.0999999999999</v>
      </c>
      <c r="AE86" s="181">
        <v>1.2</v>
      </c>
      <c r="AF86" s="181">
        <v>1.2</v>
      </c>
      <c r="AG86" s="101" t="str">
        <f t="shared" si="16"/>
        <v/>
      </c>
      <c r="AH86" s="190">
        <v>0</v>
      </c>
      <c r="AI86" s="69">
        <f t="shared" si="17"/>
        <v>1</v>
      </c>
    </row>
    <row r="87" spans="1:35" s="69" customFormat="1" ht="26.1" customHeight="1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 t="s">
        <v>15</v>
      </c>
      <c r="I87" s="75">
        <v>9500.58</v>
      </c>
      <c r="J87" s="75">
        <v>9500.58</v>
      </c>
      <c r="K87" s="91" t="s">
        <v>250</v>
      </c>
      <c r="L87" s="73"/>
      <c r="M87" s="46">
        <v>0</v>
      </c>
      <c r="N87" s="46">
        <v>0</v>
      </c>
      <c r="O87" s="46">
        <v>0</v>
      </c>
      <c r="P87" s="98"/>
      <c r="Q87" s="23" t="s">
        <v>1451</v>
      </c>
      <c r="R87" s="24" t="s">
        <v>249</v>
      </c>
      <c r="S87" s="25" t="s">
        <v>81</v>
      </c>
      <c r="T87" s="26">
        <v>1</v>
      </c>
      <c r="U87" s="26">
        <v>1</v>
      </c>
      <c r="V87" s="26">
        <f t="shared" si="10"/>
        <v>9500.58</v>
      </c>
      <c r="W87" s="26">
        <f t="shared" si="18"/>
        <v>0</v>
      </c>
      <c r="X87" s="26">
        <f t="shared" si="13"/>
        <v>0</v>
      </c>
      <c r="Y87" s="26">
        <f t="shared" si="11"/>
        <v>0</v>
      </c>
      <c r="Z87" s="26">
        <f t="shared" si="14"/>
        <v>0</v>
      </c>
      <c r="AA87" s="33" t="s">
        <v>15</v>
      </c>
      <c r="AB87" s="36" t="s">
        <v>16</v>
      </c>
      <c r="AC87" s="181">
        <f t="shared" si="15"/>
        <v>1</v>
      </c>
      <c r="AD87" s="181">
        <f t="shared" si="12"/>
        <v>9500.58</v>
      </c>
      <c r="AE87" s="181">
        <v>1.2</v>
      </c>
      <c r="AF87" s="181">
        <v>1.2</v>
      </c>
      <c r="AG87" s="101" t="str">
        <f t="shared" si="16"/>
        <v/>
      </c>
      <c r="AH87" s="190">
        <v>0</v>
      </c>
      <c r="AI87" s="69">
        <f t="shared" si="17"/>
        <v>1</v>
      </c>
    </row>
    <row r="88" spans="1:35" s="69" customFormat="1" ht="26.1" customHeight="1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 t="s">
        <v>15</v>
      </c>
      <c r="I88" s="75">
        <v>3871.43</v>
      </c>
      <c r="J88" s="75">
        <v>3871.43</v>
      </c>
      <c r="K88" s="91" t="s">
        <v>253</v>
      </c>
      <c r="L88" s="73"/>
      <c r="M88" s="46">
        <v>0</v>
      </c>
      <c r="N88" s="46">
        <v>0</v>
      </c>
      <c r="O88" s="46">
        <v>0</v>
      </c>
      <c r="P88" s="98"/>
      <c r="Q88" s="23" t="s">
        <v>1452</v>
      </c>
      <c r="R88" s="24" t="s">
        <v>252</v>
      </c>
      <c r="S88" s="25" t="s">
        <v>81</v>
      </c>
      <c r="T88" s="26">
        <v>1</v>
      </c>
      <c r="U88" s="26">
        <v>1</v>
      </c>
      <c r="V88" s="26">
        <f t="shared" si="10"/>
        <v>3871.43</v>
      </c>
      <c r="W88" s="26">
        <f t="shared" si="18"/>
        <v>0</v>
      </c>
      <c r="X88" s="26">
        <f t="shared" si="13"/>
        <v>0</v>
      </c>
      <c r="Y88" s="26">
        <f t="shared" si="11"/>
        <v>0</v>
      </c>
      <c r="Z88" s="26">
        <f t="shared" si="14"/>
        <v>0</v>
      </c>
      <c r="AA88" s="33" t="s">
        <v>15</v>
      </c>
      <c r="AB88" s="36" t="s">
        <v>16</v>
      </c>
      <c r="AC88" s="181">
        <f t="shared" si="15"/>
        <v>1</v>
      </c>
      <c r="AD88" s="181">
        <f t="shared" si="12"/>
        <v>3871.43</v>
      </c>
      <c r="AE88" s="181">
        <v>1.2</v>
      </c>
      <c r="AF88" s="181">
        <v>1.2</v>
      </c>
      <c r="AG88" s="101" t="str">
        <f t="shared" si="16"/>
        <v/>
      </c>
      <c r="AH88" s="190">
        <v>0</v>
      </c>
      <c r="AI88" s="69">
        <f t="shared" si="17"/>
        <v>1</v>
      </c>
    </row>
    <row r="89" spans="1:35" s="69" customFormat="1" ht="26.1" customHeight="1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 t="s">
        <v>15</v>
      </c>
      <c r="I89" s="75">
        <v>25380.34</v>
      </c>
      <c r="J89" s="75">
        <v>25380.34</v>
      </c>
      <c r="K89" s="91" t="s">
        <v>256</v>
      </c>
      <c r="L89" s="73"/>
      <c r="M89" s="46">
        <v>0</v>
      </c>
      <c r="N89" s="46">
        <v>0</v>
      </c>
      <c r="O89" s="46">
        <v>0</v>
      </c>
      <c r="P89" s="98"/>
      <c r="Q89" s="23" t="s">
        <v>1453</v>
      </c>
      <c r="R89" s="24" t="s">
        <v>255</v>
      </c>
      <c r="S89" s="25" t="s">
        <v>81</v>
      </c>
      <c r="T89" s="26">
        <v>1</v>
      </c>
      <c r="U89" s="26">
        <v>1</v>
      </c>
      <c r="V89" s="26">
        <f t="shared" si="10"/>
        <v>25380.34</v>
      </c>
      <c r="W89" s="26">
        <f t="shared" si="18"/>
        <v>0</v>
      </c>
      <c r="X89" s="26">
        <f t="shared" si="13"/>
        <v>0</v>
      </c>
      <c r="Y89" s="26">
        <f t="shared" si="11"/>
        <v>0</v>
      </c>
      <c r="Z89" s="26">
        <f t="shared" si="14"/>
        <v>0</v>
      </c>
      <c r="AA89" s="33" t="s">
        <v>15</v>
      </c>
      <c r="AB89" s="36" t="s">
        <v>16</v>
      </c>
      <c r="AC89" s="181">
        <f t="shared" si="15"/>
        <v>1</v>
      </c>
      <c r="AD89" s="181">
        <f t="shared" si="12"/>
        <v>25380.34</v>
      </c>
      <c r="AE89" s="181">
        <v>1.2</v>
      </c>
      <c r="AF89" s="181">
        <v>1.2</v>
      </c>
      <c r="AG89" s="101" t="str">
        <f t="shared" si="16"/>
        <v/>
      </c>
      <c r="AH89" s="190">
        <v>0</v>
      </c>
      <c r="AI89" s="69">
        <f t="shared" si="17"/>
        <v>1</v>
      </c>
    </row>
    <row r="90" spans="1:35" s="69" customFormat="1" ht="26.1" customHeight="1" x14ac:dyDescent="0.3">
      <c r="A90" s="55" t="s">
        <v>257</v>
      </c>
      <c r="B90" s="53" t="s">
        <v>258</v>
      </c>
      <c r="C90" s="54" t="s">
        <v>30</v>
      </c>
      <c r="D90" s="75">
        <v>13.9</v>
      </c>
      <c r="E90" s="75"/>
      <c r="F90" s="75"/>
      <c r="G90" s="75"/>
      <c r="H90" s="75" t="s">
        <v>15</v>
      </c>
      <c r="I90" s="75">
        <v>1285.31</v>
      </c>
      <c r="J90" s="75">
        <v>17865.810000000001</v>
      </c>
      <c r="K90" s="91" t="s">
        <v>259</v>
      </c>
      <c r="L90" s="73"/>
      <c r="M90" s="46">
        <v>0</v>
      </c>
      <c r="N90" s="46">
        <v>0</v>
      </c>
      <c r="O90" s="46">
        <v>0</v>
      </c>
      <c r="P90" s="98"/>
      <c r="Q90" s="23" t="s">
        <v>1454</v>
      </c>
      <c r="R90" s="24" t="s">
        <v>258</v>
      </c>
      <c r="S90" s="25" t="s">
        <v>30</v>
      </c>
      <c r="T90" s="26">
        <v>13.9</v>
      </c>
      <c r="U90" s="26">
        <v>13.9</v>
      </c>
      <c r="V90" s="26">
        <f t="shared" si="10"/>
        <v>1285.31</v>
      </c>
      <c r="W90" s="26">
        <f t="shared" si="18"/>
        <v>0</v>
      </c>
      <c r="X90" s="26">
        <f t="shared" si="13"/>
        <v>0</v>
      </c>
      <c r="Y90" s="26">
        <f t="shared" si="11"/>
        <v>0</v>
      </c>
      <c r="Z90" s="26">
        <f t="shared" si="14"/>
        <v>0</v>
      </c>
      <c r="AA90" s="33" t="s">
        <v>15</v>
      </c>
      <c r="AB90" s="36" t="s">
        <v>16</v>
      </c>
      <c r="AC90" s="181">
        <f t="shared" si="15"/>
        <v>13.9</v>
      </c>
      <c r="AD90" s="181">
        <f t="shared" si="12"/>
        <v>17865.810000000001</v>
      </c>
      <c r="AE90" s="181">
        <v>1.2</v>
      </c>
      <c r="AF90" s="181">
        <v>1.2</v>
      </c>
      <c r="AG90" s="101" t="str">
        <f t="shared" si="16"/>
        <v/>
      </c>
      <c r="AH90" s="190">
        <v>0</v>
      </c>
      <c r="AI90" s="69">
        <f t="shared" si="17"/>
        <v>13.9</v>
      </c>
    </row>
    <row r="91" spans="1:35" s="69" customFormat="1" ht="26.1" customHeight="1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 t="s">
        <v>15</v>
      </c>
      <c r="I91" s="75">
        <v>1976.06</v>
      </c>
      <c r="J91" s="75">
        <v>186046.05</v>
      </c>
      <c r="K91" s="91" t="s">
        <v>262</v>
      </c>
      <c r="L91" s="73"/>
      <c r="M91" s="46">
        <v>0</v>
      </c>
      <c r="N91" s="46">
        <v>0</v>
      </c>
      <c r="O91" s="46">
        <v>0</v>
      </c>
      <c r="P91" s="98"/>
      <c r="Q91" s="23" t="s">
        <v>1455</v>
      </c>
      <c r="R91" s="24" t="s">
        <v>261</v>
      </c>
      <c r="S91" s="25" t="s">
        <v>30</v>
      </c>
      <c r="T91" s="26">
        <v>94.15</v>
      </c>
      <c r="U91" s="26">
        <v>94.15</v>
      </c>
      <c r="V91" s="26">
        <f t="shared" si="10"/>
        <v>1976.06</v>
      </c>
      <c r="W91" s="26">
        <f t="shared" si="18"/>
        <v>0</v>
      </c>
      <c r="X91" s="26">
        <f t="shared" si="13"/>
        <v>0</v>
      </c>
      <c r="Y91" s="26">
        <f t="shared" si="11"/>
        <v>0</v>
      </c>
      <c r="Z91" s="26">
        <f t="shared" si="14"/>
        <v>0</v>
      </c>
      <c r="AA91" s="33" t="s">
        <v>15</v>
      </c>
      <c r="AB91" s="36" t="s">
        <v>16</v>
      </c>
      <c r="AC91" s="181">
        <f t="shared" si="15"/>
        <v>94.15</v>
      </c>
      <c r="AD91" s="181">
        <f t="shared" si="12"/>
        <v>186046.05</v>
      </c>
      <c r="AE91" s="181">
        <v>1.2</v>
      </c>
      <c r="AF91" s="181">
        <v>1.2</v>
      </c>
      <c r="AG91" s="101" t="str">
        <f t="shared" si="16"/>
        <v/>
      </c>
      <c r="AH91" s="190">
        <v>0</v>
      </c>
      <c r="AI91" s="69">
        <f t="shared" si="17"/>
        <v>94.15</v>
      </c>
    </row>
    <row r="92" spans="1:35" s="69" customFormat="1" ht="26.1" customHeight="1" x14ac:dyDescent="0.3">
      <c r="A92" s="130" t="s">
        <v>263</v>
      </c>
      <c r="B92" s="131" t="s">
        <v>264</v>
      </c>
      <c r="C92" s="132" t="s">
        <v>30</v>
      </c>
      <c r="D92" s="133">
        <v>13.5</v>
      </c>
      <c r="E92" s="75"/>
      <c r="F92" s="75"/>
      <c r="G92" s="75"/>
      <c r="H92" s="75" t="s">
        <v>15</v>
      </c>
      <c r="I92" s="75">
        <v>1889.54</v>
      </c>
      <c r="J92" s="75">
        <v>25508.79</v>
      </c>
      <c r="K92" s="91" t="s">
        <v>265</v>
      </c>
      <c r="L92" s="73"/>
      <c r="M92" s="46">
        <v>0</v>
      </c>
      <c r="N92" s="46">
        <v>0</v>
      </c>
      <c r="O92" s="46">
        <v>0</v>
      </c>
      <c r="P92" s="98"/>
      <c r="Q92" s="23" t="s">
        <v>1456</v>
      </c>
      <c r="R92" s="24" t="s">
        <v>264</v>
      </c>
      <c r="S92" s="25" t="s">
        <v>30</v>
      </c>
      <c r="T92" s="26">
        <v>13.5</v>
      </c>
      <c r="U92" s="26">
        <v>13.5</v>
      </c>
      <c r="V92" s="26">
        <f t="shared" si="10"/>
        <v>1889.54</v>
      </c>
      <c r="W92" s="243">
        <f t="shared" si="18"/>
        <v>11.5</v>
      </c>
      <c r="X92" s="26">
        <f t="shared" si="13"/>
        <v>11.5</v>
      </c>
      <c r="Y92" s="26">
        <f t="shared" si="11"/>
        <v>21729.71</v>
      </c>
      <c r="Z92" s="26">
        <f t="shared" si="14"/>
        <v>21729.71</v>
      </c>
      <c r="AA92" s="33" t="s">
        <v>15</v>
      </c>
      <c r="AB92" s="36" t="s">
        <v>16</v>
      </c>
      <c r="AC92" s="181">
        <f t="shared" si="15"/>
        <v>13.5</v>
      </c>
      <c r="AD92" s="181">
        <f t="shared" si="12"/>
        <v>25508.79</v>
      </c>
      <c r="AE92" s="181">
        <v>1.2</v>
      </c>
      <c r="AF92" s="181">
        <v>1.2</v>
      </c>
      <c r="AG92" s="101" t="str">
        <f t="shared" si="16"/>
        <v/>
      </c>
      <c r="AH92" s="191">
        <f>11.5</f>
        <v>11.5</v>
      </c>
      <c r="AI92" s="69">
        <f t="shared" si="17"/>
        <v>13.5</v>
      </c>
    </row>
    <row r="93" spans="1:35" s="69" customFormat="1" ht="33" x14ac:dyDescent="0.3">
      <c r="A93" s="130" t="s">
        <v>266</v>
      </c>
      <c r="B93" s="131" t="s">
        <v>267</v>
      </c>
      <c r="C93" s="132" t="s">
        <v>30</v>
      </c>
      <c r="D93" s="133">
        <v>13.7</v>
      </c>
      <c r="E93" s="75"/>
      <c r="F93" s="75"/>
      <c r="G93" s="75"/>
      <c r="H93" s="75" t="s">
        <v>15</v>
      </c>
      <c r="I93" s="75">
        <v>1778.66</v>
      </c>
      <c r="J93" s="75">
        <v>24367.64</v>
      </c>
      <c r="K93" s="91" t="s">
        <v>268</v>
      </c>
      <c r="L93" s="73"/>
      <c r="M93" s="46">
        <v>0</v>
      </c>
      <c r="N93" s="46">
        <v>0</v>
      </c>
      <c r="O93" s="46">
        <v>0</v>
      </c>
      <c r="P93" s="98"/>
      <c r="Q93" s="23" t="s">
        <v>1457</v>
      </c>
      <c r="R93" s="24" t="s">
        <v>267</v>
      </c>
      <c r="S93" s="25" t="s">
        <v>30</v>
      </c>
      <c r="T93" s="26">
        <v>13.7</v>
      </c>
      <c r="U93" s="26">
        <v>13.7</v>
      </c>
      <c r="V93" s="26">
        <f t="shared" si="10"/>
        <v>1778.66</v>
      </c>
      <c r="W93" s="199">
        <f t="shared" si="18"/>
        <v>13.7</v>
      </c>
      <c r="X93" s="127">
        <f t="shared" si="13"/>
        <v>13.7</v>
      </c>
      <c r="Y93" s="127">
        <f t="shared" si="11"/>
        <v>24367.64</v>
      </c>
      <c r="Z93" s="127">
        <f t="shared" si="14"/>
        <v>24367.64</v>
      </c>
      <c r="AA93" s="33" t="s">
        <v>15</v>
      </c>
      <c r="AB93" s="36" t="s">
        <v>16</v>
      </c>
      <c r="AC93" s="181">
        <f t="shared" si="15"/>
        <v>13.7</v>
      </c>
      <c r="AD93" s="181">
        <f t="shared" si="12"/>
        <v>24367.64</v>
      </c>
      <c r="AE93" s="181">
        <v>1.2</v>
      </c>
      <c r="AF93" s="181">
        <v>1.2</v>
      </c>
      <c r="AG93" s="101" t="str">
        <f t="shared" si="16"/>
        <v/>
      </c>
      <c r="AH93" s="191">
        <f>13.7</f>
        <v>13.7</v>
      </c>
      <c r="AI93" s="69">
        <f t="shared" si="17"/>
        <v>13.7</v>
      </c>
    </row>
    <row r="94" spans="1:35" s="69" customFormat="1" ht="26.1" customHeight="1" x14ac:dyDescent="0.3">
      <c r="A94" s="55" t="s">
        <v>269</v>
      </c>
      <c r="B94" s="53" t="s">
        <v>270</v>
      </c>
      <c r="C94" s="54" t="s">
        <v>30</v>
      </c>
      <c r="D94" s="75">
        <v>17.920000000000002</v>
      </c>
      <c r="E94" s="75"/>
      <c r="F94" s="75"/>
      <c r="G94" s="75"/>
      <c r="H94" s="75" t="s">
        <v>15</v>
      </c>
      <c r="I94" s="75">
        <v>2939.14</v>
      </c>
      <c r="J94" s="75">
        <v>52669.39</v>
      </c>
      <c r="K94" s="91" t="s">
        <v>271</v>
      </c>
      <c r="L94" s="73"/>
      <c r="M94" s="46">
        <v>0</v>
      </c>
      <c r="N94" s="46">
        <v>0</v>
      </c>
      <c r="O94" s="46">
        <v>0</v>
      </c>
      <c r="P94" s="98"/>
      <c r="Q94" s="23" t="s">
        <v>1458</v>
      </c>
      <c r="R94" s="24" t="s">
        <v>270</v>
      </c>
      <c r="S94" s="25" t="s">
        <v>30</v>
      </c>
      <c r="T94" s="26">
        <v>17.920000000000002</v>
      </c>
      <c r="U94" s="26">
        <v>17.920000000000002</v>
      </c>
      <c r="V94" s="26">
        <f t="shared" si="10"/>
        <v>2939.14</v>
      </c>
      <c r="W94" s="26">
        <f t="shared" si="18"/>
        <v>0</v>
      </c>
      <c r="X94" s="26">
        <f t="shared" si="13"/>
        <v>0</v>
      </c>
      <c r="Y94" s="26">
        <f t="shared" si="11"/>
        <v>0</v>
      </c>
      <c r="Z94" s="26">
        <f t="shared" si="14"/>
        <v>0</v>
      </c>
      <c r="AA94" s="33" t="s">
        <v>15</v>
      </c>
      <c r="AB94" s="36" t="s">
        <v>16</v>
      </c>
      <c r="AC94" s="181">
        <f t="shared" si="15"/>
        <v>17.920000000000002</v>
      </c>
      <c r="AD94" s="181">
        <f t="shared" si="12"/>
        <v>52669.39</v>
      </c>
      <c r="AE94" s="181">
        <v>1.2</v>
      </c>
      <c r="AF94" s="181">
        <v>1.2</v>
      </c>
      <c r="AG94" s="101" t="str">
        <f t="shared" si="16"/>
        <v/>
      </c>
      <c r="AH94" s="190">
        <v>0</v>
      </c>
      <c r="AI94" s="69">
        <f t="shared" si="17"/>
        <v>17.920000000000002</v>
      </c>
    </row>
    <row r="95" spans="1:35" s="69" customFormat="1" ht="26.1" customHeight="1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 t="s">
        <v>15</v>
      </c>
      <c r="I95" s="75">
        <v>23030.799999999999</v>
      </c>
      <c r="J95" s="75">
        <v>23030.799999999999</v>
      </c>
      <c r="K95" s="91" t="s">
        <v>274</v>
      </c>
      <c r="L95" s="73"/>
      <c r="M95" s="46">
        <v>0</v>
      </c>
      <c r="N95" s="46">
        <v>0</v>
      </c>
      <c r="O95" s="46">
        <v>0</v>
      </c>
      <c r="P95" s="98"/>
      <c r="Q95" s="23" t="s">
        <v>1459</v>
      </c>
      <c r="R95" s="24" t="s">
        <v>273</v>
      </c>
      <c r="S95" s="25" t="s">
        <v>81</v>
      </c>
      <c r="T95" s="26">
        <v>1</v>
      </c>
      <c r="U95" s="26">
        <v>1</v>
      </c>
      <c r="V95" s="26">
        <f t="shared" si="10"/>
        <v>23030.799999999999</v>
      </c>
      <c r="W95" s="26">
        <f t="shared" si="18"/>
        <v>0</v>
      </c>
      <c r="X95" s="26">
        <f t="shared" si="13"/>
        <v>0</v>
      </c>
      <c r="Y95" s="26">
        <f t="shared" si="11"/>
        <v>0</v>
      </c>
      <c r="Z95" s="26">
        <f t="shared" si="14"/>
        <v>0</v>
      </c>
      <c r="AA95" s="33" t="s">
        <v>15</v>
      </c>
      <c r="AB95" s="36" t="s">
        <v>16</v>
      </c>
      <c r="AC95" s="181">
        <f t="shared" si="15"/>
        <v>1</v>
      </c>
      <c r="AD95" s="181">
        <f t="shared" si="12"/>
        <v>23030.799999999999</v>
      </c>
      <c r="AE95" s="181">
        <v>1.2</v>
      </c>
      <c r="AF95" s="181">
        <v>1.2</v>
      </c>
      <c r="AG95" s="101" t="str">
        <f t="shared" si="16"/>
        <v/>
      </c>
      <c r="AH95" s="190">
        <v>0</v>
      </c>
      <c r="AI95" s="69">
        <f t="shared" si="17"/>
        <v>1</v>
      </c>
    </row>
    <row r="96" spans="1:35" s="69" customFormat="1" ht="26.1" customHeight="1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 t="s">
        <v>15</v>
      </c>
      <c r="I96" s="75">
        <v>18605.919999999998</v>
      </c>
      <c r="J96" s="75">
        <v>37211.839999999997</v>
      </c>
      <c r="K96" s="91" t="s">
        <v>277</v>
      </c>
      <c r="L96" s="73"/>
      <c r="M96" s="46">
        <v>0</v>
      </c>
      <c r="N96" s="46">
        <v>0</v>
      </c>
      <c r="O96" s="46">
        <v>0</v>
      </c>
      <c r="P96" s="98"/>
      <c r="Q96" s="23" t="s">
        <v>1460</v>
      </c>
      <c r="R96" s="24" t="s">
        <v>276</v>
      </c>
      <c r="S96" s="25" t="s">
        <v>81</v>
      </c>
      <c r="T96" s="26">
        <v>2</v>
      </c>
      <c r="U96" s="26">
        <v>2</v>
      </c>
      <c r="V96" s="26">
        <f t="shared" si="10"/>
        <v>18605.919999999998</v>
      </c>
      <c r="W96" s="26">
        <f t="shared" si="18"/>
        <v>0</v>
      </c>
      <c r="X96" s="26">
        <f t="shared" si="13"/>
        <v>0</v>
      </c>
      <c r="Y96" s="26">
        <f t="shared" si="11"/>
        <v>0</v>
      </c>
      <c r="Z96" s="26">
        <f t="shared" si="14"/>
        <v>0</v>
      </c>
      <c r="AA96" s="33" t="s">
        <v>15</v>
      </c>
      <c r="AB96" s="36" t="s">
        <v>16</v>
      </c>
      <c r="AC96" s="181">
        <f t="shared" si="15"/>
        <v>2</v>
      </c>
      <c r="AD96" s="181">
        <f t="shared" si="12"/>
        <v>37211.839999999997</v>
      </c>
      <c r="AE96" s="181">
        <v>1.2</v>
      </c>
      <c r="AF96" s="181">
        <v>1.2</v>
      </c>
      <c r="AG96" s="101" t="str">
        <f t="shared" si="16"/>
        <v/>
      </c>
      <c r="AH96" s="190">
        <v>0</v>
      </c>
      <c r="AI96" s="69">
        <f t="shared" si="17"/>
        <v>2</v>
      </c>
    </row>
    <row r="97" spans="1:35" s="69" customFormat="1" ht="26.1" customHeight="1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 t="s">
        <v>15</v>
      </c>
      <c r="I97" s="75">
        <v>18605.919999999998</v>
      </c>
      <c r="J97" s="75">
        <v>18605.919999999998</v>
      </c>
      <c r="K97" s="91" t="s">
        <v>280</v>
      </c>
      <c r="L97" s="73"/>
      <c r="M97" s="46">
        <v>0</v>
      </c>
      <c r="N97" s="46">
        <v>0</v>
      </c>
      <c r="O97" s="46">
        <v>0</v>
      </c>
      <c r="P97" s="98"/>
      <c r="Q97" s="23" t="s">
        <v>1461</v>
      </c>
      <c r="R97" s="24" t="s">
        <v>279</v>
      </c>
      <c r="S97" s="25" t="s">
        <v>81</v>
      </c>
      <c r="T97" s="26">
        <v>1</v>
      </c>
      <c r="U97" s="26">
        <v>1</v>
      </c>
      <c r="V97" s="26">
        <f t="shared" si="10"/>
        <v>18605.919999999998</v>
      </c>
      <c r="W97" s="26">
        <f t="shared" si="18"/>
        <v>0</v>
      </c>
      <c r="X97" s="26">
        <f t="shared" si="13"/>
        <v>0</v>
      </c>
      <c r="Y97" s="26">
        <f t="shared" si="11"/>
        <v>0</v>
      </c>
      <c r="Z97" s="26">
        <f t="shared" si="14"/>
        <v>0</v>
      </c>
      <c r="AA97" s="33" t="s">
        <v>15</v>
      </c>
      <c r="AB97" s="36" t="s">
        <v>16</v>
      </c>
      <c r="AC97" s="181">
        <f t="shared" si="15"/>
        <v>1</v>
      </c>
      <c r="AD97" s="181">
        <f t="shared" si="12"/>
        <v>18605.919999999998</v>
      </c>
      <c r="AE97" s="181">
        <v>1.2</v>
      </c>
      <c r="AF97" s="181">
        <v>1.2</v>
      </c>
      <c r="AG97" s="101" t="str">
        <f t="shared" si="16"/>
        <v/>
      </c>
      <c r="AH97" s="190">
        <v>0</v>
      </c>
      <c r="AI97" s="69">
        <f t="shared" si="17"/>
        <v>1</v>
      </c>
    </row>
    <row r="98" spans="1:35" s="69" customFormat="1" ht="26.1" customHeight="1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 t="s">
        <v>15</v>
      </c>
      <c r="I98" s="75">
        <v>11655.48</v>
      </c>
      <c r="J98" s="75">
        <v>34966.44</v>
      </c>
      <c r="K98" s="91" t="s">
        <v>283</v>
      </c>
      <c r="L98" s="73"/>
      <c r="M98" s="46">
        <v>0</v>
      </c>
      <c r="N98" s="46">
        <v>0</v>
      </c>
      <c r="O98" s="46">
        <v>0</v>
      </c>
      <c r="P98" s="98"/>
      <c r="Q98" s="23" t="s">
        <v>1462</v>
      </c>
      <c r="R98" s="24" t="s">
        <v>282</v>
      </c>
      <c r="S98" s="25" t="s">
        <v>81</v>
      </c>
      <c r="T98" s="26">
        <v>3</v>
      </c>
      <c r="U98" s="26">
        <v>3</v>
      </c>
      <c r="V98" s="26">
        <f t="shared" si="10"/>
        <v>11655.48</v>
      </c>
      <c r="W98" s="26">
        <f t="shared" si="18"/>
        <v>0</v>
      </c>
      <c r="X98" s="26">
        <f t="shared" si="13"/>
        <v>0</v>
      </c>
      <c r="Y98" s="26">
        <f t="shared" si="11"/>
        <v>0</v>
      </c>
      <c r="Z98" s="26">
        <f t="shared" si="14"/>
        <v>0</v>
      </c>
      <c r="AA98" s="33" t="s">
        <v>15</v>
      </c>
      <c r="AB98" s="36" t="s">
        <v>16</v>
      </c>
      <c r="AC98" s="181">
        <f t="shared" si="15"/>
        <v>3</v>
      </c>
      <c r="AD98" s="181">
        <f t="shared" si="12"/>
        <v>34966.44</v>
      </c>
      <c r="AE98" s="181">
        <v>1.2</v>
      </c>
      <c r="AF98" s="181">
        <v>1.2</v>
      </c>
      <c r="AG98" s="101" t="str">
        <f t="shared" si="16"/>
        <v/>
      </c>
      <c r="AH98" s="190">
        <v>0</v>
      </c>
      <c r="AI98" s="69">
        <f t="shared" si="17"/>
        <v>3</v>
      </c>
    </row>
    <row r="99" spans="1:35" s="69" customFormat="1" ht="26.1" customHeight="1" x14ac:dyDescent="0.3">
      <c r="A99" s="246" t="s">
        <v>284</v>
      </c>
      <c r="B99" s="247" t="s">
        <v>285</v>
      </c>
      <c r="C99" s="248" t="s">
        <v>81</v>
      </c>
      <c r="D99" s="249">
        <v>4</v>
      </c>
      <c r="E99" s="75"/>
      <c r="F99" s="75"/>
      <c r="G99" s="75"/>
      <c r="H99" s="75" t="s">
        <v>15</v>
      </c>
      <c r="I99" s="75">
        <v>25108.91</v>
      </c>
      <c r="J99" s="75">
        <v>100435.64</v>
      </c>
      <c r="K99" s="91" t="s">
        <v>286</v>
      </c>
      <c r="L99" s="73"/>
      <c r="M99" s="46">
        <v>0</v>
      </c>
      <c r="N99" s="46">
        <v>0</v>
      </c>
      <c r="O99" s="46">
        <v>0</v>
      </c>
      <c r="P99" s="98"/>
      <c r="Q99" s="23" t="s">
        <v>1463</v>
      </c>
      <c r="R99" s="24" t="s">
        <v>285</v>
      </c>
      <c r="S99" s="25" t="s">
        <v>81</v>
      </c>
      <c r="T99" s="26">
        <v>4</v>
      </c>
      <c r="U99" s="26">
        <v>4</v>
      </c>
      <c r="V99" s="26">
        <f t="shared" si="10"/>
        <v>25108.91</v>
      </c>
      <c r="W99" s="26">
        <f t="shared" si="18"/>
        <v>0</v>
      </c>
      <c r="X99" s="26">
        <f t="shared" si="13"/>
        <v>0</v>
      </c>
      <c r="Y99" s="26">
        <f t="shared" si="11"/>
        <v>0</v>
      </c>
      <c r="Z99" s="26">
        <f t="shared" si="14"/>
        <v>0</v>
      </c>
      <c r="AA99" s="33" t="s">
        <v>15</v>
      </c>
      <c r="AB99" s="36" t="s">
        <v>16</v>
      </c>
      <c r="AC99" s="181">
        <f t="shared" si="15"/>
        <v>4</v>
      </c>
      <c r="AD99" s="181">
        <f t="shared" si="12"/>
        <v>100435.64</v>
      </c>
      <c r="AE99" s="181">
        <v>1.2</v>
      </c>
      <c r="AF99" s="181">
        <v>1.2</v>
      </c>
      <c r="AG99" s="101" t="str">
        <f t="shared" si="16"/>
        <v/>
      </c>
      <c r="AH99" s="190">
        <v>0</v>
      </c>
      <c r="AI99" s="69">
        <f t="shared" si="17"/>
        <v>4</v>
      </c>
    </row>
    <row r="100" spans="1:35" s="69" customFormat="1" ht="26.1" customHeight="1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 t="s">
        <v>15</v>
      </c>
      <c r="I100" s="75">
        <v>22416.92</v>
      </c>
      <c r="J100" s="75">
        <v>112084.6</v>
      </c>
      <c r="K100" s="91" t="s">
        <v>289</v>
      </c>
      <c r="L100" s="73"/>
      <c r="M100" s="46">
        <v>0</v>
      </c>
      <c r="N100" s="46">
        <v>0</v>
      </c>
      <c r="O100" s="46">
        <v>0</v>
      </c>
      <c r="P100" s="98"/>
      <c r="Q100" s="23" t="s">
        <v>1464</v>
      </c>
      <c r="R100" s="24" t="s">
        <v>288</v>
      </c>
      <c r="S100" s="25" t="s">
        <v>81</v>
      </c>
      <c r="T100" s="26">
        <v>5</v>
      </c>
      <c r="U100" s="26">
        <v>5</v>
      </c>
      <c r="V100" s="26">
        <f t="shared" si="10"/>
        <v>22416.92</v>
      </c>
      <c r="W100" s="26">
        <f t="shared" si="18"/>
        <v>0</v>
      </c>
      <c r="X100" s="26">
        <f t="shared" si="13"/>
        <v>0</v>
      </c>
      <c r="Y100" s="26">
        <f t="shared" si="11"/>
        <v>0</v>
      </c>
      <c r="Z100" s="26">
        <f t="shared" si="14"/>
        <v>0</v>
      </c>
      <c r="AA100" s="33" t="s">
        <v>15</v>
      </c>
      <c r="AB100" s="36" t="s">
        <v>16</v>
      </c>
      <c r="AC100" s="181">
        <f t="shared" si="15"/>
        <v>5</v>
      </c>
      <c r="AD100" s="181">
        <f t="shared" si="12"/>
        <v>112084.6</v>
      </c>
      <c r="AE100" s="181">
        <v>1.2</v>
      </c>
      <c r="AF100" s="181">
        <v>1.2</v>
      </c>
      <c r="AG100" s="101" t="str">
        <f t="shared" si="16"/>
        <v/>
      </c>
      <c r="AH100" s="190">
        <v>0</v>
      </c>
      <c r="AI100" s="69">
        <f t="shared" si="17"/>
        <v>5</v>
      </c>
    </row>
    <row r="101" spans="1:35" s="69" customFormat="1" ht="26.1" customHeight="1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 t="s">
        <v>15</v>
      </c>
      <c r="I101" s="75">
        <v>21724.76</v>
      </c>
      <c r="J101" s="75">
        <v>21724.76</v>
      </c>
      <c r="K101" s="91" t="s">
        <v>292</v>
      </c>
      <c r="L101" s="73"/>
      <c r="M101" s="46">
        <v>0</v>
      </c>
      <c r="N101" s="46">
        <v>0</v>
      </c>
      <c r="O101" s="46">
        <v>0</v>
      </c>
      <c r="P101" s="98"/>
      <c r="Q101" s="23" t="s">
        <v>1465</v>
      </c>
      <c r="R101" s="24" t="s">
        <v>291</v>
      </c>
      <c r="S101" s="25" t="s">
        <v>81</v>
      </c>
      <c r="T101" s="26">
        <v>1</v>
      </c>
      <c r="U101" s="26">
        <v>1</v>
      </c>
      <c r="V101" s="26">
        <f t="shared" si="10"/>
        <v>21724.76</v>
      </c>
      <c r="W101" s="26">
        <f t="shared" si="18"/>
        <v>0</v>
      </c>
      <c r="X101" s="26">
        <f t="shared" si="13"/>
        <v>0</v>
      </c>
      <c r="Y101" s="26">
        <f t="shared" si="11"/>
        <v>0</v>
      </c>
      <c r="Z101" s="26">
        <f t="shared" si="14"/>
        <v>0</v>
      </c>
      <c r="AA101" s="33" t="s">
        <v>15</v>
      </c>
      <c r="AB101" s="36" t="s">
        <v>16</v>
      </c>
      <c r="AC101" s="181">
        <f t="shared" si="15"/>
        <v>1</v>
      </c>
      <c r="AD101" s="181">
        <f t="shared" si="12"/>
        <v>21724.76</v>
      </c>
      <c r="AE101" s="181">
        <v>1.2</v>
      </c>
      <c r="AF101" s="181">
        <v>1.2</v>
      </c>
      <c r="AG101" s="101" t="str">
        <f t="shared" si="16"/>
        <v/>
      </c>
      <c r="AH101" s="190">
        <v>0</v>
      </c>
      <c r="AI101" s="69">
        <f t="shared" si="17"/>
        <v>1</v>
      </c>
    </row>
    <row r="102" spans="1:35" s="69" customFormat="1" ht="26.1" customHeight="1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 t="s">
        <v>15</v>
      </c>
      <c r="I102" s="75">
        <v>17341.04</v>
      </c>
      <c r="J102" s="75">
        <v>34682.080000000002</v>
      </c>
      <c r="K102" s="91" t="s">
        <v>295</v>
      </c>
      <c r="L102" s="73"/>
      <c r="M102" s="46">
        <v>0</v>
      </c>
      <c r="N102" s="46">
        <v>0</v>
      </c>
      <c r="O102" s="46">
        <v>0</v>
      </c>
      <c r="P102" s="98"/>
      <c r="Q102" s="23" t="s">
        <v>1466</v>
      </c>
      <c r="R102" s="24" t="s">
        <v>294</v>
      </c>
      <c r="S102" s="25" t="s">
        <v>81</v>
      </c>
      <c r="T102" s="26">
        <v>2</v>
      </c>
      <c r="U102" s="26">
        <v>2</v>
      </c>
      <c r="V102" s="26">
        <f t="shared" si="10"/>
        <v>17341.04</v>
      </c>
      <c r="W102" s="26">
        <f t="shared" si="18"/>
        <v>0</v>
      </c>
      <c r="X102" s="26">
        <f t="shared" si="13"/>
        <v>0</v>
      </c>
      <c r="Y102" s="26">
        <f t="shared" si="11"/>
        <v>0</v>
      </c>
      <c r="Z102" s="26">
        <f t="shared" si="14"/>
        <v>0</v>
      </c>
      <c r="AA102" s="33" t="s">
        <v>15</v>
      </c>
      <c r="AB102" s="36" t="s">
        <v>16</v>
      </c>
      <c r="AC102" s="181">
        <f t="shared" si="15"/>
        <v>2</v>
      </c>
      <c r="AD102" s="181">
        <f t="shared" si="12"/>
        <v>34682.080000000002</v>
      </c>
      <c r="AE102" s="181">
        <v>1.2</v>
      </c>
      <c r="AF102" s="181">
        <v>1.2</v>
      </c>
      <c r="AG102" s="101" t="str">
        <f t="shared" si="16"/>
        <v/>
      </c>
      <c r="AH102" s="190">
        <v>0</v>
      </c>
      <c r="AI102" s="69">
        <f t="shared" si="17"/>
        <v>2</v>
      </c>
    </row>
    <row r="103" spans="1:35" s="69" customFormat="1" ht="26.1" customHeight="1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 t="s">
        <v>15</v>
      </c>
      <c r="I103" s="75">
        <v>17341.04</v>
      </c>
      <c r="J103" s="75">
        <v>17341.04</v>
      </c>
      <c r="K103" s="91" t="s">
        <v>298</v>
      </c>
      <c r="L103" s="73"/>
      <c r="M103" s="46">
        <v>0</v>
      </c>
      <c r="N103" s="46">
        <v>0</v>
      </c>
      <c r="O103" s="46">
        <v>0</v>
      </c>
      <c r="P103" s="98"/>
      <c r="Q103" s="23" t="s">
        <v>1467</v>
      </c>
      <c r="R103" s="24" t="s">
        <v>297</v>
      </c>
      <c r="S103" s="25" t="s">
        <v>81</v>
      </c>
      <c r="T103" s="26">
        <v>1</v>
      </c>
      <c r="U103" s="26">
        <v>1</v>
      </c>
      <c r="V103" s="26">
        <f t="shared" ref="V103:V166" si="19">I103</f>
        <v>17341.04</v>
      </c>
      <c r="W103" s="26">
        <f t="shared" si="18"/>
        <v>0</v>
      </c>
      <c r="X103" s="26">
        <f t="shared" si="13"/>
        <v>0</v>
      </c>
      <c r="Y103" s="26">
        <f t="shared" ref="Y103:Y132" si="20">Z103-O103</f>
        <v>0</v>
      </c>
      <c r="Z103" s="26">
        <f t="shared" si="14"/>
        <v>0</v>
      </c>
      <c r="AA103" s="33" t="s">
        <v>15</v>
      </c>
      <c r="AB103" s="36" t="s">
        <v>16</v>
      </c>
      <c r="AC103" s="181">
        <f t="shared" si="15"/>
        <v>1</v>
      </c>
      <c r="AD103" s="181">
        <f t="shared" si="12"/>
        <v>17341.04</v>
      </c>
      <c r="AE103" s="181">
        <v>1.2</v>
      </c>
      <c r="AF103" s="181">
        <v>1.2</v>
      </c>
      <c r="AG103" s="101" t="str">
        <f t="shared" si="16"/>
        <v/>
      </c>
      <c r="AH103" s="190">
        <v>0</v>
      </c>
      <c r="AI103" s="69">
        <f t="shared" si="17"/>
        <v>1</v>
      </c>
    </row>
    <row r="104" spans="1:35" s="69" customFormat="1" ht="26.1" customHeight="1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 t="s">
        <v>15</v>
      </c>
      <c r="I104" s="75">
        <v>17341.04</v>
      </c>
      <c r="J104" s="75">
        <v>104046.24</v>
      </c>
      <c r="K104" s="91" t="s">
        <v>301</v>
      </c>
      <c r="L104" s="73"/>
      <c r="M104" s="46">
        <v>0</v>
      </c>
      <c r="N104" s="46">
        <v>0</v>
      </c>
      <c r="O104" s="46">
        <v>0</v>
      </c>
      <c r="P104" s="98"/>
      <c r="Q104" s="23" t="s">
        <v>1468</v>
      </c>
      <c r="R104" s="24" t="s">
        <v>300</v>
      </c>
      <c r="S104" s="25" t="s">
        <v>81</v>
      </c>
      <c r="T104" s="26">
        <v>6</v>
      </c>
      <c r="U104" s="26">
        <v>6</v>
      </c>
      <c r="V104" s="26">
        <f t="shared" si="19"/>
        <v>17341.04</v>
      </c>
      <c r="W104" s="26">
        <f t="shared" si="18"/>
        <v>0</v>
      </c>
      <c r="X104" s="26">
        <f t="shared" si="13"/>
        <v>0</v>
      </c>
      <c r="Y104" s="26">
        <f t="shared" si="20"/>
        <v>0</v>
      </c>
      <c r="Z104" s="26">
        <f t="shared" si="14"/>
        <v>0</v>
      </c>
      <c r="AA104" s="33" t="s">
        <v>15</v>
      </c>
      <c r="AB104" s="36" t="s">
        <v>16</v>
      </c>
      <c r="AC104" s="181">
        <f t="shared" si="15"/>
        <v>6</v>
      </c>
      <c r="AD104" s="181">
        <f t="shared" ref="AD104:AD132" si="21">ROUND(V104*AC104,2)</f>
        <v>104046.24</v>
      </c>
      <c r="AE104" s="181">
        <v>1.2</v>
      </c>
      <c r="AF104" s="181">
        <v>1.2</v>
      </c>
      <c r="AG104" s="101" t="str">
        <f t="shared" si="16"/>
        <v/>
      </c>
      <c r="AH104" s="190">
        <v>0</v>
      </c>
      <c r="AI104" s="69">
        <f t="shared" si="17"/>
        <v>6</v>
      </c>
    </row>
    <row r="105" spans="1:35" s="69" customFormat="1" ht="26.1" customHeight="1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 t="s">
        <v>15</v>
      </c>
      <c r="I105" s="75">
        <v>17497.64</v>
      </c>
      <c r="J105" s="75">
        <v>34995.279999999999</v>
      </c>
      <c r="K105" s="91" t="s">
        <v>304</v>
      </c>
      <c r="L105" s="73"/>
      <c r="M105" s="46">
        <v>0</v>
      </c>
      <c r="N105" s="46">
        <v>0</v>
      </c>
      <c r="O105" s="46">
        <v>0</v>
      </c>
      <c r="P105" s="98"/>
      <c r="Q105" s="23" t="s">
        <v>1469</v>
      </c>
      <c r="R105" s="24" t="s">
        <v>303</v>
      </c>
      <c r="S105" s="25" t="s">
        <v>81</v>
      </c>
      <c r="T105" s="26">
        <v>2</v>
      </c>
      <c r="U105" s="26">
        <v>2</v>
      </c>
      <c r="V105" s="26">
        <f t="shared" si="19"/>
        <v>17497.64</v>
      </c>
      <c r="W105" s="26">
        <f t="shared" si="18"/>
        <v>0</v>
      </c>
      <c r="X105" s="26">
        <f t="shared" si="13"/>
        <v>0</v>
      </c>
      <c r="Y105" s="26">
        <f t="shared" si="20"/>
        <v>0</v>
      </c>
      <c r="Z105" s="26">
        <f t="shared" si="14"/>
        <v>0</v>
      </c>
      <c r="AA105" s="33" t="s">
        <v>15</v>
      </c>
      <c r="AB105" s="36" t="s">
        <v>16</v>
      </c>
      <c r="AC105" s="181">
        <f t="shared" si="15"/>
        <v>2</v>
      </c>
      <c r="AD105" s="181">
        <f t="shared" si="21"/>
        <v>34995.279999999999</v>
      </c>
      <c r="AE105" s="181">
        <v>1.2</v>
      </c>
      <c r="AF105" s="181">
        <v>1.2</v>
      </c>
      <c r="AG105" s="101" t="str">
        <f t="shared" si="16"/>
        <v/>
      </c>
      <c r="AH105" s="190">
        <v>0</v>
      </c>
      <c r="AI105" s="69">
        <f t="shared" si="17"/>
        <v>2</v>
      </c>
    </row>
    <row r="106" spans="1:35" s="69" customFormat="1" ht="26.1" customHeight="1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 t="s">
        <v>15</v>
      </c>
      <c r="I106" s="75">
        <v>1501.74</v>
      </c>
      <c r="J106" s="75">
        <v>3003.48</v>
      </c>
      <c r="K106" s="91" t="s">
        <v>307</v>
      </c>
      <c r="L106" s="73"/>
      <c r="M106" s="46">
        <v>0</v>
      </c>
      <c r="N106" s="46">
        <v>0</v>
      </c>
      <c r="O106" s="46">
        <v>0</v>
      </c>
      <c r="P106" s="98"/>
      <c r="Q106" s="23" t="s">
        <v>1470</v>
      </c>
      <c r="R106" s="24" t="s">
        <v>306</v>
      </c>
      <c r="S106" s="25" t="s">
        <v>81</v>
      </c>
      <c r="T106" s="26">
        <v>2</v>
      </c>
      <c r="U106" s="26">
        <v>2</v>
      </c>
      <c r="V106" s="26">
        <f t="shared" si="19"/>
        <v>1501.74</v>
      </c>
      <c r="W106" s="26">
        <f t="shared" si="18"/>
        <v>0</v>
      </c>
      <c r="X106" s="26">
        <f t="shared" si="13"/>
        <v>0</v>
      </c>
      <c r="Y106" s="26">
        <f t="shared" si="20"/>
        <v>0</v>
      </c>
      <c r="Z106" s="26">
        <f t="shared" si="14"/>
        <v>0</v>
      </c>
      <c r="AA106" s="33" t="s">
        <v>15</v>
      </c>
      <c r="AB106" s="36" t="s">
        <v>16</v>
      </c>
      <c r="AC106" s="181">
        <f t="shared" si="15"/>
        <v>2</v>
      </c>
      <c r="AD106" s="181">
        <f t="shared" si="21"/>
        <v>3003.48</v>
      </c>
      <c r="AE106" s="181">
        <v>1.2</v>
      </c>
      <c r="AF106" s="181">
        <v>1.2</v>
      </c>
      <c r="AG106" s="101" t="str">
        <f t="shared" si="16"/>
        <v/>
      </c>
      <c r="AH106" s="190">
        <v>0</v>
      </c>
      <c r="AI106" s="69">
        <f t="shared" si="17"/>
        <v>2</v>
      </c>
    </row>
    <row r="107" spans="1:35" s="69" customFormat="1" ht="26.1" customHeight="1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 t="s">
        <v>15</v>
      </c>
      <c r="I107" s="75">
        <v>994.98</v>
      </c>
      <c r="J107" s="75">
        <v>994.98</v>
      </c>
      <c r="K107" s="91" t="s">
        <v>310</v>
      </c>
      <c r="L107" s="73"/>
      <c r="M107" s="46">
        <v>0</v>
      </c>
      <c r="N107" s="46">
        <v>0</v>
      </c>
      <c r="O107" s="46">
        <v>0</v>
      </c>
      <c r="P107" s="98"/>
      <c r="Q107" s="23" t="s">
        <v>1471</v>
      </c>
      <c r="R107" s="24" t="s">
        <v>309</v>
      </c>
      <c r="S107" s="25" t="s">
        <v>81</v>
      </c>
      <c r="T107" s="26">
        <v>1</v>
      </c>
      <c r="U107" s="26">
        <v>1</v>
      </c>
      <c r="V107" s="26">
        <f t="shared" si="19"/>
        <v>994.98</v>
      </c>
      <c r="W107" s="26">
        <f t="shared" si="18"/>
        <v>0</v>
      </c>
      <c r="X107" s="26">
        <f t="shared" si="13"/>
        <v>0</v>
      </c>
      <c r="Y107" s="26">
        <f t="shared" si="20"/>
        <v>0</v>
      </c>
      <c r="Z107" s="26">
        <f t="shared" si="14"/>
        <v>0</v>
      </c>
      <c r="AA107" s="33" t="s">
        <v>15</v>
      </c>
      <c r="AB107" s="36" t="s">
        <v>16</v>
      </c>
      <c r="AC107" s="181">
        <f t="shared" si="15"/>
        <v>1</v>
      </c>
      <c r="AD107" s="181">
        <f t="shared" si="21"/>
        <v>994.98</v>
      </c>
      <c r="AE107" s="181">
        <v>1.2</v>
      </c>
      <c r="AF107" s="181">
        <v>1.2</v>
      </c>
      <c r="AG107" s="101" t="str">
        <f t="shared" si="16"/>
        <v/>
      </c>
      <c r="AH107" s="190">
        <v>0</v>
      </c>
      <c r="AI107" s="69">
        <f t="shared" si="17"/>
        <v>1</v>
      </c>
    </row>
    <row r="108" spans="1:35" s="69" customFormat="1" ht="26.1" customHeight="1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 t="s">
        <v>15</v>
      </c>
      <c r="I108" s="75">
        <v>331.66</v>
      </c>
      <c r="J108" s="75">
        <v>3979.92</v>
      </c>
      <c r="K108" s="91" t="s">
        <v>313</v>
      </c>
      <c r="L108" s="73"/>
      <c r="M108" s="46">
        <v>0</v>
      </c>
      <c r="N108" s="46">
        <v>0</v>
      </c>
      <c r="O108" s="46">
        <v>0</v>
      </c>
      <c r="P108" s="98"/>
      <c r="Q108" s="23" t="s">
        <v>1472</v>
      </c>
      <c r="R108" s="24" t="s">
        <v>312</v>
      </c>
      <c r="S108" s="25" t="s">
        <v>81</v>
      </c>
      <c r="T108" s="26">
        <v>12</v>
      </c>
      <c r="U108" s="26">
        <v>12</v>
      </c>
      <c r="V108" s="26">
        <f t="shared" si="19"/>
        <v>331.66</v>
      </c>
      <c r="W108" s="26">
        <f t="shared" si="18"/>
        <v>0</v>
      </c>
      <c r="X108" s="26">
        <f t="shared" si="13"/>
        <v>0</v>
      </c>
      <c r="Y108" s="26">
        <f t="shared" si="20"/>
        <v>0</v>
      </c>
      <c r="Z108" s="26">
        <f t="shared" si="14"/>
        <v>0</v>
      </c>
      <c r="AA108" s="33" t="s">
        <v>15</v>
      </c>
      <c r="AB108" s="36" t="s">
        <v>16</v>
      </c>
      <c r="AC108" s="181">
        <f t="shared" si="15"/>
        <v>12</v>
      </c>
      <c r="AD108" s="181">
        <f t="shared" si="21"/>
        <v>3979.92</v>
      </c>
      <c r="AE108" s="181">
        <v>1.2</v>
      </c>
      <c r="AF108" s="181">
        <v>1.2</v>
      </c>
      <c r="AG108" s="101" t="str">
        <f t="shared" si="16"/>
        <v/>
      </c>
      <c r="AH108" s="190">
        <v>0</v>
      </c>
      <c r="AI108" s="69">
        <f t="shared" si="17"/>
        <v>12</v>
      </c>
    </row>
    <row r="109" spans="1:35" s="69" customFormat="1" ht="26.1" customHeight="1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 t="s">
        <v>15</v>
      </c>
      <c r="I109" s="75">
        <v>1096.44</v>
      </c>
      <c r="J109" s="75">
        <v>2192.88</v>
      </c>
      <c r="K109" s="91" t="s">
        <v>316</v>
      </c>
      <c r="L109" s="73"/>
      <c r="M109" s="46">
        <v>0</v>
      </c>
      <c r="N109" s="46">
        <v>0</v>
      </c>
      <c r="O109" s="46">
        <v>0</v>
      </c>
      <c r="P109" s="98"/>
      <c r="Q109" s="23" t="s">
        <v>1473</v>
      </c>
      <c r="R109" s="24" t="s">
        <v>315</v>
      </c>
      <c r="S109" s="25" t="s">
        <v>81</v>
      </c>
      <c r="T109" s="26">
        <v>2</v>
      </c>
      <c r="U109" s="26">
        <v>2</v>
      </c>
      <c r="V109" s="26">
        <f t="shared" si="19"/>
        <v>1096.44</v>
      </c>
      <c r="W109" s="26">
        <f t="shared" si="18"/>
        <v>0</v>
      </c>
      <c r="X109" s="26">
        <f t="shared" si="13"/>
        <v>0</v>
      </c>
      <c r="Y109" s="26">
        <f t="shared" si="20"/>
        <v>0</v>
      </c>
      <c r="Z109" s="26">
        <f t="shared" si="14"/>
        <v>0</v>
      </c>
      <c r="AA109" s="33" t="s">
        <v>15</v>
      </c>
      <c r="AB109" s="36" t="s">
        <v>16</v>
      </c>
      <c r="AC109" s="181">
        <f t="shared" si="15"/>
        <v>2</v>
      </c>
      <c r="AD109" s="181">
        <f t="shared" si="21"/>
        <v>2192.88</v>
      </c>
      <c r="AE109" s="181">
        <v>1.2</v>
      </c>
      <c r="AF109" s="181">
        <v>1.2</v>
      </c>
      <c r="AG109" s="101" t="str">
        <f t="shared" si="16"/>
        <v/>
      </c>
      <c r="AH109" s="190">
        <v>0</v>
      </c>
      <c r="AI109" s="69">
        <f t="shared" si="17"/>
        <v>2</v>
      </c>
    </row>
    <row r="110" spans="1:35" s="69" customFormat="1" ht="26.1" customHeight="1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 t="s">
        <v>15</v>
      </c>
      <c r="I110" s="75">
        <v>952.24</v>
      </c>
      <c r="J110" s="75">
        <v>3808.96</v>
      </c>
      <c r="K110" s="91" t="s">
        <v>319</v>
      </c>
      <c r="L110" s="73"/>
      <c r="M110" s="46">
        <v>0</v>
      </c>
      <c r="N110" s="46">
        <v>0</v>
      </c>
      <c r="O110" s="46">
        <v>0</v>
      </c>
      <c r="P110" s="98"/>
      <c r="Q110" s="23" t="s">
        <v>1474</v>
      </c>
      <c r="R110" s="24" t="s">
        <v>318</v>
      </c>
      <c r="S110" s="25" t="s">
        <v>81</v>
      </c>
      <c r="T110" s="26">
        <v>4</v>
      </c>
      <c r="U110" s="26">
        <v>4</v>
      </c>
      <c r="V110" s="26">
        <f t="shared" si="19"/>
        <v>952.24</v>
      </c>
      <c r="W110" s="26">
        <f t="shared" si="18"/>
        <v>0</v>
      </c>
      <c r="X110" s="26">
        <f t="shared" si="13"/>
        <v>0</v>
      </c>
      <c r="Y110" s="26">
        <f t="shared" si="20"/>
        <v>0</v>
      </c>
      <c r="Z110" s="26">
        <f t="shared" si="14"/>
        <v>0</v>
      </c>
      <c r="AA110" s="33" t="s">
        <v>15</v>
      </c>
      <c r="AB110" s="36" t="s">
        <v>16</v>
      </c>
      <c r="AC110" s="181">
        <f t="shared" si="15"/>
        <v>4</v>
      </c>
      <c r="AD110" s="181">
        <f t="shared" si="21"/>
        <v>3808.96</v>
      </c>
      <c r="AE110" s="181">
        <v>1.2</v>
      </c>
      <c r="AF110" s="181">
        <v>1.2</v>
      </c>
      <c r="AG110" s="101" t="str">
        <f t="shared" si="16"/>
        <v/>
      </c>
      <c r="AH110" s="190">
        <v>0</v>
      </c>
      <c r="AI110" s="69">
        <f t="shared" si="17"/>
        <v>4</v>
      </c>
    </row>
    <row r="111" spans="1:35" s="69" customFormat="1" ht="49.5" x14ac:dyDescent="0.3">
      <c r="A111" s="130" t="s">
        <v>320</v>
      </c>
      <c r="B111" s="240" t="s">
        <v>321</v>
      </c>
      <c r="C111" s="132" t="s">
        <v>50</v>
      </c>
      <c r="D111" s="133">
        <v>676.98</v>
      </c>
      <c r="E111" s="75">
        <v>773.78</v>
      </c>
      <c r="F111" s="75"/>
      <c r="G111" s="75"/>
      <c r="H111" s="75" t="s">
        <v>15</v>
      </c>
      <c r="I111" s="75">
        <v>647.70000000000005</v>
      </c>
      <c r="J111" s="75">
        <v>501177.31</v>
      </c>
      <c r="K111" s="91" t="s">
        <v>322</v>
      </c>
      <c r="L111" s="73"/>
      <c r="M111" s="46">
        <v>354.83</v>
      </c>
      <c r="N111" s="46">
        <v>0</v>
      </c>
      <c r="O111" s="46">
        <v>229823.39</v>
      </c>
      <c r="P111" s="98"/>
      <c r="Q111" s="23" t="s">
        <v>1475</v>
      </c>
      <c r="R111" s="24" t="s">
        <v>321</v>
      </c>
      <c r="S111" s="25" t="s">
        <v>50</v>
      </c>
      <c r="T111" s="26">
        <v>676.98</v>
      </c>
      <c r="U111" s="26">
        <v>773.78</v>
      </c>
      <c r="V111" s="26">
        <f t="shared" si="19"/>
        <v>647.70000000000005</v>
      </c>
      <c r="W111" s="128">
        <f t="shared" si="18"/>
        <v>0</v>
      </c>
      <c r="X111" s="127">
        <f t="shared" si="13"/>
        <v>354.83</v>
      </c>
      <c r="Y111" s="127">
        <f t="shared" si="20"/>
        <v>0</v>
      </c>
      <c r="Z111" s="127">
        <f t="shared" si="14"/>
        <v>229823.39</v>
      </c>
      <c r="AA111" s="27" t="s">
        <v>15</v>
      </c>
      <c r="AB111" s="36" t="s">
        <v>16</v>
      </c>
      <c r="AC111" s="181">
        <f t="shared" si="15"/>
        <v>773.78</v>
      </c>
      <c r="AD111" s="181">
        <f t="shared" si="21"/>
        <v>501177.31</v>
      </c>
      <c r="AE111" s="181">
        <v>1.2</v>
      </c>
      <c r="AF111" s="181">
        <v>1.2</v>
      </c>
      <c r="AG111" s="101" t="str">
        <f t="shared" si="16"/>
        <v/>
      </c>
      <c r="AH111" s="191">
        <v>354.83</v>
      </c>
      <c r="AI111" s="69">
        <f t="shared" si="17"/>
        <v>773.78</v>
      </c>
    </row>
    <row r="112" spans="1:35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 t="s">
        <v>15</v>
      </c>
      <c r="I112" s="75">
        <v>10413.299999999999</v>
      </c>
      <c r="J112" s="75">
        <v>20826.599999999999</v>
      </c>
      <c r="K112" s="91" t="s">
        <v>326</v>
      </c>
      <c r="L112" s="73"/>
      <c r="M112" s="46">
        <v>0</v>
      </c>
      <c r="N112" s="46">
        <v>0</v>
      </c>
      <c r="O112" s="46">
        <v>0</v>
      </c>
      <c r="P112" s="98"/>
      <c r="Q112" s="23" t="s">
        <v>1476</v>
      </c>
      <c r="R112" s="24" t="s">
        <v>324</v>
      </c>
      <c r="S112" s="25" t="s">
        <v>325</v>
      </c>
      <c r="T112" s="26">
        <v>2</v>
      </c>
      <c r="U112" s="26">
        <v>2</v>
      </c>
      <c r="V112" s="26">
        <f t="shared" si="19"/>
        <v>10413.299999999999</v>
      </c>
      <c r="W112" s="26">
        <f t="shared" si="18"/>
        <v>0</v>
      </c>
      <c r="X112" s="26">
        <f t="shared" si="13"/>
        <v>0</v>
      </c>
      <c r="Y112" s="26">
        <f t="shared" si="20"/>
        <v>0</v>
      </c>
      <c r="Z112" s="26">
        <f t="shared" si="14"/>
        <v>0</v>
      </c>
      <c r="AA112" s="33" t="s">
        <v>15</v>
      </c>
      <c r="AB112" s="36" t="s">
        <v>16</v>
      </c>
      <c r="AC112" s="181">
        <f t="shared" si="15"/>
        <v>2</v>
      </c>
      <c r="AD112" s="181">
        <f t="shared" si="21"/>
        <v>20826.599999999999</v>
      </c>
      <c r="AE112" s="181">
        <v>1.2</v>
      </c>
      <c r="AF112" s="181">
        <v>1.2</v>
      </c>
      <c r="AG112" s="101" t="str">
        <f t="shared" si="16"/>
        <v/>
      </c>
      <c r="AH112" s="190">
        <v>0</v>
      </c>
      <c r="AI112" s="69">
        <f t="shared" si="17"/>
        <v>2</v>
      </c>
    </row>
    <row r="113" spans="1:35" s="69" customFormat="1" ht="33" x14ac:dyDescent="0.3">
      <c r="A113" s="130" t="s">
        <v>327</v>
      </c>
      <c r="B113" s="131" t="s">
        <v>328</v>
      </c>
      <c r="C113" s="132" t="s">
        <v>81</v>
      </c>
      <c r="D113" s="133">
        <v>1</v>
      </c>
      <c r="E113" s="75"/>
      <c r="F113" s="75"/>
      <c r="G113" s="75"/>
      <c r="H113" s="75" t="s">
        <v>15</v>
      </c>
      <c r="I113" s="75">
        <v>101421.35</v>
      </c>
      <c r="J113" s="75">
        <v>101421.35</v>
      </c>
      <c r="K113" s="91" t="s">
        <v>329</v>
      </c>
      <c r="L113" s="73"/>
      <c r="M113" s="46">
        <v>1</v>
      </c>
      <c r="N113" s="46">
        <v>0</v>
      </c>
      <c r="O113" s="46">
        <v>101421.35</v>
      </c>
      <c r="P113" s="98"/>
      <c r="Q113" s="23" t="s">
        <v>1477</v>
      </c>
      <c r="R113" s="24" t="s">
        <v>328</v>
      </c>
      <c r="S113" s="25" t="s">
        <v>81</v>
      </c>
      <c r="T113" s="26">
        <v>1</v>
      </c>
      <c r="U113" s="26">
        <v>1</v>
      </c>
      <c r="V113" s="26">
        <f t="shared" si="19"/>
        <v>101421.35</v>
      </c>
      <c r="W113" s="127">
        <f t="shared" si="18"/>
        <v>0</v>
      </c>
      <c r="X113" s="127">
        <f t="shared" si="13"/>
        <v>1</v>
      </c>
      <c r="Y113" s="127">
        <f t="shared" si="20"/>
        <v>0</v>
      </c>
      <c r="Z113" s="127">
        <f t="shared" si="14"/>
        <v>101421.35</v>
      </c>
      <c r="AA113" s="33" t="s">
        <v>15</v>
      </c>
      <c r="AB113" s="36" t="s">
        <v>16</v>
      </c>
      <c r="AC113" s="181">
        <f t="shared" si="15"/>
        <v>1</v>
      </c>
      <c r="AD113" s="181">
        <f t="shared" si="21"/>
        <v>101421.35</v>
      </c>
      <c r="AE113" s="181">
        <v>1.2</v>
      </c>
      <c r="AF113" s="181">
        <v>1.2</v>
      </c>
      <c r="AG113" s="101" t="str">
        <f t="shared" si="16"/>
        <v/>
      </c>
      <c r="AH113" s="190">
        <v>1</v>
      </c>
      <c r="AI113" s="69">
        <f t="shared" si="17"/>
        <v>1</v>
      </c>
    </row>
    <row r="114" spans="1:35" s="69" customFormat="1" ht="33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 t="s">
        <v>15</v>
      </c>
      <c r="I114" s="75">
        <v>4575.26</v>
      </c>
      <c r="J114" s="75">
        <v>13725.78</v>
      </c>
      <c r="K114" s="91" t="s">
        <v>332</v>
      </c>
      <c r="L114" s="73"/>
      <c r="M114" s="46">
        <v>0</v>
      </c>
      <c r="N114" s="46">
        <v>0</v>
      </c>
      <c r="O114" s="46">
        <v>0</v>
      </c>
      <c r="P114" s="98"/>
      <c r="Q114" s="23" t="s">
        <v>1478</v>
      </c>
      <c r="R114" s="24" t="s">
        <v>331</v>
      </c>
      <c r="S114" s="25" t="s">
        <v>325</v>
      </c>
      <c r="T114" s="26">
        <v>3</v>
      </c>
      <c r="U114" s="26">
        <v>3</v>
      </c>
      <c r="V114" s="26">
        <f t="shared" si="19"/>
        <v>4575.26</v>
      </c>
      <c r="W114" s="26">
        <f t="shared" si="18"/>
        <v>0</v>
      </c>
      <c r="X114" s="26">
        <f t="shared" si="13"/>
        <v>0</v>
      </c>
      <c r="Y114" s="26">
        <f t="shared" si="20"/>
        <v>0</v>
      </c>
      <c r="Z114" s="26">
        <f t="shared" si="14"/>
        <v>0</v>
      </c>
      <c r="AA114" s="33" t="s">
        <v>15</v>
      </c>
      <c r="AB114" s="36" t="s">
        <v>16</v>
      </c>
      <c r="AC114" s="181">
        <f t="shared" si="15"/>
        <v>3</v>
      </c>
      <c r="AD114" s="181">
        <f t="shared" si="21"/>
        <v>13725.78</v>
      </c>
      <c r="AE114" s="181">
        <v>1.2</v>
      </c>
      <c r="AF114" s="181">
        <v>1.2</v>
      </c>
      <c r="AG114" s="101" t="str">
        <f t="shared" si="16"/>
        <v/>
      </c>
      <c r="AH114" s="190">
        <v>0</v>
      </c>
      <c r="AI114" s="69">
        <f t="shared" si="17"/>
        <v>3</v>
      </c>
    </row>
    <row r="115" spans="1:35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 t="s">
        <v>15</v>
      </c>
      <c r="I115" s="75">
        <v>12634.43</v>
      </c>
      <c r="J115" s="75">
        <v>12634.43</v>
      </c>
      <c r="K115" s="91" t="s">
        <v>335</v>
      </c>
      <c r="L115" s="73"/>
      <c r="M115" s="46">
        <v>0</v>
      </c>
      <c r="N115" s="46">
        <v>0</v>
      </c>
      <c r="O115" s="46">
        <v>0</v>
      </c>
      <c r="P115" s="98"/>
      <c r="Q115" s="23" t="s">
        <v>1479</v>
      </c>
      <c r="R115" s="24" t="s">
        <v>334</v>
      </c>
      <c r="S115" s="25" t="s">
        <v>81</v>
      </c>
      <c r="T115" s="26">
        <v>1</v>
      </c>
      <c r="U115" s="26">
        <v>1</v>
      </c>
      <c r="V115" s="26">
        <f t="shared" si="19"/>
        <v>12634.43</v>
      </c>
      <c r="W115" s="26">
        <f t="shared" si="18"/>
        <v>0</v>
      </c>
      <c r="X115" s="26">
        <f t="shared" si="13"/>
        <v>0</v>
      </c>
      <c r="Y115" s="26">
        <f t="shared" si="20"/>
        <v>0</v>
      </c>
      <c r="Z115" s="26">
        <f t="shared" si="14"/>
        <v>0</v>
      </c>
      <c r="AA115" s="33" t="s">
        <v>15</v>
      </c>
      <c r="AB115" s="36" t="s">
        <v>16</v>
      </c>
      <c r="AC115" s="181">
        <f t="shared" si="15"/>
        <v>1</v>
      </c>
      <c r="AD115" s="181">
        <f t="shared" si="21"/>
        <v>12634.43</v>
      </c>
      <c r="AE115" s="181">
        <v>1.2</v>
      </c>
      <c r="AF115" s="181">
        <v>1.2</v>
      </c>
      <c r="AG115" s="101" t="str">
        <f t="shared" si="16"/>
        <v/>
      </c>
      <c r="AH115" s="190">
        <v>0</v>
      </c>
      <c r="AI115" s="69">
        <f t="shared" si="17"/>
        <v>1</v>
      </c>
    </row>
    <row r="116" spans="1:35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 t="s">
        <v>15</v>
      </c>
      <c r="I116" s="75">
        <v>15300</v>
      </c>
      <c r="J116" s="75">
        <v>974304</v>
      </c>
      <c r="K116" s="91" t="s">
        <v>339</v>
      </c>
      <c r="L116" s="73"/>
      <c r="M116" s="46">
        <v>35.700000000000003</v>
      </c>
      <c r="N116" s="46">
        <v>0</v>
      </c>
      <c r="O116" s="46">
        <v>546210</v>
      </c>
      <c r="P116" s="98"/>
      <c r="Q116" s="23" t="s">
        <v>1480</v>
      </c>
      <c r="R116" s="24" t="s">
        <v>337</v>
      </c>
      <c r="S116" s="25" t="s">
        <v>338</v>
      </c>
      <c r="T116" s="26">
        <v>63.68</v>
      </c>
      <c r="U116" s="26">
        <v>63.68</v>
      </c>
      <c r="V116" s="26">
        <f t="shared" si="19"/>
        <v>15300</v>
      </c>
      <c r="W116" s="243">
        <f t="shared" si="18"/>
        <v>21.799999999999997</v>
      </c>
      <c r="X116" s="26">
        <f t="shared" si="13"/>
        <v>57.5</v>
      </c>
      <c r="Y116" s="26">
        <f t="shared" si="20"/>
        <v>333540</v>
      </c>
      <c r="Z116" s="26">
        <f t="shared" si="14"/>
        <v>879750</v>
      </c>
      <c r="AA116" s="33" t="s">
        <v>15</v>
      </c>
      <c r="AB116" s="36" t="s">
        <v>16</v>
      </c>
      <c r="AC116" s="181">
        <f t="shared" si="15"/>
        <v>63.68</v>
      </c>
      <c r="AD116" s="181">
        <f t="shared" si="21"/>
        <v>974304</v>
      </c>
      <c r="AE116" s="181">
        <v>1.2</v>
      </c>
      <c r="AF116" s="181">
        <v>1.2</v>
      </c>
      <c r="AG116" s="101" t="str">
        <f t="shared" si="16"/>
        <v/>
      </c>
      <c r="AH116" s="191">
        <f>35.7+21.8</f>
        <v>57.5</v>
      </c>
      <c r="AI116" s="69">
        <f t="shared" si="17"/>
        <v>63.68</v>
      </c>
    </row>
    <row r="117" spans="1:35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 t="s">
        <v>15</v>
      </c>
      <c r="I117" s="75">
        <v>4498.58</v>
      </c>
      <c r="J117" s="75">
        <v>278911.96000000002</v>
      </c>
      <c r="K117" s="91" t="s">
        <v>342</v>
      </c>
      <c r="L117" s="73"/>
      <c r="M117" s="46">
        <v>16</v>
      </c>
      <c r="N117" s="46">
        <v>0</v>
      </c>
      <c r="O117" s="46">
        <v>71977.279999999999</v>
      </c>
      <c r="P117" s="98"/>
      <c r="Q117" s="23" t="s">
        <v>1481</v>
      </c>
      <c r="R117" s="24" t="s">
        <v>341</v>
      </c>
      <c r="S117" s="25" t="s">
        <v>81</v>
      </c>
      <c r="T117" s="26">
        <v>62</v>
      </c>
      <c r="U117" s="26">
        <v>62</v>
      </c>
      <c r="V117" s="26">
        <f t="shared" si="19"/>
        <v>4498.58</v>
      </c>
      <c r="W117" s="243">
        <f t="shared" si="18"/>
        <v>3</v>
      </c>
      <c r="X117" s="26">
        <f t="shared" si="13"/>
        <v>19</v>
      </c>
      <c r="Y117" s="26">
        <f t="shared" si="20"/>
        <v>13495.740000000005</v>
      </c>
      <c r="Z117" s="26">
        <f t="shared" si="14"/>
        <v>85473.02</v>
      </c>
      <c r="AA117" s="33" t="s">
        <v>15</v>
      </c>
      <c r="AB117" s="36" t="s">
        <v>16</v>
      </c>
      <c r="AC117" s="181">
        <f t="shared" si="15"/>
        <v>62</v>
      </c>
      <c r="AD117" s="181">
        <f t="shared" si="21"/>
        <v>278911.96000000002</v>
      </c>
      <c r="AE117" s="181">
        <v>1.2</v>
      </c>
      <c r="AF117" s="181">
        <v>1.2</v>
      </c>
      <c r="AG117" s="101" t="str">
        <f t="shared" si="16"/>
        <v/>
      </c>
      <c r="AH117" s="191">
        <f>16+3</f>
        <v>19</v>
      </c>
      <c r="AI117" s="69">
        <f t="shared" si="17"/>
        <v>62</v>
      </c>
    </row>
    <row r="118" spans="1:35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 t="s">
        <v>15</v>
      </c>
      <c r="I118" s="75">
        <v>3353.68</v>
      </c>
      <c r="J118" s="75">
        <v>50305.2</v>
      </c>
      <c r="K118" s="91" t="s">
        <v>345</v>
      </c>
      <c r="L118" s="73"/>
      <c r="M118" s="46">
        <v>2</v>
      </c>
      <c r="N118" s="46">
        <v>0</v>
      </c>
      <c r="O118" s="46">
        <v>6707.36</v>
      </c>
      <c r="P118" s="98"/>
      <c r="Q118" s="23" t="s">
        <v>1482</v>
      </c>
      <c r="R118" s="24" t="s">
        <v>344</v>
      </c>
      <c r="S118" s="25" t="s">
        <v>81</v>
      </c>
      <c r="T118" s="26">
        <v>15</v>
      </c>
      <c r="U118" s="26">
        <v>15</v>
      </c>
      <c r="V118" s="26">
        <f t="shared" si="19"/>
        <v>3353.68</v>
      </c>
      <c r="W118" s="243">
        <f t="shared" si="18"/>
        <v>6</v>
      </c>
      <c r="X118" s="26">
        <f t="shared" si="13"/>
        <v>8</v>
      </c>
      <c r="Y118" s="26">
        <f t="shared" si="20"/>
        <v>20122.079999999998</v>
      </c>
      <c r="Z118" s="26">
        <f t="shared" si="14"/>
        <v>26829.439999999999</v>
      </c>
      <c r="AA118" s="33" t="s">
        <v>15</v>
      </c>
      <c r="AB118" s="36" t="s">
        <v>16</v>
      </c>
      <c r="AC118" s="181">
        <f t="shared" si="15"/>
        <v>15</v>
      </c>
      <c r="AD118" s="181">
        <f t="shared" si="21"/>
        <v>50305.2</v>
      </c>
      <c r="AE118" s="181">
        <v>1.2</v>
      </c>
      <c r="AF118" s="181">
        <v>1.2</v>
      </c>
      <c r="AG118" s="101" t="str">
        <f t="shared" si="16"/>
        <v/>
      </c>
      <c r="AH118" s="191">
        <f>2+6</f>
        <v>8</v>
      </c>
      <c r="AI118" s="69">
        <f t="shared" si="17"/>
        <v>15</v>
      </c>
    </row>
    <row r="119" spans="1:35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 t="s">
        <v>15</v>
      </c>
      <c r="I119" s="75">
        <v>9874.4</v>
      </c>
      <c r="J119" s="75">
        <v>128367.2</v>
      </c>
      <c r="K119" s="91" t="s">
        <v>348</v>
      </c>
      <c r="L119" s="73"/>
      <c r="M119" s="46">
        <v>0</v>
      </c>
      <c r="N119" s="46">
        <v>0</v>
      </c>
      <c r="O119" s="46">
        <v>0</v>
      </c>
      <c r="P119" s="98"/>
      <c r="Q119" s="23" t="s">
        <v>1483</v>
      </c>
      <c r="R119" s="24" t="s">
        <v>347</v>
      </c>
      <c r="S119" s="25" t="s">
        <v>30</v>
      </c>
      <c r="T119" s="26">
        <v>13</v>
      </c>
      <c r="U119" s="26">
        <v>13</v>
      </c>
      <c r="V119" s="26">
        <f t="shared" si="19"/>
        <v>9874.4</v>
      </c>
      <c r="W119" s="26">
        <f t="shared" si="18"/>
        <v>0</v>
      </c>
      <c r="X119" s="26">
        <f t="shared" si="13"/>
        <v>0</v>
      </c>
      <c r="Y119" s="26">
        <f t="shared" si="20"/>
        <v>0</v>
      </c>
      <c r="Z119" s="26">
        <f t="shared" si="14"/>
        <v>0</v>
      </c>
      <c r="AA119" s="33" t="s">
        <v>15</v>
      </c>
      <c r="AB119" s="36" t="s">
        <v>16</v>
      </c>
      <c r="AC119" s="181">
        <f t="shared" si="15"/>
        <v>13</v>
      </c>
      <c r="AD119" s="181">
        <f t="shared" si="21"/>
        <v>128367.2</v>
      </c>
      <c r="AE119" s="181">
        <v>1.2</v>
      </c>
      <c r="AF119" s="181">
        <v>1.2</v>
      </c>
      <c r="AG119" s="101" t="str">
        <f t="shared" si="16"/>
        <v/>
      </c>
      <c r="AH119" s="190">
        <v>0</v>
      </c>
      <c r="AI119" s="69">
        <f t="shared" si="17"/>
        <v>13</v>
      </c>
    </row>
    <row r="120" spans="1:35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 t="s">
        <v>15</v>
      </c>
      <c r="I120" s="75">
        <v>6554.37</v>
      </c>
      <c r="J120" s="75">
        <v>273317.23</v>
      </c>
      <c r="K120" s="91" t="s">
        <v>351</v>
      </c>
      <c r="L120" s="73"/>
      <c r="M120" s="46">
        <v>0</v>
      </c>
      <c r="N120" s="46">
        <v>0</v>
      </c>
      <c r="O120" s="46">
        <v>0</v>
      </c>
      <c r="P120" s="98"/>
      <c r="Q120" s="23" t="s">
        <v>1484</v>
      </c>
      <c r="R120" s="24" t="s">
        <v>350</v>
      </c>
      <c r="S120" s="25" t="s">
        <v>30</v>
      </c>
      <c r="T120" s="26">
        <v>41.7</v>
      </c>
      <c r="U120" s="26">
        <v>41.7</v>
      </c>
      <c r="V120" s="26">
        <f t="shared" si="19"/>
        <v>6554.37</v>
      </c>
      <c r="W120" s="26">
        <f t="shared" si="18"/>
        <v>0</v>
      </c>
      <c r="X120" s="26">
        <f t="shared" si="13"/>
        <v>0</v>
      </c>
      <c r="Y120" s="26">
        <f t="shared" si="20"/>
        <v>0</v>
      </c>
      <c r="Z120" s="26">
        <f t="shared" si="14"/>
        <v>0</v>
      </c>
      <c r="AA120" s="33" t="s">
        <v>15</v>
      </c>
      <c r="AB120" s="36" t="s">
        <v>16</v>
      </c>
      <c r="AC120" s="181">
        <f t="shared" si="15"/>
        <v>41.7</v>
      </c>
      <c r="AD120" s="181">
        <f t="shared" si="21"/>
        <v>273317.23</v>
      </c>
      <c r="AE120" s="181">
        <v>1.2</v>
      </c>
      <c r="AF120" s="181">
        <v>1.2</v>
      </c>
      <c r="AG120" s="101" t="str">
        <f t="shared" si="16"/>
        <v/>
      </c>
      <c r="AH120" s="190">
        <v>0</v>
      </c>
      <c r="AI120" s="69">
        <f t="shared" si="17"/>
        <v>41.7</v>
      </c>
    </row>
    <row r="121" spans="1:35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 t="s">
        <v>15</v>
      </c>
      <c r="I121" s="75">
        <v>8390.73</v>
      </c>
      <c r="J121" s="75">
        <v>10907.95</v>
      </c>
      <c r="K121" s="91" t="s">
        <v>354</v>
      </c>
      <c r="L121" s="73"/>
      <c r="M121" s="46">
        <v>0</v>
      </c>
      <c r="N121" s="46">
        <v>0</v>
      </c>
      <c r="O121" s="46">
        <v>0</v>
      </c>
      <c r="P121" s="98"/>
      <c r="Q121" s="23" t="s">
        <v>1485</v>
      </c>
      <c r="R121" s="24" t="s">
        <v>353</v>
      </c>
      <c r="S121" s="25" t="s">
        <v>30</v>
      </c>
      <c r="T121" s="26">
        <v>1.3</v>
      </c>
      <c r="U121" s="26">
        <v>1.3</v>
      </c>
      <c r="V121" s="26">
        <f t="shared" si="19"/>
        <v>8390.73</v>
      </c>
      <c r="W121" s="26">
        <f t="shared" si="18"/>
        <v>0</v>
      </c>
      <c r="X121" s="26">
        <f t="shared" si="13"/>
        <v>0</v>
      </c>
      <c r="Y121" s="26">
        <f t="shared" si="20"/>
        <v>0</v>
      </c>
      <c r="Z121" s="26">
        <f t="shared" si="14"/>
        <v>0</v>
      </c>
      <c r="AA121" s="33" t="s">
        <v>15</v>
      </c>
      <c r="AB121" s="36" t="s">
        <v>16</v>
      </c>
      <c r="AC121" s="181">
        <f t="shared" si="15"/>
        <v>1.3</v>
      </c>
      <c r="AD121" s="181">
        <f t="shared" si="21"/>
        <v>10907.95</v>
      </c>
      <c r="AE121" s="181">
        <v>1.2</v>
      </c>
      <c r="AF121" s="181">
        <v>1.2</v>
      </c>
      <c r="AG121" s="101" t="str">
        <f t="shared" si="16"/>
        <v/>
      </c>
      <c r="AH121" s="190">
        <v>0</v>
      </c>
      <c r="AI121" s="69">
        <f t="shared" si="17"/>
        <v>1.3</v>
      </c>
    </row>
    <row r="122" spans="1:35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 t="s">
        <v>15</v>
      </c>
      <c r="I122" s="75">
        <v>671.99</v>
      </c>
      <c r="J122" s="75">
        <v>82184.38</v>
      </c>
      <c r="K122" s="91" t="s">
        <v>357</v>
      </c>
      <c r="L122" s="73"/>
      <c r="M122" s="46">
        <v>0</v>
      </c>
      <c r="N122" s="46">
        <v>0</v>
      </c>
      <c r="O122" s="46">
        <v>0</v>
      </c>
      <c r="P122" s="98"/>
      <c r="Q122" s="23" t="s">
        <v>1486</v>
      </c>
      <c r="R122" s="24" t="s">
        <v>356</v>
      </c>
      <c r="S122" s="25" t="s">
        <v>30</v>
      </c>
      <c r="T122" s="26">
        <v>122.3</v>
      </c>
      <c r="U122" s="26">
        <v>122.3</v>
      </c>
      <c r="V122" s="26">
        <f t="shared" si="19"/>
        <v>671.99</v>
      </c>
      <c r="W122" s="26">
        <f t="shared" si="18"/>
        <v>0</v>
      </c>
      <c r="X122" s="26">
        <f t="shared" si="13"/>
        <v>0</v>
      </c>
      <c r="Y122" s="26">
        <f t="shared" si="20"/>
        <v>0</v>
      </c>
      <c r="Z122" s="26">
        <f t="shared" si="14"/>
        <v>0</v>
      </c>
      <c r="AA122" s="33" t="s">
        <v>15</v>
      </c>
      <c r="AB122" s="36" t="s">
        <v>16</v>
      </c>
      <c r="AC122" s="181">
        <f t="shared" si="15"/>
        <v>122.3</v>
      </c>
      <c r="AD122" s="181">
        <f t="shared" si="21"/>
        <v>82184.38</v>
      </c>
      <c r="AE122" s="181">
        <v>1.2</v>
      </c>
      <c r="AF122" s="181">
        <v>1.2</v>
      </c>
      <c r="AG122" s="101" t="str">
        <f t="shared" si="16"/>
        <v/>
      </c>
      <c r="AH122" s="190">
        <v>0</v>
      </c>
      <c r="AI122" s="69">
        <f t="shared" si="17"/>
        <v>122.3</v>
      </c>
    </row>
    <row r="123" spans="1:35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 t="s">
        <v>15</v>
      </c>
      <c r="I123" s="75">
        <v>935.67</v>
      </c>
      <c r="J123" s="75">
        <v>94512.03</v>
      </c>
      <c r="K123" s="91" t="s">
        <v>360</v>
      </c>
      <c r="L123" s="73"/>
      <c r="M123" s="46">
        <v>0</v>
      </c>
      <c r="N123" s="46">
        <v>0</v>
      </c>
      <c r="O123" s="46">
        <v>0</v>
      </c>
      <c r="P123" s="98"/>
      <c r="Q123" s="23" t="s">
        <v>1487</v>
      </c>
      <c r="R123" s="24" t="s">
        <v>359</v>
      </c>
      <c r="S123" s="25" t="s">
        <v>30</v>
      </c>
      <c r="T123" s="26">
        <v>101.01</v>
      </c>
      <c r="U123" s="26">
        <v>101.01</v>
      </c>
      <c r="V123" s="26">
        <f t="shared" si="19"/>
        <v>935.67</v>
      </c>
      <c r="W123" s="26">
        <f t="shared" si="18"/>
        <v>0</v>
      </c>
      <c r="X123" s="26">
        <f t="shared" si="13"/>
        <v>0</v>
      </c>
      <c r="Y123" s="26">
        <f t="shared" si="20"/>
        <v>0</v>
      </c>
      <c r="Z123" s="26">
        <f t="shared" si="14"/>
        <v>0</v>
      </c>
      <c r="AA123" s="33" t="s">
        <v>15</v>
      </c>
      <c r="AB123" s="36" t="s">
        <v>16</v>
      </c>
      <c r="AC123" s="181">
        <f t="shared" si="15"/>
        <v>101.01</v>
      </c>
      <c r="AD123" s="181">
        <f t="shared" si="21"/>
        <v>94512.03</v>
      </c>
      <c r="AE123" s="181">
        <v>1.2</v>
      </c>
      <c r="AF123" s="181">
        <v>1.2</v>
      </c>
      <c r="AG123" s="101" t="str">
        <f t="shared" si="16"/>
        <v/>
      </c>
      <c r="AH123" s="190">
        <v>0</v>
      </c>
      <c r="AI123" s="69">
        <f t="shared" si="17"/>
        <v>101.01</v>
      </c>
    </row>
    <row r="124" spans="1:35" s="69" customFormat="1" ht="33" x14ac:dyDescent="0.3">
      <c r="A124" s="55" t="s">
        <v>361</v>
      </c>
      <c r="B124" s="211" t="s">
        <v>362</v>
      </c>
      <c r="C124" s="54" t="s">
        <v>30</v>
      </c>
      <c r="D124" s="75">
        <v>489</v>
      </c>
      <c r="E124" s="75"/>
      <c r="F124" s="75"/>
      <c r="G124" s="75"/>
      <c r="H124" s="75" t="s">
        <v>15</v>
      </c>
      <c r="I124" s="75">
        <v>658.31</v>
      </c>
      <c r="J124" s="75">
        <v>321913.59000000003</v>
      </c>
      <c r="K124" s="91" t="s">
        <v>363</v>
      </c>
      <c r="L124" s="73"/>
      <c r="M124" s="46">
        <v>277.7</v>
      </c>
      <c r="N124" s="46">
        <v>0</v>
      </c>
      <c r="O124" s="46">
        <v>182812.69</v>
      </c>
      <c r="P124" s="98"/>
      <c r="Q124" s="23" t="s">
        <v>1488</v>
      </c>
      <c r="R124" s="24" t="s">
        <v>362</v>
      </c>
      <c r="S124" s="25" t="s">
        <v>30</v>
      </c>
      <c r="T124" s="26">
        <v>489</v>
      </c>
      <c r="U124" s="26">
        <v>489</v>
      </c>
      <c r="V124" s="26">
        <f t="shared" si="19"/>
        <v>658.31</v>
      </c>
      <c r="W124" s="243">
        <f t="shared" si="18"/>
        <v>0</v>
      </c>
      <c r="X124" s="26">
        <f t="shared" si="13"/>
        <v>277.7</v>
      </c>
      <c r="Y124" s="26">
        <f t="shared" si="20"/>
        <v>0</v>
      </c>
      <c r="Z124" s="26">
        <f t="shared" si="14"/>
        <v>182812.69</v>
      </c>
      <c r="AA124" s="33" t="s">
        <v>15</v>
      </c>
      <c r="AB124" s="36" t="s">
        <v>16</v>
      </c>
      <c r="AC124" s="181">
        <f t="shared" si="15"/>
        <v>489</v>
      </c>
      <c r="AD124" s="181">
        <f t="shared" si="21"/>
        <v>321913.59000000003</v>
      </c>
      <c r="AE124" s="181">
        <v>1.2</v>
      </c>
      <c r="AF124" s="181">
        <v>1.2</v>
      </c>
      <c r="AG124" s="101" t="str">
        <f t="shared" si="16"/>
        <v/>
      </c>
      <c r="AH124" s="191">
        <v>277.7</v>
      </c>
      <c r="AI124" s="69">
        <f t="shared" si="17"/>
        <v>489</v>
      </c>
    </row>
    <row r="125" spans="1:35" s="69" customFormat="1" ht="33" x14ac:dyDescent="0.3">
      <c r="A125" s="55" t="s">
        <v>364</v>
      </c>
      <c r="B125" s="211" t="s">
        <v>3111</v>
      </c>
      <c r="C125" s="54" t="s">
        <v>30</v>
      </c>
      <c r="D125" s="75">
        <v>216</v>
      </c>
      <c r="E125" s="75"/>
      <c r="F125" s="75"/>
      <c r="G125" s="75"/>
      <c r="H125" s="75" t="s">
        <v>15</v>
      </c>
      <c r="I125" s="75">
        <v>730.41</v>
      </c>
      <c r="J125" s="75">
        <v>157768.56</v>
      </c>
      <c r="K125" s="91" t="s">
        <v>366</v>
      </c>
      <c r="L125" s="73"/>
      <c r="M125" s="46">
        <v>120</v>
      </c>
      <c r="N125" s="46">
        <v>0</v>
      </c>
      <c r="O125" s="46">
        <v>87649.2</v>
      </c>
      <c r="P125" s="98"/>
      <c r="Q125" s="23" t="s">
        <v>1489</v>
      </c>
      <c r="R125" s="24" t="s">
        <v>365</v>
      </c>
      <c r="S125" s="25" t="s">
        <v>30</v>
      </c>
      <c r="T125" s="26">
        <v>216</v>
      </c>
      <c r="U125" s="26">
        <v>216</v>
      </c>
      <c r="V125" s="26">
        <f t="shared" si="19"/>
        <v>730.41</v>
      </c>
      <c r="W125" s="243">
        <f t="shared" si="18"/>
        <v>0</v>
      </c>
      <c r="X125" s="26">
        <f t="shared" si="13"/>
        <v>120</v>
      </c>
      <c r="Y125" s="26">
        <f t="shared" si="20"/>
        <v>0</v>
      </c>
      <c r="Z125" s="26">
        <f t="shared" si="14"/>
        <v>87649.2</v>
      </c>
      <c r="AA125" s="33" t="s">
        <v>15</v>
      </c>
      <c r="AB125" s="36" t="s">
        <v>16</v>
      </c>
      <c r="AC125" s="181">
        <f t="shared" si="15"/>
        <v>216</v>
      </c>
      <c r="AD125" s="181">
        <f t="shared" si="21"/>
        <v>157768.56</v>
      </c>
      <c r="AE125" s="181">
        <v>1.2</v>
      </c>
      <c r="AF125" s="181">
        <v>1.2</v>
      </c>
      <c r="AG125" s="101" t="str">
        <f t="shared" si="16"/>
        <v/>
      </c>
      <c r="AH125" s="191">
        <v>120</v>
      </c>
      <c r="AI125" s="69">
        <f t="shared" si="17"/>
        <v>216</v>
      </c>
    </row>
    <row r="126" spans="1:35" s="69" customFormat="1" ht="33" x14ac:dyDescent="0.3">
      <c r="A126" s="55" t="s">
        <v>367</v>
      </c>
      <c r="B126" s="53" t="s">
        <v>368</v>
      </c>
      <c r="C126" s="54" t="s">
        <v>30</v>
      </c>
      <c r="D126" s="75">
        <v>45.16</v>
      </c>
      <c r="E126" s="75"/>
      <c r="F126" s="75"/>
      <c r="G126" s="75"/>
      <c r="H126" s="75" t="s">
        <v>15</v>
      </c>
      <c r="I126" s="75">
        <v>406.4</v>
      </c>
      <c r="J126" s="75">
        <v>18353.02</v>
      </c>
      <c r="K126" s="91" t="s">
        <v>369</v>
      </c>
      <c r="L126" s="73"/>
      <c r="M126" s="46">
        <v>0</v>
      </c>
      <c r="N126" s="46">
        <v>0</v>
      </c>
      <c r="O126" s="46">
        <v>0</v>
      </c>
      <c r="P126" s="98"/>
      <c r="Q126" s="23" t="s">
        <v>1398</v>
      </c>
      <c r="R126" s="24" t="s">
        <v>368</v>
      </c>
      <c r="S126" s="25" t="s">
        <v>30</v>
      </c>
      <c r="T126" s="26">
        <v>45.16</v>
      </c>
      <c r="U126" s="26">
        <v>45.16</v>
      </c>
      <c r="V126" s="26">
        <f t="shared" si="19"/>
        <v>406.4</v>
      </c>
      <c r="W126" s="26">
        <f t="shared" si="18"/>
        <v>0</v>
      </c>
      <c r="X126" s="26">
        <f t="shared" si="13"/>
        <v>0</v>
      </c>
      <c r="Y126" s="26">
        <f t="shared" si="20"/>
        <v>0</v>
      </c>
      <c r="Z126" s="26">
        <f t="shared" si="14"/>
        <v>0</v>
      </c>
      <c r="AA126" s="33" t="s">
        <v>15</v>
      </c>
      <c r="AB126" s="36" t="s">
        <v>16</v>
      </c>
      <c r="AC126" s="181">
        <f t="shared" si="15"/>
        <v>45.16</v>
      </c>
      <c r="AD126" s="181">
        <f t="shared" si="21"/>
        <v>18353.02</v>
      </c>
      <c r="AE126" s="181">
        <v>1.2</v>
      </c>
      <c r="AF126" s="181">
        <v>1.2</v>
      </c>
      <c r="AG126" s="101" t="str">
        <f t="shared" si="16"/>
        <v/>
      </c>
      <c r="AH126" s="190">
        <v>0</v>
      </c>
      <c r="AI126" s="69">
        <f t="shared" si="17"/>
        <v>45.16</v>
      </c>
    </row>
    <row r="127" spans="1:35" s="69" customFormat="1" ht="33" x14ac:dyDescent="0.3">
      <c r="A127" s="55" t="s">
        <v>370</v>
      </c>
      <c r="B127" s="211" t="s">
        <v>371</v>
      </c>
      <c r="C127" s="54" t="s">
        <v>30</v>
      </c>
      <c r="D127" s="75">
        <v>116.8</v>
      </c>
      <c r="E127" s="75"/>
      <c r="F127" s="75"/>
      <c r="G127" s="75"/>
      <c r="H127" s="75" t="s">
        <v>15</v>
      </c>
      <c r="I127" s="75">
        <v>457.9</v>
      </c>
      <c r="J127" s="75">
        <v>53482.720000000001</v>
      </c>
      <c r="K127" s="91" t="s">
        <v>372</v>
      </c>
      <c r="L127" s="73"/>
      <c r="M127" s="46">
        <v>52</v>
      </c>
      <c r="N127" s="46">
        <v>0</v>
      </c>
      <c r="O127" s="46">
        <v>23810.799999999999</v>
      </c>
      <c r="P127" s="98"/>
      <c r="Q127" s="23" t="s">
        <v>1399</v>
      </c>
      <c r="R127" s="24" t="s">
        <v>371</v>
      </c>
      <c r="S127" s="25" t="s">
        <v>30</v>
      </c>
      <c r="T127" s="26">
        <v>116.8</v>
      </c>
      <c r="U127" s="26">
        <v>116.8</v>
      </c>
      <c r="V127" s="26">
        <f t="shared" si="19"/>
        <v>457.9</v>
      </c>
      <c r="W127" s="243">
        <f t="shared" si="18"/>
        <v>31.200000000000003</v>
      </c>
      <c r="X127" s="26">
        <f t="shared" si="13"/>
        <v>83.2</v>
      </c>
      <c r="Y127" s="26">
        <f t="shared" si="20"/>
        <v>14286.48</v>
      </c>
      <c r="Z127" s="26">
        <f t="shared" si="14"/>
        <v>38097.279999999999</v>
      </c>
      <c r="AA127" s="33" t="s">
        <v>15</v>
      </c>
      <c r="AB127" s="36" t="s">
        <v>16</v>
      </c>
      <c r="AC127" s="181">
        <f t="shared" si="15"/>
        <v>116.8</v>
      </c>
      <c r="AD127" s="181">
        <f t="shared" si="21"/>
        <v>53482.720000000001</v>
      </c>
      <c r="AE127" s="181">
        <v>1.2</v>
      </c>
      <c r="AF127" s="181">
        <v>1.2</v>
      </c>
      <c r="AG127" s="101" t="str">
        <f t="shared" si="16"/>
        <v/>
      </c>
      <c r="AH127" s="191">
        <f>52+31.2</f>
        <v>83.2</v>
      </c>
      <c r="AI127" s="69">
        <f t="shared" si="17"/>
        <v>116.8</v>
      </c>
    </row>
    <row r="128" spans="1:35" s="69" customFormat="1" ht="39" x14ac:dyDescent="0.3">
      <c r="A128" s="55" t="s">
        <v>373</v>
      </c>
      <c r="B128" s="53" t="s">
        <v>374</v>
      </c>
      <c r="C128" s="54" t="s">
        <v>30</v>
      </c>
      <c r="D128" s="75">
        <v>25.8</v>
      </c>
      <c r="E128" s="75"/>
      <c r="F128" s="75"/>
      <c r="G128" s="75"/>
      <c r="H128" s="75" t="s">
        <v>15</v>
      </c>
      <c r="I128" s="75">
        <v>499.1</v>
      </c>
      <c r="J128" s="75">
        <v>12876.78</v>
      </c>
      <c r="K128" s="91" t="s">
        <v>375</v>
      </c>
      <c r="L128" s="73"/>
      <c r="M128" s="46">
        <v>0</v>
      </c>
      <c r="N128" s="46">
        <v>0</v>
      </c>
      <c r="O128" s="46">
        <v>0</v>
      </c>
      <c r="P128" s="98"/>
      <c r="Q128" s="23" t="s">
        <v>1490</v>
      </c>
      <c r="R128" s="24" t="s">
        <v>374</v>
      </c>
      <c r="S128" s="25" t="s">
        <v>30</v>
      </c>
      <c r="T128" s="26">
        <v>25.8</v>
      </c>
      <c r="U128" s="26">
        <v>25.8</v>
      </c>
      <c r="V128" s="26">
        <f t="shared" si="19"/>
        <v>499.1</v>
      </c>
      <c r="W128" s="26">
        <f t="shared" si="18"/>
        <v>0</v>
      </c>
      <c r="X128" s="26">
        <f t="shared" si="13"/>
        <v>0</v>
      </c>
      <c r="Y128" s="26">
        <f t="shared" si="20"/>
        <v>0</v>
      </c>
      <c r="Z128" s="26">
        <f t="shared" si="14"/>
        <v>0</v>
      </c>
      <c r="AA128" s="33" t="s">
        <v>15</v>
      </c>
      <c r="AB128" s="36" t="s">
        <v>16</v>
      </c>
      <c r="AC128" s="181">
        <f t="shared" si="15"/>
        <v>25.8</v>
      </c>
      <c r="AD128" s="181">
        <f t="shared" si="21"/>
        <v>12876.78</v>
      </c>
      <c r="AE128" s="181">
        <v>1.2</v>
      </c>
      <c r="AF128" s="181">
        <v>1.2</v>
      </c>
      <c r="AG128" s="101" t="str">
        <f t="shared" si="16"/>
        <v/>
      </c>
      <c r="AH128" s="190">
        <v>0</v>
      </c>
      <c r="AI128" s="69">
        <f t="shared" si="17"/>
        <v>25.8</v>
      </c>
    </row>
    <row r="129" spans="1:38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 t="s">
        <v>15</v>
      </c>
      <c r="I129" s="75">
        <v>545.85</v>
      </c>
      <c r="J129" s="75">
        <v>29415.86</v>
      </c>
      <c r="K129" s="91" t="s">
        <v>378</v>
      </c>
      <c r="L129" s="73"/>
      <c r="M129" s="46">
        <v>0</v>
      </c>
      <c r="N129" s="46">
        <v>0</v>
      </c>
      <c r="O129" s="46">
        <v>0</v>
      </c>
      <c r="P129" s="98"/>
      <c r="Q129" s="23" t="s">
        <v>1491</v>
      </c>
      <c r="R129" s="24" t="s">
        <v>377</v>
      </c>
      <c r="S129" s="25" t="s">
        <v>30</v>
      </c>
      <c r="T129" s="26">
        <v>53.89</v>
      </c>
      <c r="U129" s="26">
        <v>53.89</v>
      </c>
      <c r="V129" s="26">
        <f t="shared" si="19"/>
        <v>545.85</v>
      </c>
      <c r="W129" s="26">
        <f t="shared" si="18"/>
        <v>0</v>
      </c>
      <c r="X129" s="26">
        <f t="shared" si="13"/>
        <v>0</v>
      </c>
      <c r="Y129" s="26">
        <f t="shared" si="20"/>
        <v>0</v>
      </c>
      <c r="Z129" s="26">
        <f t="shared" si="14"/>
        <v>0</v>
      </c>
      <c r="AA129" s="33" t="s">
        <v>15</v>
      </c>
      <c r="AB129" s="36" t="s">
        <v>16</v>
      </c>
      <c r="AC129" s="181">
        <f t="shared" si="15"/>
        <v>53.89</v>
      </c>
      <c r="AD129" s="181">
        <f t="shared" si="21"/>
        <v>29415.86</v>
      </c>
      <c r="AE129" s="181">
        <v>1.2</v>
      </c>
      <c r="AF129" s="181">
        <v>1.2</v>
      </c>
      <c r="AG129" s="101" t="str">
        <f t="shared" si="16"/>
        <v/>
      </c>
      <c r="AH129" s="190">
        <v>0</v>
      </c>
      <c r="AI129" s="69">
        <f t="shared" si="17"/>
        <v>53.89</v>
      </c>
    </row>
    <row r="130" spans="1:38" s="69" customFormat="1" ht="33" x14ac:dyDescent="0.3">
      <c r="A130" s="55" t="s">
        <v>379</v>
      </c>
      <c r="B130" s="53" t="s">
        <v>380</v>
      </c>
      <c r="C130" s="54" t="s">
        <v>30</v>
      </c>
      <c r="D130" s="75">
        <v>21</v>
      </c>
      <c r="E130" s="75"/>
      <c r="F130" s="75"/>
      <c r="G130" s="75"/>
      <c r="H130" s="75" t="s">
        <v>15</v>
      </c>
      <c r="I130" s="75">
        <v>644.09</v>
      </c>
      <c r="J130" s="75">
        <v>13525.89</v>
      </c>
      <c r="K130" s="91" t="s">
        <v>381</v>
      </c>
      <c r="L130" s="73"/>
      <c r="M130" s="46">
        <v>0</v>
      </c>
      <c r="N130" s="46">
        <v>0</v>
      </c>
      <c r="O130" s="46">
        <v>0</v>
      </c>
      <c r="P130" s="98"/>
      <c r="Q130" s="23" t="s">
        <v>1492</v>
      </c>
      <c r="R130" s="24" t="s">
        <v>380</v>
      </c>
      <c r="S130" s="25" t="s">
        <v>30</v>
      </c>
      <c r="T130" s="26">
        <v>21</v>
      </c>
      <c r="U130" s="26">
        <v>21</v>
      </c>
      <c r="V130" s="26">
        <f t="shared" si="19"/>
        <v>644.09</v>
      </c>
      <c r="W130" s="26">
        <f t="shared" si="18"/>
        <v>0</v>
      </c>
      <c r="X130" s="26">
        <f t="shared" si="13"/>
        <v>0</v>
      </c>
      <c r="Y130" s="26">
        <f t="shared" si="20"/>
        <v>0</v>
      </c>
      <c r="Z130" s="26">
        <f t="shared" si="14"/>
        <v>0</v>
      </c>
      <c r="AA130" s="33" t="s">
        <v>15</v>
      </c>
      <c r="AB130" s="36" t="s">
        <v>16</v>
      </c>
      <c r="AC130" s="181">
        <f t="shared" si="15"/>
        <v>21</v>
      </c>
      <c r="AD130" s="181">
        <f t="shared" si="21"/>
        <v>13525.89</v>
      </c>
      <c r="AE130" s="181">
        <v>1.2</v>
      </c>
      <c r="AF130" s="181">
        <v>1.2</v>
      </c>
      <c r="AG130" s="101" t="str">
        <f t="shared" si="16"/>
        <v/>
      </c>
      <c r="AH130" s="190">
        <v>0</v>
      </c>
      <c r="AI130" s="69">
        <f t="shared" si="17"/>
        <v>21</v>
      </c>
    </row>
    <row r="131" spans="1:38" s="69" customFormat="1" ht="33" x14ac:dyDescent="0.3">
      <c r="A131" s="55" t="s">
        <v>382</v>
      </c>
      <c r="B131" s="53" t="s">
        <v>383</v>
      </c>
      <c r="C131" s="54" t="s">
        <v>30</v>
      </c>
      <c r="D131" s="75">
        <v>275.60000000000002</v>
      </c>
      <c r="E131" s="75"/>
      <c r="F131" s="75"/>
      <c r="G131" s="75"/>
      <c r="H131" s="75" t="s">
        <v>15</v>
      </c>
      <c r="I131" s="75">
        <v>7340.41</v>
      </c>
      <c r="J131" s="75">
        <v>2023017</v>
      </c>
      <c r="K131" s="91" t="s">
        <v>384</v>
      </c>
      <c r="L131" s="73"/>
      <c r="M131" s="46">
        <v>0</v>
      </c>
      <c r="N131" s="46">
        <v>0</v>
      </c>
      <c r="O131" s="46">
        <v>0</v>
      </c>
      <c r="P131" s="98"/>
      <c r="Q131" s="23" t="s">
        <v>1493</v>
      </c>
      <c r="R131" s="24" t="s">
        <v>383</v>
      </c>
      <c r="S131" s="25" t="s">
        <v>30</v>
      </c>
      <c r="T131" s="26">
        <v>275.60000000000002</v>
      </c>
      <c r="U131" s="26">
        <v>275.60000000000002</v>
      </c>
      <c r="V131" s="26">
        <f t="shared" si="19"/>
        <v>7340.41</v>
      </c>
      <c r="W131" s="26">
        <f t="shared" si="18"/>
        <v>0</v>
      </c>
      <c r="X131" s="26">
        <f t="shared" si="13"/>
        <v>0</v>
      </c>
      <c r="Y131" s="26">
        <f t="shared" si="20"/>
        <v>0</v>
      </c>
      <c r="Z131" s="26">
        <f t="shared" si="14"/>
        <v>0</v>
      </c>
      <c r="AA131" s="33" t="s">
        <v>15</v>
      </c>
      <c r="AB131" s="36" t="s">
        <v>16</v>
      </c>
      <c r="AC131" s="181">
        <f t="shared" si="15"/>
        <v>275.60000000000002</v>
      </c>
      <c r="AD131" s="181">
        <f t="shared" si="21"/>
        <v>2023017</v>
      </c>
      <c r="AE131" s="181">
        <v>1.2</v>
      </c>
      <c r="AF131" s="181">
        <v>1.2</v>
      </c>
      <c r="AG131" s="101" t="str">
        <f t="shared" si="16"/>
        <v/>
      </c>
      <c r="AH131" s="190">
        <v>0</v>
      </c>
      <c r="AI131" s="69">
        <f t="shared" si="17"/>
        <v>275.60000000000002</v>
      </c>
    </row>
    <row r="132" spans="1:38" s="69" customFormat="1" ht="33" x14ac:dyDescent="0.3">
      <c r="A132" s="130" t="s">
        <v>385</v>
      </c>
      <c r="B132" s="131" t="s">
        <v>386</v>
      </c>
      <c r="C132" s="132" t="s">
        <v>81</v>
      </c>
      <c r="D132" s="133">
        <v>1</v>
      </c>
      <c r="E132" s="75"/>
      <c r="F132" s="75"/>
      <c r="G132" s="75"/>
      <c r="H132" s="75" t="s">
        <v>15</v>
      </c>
      <c r="I132" s="75">
        <v>913345.81</v>
      </c>
      <c r="J132" s="75">
        <v>913345.81</v>
      </c>
      <c r="K132" s="91" t="s">
        <v>387</v>
      </c>
      <c r="L132" s="73"/>
      <c r="M132" s="46">
        <v>1</v>
      </c>
      <c r="N132" s="46">
        <v>0</v>
      </c>
      <c r="O132" s="46">
        <v>913345.81</v>
      </c>
      <c r="P132" s="98"/>
      <c r="Q132" s="23" t="s">
        <v>1494</v>
      </c>
      <c r="R132" s="24" t="s">
        <v>386</v>
      </c>
      <c r="S132" s="25" t="s">
        <v>81</v>
      </c>
      <c r="T132" s="26">
        <v>1</v>
      </c>
      <c r="U132" s="26">
        <v>1</v>
      </c>
      <c r="V132" s="26">
        <f t="shared" si="19"/>
        <v>913345.81</v>
      </c>
      <c r="W132" s="127">
        <f t="shared" si="18"/>
        <v>0</v>
      </c>
      <c r="X132" s="127">
        <f t="shared" si="13"/>
        <v>1</v>
      </c>
      <c r="Y132" s="127">
        <f t="shared" si="20"/>
        <v>0</v>
      </c>
      <c r="Z132" s="127">
        <f t="shared" si="14"/>
        <v>913345.81</v>
      </c>
      <c r="AA132" s="33" t="s">
        <v>15</v>
      </c>
      <c r="AB132" s="36" t="s">
        <v>16</v>
      </c>
      <c r="AC132" s="181">
        <f t="shared" si="15"/>
        <v>1</v>
      </c>
      <c r="AD132" s="181">
        <f t="shared" si="21"/>
        <v>913345.81</v>
      </c>
      <c r="AE132" s="181">
        <v>1.2</v>
      </c>
      <c r="AF132" s="181">
        <v>1.2</v>
      </c>
      <c r="AG132" s="101" t="str">
        <f t="shared" si="16"/>
        <v/>
      </c>
      <c r="AH132" s="191">
        <v>1</v>
      </c>
      <c r="AI132" s="69">
        <f t="shared" si="17"/>
        <v>1</v>
      </c>
    </row>
    <row r="133" spans="1:38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 t="s">
        <v>15</v>
      </c>
      <c r="I133" s="82"/>
      <c r="J133" s="82">
        <v>62087911.219999999</v>
      </c>
      <c r="K133" s="94" t="s">
        <v>15</v>
      </c>
      <c r="L133" s="73"/>
      <c r="M133" s="45">
        <v>1</v>
      </c>
      <c r="N133" s="45">
        <v>1773742.5</v>
      </c>
      <c r="O133" s="45">
        <v>57870630.420000017</v>
      </c>
      <c r="P133" s="98"/>
      <c r="Q133" s="18" t="s">
        <v>1381</v>
      </c>
      <c r="R133" s="19" t="s">
        <v>389</v>
      </c>
      <c r="S133" s="20" t="s">
        <v>14</v>
      </c>
      <c r="T133" s="21">
        <v>1</v>
      </c>
      <c r="U133" s="21"/>
      <c r="V133" s="21">
        <f>SUMIFS(AD:AD,AE:AE,AE133)</f>
        <v>62087911.219999999</v>
      </c>
      <c r="W133" s="21">
        <f t="shared" ref="W133:X133" si="22">IF(Y133=0,0,1)</f>
        <v>1</v>
      </c>
      <c r="X133" s="21">
        <f t="shared" si="22"/>
        <v>1</v>
      </c>
      <c r="Y133" s="21">
        <f>SUMIFS(Y:Y,AF:AF,AE133)</f>
        <v>84633</v>
      </c>
      <c r="Z133" s="21">
        <f>SUMIFS(Z:Z,AF:AF,AE133)</f>
        <v>57955263.420000017</v>
      </c>
      <c r="AA133" s="22" t="s">
        <v>15</v>
      </c>
      <c r="AB133" s="43" t="s">
        <v>16</v>
      </c>
      <c r="AC133" s="181">
        <f t="shared" si="15"/>
        <v>1</v>
      </c>
      <c r="AD133" s="184"/>
      <c r="AE133" s="184">
        <v>1.3</v>
      </c>
      <c r="AF133" s="184"/>
      <c r="AG133" s="101" t="str">
        <f t="shared" si="16"/>
        <v/>
      </c>
      <c r="AH133" s="190">
        <v>1</v>
      </c>
      <c r="AI133" s="69">
        <f t="shared" si="17"/>
        <v>1</v>
      </c>
    </row>
    <row r="134" spans="1:38" s="69" customFormat="1" ht="39" x14ac:dyDescent="0.3">
      <c r="A134" s="130" t="s">
        <v>390</v>
      </c>
      <c r="B134" s="131" t="s">
        <v>102</v>
      </c>
      <c r="C134" s="132" t="s">
        <v>103</v>
      </c>
      <c r="D134" s="133">
        <v>274.45</v>
      </c>
      <c r="E134" s="75"/>
      <c r="F134" s="75"/>
      <c r="G134" s="75"/>
      <c r="H134" s="75" t="s">
        <v>15</v>
      </c>
      <c r="I134" s="75">
        <v>320.74</v>
      </c>
      <c r="J134" s="75">
        <v>88027.09</v>
      </c>
      <c r="K134" s="91" t="s">
        <v>104</v>
      </c>
      <c r="L134" s="73"/>
      <c r="M134" s="46">
        <v>225</v>
      </c>
      <c r="N134" s="46">
        <v>0</v>
      </c>
      <c r="O134" s="46">
        <v>72166.5</v>
      </c>
      <c r="P134" s="98"/>
      <c r="Q134" s="23" t="s">
        <v>1421</v>
      </c>
      <c r="R134" s="24" t="s">
        <v>102</v>
      </c>
      <c r="S134" s="25" t="s">
        <v>103</v>
      </c>
      <c r="T134" s="26">
        <v>274.45</v>
      </c>
      <c r="U134" s="26">
        <v>274.45</v>
      </c>
      <c r="V134" s="26">
        <f t="shared" si="19"/>
        <v>320.74</v>
      </c>
      <c r="W134" s="127">
        <f t="shared" ref="W134:W176" si="23">AH134-M134</f>
        <v>0</v>
      </c>
      <c r="X134" s="127">
        <f t="shared" ref="X134:X176" si="24">W134+M134</f>
        <v>225</v>
      </c>
      <c r="Y134" s="127">
        <f t="shared" ref="Y134:Y176" si="25">Z134-O134</f>
        <v>0</v>
      </c>
      <c r="Z134" s="127">
        <f t="shared" si="14"/>
        <v>72166.5</v>
      </c>
      <c r="AA134" s="33" t="s">
        <v>15</v>
      </c>
      <c r="AB134" s="36" t="s">
        <v>16</v>
      </c>
      <c r="AC134" s="181">
        <f t="shared" si="15"/>
        <v>274.45</v>
      </c>
      <c r="AD134" s="181">
        <f t="shared" ref="AD134:AD176" si="26">ROUND(V134*AC134,2)</f>
        <v>88027.09</v>
      </c>
      <c r="AE134" s="181">
        <v>1.3</v>
      </c>
      <c r="AF134" s="181">
        <v>1.3</v>
      </c>
      <c r="AG134" s="101" t="str">
        <f t="shared" si="16"/>
        <v/>
      </c>
      <c r="AH134" s="190">
        <v>225</v>
      </c>
      <c r="AI134" s="69">
        <f t="shared" si="17"/>
        <v>274.45</v>
      </c>
    </row>
    <row r="135" spans="1:38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 t="s">
        <v>15</v>
      </c>
      <c r="I135" s="75">
        <v>3115.13</v>
      </c>
      <c r="J135" s="75">
        <v>137751.04999999999</v>
      </c>
      <c r="K135" s="91" t="s">
        <v>114</v>
      </c>
      <c r="L135" s="73"/>
      <c r="M135" s="46">
        <v>16.79</v>
      </c>
      <c r="N135" s="46">
        <v>0</v>
      </c>
      <c r="O135" s="46">
        <v>52303.03</v>
      </c>
      <c r="P135" s="98"/>
      <c r="Q135" s="23" t="s">
        <v>1426</v>
      </c>
      <c r="R135" s="24" t="s">
        <v>392</v>
      </c>
      <c r="S135" s="25" t="s">
        <v>23</v>
      </c>
      <c r="T135" s="26">
        <v>44.22</v>
      </c>
      <c r="U135" s="26">
        <v>44.22</v>
      </c>
      <c r="V135" s="26">
        <f t="shared" si="19"/>
        <v>3115.13</v>
      </c>
      <c r="W135" s="26">
        <f t="shared" si="23"/>
        <v>0</v>
      </c>
      <c r="X135" s="26">
        <f t="shared" si="24"/>
        <v>16.79</v>
      </c>
      <c r="Y135" s="26">
        <f t="shared" si="25"/>
        <v>0</v>
      </c>
      <c r="Z135" s="26">
        <f t="shared" si="14"/>
        <v>52303.03</v>
      </c>
      <c r="AA135" s="33" t="s">
        <v>15</v>
      </c>
      <c r="AB135" s="36" t="s">
        <v>16</v>
      </c>
      <c r="AC135" s="181">
        <f t="shared" si="15"/>
        <v>44.22</v>
      </c>
      <c r="AD135" s="181">
        <f t="shared" si="26"/>
        <v>137751.04999999999</v>
      </c>
      <c r="AE135" s="181">
        <v>1.3</v>
      </c>
      <c r="AF135" s="181">
        <v>1.3</v>
      </c>
      <c r="AG135" s="101" t="str">
        <f t="shared" si="16"/>
        <v/>
      </c>
      <c r="AH135" s="190">
        <v>16.79</v>
      </c>
      <c r="AI135" s="69">
        <f t="shared" si="17"/>
        <v>44.22</v>
      </c>
    </row>
    <row r="136" spans="1:38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 t="s">
        <v>15</v>
      </c>
      <c r="I136" s="75">
        <v>3321.13</v>
      </c>
      <c r="J136" s="75">
        <v>318728.84999999998</v>
      </c>
      <c r="K136" s="91" t="s">
        <v>117</v>
      </c>
      <c r="L136" s="73"/>
      <c r="M136" s="46">
        <v>26.5</v>
      </c>
      <c r="N136" s="46">
        <v>0</v>
      </c>
      <c r="O136" s="46">
        <v>88009.95</v>
      </c>
      <c r="P136" s="98"/>
      <c r="Q136" s="23" t="s">
        <v>1402</v>
      </c>
      <c r="R136" s="24" t="s">
        <v>116</v>
      </c>
      <c r="S136" s="25" t="s">
        <v>23</v>
      </c>
      <c r="T136" s="26">
        <v>95.97</v>
      </c>
      <c r="U136" s="26">
        <v>95.97</v>
      </c>
      <c r="V136" s="26">
        <f t="shared" si="19"/>
        <v>3321.13</v>
      </c>
      <c r="W136" s="128">
        <f t="shared" si="23"/>
        <v>0</v>
      </c>
      <c r="X136" s="26">
        <f t="shared" si="24"/>
        <v>26.5</v>
      </c>
      <c r="Y136" s="26">
        <f t="shared" si="25"/>
        <v>0</v>
      </c>
      <c r="Z136" s="26">
        <f t="shared" si="14"/>
        <v>88009.95</v>
      </c>
      <c r="AA136" s="33" t="s">
        <v>15</v>
      </c>
      <c r="AB136" s="36" t="s">
        <v>16</v>
      </c>
      <c r="AC136" s="181">
        <f t="shared" si="15"/>
        <v>95.97</v>
      </c>
      <c r="AD136" s="181">
        <f t="shared" si="26"/>
        <v>318728.84999999998</v>
      </c>
      <c r="AE136" s="181">
        <v>1.3</v>
      </c>
      <c r="AF136" s="181">
        <v>1.3</v>
      </c>
      <c r="AG136" s="101" t="str">
        <f t="shared" si="16"/>
        <v/>
      </c>
      <c r="AH136" s="191">
        <v>26.5</v>
      </c>
      <c r="AI136" s="69">
        <f t="shared" si="17"/>
        <v>95.97</v>
      </c>
    </row>
    <row r="137" spans="1:38" s="69" customFormat="1" ht="39" x14ac:dyDescent="0.3">
      <c r="A137" s="130" t="s">
        <v>394</v>
      </c>
      <c r="B137" s="131" t="s">
        <v>395</v>
      </c>
      <c r="C137" s="132" t="s">
        <v>23</v>
      </c>
      <c r="D137" s="133">
        <v>1216.8</v>
      </c>
      <c r="E137" s="75"/>
      <c r="F137" s="75"/>
      <c r="G137" s="75"/>
      <c r="H137" s="133">
        <v>709.04</v>
      </c>
      <c r="I137" s="75">
        <v>3643.73</v>
      </c>
      <c r="J137" s="75">
        <v>2583550.3199999998</v>
      </c>
      <c r="K137" s="91" t="s">
        <v>396</v>
      </c>
      <c r="L137" s="73"/>
      <c r="M137" s="46">
        <v>645.58000000000004</v>
      </c>
      <c r="N137" s="46">
        <v>0</v>
      </c>
      <c r="O137" s="46">
        <v>2352319.21</v>
      </c>
      <c r="P137" s="98"/>
      <c r="Q137" s="23" t="s">
        <v>1373</v>
      </c>
      <c r="R137" s="24" t="s">
        <v>395</v>
      </c>
      <c r="S137" s="25" t="s">
        <v>23</v>
      </c>
      <c r="T137" s="26">
        <v>1216.8</v>
      </c>
      <c r="U137" s="26">
        <v>709.04</v>
      </c>
      <c r="V137" s="26">
        <f t="shared" si="19"/>
        <v>3643.73</v>
      </c>
      <c r="W137" s="127">
        <f t="shared" si="23"/>
        <v>0</v>
      </c>
      <c r="X137" s="127">
        <f t="shared" si="24"/>
        <v>645.58000000000004</v>
      </c>
      <c r="Y137" s="127">
        <f t="shared" si="25"/>
        <v>0</v>
      </c>
      <c r="Z137" s="127">
        <f t="shared" si="14"/>
        <v>2352319.21</v>
      </c>
      <c r="AA137" s="33" t="s">
        <v>15</v>
      </c>
      <c r="AB137" s="36" t="s">
        <v>16</v>
      </c>
      <c r="AC137" s="181">
        <f t="shared" si="15"/>
        <v>709.04</v>
      </c>
      <c r="AD137" s="181">
        <f t="shared" si="26"/>
        <v>2583550.3199999998</v>
      </c>
      <c r="AE137" s="181">
        <v>1.3</v>
      </c>
      <c r="AF137" s="181">
        <v>1.3</v>
      </c>
      <c r="AG137" s="101" t="str">
        <f t="shared" si="16"/>
        <v/>
      </c>
      <c r="AH137" s="191">
        <v>645.58000000000004</v>
      </c>
      <c r="AI137" s="69">
        <f t="shared" si="17"/>
        <v>1216.8</v>
      </c>
      <c r="AL137" s="195">
        <v>388.56</v>
      </c>
    </row>
    <row r="138" spans="1:38" s="69" customFormat="1" ht="33" x14ac:dyDescent="0.3">
      <c r="A138" s="130" t="s">
        <v>397</v>
      </c>
      <c r="B138" s="122" t="s">
        <v>109</v>
      </c>
      <c r="C138" s="132" t="s">
        <v>110</v>
      </c>
      <c r="D138" s="133">
        <v>4788.7700000000004</v>
      </c>
      <c r="E138" s="75"/>
      <c r="F138" s="75"/>
      <c r="G138" s="75"/>
      <c r="H138" s="75" t="s">
        <v>15</v>
      </c>
      <c r="I138" s="75">
        <v>36.4</v>
      </c>
      <c r="J138" s="75">
        <v>174311.23</v>
      </c>
      <c r="K138" s="91" t="s">
        <v>111</v>
      </c>
      <c r="L138" s="73"/>
      <c r="M138" s="46">
        <v>4778</v>
      </c>
      <c r="N138" s="46">
        <v>0</v>
      </c>
      <c r="O138" s="46">
        <v>173919.2</v>
      </c>
      <c r="P138" s="98"/>
      <c r="Q138" s="23" t="s">
        <v>1393</v>
      </c>
      <c r="R138" s="24" t="s">
        <v>109</v>
      </c>
      <c r="S138" s="25" t="s">
        <v>110</v>
      </c>
      <c r="T138" s="26">
        <v>4788.7700000000004</v>
      </c>
      <c r="U138" s="26">
        <v>4788.7700000000004</v>
      </c>
      <c r="V138" s="26">
        <f t="shared" si="19"/>
        <v>36.4</v>
      </c>
      <c r="W138" s="127">
        <f t="shared" si="23"/>
        <v>0</v>
      </c>
      <c r="X138" s="127">
        <f t="shared" si="24"/>
        <v>4778</v>
      </c>
      <c r="Y138" s="127">
        <f t="shared" si="25"/>
        <v>0</v>
      </c>
      <c r="Z138" s="127">
        <f t="shared" si="14"/>
        <v>173919.2</v>
      </c>
      <c r="AA138" s="33" t="s">
        <v>15</v>
      </c>
      <c r="AB138" s="36" t="s">
        <v>16</v>
      </c>
      <c r="AC138" s="181">
        <f t="shared" si="15"/>
        <v>4788.7700000000004</v>
      </c>
      <c r="AD138" s="181">
        <f t="shared" si="26"/>
        <v>174311.23</v>
      </c>
      <c r="AE138" s="181">
        <v>1.3</v>
      </c>
      <c r="AF138" s="181">
        <v>1.3</v>
      </c>
      <c r="AG138" s="101" t="str">
        <f t="shared" si="16"/>
        <v/>
      </c>
      <c r="AH138" s="193">
        <v>4778</v>
      </c>
      <c r="AI138" s="69">
        <f t="shared" si="17"/>
        <v>4788.7700000000004</v>
      </c>
      <c r="AL138" s="195">
        <v>4788.7700000000004</v>
      </c>
    </row>
    <row r="139" spans="1:38" s="69" customFormat="1" ht="33" x14ac:dyDescent="0.3">
      <c r="A139" s="130" t="s">
        <v>398</v>
      </c>
      <c r="B139" s="122" t="s">
        <v>399</v>
      </c>
      <c r="C139" s="132" t="s">
        <v>110</v>
      </c>
      <c r="D139" s="133">
        <v>205535.32</v>
      </c>
      <c r="E139" s="75"/>
      <c r="F139" s="75"/>
      <c r="G139" s="75"/>
      <c r="H139" s="75" t="s">
        <v>15</v>
      </c>
      <c r="I139" s="75">
        <v>38.71</v>
      </c>
      <c r="J139" s="75">
        <v>7956272.2400000002</v>
      </c>
      <c r="K139" s="91" t="s">
        <v>400</v>
      </c>
      <c r="L139" s="73"/>
      <c r="M139" s="46">
        <v>202264.52</v>
      </c>
      <c r="N139" s="46">
        <v>0</v>
      </c>
      <c r="O139" s="46">
        <v>7829659.5700000003</v>
      </c>
      <c r="P139" s="98"/>
      <c r="Q139" s="23" t="s">
        <v>1403</v>
      </c>
      <c r="R139" s="24" t="s">
        <v>399</v>
      </c>
      <c r="S139" s="25" t="s">
        <v>110</v>
      </c>
      <c r="T139" s="26">
        <v>205535.32</v>
      </c>
      <c r="U139" s="26">
        <v>205535.32</v>
      </c>
      <c r="V139" s="26">
        <f t="shared" si="19"/>
        <v>38.71</v>
      </c>
      <c r="W139" s="127">
        <f t="shared" si="23"/>
        <v>0</v>
      </c>
      <c r="X139" s="127">
        <f t="shared" si="24"/>
        <v>202264.52</v>
      </c>
      <c r="Y139" s="127">
        <f t="shared" si="25"/>
        <v>0</v>
      </c>
      <c r="Z139" s="127">
        <f t="shared" ref="Z139:Z203" si="27">ROUND(V139*X139,2)</f>
        <v>7829659.5700000003</v>
      </c>
      <c r="AA139" s="33" t="s">
        <v>15</v>
      </c>
      <c r="AB139" s="36" t="s">
        <v>16</v>
      </c>
      <c r="AC139" s="181">
        <f t="shared" ref="AC139:AC202" si="28">IF(U139="",T139,U139)</f>
        <v>205535.32</v>
      </c>
      <c r="AD139" s="181">
        <f t="shared" si="26"/>
        <v>7956272.2400000002</v>
      </c>
      <c r="AE139" s="181">
        <v>1.3</v>
      </c>
      <c r="AF139" s="181">
        <v>1.3</v>
      </c>
      <c r="AG139" s="101" t="str">
        <f t="shared" ref="AG139:AG202" si="29">IF(X139&gt;AI139,"超估","")</f>
        <v/>
      </c>
      <c r="AH139" s="190">
        <v>202264.52</v>
      </c>
      <c r="AI139" s="69">
        <f t="shared" ref="AI139:AI202" si="30">IF(G139=0,IF(F139=0,IF(E139=0,D139,E139),F139),G139)</f>
        <v>205535.32</v>
      </c>
      <c r="AL139" s="195">
        <v>72641</v>
      </c>
    </row>
    <row r="140" spans="1:38" s="69" customFormat="1" ht="33" x14ac:dyDescent="0.3">
      <c r="A140" s="130" t="s">
        <v>401</v>
      </c>
      <c r="B140" s="131" t="s">
        <v>402</v>
      </c>
      <c r="C140" s="132" t="s">
        <v>50</v>
      </c>
      <c r="D140" s="133">
        <v>320.89999999999998</v>
      </c>
      <c r="E140" s="75"/>
      <c r="F140" s="75"/>
      <c r="G140" s="75"/>
      <c r="H140" s="133">
        <v>351.33</v>
      </c>
      <c r="I140" s="75">
        <v>1154.98</v>
      </c>
      <c r="J140" s="75">
        <v>405779.12</v>
      </c>
      <c r="K140" s="91" t="s">
        <v>403</v>
      </c>
      <c r="L140" s="73"/>
      <c r="M140" s="46">
        <v>320.08999999999997</v>
      </c>
      <c r="N140" s="46">
        <v>0</v>
      </c>
      <c r="O140" s="46">
        <v>369697.55</v>
      </c>
      <c r="P140" s="98"/>
      <c r="Q140" s="23" t="s">
        <v>1427</v>
      </c>
      <c r="R140" s="24" t="s">
        <v>402</v>
      </c>
      <c r="S140" s="25" t="s">
        <v>50</v>
      </c>
      <c r="T140" s="26">
        <v>320.89999999999998</v>
      </c>
      <c r="U140" s="26">
        <v>351.33</v>
      </c>
      <c r="V140" s="26">
        <f t="shared" si="19"/>
        <v>1154.98</v>
      </c>
      <c r="W140" s="127">
        <f t="shared" si="23"/>
        <v>0</v>
      </c>
      <c r="X140" s="127">
        <f t="shared" si="24"/>
        <v>320.08999999999997</v>
      </c>
      <c r="Y140" s="127">
        <f t="shared" si="25"/>
        <v>0</v>
      </c>
      <c r="Z140" s="127">
        <f t="shared" si="27"/>
        <v>369697.55</v>
      </c>
      <c r="AA140" s="33" t="s">
        <v>15</v>
      </c>
      <c r="AB140" s="36" t="s">
        <v>16</v>
      </c>
      <c r="AC140" s="181">
        <f t="shared" si="28"/>
        <v>351.33</v>
      </c>
      <c r="AD140" s="181">
        <f t="shared" si="26"/>
        <v>405779.12</v>
      </c>
      <c r="AE140" s="181">
        <v>1.3</v>
      </c>
      <c r="AF140" s="181">
        <v>1.3</v>
      </c>
      <c r="AG140" s="101" t="str">
        <f t="shared" si="29"/>
        <v/>
      </c>
      <c r="AH140" s="191">
        <v>320.08999999999997</v>
      </c>
      <c r="AI140" s="69">
        <f t="shared" si="30"/>
        <v>320.89999999999998</v>
      </c>
      <c r="AL140" s="195">
        <v>351.34</v>
      </c>
    </row>
    <row r="141" spans="1:38" s="69" customFormat="1" ht="57.75" x14ac:dyDescent="0.3">
      <c r="A141" s="130" t="s">
        <v>404</v>
      </c>
      <c r="B141" s="131" t="s">
        <v>405</v>
      </c>
      <c r="C141" s="132" t="s">
        <v>50</v>
      </c>
      <c r="D141" s="133">
        <v>493.85</v>
      </c>
      <c r="E141" s="203"/>
      <c r="F141" s="203"/>
      <c r="G141" s="203"/>
      <c r="H141" s="133">
        <v>574.89</v>
      </c>
      <c r="I141" s="75">
        <v>982.98</v>
      </c>
      <c r="J141" s="75">
        <v>565105.37</v>
      </c>
      <c r="K141" s="91" t="s">
        <v>406</v>
      </c>
      <c r="L141" s="73"/>
      <c r="M141" s="46">
        <v>493.85</v>
      </c>
      <c r="N141" s="46">
        <v>0</v>
      </c>
      <c r="O141" s="46">
        <v>485444.67</v>
      </c>
      <c r="P141" s="98"/>
      <c r="Q141" s="23" t="s">
        <v>1428</v>
      </c>
      <c r="R141" s="24" t="s">
        <v>405</v>
      </c>
      <c r="S141" s="25" t="s">
        <v>50</v>
      </c>
      <c r="T141" s="26">
        <v>493.85</v>
      </c>
      <c r="U141" s="26">
        <v>574.89</v>
      </c>
      <c r="V141" s="26">
        <f t="shared" si="19"/>
        <v>982.98</v>
      </c>
      <c r="W141" s="127">
        <f t="shared" si="23"/>
        <v>0</v>
      </c>
      <c r="X141" s="127">
        <f t="shared" si="24"/>
        <v>493.85</v>
      </c>
      <c r="Y141" s="127">
        <f t="shared" si="25"/>
        <v>0</v>
      </c>
      <c r="Z141" s="127">
        <f t="shared" si="27"/>
        <v>485444.67</v>
      </c>
      <c r="AA141" s="33" t="s">
        <v>15</v>
      </c>
      <c r="AB141" s="36" t="s">
        <v>16</v>
      </c>
      <c r="AC141" s="181">
        <f t="shared" si="28"/>
        <v>574.89</v>
      </c>
      <c r="AD141" s="181">
        <f t="shared" si="26"/>
        <v>565105.37</v>
      </c>
      <c r="AE141" s="181">
        <v>1.3</v>
      </c>
      <c r="AF141" s="181">
        <v>1.3</v>
      </c>
      <c r="AG141" s="101" t="str">
        <f t="shared" si="29"/>
        <v/>
      </c>
      <c r="AH141" s="192">
        <v>493.85</v>
      </c>
      <c r="AI141" s="69">
        <f t="shared" si="30"/>
        <v>493.85</v>
      </c>
      <c r="AL141" s="195">
        <v>574.89200000000017</v>
      </c>
    </row>
    <row r="142" spans="1:38" s="69" customFormat="1" ht="41.25" x14ac:dyDescent="0.3">
      <c r="A142" s="130" t="s">
        <v>407</v>
      </c>
      <c r="B142" s="131" t="s">
        <v>408</v>
      </c>
      <c r="C142" s="132" t="s">
        <v>50</v>
      </c>
      <c r="D142" s="133">
        <v>126.48</v>
      </c>
      <c r="E142" s="203"/>
      <c r="F142" s="203"/>
      <c r="G142" s="203"/>
      <c r="H142" s="133">
        <v>138</v>
      </c>
      <c r="I142" s="75">
        <v>804.79</v>
      </c>
      <c r="J142" s="75">
        <v>111061.02</v>
      </c>
      <c r="K142" s="91" t="s">
        <v>409</v>
      </c>
      <c r="L142" s="73"/>
      <c r="M142" s="46">
        <v>126.48</v>
      </c>
      <c r="N142" s="46">
        <v>0</v>
      </c>
      <c r="O142" s="46">
        <v>101789.84</v>
      </c>
      <c r="P142" s="98"/>
      <c r="Q142" s="23" t="s">
        <v>1387</v>
      </c>
      <c r="R142" s="24" t="s">
        <v>408</v>
      </c>
      <c r="S142" s="25" t="s">
        <v>50</v>
      </c>
      <c r="T142" s="26">
        <v>126.48</v>
      </c>
      <c r="U142" s="26">
        <v>138</v>
      </c>
      <c r="V142" s="26">
        <f t="shared" si="19"/>
        <v>804.79</v>
      </c>
      <c r="W142" s="127">
        <f t="shared" si="23"/>
        <v>0</v>
      </c>
      <c r="X142" s="127">
        <f t="shared" si="24"/>
        <v>126.48</v>
      </c>
      <c r="Y142" s="127">
        <f t="shared" si="25"/>
        <v>0</v>
      </c>
      <c r="Z142" s="127">
        <f t="shared" si="27"/>
        <v>101789.84</v>
      </c>
      <c r="AA142" s="33" t="s">
        <v>15</v>
      </c>
      <c r="AB142" s="36" t="s">
        <v>16</v>
      </c>
      <c r="AC142" s="181">
        <f t="shared" si="28"/>
        <v>138</v>
      </c>
      <c r="AD142" s="181">
        <f t="shared" si="26"/>
        <v>111061.02</v>
      </c>
      <c r="AE142" s="181">
        <v>1.3</v>
      </c>
      <c r="AF142" s="181">
        <v>1.3</v>
      </c>
      <c r="AG142" s="101" t="str">
        <f t="shared" si="29"/>
        <v/>
      </c>
      <c r="AH142" s="192">
        <v>126.48</v>
      </c>
      <c r="AI142" s="69">
        <f t="shared" si="30"/>
        <v>126.48</v>
      </c>
      <c r="AL142" s="195">
        <v>120</v>
      </c>
    </row>
    <row r="143" spans="1:38" s="69" customFormat="1" ht="33" x14ac:dyDescent="0.3">
      <c r="A143" s="55" t="s">
        <v>410</v>
      </c>
      <c r="B143" s="53" t="s">
        <v>411</v>
      </c>
      <c r="C143" s="54" t="s">
        <v>412</v>
      </c>
      <c r="D143" s="75">
        <v>12205</v>
      </c>
      <c r="E143" s="75"/>
      <c r="F143" s="75"/>
      <c r="G143" s="75"/>
      <c r="H143" s="75" t="s">
        <v>15</v>
      </c>
      <c r="I143" s="75">
        <v>75</v>
      </c>
      <c r="J143" s="75">
        <v>915375</v>
      </c>
      <c r="K143" s="91" t="s">
        <v>413</v>
      </c>
      <c r="L143" s="73"/>
      <c r="M143" s="46">
        <v>0</v>
      </c>
      <c r="N143" s="46">
        <v>0</v>
      </c>
      <c r="O143" s="46">
        <v>0</v>
      </c>
      <c r="P143" s="98"/>
      <c r="Q143" s="23" t="s">
        <v>1405</v>
      </c>
      <c r="R143" s="24" t="s">
        <v>411</v>
      </c>
      <c r="S143" s="25" t="s">
        <v>412</v>
      </c>
      <c r="T143" s="26">
        <v>12205</v>
      </c>
      <c r="U143" s="26">
        <v>12205</v>
      </c>
      <c r="V143" s="26">
        <f t="shared" si="19"/>
        <v>75</v>
      </c>
      <c r="W143" s="128">
        <f t="shared" si="23"/>
        <v>0</v>
      </c>
      <c r="X143" s="26">
        <f t="shared" si="24"/>
        <v>0</v>
      </c>
      <c r="Y143" s="26">
        <f t="shared" si="25"/>
        <v>0</v>
      </c>
      <c r="Z143" s="26">
        <f t="shared" si="27"/>
        <v>0</v>
      </c>
      <c r="AA143" s="33" t="s">
        <v>15</v>
      </c>
      <c r="AB143" s="36" t="s">
        <v>16</v>
      </c>
      <c r="AC143" s="181">
        <f t="shared" si="28"/>
        <v>12205</v>
      </c>
      <c r="AD143" s="181">
        <f t="shared" si="26"/>
        <v>915375</v>
      </c>
      <c r="AE143" s="181">
        <v>1.3</v>
      </c>
      <c r="AF143" s="181">
        <v>1.3</v>
      </c>
      <c r="AG143" s="101" t="str">
        <f t="shared" si="29"/>
        <v/>
      </c>
      <c r="AH143" s="191">
        <v>0</v>
      </c>
      <c r="AI143" s="69">
        <f t="shared" si="30"/>
        <v>12205</v>
      </c>
    </row>
    <row r="144" spans="1:38" s="69" customFormat="1" ht="33" x14ac:dyDescent="0.3">
      <c r="A144" s="55" t="s">
        <v>414</v>
      </c>
      <c r="B144" s="53" t="s">
        <v>125</v>
      </c>
      <c r="C144" s="54" t="s">
        <v>110</v>
      </c>
      <c r="D144" s="75">
        <v>8317</v>
      </c>
      <c r="E144" s="75"/>
      <c r="F144" s="75"/>
      <c r="G144" s="75"/>
      <c r="H144" s="75" t="s">
        <v>15</v>
      </c>
      <c r="I144" s="75">
        <v>60</v>
      </c>
      <c r="J144" s="75">
        <v>499020</v>
      </c>
      <c r="K144" s="91" t="s">
        <v>126</v>
      </c>
      <c r="L144" s="73"/>
      <c r="M144" s="46">
        <v>5520</v>
      </c>
      <c r="N144" s="46">
        <v>0</v>
      </c>
      <c r="O144" s="46">
        <v>331200</v>
      </c>
      <c r="P144" s="98"/>
      <c r="Q144" s="23" t="s">
        <v>1406</v>
      </c>
      <c r="R144" s="24" t="s">
        <v>125</v>
      </c>
      <c r="S144" s="25" t="s">
        <v>110</v>
      </c>
      <c r="T144" s="26">
        <v>8317</v>
      </c>
      <c r="U144" s="26">
        <v>8317</v>
      </c>
      <c r="V144" s="26">
        <f t="shared" si="19"/>
        <v>60</v>
      </c>
      <c r="W144" s="128">
        <f t="shared" si="23"/>
        <v>0</v>
      </c>
      <c r="X144" s="26">
        <f t="shared" si="24"/>
        <v>5520</v>
      </c>
      <c r="Y144" s="26">
        <f t="shared" si="25"/>
        <v>0</v>
      </c>
      <c r="Z144" s="26">
        <f t="shared" si="27"/>
        <v>331200</v>
      </c>
      <c r="AA144" s="33" t="s">
        <v>15</v>
      </c>
      <c r="AB144" s="36" t="s">
        <v>16</v>
      </c>
      <c r="AC144" s="181">
        <f t="shared" si="28"/>
        <v>8317</v>
      </c>
      <c r="AD144" s="181">
        <f t="shared" si="26"/>
        <v>499020</v>
      </c>
      <c r="AE144" s="181">
        <v>1.3</v>
      </c>
      <c r="AF144" s="181">
        <v>1.3</v>
      </c>
      <c r="AG144" s="101" t="str">
        <f t="shared" si="29"/>
        <v/>
      </c>
      <c r="AH144" s="191">
        <v>5520</v>
      </c>
      <c r="AI144" s="69">
        <f t="shared" si="30"/>
        <v>8317</v>
      </c>
    </row>
    <row r="145" spans="1:35" s="69" customFormat="1" ht="39" x14ac:dyDescent="0.3">
      <c r="A145" s="55" t="s">
        <v>415</v>
      </c>
      <c r="B145" s="53" t="s">
        <v>3147</v>
      </c>
      <c r="C145" s="54" t="s">
        <v>110</v>
      </c>
      <c r="D145" s="75">
        <v>8317</v>
      </c>
      <c r="E145" s="75"/>
      <c r="F145" s="75"/>
      <c r="G145" s="75"/>
      <c r="H145" s="75" t="s">
        <v>15</v>
      </c>
      <c r="I145" s="75">
        <v>31.9</v>
      </c>
      <c r="J145" s="75">
        <v>265312.3</v>
      </c>
      <c r="K145" s="91" t="s">
        <v>3148</v>
      </c>
      <c r="L145" s="73"/>
      <c r="M145" s="46">
        <v>5520</v>
      </c>
      <c r="N145" s="46">
        <v>0</v>
      </c>
      <c r="O145" s="46">
        <v>176088</v>
      </c>
      <c r="P145" s="98"/>
      <c r="Q145" s="23" t="s">
        <v>1414</v>
      </c>
      <c r="R145" s="24" t="s">
        <v>128</v>
      </c>
      <c r="S145" s="25" t="s">
        <v>110</v>
      </c>
      <c r="T145" s="26">
        <v>8317</v>
      </c>
      <c r="U145" s="26">
        <v>8317</v>
      </c>
      <c r="V145" s="26">
        <f t="shared" si="19"/>
        <v>31.9</v>
      </c>
      <c r="W145" s="128">
        <f t="shared" si="23"/>
        <v>0</v>
      </c>
      <c r="X145" s="26">
        <f t="shared" si="24"/>
        <v>5520</v>
      </c>
      <c r="Y145" s="26">
        <f t="shared" si="25"/>
        <v>0</v>
      </c>
      <c r="Z145" s="26">
        <f t="shared" si="27"/>
        <v>176088</v>
      </c>
      <c r="AA145" s="33" t="s">
        <v>15</v>
      </c>
      <c r="AB145" s="36" t="s">
        <v>16</v>
      </c>
      <c r="AC145" s="181">
        <f t="shared" si="28"/>
        <v>8317</v>
      </c>
      <c r="AD145" s="181">
        <f t="shared" si="26"/>
        <v>265312.3</v>
      </c>
      <c r="AE145" s="181">
        <v>1.3</v>
      </c>
      <c r="AF145" s="181">
        <v>1.3</v>
      </c>
      <c r="AG145" s="101" t="str">
        <f t="shared" si="29"/>
        <v/>
      </c>
      <c r="AH145" s="191">
        <v>5520</v>
      </c>
      <c r="AI145" s="69">
        <f t="shared" si="30"/>
        <v>8317</v>
      </c>
    </row>
    <row r="146" spans="1:35" s="69" customFormat="1" ht="39" x14ac:dyDescent="0.3">
      <c r="A146" s="55" t="s">
        <v>416</v>
      </c>
      <c r="B146" s="53" t="s">
        <v>417</v>
      </c>
      <c r="C146" s="54" t="s">
        <v>110</v>
      </c>
      <c r="D146" s="75">
        <v>1087</v>
      </c>
      <c r="E146" s="75"/>
      <c r="F146" s="75"/>
      <c r="G146" s="75"/>
      <c r="H146" s="75" t="s">
        <v>15</v>
      </c>
      <c r="I146" s="75">
        <v>278.10000000000002</v>
      </c>
      <c r="J146" s="75">
        <v>302294.7</v>
      </c>
      <c r="K146" s="91" t="s">
        <v>418</v>
      </c>
      <c r="L146" s="73"/>
      <c r="M146" s="46">
        <v>0</v>
      </c>
      <c r="N146" s="46">
        <v>0</v>
      </c>
      <c r="O146" s="46">
        <v>0</v>
      </c>
      <c r="P146" s="98"/>
      <c r="Q146" s="23" t="s">
        <v>1429</v>
      </c>
      <c r="R146" s="24" t="s">
        <v>417</v>
      </c>
      <c r="S146" s="25" t="s">
        <v>110</v>
      </c>
      <c r="T146" s="26">
        <v>1087</v>
      </c>
      <c r="U146" s="26">
        <v>1087</v>
      </c>
      <c r="V146" s="26">
        <f t="shared" si="19"/>
        <v>278.10000000000002</v>
      </c>
      <c r="W146" s="128">
        <f t="shared" si="23"/>
        <v>0</v>
      </c>
      <c r="X146" s="26">
        <f t="shared" si="24"/>
        <v>0</v>
      </c>
      <c r="Y146" s="26">
        <f t="shared" si="25"/>
        <v>0</v>
      </c>
      <c r="Z146" s="26">
        <f t="shared" si="27"/>
        <v>0</v>
      </c>
      <c r="AA146" s="33" t="s">
        <v>15</v>
      </c>
      <c r="AB146" s="36" t="s">
        <v>16</v>
      </c>
      <c r="AC146" s="181">
        <f t="shared" si="28"/>
        <v>1087</v>
      </c>
      <c r="AD146" s="181">
        <f t="shared" si="26"/>
        <v>302294.7</v>
      </c>
      <c r="AE146" s="181">
        <v>1.3</v>
      </c>
      <c r="AF146" s="181">
        <v>1.3</v>
      </c>
      <c r="AG146" s="101" t="str">
        <f t="shared" si="29"/>
        <v/>
      </c>
      <c r="AH146" s="191">
        <v>0</v>
      </c>
      <c r="AI146" s="69">
        <f t="shared" si="30"/>
        <v>1087</v>
      </c>
    </row>
    <row r="147" spans="1:35" s="69" customFormat="1" ht="58.5" x14ac:dyDescent="0.3">
      <c r="A147" s="55" t="s">
        <v>419</v>
      </c>
      <c r="B147" s="53" t="s">
        <v>420</v>
      </c>
      <c r="C147" s="54" t="s">
        <v>50</v>
      </c>
      <c r="D147" s="75">
        <v>172</v>
      </c>
      <c r="E147" s="75"/>
      <c r="F147" s="75"/>
      <c r="G147" s="75"/>
      <c r="H147" s="75" t="s">
        <v>15</v>
      </c>
      <c r="I147" s="75">
        <v>1400</v>
      </c>
      <c r="J147" s="75">
        <v>240800</v>
      </c>
      <c r="K147" s="91" t="s">
        <v>421</v>
      </c>
      <c r="L147" s="73"/>
      <c r="M147" s="46">
        <v>0</v>
      </c>
      <c r="N147" s="46">
        <v>0</v>
      </c>
      <c r="O147" s="46">
        <v>0</v>
      </c>
      <c r="P147" s="98"/>
      <c r="Q147" s="23" t="s">
        <v>1430</v>
      </c>
      <c r="R147" s="24" t="s">
        <v>420</v>
      </c>
      <c r="S147" s="25" t="s">
        <v>50</v>
      </c>
      <c r="T147" s="26">
        <v>172</v>
      </c>
      <c r="U147" s="26">
        <v>172</v>
      </c>
      <c r="V147" s="26">
        <f t="shared" si="19"/>
        <v>1400</v>
      </c>
      <c r="W147" s="26">
        <f t="shared" si="23"/>
        <v>0</v>
      </c>
      <c r="X147" s="26">
        <f t="shared" si="24"/>
        <v>0</v>
      </c>
      <c r="Y147" s="26">
        <f t="shared" si="25"/>
        <v>0</v>
      </c>
      <c r="Z147" s="26">
        <f t="shared" si="27"/>
        <v>0</v>
      </c>
      <c r="AA147" s="33" t="s">
        <v>15</v>
      </c>
      <c r="AB147" s="36" t="s">
        <v>16</v>
      </c>
      <c r="AC147" s="181">
        <f t="shared" si="28"/>
        <v>172</v>
      </c>
      <c r="AD147" s="181">
        <f t="shared" si="26"/>
        <v>240800</v>
      </c>
      <c r="AE147" s="181">
        <v>1.3</v>
      </c>
      <c r="AF147" s="181">
        <v>1.3</v>
      </c>
      <c r="AG147" s="101" t="str">
        <f t="shared" si="29"/>
        <v/>
      </c>
      <c r="AH147" s="190">
        <v>0</v>
      </c>
      <c r="AI147" s="69">
        <f t="shared" si="30"/>
        <v>172</v>
      </c>
    </row>
    <row r="148" spans="1:35" s="69" customFormat="1" ht="97.5" x14ac:dyDescent="0.3">
      <c r="A148" s="130" t="s">
        <v>422</v>
      </c>
      <c r="B148" s="131" t="s">
        <v>3070</v>
      </c>
      <c r="C148" s="132" t="s">
        <v>110</v>
      </c>
      <c r="D148" s="133">
        <v>150400</v>
      </c>
      <c r="E148" s="75"/>
      <c r="F148" s="75"/>
      <c r="G148" s="75"/>
      <c r="H148" s="75">
        <v>154935.98000000001</v>
      </c>
      <c r="I148" s="75">
        <v>107.31</v>
      </c>
      <c r="J148" s="75">
        <v>16626180.01</v>
      </c>
      <c r="K148" s="91" t="s">
        <v>132</v>
      </c>
      <c r="L148" s="73"/>
      <c r="M148" s="46">
        <v>150350.57999999999</v>
      </c>
      <c r="N148" s="46">
        <v>0</v>
      </c>
      <c r="O148" s="46">
        <v>16134120.74</v>
      </c>
      <c r="P148" s="98"/>
      <c r="Q148" s="23" t="s">
        <v>1431</v>
      </c>
      <c r="R148" s="24" t="s">
        <v>131</v>
      </c>
      <c r="S148" s="25" t="s">
        <v>110</v>
      </c>
      <c r="T148" s="26">
        <v>150400</v>
      </c>
      <c r="U148" s="26">
        <v>154935.98000000001</v>
      </c>
      <c r="V148" s="26">
        <f t="shared" si="19"/>
        <v>107.31</v>
      </c>
      <c r="W148" s="127">
        <f t="shared" si="23"/>
        <v>0</v>
      </c>
      <c r="X148" s="127">
        <f t="shared" si="24"/>
        <v>150350.57999999999</v>
      </c>
      <c r="Y148" s="127">
        <f t="shared" si="25"/>
        <v>0</v>
      </c>
      <c r="Z148" s="127">
        <f t="shared" si="27"/>
        <v>16134120.74</v>
      </c>
      <c r="AA148" s="33" t="s">
        <v>15</v>
      </c>
      <c r="AB148" s="36" t="s">
        <v>16</v>
      </c>
      <c r="AC148" s="181">
        <f t="shared" si="28"/>
        <v>154935.98000000001</v>
      </c>
      <c r="AD148" s="181">
        <f t="shared" si="26"/>
        <v>16626180.01</v>
      </c>
      <c r="AE148" s="181">
        <v>1.3</v>
      </c>
      <c r="AF148" s="181">
        <v>1.3</v>
      </c>
      <c r="AG148" s="101" t="str">
        <f t="shared" si="29"/>
        <v/>
      </c>
      <c r="AH148" s="191">
        <v>150350.57999999999</v>
      </c>
      <c r="AI148" s="69">
        <f t="shared" si="30"/>
        <v>150400</v>
      </c>
    </row>
    <row r="149" spans="1:35" s="69" customFormat="1" ht="39" x14ac:dyDescent="0.3">
      <c r="A149" s="130" t="s">
        <v>423</v>
      </c>
      <c r="B149" s="131" t="s">
        <v>424</v>
      </c>
      <c r="C149" s="132" t="s">
        <v>50</v>
      </c>
      <c r="D149" s="133">
        <v>1140.1600000000001</v>
      </c>
      <c r="E149" s="75"/>
      <c r="F149" s="75"/>
      <c r="G149" s="75"/>
      <c r="H149" s="75" t="s">
        <v>15</v>
      </c>
      <c r="I149" s="75">
        <v>692.16</v>
      </c>
      <c r="J149" s="75">
        <v>789173.15</v>
      </c>
      <c r="K149" s="91" t="s">
        <v>425</v>
      </c>
      <c r="L149" s="73"/>
      <c r="M149" s="46">
        <v>1139.5999999999999</v>
      </c>
      <c r="N149" s="46">
        <v>0</v>
      </c>
      <c r="O149" s="46">
        <v>788785.54</v>
      </c>
      <c r="P149" s="98"/>
      <c r="Q149" s="23" t="s">
        <v>1395</v>
      </c>
      <c r="R149" s="24" t="s">
        <v>424</v>
      </c>
      <c r="S149" s="25" t="s">
        <v>50</v>
      </c>
      <c r="T149" s="26">
        <v>1140.1600000000001</v>
      </c>
      <c r="U149" s="26">
        <v>1140.1600000000001</v>
      </c>
      <c r="V149" s="26">
        <f t="shared" si="19"/>
        <v>692.16</v>
      </c>
      <c r="W149" s="127">
        <f t="shared" si="23"/>
        <v>0</v>
      </c>
      <c r="X149" s="127">
        <f t="shared" si="24"/>
        <v>1139.5999999999999</v>
      </c>
      <c r="Y149" s="127">
        <f t="shared" si="25"/>
        <v>0</v>
      </c>
      <c r="Z149" s="127">
        <f t="shared" si="27"/>
        <v>788785.54</v>
      </c>
      <c r="AA149" s="33" t="s">
        <v>15</v>
      </c>
      <c r="AB149" s="36" t="s">
        <v>16</v>
      </c>
      <c r="AC149" s="181">
        <f t="shared" si="28"/>
        <v>1140.1600000000001</v>
      </c>
      <c r="AD149" s="181">
        <f t="shared" si="26"/>
        <v>789173.15</v>
      </c>
      <c r="AE149" s="181">
        <v>1.3</v>
      </c>
      <c r="AF149" s="181">
        <v>1.3</v>
      </c>
      <c r="AG149" s="101" t="str">
        <f t="shared" si="29"/>
        <v/>
      </c>
      <c r="AH149" s="191">
        <v>1139.5999999999999</v>
      </c>
      <c r="AI149" s="69">
        <f t="shared" si="30"/>
        <v>1140.1600000000001</v>
      </c>
    </row>
    <row r="150" spans="1:35" s="69" customFormat="1" ht="58.5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203"/>
      <c r="F150" s="203"/>
      <c r="G150" s="203"/>
      <c r="H150" s="203" t="s">
        <v>15</v>
      </c>
      <c r="I150" s="75">
        <v>48.28</v>
      </c>
      <c r="J150" s="75">
        <v>25472.05</v>
      </c>
      <c r="K150" s="91" t="s">
        <v>35</v>
      </c>
      <c r="L150" s="73"/>
      <c r="M150" s="46">
        <v>527.59</v>
      </c>
      <c r="N150" s="46">
        <v>0</v>
      </c>
      <c r="O150" s="46">
        <v>25472.05</v>
      </c>
      <c r="P150" s="98"/>
      <c r="Q150" s="23" t="s">
        <v>1432</v>
      </c>
      <c r="R150" s="24" t="s">
        <v>33</v>
      </c>
      <c r="S150" s="25" t="s">
        <v>34</v>
      </c>
      <c r="T150" s="26">
        <v>527.59</v>
      </c>
      <c r="U150" s="26">
        <v>527.59</v>
      </c>
      <c r="V150" s="26">
        <f t="shared" si="19"/>
        <v>48.28</v>
      </c>
      <c r="W150" s="127">
        <f t="shared" si="23"/>
        <v>0</v>
      </c>
      <c r="X150" s="127">
        <f t="shared" si="24"/>
        <v>527.59</v>
      </c>
      <c r="Y150" s="127">
        <f t="shared" si="25"/>
        <v>0</v>
      </c>
      <c r="Z150" s="127">
        <f t="shared" si="27"/>
        <v>25472.05</v>
      </c>
      <c r="AA150" s="33" t="s">
        <v>15</v>
      </c>
      <c r="AB150" s="36" t="s">
        <v>16</v>
      </c>
      <c r="AC150" s="181">
        <f t="shared" si="28"/>
        <v>527.59</v>
      </c>
      <c r="AD150" s="181">
        <f t="shared" si="26"/>
        <v>25472.05</v>
      </c>
      <c r="AE150" s="181">
        <v>1.3</v>
      </c>
      <c r="AF150" s="181">
        <v>1.3</v>
      </c>
      <c r="AG150" s="101" t="str">
        <f t="shared" si="29"/>
        <v/>
      </c>
      <c r="AH150" s="190">
        <v>527.59</v>
      </c>
      <c r="AI150" s="69">
        <f t="shared" si="30"/>
        <v>527.59</v>
      </c>
    </row>
    <row r="151" spans="1:35" s="69" customFormat="1" ht="58.5" x14ac:dyDescent="0.3">
      <c r="A151" s="130" t="s">
        <v>427</v>
      </c>
      <c r="B151" s="131" t="s">
        <v>428</v>
      </c>
      <c r="C151" s="132" t="s">
        <v>34</v>
      </c>
      <c r="D151" s="133">
        <v>355.42</v>
      </c>
      <c r="E151" s="203"/>
      <c r="F151" s="203"/>
      <c r="G151" s="203"/>
      <c r="H151" s="203" t="s">
        <v>15</v>
      </c>
      <c r="I151" s="75">
        <v>721.06</v>
      </c>
      <c r="J151" s="75">
        <v>256279.15</v>
      </c>
      <c r="K151" s="91" t="s">
        <v>429</v>
      </c>
      <c r="L151" s="73"/>
      <c r="M151" s="46">
        <v>0</v>
      </c>
      <c r="N151" s="46">
        <v>0</v>
      </c>
      <c r="O151" s="46">
        <v>0</v>
      </c>
      <c r="P151" s="98"/>
      <c r="Q151" s="23" t="s">
        <v>1433</v>
      </c>
      <c r="R151" s="24" t="s">
        <v>428</v>
      </c>
      <c r="S151" s="25" t="s">
        <v>34</v>
      </c>
      <c r="T151" s="26">
        <v>355.42</v>
      </c>
      <c r="U151" s="26">
        <v>355.42</v>
      </c>
      <c r="V151" s="26">
        <f t="shared" si="19"/>
        <v>721.06</v>
      </c>
      <c r="W151" s="127">
        <f t="shared" si="23"/>
        <v>0</v>
      </c>
      <c r="X151" s="127">
        <f t="shared" si="24"/>
        <v>0</v>
      </c>
      <c r="Y151" s="127">
        <f t="shared" si="25"/>
        <v>0</v>
      </c>
      <c r="Z151" s="127">
        <f t="shared" si="27"/>
        <v>0</v>
      </c>
      <c r="AA151" s="33" t="s">
        <v>15</v>
      </c>
      <c r="AB151" s="36" t="s">
        <v>16</v>
      </c>
      <c r="AC151" s="181">
        <f t="shared" si="28"/>
        <v>355.42</v>
      </c>
      <c r="AD151" s="181">
        <f t="shared" si="26"/>
        <v>256279.15</v>
      </c>
      <c r="AE151" s="181">
        <v>1.3</v>
      </c>
      <c r="AF151" s="181">
        <v>1.3</v>
      </c>
      <c r="AG151" s="101" t="str">
        <f t="shared" si="29"/>
        <v/>
      </c>
      <c r="AH151" s="190">
        <v>0</v>
      </c>
      <c r="AI151" s="69">
        <f t="shared" si="30"/>
        <v>355.42</v>
      </c>
    </row>
    <row r="152" spans="1:35" s="69" customFormat="1" ht="33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203" t="s">
        <v>15</v>
      </c>
      <c r="I152" s="75">
        <v>28</v>
      </c>
      <c r="J152" s="75">
        <v>914900</v>
      </c>
      <c r="K152" s="91" t="s">
        <v>432</v>
      </c>
      <c r="L152" s="73"/>
      <c r="M152" s="46">
        <v>22573</v>
      </c>
      <c r="N152" s="46">
        <v>0</v>
      </c>
      <c r="O152" s="46">
        <v>632044</v>
      </c>
      <c r="P152" s="98"/>
      <c r="Q152" s="23" t="s">
        <v>1382</v>
      </c>
      <c r="R152" s="24" t="s">
        <v>431</v>
      </c>
      <c r="S152" s="25" t="s">
        <v>50</v>
      </c>
      <c r="T152" s="26">
        <v>272</v>
      </c>
      <c r="U152" s="26">
        <v>32675</v>
      </c>
      <c r="V152" s="26">
        <f t="shared" si="19"/>
        <v>28</v>
      </c>
      <c r="W152" s="243">
        <f t="shared" si="23"/>
        <v>928</v>
      </c>
      <c r="X152" s="26">
        <f t="shared" si="24"/>
        <v>23501</v>
      </c>
      <c r="Y152" s="26">
        <f t="shared" si="25"/>
        <v>25984</v>
      </c>
      <c r="Z152" s="26">
        <f t="shared" si="27"/>
        <v>658028</v>
      </c>
      <c r="AA152" s="27" t="s">
        <v>15</v>
      </c>
      <c r="AB152" s="36" t="s">
        <v>16</v>
      </c>
      <c r="AC152" s="181">
        <f t="shared" si="28"/>
        <v>32675</v>
      </c>
      <c r="AD152" s="181">
        <f t="shared" si="26"/>
        <v>914900</v>
      </c>
      <c r="AE152" s="181">
        <v>1.3</v>
      </c>
      <c r="AF152" s="181">
        <v>1.3</v>
      </c>
      <c r="AG152" s="101" t="str">
        <f t="shared" si="29"/>
        <v/>
      </c>
      <c r="AH152" s="191">
        <f>22573+928</f>
        <v>23501</v>
      </c>
      <c r="AI152" s="69">
        <f t="shared" si="30"/>
        <v>32675</v>
      </c>
    </row>
    <row r="153" spans="1:35" s="69" customFormat="1" ht="39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203"/>
      <c r="F153" s="203"/>
      <c r="G153" s="203"/>
      <c r="H153" s="203" t="s">
        <v>15</v>
      </c>
      <c r="I153" s="75">
        <v>19012.060000000001</v>
      </c>
      <c r="J153" s="75">
        <v>14144972.640000001</v>
      </c>
      <c r="K153" s="91" t="s">
        <v>435</v>
      </c>
      <c r="L153" s="73"/>
      <c r="M153" s="46">
        <v>744</v>
      </c>
      <c r="N153" s="46">
        <v>0</v>
      </c>
      <c r="O153" s="46">
        <v>14144972.640000001</v>
      </c>
      <c r="P153" s="98"/>
      <c r="Q153" s="23" t="s">
        <v>1434</v>
      </c>
      <c r="R153" s="24" t="s">
        <v>434</v>
      </c>
      <c r="S153" s="25" t="s">
        <v>30</v>
      </c>
      <c r="T153" s="26">
        <v>744</v>
      </c>
      <c r="U153" s="26">
        <v>744</v>
      </c>
      <c r="V153" s="26">
        <f t="shared" si="19"/>
        <v>19012.060000000001</v>
      </c>
      <c r="W153" s="127">
        <f t="shared" si="23"/>
        <v>0</v>
      </c>
      <c r="X153" s="127">
        <f t="shared" si="24"/>
        <v>744</v>
      </c>
      <c r="Y153" s="127">
        <f t="shared" si="25"/>
        <v>0</v>
      </c>
      <c r="Z153" s="127">
        <f t="shared" si="27"/>
        <v>14144972.640000001</v>
      </c>
      <c r="AA153" s="33" t="s">
        <v>15</v>
      </c>
      <c r="AB153" s="36" t="s">
        <v>16</v>
      </c>
      <c r="AC153" s="181">
        <f t="shared" si="28"/>
        <v>744</v>
      </c>
      <c r="AD153" s="181">
        <f t="shared" si="26"/>
        <v>14144972.640000001</v>
      </c>
      <c r="AE153" s="181">
        <v>1.3</v>
      </c>
      <c r="AF153" s="181">
        <v>1.3</v>
      </c>
      <c r="AG153" s="101" t="str">
        <f t="shared" si="29"/>
        <v/>
      </c>
      <c r="AH153" s="190">
        <v>744</v>
      </c>
      <c r="AI153" s="69">
        <f t="shared" si="30"/>
        <v>744</v>
      </c>
    </row>
    <row r="154" spans="1:35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 t="s">
        <v>15</v>
      </c>
      <c r="I154" s="75">
        <v>373.1</v>
      </c>
      <c r="J154" s="75">
        <v>50741.599999999999</v>
      </c>
      <c r="K154" s="91" t="s">
        <v>438</v>
      </c>
      <c r="L154" s="73"/>
      <c r="M154" s="46">
        <v>112</v>
      </c>
      <c r="N154" s="46">
        <v>0</v>
      </c>
      <c r="O154" s="46">
        <v>41787.199999999997</v>
      </c>
      <c r="P154" s="98"/>
      <c r="Q154" s="23" t="s">
        <v>1388</v>
      </c>
      <c r="R154" s="24" t="s">
        <v>437</v>
      </c>
      <c r="S154" s="25" t="s">
        <v>50</v>
      </c>
      <c r="T154" s="26">
        <v>136</v>
      </c>
      <c r="U154" s="26">
        <v>136</v>
      </c>
      <c r="V154" s="26">
        <f t="shared" si="19"/>
        <v>373.1</v>
      </c>
      <c r="W154" s="128">
        <f t="shared" si="23"/>
        <v>0</v>
      </c>
      <c r="X154" s="26">
        <f t="shared" si="24"/>
        <v>112</v>
      </c>
      <c r="Y154" s="26">
        <f t="shared" si="25"/>
        <v>0</v>
      </c>
      <c r="Z154" s="26">
        <f t="shared" si="27"/>
        <v>41787.199999999997</v>
      </c>
      <c r="AA154" s="33" t="s">
        <v>15</v>
      </c>
      <c r="AB154" s="36" t="s">
        <v>16</v>
      </c>
      <c r="AC154" s="181">
        <f t="shared" si="28"/>
        <v>136</v>
      </c>
      <c r="AD154" s="181">
        <f t="shared" si="26"/>
        <v>50741.599999999999</v>
      </c>
      <c r="AE154" s="181">
        <v>1.3</v>
      </c>
      <c r="AF154" s="181">
        <v>1.3</v>
      </c>
      <c r="AG154" s="101" t="str">
        <f t="shared" si="29"/>
        <v/>
      </c>
      <c r="AH154" s="191">
        <v>112</v>
      </c>
      <c r="AI154" s="69">
        <f t="shared" si="30"/>
        <v>136</v>
      </c>
    </row>
    <row r="155" spans="1:35" s="69" customFormat="1" ht="39" x14ac:dyDescent="0.3">
      <c r="A155" s="55" t="s">
        <v>439</v>
      </c>
      <c r="B155" s="53" t="s">
        <v>440</v>
      </c>
      <c r="C155" s="54" t="s">
        <v>50</v>
      </c>
      <c r="D155" s="75">
        <v>136</v>
      </c>
      <c r="E155" s="75"/>
      <c r="F155" s="75"/>
      <c r="G155" s="75"/>
      <c r="H155" s="75" t="s">
        <v>15</v>
      </c>
      <c r="I155" s="75">
        <v>616.53</v>
      </c>
      <c r="J155" s="75">
        <v>83848.08</v>
      </c>
      <c r="K155" s="91" t="s">
        <v>441</v>
      </c>
      <c r="L155" s="73"/>
      <c r="M155" s="46">
        <v>0</v>
      </c>
      <c r="N155" s="46">
        <v>0</v>
      </c>
      <c r="O155" s="46">
        <v>0</v>
      </c>
      <c r="P155" s="98"/>
      <c r="Q155" s="23" t="s">
        <v>1389</v>
      </c>
      <c r="R155" s="24" t="s">
        <v>440</v>
      </c>
      <c r="S155" s="25" t="s">
        <v>50</v>
      </c>
      <c r="T155" s="26">
        <v>136</v>
      </c>
      <c r="U155" s="26">
        <v>136</v>
      </c>
      <c r="V155" s="26">
        <f t="shared" si="19"/>
        <v>616.53</v>
      </c>
      <c r="W155" s="26">
        <f t="shared" si="23"/>
        <v>0</v>
      </c>
      <c r="X155" s="26">
        <f t="shared" si="24"/>
        <v>0</v>
      </c>
      <c r="Y155" s="26">
        <f t="shared" si="25"/>
        <v>0</v>
      </c>
      <c r="Z155" s="26">
        <f t="shared" si="27"/>
        <v>0</v>
      </c>
      <c r="AA155" s="33" t="s">
        <v>15</v>
      </c>
      <c r="AB155" s="36" t="s">
        <v>16</v>
      </c>
      <c r="AC155" s="181">
        <f t="shared" si="28"/>
        <v>136</v>
      </c>
      <c r="AD155" s="181">
        <f t="shared" si="26"/>
        <v>83848.08</v>
      </c>
      <c r="AE155" s="181">
        <v>1.3</v>
      </c>
      <c r="AF155" s="181">
        <v>1.3</v>
      </c>
      <c r="AG155" s="101" t="str">
        <f t="shared" si="29"/>
        <v/>
      </c>
      <c r="AH155" s="190">
        <v>0</v>
      </c>
      <c r="AI155" s="69">
        <f t="shared" si="30"/>
        <v>136</v>
      </c>
    </row>
    <row r="156" spans="1:35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 t="s">
        <v>15</v>
      </c>
      <c r="I156" s="75">
        <v>2664.06</v>
      </c>
      <c r="J156" s="75">
        <v>9590.6200000000008</v>
      </c>
      <c r="K156" s="91" t="s">
        <v>444</v>
      </c>
      <c r="L156" s="73"/>
      <c r="M156" s="46">
        <v>0</v>
      </c>
      <c r="N156" s="46">
        <v>0</v>
      </c>
      <c r="O156" s="46">
        <v>0</v>
      </c>
      <c r="P156" s="98"/>
      <c r="Q156" s="23" t="s">
        <v>1390</v>
      </c>
      <c r="R156" s="24" t="s">
        <v>443</v>
      </c>
      <c r="S156" s="25" t="s">
        <v>50</v>
      </c>
      <c r="T156" s="26">
        <v>3.6</v>
      </c>
      <c r="U156" s="26">
        <v>3.6</v>
      </c>
      <c r="V156" s="26">
        <f t="shared" si="19"/>
        <v>2664.06</v>
      </c>
      <c r="W156" s="26">
        <f t="shared" si="23"/>
        <v>0</v>
      </c>
      <c r="X156" s="26">
        <f t="shared" si="24"/>
        <v>0</v>
      </c>
      <c r="Y156" s="26">
        <f t="shared" si="25"/>
        <v>0</v>
      </c>
      <c r="Z156" s="26">
        <f t="shared" si="27"/>
        <v>0</v>
      </c>
      <c r="AA156" s="33" t="s">
        <v>15</v>
      </c>
      <c r="AB156" s="36" t="s">
        <v>16</v>
      </c>
      <c r="AC156" s="181">
        <f t="shared" si="28"/>
        <v>3.6</v>
      </c>
      <c r="AD156" s="181">
        <f t="shared" si="26"/>
        <v>9590.6200000000008</v>
      </c>
      <c r="AE156" s="181">
        <v>1.3</v>
      </c>
      <c r="AF156" s="181">
        <v>1.3</v>
      </c>
      <c r="AG156" s="101" t="str">
        <f t="shared" si="29"/>
        <v/>
      </c>
      <c r="AH156" s="190">
        <v>0</v>
      </c>
      <c r="AI156" s="69">
        <f t="shared" si="30"/>
        <v>3.6</v>
      </c>
    </row>
    <row r="157" spans="1:35" s="69" customFormat="1" ht="39" x14ac:dyDescent="0.3">
      <c r="A157" s="55" t="s">
        <v>445</v>
      </c>
      <c r="B157" s="53" t="s">
        <v>446</v>
      </c>
      <c r="C157" s="54" t="s">
        <v>30</v>
      </c>
      <c r="D157" s="75">
        <v>44</v>
      </c>
      <c r="E157" s="75"/>
      <c r="F157" s="75"/>
      <c r="G157" s="75"/>
      <c r="H157" s="75" t="s">
        <v>15</v>
      </c>
      <c r="I157" s="75">
        <v>5183.22</v>
      </c>
      <c r="J157" s="75">
        <v>228061.68</v>
      </c>
      <c r="K157" s="137" t="s">
        <v>447</v>
      </c>
      <c r="L157" s="73"/>
      <c r="M157" s="46">
        <v>35</v>
      </c>
      <c r="N157" s="46">
        <v>0</v>
      </c>
      <c r="O157" s="46">
        <v>181412.7</v>
      </c>
      <c r="P157" s="98"/>
      <c r="Q157" s="23" t="s">
        <v>1391</v>
      </c>
      <c r="R157" s="24" t="s">
        <v>446</v>
      </c>
      <c r="S157" s="25" t="s">
        <v>30</v>
      </c>
      <c r="T157" s="26">
        <v>44</v>
      </c>
      <c r="U157" s="26">
        <v>44</v>
      </c>
      <c r="V157" s="26">
        <f t="shared" si="19"/>
        <v>5183.22</v>
      </c>
      <c r="W157" s="128">
        <f t="shared" si="23"/>
        <v>0</v>
      </c>
      <c r="X157" s="26">
        <f t="shared" si="24"/>
        <v>35</v>
      </c>
      <c r="Y157" s="26">
        <f t="shared" si="25"/>
        <v>0</v>
      </c>
      <c r="Z157" s="26">
        <f t="shared" si="27"/>
        <v>181412.7</v>
      </c>
      <c r="AA157" s="33" t="s">
        <v>15</v>
      </c>
      <c r="AB157" s="36" t="s">
        <v>16</v>
      </c>
      <c r="AC157" s="181">
        <f t="shared" si="28"/>
        <v>44</v>
      </c>
      <c r="AD157" s="181">
        <f t="shared" si="26"/>
        <v>228061.68</v>
      </c>
      <c r="AE157" s="181">
        <v>1.3</v>
      </c>
      <c r="AF157" s="181">
        <v>1.3</v>
      </c>
      <c r="AG157" s="101" t="str">
        <f t="shared" si="29"/>
        <v/>
      </c>
      <c r="AH157" s="191">
        <v>35</v>
      </c>
      <c r="AI157" s="69">
        <f t="shared" si="30"/>
        <v>44</v>
      </c>
    </row>
    <row r="158" spans="1:35" s="69" customFormat="1" ht="39" x14ac:dyDescent="0.3">
      <c r="A158" s="55" t="s">
        <v>448</v>
      </c>
      <c r="B158" s="53" t="s">
        <v>449</v>
      </c>
      <c r="C158" s="54" t="s">
        <v>30</v>
      </c>
      <c r="D158" s="75">
        <v>94.14</v>
      </c>
      <c r="E158" s="75"/>
      <c r="F158" s="75"/>
      <c r="G158" s="75"/>
      <c r="H158" s="75" t="s">
        <v>15</v>
      </c>
      <c r="I158" s="75">
        <v>9392.57</v>
      </c>
      <c r="J158" s="75">
        <v>884216.54</v>
      </c>
      <c r="K158" s="137" t="s">
        <v>450</v>
      </c>
      <c r="L158" s="73"/>
      <c r="M158" s="46">
        <v>75</v>
      </c>
      <c r="N158" s="46">
        <v>704442.75</v>
      </c>
      <c r="O158" s="46">
        <v>704442.75</v>
      </c>
      <c r="P158" s="98"/>
      <c r="Q158" s="23" t="s">
        <v>1436</v>
      </c>
      <c r="R158" s="24" t="s">
        <v>449</v>
      </c>
      <c r="S158" s="25" t="s">
        <v>30</v>
      </c>
      <c r="T158" s="26">
        <v>94.14</v>
      </c>
      <c r="U158" s="26">
        <v>94.14</v>
      </c>
      <c r="V158" s="26">
        <f t="shared" si="19"/>
        <v>9392.57</v>
      </c>
      <c r="W158" s="128">
        <f t="shared" si="23"/>
        <v>0</v>
      </c>
      <c r="X158" s="26">
        <f t="shared" si="24"/>
        <v>75</v>
      </c>
      <c r="Y158" s="26">
        <f t="shared" si="25"/>
        <v>0</v>
      </c>
      <c r="Z158" s="26">
        <f t="shared" si="27"/>
        <v>704442.75</v>
      </c>
      <c r="AA158" s="33" t="s">
        <v>15</v>
      </c>
      <c r="AB158" s="36" t="s">
        <v>16</v>
      </c>
      <c r="AC158" s="181">
        <f t="shared" si="28"/>
        <v>94.14</v>
      </c>
      <c r="AD158" s="181">
        <f t="shared" si="26"/>
        <v>884216.54</v>
      </c>
      <c r="AE158" s="181">
        <v>1.3</v>
      </c>
      <c r="AF158" s="181">
        <v>1.3</v>
      </c>
      <c r="AG158" s="101" t="str">
        <f t="shared" si="29"/>
        <v/>
      </c>
      <c r="AH158" s="191">
        <f>75</f>
        <v>75</v>
      </c>
      <c r="AI158" s="69">
        <f t="shared" si="30"/>
        <v>94.14</v>
      </c>
    </row>
    <row r="159" spans="1:35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 t="s">
        <v>15</v>
      </c>
      <c r="I159" s="75">
        <v>2388.5700000000002</v>
      </c>
      <c r="J159" s="75">
        <v>272296.98</v>
      </c>
      <c r="K159" s="137" t="s">
        <v>453</v>
      </c>
      <c r="L159" s="73"/>
      <c r="M159" s="46">
        <v>68</v>
      </c>
      <c r="N159" s="46">
        <v>162422.76</v>
      </c>
      <c r="O159" s="46">
        <v>162422.76</v>
      </c>
      <c r="P159" s="98"/>
      <c r="Q159" s="23" t="s">
        <v>1374</v>
      </c>
      <c r="R159" s="24" t="s">
        <v>452</v>
      </c>
      <c r="S159" s="25" t="s">
        <v>30</v>
      </c>
      <c r="T159" s="26">
        <v>114</v>
      </c>
      <c r="U159" s="26">
        <v>114</v>
      </c>
      <c r="V159" s="26">
        <f t="shared" si="19"/>
        <v>2388.5700000000002</v>
      </c>
      <c r="W159" s="128">
        <f t="shared" si="23"/>
        <v>0</v>
      </c>
      <c r="X159" s="26">
        <f t="shared" si="24"/>
        <v>68</v>
      </c>
      <c r="Y159" s="26">
        <f t="shared" si="25"/>
        <v>0</v>
      </c>
      <c r="Z159" s="26">
        <f t="shared" si="27"/>
        <v>162422.76</v>
      </c>
      <c r="AA159" s="33" t="s">
        <v>15</v>
      </c>
      <c r="AB159" s="36" t="s">
        <v>16</v>
      </c>
      <c r="AC159" s="181">
        <f t="shared" si="28"/>
        <v>114</v>
      </c>
      <c r="AD159" s="181">
        <f t="shared" si="26"/>
        <v>272296.98</v>
      </c>
      <c r="AE159" s="181">
        <v>1.3</v>
      </c>
      <c r="AF159" s="181">
        <v>1.3</v>
      </c>
      <c r="AG159" s="101" t="str">
        <f t="shared" si="29"/>
        <v/>
      </c>
      <c r="AH159" s="191">
        <f>68</f>
        <v>68</v>
      </c>
      <c r="AI159" s="69">
        <f t="shared" si="30"/>
        <v>114</v>
      </c>
    </row>
    <row r="160" spans="1:35" s="69" customFormat="1" ht="39" x14ac:dyDescent="0.3">
      <c r="A160" s="130" t="s">
        <v>454</v>
      </c>
      <c r="B160" s="131" t="s">
        <v>455</v>
      </c>
      <c r="C160" s="132" t="s">
        <v>30</v>
      </c>
      <c r="D160" s="133">
        <v>44</v>
      </c>
      <c r="E160" s="75"/>
      <c r="F160" s="75"/>
      <c r="G160" s="75"/>
      <c r="H160" s="75" t="s">
        <v>15</v>
      </c>
      <c r="I160" s="75">
        <v>80192.710000000006</v>
      </c>
      <c r="J160" s="75">
        <v>3528479.24</v>
      </c>
      <c r="K160" s="137" t="s">
        <v>456</v>
      </c>
      <c r="L160" s="73"/>
      <c r="M160" s="46">
        <v>44</v>
      </c>
      <c r="N160" s="46">
        <v>721734.39000000013</v>
      </c>
      <c r="O160" s="46">
        <v>3528479.24</v>
      </c>
      <c r="P160" s="98"/>
      <c r="Q160" s="23" t="s">
        <v>1376</v>
      </c>
      <c r="R160" s="24" t="s">
        <v>455</v>
      </c>
      <c r="S160" s="25" t="s">
        <v>30</v>
      </c>
      <c r="T160" s="26">
        <v>44</v>
      </c>
      <c r="U160" s="26">
        <v>44</v>
      </c>
      <c r="V160" s="26">
        <f t="shared" si="19"/>
        <v>80192.710000000006</v>
      </c>
      <c r="W160" s="127">
        <f t="shared" si="23"/>
        <v>0</v>
      </c>
      <c r="X160" s="127">
        <f t="shared" si="24"/>
        <v>44</v>
      </c>
      <c r="Y160" s="127">
        <f t="shared" si="25"/>
        <v>0</v>
      </c>
      <c r="Z160" s="127">
        <f t="shared" si="27"/>
        <v>3528479.24</v>
      </c>
      <c r="AA160" s="33" t="s">
        <v>15</v>
      </c>
      <c r="AB160" s="36" t="s">
        <v>16</v>
      </c>
      <c r="AC160" s="181">
        <f t="shared" si="28"/>
        <v>44</v>
      </c>
      <c r="AD160" s="181">
        <f t="shared" si="26"/>
        <v>3528479.24</v>
      </c>
      <c r="AE160" s="181">
        <v>1.3</v>
      </c>
      <c r="AF160" s="181">
        <v>1.3</v>
      </c>
      <c r="AG160" s="101" t="str">
        <f t="shared" si="29"/>
        <v/>
      </c>
      <c r="AH160" s="191">
        <f>35+9</f>
        <v>44</v>
      </c>
      <c r="AI160" s="69">
        <f t="shared" si="30"/>
        <v>44</v>
      </c>
    </row>
    <row r="161" spans="1:35" s="69" customFormat="1" ht="58.5" x14ac:dyDescent="0.3">
      <c r="A161" s="130" t="s">
        <v>457</v>
      </c>
      <c r="B161" s="131" t="s">
        <v>458</v>
      </c>
      <c r="C161" s="132" t="s">
        <v>30</v>
      </c>
      <c r="D161" s="133">
        <v>90</v>
      </c>
      <c r="E161" s="75"/>
      <c r="F161" s="75"/>
      <c r="G161" s="75"/>
      <c r="H161" s="75" t="s">
        <v>15</v>
      </c>
      <c r="I161" s="75">
        <v>9257.1299999999992</v>
      </c>
      <c r="J161" s="75">
        <v>833141.7</v>
      </c>
      <c r="K161" s="137" t="s">
        <v>459</v>
      </c>
      <c r="L161" s="73"/>
      <c r="M161" s="46">
        <v>90</v>
      </c>
      <c r="N161" s="46">
        <v>185142.59999999998</v>
      </c>
      <c r="O161" s="46">
        <v>833141.7</v>
      </c>
      <c r="P161" s="98"/>
      <c r="Q161" s="23" t="s">
        <v>1378</v>
      </c>
      <c r="R161" s="24" t="s">
        <v>458</v>
      </c>
      <c r="S161" s="25" t="s">
        <v>30</v>
      </c>
      <c r="T161" s="26">
        <v>90</v>
      </c>
      <c r="U161" s="26">
        <v>90</v>
      </c>
      <c r="V161" s="26">
        <f t="shared" si="19"/>
        <v>9257.1299999999992</v>
      </c>
      <c r="W161" s="127">
        <f t="shared" si="23"/>
        <v>0</v>
      </c>
      <c r="X161" s="127">
        <f t="shared" si="24"/>
        <v>90</v>
      </c>
      <c r="Y161" s="127">
        <f t="shared" si="25"/>
        <v>0</v>
      </c>
      <c r="Z161" s="127">
        <f t="shared" si="27"/>
        <v>833141.7</v>
      </c>
      <c r="AA161" s="33" t="s">
        <v>15</v>
      </c>
      <c r="AB161" s="36" t="s">
        <v>16</v>
      </c>
      <c r="AC161" s="181">
        <f t="shared" si="28"/>
        <v>90</v>
      </c>
      <c r="AD161" s="181">
        <f t="shared" si="26"/>
        <v>833141.7</v>
      </c>
      <c r="AE161" s="181">
        <v>1.3</v>
      </c>
      <c r="AF161" s="181">
        <v>1.3</v>
      </c>
      <c r="AG161" s="101" t="str">
        <f t="shared" si="29"/>
        <v/>
      </c>
      <c r="AH161" s="191">
        <f>70+20</f>
        <v>90</v>
      </c>
      <c r="AI161" s="69">
        <f t="shared" si="30"/>
        <v>90</v>
      </c>
    </row>
    <row r="162" spans="1:35" s="69" customFormat="1" ht="33" x14ac:dyDescent="0.3">
      <c r="A162" s="130" t="s">
        <v>460</v>
      </c>
      <c r="B162" s="131" t="s">
        <v>461</v>
      </c>
      <c r="C162" s="132" t="s">
        <v>81</v>
      </c>
      <c r="D162" s="133">
        <v>1</v>
      </c>
      <c r="E162" s="75"/>
      <c r="F162" s="75"/>
      <c r="G162" s="75"/>
      <c r="H162" s="75" t="s">
        <v>15</v>
      </c>
      <c r="I162" s="75">
        <v>58649</v>
      </c>
      <c r="J162" s="75">
        <v>58649</v>
      </c>
      <c r="K162" s="137" t="s">
        <v>462</v>
      </c>
      <c r="L162" s="73"/>
      <c r="M162" s="46">
        <v>0</v>
      </c>
      <c r="N162" s="46">
        <v>0</v>
      </c>
      <c r="O162" s="46">
        <v>0</v>
      </c>
      <c r="P162" s="98"/>
      <c r="Q162" s="23" t="s">
        <v>1438</v>
      </c>
      <c r="R162" s="24" t="s">
        <v>461</v>
      </c>
      <c r="S162" s="25" t="s">
        <v>81</v>
      </c>
      <c r="T162" s="26">
        <v>1</v>
      </c>
      <c r="U162" s="26">
        <v>1</v>
      </c>
      <c r="V162" s="26">
        <f t="shared" si="19"/>
        <v>58649</v>
      </c>
      <c r="W162" s="243">
        <f t="shared" si="23"/>
        <v>1</v>
      </c>
      <c r="X162" s="127">
        <f t="shared" si="24"/>
        <v>1</v>
      </c>
      <c r="Y162" s="127">
        <f t="shared" si="25"/>
        <v>58649</v>
      </c>
      <c r="Z162" s="127">
        <f t="shared" si="27"/>
        <v>58649</v>
      </c>
      <c r="AA162" s="33" t="s">
        <v>15</v>
      </c>
      <c r="AB162" s="36" t="s">
        <v>16</v>
      </c>
      <c r="AC162" s="181">
        <f t="shared" si="28"/>
        <v>1</v>
      </c>
      <c r="AD162" s="181">
        <f t="shared" si="26"/>
        <v>58649</v>
      </c>
      <c r="AE162" s="181">
        <v>1.3</v>
      </c>
      <c r="AF162" s="181">
        <v>1.3</v>
      </c>
      <c r="AG162" s="101" t="str">
        <f t="shared" si="29"/>
        <v/>
      </c>
      <c r="AH162" s="191">
        <f>1</f>
        <v>1</v>
      </c>
      <c r="AI162" s="69">
        <f t="shared" si="30"/>
        <v>1</v>
      </c>
    </row>
    <row r="163" spans="1:35" s="69" customFormat="1" ht="33" x14ac:dyDescent="0.3">
      <c r="A163" s="130" t="s">
        <v>463</v>
      </c>
      <c r="B163" s="131" t="s">
        <v>464</v>
      </c>
      <c r="C163" s="132" t="s">
        <v>81</v>
      </c>
      <c r="D163" s="133">
        <v>1</v>
      </c>
      <c r="E163" s="75"/>
      <c r="F163" s="75"/>
      <c r="G163" s="75"/>
      <c r="H163" s="75" t="s">
        <v>15</v>
      </c>
      <c r="I163" s="75">
        <v>107614.5</v>
      </c>
      <c r="J163" s="75">
        <v>107614.5</v>
      </c>
      <c r="K163" s="137" t="s">
        <v>465</v>
      </c>
      <c r="L163" s="73"/>
      <c r="M163" s="46">
        <v>0.8</v>
      </c>
      <c r="N163" s="46">
        <v>0</v>
      </c>
      <c r="O163" s="46">
        <v>86091.6</v>
      </c>
      <c r="P163" s="98"/>
      <c r="Q163" s="23" t="s">
        <v>1439</v>
      </c>
      <c r="R163" s="24" t="s">
        <v>464</v>
      </c>
      <c r="S163" s="25" t="s">
        <v>81</v>
      </c>
      <c r="T163" s="26">
        <v>1</v>
      </c>
      <c r="U163" s="26">
        <v>1</v>
      </c>
      <c r="V163" s="26">
        <f t="shared" si="19"/>
        <v>107614.5</v>
      </c>
      <c r="W163" s="128">
        <f t="shared" si="23"/>
        <v>0</v>
      </c>
      <c r="X163" s="26">
        <f t="shared" si="24"/>
        <v>0.8</v>
      </c>
      <c r="Y163" s="26">
        <f t="shared" si="25"/>
        <v>0</v>
      </c>
      <c r="Z163" s="26">
        <f t="shared" si="27"/>
        <v>86091.6</v>
      </c>
      <c r="AA163" s="33" t="s">
        <v>15</v>
      </c>
      <c r="AB163" s="36" t="s">
        <v>16</v>
      </c>
      <c r="AC163" s="181">
        <f t="shared" si="28"/>
        <v>1</v>
      </c>
      <c r="AD163" s="181">
        <f t="shared" si="26"/>
        <v>107614.5</v>
      </c>
      <c r="AE163" s="181">
        <v>1.3</v>
      </c>
      <c r="AF163" s="181">
        <v>1.3</v>
      </c>
      <c r="AG163" s="101" t="str">
        <f t="shared" si="29"/>
        <v/>
      </c>
      <c r="AH163" s="191">
        <v>0.8</v>
      </c>
      <c r="AI163" s="69">
        <f t="shared" si="30"/>
        <v>1</v>
      </c>
    </row>
    <row r="164" spans="1:35" s="69" customFormat="1" ht="33" x14ac:dyDescent="0.3">
      <c r="A164" s="55" t="s">
        <v>466</v>
      </c>
      <c r="B164" s="53" t="s">
        <v>467</v>
      </c>
      <c r="C164" s="54" t="s">
        <v>30</v>
      </c>
      <c r="D164" s="75">
        <v>13.2</v>
      </c>
      <c r="E164" s="75"/>
      <c r="F164" s="75"/>
      <c r="G164" s="75"/>
      <c r="H164" s="75" t="s">
        <v>15</v>
      </c>
      <c r="I164" s="75">
        <v>2809.33</v>
      </c>
      <c r="J164" s="75">
        <v>37083.160000000003</v>
      </c>
      <c r="K164" s="137" t="s">
        <v>468</v>
      </c>
      <c r="L164" s="73"/>
      <c r="M164" s="46">
        <v>0</v>
      </c>
      <c r="N164" s="46">
        <v>0</v>
      </c>
      <c r="O164" s="46">
        <v>0</v>
      </c>
      <c r="P164" s="98"/>
      <c r="Q164" s="23" t="s">
        <v>1440</v>
      </c>
      <c r="R164" s="24" t="s">
        <v>467</v>
      </c>
      <c r="S164" s="25" t="s">
        <v>30</v>
      </c>
      <c r="T164" s="26">
        <v>13.2</v>
      </c>
      <c r="U164" s="26">
        <v>13.2</v>
      </c>
      <c r="V164" s="26">
        <f t="shared" si="19"/>
        <v>2809.33</v>
      </c>
      <c r="W164" s="26">
        <f t="shared" si="23"/>
        <v>0</v>
      </c>
      <c r="X164" s="26">
        <f t="shared" si="24"/>
        <v>0</v>
      </c>
      <c r="Y164" s="26">
        <f t="shared" si="25"/>
        <v>0</v>
      </c>
      <c r="Z164" s="26">
        <f t="shared" si="27"/>
        <v>0</v>
      </c>
      <c r="AA164" s="33" t="s">
        <v>15</v>
      </c>
      <c r="AB164" s="36" t="s">
        <v>16</v>
      </c>
      <c r="AC164" s="181">
        <f t="shared" si="28"/>
        <v>13.2</v>
      </c>
      <c r="AD164" s="181">
        <f t="shared" si="26"/>
        <v>37083.160000000003</v>
      </c>
      <c r="AE164" s="181">
        <v>1.3</v>
      </c>
      <c r="AF164" s="181">
        <v>1.3</v>
      </c>
      <c r="AG164" s="101" t="str">
        <f t="shared" si="29"/>
        <v/>
      </c>
      <c r="AH164" s="190">
        <v>0</v>
      </c>
      <c r="AI164" s="69">
        <f t="shared" si="30"/>
        <v>13.2</v>
      </c>
    </row>
    <row r="165" spans="1:35" s="69" customFormat="1" ht="39" x14ac:dyDescent="0.3">
      <c r="A165" s="55" t="s">
        <v>469</v>
      </c>
      <c r="B165" s="53" t="s">
        <v>470</v>
      </c>
      <c r="C165" s="54" t="s">
        <v>30</v>
      </c>
      <c r="D165" s="75">
        <v>3</v>
      </c>
      <c r="E165" s="75"/>
      <c r="F165" s="75"/>
      <c r="G165" s="75"/>
      <c r="H165" s="75" t="s">
        <v>15</v>
      </c>
      <c r="I165" s="75">
        <v>2433.89</v>
      </c>
      <c r="J165" s="75">
        <v>7301.67</v>
      </c>
      <c r="K165" s="137" t="s">
        <v>471</v>
      </c>
      <c r="L165" s="73"/>
      <c r="M165" s="46">
        <v>0</v>
      </c>
      <c r="N165" s="46">
        <v>0</v>
      </c>
      <c r="O165" s="46">
        <v>0</v>
      </c>
      <c r="P165" s="98"/>
      <c r="Q165" s="23" t="s">
        <v>1441</v>
      </c>
      <c r="R165" s="24" t="s">
        <v>470</v>
      </c>
      <c r="S165" s="25" t="s">
        <v>30</v>
      </c>
      <c r="T165" s="26">
        <v>3</v>
      </c>
      <c r="U165" s="26">
        <v>3</v>
      </c>
      <c r="V165" s="26">
        <f t="shared" si="19"/>
        <v>2433.89</v>
      </c>
      <c r="W165" s="26">
        <f t="shared" si="23"/>
        <v>0</v>
      </c>
      <c r="X165" s="26">
        <f t="shared" si="24"/>
        <v>0</v>
      </c>
      <c r="Y165" s="26">
        <f t="shared" si="25"/>
        <v>0</v>
      </c>
      <c r="Z165" s="26">
        <f t="shared" si="27"/>
        <v>0</v>
      </c>
      <c r="AA165" s="33" t="s">
        <v>15</v>
      </c>
      <c r="AB165" s="36" t="s">
        <v>16</v>
      </c>
      <c r="AC165" s="181">
        <f t="shared" si="28"/>
        <v>3</v>
      </c>
      <c r="AD165" s="181">
        <f t="shared" si="26"/>
        <v>7301.67</v>
      </c>
      <c r="AE165" s="181">
        <v>1.3</v>
      </c>
      <c r="AF165" s="181">
        <v>1.3</v>
      </c>
      <c r="AG165" s="101" t="str">
        <f t="shared" si="29"/>
        <v/>
      </c>
      <c r="AH165" s="190">
        <v>0</v>
      </c>
      <c r="AI165" s="69">
        <f t="shared" si="30"/>
        <v>3</v>
      </c>
    </row>
    <row r="166" spans="1:35" s="69" customFormat="1" ht="39" x14ac:dyDescent="0.3">
      <c r="A166" s="55" t="s">
        <v>472</v>
      </c>
      <c r="B166" s="53" t="s">
        <v>473</v>
      </c>
      <c r="C166" s="54" t="s">
        <v>30</v>
      </c>
      <c r="D166" s="75">
        <v>6</v>
      </c>
      <c r="E166" s="75"/>
      <c r="F166" s="75"/>
      <c r="G166" s="75"/>
      <c r="H166" s="75" t="s">
        <v>15</v>
      </c>
      <c r="I166" s="75">
        <v>2888.64</v>
      </c>
      <c r="J166" s="75">
        <v>17331.84</v>
      </c>
      <c r="K166" s="137" t="s">
        <v>474</v>
      </c>
      <c r="L166" s="73"/>
      <c r="M166" s="46">
        <v>0</v>
      </c>
      <c r="N166" s="46">
        <v>0</v>
      </c>
      <c r="O166" s="46">
        <v>0</v>
      </c>
      <c r="P166" s="98"/>
      <c r="Q166" s="23" t="s">
        <v>1442</v>
      </c>
      <c r="R166" s="24" t="s">
        <v>473</v>
      </c>
      <c r="S166" s="25" t="s">
        <v>30</v>
      </c>
      <c r="T166" s="26">
        <v>6</v>
      </c>
      <c r="U166" s="26">
        <v>6</v>
      </c>
      <c r="V166" s="26">
        <f t="shared" si="19"/>
        <v>2888.64</v>
      </c>
      <c r="W166" s="26">
        <f t="shared" si="23"/>
        <v>0</v>
      </c>
      <c r="X166" s="26">
        <f t="shared" si="24"/>
        <v>0</v>
      </c>
      <c r="Y166" s="26">
        <f t="shared" si="25"/>
        <v>0</v>
      </c>
      <c r="Z166" s="26">
        <f t="shared" si="27"/>
        <v>0</v>
      </c>
      <c r="AA166" s="33" t="s">
        <v>15</v>
      </c>
      <c r="AB166" s="36" t="s">
        <v>16</v>
      </c>
      <c r="AC166" s="181">
        <f t="shared" si="28"/>
        <v>6</v>
      </c>
      <c r="AD166" s="181">
        <f t="shared" si="26"/>
        <v>17331.84</v>
      </c>
      <c r="AE166" s="181">
        <v>1.3</v>
      </c>
      <c r="AF166" s="181">
        <v>1.3</v>
      </c>
      <c r="AG166" s="101" t="str">
        <f t="shared" si="29"/>
        <v/>
      </c>
      <c r="AH166" s="190">
        <v>0</v>
      </c>
      <c r="AI166" s="69">
        <f t="shared" si="30"/>
        <v>6</v>
      </c>
    </row>
    <row r="167" spans="1:35" s="69" customFormat="1" ht="58.5" x14ac:dyDescent="0.3">
      <c r="A167" s="130" t="s">
        <v>475</v>
      </c>
      <c r="B167" s="131" t="s">
        <v>476</v>
      </c>
      <c r="C167" s="132" t="s">
        <v>14</v>
      </c>
      <c r="D167" s="133">
        <v>1</v>
      </c>
      <c r="E167" s="75"/>
      <c r="F167" s="75"/>
      <c r="G167" s="75"/>
      <c r="H167" s="75" t="s">
        <v>15</v>
      </c>
      <c r="I167" s="75">
        <v>430876.81</v>
      </c>
      <c r="J167" s="75">
        <v>430876.81</v>
      </c>
      <c r="K167" s="137" t="s">
        <v>477</v>
      </c>
      <c r="L167" s="73"/>
      <c r="M167" s="46">
        <v>1</v>
      </c>
      <c r="N167" s="46">
        <v>0</v>
      </c>
      <c r="O167" s="46">
        <v>430876.81</v>
      </c>
      <c r="P167" s="98"/>
      <c r="Q167" s="23" t="s">
        <v>1443</v>
      </c>
      <c r="R167" s="24" t="s">
        <v>476</v>
      </c>
      <c r="S167" s="25" t="s">
        <v>14</v>
      </c>
      <c r="T167" s="26">
        <v>1</v>
      </c>
      <c r="U167" s="26">
        <v>1</v>
      </c>
      <c r="V167" s="26">
        <f t="shared" ref="V167:V176" si="31">I167</f>
        <v>430876.81</v>
      </c>
      <c r="W167" s="127">
        <f t="shared" si="23"/>
        <v>0</v>
      </c>
      <c r="X167" s="127">
        <f t="shared" si="24"/>
        <v>1</v>
      </c>
      <c r="Y167" s="127">
        <f t="shared" si="25"/>
        <v>0</v>
      </c>
      <c r="Z167" s="127">
        <f t="shared" si="27"/>
        <v>430876.81</v>
      </c>
      <c r="AA167" s="33" t="s">
        <v>15</v>
      </c>
      <c r="AB167" s="36" t="s">
        <v>16</v>
      </c>
      <c r="AC167" s="181">
        <f t="shared" si="28"/>
        <v>1</v>
      </c>
      <c r="AD167" s="181">
        <f t="shared" si="26"/>
        <v>430876.81</v>
      </c>
      <c r="AE167" s="181">
        <v>1.3</v>
      </c>
      <c r="AF167" s="181">
        <v>1.3</v>
      </c>
      <c r="AG167" s="101" t="str">
        <f t="shared" si="29"/>
        <v/>
      </c>
      <c r="AH167" s="191">
        <v>1</v>
      </c>
      <c r="AI167" s="69">
        <f t="shared" si="30"/>
        <v>1</v>
      </c>
    </row>
    <row r="168" spans="1:35" s="69" customFormat="1" ht="39" x14ac:dyDescent="0.3">
      <c r="A168" s="130" t="s">
        <v>478</v>
      </c>
      <c r="B168" s="131" t="s">
        <v>479</v>
      </c>
      <c r="C168" s="132" t="s">
        <v>81</v>
      </c>
      <c r="D168" s="133">
        <v>1</v>
      </c>
      <c r="E168" s="75"/>
      <c r="F168" s="75"/>
      <c r="G168" s="75"/>
      <c r="H168" s="75" t="s">
        <v>15</v>
      </c>
      <c r="I168" s="75">
        <v>29563.21</v>
      </c>
      <c r="J168" s="75">
        <v>29563.21</v>
      </c>
      <c r="K168" s="137" t="s">
        <v>480</v>
      </c>
      <c r="L168" s="73"/>
      <c r="M168" s="46">
        <v>1</v>
      </c>
      <c r="N168" s="46">
        <v>0</v>
      </c>
      <c r="O168" s="46">
        <v>29563.21</v>
      </c>
      <c r="P168" s="98"/>
      <c r="Q168" s="23" t="s">
        <v>1444</v>
      </c>
      <c r="R168" s="24" t="s">
        <v>479</v>
      </c>
      <c r="S168" s="25" t="s">
        <v>81</v>
      </c>
      <c r="T168" s="26">
        <v>1</v>
      </c>
      <c r="U168" s="26">
        <v>1</v>
      </c>
      <c r="V168" s="26">
        <f t="shared" si="31"/>
        <v>29563.21</v>
      </c>
      <c r="W168" s="127">
        <f t="shared" si="23"/>
        <v>0</v>
      </c>
      <c r="X168" s="127">
        <f t="shared" si="24"/>
        <v>1</v>
      </c>
      <c r="Y168" s="127">
        <f t="shared" si="25"/>
        <v>0</v>
      </c>
      <c r="Z168" s="127">
        <f t="shared" si="27"/>
        <v>29563.21</v>
      </c>
      <c r="AA168" s="33" t="s">
        <v>15</v>
      </c>
      <c r="AB168" s="36" t="s">
        <v>16</v>
      </c>
      <c r="AC168" s="181">
        <f t="shared" si="28"/>
        <v>1</v>
      </c>
      <c r="AD168" s="181">
        <f t="shared" si="26"/>
        <v>29563.21</v>
      </c>
      <c r="AE168" s="181">
        <v>1.3</v>
      </c>
      <c r="AF168" s="181">
        <v>1.3</v>
      </c>
      <c r="AG168" s="101" t="str">
        <f t="shared" si="29"/>
        <v/>
      </c>
      <c r="AH168" s="194">
        <v>1</v>
      </c>
      <c r="AI168" s="69">
        <f t="shared" si="30"/>
        <v>1</v>
      </c>
    </row>
    <row r="169" spans="1:35" s="69" customFormat="1" ht="33" x14ac:dyDescent="0.3">
      <c r="A169" s="130" t="s">
        <v>481</v>
      </c>
      <c r="B169" s="131" t="s">
        <v>482</v>
      </c>
      <c r="C169" s="132" t="s">
        <v>81</v>
      </c>
      <c r="D169" s="133">
        <v>1</v>
      </c>
      <c r="E169" s="75"/>
      <c r="F169" s="75"/>
      <c r="G169" s="75"/>
      <c r="H169" s="75" t="s">
        <v>15</v>
      </c>
      <c r="I169" s="75">
        <v>1061152.75</v>
      </c>
      <c r="J169" s="75">
        <v>1061152.75</v>
      </c>
      <c r="K169" s="137" t="s">
        <v>483</v>
      </c>
      <c r="L169" s="73"/>
      <c r="M169" s="46">
        <v>1</v>
      </c>
      <c r="N169" s="46">
        <v>0</v>
      </c>
      <c r="O169" s="46">
        <v>1061152.75</v>
      </c>
      <c r="P169" s="98"/>
      <c r="Q169" s="23" t="s">
        <v>1408</v>
      </c>
      <c r="R169" s="24" t="s">
        <v>482</v>
      </c>
      <c r="S169" s="25" t="s">
        <v>81</v>
      </c>
      <c r="T169" s="26">
        <v>1</v>
      </c>
      <c r="U169" s="26">
        <v>1</v>
      </c>
      <c r="V169" s="26">
        <f t="shared" si="31"/>
        <v>1061152.75</v>
      </c>
      <c r="W169" s="127">
        <f t="shared" si="23"/>
        <v>0</v>
      </c>
      <c r="X169" s="127">
        <f t="shared" si="24"/>
        <v>1</v>
      </c>
      <c r="Y169" s="127">
        <f t="shared" si="25"/>
        <v>0</v>
      </c>
      <c r="Z169" s="127">
        <f t="shared" si="27"/>
        <v>1061152.75</v>
      </c>
      <c r="AA169" s="33" t="s">
        <v>15</v>
      </c>
      <c r="AB169" s="36" t="s">
        <v>16</v>
      </c>
      <c r="AC169" s="181">
        <f t="shared" si="28"/>
        <v>1</v>
      </c>
      <c r="AD169" s="181">
        <f t="shared" si="26"/>
        <v>1061152.75</v>
      </c>
      <c r="AE169" s="181">
        <v>1.3</v>
      </c>
      <c r="AF169" s="181">
        <v>1.3</v>
      </c>
      <c r="AG169" s="101" t="str">
        <f t="shared" si="29"/>
        <v/>
      </c>
      <c r="AH169" s="191">
        <v>1</v>
      </c>
      <c r="AI169" s="69">
        <f t="shared" si="30"/>
        <v>1</v>
      </c>
    </row>
    <row r="170" spans="1:35" s="69" customFormat="1" ht="33" x14ac:dyDescent="0.3">
      <c r="A170" s="130" t="s">
        <v>484</v>
      </c>
      <c r="B170" s="131" t="s">
        <v>485</v>
      </c>
      <c r="C170" s="132" t="s">
        <v>81</v>
      </c>
      <c r="D170" s="133">
        <v>1</v>
      </c>
      <c r="E170" s="75"/>
      <c r="F170" s="75"/>
      <c r="G170" s="75"/>
      <c r="H170" s="75" t="s">
        <v>15</v>
      </c>
      <c r="I170" s="75">
        <v>2431046.88</v>
      </c>
      <c r="J170" s="75">
        <v>2431046.88</v>
      </c>
      <c r="K170" s="137" t="s">
        <v>486</v>
      </c>
      <c r="L170" s="73"/>
      <c r="M170" s="46">
        <v>1</v>
      </c>
      <c r="N170" s="46">
        <v>0</v>
      </c>
      <c r="O170" s="46">
        <v>2431046.88</v>
      </c>
      <c r="P170" s="98"/>
      <c r="Q170" s="23" t="s">
        <v>1409</v>
      </c>
      <c r="R170" s="24" t="s">
        <v>485</v>
      </c>
      <c r="S170" s="25" t="s">
        <v>81</v>
      </c>
      <c r="T170" s="26">
        <v>1</v>
      </c>
      <c r="U170" s="26">
        <v>1</v>
      </c>
      <c r="V170" s="26">
        <f t="shared" si="31"/>
        <v>2431046.88</v>
      </c>
      <c r="W170" s="127">
        <f t="shared" si="23"/>
        <v>0</v>
      </c>
      <c r="X170" s="127">
        <f t="shared" si="24"/>
        <v>1</v>
      </c>
      <c r="Y170" s="127">
        <f t="shared" si="25"/>
        <v>0</v>
      </c>
      <c r="Z170" s="127">
        <f t="shared" si="27"/>
        <v>2431046.88</v>
      </c>
      <c r="AA170" s="33" t="s">
        <v>15</v>
      </c>
      <c r="AB170" s="36" t="s">
        <v>16</v>
      </c>
      <c r="AC170" s="181">
        <f t="shared" si="28"/>
        <v>1</v>
      </c>
      <c r="AD170" s="181">
        <f t="shared" si="26"/>
        <v>2431046.88</v>
      </c>
      <c r="AE170" s="181">
        <v>1.3</v>
      </c>
      <c r="AF170" s="181">
        <v>1.3</v>
      </c>
      <c r="AG170" s="101" t="str">
        <f t="shared" si="29"/>
        <v/>
      </c>
      <c r="AH170" s="194">
        <v>1</v>
      </c>
      <c r="AI170" s="69">
        <f t="shared" si="30"/>
        <v>1</v>
      </c>
    </row>
    <row r="171" spans="1:35" s="69" customFormat="1" ht="33" x14ac:dyDescent="0.3">
      <c r="A171" s="134" t="s">
        <v>1312</v>
      </c>
      <c r="B171" s="135" t="s">
        <v>1313</v>
      </c>
      <c r="C171" s="204" t="s">
        <v>14</v>
      </c>
      <c r="D171" s="133"/>
      <c r="E171" s="59">
        <v>1</v>
      </c>
      <c r="F171" s="77"/>
      <c r="G171" s="77"/>
      <c r="H171" s="77" t="s">
        <v>15</v>
      </c>
      <c r="I171" s="77">
        <v>87950.62</v>
      </c>
      <c r="J171" s="59">
        <v>87950.62</v>
      </c>
      <c r="K171" s="92"/>
      <c r="L171" s="73"/>
      <c r="M171" s="46">
        <v>1</v>
      </c>
      <c r="N171" s="46">
        <v>0</v>
      </c>
      <c r="O171" s="46">
        <v>87950.62</v>
      </c>
      <c r="P171" s="98"/>
      <c r="Q171" s="23" t="s">
        <v>1410</v>
      </c>
      <c r="R171" s="24" t="s">
        <v>1495</v>
      </c>
      <c r="S171" s="25" t="s">
        <v>14</v>
      </c>
      <c r="T171" s="26">
        <v>0</v>
      </c>
      <c r="U171" s="26">
        <v>1</v>
      </c>
      <c r="V171" s="26">
        <f t="shared" si="31"/>
        <v>87950.62</v>
      </c>
      <c r="W171" s="127">
        <f t="shared" si="23"/>
        <v>0</v>
      </c>
      <c r="X171" s="127">
        <f t="shared" si="24"/>
        <v>1</v>
      </c>
      <c r="Y171" s="127">
        <f t="shared" si="25"/>
        <v>0</v>
      </c>
      <c r="Z171" s="127">
        <f t="shared" si="27"/>
        <v>87950.62</v>
      </c>
      <c r="AA171" s="27"/>
      <c r="AB171" s="36" t="s">
        <v>16</v>
      </c>
      <c r="AC171" s="181">
        <f t="shared" si="28"/>
        <v>1</v>
      </c>
      <c r="AD171" s="181">
        <f t="shared" si="26"/>
        <v>87950.62</v>
      </c>
      <c r="AE171" s="181">
        <v>1.3</v>
      </c>
      <c r="AF171" s="181">
        <v>1.3</v>
      </c>
      <c r="AG171" s="101" t="str">
        <f t="shared" si="29"/>
        <v/>
      </c>
      <c r="AH171" s="190">
        <v>1</v>
      </c>
      <c r="AI171" s="69">
        <f t="shared" si="30"/>
        <v>1</v>
      </c>
    </row>
    <row r="172" spans="1:35" s="69" customFormat="1" ht="33" x14ac:dyDescent="0.3">
      <c r="A172" s="134" t="s">
        <v>1314</v>
      </c>
      <c r="B172" s="135" t="s">
        <v>1315</v>
      </c>
      <c r="C172" s="204" t="s">
        <v>30</v>
      </c>
      <c r="D172" s="133"/>
      <c r="E172" s="59">
        <v>24</v>
      </c>
      <c r="F172" s="77"/>
      <c r="G172" s="77"/>
      <c r="H172" s="77" t="s">
        <v>15</v>
      </c>
      <c r="I172" s="77">
        <v>4257.93</v>
      </c>
      <c r="J172" s="59">
        <v>102190.32</v>
      </c>
      <c r="K172" s="92"/>
      <c r="L172" s="73"/>
      <c r="M172" s="46">
        <v>24</v>
      </c>
      <c r="N172" s="46">
        <v>0</v>
      </c>
      <c r="O172" s="46">
        <v>102190.32</v>
      </c>
      <c r="P172" s="98"/>
      <c r="Q172" s="23" t="s">
        <v>1411</v>
      </c>
      <c r="R172" s="24" t="s">
        <v>1496</v>
      </c>
      <c r="S172" s="25" t="s">
        <v>30</v>
      </c>
      <c r="T172" s="26">
        <v>0</v>
      </c>
      <c r="U172" s="26">
        <v>24</v>
      </c>
      <c r="V172" s="26">
        <f t="shared" si="31"/>
        <v>4257.93</v>
      </c>
      <c r="W172" s="127">
        <f t="shared" si="23"/>
        <v>0</v>
      </c>
      <c r="X172" s="127">
        <f t="shared" si="24"/>
        <v>24</v>
      </c>
      <c r="Y172" s="127">
        <f t="shared" si="25"/>
        <v>0</v>
      </c>
      <c r="Z172" s="127">
        <f t="shared" si="27"/>
        <v>102190.32</v>
      </c>
      <c r="AA172" s="27"/>
      <c r="AB172" s="36" t="s">
        <v>16</v>
      </c>
      <c r="AC172" s="181">
        <f t="shared" si="28"/>
        <v>24</v>
      </c>
      <c r="AD172" s="181">
        <f t="shared" si="26"/>
        <v>102190.32</v>
      </c>
      <c r="AE172" s="181">
        <v>1.3</v>
      </c>
      <c r="AF172" s="181">
        <v>1.3</v>
      </c>
      <c r="AG172" s="101" t="str">
        <f t="shared" si="29"/>
        <v/>
      </c>
      <c r="AH172" s="190">
        <v>24</v>
      </c>
      <c r="AI172" s="69">
        <f t="shared" si="30"/>
        <v>24</v>
      </c>
    </row>
    <row r="173" spans="1:35" s="69" customFormat="1" ht="33" x14ac:dyDescent="0.3">
      <c r="A173" s="134" t="s">
        <v>1316</v>
      </c>
      <c r="B173" s="135" t="s">
        <v>1317</v>
      </c>
      <c r="C173" s="204" t="s">
        <v>513</v>
      </c>
      <c r="D173" s="133"/>
      <c r="E173" s="59">
        <v>1</v>
      </c>
      <c r="F173" s="77"/>
      <c r="G173" s="205"/>
      <c r="H173" s="205" t="s">
        <v>15</v>
      </c>
      <c r="I173" s="77">
        <v>200835.11</v>
      </c>
      <c r="J173" s="59">
        <v>200835.11</v>
      </c>
      <c r="K173" s="92"/>
      <c r="L173" s="73"/>
      <c r="M173" s="46">
        <v>1</v>
      </c>
      <c r="N173" s="46">
        <v>0</v>
      </c>
      <c r="O173" s="46">
        <v>200835.11</v>
      </c>
      <c r="P173" s="98"/>
      <c r="Q173" s="23" t="s">
        <v>1445</v>
      </c>
      <c r="R173" s="24" t="s">
        <v>1497</v>
      </c>
      <c r="S173" s="25" t="s">
        <v>513</v>
      </c>
      <c r="T173" s="26">
        <v>0</v>
      </c>
      <c r="U173" s="26">
        <v>1</v>
      </c>
      <c r="V173" s="26">
        <f t="shared" si="31"/>
        <v>200835.11</v>
      </c>
      <c r="W173" s="127">
        <f t="shared" si="23"/>
        <v>0</v>
      </c>
      <c r="X173" s="127">
        <f t="shared" si="24"/>
        <v>1</v>
      </c>
      <c r="Y173" s="127">
        <f t="shared" si="25"/>
        <v>0</v>
      </c>
      <c r="Z173" s="127">
        <f t="shared" si="27"/>
        <v>200835.11</v>
      </c>
      <c r="AA173" s="27"/>
      <c r="AB173" s="36" t="s">
        <v>16</v>
      </c>
      <c r="AC173" s="181">
        <f t="shared" si="28"/>
        <v>1</v>
      </c>
      <c r="AD173" s="181">
        <f t="shared" si="26"/>
        <v>200835.11</v>
      </c>
      <c r="AE173" s="181">
        <v>1.3</v>
      </c>
      <c r="AF173" s="181">
        <v>1.3</v>
      </c>
      <c r="AG173" s="101" t="str">
        <f t="shared" si="29"/>
        <v/>
      </c>
      <c r="AH173" s="190">
        <v>1</v>
      </c>
      <c r="AI173" s="69">
        <f t="shared" si="30"/>
        <v>1</v>
      </c>
    </row>
    <row r="174" spans="1:35" ht="33" x14ac:dyDescent="0.3">
      <c r="A174" s="134" t="s">
        <v>1318</v>
      </c>
      <c r="B174" s="135" t="s">
        <v>1319</v>
      </c>
      <c r="C174" s="204" t="s">
        <v>412</v>
      </c>
      <c r="D174" s="133"/>
      <c r="E174" s="78"/>
      <c r="F174" s="116">
        <v>150400</v>
      </c>
      <c r="G174" s="116"/>
      <c r="H174" s="116">
        <v>154935.98000000001</v>
      </c>
      <c r="I174" s="167">
        <v>16.21</v>
      </c>
      <c r="J174" s="62">
        <v>2511512.2400000002</v>
      </c>
      <c r="K174" s="93"/>
      <c r="M174" s="46">
        <v>150350.57999999999</v>
      </c>
      <c r="N174" s="46">
        <v>0</v>
      </c>
      <c r="O174" s="46">
        <v>2437182.9</v>
      </c>
      <c r="P174" s="98"/>
      <c r="Q174" s="23" t="s">
        <v>1383</v>
      </c>
      <c r="R174" s="24" t="s">
        <v>1319</v>
      </c>
      <c r="S174" s="25" t="s">
        <v>412</v>
      </c>
      <c r="T174" s="26">
        <v>0</v>
      </c>
      <c r="U174" s="26">
        <v>154935.98000000001</v>
      </c>
      <c r="V174" s="26">
        <f t="shared" si="31"/>
        <v>16.21</v>
      </c>
      <c r="W174" s="127">
        <f t="shared" si="23"/>
        <v>0</v>
      </c>
      <c r="X174" s="127">
        <f t="shared" si="24"/>
        <v>150350.57999999999</v>
      </c>
      <c r="Y174" s="127">
        <f t="shared" si="25"/>
        <v>0</v>
      </c>
      <c r="Z174" s="127">
        <f t="shared" si="27"/>
        <v>2437182.9</v>
      </c>
      <c r="AA174" s="27"/>
      <c r="AB174" s="36" t="s">
        <v>16</v>
      </c>
      <c r="AC174" s="181">
        <f t="shared" si="28"/>
        <v>154935.98000000001</v>
      </c>
      <c r="AD174" s="181">
        <f t="shared" si="26"/>
        <v>2511512.2400000002</v>
      </c>
      <c r="AE174" s="181">
        <v>1.3</v>
      </c>
      <c r="AF174" s="181">
        <v>1.3</v>
      </c>
      <c r="AG174" s="101" t="str">
        <f t="shared" si="29"/>
        <v/>
      </c>
      <c r="AH174" s="191">
        <v>150350.57999999999</v>
      </c>
      <c r="AI174" s="69">
        <f t="shared" si="30"/>
        <v>150400</v>
      </c>
    </row>
    <row r="175" spans="1:35" ht="33" x14ac:dyDescent="0.3">
      <c r="A175" s="134" t="s">
        <v>1320</v>
      </c>
      <c r="B175" s="135" t="s">
        <v>1321</v>
      </c>
      <c r="C175" s="204" t="s">
        <v>325</v>
      </c>
      <c r="D175" s="133"/>
      <c r="E175" s="78"/>
      <c r="F175" s="62">
        <v>18</v>
      </c>
      <c r="G175" s="62"/>
      <c r="H175" s="62" t="s">
        <v>15</v>
      </c>
      <c r="I175" s="167">
        <v>79588.210000000006</v>
      </c>
      <c r="J175" s="62">
        <v>1432587.78</v>
      </c>
      <c r="K175" s="93"/>
      <c r="M175" s="46">
        <v>18</v>
      </c>
      <c r="N175" s="46">
        <v>0</v>
      </c>
      <c r="O175" s="46">
        <v>1432587.78</v>
      </c>
      <c r="P175" s="98"/>
      <c r="Q175" s="23" t="s">
        <v>1384</v>
      </c>
      <c r="R175" s="24" t="s">
        <v>1321</v>
      </c>
      <c r="S175" s="25" t="s">
        <v>325</v>
      </c>
      <c r="T175" s="26">
        <v>0</v>
      </c>
      <c r="U175" s="26">
        <v>18</v>
      </c>
      <c r="V175" s="26">
        <f t="shared" si="31"/>
        <v>79588.210000000006</v>
      </c>
      <c r="W175" s="127">
        <f t="shared" si="23"/>
        <v>0</v>
      </c>
      <c r="X175" s="127">
        <f t="shared" si="24"/>
        <v>18</v>
      </c>
      <c r="Y175" s="127">
        <f t="shared" si="25"/>
        <v>0</v>
      </c>
      <c r="Z175" s="127">
        <f t="shared" si="27"/>
        <v>1432587.78</v>
      </c>
      <c r="AA175" s="27"/>
      <c r="AB175" s="36" t="s">
        <v>16</v>
      </c>
      <c r="AC175" s="181">
        <f t="shared" si="28"/>
        <v>18</v>
      </c>
      <c r="AD175" s="181">
        <f t="shared" si="26"/>
        <v>1432587.78</v>
      </c>
      <c r="AE175" s="181">
        <v>1.3</v>
      </c>
      <c r="AF175" s="181">
        <v>1.3</v>
      </c>
      <c r="AG175" s="101" t="str">
        <f t="shared" si="29"/>
        <v/>
      </c>
      <c r="AH175" s="194">
        <v>18</v>
      </c>
      <c r="AI175" s="69">
        <f t="shared" si="30"/>
        <v>18</v>
      </c>
    </row>
    <row r="176" spans="1:35" ht="39" x14ac:dyDescent="0.3">
      <c r="A176" s="134" t="s">
        <v>1322</v>
      </c>
      <c r="B176" s="135" t="s">
        <v>1323</v>
      </c>
      <c r="C176" s="204" t="s">
        <v>325</v>
      </c>
      <c r="D176" s="133"/>
      <c r="E176" s="78"/>
      <c r="F176" s="62">
        <v>2</v>
      </c>
      <c r="G176" s="62"/>
      <c r="H176" s="62">
        <v>3</v>
      </c>
      <c r="I176" s="167">
        <v>120491.2</v>
      </c>
      <c r="J176" s="62">
        <v>361473.6</v>
      </c>
      <c r="K176" s="93"/>
      <c r="M176" s="46">
        <v>3</v>
      </c>
      <c r="N176" s="46">
        <v>0</v>
      </c>
      <c r="O176" s="46">
        <v>361473.6</v>
      </c>
      <c r="P176" s="98"/>
      <c r="Q176" s="23" t="s">
        <v>1385</v>
      </c>
      <c r="R176" s="24" t="s">
        <v>1323</v>
      </c>
      <c r="S176" s="25" t="s">
        <v>325</v>
      </c>
      <c r="T176" s="26">
        <v>0</v>
      </c>
      <c r="U176" s="26">
        <v>3</v>
      </c>
      <c r="V176" s="26">
        <f t="shared" si="31"/>
        <v>120491.2</v>
      </c>
      <c r="W176" s="128">
        <f t="shared" si="23"/>
        <v>0</v>
      </c>
      <c r="X176" s="127">
        <f t="shared" si="24"/>
        <v>3</v>
      </c>
      <c r="Y176" s="127">
        <f t="shared" si="25"/>
        <v>0</v>
      </c>
      <c r="Z176" s="127">
        <f t="shared" si="27"/>
        <v>361473.6</v>
      </c>
      <c r="AA176" s="27"/>
      <c r="AB176" s="36" t="s">
        <v>16</v>
      </c>
      <c r="AC176" s="181">
        <f t="shared" si="28"/>
        <v>3</v>
      </c>
      <c r="AD176" s="181">
        <f t="shared" si="26"/>
        <v>361473.6</v>
      </c>
      <c r="AE176" s="181">
        <v>1.3</v>
      </c>
      <c r="AF176" s="181">
        <v>1.3</v>
      </c>
      <c r="AG176" s="101" t="str">
        <f t="shared" si="29"/>
        <v>超估</v>
      </c>
      <c r="AH176" s="191">
        <v>3</v>
      </c>
      <c r="AI176" s="69">
        <f t="shared" si="30"/>
        <v>2</v>
      </c>
    </row>
    <row r="177" spans="1:35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4"/>
      <c r="H177" s="84" t="s">
        <v>15</v>
      </c>
      <c r="I177" s="82"/>
      <c r="J177" s="82">
        <v>25916103.719999999</v>
      </c>
      <c r="K177" s="94" t="s">
        <v>15</v>
      </c>
      <c r="L177" s="73"/>
      <c r="M177" s="45">
        <v>1</v>
      </c>
      <c r="N177" s="45">
        <v>0</v>
      </c>
      <c r="O177" s="45">
        <v>22861804.32</v>
      </c>
      <c r="P177" s="98"/>
      <c r="Q177" s="18" t="s">
        <v>1386</v>
      </c>
      <c r="R177" s="19" t="s">
        <v>488</v>
      </c>
      <c r="S177" s="20" t="s">
        <v>14</v>
      </c>
      <c r="T177" s="21">
        <v>1</v>
      </c>
      <c r="U177" s="21"/>
      <c r="V177" s="21">
        <f>SUMIFS(AD:AD,AE:AE,AE177)</f>
        <v>25916103.719999999</v>
      </c>
      <c r="W177" s="21">
        <f t="shared" ref="W177:X177" si="32">IF(Y177=0,0,1)</f>
        <v>0</v>
      </c>
      <c r="X177" s="21">
        <f t="shared" si="32"/>
        <v>1</v>
      </c>
      <c r="Y177" s="21">
        <f>SUMIFS(Y:Y,AF:AF,AE177)</f>
        <v>0</v>
      </c>
      <c r="Z177" s="21">
        <f>SUMIFS(Z:Z,AF:AF,AE177)</f>
        <v>22861804.32</v>
      </c>
      <c r="AA177" s="22" t="s">
        <v>15</v>
      </c>
      <c r="AB177" s="43" t="s">
        <v>16</v>
      </c>
      <c r="AC177" s="181">
        <f t="shared" si="28"/>
        <v>1</v>
      </c>
      <c r="AD177" s="184"/>
      <c r="AE177" s="184">
        <v>1.4</v>
      </c>
      <c r="AF177" s="184"/>
      <c r="AG177" s="101" t="str">
        <f t="shared" si="29"/>
        <v/>
      </c>
      <c r="AH177" s="190">
        <v>1</v>
      </c>
      <c r="AI177" s="69">
        <f t="shared" si="30"/>
        <v>1</v>
      </c>
    </row>
    <row r="178" spans="1:35" s="69" customFormat="1" ht="39" x14ac:dyDescent="0.3">
      <c r="A178" s="130" t="s">
        <v>489</v>
      </c>
      <c r="B178" s="131" t="s">
        <v>392</v>
      </c>
      <c r="C178" s="132" t="s">
        <v>23</v>
      </c>
      <c r="D178" s="133">
        <v>20</v>
      </c>
      <c r="E178" s="75"/>
      <c r="F178" s="75"/>
      <c r="G178" s="75"/>
      <c r="H178" s="75" t="s">
        <v>15</v>
      </c>
      <c r="I178" s="75">
        <v>3115.13</v>
      </c>
      <c r="J178" s="75">
        <v>62302.6</v>
      </c>
      <c r="K178" s="91" t="s">
        <v>114</v>
      </c>
      <c r="L178" s="73"/>
      <c r="M178" s="46">
        <v>19.45</v>
      </c>
      <c r="N178" s="46">
        <v>0</v>
      </c>
      <c r="O178" s="46">
        <v>60589.279999999999</v>
      </c>
      <c r="P178" s="98"/>
      <c r="Q178" s="23" t="s">
        <v>1421</v>
      </c>
      <c r="R178" s="24" t="s">
        <v>392</v>
      </c>
      <c r="S178" s="25" t="s">
        <v>23</v>
      </c>
      <c r="T178" s="26">
        <v>20</v>
      </c>
      <c r="U178" s="26">
        <v>20</v>
      </c>
      <c r="V178" s="26">
        <f t="shared" ref="V178:V201" si="33">I178</f>
        <v>3115.13</v>
      </c>
      <c r="W178" s="127">
        <f t="shared" ref="W178:W201" si="34">AH178-M178</f>
        <v>0</v>
      </c>
      <c r="X178" s="127">
        <f t="shared" ref="X178:X241" si="35">W178+M178</f>
        <v>19.45</v>
      </c>
      <c r="Y178" s="127">
        <f t="shared" ref="Y178:Y201" si="36">Z178-O178</f>
        <v>0</v>
      </c>
      <c r="Z178" s="127">
        <f t="shared" si="27"/>
        <v>60589.279999999999</v>
      </c>
      <c r="AA178" s="33" t="s">
        <v>15</v>
      </c>
      <c r="AB178" s="36" t="s">
        <v>16</v>
      </c>
      <c r="AC178" s="181">
        <f t="shared" si="28"/>
        <v>20</v>
      </c>
      <c r="AD178" s="181">
        <f t="shared" ref="AD178:AD219" si="37">ROUND(V178*AC178,2)</f>
        <v>62302.6</v>
      </c>
      <c r="AE178" s="181">
        <v>1.4</v>
      </c>
      <c r="AF178" s="181">
        <v>1.4</v>
      </c>
      <c r="AG178" s="101" t="str">
        <f t="shared" si="29"/>
        <v/>
      </c>
      <c r="AH178" s="191">
        <v>19.45</v>
      </c>
      <c r="AI178" s="69">
        <f t="shared" si="30"/>
        <v>20</v>
      </c>
    </row>
    <row r="179" spans="1:35" s="69" customFormat="1" ht="39" x14ac:dyDescent="0.3">
      <c r="A179" s="130" t="s">
        <v>490</v>
      </c>
      <c r="B179" s="131" t="s">
        <v>116</v>
      </c>
      <c r="C179" s="132" t="s">
        <v>23</v>
      </c>
      <c r="D179" s="133">
        <v>354</v>
      </c>
      <c r="E179" s="75"/>
      <c r="F179" s="75"/>
      <c r="G179" s="75"/>
      <c r="H179" s="75" t="s">
        <v>15</v>
      </c>
      <c r="I179" s="75">
        <v>3321.13</v>
      </c>
      <c r="J179" s="75">
        <v>1175680.02</v>
      </c>
      <c r="K179" s="91" t="s">
        <v>117</v>
      </c>
      <c r="L179" s="73"/>
      <c r="M179" s="46">
        <v>326.60000000000002</v>
      </c>
      <c r="N179" s="46">
        <v>0</v>
      </c>
      <c r="O179" s="46">
        <v>1084681.06</v>
      </c>
      <c r="P179" s="98"/>
      <c r="Q179" s="23" t="s">
        <v>1426</v>
      </c>
      <c r="R179" s="24" t="s">
        <v>116</v>
      </c>
      <c r="S179" s="25" t="s">
        <v>23</v>
      </c>
      <c r="T179" s="26">
        <v>354</v>
      </c>
      <c r="U179" s="26">
        <v>354</v>
      </c>
      <c r="V179" s="26">
        <f t="shared" si="33"/>
        <v>3321.13</v>
      </c>
      <c r="W179" s="127">
        <f t="shared" si="34"/>
        <v>0</v>
      </c>
      <c r="X179" s="127">
        <f t="shared" si="35"/>
        <v>326.60000000000002</v>
      </c>
      <c r="Y179" s="127">
        <f t="shared" si="36"/>
        <v>0</v>
      </c>
      <c r="Z179" s="127">
        <f t="shared" si="27"/>
        <v>1084681.06</v>
      </c>
      <c r="AA179" s="33" t="s">
        <v>15</v>
      </c>
      <c r="AB179" s="36" t="s">
        <v>16</v>
      </c>
      <c r="AC179" s="181">
        <f t="shared" si="28"/>
        <v>354</v>
      </c>
      <c r="AD179" s="181">
        <f t="shared" si="37"/>
        <v>1175680.02</v>
      </c>
      <c r="AE179" s="181">
        <v>1.4</v>
      </c>
      <c r="AF179" s="181">
        <v>1.4</v>
      </c>
      <c r="AG179" s="101" t="str">
        <f t="shared" si="29"/>
        <v/>
      </c>
      <c r="AH179" s="191">
        <v>326.60000000000002</v>
      </c>
      <c r="AI179" s="69">
        <f t="shared" si="30"/>
        <v>354</v>
      </c>
    </row>
    <row r="180" spans="1:35" s="69" customFormat="1" ht="39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203"/>
      <c r="F180" s="203"/>
      <c r="G180" s="203"/>
      <c r="H180" s="203" t="s">
        <v>15</v>
      </c>
      <c r="I180" s="75">
        <v>3643.73</v>
      </c>
      <c r="J180" s="75">
        <v>0</v>
      </c>
      <c r="K180" s="91" t="s">
        <v>396</v>
      </c>
      <c r="L180" s="73"/>
      <c r="M180" s="46">
        <v>0</v>
      </c>
      <c r="N180" s="46">
        <v>0</v>
      </c>
      <c r="O180" s="46">
        <v>0</v>
      </c>
      <c r="P180" s="98"/>
      <c r="Q180" s="23" t="s">
        <v>1402</v>
      </c>
      <c r="R180" s="24" t="s">
        <v>395</v>
      </c>
      <c r="S180" s="25" t="s">
        <v>23</v>
      </c>
      <c r="T180" s="26">
        <v>690</v>
      </c>
      <c r="U180" s="26">
        <v>0</v>
      </c>
      <c r="V180" s="26">
        <f t="shared" si="33"/>
        <v>3643.73</v>
      </c>
      <c r="W180" s="127">
        <f t="shared" si="34"/>
        <v>0</v>
      </c>
      <c r="X180" s="127">
        <f t="shared" si="35"/>
        <v>0</v>
      </c>
      <c r="Y180" s="127">
        <f t="shared" si="36"/>
        <v>0</v>
      </c>
      <c r="Z180" s="127">
        <f t="shared" si="27"/>
        <v>0</v>
      </c>
      <c r="AA180" s="33" t="s">
        <v>15</v>
      </c>
      <c r="AB180" s="36" t="s">
        <v>16</v>
      </c>
      <c r="AC180" s="181">
        <f t="shared" si="28"/>
        <v>0</v>
      </c>
      <c r="AD180" s="181">
        <f t="shared" si="37"/>
        <v>0</v>
      </c>
      <c r="AE180" s="181">
        <v>1.4</v>
      </c>
      <c r="AF180" s="181">
        <v>1.4</v>
      </c>
      <c r="AG180" s="101" t="str">
        <f t="shared" si="29"/>
        <v/>
      </c>
      <c r="AH180" s="194">
        <v>0</v>
      </c>
      <c r="AI180" s="69">
        <f t="shared" si="30"/>
        <v>690</v>
      </c>
    </row>
    <row r="181" spans="1:35" s="69" customFormat="1" ht="33" customHeight="1" x14ac:dyDescent="0.3">
      <c r="A181" s="130" t="s">
        <v>492</v>
      </c>
      <c r="B181" s="131" t="s">
        <v>493</v>
      </c>
      <c r="C181" s="132" t="s">
        <v>23</v>
      </c>
      <c r="D181" s="133">
        <v>1065</v>
      </c>
      <c r="E181" s="203"/>
      <c r="F181" s="203"/>
      <c r="G181" s="203"/>
      <c r="H181" s="203">
        <v>1900.83</v>
      </c>
      <c r="I181" s="75">
        <v>200</v>
      </c>
      <c r="J181" s="75">
        <v>380166</v>
      </c>
      <c r="K181" s="91" t="s">
        <v>494</v>
      </c>
      <c r="L181" s="73"/>
      <c r="M181" s="46">
        <v>1815.71</v>
      </c>
      <c r="N181" s="46">
        <v>0</v>
      </c>
      <c r="O181" s="46">
        <v>363142</v>
      </c>
      <c r="P181" s="98"/>
      <c r="Q181" s="23" t="s">
        <v>1373</v>
      </c>
      <c r="R181" s="24" t="s">
        <v>493</v>
      </c>
      <c r="S181" s="25" t="s">
        <v>23</v>
      </c>
      <c r="T181" s="26">
        <v>1065</v>
      </c>
      <c r="U181" s="26">
        <v>1900.83</v>
      </c>
      <c r="V181" s="26">
        <f t="shared" si="33"/>
        <v>200</v>
      </c>
      <c r="W181" s="127">
        <f>AH181-M181</f>
        <v>0</v>
      </c>
      <c r="X181" s="127">
        <f t="shared" si="35"/>
        <v>1815.71</v>
      </c>
      <c r="Y181" s="127">
        <f t="shared" si="36"/>
        <v>0</v>
      </c>
      <c r="Z181" s="127">
        <f t="shared" si="27"/>
        <v>363142</v>
      </c>
      <c r="AA181" s="33" t="s">
        <v>15</v>
      </c>
      <c r="AB181" s="36" t="s">
        <v>16</v>
      </c>
      <c r="AC181" s="181">
        <f t="shared" si="28"/>
        <v>1900.83</v>
      </c>
      <c r="AD181" s="181">
        <f t="shared" si="37"/>
        <v>380166</v>
      </c>
      <c r="AE181" s="181">
        <v>1.4</v>
      </c>
      <c r="AF181" s="181">
        <v>1.4</v>
      </c>
      <c r="AG181" s="101" t="str">
        <f t="shared" si="29"/>
        <v>超估</v>
      </c>
      <c r="AH181" s="191">
        <v>1815.71</v>
      </c>
      <c r="AI181" s="69">
        <f t="shared" si="30"/>
        <v>1065</v>
      </c>
    </row>
    <row r="182" spans="1:35" s="69" customFormat="1" ht="57.75" x14ac:dyDescent="0.3">
      <c r="A182" s="55" t="s">
        <v>495</v>
      </c>
      <c r="B182" s="53" t="s">
        <v>405</v>
      </c>
      <c r="C182" s="54" t="s">
        <v>50</v>
      </c>
      <c r="D182" s="75">
        <v>1229</v>
      </c>
      <c r="E182" s="203"/>
      <c r="F182" s="203"/>
      <c r="G182" s="203"/>
      <c r="H182" s="203">
        <v>1437.49</v>
      </c>
      <c r="I182" s="75">
        <v>982.98</v>
      </c>
      <c r="J182" s="75">
        <v>1413023.92</v>
      </c>
      <c r="K182" s="91" t="s">
        <v>406</v>
      </c>
      <c r="L182" s="73"/>
      <c r="M182" s="46">
        <v>1349</v>
      </c>
      <c r="N182" s="46">
        <v>0</v>
      </c>
      <c r="O182" s="46">
        <v>1326040.02</v>
      </c>
      <c r="P182" s="98"/>
      <c r="Q182" s="23" t="s">
        <v>1393</v>
      </c>
      <c r="R182" s="24" t="s">
        <v>405</v>
      </c>
      <c r="S182" s="25" t="s">
        <v>50</v>
      </c>
      <c r="T182" s="26">
        <v>1229</v>
      </c>
      <c r="U182" s="26">
        <v>1437.49</v>
      </c>
      <c r="V182" s="26">
        <f t="shared" si="33"/>
        <v>982.98</v>
      </c>
      <c r="W182" s="128">
        <f t="shared" si="34"/>
        <v>0</v>
      </c>
      <c r="X182" s="26">
        <f t="shared" si="35"/>
        <v>1349</v>
      </c>
      <c r="Y182" s="26">
        <f t="shared" si="36"/>
        <v>0</v>
      </c>
      <c r="Z182" s="26">
        <f t="shared" si="27"/>
        <v>1326040.02</v>
      </c>
      <c r="AA182" s="33" t="s">
        <v>15</v>
      </c>
      <c r="AB182" s="36" t="s">
        <v>16</v>
      </c>
      <c r="AC182" s="181">
        <f t="shared" si="28"/>
        <v>1437.49</v>
      </c>
      <c r="AD182" s="181">
        <f t="shared" si="37"/>
        <v>1413023.92</v>
      </c>
      <c r="AE182" s="181">
        <v>1.4</v>
      </c>
      <c r="AF182" s="181">
        <v>1.4</v>
      </c>
      <c r="AG182" s="101" t="str">
        <f t="shared" si="29"/>
        <v>超估</v>
      </c>
      <c r="AH182" s="191">
        <v>1349</v>
      </c>
      <c r="AI182" s="69">
        <f t="shared" si="30"/>
        <v>1229</v>
      </c>
    </row>
    <row r="183" spans="1:35" s="69" customFormat="1" ht="41.25" x14ac:dyDescent="0.3">
      <c r="A183" s="55" t="s">
        <v>496</v>
      </c>
      <c r="B183" s="53" t="s">
        <v>408</v>
      </c>
      <c r="C183" s="54" t="s">
        <v>50</v>
      </c>
      <c r="D183" s="75">
        <v>285</v>
      </c>
      <c r="E183" s="203"/>
      <c r="F183" s="203"/>
      <c r="G183" s="203"/>
      <c r="H183" s="203">
        <v>685.45</v>
      </c>
      <c r="I183" s="75">
        <v>804.79</v>
      </c>
      <c r="J183" s="75">
        <v>551643.31000000006</v>
      </c>
      <c r="K183" s="91" t="s">
        <v>409</v>
      </c>
      <c r="L183" s="73"/>
      <c r="M183" s="46">
        <v>551</v>
      </c>
      <c r="N183" s="46">
        <v>0</v>
      </c>
      <c r="O183" s="46">
        <v>443439.29</v>
      </c>
      <c r="P183" s="98"/>
      <c r="Q183" s="23" t="s">
        <v>1403</v>
      </c>
      <c r="R183" s="24" t="s">
        <v>408</v>
      </c>
      <c r="S183" s="25" t="s">
        <v>50</v>
      </c>
      <c r="T183" s="26">
        <v>285</v>
      </c>
      <c r="U183" s="26">
        <v>685.45</v>
      </c>
      <c r="V183" s="26">
        <f t="shared" si="33"/>
        <v>804.79</v>
      </c>
      <c r="W183" s="243">
        <f t="shared" si="34"/>
        <v>0</v>
      </c>
      <c r="X183" s="199">
        <f t="shared" si="35"/>
        <v>551</v>
      </c>
      <c r="Y183" s="26">
        <f t="shared" si="36"/>
        <v>0</v>
      </c>
      <c r="Z183" s="26">
        <f t="shared" si="27"/>
        <v>443439.29</v>
      </c>
      <c r="AA183" s="33" t="s">
        <v>15</v>
      </c>
      <c r="AB183" s="36" t="s">
        <v>16</v>
      </c>
      <c r="AC183" s="181">
        <f t="shared" si="28"/>
        <v>685.45</v>
      </c>
      <c r="AD183" s="181">
        <f t="shared" si="37"/>
        <v>551643.31000000006</v>
      </c>
      <c r="AE183" s="181">
        <v>1.4</v>
      </c>
      <c r="AF183" s="181">
        <v>1.4</v>
      </c>
      <c r="AG183" s="101" t="str">
        <f t="shared" si="29"/>
        <v>超估</v>
      </c>
      <c r="AH183" s="191">
        <v>551</v>
      </c>
      <c r="AI183" s="69">
        <f t="shared" si="30"/>
        <v>285</v>
      </c>
    </row>
    <row r="184" spans="1:35" s="69" customFormat="1" ht="33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203"/>
      <c r="F184" s="203"/>
      <c r="G184" s="203"/>
      <c r="H184" s="203">
        <v>18482.54</v>
      </c>
      <c r="I184" s="75">
        <v>36.4</v>
      </c>
      <c r="J184" s="75">
        <v>672764.46</v>
      </c>
      <c r="K184" s="91" t="s">
        <v>111</v>
      </c>
      <c r="L184" s="73"/>
      <c r="M184" s="46">
        <v>13110.94</v>
      </c>
      <c r="N184" s="46">
        <v>0</v>
      </c>
      <c r="O184" s="46">
        <v>477238.22</v>
      </c>
      <c r="P184" s="98"/>
      <c r="Q184" s="23" t="s">
        <v>1427</v>
      </c>
      <c r="R184" s="24" t="s">
        <v>109</v>
      </c>
      <c r="S184" s="25" t="s">
        <v>110</v>
      </c>
      <c r="T184" s="26">
        <v>13716</v>
      </c>
      <c r="U184" s="26">
        <v>18482.54</v>
      </c>
      <c r="V184" s="26">
        <f t="shared" si="33"/>
        <v>36.4</v>
      </c>
      <c r="W184" s="127">
        <f t="shared" si="34"/>
        <v>0</v>
      </c>
      <c r="X184" s="127">
        <f t="shared" si="35"/>
        <v>13110.94</v>
      </c>
      <c r="Y184" s="127">
        <f t="shared" si="36"/>
        <v>0</v>
      </c>
      <c r="Z184" s="127">
        <f t="shared" si="27"/>
        <v>477238.22</v>
      </c>
      <c r="AA184" s="33" t="s">
        <v>15</v>
      </c>
      <c r="AB184" s="36" t="s">
        <v>16</v>
      </c>
      <c r="AC184" s="181">
        <f t="shared" si="28"/>
        <v>18482.54</v>
      </c>
      <c r="AD184" s="181">
        <f t="shared" si="37"/>
        <v>672764.46</v>
      </c>
      <c r="AE184" s="181">
        <v>1.4</v>
      </c>
      <c r="AF184" s="181">
        <v>1.4</v>
      </c>
      <c r="AG184" s="101" t="str">
        <f t="shared" si="29"/>
        <v/>
      </c>
      <c r="AH184" s="191">
        <v>13110.94</v>
      </c>
      <c r="AI184" s="69">
        <f t="shared" si="30"/>
        <v>13716</v>
      </c>
    </row>
    <row r="185" spans="1:35" s="69" customFormat="1" ht="39" x14ac:dyDescent="0.3">
      <c r="A185" s="55" t="s">
        <v>498</v>
      </c>
      <c r="B185" s="53" t="s">
        <v>399</v>
      </c>
      <c r="C185" s="54" t="s">
        <v>110</v>
      </c>
      <c r="D185" s="75">
        <v>13810</v>
      </c>
      <c r="E185" s="203"/>
      <c r="F185" s="203"/>
      <c r="G185" s="203"/>
      <c r="H185" s="203">
        <v>36577.19</v>
      </c>
      <c r="I185" s="75">
        <v>38.71</v>
      </c>
      <c r="J185" s="75">
        <v>1415903.02</v>
      </c>
      <c r="K185" s="91" t="s">
        <v>400</v>
      </c>
      <c r="L185" s="73"/>
      <c r="M185" s="46">
        <v>28173</v>
      </c>
      <c r="N185" s="46">
        <v>0</v>
      </c>
      <c r="O185" s="46">
        <v>1090576.83</v>
      </c>
      <c r="P185" s="98"/>
      <c r="Q185" s="23" t="s">
        <v>1428</v>
      </c>
      <c r="R185" s="24" t="s">
        <v>399</v>
      </c>
      <c r="S185" s="25" t="s">
        <v>110</v>
      </c>
      <c r="T185" s="26">
        <v>13810</v>
      </c>
      <c r="U185" s="26">
        <v>36577.19</v>
      </c>
      <c r="V185" s="26">
        <f t="shared" si="33"/>
        <v>38.71</v>
      </c>
      <c r="W185" s="128">
        <f t="shared" si="34"/>
        <v>0</v>
      </c>
      <c r="X185" s="26">
        <f t="shared" si="35"/>
        <v>28173</v>
      </c>
      <c r="Y185" s="26">
        <f t="shared" si="36"/>
        <v>0</v>
      </c>
      <c r="Z185" s="26">
        <f t="shared" si="27"/>
        <v>1090576.83</v>
      </c>
      <c r="AA185" s="33" t="s">
        <v>15</v>
      </c>
      <c r="AB185" s="36" t="s">
        <v>16</v>
      </c>
      <c r="AC185" s="181">
        <f t="shared" si="28"/>
        <v>36577.19</v>
      </c>
      <c r="AD185" s="181">
        <f t="shared" si="37"/>
        <v>1415903.02</v>
      </c>
      <c r="AE185" s="181">
        <v>1.4</v>
      </c>
      <c r="AF185" s="181">
        <v>1.4</v>
      </c>
      <c r="AG185" s="101" t="str">
        <f t="shared" si="29"/>
        <v>超估</v>
      </c>
      <c r="AH185" s="191">
        <v>28173</v>
      </c>
      <c r="AI185" s="69">
        <f t="shared" si="30"/>
        <v>13810</v>
      </c>
    </row>
    <row r="186" spans="1:35" s="69" customFormat="1" ht="33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203"/>
      <c r="F186" s="203">
        <v>754.47</v>
      </c>
      <c r="G186" s="203"/>
      <c r="H186" s="203">
        <v>762.55</v>
      </c>
      <c r="I186" s="75">
        <v>2510.79</v>
      </c>
      <c r="J186" s="75">
        <v>1914602.91</v>
      </c>
      <c r="K186" s="91" t="s">
        <v>501</v>
      </c>
      <c r="L186" s="73"/>
      <c r="M186" s="46">
        <v>754.3</v>
      </c>
      <c r="N186" s="46">
        <v>0</v>
      </c>
      <c r="O186" s="46">
        <v>1893888.9</v>
      </c>
      <c r="P186" s="98"/>
      <c r="Q186" s="23" t="s">
        <v>1387</v>
      </c>
      <c r="R186" s="24" t="s">
        <v>500</v>
      </c>
      <c r="S186" s="25" t="s">
        <v>50</v>
      </c>
      <c r="T186" s="26">
        <v>699</v>
      </c>
      <c r="U186" s="26">
        <v>762.55</v>
      </c>
      <c r="V186" s="26">
        <f t="shared" si="33"/>
        <v>2510.79</v>
      </c>
      <c r="W186" s="127">
        <f t="shared" si="34"/>
        <v>0</v>
      </c>
      <c r="X186" s="127">
        <f t="shared" si="35"/>
        <v>754.3</v>
      </c>
      <c r="Y186" s="127">
        <f t="shared" si="36"/>
        <v>0</v>
      </c>
      <c r="Z186" s="127">
        <f t="shared" si="27"/>
        <v>1893888.9</v>
      </c>
      <c r="AA186" s="27"/>
      <c r="AB186" s="36" t="s">
        <v>16</v>
      </c>
      <c r="AC186" s="181">
        <f t="shared" si="28"/>
        <v>762.55</v>
      </c>
      <c r="AD186" s="181">
        <f t="shared" si="37"/>
        <v>1914602.91</v>
      </c>
      <c r="AE186" s="181">
        <v>1.4</v>
      </c>
      <c r="AF186" s="181">
        <v>1.4</v>
      </c>
      <c r="AG186" s="101" t="str">
        <f t="shared" si="29"/>
        <v/>
      </c>
      <c r="AH186" s="191">
        <v>754.3</v>
      </c>
      <c r="AI186" s="69">
        <f t="shared" si="30"/>
        <v>754.47</v>
      </c>
    </row>
    <row r="187" spans="1:35" s="69" customFormat="1" ht="39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203"/>
      <c r="F187" s="203"/>
      <c r="G187" s="203"/>
      <c r="H187" s="203">
        <v>318.56</v>
      </c>
      <c r="I187" s="75">
        <v>3298.06</v>
      </c>
      <c r="J187" s="75">
        <v>1050629.99</v>
      </c>
      <c r="K187" s="91" t="s">
        <v>504</v>
      </c>
      <c r="L187" s="73"/>
      <c r="M187" s="46">
        <v>304.60000000000002</v>
      </c>
      <c r="N187" s="46">
        <v>0</v>
      </c>
      <c r="O187" s="46">
        <v>1004589.08</v>
      </c>
      <c r="P187" s="98"/>
      <c r="Q187" s="23" t="s">
        <v>1405</v>
      </c>
      <c r="R187" s="24" t="s">
        <v>503</v>
      </c>
      <c r="S187" s="25" t="s">
        <v>103</v>
      </c>
      <c r="T187" s="26">
        <v>275</v>
      </c>
      <c r="U187" s="26">
        <v>318.56</v>
      </c>
      <c r="V187" s="26">
        <f t="shared" si="33"/>
        <v>3298.06</v>
      </c>
      <c r="W187" s="127">
        <f t="shared" si="34"/>
        <v>0</v>
      </c>
      <c r="X187" s="127">
        <f t="shared" si="35"/>
        <v>304.60000000000002</v>
      </c>
      <c r="Y187" s="127">
        <f t="shared" si="36"/>
        <v>0</v>
      </c>
      <c r="Z187" s="127">
        <f t="shared" si="27"/>
        <v>1004589.08</v>
      </c>
      <c r="AA187" s="33"/>
      <c r="AB187" s="36" t="s">
        <v>16</v>
      </c>
      <c r="AC187" s="181">
        <f t="shared" si="28"/>
        <v>318.56</v>
      </c>
      <c r="AD187" s="181">
        <f t="shared" si="37"/>
        <v>1050629.99</v>
      </c>
      <c r="AE187" s="181">
        <v>1.4</v>
      </c>
      <c r="AF187" s="181">
        <v>1.4</v>
      </c>
      <c r="AG187" s="101" t="str">
        <f t="shared" si="29"/>
        <v>超估</v>
      </c>
      <c r="AH187" s="191">
        <v>304.60000000000002</v>
      </c>
      <c r="AI187" s="69">
        <f t="shared" si="30"/>
        <v>275</v>
      </c>
    </row>
    <row r="188" spans="1:35" s="69" customFormat="1" ht="39" x14ac:dyDescent="0.3">
      <c r="A188" s="130" t="s">
        <v>505</v>
      </c>
      <c r="B188" s="131" t="s">
        <v>506</v>
      </c>
      <c r="C188" s="132" t="s">
        <v>50</v>
      </c>
      <c r="D188" s="133">
        <v>203</v>
      </c>
      <c r="E188" s="75"/>
      <c r="F188" s="75"/>
      <c r="G188" s="75"/>
      <c r="H188" s="75">
        <v>418.05</v>
      </c>
      <c r="I188" s="75">
        <v>2952.19</v>
      </c>
      <c r="J188" s="75">
        <v>1234163.03</v>
      </c>
      <c r="K188" s="91" t="s">
        <v>507</v>
      </c>
      <c r="L188" s="73"/>
      <c r="M188" s="46">
        <v>392.5</v>
      </c>
      <c r="N188" s="46">
        <v>0</v>
      </c>
      <c r="O188" s="46">
        <v>1158734.58</v>
      </c>
      <c r="P188" s="98"/>
      <c r="Q188" s="23" t="s">
        <v>1406</v>
      </c>
      <c r="R188" s="24" t="s">
        <v>506</v>
      </c>
      <c r="S188" s="25" t="s">
        <v>50</v>
      </c>
      <c r="T188" s="26">
        <v>203</v>
      </c>
      <c r="U188" s="26">
        <v>418.05</v>
      </c>
      <c r="V188" s="26">
        <f t="shared" si="33"/>
        <v>2952.19</v>
      </c>
      <c r="W188" s="127">
        <f t="shared" si="34"/>
        <v>0</v>
      </c>
      <c r="X188" s="127">
        <f t="shared" si="35"/>
        <v>392.5</v>
      </c>
      <c r="Y188" s="127">
        <f t="shared" si="36"/>
        <v>0</v>
      </c>
      <c r="Z188" s="127">
        <f t="shared" si="27"/>
        <v>1158734.58</v>
      </c>
      <c r="AA188" s="33" t="s">
        <v>15</v>
      </c>
      <c r="AB188" s="36" t="s">
        <v>16</v>
      </c>
      <c r="AC188" s="181">
        <f t="shared" si="28"/>
        <v>418.05</v>
      </c>
      <c r="AD188" s="181">
        <f t="shared" si="37"/>
        <v>1234163.03</v>
      </c>
      <c r="AE188" s="181">
        <v>1.4</v>
      </c>
      <c r="AF188" s="181">
        <v>1.4</v>
      </c>
      <c r="AG188" s="101" t="str">
        <f t="shared" si="29"/>
        <v>超估</v>
      </c>
      <c r="AH188" s="191">
        <v>392.5</v>
      </c>
      <c r="AI188" s="69">
        <f t="shared" si="30"/>
        <v>203</v>
      </c>
    </row>
    <row r="189" spans="1:35" s="69" customFormat="1" ht="33" x14ac:dyDescent="0.3">
      <c r="A189" s="130" t="s">
        <v>508</v>
      </c>
      <c r="B189" s="131" t="s">
        <v>509</v>
      </c>
      <c r="C189" s="132" t="s">
        <v>50</v>
      </c>
      <c r="D189" s="133">
        <v>405</v>
      </c>
      <c r="E189" s="75"/>
      <c r="F189" s="75"/>
      <c r="G189" s="75"/>
      <c r="H189" s="75" t="s">
        <v>15</v>
      </c>
      <c r="I189" s="75">
        <v>1454.57</v>
      </c>
      <c r="J189" s="75">
        <v>589100.85</v>
      </c>
      <c r="K189" s="91" t="s">
        <v>510</v>
      </c>
      <c r="L189" s="73"/>
      <c r="M189" s="46">
        <v>405</v>
      </c>
      <c r="N189" s="46">
        <v>0</v>
      </c>
      <c r="O189" s="46">
        <v>589100.85</v>
      </c>
      <c r="P189" s="98"/>
      <c r="Q189" s="23" t="s">
        <v>1414</v>
      </c>
      <c r="R189" s="24" t="s">
        <v>509</v>
      </c>
      <c r="S189" s="25" t="s">
        <v>50</v>
      </c>
      <c r="T189" s="26">
        <v>405</v>
      </c>
      <c r="U189" s="26">
        <v>405</v>
      </c>
      <c r="V189" s="26">
        <f t="shared" si="33"/>
        <v>1454.57</v>
      </c>
      <c r="W189" s="127">
        <f t="shared" si="34"/>
        <v>0</v>
      </c>
      <c r="X189" s="127">
        <f t="shared" si="35"/>
        <v>405</v>
      </c>
      <c r="Y189" s="127">
        <f t="shared" si="36"/>
        <v>0</v>
      </c>
      <c r="Z189" s="127">
        <f t="shared" si="27"/>
        <v>589100.85</v>
      </c>
      <c r="AA189" s="33" t="s">
        <v>15</v>
      </c>
      <c r="AB189" s="36" t="s">
        <v>16</v>
      </c>
      <c r="AC189" s="181">
        <f t="shared" si="28"/>
        <v>405</v>
      </c>
      <c r="AD189" s="181">
        <f t="shared" si="37"/>
        <v>589100.85</v>
      </c>
      <c r="AE189" s="181">
        <v>1.4</v>
      </c>
      <c r="AF189" s="181">
        <v>1.4</v>
      </c>
      <c r="AG189" s="101" t="str">
        <f t="shared" si="29"/>
        <v/>
      </c>
      <c r="AH189" s="194">
        <v>405</v>
      </c>
      <c r="AI189" s="69">
        <f t="shared" si="30"/>
        <v>405</v>
      </c>
    </row>
    <row r="190" spans="1:35" s="69" customFormat="1" ht="58.5" x14ac:dyDescent="0.3">
      <c r="A190" s="130" t="s">
        <v>511</v>
      </c>
      <c r="B190" s="131" t="s">
        <v>512</v>
      </c>
      <c r="C190" s="132" t="s">
        <v>513</v>
      </c>
      <c r="D190" s="133">
        <v>372</v>
      </c>
      <c r="E190" s="75"/>
      <c r="F190" s="75"/>
      <c r="G190" s="75"/>
      <c r="H190" s="75" t="s">
        <v>15</v>
      </c>
      <c r="I190" s="75">
        <v>435</v>
      </c>
      <c r="J190" s="75">
        <v>161820</v>
      </c>
      <c r="K190" s="91" t="s">
        <v>514</v>
      </c>
      <c r="L190" s="73"/>
      <c r="M190" s="46">
        <v>292</v>
      </c>
      <c r="N190" s="46">
        <v>0</v>
      </c>
      <c r="O190" s="46">
        <v>127020</v>
      </c>
      <c r="P190" s="98"/>
      <c r="Q190" s="23" t="s">
        <v>1429</v>
      </c>
      <c r="R190" s="24" t="s">
        <v>512</v>
      </c>
      <c r="S190" s="25" t="s">
        <v>513</v>
      </c>
      <c r="T190" s="26">
        <v>372</v>
      </c>
      <c r="U190" s="26">
        <v>372</v>
      </c>
      <c r="V190" s="26">
        <f t="shared" si="33"/>
        <v>435</v>
      </c>
      <c r="W190" s="127">
        <f t="shared" si="34"/>
        <v>0</v>
      </c>
      <c r="X190" s="127">
        <f t="shared" si="35"/>
        <v>292</v>
      </c>
      <c r="Y190" s="127">
        <f t="shared" si="36"/>
        <v>0</v>
      </c>
      <c r="Z190" s="127">
        <f t="shared" si="27"/>
        <v>127020</v>
      </c>
      <c r="AA190" s="33" t="s">
        <v>15</v>
      </c>
      <c r="AB190" s="36" t="s">
        <v>16</v>
      </c>
      <c r="AC190" s="181">
        <f t="shared" si="28"/>
        <v>372</v>
      </c>
      <c r="AD190" s="181">
        <f t="shared" si="37"/>
        <v>161820</v>
      </c>
      <c r="AE190" s="181">
        <v>1.4</v>
      </c>
      <c r="AF190" s="181">
        <v>1.4</v>
      </c>
      <c r="AG190" s="101" t="str">
        <f t="shared" si="29"/>
        <v/>
      </c>
      <c r="AH190" s="194">
        <v>292</v>
      </c>
      <c r="AI190" s="69">
        <f t="shared" si="30"/>
        <v>372</v>
      </c>
    </row>
    <row r="191" spans="1:35" s="69" customFormat="1" ht="33" x14ac:dyDescent="0.3">
      <c r="A191" s="130" t="s">
        <v>515</v>
      </c>
      <c r="B191" s="131" t="s">
        <v>516</v>
      </c>
      <c r="C191" s="132" t="s">
        <v>50</v>
      </c>
      <c r="D191" s="133">
        <v>1984</v>
      </c>
      <c r="E191" s="75"/>
      <c r="F191" s="75"/>
      <c r="G191" s="75"/>
      <c r="H191" s="75" t="s">
        <v>15</v>
      </c>
      <c r="I191" s="75">
        <v>885.8</v>
      </c>
      <c r="J191" s="75">
        <v>1757427.2</v>
      </c>
      <c r="K191" s="91" t="s">
        <v>517</v>
      </c>
      <c r="L191" s="73"/>
      <c r="M191" s="46">
        <v>1796.5</v>
      </c>
      <c r="N191" s="46">
        <v>0</v>
      </c>
      <c r="O191" s="46">
        <v>1591339.7</v>
      </c>
      <c r="P191" s="98"/>
      <c r="Q191" s="23" t="s">
        <v>1430</v>
      </c>
      <c r="R191" s="24" t="s">
        <v>516</v>
      </c>
      <c r="S191" s="25" t="s">
        <v>50</v>
      </c>
      <c r="T191" s="26">
        <v>1984</v>
      </c>
      <c r="U191" s="26">
        <v>1984</v>
      </c>
      <c r="V191" s="26">
        <f t="shared" si="33"/>
        <v>885.8</v>
      </c>
      <c r="W191" s="127">
        <f t="shared" si="34"/>
        <v>0</v>
      </c>
      <c r="X191" s="127">
        <f t="shared" si="35"/>
        <v>1796.5</v>
      </c>
      <c r="Y191" s="127">
        <f t="shared" si="36"/>
        <v>0</v>
      </c>
      <c r="Z191" s="127">
        <f t="shared" si="27"/>
        <v>1591339.7</v>
      </c>
      <c r="AA191" s="33" t="s">
        <v>15</v>
      </c>
      <c r="AB191" s="36" t="s">
        <v>16</v>
      </c>
      <c r="AC191" s="181">
        <f t="shared" si="28"/>
        <v>1984</v>
      </c>
      <c r="AD191" s="181">
        <f t="shared" si="37"/>
        <v>1757427.2</v>
      </c>
      <c r="AE191" s="181">
        <v>1.4</v>
      </c>
      <c r="AF191" s="181">
        <v>1.4</v>
      </c>
      <c r="AG191" s="101" t="str">
        <f t="shared" si="29"/>
        <v/>
      </c>
      <c r="AH191" s="190">
        <v>1796.5</v>
      </c>
      <c r="AI191" s="69">
        <f t="shared" si="30"/>
        <v>1984</v>
      </c>
    </row>
    <row r="192" spans="1:35" s="69" customFormat="1" ht="33" x14ac:dyDescent="0.3">
      <c r="A192" s="130" t="s">
        <v>518</v>
      </c>
      <c r="B192" s="131" t="s">
        <v>189</v>
      </c>
      <c r="C192" s="132" t="s">
        <v>30</v>
      </c>
      <c r="D192" s="133">
        <v>45</v>
      </c>
      <c r="E192" s="75"/>
      <c r="F192" s="75"/>
      <c r="G192" s="75"/>
      <c r="H192" s="75" t="s">
        <v>15</v>
      </c>
      <c r="I192" s="75">
        <v>138.84</v>
      </c>
      <c r="J192" s="75">
        <v>6247.8</v>
      </c>
      <c r="K192" s="91" t="s">
        <v>190</v>
      </c>
      <c r="L192" s="73"/>
      <c r="M192" s="46">
        <v>36.96</v>
      </c>
      <c r="N192" s="46">
        <v>0</v>
      </c>
      <c r="O192" s="46">
        <v>5131.53</v>
      </c>
      <c r="P192" s="98"/>
      <c r="Q192" s="23" t="s">
        <v>1431</v>
      </c>
      <c r="R192" s="24" t="s">
        <v>189</v>
      </c>
      <c r="S192" s="25" t="s">
        <v>30</v>
      </c>
      <c r="T192" s="26">
        <v>45</v>
      </c>
      <c r="U192" s="26">
        <v>45</v>
      </c>
      <c r="V192" s="26">
        <f t="shared" si="33"/>
        <v>138.84</v>
      </c>
      <c r="W192" s="127">
        <f t="shared" si="34"/>
        <v>0</v>
      </c>
      <c r="X192" s="127">
        <f t="shared" si="35"/>
        <v>36.96</v>
      </c>
      <c r="Y192" s="127">
        <f t="shared" si="36"/>
        <v>0</v>
      </c>
      <c r="Z192" s="127">
        <f t="shared" si="27"/>
        <v>5131.53</v>
      </c>
      <c r="AA192" s="33" t="s">
        <v>15</v>
      </c>
      <c r="AB192" s="36" t="s">
        <v>16</v>
      </c>
      <c r="AC192" s="181">
        <f t="shared" si="28"/>
        <v>45</v>
      </c>
      <c r="AD192" s="181">
        <f t="shared" si="37"/>
        <v>6247.8</v>
      </c>
      <c r="AE192" s="181">
        <v>1.4</v>
      </c>
      <c r="AF192" s="181">
        <v>1.4</v>
      </c>
      <c r="AG192" s="101" t="str">
        <f t="shared" si="29"/>
        <v/>
      </c>
      <c r="AH192" s="194">
        <v>36.96</v>
      </c>
      <c r="AI192" s="69">
        <f t="shared" si="30"/>
        <v>45</v>
      </c>
    </row>
    <row r="193" spans="1:38" s="69" customFormat="1" ht="33" x14ac:dyDescent="0.3">
      <c r="A193" s="130" t="s">
        <v>519</v>
      </c>
      <c r="B193" s="131" t="s">
        <v>520</v>
      </c>
      <c r="C193" s="132" t="s">
        <v>30</v>
      </c>
      <c r="D193" s="133">
        <v>62</v>
      </c>
      <c r="E193" s="75"/>
      <c r="F193" s="75"/>
      <c r="G193" s="75"/>
      <c r="H193" s="76" t="s">
        <v>15</v>
      </c>
      <c r="I193" s="75">
        <v>326.3</v>
      </c>
      <c r="J193" s="75">
        <v>20230.599999999999</v>
      </c>
      <c r="K193" s="91" t="s">
        <v>521</v>
      </c>
      <c r="L193" s="73"/>
      <c r="M193" s="46">
        <v>59</v>
      </c>
      <c r="N193" s="46">
        <v>0</v>
      </c>
      <c r="O193" s="46">
        <v>19251.7</v>
      </c>
      <c r="P193" s="98"/>
      <c r="Q193" s="23" t="s">
        <v>1395</v>
      </c>
      <c r="R193" s="24" t="s">
        <v>520</v>
      </c>
      <c r="S193" s="25" t="s">
        <v>30</v>
      </c>
      <c r="T193" s="26">
        <v>62</v>
      </c>
      <c r="U193" s="26">
        <v>62</v>
      </c>
      <c r="V193" s="26">
        <f t="shared" si="33"/>
        <v>326.3</v>
      </c>
      <c r="W193" s="127">
        <f t="shared" si="34"/>
        <v>0</v>
      </c>
      <c r="X193" s="127">
        <f t="shared" si="35"/>
        <v>59</v>
      </c>
      <c r="Y193" s="127">
        <f t="shared" si="36"/>
        <v>0</v>
      </c>
      <c r="Z193" s="127">
        <f t="shared" si="27"/>
        <v>19251.7</v>
      </c>
      <c r="AA193" s="33" t="s">
        <v>15</v>
      </c>
      <c r="AB193" s="36" t="s">
        <v>16</v>
      </c>
      <c r="AC193" s="181">
        <f t="shared" si="28"/>
        <v>62</v>
      </c>
      <c r="AD193" s="181">
        <f t="shared" si="37"/>
        <v>20230.599999999999</v>
      </c>
      <c r="AE193" s="181">
        <v>1.4</v>
      </c>
      <c r="AF193" s="181">
        <v>1.4</v>
      </c>
      <c r="AG193" s="101" t="str">
        <f t="shared" si="29"/>
        <v/>
      </c>
      <c r="AH193" s="194">
        <v>59</v>
      </c>
      <c r="AI193" s="69">
        <f t="shared" si="30"/>
        <v>62</v>
      </c>
    </row>
    <row r="194" spans="1:38" s="69" customFormat="1" ht="39" x14ac:dyDescent="0.3">
      <c r="A194" s="55" t="s">
        <v>522</v>
      </c>
      <c r="B194" s="53" t="s">
        <v>424</v>
      </c>
      <c r="C194" s="54" t="s">
        <v>50</v>
      </c>
      <c r="D194" s="75">
        <v>275</v>
      </c>
      <c r="E194" s="75"/>
      <c r="F194" s="75"/>
      <c r="G194" s="161"/>
      <c r="H194" s="158">
        <v>2016.9</v>
      </c>
      <c r="I194" s="166">
        <v>692.16</v>
      </c>
      <c r="J194" s="75">
        <v>1396017.5</v>
      </c>
      <c r="K194" s="91" t="s">
        <v>425</v>
      </c>
      <c r="L194" s="73"/>
      <c r="M194" s="46">
        <v>275</v>
      </c>
      <c r="N194" s="46">
        <v>0</v>
      </c>
      <c r="O194" s="46">
        <v>190344</v>
      </c>
      <c r="P194" s="98"/>
      <c r="Q194" s="23" t="s">
        <v>1432</v>
      </c>
      <c r="R194" s="24" t="s">
        <v>424</v>
      </c>
      <c r="S194" s="25" t="s">
        <v>50</v>
      </c>
      <c r="T194" s="26">
        <v>275</v>
      </c>
      <c r="U194" s="26">
        <v>2016.9</v>
      </c>
      <c r="V194" s="26">
        <f t="shared" si="33"/>
        <v>692.16</v>
      </c>
      <c r="W194" s="128">
        <f t="shared" si="34"/>
        <v>0</v>
      </c>
      <c r="X194" s="26">
        <f t="shared" si="35"/>
        <v>275</v>
      </c>
      <c r="Y194" s="26">
        <f t="shared" si="36"/>
        <v>0</v>
      </c>
      <c r="Z194" s="26">
        <f t="shared" si="27"/>
        <v>190344</v>
      </c>
      <c r="AA194" s="33" t="s">
        <v>15</v>
      </c>
      <c r="AB194" s="36" t="s">
        <v>16</v>
      </c>
      <c r="AC194" s="181">
        <f t="shared" si="28"/>
        <v>2016.9</v>
      </c>
      <c r="AD194" s="181">
        <f t="shared" si="37"/>
        <v>1396017.5</v>
      </c>
      <c r="AE194" s="181">
        <v>1.4</v>
      </c>
      <c r="AF194" s="181">
        <v>1.4</v>
      </c>
      <c r="AG194" s="101" t="str">
        <f t="shared" si="29"/>
        <v/>
      </c>
      <c r="AH194" s="191">
        <v>275</v>
      </c>
      <c r="AI194" s="69">
        <f t="shared" si="30"/>
        <v>275</v>
      </c>
    </row>
    <row r="195" spans="1:38" s="69" customFormat="1" ht="41.25" x14ac:dyDescent="0.3">
      <c r="A195" s="130" t="s">
        <v>523</v>
      </c>
      <c r="B195" s="131" t="s">
        <v>524</v>
      </c>
      <c r="C195" s="132" t="s">
        <v>30</v>
      </c>
      <c r="D195" s="133">
        <v>429</v>
      </c>
      <c r="E195" s="75"/>
      <c r="F195" s="75"/>
      <c r="G195" s="161"/>
      <c r="H195" s="158" t="s">
        <v>15</v>
      </c>
      <c r="I195" s="166">
        <v>1707.13</v>
      </c>
      <c r="J195" s="75">
        <v>0</v>
      </c>
      <c r="K195" s="91" t="s">
        <v>525</v>
      </c>
      <c r="L195" s="73"/>
      <c r="M195" s="46">
        <v>0</v>
      </c>
      <c r="N195" s="46">
        <v>0</v>
      </c>
      <c r="O195" s="46">
        <v>0</v>
      </c>
      <c r="P195" s="98"/>
      <c r="Q195" s="23" t="s">
        <v>1433</v>
      </c>
      <c r="R195" s="24" t="s">
        <v>524</v>
      </c>
      <c r="S195" s="25" t="s">
        <v>30</v>
      </c>
      <c r="T195" s="26">
        <v>429</v>
      </c>
      <c r="U195" s="26">
        <v>0</v>
      </c>
      <c r="V195" s="26">
        <f t="shared" si="33"/>
        <v>1707.13</v>
      </c>
      <c r="W195" s="127">
        <f t="shared" si="34"/>
        <v>0</v>
      </c>
      <c r="X195" s="127">
        <f t="shared" si="35"/>
        <v>0</v>
      </c>
      <c r="Y195" s="127">
        <f t="shared" si="36"/>
        <v>0</v>
      </c>
      <c r="Z195" s="127">
        <f t="shared" si="27"/>
        <v>0</v>
      </c>
      <c r="AA195" s="33" t="s">
        <v>15</v>
      </c>
      <c r="AB195" s="36" t="s">
        <v>16</v>
      </c>
      <c r="AC195" s="181">
        <f t="shared" si="28"/>
        <v>0</v>
      </c>
      <c r="AD195" s="181">
        <f t="shared" si="37"/>
        <v>0</v>
      </c>
      <c r="AE195" s="181">
        <v>1.4</v>
      </c>
      <c r="AF195" s="181">
        <v>1.4</v>
      </c>
      <c r="AG195" s="101" t="str">
        <f t="shared" si="29"/>
        <v/>
      </c>
      <c r="AH195" s="190">
        <v>0</v>
      </c>
      <c r="AI195" s="69">
        <f t="shared" si="30"/>
        <v>429</v>
      </c>
    </row>
    <row r="196" spans="1:38" s="69" customFormat="1" ht="39" x14ac:dyDescent="0.3">
      <c r="A196" s="55" t="s">
        <v>526</v>
      </c>
      <c r="B196" s="53" t="s">
        <v>527</v>
      </c>
      <c r="C196" s="54" t="s">
        <v>34</v>
      </c>
      <c r="D196" s="75">
        <v>1597.5</v>
      </c>
      <c r="E196" s="75"/>
      <c r="F196" s="75"/>
      <c r="G196" s="161"/>
      <c r="H196" s="158">
        <v>2059.1999999999998</v>
      </c>
      <c r="I196" s="166">
        <v>49</v>
      </c>
      <c r="J196" s="75">
        <v>100900.8</v>
      </c>
      <c r="K196" s="91" t="s">
        <v>528</v>
      </c>
      <c r="L196" s="73"/>
      <c r="M196" s="46">
        <v>1530</v>
      </c>
      <c r="N196" s="46">
        <v>0</v>
      </c>
      <c r="O196" s="46">
        <v>74970</v>
      </c>
      <c r="P196" s="98"/>
      <c r="Q196" s="23" t="s">
        <v>1382</v>
      </c>
      <c r="R196" s="24" t="s">
        <v>527</v>
      </c>
      <c r="S196" s="25" t="s">
        <v>34</v>
      </c>
      <c r="T196" s="26">
        <v>1597.5</v>
      </c>
      <c r="U196" s="26">
        <v>2059.1999999999998</v>
      </c>
      <c r="V196" s="26">
        <f t="shared" si="33"/>
        <v>49</v>
      </c>
      <c r="W196" s="128">
        <f t="shared" si="34"/>
        <v>0</v>
      </c>
      <c r="X196" s="26">
        <f t="shared" si="35"/>
        <v>1530</v>
      </c>
      <c r="Y196" s="26">
        <f t="shared" si="36"/>
        <v>0</v>
      </c>
      <c r="Z196" s="26">
        <f t="shared" si="27"/>
        <v>74970</v>
      </c>
      <c r="AA196" s="33" t="s">
        <v>15</v>
      </c>
      <c r="AB196" s="36" t="s">
        <v>16</v>
      </c>
      <c r="AC196" s="181">
        <f t="shared" si="28"/>
        <v>2059.1999999999998</v>
      </c>
      <c r="AD196" s="181">
        <f t="shared" si="37"/>
        <v>100900.8</v>
      </c>
      <c r="AE196" s="181">
        <v>1.4</v>
      </c>
      <c r="AF196" s="181">
        <v>1.4</v>
      </c>
      <c r="AG196" s="101" t="str">
        <f t="shared" si="29"/>
        <v/>
      </c>
      <c r="AH196" s="191">
        <v>1530</v>
      </c>
      <c r="AI196" s="69">
        <f t="shared" si="30"/>
        <v>1597.5</v>
      </c>
    </row>
    <row r="197" spans="1:38" s="69" customFormat="1" ht="39" x14ac:dyDescent="0.3">
      <c r="A197" s="134" t="s">
        <v>1324</v>
      </c>
      <c r="B197" s="135" t="s">
        <v>1325</v>
      </c>
      <c r="C197" s="204" t="s">
        <v>23</v>
      </c>
      <c r="D197" s="216"/>
      <c r="E197" s="117">
        <v>1362.5</v>
      </c>
      <c r="F197" s="77"/>
      <c r="G197" s="226"/>
      <c r="H197" s="230" t="s">
        <v>15</v>
      </c>
      <c r="I197" s="178">
        <v>926.62</v>
      </c>
      <c r="J197" s="59">
        <v>1262519.75</v>
      </c>
      <c r="K197" s="92"/>
      <c r="L197" s="73"/>
      <c r="M197" s="46">
        <v>1345</v>
      </c>
      <c r="N197" s="46">
        <v>0</v>
      </c>
      <c r="O197" s="46">
        <v>1246303.8999999999</v>
      </c>
      <c r="P197" s="98"/>
      <c r="Q197" s="23" t="s">
        <v>1434</v>
      </c>
      <c r="R197" s="24" t="s">
        <v>1498</v>
      </c>
      <c r="S197" s="25" t="s">
        <v>23</v>
      </c>
      <c r="T197" s="26">
        <v>0</v>
      </c>
      <c r="U197" s="26">
        <v>1362.5</v>
      </c>
      <c r="V197" s="26">
        <f t="shared" si="33"/>
        <v>926.62</v>
      </c>
      <c r="W197" s="127">
        <f t="shared" si="34"/>
        <v>0</v>
      </c>
      <c r="X197" s="127">
        <f t="shared" si="35"/>
        <v>1345</v>
      </c>
      <c r="Y197" s="127">
        <f t="shared" si="36"/>
        <v>0</v>
      </c>
      <c r="Z197" s="127">
        <f t="shared" si="27"/>
        <v>1246303.8999999999</v>
      </c>
      <c r="AA197" s="27"/>
      <c r="AB197" s="36" t="s">
        <v>16</v>
      </c>
      <c r="AC197" s="181">
        <f t="shared" si="28"/>
        <v>1362.5</v>
      </c>
      <c r="AD197" s="181">
        <f t="shared" si="37"/>
        <v>1262519.75</v>
      </c>
      <c r="AE197" s="181">
        <v>1.4</v>
      </c>
      <c r="AF197" s="181">
        <v>1.4</v>
      </c>
      <c r="AG197" s="101" t="str">
        <f t="shared" si="29"/>
        <v/>
      </c>
      <c r="AH197" s="194">
        <v>1345</v>
      </c>
      <c r="AI197" s="69">
        <f t="shared" si="30"/>
        <v>1362.5</v>
      </c>
    </row>
    <row r="198" spans="1:38" ht="39" x14ac:dyDescent="0.3">
      <c r="A198" s="134" t="s">
        <v>1326</v>
      </c>
      <c r="B198" s="135" t="s">
        <v>3136</v>
      </c>
      <c r="C198" s="204" t="s">
        <v>50</v>
      </c>
      <c r="D198" s="216"/>
      <c r="E198" s="78"/>
      <c r="F198" s="62">
        <v>548.70000000000005</v>
      </c>
      <c r="G198" s="163"/>
      <c r="H198" s="62">
        <v>805.73</v>
      </c>
      <c r="I198" s="167">
        <v>3120.78</v>
      </c>
      <c r="J198" s="62">
        <v>2514506.0699999998</v>
      </c>
      <c r="K198" s="93"/>
      <c r="M198" s="46">
        <v>672.3</v>
      </c>
      <c r="N198" s="46">
        <v>0</v>
      </c>
      <c r="O198" s="46">
        <v>2098100.39</v>
      </c>
      <c r="P198" s="98"/>
      <c r="Q198" s="23" t="s">
        <v>1388</v>
      </c>
      <c r="R198" s="24" t="s">
        <v>1327</v>
      </c>
      <c r="S198" s="25" t="s">
        <v>50</v>
      </c>
      <c r="T198" s="26">
        <v>0</v>
      </c>
      <c r="U198" s="26">
        <v>805.73</v>
      </c>
      <c r="V198" s="26">
        <f t="shared" si="33"/>
        <v>3120.78</v>
      </c>
      <c r="W198" s="128">
        <f t="shared" si="34"/>
        <v>0</v>
      </c>
      <c r="X198" s="127">
        <f t="shared" si="35"/>
        <v>672.3</v>
      </c>
      <c r="Y198" s="127">
        <f t="shared" si="36"/>
        <v>0</v>
      </c>
      <c r="Z198" s="127">
        <f>ROUND(V198*X198,2)</f>
        <v>2098100.39</v>
      </c>
      <c r="AA198" s="27"/>
      <c r="AB198" s="36" t="s">
        <v>16</v>
      </c>
      <c r="AC198" s="181">
        <f t="shared" si="28"/>
        <v>805.73</v>
      </c>
      <c r="AD198" s="181">
        <f t="shared" si="37"/>
        <v>2514506.0699999998</v>
      </c>
      <c r="AE198" s="181">
        <v>1.4</v>
      </c>
      <c r="AF198" s="181">
        <v>1.4</v>
      </c>
      <c r="AG198" s="101" t="str">
        <f t="shared" si="29"/>
        <v>超估</v>
      </c>
      <c r="AH198" s="191">
        <v>672.3</v>
      </c>
      <c r="AI198" s="69">
        <f t="shared" si="30"/>
        <v>548.70000000000005</v>
      </c>
    </row>
    <row r="199" spans="1:38" ht="49.5" x14ac:dyDescent="0.3">
      <c r="A199" s="134" t="s">
        <v>1328</v>
      </c>
      <c r="B199" s="139" t="s">
        <v>1329</v>
      </c>
      <c r="C199" s="204" t="s">
        <v>30</v>
      </c>
      <c r="D199" s="216"/>
      <c r="E199" s="78"/>
      <c r="F199" s="62">
        <v>410</v>
      </c>
      <c r="G199" s="163"/>
      <c r="H199" s="62" t="s">
        <v>15</v>
      </c>
      <c r="I199" s="167">
        <v>5733.63</v>
      </c>
      <c r="J199" s="62">
        <v>2350788.2999999998</v>
      </c>
      <c r="K199" s="93"/>
      <c r="M199" s="46">
        <v>410</v>
      </c>
      <c r="N199" s="46">
        <v>0</v>
      </c>
      <c r="O199" s="46">
        <v>2350788.2999999998</v>
      </c>
      <c r="P199" s="98"/>
      <c r="Q199" s="23" t="s">
        <v>1389</v>
      </c>
      <c r="R199" s="24" t="s">
        <v>1329</v>
      </c>
      <c r="S199" s="25" t="s">
        <v>30</v>
      </c>
      <c r="T199" s="26">
        <v>0</v>
      </c>
      <c r="U199" s="26">
        <v>410</v>
      </c>
      <c r="V199" s="26">
        <f t="shared" si="33"/>
        <v>5733.63</v>
      </c>
      <c r="W199" s="127">
        <f t="shared" si="34"/>
        <v>0</v>
      </c>
      <c r="X199" s="127">
        <f t="shared" si="35"/>
        <v>410</v>
      </c>
      <c r="Y199" s="127">
        <f t="shared" si="36"/>
        <v>0</v>
      </c>
      <c r="Z199" s="127">
        <f t="shared" si="27"/>
        <v>2350788.2999999998</v>
      </c>
      <c r="AA199" s="27"/>
      <c r="AB199" s="36" t="s">
        <v>16</v>
      </c>
      <c r="AC199" s="181">
        <f t="shared" si="28"/>
        <v>410</v>
      </c>
      <c r="AD199" s="181">
        <f t="shared" si="37"/>
        <v>2350788.2999999998</v>
      </c>
      <c r="AE199" s="181">
        <v>1.4</v>
      </c>
      <c r="AF199" s="181">
        <v>1.4</v>
      </c>
      <c r="AG199" s="101" t="str">
        <f t="shared" si="29"/>
        <v/>
      </c>
      <c r="AH199" s="190">
        <v>410</v>
      </c>
      <c r="AI199" s="69">
        <f t="shared" si="30"/>
        <v>410</v>
      </c>
    </row>
    <row r="200" spans="1:38" ht="58.5" x14ac:dyDescent="0.3">
      <c r="A200" s="134" t="s">
        <v>1330</v>
      </c>
      <c r="B200" s="135" t="s">
        <v>3135</v>
      </c>
      <c r="C200" s="204" t="s">
        <v>23</v>
      </c>
      <c r="D200" s="216"/>
      <c r="E200" s="78"/>
      <c r="F200" s="62">
        <v>690</v>
      </c>
      <c r="G200" s="163"/>
      <c r="H200" s="62">
        <v>1526.83</v>
      </c>
      <c r="I200" s="167">
        <v>3832.97</v>
      </c>
      <c r="J200" s="62">
        <v>5852293.5899999999</v>
      </c>
      <c r="K200" s="93"/>
      <c r="M200" s="46">
        <v>1469.66</v>
      </c>
      <c r="N200" s="46">
        <v>0</v>
      </c>
      <c r="O200" s="46">
        <v>5633162.6900000004</v>
      </c>
      <c r="P200" s="98"/>
      <c r="Q200" s="23" t="s">
        <v>1390</v>
      </c>
      <c r="R200" s="24" t="s">
        <v>1331</v>
      </c>
      <c r="S200" s="25" t="s">
        <v>23</v>
      </c>
      <c r="T200" s="26">
        <v>0</v>
      </c>
      <c r="U200" s="26">
        <v>1526.83</v>
      </c>
      <c r="V200" s="26">
        <f t="shared" si="33"/>
        <v>3832.97</v>
      </c>
      <c r="W200" s="128">
        <f t="shared" si="34"/>
        <v>0</v>
      </c>
      <c r="X200" s="127">
        <f t="shared" si="35"/>
        <v>1469.66</v>
      </c>
      <c r="Y200" s="127">
        <f t="shared" si="36"/>
        <v>0</v>
      </c>
      <c r="Z200" s="127">
        <f t="shared" si="27"/>
        <v>5633162.6900000004</v>
      </c>
      <c r="AA200" s="27"/>
      <c r="AB200" s="36" t="s">
        <v>16</v>
      </c>
      <c r="AC200" s="181">
        <f t="shared" si="28"/>
        <v>1526.83</v>
      </c>
      <c r="AD200" s="181">
        <f t="shared" si="37"/>
        <v>5852293.5899999999</v>
      </c>
      <c r="AE200" s="181">
        <v>1.4</v>
      </c>
      <c r="AF200" s="181">
        <v>1.4</v>
      </c>
      <c r="AG200" s="101" t="str">
        <f t="shared" si="29"/>
        <v>超估</v>
      </c>
      <c r="AH200" s="191">
        <v>1469.66</v>
      </c>
      <c r="AI200" s="69">
        <f t="shared" si="30"/>
        <v>690</v>
      </c>
    </row>
    <row r="201" spans="1:38" ht="33" x14ac:dyDescent="0.3">
      <c r="A201" s="134" t="s">
        <v>1332</v>
      </c>
      <c r="B201" s="135" t="s">
        <v>1333</v>
      </c>
      <c r="C201" s="204" t="s">
        <v>50</v>
      </c>
      <c r="D201" s="216"/>
      <c r="E201" s="78"/>
      <c r="F201" s="62">
        <v>48</v>
      </c>
      <c r="G201" s="163"/>
      <c r="H201" s="62" t="s">
        <v>15</v>
      </c>
      <c r="I201" s="167">
        <v>695.25</v>
      </c>
      <c r="J201" s="62">
        <v>33372</v>
      </c>
      <c r="K201" s="93"/>
      <c r="M201" s="46">
        <v>48</v>
      </c>
      <c r="N201" s="46">
        <v>0</v>
      </c>
      <c r="O201" s="46">
        <v>33372</v>
      </c>
      <c r="P201" s="98"/>
      <c r="Q201" s="23" t="s">
        <v>1391</v>
      </c>
      <c r="R201" s="24" t="s">
        <v>1333</v>
      </c>
      <c r="S201" s="25" t="s">
        <v>50</v>
      </c>
      <c r="T201" s="26">
        <v>0</v>
      </c>
      <c r="U201" s="26">
        <v>48</v>
      </c>
      <c r="V201" s="26">
        <f t="shared" si="33"/>
        <v>695.25</v>
      </c>
      <c r="W201" s="127">
        <f t="shared" si="34"/>
        <v>0</v>
      </c>
      <c r="X201" s="127">
        <f t="shared" si="35"/>
        <v>48</v>
      </c>
      <c r="Y201" s="127">
        <f t="shared" si="36"/>
        <v>0</v>
      </c>
      <c r="Z201" s="127">
        <f t="shared" si="27"/>
        <v>33372</v>
      </c>
      <c r="AA201" s="27"/>
      <c r="AB201" s="36" t="s">
        <v>16</v>
      </c>
      <c r="AC201" s="181">
        <f t="shared" si="28"/>
        <v>48</v>
      </c>
      <c r="AD201" s="181">
        <f t="shared" si="37"/>
        <v>33372</v>
      </c>
      <c r="AE201" s="181">
        <v>1.4</v>
      </c>
      <c r="AF201" s="181">
        <v>1.4</v>
      </c>
      <c r="AG201" s="101" t="str">
        <f t="shared" si="29"/>
        <v/>
      </c>
      <c r="AH201" s="190">
        <v>48</v>
      </c>
      <c r="AI201" s="69">
        <f t="shared" si="30"/>
        <v>48</v>
      </c>
    </row>
    <row r="202" spans="1:38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227"/>
      <c r="H202" s="231" t="s">
        <v>15</v>
      </c>
      <c r="I202" s="228"/>
      <c r="J202" s="82">
        <v>33543936.84</v>
      </c>
      <c r="K202" s="94" t="s">
        <v>15</v>
      </c>
      <c r="L202" s="73"/>
      <c r="M202" s="45">
        <v>1</v>
      </c>
      <c r="N202" s="45">
        <v>135241.02000000002</v>
      </c>
      <c r="O202" s="45">
        <v>32213747.59</v>
      </c>
      <c r="P202" s="98"/>
      <c r="Q202" s="18" t="s">
        <v>1392</v>
      </c>
      <c r="R202" s="19" t="s">
        <v>530</v>
      </c>
      <c r="S202" s="20" t="s">
        <v>14</v>
      </c>
      <c r="T202" s="21">
        <v>1</v>
      </c>
      <c r="U202" s="21"/>
      <c r="V202" s="21">
        <f>SUMIFS(AD:AD,AE:AE,AE202)</f>
        <v>33543936.840000004</v>
      </c>
      <c r="W202" s="21">
        <f t="shared" ref="W202:X202" si="38">IF(Y202=0,0,1)</f>
        <v>1</v>
      </c>
      <c r="X202" s="21">
        <f t="shared" si="38"/>
        <v>1</v>
      </c>
      <c r="Y202" s="21">
        <f>SUMIFS(Y:Y,AF:AF,AE202)</f>
        <v>313199.49000000011</v>
      </c>
      <c r="Z202" s="21">
        <f>SUMIFS(Z:Z,AF:AF,AE202)</f>
        <v>32526947.079999998</v>
      </c>
      <c r="AA202" s="22" t="s">
        <v>15</v>
      </c>
      <c r="AB202" s="43" t="s">
        <v>16</v>
      </c>
      <c r="AC202" s="181">
        <f t="shared" si="28"/>
        <v>1</v>
      </c>
      <c r="AD202" s="181"/>
      <c r="AE202" s="184">
        <v>1.5</v>
      </c>
      <c r="AF202" s="184"/>
      <c r="AG202" s="101" t="str">
        <f t="shared" si="29"/>
        <v/>
      </c>
      <c r="AH202" s="190">
        <v>1</v>
      </c>
      <c r="AI202" s="69">
        <f t="shared" si="30"/>
        <v>1</v>
      </c>
    </row>
    <row r="203" spans="1:38" s="69" customFormat="1" ht="49.5" customHeight="1" x14ac:dyDescent="0.3">
      <c r="A203" s="130" t="s">
        <v>531</v>
      </c>
      <c r="B203" s="131" t="s">
        <v>392</v>
      </c>
      <c r="C203" s="132" t="s">
        <v>23</v>
      </c>
      <c r="D203" s="133">
        <v>250</v>
      </c>
      <c r="E203" s="75"/>
      <c r="F203" s="75"/>
      <c r="G203" s="75"/>
      <c r="H203" s="239">
        <v>11.7</v>
      </c>
      <c r="I203" s="75">
        <v>3115.13</v>
      </c>
      <c r="J203" s="75">
        <v>36447.019999999997</v>
      </c>
      <c r="K203" s="91" t="s">
        <v>114</v>
      </c>
      <c r="L203" s="73"/>
      <c r="M203" s="46">
        <v>11.7</v>
      </c>
      <c r="N203" s="46">
        <v>0</v>
      </c>
      <c r="O203" s="46">
        <v>36447.019999999997</v>
      </c>
      <c r="P203" s="98"/>
      <c r="Q203" s="23" t="s">
        <v>1421</v>
      </c>
      <c r="R203" s="24" t="s">
        <v>392</v>
      </c>
      <c r="S203" s="25" t="s">
        <v>23</v>
      </c>
      <c r="T203" s="26">
        <v>250</v>
      </c>
      <c r="U203" s="26">
        <v>11.7</v>
      </c>
      <c r="V203" s="26">
        <v>3115.13</v>
      </c>
      <c r="W203" s="127">
        <f t="shared" ref="W203:W219" si="39">AH203-M203</f>
        <v>0</v>
      </c>
      <c r="X203" s="127">
        <f t="shared" si="35"/>
        <v>11.7</v>
      </c>
      <c r="Y203" s="127">
        <f t="shared" ref="Y203:Y219" si="40">Z203-O203</f>
        <v>0</v>
      </c>
      <c r="Z203" s="127">
        <f t="shared" si="27"/>
        <v>36447.019999999997</v>
      </c>
      <c r="AA203" s="33" t="s">
        <v>15</v>
      </c>
      <c r="AB203" s="36" t="s">
        <v>16</v>
      </c>
      <c r="AC203" s="181">
        <f t="shared" ref="AC203:AC266" si="41">IF(U203="",T203,U203)</f>
        <v>11.7</v>
      </c>
      <c r="AD203" s="181">
        <f t="shared" si="37"/>
        <v>36447.019999999997</v>
      </c>
      <c r="AE203" s="181">
        <v>1.5</v>
      </c>
      <c r="AF203" s="181">
        <v>1.5</v>
      </c>
      <c r="AG203" s="101" t="str">
        <f t="shared" ref="AG203:AG266" si="42">IF(X203&gt;AI203,"超估","")</f>
        <v/>
      </c>
      <c r="AH203" s="190">
        <v>11.7</v>
      </c>
      <c r="AI203" s="69">
        <f t="shared" ref="AI203:AI266" si="43">IF(G203=0,IF(F203=0,IF(E203=0,D203,E203),F203),G203)</f>
        <v>250</v>
      </c>
    </row>
    <row r="204" spans="1:38" s="69" customFormat="1" ht="49.5" customHeight="1" x14ac:dyDescent="0.3">
      <c r="A204" s="130" t="s">
        <v>532</v>
      </c>
      <c r="B204" s="131" t="s">
        <v>116</v>
      </c>
      <c r="C204" s="132" t="s">
        <v>23</v>
      </c>
      <c r="D204" s="133">
        <v>2474</v>
      </c>
      <c r="E204" s="75"/>
      <c r="F204" s="75"/>
      <c r="G204" s="75"/>
      <c r="H204" s="75">
        <v>2593.6999999999998</v>
      </c>
      <c r="I204" s="75">
        <v>3321.13</v>
      </c>
      <c r="J204" s="75">
        <v>8614014.8800000008</v>
      </c>
      <c r="K204" s="91" t="s">
        <v>117</v>
      </c>
      <c r="L204" s="73"/>
      <c r="M204" s="46">
        <v>2473.35</v>
      </c>
      <c r="N204" s="46">
        <v>0</v>
      </c>
      <c r="O204" s="46">
        <v>8214316.8899999997</v>
      </c>
      <c r="P204" s="98"/>
      <c r="Q204" s="23" t="s">
        <v>1426</v>
      </c>
      <c r="R204" s="24" t="s">
        <v>116</v>
      </c>
      <c r="S204" s="25" t="s">
        <v>23</v>
      </c>
      <c r="T204" s="26">
        <v>2474</v>
      </c>
      <c r="U204" s="26">
        <v>2593.6999999999998</v>
      </c>
      <c r="V204" s="26">
        <v>3321.13</v>
      </c>
      <c r="W204" s="127">
        <f t="shared" si="39"/>
        <v>0</v>
      </c>
      <c r="X204" s="127">
        <f t="shared" si="35"/>
        <v>2473.35</v>
      </c>
      <c r="Y204" s="127">
        <f t="shared" si="40"/>
        <v>0</v>
      </c>
      <c r="Z204" s="127">
        <f t="shared" ref="Z204:Z267" si="44">ROUND(V204*X204,2)</f>
        <v>8214316.8899999997</v>
      </c>
      <c r="AA204" s="33" t="s">
        <v>15</v>
      </c>
      <c r="AB204" s="36" t="s">
        <v>16</v>
      </c>
      <c r="AC204" s="181">
        <f t="shared" si="41"/>
        <v>2593.6999999999998</v>
      </c>
      <c r="AD204" s="181">
        <f t="shared" si="37"/>
        <v>8614014.8800000008</v>
      </c>
      <c r="AE204" s="181">
        <v>1.5</v>
      </c>
      <c r="AF204" s="181">
        <v>1.5</v>
      </c>
      <c r="AG204" s="101" t="str">
        <f t="shared" si="42"/>
        <v/>
      </c>
      <c r="AH204" s="194">
        <v>2473.35</v>
      </c>
      <c r="AI204" s="69">
        <f t="shared" si="43"/>
        <v>2474</v>
      </c>
      <c r="AL204" s="196">
        <v>2782.2855</v>
      </c>
    </row>
    <row r="205" spans="1:38" s="69" customFormat="1" ht="49.5" customHeight="1" x14ac:dyDescent="0.3">
      <c r="A205" s="130" t="s">
        <v>533</v>
      </c>
      <c r="B205" s="131" t="s">
        <v>534</v>
      </c>
      <c r="C205" s="132" t="s">
        <v>23</v>
      </c>
      <c r="D205" s="133">
        <v>1187</v>
      </c>
      <c r="E205" s="75"/>
      <c r="F205" s="75"/>
      <c r="G205" s="75"/>
      <c r="H205" s="75">
        <v>1256.1500000000001</v>
      </c>
      <c r="I205" s="75">
        <v>1749.25</v>
      </c>
      <c r="J205" s="75">
        <v>2197320.39</v>
      </c>
      <c r="K205" s="91" t="s">
        <v>535</v>
      </c>
      <c r="L205" s="73"/>
      <c r="M205" s="46">
        <v>1187</v>
      </c>
      <c r="N205" s="46">
        <v>0</v>
      </c>
      <c r="O205" s="46">
        <v>2076359.75</v>
      </c>
      <c r="P205" s="98"/>
      <c r="Q205" s="23" t="s">
        <v>1402</v>
      </c>
      <c r="R205" s="24" t="s">
        <v>534</v>
      </c>
      <c r="S205" s="25" t="s">
        <v>23</v>
      </c>
      <c r="T205" s="26">
        <v>1187</v>
      </c>
      <c r="U205" s="26">
        <v>1256.1500000000001</v>
      </c>
      <c r="V205" s="26">
        <v>1749.25</v>
      </c>
      <c r="W205" s="127">
        <f t="shared" si="39"/>
        <v>0</v>
      </c>
      <c r="X205" s="127">
        <f t="shared" si="35"/>
        <v>1187</v>
      </c>
      <c r="Y205" s="127">
        <f t="shared" si="40"/>
        <v>0</v>
      </c>
      <c r="Z205" s="127">
        <f t="shared" si="44"/>
        <v>2076359.75</v>
      </c>
      <c r="AA205" s="33" t="s">
        <v>15</v>
      </c>
      <c r="AB205" s="36" t="s">
        <v>16</v>
      </c>
      <c r="AC205" s="181">
        <f t="shared" si="41"/>
        <v>1256.1500000000001</v>
      </c>
      <c r="AD205" s="181">
        <f t="shared" si="37"/>
        <v>2197320.39</v>
      </c>
      <c r="AE205" s="181">
        <v>1.5</v>
      </c>
      <c r="AF205" s="181">
        <v>1.5</v>
      </c>
      <c r="AG205" s="101" t="str">
        <f t="shared" si="42"/>
        <v/>
      </c>
      <c r="AH205" s="194">
        <v>1187</v>
      </c>
      <c r="AI205" s="69">
        <f t="shared" si="43"/>
        <v>1187</v>
      </c>
      <c r="AL205" s="195">
        <v>1161.5828000000001</v>
      </c>
    </row>
    <row r="206" spans="1:38" s="69" customFormat="1" ht="39" x14ac:dyDescent="0.3">
      <c r="A206" s="130" t="s">
        <v>536</v>
      </c>
      <c r="B206" s="131" t="s">
        <v>493</v>
      </c>
      <c r="C206" s="132" t="s">
        <v>23</v>
      </c>
      <c r="D206" s="133">
        <v>3911</v>
      </c>
      <c r="E206" s="75"/>
      <c r="F206" s="75"/>
      <c r="G206" s="75"/>
      <c r="H206" s="75" t="s">
        <v>15</v>
      </c>
      <c r="I206" s="75">
        <v>200</v>
      </c>
      <c r="J206" s="75">
        <v>782200</v>
      </c>
      <c r="K206" s="91" t="s">
        <v>494</v>
      </c>
      <c r="L206" s="73"/>
      <c r="M206" s="46">
        <v>3672.05</v>
      </c>
      <c r="N206" s="46">
        <v>0</v>
      </c>
      <c r="O206" s="46">
        <v>734410</v>
      </c>
      <c r="P206" s="98"/>
      <c r="Q206" s="23" t="s">
        <v>1373</v>
      </c>
      <c r="R206" s="24" t="s">
        <v>493</v>
      </c>
      <c r="S206" s="25" t="s">
        <v>23</v>
      </c>
      <c r="T206" s="26">
        <v>3911</v>
      </c>
      <c r="U206" s="26">
        <v>3911</v>
      </c>
      <c r="V206" s="26">
        <v>200</v>
      </c>
      <c r="W206" s="127">
        <f t="shared" si="39"/>
        <v>0</v>
      </c>
      <c r="X206" s="127">
        <f t="shared" si="35"/>
        <v>3672.05</v>
      </c>
      <c r="Y206" s="127">
        <f t="shared" si="40"/>
        <v>0</v>
      </c>
      <c r="Z206" s="127">
        <f t="shared" si="44"/>
        <v>734410</v>
      </c>
      <c r="AA206" s="33" t="s">
        <v>15</v>
      </c>
      <c r="AB206" s="36" t="s">
        <v>16</v>
      </c>
      <c r="AC206" s="181">
        <f t="shared" si="41"/>
        <v>3911</v>
      </c>
      <c r="AD206" s="181">
        <f t="shared" si="37"/>
        <v>782200</v>
      </c>
      <c r="AE206" s="181">
        <v>1.5</v>
      </c>
      <c r="AF206" s="181">
        <v>1.5</v>
      </c>
      <c r="AG206" s="101" t="str">
        <f t="shared" si="42"/>
        <v/>
      </c>
      <c r="AH206" s="194">
        <v>3672.05</v>
      </c>
      <c r="AI206" s="69">
        <f t="shared" si="43"/>
        <v>3911</v>
      </c>
      <c r="AL206" s="198">
        <f>AL203+AL204+AL205</f>
        <v>3943.8683000000001</v>
      </c>
    </row>
    <row r="207" spans="1:38" s="69" customFormat="1" ht="57.75" x14ac:dyDescent="0.3">
      <c r="A207" s="130" t="s">
        <v>537</v>
      </c>
      <c r="B207" s="131" t="s">
        <v>405</v>
      </c>
      <c r="C207" s="132" t="s">
        <v>50</v>
      </c>
      <c r="D207" s="133">
        <v>3820</v>
      </c>
      <c r="E207" s="75"/>
      <c r="F207" s="75">
        <v>4730</v>
      </c>
      <c r="G207" s="75"/>
      <c r="H207" s="75">
        <v>5411.06</v>
      </c>
      <c r="I207" s="75">
        <v>982.98</v>
      </c>
      <c r="J207" s="75">
        <v>5318963.76</v>
      </c>
      <c r="K207" s="91" t="s">
        <v>406</v>
      </c>
      <c r="L207" s="73"/>
      <c r="M207" s="46">
        <v>5409.2</v>
      </c>
      <c r="N207" s="46">
        <v>0</v>
      </c>
      <c r="O207" s="46">
        <v>5317135.42</v>
      </c>
      <c r="P207" s="98"/>
      <c r="Q207" s="23" t="s">
        <v>1393</v>
      </c>
      <c r="R207" s="24" t="s">
        <v>405</v>
      </c>
      <c r="S207" s="25" t="s">
        <v>50</v>
      </c>
      <c r="T207" s="26">
        <v>3820</v>
      </c>
      <c r="U207" s="26">
        <v>5411.06</v>
      </c>
      <c r="V207" s="26">
        <v>982.98</v>
      </c>
      <c r="W207" s="127">
        <f t="shared" si="39"/>
        <v>0</v>
      </c>
      <c r="X207" s="127">
        <f t="shared" si="35"/>
        <v>5409.2</v>
      </c>
      <c r="Y207" s="127">
        <f t="shared" si="40"/>
        <v>0</v>
      </c>
      <c r="Z207" s="127">
        <f t="shared" si="44"/>
        <v>5317135.42</v>
      </c>
      <c r="AA207" s="27" t="s">
        <v>15</v>
      </c>
      <c r="AB207" s="36" t="s">
        <v>16</v>
      </c>
      <c r="AC207" s="181">
        <f t="shared" si="41"/>
        <v>5411.06</v>
      </c>
      <c r="AD207" s="181">
        <f t="shared" si="37"/>
        <v>5318963.76</v>
      </c>
      <c r="AE207" s="181">
        <v>1.5</v>
      </c>
      <c r="AF207" s="181">
        <v>1.5</v>
      </c>
      <c r="AG207" s="101" t="str">
        <f t="shared" si="42"/>
        <v>超估</v>
      </c>
      <c r="AH207" s="191">
        <v>5409.2</v>
      </c>
      <c r="AI207" s="69">
        <f t="shared" si="43"/>
        <v>4730</v>
      </c>
      <c r="AL207" s="195">
        <v>5411.06</v>
      </c>
    </row>
    <row r="208" spans="1:38" s="69" customFormat="1" ht="41.25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203"/>
      <c r="F208" s="203"/>
      <c r="G208" s="203"/>
      <c r="H208" s="203">
        <v>1811.33</v>
      </c>
      <c r="I208" s="75">
        <v>804.79</v>
      </c>
      <c r="J208" s="75">
        <v>1457740.27</v>
      </c>
      <c r="K208" s="91" t="s">
        <v>409</v>
      </c>
      <c r="L208" s="73"/>
      <c r="M208" s="46">
        <v>1796.3</v>
      </c>
      <c r="N208" s="46">
        <v>0</v>
      </c>
      <c r="O208" s="46">
        <v>1445644.28</v>
      </c>
      <c r="P208" s="98"/>
      <c r="Q208" s="23" t="s">
        <v>1403</v>
      </c>
      <c r="R208" s="24" t="s">
        <v>408</v>
      </c>
      <c r="S208" s="25" t="s">
        <v>50</v>
      </c>
      <c r="T208" s="26">
        <v>800</v>
      </c>
      <c r="U208" s="26">
        <v>1811.33</v>
      </c>
      <c r="V208" s="26">
        <v>804.79</v>
      </c>
      <c r="W208" s="127">
        <f t="shared" si="39"/>
        <v>0</v>
      </c>
      <c r="X208" s="127">
        <f t="shared" si="35"/>
        <v>1796.3</v>
      </c>
      <c r="Y208" s="127">
        <f t="shared" si="40"/>
        <v>0</v>
      </c>
      <c r="Z208" s="127">
        <f t="shared" si="44"/>
        <v>1445644.28</v>
      </c>
      <c r="AA208" s="33" t="s">
        <v>15</v>
      </c>
      <c r="AB208" s="36" t="s">
        <v>16</v>
      </c>
      <c r="AC208" s="181">
        <f t="shared" si="41"/>
        <v>1811.33</v>
      </c>
      <c r="AD208" s="181">
        <f t="shared" si="37"/>
        <v>1457740.27</v>
      </c>
      <c r="AE208" s="181">
        <v>1.5</v>
      </c>
      <c r="AF208" s="181">
        <v>1.5</v>
      </c>
      <c r="AG208" s="101" t="str">
        <f t="shared" si="42"/>
        <v>超估</v>
      </c>
      <c r="AH208" s="191">
        <v>1796.3</v>
      </c>
      <c r="AI208" s="69">
        <f t="shared" si="43"/>
        <v>800</v>
      </c>
    </row>
    <row r="209" spans="1:35" s="69" customFormat="1" ht="41.25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203"/>
      <c r="F209" s="203"/>
      <c r="G209" s="203"/>
      <c r="H209" s="203">
        <v>1210.32</v>
      </c>
      <c r="I209" s="75">
        <v>533.64</v>
      </c>
      <c r="J209" s="75">
        <v>645875.16</v>
      </c>
      <c r="K209" s="91" t="s">
        <v>120</v>
      </c>
      <c r="L209" s="73"/>
      <c r="M209" s="46">
        <v>1121.2</v>
      </c>
      <c r="N209" s="46">
        <v>0</v>
      </c>
      <c r="O209" s="46">
        <v>598317.17000000004</v>
      </c>
      <c r="P209" s="98"/>
      <c r="Q209" s="23" t="s">
        <v>1427</v>
      </c>
      <c r="R209" s="24" t="s">
        <v>119</v>
      </c>
      <c r="S209" s="25" t="s">
        <v>50</v>
      </c>
      <c r="T209" s="26">
        <v>258</v>
      </c>
      <c r="U209" s="26">
        <v>1210.32</v>
      </c>
      <c r="V209" s="26">
        <v>533.64</v>
      </c>
      <c r="W209" s="127">
        <f t="shared" si="39"/>
        <v>0</v>
      </c>
      <c r="X209" s="127">
        <f t="shared" si="35"/>
        <v>1121.2</v>
      </c>
      <c r="Y209" s="127">
        <f t="shared" si="40"/>
        <v>0</v>
      </c>
      <c r="Z209" s="127">
        <f t="shared" si="44"/>
        <v>598317.17000000004</v>
      </c>
      <c r="AA209" s="33" t="s">
        <v>15</v>
      </c>
      <c r="AB209" s="36" t="s">
        <v>16</v>
      </c>
      <c r="AC209" s="181">
        <f t="shared" si="41"/>
        <v>1210.32</v>
      </c>
      <c r="AD209" s="181">
        <f t="shared" si="37"/>
        <v>645875.16</v>
      </c>
      <c r="AE209" s="181">
        <v>1.5</v>
      </c>
      <c r="AF209" s="181">
        <v>1.5</v>
      </c>
      <c r="AG209" s="101" t="str">
        <f t="shared" si="42"/>
        <v>超估</v>
      </c>
      <c r="AH209" s="191">
        <v>1121.2</v>
      </c>
      <c r="AI209" s="69">
        <f t="shared" si="43"/>
        <v>258</v>
      </c>
    </row>
    <row r="210" spans="1:35" s="69" customFormat="1" ht="39" x14ac:dyDescent="0.3">
      <c r="A210" s="130" t="s">
        <v>540</v>
      </c>
      <c r="B210" s="131" t="s">
        <v>109</v>
      </c>
      <c r="C210" s="132" t="s">
        <v>110</v>
      </c>
      <c r="D210" s="133">
        <v>133401</v>
      </c>
      <c r="E210" s="203"/>
      <c r="F210" s="203"/>
      <c r="G210" s="203"/>
      <c r="H210" s="203">
        <v>153939.46</v>
      </c>
      <c r="I210" s="75">
        <v>36.4</v>
      </c>
      <c r="J210" s="75">
        <v>5603396.3399999999</v>
      </c>
      <c r="K210" s="91" t="s">
        <v>111</v>
      </c>
      <c r="L210" s="73"/>
      <c r="M210" s="46">
        <v>153669.92000000001</v>
      </c>
      <c r="N210" s="46">
        <v>0</v>
      </c>
      <c r="O210" s="46">
        <v>5593585.0899999999</v>
      </c>
      <c r="P210" s="98"/>
      <c r="Q210" s="23" t="s">
        <v>1428</v>
      </c>
      <c r="R210" s="24" t="s">
        <v>109</v>
      </c>
      <c r="S210" s="25" t="s">
        <v>110</v>
      </c>
      <c r="T210" s="26">
        <v>133401</v>
      </c>
      <c r="U210" s="26">
        <v>153939.46</v>
      </c>
      <c r="V210" s="26">
        <v>36.4</v>
      </c>
      <c r="W210" s="127">
        <f t="shared" si="39"/>
        <v>0</v>
      </c>
      <c r="X210" s="127">
        <f t="shared" si="35"/>
        <v>153669.92000000001</v>
      </c>
      <c r="Y210" s="127">
        <f t="shared" si="40"/>
        <v>0</v>
      </c>
      <c r="Z210" s="127">
        <f t="shared" si="44"/>
        <v>5593585.0899999999</v>
      </c>
      <c r="AA210" s="33" t="s">
        <v>15</v>
      </c>
      <c r="AB210" s="36" t="s">
        <v>16</v>
      </c>
      <c r="AC210" s="181">
        <f t="shared" si="41"/>
        <v>153939.46</v>
      </c>
      <c r="AD210" s="181">
        <f t="shared" si="37"/>
        <v>5603396.3399999999</v>
      </c>
      <c r="AE210" s="181">
        <v>1.5</v>
      </c>
      <c r="AF210" s="181">
        <v>1.5</v>
      </c>
      <c r="AG210" s="101" t="str">
        <f t="shared" si="42"/>
        <v>超估</v>
      </c>
      <c r="AH210" s="191">
        <v>153669.92000000001</v>
      </c>
      <c r="AI210" s="69">
        <f t="shared" si="43"/>
        <v>133401</v>
      </c>
    </row>
    <row r="211" spans="1:35" s="69" customFormat="1" ht="39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203"/>
      <c r="F211" s="203"/>
      <c r="G211" s="203"/>
      <c r="H211" s="203">
        <v>185226.6</v>
      </c>
      <c r="I211" s="75">
        <v>38.71</v>
      </c>
      <c r="J211" s="75">
        <v>7170121.6900000004</v>
      </c>
      <c r="K211" s="91" t="s">
        <v>400</v>
      </c>
      <c r="L211" s="73"/>
      <c r="M211" s="46">
        <v>185029</v>
      </c>
      <c r="N211" s="46">
        <v>0</v>
      </c>
      <c r="O211" s="46">
        <v>7162472.5899999999</v>
      </c>
      <c r="P211" s="98"/>
      <c r="Q211" s="23" t="s">
        <v>1387</v>
      </c>
      <c r="R211" s="24" t="s">
        <v>399</v>
      </c>
      <c r="S211" s="25" t="s">
        <v>110</v>
      </c>
      <c r="T211" s="26">
        <v>118802</v>
      </c>
      <c r="U211" s="26">
        <v>185226.6</v>
      </c>
      <c r="V211" s="26">
        <v>38.71</v>
      </c>
      <c r="W211" s="127">
        <f t="shared" si="39"/>
        <v>0</v>
      </c>
      <c r="X211" s="127">
        <f t="shared" si="35"/>
        <v>185029</v>
      </c>
      <c r="Y211" s="127">
        <f t="shared" si="40"/>
        <v>0</v>
      </c>
      <c r="Z211" s="127">
        <f t="shared" si="44"/>
        <v>7162472.5899999999</v>
      </c>
      <c r="AA211" s="33" t="s">
        <v>15</v>
      </c>
      <c r="AB211" s="36" t="s">
        <v>16</v>
      </c>
      <c r="AC211" s="181">
        <f t="shared" si="41"/>
        <v>185226.6</v>
      </c>
      <c r="AD211" s="181">
        <f t="shared" si="37"/>
        <v>7170121.6900000004</v>
      </c>
      <c r="AE211" s="181">
        <v>1.5</v>
      </c>
      <c r="AF211" s="181">
        <v>1.5</v>
      </c>
      <c r="AG211" s="101" t="str">
        <f t="shared" si="42"/>
        <v>超估</v>
      </c>
      <c r="AH211" s="191">
        <v>185029</v>
      </c>
      <c r="AI211" s="69">
        <f t="shared" si="43"/>
        <v>118802</v>
      </c>
    </row>
    <row r="212" spans="1:35" s="69" customFormat="1" ht="58.5" x14ac:dyDescent="0.3">
      <c r="A212" s="130" t="s">
        <v>542</v>
      </c>
      <c r="B212" s="131" t="s">
        <v>543</v>
      </c>
      <c r="C212" s="132" t="s">
        <v>30</v>
      </c>
      <c r="D212" s="133">
        <v>129</v>
      </c>
      <c r="E212" s="75"/>
      <c r="F212" s="75"/>
      <c r="G212" s="75"/>
      <c r="H212" s="75" t="s">
        <v>15</v>
      </c>
      <c r="I212" s="75">
        <v>2865.95</v>
      </c>
      <c r="J212" s="75">
        <v>369707.55</v>
      </c>
      <c r="K212" s="91" t="s">
        <v>544</v>
      </c>
      <c r="L212" s="73"/>
      <c r="M212" s="46">
        <v>36</v>
      </c>
      <c r="N212" s="46">
        <v>103174.2</v>
      </c>
      <c r="O212" s="46">
        <v>103174.2</v>
      </c>
      <c r="P212" s="98"/>
      <c r="Q212" s="23" t="s">
        <v>1405</v>
      </c>
      <c r="R212" s="24" t="s">
        <v>543</v>
      </c>
      <c r="S212" s="25" t="s">
        <v>30</v>
      </c>
      <c r="T212" s="26">
        <v>129</v>
      </c>
      <c r="U212" s="26">
        <v>129</v>
      </c>
      <c r="V212" s="26">
        <v>2865.95</v>
      </c>
      <c r="W212" s="243">
        <f t="shared" si="39"/>
        <v>42</v>
      </c>
      <c r="X212" s="127">
        <f t="shared" si="35"/>
        <v>78</v>
      </c>
      <c r="Y212" s="127">
        <f t="shared" si="40"/>
        <v>120369.90000000001</v>
      </c>
      <c r="Z212" s="127">
        <f t="shared" si="44"/>
        <v>223544.1</v>
      </c>
      <c r="AA212" s="33" t="s">
        <v>15</v>
      </c>
      <c r="AB212" s="36" t="s">
        <v>16</v>
      </c>
      <c r="AC212" s="181">
        <f t="shared" si="41"/>
        <v>129</v>
      </c>
      <c r="AD212" s="181">
        <f t="shared" si="37"/>
        <v>369707.55</v>
      </c>
      <c r="AE212" s="181">
        <v>1.5</v>
      </c>
      <c r="AF212" s="181">
        <v>1.5</v>
      </c>
      <c r="AG212" s="101" t="str">
        <f t="shared" si="42"/>
        <v/>
      </c>
      <c r="AH212" s="191">
        <f>36+42</f>
        <v>78</v>
      </c>
      <c r="AI212" s="69">
        <f t="shared" si="43"/>
        <v>129</v>
      </c>
    </row>
    <row r="213" spans="1:35" s="69" customFormat="1" ht="58.5" x14ac:dyDescent="0.3">
      <c r="A213" s="130" t="s">
        <v>545</v>
      </c>
      <c r="B213" s="131" t="s">
        <v>546</v>
      </c>
      <c r="C213" s="132" t="s">
        <v>81</v>
      </c>
      <c r="D213" s="133">
        <v>54</v>
      </c>
      <c r="E213" s="75"/>
      <c r="F213" s="75"/>
      <c r="G213" s="75"/>
      <c r="H213" s="75" t="s">
        <v>15</v>
      </c>
      <c r="I213" s="75">
        <v>1478.05</v>
      </c>
      <c r="J213" s="75">
        <v>79814.7</v>
      </c>
      <c r="K213" s="91" t="s">
        <v>547</v>
      </c>
      <c r="L213" s="73"/>
      <c r="M213" s="46">
        <v>18</v>
      </c>
      <c r="N213" s="46">
        <v>26604.9</v>
      </c>
      <c r="O213" s="46">
        <v>26604.9</v>
      </c>
      <c r="P213" s="98"/>
      <c r="Q213" s="23" t="s">
        <v>1406</v>
      </c>
      <c r="R213" s="24" t="s">
        <v>546</v>
      </c>
      <c r="S213" s="25" t="s">
        <v>81</v>
      </c>
      <c r="T213" s="26">
        <v>54</v>
      </c>
      <c r="U213" s="26">
        <v>54</v>
      </c>
      <c r="V213" s="26">
        <v>1478.05</v>
      </c>
      <c r="W213" s="243">
        <f t="shared" si="39"/>
        <v>15</v>
      </c>
      <c r="X213" s="127">
        <f t="shared" si="35"/>
        <v>33</v>
      </c>
      <c r="Y213" s="127">
        <f t="shared" si="40"/>
        <v>22170.75</v>
      </c>
      <c r="Z213" s="127">
        <f t="shared" si="44"/>
        <v>48775.65</v>
      </c>
      <c r="AA213" s="33" t="s">
        <v>15</v>
      </c>
      <c r="AB213" s="36" t="s">
        <v>16</v>
      </c>
      <c r="AC213" s="181">
        <f t="shared" si="41"/>
        <v>54</v>
      </c>
      <c r="AD213" s="181">
        <f t="shared" si="37"/>
        <v>79814.7</v>
      </c>
      <c r="AE213" s="181">
        <v>1.5</v>
      </c>
      <c r="AF213" s="181">
        <v>1.5</v>
      </c>
      <c r="AG213" s="101" t="str">
        <f t="shared" si="42"/>
        <v/>
      </c>
      <c r="AH213" s="191">
        <f>18+15</f>
        <v>33</v>
      </c>
      <c r="AI213" s="69">
        <f t="shared" si="43"/>
        <v>54</v>
      </c>
    </row>
    <row r="214" spans="1:35" s="69" customFormat="1" ht="49.5" x14ac:dyDescent="0.3">
      <c r="A214" s="130" t="s">
        <v>548</v>
      </c>
      <c r="B214" s="240" t="s">
        <v>549</v>
      </c>
      <c r="C214" s="132" t="s">
        <v>30</v>
      </c>
      <c r="D214" s="133">
        <v>170</v>
      </c>
      <c r="E214" s="75"/>
      <c r="F214" s="75"/>
      <c r="G214" s="75"/>
      <c r="H214" s="75" t="s">
        <v>15</v>
      </c>
      <c r="I214" s="75">
        <v>151.72</v>
      </c>
      <c r="J214" s="75">
        <v>25792.400000000001</v>
      </c>
      <c r="K214" s="91" t="s">
        <v>550</v>
      </c>
      <c r="L214" s="73"/>
      <c r="M214" s="46">
        <v>36</v>
      </c>
      <c r="N214" s="46">
        <v>5461.92</v>
      </c>
      <c r="O214" s="46">
        <v>5461.92</v>
      </c>
      <c r="P214" s="98"/>
      <c r="Q214" s="23" t="s">
        <v>1414</v>
      </c>
      <c r="R214" s="24" t="s">
        <v>549</v>
      </c>
      <c r="S214" s="25" t="s">
        <v>30</v>
      </c>
      <c r="T214" s="26">
        <v>170</v>
      </c>
      <c r="U214" s="26">
        <v>170</v>
      </c>
      <c r="V214" s="26">
        <v>151.72</v>
      </c>
      <c r="W214" s="243">
        <f t="shared" si="39"/>
        <v>55</v>
      </c>
      <c r="X214" s="127">
        <f t="shared" si="35"/>
        <v>91</v>
      </c>
      <c r="Y214" s="127">
        <f t="shared" si="40"/>
        <v>8344.6</v>
      </c>
      <c r="Z214" s="127">
        <f t="shared" si="44"/>
        <v>13806.52</v>
      </c>
      <c r="AA214" s="33" t="s">
        <v>15</v>
      </c>
      <c r="AB214" s="36" t="s">
        <v>16</v>
      </c>
      <c r="AC214" s="181">
        <f t="shared" si="41"/>
        <v>170</v>
      </c>
      <c r="AD214" s="181">
        <f t="shared" si="37"/>
        <v>25792.400000000001</v>
      </c>
      <c r="AE214" s="181">
        <v>1.5</v>
      </c>
      <c r="AF214" s="181">
        <v>1.5</v>
      </c>
      <c r="AG214" s="101" t="str">
        <f t="shared" si="42"/>
        <v/>
      </c>
      <c r="AH214" s="191">
        <f>36+55</f>
        <v>91</v>
      </c>
      <c r="AI214" s="69">
        <f t="shared" si="43"/>
        <v>170</v>
      </c>
    </row>
    <row r="215" spans="1:35" s="69" customFormat="1" ht="33" x14ac:dyDescent="0.3">
      <c r="A215" s="55" t="s">
        <v>551</v>
      </c>
      <c r="B215" s="138" t="s">
        <v>552</v>
      </c>
      <c r="C215" s="54" t="s">
        <v>325</v>
      </c>
      <c r="D215" s="75">
        <v>4</v>
      </c>
      <c r="E215" s="75"/>
      <c r="F215" s="75"/>
      <c r="G215" s="75"/>
      <c r="H215" s="75">
        <v>6</v>
      </c>
      <c r="I215" s="75">
        <v>15779.6</v>
      </c>
      <c r="J215" s="75">
        <v>94677.6</v>
      </c>
      <c r="K215" s="91" t="s">
        <v>553</v>
      </c>
      <c r="L215" s="73"/>
      <c r="M215" s="46">
        <v>2</v>
      </c>
      <c r="N215" s="46">
        <v>0</v>
      </c>
      <c r="O215" s="46">
        <v>31559.200000000001</v>
      </c>
      <c r="P215" s="98"/>
      <c r="Q215" s="23" t="s">
        <v>1429</v>
      </c>
      <c r="R215" s="24" t="s">
        <v>552</v>
      </c>
      <c r="S215" s="25" t="s">
        <v>325</v>
      </c>
      <c r="T215" s="26">
        <v>4</v>
      </c>
      <c r="U215" s="26">
        <v>6</v>
      </c>
      <c r="V215" s="26">
        <v>15779.6</v>
      </c>
      <c r="W215" s="243">
        <f t="shared" si="39"/>
        <v>2</v>
      </c>
      <c r="X215" s="26">
        <f t="shared" si="35"/>
        <v>4</v>
      </c>
      <c r="Y215" s="26">
        <f t="shared" si="40"/>
        <v>31559.200000000001</v>
      </c>
      <c r="Z215" s="26">
        <f t="shared" si="44"/>
        <v>63118.400000000001</v>
      </c>
      <c r="AA215" s="33" t="s">
        <v>15</v>
      </c>
      <c r="AB215" s="36" t="s">
        <v>16</v>
      </c>
      <c r="AC215" s="181">
        <f t="shared" si="41"/>
        <v>6</v>
      </c>
      <c r="AD215" s="181">
        <f t="shared" si="37"/>
        <v>94677.6</v>
      </c>
      <c r="AE215" s="181">
        <v>1.5</v>
      </c>
      <c r="AF215" s="181">
        <v>1.5</v>
      </c>
      <c r="AG215" s="101" t="str">
        <f t="shared" si="42"/>
        <v/>
      </c>
      <c r="AH215" s="191">
        <f>2+2</f>
        <v>4</v>
      </c>
      <c r="AI215" s="69">
        <f t="shared" si="43"/>
        <v>4</v>
      </c>
    </row>
    <row r="216" spans="1:35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 t="s">
        <v>15</v>
      </c>
      <c r="I216" s="75">
        <v>138.84</v>
      </c>
      <c r="J216" s="75">
        <v>62894.52</v>
      </c>
      <c r="K216" s="91" t="s">
        <v>190</v>
      </c>
      <c r="L216" s="73"/>
      <c r="M216" s="46">
        <v>285</v>
      </c>
      <c r="N216" s="46">
        <v>0</v>
      </c>
      <c r="O216" s="46">
        <v>39569.4</v>
      </c>
      <c r="P216" s="98"/>
      <c r="Q216" s="23" t="s">
        <v>1430</v>
      </c>
      <c r="R216" s="24" t="s">
        <v>189</v>
      </c>
      <c r="S216" s="25" t="s">
        <v>30</v>
      </c>
      <c r="T216" s="26">
        <v>453</v>
      </c>
      <c r="U216" s="26">
        <v>453</v>
      </c>
      <c r="V216" s="26">
        <v>138.84</v>
      </c>
      <c r="W216" s="243">
        <f t="shared" si="39"/>
        <v>91</v>
      </c>
      <c r="X216" s="26">
        <f t="shared" si="35"/>
        <v>376</v>
      </c>
      <c r="Y216" s="26">
        <f t="shared" si="40"/>
        <v>12634.439999999995</v>
      </c>
      <c r="Z216" s="26">
        <f t="shared" si="44"/>
        <v>52203.839999999997</v>
      </c>
      <c r="AA216" s="33" t="s">
        <v>15</v>
      </c>
      <c r="AB216" s="36" t="s">
        <v>16</v>
      </c>
      <c r="AC216" s="181">
        <f t="shared" si="41"/>
        <v>453</v>
      </c>
      <c r="AD216" s="181">
        <f t="shared" si="37"/>
        <v>62894.52</v>
      </c>
      <c r="AE216" s="181">
        <v>1.5</v>
      </c>
      <c r="AF216" s="181">
        <v>1.5</v>
      </c>
      <c r="AG216" s="101" t="str">
        <f t="shared" si="42"/>
        <v/>
      </c>
      <c r="AH216" s="191">
        <f>285+91</f>
        <v>376</v>
      </c>
      <c r="AI216" s="69">
        <f t="shared" si="43"/>
        <v>453</v>
      </c>
    </row>
    <row r="217" spans="1:35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 t="s">
        <v>15</v>
      </c>
      <c r="I217" s="75">
        <v>326.3</v>
      </c>
      <c r="J217" s="75">
        <v>548184</v>
      </c>
      <c r="K217" s="91" t="s">
        <v>521</v>
      </c>
      <c r="L217" s="73"/>
      <c r="M217" s="46">
        <v>936</v>
      </c>
      <c r="N217" s="46">
        <v>0</v>
      </c>
      <c r="O217" s="46">
        <v>305416.8</v>
      </c>
      <c r="P217" s="98"/>
      <c r="Q217" s="23" t="s">
        <v>1431</v>
      </c>
      <c r="R217" s="24" t="s">
        <v>520</v>
      </c>
      <c r="S217" s="25" t="s">
        <v>30</v>
      </c>
      <c r="T217" s="26">
        <v>1680</v>
      </c>
      <c r="U217" s="26">
        <v>1680</v>
      </c>
      <c r="V217" s="26">
        <v>326.3</v>
      </c>
      <c r="W217" s="243">
        <f t="shared" si="39"/>
        <v>362</v>
      </c>
      <c r="X217" s="26">
        <f t="shared" si="35"/>
        <v>1298</v>
      </c>
      <c r="Y217" s="26">
        <f t="shared" si="40"/>
        <v>118120.60000000003</v>
      </c>
      <c r="Z217" s="26">
        <f t="shared" si="44"/>
        <v>423537.4</v>
      </c>
      <c r="AA217" s="33" t="s">
        <v>15</v>
      </c>
      <c r="AB217" s="36" t="s">
        <v>16</v>
      </c>
      <c r="AC217" s="181">
        <f t="shared" si="41"/>
        <v>1680</v>
      </c>
      <c r="AD217" s="181">
        <f t="shared" si="37"/>
        <v>548184</v>
      </c>
      <c r="AE217" s="181">
        <v>1.5</v>
      </c>
      <c r="AF217" s="181">
        <v>1.5</v>
      </c>
      <c r="AG217" s="101" t="str">
        <f t="shared" si="42"/>
        <v/>
      </c>
      <c r="AH217" s="191">
        <f>936+362</f>
        <v>1298</v>
      </c>
      <c r="AI217" s="69">
        <f t="shared" si="43"/>
        <v>1680</v>
      </c>
    </row>
    <row r="218" spans="1:35" s="69" customFormat="1" ht="39" x14ac:dyDescent="0.3">
      <c r="A218" s="130" t="s">
        <v>556</v>
      </c>
      <c r="B218" s="131" t="s">
        <v>424</v>
      </c>
      <c r="C218" s="132" t="s">
        <v>50</v>
      </c>
      <c r="D218" s="133">
        <v>756</v>
      </c>
      <c r="E218" s="75"/>
      <c r="F218" s="75"/>
      <c r="G218" s="75"/>
      <c r="H218" s="75" t="s">
        <v>15</v>
      </c>
      <c r="I218" s="75">
        <v>692.16</v>
      </c>
      <c r="J218" s="75">
        <v>523272.96000000002</v>
      </c>
      <c r="K218" s="91" t="s">
        <v>425</v>
      </c>
      <c r="L218" s="73"/>
      <c r="M218" s="46">
        <v>756</v>
      </c>
      <c r="N218" s="46">
        <v>0</v>
      </c>
      <c r="O218" s="46">
        <v>523272.96000000002</v>
      </c>
      <c r="P218" s="98"/>
      <c r="Q218" s="23" t="s">
        <v>1395</v>
      </c>
      <c r="R218" s="24" t="s">
        <v>424</v>
      </c>
      <c r="S218" s="25" t="s">
        <v>50</v>
      </c>
      <c r="T218" s="26">
        <v>756</v>
      </c>
      <c r="U218" s="26">
        <v>756</v>
      </c>
      <c r="V218" s="26">
        <v>692.16</v>
      </c>
      <c r="W218" s="127">
        <f t="shared" si="39"/>
        <v>0</v>
      </c>
      <c r="X218" s="127">
        <f t="shared" si="35"/>
        <v>756</v>
      </c>
      <c r="Y218" s="127">
        <f t="shared" si="40"/>
        <v>0</v>
      </c>
      <c r="Z218" s="127">
        <f t="shared" si="44"/>
        <v>523272.96000000002</v>
      </c>
      <c r="AA218" s="33" t="s">
        <v>15</v>
      </c>
      <c r="AB218" s="36" t="s">
        <v>16</v>
      </c>
      <c r="AC218" s="181">
        <f t="shared" si="41"/>
        <v>756</v>
      </c>
      <c r="AD218" s="181">
        <f t="shared" si="37"/>
        <v>523272.96000000002</v>
      </c>
      <c r="AE218" s="181">
        <v>1.5</v>
      </c>
      <c r="AF218" s="181">
        <v>1.5</v>
      </c>
      <c r="AG218" s="101" t="str">
        <f t="shared" si="42"/>
        <v/>
      </c>
      <c r="AH218" s="191">
        <v>756</v>
      </c>
      <c r="AI218" s="69">
        <f t="shared" si="43"/>
        <v>756</v>
      </c>
    </row>
    <row r="219" spans="1:35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 t="s">
        <v>15</v>
      </c>
      <c r="I219" s="75">
        <v>422.3</v>
      </c>
      <c r="J219" s="75">
        <v>13513.6</v>
      </c>
      <c r="K219" s="91" t="s">
        <v>560</v>
      </c>
      <c r="L219" s="73"/>
      <c r="M219" s="46">
        <v>0</v>
      </c>
      <c r="N219" s="46">
        <v>0</v>
      </c>
      <c r="O219" s="46">
        <v>0</v>
      </c>
      <c r="P219" s="98"/>
      <c r="Q219" s="23" t="s">
        <v>1432</v>
      </c>
      <c r="R219" s="24" t="s">
        <v>558</v>
      </c>
      <c r="S219" s="25" t="s">
        <v>559</v>
      </c>
      <c r="T219" s="26">
        <v>32</v>
      </c>
      <c r="U219" s="26">
        <v>32</v>
      </c>
      <c r="V219" s="26">
        <v>422.3</v>
      </c>
      <c r="W219" s="26">
        <f t="shared" si="39"/>
        <v>0</v>
      </c>
      <c r="X219" s="26">
        <f t="shared" si="35"/>
        <v>0</v>
      </c>
      <c r="Y219" s="26">
        <f t="shared" si="40"/>
        <v>0</v>
      </c>
      <c r="Z219" s="26">
        <f t="shared" si="44"/>
        <v>0</v>
      </c>
      <c r="AA219" s="33" t="s">
        <v>15</v>
      </c>
      <c r="AB219" s="36" t="s">
        <v>16</v>
      </c>
      <c r="AC219" s="181">
        <f t="shared" si="41"/>
        <v>32</v>
      </c>
      <c r="AD219" s="181">
        <f t="shared" si="37"/>
        <v>13513.6</v>
      </c>
      <c r="AE219" s="181">
        <v>1.5</v>
      </c>
      <c r="AF219" s="181">
        <v>1.5</v>
      </c>
      <c r="AG219" s="101" t="str">
        <f t="shared" si="42"/>
        <v/>
      </c>
      <c r="AH219" s="190">
        <v>0</v>
      </c>
      <c r="AI219" s="69">
        <f t="shared" si="43"/>
        <v>32</v>
      </c>
    </row>
    <row r="220" spans="1:35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 t="s">
        <v>15</v>
      </c>
      <c r="I220" s="82"/>
      <c r="J220" s="82">
        <v>13861675.58</v>
      </c>
      <c r="K220" s="94" t="s">
        <v>15</v>
      </c>
      <c r="L220" s="73"/>
      <c r="M220" s="45">
        <v>1</v>
      </c>
      <c r="N220" s="45">
        <v>1496418.06</v>
      </c>
      <c r="O220" s="45">
        <v>7563148.0599999977</v>
      </c>
      <c r="P220" s="98"/>
      <c r="Q220" s="18" t="s">
        <v>1394</v>
      </c>
      <c r="R220" s="19" t="s">
        <v>562</v>
      </c>
      <c r="S220" s="20" t="s">
        <v>14</v>
      </c>
      <c r="T220" s="21">
        <v>1</v>
      </c>
      <c r="U220" s="21"/>
      <c r="V220" s="21">
        <f>SUMIFS(AD:AD,AE:AE,AE220)</f>
        <v>13861675.579999998</v>
      </c>
      <c r="W220" s="21">
        <f t="shared" ref="W220:X220" si="45">IF(Y220=0,0,1)</f>
        <v>1</v>
      </c>
      <c r="X220" s="21">
        <f t="shared" si="45"/>
        <v>1</v>
      </c>
      <c r="Y220" s="21">
        <f>SUMIFS(Y:Y,AF:AF,AE220)</f>
        <v>418994.96</v>
      </c>
      <c r="Z220" s="21">
        <f>SUMIFS(Z:Z,AF:AF,AE220)</f>
        <v>7982143.0199999986</v>
      </c>
      <c r="AA220" s="22" t="s">
        <v>15</v>
      </c>
      <c r="AB220" s="43" t="s">
        <v>16</v>
      </c>
      <c r="AC220" s="181">
        <f t="shared" si="41"/>
        <v>1</v>
      </c>
      <c r="AD220" s="184"/>
      <c r="AE220" s="184">
        <v>1.6</v>
      </c>
      <c r="AF220" s="184"/>
      <c r="AG220" s="101" t="str">
        <f t="shared" si="42"/>
        <v/>
      </c>
      <c r="AH220" s="190">
        <v>1</v>
      </c>
      <c r="AI220" s="69">
        <f t="shared" si="43"/>
        <v>1</v>
      </c>
    </row>
    <row r="221" spans="1:35" s="69" customFormat="1" ht="58.5" x14ac:dyDescent="0.3">
      <c r="A221" s="55" t="s">
        <v>563</v>
      </c>
      <c r="B221" s="53" t="s">
        <v>564</v>
      </c>
      <c r="C221" s="54" t="s">
        <v>23</v>
      </c>
      <c r="D221" s="75">
        <v>256</v>
      </c>
      <c r="E221" s="75"/>
      <c r="F221" s="75"/>
      <c r="G221" s="75"/>
      <c r="H221" s="75">
        <v>380.68</v>
      </c>
      <c r="I221" s="75">
        <v>7517.56</v>
      </c>
      <c r="J221" s="75">
        <v>2861784.74</v>
      </c>
      <c r="K221" s="91" t="s">
        <v>565</v>
      </c>
      <c r="L221" s="73"/>
      <c r="M221" s="46">
        <v>144.1</v>
      </c>
      <c r="N221" s="46">
        <v>0</v>
      </c>
      <c r="O221" s="46">
        <v>1083280.3999999999</v>
      </c>
      <c r="P221" s="98"/>
      <c r="Q221" s="23" t="s">
        <v>1421</v>
      </c>
      <c r="R221" s="24" t="s">
        <v>564</v>
      </c>
      <c r="S221" s="25" t="s">
        <v>23</v>
      </c>
      <c r="T221" s="26">
        <v>256</v>
      </c>
      <c r="U221" s="26">
        <v>380.68</v>
      </c>
      <c r="V221" s="26">
        <v>7517.56</v>
      </c>
      <c r="W221" s="128">
        <f t="shared" ref="W221:W236" si="46">AH221-M221</f>
        <v>0</v>
      </c>
      <c r="X221" s="26">
        <f t="shared" si="35"/>
        <v>144.1</v>
      </c>
      <c r="Y221" s="26">
        <f t="shared" ref="Y221:Y236" si="47">Z221-O221</f>
        <v>0</v>
      </c>
      <c r="Z221" s="26">
        <f t="shared" si="44"/>
        <v>1083280.3999999999</v>
      </c>
      <c r="AA221" s="33" t="s">
        <v>15</v>
      </c>
      <c r="AB221" s="36" t="s">
        <v>16</v>
      </c>
      <c r="AC221" s="181">
        <f t="shared" si="41"/>
        <v>380.68</v>
      </c>
      <c r="AD221" s="181">
        <f t="shared" ref="AD221:AD236" si="48">ROUND(V221*AC221,2)</f>
        <v>2861784.74</v>
      </c>
      <c r="AE221" s="181">
        <v>1.6</v>
      </c>
      <c r="AF221" s="181">
        <v>1.6</v>
      </c>
      <c r="AG221" s="101" t="str">
        <f t="shared" si="42"/>
        <v/>
      </c>
      <c r="AH221" s="191">
        <v>144.1</v>
      </c>
      <c r="AI221" s="69">
        <f t="shared" si="43"/>
        <v>256</v>
      </c>
    </row>
    <row r="222" spans="1:35" s="69" customFormat="1" ht="58.5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917.25</v>
      </c>
      <c r="I222" s="75">
        <v>7496.96</v>
      </c>
      <c r="J222" s="75">
        <v>6876586.5599999996</v>
      </c>
      <c r="K222" s="91" t="s">
        <v>568</v>
      </c>
      <c r="L222" s="73"/>
      <c r="M222" s="46">
        <v>437.3</v>
      </c>
      <c r="N222" s="46">
        <v>0</v>
      </c>
      <c r="O222" s="46">
        <v>3278420.61</v>
      </c>
      <c r="P222" s="98"/>
      <c r="Q222" s="23" t="s">
        <v>1426</v>
      </c>
      <c r="R222" s="24" t="s">
        <v>567</v>
      </c>
      <c r="S222" s="25" t="s">
        <v>23</v>
      </c>
      <c r="T222" s="26">
        <v>766</v>
      </c>
      <c r="U222" s="26">
        <v>917.25</v>
      </c>
      <c r="V222" s="26">
        <v>7496.96</v>
      </c>
      <c r="W222" s="128">
        <f t="shared" si="46"/>
        <v>0</v>
      </c>
      <c r="X222" s="26">
        <f t="shared" si="35"/>
        <v>437.3</v>
      </c>
      <c r="Y222" s="26">
        <f t="shared" si="47"/>
        <v>0</v>
      </c>
      <c r="Z222" s="26">
        <f t="shared" si="44"/>
        <v>3278420.61</v>
      </c>
      <c r="AA222" s="33" t="s">
        <v>15</v>
      </c>
      <c r="AB222" s="36" t="s">
        <v>16</v>
      </c>
      <c r="AC222" s="181">
        <f t="shared" si="41"/>
        <v>917.25</v>
      </c>
      <c r="AD222" s="181">
        <f t="shared" si="48"/>
        <v>6876586.5599999996</v>
      </c>
      <c r="AE222" s="181">
        <v>1.6</v>
      </c>
      <c r="AF222" s="181">
        <v>1.6</v>
      </c>
      <c r="AG222" s="101" t="str">
        <f t="shared" si="42"/>
        <v/>
      </c>
      <c r="AH222" s="191">
        <v>437.3</v>
      </c>
      <c r="AI222" s="69">
        <f t="shared" si="43"/>
        <v>766</v>
      </c>
    </row>
    <row r="223" spans="1:35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 t="s">
        <v>15</v>
      </c>
      <c r="I223" s="75">
        <v>11.6</v>
      </c>
      <c r="J223" s="75">
        <v>59194.8</v>
      </c>
      <c r="K223" s="91" t="s">
        <v>571</v>
      </c>
      <c r="L223" s="73"/>
      <c r="M223" s="46">
        <v>798</v>
      </c>
      <c r="N223" s="46">
        <v>0</v>
      </c>
      <c r="O223" s="46">
        <v>9256.7999999999993</v>
      </c>
      <c r="P223" s="98"/>
      <c r="Q223" s="23" t="s">
        <v>1402</v>
      </c>
      <c r="R223" s="24" t="s">
        <v>570</v>
      </c>
      <c r="S223" s="25" t="s">
        <v>50</v>
      </c>
      <c r="T223" s="26">
        <v>5103</v>
      </c>
      <c r="U223" s="26">
        <v>5103</v>
      </c>
      <c r="V223" s="26">
        <v>11.6</v>
      </c>
      <c r="W223" s="128">
        <f t="shared" si="46"/>
        <v>0</v>
      </c>
      <c r="X223" s="26">
        <f t="shared" si="35"/>
        <v>798</v>
      </c>
      <c r="Y223" s="26">
        <f t="shared" si="47"/>
        <v>0</v>
      </c>
      <c r="Z223" s="26">
        <f t="shared" si="44"/>
        <v>9256.7999999999993</v>
      </c>
      <c r="AA223" s="33" t="s">
        <v>15</v>
      </c>
      <c r="AB223" s="36" t="s">
        <v>16</v>
      </c>
      <c r="AC223" s="181">
        <f t="shared" si="41"/>
        <v>5103</v>
      </c>
      <c r="AD223" s="181">
        <f t="shared" si="48"/>
        <v>59194.8</v>
      </c>
      <c r="AE223" s="181">
        <v>1.6</v>
      </c>
      <c r="AF223" s="181">
        <v>1.6</v>
      </c>
      <c r="AG223" s="101" t="str">
        <f t="shared" si="42"/>
        <v/>
      </c>
      <c r="AH223" s="191">
        <v>798</v>
      </c>
      <c r="AI223" s="69">
        <f t="shared" si="43"/>
        <v>5103</v>
      </c>
    </row>
    <row r="224" spans="1:35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6734.4</v>
      </c>
      <c r="I224" s="75">
        <v>42.46</v>
      </c>
      <c r="J224" s="75">
        <v>285942.62</v>
      </c>
      <c r="K224" s="91" t="s">
        <v>574</v>
      </c>
      <c r="L224" s="73"/>
      <c r="M224" s="46">
        <v>2381</v>
      </c>
      <c r="N224" s="46">
        <v>0</v>
      </c>
      <c r="O224" s="46">
        <v>101097.26</v>
      </c>
      <c r="P224" s="98"/>
      <c r="Q224" s="23" t="s">
        <v>1373</v>
      </c>
      <c r="R224" s="24" t="s">
        <v>573</v>
      </c>
      <c r="S224" s="25" t="s">
        <v>50</v>
      </c>
      <c r="T224" s="26">
        <v>5103</v>
      </c>
      <c r="U224" s="26">
        <v>6734.4</v>
      </c>
      <c r="V224" s="26">
        <v>42.46</v>
      </c>
      <c r="W224" s="128">
        <f t="shared" si="46"/>
        <v>0</v>
      </c>
      <c r="X224" s="26">
        <f t="shared" si="35"/>
        <v>2381</v>
      </c>
      <c r="Y224" s="26">
        <f t="shared" si="47"/>
        <v>0</v>
      </c>
      <c r="Z224" s="26">
        <f t="shared" si="44"/>
        <v>101097.26</v>
      </c>
      <c r="AA224" s="33" t="s">
        <v>15</v>
      </c>
      <c r="AB224" s="36" t="s">
        <v>16</v>
      </c>
      <c r="AC224" s="181">
        <f t="shared" si="41"/>
        <v>6734.4</v>
      </c>
      <c r="AD224" s="181">
        <f t="shared" si="48"/>
        <v>285942.62</v>
      </c>
      <c r="AE224" s="181">
        <v>1.6</v>
      </c>
      <c r="AF224" s="181">
        <v>1.6</v>
      </c>
      <c r="AG224" s="101" t="str">
        <f t="shared" si="42"/>
        <v/>
      </c>
      <c r="AH224" s="191">
        <v>2381</v>
      </c>
      <c r="AI224" s="69">
        <f t="shared" si="43"/>
        <v>5103</v>
      </c>
    </row>
    <row r="225" spans="1:35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19027.2</v>
      </c>
      <c r="I225" s="75">
        <v>15.96</v>
      </c>
      <c r="J225" s="75">
        <v>303674.11</v>
      </c>
      <c r="K225" s="91" t="s">
        <v>577</v>
      </c>
      <c r="L225" s="73"/>
      <c r="M225" s="46">
        <v>7986</v>
      </c>
      <c r="N225" s="46">
        <v>0</v>
      </c>
      <c r="O225" s="46">
        <v>127456.56</v>
      </c>
      <c r="P225" s="98"/>
      <c r="Q225" s="23" t="s">
        <v>1393</v>
      </c>
      <c r="R225" s="24" t="s">
        <v>576</v>
      </c>
      <c r="S225" s="25" t="s">
        <v>50</v>
      </c>
      <c r="T225" s="26">
        <v>15307</v>
      </c>
      <c r="U225" s="26">
        <v>19027.2</v>
      </c>
      <c r="V225" s="26">
        <v>15.96</v>
      </c>
      <c r="W225" s="128">
        <f t="shared" si="46"/>
        <v>0</v>
      </c>
      <c r="X225" s="26">
        <f t="shared" si="35"/>
        <v>7986</v>
      </c>
      <c r="Y225" s="26">
        <f t="shared" si="47"/>
        <v>0</v>
      </c>
      <c r="Z225" s="26">
        <f t="shared" si="44"/>
        <v>127456.56</v>
      </c>
      <c r="AA225" s="33" t="s">
        <v>15</v>
      </c>
      <c r="AB225" s="36" t="s">
        <v>16</v>
      </c>
      <c r="AC225" s="181">
        <f t="shared" si="41"/>
        <v>19027.2</v>
      </c>
      <c r="AD225" s="181">
        <f t="shared" si="48"/>
        <v>303674.11</v>
      </c>
      <c r="AE225" s="181">
        <v>1.6</v>
      </c>
      <c r="AF225" s="181">
        <v>1.6</v>
      </c>
      <c r="AG225" s="101" t="str">
        <f t="shared" si="42"/>
        <v/>
      </c>
      <c r="AH225" s="191">
        <v>7986</v>
      </c>
      <c r="AI225" s="69">
        <f t="shared" si="43"/>
        <v>15307</v>
      </c>
    </row>
    <row r="226" spans="1:35" s="69" customFormat="1" ht="39" x14ac:dyDescent="0.3">
      <c r="A226" s="130" t="s">
        <v>578</v>
      </c>
      <c r="B226" s="131" t="s">
        <v>392</v>
      </c>
      <c r="C226" s="132" t="s">
        <v>23</v>
      </c>
      <c r="D226" s="133">
        <v>24</v>
      </c>
      <c r="E226" s="75"/>
      <c r="F226" s="75"/>
      <c r="G226" s="75"/>
      <c r="H226" s="75" t="s">
        <v>15</v>
      </c>
      <c r="I226" s="75">
        <v>3115.13</v>
      </c>
      <c r="J226" s="75">
        <v>74763.12</v>
      </c>
      <c r="K226" s="91" t="s">
        <v>114</v>
      </c>
      <c r="L226" s="73"/>
      <c r="M226" s="46">
        <v>24</v>
      </c>
      <c r="N226" s="46">
        <v>59187.469999999994</v>
      </c>
      <c r="O226" s="46">
        <v>74763.12</v>
      </c>
      <c r="P226" s="98"/>
      <c r="Q226" s="23" t="s">
        <v>1403</v>
      </c>
      <c r="R226" s="24" t="s">
        <v>392</v>
      </c>
      <c r="S226" s="25" t="s">
        <v>23</v>
      </c>
      <c r="T226" s="26">
        <v>24</v>
      </c>
      <c r="U226" s="26">
        <v>24</v>
      </c>
      <c r="V226" s="26">
        <v>3115.13</v>
      </c>
      <c r="W226" s="127">
        <f t="shared" si="46"/>
        <v>0</v>
      </c>
      <c r="X226" s="127">
        <f t="shared" si="35"/>
        <v>24</v>
      </c>
      <c r="Y226" s="127">
        <f t="shared" si="47"/>
        <v>0</v>
      </c>
      <c r="Z226" s="127">
        <f t="shared" si="44"/>
        <v>74763.12</v>
      </c>
      <c r="AA226" s="33" t="s">
        <v>15</v>
      </c>
      <c r="AB226" s="36" t="s">
        <v>16</v>
      </c>
      <c r="AC226" s="181">
        <f t="shared" si="41"/>
        <v>24</v>
      </c>
      <c r="AD226" s="181">
        <f t="shared" si="48"/>
        <v>74763.12</v>
      </c>
      <c r="AE226" s="181">
        <v>1.6</v>
      </c>
      <c r="AF226" s="181">
        <v>1.6</v>
      </c>
      <c r="AG226" s="101" t="str">
        <f t="shared" si="42"/>
        <v/>
      </c>
      <c r="AH226" s="191">
        <f>5+19</f>
        <v>24</v>
      </c>
      <c r="AI226" s="69">
        <f t="shared" si="43"/>
        <v>24</v>
      </c>
    </row>
    <row r="227" spans="1:35" s="69" customFormat="1" ht="39" x14ac:dyDescent="0.3">
      <c r="A227" s="55" t="s">
        <v>579</v>
      </c>
      <c r="B227" s="53" t="s">
        <v>116</v>
      </c>
      <c r="C227" s="54" t="s">
        <v>23</v>
      </c>
      <c r="D227" s="75">
        <v>237</v>
      </c>
      <c r="E227" s="75"/>
      <c r="F227" s="75"/>
      <c r="G227" s="75"/>
      <c r="H227" s="75" t="s">
        <v>15</v>
      </c>
      <c r="I227" s="75">
        <v>3321.13</v>
      </c>
      <c r="J227" s="75">
        <v>787107.81</v>
      </c>
      <c r="K227" s="91" t="s">
        <v>117</v>
      </c>
      <c r="L227" s="73"/>
      <c r="M227" s="46">
        <v>223.95</v>
      </c>
      <c r="N227" s="46">
        <v>344069.06000000006</v>
      </c>
      <c r="O227" s="46">
        <v>743767.06</v>
      </c>
      <c r="P227" s="98"/>
      <c r="Q227" s="23" t="s">
        <v>1427</v>
      </c>
      <c r="R227" s="24" t="s">
        <v>116</v>
      </c>
      <c r="S227" s="25" t="s">
        <v>23</v>
      </c>
      <c r="T227" s="26">
        <v>237</v>
      </c>
      <c r="U227" s="26">
        <v>237</v>
      </c>
      <c r="V227" s="26">
        <v>3321.13</v>
      </c>
      <c r="W227" s="243">
        <f t="shared" si="46"/>
        <v>13.050000000000011</v>
      </c>
      <c r="X227" s="127">
        <f t="shared" si="35"/>
        <v>237</v>
      </c>
      <c r="Y227" s="127">
        <f t="shared" si="47"/>
        <v>43340.75</v>
      </c>
      <c r="Z227" s="127">
        <f t="shared" si="44"/>
        <v>787107.81</v>
      </c>
      <c r="AA227" s="33" t="s">
        <v>15</v>
      </c>
      <c r="AB227" s="36" t="s">
        <v>16</v>
      </c>
      <c r="AC227" s="181">
        <f t="shared" si="41"/>
        <v>237</v>
      </c>
      <c r="AD227" s="181">
        <f t="shared" si="48"/>
        <v>787107.81</v>
      </c>
      <c r="AE227" s="181">
        <v>1.6</v>
      </c>
      <c r="AF227" s="181">
        <v>1.6</v>
      </c>
      <c r="AG227" s="101" t="str">
        <f t="shared" si="42"/>
        <v/>
      </c>
      <c r="AH227" s="191">
        <f>120.35+103.6+13.05</f>
        <v>237</v>
      </c>
      <c r="AI227" s="69">
        <f t="shared" si="43"/>
        <v>237</v>
      </c>
    </row>
    <row r="228" spans="1:35" s="69" customFormat="1" ht="39" x14ac:dyDescent="0.3">
      <c r="A228" s="55" t="s">
        <v>580</v>
      </c>
      <c r="B228" s="53" t="s">
        <v>493</v>
      </c>
      <c r="C228" s="54" t="s">
        <v>23</v>
      </c>
      <c r="D228" s="75">
        <v>261</v>
      </c>
      <c r="E228" s="75"/>
      <c r="F228" s="75"/>
      <c r="G228" s="75"/>
      <c r="H228" s="75" t="s">
        <v>15</v>
      </c>
      <c r="I228" s="75">
        <v>200</v>
      </c>
      <c r="J228" s="75">
        <v>52200</v>
      </c>
      <c r="K228" s="91" t="s">
        <v>494</v>
      </c>
      <c r="L228" s="73"/>
      <c r="M228" s="46">
        <v>247.95</v>
      </c>
      <c r="N228" s="46">
        <v>24520</v>
      </c>
      <c r="O228" s="46">
        <v>49590</v>
      </c>
      <c r="P228" s="98"/>
      <c r="Q228" s="23" t="s">
        <v>1428</v>
      </c>
      <c r="R228" s="24" t="s">
        <v>493</v>
      </c>
      <c r="S228" s="25" t="s">
        <v>23</v>
      </c>
      <c r="T228" s="26">
        <v>261</v>
      </c>
      <c r="U228" s="26">
        <v>261</v>
      </c>
      <c r="V228" s="26">
        <v>200</v>
      </c>
      <c r="W228" s="243">
        <f t="shared" si="46"/>
        <v>13.050000000000011</v>
      </c>
      <c r="X228" s="127">
        <f t="shared" si="35"/>
        <v>261</v>
      </c>
      <c r="Y228" s="127">
        <f t="shared" si="47"/>
        <v>2610</v>
      </c>
      <c r="Z228" s="127">
        <f t="shared" si="44"/>
        <v>52200</v>
      </c>
      <c r="AA228" s="33" t="s">
        <v>15</v>
      </c>
      <c r="AB228" s="36" t="s">
        <v>16</v>
      </c>
      <c r="AC228" s="181">
        <f t="shared" si="41"/>
        <v>261</v>
      </c>
      <c r="AD228" s="181">
        <f t="shared" si="48"/>
        <v>52200</v>
      </c>
      <c r="AE228" s="181">
        <v>1.6</v>
      </c>
      <c r="AF228" s="181">
        <v>1.6</v>
      </c>
      <c r="AG228" s="101" t="str">
        <f t="shared" si="42"/>
        <v/>
      </c>
      <c r="AH228" s="191">
        <f>AH226+AH227</f>
        <v>261</v>
      </c>
      <c r="AI228" s="69">
        <f t="shared" si="43"/>
        <v>261</v>
      </c>
    </row>
    <row r="229" spans="1:35" s="69" customFormat="1" ht="33" x14ac:dyDescent="0.3">
      <c r="A229" s="55" t="s">
        <v>581</v>
      </c>
      <c r="B229" s="53" t="s">
        <v>582</v>
      </c>
      <c r="C229" s="54" t="s">
        <v>50</v>
      </c>
      <c r="D229" s="75">
        <v>745</v>
      </c>
      <c r="E229" s="75"/>
      <c r="F229" s="75"/>
      <c r="G229" s="75"/>
      <c r="H229" s="75" t="s">
        <v>15</v>
      </c>
      <c r="I229" s="75">
        <v>698.31</v>
      </c>
      <c r="J229" s="75">
        <v>520240.95</v>
      </c>
      <c r="K229" s="91" t="s">
        <v>583</v>
      </c>
      <c r="L229" s="73"/>
      <c r="M229" s="46">
        <v>568</v>
      </c>
      <c r="N229" s="46">
        <v>217872.72000000003</v>
      </c>
      <c r="O229" s="46">
        <v>396640.08</v>
      </c>
      <c r="P229" s="98"/>
      <c r="Q229" s="23" t="s">
        <v>1387</v>
      </c>
      <c r="R229" s="24" t="s">
        <v>582</v>
      </c>
      <c r="S229" s="25" t="s">
        <v>50</v>
      </c>
      <c r="T229" s="26">
        <v>745</v>
      </c>
      <c r="U229" s="26">
        <v>745</v>
      </c>
      <c r="V229" s="26">
        <v>698.31</v>
      </c>
      <c r="W229" s="243">
        <f t="shared" si="46"/>
        <v>177</v>
      </c>
      <c r="X229" s="127">
        <f t="shared" si="35"/>
        <v>745</v>
      </c>
      <c r="Y229" s="127">
        <f t="shared" si="47"/>
        <v>123600.87</v>
      </c>
      <c r="Z229" s="127">
        <f t="shared" si="44"/>
        <v>520240.95</v>
      </c>
      <c r="AA229" s="33" t="s">
        <v>15</v>
      </c>
      <c r="AB229" s="36" t="s">
        <v>16</v>
      </c>
      <c r="AC229" s="181">
        <f t="shared" si="41"/>
        <v>745</v>
      </c>
      <c r="AD229" s="181">
        <f t="shared" si="48"/>
        <v>520240.95</v>
      </c>
      <c r="AE229" s="181">
        <v>1.6</v>
      </c>
      <c r="AF229" s="181">
        <v>1.6</v>
      </c>
      <c r="AG229" s="101" t="str">
        <f t="shared" si="42"/>
        <v/>
      </c>
      <c r="AH229" s="191">
        <f>256+312+177</f>
        <v>745</v>
      </c>
      <c r="AI229" s="69">
        <f t="shared" si="43"/>
        <v>745</v>
      </c>
    </row>
    <row r="230" spans="1:35" s="69" customFormat="1" ht="41.25" x14ac:dyDescent="0.3">
      <c r="A230" s="55" t="s">
        <v>584</v>
      </c>
      <c r="B230" s="53" t="s">
        <v>119</v>
      </c>
      <c r="C230" s="54" t="s">
        <v>50</v>
      </c>
      <c r="D230" s="75">
        <v>915</v>
      </c>
      <c r="E230" s="75"/>
      <c r="F230" s="75"/>
      <c r="G230" s="75"/>
      <c r="H230" s="75" t="s">
        <v>15</v>
      </c>
      <c r="I230" s="75">
        <v>533.64</v>
      </c>
      <c r="J230" s="75">
        <v>488280.6</v>
      </c>
      <c r="K230" s="91" t="s">
        <v>120</v>
      </c>
      <c r="L230" s="73"/>
      <c r="M230" s="46">
        <v>876.5</v>
      </c>
      <c r="N230" s="46">
        <v>331924.08</v>
      </c>
      <c r="O230" s="46">
        <v>467735.46</v>
      </c>
      <c r="P230" s="98"/>
      <c r="Q230" s="23" t="s">
        <v>1405</v>
      </c>
      <c r="R230" s="24" t="s">
        <v>119</v>
      </c>
      <c r="S230" s="25" t="s">
        <v>50</v>
      </c>
      <c r="T230" s="26">
        <v>915</v>
      </c>
      <c r="U230" s="26">
        <v>915</v>
      </c>
      <c r="V230" s="26">
        <v>533.64</v>
      </c>
      <c r="W230" s="243">
        <f t="shared" si="46"/>
        <v>38.5</v>
      </c>
      <c r="X230" s="127">
        <f t="shared" si="35"/>
        <v>915</v>
      </c>
      <c r="Y230" s="127">
        <f t="shared" si="47"/>
        <v>20545.139999999956</v>
      </c>
      <c r="Z230" s="127">
        <f t="shared" si="44"/>
        <v>488280.6</v>
      </c>
      <c r="AA230" s="33" t="s">
        <v>15</v>
      </c>
      <c r="AB230" s="36" t="s">
        <v>16</v>
      </c>
      <c r="AC230" s="181">
        <f t="shared" si="41"/>
        <v>915</v>
      </c>
      <c r="AD230" s="181">
        <f t="shared" si="48"/>
        <v>488280.6</v>
      </c>
      <c r="AE230" s="181">
        <v>1.6</v>
      </c>
      <c r="AF230" s="181">
        <v>1.6</v>
      </c>
      <c r="AG230" s="101" t="str">
        <f t="shared" si="42"/>
        <v/>
      </c>
      <c r="AH230" s="191">
        <f>254.5+622+38.5</f>
        <v>915</v>
      </c>
      <c r="AI230" s="69">
        <f t="shared" si="43"/>
        <v>915</v>
      </c>
    </row>
    <row r="231" spans="1:35" s="69" customFormat="1" ht="33" x14ac:dyDescent="0.3">
      <c r="A231" s="130" t="s">
        <v>585</v>
      </c>
      <c r="B231" s="131" t="s">
        <v>109</v>
      </c>
      <c r="C231" s="132" t="s">
        <v>110</v>
      </c>
      <c r="D231" s="133">
        <v>9227</v>
      </c>
      <c r="E231" s="75"/>
      <c r="F231" s="75"/>
      <c r="G231" s="75"/>
      <c r="H231" s="75" t="s">
        <v>15</v>
      </c>
      <c r="I231" s="75">
        <v>36.4</v>
      </c>
      <c r="J231" s="75">
        <v>335862.8</v>
      </c>
      <c r="K231" s="91" t="s">
        <v>111</v>
      </c>
      <c r="L231" s="73"/>
      <c r="M231" s="46">
        <v>9227</v>
      </c>
      <c r="N231" s="46">
        <v>0</v>
      </c>
      <c r="O231" s="46">
        <v>335862.8</v>
      </c>
      <c r="P231" s="98"/>
      <c r="Q231" s="23" t="s">
        <v>1406</v>
      </c>
      <c r="R231" s="24" t="s">
        <v>109</v>
      </c>
      <c r="S231" s="25" t="s">
        <v>110</v>
      </c>
      <c r="T231" s="26">
        <v>9227</v>
      </c>
      <c r="U231" s="26">
        <v>9227</v>
      </c>
      <c r="V231" s="26">
        <v>36.4</v>
      </c>
      <c r="W231" s="127">
        <f t="shared" si="46"/>
        <v>0</v>
      </c>
      <c r="X231" s="127">
        <f t="shared" si="35"/>
        <v>9227</v>
      </c>
      <c r="Y231" s="127">
        <f t="shared" si="47"/>
        <v>0</v>
      </c>
      <c r="Z231" s="127">
        <f t="shared" si="44"/>
        <v>335862.8</v>
      </c>
      <c r="AA231" s="33" t="s">
        <v>15</v>
      </c>
      <c r="AB231" s="36" t="s">
        <v>16</v>
      </c>
      <c r="AC231" s="181">
        <f t="shared" si="41"/>
        <v>9227</v>
      </c>
      <c r="AD231" s="181">
        <f t="shared" si="48"/>
        <v>335862.8</v>
      </c>
      <c r="AE231" s="181">
        <v>1.6</v>
      </c>
      <c r="AF231" s="181">
        <v>1.6</v>
      </c>
      <c r="AG231" s="101" t="str">
        <f t="shared" si="42"/>
        <v/>
      </c>
      <c r="AH231" s="191">
        <v>9227</v>
      </c>
      <c r="AI231" s="69">
        <f t="shared" si="43"/>
        <v>9227</v>
      </c>
    </row>
    <row r="232" spans="1:35" s="69" customFormat="1" ht="58.5" x14ac:dyDescent="0.3">
      <c r="A232" s="130" t="s">
        <v>586</v>
      </c>
      <c r="B232" s="131" t="s">
        <v>587</v>
      </c>
      <c r="C232" s="132" t="s">
        <v>513</v>
      </c>
      <c r="D232" s="133">
        <v>189</v>
      </c>
      <c r="E232" s="75"/>
      <c r="F232" s="75"/>
      <c r="G232" s="75"/>
      <c r="H232" s="75" t="s">
        <v>15</v>
      </c>
      <c r="I232" s="75">
        <v>40</v>
      </c>
      <c r="J232" s="75">
        <v>7560</v>
      </c>
      <c r="K232" s="91" t="s">
        <v>588</v>
      </c>
      <c r="L232" s="73"/>
      <c r="M232" s="46">
        <v>0</v>
      </c>
      <c r="N232" s="46">
        <v>0</v>
      </c>
      <c r="O232" s="46">
        <v>0</v>
      </c>
      <c r="P232" s="98"/>
      <c r="Q232" s="23" t="s">
        <v>1414</v>
      </c>
      <c r="R232" s="24" t="s">
        <v>587</v>
      </c>
      <c r="S232" s="25" t="s">
        <v>513</v>
      </c>
      <c r="T232" s="26">
        <v>189</v>
      </c>
      <c r="U232" s="26">
        <v>189</v>
      </c>
      <c r="V232" s="26">
        <v>40</v>
      </c>
      <c r="W232" s="127">
        <f t="shared" si="46"/>
        <v>0</v>
      </c>
      <c r="X232" s="127">
        <f t="shared" si="35"/>
        <v>0</v>
      </c>
      <c r="Y232" s="127">
        <f t="shared" si="47"/>
        <v>0</v>
      </c>
      <c r="Z232" s="127">
        <f t="shared" si="44"/>
        <v>0</v>
      </c>
      <c r="AA232" s="33" t="s">
        <v>15</v>
      </c>
      <c r="AB232" s="36" t="s">
        <v>16</v>
      </c>
      <c r="AC232" s="181">
        <f t="shared" si="41"/>
        <v>189</v>
      </c>
      <c r="AD232" s="181">
        <f t="shared" si="48"/>
        <v>7560</v>
      </c>
      <c r="AE232" s="181">
        <v>1.6</v>
      </c>
      <c r="AF232" s="181">
        <v>1.6</v>
      </c>
      <c r="AG232" s="101" t="str">
        <f t="shared" si="42"/>
        <v/>
      </c>
      <c r="AH232" s="190">
        <v>0</v>
      </c>
      <c r="AI232" s="69">
        <f t="shared" si="43"/>
        <v>189</v>
      </c>
    </row>
    <row r="233" spans="1:35" s="69" customFormat="1" ht="58.5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 t="s">
        <v>15</v>
      </c>
      <c r="I233" s="75">
        <v>3615.3</v>
      </c>
      <c r="J233" s="75">
        <v>426605.4</v>
      </c>
      <c r="K233" s="91" t="s">
        <v>591</v>
      </c>
      <c r="L233" s="73"/>
      <c r="M233" s="46">
        <v>82</v>
      </c>
      <c r="N233" s="46">
        <v>151842.59999999998</v>
      </c>
      <c r="O233" s="46">
        <v>296454.59999999998</v>
      </c>
      <c r="P233" s="98"/>
      <c r="Q233" s="23" t="s">
        <v>1429</v>
      </c>
      <c r="R233" s="24" t="s">
        <v>590</v>
      </c>
      <c r="S233" s="25" t="s">
        <v>325</v>
      </c>
      <c r="T233" s="26">
        <v>118</v>
      </c>
      <c r="U233" s="26">
        <v>118</v>
      </c>
      <c r="V233" s="26">
        <v>3615.3</v>
      </c>
      <c r="W233" s="243">
        <f t="shared" si="46"/>
        <v>26</v>
      </c>
      <c r="X233" s="26">
        <f t="shared" si="35"/>
        <v>108</v>
      </c>
      <c r="Y233" s="26">
        <f t="shared" si="47"/>
        <v>93997.800000000047</v>
      </c>
      <c r="Z233" s="26">
        <f t="shared" si="44"/>
        <v>390452.4</v>
      </c>
      <c r="AA233" s="33" t="s">
        <v>15</v>
      </c>
      <c r="AB233" s="36" t="s">
        <v>16</v>
      </c>
      <c r="AC233" s="181">
        <f t="shared" si="41"/>
        <v>118</v>
      </c>
      <c r="AD233" s="181">
        <f t="shared" si="48"/>
        <v>426605.4</v>
      </c>
      <c r="AE233" s="181">
        <v>1.6</v>
      </c>
      <c r="AF233" s="181">
        <v>1.6</v>
      </c>
      <c r="AG233" s="101" t="str">
        <f t="shared" si="42"/>
        <v/>
      </c>
      <c r="AH233" s="191">
        <f>40+42+26</f>
        <v>108</v>
      </c>
      <c r="AI233" s="69">
        <f t="shared" si="43"/>
        <v>118</v>
      </c>
    </row>
    <row r="234" spans="1:35" s="69" customFormat="1" ht="58.5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 t="s">
        <v>15</v>
      </c>
      <c r="I234" s="75">
        <v>113.98</v>
      </c>
      <c r="J234" s="75">
        <v>316066.53999999998</v>
      </c>
      <c r="K234" s="91" t="s">
        <v>594</v>
      </c>
      <c r="L234" s="73"/>
      <c r="M234" s="46">
        <v>1902</v>
      </c>
      <c r="N234" s="46">
        <v>109648.76</v>
      </c>
      <c r="O234" s="46">
        <v>216789.96</v>
      </c>
      <c r="P234" s="98"/>
      <c r="Q234" s="23" t="s">
        <v>1430</v>
      </c>
      <c r="R234" s="24" t="s">
        <v>593</v>
      </c>
      <c r="S234" s="25" t="s">
        <v>110</v>
      </c>
      <c r="T234" s="26">
        <v>2773</v>
      </c>
      <c r="U234" s="26">
        <v>2773</v>
      </c>
      <c r="V234" s="26">
        <v>113.98</v>
      </c>
      <c r="W234" s="243">
        <f t="shared" si="46"/>
        <v>585</v>
      </c>
      <c r="X234" s="26">
        <f t="shared" si="35"/>
        <v>2487</v>
      </c>
      <c r="Y234" s="26">
        <f t="shared" si="47"/>
        <v>66678.300000000017</v>
      </c>
      <c r="Z234" s="26">
        <f t="shared" si="44"/>
        <v>283468.26</v>
      </c>
      <c r="AA234" s="33" t="s">
        <v>15</v>
      </c>
      <c r="AB234" s="36" t="s">
        <v>16</v>
      </c>
      <c r="AC234" s="181">
        <f t="shared" si="41"/>
        <v>2773</v>
      </c>
      <c r="AD234" s="181">
        <f t="shared" si="48"/>
        <v>316066.53999999998</v>
      </c>
      <c r="AE234" s="181">
        <v>1.6</v>
      </c>
      <c r="AF234" s="181">
        <v>1.6</v>
      </c>
      <c r="AG234" s="101" t="str">
        <f t="shared" si="42"/>
        <v/>
      </c>
      <c r="AH234" s="191">
        <f>940+962+585</f>
        <v>2487</v>
      </c>
      <c r="AI234" s="69">
        <f t="shared" si="43"/>
        <v>2773</v>
      </c>
    </row>
    <row r="235" spans="1:35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6" t="s">
        <v>15</v>
      </c>
      <c r="I235" s="75">
        <v>138.84</v>
      </c>
      <c r="J235" s="75">
        <v>15550.08</v>
      </c>
      <c r="K235" s="91" t="s">
        <v>190</v>
      </c>
      <c r="L235" s="73"/>
      <c r="M235" s="46">
        <v>0</v>
      </c>
      <c r="N235" s="46">
        <v>0</v>
      </c>
      <c r="O235" s="46">
        <v>0</v>
      </c>
      <c r="P235" s="98"/>
      <c r="Q235" s="23" t="s">
        <v>1431</v>
      </c>
      <c r="R235" s="24" t="s">
        <v>189</v>
      </c>
      <c r="S235" s="25" t="s">
        <v>30</v>
      </c>
      <c r="T235" s="26">
        <v>112</v>
      </c>
      <c r="U235" s="26">
        <v>112</v>
      </c>
      <c r="V235" s="26">
        <v>138.84</v>
      </c>
      <c r="W235" s="26">
        <f t="shared" si="46"/>
        <v>0</v>
      </c>
      <c r="X235" s="26">
        <f t="shared" si="35"/>
        <v>0</v>
      </c>
      <c r="Y235" s="26">
        <f t="shared" si="47"/>
        <v>0</v>
      </c>
      <c r="Z235" s="26">
        <f t="shared" si="44"/>
        <v>0</v>
      </c>
      <c r="AA235" s="33" t="s">
        <v>15</v>
      </c>
      <c r="AB235" s="36" t="s">
        <v>16</v>
      </c>
      <c r="AC235" s="181">
        <f t="shared" si="41"/>
        <v>112</v>
      </c>
      <c r="AD235" s="181">
        <f t="shared" si="48"/>
        <v>15550.08</v>
      </c>
      <c r="AE235" s="181">
        <v>1.6</v>
      </c>
      <c r="AF235" s="181">
        <v>1.6</v>
      </c>
      <c r="AG235" s="101" t="str">
        <f t="shared" si="42"/>
        <v/>
      </c>
      <c r="AH235" s="190">
        <v>0</v>
      </c>
      <c r="AI235" s="69">
        <f t="shared" si="43"/>
        <v>112</v>
      </c>
    </row>
    <row r="236" spans="1:35" ht="39" x14ac:dyDescent="0.3">
      <c r="A236" s="134" t="s">
        <v>1334</v>
      </c>
      <c r="B236" s="135" t="s">
        <v>1335</v>
      </c>
      <c r="C236" s="204" t="s">
        <v>50</v>
      </c>
      <c r="D236" s="133"/>
      <c r="E236" s="78"/>
      <c r="F236" s="62">
        <v>518.22</v>
      </c>
      <c r="G236" s="140"/>
      <c r="H236" s="62" t="s">
        <v>15</v>
      </c>
      <c r="I236" s="167">
        <v>868.85</v>
      </c>
      <c r="J236" s="62">
        <v>450255.45</v>
      </c>
      <c r="K236" s="93"/>
      <c r="M236" s="46">
        <v>439.7</v>
      </c>
      <c r="N236" s="46">
        <v>257353.37</v>
      </c>
      <c r="O236" s="46">
        <v>382033.35</v>
      </c>
      <c r="P236" s="98"/>
      <c r="Q236" s="23" t="s">
        <v>1395</v>
      </c>
      <c r="R236" s="24" t="s">
        <v>1396</v>
      </c>
      <c r="S236" s="25" t="s">
        <v>50</v>
      </c>
      <c r="T236" s="26">
        <v>0</v>
      </c>
      <c r="U236" s="26">
        <v>518.22</v>
      </c>
      <c r="V236" s="26">
        <v>868.85</v>
      </c>
      <c r="W236" s="243">
        <f t="shared" si="46"/>
        <v>78.520000000000039</v>
      </c>
      <c r="X236" s="127">
        <f t="shared" si="35"/>
        <v>518.22</v>
      </c>
      <c r="Y236" s="127">
        <f t="shared" si="47"/>
        <v>68222.100000000035</v>
      </c>
      <c r="Z236" s="127">
        <f t="shared" si="44"/>
        <v>450255.45</v>
      </c>
      <c r="AA236" s="27"/>
      <c r="AB236" s="36" t="s">
        <v>16</v>
      </c>
      <c r="AC236" s="181">
        <f t="shared" si="41"/>
        <v>518.22</v>
      </c>
      <c r="AD236" s="181">
        <f t="shared" si="48"/>
        <v>450255.45</v>
      </c>
      <c r="AE236" s="181">
        <v>1.6</v>
      </c>
      <c r="AF236" s="181">
        <v>1.6</v>
      </c>
      <c r="AG236" s="101" t="str">
        <f t="shared" si="42"/>
        <v/>
      </c>
      <c r="AH236" s="191">
        <f>143.5+296.2+78.52</f>
        <v>518.22</v>
      </c>
      <c r="AI236" s="69">
        <f t="shared" si="43"/>
        <v>518.22</v>
      </c>
    </row>
    <row r="237" spans="1:35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4" t="s">
        <v>15</v>
      </c>
      <c r="I237" s="82"/>
      <c r="J237" s="82">
        <v>7859013.9699999997</v>
      </c>
      <c r="K237" s="94" t="s">
        <v>15</v>
      </c>
      <c r="L237" s="73"/>
      <c r="M237" s="45">
        <v>1</v>
      </c>
      <c r="N237" s="45">
        <v>398053.8</v>
      </c>
      <c r="O237" s="45">
        <v>3078299.32</v>
      </c>
      <c r="P237" s="98"/>
      <c r="Q237" s="18" t="s">
        <v>1397</v>
      </c>
      <c r="R237" s="19" t="s">
        <v>597</v>
      </c>
      <c r="S237" s="20" t="s">
        <v>14</v>
      </c>
      <c r="T237" s="21">
        <v>1</v>
      </c>
      <c r="U237" s="21"/>
      <c r="V237" s="21">
        <f>SUMIFS(AD:AD,AE:AE,AE237)</f>
        <v>7859013.9699999997</v>
      </c>
      <c r="W237" s="21">
        <f t="shared" ref="W237:X237" si="49">IF(Y237=0,0,1)</f>
        <v>0</v>
      </c>
      <c r="X237" s="21">
        <f t="shared" si="49"/>
        <v>1</v>
      </c>
      <c r="Y237" s="21">
        <f>SUMIFS(Y:Y,AF:AF,AE237)</f>
        <v>0</v>
      </c>
      <c r="Z237" s="21">
        <f>SUMIFS(Z:Z,AF:AF,AE237)</f>
        <v>3078299.32</v>
      </c>
      <c r="AA237" s="22" t="s">
        <v>15</v>
      </c>
      <c r="AB237" s="43" t="s">
        <v>16</v>
      </c>
      <c r="AC237" s="181">
        <f t="shared" si="41"/>
        <v>1</v>
      </c>
      <c r="AD237" s="184"/>
      <c r="AE237" s="184">
        <v>1.7</v>
      </c>
      <c r="AF237" s="184"/>
      <c r="AG237" s="101" t="str">
        <f t="shared" si="42"/>
        <v/>
      </c>
      <c r="AH237" s="190">
        <v>1</v>
      </c>
      <c r="AI237" s="69">
        <f t="shared" si="43"/>
        <v>1</v>
      </c>
    </row>
    <row r="238" spans="1:35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 t="s">
        <v>15</v>
      </c>
      <c r="I238" s="75">
        <v>704.52</v>
      </c>
      <c r="J238" s="75">
        <v>1829427.08</v>
      </c>
      <c r="K238" s="91" t="s">
        <v>600</v>
      </c>
      <c r="L238" s="73"/>
      <c r="M238" s="46">
        <v>881</v>
      </c>
      <c r="N238" s="46">
        <v>398053.8</v>
      </c>
      <c r="O238" s="46">
        <v>620682.12</v>
      </c>
      <c r="P238" s="98"/>
      <c r="Q238" s="23" t="s">
        <v>1421</v>
      </c>
      <c r="R238" s="24" t="s">
        <v>599</v>
      </c>
      <c r="S238" s="25" t="s">
        <v>103</v>
      </c>
      <c r="T238" s="26">
        <v>2596.6999999999998</v>
      </c>
      <c r="U238" s="26">
        <v>2596.6999999999998</v>
      </c>
      <c r="V238" s="26">
        <v>704.52</v>
      </c>
      <c r="W238" s="128">
        <f t="shared" ref="W238:W301" si="50">AH238-M238</f>
        <v>0</v>
      </c>
      <c r="X238" s="26">
        <f t="shared" si="35"/>
        <v>881</v>
      </c>
      <c r="Y238" s="26">
        <f t="shared" ref="Y238:Y301" si="51">Z238-O238</f>
        <v>0</v>
      </c>
      <c r="Z238" s="26">
        <f t="shared" si="44"/>
        <v>620682.12</v>
      </c>
      <c r="AA238" s="33" t="s">
        <v>15</v>
      </c>
      <c r="AB238" s="36" t="s">
        <v>16</v>
      </c>
      <c r="AC238" s="181">
        <f t="shared" si="41"/>
        <v>2596.6999999999998</v>
      </c>
      <c r="AD238" s="181">
        <f t="shared" ref="AD238:AD301" si="52">ROUND(V238*AC238,2)</f>
        <v>1829427.08</v>
      </c>
      <c r="AE238" s="181">
        <v>1.7</v>
      </c>
      <c r="AF238" s="181">
        <v>1.7</v>
      </c>
      <c r="AG238" s="101" t="str">
        <f t="shared" si="42"/>
        <v/>
      </c>
      <c r="AH238" s="191">
        <f>316+565</f>
        <v>881</v>
      </c>
      <c r="AI238" s="69">
        <f t="shared" si="43"/>
        <v>2596.6999999999998</v>
      </c>
    </row>
    <row r="239" spans="1:35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 t="s">
        <v>15</v>
      </c>
      <c r="I239" s="75">
        <v>400</v>
      </c>
      <c r="J239" s="75">
        <v>50400</v>
      </c>
      <c r="K239" s="91" t="s">
        <v>603</v>
      </c>
      <c r="L239" s="73"/>
      <c r="M239" s="46">
        <v>0</v>
      </c>
      <c r="N239" s="46">
        <v>0</v>
      </c>
      <c r="O239" s="46">
        <v>0</v>
      </c>
      <c r="P239" s="98"/>
      <c r="Q239" s="23" t="s">
        <v>1426</v>
      </c>
      <c r="R239" s="24" t="s">
        <v>602</v>
      </c>
      <c r="S239" s="25" t="s">
        <v>559</v>
      </c>
      <c r="T239" s="26">
        <v>126</v>
      </c>
      <c r="U239" s="26">
        <v>126</v>
      </c>
      <c r="V239" s="26">
        <v>400</v>
      </c>
      <c r="W239" s="26">
        <f t="shared" si="50"/>
        <v>0</v>
      </c>
      <c r="X239" s="26">
        <f t="shared" si="35"/>
        <v>0</v>
      </c>
      <c r="Y239" s="26">
        <f t="shared" si="51"/>
        <v>0</v>
      </c>
      <c r="Z239" s="26">
        <f t="shared" si="44"/>
        <v>0</v>
      </c>
      <c r="AA239" s="33" t="s">
        <v>15</v>
      </c>
      <c r="AB239" s="36" t="s">
        <v>16</v>
      </c>
      <c r="AC239" s="181">
        <f t="shared" si="41"/>
        <v>126</v>
      </c>
      <c r="AD239" s="181">
        <f t="shared" si="52"/>
        <v>50400</v>
      </c>
      <c r="AE239" s="181">
        <v>1.7</v>
      </c>
      <c r="AF239" s="181">
        <v>1.7</v>
      </c>
      <c r="AG239" s="101" t="str">
        <f t="shared" si="42"/>
        <v/>
      </c>
      <c r="AH239" s="190">
        <v>0</v>
      </c>
      <c r="AI239" s="69">
        <f t="shared" si="43"/>
        <v>126</v>
      </c>
    </row>
    <row r="240" spans="1:35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 t="s">
        <v>15</v>
      </c>
      <c r="I240" s="75">
        <v>3569.95</v>
      </c>
      <c r="J240" s="75">
        <v>42839.4</v>
      </c>
      <c r="K240" s="91" t="s">
        <v>607</v>
      </c>
      <c r="L240" s="73"/>
      <c r="M240" s="46">
        <v>0</v>
      </c>
      <c r="N240" s="46">
        <v>0</v>
      </c>
      <c r="O240" s="46">
        <v>0</v>
      </c>
      <c r="P240" s="98"/>
      <c r="Q240" s="23" t="s">
        <v>1402</v>
      </c>
      <c r="R240" s="24" t="s">
        <v>605</v>
      </c>
      <c r="S240" s="25" t="s">
        <v>606</v>
      </c>
      <c r="T240" s="26">
        <v>12</v>
      </c>
      <c r="U240" s="26">
        <v>12</v>
      </c>
      <c r="V240" s="26">
        <v>3569.95</v>
      </c>
      <c r="W240" s="26">
        <f t="shared" si="50"/>
        <v>0</v>
      </c>
      <c r="X240" s="26">
        <f t="shared" si="35"/>
        <v>0</v>
      </c>
      <c r="Y240" s="26">
        <f t="shared" si="51"/>
        <v>0</v>
      </c>
      <c r="Z240" s="26">
        <f t="shared" si="44"/>
        <v>0</v>
      </c>
      <c r="AA240" s="33" t="s">
        <v>15</v>
      </c>
      <c r="AB240" s="36" t="s">
        <v>16</v>
      </c>
      <c r="AC240" s="181">
        <f t="shared" si="41"/>
        <v>12</v>
      </c>
      <c r="AD240" s="181">
        <f t="shared" si="52"/>
        <v>42839.4</v>
      </c>
      <c r="AE240" s="181">
        <v>1.7</v>
      </c>
      <c r="AF240" s="181">
        <v>1.7</v>
      </c>
      <c r="AG240" s="101" t="str">
        <f t="shared" si="42"/>
        <v/>
      </c>
      <c r="AH240" s="190">
        <v>0</v>
      </c>
      <c r="AI240" s="69">
        <f t="shared" si="43"/>
        <v>12</v>
      </c>
    </row>
    <row r="241" spans="1:35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 t="s">
        <v>15</v>
      </c>
      <c r="I241" s="75">
        <v>4083.1</v>
      </c>
      <c r="J241" s="75">
        <v>73495.8</v>
      </c>
      <c r="K241" s="91" t="s">
        <v>610</v>
      </c>
      <c r="L241" s="73"/>
      <c r="M241" s="46">
        <v>5</v>
      </c>
      <c r="N241" s="46">
        <v>0</v>
      </c>
      <c r="O241" s="46">
        <v>20415.5</v>
      </c>
      <c r="P241" s="98"/>
      <c r="Q241" s="23" t="s">
        <v>1373</v>
      </c>
      <c r="R241" s="24" t="s">
        <v>609</v>
      </c>
      <c r="S241" s="25" t="s">
        <v>606</v>
      </c>
      <c r="T241" s="26">
        <v>18</v>
      </c>
      <c r="U241" s="26">
        <v>18</v>
      </c>
      <c r="V241" s="26">
        <v>4083.1</v>
      </c>
      <c r="W241" s="26">
        <f t="shared" si="50"/>
        <v>0</v>
      </c>
      <c r="X241" s="26">
        <f t="shared" si="35"/>
        <v>5</v>
      </c>
      <c r="Y241" s="26">
        <f t="shared" si="51"/>
        <v>0</v>
      </c>
      <c r="Z241" s="26">
        <f t="shared" si="44"/>
        <v>20415.5</v>
      </c>
      <c r="AA241" s="33" t="s">
        <v>15</v>
      </c>
      <c r="AB241" s="36" t="s">
        <v>16</v>
      </c>
      <c r="AC241" s="181">
        <f t="shared" si="41"/>
        <v>18</v>
      </c>
      <c r="AD241" s="181">
        <f t="shared" si="52"/>
        <v>73495.8</v>
      </c>
      <c r="AE241" s="181">
        <v>1.7</v>
      </c>
      <c r="AF241" s="181">
        <v>1.7</v>
      </c>
      <c r="AG241" s="101" t="str">
        <f t="shared" si="42"/>
        <v/>
      </c>
      <c r="AH241" s="190">
        <v>5</v>
      </c>
      <c r="AI241" s="69">
        <f t="shared" si="43"/>
        <v>18</v>
      </c>
    </row>
    <row r="242" spans="1:35" s="69" customFormat="1" ht="39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203"/>
      <c r="F242" s="203"/>
      <c r="G242" s="203"/>
      <c r="H242" s="203" t="s">
        <v>15</v>
      </c>
      <c r="I242" s="75">
        <v>7408.5</v>
      </c>
      <c r="J242" s="75">
        <v>37042.5</v>
      </c>
      <c r="K242" s="91" t="s">
        <v>613</v>
      </c>
      <c r="L242" s="73"/>
      <c r="M242" s="46">
        <v>5</v>
      </c>
      <c r="N242" s="46">
        <v>0</v>
      </c>
      <c r="O242" s="46">
        <v>37042.5</v>
      </c>
      <c r="P242" s="98"/>
      <c r="Q242" s="23" t="s">
        <v>1393</v>
      </c>
      <c r="R242" s="24" t="s">
        <v>612</v>
      </c>
      <c r="S242" s="25" t="s">
        <v>606</v>
      </c>
      <c r="T242" s="26">
        <v>5</v>
      </c>
      <c r="U242" s="26">
        <v>5</v>
      </c>
      <c r="V242" s="26">
        <v>7408.5</v>
      </c>
      <c r="W242" s="127">
        <f t="shared" si="50"/>
        <v>0</v>
      </c>
      <c r="X242" s="127">
        <f t="shared" ref="X242:X305" si="53">W242+M242</f>
        <v>5</v>
      </c>
      <c r="Y242" s="127">
        <f t="shared" si="51"/>
        <v>0</v>
      </c>
      <c r="Z242" s="127">
        <f t="shared" si="44"/>
        <v>37042.5</v>
      </c>
      <c r="AA242" s="33" t="s">
        <v>15</v>
      </c>
      <c r="AB242" s="36" t="s">
        <v>16</v>
      </c>
      <c r="AC242" s="181">
        <f t="shared" si="41"/>
        <v>5</v>
      </c>
      <c r="AD242" s="181">
        <f t="shared" si="52"/>
        <v>37042.5</v>
      </c>
      <c r="AE242" s="181">
        <v>1.7</v>
      </c>
      <c r="AF242" s="181">
        <v>1.7</v>
      </c>
      <c r="AG242" s="101" t="str">
        <f t="shared" si="42"/>
        <v/>
      </c>
      <c r="AH242" s="190">
        <v>5</v>
      </c>
      <c r="AI242" s="69">
        <f t="shared" si="43"/>
        <v>5</v>
      </c>
    </row>
    <row r="243" spans="1:35" s="69" customFormat="1" ht="39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203"/>
      <c r="F243" s="203"/>
      <c r="G243" s="203"/>
      <c r="H243" s="203" t="s">
        <v>15</v>
      </c>
      <c r="I243" s="75">
        <v>10319.280000000001</v>
      </c>
      <c r="J243" s="75">
        <v>51596.4</v>
      </c>
      <c r="K243" s="91" t="s">
        <v>616</v>
      </c>
      <c r="L243" s="73"/>
      <c r="M243" s="46">
        <v>5</v>
      </c>
      <c r="N243" s="46">
        <v>0</v>
      </c>
      <c r="O243" s="46">
        <v>51596.4</v>
      </c>
      <c r="P243" s="98"/>
      <c r="Q243" s="23" t="s">
        <v>1403</v>
      </c>
      <c r="R243" s="24" t="s">
        <v>615</v>
      </c>
      <c r="S243" s="25" t="s">
        <v>606</v>
      </c>
      <c r="T243" s="26">
        <v>5</v>
      </c>
      <c r="U243" s="26">
        <v>5</v>
      </c>
      <c r="V243" s="26">
        <v>10319.280000000001</v>
      </c>
      <c r="W243" s="127">
        <f t="shared" si="50"/>
        <v>0</v>
      </c>
      <c r="X243" s="127">
        <f t="shared" si="53"/>
        <v>5</v>
      </c>
      <c r="Y243" s="127">
        <f t="shared" si="51"/>
        <v>0</v>
      </c>
      <c r="Z243" s="127">
        <f t="shared" si="44"/>
        <v>51596.4</v>
      </c>
      <c r="AA243" s="33" t="s">
        <v>15</v>
      </c>
      <c r="AB243" s="36" t="s">
        <v>16</v>
      </c>
      <c r="AC243" s="181">
        <f t="shared" si="41"/>
        <v>5</v>
      </c>
      <c r="AD243" s="181">
        <f t="shared" si="52"/>
        <v>51596.4</v>
      </c>
      <c r="AE243" s="181">
        <v>1.7</v>
      </c>
      <c r="AF243" s="181">
        <v>1.7</v>
      </c>
      <c r="AG243" s="101" t="str">
        <f t="shared" si="42"/>
        <v/>
      </c>
      <c r="AH243" s="190">
        <v>5</v>
      </c>
      <c r="AI243" s="69">
        <f t="shared" si="43"/>
        <v>5</v>
      </c>
    </row>
    <row r="244" spans="1:35" s="69" customFormat="1" ht="39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203"/>
      <c r="F244" s="203"/>
      <c r="G244" s="203"/>
      <c r="H244" s="203" t="s">
        <v>15</v>
      </c>
      <c r="I244" s="75">
        <v>15164.14</v>
      </c>
      <c r="J244" s="75">
        <v>30328.28</v>
      </c>
      <c r="K244" s="91" t="s">
        <v>619</v>
      </c>
      <c r="L244" s="73"/>
      <c r="M244" s="46">
        <v>2</v>
      </c>
      <c r="N244" s="46">
        <v>0</v>
      </c>
      <c r="O244" s="46">
        <v>30328.28</v>
      </c>
      <c r="P244" s="98"/>
      <c r="Q244" s="23" t="s">
        <v>1427</v>
      </c>
      <c r="R244" s="24" t="s">
        <v>618</v>
      </c>
      <c r="S244" s="25" t="s">
        <v>606</v>
      </c>
      <c r="T244" s="26">
        <v>2</v>
      </c>
      <c r="U244" s="26">
        <v>2</v>
      </c>
      <c r="V244" s="26">
        <v>15164.14</v>
      </c>
      <c r="W244" s="127">
        <f t="shared" si="50"/>
        <v>0</v>
      </c>
      <c r="X244" s="127">
        <f t="shared" si="53"/>
        <v>2</v>
      </c>
      <c r="Y244" s="127">
        <f t="shared" si="51"/>
        <v>0</v>
      </c>
      <c r="Z244" s="127">
        <f t="shared" si="44"/>
        <v>30328.28</v>
      </c>
      <c r="AA244" s="33" t="s">
        <v>15</v>
      </c>
      <c r="AB244" s="36" t="s">
        <v>16</v>
      </c>
      <c r="AC244" s="181">
        <f t="shared" si="41"/>
        <v>2</v>
      </c>
      <c r="AD244" s="181">
        <f t="shared" si="52"/>
        <v>30328.28</v>
      </c>
      <c r="AE244" s="181">
        <v>1.7</v>
      </c>
      <c r="AF244" s="181">
        <v>1.7</v>
      </c>
      <c r="AG244" s="101" t="str">
        <f t="shared" si="42"/>
        <v/>
      </c>
      <c r="AH244" s="190">
        <v>2</v>
      </c>
      <c r="AI244" s="69">
        <f t="shared" si="43"/>
        <v>2</v>
      </c>
    </row>
    <row r="245" spans="1:35" s="69" customFormat="1" ht="39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203"/>
      <c r="F245" s="203"/>
      <c r="G245" s="203"/>
      <c r="H245" s="203" t="s">
        <v>15</v>
      </c>
      <c r="I245" s="75">
        <v>21803.06</v>
      </c>
      <c r="J245" s="75">
        <v>130818.36</v>
      </c>
      <c r="K245" s="91" t="s">
        <v>622</v>
      </c>
      <c r="L245" s="73"/>
      <c r="M245" s="46">
        <v>6</v>
      </c>
      <c r="N245" s="46">
        <v>0</v>
      </c>
      <c r="O245" s="46">
        <v>130818.36</v>
      </c>
      <c r="P245" s="98"/>
      <c r="Q245" s="23" t="s">
        <v>1428</v>
      </c>
      <c r="R245" s="24" t="s">
        <v>621</v>
      </c>
      <c r="S245" s="25" t="s">
        <v>606</v>
      </c>
      <c r="T245" s="26">
        <v>6</v>
      </c>
      <c r="U245" s="26">
        <v>6</v>
      </c>
      <c r="V245" s="26">
        <v>21803.06</v>
      </c>
      <c r="W245" s="127">
        <f t="shared" si="50"/>
        <v>0</v>
      </c>
      <c r="X245" s="127">
        <f t="shared" si="53"/>
        <v>6</v>
      </c>
      <c r="Y245" s="127">
        <f t="shared" si="51"/>
        <v>0</v>
      </c>
      <c r="Z245" s="127">
        <f t="shared" si="44"/>
        <v>130818.36</v>
      </c>
      <c r="AA245" s="33" t="s">
        <v>15</v>
      </c>
      <c r="AB245" s="36" t="s">
        <v>16</v>
      </c>
      <c r="AC245" s="181">
        <f t="shared" si="41"/>
        <v>6</v>
      </c>
      <c r="AD245" s="181">
        <f t="shared" si="52"/>
        <v>130818.36</v>
      </c>
      <c r="AE245" s="181">
        <v>1.7</v>
      </c>
      <c r="AF245" s="181">
        <v>1.7</v>
      </c>
      <c r="AG245" s="101" t="str">
        <f t="shared" si="42"/>
        <v/>
      </c>
      <c r="AH245" s="190">
        <v>6</v>
      </c>
      <c r="AI245" s="69">
        <f t="shared" si="43"/>
        <v>6</v>
      </c>
    </row>
    <row r="246" spans="1:35" s="69" customFormat="1" ht="39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203"/>
      <c r="F246" s="203"/>
      <c r="G246" s="203"/>
      <c r="H246" s="203" t="s">
        <v>15</v>
      </c>
      <c r="I246" s="75">
        <v>26196.51</v>
      </c>
      <c r="J246" s="75">
        <v>78589.53</v>
      </c>
      <c r="K246" s="91" t="s">
        <v>625</v>
      </c>
      <c r="L246" s="73"/>
      <c r="M246" s="46">
        <v>3</v>
      </c>
      <c r="N246" s="46">
        <v>0</v>
      </c>
      <c r="O246" s="46">
        <v>78589.53</v>
      </c>
      <c r="P246" s="98"/>
      <c r="Q246" s="23" t="s">
        <v>1387</v>
      </c>
      <c r="R246" s="24" t="s">
        <v>624</v>
      </c>
      <c r="S246" s="25" t="s">
        <v>606</v>
      </c>
      <c r="T246" s="26">
        <v>3</v>
      </c>
      <c r="U246" s="26">
        <v>3</v>
      </c>
      <c r="V246" s="26">
        <v>26196.51</v>
      </c>
      <c r="W246" s="127">
        <f t="shared" si="50"/>
        <v>0</v>
      </c>
      <c r="X246" s="127">
        <f t="shared" si="53"/>
        <v>3</v>
      </c>
      <c r="Y246" s="127">
        <f t="shared" si="51"/>
        <v>0</v>
      </c>
      <c r="Z246" s="127">
        <f t="shared" si="44"/>
        <v>78589.53</v>
      </c>
      <c r="AA246" s="33" t="s">
        <v>15</v>
      </c>
      <c r="AB246" s="36" t="s">
        <v>16</v>
      </c>
      <c r="AC246" s="181">
        <f t="shared" si="41"/>
        <v>3</v>
      </c>
      <c r="AD246" s="181">
        <f t="shared" si="52"/>
        <v>78589.53</v>
      </c>
      <c r="AE246" s="181">
        <v>1.7</v>
      </c>
      <c r="AF246" s="181">
        <v>1.7</v>
      </c>
      <c r="AG246" s="101" t="str">
        <f t="shared" si="42"/>
        <v/>
      </c>
      <c r="AH246" s="190">
        <v>3</v>
      </c>
      <c r="AI246" s="69">
        <f t="shared" si="43"/>
        <v>3</v>
      </c>
    </row>
    <row r="247" spans="1:35" s="69" customFormat="1" ht="39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203"/>
      <c r="F247" s="203"/>
      <c r="G247" s="203"/>
      <c r="H247" s="203" t="s">
        <v>15</v>
      </c>
      <c r="I247" s="75">
        <v>29984.85</v>
      </c>
      <c r="J247" s="75">
        <v>59969.7</v>
      </c>
      <c r="K247" s="91" t="s">
        <v>628</v>
      </c>
      <c r="L247" s="73"/>
      <c r="M247" s="46">
        <v>2</v>
      </c>
      <c r="N247" s="46">
        <v>0</v>
      </c>
      <c r="O247" s="46">
        <v>59969.7</v>
      </c>
      <c r="P247" s="98"/>
      <c r="Q247" s="23" t="s">
        <v>1405</v>
      </c>
      <c r="R247" s="24" t="s">
        <v>627</v>
      </c>
      <c r="S247" s="25" t="s">
        <v>606</v>
      </c>
      <c r="T247" s="26">
        <v>2</v>
      </c>
      <c r="U247" s="26">
        <v>2</v>
      </c>
      <c r="V247" s="26">
        <v>29984.85</v>
      </c>
      <c r="W247" s="127">
        <f t="shared" si="50"/>
        <v>0</v>
      </c>
      <c r="X247" s="127">
        <f t="shared" si="53"/>
        <v>2</v>
      </c>
      <c r="Y247" s="127">
        <f t="shared" si="51"/>
        <v>0</v>
      </c>
      <c r="Z247" s="127">
        <f t="shared" si="44"/>
        <v>59969.7</v>
      </c>
      <c r="AA247" s="33" t="s">
        <v>15</v>
      </c>
      <c r="AB247" s="36" t="s">
        <v>16</v>
      </c>
      <c r="AC247" s="181">
        <f t="shared" si="41"/>
        <v>2</v>
      </c>
      <c r="AD247" s="181">
        <f t="shared" si="52"/>
        <v>59969.7</v>
      </c>
      <c r="AE247" s="181">
        <v>1.7</v>
      </c>
      <c r="AF247" s="181">
        <v>1.7</v>
      </c>
      <c r="AG247" s="101" t="str">
        <f t="shared" si="42"/>
        <v/>
      </c>
      <c r="AH247" s="190">
        <v>2</v>
      </c>
      <c r="AI247" s="69">
        <f t="shared" si="43"/>
        <v>2</v>
      </c>
    </row>
    <row r="248" spans="1:35" s="69" customFormat="1" ht="39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203"/>
      <c r="F248" s="203"/>
      <c r="G248" s="203"/>
      <c r="H248" s="203" t="s">
        <v>15</v>
      </c>
      <c r="I248" s="75">
        <v>38914.949999999997</v>
      </c>
      <c r="J248" s="75">
        <v>116744.85</v>
      </c>
      <c r="K248" s="91" t="s">
        <v>631</v>
      </c>
      <c r="L248" s="73"/>
      <c r="M248" s="46">
        <v>3</v>
      </c>
      <c r="N248" s="46">
        <v>0</v>
      </c>
      <c r="O248" s="46">
        <v>116744.85</v>
      </c>
      <c r="P248" s="98"/>
      <c r="Q248" s="23" t="s">
        <v>1406</v>
      </c>
      <c r="R248" s="24" t="s">
        <v>630</v>
      </c>
      <c r="S248" s="25" t="s">
        <v>606</v>
      </c>
      <c r="T248" s="26">
        <v>3</v>
      </c>
      <c r="U248" s="26">
        <v>3</v>
      </c>
      <c r="V248" s="26">
        <v>38914.949999999997</v>
      </c>
      <c r="W248" s="127">
        <f t="shared" si="50"/>
        <v>0</v>
      </c>
      <c r="X248" s="127">
        <f t="shared" si="53"/>
        <v>3</v>
      </c>
      <c r="Y248" s="127">
        <f t="shared" si="51"/>
        <v>0</v>
      </c>
      <c r="Z248" s="127">
        <f t="shared" si="44"/>
        <v>116744.85</v>
      </c>
      <c r="AA248" s="33" t="s">
        <v>15</v>
      </c>
      <c r="AB248" s="36" t="s">
        <v>16</v>
      </c>
      <c r="AC248" s="181">
        <f t="shared" si="41"/>
        <v>3</v>
      </c>
      <c r="AD248" s="181">
        <f t="shared" si="52"/>
        <v>116744.85</v>
      </c>
      <c r="AE248" s="181">
        <v>1.7</v>
      </c>
      <c r="AF248" s="181">
        <v>1.7</v>
      </c>
      <c r="AG248" s="101" t="str">
        <f t="shared" si="42"/>
        <v/>
      </c>
      <c r="AH248" s="190">
        <v>3</v>
      </c>
      <c r="AI248" s="69">
        <f t="shared" si="43"/>
        <v>3</v>
      </c>
    </row>
    <row r="249" spans="1:35" s="69" customFormat="1" ht="39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203"/>
      <c r="F249" s="203"/>
      <c r="G249" s="203"/>
      <c r="H249" s="203" t="s">
        <v>15</v>
      </c>
      <c r="I249" s="75">
        <v>43624.88</v>
      </c>
      <c r="J249" s="75">
        <v>130874.64</v>
      </c>
      <c r="K249" s="91" t="s">
        <v>634</v>
      </c>
      <c r="L249" s="73"/>
      <c r="M249" s="46">
        <v>3</v>
      </c>
      <c r="N249" s="46">
        <v>0</v>
      </c>
      <c r="O249" s="46">
        <v>130874.64</v>
      </c>
      <c r="P249" s="98"/>
      <c r="Q249" s="23" t="s">
        <v>1414</v>
      </c>
      <c r="R249" s="24" t="s">
        <v>633</v>
      </c>
      <c r="S249" s="25" t="s">
        <v>606</v>
      </c>
      <c r="T249" s="26">
        <v>3</v>
      </c>
      <c r="U249" s="26">
        <v>3</v>
      </c>
      <c r="V249" s="26">
        <v>43624.88</v>
      </c>
      <c r="W249" s="127">
        <f t="shared" si="50"/>
        <v>0</v>
      </c>
      <c r="X249" s="127">
        <f t="shared" si="53"/>
        <v>3</v>
      </c>
      <c r="Y249" s="127">
        <f t="shared" si="51"/>
        <v>0</v>
      </c>
      <c r="Z249" s="127">
        <f t="shared" si="44"/>
        <v>130874.64</v>
      </c>
      <c r="AA249" s="33" t="s">
        <v>15</v>
      </c>
      <c r="AB249" s="36" t="s">
        <v>16</v>
      </c>
      <c r="AC249" s="181">
        <f t="shared" si="41"/>
        <v>3</v>
      </c>
      <c r="AD249" s="181">
        <f t="shared" si="52"/>
        <v>130874.64</v>
      </c>
      <c r="AE249" s="181">
        <v>1.7</v>
      </c>
      <c r="AF249" s="181">
        <v>1.7</v>
      </c>
      <c r="AG249" s="101" t="str">
        <f t="shared" si="42"/>
        <v/>
      </c>
      <c r="AH249" s="190">
        <v>3</v>
      </c>
      <c r="AI249" s="69">
        <f t="shared" si="43"/>
        <v>3</v>
      </c>
    </row>
    <row r="250" spans="1:35" s="69" customFormat="1" ht="39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203"/>
      <c r="F250" s="203"/>
      <c r="G250" s="203"/>
      <c r="H250" s="203" t="s">
        <v>15</v>
      </c>
      <c r="I250" s="75">
        <v>73088.800000000003</v>
      </c>
      <c r="J250" s="75">
        <v>73088.800000000003</v>
      </c>
      <c r="K250" s="91" t="s">
        <v>637</v>
      </c>
      <c r="L250" s="73"/>
      <c r="M250" s="46">
        <v>1</v>
      </c>
      <c r="N250" s="46">
        <v>0</v>
      </c>
      <c r="O250" s="46">
        <v>73088.800000000003</v>
      </c>
      <c r="P250" s="98"/>
      <c r="Q250" s="23" t="s">
        <v>1429</v>
      </c>
      <c r="R250" s="24" t="s">
        <v>636</v>
      </c>
      <c r="S250" s="25" t="s">
        <v>606</v>
      </c>
      <c r="T250" s="26">
        <v>1</v>
      </c>
      <c r="U250" s="26">
        <v>1</v>
      </c>
      <c r="V250" s="26">
        <v>73088.800000000003</v>
      </c>
      <c r="W250" s="127">
        <f t="shared" si="50"/>
        <v>0</v>
      </c>
      <c r="X250" s="127">
        <f t="shared" si="53"/>
        <v>1</v>
      </c>
      <c r="Y250" s="127">
        <f t="shared" si="51"/>
        <v>0</v>
      </c>
      <c r="Z250" s="127">
        <f t="shared" si="44"/>
        <v>73088.800000000003</v>
      </c>
      <c r="AA250" s="33" t="s">
        <v>15</v>
      </c>
      <c r="AB250" s="36" t="s">
        <v>16</v>
      </c>
      <c r="AC250" s="181">
        <f t="shared" si="41"/>
        <v>1</v>
      </c>
      <c r="AD250" s="181">
        <f t="shared" si="52"/>
        <v>73088.800000000003</v>
      </c>
      <c r="AE250" s="181">
        <v>1.7</v>
      </c>
      <c r="AF250" s="181">
        <v>1.7</v>
      </c>
      <c r="AG250" s="101" t="str">
        <f t="shared" si="42"/>
        <v/>
      </c>
      <c r="AH250" s="190">
        <v>1</v>
      </c>
      <c r="AI250" s="69">
        <f t="shared" si="43"/>
        <v>1</v>
      </c>
    </row>
    <row r="251" spans="1:35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 t="s">
        <v>15</v>
      </c>
      <c r="I251" s="75">
        <v>22814.5</v>
      </c>
      <c r="J251" s="75">
        <v>136887</v>
      </c>
      <c r="K251" s="91" t="s">
        <v>640</v>
      </c>
      <c r="L251" s="73"/>
      <c r="M251" s="46">
        <v>0</v>
      </c>
      <c r="N251" s="46">
        <v>0</v>
      </c>
      <c r="O251" s="46">
        <v>0</v>
      </c>
      <c r="P251" s="98"/>
      <c r="Q251" s="23" t="s">
        <v>1430</v>
      </c>
      <c r="R251" s="24" t="s">
        <v>639</v>
      </c>
      <c r="S251" s="25" t="s">
        <v>606</v>
      </c>
      <c r="T251" s="26">
        <v>6</v>
      </c>
      <c r="U251" s="26">
        <v>6</v>
      </c>
      <c r="V251" s="26">
        <v>22814.5</v>
      </c>
      <c r="W251" s="26">
        <f t="shared" si="50"/>
        <v>0</v>
      </c>
      <c r="X251" s="26">
        <f t="shared" si="53"/>
        <v>0</v>
      </c>
      <c r="Y251" s="26">
        <f t="shared" si="51"/>
        <v>0</v>
      </c>
      <c r="Z251" s="26">
        <f t="shared" si="44"/>
        <v>0</v>
      </c>
      <c r="AA251" s="33" t="s">
        <v>15</v>
      </c>
      <c r="AB251" s="36" t="s">
        <v>16</v>
      </c>
      <c r="AC251" s="181">
        <f t="shared" si="41"/>
        <v>6</v>
      </c>
      <c r="AD251" s="181">
        <f t="shared" si="52"/>
        <v>136887</v>
      </c>
      <c r="AE251" s="181">
        <v>1.7</v>
      </c>
      <c r="AF251" s="181">
        <v>1.7</v>
      </c>
      <c r="AG251" s="101" t="str">
        <f t="shared" si="42"/>
        <v/>
      </c>
      <c r="AH251" s="190">
        <v>0</v>
      </c>
      <c r="AI251" s="69">
        <f t="shared" si="43"/>
        <v>6</v>
      </c>
    </row>
    <row r="252" spans="1:35" s="69" customFormat="1" ht="58.5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203"/>
      <c r="F252" s="203"/>
      <c r="G252" s="203"/>
      <c r="H252" s="203">
        <v>8</v>
      </c>
      <c r="I252" s="75">
        <v>1963.3</v>
      </c>
      <c r="J252" s="75">
        <v>15706.4</v>
      </c>
      <c r="K252" s="91" t="s">
        <v>643</v>
      </c>
      <c r="L252" s="73"/>
      <c r="M252" s="46">
        <v>3</v>
      </c>
      <c r="N252" s="46">
        <v>0</v>
      </c>
      <c r="O252" s="46">
        <v>5889.9</v>
      </c>
      <c r="P252" s="98"/>
      <c r="Q252" s="23" t="s">
        <v>1431</v>
      </c>
      <c r="R252" s="24" t="s">
        <v>642</v>
      </c>
      <c r="S252" s="25" t="s">
        <v>606</v>
      </c>
      <c r="T252" s="26">
        <v>3</v>
      </c>
      <c r="U252" s="26">
        <v>8</v>
      </c>
      <c r="V252" s="26">
        <v>1963.3</v>
      </c>
      <c r="W252" s="127">
        <f t="shared" si="50"/>
        <v>0</v>
      </c>
      <c r="X252" s="127">
        <f t="shared" si="53"/>
        <v>3</v>
      </c>
      <c r="Y252" s="127">
        <f t="shared" si="51"/>
        <v>0</v>
      </c>
      <c r="Z252" s="127">
        <f t="shared" si="44"/>
        <v>5889.9</v>
      </c>
      <c r="AA252" s="33" t="s">
        <v>15</v>
      </c>
      <c r="AB252" s="36" t="s">
        <v>16</v>
      </c>
      <c r="AC252" s="181">
        <f t="shared" si="41"/>
        <v>8</v>
      </c>
      <c r="AD252" s="181">
        <f t="shared" si="52"/>
        <v>15706.4</v>
      </c>
      <c r="AE252" s="181">
        <v>1.7</v>
      </c>
      <c r="AF252" s="181">
        <v>1.7</v>
      </c>
      <c r="AG252" s="101" t="str">
        <f t="shared" si="42"/>
        <v/>
      </c>
      <c r="AH252" s="190">
        <v>3</v>
      </c>
      <c r="AI252" s="69">
        <f t="shared" si="43"/>
        <v>3</v>
      </c>
    </row>
    <row r="253" spans="1:35" s="69" customFormat="1" ht="58.5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203"/>
      <c r="F253" s="203"/>
      <c r="G253" s="203"/>
      <c r="H253" s="203">
        <v>10</v>
      </c>
      <c r="I253" s="75">
        <v>2216.6</v>
      </c>
      <c r="J253" s="75">
        <v>22166</v>
      </c>
      <c r="K253" s="91" t="s">
        <v>646</v>
      </c>
      <c r="L253" s="73"/>
      <c r="M253" s="46">
        <v>5</v>
      </c>
      <c r="N253" s="46">
        <v>0</v>
      </c>
      <c r="O253" s="46">
        <v>11083</v>
      </c>
      <c r="P253" s="98"/>
      <c r="Q253" s="23" t="s">
        <v>1395</v>
      </c>
      <c r="R253" s="24" t="s">
        <v>645</v>
      </c>
      <c r="S253" s="25" t="s">
        <v>606</v>
      </c>
      <c r="T253" s="26">
        <v>5</v>
      </c>
      <c r="U253" s="26">
        <v>10</v>
      </c>
      <c r="V253" s="26">
        <v>2216.6</v>
      </c>
      <c r="W253" s="127">
        <f t="shared" si="50"/>
        <v>0</v>
      </c>
      <c r="X253" s="127">
        <f t="shared" si="53"/>
        <v>5</v>
      </c>
      <c r="Y253" s="127">
        <f t="shared" si="51"/>
        <v>0</v>
      </c>
      <c r="Z253" s="127">
        <f t="shared" si="44"/>
        <v>11083</v>
      </c>
      <c r="AA253" s="33" t="s">
        <v>15</v>
      </c>
      <c r="AB253" s="36" t="s">
        <v>16</v>
      </c>
      <c r="AC253" s="181">
        <f t="shared" si="41"/>
        <v>10</v>
      </c>
      <c r="AD253" s="181">
        <f t="shared" si="52"/>
        <v>22166</v>
      </c>
      <c r="AE253" s="181">
        <v>1.7</v>
      </c>
      <c r="AF253" s="181">
        <v>1.7</v>
      </c>
      <c r="AG253" s="101" t="str">
        <f t="shared" si="42"/>
        <v/>
      </c>
      <c r="AH253" s="190">
        <v>5</v>
      </c>
      <c r="AI253" s="69">
        <f t="shared" si="43"/>
        <v>5</v>
      </c>
    </row>
    <row r="254" spans="1:35" s="69" customFormat="1" ht="58.5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203" t="s">
        <v>15</v>
      </c>
      <c r="I254" s="75">
        <v>2999.02</v>
      </c>
      <c r="J254" s="75">
        <v>50983.34</v>
      </c>
      <c r="K254" s="91" t="s">
        <v>649</v>
      </c>
      <c r="L254" s="73"/>
      <c r="M254" s="46">
        <v>7</v>
      </c>
      <c r="N254" s="46">
        <v>0</v>
      </c>
      <c r="O254" s="46">
        <v>20993.14</v>
      </c>
      <c r="P254" s="98"/>
      <c r="Q254" s="23" t="s">
        <v>1432</v>
      </c>
      <c r="R254" s="24" t="s">
        <v>648</v>
      </c>
      <c r="S254" s="25" t="s">
        <v>606</v>
      </c>
      <c r="T254" s="26">
        <v>7</v>
      </c>
      <c r="U254" s="26">
        <v>17</v>
      </c>
      <c r="V254" s="26">
        <v>2999.02</v>
      </c>
      <c r="W254" s="26">
        <f t="shared" si="50"/>
        <v>0</v>
      </c>
      <c r="X254" s="26">
        <f t="shared" si="53"/>
        <v>7</v>
      </c>
      <c r="Y254" s="26">
        <f t="shared" si="51"/>
        <v>0</v>
      </c>
      <c r="Z254" s="26">
        <f t="shared" si="44"/>
        <v>20993.14</v>
      </c>
      <c r="AA254" s="27" t="s">
        <v>15</v>
      </c>
      <c r="AB254" s="36" t="s">
        <v>16</v>
      </c>
      <c r="AC254" s="181">
        <f t="shared" si="41"/>
        <v>17</v>
      </c>
      <c r="AD254" s="181">
        <f t="shared" si="52"/>
        <v>50983.34</v>
      </c>
      <c r="AE254" s="181">
        <v>1.7</v>
      </c>
      <c r="AF254" s="181">
        <v>1.7</v>
      </c>
      <c r="AG254" s="101" t="str">
        <f t="shared" si="42"/>
        <v/>
      </c>
      <c r="AH254" s="190">
        <v>7</v>
      </c>
      <c r="AI254" s="69">
        <f t="shared" si="43"/>
        <v>17</v>
      </c>
    </row>
    <row r="255" spans="1:35" s="69" customFormat="1" ht="58.5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203"/>
      <c r="F255" s="203"/>
      <c r="G255" s="203"/>
      <c r="H255" s="203" t="s">
        <v>15</v>
      </c>
      <c r="I255" s="75">
        <v>4720.5600000000004</v>
      </c>
      <c r="J255" s="75">
        <v>14161.68</v>
      </c>
      <c r="K255" s="91" t="s">
        <v>652</v>
      </c>
      <c r="L255" s="73"/>
      <c r="M255" s="46">
        <v>3</v>
      </c>
      <c r="N255" s="46">
        <v>0</v>
      </c>
      <c r="O255" s="46">
        <v>14161.68</v>
      </c>
      <c r="P255" s="98"/>
      <c r="Q255" s="23" t="s">
        <v>1433</v>
      </c>
      <c r="R255" s="24" t="s">
        <v>651</v>
      </c>
      <c r="S255" s="25" t="s">
        <v>606</v>
      </c>
      <c r="T255" s="26">
        <v>3</v>
      </c>
      <c r="U255" s="26">
        <v>3</v>
      </c>
      <c r="V255" s="26">
        <v>4720.5600000000004</v>
      </c>
      <c r="W255" s="127">
        <f t="shared" si="50"/>
        <v>0</v>
      </c>
      <c r="X255" s="127">
        <f t="shared" si="53"/>
        <v>3</v>
      </c>
      <c r="Y255" s="127">
        <f t="shared" si="51"/>
        <v>0</v>
      </c>
      <c r="Z255" s="127">
        <f t="shared" si="44"/>
        <v>14161.68</v>
      </c>
      <c r="AA255" s="33" t="s">
        <v>15</v>
      </c>
      <c r="AB255" s="36" t="s">
        <v>16</v>
      </c>
      <c r="AC255" s="181">
        <f t="shared" si="41"/>
        <v>3</v>
      </c>
      <c r="AD255" s="181">
        <f t="shared" si="52"/>
        <v>14161.68</v>
      </c>
      <c r="AE255" s="181">
        <v>1.7</v>
      </c>
      <c r="AF255" s="181">
        <v>1.7</v>
      </c>
      <c r="AG255" s="101" t="str">
        <f t="shared" si="42"/>
        <v/>
      </c>
      <c r="AH255" s="190">
        <v>3</v>
      </c>
      <c r="AI255" s="69">
        <f t="shared" si="43"/>
        <v>3</v>
      </c>
    </row>
    <row r="256" spans="1:35" s="69" customFormat="1" ht="58.5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203"/>
      <c r="F256" s="203"/>
      <c r="G256" s="203"/>
      <c r="H256" s="203">
        <v>5</v>
      </c>
      <c r="I256" s="75">
        <v>5897.9</v>
      </c>
      <c r="J256" s="75">
        <v>29489.5</v>
      </c>
      <c r="K256" s="91" t="s">
        <v>655</v>
      </c>
      <c r="L256" s="73"/>
      <c r="M256" s="46">
        <v>4</v>
      </c>
      <c r="N256" s="46">
        <v>0</v>
      </c>
      <c r="O256" s="46">
        <v>23591.599999999999</v>
      </c>
      <c r="P256" s="98"/>
      <c r="Q256" s="23" t="s">
        <v>1382</v>
      </c>
      <c r="R256" s="24" t="s">
        <v>654</v>
      </c>
      <c r="S256" s="25" t="s">
        <v>606</v>
      </c>
      <c r="T256" s="26">
        <v>4</v>
      </c>
      <c r="U256" s="26">
        <v>5</v>
      </c>
      <c r="V256" s="26">
        <v>5897.9</v>
      </c>
      <c r="W256" s="127">
        <f t="shared" si="50"/>
        <v>0</v>
      </c>
      <c r="X256" s="127">
        <f t="shared" si="53"/>
        <v>4</v>
      </c>
      <c r="Y256" s="127">
        <f t="shared" si="51"/>
        <v>0</v>
      </c>
      <c r="Z256" s="127">
        <f t="shared" si="44"/>
        <v>23591.599999999999</v>
      </c>
      <c r="AA256" s="33" t="s">
        <v>15</v>
      </c>
      <c r="AB256" s="36" t="s">
        <v>16</v>
      </c>
      <c r="AC256" s="181">
        <f t="shared" si="41"/>
        <v>5</v>
      </c>
      <c r="AD256" s="181">
        <f t="shared" si="52"/>
        <v>29489.5</v>
      </c>
      <c r="AE256" s="181">
        <v>1.7</v>
      </c>
      <c r="AF256" s="181">
        <v>1.7</v>
      </c>
      <c r="AG256" s="101" t="str">
        <f t="shared" si="42"/>
        <v/>
      </c>
      <c r="AH256" s="190">
        <v>4</v>
      </c>
      <c r="AI256" s="69">
        <f t="shared" si="43"/>
        <v>4</v>
      </c>
    </row>
    <row r="257" spans="1:35" s="69" customFormat="1" ht="58.5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203"/>
      <c r="F257" s="203"/>
      <c r="G257" s="203"/>
      <c r="H257" s="203" t="s">
        <v>15</v>
      </c>
      <c r="I257" s="75">
        <v>9356.16</v>
      </c>
      <c r="J257" s="75">
        <v>9356.16</v>
      </c>
      <c r="K257" s="91" t="s">
        <v>658</v>
      </c>
      <c r="L257" s="73"/>
      <c r="M257" s="46">
        <v>1</v>
      </c>
      <c r="N257" s="46">
        <v>0</v>
      </c>
      <c r="O257" s="46">
        <v>9356.16</v>
      </c>
      <c r="P257" s="98"/>
      <c r="Q257" s="23" t="s">
        <v>1434</v>
      </c>
      <c r="R257" s="24" t="s">
        <v>657</v>
      </c>
      <c r="S257" s="25" t="s">
        <v>606</v>
      </c>
      <c r="T257" s="26">
        <v>1</v>
      </c>
      <c r="U257" s="26">
        <v>1</v>
      </c>
      <c r="V257" s="26">
        <v>9356.16</v>
      </c>
      <c r="W257" s="127">
        <f t="shared" si="50"/>
        <v>0</v>
      </c>
      <c r="X257" s="127">
        <f t="shared" si="53"/>
        <v>1</v>
      </c>
      <c r="Y257" s="127">
        <f t="shared" si="51"/>
        <v>0</v>
      </c>
      <c r="Z257" s="127">
        <f t="shared" si="44"/>
        <v>9356.16</v>
      </c>
      <c r="AA257" s="33" t="s">
        <v>15</v>
      </c>
      <c r="AB257" s="36" t="s">
        <v>16</v>
      </c>
      <c r="AC257" s="181">
        <f t="shared" si="41"/>
        <v>1</v>
      </c>
      <c r="AD257" s="181">
        <f t="shared" si="52"/>
        <v>9356.16</v>
      </c>
      <c r="AE257" s="181">
        <v>1.7</v>
      </c>
      <c r="AF257" s="181">
        <v>1.7</v>
      </c>
      <c r="AG257" s="101" t="str">
        <f t="shared" si="42"/>
        <v/>
      </c>
      <c r="AH257" s="190">
        <v>1</v>
      </c>
      <c r="AI257" s="69">
        <f t="shared" si="43"/>
        <v>1</v>
      </c>
    </row>
    <row r="258" spans="1:35" s="69" customFormat="1" ht="58.5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203"/>
      <c r="F258" s="203"/>
      <c r="G258" s="203"/>
      <c r="H258" s="203" t="s">
        <v>15</v>
      </c>
      <c r="I258" s="75">
        <v>13184.01</v>
      </c>
      <c r="J258" s="75">
        <v>13184.01</v>
      </c>
      <c r="K258" s="91" t="s">
        <v>661</v>
      </c>
      <c r="L258" s="73"/>
      <c r="M258" s="46">
        <v>1</v>
      </c>
      <c r="N258" s="46">
        <v>0</v>
      </c>
      <c r="O258" s="46">
        <v>13184.01</v>
      </c>
      <c r="P258" s="98"/>
      <c r="Q258" s="23" t="s">
        <v>1388</v>
      </c>
      <c r="R258" s="24" t="s">
        <v>660</v>
      </c>
      <c r="S258" s="25" t="s">
        <v>606</v>
      </c>
      <c r="T258" s="26">
        <v>1</v>
      </c>
      <c r="U258" s="26">
        <v>1</v>
      </c>
      <c r="V258" s="26">
        <v>13184.01</v>
      </c>
      <c r="W258" s="127">
        <f t="shared" si="50"/>
        <v>0</v>
      </c>
      <c r="X258" s="127">
        <f t="shared" si="53"/>
        <v>1</v>
      </c>
      <c r="Y258" s="127">
        <f t="shared" si="51"/>
        <v>0</v>
      </c>
      <c r="Z258" s="127">
        <f t="shared" si="44"/>
        <v>13184.01</v>
      </c>
      <c r="AA258" s="33" t="s">
        <v>15</v>
      </c>
      <c r="AB258" s="36" t="s">
        <v>16</v>
      </c>
      <c r="AC258" s="181">
        <f t="shared" si="41"/>
        <v>1</v>
      </c>
      <c r="AD258" s="181">
        <f t="shared" si="52"/>
        <v>13184.01</v>
      </c>
      <c r="AE258" s="181">
        <v>1.7</v>
      </c>
      <c r="AF258" s="181">
        <v>1.7</v>
      </c>
      <c r="AG258" s="101" t="str">
        <f t="shared" si="42"/>
        <v/>
      </c>
      <c r="AH258" s="190">
        <v>1</v>
      </c>
      <c r="AI258" s="69">
        <f t="shared" si="43"/>
        <v>1</v>
      </c>
    </row>
    <row r="259" spans="1:35" s="69" customFormat="1" ht="39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203"/>
      <c r="F259" s="203"/>
      <c r="G259" s="203"/>
      <c r="H259" s="203" t="s">
        <v>15</v>
      </c>
      <c r="I259" s="75">
        <v>1859.87</v>
      </c>
      <c r="J259" s="75">
        <v>87432.49</v>
      </c>
      <c r="K259" s="91" t="s">
        <v>664</v>
      </c>
      <c r="L259" s="73"/>
      <c r="M259" s="46">
        <v>47.01</v>
      </c>
      <c r="N259" s="46">
        <v>0</v>
      </c>
      <c r="O259" s="46">
        <v>87432.49</v>
      </c>
      <c r="P259" s="98"/>
      <c r="Q259" s="23" t="s">
        <v>1389</v>
      </c>
      <c r="R259" s="24" t="s">
        <v>663</v>
      </c>
      <c r="S259" s="25" t="s">
        <v>30</v>
      </c>
      <c r="T259" s="26">
        <v>47.01</v>
      </c>
      <c r="U259" s="26">
        <v>47.01</v>
      </c>
      <c r="V259" s="26">
        <v>1859.87</v>
      </c>
      <c r="W259" s="127">
        <f t="shared" si="50"/>
        <v>0</v>
      </c>
      <c r="X259" s="127">
        <f t="shared" si="53"/>
        <v>47.01</v>
      </c>
      <c r="Y259" s="127">
        <f t="shared" si="51"/>
        <v>0</v>
      </c>
      <c r="Z259" s="127">
        <f t="shared" si="44"/>
        <v>87432.49</v>
      </c>
      <c r="AA259" s="33" t="s">
        <v>15</v>
      </c>
      <c r="AB259" s="36" t="s">
        <v>16</v>
      </c>
      <c r="AC259" s="181">
        <f t="shared" si="41"/>
        <v>47.01</v>
      </c>
      <c r="AD259" s="181">
        <f t="shared" si="52"/>
        <v>87432.49</v>
      </c>
      <c r="AE259" s="181">
        <v>1.7</v>
      </c>
      <c r="AF259" s="181">
        <v>1.7</v>
      </c>
      <c r="AG259" s="101" t="str">
        <f t="shared" si="42"/>
        <v/>
      </c>
      <c r="AH259" s="190">
        <v>47.01</v>
      </c>
      <c r="AI259" s="69">
        <f t="shared" si="43"/>
        <v>47.01</v>
      </c>
    </row>
    <row r="260" spans="1:35" s="69" customFormat="1" ht="58.5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203"/>
      <c r="F260" s="203"/>
      <c r="G260" s="203"/>
      <c r="H260" s="203" t="s">
        <v>15</v>
      </c>
      <c r="I260" s="75">
        <v>40</v>
      </c>
      <c r="J260" s="75">
        <v>2520</v>
      </c>
      <c r="K260" s="91" t="s">
        <v>667</v>
      </c>
      <c r="L260" s="73"/>
      <c r="M260" s="46">
        <v>63</v>
      </c>
      <c r="N260" s="46">
        <v>0</v>
      </c>
      <c r="O260" s="46">
        <v>2520</v>
      </c>
      <c r="P260" s="98"/>
      <c r="Q260" s="23" t="s">
        <v>1390</v>
      </c>
      <c r="R260" s="24" t="s">
        <v>666</v>
      </c>
      <c r="S260" s="25" t="s">
        <v>325</v>
      </c>
      <c r="T260" s="26">
        <v>63</v>
      </c>
      <c r="U260" s="26">
        <v>63</v>
      </c>
      <c r="V260" s="26">
        <v>40</v>
      </c>
      <c r="W260" s="127">
        <f t="shared" si="50"/>
        <v>0</v>
      </c>
      <c r="X260" s="127">
        <f t="shared" si="53"/>
        <v>63</v>
      </c>
      <c r="Y260" s="127">
        <f t="shared" si="51"/>
        <v>0</v>
      </c>
      <c r="Z260" s="127">
        <f t="shared" si="44"/>
        <v>2520</v>
      </c>
      <c r="AA260" s="33" t="s">
        <v>15</v>
      </c>
      <c r="AB260" s="36" t="s">
        <v>16</v>
      </c>
      <c r="AC260" s="181">
        <f t="shared" si="41"/>
        <v>63</v>
      </c>
      <c r="AD260" s="181">
        <f t="shared" si="52"/>
        <v>2520</v>
      </c>
      <c r="AE260" s="181">
        <v>1.7</v>
      </c>
      <c r="AF260" s="181">
        <v>1.7</v>
      </c>
      <c r="AG260" s="101" t="str">
        <f t="shared" si="42"/>
        <v/>
      </c>
      <c r="AH260" s="190">
        <v>63</v>
      </c>
      <c r="AI260" s="69">
        <f t="shared" si="43"/>
        <v>63</v>
      </c>
    </row>
    <row r="261" spans="1:35" s="69" customFormat="1" ht="58.5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203"/>
      <c r="F261" s="203"/>
      <c r="G261" s="203"/>
      <c r="H261" s="203" t="s">
        <v>15</v>
      </c>
      <c r="I261" s="75">
        <v>35</v>
      </c>
      <c r="J261" s="75">
        <v>11025</v>
      </c>
      <c r="K261" s="91" t="s">
        <v>670</v>
      </c>
      <c r="L261" s="73"/>
      <c r="M261" s="46">
        <v>315</v>
      </c>
      <c r="N261" s="46">
        <v>0</v>
      </c>
      <c r="O261" s="46">
        <v>11025</v>
      </c>
      <c r="P261" s="98"/>
      <c r="Q261" s="23" t="s">
        <v>1391</v>
      </c>
      <c r="R261" s="24" t="s">
        <v>669</v>
      </c>
      <c r="S261" s="25" t="s">
        <v>162</v>
      </c>
      <c r="T261" s="26">
        <v>315</v>
      </c>
      <c r="U261" s="26">
        <v>315</v>
      </c>
      <c r="V261" s="26">
        <v>35</v>
      </c>
      <c r="W261" s="127">
        <f t="shared" si="50"/>
        <v>0</v>
      </c>
      <c r="X261" s="127">
        <f t="shared" si="53"/>
        <v>315</v>
      </c>
      <c r="Y261" s="127">
        <f t="shared" si="51"/>
        <v>0</v>
      </c>
      <c r="Z261" s="127">
        <f t="shared" si="44"/>
        <v>11025</v>
      </c>
      <c r="AA261" s="33" t="s">
        <v>15</v>
      </c>
      <c r="AB261" s="36" t="s">
        <v>16</v>
      </c>
      <c r="AC261" s="181">
        <f t="shared" si="41"/>
        <v>315</v>
      </c>
      <c r="AD261" s="181">
        <f t="shared" si="52"/>
        <v>11025</v>
      </c>
      <c r="AE261" s="181">
        <v>1.7</v>
      </c>
      <c r="AF261" s="181">
        <v>1.7</v>
      </c>
      <c r="AG261" s="101" t="str">
        <f t="shared" si="42"/>
        <v/>
      </c>
      <c r="AH261" s="190">
        <v>315</v>
      </c>
      <c r="AI261" s="69">
        <f t="shared" si="43"/>
        <v>315</v>
      </c>
    </row>
    <row r="262" spans="1:35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 t="s">
        <v>15</v>
      </c>
      <c r="I262" s="75">
        <v>10</v>
      </c>
      <c r="J262" s="75">
        <v>12000</v>
      </c>
      <c r="K262" s="91" t="s">
        <v>673</v>
      </c>
      <c r="L262" s="73"/>
      <c r="M262" s="46">
        <v>0</v>
      </c>
      <c r="N262" s="46">
        <v>0</v>
      </c>
      <c r="O262" s="46">
        <v>0</v>
      </c>
      <c r="P262" s="98"/>
      <c r="Q262" s="23" t="s">
        <v>1436</v>
      </c>
      <c r="R262" s="24" t="s">
        <v>672</v>
      </c>
      <c r="S262" s="25" t="s">
        <v>30</v>
      </c>
      <c r="T262" s="26">
        <v>1200</v>
      </c>
      <c r="U262" s="26">
        <v>1200</v>
      </c>
      <c r="V262" s="26">
        <v>10</v>
      </c>
      <c r="W262" s="26">
        <f t="shared" si="50"/>
        <v>0</v>
      </c>
      <c r="X262" s="26">
        <f t="shared" si="53"/>
        <v>0</v>
      </c>
      <c r="Y262" s="26">
        <f t="shared" si="51"/>
        <v>0</v>
      </c>
      <c r="Z262" s="26">
        <f t="shared" si="44"/>
        <v>0</v>
      </c>
      <c r="AA262" s="33" t="s">
        <v>15</v>
      </c>
      <c r="AB262" s="36" t="s">
        <v>16</v>
      </c>
      <c r="AC262" s="181">
        <f t="shared" si="41"/>
        <v>1200</v>
      </c>
      <c r="AD262" s="181">
        <f t="shared" si="52"/>
        <v>12000</v>
      </c>
      <c r="AE262" s="181">
        <v>1.7</v>
      </c>
      <c r="AF262" s="181">
        <v>1.7</v>
      </c>
      <c r="AG262" s="101" t="str">
        <f t="shared" si="42"/>
        <v/>
      </c>
      <c r="AH262" s="190">
        <v>0</v>
      </c>
      <c r="AI262" s="69">
        <f t="shared" si="43"/>
        <v>1200</v>
      </c>
    </row>
    <row r="263" spans="1:35" s="69" customFormat="1" ht="33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203"/>
      <c r="F263" s="203"/>
      <c r="G263" s="203"/>
      <c r="H263" s="203" t="s">
        <v>15</v>
      </c>
      <c r="I263" s="75">
        <v>531</v>
      </c>
      <c r="J263" s="75">
        <v>16381.35</v>
      </c>
      <c r="K263" s="91" t="s">
        <v>676</v>
      </c>
      <c r="L263" s="73"/>
      <c r="M263" s="46">
        <v>30.85</v>
      </c>
      <c r="N263" s="46">
        <v>0</v>
      </c>
      <c r="O263" s="46">
        <v>16381.35</v>
      </c>
      <c r="P263" s="98"/>
      <c r="Q263" s="23" t="s">
        <v>1374</v>
      </c>
      <c r="R263" s="24" t="s">
        <v>675</v>
      </c>
      <c r="S263" s="25" t="s">
        <v>50</v>
      </c>
      <c r="T263" s="26">
        <v>30.85</v>
      </c>
      <c r="U263" s="26">
        <v>30.85</v>
      </c>
      <c r="V263" s="26">
        <v>531</v>
      </c>
      <c r="W263" s="127">
        <f t="shared" si="50"/>
        <v>0</v>
      </c>
      <c r="X263" s="127">
        <f t="shared" si="53"/>
        <v>30.85</v>
      </c>
      <c r="Y263" s="127">
        <f t="shared" si="51"/>
        <v>0</v>
      </c>
      <c r="Z263" s="127">
        <f t="shared" si="44"/>
        <v>16381.35</v>
      </c>
      <c r="AA263" s="33" t="s">
        <v>15</v>
      </c>
      <c r="AB263" s="36" t="s">
        <v>16</v>
      </c>
      <c r="AC263" s="181">
        <f t="shared" si="41"/>
        <v>30.85</v>
      </c>
      <c r="AD263" s="181">
        <f t="shared" si="52"/>
        <v>16381.35</v>
      </c>
      <c r="AE263" s="181">
        <v>1.7</v>
      </c>
      <c r="AF263" s="181">
        <v>1.7</v>
      </c>
      <c r="AG263" s="101" t="str">
        <f t="shared" si="42"/>
        <v/>
      </c>
      <c r="AH263" s="190">
        <v>30.85</v>
      </c>
      <c r="AI263" s="69">
        <f t="shared" si="43"/>
        <v>30.85</v>
      </c>
    </row>
    <row r="264" spans="1:35" s="69" customFormat="1" ht="33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203"/>
      <c r="F264" s="203"/>
      <c r="G264" s="203"/>
      <c r="H264" s="225" t="s">
        <v>15</v>
      </c>
      <c r="I264" s="75">
        <v>3386.57</v>
      </c>
      <c r="J264" s="75">
        <v>12530.31</v>
      </c>
      <c r="K264" s="91" t="s">
        <v>679</v>
      </c>
      <c r="L264" s="73"/>
      <c r="M264" s="46">
        <v>3.7</v>
      </c>
      <c r="N264" s="46">
        <v>0</v>
      </c>
      <c r="O264" s="46">
        <v>12530.31</v>
      </c>
      <c r="P264" s="98"/>
      <c r="Q264" s="23" t="s">
        <v>1376</v>
      </c>
      <c r="R264" s="24" t="s">
        <v>678</v>
      </c>
      <c r="S264" s="25" t="s">
        <v>23</v>
      </c>
      <c r="T264" s="26">
        <v>3.7</v>
      </c>
      <c r="U264" s="26">
        <v>3.7</v>
      </c>
      <c r="V264" s="26">
        <v>3386.57</v>
      </c>
      <c r="W264" s="127">
        <f t="shared" si="50"/>
        <v>0</v>
      </c>
      <c r="X264" s="127">
        <f t="shared" si="53"/>
        <v>3.7</v>
      </c>
      <c r="Y264" s="127">
        <f t="shared" si="51"/>
        <v>0</v>
      </c>
      <c r="Z264" s="127">
        <f t="shared" si="44"/>
        <v>12530.31</v>
      </c>
      <c r="AA264" s="33" t="s">
        <v>15</v>
      </c>
      <c r="AB264" s="36" t="s">
        <v>16</v>
      </c>
      <c r="AC264" s="181">
        <f t="shared" si="41"/>
        <v>3.7</v>
      </c>
      <c r="AD264" s="181">
        <f t="shared" si="52"/>
        <v>12530.31</v>
      </c>
      <c r="AE264" s="181">
        <v>1.7</v>
      </c>
      <c r="AF264" s="181">
        <v>1.7</v>
      </c>
      <c r="AG264" s="101" t="str">
        <f t="shared" si="42"/>
        <v/>
      </c>
      <c r="AH264" s="190">
        <v>3.7</v>
      </c>
      <c r="AI264" s="69">
        <f t="shared" si="43"/>
        <v>3.7</v>
      </c>
    </row>
    <row r="265" spans="1:35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161"/>
      <c r="H265" s="158" t="s">
        <v>15</v>
      </c>
      <c r="I265" s="166">
        <v>108000</v>
      </c>
      <c r="J265" s="75">
        <v>108000</v>
      </c>
      <c r="K265" s="91" t="s">
        <v>682</v>
      </c>
      <c r="L265" s="73"/>
      <c r="M265" s="46">
        <v>0</v>
      </c>
      <c r="N265" s="46">
        <v>0</v>
      </c>
      <c r="O265" s="46">
        <v>0</v>
      </c>
      <c r="P265" s="98"/>
      <c r="Q265" s="23" t="s">
        <v>1378</v>
      </c>
      <c r="R265" s="24" t="s">
        <v>681</v>
      </c>
      <c r="S265" s="25" t="s">
        <v>14</v>
      </c>
      <c r="T265" s="26">
        <v>1</v>
      </c>
      <c r="U265" s="26">
        <v>1</v>
      </c>
      <c r="V265" s="26">
        <v>108000</v>
      </c>
      <c r="W265" s="26">
        <f t="shared" si="50"/>
        <v>0</v>
      </c>
      <c r="X265" s="26">
        <f t="shared" si="53"/>
        <v>0</v>
      </c>
      <c r="Y265" s="26">
        <f t="shared" si="51"/>
        <v>0</v>
      </c>
      <c r="Z265" s="26">
        <f t="shared" si="44"/>
        <v>0</v>
      </c>
      <c r="AA265" s="33" t="s">
        <v>15</v>
      </c>
      <c r="AB265" s="36" t="s">
        <v>16</v>
      </c>
      <c r="AC265" s="181">
        <f t="shared" si="41"/>
        <v>1</v>
      </c>
      <c r="AD265" s="181">
        <f t="shared" si="52"/>
        <v>108000</v>
      </c>
      <c r="AE265" s="181">
        <v>1.7</v>
      </c>
      <c r="AF265" s="181">
        <v>1.7</v>
      </c>
      <c r="AG265" s="101" t="str">
        <f t="shared" si="42"/>
        <v/>
      </c>
      <c r="AH265" s="190">
        <v>0</v>
      </c>
      <c r="AI265" s="69">
        <f t="shared" si="43"/>
        <v>1</v>
      </c>
    </row>
    <row r="266" spans="1:35" s="69" customFormat="1" ht="39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161"/>
      <c r="H266" s="158" t="s">
        <v>15</v>
      </c>
      <c r="I266" s="166">
        <v>500</v>
      </c>
      <c r="J266" s="75">
        <v>724160</v>
      </c>
      <c r="K266" s="91" t="s">
        <v>685</v>
      </c>
      <c r="L266" s="73"/>
      <c r="M266" s="46">
        <v>0</v>
      </c>
      <c r="N266" s="46">
        <v>0</v>
      </c>
      <c r="O266" s="46">
        <v>0</v>
      </c>
      <c r="P266" s="98"/>
      <c r="Q266" s="23" t="s">
        <v>1438</v>
      </c>
      <c r="R266" s="24" t="s">
        <v>684</v>
      </c>
      <c r="S266" s="25" t="s">
        <v>50</v>
      </c>
      <c r="T266" s="26">
        <v>1448.32</v>
      </c>
      <c r="U266" s="26">
        <v>1448.32</v>
      </c>
      <c r="V266" s="26">
        <v>500</v>
      </c>
      <c r="W266" s="26">
        <f t="shared" si="50"/>
        <v>0</v>
      </c>
      <c r="X266" s="26">
        <f t="shared" si="53"/>
        <v>0</v>
      </c>
      <c r="Y266" s="26">
        <f t="shared" si="51"/>
        <v>0</v>
      </c>
      <c r="Z266" s="26">
        <f t="shared" si="44"/>
        <v>0</v>
      </c>
      <c r="AA266" s="33" t="s">
        <v>15</v>
      </c>
      <c r="AB266" s="36" t="s">
        <v>16</v>
      </c>
      <c r="AC266" s="181">
        <f t="shared" si="41"/>
        <v>1448.32</v>
      </c>
      <c r="AD266" s="181">
        <f t="shared" si="52"/>
        <v>724160</v>
      </c>
      <c r="AE266" s="181">
        <v>1.7</v>
      </c>
      <c r="AF266" s="181">
        <v>1.7</v>
      </c>
      <c r="AG266" s="101" t="str">
        <f t="shared" si="42"/>
        <v/>
      </c>
      <c r="AH266" s="190">
        <v>0</v>
      </c>
      <c r="AI266" s="69">
        <f t="shared" si="43"/>
        <v>1448.32</v>
      </c>
    </row>
    <row r="267" spans="1:35" s="69" customFormat="1" ht="78" hidden="1" x14ac:dyDescent="0.3">
      <c r="A267" s="55" t="s">
        <v>686</v>
      </c>
      <c r="B267" s="53" t="s">
        <v>687</v>
      </c>
      <c r="C267" s="54" t="s">
        <v>606</v>
      </c>
      <c r="D267" s="75">
        <v>42</v>
      </c>
      <c r="E267" s="75"/>
      <c r="F267" s="75"/>
      <c r="G267" s="161"/>
      <c r="H267" s="158" t="s">
        <v>15</v>
      </c>
      <c r="I267" s="166">
        <v>10176.969999999999</v>
      </c>
      <c r="J267" s="75">
        <v>427432.74</v>
      </c>
      <c r="K267" s="91" t="s">
        <v>688</v>
      </c>
      <c r="L267" s="73"/>
      <c r="M267" s="46">
        <v>0</v>
      </c>
      <c r="N267" s="46">
        <v>0</v>
      </c>
      <c r="O267" s="46">
        <v>0</v>
      </c>
      <c r="P267" s="98"/>
      <c r="Q267" s="23" t="s">
        <v>1439</v>
      </c>
      <c r="R267" s="24" t="s">
        <v>687</v>
      </c>
      <c r="S267" s="25" t="s">
        <v>606</v>
      </c>
      <c r="T267" s="26">
        <v>42</v>
      </c>
      <c r="U267" s="26">
        <v>42</v>
      </c>
      <c r="V267" s="26">
        <v>10176.969999999999</v>
      </c>
      <c r="W267" s="26">
        <f t="shared" si="50"/>
        <v>0</v>
      </c>
      <c r="X267" s="26">
        <f t="shared" si="53"/>
        <v>0</v>
      </c>
      <c r="Y267" s="26">
        <f t="shared" si="51"/>
        <v>0</v>
      </c>
      <c r="Z267" s="26">
        <f t="shared" si="44"/>
        <v>0</v>
      </c>
      <c r="AA267" s="33" t="s">
        <v>15</v>
      </c>
      <c r="AB267" s="36" t="s">
        <v>16</v>
      </c>
      <c r="AC267" s="181">
        <f t="shared" ref="AC267:AC330" si="54">IF(U267="",T267,U267)</f>
        <v>42</v>
      </c>
      <c r="AD267" s="181">
        <f t="shared" si="52"/>
        <v>427432.74</v>
      </c>
      <c r="AE267" s="181">
        <v>1.7</v>
      </c>
      <c r="AF267" s="181">
        <v>1.7</v>
      </c>
      <c r="AG267" s="101" t="str">
        <f t="shared" ref="AG267:AG330" si="55">IF(X267&gt;AI267,"超估","")</f>
        <v/>
      </c>
      <c r="AH267" s="190">
        <v>0</v>
      </c>
      <c r="AI267" s="69">
        <f t="shared" ref="AI267:AI330" si="56">IF(G267=0,IF(F267=0,IF(E267=0,D267,E267),F267),G267)</f>
        <v>42</v>
      </c>
    </row>
    <row r="268" spans="1:35" s="69" customFormat="1" ht="78" hidden="1" x14ac:dyDescent="0.3">
      <c r="A268" s="55" t="s">
        <v>689</v>
      </c>
      <c r="B268" s="53" t="s">
        <v>690</v>
      </c>
      <c r="C268" s="54" t="s">
        <v>606</v>
      </c>
      <c r="D268" s="75">
        <v>19</v>
      </c>
      <c r="E268" s="75"/>
      <c r="F268" s="75"/>
      <c r="G268" s="161"/>
      <c r="H268" s="158" t="s">
        <v>15</v>
      </c>
      <c r="I268" s="166">
        <v>13526.18</v>
      </c>
      <c r="J268" s="75">
        <v>256997.42</v>
      </c>
      <c r="K268" s="91" t="s">
        <v>691</v>
      </c>
      <c r="L268" s="73"/>
      <c r="M268" s="46">
        <v>0</v>
      </c>
      <c r="N268" s="46">
        <v>0</v>
      </c>
      <c r="O268" s="46">
        <v>0</v>
      </c>
      <c r="P268" s="98"/>
      <c r="Q268" s="23" t="s">
        <v>1440</v>
      </c>
      <c r="R268" s="24" t="s">
        <v>690</v>
      </c>
      <c r="S268" s="25" t="s">
        <v>606</v>
      </c>
      <c r="T268" s="26">
        <v>19</v>
      </c>
      <c r="U268" s="26">
        <v>19</v>
      </c>
      <c r="V268" s="26">
        <v>13526.18</v>
      </c>
      <c r="W268" s="26">
        <f t="shared" si="50"/>
        <v>0</v>
      </c>
      <c r="X268" s="26">
        <f t="shared" si="53"/>
        <v>0</v>
      </c>
      <c r="Y268" s="26">
        <f t="shared" si="51"/>
        <v>0</v>
      </c>
      <c r="Z268" s="26">
        <f t="shared" ref="Z268:Z331" si="57">ROUND(V268*X268,2)</f>
        <v>0</v>
      </c>
      <c r="AA268" s="33" t="s">
        <v>15</v>
      </c>
      <c r="AB268" s="36" t="s">
        <v>16</v>
      </c>
      <c r="AC268" s="181">
        <f t="shared" si="54"/>
        <v>19</v>
      </c>
      <c r="AD268" s="181">
        <f t="shared" si="52"/>
        <v>256997.42</v>
      </c>
      <c r="AE268" s="181">
        <v>1.7</v>
      </c>
      <c r="AF268" s="181">
        <v>1.7</v>
      </c>
      <c r="AG268" s="101" t="str">
        <f t="shared" si="55"/>
        <v/>
      </c>
      <c r="AH268" s="190">
        <v>0</v>
      </c>
      <c r="AI268" s="69">
        <f t="shared" si="56"/>
        <v>19</v>
      </c>
    </row>
    <row r="269" spans="1:35" s="69" customFormat="1" ht="78" hidden="1" x14ac:dyDescent="0.3">
      <c r="A269" s="55" t="s">
        <v>692</v>
      </c>
      <c r="B269" s="53" t="s">
        <v>693</v>
      </c>
      <c r="C269" s="54" t="s">
        <v>606</v>
      </c>
      <c r="D269" s="75">
        <v>8</v>
      </c>
      <c r="E269" s="75"/>
      <c r="F269" s="75"/>
      <c r="G269" s="161"/>
      <c r="H269" s="158" t="s">
        <v>15</v>
      </c>
      <c r="I269" s="166">
        <v>8660.64</v>
      </c>
      <c r="J269" s="75">
        <v>69285.119999999995</v>
      </c>
      <c r="K269" s="91" t="s">
        <v>694</v>
      </c>
      <c r="L269" s="73"/>
      <c r="M269" s="46">
        <v>0</v>
      </c>
      <c r="N269" s="46">
        <v>0</v>
      </c>
      <c r="O269" s="46">
        <v>0</v>
      </c>
      <c r="P269" s="98"/>
      <c r="Q269" s="23" t="s">
        <v>1441</v>
      </c>
      <c r="R269" s="24" t="s">
        <v>693</v>
      </c>
      <c r="S269" s="25" t="s">
        <v>606</v>
      </c>
      <c r="T269" s="26">
        <v>8</v>
      </c>
      <c r="U269" s="26">
        <v>8</v>
      </c>
      <c r="V269" s="26">
        <v>8660.64</v>
      </c>
      <c r="W269" s="26">
        <f t="shared" si="50"/>
        <v>0</v>
      </c>
      <c r="X269" s="26">
        <f t="shared" si="53"/>
        <v>0</v>
      </c>
      <c r="Y269" s="26">
        <f t="shared" si="51"/>
        <v>0</v>
      </c>
      <c r="Z269" s="26">
        <f t="shared" si="57"/>
        <v>0</v>
      </c>
      <c r="AA269" s="33" t="s">
        <v>15</v>
      </c>
      <c r="AB269" s="36" t="s">
        <v>16</v>
      </c>
      <c r="AC269" s="181">
        <f t="shared" si="54"/>
        <v>8</v>
      </c>
      <c r="AD269" s="181">
        <f t="shared" si="52"/>
        <v>69285.119999999995</v>
      </c>
      <c r="AE269" s="181">
        <v>1.7</v>
      </c>
      <c r="AF269" s="181">
        <v>1.7</v>
      </c>
      <c r="AG269" s="101" t="str">
        <f t="shared" si="55"/>
        <v/>
      </c>
      <c r="AH269" s="190">
        <v>0</v>
      </c>
      <c r="AI269" s="69">
        <f t="shared" si="56"/>
        <v>8</v>
      </c>
    </row>
    <row r="270" spans="1:35" s="69" customFormat="1" ht="78" hidden="1" x14ac:dyDescent="0.3">
      <c r="A270" s="55" t="s">
        <v>695</v>
      </c>
      <c r="B270" s="53" t="s">
        <v>696</v>
      </c>
      <c r="C270" s="54" t="s">
        <v>606</v>
      </c>
      <c r="D270" s="75">
        <v>8</v>
      </c>
      <c r="E270" s="75"/>
      <c r="F270" s="75"/>
      <c r="G270" s="161"/>
      <c r="H270" s="158" t="s">
        <v>15</v>
      </c>
      <c r="I270" s="166">
        <v>17930.64</v>
      </c>
      <c r="J270" s="75">
        <v>143445.12</v>
      </c>
      <c r="K270" s="91" t="s">
        <v>697</v>
      </c>
      <c r="L270" s="73"/>
      <c r="M270" s="46">
        <v>0</v>
      </c>
      <c r="N270" s="46">
        <v>0</v>
      </c>
      <c r="O270" s="46">
        <v>0</v>
      </c>
      <c r="P270" s="98"/>
      <c r="Q270" s="23" t="s">
        <v>1442</v>
      </c>
      <c r="R270" s="24" t="s">
        <v>696</v>
      </c>
      <c r="S270" s="25" t="s">
        <v>606</v>
      </c>
      <c r="T270" s="26">
        <v>8</v>
      </c>
      <c r="U270" s="26">
        <v>8</v>
      </c>
      <c r="V270" s="26">
        <v>17930.64</v>
      </c>
      <c r="W270" s="26">
        <f t="shared" si="50"/>
        <v>0</v>
      </c>
      <c r="X270" s="26">
        <f t="shared" si="53"/>
        <v>0</v>
      </c>
      <c r="Y270" s="26">
        <f t="shared" si="51"/>
        <v>0</v>
      </c>
      <c r="Z270" s="26">
        <f t="shared" si="57"/>
        <v>0</v>
      </c>
      <c r="AA270" s="33" t="s">
        <v>15</v>
      </c>
      <c r="AB270" s="36" t="s">
        <v>16</v>
      </c>
      <c r="AC270" s="181">
        <f t="shared" si="54"/>
        <v>8</v>
      </c>
      <c r="AD270" s="181">
        <f t="shared" si="52"/>
        <v>143445.12</v>
      </c>
      <c r="AE270" s="181">
        <v>1.7</v>
      </c>
      <c r="AF270" s="181">
        <v>1.7</v>
      </c>
      <c r="AG270" s="101" t="str">
        <f t="shared" si="55"/>
        <v/>
      </c>
      <c r="AH270" s="190">
        <v>0</v>
      </c>
      <c r="AI270" s="69">
        <f t="shared" si="56"/>
        <v>8</v>
      </c>
    </row>
    <row r="271" spans="1:35" s="69" customFormat="1" ht="78" hidden="1" x14ac:dyDescent="0.3">
      <c r="A271" s="55" t="s">
        <v>698</v>
      </c>
      <c r="B271" s="53" t="s">
        <v>699</v>
      </c>
      <c r="C271" s="54" t="s">
        <v>606</v>
      </c>
      <c r="D271" s="75">
        <v>14</v>
      </c>
      <c r="E271" s="75"/>
      <c r="F271" s="75"/>
      <c r="G271" s="161"/>
      <c r="H271" s="158" t="s">
        <v>15</v>
      </c>
      <c r="I271" s="166">
        <v>5272.95</v>
      </c>
      <c r="J271" s="75">
        <v>73821.3</v>
      </c>
      <c r="K271" s="91" t="s">
        <v>700</v>
      </c>
      <c r="L271" s="73"/>
      <c r="M271" s="46">
        <v>0</v>
      </c>
      <c r="N271" s="46">
        <v>0</v>
      </c>
      <c r="O271" s="46">
        <v>0</v>
      </c>
      <c r="P271" s="98"/>
      <c r="Q271" s="23" t="s">
        <v>1443</v>
      </c>
      <c r="R271" s="24" t="s">
        <v>699</v>
      </c>
      <c r="S271" s="25" t="s">
        <v>606</v>
      </c>
      <c r="T271" s="26">
        <v>14</v>
      </c>
      <c r="U271" s="26">
        <v>14</v>
      </c>
      <c r="V271" s="26">
        <v>5272.95</v>
      </c>
      <c r="W271" s="26">
        <f t="shared" si="50"/>
        <v>0</v>
      </c>
      <c r="X271" s="26">
        <f t="shared" si="53"/>
        <v>0</v>
      </c>
      <c r="Y271" s="26">
        <f t="shared" si="51"/>
        <v>0</v>
      </c>
      <c r="Z271" s="26">
        <f t="shared" si="57"/>
        <v>0</v>
      </c>
      <c r="AA271" s="33" t="s">
        <v>15</v>
      </c>
      <c r="AB271" s="36" t="s">
        <v>16</v>
      </c>
      <c r="AC271" s="181">
        <f t="shared" si="54"/>
        <v>14</v>
      </c>
      <c r="AD271" s="181">
        <f t="shared" si="52"/>
        <v>73821.3</v>
      </c>
      <c r="AE271" s="181">
        <v>1.7</v>
      </c>
      <c r="AF271" s="181">
        <v>1.7</v>
      </c>
      <c r="AG271" s="101" t="str">
        <f t="shared" si="55"/>
        <v/>
      </c>
      <c r="AH271" s="190">
        <v>0</v>
      </c>
      <c r="AI271" s="69">
        <f t="shared" si="56"/>
        <v>14</v>
      </c>
    </row>
    <row r="272" spans="1:35" s="69" customFormat="1" ht="78" hidden="1" x14ac:dyDescent="0.3">
      <c r="A272" s="55" t="s">
        <v>701</v>
      </c>
      <c r="B272" s="53" t="s">
        <v>702</v>
      </c>
      <c r="C272" s="54" t="s">
        <v>606</v>
      </c>
      <c r="D272" s="75">
        <v>15</v>
      </c>
      <c r="E272" s="75"/>
      <c r="F272" s="75"/>
      <c r="G272" s="161"/>
      <c r="H272" s="158" t="s">
        <v>15</v>
      </c>
      <c r="I272" s="166">
        <v>5272.95</v>
      </c>
      <c r="J272" s="75">
        <v>79094.25</v>
      </c>
      <c r="K272" s="91" t="s">
        <v>703</v>
      </c>
      <c r="L272" s="73"/>
      <c r="M272" s="46">
        <v>0</v>
      </c>
      <c r="N272" s="46">
        <v>0</v>
      </c>
      <c r="O272" s="46">
        <v>0</v>
      </c>
      <c r="P272" s="98"/>
      <c r="Q272" s="23" t="s">
        <v>1444</v>
      </c>
      <c r="R272" s="24" t="s">
        <v>702</v>
      </c>
      <c r="S272" s="25" t="s">
        <v>606</v>
      </c>
      <c r="T272" s="26">
        <v>15</v>
      </c>
      <c r="U272" s="26">
        <v>15</v>
      </c>
      <c r="V272" s="26">
        <v>5272.95</v>
      </c>
      <c r="W272" s="26">
        <f t="shared" si="50"/>
        <v>0</v>
      </c>
      <c r="X272" s="26">
        <f t="shared" si="53"/>
        <v>0</v>
      </c>
      <c r="Y272" s="26">
        <f t="shared" si="51"/>
        <v>0</v>
      </c>
      <c r="Z272" s="26">
        <f t="shared" si="57"/>
        <v>0</v>
      </c>
      <c r="AA272" s="33" t="s">
        <v>15</v>
      </c>
      <c r="AB272" s="36" t="s">
        <v>16</v>
      </c>
      <c r="AC272" s="181">
        <f t="shared" si="54"/>
        <v>15</v>
      </c>
      <c r="AD272" s="181">
        <f t="shared" si="52"/>
        <v>79094.25</v>
      </c>
      <c r="AE272" s="181">
        <v>1.7</v>
      </c>
      <c r="AF272" s="181">
        <v>1.7</v>
      </c>
      <c r="AG272" s="101" t="str">
        <f t="shared" si="55"/>
        <v/>
      </c>
      <c r="AH272" s="190">
        <v>0</v>
      </c>
      <c r="AI272" s="69">
        <f t="shared" si="56"/>
        <v>15</v>
      </c>
    </row>
    <row r="273" spans="1:35" s="69" customFormat="1" ht="78" hidden="1" x14ac:dyDescent="0.3">
      <c r="A273" s="55" t="s">
        <v>704</v>
      </c>
      <c r="B273" s="53" t="s">
        <v>705</v>
      </c>
      <c r="C273" s="54" t="s">
        <v>606</v>
      </c>
      <c r="D273" s="75">
        <v>1</v>
      </c>
      <c r="E273" s="75"/>
      <c r="F273" s="75"/>
      <c r="G273" s="161"/>
      <c r="H273" s="158" t="s">
        <v>15</v>
      </c>
      <c r="I273" s="166">
        <v>7859.47</v>
      </c>
      <c r="J273" s="75">
        <v>7859.47</v>
      </c>
      <c r="K273" s="91" t="s">
        <v>706</v>
      </c>
      <c r="L273" s="73"/>
      <c r="M273" s="46">
        <v>0</v>
      </c>
      <c r="N273" s="46">
        <v>0</v>
      </c>
      <c r="O273" s="46">
        <v>0</v>
      </c>
      <c r="P273" s="98"/>
      <c r="Q273" s="23" t="s">
        <v>1408</v>
      </c>
      <c r="R273" s="24" t="s">
        <v>705</v>
      </c>
      <c r="S273" s="25" t="s">
        <v>606</v>
      </c>
      <c r="T273" s="26">
        <v>1</v>
      </c>
      <c r="U273" s="26">
        <v>1</v>
      </c>
      <c r="V273" s="26">
        <v>7859.47</v>
      </c>
      <c r="W273" s="26">
        <f t="shared" si="50"/>
        <v>0</v>
      </c>
      <c r="X273" s="26">
        <f t="shared" si="53"/>
        <v>0</v>
      </c>
      <c r="Y273" s="26">
        <f t="shared" si="51"/>
        <v>0</v>
      </c>
      <c r="Z273" s="26">
        <f t="shared" si="57"/>
        <v>0</v>
      </c>
      <c r="AA273" s="33" t="s">
        <v>15</v>
      </c>
      <c r="AB273" s="36" t="s">
        <v>16</v>
      </c>
      <c r="AC273" s="181">
        <f t="shared" si="54"/>
        <v>1</v>
      </c>
      <c r="AD273" s="181">
        <f t="shared" si="52"/>
        <v>7859.47</v>
      </c>
      <c r="AE273" s="181">
        <v>1.7</v>
      </c>
      <c r="AF273" s="181">
        <v>1.7</v>
      </c>
      <c r="AG273" s="101" t="str">
        <f t="shared" si="55"/>
        <v/>
      </c>
      <c r="AH273" s="190">
        <v>0</v>
      </c>
      <c r="AI273" s="69">
        <f t="shared" si="56"/>
        <v>1</v>
      </c>
    </row>
    <row r="274" spans="1:35" s="69" customFormat="1" ht="78" hidden="1" x14ac:dyDescent="0.3">
      <c r="A274" s="55" t="s">
        <v>707</v>
      </c>
      <c r="B274" s="53" t="s">
        <v>708</v>
      </c>
      <c r="C274" s="54" t="s">
        <v>606</v>
      </c>
      <c r="D274" s="75">
        <v>1</v>
      </c>
      <c r="E274" s="75"/>
      <c r="F274" s="75"/>
      <c r="G274" s="161"/>
      <c r="H274" s="158" t="s">
        <v>15</v>
      </c>
      <c r="I274" s="166">
        <v>5839.45</v>
      </c>
      <c r="J274" s="75">
        <v>5839.45</v>
      </c>
      <c r="K274" s="91" t="s">
        <v>709</v>
      </c>
      <c r="L274" s="73"/>
      <c r="M274" s="46">
        <v>0</v>
      </c>
      <c r="N274" s="46">
        <v>0</v>
      </c>
      <c r="O274" s="46">
        <v>0</v>
      </c>
      <c r="P274" s="98"/>
      <c r="Q274" s="23" t="s">
        <v>1409</v>
      </c>
      <c r="R274" s="24" t="s">
        <v>708</v>
      </c>
      <c r="S274" s="25" t="s">
        <v>606</v>
      </c>
      <c r="T274" s="26">
        <v>1</v>
      </c>
      <c r="U274" s="26">
        <v>1</v>
      </c>
      <c r="V274" s="26">
        <v>5839.45</v>
      </c>
      <c r="W274" s="26">
        <f t="shared" si="50"/>
        <v>0</v>
      </c>
      <c r="X274" s="26">
        <f t="shared" si="53"/>
        <v>0</v>
      </c>
      <c r="Y274" s="26">
        <f t="shared" si="51"/>
        <v>0</v>
      </c>
      <c r="Z274" s="26">
        <f t="shared" si="57"/>
        <v>0</v>
      </c>
      <c r="AA274" s="33" t="s">
        <v>15</v>
      </c>
      <c r="AB274" s="36" t="s">
        <v>16</v>
      </c>
      <c r="AC274" s="181">
        <f t="shared" si="54"/>
        <v>1</v>
      </c>
      <c r="AD274" s="181">
        <f t="shared" si="52"/>
        <v>5839.45</v>
      </c>
      <c r="AE274" s="181">
        <v>1.7</v>
      </c>
      <c r="AF274" s="181">
        <v>1.7</v>
      </c>
      <c r="AG274" s="101" t="str">
        <f t="shared" si="55"/>
        <v/>
      </c>
      <c r="AH274" s="190">
        <v>0</v>
      </c>
      <c r="AI274" s="69">
        <f t="shared" si="56"/>
        <v>1</v>
      </c>
    </row>
    <row r="275" spans="1:35" s="69" customFormat="1" ht="78" hidden="1" x14ac:dyDescent="0.3">
      <c r="A275" s="55" t="s">
        <v>710</v>
      </c>
      <c r="B275" s="53" t="s">
        <v>711</v>
      </c>
      <c r="C275" s="54" t="s">
        <v>606</v>
      </c>
      <c r="D275" s="75">
        <v>1</v>
      </c>
      <c r="E275" s="75"/>
      <c r="F275" s="75"/>
      <c r="G275" s="161"/>
      <c r="H275" s="158" t="s">
        <v>15</v>
      </c>
      <c r="I275" s="166">
        <v>7189.97</v>
      </c>
      <c r="J275" s="75">
        <v>7189.97</v>
      </c>
      <c r="K275" s="91" t="s">
        <v>712</v>
      </c>
      <c r="L275" s="73"/>
      <c r="M275" s="46">
        <v>0</v>
      </c>
      <c r="N275" s="46">
        <v>0</v>
      </c>
      <c r="O275" s="46">
        <v>0</v>
      </c>
      <c r="P275" s="98"/>
      <c r="Q275" s="23" t="s">
        <v>1410</v>
      </c>
      <c r="R275" s="24" t="s">
        <v>711</v>
      </c>
      <c r="S275" s="25" t="s">
        <v>606</v>
      </c>
      <c r="T275" s="26">
        <v>1</v>
      </c>
      <c r="U275" s="26">
        <v>1</v>
      </c>
      <c r="V275" s="26">
        <v>7189.97</v>
      </c>
      <c r="W275" s="26">
        <f t="shared" si="50"/>
        <v>0</v>
      </c>
      <c r="X275" s="26">
        <f t="shared" si="53"/>
        <v>0</v>
      </c>
      <c r="Y275" s="26">
        <f t="shared" si="51"/>
        <v>0</v>
      </c>
      <c r="Z275" s="26">
        <f t="shared" si="57"/>
        <v>0</v>
      </c>
      <c r="AA275" s="33" t="s">
        <v>15</v>
      </c>
      <c r="AB275" s="36" t="s">
        <v>16</v>
      </c>
      <c r="AC275" s="181">
        <f t="shared" si="54"/>
        <v>1</v>
      </c>
      <c r="AD275" s="181">
        <f t="shared" si="52"/>
        <v>7189.97</v>
      </c>
      <c r="AE275" s="181">
        <v>1.7</v>
      </c>
      <c r="AF275" s="181">
        <v>1.7</v>
      </c>
      <c r="AG275" s="101" t="str">
        <f t="shared" si="55"/>
        <v/>
      </c>
      <c r="AH275" s="190">
        <v>0</v>
      </c>
      <c r="AI275" s="69">
        <f t="shared" si="56"/>
        <v>1</v>
      </c>
    </row>
    <row r="276" spans="1:35" s="69" customFormat="1" ht="78" hidden="1" x14ac:dyDescent="0.3">
      <c r="A276" s="55" t="s">
        <v>713</v>
      </c>
      <c r="B276" s="53" t="s">
        <v>714</v>
      </c>
      <c r="C276" s="54" t="s">
        <v>606</v>
      </c>
      <c r="D276" s="75">
        <v>4</v>
      </c>
      <c r="E276" s="75"/>
      <c r="F276" s="75"/>
      <c r="G276" s="161"/>
      <c r="H276" s="158" t="s">
        <v>15</v>
      </c>
      <c r="I276" s="166">
        <v>4860.95</v>
      </c>
      <c r="J276" s="75">
        <v>19443.8</v>
      </c>
      <c r="K276" s="91" t="s">
        <v>715</v>
      </c>
      <c r="L276" s="73"/>
      <c r="M276" s="46">
        <v>0</v>
      </c>
      <c r="N276" s="46">
        <v>0</v>
      </c>
      <c r="O276" s="46">
        <v>0</v>
      </c>
      <c r="P276" s="98"/>
      <c r="Q276" s="23" t="s">
        <v>1411</v>
      </c>
      <c r="R276" s="24" t="s">
        <v>714</v>
      </c>
      <c r="S276" s="25" t="s">
        <v>606</v>
      </c>
      <c r="T276" s="26">
        <v>4</v>
      </c>
      <c r="U276" s="26">
        <v>4</v>
      </c>
      <c r="V276" s="26">
        <v>4860.95</v>
      </c>
      <c r="W276" s="26">
        <f t="shared" si="50"/>
        <v>0</v>
      </c>
      <c r="X276" s="26">
        <f t="shared" si="53"/>
        <v>0</v>
      </c>
      <c r="Y276" s="26">
        <f t="shared" si="51"/>
        <v>0</v>
      </c>
      <c r="Z276" s="26">
        <f t="shared" si="57"/>
        <v>0</v>
      </c>
      <c r="AA276" s="33" t="s">
        <v>15</v>
      </c>
      <c r="AB276" s="36" t="s">
        <v>16</v>
      </c>
      <c r="AC276" s="181">
        <f t="shared" si="54"/>
        <v>4</v>
      </c>
      <c r="AD276" s="181">
        <f t="shared" si="52"/>
        <v>19443.8</v>
      </c>
      <c r="AE276" s="181">
        <v>1.7</v>
      </c>
      <c r="AF276" s="181">
        <v>1.7</v>
      </c>
      <c r="AG276" s="101" t="str">
        <f t="shared" si="55"/>
        <v/>
      </c>
      <c r="AH276" s="190">
        <v>0</v>
      </c>
      <c r="AI276" s="69">
        <f t="shared" si="56"/>
        <v>4</v>
      </c>
    </row>
    <row r="277" spans="1:35" s="69" customFormat="1" ht="78" hidden="1" x14ac:dyDescent="0.3">
      <c r="A277" s="55" t="s">
        <v>716</v>
      </c>
      <c r="B277" s="53" t="s">
        <v>717</v>
      </c>
      <c r="C277" s="54" t="s">
        <v>606</v>
      </c>
      <c r="D277" s="75">
        <v>1</v>
      </c>
      <c r="E277" s="75"/>
      <c r="F277" s="75"/>
      <c r="G277" s="161"/>
      <c r="H277" s="158" t="s">
        <v>15</v>
      </c>
      <c r="I277" s="166">
        <v>14800.45</v>
      </c>
      <c r="J277" s="75">
        <v>14800.45</v>
      </c>
      <c r="K277" s="91" t="s">
        <v>718</v>
      </c>
      <c r="L277" s="73"/>
      <c r="M277" s="46">
        <v>0</v>
      </c>
      <c r="N277" s="46">
        <v>0</v>
      </c>
      <c r="O277" s="46">
        <v>0</v>
      </c>
      <c r="P277" s="98"/>
      <c r="Q277" s="23" t="s">
        <v>1445</v>
      </c>
      <c r="R277" s="24" t="s">
        <v>717</v>
      </c>
      <c r="S277" s="25" t="s">
        <v>606</v>
      </c>
      <c r="T277" s="26">
        <v>1</v>
      </c>
      <c r="U277" s="26">
        <v>1</v>
      </c>
      <c r="V277" s="26">
        <v>14800.45</v>
      </c>
      <c r="W277" s="26">
        <f t="shared" si="50"/>
        <v>0</v>
      </c>
      <c r="X277" s="26">
        <f t="shared" si="53"/>
        <v>0</v>
      </c>
      <c r="Y277" s="26">
        <f t="shared" si="51"/>
        <v>0</v>
      </c>
      <c r="Z277" s="26">
        <f t="shared" si="57"/>
        <v>0</v>
      </c>
      <c r="AA277" s="33" t="s">
        <v>15</v>
      </c>
      <c r="AB277" s="36" t="s">
        <v>16</v>
      </c>
      <c r="AC277" s="181">
        <f t="shared" si="54"/>
        <v>1</v>
      </c>
      <c r="AD277" s="181">
        <f t="shared" si="52"/>
        <v>14800.45</v>
      </c>
      <c r="AE277" s="181">
        <v>1.7</v>
      </c>
      <c r="AF277" s="181">
        <v>1.7</v>
      </c>
      <c r="AG277" s="101" t="str">
        <f t="shared" si="55"/>
        <v/>
      </c>
      <c r="AH277" s="190">
        <v>0</v>
      </c>
      <c r="AI277" s="69">
        <f t="shared" si="56"/>
        <v>1</v>
      </c>
    </row>
    <row r="278" spans="1:35" s="69" customFormat="1" ht="78" hidden="1" x14ac:dyDescent="0.3">
      <c r="A278" s="55" t="s">
        <v>719</v>
      </c>
      <c r="B278" s="53" t="s">
        <v>720</v>
      </c>
      <c r="C278" s="54" t="s">
        <v>606</v>
      </c>
      <c r="D278" s="75">
        <v>1</v>
      </c>
      <c r="E278" s="75"/>
      <c r="F278" s="75"/>
      <c r="G278" s="161"/>
      <c r="H278" s="158" t="s">
        <v>15</v>
      </c>
      <c r="I278" s="166">
        <v>6661.47</v>
      </c>
      <c r="J278" s="75">
        <v>6661.47</v>
      </c>
      <c r="K278" s="91" t="s">
        <v>721</v>
      </c>
      <c r="L278" s="73"/>
      <c r="M278" s="46">
        <v>0</v>
      </c>
      <c r="N278" s="46">
        <v>0</v>
      </c>
      <c r="O278" s="46">
        <v>0</v>
      </c>
      <c r="P278" s="98"/>
      <c r="Q278" s="23" t="s">
        <v>1383</v>
      </c>
      <c r="R278" s="24" t="s">
        <v>720</v>
      </c>
      <c r="S278" s="25" t="s">
        <v>606</v>
      </c>
      <c r="T278" s="26">
        <v>1</v>
      </c>
      <c r="U278" s="26">
        <v>1</v>
      </c>
      <c r="V278" s="26">
        <v>6661.47</v>
      </c>
      <c r="W278" s="26">
        <f t="shared" si="50"/>
        <v>0</v>
      </c>
      <c r="X278" s="26">
        <f t="shared" si="53"/>
        <v>0</v>
      </c>
      <c r="Y278" s="26">
        <f t="shared" si="51"/>
        <v>0</v>
      </c>
      <c r="Z278" s="26">
        <f t="shared" si="57"/>
        <v>0</v>
      </c>
      <c r="AA278" s="33" t="s">
        <v>15</v>
      </c>
      <c r="AB278" s="36" t="s">
        <v>16</v>
      </c>
      <c r="AC278" s="181">
        <f t="shared" si="54"/>
        <v>1</v>
      </c>
      <c r="AD278" s="181">
        <f t="shared" si="52"/>
        <v>6661.47</v>
      </c>
      <c r="AE278" s="181">
        <v>1.7</v>
      </c>
      <c r="AF278" s="181">
        <v>1.7</v>
      </c>
      <c r="AG278" s="101" t="str">
        <f t="shared" si="55"/>
        <v/>
      </c>
      <c r="AH278" s="190">
        <v>0</v>
      </c>
      <c r="AI278" s="69">
        <f t="shared" si="56"/>
        <v>1</v>
      </c>
    </row>
    <row r="279" spans="1:35" s="69" customFormat="1" ht="78" hidden="1" x14ac:dyDescent="0.3">
      <c r="A279" s="55" t="s">
        <v>722</v>
      </c>
      <c r="B279" s="53" t="s">
        <v>723</v>
      </c>
      <c r="C279" s="54" t="s">
        <v>606</v>
      </c>
      <c r="D279" s="75">
        <v>1</v>
      </c>
      <c r="E279" s="75"/>
      <c r="F279" s="75"/>
      <c r="G279" s="161"/>
      <c r="H279" s="158" t="s">
        <v>15</v>
      </c>
      <c r="I279" s="166">
        <v>15584.47</v>
      </c>
      <c r="J279" s="75">
        <v>15584.47</v>
      </c>
      <c r="K279" s="91" t="s">
        <v>724</v>
      </c>
      <c r="L279" s="73"/>
      <c r="M279" s="46">
        <v>0</v>
      </c>
      <c r="N279" s="46">
        <v>0</v>
      </c>
      <c r="O279" s="46">
        <v>0</v>
      </c>
      <c r="P279" s="98"/>
      <c r="Q279" s="23" t="s">
        <v>1384</v>
      </c>
      <c r="R279" s="24" t="s">
        <v>723</v>
      </c>
      <c r="S279" s="25" t="s">
        <v>606</v>
      </c>
      <c r="T279" s="26">
        <v>1</v>
      </c>
      <c r="U279" s="26">
        <v>1</v>
      </c>
      <c r="V279" s="26">
        <v>15584.47</v>
      </c>
      <c r="W279" s="26">
        <f t="shared" si="50"/>
        <v>0</v>
      </c>
      <c r="X279" s="26">
        <f t="shared" si="53"/>
        <v>0</v>
      </c>
      <c r="Y279" s="26">
        <f t="shared" si="51"/>
        <v>0</v>
      </c>
      <c r="Z279" s="26">
        <f t="shared" si="57"/>
        <v>0</v>
      </c>
      <c r="AA279" s="33" t="s">
        <v>15</v>
      </c>
      <c r="AB279" s="36" t="s">
        <v>16</v>
      </c>
      <c r="AC279" s="181">
        <f t="shared" si="54"/>
        <v>1</v>
      </c>
      <c r="AD279" s="181">
        <f t="shared" si="52"/>
        <v>15584.47</v>
      </c>
      <c r="AE279" s="181">
        <v>1.7</v>
      </c>
      <c r="AF279" s="181">
        <v>1.7</v>
      </c>
      <c r="AG279" s="101" t="str">
        <f t="shared" si="55"/>
        <v/>
      </c>
      <c r="AH279" s="190">
        <v>0</v>
      </c>
      <c r="AI279" s="69">
        <f t="shared" si="56"/>
        <v>1</v>
      </c>
    </row>
    <row r="280" spans="1:35" s="69" customFormat="1" ht="78" hidden="1" x14ac:dyDescent="0.3">
      <c r="A280" s="55" t="s">
        <v>725</v>
      </c>
      <c r="B280" s="53" t="s">
        <v>726</v>
      </c>
      <c r="C280" s="54" t="s">
        <v>606</v>
      </c>
      <c r="D280" s="75">
        <v>4</v>
      </c>
      <c r="E280" s="75"/>
      <c r="F280" s="75"/>
      <c r="G280" s="161"/>
      <c r="H280" s="158" t="s">
        <v>15</v>
      </c>
      <c r="I280" s="166">
        <v>3949.4</v>
      </c>
      <c r="J280" s="75">
        <v>15797.6</v>
      </c>
      <c r="K280" s="91" t="s">
        <v>727</v>
      </c>
      <c r="L280" s="73"/>
      <c r="M280" s="46">
        <v>0</v>
      </c>
      <c r="N280" s="46">
        <v>0</v>
      </c>
      <c r="O280" s="46">
        <v>0</v>
      </c>
      <c r="P280" s="98"/>
      <c r="Q280" s="23" t="s">
        <v>1385</v>
      </c>
      <c r="R280" s="24" t="s">
        <v>726</v>
      </c>
      <c r="S280" s="25" t="s">
        <v>606</v>
      </c>
      <c r="T280" s="26">
        <v>4</v>
      </c>
      <c r="U280" s="26">
        <v>4</v>
      </c>
      <c r="V280" s="26">
        <v>3949.4</v>
      </c>
      <c r="W280" s="26">
        <f t="shared" si="50"/>
        <v>0</v>
      </c>
      <c r="X280" s="26">
        <f t="shared" si="53"/>
        <v>0</v>
      </c>
      <c r="Y280" s="26">
        <f t="shared" si="51"/>
        <v>0</v>
      </c>
      <c r="Z280" s="26">
        <f t="shared" si="57"/>
        <v>0</v>
      </c>
      <c r="AA280" s="33" t="s">
        <v>15</v>
      </c>
      <c r="AB280" s="36" t="s">
        <v>16</v>
      </c>
      <c r="AC280" s="181">
        <f t="shared" si="54"/>
        <v>4</v>
      </c>
      <c r="AD280" s="181">
        <f t="shared" si="52"/>
        <v>15797.6</v>
      </c>
      <c r="AE280" s="181">
        <v>1.7</v>
      </c>
      <c r="AF280" s="181">
        <v>1.7</v>
      </c>
      <c r="AG280" s="101" t="str">
        <f t="shared" si="55"/>
        <v/>
      </c>
      <c r="AH280" s="190">
        <v>0</v>
      </c>
      <c r="AI280" s="69">
        <f t="shared" si="56"/>
        <v>4</v>
      </c>
    </row>
    <row r="281" spans="1:35" s="69" customFormat="1" ht="58.5" hidden="1" x14ac:dyDescent="0.3">
      <c r="A281" s="55" t="s">
        <v>728</v>
      </c>
      <c r="B281" s="53" t="s">
        <v>729</v>
      </c>
      <c r="C281" s="54" t="s">
        <v>606</v>
      </c>
      <c r="D281" s="75">
        <v>1</v>
      </c>
      <c r="E281" s="75"/>
      <c r="F281" s="75"/>
      <c r="G281" s="161"/>
      <c r="H281" s="158" t="s">
        <v>15</v>
      </c>
      <c r="I281" s="166">
        <v>227.07</v>
      </c>
      <c r="J281" s="75">
        <v>227.07</v>
      </c>
      <c r="K281" s="91" t="s">
        <v>730</v>
      </c>
      <c r="L281" s="73"/>
      <c r="M281" s="46">
        <v>0</v>
      </c>
      <c r="N281" s="46">
        <v>0</v>
      </c>
      <c r="O281" s="46">
        <v>0</v>
      </c>
      <c r="P281" s="98"/>
      <c r="Q281" s="23" t="s">
        <v>1446</v>
      </c>
      <c r="R281" s="24" t="s">
        <v>729</v>
      </c>
      <c r="S281" s="25" t="s">
        <v>606</v>
      </c>
      <c r="T281" s="26">
        <v>1</v>
      </c>
      <c r="U281" s="26">
        <v>1</v>
      </c>
      <c r="V281" s="26">
        <v>227.07</v>
      </c>
      <c r="W281" s="26">
        <f t="shared" si="50"/>
        <v>0</v>
      </c>
      <c r="X281" s="26">
        <f t="shared" si="53"/>
        <v>0</v>
      </c>
      <c r="Y281" s="26">
        <f t="shared" si="51"/>
        <v>0</v>
      </c>
      <c r="Z281" s="26">
        <f t="shared" si="57"/>
        <v>0</v>
      </c>
      <c r="AA281" s="33" t="s">
        <v>15</v>
      </c>
      <c r="AB281" s="36" t="s">
        <v>16</v>
      </c>
      <c r="AC281" s="181">
        <f t="shared" si="54"/>
        <v>1</v>
      </c>
      <c r="AD281" s="181">
        <f t="shared" si="52"/>
        <v>227.07</v>
      </c>
      <c r="AE281" s="181">
        <v>1.7</v>
      </c>
      <c r="AF281" s="181">
        <v>1.7</v>
      </c>
      <c r="AG281" s="101" t="str">
        <f t="shared" si="55"/>
        <v/>
      </c>
      <c r="AH281" s="190">
        <v>0</v>
      </c>
      <c r="AI281" s="69">
        <f t="shared" si="56"/>
        <v>1</v>
      </c>
    </row>
    <row r="282" spans="1:35" s="69" customFormat="1" ht="39" hidden="1" x14ac:dyDescent="0.3">
      <c r="A282" s="55" t="s">
        <v>731</v>
      </c>
      <c r="B282" s="53" t="s">
        <v>732</v>
      </c>
      <c r="C282" s="54" t="s">
        <v>606</v>
      </c>
      <c r="D282" s="75">
        <v>1</v>
      </c>
      <c r="E282" s="75"/>
      <c r="F282" s="75"/>
      <c r="G282" s="161"/>
      <c r="H282" s="158" t="s">
        <v>15</v>
      </c>
      <c r="I282" s="166">
        <v>277.02999999999997</v>
      </c>
      <c r="J282" s="75">
        <v>277.02999999999997</v>
      </c>
      <c r="K282" s="91" t="s">
        <v>733</v>
      </c>
      <c r="L282" s="73"/>
      <c r="M282" s="46">
        <v>0</v>
      </c>
      <c r="N282" s="46">
        <v>0</v>
      </c>
      <c r="O282" s="46">
        <v>0</v>
      </c>
      <c r="P282" s="98"/>
      <c r="Q282" s="23" t="s">
        <v>1447</v>
      </c>
      <c r="R282" s="24" t="s">
        <v>732</v>
      </c>
      <c r="S282" s="25" t="s">
        <v>606</v>
      </c>
      <c r="T282" s="26">
        <v>1</v>
      </c>
      <c r="U282" s="26">
        <v>1</v>
      </c>
      <c r="V282" s="26">
        <v>277.02999999999997</v>
      </c>
      <c r="W282" s="26">
        <f t="shared" si="50"/>
        <v>0</v>
      </c>
      <c r="X282" s="26">
        <f t="shared" si="53"/>
        <v>0</v>
      </c>
      <c r="Y282" s="26">
        <f t="shared" si="51"/>
        <v>0</v>
      </c>
      <c r="Z282" s="26">
        <f t="shared" si="57"/>
        <v>0</v>
      </c>
      <c r="AA282" s="33" t="s">
        <v>15</v>
      </c>
      <c r="AB282" s="36" t="s">
        <v>16</v>
      </c>
      <c r="AC282" s="181">
        <f t="shared" si="54"/>
        <v>1</v>
      </c>
      <c r="AD282" s="181">
        <f t="shared" si="52"/>
        <v>277.02999999999997</v>
      </c>
      <c r="AE282" s="181">
        <v>1.7</v>
      </c>
      <c r="AF282" s="181">
        <v>1.7</v>
      </c>
      <c r="AG282" s="101" t="str">
        <f t="shared" si="55"/>
        <v/>
      </c>
      <c r="AH282" s="190">
        <v>0</v>
      </c>
      <c r="AI282" s="69">
        <f t="shared" si="56"/>
        <v>1</v>
      </c>
    </row>
    <row r="283" spans="1:35" s="69" customFormat="1" ht="39" hidden="1" x14ac:dyDescent="0.3">
      <c r="A283" s="55" t="s">
        <v>734</v>
      </c>
      <c r="B283" s="53" t="s">
        <v>735</v>
      </c>
      <c r="C283" s="54" t="s">
        <v>606</v>
      </c>
      <c r="D283" s="75">
        <v>1</v>
      </c>
      <c r="E283" s="75"/>
      <c r="F283" s="75"/>
      <c r="G283" s="161"/>
      <c r="H283" s="158" t="s">
        <v>15</v>
      </c>
      <c r="I283" s="166">
        <v>286.3</v>
      </c>
      <c r="J283" s="75">
        <v>286.3</v>
      </c>
      <c r="K283" s="91" t="s">
        <v>736</v>
      </c>
      <c r="L283" s="73"/>
      <c r="M283" s="46">
        <v>0</v>
      </c>
      <c r="N283" s="46">
        <v>0</v>
      </c>
      <c r="O283" s="46">
        <v>0</v>
      </c>
      <c r="P283" s="98"/>
      <c r="Q283" s="23" t="s">
        <v>1448</v>
      </c>
      <c r="R283" s="24" t="s">
        <v>735</v>
      </c>
      <c r="S283" s="25" t="s">
        <v>606</v>
      </c>
      <c r="T283" s="26">
        <v>1</v>
      </c>
      <c r="U283" s="26">
        <v>1</v>
      </c>
      <c r="V283" s="26">
        <v>286.3</v>
      </c>
      <c r="W283" s="26">
        <f t="shared" si="50"/>
        <v>0</v>
      </c>
      <c r="X283" s="26">
        <f t="shared" si="53"/>
        <v>0</v>
      </c>
      <c r="Y283" s="26">
        <f t="shared" si="51"/>
        <v>0</v>
      </c>
      <c r="Z283" s="26">
        <f t="shared" si="57"/>
        <v>0</v>
      </c>
      <c r="AA283" s="33" t="s">
        <v>15</v>
      </c>
      <c r="AB283" s="36" t="s">
        <v>16</v>
      </c>
      <c r="AC283" s="181">
        <f t="shared" si="54"/>
        <v>1</v>
      </c>
      <c r="AD283" s="181">
        <f t="shared" si="52"/>
        <v>286.3</v>
      </c>
      <c r="AE283" s="181">
        <v>1.7</v>
      </c>
      <c r="AF283" s="181">
        <v>1.7</v>
      </c>
      <c r="AG283" s="101" t="str">
        <f t="shared" si="55"/>
        <v/>
      </c>
      <c r="AH283" s="190">
        <v>0</v>
      </c>
      <c r="AI283" s="69">
        <f t="shared" si="56"/>
        <v>1</v>
      </c>
    </row>
    <row r="284" spans="1:35" s="69" customFormat="1" ht="39" hidden="1" x14ac:dyDescent="0.3">
      <c r="A284" s="55" t="s">
        <v>737</v>
      </c>
      <c r="B284" s="53" t="s">
        <v>738</v>
      </c>
      <c r="C284" s="54" t="s">
        <v>606</v>
      </c>
      <c r="D284" s="75">
        <v>1</v>
      </c>
      <c r="E284" s="75"/>
      <c r="F284" s="75"/>
      <c r="G284" s="161"/>
      <c r="H284" s="158" t="s">
        <v>15</v>
      </c>
      <c r="I284" s="166">
        <v>134.37</v>
      </c>
      <c r="J284" s="75">
        <v>134.37</v>
      </c>
      <c r="K284" s="91" t="s">
        <v>739</v>
      </c>
      <c r="L284" s="73"/>
      <c r="M284" s="46">
        <v>0</v>
      </c>
      <c r="N284" s="46">
        <v>0</v>
      </c>
      <c r="O284" s="46">
        <v>0</v>
      </c>
      <c r="P284" s="98"/>
      <c r="Q284" s="23" t="s">
        <v>1449</v>
      </c>
      <c r="R284" s="24" t="s">
        <v>738</v>
      </c>
      <c r="S284" s="25" t="s">
        <v>606</v>
      </c>
      <c r="T284" s="26">
        <v>1</v>
      </c>
      <c r="U284" s="26">
        <v>1</v>
      </c>
      <c r="V284" s="26">
        <v>134.37</v>
      </c>
      <c r="W284" s="26">
        <f t="shared" si="50"/>
        <v>0</v>
      </c>
      <c r="X284" s="26">
        <f t="shared" si="53"/>
        <v>0</v>
      </c>
      <c r="Y284" s="26">
        <f t="shared" si="51"/>
        <v>0</v>
      </c>
      <c r="Z284" s="26">
        <f t="shared" si="57"/>
        <v>0</v>
      </c>
      <c r="AA284" s="33" t="s">
        <v>15</v>
      </c>
      <c r="AB284" s="36" t="s">
        <v>16</v>
      </c>
      <c r="AC284" s="181">
        <f t="shared" si="54"/>
        <v>1</v>
      </c>
      <c r="AD284" s="181">
        <f t="shared" si="52"/>
        <v>134.37</v>
      </c>
      <c r="AE284" s="181">
        <v>1.7</v>
      </c>
      <c r="AF284" s="181">
        <v>1.7</v>
      </c>
      <c r="AG284" s="101" t="str">
        <f t="shared" si="55"/>
        <v/>
      </c>
      <c r="AH284" s="190">
        <v>0</v>
      </c>
      <c r="AI284" s="69">
        <f t="shared" si="56"/>
        <v>1</v>
      </c>
    </row>
    <row r="285" spans="1:35" s="69" customFormat="1" ht="39" hidden="1" x14ac:dyDescent="0.3">
      <c r="A285" s="55" t="s">
        <v>740</v>
      </c>
      <c r="B285" s="53" t="s">
        <v>741</v>
      </c>
      <c r="C285" s="54" t="s">
        <v>606</v>
      </c>
      <c r="D285" s="75">
        <v>1</v>
      </c>
      <c r="E285" s="75"/>
      <c r="F285" s="75"/>
      <c r="G285" s="161"/>
      <c r="H285" s="158" t="s">
        <v>15</v>
      </c>
      <c r="I285" s="166">
        <v>142.1</v>
      </c>
      <c r="J285" s="75">
        <v>142.1</v>
      </c>
      <c r="K285" s="91" t="s">
        <v>742</v>
      </c>
      <c r="L285" s="73"/>
      <c r="M285" s="46">
        <v>0</v>
      </c>
      <c r="N285" s="46">
        <v>0</v>
      </c>
      <c r="O285" s="46">
        <v>0</v>
      </c>
      <c r="P285" s="98"/>
      <c r="Q285" s="23" t="s">
        <v>1450</v>
      </c>
      <c r="R285" s="24" t="s">
        <v>741</v>
      </c>
      <c r="S285" s="25" t="s">
        <v>606</v>
      </c>
      <c r="T285" s="26">
        <v>1</v>
      </c>
      <c r="U285" s="26">
        <v>1</v>
      </c>
      <c r="V285" s="26">
        <v>142.1</v>
      </c>
      <c r="W285" s="26">
        <f t="shared" si="50"/>
        <v>0</v>
      </c>
      <c r="X285" s="26">
        <f t="shared" si="53"/>
        <v>0</v>
      </c>
      <c r="Y285" s="26">
        <f t="shared" si="51"/>
        <v>0</v>
      </c>
      <c r="Z285" s="26">
        <f t="shared" si="57"/>
        <v>0</v>
      </c>
      <c r="AA285" s="33" t="s">
        <v>15</v>
      </c>
      <c r="AB285" s="36" t="s">
        <v>16</v>
      </c>
      <c r="AC285" s="181">
        <f t="shared" si="54"/>
        <v>1</v>
      </c>
      <c r="AD285" s="181">
        <f t="shared" si="52"/>
        <v>142.1</v>
      </c>
      <c r="AE285" s="181">
        <v>1.7</v>
      </c>
      <c r="AF285" s="181">
        <v>1.7</v>
      </c>
      <c r="AG285" s="101" t="str">
        <f t="shared" si="55"/>
        <v/>
      </c>
      <c r="AH285" s="190">
        <v>0</v>
      </c>
      <c r="AI285" s="69">
        <f t="shared" si="56"/>
        <v>1</v>
      </c>
    </row>
    <row r="286" spans="1:35" s="69" customFormat="1" ht="39" hidden="1" x14ac:dyDescent="0.3">
      <c r="A286" s="55" t="s">
        <v>743</v>
      </c>
      <c r="B286" s="53" t="s">
        <v>744</v>
      </c>
      <c r="C286" s="54" t="s">
        <v>606</v>
      </c>
      <c r="D286" s="75">
        <v>1</v>
      </c>
      <c r="E286" s="75"/>
      <c r="F286" s="75"/>
      <c r="G286" s="161"/>
      <c r="H286" s="158" t="s">
        <v>15</v>
      </c>
      <c r="I286" s="166">
        <v>90.32</v>
      </c>
      <c r="J286" s="75">
        <v>90.32</v>
      </c>
      <c r="K286" s="91" t="s">
        <v>745</v>
      </c>
      <c r="L286" s="73"/>
      <c r="M286" s="46">
        <v>0</v>
      </c>
      <c r="N286" s="46">
        <v>0</v>
      </c>
      <c r="O286" s="46">
        <v>0</v>
      </c>
      <c r="P286" s="98"/>
      <c r="Q286" s="23" t="s">
        <v>1451</v>
      </c>
      <c r="R286" s="24" t="s">
        <v>744</v>
      </c>
      <c r="S286" s="25" t="s">
        <v>606</v>
      </c>
      <c r="T286" s="26">
        <v>1</v>
      </c>
      <c r="U286" s="26">
        <v>1</v>
      </c>
      <c r="V286" s="26">
        <v>90.32</v>
      </c>
      <c r="W286" s="26">
        <f t="shared" si="50"/>
        <v>0</v>
      </c>
      <c r="X286" s="26">
        <f t="shared" si="53"/>
        <v>0</v>
      </c>
      <c r="Y286" s="26">
        <f t="shared" si="51"/>
        <v>0</v>
      </c>
      <c r="Z286" s="26">
        <f t="shared" si="57"/>
        <v>0</v>
      </c>
      <c r="AA286" s="33" t="s">
        <v>15</v>
      </c>
      <c r="AB286" s="36" t="s">
        <v>16</v>
      </c>
      <c r="AC286" s="181">
        <f t="shared" si="54"/>
        <v>1</v>
      </c>
      <c r="AD286" s="181">
        <f t="shared" si="52"/>
        <v>90.32</v>
      </c>
      <c r="AE286" s="181">
        <v>1.7</v>
      </c>
      <c r="AF286" s="181">
        <v>1.7</v>
      </c>
      <c r="AG286" s="101" t="str">
        <f t="shared" si="55"/>
        <v/>
      </c>
      <c r="AH286" s="190">
        <v>0</v>
      </c>
      <c r="AI286" s="69">
        <f t="shared" si="56"/>
        <v>1</v>
      </c>
    </row>
    <row r="287" spans="1:35" s="69" customFormat="1" ht="58.5" hidden="1" x14ac:dyDescent="0.3">
      <c r="A287" s="55" t="s">
        <v>746</v>
      </c>
      <c r="B287" s="53" t="s">
        <v>747</v>
      </c>
      <c r="C287" s="54" t="s">
        <v>606</v>
      </c>
      <c r="D287" s="75">
        <v>1</v>
      </c>
      <c r="E287" s="75"/>
      <c r="F287" s="75"/>
      <c r="G287" s="161"/>
      <c r="H287" s="158" t="s">
        <v>15</v>
      </c>
      <c r="I287" s="166">
        <v>125.1</v>
      </c>
      <c r="J287" s="75">
        <v>125.1</v>
      </c>
      <c r="K287" s="91" t="s">
        <v>748</v>
      </c>
      <c r="L287" s="73"/>
      <c r="M287" s="46">
        <v>0</v>
      </c>
      <c r="N287" s="46">
        <v>0</v>
      </c>
      <c r="O287" s="46">
        <v>0</v>
      </c>
      <c r="P287" s="98"/>
      <c r="Q287" s="23" t="s">
        <v>1452</v>
      </c>
      <c r="R287" s="24" t="s">
        <v>747</v>
      </c>
      <c r="S287" s="25" t="s">
        <v>606</v>
      </c>
      <c r="T287" s="26">
        <v>1</v>
      </c>
      <c r="U287" s="26">
        <v>1</v>
      </c>
      <c r="V287" s="26">
        <v>125.1</v>
      </c>
      <c r="W287" s="26">
        <f t="shared" si="50"/>
        <v>0</v>
      </c>
      <c r="X287" s="26">
        <f t="shared" si="53"/>
        <v>0</v>
      </c>
      <c r="Y287" s="26">
        <f t="shared" si="51"/>
        <v>0</v>
      </c>
      <c r="Z287" s="26">
        <f t="shared" si="57"/>
        <v>0</v>
      </c>
      <c r="AA287" s="33" t="s">
        <v>15</v>
      </c>
      <c r="AB287" s="36" t="s">
        <v>16</v>
      </c>
      <c r="AC287" s="181">
        <f t="shared" si="54"/>
        <v>1</v>
      </c>
      <c r="AD287" s="181">
        <f t="shared" si="52"/>
        <v>125.1</v>
      </c>
      <c r="AE287" s="181">
        <v>1.7</v>
      </c>
      <c r="AF287" s="181">
        <v>1.7</v>
      </c>
      <c r="AG287" s="101" t="str">
        <f t="shared" si="55"/>
        <v/>
      </c>
      <c r="AH287" s="190">
        <v>0</v>
      </c>
      <c r="AI287" s="69">
        <f t="shared" si="56"/>
        <v>1</v>
      </c>
    </row>
    <row r="288" spans="1:35" s="69" customFormat="1" ht="58.5" hidden="1" x14ac:dyDescent="0.3">
      <c r="A288" s="55" t="s">
        <v>749</v>
      </c>
      <c r="B288" s="53" t="s">
        <v>750</v>
      </c>
      <c r="C288" s="54" t="s">
        <v>606</v>
      </c>
      <c r="D288" s="75">
        <v>1</v>
      </c>
      <c r="E288" s="75"/>
      <c r="F288" s="75"/>
      <c r="G288" s="161"/>
      <c r="H288" s="158" t="s">
        <v>15</v>
      </c>
      <c r="I288" s="166">
        <v>137.04</v>
      </c>
      <c r="J288" s="75">
        <v>137.04</v>
      </c>
      <c r="K288" s="91" t="s">
        <v>751</v>
      </c>
      <c r="L288" s="73"/>
      <c r="M288" s="46">
        <v>0</v>
      </c>
      <c r="N288" s="46">
        <v>0</v>
      </c>
      <c r="O288" s="46">
        <v>0</v>
      </c>
      <c r="P288" s="98"/>
      <c r="Q288" s="23" t="s">
        <v>1453</v>
      </c>
      <c r="R288" s="24" t="s">
        <v>750</v>
      </c>
      <c r="S288" s="25" t="s">
        <v>606</v>
      </c>
      <c r="T288" s="26">
        <v>1</v>
      </c>
      <c r="U288" s="26">
        <v>1</v>
      </c>
      <c r="V288" s="26">
        <v>137.04</v>
      </c>
      <c r="W288" s="26">
        <f t="shared" si="50"/>
        <v>0</v>
      </c>
      <c r="X288" s="26">
        <f t="shared" si="53"/>
        <v>0</v>
      </c>
      <c r="Y288" s="26">
        <f t="shared" si="51"/>
        <v>0</v>
      </c>
      <c r="Z288" s="26">
        <f t="shared" si="57"/>
        <v>0</v>
      </c>
      <c r="AA288" s="33" t="s">
        <v>15</v>
      </c>
      <c r="AB288" s="36" t="s">
        <v>16</v>
      </c>
      <c r="AC288" s="181">
        <f t="shared" si="54"/>
        <v>1</v>
      </c>
      <c r="AD288" s="181">
        <f t="shared" si="52"/>
        <v>137.04</v>
      </c>
      <c r="AE288" s="181">
        <v>1.7</v>
      </c>
      <c r="AF288" s="181">
        <v>1.7</v>
      </c>
      <c r="AG288" s="101" t="str">
        <f t="shared" si="55"/>
        <v/>
      </c>
      <c r="AH288" s="190">
        <v>0</v>
      </c>
      <c r="AI288" s="69">
        <f t="shared" si="56"/>
        <v>1</v>
      </c>
    </row>
    <row r="289" spans="1:35" s="69" customFormat="1" ht="39" hidden="1" x14ac:dyDescent="0.3">
      <c r="A289" s="55" t="s">
        <v>752</v>
      </c>
      <c r="B289" s="53" t="s">
        <v>753</v>
      </c>
      <c r="C289" s="54" t="s">
        <v>606</v>
      </c>
      <c r="D289" s="75">
        <v>1</v>
      </c>
      <c r="E289" s="75"/>
      <c r="F289" s="75"/>
      <c r="G289" s="161"/>
      <c r="H289" s="158" t="s">
        <v>15</v>
      </c>
      <c r="I289" s="166">
        <v>107.12</v>
      </c>
      <c r="J289" s="75">
        <v>107.12</v>
      </c>
      <c r="K289" s="91" t="s">
        <v>754</v>
      </c>
      <c r="L289" s="73"/>
      <c r="M289" s="46">
        <v>0</v>
      </c>
      <c r="N289" s="46">
        <v>0</v>
      </c>
      <c r="O289" s="46">
        <v>0</v>
      </c>
      <c r="P289" s="98"/>
      <c r="Q289" s="23" t="s">
        <v>1454</v>
      </c>
      <c r="R289" s="24" t="s">
        <v>753</v>
      </c>
      <c r="S289" s="25" t="s">
        <v>606</v>
      </c>
      <c r="T289" s="26">
        <v>1</v>
      </c>
      <c r="U289" s="26">
        <v>1</v>
      </c>
      <c r="V289" s="26">
        <v>107.12</v>
      </c>
      <c r="W289" s="26">
        <f t="shared" si="50"/>
        <v>0</v>
      </c>
      <c r="X289" s="26">
        <f t="shared" si="53"/>
        <v>0</v>
      </c>
      <c r="Y289" s="26">
        <f t="shared" si="51"/>
        <v>0</v>
      </c>
      <c r="Z289" s="26">
        <f t="shared" si="57"/>
        <v>0</v>
      </c>
      <c r="AA289" s="33" t="s">
        <v>15</v>
      </c>
      <c r="AB289" s="36" t="s">
        <v>16</v>
      </c>
      <c r="AC289" s="181">
        <f t="shared" si="54"/>
        <v>1</v>
      </c>
      <c r="AD289" s="181">
        <f t="shared" si="52"/>
        <v>107.12</v>
      </c>
      <c r="AE289" s="181">
        <v>1.7</v>
      </c>
      <c r="AF289" s="181">
        <v>1.7</v>
      </c>
      <c r="AG289" s="101" t="str">
        <f t="shared" si="55"/>
        <v/>
      </c>
      <c r="AH289" s="190">
        <v>0</v>
      </c>
      <c r="AI289" s="69">
        <f t="shared" si="56"/>
        <v>1</v>
      </c>
    </row>
    <row r="290" spans="1:35" s="69" customFormat="1" ht="39" hidden="1" x14ac:dyDescent="0.3">
      <c r="A290" s="55" t="s">
        <v>755</v>
      </c>
      <c r="B290" s="53" t="s">
        <v>756</v>
      </c>
      <c r="C290" s="54" t="s">
        <v>606</v>
      </c>
      <c r="D290" s="75">
        <v>1</v>
      </c>
      <c r="E290" s="75"/>
      <c r="F290" s="75"/>
      <c r="G290" s="161"/>
      <c r="H290" s="158" t="s">
        <v>15</v>
      </c>
      <c r="I290" s="166">
        <v>124.17</v>
      </c>
      <c r="J290" s="75">
        <v>124.17</v>
      </c>
      <c r="K290" s="91" t="s">
        <v>757</v>
      </c>
      <c r="L290" s="73"/>
      <c r="M290" s="46">
        <v>0</v>
      </c>
      <c r="N290" s="46">
        <v>0</v>
      </c>
      <c r="O290" s="46">
        <v>0</v>
      </c>
      <c r="P290" s="98"/>
      <c r="Q290" s="23" t="s">
        <v>1455</v>
      </c>
      <c r="R290" s="24" t="s">
        <v>756</v>
      </c>
      <c r="S290" s="25" t="s">
        <v>606</v>
      </c>
      <c r="T290" s="26">
        <v>1</v>
      </c>
      <c r="U290" s="26">
        <v>1</v>
      </c>
      <c r="V290" s="26">
        <v>124.17</v>
      </c>
      <c r="W290" s="26">
        <f t="shared" si="50"/>
        <v>0</v>
      </c>
      <c r="X290" s="26">
        <f t="shared" si="53"/>
        <v>0</v>
      </c>
      <c r="Y290" s="26">
        <f t="shared" si="51"/>
        <v>0</v>
      </c>
      <c r="Z290" s="26">
        <f t="shared" si="57"/>
        <v>0</v>
      </c>
      <c r="AA290" s="33" t="s">
        <v>15</v>
      </c>
      <c r="AB290" s="36" t="s">
        <v>16</v>
      </c>
      <c r="AC290" s="181">
        <f t="shared" si="54"/>
        <v>1</v>
      </c>
      <c r="AD290" s="181">
        <f t="shared" si="52"/>
        <v>124.17</v>
      </c>
      <c r="AE290" s="181">
        <v>1.7</v>
      </c>
      <c r="AF290" s="181">
        <v>1.7</v>
      </c>
      <c r="AG290" s="101" t="str">
        <f t="shared" si="55"/>
        <v/>
      </c>
      <c r="AH290" s="190">
        <v>0</v>
      </c>
      <c r="AI290" s="69">
        <f t="shared" si="56"/>
        <v>1</v>
      </c>
    </row>
    <row r="291" spans="1:35" s="69" customFormat="1" ht="39" hidden="1" x14ac:dyDescent="0.3">
      <c r="A291" s="55" t="s">
        <v>758</v>
      </c>
      <c r="B291" s="53" t="s">
        <v>759</v>
      </c>
      <c r="C291" s="54" t="s">
        <v>606</v>
      </c>
      <c r="D291" s="75">
        <v>1</v>
      </c>
      <c r="E291" s="75"/>
      <c r="F291" s="75"/>
      <c r="G291" s="161"/>
      <c r="H291" s="158" t="s">
        <v>15</v>
      </c>
      <c r="I291" s="166">
        <v>121.59</v>
      </c>
      <c r="J291" s="75">
        <v>121.59</v>
      </c>
      <c r="K291" s="91" t="s">
        <v>760</v>
      </c>
      <c r="L291" s="73"/>
      <c r="M291" s="46">
        <v>0</v>
      </c>
      <c r="N291" s="46">
        <v>0</v>
      </c>
      <c r="O291" s="46">
        <v>0</v>
      </c>
      <c r="P291" s="98"/>
      <c r="Q291" s="23" t="s">
        <v>1456</v>
      </c>
      <c r="R291" s="24" t="s">
        <v>759</v>
      </c>
      <c r="S291" s="25" t="s">
        <v>606</v>
      </c>
      <c r="T291" s="26">
        <v>1</v>
      </c>
      <c r="U291" s="26">
        <v>1</v>
      </c>
      <c r="V291" s="26">
        <v>121.59</v>
      </c>
      <c r="W291" s="26">
        <f t="shared" si="50"/>
        <v>0</v>
      </c>
      <c r="X291" s="26">
        <f t="shared" si="53"/>
        <v>0</v>
      </c>
      <c r="Y291" s="26">
        <f t="shared" si="51"/>
        <v>0</v>
      </c>
      <c r="Z291" s="26">
        <f t="shared" si="57"/>
        <v>0</v>
      </c>
      <c r="AA291" s="33" t="s">
        <v>15</v>
      </c>
      <c r="AB291" s="36" t="s">
        <v>16</v>
      </c>
      <c r="AC291" s="181">
        <f t="shared" si="54"/>
        <v>1</v>
      </c>
      <c r="AD291" s="181">
        <f t="shared" si="52"/>
        <v>121.59</v>
      </c>
      <c r="AE291" s="181">
        <v>1.7</v>
      </c>
      <c r="AF291" s="181">
        <v>1.7</v>
      </c>
      <c r="AG291" s="101" t="str">
        <f t="shared" si="55"/>
        <v/>
      </c>
      <c r="AH291" s="190">
        <v>0</v>
      </c>
      <c r="AI291" s="69">
        <f t="shared" si="56"/>
        <v>1</v>
      </c>
    </row>
    <row r="292" spans="1:35" s="69" customFormat="1" ht="39" hidden="1" x14ac:dyDescent="0.3">
      <c r="A292" s="55" t="s">
        <v>761</v>
      </c>
      <c r="B292" s="53" t="s">
        <v>762</v>
      </c>
      <c r="C292" s="54" t="s">
        <v>606</v>
      </c>
      <c r="D292" s="75">
        <v>1</v>
      </c>
      <c r="E292" s="75"/>
      <c r="F292" s="75"/>
      <c r="G292" s="161"/>
      <c r="H292" s="158" t="s">
        <v>15</v>
      </c>
      <c r="I292" s="166">
        <v>154.51</v>
      </c>
      <c r="J292" s="75">
        <v>154.51</v>
      </c>
      <c r="K292" s="91" t="s">
        <v>763</v>
      </c>
      <c r="L292" s="73"/>
      <c r="M292" s="46">
        <v>0</v>
      </c>
      <c r="N292" s="46">
        <v>0</v>
      </c>
      <c r="O292" s="46">
        <v>0</v>
      </c>
      <c r="P292" s="98"/>
      <c r="Q292" s="23" t="s">
        <v>1457</v>
      </c>
      <c r="R292" s="24" t="s">
        <v>762</v>
      </c>
      <c r="S292" s="25" t="s">
        <v>606</v>
      </c>
      <c r="T292" s="26">
        <v>1</v>
      </c>
      <c r="U292" s="26">
        <v>1</v>
      </c>
      <c r="V292" s="26">
        <v>154.51</v>
      </c>
      <c r="W292" s="26">
        <f t="shared" si="50"/>
        <v>0</v>
      </c>
      <c r="X292" s="26">
        <f t="shared" si="53"/>
        <v>0</v>
      </c>
      <c r="Y292" s="26">
        <f t="shared" si="51"/>
        <v>0</v>
      </c>
      <c r="Z292" s="26">
        <f t="shared" si="57"/>
        <v>0</v>
      </c>
      <c r="AA292" s="33" t="s">
        <v>15</v>
      </c>
      <c r="AB292" s="36" t="s">
        <v>16</v>
      </c>
      <c r="AC292" s="181">
        <f t="shared" si="54"/>
        <v>1</v>
      </c>
      <c r="AD292" s="181">
        <f t="shared" si="52"/>
        <v>154.51</v>
      </c>
      <c r="AE292" s="181">
        <v>1.7</v>
      </c>
      <c r="AF292" s="181">
        <v>1.7</v>
      </c>
      <c r="AG292" s="101" t="str">
        <f t="shared" si="55"/>
        <v/>
      </c>
      <c r="AH292" s="190">
        <v>0</v>
      </c>
      <c r="AI292" s="69">
        <f t="shared" si="56"/>
        <v>1</v>
      </c>
    </row>
    <row r="293" spans="1:35" s="69" customFormat="1" ht="58.5" hidden="1" x14ac:dyDescent="0.3">
      <c r="A293" s="55" t="s">
        <v>764</v>
      </c>
      <c r="B293" s="53" t="s">
        <v>765</v>
      </c>
      <c r="C293" s="54" t="s">
        <v>606</v>
      </c>
      <c r="D293" s="75">
        <v>1</v>
      </c>
      <c r="E293" s="75"/>
      <c r="F293" s="75"/>
      <c r="G293" s="161"/>
      <c r="H293" s="158" t="s">
        <v>15</v>
      </c>
      <c r="I293" s="166">
        <v>36.549999999999997</v>
      </c>
      <c r="J293" s="75">
        <v>36.549999999999997</v>
      </c>
      <c r="K293" s="91" t="s">
        <v>766</v>
      </c>
      <c r="L293" s="73"/>
      <c r="M293" s="46">
        <v>0</v>
      </c>
      <c r="N293" s="46">
        <v>0</v>
      </c>
      <c r="O293" s="46">
        <v>0</v>
      </c>
      <c r="P293" s="98"/>
      <c r="Q293" s="23" t="s">
        <v>1458</v>
      </c>
      <c r="R293" s="24" t="s">
        <v>765</v>
      </c>
      <c r="S293" s="25" t="s">
        <v>606</v>
      </c>
      <c r="T293" s="26">
        <v>1</v>
      </c>
      <c r="U293" s="26">
        <v>1</v>
      </c>
      <c r="V293" s="26">
        <v>36.549999999999997</v>
      </c>
      <c r="W293" s="26">
        <f t="shared" si="50"/>
        <v>0</v>
      </c>
      <c r="X293" s="26">
        <f t="shared" si="53"/>
        <v>0</v>
      </c>
      <c r="Y293" s="26">
        <f t="shared" si="51"/>
        <v>0</v>
      </c>
      <c r="Z293" s="26">
        <f t="shared" si="57"/>
        <v>0</v>
      </c>
      <c r="AA293" s="33" t="s">
        <v>15</v>
      </c>
      <c r="AB293" s="36" t="s">
        <v>16</v>
      </c>
      <c r="AC293" s="181">
        <f t="shared" si="54"/>
        <v>1</v>
      </c>
      <c r="AD293" s="181">
        <f t="shared" si="52"/>
        <v>36.549999999999997</v>
      </c>
      <c r="AE293" s="181">
        <v>1.7</v>
      </c>
      <c r="AF293" s="181">
        <v>1.7</v>
      </c>
      <c r="AG293" s="101" t="str">
        <f t="shared" si="55"/>
        <v/>
      </c>
      <c r="AH293" s="190">
        <v>0</v>
      </c>
      <c r="AI293" s="69">
        <f t="shared" si="56"/>
        <v>1</v>
      </c>
    </row>
    <row r="294" spans="1:35" s="69" customFormat="1" ht="39" hidden="1" x14ac:dyDescent="0.3">
      <c r="A294" s="55" t="s">
        <v>767</v>
      </c>
      <c r="B294" s="53" t="s">
        <v>768</v>
      </c>
      <c r="C294" s="54" t="s">
        <v>606</v>
      </c>
      <c r="D294" s="75">
        <v>1</v>
      </c>
      <c r="E294" s="75"/>
      <c r="F294" s="75"/>
      <c r="G294" s="161"/>
      <c r="H294" s="158" t="s">
        <v>15</v>
      </c>
      <c r="I294" s="166">
        <v>27.8</v>
      </c>
      <c r="J294" s="75">
        <v>27.8</v>
      </c>
      <c r="K294" s="91" t="s">
        <v>769</v>
      </c>
      <c r="L294" s="73"/>
      <c r="M294" s="46">
        <v>0</v>
      </c>
      <c r="N294" s="46">
        <v>0</v>
      </c>
      <c r="O294" s="46">
        <v>0</v>
      </c>
      <c r="P294" s="98"/>
      <c r="Q294" s="23" t="s">
        <v>1459</v>
      </c>
      <c r="R294" s="24" t="s">
        <v>768</v>
      </c>
      <c r="S294" s="25" t="s">
        <v>606</v>
      </c>
      <c r="T294" s="26">
        <v>1</v>
      </c>
      <c r="U294" s="26">
        <v>1</v>
      </c>
      <c r="V294" s="26">
        <v>27.8</v>
      </c>
      <c r="W294" s="26">
        <f t="shared" si="50"/>
        <v>0</v>
      </c>
      <c r="X294" s="26">
        <f t="shared" si="53"/>
        <v>0</v>
      </c>
      <c r="Y294" s="26">
        <f t="shared" si="51"/>
        <v>0</v>
      </c>
      <c r="Z294" s="26">
        <f t="shared" si="57"/>
        <v>0</v>
      </c>
      <c r="AA294" s="33" t="s">
        <v>15</v>
      </c>
      <c r="AB294" s="36" t="s">
        <v>16</v>
      </c>
      <c r="AC294" s="181">
        <f t="shared" si="54"/>
        <v>1</v>
      </c>
      <c r="AD294" s="181">
        <f t="shared" si="52"/>
        <v>27.8</v>
      </c>
      <c r="AE294" s="181">
        <v>1.7</v>
      </c>
      <c r="AF294" s="181">
        <v>1.7</v>
      </c>
      <c r="AG294" s="101" t="str">
        <f t="shared" si="55"/>
        <v/>
      </c>
      <c r="AH294" s="190">
        <v>0</v>
      </c>
      <c r="AI294" s="69">
        <f t="shared" si="56"/>
        <v>1</v>
      </c>
    </row>
    <row r="295" spans="1:35" s="69" customFormat="1" ht="39" hidden="1" x14ac:dyDescent="0.3">
      <c r="A295" s="55" t="s">
        <v>770</v>
      </c>
      <c r="B295" s="53" t="s">
        <v>771</v>
      </c>
      <c r="C295" s="54" t="s">
        <v>606</v>
      </c>
      <c r="D295" s="75">
        <v>1</v>
      </c>
      <c r="E295" s="75"/>
      <c r="F295" s="75"/>
      <c r="G295" s="161"/>
      <c r="H295" s="158" t="s">
        <v>15</v>
      </c>
      <c r="I295" s="166">
        <v>105.13</v>
      </c>
      <c r="J295" s="75">
        <v>105.13</v>
      </c>
      <c r="K295" s="91" t="s">
        <v>772</v>
      </c>
      <c r="L295" s="73"/>
      <c r="M295" s="46">
        <v>0</v>
      </c>
      <c r="N295" s="46">
        <v>0</v>
      </c>
      <c r="O295" s="46">
        <v>0</v>
      </c>
      <c r="P295" s="98"/>
      <c r="Q295" s="23" t="s">
        <v>1460</v>
      </c>
      <c r="R295" s="24" t="s">
        <v>771</v>
      </c>
      <c r="S295" s="25" t="s">
        <v>606</v>
      </c>
      <c r="T295" s="26">
        <v>1</v>
      </c>
      <c r="U295" s="26">
        <v>1</v>
      </c>
      <c r="V295" s="26">
        <v>105.13</v>
      </c>
      <c r="W295" s="26">
        <f t="shared" si="50"/>
        <v>0</v>
      </c>
      <c r="X295" s="26">
        <f t="shared" si="53"/>
        <v>0</v>
      </c>
      <c r="Y295" s="26">
        <f t="shared" si="51"/>
        <v>0</v>
      </c>
      <c r="Z295" s="26">
        <f t="shared" si="57"/>
        <v>0</v>
      </c>
      <c r="AA295" s="33" t="s">
        <v>15</v>
      </c>
      <c r="AB295" s="36" t="s">
        <v>16</v>
      </c>
      <c r="AC295" s="181">
        <f t="shared" si="54"/>
        <v>1</v>
      </c>
      <c r="AD295" s="181">
        <f t="shared" si="52"/>
        <v>105.13</v>
      </c>
      <c r="AE295" s="181">
        <v>1.7</v>
      </c>
      <c r="AF295" s="181">
        <v>1.7</v>
      </c>
      <c r="AG295" s="101" t="str">
        <f t="shared" si="55"/>
        <v/>
      </c>
      <c r="AH295" s="190">
        <v>0</v>
      </c>
      <c r="AI295" s="69">
        <f t="shared" si="56"/>
        <v>1</v>
      </c>
    </row>
    <row r="296" spans="1:35" s="69" customFormat="1" ht="39" hidden="1" x14ac:dyDescent="0.3">
      <c r="A296" s="55" t="s">
        <v>773</v>
      </c>
      <c r="B296" s="53" t="s">
        <v>774</v>
      </c>
      <c r="C296" s="54" t="s">
        <v>606</v>
      </c>
      <c r="D296" s="75">
        <v>1</v>
      </c>
      <c r="E296" s="75"/>
      <c r="F296" s="75"/>
      <c r="G296" s="161"/>
      <c r="H296" s="158" t="s">
        <v>15</v>
      </c>
      <c r="I296" s="166">
        <v>53.12</v>
      </c>
      <c r="J296" s="75">
        <v>53.12</v>
      </c>
      <c r="K296" s="91" t="s">
        <v>775</v>
      </c>
      <c r="L296" s="73"/>
      <c r="M296" s="46">
        <v>0</v>
      </c>
      <c r="N296" s="46">
        <v>0</v>
      </c>
      <c r="O296" s="46">
        <v>0</v>
      </c>
      <c r="P296" s="98"/>
      <c r="Q296" s="23" t="s">
        <v>1461</v>
      </c>
      <c r="R296" s="24" t="s">
        <v>774</v>
      </c>
      <c r="S296" s="25" t="s">
        <v>606</v>
      </c>
      <c r="T296" s="26">
        <v>1</v>
      </c>
      <c r="U296" s="26">
        <v>1</v>
      </c>
      <c r="V296" s="26">
        <v>53.12</v>
      </c>
      <c r="W296" s="26">
        <f t="shared" si="50"/>
        <v>0</v>
      </c>
      <c r="X296" s="26">
        <f t="shared" si="53"/>
        <v>0</v>
      </c>
      <c r="Y296" s="26">
        <f t="shared" si="51"/>
        <v>0</v>
      </c>
      <c r="Z296" s="26">
        <f t="shared" si="57"/>
        <v>0</v>
      </c>
      <c r="AA296" s="33" t="s">
        <v>15</v>
      </c>
      <c r="AB296" s="36" t="s">
        <v>16</v>
      </c>
      <c r="AC296" s="181">
        <f t="shared" si="54"/>
        <v>1</v>
      </c>
      <c r="AD296" s="181">
        <f t="shared" si="52"/>
        <v>53.12</v>
      </c>
      <c r="AE296" s="181">
        <v>1.7</v>
      </c>
      <c r="AF296" s="181">
        <v>1.7</v>
      </c>
      <c r="AG296" s="101" t="str">
        <f t="shared" si="55"/>
        <v/>
      </c>
      <c r="AH296" s="190">
        <v>0</v>
      </c>
      <c r="AI296" s="69">
        <f t="shared" si="56"/>
        <v>1</v>
      </c>
    </row>
    <row r="297" spans="1:35" s="69" customFormat="1" ht="58.5" hidden="1" x14ac:dyDescent="0.3">
      <c r="A297" s="55" t="s">
        <v>776</v>
      </c>
      <c r="B297" s="53" t="s">
        <v>777</v>
      </c>
      <c r="C297" s="54" t="s">
        <v>606</v>
      </c>
      <c r="D297" s="75">
        <v>1</v>
      </c>
      <c r="E297" s="75"/>
      <c r="F297" s="75"/>
      <c r="G297" s="161"/>
      <c r="H297" s="158" t="s">
        <v>15</v>
      </c>
      <c r="I297" s="166">
        <v>36.380000000000003</v>
      </c>
      <c r="J297" s="75">
        <v>36.380000000000003</v>
      </c>
      <c r="K297" s="91" t="s">
        <v>778</v>
      </c>
      <c r="L297" s="73"/>
      <c r="M297" s="46">
        <v>0</v>
      </c>
      <c r="N297" s="46">
        <v>0</v>
      </c>
      <c r="O297" s="46">
        <v>0</v>
      </c>
      <c r="P297" s="98"/>
      <c r="Q297" s="23" t="s">
        <v>1462</v>
      </c>
      <c r="R297" s="24" t="s">
        <v>777</v>
      </c>
      <c r="S297" s="25" t="s">
        <v>606</v>
      </c>
      <c r="T297" s="26">
        <v>1</v>
      </c>
      <c r="U297" s="26">
        <v>1</v>
      </c>
      <c r="V297" s="26">
        <v>36.380000000000003</v>
      </c>
      <c r="W297" s="26">
        <f t="shared" si="50"/>
        <v>0</v>
      </c>
      <c r="X297" s="26">
        <f t="shared" si="53"/>
        <v>0</v>
      </c>
      <c r="Y297" s="26">
        <f t="shared" si="51"/>
        <v>0</v>
      </c>
      <c r="Z297" s="26">
        <f t="shared" si="57"/>
        <v>0</v>
      </c>
      <c r="AA297" s="33" t="s">
        <v>15</v>
      </c>
      <c r="AB297" s="36" t="s">
        <v>16</v>
      </c>
      <c r="AC297" s="181">
        <f t="shared" si="54"/>
        <v>1</v>
      </c>
      <c r="AD297" s="181">
        <f t="shared" si="52"/>
        <v>36.380000000000003</v>
      </c>
      <c r="AE297" s="181">
        <v>1.7</v>
      </c>
      <c r="AF297" s="181">
        <v>1.7</v>
      </c>
      <c r="AG297" s="101" t="str">
        <f t="shared" si="55"/>
        <v/>
      </c>
      <c r="AH297" s="190">
        <v>0</v>
      </c>
      <c r="AI297" s="69">
        <f t="shared" si="56"/>
        <v>1</v>
      </c>
    </row>
    <row r="298" spans="1:35" s="69" customFormat="1" ht="58.5" hidden="1" x14ac:dyDescent="0.3">
      <c r="A298" s="55" t="s">
        <v>779</v>
      </c>
      <c r="B298" s="53" t="s">
        <v>780</v>
      </c>
      <c r="C298" s="54" t="s">
        <v>606</v>
      </c>
      <c r="D298" s="75">
        <v>1</v>
      </c>
      <c r="E298" s="75"/>
      <c r="F298" s="75"/>
      <c r="G298" s="161"/>
      <c r="H298" s="158" t="s">
        <v>15</v>
      </c>
      <c r="I298" s="166">
        <v>59.74</v>
      </c>
      <c r="J298" s="75">
        <v>59.74</v>
      </c>
      <c r="K298" s="91" t="s">
        <v>781</v>
      </c>
      <c r="L298" s="73"/>
      <c r="M298" s="46">
        <v>0</v>
      </c>
      <c r="N298" s="46">
        <v>0</v>
      </c>
      <c r="O298" s="46">
        <v>0</v>
      </c>
      <c r="P298" s="98"/>
      <c r="Q298" s="23" t="s">
        <v>1463</v>
      </c>
      <c r="R298" s="24" t="s">
        <v>780</v>
      </c>
      <c r="S298" s="25" t="s">
        <v>606</v>
      </c>
      <c r="T298" s="26">
        <v>1</v>
      </c>
      <c r="U298" s="26">
        <v>1</v>
      </c>
      <c r="V298" s="26">
        <v>59.74</v>
      </c>
      <c r="W298" s="26">
        <f t="shared" si="50"/>
        <v>0</v>
      </c>
      <c r="X298" s="26">
        <f t="shared" si="53"/>
        <v>0</v>
      </c>
      <c r="Y298" s="26">
        <f t="shared" si="51"/>
        <v>0</v>
      </c>
      <c r="Z298" s="26">
        <f t="shared" si="57"/>
        <v>0</v>
      </c>
      <c r="AA298" s="33" t="s">
        <v>15</v>
      </c>
      <c r="AB298" s="36" t="s">
        <v>16</v>
      </c>
      <c r="AC298" s="181">
        <f t="shared" si="54"/>
        <v>1</v>
      </c>
      <c r="AD298" s="181">
        <f t="shared" si="52"/>
        <v>59.74</v>
      </c>
      <c r="AE298" s="181">
        <v>1.7</v>
      </c>
      <c r="AF298" s="181">
        <v>1.7</v>
      </c>
      <c r="AG298" s="101" t="str">
        <f t="shared" si="55"/>
        <v/>
      </c>
      <c r="AH298" s="190">
        <v>0</v>
      </c>
      <c r="AI298" s="69">
        <f t="shared" si="56"/>
        <v>1</v>
      </c>
    </row>
    <row r="299" spans="1:35" s="69" customFormat="1" ht="58.5" hidden="1" x14ac:dyDescent="0.3">
      <c r="A299" s="55" t="s">
        <v>782</v>
      </c>
      <c r="B299" s="53" t="s">
        <v>783</v>
      </c>
      <c r="C299" s="54" t="s">
        <v>606</v>
      </c>
      <c r="D299" s="75">
        <v>1</v>
      </c>
      <c r="E299" s="75"/>
      <c r="F299" s="75"/>
      <c r="G299" s="161"/>
      <c r="H299" s="158" t="s">
        <v>15</v>
      </c>
      <c r="I299" s="166">
        <v>80.41</v>
      </c>
      <c r="J299" s="75">
        <v>80.41</v>
      </c>
      <c r="K299" s="91" t="s">
        <v>784</v>
      </c>
      <c r="L299" s="73"/>
      <c r="M299" s="46">
        <v>0</v>
      </c>
      <c r="N299" s="46">
        <v>0</v>
      </c>
      <c r="O299" s="46">
        <v>0</v>
      </c>
      <c r="P299" s="98"/>
      <c r="Q299" s="23" t="s">
        <v>1464</v>
      </c>
      <c r="R299" s="24" t="s">
        <v>783</v>
      </c>
      <c r="S299" s="25" t="s">
        <v>606</v>
      </c>
      <c r="T299" s="26">
        <v>1</v>
      </c>
      <c r="U299" s="26">
        <v>1</v>
      </c>
      <c r="V299" s="26">
        <v>80.41</v>
      </c>
      <c r="W299" s="26">
        <f t="shared" si="50"/>
        <v>0</v>
      </c>
      <c r="X299" s="26">
        <f t="shared" si="53"/>
        <v>0</v>
      </c>
      <c r="Y299" s="26">
        <f t="shared" si="51"/>
        <v>0</v>
      </c>
      <c r="Z299" s="26">
        <f t="shared" si="57"/>
        <v>0</v>
      </c>
      <c r="AA299" s="33" t="s">
        <v>15</v>
      </c>
      <c r="AB299" s="36" t="s">
        <v>16</v>
      </c>
      <c r="AC299" s="181">
        <f t="shared" si="54"/>
        <v>1</v>
      </c>
      <c r="AD299" s="181">
        <f t="shared" si="52"/>
        <v>80.41</v>
      </c>
      <c r="AE299" s="181">
        <v>1.7</v>
      </c>
      <c r="AF299" s="181">
        <v>1.7</v>
      </c>
      <c r="AG299" s="101" t="str">
        <f t="shared" si="55"/>
        <v/>
      </c>
      <c r="AH299" s="190">
        <v>0</v>
      </c>
      <c r="AI299" s="69">
        <f t="shared" si="56"/>
        <v>1</v>
      </c>
    </row>
    <row r="300" spans="1:35" s="69" customFormat="1" ht="39" hidden="1" x14ac:dyDescent="0.3">
      <c r="A300" s="55" t="s">
        <v>785</v>
      </c>
      <c r="B300" s="53" t="s">
        <v>786</v>
      </c>
      <c r="C300" s="54" t="s">
        <v>606</v>
      </c>
      <c r="D300" s="75">
        <v>1</v>
      </c>
      <c r="E300" s="75"/>
      <c r="F300" s="75"/>
      <c r="G300" s="161"/>
      <c r="H300" s="158" t="s">
        <v>15</v>
      </c>
      <c r="I300" s="166">
        <v>64.959999999999994</v>
      </c>
      <c r="J300" s="75">
        <v>64.959999999999994</v>
      </c>
      <c r="K300" s="91" t="s">
        <v>787</v>
      </c>
      <c r="L300" s="73"/>
      <c r="M300" s="46">
        <v>0</v>
      </c>
      <c r="N300" s="46">
        <v>0</v>
      </c>
      <c r="O300" s="46">
        <v>0</v>
      </c>
      <c r="P300" s="98"/>
      <c r="Q300" s="23" t="s">
        <v>1465</v>
      </c>
      <c r="R300" s="24" t="s">
        <v>786</v>
      </c>
      <c r="S300" s="25" t="s">
        <v>606</v>
      </c>
      <c r="T300" s="26">
        <v>1</v>
      </c>
      <c r="U300" s="26">
        <v>1</v>
      </c>
      <c r="V300" s="26">
        <v>64.959999999999994</v>
      </c>
      <c r="W300" s="26">
        <f t="shared" si="50"/>
        <v>0</v>
      </c>
      <c r="X300" s="26">
        <f t="shared" si="53"/>
        <v>0</v>
      </c>
      <c r="Y300" s="26">
        <f t="shared" si="51"/>
        <v>0</v>
      </c>
      <c r="Z300" s="26">
        <f t="shared" si="57"/>
        <v>0</v>
      </c>
      <c r="AA300" s="33" t="s">
        <v>15</v>
      </c>
      <c r="AB300" s="36" t="s">
        <v>16</v>
      </c>
      <c r="AC300" s="181">
        <f t="shared" si="54"/>
        <v>1</v>
      </c>
      <c r="AD300" s="181">
        <f t="shared" si="52"/>
        <v>64.959999999999994</v>
      </c>
      <c r="AE300" s="181">
        <v>1.7</v>
      </c>
      <c r="AF300" s="181">
        <v>1.7</v>
      </c>
      <c r="AG300" s="101" t="str">
        <f t="shared" si="55"/>
        <v/>
      </c>
      <c r="AH300" s="190">
        <v>0</v>
      </c>
      <c r="AI300" s="69">
        <f t="shared" si="56"/>
        <v>1</v>
      </c>
    </row>
    <row r="301" spans="1:35" s="69" customFormat="1" ht="58.5" hidden="1" x14ac:dyDescent="0.3">
      <c r="A301" s="55" t="s">
        <v>788</v>
      </c>
      <c r="B301" s="53" t="s">
        <v>789</v>
      </c>
      <c r="C301" s="54" t="s">
        <v>606</v>
      </c>
      <c r="D301" s="75">
        <v>1</v>
      </c>
      <c r="E301" s="75"/>
      <c r="F301" s="75"/>
      <c r="G301" s="161"/>
      <c r="H301" s="158" t="s">
        <v>15</v>
      </c>
      <c r="I301" s="166">
        <v>95.86</v>
      </c>
      <c r="J301" s="75">
        <v>95.86</v>
      </c>
      <c r="K301" s="91" t="s">
        <v>790</v>
      </c>
      <c r="L301" s="73"/>
      <c r="M301" s="46">
        <v>0</v>
      </c>
      <c r="N301" s="46">
        <v>0</v>
      </c>
      <c r="O301" s="46">
        <v>0</v>
      </c>
      <c r="P301" s="98"/>
      <c r="Q301" s="23" t="s">
        <v>1466</v>
      </c>
      <c r="R301" s="24" t="s">
        <v>789</v>
      </c>
      <c r="S301" s="25" t="s">
        <v>606</v>
      </c>
      <c r="T301" s="26">
        <v>1</v>
      </c>
      <c r="U301" s="26">
        <v>1</v>
      </c>
      <c r="V301" s="26">
        <v>95.86</v>
      </c>
      <c r="W301" s="26">
        <f t="shared" si="50"/>
        <v>0</v>
      </c>
      <c r="X301" s="26">
        <f t="shared" si="53"/>
        <v>0</v>
      </c>
      <c r="Y301" s="26">
        <f t="shared" si="51"/>
        <v>0</v>
      </c>
      <c r="Z301" s="26">
        <f t="shared" si="57"/>
        <v>0</v>
      </c>
      <c r="AA301" s="33" t="s">
        <v>15</v>
      </c>
      <c r="AB301" s="36" t="s">
        <v>16</v>
      </c>
      <c r="AC301" s="181">
        <f t="shared" si="54"/>
        <v>1</v>
      </c>
      <c r="AD301" s="181">
        <f t="shared" si="52"/>
        <v>95.86</v>
      </c>
      <c r="AE301" s="181">
        <v>1.7</v>
      </c>
      <c r="AF301" s="181">
        <v>1.7</v>
      </c>
      <c r="AG301" s="101" t="str">
        <f t="shared" si="55"/>
        <v/>
      </c>
      <c r="AH301" s="190">
        <v>0</v>
      </c>
      <c r="AI301" s="69">
        <f t="shared" si="56"/>
        <v>1</v>
      </c>
    </row>
    <row r="302" spans="1:35" s="69" customFormat="1" ht="39" hidden="1" x14ac:dyDescent="0.3">
      <c r="A302" s="55" t="s">
        <v>791</v>
      </c>
      <c r="B302" s="53" t="s">
        <v>792</v>
      </c>
      <c r="C302" s="54" t="s">
        <v>606</v>
      </c>
      <c r="D302" s="75">
        <v>1</v>
      </c>
      <c r="E302" s="75"/>
      <c r="F302" s="75"/>
      <c r="G302" s="161"/>
      <c r="H302" s="158" t="s">
        <v>15</v>
      </c>
      <c r="I302" s="166">
        <v>93.29</v>
      </c>
      <c r="J302" s="75">
        <v>93.29</v>
      </c>
      <c r="K302" s="91" t="s">
        <v>793</v>
      </c>
      <c r="L302" s="73"/>
      <c r="M302" s="46">
        <v>0</v>
      </c>
      <c r="N302" s="46">
        <v>0</v>
      </c>
      <c r="O302" s="46">
        <v>0</v>
      </c>
      <c r="P302" s="98"/>
      <c r="Q302" s="23" t="s">
        <v>1467</v>
      </c>
      <c r="R302" s="24" t="s">
        <v>792</v>
      </c>
      <c r="S302" s="25" t="s">
        <v>606</v>
      </c>
      <c r="T302" s="26">
        <v>1</v>
      </c>
      <c r="U302" s="26">
        <v>1</v>
      </c>
      <c r="V302" s="26">
        <v>93.29</v>
      </c>
      <c r="W302" s="26">
        <f t="shared" ref="W302:W326" si="58">AH302-M302</f>
        <v>0</v>
      </c>
      <c r="X302" s="26">
        <f t="shared" si="53"/>
        <v>0</v>
      </c>
      <c r="Y302" s="26">
        <f t="shared" ref="Y302:Y326" si="59">Z302-O302</f>
        <v>0</v>
      </c>
      <c r="Z302" s="26">
        <f t="shared" si="57"/>
        <v>0</v>
      </c>
      <c r="AA302" s="33" t="s">
        <v>15</v>
      </c>
      <c r="AB302" s="36" t="s">
        <v>16</v>
      </c>
      <c r="AC302" s="181">
        <f t="shared" si="54"/>
        <v>1</v>
      </c>
      <c r="AD302" s="181">
        <f t="shared" ref="AD302:AD365" si="60">ROUND(V302*AC302,2)</f>
        <v>93.29</v>
      </c>
      <c r="AE302" s="181">
        <v>1.7</v>
      </c>
      <c r="AF302" s="181">
        <v>1.7</v>
      </c>
      <c r="AG302" s="101" t="str">
        <f t="shared" si="55"/>
        <v/>
      </c>
      <c r="AH302" s="190">
        <v>0</v>
      </c>
      <c r="AI302" s="69">
        <f t="shared" si="56"/>
        <v>1</v>
      </c>
    </row>
    <row r="303" spans="1:35" s="69" customFormat="1" ht="58.5" hidden="1" x14ac:dyDescent="0.3">
      <c r="A303" s="55" t="s">
        <v>794</v>
      </c>
      <c r="B303" s="53" t="s">
        <v>795</v>
      </c>
      <c r="C303" s="54" t="s">
        <v>606</v>
      </c>
      <c r="D303" s="75">
        <v>1</v>
      </c>
      <c r="E303" s="75"/>
      <c r="F303" s="75"/>
      <c r="G303" s="161"/>
      <c r="H303" s="158" t="s">
        <v>15</v>
      </c>
      <c r="I303" s="166">
        <v>93.8</v>
      </c>
      <c r="J303" s="75">
        <v>93.8</v>
      </c>
      <c r="K303" s="91" t="s">
        <v>796</v>
      </c>
      <c r="L303" s="73"/>
      <c r="M303" s="46">
        <v>0</v>
      </c>
      <c r="N303" s="46">
        <v>0</v>
      </c>
      <c r="O303" s="46">
        <v>0</v>
      </c>
      <c r="P303" s="98"/>
      <c r="Q303" s="23" t="s">
        <v>1468</v>
      </c>
      <c r="R303" s="24" t="s">
        <v>795</v>
      </c>
      <c r="S303" s="25" t="s">
        <v>606</v>
      </c>
      <c r="T303" s="26">
        <v>1</v>
      </c>
      <c r="U303" s="26">
        <v>1</v>
      </c>
      <c r="V303" s="26">
        <v>93.8</v>
      </c>
      <c r="W303" s="26">
        <f t="shared" si="58"/>
        <v>0</v>
      </c>
      <c r="X303" s="26">
        <f t="shared" si="53"/>
        <v>0</v>
      </c>
      <c r="Y303" s="26">
        <f t="shared" si="59"/>
        <v>0</v>
      </c>
      <c r="Z303" s="26">
        <f t="shared" si="57"/>
        <v>0</v>
      </c>
      <c r="AA303" s="33" t="s">
        <v>15</v>
      </c>
      <c r="AB303" s="36" t="s">
        <v>16</v>
      </c>
      <c r="AC303" s="181">
        <f t="shared" si="54"/>
        <v>1</v>
      </c>
      <c r="AD303" s="181">
        <f t="shared" si="60"/>
        <v>93.8</v>
      </c>
      <c r="AE303" s="181">
        <v>1.7</v>
      </c>
      <c r="AF303" s="181">
        <v>1.7</v>
      </c>
      <c r="AG303" s="101" t="str">
        <f t="shared" si="55"/>
        <v/>
      </c>
      <c r="AH303" s="190">
        <v>0</v>
      </c>
      <c r="AI303" s="69">
        <f t="shared" si="56"/>
        <v>1</v>
      </c>
    </row>
    <row r="304" spans="1:35" s="69" customFormat="1" ht="39" hidden="1" x14ac:dyDescent="0.3">
      <c r="A304" s="55" t="s">
        <v>797</v>
      </c>
      <c r="B304" s="53" t="s">
        <v>798</v>
      </c>
      <c r="C304" s="54" t="s">
        <v>606</v>
      </c>
      <c r="D304" s="75">
        <v>1</v>
      </c>
      <c r="E304" s="75"/>
      <c r="F304" s="75"/>
      <c r="G304" s="161"/>
      <c r="H304" s="158" t="s">
        <v>15</v>
      </c>
      <c r="I304" s="166">
        <v>63.35</v>
      </c>
      <c r="J304" s="75">
        <v>63.35</v>
      </c>
      <c r="K304" s="91" t="s">
        <v>799</v>
      </c>
      <c r="L304" s="73"/>
      <c r="M304" s="46">
        <v>0</v>
      </c>
      <c r="N304" s="46">
        <v>0</v>
      </c>
      <c r="O304" s="46">
        <v>0</v>
      </c>
      <c r="P304" s="98"/>
      <c r="Q304" s="23" t="s">
        <v>1469</v>
      </c>
      <c r="R304" s="24" t="s">
        <v>798</v>
      </c>
      <c r="S304" s="25" t="s">
        <v>606</v>
      </c>
      <c r="T304" s="26">
        <v>1</v>
      </c>
      <c r="U304" s="26">
        <v>1</v>
      </c>
      <c r="V304" s="26">
        <v>63.35</v>
      </c>
      <c r="W304" s="26">
        <f t="shared" si="58"/>
        <v>0</v>
      </c>
      <c r="X304" s="26">
        <f t="shared" si="53"/>
        <v>0</v>
      </c>
      <c r="Y304" s="26">
        <f t="shared" si="59"/>
        <v>0</v>
      </c>
      <c r="Z304" s="26">
        <f t="shared" si="57"/>
        <v>0</v>
      </c>
      <c r="AA304" s="33" t="s">
        <v>15</v>
      </c>
      <c r="AB304" s="36" t="s">
        <v>16</v>
      </c>
      <c r="AC304" s="181">
        <f t="shared" si="54"/>
        <v>1</v>
      </c>
      <c r="AD304" s="181">
        <f t="shared" si="60"/>
        <v>63.35</v>
      </c>
      <c r="AE304" s="181">
        <v>1.7</v>
      </c>
      <c r="AF304" s="181">
        <v>1.7</v>
      </c>
      <c r="AG304" s="101" t="str">
        <f t="shared" si="55"/>
        <v/>
      </c>
      <c r="AH304" s="190">
        <v>0</v>
      </c>
      <c r="AI304" s="69">
        <f t="shared" si="56"/>
        <v>1</v>
      </c>
    </row>
    <row r="305" spans="1:35" s="69" customFormat="1" ht="39" hidden="1" x14ac:dyDescent="0.3">
      <c r="A305" s="55" t="s">
        <v>800</v>
      </c>
      <c r="B305" s="53" t="s">
        <v>801</v>
      </c>
      <c r="C305" s="54" t="s">
        <v>606</v>
      </c>
      <c r="D305" s="75">
        <v>1</v>
      </c>
      <c r="E305" s="75"/>
      <c r="F305" s="75"/>
      <c r="G305" s="161"/>
      <c r="H305" s="158" t="s">
        <v>15</v>
      </c>
      <c r="I305" s="166">
        <v>156.05000000000001</v>
      </c>
      <c r="J305" s="75">
        <v>156.05000000000001</v>
      </c>
      <c r="K305" s="91" t="s">
        <v>802</v>
      </c>
      <c r="L305" s="73"/>
      <c r="M305" s="46">
        <v>0</v>
      </c>
      <c r="N305" s="46">
        <v>0</v>
      </c>
      <c r="O305" s="46">
        <v>0</v>
      </c>
      <c r="P305" s="98"/>
      <c r="Q305" s="23" t="s">
        <v>1470</v>
      </c>
      <c r="R305" s="24" t="s">
        <v>801</v>
      </c>
      <c r="S305" s="25" t="s">
        <v>606</v>
      </c>
      <c r="T305" s="26">
        <v>1</v>
      </c>
      <c r="U305" s="26">
        <v>1</v>
      </c>
      <c r="V305" s="26">
        <v>156.05000000000001</v>
      </c>
      <c r="W305" s="26">
        <f t="shared" si="58"/>
        <v>0</v>
      </c>
      <c r="X305" s="26">
        <f t="shared" si="53"/>
        <v>0</v>
      </c>
      <c r="Y305" s="26">
        <f t="shared" si="59"/>
        <v>0</v>
      </c>
      <c r="Z305" s="26">
        <f t="shared" si="57"/>
        <v>0</v>
      </c>
      <c r="AA305" s="33" t="s">
        <v>15</v>
      </c>
      <c r="AB305" s="36" t="s">
        <v>16</v>
      </c>
      <c r="AC305" s="181">
        <f t="shared" si="54"/>
        <v>1</v>
      </c>
      <c r="AD305" s="181">
        <f t="shared" si="60"/>
        <v>156.05000000000001</v>
      </c>
      <c r="AE305" s="181">
        <v>1.7</v>
      </c>
      <c r="AF305" s="181">
        <v>1.7</v>
      </c>
      <c r="AG305" s="101" t="str">
        <f t="shared" si="55"/>
        <v/>
      </c>
      <c r="AH305" s="190">
        <v>0</v>
      </c>
      <c r="AI305" s="69">
        <f t="shared" si="56"/>
        <v>1</v>
      </c>
    </row>
    <row r="306" spans="1:35" s="69" customFormat="1" ht="58.5" hidden="1" x14ac:dyDescent="0.3">
      <c r="A306" s="55" t="s">
        <v>803</v>
      </c>
      <c r="B306" s="53" t="s">
        <v>804</v>
      </c>
      <c r="C306" s="54" t="s">
        <v>606</v>
      </c>
      <c r="D306" s="75">
        <v>1</v>
      </c>
      <c r="E306" s="75"/>
      <c r="F306" s="75"/>
      <c r="G306" s="161"/>
      <c r="H306" s="158" t="s">
        <v>15</v>
      </c>
      <c r="I306" s="166">
        <v>69.08</v>
      </c>
      <c r="J306" s="75">
        <v>69.08</v>
      </c>
      <c r="K306" s="91" t="s">
        <v>805</v>
      </c>
      <c r="L306" s="73"/>
      <c r="M306" s="46">
        <v>0</v>
      </c>
      <c r="N306" s="46">
        <v>0</v>
      </c>
      <c r="O306" s="46">
        <v>0</v>
      </c>
      <c r="P306" s="98"/>
      <c r="Q306" s="23" t="s">
        <v>1471</v>
      </c>
      <c r="R306" s="24" t="s">
        <v>804</v>
      </c>
      <c r="S306" s="25" t="s">
        <v>606</v>
      </c>
      <c r="T306" s="26">
        <v>1</v>
      </c>
      <c r="U306" s="26">
        <v>1</v>
      </c>
      <c r="V306" s="26">
        <v>69.08</v>
      </c>
      <c r="W306" s="26">
        <f t="shared" si="58"/>
        <v>0</v>
      </c>
      <c r="X306" s="26">
        <f t="shared" ref="X306:X370" si="61">W306+M306</f>
        <v>0</v>
      </c>
      <c r="Y306" s="26">
        <f t="shared" si="59"/>
        <v>0</v>
      </c>
      <c r="Z306" s="26">
        <f t="shared" si="57"/>
        <v>0</v>
      </c>
      <c r="AA306" s="33" t="s">
        <v>15</v>
      </c>
      <c r="AB306" s="36" t="s">
        <v>16</v>
      </c>
      <c r="AC306" s="181">
        <f t="shared" si="54"/>
        <v>1</v>
      </c>
      <c r="AD306" s="181">
        <f t="shared" si="60"/>
        <v>69.08</v>
      </c>
      <c r="AE306" s="181">
        <v>1.7</v>
      </c>
      <c r="AF306" s="181">
        <v>1.7</v>
      </c>
      <c r="AG306" s="101" t="str">
        <f t="shared" si="55"/>
        <v/>
      </c>
      <c r="AH306" s="190">
        <v>0</v>
      </c>
      <c r="AI306" s="69">
        <f t="shared" si="56"/>
        <v>1</v>
      </c>
    </row>
    <row r="307" spans="1:35" s="69" customFormat="1" ht="39" hidden="1" x14ac:dyDescent="0.3">
      <c r="A307" s="55" t="s">
        <v>806</v>
      </c>
      <c r="B307" s="53" t="s">
        <v>807</v>
      </c>
      <c r="C307" s="54" t="s">
        <v>606</v>
      </c>
      <c r="D307" s="75">
        <v>1</v>
      </c>
      <c r="E307" s="75"/>
      <c r="F307" s="75"/>
      <c r="G307" s="161"/>
      <c r="H307" s="158" t="s">
        <v>15</v>
      </c>
      <c r="I307" s="166">
        <v>55.62</v>
      </c>
      <c r="J307" s="75">
        <v>55.62</v>
      </c>
      <c r="K307" s="91" t="s">
        <v>808</v>
      </c>
      <c r="L307" s="73"/>
      <c r="M307" s="46">
        <v>0</v>
      </c>
      <c r="N307" s="46">
        <v>0</v>
      </c>
      <c r="O307" s="46">
        <v>0</v>
      </c>
      <c r="P307" s="98"/>
      <c r="Q307" s="23" t="s">
        <v>1472</v>
      </c>
      <c r="R307" s="24" t="s">
        <v>807</v>
      </c>
      <c r="S307" s="25" t="s">
        <v>606</v>
      </c>
      <c r="T307" s="26">
        <v>1</v>
      </c>
      <c r="U307" s="26">
        <v>1</v>
      </c>
      <c r="V307" s="26">
        <v>55.62</v>
      </c>
      <c r="W307" s="26">
        <f t="shared" si="58"/>
        <v>0</v>
      </c>
      <c r="X307" s="26">
        <f t="shared" si="61"/>
        <v>0</v>
      </c>
      <c r="Y307" s="26">
        <f t="shared" si="59"/>
        <v>0</v>
      </c>
      <c r="Z307" s="26">
        <f t="shared" si="57"/>
        <v>0</v>
      </c>
      <c r="AA307" s="33" t="s">
        <v>15</v>
      </c>
      <c r="AB307" s="36" t="s">
        <v>16</v>
      </c>
      <c r="AC307" s="181">
        <f t="shared" si="54"/>
        <v>1</v>
      </c>
      <c r="AD307" s="181">
        <f t="shared" si="60"/>
        <v>55.62</v>
      </c>
      <c r="AE307" s="181">
        <v>1.7</v>
      </c>
      <c r="AF307" s="181">
        <v>1.7</v>
      </c>
      <c r="AG307" s="101" t="str">
        <f t="shared" si="55"/>
        <v/>
      </c>
      <c r="AH307" s="190">
        <v>0</v>
      </c>
      <c r="AI307" s="69">
        <f t="shared" si="56"/>
        <v>1</v>
      </c>
    </row>
    <row r="308" spans="1:35" s="69" customFormat="1" ht="39" hidden="1" x14ac:dyDescent="0.3">
      <c r="A308" s="55" t="s">
        <v>809</v>
      </c>
      <c r="B308" s="53" t="s">
        <v>810</v>
      </c>
      <c r="C308" s="54" t="s">
        <v>606</v>
      </c>
      <c r="D308" s="75">
        <v>1</v>
      </c>
      <c r="E308" s="75"/>
      <c r="F308" s="75"/>
      <c r="G308" s="161"/>
      <c r="H308" s="158" t="s">
        <v>15</v>
      </c>
      <c r="I308" s="166">
        <v>91.67</v>
      </c>
      <c r="J308" s="75">
        <v>91.67</v>
      </c>
      <c r="K308" s="91" t="s">
        <v>811</v>
      </c>
      <c r="L308" s="73"/>
      <c r="M308" s="46">
        <v>0</v>
      </c>
      <c r="N308" s="46">
        <v>0</v>
      </c>
      <c r="O308" s="46">
        <v>0</v>
      </c>
      <c r="P308" s="98"/>
      <c r="Q308" s="23" t="s">
        <v>1473</v>
      </c>
      <c r="R308" s="24" t="s">
        <v>810</v>
      </c>
      <c r="S308" s="25" t="s">
        <v>606</v>
      </c>
      <c r="T308" s="26">
        <v>1</v>
      </c>
      <c r="U308" s="26">
        <v>1</v>
      </c>
      <c r="V308" s="26">
        <v>91.67</v>
      </c>
      <c r="W308" s="26">
        <f t="shared" si="58"/>
        <v>0</v>
      </c>
      <c r="X308" s="26">
        <f t="shared" si="61"/>
        <v>0</v>
      </c>
      <c r="Y308" s="26">
        <f t="shared" si="59"/>
        <v>0</v>
      </c>
      <c r="Z308" s="26">
        <f t="shared" si="57"/>
        <v>0</v>
      </c>
      <c r="AA308" s="33" t="s">
        <v>15</v>
      </c>
      <c r="AB308" s="36" t="s">
        <v>16</v>
      </c>
      <c r="AC308" s="181">
        <f t="shared" si="54"/>
        <v>1</v>
      </c>
      <c r="AD308" s="181">
        <f t="shared" si="60"/>
        <v>91.67</v>
      </c>
      <c r="AE308" s="181">
        <v>1.7</v>
      </c>
      <c r="AF308" s="181">
        <v>1.7</v>
      </c>
      <c r="AG308" s="101" t="str">
        <f t="shared" si="55"/>
        <v/>
      </c>
      <c r="AH308" s="190">
        <v>0</v>
      </c>
      <c r="AI308" s="69">
        <f t="shared" si="56"/>
        <v>1</v>
      </c>
    </row>
    <row r="309" spans="1:35" s="69" customFormat="1" ht="39" hidden="1" x14ac:dyDescent="0.3">
      <c r="A309" s="55" t="s">
        <v>812</v>
      </c>
      <c r="B309" s="53" t="s">
        <v>813</v>
      </c>
      <c r="C309" s="54" t="s">
        <v>606</v>
      </c>
      <c r="D309" s="75">
        <v>1</v>
      </c>
      <c r="E309" s="75"/>
      <c r="F309" s="75"/>
      <c r="G309" s="161"/>
      <c r="H309" s="158" t="s">
        <v>15</v>
      </c>
      <c r="I309" s="166">
        <v>68.5</v>
      </c>
      <c r="J309" s="75">
        <v>68.5</v>
      </c>
      <c r="K309" s="91" t="s">
        <v>814</v>
      </c>
      <c r="L309" s="73"/>
      <c r="M309" s="46">
        <v>0</v>
      </c>
      <c r="N309" s="46">
        <v>0</v>
      </c>
      <c r="O309" s="46">
        <v>0</v>
      </c>
      <c r="P309" s="98"/>
      <c r="Q309" s="23" t="s">
        <v>1474</v>
      </c>
      <c r="R309" s="24" t="s">
        <v>813</v>
      </c>
      <c r="S309" s="25" t="s">
        <v>606</v>
      </c>
      <c r="T309" s="26">
        <v>1</v>
      </c>
      <c r="U309" s="26">
        <v>1</v>
      </c>
      <c r="V309" s="26">
        <v>68.5</v>
      </c>
      <c r="W309" s="26">
        <f t="shared" si="58"/>
        <v>0</v>
      </c>
      <c r="X309" s="26">
        <f t="shared" si="61"/>
        <v>0</v>
      </c>
      <c r="Y309" s="26">
        <f t="shared" si="59"/>
        <v>0</v>
      </c>
      <c r="Z309" s="26">
        <f t="shared" si="57"/>
        <v>0</v>
      </c>
      <c r="AA309" s="33" t="s">
        <v>15</v>
      </c>
      <c r="AB309" s="36" t="s">
        <v>16</v>
      </c>
      <c r="AC309" s="181">
        <f t="shared" si="54"/>
        <v>1</v>
      </c>
      <c r="AD309" s="181">
        <f t="shared" si="60"/>
        <v>68.5</v>
      </c>
      <c r="AE309" s="181">
        <v>1.7</v>
      </c>
      <c r="AF309" s="181">
        <v>1.7</v>
      </c>
      <c r="AG309" s="101" t="str">
        <f t="shared" si="55"/>
        <v/>
      </c>
      <c r="AH309" s="190">
        <v>0</v>
      </c>
      <c r="AI309" s="69">
        <f t="shared" si="56"/>
        <v>1</v>
      </c>
    </row>
    <row r="310" spans="1:35" s="69" customFormat="1" ht="39" hidden="1" x14ac:dyDescent="0.3">
      <c r="A310" s="55" t="s">
        <v>815</v>
      </c>
      <c r="B310" s="53" t="s">
        <v>816</v>
      </c>
      <c r="C310" s="54" t="s">
        <v>606</v>
      </c>
      <c r="D310" s="75">
        <v>1</v>
      </c>
      <c r="E310" s="75"/>
      <c r="F310" s="75"/>
      <c r="G310" s="161"/>
      <c r="H310" s="158" t="s">
        <v>15</v>
      </c>
      <c r="I310" s="166">
        <v>58.2</v>
      </c>
      <c r="J310" s="75">
        <v>58.2</v>
      </c>
      <c r="K310" s="91" t="s">
        <v>817</v>
      </c>
      <c r="L310" s="73"/>
      <c r="M310" s="46">
        <v>0</v>
      </c>
      <c r="N310" s="46">
        <v>0</v>
      </c>
      <c r="O310" s="46">
        <v>0</v>
      </c>
      <c r="P310" s="98"/>
      <c r="Q310" s="23" t="s">
        <v>1475</v>
      </c>
      <c r="R310" s="24" t="s">
        <v>816</v>
      </c>
      <c r="S310" s="25" t="s">
        <v>606</v>
      </c>
      <c r="T310" s="26">
        <v>1</v>
      </c>
      <c r="U310" s="26">
        <v>1</v>
      </c>
      <c r="V310" s="26">
        <v>58.2</v>
      </c>
      <c r="W310" s="26">
        <f t="shared" si="58"/>
        <v>0</v>
      </c>
      <c r="X310" s="26">
        <f t="shared" si="61"/>
        <v>0</v>
      </c>
      <c r="Y310" s="26">
        <f t="shared" si="59"/>
        <v>0</v>
      </c>
      <c r="Z310" s="26">
        <f t="shared" si="57"/>
        <v>0</v>
      </c>
      <c r="AA310" s="33" t="s">
        <v>15</v>
      </c>
      <c r="AB310" s="36" t="s">
        <v>16</v>
      </c>
      <c r="AC310" s="181">
        <f t="shared" si="54"/>
        <v>1</v>
      </c>
      <c r="AD310" s="181">
        <f t="shared" si="60"/>
        <v>58.2</v>
      </c>
      <c r="AE310" s="181">
        <v>1.7</v>
      </c>
      <c r="AF310" s="181">
        <v>1.7</v>
      </c>
      <c r="AG310" s="101" t="str">
        <f t="shared" si="55"/>
        <v/>
      </c>
      <c r="AH310" s="190">
        <v>0</v>
      </c>
      <c r="AI310" s="69">
        <f t="shared" si="56"/>
        <v>1</v>
      </c>
    </row>
    <row r="311" spans="1:35" s="69" customFormat="1" ht="39" hidden="1" x14ac:dyDescent="0.3">
      <c r="A311" s="55" t="s">
        <v>818</v>
      </c>
      <c r="B311" s="53" t="s">
        <v>819</v>
      </c>
      <c r="C311" s="54" t="s">
        <v>606</v>
      </c>
      <c r="D311" s="75">
        <v>1</v>
      </c>
      <c r="E311" s="75"/>
      <c r="F311" s="75"/>
      <c r="G311" s="161"/>
      <c r="H311" s="158" t="s">
        <v>15</v>
      </c>
      <c r="I311" s="166">
        <v>70.040000000000006</v>
      </c>
      <c r="J311" s="75">
        <v>70.040000000000006</v>
      </c>
      <c r="K311" s="91" t="s">
        <v>820</v>
      </c>
      <c r="L311" s="73"/>
      <c r="M311" s="46">
        <v>0</v>
      </c>
      <c r="N311" s="46">
        <v>0</v>
      </c>
      <c r="O311" s="46">
        <v>0</v>
      </c>
      <c r="P311" s="98"/>
      <c r="Q311" s="23" t="s">
        <v>1476</v>
      </c>
      <c r="R311" s="24" t="s">
        <v>819</v>
      </c>
      <c r="S311" s="25" t="s">
        <v>606</v>
      </c>
      <c r="T311" s="26">
        <v>1</v>
      </c>
      <c r="U311" s="26">
        <v>1</v>
      </c>
      <c r="V311" s="26">
        <v>70.040000000000006</v>
      </c>
      <c r="W311" s="26">
        <f t="shared" si="58"/>
        <v>0</v>
      </c>
      <c r="X311" s="26">
        <f t="shared" si="61"/>
        <v>0</v>
      </c>
      <c r="Y311" s="26">
        <f t="shared" si="59"/>
        <v>0</v>
      </c>
      <c r="Z311" s="26">
        <f t="shared" si="57"/>
        <v>0</v>
      </c>
      <c r="AA311" s="33" t="s">
        <v>15</v>
      </c>
      <c r="AB311" s="36" t="s">
        <v>16</v>
      </c>
      <c r="AC311" s="181">
        <f t="shared" si="54"/>
        <v>1</v>
      </c>
      <c r="AD311" s="181">
        <f t="shared" si="60"/>
        <v>70.040000000000006</v>
      </c>
      <c r="AE311" s="181">
        <v>1.7</v>
      </c>
      <c r="AF311" s="181">
        <v>1.7</v>
      </c>
      <c r="AG311" s="101" t="str">
        <f t="shared" si="55"/>
        <v/>
      </c>
      <c r="AH311" s="190">
        <v>0</v>
      </c>
      <c r="AI311" s="69">
        <f t="shared" si="56"/>
        <v>1</v>
      </c>
    </row>
    <row r="312" spans="1:35" s="69" customFormat="1" ht="39" hidden="1" x14ac:dyDescent="0.3">
      <c r="A312" s="55" t="s">
        <v>821</v>
      </c>
      <c r="B312" s="53" t="s">
        <v>822</v>
      </c>
      <c r="C312" s="54" t="s">
        <v>606</v>
      </c>
      <c r="D312" s="75">
        <v>1</v>
      </c>
      <c r="E312" s="75"/>
      <c r="F312" s="75"/>
      <c r="G312" s="161"/>
      <c r="H312" s="158" t="s">
        <v>15</v>
      </c>
      <c r="I312" s="166">
        <v>61.29</v>
      </c>
      <c r="J312" s="75">
        <v>61.29</v>
      </c>
      <c r="K312" s="91" t="s">
        <v>823</v>
      </c>
      <c r="L312" s="73"/>
      <c r="M312" s="46">
        <v>0</v>
      </c>
      <c r="N312" s="46">
        <v>0</v>
      </c>
      <c r="O312" s="46">
        <v>0</v>
      </c>
      <c r="P312" s="98"/>
      <c r="Q312" s="23" t="s">
        <v>1477</v>
      </c>
      <c r="R312" s="24" t="s">
        <v>822</v>
      </c>
      <c r="S312" s="25" t="s">
        <v>606</v>
      </c>
      <c r="T312" s="26">
        <v>1</v>
      </c>
      <c r="U312" s="26">
        <v>1</v>
      </c>
      <c r="V312" s="26">
        <v>61.29</v>
      </c>
      <c r="W312" s="26">
        <f t="shared" si="58"/>
        <v>0</v>
      </c>
      <c r="X312" s="26">
        <f t="shared" si="61"/>
        <v>0</v>
      </c>
      <c r="Y312" s="26">
        <f t="shared" si="59"/>
        <v>0</v>
      </c>
      <c r="Z312" s="26">
        <f t="shared" si="57"/>
        <v>0</v>
      </c>
      <c r="AA312" s="33" t="s">
        <v>15</v>
      </c>
      <c r="AB312" s="36" t="s">
        <v>16</v>
      </c>
      <c r="AC312" s="181">
        <f t="shared" si="54"/>
        <v>1</v>
      </c>
      <c r="AD312" s="181">
        <f t="shared" si="60"/>
        <v>61.29</v>
      </c>
      <c r="AE312" s="181">
        <v>1.7</v>
      </c>
      <c r="AF312" s="181">
        <v>1.7</v>
      </c>
      <c r="AG312" s="101" t="str">
        <f t="shared" si="55"/>
        <v/>
      </c>
      <c r="AH312" s="190">
        <v>0</v>
      </c>
      <c r="AI312" s="69">
        <f t="shared" si="56"/>
        <v>1</v>
      </c>
    </row>
    <row r="313" spans="1:35" s="69" customFormat="1" ht="39" hidden="1" x14ac:dyDescent="0.3">
      <c r="A313" s="55" t="s">
        <v>824</v>
      </c>
      <c r="B313" s="53" t="s">
        <v>825</v>
      </c>
      <c r="C313" s="54" t="s">
        <v>606</v>
      </c>
      <c r="D313" s="75">
        <v>1</v>
      </c>
      <c r="E313" s="75"/>
      <c r="F313" s="75"/>
      <c r="G313" s="161"/>
      <c r="H313" s="158" t="s">
        <v>15</v>
      </c>
      <c r="I313" s="166">
        <v>59.74</v>
      </c>
      <c r="J313" s="75">
        <v>59.74</v>
      </c>
      <c r="K313" s="91" t="s">
        <v>826</v>
      </c>
      <c r="L313" s="73"/>
      <c r="M313" s="46">
        <v>0</v>
      </c>
      <c r="N313" s="46">
        <v>0</v>
      </c>
      <c r="O313" s="46">
        <v>0</v>
      </c>
      <c r="P313" s="98"/>
      <c r="Q313" s="23" t="s">
        <v>1478</v>
      </c>
      <c r="R313" s="24" t="s">
        <v>825</v>
      </c>
      <c r="S313" s="25" t="s">
        <v>606</v>
      </c>
      <c r="T313" s="26">
        <v>1</v>
      </c>
      <c r="U313" s="26">
        <v>1</v>
      </c>
      <c r="V313" s="26">
        <v>59.74</v>
      </c>
      <c r="W313" s="26">
        <f t="shared" si="58"/>
        <v>0</v>
      </c>
      <c r="X313" s="26">
        <f t="shared" si="61"/>
        <v>0</v>
      </c>
      <c r="Y313" s="26">
        <f t="shared" si="59"/>
        <v>0</v>
      </c>
      <c r="Z313" s="26">
        <f t="shared" si="57"/>
        <v>0</v>
      </c>
      <c r="AA313" s="33" t="s">
        <v>15</v>
      </c>
      <c r="AB313" s="36" t="s">
        <v>16</v>
      </c>
      <c r="AC313" s="181">
        <f t="shared" si="54"/>
        <v>1</v>
      </c>
      <c r="AD313" s="181">
        <f t="shared" si="60"/>
        <v>59.74</v>
      </c>
      <c r="AE313" s="181">
        <v>1.7</v>
      </c>
      <c r="AF313" s="181">
        <v>1.7</v>
      </c>
      <c r="AG313" s="101" t="str">
        <f t="shared" si="55"/>
        <v/>
      </c>
      <c r="AH313" s="190">
        <v>0</v>
      </c>
      <c r="AI313" s="69">
        <f t="shared" si="56"/>
        <v>1</v>
      </c>
    </row>
    <row r="314" spans="1:35" s="69" customFormat="1" ht="39" hidden="1" x14ac:dyDescent="0.3">
      <c r="A314" s="55" t="s">
        <v>827</v>
      </c>
      <c r="B314" s="53" t="s">
        <v>828</v>
      </c>
      <c r="C314" s="54" t="s">
        <v>606</v>
      </c>
      <c r="D314" s="75">
        <v>1</v>
      </c>
      <c r="E314" s="75"/>
      <c r="F314" s="75"/>
      <c r="G314" s="161"/>
      <c r="H314" s="158" t="s">
        <v>15</v>
      </c>
      <c r="I314" s="166">
        <v>69.58</v>
      </c>
      <c r="J314" s="75">
        <v>69.58</v>
      </c>
      <c r="K314" s="91" t="s">
        <v>829</v>
      </c>
      <c r="L314" s="73"/>
      <c r="M314" s="46">
        <v>0</v>
      </c>
      <c r="N314" s="46">
        <v>0</v>
      </c>
      <c r="O314" s="46">
        <v>0</v>
      </c>
      <c r="P314" s="98"/>
      <c r="Q314" s="23" t="s">
        <v>1479</v>
      </c>
      <c r="R314" s="24" t="s">
        <v>828</v>
      </c>
      <c r="S314" s="25" t="s">
        <v>606</v>
      </c>
      <c r="T314" s="26">
        <v>1</v>
      </c>
      <c r="U314" s="26">
        <v>1</v>
      </c>
      <c r="V314" s="26">
        <v>69.58</v>
      </c>
      <c r="W314" s="26">
        <f t="shared" si="58"/>
        <v>0</v>
      </c>
      <c r="X314" s="26">
        <f t="shared" si="61"/>
        <v>0</v>
      </c>
      <c r="Y314" s="26">
        <f t="shared" si="59"/>
        <v>0</v>
      </c>
      <c r="Z314" s="26">
        <f t="shared" si="57"/>
        <v>0</v>
      </c>
      <c r="AA314" s="33" t="s">
        <v>15</v>
      </c>
      <c r="AB314" s="36" t="s">
        <v>16</v>
      </c>
      <c r="AC314" s="181">
        <f t="shared" si="54"/>
        <v>1</v>
      </c>
      <c r="AD314" s="181">
        <f t="shared" si="60"/>
        <v>69.58</v>
      </c>
      <c r="AE314" s="181">
        <v>1.7</v>
      </c>
      <c r="AF314" s="181">
        <v>1.7</v>
      </c>
      <c r="AG314" s="101" t="str">
        <f t="shared" si="55"/>
        <v/>
      </c>
      <c r="AH314" s="190">
        <v>0</v>
      </c>
      <c r="AI314" s="69">
        <f t="shared" si="56"/>
        <v>1</v>
      </c>
    </row>
    <row r="315" spans="1:35" s="69" customFormat="1" ht="39" hidden="1" x14ac:dyDescent="0.3">
      <c r="A315" s="55" t="s">
        <v>830</v>
      </c>
      <c r="B315" s="53" t="s">
        <v>831</v>
      </c>
      <c r="C315" s="54" t="s">
        <v>606</v>
      </c>
      <c r="D315" s="75">
        <v>1</v>
      </c>
      <c r="E315" s="75"/>
      <c r="F315" s="75"/>
      <c r="G315" s="161"/>
      <c r="H315" s="158" t="s">
        <v>15</v>
      </c>
      <c r="I315" s="166">
        <v>112.84</v>
      </c>
      <c r="J315" s="75">
        <v>112.84</v>
      </c>
      <c r="K315" s="91" t="s">
        <v>832</v>
      </c>
      <c r="L315" s="73"/>
      <c r="M315" s="46">
        <v>0</v>
      </c>
      <c r="N315" s="46">
        <v>0</v>
      </c>
      <c r="O315" s="46">
        <v>0</v>
      </c>
      <c r="P315" s="98"/>
      <c r="Q315" s="23" t="s">
        <v>1480</v>
      </c>
      <c r="R315" s="24" t="s">
        <v>831</v>
      </c>
      <c r="S315" s="25" t="s">
        <v>606</v>
      </c>
      <c r="T315" s="26">
        <v>1</v>
      </c>
      <c r="U315" s="26">
        <v>1</v>
      </c>
      <c r="V315" s="26">
        <v>112.84</v>
      </c>
      <c r="W315" s="26">
        <f t="shared" si="58"/>
        <v>0</v>
      </c>
      <c r="X315" s="26">
        <f t="shared" si="61"/>
        <v>0</v>
      </c>
      <c r="Y315" s="26">
        <f t="shared" si="59"/>
        <v>0</v>
      </c>
      <c r="Z315" s="26">
        <f t="shared" si="57"/>
        <v>0</v>
      </c>
      <c r="AA315" s="33" t="s">
        <v>15</v>
      </c>
      <c r="AB315" s="36" t="s">
        <v>16</v>
      </c>
      <c r="AC315" s="181">
        <f t="shared" si="54"/>
        <v>1</v>
      </c>
      <c r="AD315" s="181">
        <f t="shared" si="60"/>
        <v>112.84</v>
      </c>
      <c r="AE315" s="181">
        <v>1.7</v>
      </c>
      <c r="AF315" s="181">
        <v>1.7</v>
      </c>
      <c r="AG315" s="101" t="str">
        <f t="shared" si="55"/>
        <v/>
      </c>
      <c r="AH315" s="190">
        <v>0</v>
      </c>
      <c r="AI315" s="69">
        <f t="shared" si="56"/>
        <v>1</v>
      </c>
    </row>
    <row r="316" spans="1:35" s="69" customFormat="1" ht="39" hidden="1" x14ac:dyDescent="0.3">
      <c r="A316" s="55" t="s">
        <v>833</v>
      </c>
      <c r="B316" s="53" t="s">
        <v>834</v>
      </c>
      <c r="C316" s="54" t="s">
        <v>606</v>
      </c>
      <c r="D316" s="75">
        <v>1</v>
      </c>
      <c r="E316" s="75"/>
      <c r="F316" s="75"/>
      <c r="G316" s="161"/>
      <c r="H316" s="158" t="s">
        <v>15</v>
      </c>
      <c r="I316" s="166">
        <v>102.54</v>
      </c>
      <c r="J316" s="75">
        <v>102.54</v>
      </c>
      <c r="K316" s="91" t="s">
        <v>835</v>
      </c>
      <c r="L316" s="73"/>
      <c r="M316" s="46">
        <v>0</v>
      </c>
      <c r="N316" s="46">
        <v>0</v>
      </c>
      <c r="O316" s="46">
        <v>0</v>
      </c>
      <c r="P316" s="98"/>
      <c r="Q316" s="23" t="s">
        <v>1481</v>
      </c>
      <c r="R316" s="24" t="s">
        <v>834</v>
      </c>
      <c r="S316" s="25" t="s">
        <v>606</v>
      </c>
      <c r="T316" s="26">
        <v>1</v>
      </c>
      <c r="U316" s="26">
        <v>1</v>
      </c>
      <c r="V316" s="26">
        <v>102.54</v>
      </c>
      <c r="W316" s="26">
        <f t="shared" si="58"/>
        <v>0</v>
      </c>
      <c r="X316" s="26">
        <f t="shared" si="61"/>
        <v>0</v>
      </c>
      <c r="Y316" s="26">
        <f t="shared" si="59"/>
        <v>0</v>
      </c>
      <c r="Z316" s="26">
        <f t="shared" si="57"/>
        <v>0</v>
      </c>
      <c r="AA316" s="33" t="s">
        <v>15</v>
      </c>
      <c r="AB316" s="36" t="s">
        <v>16</v>
      </c>
      <c r="AC316" s="181">
        <f t="shared" si="54"/>
        <v>1</v>
      </c>
      <c r="AD316" s="181">
        <f t="shared" si="60"/>
        <v>102.54</v>
      </c>
      <c r="AE316" s="181">
        <v>1.7</v>
      </c>
      <c r="AF316" s="181">
        <v>1.7</v>
      </c>
      <c r="AG316" s="101" t="str">
        <f t="shared" si="55"/>
        <v/>
      </c>
      <c r="AH316" s="190">
        <v>0</v>
      </c>
      <c r="AI316" s="69">
        <f t="shared" si="56"/>
        <v>1</v>
      </c>
    </row>
    <row r="317" spans="1:35" s="69" customFormat="1" ht="39" hidden="1" x14ac:dyDescent="0.3">
      <c r="A317" s="55" t="s">
        <v>836</v>
      </c>
      <c r="B317" s="53" t="s">
        <v>837</v>
      </c>
      <c r="C317" s="54" t="s">
        <v>606</v>
      </c>
      <c r="D317" s="75">
        <v>1</v>
      </c>
      <c r="E317" s="75"/>
      <c r="F317" s="75"/>
      <c r="G317" s="161"/>
      <c r="H317" s="158" t="s">
        <v>15</v>
      </c>
      <c r="I317" s="166">
        <v>82.99</v>
      </c>
      <c r="J317" s="75">
        <v>82.99</v>
      </c>
      <c r="K317" s="91" t="s">
        <v>838</v>
      </c>
      <c r="L317" s="73"/>
      <c r="M317" s="46">
        <v>0</v>
      </c>
      <c r="N317" s="46">
        <v>0</v>
      </c>
      <c r="O317" s="46">
        <v>0</v>
      </c>
      <c r="P317" s="98"/>
      <c r="Q317" s="23" t="s">
        <v>1482</v>
      </c>
      <c r="R317" s="24" t="s">
        <v>837</v>
      </c>
      <c r="S317" s="25" t="s">
        <v>606</v>
      </c>
      <c r="T317" s="26">
        <v>1</v>
      </c>
      <c r="U317" s="26">
        <v>1</v>
      </c>
      <c r="V317" s="26">
        <v>82.99</v>
      </c>
      <c r="W317" s="26">
        <f t="shared" si="58"/>
        <v>0</v>
      </c>
      <c r="X317" s="26">
        <f t="shared" si="61"/>
        <v>0</v>
      </c>
      <c r="Y317" s="26">
        <f t="shared" si="59"/>
        <v>0</v>
      </c>
      <c r="Z317" s="26">
        <f t="shared" si="57"/>
        <v>0</v>
      </c>
      <c r="AA317" s="33" t="s">
        <v>15</v>
      </c>
      <c r="AB317" s="36" t="s">
        <v>16</v>
      </c>
      <c r="AC317" s="181">
        <f t="shared" si="54"/>
        <v>1</v>
      </c>
      <c r="AD317" s="181">
        <f t="shared" si="60"/>
        <v>82.99</v>
      </c>
      <c r="AE317" s="181">
        <v>1.7</v>
      </c>
      <c r="AF317" s="181">
        <v>1.7</v>
      </c>
      <c r="AG317" s="101" t="str">
        <f t="shared" si="55"/>
        <v/>
      </c>
      <c r="AH317" s="190">
        <v>0</v>
      </c>
      <c r="AI317" s="69">
        <f t="shared" si="56"/>
        <v>1</v>
      </c>
    </row>
    <row r="318" spans="1:35" s="69" customFormat="1" ht="58.5" hidden="1" x14ac:dyDescent="0.3">
      <c r="A318" s="55" t="s">
        <v>839</v>
      </c>
      <c r="B318" s="53" t="s">
        <v>840</v>
      </c>
      <c r="C318" s="54" t="s">
        <v>606</v>
      </c>
      <c r="D318" s="75">
        <v>1</v>
      </c>
      <c r="E318" s="75"/>
      <c r="F318" s="75"/>
      <c r="G318" s="161"/>
      <c r="H318" s="158" t="s">
        <v>15</v>
      </c>
      <c r="I318" s="166">
        <v>80.41</v>
      </c>
      <c r="J318" s="75">
        <v>80.41</v>
      </c>
      <c r="K318" s="91" t="s">
        <v>841</v>
      </c>
      <c r="L318" s="73"/>
      <c r="M318" s="46">
        <v>0</v>
      </c>
      <c r="N318" s="46">
        <v>0</v>
      </c>
      <c r="O318" s="46">
        <v>0</v>
      </c>
      <c r="P318" s="98"/>
      <c r="Q318" s="23" t="s">
        <v>1483</v>
      </c>
      <c r="R318" s="24" t="s">
        <v>840</v>
      </c>
      <c r="S318" s="25" t="s">
        <v>606</v>
      </c>
      <c r="T318" s="26">
        <v>1</v>
      </c>
      <c r="U318" s="26">
        <v>1</v>
      </c>
      <c r="V318" s="26">
        <v>80.41</v>
      </c>
      <c r="W318" s="26">
        <f t="shared" si="58"/>
        <v>0</v>
      </c>
      <c r="X318" s="26">
        <f t="shared" si="61"/>
        <v>0</v>
      </c>
      <c r="Y318" s="26">
        <f t="shared" si="59"/>
        <v>0</v>
      </c>
      <c r="Z318" s="26">
        <f t="shared" si="57"/>
        <v>0</v>
      </c>
      <c r="AA318" s="33" t="s">
        <v>15</v>
      </c>
      <c r="AB318" s="36" t="s">
        <v>16</v>
      </c>
      <c r="AC318" s="181">
        <f t="shared" si="54"/>
        <v>1</v>
      </c>
      <c r="AD318" s="181">
        <f t="shared" si="60"/>
        <v>80.41</v>
      </c>
      <c r="AE318" s="181">
        <v>1.7</v>
      </c>
      <c r="AF318" s="181">
        <v>1.7</v>
      </c>
      <c r="AG318" s="101" t="str">
        <f t="shared" si="55"/>
        <v/>
      </c>
      <c r="AH318" s="190">
        <v>0</v>
      </c>
      <c r="AI318" s="69">
        <f t="shared" si="56"/>
        <v>1</v>
      </c>
    </row>
    <row r="319" spans="1:35" s="69" customFormat="1" ht="39" hidden="1" x14ac:dyDescent="0.3">
      <c r="A319" s="55" t="s">
        <v>842</v>
      </c>
      <c r="B319" s="53" t="s">
        <v>843</v>
      </c>
      <c r="C319" s="54" t="s">
        <v>606</v>
      </c>
      <c r="D319" s="75">
        <v>1</v>
      </c>
      <c r="E319" s="75"/>
      <c r="F319" s="75"/>
      <c r="G319" s="161"/>
      <c r="H319" s="158" t="s">
        <v>15</v>
      </c>
      <c r="I319" s="166">
        <v>101.01</v>
      </c>
      <c r="J319" s="75">
        <v>101.01</v>
      </c>
      <c r="K319" s="91" t="s">
        <v>844</v>
      </c>
      <c r="L319" s="73"/>
      <c r="M319" s="46">
        <v>0</v>
      </c>
      <c r="N319" s="46">
        <v>0</v>
      </c>
      <c r="O319" s="46">
        <v>0</v>
      </c>
      <c r="P319" s="98"/>
      <c r="Q319" s="23" t="s">
        <v>1484</v>
      </c>
      <c r="R319" s="24" t="s">
        <v>843</v>
      </c>
      <c r="S319" s="25" t="s">
        <v>606</v>
      </c>
      <c r="T319" s="26">
        <v>1</v>
      </c>
      <c r="U319" s="26">
        <v>1</v>
      </c>
      <c r="V319" s="26">
        <v>101.01</v>
      </c>
      <c r="W319" s="26">
        <f t="shared" si="58"/>
        <v>0</v>
      </c>
      <c r="X319" s="26">
        <f t="shared" si="61"/>
        <v>0</v>
      </c>
      <c r="Y319" s="26">
        <f t="shared" si="59"/>
        <v>0</v>
      </c>
      <c r="Z319" s="26">
        <f t="shared" si="57"/>
        <v>0</v>
      </c>
      <c r="AA319" s="33" t="s">
        <v>15</v>
      </c>
      <c r="AB319" s="36" t="s">
        <v>16</v>
      </c>
      <c r="AC319" s="181">
        <f t="shared" si="54"/>
        <v>1</v>
      </c>
      <c r="AD319" s="181">
        <f t="shared" si="60"/>
        <v>101.01</v>
      </c>
      <c r="AE319" s="181">
        <v>1.7</v>
      </c>
      <c r="AF319" s="181">
        <v>1.7</v>
      </c>
      <c r="AG319" s="101" t="str">
        <f t="shared" si="55"/>
        <v/>
      </c>
      <c r="AH319" s="190">
        <v>0</v>
      </c>
      <c r="AI319" s="69">
        <f t="shared" si="56"/>
        <v>1</v>
      </c>
    </row>
    <row r="320" spans="1:35" s="69" customFormat="1" ht="58.5" hidden="1" x14ac:dyDescent="0.3">
      <c r="A320" s="55" t="s">
        <v>845</v>
      </c>
      <c r="B320" s="53" t="s">
        <v>846</v>
      </c>
      <c r="C320" s="54" t="s">
        <v>606</v>
      </c>
      <c r="D320" s="75">
        <v>1</v>
      </c>
      <c r="E320" s="75"/>
      <c r="F320" s="75"/>
      <c r="G320" s="161"/>
      <c r="H320" s="158" t="s">
        <v>15</v>
      </c>
      <c r="I320" s="166">
        <v>76.290000000000006</v>
      </c>
      <c r="J320" s="75">
        <v>76.290000000000006</v>
      </c>
      <c r="K320" s="91" t="s">
        <v>847</v>
      </c>
      <c r="L320" s="73"/>
      <c r="M320" s="46">
        <v>0</v>
      </c>
      <c r="N320" s="46">
        <v>0</v>
      </c>
      <c r="O320" s="46">
        <v>0</v>
      </c>
      <c r="P320" s="98"/>
      <c r="Q320" s="23" t="s">
        <v>1485</v>
      </c>
      <c r="R320" s="24" t="s">
        <v>846</v>
      </c>
      <c r="S320" s="25" t="s">
        <v>606</v>
      </c>
      <c r="T320" s="26">
        <v>1</v>
      </c>
      <c r="U320" s="26">
        <v>1</v>
      </c>
      <c r="V320" s="26">
        <v>76.290000000000006</v>
      </c>
      <c r="W320" s="26">
        <f t="shared" si="58"/>
        <v>0</v>
      </c>
      <c r="X320" s="26">
        <f t="shared" si="61"/>
        <v>0</v>
      </c>
      <c r="Y320" s="26">
        <f t="shared" si="59"/>
        <v>0</v>
      </c>
      <c r="Z320" s="26">
        <f t="shared" si="57"/>
        <v>0</v>
      </c>
      <c r="AA320" s="33" t="s">
        <v>15</v>
      </c>
      <c r="AB320" s="36" t="s">
        <v>16</v>
      </c>
      <c r="AC320" s="181">
        <f t="shared" si="54"/>
        <v>1</v>
      </c>
      <c r="AD320" s="181">
        <f t="shared" si="60"/>
        <v>76.290000000000006</v>
      </c>
      <c r="AE320" s="181">
        <v>1.7</v>
      </c>
      <c r="AF320" s="181">
        <v>1.7</v>
      </c>
      <c r="AG320" s="101" t="str">
        <f t="shared" si="55"/>
        <v/>
      </c>
      <c r="AH320" s="190">
        <v>0</v>
      </c>
      <c r="AI320" s="69">
        <f t="shared" si="56"/>
        <v>1</v>
      </c>
    </row>
    <row r="321" spans="1:35" s="69" customFormat="1" ht="39" hidden="1" x14ac:dyDescent="0.3">
      <c r="A321" s="55" t="s">
        <v>848</v>
      </c>
      <c r="B321" s="53" t="s">
        <v>849</v>
      </c>
      <c r="C321" s="54" t="s">
        <v>606</v>
      </c>
      <c r="D321" s="75">
        <v>1</v>
      </c>
      <c r="E321" s="75"/>
      <c r="F321" s="75"/>
      <c r="G321" s="161"/>
      <c r="H321" s="158" t="s">
        <v>15</v>
      </c>
      <c r="I321" s="166">
        <v>73.650000000000006</v>
      </c>
      <c r="J321" s="75">
        <v>73.650000000000006</v>
      </c>
      <c r="K321" s="91" t="s">
        <v>850</v>
      </c>
      <c r="L321" s="73"/>
      <c r="M321" s="46">
        <v>0</v>
      </c>
      <c r="N321" s="46">
        <v>0</v>
      </c>
      <c r="O321" s="46">
        <v>0</v>
      </c>
      <c r="P321" s="98"/>
      <c r="Q321" s="23" t="s">
        <v>1486</v>
      </c>
      <c r="R321" s="24" t="s">
        <v>849</v>
      </c>
      <c r="S321" s="25" t="s">
        <v>606</v>
      </c>
      <c r="T321" s="26">
        <v>1</v>
      </c>
      <c r="U321" s="26">
        <v>1</v>
      </c>
      <c r="V321" s="26">
        <v>73.650000000000006</v>
      </c>
      <c r="W321" s="26">
        <f t="shared" si="58"/>
        <v>0</v>
      </c>
      <c r="X321" s="26">
        <f t="shared" si="61"/>
        <v>0</v>
      </c>
      <c r="Y321" s="26">
        <f t="shared" si="59"/>
        <v>0</v>
      </c>
      <c r="Z321" s="26">
        <f t="shared" si="57"/>
        <v>0</v>
      </c>
      <c r="AA321" s="33" t="s">
        <v>15</v>
      </c>
      <c r="AB321" s="36" t="s">
        <v>16</v>
      </c>
      <c r="AC321" s="181">
        <f t="shared" si="54"/>
        <v>1</v>
      </c>
      <c r="AD321" s="181">
        <f t="shared" si="60"/>
        <v>73.650000000000006</v>
      </c>
      <c r="AE321" s="181">
        <v>1.7</v>
      </c>
      <c r="AF321" s="181">
        <v>1.7</v>
      </c>
      <c r="AG321" s="101" t="str">
        <f t="shared" si="55"/>
        <v/>
      </c>
      <c r="AH321" s="190">
        <v>0</v>
      </c>
      <c r="AI321" s="69">
        <f t="shared" si="56"/>
        <v>1</v>
      </c>
    </row>
    <row r="322" spans="1:35" s="69" customFormat="1" ht="39" hidden="1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161"/>
      <c r="H322" s="158" t="s">
        <v>15</v>
      </c>
      <c r="I322" s="166">
        <v>43.78</v>
      </c>
      <c r="J322" s="75">
        <v>43.78</v>
      </c>
      <c r="K322" s="91" t="s">
        <v>853</v>
      </c>
      <c r="L322" s="73"/>
      <c r="M322" s="46">
        <v>0</v>
      </c>
      <c r="N322" s="46">
        <v>0</v>
      </c>
      <c r="O322" s="46">
        <v>0</v>
      </c>
      <c r="P322" s="98"/>
      <c r="Q322" s="23" t="s">
        <v>1487</v>
      </c>
      <c r="R322" s="24" t="s">
        <v>852</v>
      </c>
      <c r="S322" s="25" t="s">
        <v>50</v>
      </c>
      <c r="T322" s="26">
        <v>1</v>
      </c>
      <c r="U322" s="26">
        <v>1</v>
      </c>
      <c r="V322" s="26">
        <v>43.78</v>
      </c>
      <c r="W322" s="26">
        <f t="shared" si="58"/>
        <v>0</v>
      </c>
      <c r="X322" s="26">
        <f t="shared" si="61"/>
        <v>0</v>
      </c>
      <c r="Y322" s="26">
        <f t="shared" si="59"/>
        <v>0</v>
      </c>
      <c r="Z322" s="26">
        <f t="shared" si="57"/>
        <v>0</v>
      </c>
      <c r="AA322" s="33" t="s">
        <v>15</v>
      </c>
      <c r="AB322" s="36" t="s">
        <v>16</v>
      </c>
      <c r="AC322" s="181">
        <f t="shared" si="54"/>
        <v>1</v>
      </c>
      <c r="AD322" s="181">
        <f t="shared" si="60"/>
        <v>43.78</v>
      </c>
      <c r="AE322" s="181">
        <v>1.7</v>
      </c>
      <c r="AF322" s="181">
        <v>1.7</v>
      </c>
      <c r="AG322" s="101" t="str">
        <f t="shared" si="55"/>
        <v/>
      </c>
      <c r="AH322" s="190">
        <v>0</v>
      </c>
      <c r="AI322" s="69">
        <f t="shared" si="56"/>
        <v>1</v>
      </c>
    </row>
    <row r="323" spans="1:35" s="69" customFormat="1" ht="39" hidden="1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161"/>
      <c r="H323" s="158" t="s">
        <v>15</v>
      </c>
      <c r="I323" s="166">
        <v>28.11</v>
      </c>
      <c r="J323" s="75">
        <v>28.11</v>
      </c>
      <c r="K323" s="91" t="s">
        <v>857</v>
      </c>
      <c r="L323" s="73"/>
      <c r="M323" s="46">
        <v>0</v>
      </c>
      <c r="N323" s="46">
        <v>0</v>
      </c>
      <c r="O323" s="46">
        <v>0</v>
      </c>
      <c r="P323" s="98"/>
      <c r="Q323" s="23" t="s">
        <v>1488</v>
      </c>
      <c r="R323" s="24" t="s">
        <v>855</v>
      </c>
      <c r="S323" s="25" t="s">
        <v>856</v>
      </c>
      <c r="T323" s="26">
        <v>1</v>
      </c>
      <c r="U323" s="26">
        <v>1</v>
      </c>
      <c r="V323" s="26">
        <v>28.11</v>
      </c>
      <c r="W323" s="26">
        <f t="shared" si="58"/>
        <v>0</v>
      </c>
      <c r="X323" s="26">
        <f t="shared" si="61"/>
        <v>0</v>
      </c>
      <c r="Y323" s="26">
        <f t="shared" si="59"/>
        <v>0</v>
      </c>
      <c r="Z323" s="26">
        <f t="shared" si="57"/>
        <v>0</v>
      </c>
      <c r="AA323" s="33" t="s">
        <v>15</v>
      </c>
      <c r="AB323" s="36" t="s">
        <v>16</v>
      </c>
      <c r="AC323" s="181">
        <f t="shared" si="54"/>
        <v>1</v>
      </c>
      <c r="AD323" s="181">
        <f t="shared" si="60"/>
        <v>28.11</v>
      </c>
      <c r="AE323" s="181">
        <v>1.7</v>
      </c>
      <c r="AF323" s="181">
        <v>1.7</v>
      </c>
      <c r="AG323" s="101" t="str">
        <f t="shared" si="55"/>
        <v/>
      </c>
      <c r="AH323" s="190">
        <v>0</v>
      </c>
      <c r="AI323" s="69">
        <f t="shared" si="56"/>
        <v>1</v>
      </c>
    </row>
    <row r="324" spans="1:35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224"/>
      <c r="H324" s="158" t="s">
        <v>15</v>
      </c>
      <c r="I324" s="166">
        <v>245.47</v>
      </c>
      <c r="J324" s="75">
        <v>245.47</v>
      </c>
      <c r="K324" s="91" t="s">
        <v>860</v>
      </c>
      <c r="L324" s="73"/>
      <c r="M324" s="46">
        <v>0</v>
      </c>
      <c r="N324" s="46">
        <v>0</v>
      </c>
      <c r="O324" s="46">
        <v>0</v>
      </c>
      <c r="P324" s="98"/>
      <c r="Q324" s="23" t="s">
        <v>1489</v>
      </c>
      <c r="R324" s="24" t="s">
        <v>859</v>
      </c>
      <c r="S324" s="25" t="s">
        <v>50</v>
      </c>
      <c r="T324" s="26">
        <v>1</v>
      </c>
      <c r="U324" s="26">
        <v>1</v>
      </c>
      <c r="V324" s="26">
        <v>245.47</v>
      </c>
      <c r="W324" s="26">
        <f t="shared" si="58"/>
        <v>0</v>
      </c>
      <c r="X324" s="26">
        <f t="shared" si="61"/>
        <v>0</v>
      </c>
      <c r="Y324" s="26">
        <f t="shared" si="59"/>
        <v>0</v>
      </c>
      <c r="Z324" s="26">
        <f t="shared" si="57"/>
        <v>0</v>
      </c>
      <c r="AA324" s="33" t="s">
        <v>15</v>
      </c>
      <c r="AB324" s="36" t="s">
        <v>16</v>
      </c>
      <c r="AC324" s="181">
        <f t="shared" si="54"/>
        <v>1</v>
      </c>
      <c r="AD324" s="181">
        <f t="shared" si="60"/>
        <v>245.47</v>
      </c>
      <c r="AE324" s="181">
        <v>1.7</v>
      </c>
      <c r="AF324" s="181">
        <v>1.7</v>
      </c>
      <c r="AG324" s="101" t="str">
        <f t="shared" si="55"/>
        <v/>
      </c>
      <c r="AH324" s="190">
        <v>0</v>
      </c>
      <c r="AI324" s="69">
        <f t="shared" si="56"/>
        <v>1</v>
      </c>
    </row>
    <row r="325" spans="1:35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163"/>
      <c r="H325" s="62" t="s">
        <v>15</v>
      </c>
      <c r="I325" s="167">
        <v>839.94</v>
      </c>
      <c r="J325" s="62">
        <v>61718.79</v>
      </c>
      <c r="K325" s="93"/>
      <c r="M325" s="46">
        <v>0</v>
      </c>
      <c r="N325" s="46">
        <v>0</v>
      </c>
      <c r="O325" s="46">
        <v>0</v>
      </c>
      <c r="P325" s="98"/>
      <c r="Q325" s="23" t="s">
        <v>1398</v>
      </c>
      <c r="R325" s="24" t="s">
        <v>1337</v>
      </c>
      <c r="S325" s="25" t="s">
        <v>30</v>
      </c>
      <c r="T325" s="26">
        <v>0</v>
      </c>
      <c r="U325" s="26">
        <v>73.48</v>
      </c>
      <c r="V325" s="26">
        <v>839.94</v>
      </c>
      <c r="W325" s="26">
        <f t="shared" si="58"/>
        <v>0</v>
      </c>
      <c r="X325" s="26">
        <f t="shared" si="61"/>
        <v>0</v>
      </c>
      <c r="Y325" s="26">
        <f t="shared" si="59"/>
        <v>0</v>
      </c>
      <c r="Z325" s="26">
        <f>ROUND(V325*X325,2)</f>
        <v>0</v>
      </c>
      <c r="AA325" s="27"/>
      <c r="AB325" s="36" t="s">
        <v>16</v>
      </c>
      <c r="AC325" s="181">
        <f t="shared" si="54"/>
        <v>73.48</v>
      </c>
      <c r="AD325" s="181">
        <f t="shared" si="60"/>
        <v>61718.79</v>
      </c>
      <c r="AE325" s="181">
        <v>1.7</v>
      </c>
      <c r="AF325" s="181">
        <v>1.7</v>
      </c>
      <c r="AG325" s="101" t="str">
        <f t="shared" si="55"/>
        <v/>
      </c>
      <c r="AH325" s="190">
        <v>0</v>
      </c>
      <c r="AI325" s="69">
        <f t="shared" si="56"/>
        <v>73.48</v>
      </c>
    </row>
    <row r="326" spans="1:35" ht="39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163"/>
      <c r="H326" s="62" t="s">
        <v>15</v>
      </c>
      <c r="I326" s="167">
        <v>150</v>
      </c>
      <c r="J326" s="62">
        <v>2678400</v>
      </c>
      <c r="K326" s="93"/>
      <c r="M326" s="46">
        <v>10000</v>
      </c>
      <c r="N326" s="46">
        <v>0</v>
      </c>
      <c r="O326" s="46">
        <v>1500000</v>
      </c>
      <c r="P326" s="98"/>
      <c r="Q326" s="23" t="s">
        <v>1399</v>
      </c>
      <c r="R326" s="24" t="s">
        <v>1339</v>
      </c>
      <c r="S326" s="25" t="s">
        <v>1359</v>
      </c>
      <c r="T326" s="26">
        <v>0</v>
      </c>
      <c r="U326" s="26">
        <v>17856</v>
      </c>
      <c r="V326" s="26">
        <v>150</v>
      </c>
      <c r="W326" s="26">
        <f t="shared" si="58"/>
        <v>0</v>
      </c>
      <c r="X326" s="26">
        <f t="shared" si="61"/>
        <v>10000</v>
      </c>
      <c r="Y326" s="26">
        <f t="shared" si="59"/>
        <v>0</v>
      </c>
      <c r="Z326" s="26">
        <f t="shared" si="57"/>
        <v>1500000</v>
      </c>
      <c r="AA326" s="27"/>
      <c r="AB326" s="36" t="s">
        <v>16</v>
      </c>
      <c r="AC326" s="181">
        <f t="shared" si="54"/>
        <v>17856</v>
      </c>
      <c r="AD326" s="181">
        <f t="shared" si="60"/>
        <v>2678400</v>
      </c>
      <c r="AE326" s="181">
        <v>1.7</v>
      </c>
      <c r="AF326" s="181">
        <v>1.7</v>
      </c>
      <c r="AG326" s="101" t="str">
        <f t="shared" si="55"/>
        <v/>
      </c>
      <c r="AH326" s="190">
        <v>10000</v>
      </c>
      <c r="AI326" s="69">
        <f t="shared" si="56"/>
        <v>17856</v>
      </c>
    </row>
    <row r="327" spans="1:35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4" t="s">
        <v>15</v>
      </c>
      <c r="I327" s="82"/>
      <c r="J327" s="82">
        <v>5831452.4900000002</v>
      </c>
      <c r="K327" s="94" t="s">
        <v>15</v>
      </c>
      <c r="L327" s="73"/>
      <c r="M327" s="45">
        <v>1</v>
      </c>
      <c r="N327" s="45">
        <v>200000</v>
      </c>
      <c r="O327" s="45">
        <v>788200</v>
      </c>
      <c r="P327" s="98"/>
      <c r="Q327" s="18" t="s">
        <v>1400</v>
      </c>
      <c r="R327" s="19" t="s">
        <v>862</v>
      </c>
      <c r="S327" s="20" t="s">
        <v>14</v>
      </c>
      <c r="T327" s="21">
        <v>1</v>
      </c>
      <c r="U327" s="21"/>
      <c r="V327" s="21">
        <f>SUMIFS(AD:AD,AE:AE,AE327)</f>
        <v>5831452.4899999993</v>
      </c>
      <c r="W327" s="21">
        <f t="shared" ref="W327:X327" si="62">IF(Y327=0,0,1)</f>
        <v>1</v>
      </c>
      <c r="X327" s="21">
        <f t="shared" si="62"/>
        <v>1</v>
      </c>
      <c r="Y327" s="21">
        <f>SUMIFS(Y:Y,AF:AF,AE327)</f>
        <v>505734.70000000007</v>
      </c>
      <c r="Z327" s="21">
        <f>SUMIFS(Z:Z,AF:AF,AE327)</f>
        <v>1293934.6999999997</v>
      </c>
      <c r="AA327" s="22" t="s">
        <v>15</v>
      </c>
      <c r="AB327" s="43" t="s">
        <v>16</v>
      </c>
      <c r="AC327" s="181">
        <f t="shared" si="54"/>
        <v>1</v>
      </c>
      <c r="AD327" s="184"/>
      <c r="AE327" s="184">
        <v>1.8</v>
      </c>
      <c r="AF327" s="184"/>
      <c r="AG327" s="101" t="str">
        <f t="shared" si="55"/>
        <v/>
      </c>
      <c r="AH327" s="190">
        <v>1</v>
      </c>
      <c r="AI327" s="69">
        <f t="shared" si="56"/>
        <v>1</v>
      </c>
    </row>
    <row r="328" spans="1:35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 t="s">
        <v>15</v>
      </c>
      <c r="I328" s="75">
        <v>69458</v>
      </c>
      <c r="J328" s="75">
        <v>69458</v>
      </c>
      <c r="K328" s="91" t="s">
        <v>865</v>
      </c>
      <c r="L328" s="73"/>
      <c r="M328" s="46">
        <v>0</v>
      </c>
      <c r="N328" s="46">
        <v>0</v>
      </c>
      <c r="O328" s="46">
        <v>0</v>
      </c>
      <c r="P328" s="98"/>
      <c r="Q328" s="23" t="s">
        <v>1421</v>
      </c>
      <c r="R328" s="24" t="s">
        <v>864</v>
      </c>
      <c r="S328" s="25" t="s">
        <v>14</v>
      </c>
      <c r="T328" s="26">
        <v>1</v>
      </c>
      <c r="U328" s="26">
        <v>1</v>
      </c>
      <c r="V328" s="26">
        <v>69458</v>
      </c>
      <c r="W328" s="26">
        <f t="shared" ref="W328:W368" si="63">AH328-M328</f>
        <v>0</v>
      </c>
      <c r="X328" s="26">
        <f t="shared" si="61"/>
        <v>0</v>
      </c>
      <c r="Y328" s="26">
        <f t="shared" ref="Y328:Y368" si="64">Z328-O328</f>
        <v>0</v>
      </c>
      <c r="Z328" s="26">
        <f t="shared" si="57"/>
        <v>0</v>
      </c>
      <c r="AA328" s="33" t="s">
        <v>15</v>
      </c>
      <c r="AB328" s="36" t="s">
        <v>16</v>
      </c>
      <c r="AC328" s="181">
        <f t="shared" si="54"/>
        <v>1</v>
      </c>
      <c r="AD328" s="181">
        <f t="shared" si="60"/>
        <v>69458</v>
      </c>
      <c r="AE328" s="181">
        <v>1.8</v>
      </c>
      <c r="AF328" s="181">
        <v>1.8</v>
      </c>
      <c r="AG328" s="101" t="str">
        <f t="shared" si="55"/>
        <v/>
      </c>
      <c r="AH328" s="190">
        <v>0</v>
      </c>
      <c r="AI328" s="69">
        <f t="shared" si="56"/>
        <v>1</v>
      </c>
    </row>
    <row r="329" spans="1:35" s="69" customFormat="1" ht="39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 t="s">
        <v>15</v>
      </c>
      <c r="I329" s="75">
        <v>94852.479999999996</v>
      </c>
      <c r="J329" s="75">
        <v>94852.479999999996</v>
      </c>
      <c r="K329" s="91" t="s">
        <v>868</v>
      </c>
      <c r="L329" s="73"/>
      <c r="M329" s="46">
        <v>0</v>
      </c>
      <c r="N329" s="46">
        <v>0</v>
      </c>
      <c r="O329" s="46">
        <v>0</v>
      </c>
      <c r="P329" s="98"/>
      <c r="Q329" s="23" t="s">
        <v>1426</v>
      </c>
      <c r="R329" s="24" t="s">
        <v>867</v>
      </c>
      <c r="S329" s="25" t="s">
        <v>14</v>
      </c>
      <c r="T329" s="26">
        <v>1</v>
      </c>
      <c r="U329" s="26">
        <v>1</v>
      </c>
      <c r="V329" s="26">
        <v>94852.479999999996</v>
      </c>
      <c r="W329" s="26">
        <f t="shared" si="63"/>
        <v>0</v>
      </c>
      <c r="X329" s="26">
        <f t="shared" si="61"/>
        <v>0</v>
      </c>
      <c r="Y329" s="26">
        <f t="shared" si="64"/>
        <v>0</v>
      </c>
      <c r="Z329" s="26">
        <f t="shared" si="57"/>
        <v>0</v>
      </c>
      <c r="AA329" s="33" t="s">
        <v>15</v>
      </c>
      <c r="AB329" s="36" t="s">
        <v>16</v>
      </c>
      <c r="AC329" s="181">
        <f t="shared" si="54"/>
        <v>1</v>
      </c>
      <c r="AD329" s="181">
        <f t="shared" si="60"/>
        <v>94852.479999999996</v>
      </c>
      <c r="AE329" s="181">
        <v>1.8</v>
      </c>
      <c r="AF329" s="181">
        <v>1.8</v>
      </c>
      <c r="AG329" s="101" t="str">
        <f t="shared" si="55"/>
        <v/>
      </c>
      <c r="AH329" s="190">
        <v>0</v>
      </c>
      <c r="AI329" s="69">
        <f t="shared" si="56"/>
        <v>1</v>
      </c>
    </row>
    <row r="330" spans="1:35" s="69" customFormat="1" ht="39" x14ac:dyDescent="0.3">
      <c r="A330" s="55" t="s">
        <v>869</v>
      </c>
      <c r="B330" s="53" t="s">
        <v>870</v>
      </c>
      <c r="C330" s="54" t="s">
        <v>14</v>
      </c>
      <c r="D330" s="75">
        <v>1</v>
      </c>
      <c r="E330" s="75"/>
      <c r="F330" s="75"/>
      <c r="G330" s="75"/>
      <c r="H330" s="75" t="s">
        <v>15</v>
      </c>
      <c r="I330" s="75">
        <v>251510</v>
      </c>
      <c r="J330" s="75">
        <v>251510</v>
      </c>
      <c r="K330" s="91" t="s">
        <v>871</v>
      </c>
      <c r="L330" s="73"/>
      <c r="M330" s="46">
        <v>0</v>
      </c>
      <c r="N330" s="46">
        <v>0</v>
      </c>
      <c r="O330" s="46">
        <v>0</v>
      </c>
      <c r="P330" s="98"/>
      <c r="Q330" s="23" t="s">
        <v>1402</v>
      </c>
      <c r="R330" s="24" t="s">
        <v>870</v>
      </c>
      <c r="S330" s="25" t="s">
        <v>14</v>
      </c>
      <c r="T330" s="26">
        <v>1</v>
      </c>
      <c r="U330" s="26">
        <v>1</v>
      </c>
      <c r="V330" s="26">
        <v>251510</v>
      </c>
      <c r="W330" s="26">
        <f t="shared" si="63"/>
        <v>0</v>
      </c>
      <c r="X330" s="26">
        <f t="shared" si="61"/>
        <v>0</v>
      </c>
      <c r="Y330" s="26">
        <f t="shared" si="64"/>
        <v>0</v>
      </c>
      <c r="Z330" s="26">
        <f t="shared" si="57"/>
        <v>0</v>
      </c>
      <c r="AA330" s="33" t="s">
        <v>15</v>
      </c>
      <c r="AB330" s="36" t="s">
        <v>16</v>
      </c>
      <c r="AC330" s="181">
        <f t="shared" si="54"/>
        <v>1</v>
      </c>
      <c r="AD330" s="181">
        <f t="shared" si="60"/>
        <v>251510</v>
      </c>
      <c r="AE330" s="181">
        <v>1.8</v>
      </c>
      <c r="AF330" s="181">
        <v>1.8</v>
      </c>
      <c r="AG330" s="101" t="str">
        <f t="shared" si="55"/>
        <v/>
      </c>
      <c r="AH330" s="190">
        <v>0</v>
      </c>
      <c r="AI330" s="69">
        <f t="shared" si="56"/>
        <v>1</v>
      </c>
    </row>
    <row r="331" spans="1:35" s="69" customFormat="1" ht="39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 t="s">
        <v>15</v>
      </c>
      <c r="I331" s="75">
        <v>174688.22</v>
      </c>
      <c r="J331" s="75">
        <v>174688.22</v>
      </c>
      <c r="K331" s="91" t="s">
        <v>874</v>
      </c>
      <c r="L331" s="73"/>
      <c r="M331" s="46">
        <v>0</v>
      </c>
      <c r="N331" s="46">
        <v>0</v>
      </c>
      <c r="O331" s="46">
        <v>0</v>
      </c>
      <c r="P331" s="98"/>
      <c r="Q331" s="23" t="s">
        <v>1373</v>
      </c>
      <c r="R331" s="24" t="s">
        <v>873</v>
      </c>
      <c r="S331" s="25" t="s">
        <v>14</v>
      </c>
      <c r="T331" s="26">
        <v>1</v>
      </c>
      <c r="U331" s="26">
        <v>1</v>
      </c>
      <c r="V331" s="26">
        <v>174688.22</v>
      </c>
      <c r="W331" s="26">
        <f t="shared" si="63"/>
        <v>0</v>
      </c>
      <c r="X331" s="26">
        <f t="shared" si="61"/>
        <v>0</v>
      </c>
      <c r="Y331" s="26">
        <f t="shared" si="64"/>
        <v>0</v>
      </c>
      <c r="Z331" s="26">
        <f t="shared" si="57"/>
        <v>0</v>
      </c>
      <c r="AA331" s="33" t="s">
        <v>15</v>
      </c>
      <c r="AB331" s="36" t="s">
        <v>16</v>
      </c>
      <c r="AC331" s="181">
        <f t="shared" ref="AC331:AC412" si="65">IF(U331="",T331,U331)</f>
        <v>1</v>
      </c>
      <c r="AD331" s="181">
        <f t="shared" si="60"/>
        <v>174688.22</v>
      </c>
      <c r="AE331" s="181">
        <v>1.8</v>
      </c>
      <c r="AF331" s="181">
        <v>1.8</v>
      </c>
      <c r="AG331" s="101" t="str">
        <f t="shared" ref="AG331:AG412" si="66">IF(X331&gt;AI331,"超估","")</f>
        <v/>
      </c>
      <c r="AH331" s="190">
        <v>0</v>
      </c>
      <c r="AI331" s="69">
        <f t="shared" ref="AI331:AI394" si="67">IF(G331=0,IF(F331=0,IF(E331=0,D331,E331),F331),G331)</f>
        <v>1</v>
      </c>
    </row>
    <row r="332" spans="1:35" s="69" customFormat="1" ht="39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 t="s">
        <v>15</v>
      </c>
      <c r="I332" s="75">
        <v>21221.84</v>
      </c>
      <c r="J332" s="75">
        <v>21221.84</v>
      </c>
      <c r="K332" s="91" t="s">
        <v>877</v>
      </c>
      <c r="L332" s="73"/>
      <c r="M332" s="46">
        <v>0</v>
      </c>
      <c r="N332" s="46">
        <v>0</v>
      </c>
      <c r="O332" s="46">
        <v>0</v>
      </c>
      <c r="P332" s="98"/>
      <c r="Q332" s="23" t="s">
        <v>1393</v>
      </c>
      <c r="R332" s="24" t="s">
        <v>876</v>
      </c>
      <c r="S332" s="25" t="s">
        <v>14</v>
      </c>
      <c r="T332" s="26">
        <v>1</v>
      </c>
      <c r="U332" s="26">
        <v>1</v>
      </c>
      <c r="V332" s="26">
        <v>21221.84</v>
      </c>
      <c r="W332" s="26">
        <f t="shared" si="63"/>
        <v>0</v>
      </c>
      <c r="X332" s="26">
        <f t="shared" si="61"/>
        <v>0</v>
      </c>
      <c r="Y332" s="26">
        <f t="shared" si="64"/>
        <v>0</v>
      </c>
      <c r="Z332" s="26">
        <f t="shared" ref="Z332:Z368" si="68">ROUND(V332*X332,2)</f>
        <v>0</v>
      </c>
      <c r="AA332" s="33" t="s">
        <v>15</v>
      </c>
      <c r="AB332" s="36" t="s">
        <v>16</v>
      </c>
      <c r="AC332" s="181">
        <f t="shared" si="65"/>
        <v>1</v>
      </c>
      <c r="AD332" s="181">
        <f t="shared" si="60"/>
        <v>21221.84</v>
      </c>
      <c r="AE332" s="181">
        <v>1.8</v>
      </c>
      <c r="AF332" s="181">
        <v>1.8</v>
      </c>
      <c r="AG332" s="101" t="str">
        <f t="shared" si="66"/>
        <v/>
      </c>
      <c r="AH332" s="190">
        <v>0</v>
      </c>
      <c r="AI332" s="69">
        <f t="shared" si="67"/>
        <v>1</v>
      </c>
    </row>
    <row r="333" spans="1:35" s="69" customFormat="1" ht="58.5" x14ac:dyDescent="0.3">
      <c r="A333" s="245" t="s">
        <v>878</v>
      </c>
      <c r="B333" s="118" t="s">
        <v>879</v>
      </c>
      <c r="C333" s="119" t="s">
        <v>3144</v>
      </c>
      <c r="D333" s="120">
        <v>12</v>
      </c>
      <c r="E333" s="75"/>
      <c r="F333" s="75"/>
      <c r="G333" s="75"/>
      <c r="H333" s="75" t="s">
        <v>15</v>
      </c>
      <c r="I333" s="75">
        <v>42800</v>
      </c>
      <c r="J333" s="75">
        <v>513600</v>
      </c>
      <c r="K333" s="91" t="s">
        <v>880</v>
      </c>
      <c r="L333" s="73"/>
      <c r="M333" s="46">
        <v>4</v>
      </c>
      <c r="N333" s="46">
        <v>0</v>
      </c>
      <c r="O333" s="46">
        <v>171200</v>
      </c>
      <c r="P333" s="98"/>
      <c r="Q333" s="23" t="s">
        <v>1403</v>
      </c>
      <c r="R333" s="24" t="s">
        <v>879</v>
      </c>
      <c r="S333" s="25" t="s">
        <v>81</v>
      </c>
      <c r="T333" s="26">
        <v>12</v>
      </c>
      <c r="U333" s="26">
        <v>12</v>
      </c>
      <c r="V333" s="26">
        <v>42800</v>
      </c>
      <c r="W333" s="128">
        <f t="shared" si="63"/>
        <v>0</v>
      </c>
      <c r="X333" s="26">
        <f t="shared" si="61"/>
        <v>4</v>
      </c>
      <c r="Y333" s="26">
        <f t="shared" si="64"/>
        <v>0</v>
      </c>
      <c r="Z333" s="26">
        <f t="shared" si="68"/>
        <v>171200</v>
      </c>
      <c r="AA333" s="33" t="s">
        <v>15</v>
      </c>
      <c r="AB333" s="36" t="s">
        <v>16</v>
      </c>
      <c r="AC333" s="181">
        <f t="shared" si="65"/>
        <v>12</v>
      </c>
      <c r="AD333" s="181">
        <f t="shared" si="60"/>
        <v>513600</v>
      </c>
      <c r="AE333" s="181">
        <v>1.8</v>
      </c>
      <c r="AF333" s="181">
        <v>1.8</v>
      </c>
      <c r="AG333" s="101" t="str">
        <f t="shared" si="66"/>
        <v/>
      </c>
      <c r="AH333" s="191">
        <v>4</v>
      </c>
      <c r="AI333" s="69">
        <f t="shared" si="67"/>
        <v>12</v>
      </c>
    </row>
    <row r="334" spans="1:35" s="69" customFormat="1" ht="58.5" x14ac:dyDescent="0.3">
      <c r="A334" s="245" t="s">
        <v>881</v>
      </c>
      <c r="B334" s="118" t="s">
        <v>882</v>
      </c>
      <c r="C334" s="119" t="s">
        <v>81</v>
      </c>
      <c r="D334" s="120">
        <v>7</v>
      </c>
      <c r="E334" s="75"/>
      <c r="F334" s="75"/>
      <c r="G334" s="75"/>
      <c r="H334" s="75" t="s">
        <v>15</v>
      </c>
      <c r="I334" s="75">
        <v>60400</v>
      </c>
      <c r="J334" s="75">
        <v>422800</v>
      </c>
      <c r="K334" s="91" t="s">
        <v>883</v>
      </c>
      <c r="L334" s="73"/>
      <c r="M334" s="46">
        <v>5</v>
      </c>
      <c r="N334" s="46">
        <v>0</v>
      </c>
      <c r="O334" s="46">
        <v>302000</v>
      </c>
      <c r="P334" s="98"/>
      <c r="Q334" s="23" t="s">
        <v>1427</v>
      </c>
      <c r="R334" s="24" t="s">
        <v>882</v>
      </c>
      <c r="S334" s="25" t="s">
        <v>81</v>
      </c>
      <c r="T334" s="26">
        <v>7</v>
      </c>
      <c r="U334" s="26">
        <v>7</v>
      </c>
      <c r="V334" s="26">
        <v>60400</v>
      </c>
      <c r="W334" s="128">
        <f t="shared" si="63"/>
        <v>0</v>
      </c>
      <c r="X334" s="26">
        <f t="shared" si="61"/>
        <v>5</v>
      </c>
      <c r="Y334" s="26">
        <f t="shared" si="64"/>
        <v>0</v>
      </c>
      <c r="Z334" s="26">
        <f t="shared" si="68"/>
        <v>302000</v>
      </c>
      <c r="AA334" s="33" t="s">
        <v>15</v>
      </c>
      <c r="AB334" s="36" t="s">
        <v>16</v>
      </c>
      <c r="AC334" s="181">
        <f t="shared" si="65"/>
        <v>7</v>
      </c>
      <c r="AD334" s="181">
        <f t="shared" si="60"/>
        <v>422800</v>
      </c>
      <c r="AE334" s="181">
        <v>1.8</v>
      </c>
      <c r="AF334" s="181">
        <v>1.8</v>
      </c>
      <c r="AG334" s="101" t="str">
        <f t="shared" si="66"/>
        <v/>
      </c>
      <c r="AH334" s="191">
        <v>5</v>
      </c>
      <c r="AI334" s="69">
        <f t="shared" si="67"/>
        <v>7</v>
      </c>
    </row>
    <row r="335" spans="1:35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 t="s">
        <v>15</v>
      </c>
      <c r="I335" s="75">
        <v>35000</v>
      </c>
      <c r="J335" s="75">
        <v>455000</v>
      </c>
      <c r="K335" s="91" t="s">
        <v>886</v>
      </c>
      <c r="L335" s="73"/>
      <c r="M335" s="46">
        <v>0</v>
      </c>
      <c r="N335" s="46">
        <v>0</v>
      </c>
      <c r="O335" s="46">
        <v>0</v>
      </c>
      <c r="P335" s="98"/>
      <c r="Q335" s="23" t="s">
        <v>1428</v>
      </c>
      <c r="R335" s="24" t="s">
        <v>885</v>
      </c>
      <c r="S335" s="25" t="s">
        <v>81</v>
      </c>
      <c r="T335" s="26">
        <v>13</v>
      </c>
      <c r="U335" s="26">
        <v>13</v>
      </c>
      <c r="V335" s="26">
        <v>35000</v>
      </c>
      <c r="W335" s="26">
        <f t="shared" si="63"/>
        <v>0</v>
      </c>
      <c r="X335" s="26">
        <f t="shared" si="61"/>
        <v>0</v>
      </c>
      <c r="Y335" s="26">
        <f t="shared" si="64"/>
        <v>0</v>
      </c>
      <c r="Z335" s="26">
        <f t="shared" si="68"/>
        <v>0</v>
      </c>
      <c r="AA335" s="33" t="s">
        <v>15</v>
      </c>
      <c r="AB335" s="36" t="s">
        <v>16</v>
      </c>
      <c r="AC335" s="181">
        <f t="shared" si="65"/>
        <v>13</v>
      </c>
      <c r="AD335" s="181">
        <f t="shared" si="60"/>
        <v>455000</v>
      </c>
      <c r="AE335" s="181">
        <v>1.8</v>
      </c>
      <c r="AF335" s="181">
        <v>1.8</v>
      </c>
      <c r="AG335" s="101" t="str">
        <f t="shared" si="66"/>
        <v/>
      </c>
      <c r="AH335" s="190">
        <v>0</v>
      </c>
      <c r="AI335" s="69">
        <f t="shared" si="67"/>
        <v>13</v>
      </c>
    </row>
    <row r="336" spans="1:35" s="69" customFormat="1" ht="58.5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 t="s">
        <v>15</v>
      </c>
      <c r="I336" s="75">
        <v>10000</v>
      </c>
      <c r="J336" s="75">
        <v>130000</v>
      </c>
      <c r="K336" s="91" t="s">
        <v>889</v>
      </c>
      <c r="L336" s="73"/>
      <c r="M336" s="46">
        <v>0</v>
      </c>
      <c r="N336" s="46">
        <v>0</v>
      </c>
      <c r="O336" s="46">
        <v>0</v>
      </c>
      <c r="P336" s="98"/>
      <c r="Q336" s="23" t="s">
        <v>1387</v>
      </c>
      <c r="R336" s="24" t="s">
        <v>888</v>
      </c>
      <c r="S336" s="25" t="s">
        <v>81</v>
      </c>
      <c r="T336" s="26">
        <v>13</v>
      </c>
      <c r="U336" s="26">
        <v>13</v>
      </c>
      <c r="V336" s="26">
        <v>10000</v>
      </c>
      <c r="W336" s="26">
        <f t="shared" si="63"/>
        <v>0</v>
      </c>
      <c r="X336" s="26">
        <f t="shared" si="61"/>
        <v>0</v>
      </c>
      <c r="Y336" s="26">
        <f t="shared" si="64"/>
        <v>0</v>
      </c>
      <c r="Z336" s="26">
        <f t="shared" si="68"/>
        <v>0</v>
      </c>
      <c r="AA336" s="33" t="s">
        <v>15</v>
      </c>
      <c r="AB336" s="36" t="s">
        <v>16</v>
      </c>
      <c r="AC336" s="181">
        <f t="shared" si="65"/>
        <v>13</v>
      </c>
      <c r="AD336" s="181">
        <f t="shared" si="60"/>
        <v>130000</v>
      </c>
      <c r="AE336" s="181">
        <v>1.8</v>
      </c>
      <c r="AF336" s="181">
        <v>1.8</v>
      </c>
      <c r="AG336" s="101" t="str">
        <f t="shared" si="66"/>
        <v/>
      </c>
      <c r="AH336" s="190">
        <v>0</v>
      </c>
      <c r="AI336" s="69">
        <f t="shared" si="67"/>
        <v>13</v>
      </c>
    </row>
    <row r="337" spans="1:35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 t="s">
        <v>15</v>
      </c>
      <c r="I337" s="75">
        <v>1500</v>
      </c>
      <c r="J337" s="75">
        <v>3000</v>
      </c>
      <c r="K337" s="91" t="s">
        <v>892</v>
      </c>
      <c r="L337" s="73"/>
      <c r="M337" s="46">
        <v>0</v>
      </c>
      <c r="N337" s="46">
        <v>0</v>
      </c>
      <c r="O337" s="46">
        <v>0</v>
      </c>
      <c r="P337" s="98"/>
      <c r="Q337" s="23" t="s">
        <v>1405</v>
      </c>
      <c r="R337" s="24" t="s">
        <v>891</v>
      </c>
      <c r="S337" s="25" t="s">
        <v>325</v>
      </c>
      <c r="T337" s="26">
        <v>2</v>
      </c>
      <c r="U337" s="26">
        <v>2</v>
      </c>
      <c r="V337" s="26">
        <v>1500</v>
      </c>
      <c r="W337" s="26">
        <f t="shared" si="63"/>
        <v>0</v>
      </c>
      <c r="X337" s="26">
        <f t="shared" si="61"/>
        <v>0</v>
      </c>
      <c r="Y337" s="26">
        <f t="shared" si="64"/>
        <v>0</v>
      </c>
      <c r="Z337" s="26">
        <f t="shared" si="68"/>
        <v>0</v>
      </c>
      <c r="AA337" s="33" t="s">
        <v>15</v>
      </c>
      <c r="AB337" s="36" t="s">
        <v>16</v>
      </c>
      <c r="AC337" s="181">
        <f t="shared" si="65"/>
        <v>2</v>
      </c>
      <c r="AD337" s="181">
        <f t="shared" si="60"/>
        <v>3000</v>
      </c>
      <c r="AE337" s="181">
        <v>1.8</v>
      </c>
      <c r="AF337" s="181">
        <v>1.8</v>
      </c>
      <c r="AG337" s="101" t="str">
        <f t="shared" si="66"/>
        <v/>
      </c>
      <c r="AH337" s="190">
        <v>0</v>
      </c>
      <c r="AI337" s="69">
        <f t="shared" si="67"/>
        <v>2</v>
      </c>
    </row>
    <row r="338" spans="1:35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 t="s">
        <v>15</v>
      </c>
      <c r="I338" s="75">
        <v>4000</v>
      </c>
      <c r="J338" s="75">
        <v>8000</v>
      </c>
      <c r="K338" s="91" t="s">
        <v>895</v>
      </c>
      <c r="L338" s="73"/>
      <c r="M338" s="46">
        <v>0</v>
      </c>
      <c r="N338" s="46">
        <v>0</v>
      </c>
      <c r="O338" s="46">
        <v>0</v>
      </c>
      <c r="P338" s="98"/>
      <c r="Q338" s="23" t="s">
        <v>1406</v>
      </c>
      <c r="R338" s="24" t="s">
        <v>894</v>
      </c>
      <c r="S338" s="25" t="s">
        <v>325</v>
      </c>
      <c r="T338" s="26">
        <v>2</v>
      </c>
      <c r="U338" s="26">
        <v>2</v>
      </c>
      <c r="V338" s="26">
        <v>4000</v>
      </c>
      <c r="W338" s="26">
        <f t="shared" si="63"/>
        <v>0</v>
      </c>
      <c r="X338" s="26">
        <f t="shared" si="61"/>
        <v>0</v>
      </c>
      <c r="Y338" s="26">
        <f t="shared" si="64"/>
        <v>0</v>
      </c>
      <c r="Z338" s="26">
        <f t="shared" si="68"/>
        <v>0</v>
      </c>
      <c r="AA338" s="33" t="s">
        <v>15</v>
      </c>
      <c r="AB338" s="36" t="s">
        <v>16</v>
      </c>
      <c r="AC338" s="181">
        <f t="shared" si="65"/>
        <v>2</v>
      </c>
      <c r="AD338" s="181">
        <f t="shared" si="60"/>
        <v>8000</v>
      </c>
      <c r="AE338" s="181">
        <v>1.8</v>
      </c>
      <c r="AF338" s="181">
        <v>1.8</v>
      </c>
      <c r="AG338" s="101" t="str">
        <f t="shared" si="66"/>
        <v/>
      </c>
      <c r="AH338" s="190">
        <v>0</v>
      </c>
      <c r="AI338" s="69">
        <f t="shared" si="67"/>
        <v>2</v>
      </c>
    </row>
    <row r="339" spans="1:35" s="69" customFormat="1" ht="33" x14ac:dyDescent="0.3">
      <c r="A339" s="55" t="s">
        <v>896</v>
      </c>
      <c r="B339" s="53" t="s">
        <v>897</v>
      </c>
      <c r="C339" s="54" t="s">
        <v>30</v>
      </c>
      <c r="D339" s="75">
        <v>216.55</v>
      </c>
      <c r="E339" s="75"/>
      <c r="F339" s="75"/>
      <c r="G339" s="75"/>
      <c r="H339" s="75" t="s">
        <v>15</v>
      </c>
      <c r="I339" s="75">
        <v>800</v>
      </c>
      <c r="J339" s="75">
        <v>173240</v>
      </c>
      <c r="K339" s="91" t="s">
        <v>898</v>
      </c>
      <c r="L339" s="73"/>
      <c r="M339" s="46">
        <v>0</v>
      </c>
      <c r="N339" s="46">
        <v>0</v>
      </c>
      <c r="O339" s="46">
        <v>0</v>
      </c>
      <c r="P339" s="98"/>
      <c r="Q339" s="23" t="s">
        <v>1414</v>
      </c>
      <c r="R339" s="24" t="s">
        <v>897</v>
      </c>
      <c r="S339" s="25" t="s">
        <v>30</v>
      </c>
      <c r="T339" s="26">
        <v>216.55</v>
      </c>
      <c r="U339" s="26">
        <v>216.55</v>
      </c>
      <c r="V339" s="26">
        <v>800</v>
      </c>
      <c r="W339" s="26">
        <f t="shared" si="63"/>
        <v>0</v>
      </c>
      <c r="X339" s="26">
        <f t="shared" si="61"/>
        <v>0</v>
      </c>
      <c r="Y339" s="26">
        <f t="shared" si="64"/>
        <v>0</v>
      </c>
      <c r="Z339" s="26">
        <f t="shared" si="68"/>
        <v>0</v>
      </c>
      <c r="AA339" s="33" t="s">
        <v>15</v>
      </c>
      <c r="AB339" s="36" t="s">
        <v>16</v>
      </c>
      <c r="AC339" s="181">
        <f t="shared" si="65"/>
        <v>216.55</v>
      </c>
      <c r="AD339" s="181">
        <f t="shared" si="60"/>
        <v>173240</v>
      </c>
      <c r="AE339" s="181">
        <v>1.8</v>
      </c>
      <c r="AF339" s="181">
        <v>1.8</v>
      </c>
      <c r="AG339" s="101" t="str">
        <f t="shared" si="66"/>
        <v/>
      </c>
      <c r="AH339" s="190">
        <v>0</v>
      </c>
      <c r="AI339" s="69">
        <f t="shared" si="67"/>
        <v>216.55</v>
      </c>
    </row>
    <row r="340" spans="1:35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 t="s">
        <v>15</v>
      </c>
      <c r="I340" s="75">
        <v>11300</v>
      </c>
      <c r="J340" s="75">
        <v>56500</v>
      </c>
      <c r="K340" s="91" t="s">
        <v>901</v>
      </c>
      <c r="L340" s="73"/>
      <c r="M340" s="46">
        <v>0</v>
      </c>
      <c r="N340" s="46">
        <v>0</v>
      </c>
      <c r="O340" s="46">
        <v>0</v>
      </c>
      <c r="P340" s="98"/>
      <c r="Q340" s="23" t="s">
        <v>1429</v>
      </c>
      <c r="R340" s="24" t="s">
        <v>900</v>
      </c>
      <c r="S340" s="25" t="s">
        <v>325</v>
      </c>
      <c r="T340" s="26">
        <v>5</v>
      </c>
      <c r="U340" s="26">
        <v>5</v>
      </c>
      <c r="V340" s="26">
        <v>11300</v>
      </c>
      <c r="W340" s="26">
        <f t="shared" si="63"/>
        <v>0</v>
      </c>
      <c r="X340" s="26">
        <f t="shared" si="61"/>
        <v>0</v>
      </c>
      <c r="Y340" s="26">
        <f t="shared" si="64"/>
        <v>0</v>
      </c>
      <c r="Z340" s="26">
        <f t="shared" si="68"/>
        <v>0</v>
      </c>
      <c r="AA340" s="33" t="s">
        <v>15</v>
      </c>
      <c r="AB340" s="36" t="s">
        <v>16</v>
      </c>
      <c r="AC340" s="181">
        <f t="shared" si="65"/>
        <v>5</v>
      </c>
      <c r="AD340" s="181">
        <f t="shared" si="60"/>
        <v>56500</v>
      </c>
      <c r="AE340" s="181">
        <v>1.8</v>
      </c>
      <c r="AF340" s="181">
        <v>1.8</v>
      </c>
      <c r="AG340" s="101" t="str">
        <f t="shared" si="66"/>
        <v/>
      </c>
      <c r="AH340" s="190">
        <v>0</v>
      </c>
      <c r="AI340" s="69">
        <f t="shared" si="67"/>
        <v>5</v>
      </c>
    </row>
    <row r="341" spans="1:35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 t="s">
        <v>15</v>
      </c>
      <c r="I341" s="75">
        <v>13500</v>
      </c>
      <c r="J341" s="75">
        <v>108000</v>
      </c>
      <c r="K341" s="91" t="s">
        <v>904</v>
      </c>
      <c r="L341" s="73"/>
      <c r="M341" s="46">
        <v>0</v>
      </c>
      <c r="N341" s="46">
        <v>0</v>
      </c>
      <c r="O341" s="46">
        <v>0</v>
      </c>
      <c r="P341" s="98"/>
      <c r="Q341" s="23" t="s">
        <v>1430</v>
      </c>
      <c r="R341" s="24" t="s">
        <v>903</v>
      </c>
      <c r="S341" s="25" t="s">
        <v>325</v>
      </c>
      <c r="T341" s="26">
        <v>8</v>
      </c>
      <c r="U341" s="26">
        <v>8</v>
      </c>
      <c r="V341" s="26">
        <v>13500</v>
      </c>
      <c r="W341" s="26">
        <f t="shared" si="63"/>
        <v>0</v>
      </c>
      <c r="X341" s="26">
        <f t="shared" si="61"/>
        <v>0</v>
      </c>
      <c r="Y341" s="26">
        <f t="shared" si="64"/>
        <v>0</v>
      </c>
      <c r="Z341" s="26">
        <f t="shared" si="68"/>
        <v>0</v>
      </c>
      <c r="AA341" s="33" t="s">
        <v>15</v>
      </c>
      <c r="AB341" s="36" t="s">
        <v>16</v>
      </c>
      <c r="AC341" s="181">
        <f t="shared" si="65"/>
        <v>8</v>
      </c>
      <c r="AD341" s="181">
        <f t="shared" si="60"/>
        <v>108000</v>
      </c>
      <c r="AE341" s="181">
        <v>1.8</v>
      </c>
      <c r="AF341" s="181">
        <v>1.8</v>
      </c>
      <c r="AG341" s="101" t="str">
        <f t="shared" si="66"/>
        <v/>
      </c>
      <c r="AH341" s="190">
        <v>0</v>
      </c>
      <c r="AI341" s="69">
        <f t="shared" si="67"/>
        <v>8</v>
      </c>
    </row>
    <row r="342" spans="1:35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 t="s">
        <v>15</v>
      </c>
      <c r="I342" s="75">
        <v>112963.49</v>
      </c>
      <c r="J342" s="75">
        <v>112963.49</v>
      </c>
      <c r="K342" s="91" t="s">
        <v>907</v>
      </c>
      <c r="L342" s="73"/>
      <c r="M342" s="46">
        <v>0</v>
      </c>
      <c r="N342" s="46">
        <v>0</v>
      </c>
      <c r="O342" s="46">
        <v>0</v>
      </c>
      <c r="P342" s="98"/>
      <c r="Q342" s="23" t="s">
        <v>1431</v>
      </c>
      <c r="R342" s="24" t="s">
        <v>906</v>
      </c>
      <c r="S342" s="25" t="s">
        <v>73</v>
      </c>
      <c r="T342" s="26">
        <v>1</v>
      </c>
      <c r="U342" s="26">
        <v>1</v>
      </c>
      <c r="V342" s="26">
        <v>112963.49</v>
      </c>
      <c r="W342" s="26">
        <f t="shared" si="63"/>
        <v>0</v>
      </c>
      <c r="X342" s="26">
        <f t="shared" si="61"/>
        <v>0</v>
      </c>
      <c r="Y342" s="26">
        <f t="shared" si="64"/>
        <v>0</v>
      </c>
      <c r="Z342" s="26">
        <f t="shared" si="68"/>
        <v>0</v>
      </c>
      <c r="AA342" s="33" t="s">
        <v>15</v>
      </c>
      <c r="AB342" s="36" t="s">
        <v>16</v>
      </c>
      <c r="AC342" s="181">
        <f t="shared" si="65"/>
        <v>1</v>
      </c>
      <c r="AD342" s="181">
        <f t="shared" si="60"/>
        <v>112963.49</v>
      </c>
      <c r="AE342" s="181">
        <v>1.8</v>
      </c>
      <c r="AF342" s="181">
        <v>1.8</v>
      </c>
      <c r="AG342" s="101" t="str">
        <f t="shared" si="66"/>
        <v/>
      </c>
      <c r="AH342" s="190">
        <v>0</v>
      </c>
      <c r="AI342" s="69">
        <f t="shared" si="67"/>
        <v>1</v>
      </c>
    </row>
    <row r="343" spans="1:35" s="69" customFormat="1" ht="33" x14ac:dyDescent="0.3">
      <c r="A343" s="246" t="s">
        <v>908</v>
      </c>
      <c r="B343" s="247" t="s">
        <v>909</v>
      </c>
      <c r="C343" s="248" t="s">
        <v>14</v>
      </c>
      <c r="D343" s="249">
        <v>1</v>
      </c>
      <c r="E343" s="75"/>
      <c r="F343" s="75"/>
      <c r="G343" s="75"/>
      <c r="H343" s="75" t="s">
        <v>15</v>
      </c>
      <c r="I343" s="75">
        <v>322500</v>
      </c>
      <c r="J343" s="75">
        <v>322500</v>
      </c>
      <c r="K343" s="91" t="s">
        <v>910</v>
      </c>
      <c r="L343" s="73"/>
      <c r="M343" s="46">
        <v>0</v>
      </c>
      <c r="N343" s="46">
        <v>0</v>
      </c>
      <c r="O343" s="46">
        <v>0</v>
      </c>
      <c r="P343" s="98"/>
      <c r="Q343" s="23" t="s">
        <v>1395</v>
      </c>
      <c r="R343" s="24" t="s">
        <v>909</v>
      </c>
      <c r="S343" s="25" t="s">
        <v>14</v>
      </c>
      <c r="T343" s="26">
        <v>1</v>
      </c>
      <c r="U343" s="26">
        <v>1</v>
      </c>
      <c r="V343" s="26">
        <v>322500</v>
      </c>
      <c r="W343" s="26">
        <f t="shared" si="63"/>
        <v>0</v>
      </c>
      <c r="X343" s="26">
        <f t="shared" si="61"/>
        <v>0</v>
      </c>
      <c r="Y343" s="26">
        <f t="shared" si="64"/>
        <v>0</v>
      </c>
      <c r="Z343" s="26">
        <f t="shared" si="68"/>
        <v>0</v>
      </c>
      <c r="AA343" s="33" t="s">
        <v>15</v>
      </c>
      <c r="AB343" s="36" t="s">
        <v>16</v>
      </c>
      <c r="AC343" s="181">
        <f t="shared" si="65"/>
        <v>1</v>
      </c>
      <c r="AD343" s="181">
        <f t="shared" si="60"/>
        <v>322500</v>
      </c>
      <c r="AE343" s="181">
        <v>1.8</v>
      </c>
      <c r="AF343" s="181">
        <v>1.8</v>
      </c>
      <c r="AG343" s="101" t="str">
        <f t="shared" si="66"/>
        <v/>
      </c>
      <c r="AH343" s="190">
        <v>0</v>
      </c>
      <c r="AI343" s="69">
        <f t="shared" si="67"/>
        <v>1</v>
      </c>
    </row>
    <row r="344" spans="1:35" s="69" customFormat="1" ht="33" x14ac:dyDescent="0.3">
      <c r="A344" s="246" t="s">
        <v>911</v>
      </c>
      <c r="B344" s="247" t="s">
        <v>912</v>
      </c>
      <c r="C344" s="248" t="s">
        <v>325</v>
      </c>
      <c r="D344" s="249">
        <v>7</v>
      </c>
      <c r="E344" s="75"/>
      <c r="F344" s="75"/>
      <c r="G344" s="75"/>
      <c r="H344" s="75" t="s">
        <v>15</v>
      </c>
      <c r="I344" s="75">
        <v>15500</v>
      </c>
      <c r="J344" s="75">
        <v>108500</v>
      </c>
      <c r="K344" s="91" t="s">
        <v>913</v>
      </c>
      <c r="L344" s="73"/>
      <c r="M344" s="46">
        <v>0</v>
      </c>
      <c r="N344" s="46">
        <v>0</v>
      </c>
      <c r="O344" s="46">
        <v>0</v>
      </c>
      <c r="P344" s="98"/>
      <c r="Q344" s="23" t="s">
        <v>1432</v>
      </c>
      <c r="R344" s="24" t="s">
        <v>912</v>
      </c>
      <c r="S344" s="25" t="s">
        <v>325</v>
      </c>
      <c r="T344" s="26">
        <v>7</v>
      </c>
      <c r="U344" s="26">
        <v>7</v>
      </c>
      <c r="V344" s="26">
        <v>15500</v>
      </c>
      <c r="W344" s="26">
        <f t="shared" si="63"/>
        <v>0</v>
      </c>
      <c r="X344" s="26">
        <f t="shared" si="61"/>
        <v>0</v>
      </c>
      <c r="Y344" s="26">
        <f t="shared" si="64"/>
        <v>0</v>
      </c>
      <c r="Z344" s="26">
        <f t="shared" si="68"/>
        <v>0</v>
      </c>
      <c r="AA344" s="33" t="s">
        <v>15</v>
      </c>
      <c r="AB344" s="36" t="s">
        <v>16</v>
      </c>
      <c r="AC344" s="181">
        <f t="shared" si="65"/>
        <v>7</v>
      </c>
      <c r="AD344" s="181">
        <f t="shared" si="60"/>
        <v>108500</v>
      </c>
      <c r="AE344" s="181">
        <v>1.8</v>
      </c>
      <c r="AF344" s="181">
        <v>1.8</v>
      </c>
      <c r="AG344" s="101" t="str">
        <f t="shared" si="66"/>
        <v/>
      </c>
      <c r="AH344" s="190">
        <v>0</v>
      </c>
      <c r="AI344" s="69">
        <f t="shared" si="67"/>
        <v>7</v>
      </c>
    </row>
    <row r="345" spans="1:35" s="69" customFormat="1" ht="33" x14ac:dyDescent="0.3">
      <c r="A345" s="246" t="s">
        <v>914</v>
      </c>
      <c r="B345" s="247" t="s">
        <v>915</v>
      </c>
      <c r="C345" s="248" t="s">
        <v>325</v>
      </c>
      <c r="D345" s="249">
        <v>2</v>
      </c>
      <c r="E345" s="75"/>
      <c r="F345" s="75"/>
      <c r="G345" s="75"/>
      <c r="H345" s="75" t="s">
        <v>15</v>
      </c>
      <c r="I345" s="75">
        <v>113300</v>
      </c>
      <c r="J345" s="75">
        <v>226600</v>
      </c>
      <c r="K345" s="91" t="s">
        <v>916</v>
      </c>
      <c r="L345" s="73"/>
      <c r="M345" s="46">
        <v>0</v>
      </c>
      <c r="N345" s="46">
        <v>0</v>
      </c>
      <c r="O345" s="46">
        <v>0</v>
      </c>
      <c r="P345" s="98"/>
      <c r="Q345" s="23" t="s">
        <v>1433</v>
      </c>
      <c r="R345" s="24" t="s">
        <v>915</v>
      </c>
      <c r="S345" s="25" t="s">
        <v>325</v>
      </c>
      <c r="T345" s="26">
        <v>2</v>
      </c>
      <c r="U345" s="26">
        <v>2</v>
      </c>
      <c r="V345" s="26">
        <v>113300</v>
      </c>
      <c r="W345" s="26">
        <f t="shared" si="63"/>
        <v>0</v>
      </c>
      <c r="X345" s="26">
        <f t="shared" si="61"/>
        <v>0</v>
      </c>
      <c r="Y345" s="26">
        <f t="shared" si="64"/>
        <v>0</v>
      </c>
      <c r="Z345" s="26">
        <f t="shared" si="68"/>
        <v>0</v>
      </c>
      <c r="AA345" s="33" t="s">
        <v>15</v>
      </c>
      <c r="AB345" s="36" t="s">
        <v>16</v>
      </c>
      <c r="AC345" s="181">
        <f t="shared" si="65"/>
        <v>2</v>
      </c>
      <c r="AD345" s="181">
        <f t="shared" si="60"/>
        <v>226600</v>
      </c>
      <c r="AE345" s="181">
        <v>1.8</v>
      </c>
      <c r="AF345" s="181">
        <v>1.8</v>
      </c>
      <c r="AG345" s="101" t="str">
        <f t="shared" si="66"/>
        <v/>
      </c>
      <c r="AH345" s="190">
        <v>0</v>
      </c>
      <c r="AI345" s="69">
        <f t="shared" si="67"/>
        <v>2</v>
      </c>
    </row>
    <row r="346" spans="1:35" s="69" customFormat="1" ht="33" x14ac:dyDescent="0.3">
      <c r="A346" s="55" t="s">
        <v>917</v>
      </c>
      <c r="B346" s="53" t="s">
        <v>918</v>
      </c>
      <c r="C346" s="54" t="s">
        <v>325</v>
      </c>
      <c r="D346" s="75">
        <v>9</v>
      </c>
      <c r="E346" s="75"/>
      <c r="F346" s="75"/>
      <c r="G346" s="75"/>
      <c r="H346" s="75" t="s">
        <v>15</v>
      </c>
      <c r="I346" s="75">
        <v>100000</v>
      </c>
      <c r="J346" s="75">
        <v>900000</v>
      </c>
      <c r="K346" s="91" t="s">
        <v>919</v>
      </c>
      <c r="L346" s="73"/>
      <c r="M346" s="46">
        <v>3</v>
      </c>
      <c r="N346" s="46">
        <v>200000</v>
      </c>
      <c r="O346" s="46">
        <v>300000</v>
      </c>
      <c r="P346" s="98"/>
      <c r="Q346" s="23" t="s">
        <v>1382</v>
      </c>
      <c r="R346" s="24" t="s">
        <v>918</v>
      </c>
      <c r="S346" s="25" t="s">
        <v>325</v>
      </c>
      <c r="T346" s="26">
        <v>9</v>
      </c>
      <c r="U346" s="26">
        <v>9</v>
      </c>
      <c r="V346" s="26">
        <v>100000</v>
      </c>
      <c r="W346" s="243">
        <f t="shared" si="63"/>
        <v>3</v>
      </c>
      <c r="X346" s="26">
        <f t="shared" si="61"/>
        <v>6</v>
      </c>
      <c r="Y346" s="26">
        <f t="shared" si="64"/>
        <v>300000</v>
      </c>
      <c r="Z346" s="26">
        <f t="shared" si="68"/>
        <v>600000</v>
      </c>
      <c r="AA346" s="33" t="s">
        <v>15</v>
      </c>
      <c r="AB346" s="36" t="s">
        <v>16</v>
      </c>
      <c r="AC346" s="181">
        <f t="shared" si="65"/>
        <v>9</v>
      </c>
      <c r="AD346" s="181">
        <f t="shared" si="60"/>
        <v>900000</v>
      </c>
      <c r="AE346" s="181">
        <v>1.8</v>
      </c>
      <c r="AF346" s="181">
        <v>1.8</v>
      </c>
      <c r="AG346" s="101" t="str">
        <f t="shared" si="66"/>
        <v/>
      </c>
      <c r="AH346" s="191">
        <f>1+2+3</f>
        <v>6</v>
      </c>
      <c r="AI346" s="69">
        <f t="shared" si="67"/>
        <v>9</v>
      </c>
    </row>
    <row r="347" spans="1:35" s="69" customFormat="1" ht="33" x14ac:dyDescent="0.3">
      <c r="A347" s="55" t="s">
        <v>920</v>
      </c>
      <c r="B347" s="53" t="s">
        <v>921</v>
      </c>
      <c r="C347" s="54" t="s">
        <v>81</v>
      </c>
      <c r="D347" s="75">
        <v>2</v>
      </c>
      <c r="E347" s="75"/>
      <c r="F347" s="75"/>
      <c r="G347" s="75"/>
      <c r="H347" s="75" t="s">
        <v>15</v>
      </c>
      <c r="I347" s="75">
        <v>15000</v>
      </c>
      <c r="J347" s="75">
        <v>30000</v>
      </c>
      <c r="K347" s="91" t="s">
        <v>922</v>
      </c>
      <c r="L347" s="73"/>
      <c r="M347" s="46">
        <v>1</v>
      </c>
      <c r="N347" s="46">
        <v>0</v>
      </c>
      <c r="O347" s="46">
        <v>15000</v>
      </c>
      <c r="P347" s="98"/>
      <c r="Q347" s="23" t="s">
        <v>1434</v>
      </c>
      <c r="R347" s="24" t="s">
        <v>921</v>
      </c>
      <c r="S347" s="25" t="s">
        <v>81</v>
      </c>
      <c r="T347" s="26">
        <v>2</v>
      </c>
      <c r="U347" s="26">
        <v>2</v>
      </c>
      <c r="V347" s="26">
        <v>15000</v>
      </c>
      <c r="W347" s="128">
        <f t="shared" si="63"/>
        <v>0</v>
      </c>
      <c r="X347" s="26">
        <f t="shared" si="61"/>
        <v>1</v>
      </c>
      <c r="Y347" s="26">
        <f t="shared" si="64"/>
        <v>0</v>
      </c>
      <c r="Z347" s="26">
        <f t="shared" si="68"/>
        <v>15000</v>
      </c>
      <c r="AA347" s="33" t="s">
        <v>15</v>
      </c>
      <c r="AB347" s="36" t="s">
        <v>16</v>
      </c>
      <c r="AC347" s="181">
        <f t="shared" si="65"/>
        <v>2</v>
      </c>
      <c r="AD347" s="181">
        <f t="shared" si="60"/>
        <v>30000</v>
      </c>
      <c r="AE347" s="181">
        <v>1.8</v>
      </c>
      <c r="AF347" s="181">
        <v>1.8</v>
      </c>
      <c r="AG347" s="101" t="str">
        <f t="shared" si="66"/>
        <v/>
      </c>
      <c r="AH347" s="191">
        <v>1</v>
      </c>
      <c r="AI347" s="69">
        <f t="shared" si="67"/>
        <v>2</v>
      </c>
    </row>
    <row r="348" spans="1:35" s="69" customFormat="1" ht="39" x14ac:dyDescent="0.3">
      <c r="A348" s="55" t="s">
        <v>923</v>
      </c>
      <c r="B348" s="53" t="s">
        <v>924</v>
      </c>
      <c r="C348" s="54" t="s">
        <v>925</v>
      </c>
      <c r="D348" s="75">
        <v>1</v>
      </c>
      <c r="E348" s="75"/>
      <c r="F348" s="75"/>
      <c r="G348" s="75"/>
      <c r="H348" s="75" t="s">
        <v>15</v>
      </c>
      <c r="I348" s="75">
        <v>15000</v>
      </c>
      <c r="J348" s="75">
        <v>15000</v>
      </c>
      <c r="K348" s="91" t="s">
        <v>926</v>
      </c>
      <c r="L348" s="73"/>
      <c r="M348" s="46">
        <v>0</v>
      </c>
      <c r="N348" s="46">
        <v>0</v>
      </c>
      <c r="O348" s="46">
        <v>0</v>
      </c>
      <c r="P348" s="98"/>
      <c r="Q348" s="23" t="s">
        <v>1388</v>
      </c>
      <c r="R348" s="24" t="s">
        <v>924</v>
      </c>
      <c r="S348" s="25" t="s">
        <v>925</v>
      </c>
      <c r="T348" s="26">
        <v>1</v>
      </c>
      <c r="U348" s="26">
        <v>1</v>
      </c>
      <c r="V348" s="26">
        <v>15000</v>
      </c>
      <c r="W348" s="26">
        <f t="shared" si="63"/>
        <v>0</v>
      </c>
      <c r="X348" s="26">
        <f t="shared" si="61"/>
        <v>0</v>
      </c>
      <c r="Y348" s="26">
        <f t="shared" si="64"/>
        <v>0</v>
      </c>
      <c r="Z348" s="26">
        <f t="shared" si="68"/>
        <v>0</v>
      </c>
      <c r="AA348" s="33" t="s">
        <v>15</v>
      </c>
      <c r="AB348" s="36" t="s">
        <v>16</v>
      </c>
      <c r="AC348" s="181">
        <f t="shared" si="65"/>
        <v>1</v>
      </c>
      <c r="AD348" s="181">
        <f t="shared" si="60"/>
        <v>15000</v>
      </c>
      <c r="AE348" s="181">
        <v>1.8</v>
      </c>
      <c r="AF348" s="181">
        <v>1.8</v>
      </c>
      <c r="AG348" s="101" t="str">
        <f t="shared" si="66"/>
        <v/>
      </c>
      <c r="AH348" s="190">
        <v>0</v>
      </c>
      <c r="AI348" s="69">
        <f t="shared" si="67"/>
        <v>1</v>
      </c>
    </row>
    <row r="349" spans="1:35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 t="s">
        <v>15</v>
      </c>
      <c r="I349" s="75">
        <v>1500</v>
      </c>
      <c r="J349" s="75">
        <v>1500</v>
      </c>
      <c r="K349" s="91" t="s">
        <v>929</v>
      </c>
      <c r="L349" s="73"/>
      <c r="M349" s="46">
        <v>0</v>
      </c>
      <c r="N349" s="46">
        <v>0</v>
      </c>
      <c r="O349" s="46">
        <v>0</v>
      </c>
      <c r="P349" s="98"/>
      <c r="Q349" s="23" t="s">
        <v>1389</v>
      </c>
      <c r="R349" s="24" t="s">
        <v>928</v>
      </c>
      <c r="S349" s="25" t="s">
        <v>325</v>
      </c>
      <c r="T349" s="26">
        <v>1</v>
      </c>
      <c r="U349" s="26">
        <v>1</v>
      </c>
      <c r="V349" s="26">
        <v>1500</v>
      </c>
      <c r="W349" s="26">
        <f t="shared" si="63"/>
        <v>0</v>
      </c>
      <c r="X349" s="26">
        <f t="shared" si="61"/>
        <v>0</v>
      </c>
      <c r="Y349" s="26">
        <f t="shared" si="64"/>
        <v>0</v>
      </c>
      <c r="Z349" s="26">
        <f t="shared" si="68"/>
        <v>0</v>
      </c>
      <c r="AA349" s="33" t="s">
        <v>15</v>
      </c>
      <c r="AB349" s="36" t="s">
        <v>16</v>
      </c>
      <c r="AC349" s="181">
        <f t="shared" si="65"/>
        <v>1</v>
      </c>
      <c r="AD349" s="181">
        <f t="shared" si="60"/>
        <v>1500</v>
      </c>
      <c r="AE349" s="181">
        <v>1.8</v>
      </c>
      <c r="AF349" s="181">
        <v>1.8</v>
      </c>
      <c r="AG349" s="101" t="str">
        <f t="shared" si="66"/>
        <v/>
      </c>
      <c r="AH349" s="190">
        <v>0</v>
      </c>
      <c r="AI349" s="69">
        <f t="shared" si="67"/>
        <v>1</v>
      </c>
    </row>
    <row r="350" spans="1:35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 t="s">
        <v>15</v>
      </c>
      <c r="I350" s="75">
        <v>2600</v>
      </c>
      <c r="J350" s="75">
        <v>7800</v>
      </c>
      <c r="K350" s="91" t="s">
        <v>933</v>
      </c>
      <c r="L350" s="73"/>
      <c r="M350" s="46">
        <v>0</v>
      </c>
      <c r="N350" s="46">
        <v>0</v>
      </c>
      <c r="O350" s="46">
        <v>0</v>
      </c>
      <c r="P350" s="98"/>
      <c r="Q350" s="23" t="s">
        <v>1390</v>
      </c>
      <c r="R350" s="24" t="s">
        <v>931</v>
      </c>
      <c r="S350" s="25" t="s">
        <v>932</v>
      </c>
      <c r="T350" s="26">
        <v>3</v>
      </c>
      <c r="U350" s="26">
        <v>3</v>
      </c>
      <c r="V350" s="26">
        <v>2600</v>
      </c>
      <c r="W350" s="26">
        <f t="shared" si="63"/>
        <v>0</v>
      </c>
      <c r="X350" s="26">
        <f t="shared" si="61"/>
        <v>0</v>
      </c>
      <c r="Y350" s="26">
        <f t="shared" si="64"/>
        <v>0</v>
      </c>
      <c r="Z350" s="26">
        <f t="shared" si="68"/>
        <v>0</v>
      </c>
      <c r="AA350" s="33" t="s">
        <v>15</v>
      </c>
      <c r="AB350" s="36" t="s">
        <v>16</v>
      </c>
      <c r="AC350" s="181">
        <f t="shared" si="65"/>
        <v>3</v>
      </c>
      <c r="AD350" s="181">
        <f t="shared" si="60"/>
        <v>7800</v>
      </c>
      <c r="AE350" s="181">
        <v>1.8</v>
      </c>
      <c r="AF350" s="181">
        <v>1.8</v>
      </c>
      <c r="AG350" s="101" t="str">
        <f t="shared" si="66"/>
        <v/>
      </c>
      <c r="AH350" s="190">
        <v>0</v>
      </c>
      <c r="AI350" s="69">
        <f t="shared" si="67"/>
        <v>3</v>
      </c>
    </row>
    <row r="351" spans="1:35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 t="s">
        <v>15</v>
      </c>
      <c r="I351" s="75">
        <v>4460</v>
      </c>
      <c r="J351" s="75">
        <v>169480</v>
      </c>
      <c r="K351" s="91" t="s">
        <v>936</v>
      </c>
      <c r="L351" s="73"/>
      <c r="M351" s="46">
        <v>0</v>
      </c>
      <c r="N351" s="46">
        <v>0</v>
      </c>
      <c r="O351" s="46">
        <v>0</v>
      </c>
      <c r="P351" s="98"/>
      <c r="Q351" s="23" t="s">
        <v>1391</v>
      </c>
      <c r="R351" s="24" t="s">
        <v>935</v>
      </c>
      <c r="S351" s="25" t="s">
        <v>932</v>
      </c>
      <c r="T351" s="26">
        <v>38</v>
      </c>
      <c r="U351" s="26">
        <v>38</v>
      </c>
      <c r="V351" s="26">
        <v>4460</v>
      </c>
      <c r="W351" s="26">
        <f t="shared" si="63"/>
        <v>0</v>
      </c>
      <c r="X351" s="26">
        <f t="shared" si="61"/>
        <v>0</v>
      </c>
      <c r="Y351" s="26">
        <f t="shared" si="64"/>
        <v>0</v>
      </c>
      <c r="Z351" s="26">
        <f t="shared" si="68"/>
        <v>0</v>
      </c>
      <c r="AA351" s="33" t="s">
        <v>15</v>
      </c>
      <c r="AB351" s="36" t="s">
        <v>16</v>
      </c>
      <c r="AC351" s="181">
        <f t="shared" si="65"/>
        <v>38</v>
      </c>
      <c r="AD351" s="181">
        <f t="shared" si="60"/>
        <v>169480</v>
      </c>
      <c r="AE351" s="181">
        <v>1.8</v>
      </c>
      <c r="AF351" s="181">
        <v>1.8</v>
      </c>
      <c r="AG351" s="101" t="str">
        <f t="shared" si="66"/>
        <v/>
      </c>
      <c r="AH351" s="190">
        <v>0</v>
      </c>
      <c r="AI351" s="69">
        <f t="shared" si="67"/>
        <v>38</v>
      </c>
    </row>
    <row r="352" spans="1:35" s="69" customFormat="1" ht="39" x14ac:dyDescent="0.3">
      <c r="A352" s="55" t="s">
        <v>937</v>
      </c>
      <c r="B352" s="118" t="s">
        <v>938</v>
      </c>
      <c r="C352" s="119" t="s">
        <v>30</v>
      </c>
      <c r="D352" s="120">
        <v>1352</v>
      </c>
      <c r="E352" s="75"/>
      <c r="F352" s="75"/>
      <c r="G352" s="75"/>
      <c r="H352" s="75" t="s">
        <v>15</v>
      </c>
      <c r="I352" s="75">
        <v>30.59</v>
      </c>
      <c r="J352" s="75">
        <v>41357.68</v>
      </c>
      <c r="K352" s="91" t="s">
        <v>939</v>
      </c>
      <c r="L352" s="73"/>
      <c r="M352" s="46">
        <v>0</v>
      </c>
      <c r="N352" s="46">
        <v>0</v>
      </c>
      <c r="O352" s="46">
        <v>0</v>
      </c>
      <c r="P352" s="98"/>
      <c r="Q352" s="23" t="s">
        <v>1436</v>
      </c>
      <c r="R352" s="24" t="s">
        <v>938</v>
      </c>
      <c r="S352" s="25" t="s">
        <v>30</v>
      </c>
      <c r="T352" s="26">
        <v>1352</v>
      </c>
      <c r="U352" s="26">
        <v>1352</v>
      </c>
      <c r="V352" s="26">
        <v>30.59</v>
      </c>
      <c r="W352" s="26">
        <f t="shared" si="63"/>
        <v>0</v>
      </c>
      <c r="X352" s="26">
        <f t="shared" si="61"/>
        <v>0</v>
      </c>
      <c r="Y352" s="26">
        <f t="shared" si="64"/>
        <v>0</v>
      </c>
      <c r="Z352" s="26">
        <f t="shared" si="68"/>
        <v>0</v>
      </c>
      <c r="AA352" s="33" t="s">
        <v>15</v>
      </c>
      <c r="AB352" s="36" t="s">
        <v>16</v>
      </c>
      <c r="AC352" s="181">
        <f t="shared" si="65"/>
        <v>1352</v>
      </c>
      <c r="AD352" s="181">
        <f t="shared" si="60"/>
        <v>41357.68</v>
      </c>
      <c r="AE352" s="181">
        <v>1.8</v>
      </c>
      <c r="AF352" s="181">
        <v>1.8</v>
      </c>
      <c r="AG352" s="101" t="str">
        <f t="shared" si="66"/>
        <v/>
      </c>
      <c r="AH352" s="190">
        <v>0</v>
      </c>
      <c r="AI352" s="69">
        <f t="shared" si="67"/>
        <v>1352</v>
      </c>
    </row>
    <row r="353" spans="1:35" s="69" customFormat="1" ht="58.5" x14ac:dyDescent="0.3">
      <c r="A353" s="55" t="s">
        <v>940</v>
      </c>
      <c r="B353" s="118" t="s">
        <v>941</v>
      </c>
      <c r="C353" s="119" t="s">
        <v>30</v>
      </c>
      <c r="D353" s="120">
        <v>300</v>
      </c>
      <c r="E353" s="75"/>
      <c r="F353" s="75"/>
      <c r="G353" s="75"/>
      <c r="H353" s="75" t="s">
        <v>15</v>
      </c>
      <c r="I353" s="75">
        <v>972.45</v>
      </c>
      <c r="J353" s="75">
        <v>291735</v>
      </c>
      <c r="K353" s="91" t="s">
        <v>942</v>
      </c>
      <c r="L353" s="73"/>
      <c r="M353" s="46">
        <v>0</v>
      </c>
      <c r="N353" s="46">
        <v>0</v>
      </c>
      <c r="O353" s="46">
        <v>0</v>
      </c>
      <c r="P353" s="98"/>
      <c r="Q353" s="23" t="s">
        <v>1374</v>
      </c>
      <c r="R353" s="24" t="s">
        <v>941</v>
      </c>
      <c r="S353" s="25" t="s">
        <v>30</v>
      </c>
      <c r="T353" s="26">
        <v>300</v>
      </c>
      <c r="U353" s="26">
        <v>300</v>
      </c>
      <c r="V353" s="26">
        <v>972.45</v>
      </c>
      <c r="W353" s="26">
        <f t="shared" si="63"/>
        <v>0</v>
      </c>
      <c r="X353" s="26">
        <f t="shared" si="61"/>
        <v>0</v>
      </c>
      <c r="Y353" s="26">
        <f t="shared" si="64"/>
        <v>0</v>
      </c>
      <c r="Z353" s="26">
        <f t="shared" si="68"/>
        <v>0</v>
      </c>
      <c r="AA353" s="33" t="s">
        <v>15</v>
      </c>
      <c r="AB353" s="36" t="s">
        <v>16</v>
      </c>
      <c r="AC353" s="181">
        <f t="shared" si="65"/>
        <v>300</v>
      </c>
      <c r="AD353" s="181">
        <f t="shared" si="60"/>
        <v>291735</v>
      </c>
      <c r="AE353" s="181">
        <v>1.8</v>
      </c>
      <c r="AF353" s="181">
        <v>1.8</v>
      </c>
      <c r="AG353" s="101" t="str">
        <f t="shared" si="66"/>
        <v/>
      </c>
      <c r="AH353" s="190">
        <v>0</v>
      </c>
      <c r="AI353" s="69">
        <f t="shared" si="67"/>
        <v>300</v>
      </c>
    </row>
    <row r="354" spans="1:35" s="69" customFormat="1" ht="58.5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 t="s">
        <v>15</v>
      </c>
      <c r="I354" s="75">
        <v>628.34</v>
      </c>
      <c r="J354" s="75">
        <v>158341.68</v>
      </c>
      <c r="K354" s="91" t="s">
        <v>945</v>
      </c>
      <c r="L354" s="73"/>
      <c r="M354" s="46">
        <v>0</v>
      </c>
      <c r="N354" s="46">
        <v>0</v>
      </c>
      <c r="O354" s="46">
        <v>0</v>
      </c>
      <c r="P354" s="98"/>
      <c r="Q354" s="23" t="s">
        <v>1376</v>
      </c>
      <c r="R354" s="24" t="s">
        <v>944</v>
      </c>
      <c r="S354" s="25" t="s">
        <v>30</v>
      </c>
      <c r="T354" s="26">
        <v>252</v>
      </c>
      <c r="U354" s="26">
        <v>252</v>
      </c>
      <c r="V354" s="26">
        <v>628.34</v>
      </c>
      <c r="W354" s="26">
        <f t="shared" si="63"/>
        <v>0</v>
      </c>
      <c r="X354" s="26">
        <f t="shared" si="61"/>
        <v>0</v>
      </c>
      <c r="Y354" s="26">
        <f t="shared" si="64"/>
        <v>0</v>
      </c>
      <c r="Z354" s="26">
        <f t="shared" si="68"/>
        <v>0</v>
      </c>
      <c r="AA354" s="33" t="s">
        <v>15</v>
      </c>
      <c r="AB354" s="36" t="s">
        <v>16</v>
      </c>
      <c r="AC354" s="181">
        <f t="shared" si="65"/>
        <v>252</v>
      </c>
      <c r="AD354" s="181">
        <f t="shared" si="60"/>
        <v>158341.68</v>
      </c>
      <c r="AE354" s="181">
        <v>1.8</v>
      </c>
      <c r="AF354" s="181">
        <v>1.8</v>
      </c>
      <c r="AG354" s="101" t="str">
        <f t="shared" si="66"/>
        <v/>
      </c>
      <c r="AH354" s="190">
        <v>0</v>
      </c>
      <c r="AI354" s="69">
        <f t="shared" si="67"/>
        <v>252</v>
      </c>
    </row>
    <row r="355" spans="1:35" s="69" customFormat="1" ht="58.5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 t="s">
        <v>15</v>
      </c>
      <c r="I355" s="75">
        <v>497.09</v>
      </c>
      <c r="J355" s="75">
        <v>17895.240000000002</v>
      </c>
      <c r="K355" s="91" t="s">
        <v>948</v>
      </c>
      <c r="L355" s="73"/>
      <c r="M355" s="46">
        <v>0</v>
      </c>
      <c r="N355" s="46">
        <v>0</v>
      </c>
      <c r="O355" s="46">
        <v>0</v>
      </c>
      <c r="P355" s="98"/>
      <c r="Q355" s="23" t="s">
        <v>1378</v>
      </c>
      <c r="R355" s="24" t="s">
        <v>947</v>
      </c>
      <c r="S355" s="25" t="s">
        <v>30</v>
      </c>
      <c r="T355" s="26">
        <v>36</v>
      </c>
      <c r="U355" s="26">
        <v>36</v>
      </c>
      <c r="V355" s="26">
        <v>497.09</v>
      </c>
      <c r="W355" s="26">
        <f t="shared" si="63"/>
        <v>0</v>
      </c>
      <c r="X355" s="26">
        <f t="shared" si="61"/>
        <v>0</v>
      </c>
      <c r="Y355" s="26">
        <f t="shared" si="64"/>
        <v>0</v>
      </c>
      <c r="Z355" s="26">
        <f t="shared" si="68"/>
        <v>0</v>
      </c>
      <c r="AA355" s="33" t="s">
        <v>15</v>
      </c>
      <c r="AB355" s="36" t="s">
        <v>16</v>
      </c>
      <c r="AC355" s="181">
        <f t="shared" si="65"/>
        <v>36</v>
      </c>
      <c r="AD355" s="181">
        <f t="shared" si="60"/>
        <v>17895.240000000002</v>
      </c>
      <c r="AE355" s="181">
        <v>1.8</v>
      </c>
      <c r="AF355" s="181">
        <v>1.8</v>
      </c>
      <c r="AG355" s="101" t="str">
        <f t="shared" si="66"/>
        <v/>
      </c>
      <c r="AH355" s="190">
        <v>0</v>
      </c>
      <c r="AI355" s="69">
        <f t="shared" si="67"/>
        <v>36</v>
      </c>
    </row>
    <row r="356" spans="1:35" s="69" customFormat="1" ht="58.5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 t="s">
        <v>15</v>
      </c>
      <c r="I356" s="75">
        <v>270.2</v>
      </c>
      <c r="J356" s="75">
        <v>42961.8</v>
      </c>
      <c r="K356" s="91" t="s">
        <v>951</v>
      </c>
      <c r="L356" s="73"/>
      <c r="M356" s="46">
        <v>0</v>
      </c>
      <c r="N356" s="46">
        <v>0</v>
      </c>
      <c r="O356" s="46">
        <v>0</v>
      </c>
      <c r="P356" s="98"/>
      <c r="Q356" s="23" t="s">
        <v>1438</v>
      </c>
      <c r="R356" s="24" t="s">
        <v>950</v>
      </c>
      <c r="S356" s="25" t="s">
        <v>30</v>
      </c>
      <c r="T356" s="26">
        <v>159</v>
      </c>
      <c r="U356" s="26">
        <v>159</v>
      </c>
      <c r="V356" s="26">
        <v>270.2</v>
      </c>
      <c r="W356" s="26">
        <f t="shared" si="63"/>
        <v>0</v>
      </c>
      <c r="X356" s="26">
        <f t="shared" si="61"/>
        <v>0</v>
      </c>
      <c r="Y356" s="26">
        <f t="shared" si="64"/>
        <v>0</v>
      </c>
      <c r="Z356" s="26">
        <f t="shared" si="68"/>
        <v>0</v>
      </c>
      <c r="AA356" s="33" t="s">
        <v>15</v>
      </c>
      <c r="AB356" s="36" t="s">
        <v>16</v>
      </c>
      <c r="AC356" s="181">
        <f t="shared" si="65"/>
        <v>159</v>
      </c>
      <c r="AD356" s="181">
        <f t="shared" si="60"/>
        <v>42961.8</v>
      </c>
      <c r="AE356" s="181">
        <v>1.8</v>
      </c>
      <c r="AF356" s="181">
        <v>1.8</v>
      </c>
      <c r="AG356" s="101" t="str">
        <f t="shared" si="66"/>
        <v/>
      </c>
      <c r="AH356" s="190">
        <v>0</v>
      </c>
      <c r="AI356" s="69">
        <f t="shared" si="67"/>
        <v>159</v>
      </c>
    </row>
    <row r="357" spans="1:35" s="69" customFormat="1" ht="58.5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 t="s">
        <v>15</v>
      </c>
      <c r="I357" s="75">
        <v>152.94</v>
      </c>
      <c r="J357" s="75">
        <v>183375.06</v>
      </c>
      <c r="K357" s="91" t="s">
        <v>954</v>
      </c>
      <c r="L357" s="73"/>
      <c r="M357" s="46">
        <v>0</v>
      </c>
      <c r="N357" s="46">
        <v>0</v>
      </c>
      <c r="O357" s="46">
        <v>0</v>
      </c>
      <c r="P357" s="98"/>
      <c r="Q357" s="23" t="s">
        <v>1439</v>
      </c>
      <c r="R357" s="24" t="s">
        <v>953</v>
      </c>
      <c r="S357" s="25" t="s">
        <v>30</v>
      </c>
      <c r="T357" s="26">
        <v>1199</v>
      </c>
      <c r="U357" s="26">
        <v>1199</v>
      </c>
      <c r="V357" s="26">
        <v>152.94</v>
      </c>
      <c r="W357" s="243">
        <f t="shared" si="63"/>
        <v>427</v>
      </c>
      <c r="X357" s="26">
        <f t="shared" si="61"/>
        <v>427</v>
      </c>
      <c r="Y357" s="26">
        <f t="shared" si="64"/>
        <v>65305.38</v>
      </c>
      <c r="Z357" s="26">
        <f t="shared" si="68"/>
        <v>65305.38</v>
      </c>
      <c r="AA357" s="33" t="s">
        <v>15</v>
      </c>
      <c r="AB357" s="36" t="s">
        <v>16</v>
      </c>
      <c r="AC357" s="181">
        <f t="shared" si="65"/>
        <v>1199</v>
      </c>
      <c r="AD357" s="181">
        <f t="shared" si="60"/>
        <v>183375.06</v>
      </c>
      <c r="AE357" s="181">
        <v>1.8</v>
      </c>
      <c r="AF357" s="181">
        <v>1.8</v>
      </c>
      <c r="AG357" s="101" t="str">
        <f t="shared" si="66"/>
        <v/>
      </c>
      <c r="AH357" s="191">
        <f>AH363</f>
        <v>427</v>
      </c>
      <c r="AI357" s="69">
        <f t="shared" si="67"/>
        <v>1199</v>
      </c>
    </row>
    <row r="358" spans="1:35" s="69" customFormat="1" ht="33" x14ac:dyDescent="0.3">
      <c r="A358" s="55" t="s">
        <v>955</v>
      </c>
      <c r="B358" s="138" t="s">
        <v>956</v>
      </c>
      <c r="C358" s="54" t="s">
        <v>30</v>
      </c>
      <c r="D358" s="75">
        <v>144</v>
      </c>
      <c r="E358" s="75"/>
      <c r="F358" s="75"/>
      <c r="G358" s="75"/>
      <c r="H358" s="75" t="s">
        <v>15</v>
      </c>
      <c r="I358" s="75">
        <v>228.14</v>
      </c>
      <c r="J358" s="75">
        <v>32852.160000000003</v>
      </c>
      <c r="K358" s="91" t="s">
        <v>957</v>
      </c>
      <c r="L358" s="73"/>
      <c r="M358" s="46">
        <v>0</v>
      </c>
      <c r="N358" s="46">
        <v>0</v>
      </c>
      <c r="O358" s="46">
        <v>0</v>
      </c>
      <c r="P358" s="98"/>
      <c r="Q358" s="23" t="s">
        <v>1440</v>
      </c>
      <c r="R358" s="24" t="s">
        <v>956</v>
      </c>
      <c r="S358" s="25" t="s">
        <v>30</v>
      </c>
      <c r="T358" s="26">
        <v>144</v>
      </c>
      <c r="U358" s="26">
        <v>144</v>
      </c>
      <c r="V358" s="26">
        <v>228.14</v>
      </c>
      <c r="W358" s="243">
        <f t="shared" si="63"/>
        <v>75</v>
      </c>
      <c r="X358" s="26">
        <f t="shared" si="61"/>
        <v>75</v>
      </c>
      <c r="Y358" s="26">
        <f t="shared" si="64"/>
        <v>17110.5</v>
      </c>
      <c r="Z358" s="26">
        <f t="shared" si="68"/>
        <v>17110.5</v>
      </c>
      <c r="AA358" s="33" t="s">
        <v>15</v>
      </c>
      <c r="AB358" s="36" t="s">
        <v>16</v>
      </c>
      <c r="AC358" s="181">
        <f t="shared" si="65"/>
        <v>144</v>
      </c>
      <c r="AD358" s="181">
        <f t="shared" si="60"/>
        <v>32852.160000000003</v>
      </c>
      <c r="AE358" s="181">
        <v>1.8</v>
      </c>
      <c r="AF358" s="181">
        <v>1.8</v>
      </c>
      <c r="AG358" s="101" t="str">
        <f t="shared" si="66"/>
        <v/>
      </c>
      <c r="AH358" s="191">
        <f>75</f>
        <v>75</v>
      </c>
      <c r="AI358" s="69">
        <f t="shared" si="67"/>
        <v>144</v>
      </c>
    </row>
    <row r="359" spans="1:35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 t="s">
        <v>15</v>
      </c>
      <c r="I359" s="75">
        <v>90448.13</v>
      </c>
      <c r="J359" s="75">
        <v>90448.13</v>
      </c>
      <c r="K359" s="91" t="s">
        <v>960</v>
      </c>
      <c r="L359" s="73"/>
      <c r="M359" s="46">
        <v>0</v>
      </c>
      <c r="N359" s="46">
        <v>0</v>
      </c>
      <c r="O359" s="46">
        <v>0</v>
      </c>
      <c r="P359" s="98"/>
      <c r="Q359" s="23" t="s">
        <v>1441</v>
      </c>
      <c r="R359" s="24" t="s">
        <v>959</v>
      </c>
      <c r="S359" s="25" t="s">
        <v>14</v>
      </c>
      <c r="T359" s="26">
        <v>1</v>
      </c>
      <c r="U359" s="26">
        <v>1</v>
      </c>
      <c r="V359" s="26">
        <v>90448.13</v>
      </c>
      <c r="W359" s="26">
        <f t="shared" si="63"/>
        <v>0</v>
      </c>
      <c r="X359" s="26">
        <f t="shared" si="61"/>
        <v>0</v>
      </c>
      <c r="Y359" s="26">
        <f t="shared" si="64"/>
        <v>0</v>
      </c>
      <c r="Z359" s="26">
        <f t="shared" si="68"/>
        <v>0</v>
      </c>
      <c r="AA359" s="33" t="s">
        <v>15</v>
      </c>
      <c r="AB359" s="36" t="s">
        <v>16</v>
      </c>
      <c r="AC359" s="181">
        <f t="shared" si="65"/>
        <v>1</v>
      </c>
      <c r="AD359" s="181">
        <f t="shared" si="60"/>
        <v>90448.13</v>
      </c>
      <c r="AE359" s="181">
        <v>1.8</v>
      </c>
      <c r="AF359" s="181">
        <v>1.8</v>
      </c>
      <c r="AG359" s="101" t="str">
        <f t="shared" si="66"/>
        <v/>
      </c>
      <c r="AH359" s="190">
        <v>0</v>
      </c>
      <c r="AI359" s="69">
        <f t="shared" si="67"/>
        <v>1</v>
      </c>
    </row>
    <row r="360" spans="1:35" s="69" customFormat="1" ht="42.75" x14ac:dyDescent="0.3">
      <c r="A360" s="55" t="s">
        <v>961</v>
      </c>
      <c r="B360" s="254" t="s">
        <v>962</v>
      </c>
      <c r="C360" s="54" t="s">
        <v>30</v>
      </c>
      <c r="D360" s="75">
        <v>2702</v>
      </c>
      <c r="E360" s="75"/>
      <c r="F360" s="75"/>
      <c r="G360" s="75"/>
      <c r="H360" s="75" t="s">
        <v>15</v>
      </c>
      <c r="I360" s="75">
        <v>81.569999999999993</v>
      </c>
      <c r="J360" s="75">
        <v>220402.14</v>
      </c>
      <c r="K360" s="91" t="s">
        <v>963</v>
      </c>
      <c r="L360" s="73"/>
      <c r="M360" s="46">
        <v>0</v>
      </c>
      <c r="N360" s="46">
        <v>0</v>
      </c>
      <c r="O360" s="46">
        <v>0</v>
      </c>
      <c r="P360" s="98"/>
      <c r="Q360" s="23" t="s">
        <v>1442</v>
      </c>
      <c r="R360" s="24" t="s">
        <v>962</v>
      </c>
      <c r="S360" s="25" t="s">
        <v>30</v>
      </c>
      <c r="T360" s="26">
        <v>2702</v>
      </c>
      <c r="U360" s="26">
        <v>2702</v>
      </c>
      <c r="V360" s="26">
        <v>81.569999999999993</v>
      </c>
      <c r="W360" s="243">
        <f t="shared" si="63"/>
        <v>854</v>
      </c>
      <c r="X360" s="26">
        <f t="shared" si="61"/>
        <v>854</v>
      </c>
      <c r="Y360" s="26">
        <f t="shared" si="64"/>
        <v>69660.78</v>
      </c>
      <c r="Z360" s="26">
        <f t="shared" si="68"/>
        <v>69660.78</v>
      </c>
      <c r="AA360" s="33" t="s">
        <v>15</v>
      </c>
      <c r="AB360" s="36" t="s">
        <v>16</v>
      </c>
      <c r="AC360" s="181">
        <f t="shared" si="65"/>
        <v>2702</v>
      </c>
      <c r="AD360" s="181">
        <f t="shared" si="60"/>
        <v>220402.14</v>
      </c>
      <c r="AE360" s="181">
        <v>1.8</v>
      </c>
      <c r="AF360" s="181">
        <v>1.8</v>
      </c>
      <c r="AG360" s="101" t="str">
        <f t="shared" si="66"/>
        <v/>
      </c>
      <c r="AH360" s="191">
        <f>AH363*2</f>
        <v>854</v>
      </c>
      <c r="AI360" s="69">
        <f t="shared" si="67"/>
        <v>2702</v>
      </c>
    </row>
    <row r="361" spans="1:35" s="69" customFormat="1" ht="39" x14ac:dyDescent="0.3">
      <c r="A361" s="55" t="s">
        <v>964</v>
      </c>
      <c r="B361" s="53" t="s">
        <v>965</v>
      </c>
      <c r="C361" s="54" t="s">
        <v>14</v>
      </c>
      <c r="D361" s="75">
        <v>1</v>
      </c>
      <c r="E361" s="75"/>
      <c r="F361" s="75"/>
      <c r="G361" s="75"/>
      <c r="H361" s="75" t="s">
        <v>15</v>
      </c>
      <c r="I361" s="75">
        <v>25939</v>
      </c>
      <c r="J361" s="75">
        <v>25939</v>
      </c>
      <c r="K361" s="91" t="s">
        <v>966</v>
      </c>
      <c r="L361" s="73"/>
      <c r="M361" s="46">
        <v>0</v>
      </c>
      <c r="N361" s="46">
        <v>0</v>
      </c>
      <c r="O361" s="46">
        <v>0</v>
      </c>
      <c r="P361" s="98"/>
      <c r="Q361" s="23" t="s">
        <v>1443</v>
      </c>
      <c r="R361" s="24" t="s">
        <v>965</v>
      </c>
      <c r="S361" s="25" t="s">
        <v>14</v>
      </c>
      <c r="T361" s="26">
        <v>1</v>
      </c>
      <c r="U361" s="26">
        <v>1</v>
      </c>
      <c r="V361" s="26">
        <v>25939</v>
      </c>
      <c r="W361" s="26">
        <f t="shared" si="63"/>
        <v>0</v>
      </c>
      <c r="X361" s="26">
        <f t="shared" si="61"/>
        <v>0</v>
      </c>
      <c r="Y361" s="26">
        <f t="shared" si="64"/>
        <v>0</v>
      </c>
      <c r="Z361" s="26">
        <f t="shared" si="68"/>
        <v>0</v>
      </c>
      <c r="AA361" s="33" t="s">
        <v>15</v>
      </c>
      <c r="AB361" s="36" t="s">
        <v>16</v>
      </c>
      <c r="AC361" s="181">
        <f t="shared" si="65"/>
        <v>1</v>
      </c>
      <c r="AD361" s="181">
        <f t="shared" si="60"/>
        <v>25939</v>
      </c>
      <c r="AE361" s="181">
        <v>1.8</v>
      </c>
      <c r="AF361" s="181">
        <v>1.8</v>
      </c>
      <c r="AG361" s="101" t="str">
        <f t="shared" si="66"/>
        <v/>
      </c>
      <c r="AH361" s="190">
        <v>0</v>
      </c>
      <c r="AI361" s="69">
        <f t="shared" si="67"/>
        <v>1</v>
      </c>
    </row>
    <row r="362" spans="1:35" s="69" customFormat="1" ht="58.5" x14ac:dyDescent="0.3">
      <c r="A362" s="55" t="s">
        <v>967</v>
      </c>
      <c r="B362" s="215" t="s">
        <v>968</v>
      </c>
      <c r="C362" s="54" t="s">
        <v>30</v>
      </c>
      <c r="D362" s="75">
        <v>1272</v>
      </c>
      <c r="E362" s="75"/>
      <c r="F362" s="75"/>
      <c r="G362" s="75"/>
      <c r="H362" s="75" t="s">
        <v>15</v>
      </c>
      <c r="I362" s="75">
        <v>36.96</v>
      </c>
      <c r="J362" s="75">
        <v>47013.120000000003</v>
      </c>
      <c r="K362" s="91" t="s">
        <v>969</v>
      </c>
      <c r="L362" s="73"/>
      <c r="M362" s="46">
        <v>0</v>
      </c>
      <c r="N362" s="46">
        <v>0</v>
      </c>
      <c r="O362" s="46">
        <v>0</v>
      </c>
      <c r="P362" s="98"/>
      <c r="Q362" s="23" t="s">
        <v>1444</v>
      </c>
      <c r="R362" s="24" t="s">
        <v>968</v>
      </c>
      <c r="S362" s="25" t="s">
        <v>30</v>
      </c>
      <c r="T362" s="26">
        <v>1272</v>
      </c>
      <c r="U362" s="26">
        <v>1272</v>
      </c>
      <c r="V362" s="26">
        <v>36.96</v>
      </c>
      <c r="W362" s="243">
        <f t="shared" si="63"/>
        <v>365.5</v>
      </c>
      <c r="X362" s="26">
        <f t="shared" si="61"/>
        <v>365.5</v>
      </c>
      <c r="Y362" s="26">
        <f t="shared" si="64"/>
        <v>13508.88</v>
      </c>
      <c r="Z362" s="26">
        <f t="shared" si="68"/>
        <v>13508.88</v>
      </c>
      <c r="AA362" s="33" t="s">
        <v>15</v>
      </c>
      <c r="AB362" s="36" t="s">
        <v>16</v>
      </c>
      <c r="AC362" s="181">
        <f t="shared" si="65"/>
        <v>1272</v>
      </c>
      <c r="AD362" s="181">
        <f t="shared" si="60"/>
        <v>47013.120000000003</v>
      </c>
      <c r="AE362" s="181">
        <v>1.8</v>
      </c>
      <c r="AF362" s="181">
        <v>1.8</v>
      </c>
      <c r="AG362" s="101" t="str">
        <f t="shared" si="66"/>
        <v/>
      </c>
      <c r="AH362" s="191">
        <f>365.5</f>
        <v>365.5</v>
      </c>
      <c r="AI362" s="69">
        <f t="shared" si="67"/>
        <v>1272</v>
      </c>
    </row>
    <row r="363" spans="1:35" s="69" customFormat="1" ht="58.5" x14ac:dyDescent="0.3">
      <c r="A363" s="55" t="s">
        <v>970</v>
      </c>
      <c r="B363" s="215" t="s">
        <v>971</v>
      </c>
      <c r="C363" s="54" t="s">
        <v>30</v>
      </c>
      <c r="D363" s="75">
        <v>1470</v>
      </c>
      <c r="E363" s="75"/>
      <c r="F363" s="75"/>
      <c r="G363" s="75"/>
      <c r="H363" s="75" t="s">
        <v>15</v>
      </c>
      <c r="I363" s="75">
        <v>62.45</v>
      </c>
      <c r="J363" s="75">
        <v>91801.5</v>
      </c>
      <c r="K363" s="91" t="s">
        <v>972</v>
      </c>
      <c r="L363" s="73"/>
      <c r="M363" s="46">
        <v>0</v>
      </c>
      <c r="N363" s="46">
        <v>0</v>
      </c>
      <c r="O363" s="46">
        <v>0</v>
      </c>
      <c r="P363" s="98"/>
      <c r="Q363" s="23" t="s">
        <v>1408</v>
      </c>
      <c r="R363" s="24" t="s">
        <v>971</v>
      </c>
      <c r="S363" s="25" t="s">
        <v>30</v>
      </c>
      <c r="T363" s="26">
        <v>1470</v>
      </c>
      <c r="U363" s="26">
        <v>1470</v>
      </c>
      <c r="V363" s="26">
        <v>62.45</v>
      </c>
      <c r="W363" s="243">
        <f t="shared" si="63"/>
        <v>427</v>
      </c>
      <c r="X363" s="26">
        <f t="shared" si="61"/>
        <v>427</v>
      </c>
      <c r="Y363" s="26">
        <f t="shared" si="64"/>
        <v>26666.15</v>
      </c>
      <c r="Z363" s="26">
        <f t="shared" si="68"/>
        <v>26666.15</v>
      </c>
      <c r="AA363" s="33" t="s">
        <v>15</v>
      </c>
      <c r="AB363" s="36" t="s">
        <v>16</v>
      </c>
      <c r="AC363" s="181">
        <f t="shared" si="65"/>
        <v>1470</v>
      </c>
      <c r="AD363" s="181">
        <f t="shared" si="60"/>
        <v>91801.5</v>
      </c>
      <c r="AE363" s="181">
        <v>1.8</v>
      </c>
      <c r="AF363" s="181">
        <v>1.8</v>
      </c>
      <c r="AG363" s="101" t="str">
        <f t="shared" si="66"/>
        <v/>
      </c>
      <c r="AH363" s="191">
        <f>427</f>
        <v>427</v>
      </c>
      <c r="AI363" s="69">
        <f t="shared" si="67"/>
        <v>1470</v>
      </c>
    </row>
    <row r="364" spans="1:35" s="69" customFormat="1" ht="58.5" x14ac:dyDescent="0.3">
      <c r="A364" s="55" t="s">
        <v>973</v>
      </c>
      <c r="B364" s="215" t="s">
        <v>974</v>
      </c>
      <c r="C364" s="54" t="s">
        <v>30</v>
      </c>
      <c r="D364" s="75">
        <v>407</v>
      </c>
      <c r="E364" s="75"/>
      <c r="F364" s="75"/>
      <c r="G364" s="75"/>
      <c r="H364" s="75" t="s">
        <v>15</v>
      </c>
      <c r="I364" s="75">
        <v>90.49</v>
      </c>
      <c r="J364" s="75">
        <v>36829.43</v>
      </c>
      <c r="K364" s="91" t="s">
        <v>975</v>
      </c>
      <c r="L364" s="73"/>
      <c r="M364" s="46">
        <v>0</v>
      </c>
      <c r="N364" s="46">
        <v>0</v>
      </c>
      <c r="O364" s="46">
        <v>0</v>
      </c>
      <c r="P364" s="98"/>
      <c r="Q364" s="23" t="s">
        <v>1409</v>
      </c>
      <c r="R364" s="24" t="s">
        <v>974</v>
      </c>
      <c r="S364" s="25" t="s">
        <v>30</v>
      </c>
      <c r="T364" s="26">
        <v>407</v>
      </c>
      <c r="U364" s="26">
        <v>407</v>
      </c>
      <c r="V364" s="26">
        <v>90.49</v>
      </c>
      <c r="W364" s="243">
        <f t="shared" si="63"/>
        <v>149</v>
      </c>
      <c r="X364" s="26">
        <f t="shared" si="61"/>
        <v>149</v>
      </c>
      <c r="Y364" s="26">
        <f t="shared" si="64"/>
        <v>13483.01</v>
      </c>
      <c r="Z364" s="26">
        <f t="shared" si="68"/>
        <v>13483.01</v>
      </c>
      <c r="AA364" s="33" t="s">
        <v>15</v>
      </c>
      <c r="AB364" s="36" t="s">
        <v>16</v>
      </c>
      <c r="AC364" s="181">
        <f t="shared" si="65"/>
        <v>407</v>
      </c>
      <c r="AD364" s="181">
        <f t="shared" si="60"/>
        <v>36829.43</v>
      </c>
      <c r="AE364" s="181">
        <v>1.8</v>
      </c>
      <c r="AF364" s="181">
        <v>1.8</v>
      </c>
      <c r="AG364" s="101" t="str">
        <f t="shared" si="66"/>
        <v/>
      </c>
      <c r="AH364" s="191">
        <f>149</f>
        <v>149</v>
      </c>
      <c r="AI364" s="69">
        <f t="shared" si="67"/>
        <v>407</v>
      </c>
    </row>
    <row r="365" spans="1:35" s="69" customFormat="1" ht="58.5" x14ac:dyDescent="0.3">
      <c r="A365" s="55" t="s">
        <v>976</v>
      </c>
      <c r="B365" s="215" t="s">
        <v>977</v>
      </c>
      <c r="C365" s="54" t="s">
        <v>30</v>
      </c>
      <c r="D365" s="75">
        <v>55</v>
      </c>
      <c r="E365" s="75"/>
      <c r="F365" s="75"/>
      <c r="G365" s="75"/>
      <c r="H365" s="75" t="s">
        <v>15</v>
      </c>
      <c r="I365" s="75">
        <v>186.08</v>
      </c>
      <c r="J365" s="75">
        <v>10234.4</v>
      </c>
      <c r="K365" s="91" t="s">
        <v>978</v>
      </c>
      <c r="L365" s="73"/>
      <c r="M365" s="46">
        <v>0</v>
      </c>
      <c r="N365" s="46">
        <v>0</v>
      </c>
      <c r="O365" s="46">
        <v>0</v>
      </c>
      <c r="P365" s="98"/>
      <c r="Q365" s="23" t="s">
        <v>1410</v>
      </c>
      <c r="R365" s="24" t="s">
        <v>977</v>
      </c>
      <c r="S365" s="25" t="s">
        <v>30</v>
      </c>
      <c r="T365" s="26">
        <v>55</v>
      </c>
      <c r="U365" s="26">
        <v>55</v>
      </c>
      <c r="V365" s="26">
        <v>186.08</v>
      </c>
      <c r="W365" s="243">
        <f t="shared" si="63"/>
        <v>0</v>
      </c>
      <c r="X365" s="26">
        <f t="shared" si="61"/>
        <v>0</v>
      </c>
      <c r="Y365" s="26">
        <f t="shared" si="64"/>
        <v>0</v>
      </c>
      <c r="Z365" s="26">
        <f t="shared" si="68"/>
        <v>0</v>
      </c>
      <c r="AA365" s="33" t="s">
        <v>15</v>
      </c>
      <c r="AB365" s="36" t="s">
        <v>16</v>
      </c>
      <c r="AC365" s="181">
        <f t="shared" si="65"/>
        <v>55</v>
      </c>
      <c r="AD365" s="181">
        <f t="shared" si="60"/>
        <v>10234.4</v>
      </c>
      <c r="AE365" s="181">
        <v>1.8</v>
      </c>
      <c r="AF365" s="181">
        <v>1.8</v>
      </c>
      <c r="AG365" s="101" t="str">
        <f t="shared" si="66"/>
        <v/>
      </c>
      <c r="AH365" s="191">
        <v>0</v>
      </c>
      <c r="AI365" s="69">
        <f t="shared" si="67"/>
        <v>55</v>
      </c>
    </row>
    <row r="366" spans="1:35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 t="s">
        <v>15</v>
      </c>
      <c r="I366" s="75">
        <v>51046</v>
      </c>
      <c r="J366" s="75">
        <v>51046</v>
      </c>
      <c r="K366" s="91" t="s">
        <v>981</v>
      </c>
      <c r="L366" s="73"/>
      <c r="M366" s="46">
        <v>0</v>
      </c>
      <c r="N366" s="46">
        <v>0</v>
      </c>
      <c r="O366" s="46">
        <v>0</v>
      </c>
      <c r="P366" s="98"/>
      <c r="Q366" s="23" t="s">
        <v>1411</v>
      </c>
      <c r="R366" s="24" t="s">
        <v>980</v>
      </c>
      <c r="S366" s="25" t="s">
        <v>14</v>
      </c>
      <c r="T366" s="26">
        <v>1</v>
      </c>
      <c r="U366" s="26">
        <v>1</v>
      </c>
      <c r="V366" s="26">
        <v>51046</v>
      </c>
      <c r="W366" s="26">
        <f t="shared" si="63"/>
        <v>0</v>
      </c>
      <c r="X366" s="26">
        <f t="shared" si="61"/>
        <v>0</v>
      </c>
      <c r="Y366" s="26">
        <f t="shared" si="64"/>
        <v>0</v>
      </c>
      <c r="Z366" s="26">
        <f t="shared" si="68"/>
        <v>0</v>
      </c>
      <c r="AA366" s="33" t="s">
        <v>15</v>
      </c>
      <c r="AB366" s="36" t="s">
        <v>16</v>
      </c>
      <c r="AC366" s="181">
        <f t="shared" si="65"/>
        <v>1</v>
      </c>
      <c r="AD366" s="181">
        <f t="shared" ref="AD366:AD368" si="69">ROUND(V366*AC366,2)</f>
        <v>51046</v>
      </c>
      <c r="AE366" s="181">
        <v>1.8</v>
      </c>
      <c r="AF366" s="181">
        <v>1.8</v>
      </c>
      <c r="AG366" s="101" t="str">
        <f t="shared" si="66"/>
        <v/>
      </c>
      <c r="AH366" s="190">
        <v>0</v>
      </c>
      <c r="AI366" s="69">
        <f t="shared" si="67"/>
        <v>1</v>
      </c>
    </row>
    <row r="367" spans="1:35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 t="s">
        <v>15</v>
      </c>
      <c r="I367" s="75">
        <v>671.66</v>
      </c>
      <c r="J367" s="75">
        <v>88659.12</v>
      </c>
      <c r="K367" s="91" t="s">
        <v>984</v>
      </c>
      <c r="L367" s="73"/>
      <c r="M367" s="46">
        <v>0</v>
      </c>
      <c r="N367" s="46">
        <v>0</v>
      </c>
      <c r="O367" s="46">
        <v>0</v>
      </c>
      <c r="P367" s="98"/>
      <c r="Q367" s="23" t="s">
        <v>1445</v>
      </c>
      <c r="R367" s="24" t="s">
        <v>983</v>
      </c>
      <c r="S367" s="25" t="s">
        <v>30</v>
      </c>
      <c r="T367" s="26">
        <v>132</v>
      </c>
      <c r="U367" s="26">
        <v>132</v>
      </c>
      <c r="V367" s="26">
        <v>671.66</v>
      </c>
      <c r="W367" s="26">
        <f t="shared" si="63"/>
        <v>0</v>
      </c>
      <c r="X367" s="26">
        <f t="shared" si="61"/>
        <v>0</v>
      </c>
      <c r="Y367" s="26">
        <f t="shared" si="64"/>
        <v>0</v>
      </c>
      <c r="Z367" s="26">
        <f t="shared" si="68"/>
        <v>0</v>
      </c>
      <c r="AA367" s="33" t="s">
        <v>15</v>
      </c>
      <c r="AB367" s="36" t="s">
        <v>16</v>
      </c>
      <c r="AC367" s="181">
        <f t="shared" si="65"/>
        <v>132</v>
      </c>
      <c r="AD367" s="181">
        <f t="shared" si="69"/>
        <v>88659.12</v>
      </c>
      <c r="AE367" s="181">
        <v>1.8</v>
      </c>
      <c r="AF367" s="181">
        <v>1.8</v>
      </c>
      <c r="AG367" s="101" t="str">
        <f t="shared" si="66"/>
        <v/>
      </c>
      <c r="AH367" s="190">
        <v>0</v>
      </c>
      <c r="AI367" s="69">
        <f t="shared" si="67"/>
        <v>132</v>
      </c>
    </row>
    <row r="368" spans="1:35" s="69" customFormat="1" ht="39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 t="s">
        <v>15</v>
      </c>
      <c r="I368" s="75">
        <v>24347</v>
      </c>
      <c r="J368" s="75">
        <v>24347</v>
      </c>
      <c r="K368" s="91" t="s">
        <v>987</v>
      </c>
      <c r="L368" s="73"/>
      <c r="M368" s="46">
        <v>0</v>
      </c>
      <c r="N368" s="46">
        <v>0</v>
      </c>
      <c r="O368" s="46">
        <v>0</v>
      </c>
      <c r="P368" s="98"/>
      <c r="Q368" s="23" t="s">
        <v>1383</v>
      </c>
      <c r="R368" s="24" t="s">
        <v>986</v>
      </c>
      <c r="S368" s="25" t="s">
        <v>14</v>
      </c>
      <c r="T368" s="26">
        <v>1</v>
      </c>
      <c r="U368" s="26">
        <v>1</v>
      </c>
      <c r="V368" s="26">
        <v>24347</v>
      </c>
      <c r="W368" s="26">
        <f t="shared" si="63"/>
        <v>0</v>
      </c>
      <c r="X368" s="26">
        <f t="shared" si="61"/>
        <v>0</v>
      </c>
      <c r="Y368" s="26">
        <f t="shared" si="64"/>
        <v>0</v>
      </c>
      <c r="Z368" s="26">
        <f t="shared" si="68"/>
        <v>0</v>
      </c>
      <c r="AA368" s="33" t="s">
        <v>15</v>
      </c>
      <c r="AB368" s="36" t="s">
        <v>16</v>
      </c>
      <c r="AC368" s="181">
        <f t="shared" si="65"/>
        <v>1</v>
      </c>
      <c r="AD368" s="181">
        <f t="shared" si="69"/>
        <v>24347</v>
      </c>
      <c r="AE368" s="181">
        <v>1.8</v>
      </c>
      <c r="AF368" s="181">
        <v>1.8</v>
      </c>
      <c r="AG368" s="101" t="str">
        <f t="shared" si="66"/>
        <v/>
      </c>
      <c r="AH368" s="190">
        <v>0</v>
      </c>
      <c r="AI368" s="69">
        <f t="shared" si="67"/>
        <v>1</v>
      </c>
    </row>
    <row r="369" spans="1:35" s="69" customFormat="1" ht="39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 t="s">
        <v>15</v>
      </c>
      <c r="I369" s="82"/>
      <c r="J369" s="82">
        <v>9899611.0700000003</v>
      </c>
      <c r="K369" s="94" t="s">
        <v>15</v>
      </c>
      <c r="L369" s="73"/>
      <c r="M369" s="45">
        <v>1</v>
      </c>
      <c r="N369" s="45">
        <v>90846</v>
      </c>
      <c r="O369" s="45">
        <v>6839941.7699999996</v>
      </c>
      <c r="P369" s="98"/>
      <c r="Q369" s="18" t="s">
        <v>1401</v>
      </c>
      <c r="R369" s="19" t="s">
        <v>989</v>
      </c>
      <c r="S369" s="20" t="s">
        <v>14</v>
      </c>
      <c r="T369" s="21">
        <v>1</v>
      </c>
      <c r="U369" s="21"/>
      <c r="V369" s="21">
        <f>SUMIFS(AD:AD,AE:AE,AE369)</f>
        <v>9899611.0700000003</v>
      </c>
      <c r="W369" s="21">
        <f t="shared" ref="W369:X369" si="70">IF(Y369=0,0,1)</f>
        <v>1</v>
      </c>
      <c r="X369" s="21">
        <f t="shared" si="70"/>
        <v>1</v>
      </c>
      <c r="Y369" s="21">
        <f>SUMIFS(Y:Y,AF:AF,AE369)</f>
        <v>90846</v>
      </c>
      <c r="Z369" s="21">
        <f>SUMIFS(Z:Z,AF:AF,AE369)</f>
        <v>6930787.7699999996</v>
      </c>
      <c r="AA369" s="22" t="s">
        <v>15</v>
      </c>
      <c r="AB369" s="43" t="s">
        <v>16</v>
      </c>
      <c r="AC369" s="181">
        <f t="shared" si="65"/>
        <v>1</v>
      </c>
      <c r="AD369" s="184"/>
      <c r="AE369" s="184">
        <v>1.9</v>
      </c>
      <c r="AF369" s="184"/>
      <c r="AG369" s="101" t="str">
        <f t="shared" si="66"/>
        <v/>
      </c>
      <c r="AH369" s="190">
        <v>1</v>
      </c>
      <c r="AI369" s="69">
        <f t="shared" si="67"/>
        <v>1</v>
      </c>
    </row>
    <row r="370" spans="1:35" s="69" customFormat="1" ht="33" x14ac:dyDescent="0.3">
      <c r="A370" s="55" t="s">
        <v>990</v>
      </c>
      <c r="B370" s="138" t="s">
        <v>991</v>
      </c>
      <c r="C370" s="54" t="s">
        <v>30</v>
      </c>
      <c r="D370" s="75">
        <v>1088</v>
      </c>
      <c r="E370" s="75">
        <v>975</v>
      </c>
      <c r="F370" s="75"/>
      <c r="G370" s="75"/>
      <c r="H370" s="75">
        <v>2893</v>
      </c>
      <c r="I370" s="75">
        <v>247.2</v>
      </c>
      <c r="J370" s="75">
        <v>715149.6</v>
      </c>
      <c r="K370" s="91" t="s">
        <v>992</v>
      </c>
      <c r="L370" s="73"/>
      <c r="M370" s="46">
        <v>975</v>
      </c>
      <c r="N370" s="46">
        <v>0</v>
      </c>
      <c r="O370" s="46">
        <v>241020</v>
      </c>
      <c r="P370" s="98"/>
      <c r="Q370" s="23" t="s">
        <v>1421</v>
      </c>
      <c r="R370" s="24" t="s">
        <v>991</v>
      </c>
      <c r="S370" s="25" t="s">
        <v>30</v>
      </c>
      <c r="T370" s="26">
        <v>1088</v>
      </c>
      <c r="U370" s="26">
        <v>2893</v>
      </c>
      <c r="V370" s="26">
        <v>247.2</v>
      </c>
      <c r="W370" s="128">
        <f t="shared" ref="W370:W376" si="71">AH370-M370</f>
        <v>0</v>
      </c>
      <c r="X370" s="26">
        <f t="shared" si="61"/>
        <v>975</v>
      </c>
      <c r="Y370" s="26">
        <f t="shared" ref="Y370:Y376" si="72">Z370-O370</f>
        <v>0</v>
      </c>
      <c r="Z370" s="26">
        <f t="shared" ref="Z370:Z376" si="73">ROUND(V370*X370,2)</f>
        <v>241020</v>
      </c>
      <c r="AA370" s="27" t="s">
        <v>15</v>
      </c>
      <c r="AB370" s="36" t="s">
        <v>16</v>
      </c>
      <c r="AC370" s="181">
        <f t="shared" si="65"/>
        <v>2893</v>
      </c>
      <c r="AD370" s="181">
        <f t="shared" ref="AD370:AD376" si="74">ROUND(V370*AC370,2)</f>
        <v>715149.6</v>
      </c>
      <c r="AE370" s="181">
        <v>1.9</v>
      </c>
      <c r="AF370" s="181">
        <v>1.9</v>
      </c>
      <c r="AG370" s="101" t="str">
        <f t="shared" si="66"/>
        <v/>
      </c>
      <c r="AH370" s="191">
        <v>975</v>
      </c>
      <c r="AI370" s="69">
        <f t="shared" si="67"/>
        <v>975</v>
      </c>
    </row>
    <row r="371" spans="1:35" s="69" customFormat="1" ht="33" x14ac:dyDescent="0.3">
      <c r="A371" s="55" t="s">
        <v>993</v>
      </c>
      <c r="B371" s="138" t="s">
        <v>994</v>
      </c>
      <c r="C371" s="54" t="s">
        <v>30</v>
      </c>
      <c r="D371" s="75">
        <v>1088</v>
      </c>
      <c r="E371" s="75">
        <v>975</v>
      </c>
      <c r="F371" s="75"/>
      <c r="G371" s="75"/>
      <c r="H371" s="75">
        <v>2893</v>
      </c>
      <c r="I371" s="75">
        <v>236.9</v>
      </c>
      <c r="J371" s="75">
        <v>685351.7</v>
      </c>
      <c r="K371" s="91" t="s">
        <v>995</v>
      </c>
      <c r="L371" s="73"/>
      <c r="M371" s="46">
        <v>975</v>
      </c>
      <c r="N371" s="46">
        <v>0</v>
      </c>
      <c r="O371" s="46">
        <v>230977.5</v>
      </c>
      <c r="P371" s="98"/>
      <c r="Q371" s="23" t="s">
        <v>1426</v>
      </c>
      <c r="R371" s="24" t="s">
        <v>994</v>
      </c>
      <c r="S371" s="25" t="s">
        <v>30</v>
      </c>
      <c r="T371" s="26">
        <v>1088</v>
      </c>
      <c r="U371" s="26">
        <v>2893</v>
      </c>
      <c r="V371" s="26">
        <v>236.9</v>
      </c>
      <c r="W371" s="128">
        <f t="shared" si="71"/>
        <v>0</v>
      </c>
      <c r="X371" s="26">
        <f t="shared" ref="X371:X376" si="75">W371+M371</f>
        <v>975</v>
      </c>
      <c r="Y371" s="26">
        <f>Z371-O371</f>
        <v>0</v>
      </c>
      <c r="Z371" s="26">
        <f t="shared" si="73"/>
        <v>230977.5</v>
      </c>
      <c r="AA371" s="27" t="s">
        <v>15</v>
      </c>
      <c r="AB371" s="36" t="s">
        <v>16</v>
      </c>
      <c r="AC371" s="181">
        <f t="shared" si="65"/>
        <v>2893</v>
      </c>
      <c r="AD371" s="181">
        <f t="shared" si="74"/>
        <v>685351.7</v>
      </c>
      <c r="AE371" s="181">
        <v>1.9</v>
      </c>
      <c r="AF371" s="181">
        <v>1.9</v>
      </c>
      <c r="AG371" s="101" t="str">
        <f t="shared" si="66"/>
        <v/>
      </c>
      <c r="AH371" s="191">
        <v>975</v>
      </c>
      <c r="AI371" s="69">
        <f t="shared" si="67"/>
        <v>975</v>
      </c>
    </row>
    <row r="372" spans="1:35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9795.5</v>
      </c>
      <c r="I372" s="75">
        <v>252.35</v>
      </c>
      <c r="J372" s="75">
        <v>2471894.4300000002</v>
      </c>
      <c r="K372" s="91" t="s">
        <v>999</v>
      </c>
      <c r="L372" s="73"/>
      <c r="M372" s="46">
        <v>8104</v>
      </c>
      <c r="N372" s="46">
        <v>90846</v>
      </c>
      <c r="O372" s="46">
        <v>2045044.4</v>
      </c>
      <c r="P372" s="98"/>
      <c r="Q372" s="23" t="s">
        <v>1402</v>
      </c>
      <c r="R372" s="24" t="s">
        <v>997</v>
      </c>
      <c r="S372" s="25" t="s">
        <v>998</v>
      </c>
      <c r="T372" s="26">
        <v>6984</v>
      </c>
      <c r="U372" s="26">
        <v>9795.5</v>
      </c>
      <c r="V372" s="26">
        <v>252.35</v>
      </c>
      <c r="W372" s="243">
        <f t="shared" si="71"/>
        <v>360</v>
      </c>
      <c r="X372" s="26">
        <f t="shared" si="75"/>
        <v>8464</v>
      </c>
      <c r="Y372" s="26">
        <f t="shared" si="72"/>
        <v>90846</v>
      </c>
      <c r="Z372" s="26">
        <f t="shared" si="73"/>
        <v>2135890.4</v>
      </c>
      <c r="AA372" s="27" t="s">
        <v>15</v>
      </c>
      <c r="AB372" s="36" t="s">
        <v>16</v>
      </c>
      <c r="AC372" s="181">
        <f t="shared" si="65"/>
        <v>9795.5</v>
      </c>
      <c r="AD372" s="181">
        <f t="shared" si="74"/>
        <v>2471894.4300000002</v>
      </c>
      <c r="AE372" s="181">
        <v>1.9</v>
      </c>
      <c r="AF372" s="181">
        <v>1.9</v>
      </c>
      <c r="AG372" s="101" t="str">
        <f t="shared" si="66"/>
        <v/>
      </c>
      <c r="AH372" s="191">
        <f>7744+360+360</f>
        <v>8464</v>
      </c>
      <c r="AI372" s="69">
        <f t="shared" si="67"/>
        <v>8744</v>
      </c>
    </row>
    <row r="373" spans="1:35" s="69" customFormat="1" ht="49.5" x14ac:dyDescent="0.3">
      <c r="A373" s="55" t="s">
        <v>1000</v>
      </c>
      <c r="B373" s="138" t="s">
        <v>1001</v>
      </c>
      <c r="C373" s="54" t="s">
        <v>14</v>
      </c>
      <c r="D373" s="75">
        <v>1</v>
      </c>
      <c r="E373" s="75"/>
      <c r="F373" s="75"/>
      <c r="G373" s="75"/>
      <c r="H373" s="75" t="s">
        <v>15</v>
      </c>
      <c r="I373" s="75">
        <v>350000</v>
      </c>
      <c r="J373" s="75">
        <v>350000</v>
      </c>
      <c r="K373" s="91" t="s">
        <v>1002</v>
      </c>
      <c r="L373" s="73"/>
      <c r="M373" s="46">
        <v>1</v>
      </c>
      <c r="N373" s="46">
        <v>0</v>
      </c>
      <c r="O373" s="46">
        <v>157500</v>
      </c>
      <c r="P373" s="98"/>
      <c r="Q373" s="23" t="s">
        <v>1373</v>
      </c>
      <c r="R373" s="24" t="s">
        <v>1001</v>
      </c>
      <c r="S373" s="25" t="s">
        <v>14</v>
      </c>
      <c r="T373" s="26">
        <v>1</v>
      </c>
      <c r="U373" s="26">
        <v>1</v>
      </c>
      <c r="V373" s="26">
        <v>350000</v>
      </c>
      <c r="W373" s="26">
        <f>IF(Y373=0,0,1)</f>
        <v>0</v>
      </c>
      <c r="X373" s="26">
        <f>IF(Z373=0,0,1)</f>
        <v>1</v>
      </c>
      <c r="Y373" s="26">
        <f t="shared" si="72"/>
        <v>0</v>
      </c>
      <c r="Z373" s="26">
        <v>157500</v>
      </c>
      <c r="AA373" s="123">
        <f>Z373/J373</f>
        <v>0.45</v>
      </c>
      <c r="AB373" s="36" t="s">
        <v>16</v>
      </c>
      <c r="AC373" s="181">
        <f t="shared" si="65"/>
        <v>1</v>
      </c>
      <c r="AD373" s="181">
        <f t="shared" si="74"/>
        <v>350000</v>
      </c>
      <c r="AE373" s="181">
        <v>1.9</v>
      </c>
      <c r="AF373" s="181">
        <v>1.9</v>
      </c>
      <c r="AG373" s="101" t="str">
        <f t="shared" si="66"/>
        <v/>
      </c>
      <c r="AH373" s="190">
        <v>1</v>
      </c>
      <c r="AI373" s="69">
        <f t="shared" si="67"/>
        <v>1</v>
      </c>
    </row>
    <row r="374" spans="1:35" s="69" customFormat="1" ht="33" x14ac:dyDescent="0.3">
      <c r="A374" s="55" t="s">
        <v>1003</v>
      </c>
      <c r="B374" s="138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3149</v>
      </c>
      <c r="I374" s="75">
        <v>931.12</v>
      </c>
      <c r="J374" s="75">
        <v>2932096.88</v>
      </c>
      <c r="K374" s="91" t="s">
        <v>1005</v>
      </c>
      <c r="L374" s="73"/>
      <c r="M374" s="46">
        <v>2060</v>
      </c>
      <c r="N374" s="46">
        <v>0</v>
      </c>
      <c r="O374" s="46">
        <v>1918107.2</v>
      </c>
      <c r="P374" s="98"/>
      <c r="Q374" s="23" t="s">
        <v>1393</v>
      </c>
      <c r="R374" s="24" t="s">
        <v>1004</v>
      </c>
      <c r="S374" s="25" t="s">
        <v>97</v>
      </c>
      <c r="T374" s="26">
        <v>1</v>
      </c>
      <c r="U374" s="26">
        <v>3149</v>
      </c>
      <c r="V374" s="26">
        <v>931.12</v>
      </c>
      <c r="W374" s="128">
        <f t="shared" si="71"/>
        <v>0</v>
      </c>
      <c r="X374" s="26">
        <f t="shared" si="75"/>
        <v>2060</v>
      </c>
      <c r="Y374" s="26">
        <f t="shared" si="72"/>
        <v>0</v>
      </c>
      <c r="Z374" s="26">
        <f t="shared" si="73"/>
        <v>1918107.2</v>
      </c>
      <c r="AA374" s="27" t="s">
        <v>15</v>
      </c>
      <c r="AB374" s="36" t="s">
        <v>16</v>
      </c>
      <c r="AC374" s="181">
        <f t="shared" si="65"/>
        <v>3149</v>
      </c>
      <c r="AD374" s="181">
        <f t="shared" si="74"/>
        <v>2932096.88</v>
      </c>
      <c r="AE374" s="181">
        <v>1.9</v>
      </c>
      <c r="AF374" s="181">
        <v>1.9</v>
      </c>
      <c r="AG374" s="101" t="str">
        <f t="shared" si="66"/>
        <v/>
      </c>
      <c r="AH374" s="191">
        <v>2060</v>
      </c>
      <c r="AI374" s="69">
        <f t="shared" si="67"/>
        <v>2480</v>
      </c>
    </row>
    <row r="375" spans="1:35" s="69" customFormat="1" ht="33" x14ac:dyDescent="0.3">
      <c r="A375" s="55" t="s">
        <v>1006</v>
      </c>
      <c r="B375" s="53" t="s">
        <v>678</v>
      </c>
      <c r="C375" s="54" t="s">
        <v>23</v>
      </c>
      <c r="D375" s="75">
        <v>1</v>
      </c>
      <c r="E375" s="203">
        <v>91</v>
      </c>
      <c r="F375" s="203">
        <v>291</v>
      </c>
      <c r="G375" s="203"/>
      <c r="H375" s="203">
        <v>438</v>
      </c>
      <c r="I375" s="75">
        <v>3386.57</v>
      </c>
      <c r="J375" s="75">
        <v>1483317.66</v>
      </c>
      <c r="K375" s="91" t="s">
        <v>679</v>
      </c>
      <c r="L375" s="73"/>
      <c r="M375" s="46">
        <v>291</v>
      </c>
      <c r="N375" s="46">
        <v>0</v>
      </c>
      <c r="O375" s="46">
        <v>985491.87</v>
      </c>
      <c r="P375" s="98"/>
      <c r="Q375" s="23" t="s">
        <v>1403</v>
      </c>
      <c r="R375" s="24" t="s">
        <v>678</v>
      </c>
      <c r="S375" s="25" t="s">
        <v>23</v>
      </c>
      <c r="T375" s="26">
        <v>1</v>
      </c>
      <c r="U375" s="26">
        <v>438</v>
      </c>
      <c r="V375" s="26">
        <v>3386.57</v>
      </c>
      <c r="W375" s="128">
        <f t="shared" si="71"/>
        <v>0</v>
      </c>
      <c r="X375" s="26">
        <f t="shared" si="75"/>
        <v>291</v>
      </c>
      <c r="Y375" s="26">
        <f t="shared" si="72"/>
        <v>0</v>
      </c>
      <c r="Z375" s="26">
        <f t="shared" si="73"/>
        <v>985491.87</v>
      </c>
      <c r="AA375" s="27" t="s">
        <v>15</v>
      </c>
      <c r="AB375" s="36" t="s">
        <v>16</v>
      </c>
      <c r="AC375" s="181">
        <f t="shared" si="65"/>
        <v>438</v>
      </c>
      <c r="AD375" s="181">
        <f t="shared" si="74"/>
        <v>1483317.66</v>
      </c>
      <c r="AE375" s="181">
        <v>1.9</v>
      </c>
      <c r="AF375" s="181">
        <v>1.9</v>
      </c>
      <c r="AG375" s="101" t="str">
        <f t="shared" si="66"/>
        <v/>
      </c>
      <c r="AH375" s="190">
        <v>291</v>
      </c>
      <c r="AI375" s="69">
        <f t="shared" si="67"/>
        <v>291</v>
      </c>
    </row>
    <row r="376" spans="1:35" s="69" customFormat="1" ht="49.5" x14ac:dyDescent="0.3">
      <c r="A376" s="134" t="s">
        <v>1340</v>
      </c>
      <c r="B376" s="139" t="s">
        <v>3137</v>
      </c>
      <c r="C376" s="204" t="s">
        <v>30</v>
      </c>
      <c r="D376" s="133"/>
      <c r="E376" s="59">
        <v>130</v>
      </c>
      <c r="F376" s="77"/>
      <c r="G376" s="77"/>
      <c r="H376" s="77" t="s">
        <v>15</v>
      </c>
      <c r="I376" s="77">
        <v>9706.16</v>
      </c>
      <c r="J376" s="59">
        <v>1261800.8</v>
      </c>
      <c r="K376" s="92"/>
      <c r="L376" s="73"/>
      <c r="M376" s="46">
        <v>130</v>
      </c>
      <c r="N376" s="46">
        <v>0</v>
      </c>
      <c r="O376" s="46">
        <v>1261800.8</v>
      </c>
      <c r="P376" s="98"/>
      <c r="Q376" s="23" t="s">
        <v>1427</v>
      </c>
      <c r="R376" s="24" t="s">
        <v>1500</v>
      </c>
      <c r="S376" s="25" t="s">
        <v>30</v>
      </c>
      <c r="T376" s="26">
        <v>0</v>
      </c>
      <c r="U376" s="26">
        <v>130</v>
      </c>
      <c r="V376" s="26">
        <v>9706.16</v>
      </c>
      <c r="W376" s="127">
        <f t="shared" si="71"/>
        <v>0</v>
      </c>
      <c r="X376" s="127">
        <f t="shared" si="75"/>
        <v>130</v>
      </c>
      <c r="Y376" s="127">
        <f t="shared" si="72"/>
        <v>0</v>
      </c>
      <c r="Z376" s="127">
        <f t="shared" si="73"/>
        <v>1261800.8</v>
      </c>
      <c r="AA376" s="27"/>
      <c r="AB376" s="36" t="s">
        <v>16</v>
      </c>
      <c r="AC376" s="181">
        <f t="shared" si="65"/>
        <v>130</v>
      </c>
      <c r="AD376" s="181">
        <f t="shared" si="74"/>
        <v>1261800.8</v>
      </c>
      <c r="AE376" s="181">
        <v>1.9</v>
      </c>
      <c r="AF376" s="181">
        <v>1.9</v>
      </c>
      <c r="AG376" s="101" t="str">
        <f t="shared" si="66"/>
        <v/>
      </c>
      <c r="AH376" s="191">
        <v>130</v>
      </c>
      <c r="AI376" s="69">
        <f t="shared" si="67"/>
        <v>130</v>
      </c>
    </row>
    <row r="377" spans="1:35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 t="s">
        <v>15</v>
      </c>
      <c r="I377" s="88"/>
      <c r="J377" s="88">
        <v>27540238.109999999</v>
      </c>
      <c r="K377" s="95" t="s">
        <v>15</v>
      </c>
      <c r="L377" s="73"/>
      <c r="M377" s="42">
        <v>1</v>
      </c>
      <c r="N377" s="42">
        <v>180000</v>
      </c>
      <c r="O377" s="42">
        <v>23654873.300000004</v>
      </c>
      <c r="P377" s="98"/>
      <c r="Q377" s="13" t="s">
        <v>1404</v>
      </c>
      <c r="R377" s="14" t="s">
        <v>1008</v>
      </c>
      <c r="S377" s="15" t="s">
        <v>14</v>
      </c>
      <c r="T377" s="16">
        <v>1</v>
      </c>
      <c r="U377" s="16"/>
      <c r="V377" s="16">
        <f>SUMIFS(AD:AD,AE:AE,AE377)</f>
        <v>27540238.110000003</v>
      </c>
      <c r="W377" s="16">
        <f t="shared" ref="W377:X377" si="76">IF(Y377=0,0,1)</f>
        <v>1</v>
      </c>
      <c r="X377" s="16">
        <f t="shared" si="76"/>
        <v>1</v>
      </c>
      <c r="Y377" s="16">
        <f>SUMIFS(Y:Y,AF:AF,AE377)</f>
        <v>254958</v>
      </c>
      <c r="Z377" s="16">
        <f>SUMIFS(Z:Z,AF:AF,AE377)</f>
        <v>23909831.300000004</v>
      </c>
      <c r="AA377" s="17" t="s">
        <v>15</v>
      </c>
      <c r="AB377" s="40" t="s">
        <v>16</v>
      </c>
      <c r="AC377" s="181">
        <f t="shared" si="65"/>
        <v>1</v>
      </c>
      <c r="AD377" s="183"/>
      <c r="AE377" s="183">
        <v>2</v>
      </c>
      <c r="AF377" s="183"/>
      <c r="AG377" s="101" t="str">
        <f t="shared" si="66"/>
        <v/>
      </c>
      <c r="AH377" s="190">
        <v>1</v>
      </c>
      <c r="AI377" s="69">
        <f t="shared" si="67"/>
        <v>1</v>
      </c>
    </row>
    <row r="378" spans="1:35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 t="s">
        <v>15</v>
      </c>
      <c r="I378" s="75">
        <v>711302</v>
      </c>
      <c r="J378" s="75">
        <v>711302</v>
      </c>
      <c r="K378" s="91" t="s">
        <v>1011</v>
      </c>
      <c r="L378" s="73"/>
      <c r="M378" s="46">
        <v>0</v>
      </c>
      <c r="N378" s="46">
        <v>0</v>
      </c>
      <c r="O378" s="46">
        <v>0</v>
      </c>
      <c r="P378" s="98"/>
      <c r="Q378" s="23" t="s">
        <v>1421</v>
      </c>
      <c r="R378" s="24" t="s">
        <v>1010</v>
      </c>
      <c r="S378" s="25" t="s">
        <v>14</v>
      </c>
      <c r="T378" s="26">
        <v>1</v>
      </c>
      <c r="U378" s="26">
        <v>1</v>
      </c>
      <c r="V378" s="26">
        <v>711302</v>
      </c>
      <c r="W378" s="26">
        <f t="shared" ref="W378:W406" si="77">AH378-M378</f>
        <v>0</v>
      </c>
      <c r="X378" s="26">
        <f t="shared" ref="X378:X458" si="78">W378+M378</f>
        <v>0</v>
      </c>
      <c r="Y378" s="26">
        <f t="shared" ref="Y378:Y406" si="79">Z378-O378</f>
        <v>0</v>
      </c>
      <c r="Z378" s="26">
        <f t="shared" ref="Z378:Z406" si="80">ROUND(V378*X378,2)</f>
        <v>0</v>
      </c>
      <c r="AA378" s="33" t="s">
        <v>15</v>
      </c>
      <c r="AB378" s="36" t="s">
        <v>16</v>
      </c>
      <c r="AC378" s="181">
        <f t="shared" si="65"/>
        <v>1</v>
      </c>
      <c r="AD378" s="181">
        <f t="shared" ref="AD378:AD406" si="81">ROUND(V378*AC378,2)</f>
        <v>711302</v>
      </c>
      <c r="AE378" s="181">
        <v>2</v>
      </c>
      <c r="AF378" s="181">
        <v>2</v>
      </c>
      <c r="AG378" s="101" t="str">
        <f t="shared" si="66"/>
        <v/>
      </c>
      <c r="AH378" s="190">
        <v>0</v>
      </c>
      <c r="AI378" s="69">
        <f t="shared" si="67"/>
        <v>1</v>
      </c>
    </row>
    <row r="379" spans="1:35" s="69" customFormat="1" ht="33" customHeight="1" x14ac:dyDescent="0.3">
      <c r="A379" s="55" t="s">
        <v>1012</v>
      </c>
      <c r="B379" s="53" t="s">
        <v>3153</v>
      </c>
      <c r="C379" s="54" t="s">
        <v>1014</v>
      </c>
      <c r="D379" s="75">
        <v>7</v>
      </c>
      <c r="E379" s="75"/>
      <c r="F379" s="75"/>
      <c r="G379" s="75"/>
      <c r="H379" s="76" t="s">
        <v>15</v>
      </c>
      <c r="I379" s="75">
        <v>50000</v>
      </c>
      <c r="J379" s="75">
        <v>350000</v>
      </c>
      <c r="K379" s="91" t="s">
        <v>1015</v>
      </c>
      <c r="L379" s="73"/>
      <c r="M379" s="46">
        <v>0</v>
      </c>
      <c r="N379" s="46">
        <v>0</v>
      </c>
      <c r="O379" s="46">
        <v>0</v>
      </c>
      <c r="P379" s="98"/>
      <c r="Q379" s="23" t="s">
        <v>1426</v>
      </c>
      <c r="R379" s="24" t="s">
        <v>1013</v>
      </c>
      <c r="S379" s="25" t="s">
        <v>1014</v>
      </c>
      <c r="T379" s="26">
        <v>7</v>
      </c>
      <c r="U379" s="26">
        <v>7</v>
      </c>
      <c r="V379" s="26">
        <v>50000</v>
      </c>
      <c r="W379" s="26">
        <f t="shared" si="77"/>
        <v>0</v>
      </c>
      <c r="X379" s="26">
        <f t="shared" si="78"/>
        <v>0</v>
      </c>
      <c r="Y379" s="26">
        <f t="shared" si="79"/>
        <v>0</v>
      </c>
      <c r="Z379" s="26">
        <f t="shared" si="80"/>
        <v>0</v>
      </c>
      <c r="AA379" s="33" t="s">
        <v>15</v>
      </c>
      <c r="AB379" s="36" t="s">
        <v>16</v>
      </c>
      <c r="AC379" s="181">
        <f t="shared" si="65"/>
        <v>7</v>
      </c>
      <c r="AD379" s="181">
        <f t="shared" si="81"/>
        <v>350000</v>
      </c>
      <c r="AE379" s="181">
        <v>2</v>
      </c>
      <c r="AF379" s="181">
        <v>2</v>
      </c>
      <c r="AG379" s="101" t="str">
        <f t="shared" si="66"/>
        <v/>
      </c>
      <c r="AH379" s="190">
        <v>0</v>
      </c>
      <c r="AI379" s="69">
        <f t="shared" si="67"/>
        <v>7</v>
      </c>
    </row>
    <row r="380" spans="1:35" s="69" customFormat="1" ht="33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75"/>
      <c r="F380" s="75">
        <v>400</v>
      </c>
      <c r="G380" s="224"/>
      <c r="H380" s="158" t="s">
        <v>15</v>
      </c>
      <c r="I380" s="166">
        <v>22500</v>
      </c>
      <c r="J380" s="75">
        <v>9000000</v>
      </c>
      <c r="K380" s="91" t="s">
        <v>1018</v>
      </c>
      <c r="L380" s="73"/>
      <c r="M380" s="46">
        <v>400</v>
      </c>
      <c r="N380" s="46">
        <v>0</v>
      </c>
      <c r="O380" s="46">
        <v>9000000</v>
      </c>
      <c r="P380" s="98"/>
      <c r="Q380" s="23" t="s">
        <v>1402</v>
      </c>
      <c r="R380" s="24" t="s">
        <v>1017</v>
      </c>
      <c r="S380" s="25" t="s">
        <v>50</v>
      </c>
      <c r="T380" s="26">
        <v>360</v>
      </c>
      <c r="U380" s="26">
        <v>400</v>
      </c>
      <c r="V380" s="26">
        <v>22500</v>
      </c>
      <c r="W380" s="127">
        <f t="shared" si="77"/>
        <v>0</v>
      </c>
      <c r="X380" s="127">
        <f t="shared" si="78"/>
        <v>400</v>
      </c>
      <c r="Y380" s="127">
        <f t="shared" si="79"/>
        <v>0</v>
      </c>
      <c r="Z380" s="127">
        <f t="shared" si="80"/>
        <v>9000000</v>
      </c>
      <c r="AA380" s="27" t="s">
        <v>15</v>
      </c>
      <c r="AB380" s="36" t="s">
        <v>16</v>
      </c>
      <c r="AC380" s="181">
        <f t="shared" si="65"/>
        <v>400</v>
      </c>
      <c r="AD380" s="181">
        <f t="shared" si="81"/>
        <v>9000000</v>
      </c>
      <c r="AE380" s="181">
        <v>2</v>
      </c>
      <c r="AF380" s="181">
        <v>2</v>
      </c>
      <c r="AG380" s="101" t="str">
        <f t="shared" si="66"/>
        <v/>
      </c>
      <c r="AH380" s="190">
        <v>400</v>
      </c>
      <c r="AI380" s="69">
        <f t="shared" si="67"/>
        <v>400</v>
      </c>
    </row>
    <row r="381" spans="1:35" s="69" customFormat="1" ht="49.5" x14ac:dyDescent="0.3">
      <c r="A381" s="55" t="s">
        <v>1019</v>
      </c>
      <c r="B381" s="138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235"/>
      <c r="H381" s="158" t="s">
        <v>15</v>
      </c>
      <c r="I381" s="166">
        <v>806</v>
      </c>
      <c r="J381" s="75">
        <v>2941900</v>
      </c>
      <c r="K381" s="91" t="s">
        <v>1022</v>
      </c>
      <c r="L381" s="73"/>
      <c r="M381" s="46">
        <v>2070</v>
      </c>
      <c r="N381" s="46">
        <v>0</v>
      </c>
      <c r="O381" s="46">
        <v>1668420</v>
      </c>
      <c r="P381" s="98"/>
      <c r="Q381" s="23" t="s">
        <v>1373</v>
      </c>
      <c r="R381" s="24" t="s">
        <v>1020</v>
      </c>
      <c r="S381" s="25" t="s">
        <v>1021</v>
      </c>
      <c r="T381" s="26">
        <v>730</v>
      </c>
      <c r="U381" s="26">
        <v>3650</v>
      </c>
      <c r="V381" s="26">
        <v>806</v>
      </c>
      <c r="W381" s="250">
        <f t="shared" si="77"/>
        <v>93</v>
      </c>
      <c r="X381" s="26">
        <f t="shared" si="78"/>
        <v>2163</v>
      </c>
      <c r="Y381" s="26">
        <f t="shared" si="79"/>
        <v>74958</v>
      </c>
      <c r="Z381" s="26">
        <f t="shared" si="80"/>
        <v>1743378</v>
      </c>
      <c r="AA381" s="27" t="s">
        <v>15</v>
      </c>
      <c r="AB381" s="36" t="s">
        <v>16</v>
      </c>
      <c r="AC381" s="181">
        <f t="shared" si="65"/>
        <v>3650</v>
      </c>
      <c r="AD381" s="181">
        <f t="shared" si="81"/>
        <v>2941900</v>
      </c>
      <c r="AE381" s="181">
        <v>2</v>
      </c>
      <c r="AF381" s="181">
        <v>2</v>
      </c>
      <c r="AG381" s="101" t="str">
        <f t="shared" si="66"/>
        <v/>
      </c>
      <c r="AH381" s="191">
        <f>2070+93</f>
        <v>2163</v>
      </c>
      <c r="AI381" s="69">
        <f t="shared" si="67"/>
        <v>3650</v>
      </c>
    </row>
    <row r="382" spans="1:35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75">
        <v>4</v>
      </c>
      <c r="F382" s="161">
        <v>5</v>
      </c>
      <c r="G382" s="235"/>
      <c r="H382" s="158" t="s">
        <v>15</v>
      </c>
      <c r="I382" s="166">
        <v>50000</v>
      </c>
      <c r="J382" s="75">
        <v>250000</v>
      </c>
      <c r="K382" s="91" t="s">
        <v>1025</v>
      </c>
      <c r="L382" s="73"/>
      <c r="M382" s="46">
        <v>5</v>
      </c>
      <c r="N382" s="46">
        <v>0</v>
      </c>
      <c r="O382" s="46">
        <v>250000</v>
      </c>
      <c r="P382" s="98"/>
      <c r="Q382" s="23" t="s">
        <v>1393</v>
      </c>
      <c r="R382" s="24" t="s">
        <v>1024</v>
      </c>
      <c r="S382" s="25" t="s">
        <v>1014</v>
      </c>
      <c r="T382" s="26">
        <v>2</v>
      </c>
      <c r="U382" s="26">
        <v>5</v>
      </c>
      <c r="V382" s="26">
        <v>50000</v>
      </c>
      <c r="W382" s="127">
        <f t="shared" si="77"/>
        <v>0</v>
      </c>
      <c r="X382" s="127">
        <f t="shared" si="78"/>
        <v>5</v>
      </c>
      <c r="Y382" s="127">
        <f t="shared" si="79"/>
        <v>0</v>
      </c>
      <c r="Z382" s="127">
        <f t="shared" si="80"/>
        <v>250000</v>
      </c>
      <c r="AA382" s="27" t="s">
        <v>15</v>
      </c>
      <c r="AB382" s="36" t="s">
        <v>16</v>
      </c>
      <c r="AC382" s="181">
        <f t="shared" si="65"/>
        <v>5</v>
      </c>
      <c r="AD382" s="181">
        <f t="shared" si="81"/>
        <v>250000</v>
      </c>
      <c r="AE382" s="181">
        <v>2</v>
      </c>
      <c r="AF382" s="181">
        <v>2</v>
      </c>
      <c r="AG382" s="101" t="str">
        <f t="shared" si="66"/>
        <v/>
      </c>
      <c r="AH382" s="190">
        <v>5</v>
      </c>
      <c r="AI382" s="69">
        <f t="shared" si="67"/>
        <v>5</v>
      </c>
    </row>
    <row r="383" spans="1:35" s="69" customFormat="1" ht="36.75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235"/>
      <c r="H383" s="158" t="s">
        <v>15</v>
      </c>
      <c r="I383" s="166">
        <v>180000</v>
      </c>
      <c r="J383" s="75">
        <v>4320000</v>
      </c>
      <c r="K383" s="91" t="s">
        <v>1029</v>
      </c>
      <c r="L383" s="73"/>
      <c r="M383" s="46">
        <v>18</v>
      </c>
      <c r="N383" s="46">
        <v>180000</v>
      </c>
      <c r="O383" s="46">
        <v>3240000</v>
      </c>
      <c r="P383" s="98"/>
      <c r="Q383" s="23" t="s">
        <v>1403</v>
      </c>
      <c r="R383" s="24" t="s">
        <v>1027</v>
      </c>
      <c r="S383" s="25" t="s">
        <v>1028</v>
      </c>
      <c r="T383" s="26">
        <v>24</v>
      </c>
      <c r="U383" s="26">
        <v>24</v>
      </c>
      <c r="V383" s="26">
        <v>180000</v>
      </c>
      <c r="W383" s="250">
        <f t="shared" si="77"/>
        <v>1</v>
      </c>
      <c r="X383" s="26">
        <f t="shared" si="78"/>
        <v>19</v>
      </c>
      <c r="Y383" s="26">
        <f t="shared" si="79"/>
        <v>180000</v>
      </c>
      <c r="Z383" s="26">
        <f t="shared" si="80"/>
        <v>3420000</v>
      </c>
      <c r="AA383" s="33" t="s">
        <v>15</v>
      </c>
      <c r="AB383" s="36" t="s">
        <v>16</v>
      </c>
      <c r="AC383" s="181">
        <f t="shared" si="65"/>
        <v>24</v>
      </c>
      <c r="AD383" s="181">
        <f t="shared" si="81"/>
        <v>4320000</v>
      </c>
      <c r="AE383" s="181">
        <v>2</v>
      </c>
      <c r="AF383" s="181">
        <v>2</v>
      </c>
      <c r="AG383" s="101" t="str">
        <f t="shared" si="66"/>
        <v/>
      </c>
      <c r="AH383" s="191">
        <f>17+1+1</f>
        <v>19</v>
      </c>
      <c r="AI383" s="69">
        <f t="shared" si="67"/>
        <v>24</v>
      </c>
    </row>
    <row r="384" spans="1:35" s="69" customFormat="1" ht="34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235"/>
      <c r="H384" s="158" t="s">
        <v>15</v>
      </c>
      <c r="I384" s="166">
        <v>205982.81</v>
      </c>
      <c r="J384" s="75">
        <v>205982.81</v>
      </c>
      <c r="K384" s="91" t="s">
        <v>1032</v>
      </c>
      <c r="L384" s="73"/>
      <c r="M384" s="46">
        <v>0</v>
      </c>
      <c r="N384" s="46">
        <v>0</v>
      </c>
      <c r="O384" s="46">
        <v>0</v>
      </c>
      <c r="P384" s="98"/>
      <c r="Q384" s="23" t="s">
        <v>1427</v>
      </c>
      <c r="R384" s="24" t="s">
        <v>1031</v>
      </c>
      <c r="S384" s="25" t="s">
        <v>14</v>
      </c>
      <c r="T384" s="26">
        <v>1</v>
      </c>
      <c r="U384" s="26">
        <v>1</v>
      </c>
      <c r="V384" s="26">
        <v>205982.81</v>
      </c>
      <c r="W384" s="26">
        <f t="shared" si="77"/>
        <v>0</v>
      </c>
      <c r="X384" s="26">
        <f t="shared" si="78"/>
        <v>0</v>
      </c>
      <c r="Y384" s="26">
        <f t="shared" si="79"/>
        <v>0</v>
      </c>
      <c r="Z384" s="26">
        <f t="shared" si="80"/>
        <v>0</v>
      </c>
      <c r="AA384" s="33" t="s">
        <v>15</v>
      </c>
      <c r="AB384" s="36" t="s">
        <v>16</v>
      </c>
      <c r="AC384" s="181">
        <f t="shared" si="65"/>
        <v>1</v>
      </c>
      <c r="AD384" s="181">
        <f t="shared" si="81"/>
        <v>205982.81</v>
      </c>
      <c r="AE384" s="181">
        <v>2</v>
      </c>
      <c r="AF384" s="181">
        <v>2</v>
      </c>
      <c r="AG384" s="101" t="str">
        <f t="shared" si="66"/>
        <v/>
      </c>
      <c r="AH384" s="190">
        <v>0</v>
      </c>
      <c r="AI384" s="69">
        <f t="shared" si="67"/>
        <v>1</v>
      </c>
    </row>
    <row r="385" spans="1:35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75"/>
      <c r="F385" s="161"/>
      <c r="G385" s="235"/>
      <c r="H385" s="158" t="s">
        <v>15</v>
      </c>
      <c r="I385" s="166">
        <v>2425000</v>
      </c>
      <c r="J385" s="75">
        <v>2425000</v>
      </c>
      <c r="K385" s="91" t="s">
        <v>1035</v>
      </c>
      <c r="L385" s="73"/>
      <c r="M385" s="46">
        <v>1</v>
      </c>
      <c r="N385" s="46">
        <v>0</v>
      </c>
      <c r="O385" s="46">
        <v>2425000</v>
      </c>
      <c r="P385" s="98"/>
      <c r="Q385" s="23" t="s">
        <v>1428</v>
      </c>
      <c r="R385" s="24" t="s">
        <v>1034</v>
      </c>
      <c r="S385" s="25" t="s">
        <v>14</v>
      </c>
      <c r="T385" s="26">
        <v>1</v>
      </c>
      <c r="U385" s="26">
        <v>1</v>
      </c>
      <c r="V385" s="26">
        <v>2425000</v>
      </c>
      <c r="W385" s="127">
        <f t="shared" si="77"/>
        <v>0</v>
      </c>
      <c r="X385" s="127">
        <f t="shared" si="78"/>
        <v>1</v>
      </c>
      <c r="Y385" s="127">
        <f t="shared" si="79"/>
        <v>0</v>
      </c>
      <c r="Z385" s="127">
        <f t="shared" si="80"/>
        <v>2425000</v>
      </c>
      <c r="AA385" s="33" t="s">
        <v>1499</v>
      </c>
      <c r="AB385" s="36" t="s">
        <v>16</v>
      </c>
      <c r="AC385" s="181">
        <f t="shared" si="65"/>
        <v>1</v>
      </c>
      <c r="AD385" s="181">
        <f t="shared" si="81"/>
        <v>2425000</v>
      </c>
      <c r="AE385" s="181">
        <v>2</v>
      </c>
      <c r="AF385" s="181">
        <v>2</v>
      </c>
      <c r="AG385" s="101" t="str">
        <f t="shared" si="66"/>
        <v/>
      </c>
      <c r="AH385" s="190">
        <v>1</v>
      </c>
      <c r="AI385" s="69">
        <f t="shared" si="67"/>
        <v>1</v>
      </c>
    </row>
    <row r="386" spans="1:35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235"/>
      <c r="H386" s="158" t="s">
        <v>15</v>
      </c>
      <c r="I386" s="166">
        <v>350000</v>
      </c>
      <c r="J386" s="75">
        <v>350000</v>
      </c>
      <c r="K386" s="91" t="s">
        <v>1038</v>
      </c>
      <c r="L386" s="73"/>
      <c r="M386" s="46">
        <v>0.5</v>
      </c>
      <c r="N386" s="46">
        <v>0</v>
      </c>
      <c r="O386" s="46">
        <v>175000</v>
      </c>
      <c r="P386" s="98"/>
      <c r="Q386" s="23" t="s">
        <v>1387</v>
      </c>
      <c r="R386" s="24" t="s">
        <v>1037</v>
      </c>
      <c r="S386" s="25" t="s">
        <v>14</v>
      </c>
      <c r="T386" s="26">
        <v>1</v>
      </c>
      <c r="U386" s="26">
        <v>1</v>
      </c>
      <c r="V386" s="26">
        <v>350000</v>
      </c>
      <c r="W386" s="128">
        <f t="shared" si="77"/>
        <v>0.5</v>
      </c>
      <c r="X386" s="26">
        <v>0.5</v>
      </c>
      <c r="Y386" s="26">
        <f t="shared" si="79"/>
        <v>0</v>
      </c>
      <c r="Z386" s="26">
        <f t="shared" si="80"/>
        <v>175000</v>
      </c>
      <c r="AA386" s="33" t="s">
        <v>15</v>
      </c>
      <c r="AB386" s="36" t="s">
        <v>16</v>
      </c>
      <c r="AC386" s="181">
        <f t="shared" si="65"/>
        <v>1</v>
      </c>
      <c r="AD386" s="181">
        <f t="shared" si="81"/>
        <v>350000</v>
      </c>
      <c r="AE386" s="181">
        <v>2</v>
      </c>
      <c r="AF386" s="181">
        <v>2</v>
      </c>
      <c r="AG386" s="101" t="str">
        <f t="shared" si="66"/>
        <v/>
      </c>
      <c r="AH386" s="191">
        <v>1</v>
      </c>
      <c r="AI386" s="69">
        <f t="shared" si="67"/>
        <v>1</v>
      </c>
    </row>
    <row r="387" spans="1:35" ht="33" x14ac:dyDescent="0.3">
      <c r="A387" s="134" t="s">
        <v>1342</v>
      </c>
      <c r="B387" s="135" t="s">
        <v>1343</v>
      </c>
      <c r="C387" s="204" t="s">
        <v>50</v>
      </c>
      <c r="D387" s="133"/>
      <c r="E387" s="78"/>
      <c r="F387" s="163">
        <v>320</v>
      </c>
      <c r="G387" s="163"/>
      <c r="H387" s="62" t="s">
        <v>15</v>
      </c>
      <c r="I387" s="167">
        <v>10869.24</v>
      </c>
      <c r="J387" s="62">
        <v>3478156.8</v>
      </c>
      <c r="K387" s="93"/>
      <c r="M387" s="46">
        <v>320</v>
      </c>
      <c r="N387" s="46">
        <v>0</v>
      </c>
      <c r="O387" s="46">
        <v>3478156.8</v>
      </c>
      <c r="P387" s="98"/>
      <c r="Q387" s="23" t="s">
        <v>1405</v>
      </c>
      <c r="R387" s="24" t="s">
        <v>1343</v>
      </c>
      <c r="S387" s="25" t="s">
        <v>50</v>
      </c>
      <c r="T387" s="26">
        <v>0</v>
      </c>
      <c r="U387" s="26">
        <v>320</v>
      </c>
      <c r="V387" s="26">
        <v>10869.24</v>
      </c>
      <c r="W387" s="127">
        <f t="shared" si="77"/>
        <v>0</v>
      </c>
      <c r="X387" s="127">
        <f t="shared" si="78"/>
        <v>320</v>
      </c>
      <c r="Y387" s="127">
        <f t="shared" si="79"/>
        <v>0</v>
      </c>
      <c r="Z387" s="127">
        <f t="shared" si="80"/>
        <v>3478156.8</v>
      </c>
      <c r="AA387" s="27"/>
      <c r="AB387" s="36" t="s">
        <v>16</v>
      </c>
      <c r="AC387" s="181">
        <f t="shared" si="65"/>
        <v>320</v>
      </c>
      <c r="AD387" s="181">
        <f t="shared" si="81"/>
        <v>3478156.8</v>
      </c>
      <c r="AE387" s="181">
        <v>2</v>
      </c>
      <c r="AF387" s="181">
        <v>2</v>
      </c>
      <c r="AG387" s="101" t="str">
        <f t="shared" si="66"/>
        <v/>
      </c>
      <c r="AH387" s="191">
        <v>320</v>
      </c>
      <c r="AI387" s="69">
        <f t="shared" si="67"/>
        <v>320</v>
      </c>
    </row>
    <row r="388" spans="1:35" ht="33" x14ac:dyDescent="0.3">
      <c r="A388" s="144" t="s">
        <v>1344</v>
      </c>
      <c r="B388" s="145" t="s">
        <v>1345</v>
      </c>
      <c r="C388" s="206" t="s">
        <v>325</v>
      </c>
      <c r="D388" s="170"/>
      <c r="E388" s="147"/>
      <c r="F388" s="164">
        <v>2</v>
      </c>
      <c r="G388" s="163"/>
      <c r="H388" s="62" t="s">
        <v>15</v>
      </c>
      <c r="I388" s="168">
        <v>60995.57</v>
      </c>
      <c r="J388" s="148">
        <v>121991.14</v>
      </c>
      <c r="K388" s="149"/>
      <c r="M388" s="46">
        <v>2</v>
      </c>
      <c r="N388" s="46">
        <v>0</v>
      </c>
      <c r="O388" s="46">
        <v>121991.14</v>
      </c>
      <c r="P388" s="98"/>
      <c r="Q388" s="23" t="s">
        <v>1406</v>
      </c>
      <c r="R388" s="24" t="s">
        <v>1345</v>
      </c>
      <c r="S388" s="25" t="s">
        <v>325</v>
      </c>
      <c r="T388" s="26">
        <v>0</v>
      </c>
      <c r="U388" s="26">
        <v>2</v>
      </c>
      <c r="V388" s="26">
        <v>60995.57</v>
      </c>
      <c r="W388" s="127">
        <f t="shared" si="77"/>
        <v>0</v>
      </c>
      <c r="X388" s="127">
        <f t="shared" si="78"/>
        <v>2</v>
      </c>
      <c r="Y388" s="127">
        <f t="shared" si="79"/>
        <v>0</v>
      </c>
      <c r="Z388" s="127">
        <f t="shared" si="80"/>
        <v>121991.14</v>
      </c>
      <c r="AA388" s="27"/>
      <c r="AB388" s="36" t="s">
        <v>16</v>
      </c>
      <c r="AC388" s="181">
        <f t="shared" si="65"/>
        <v>2</v>
      </c>
      <c r="AD388" s="181">
        <f t="shared" si="81"/>
        <v>121991.14</v>
      </c>
      <c r="AE388" s="181">
        <v>2</v>
      </c>
      <c r="AF388" s="181">
        <v>2</v>
      </c>
      <c r="AG388" s="101" t="str">
        <f t="shared" si="66"/>
        <v/>
      </c>
      <c r="AH388" s="190">
        <v>2</v>
      </c>
      <c r="AI388" s="69">
        <f t="shared" si="67"/>
        <v>2</v>
      </c>
    </row>
    <row r="389" spans="1:35" ht="39" x14ac:dyDescent="0.3">
      <c r="A389" s="207" t="s">
        <v>3072</v>
      </c>
      <c r="B389" s="208" t="s">
        <v>3073</v>
      </c>
      <c r="C389" s="204" t="s">
        <v>97</v>
      </c>
      <c r="D389" s="171"/>
      <c r="E389" s="158"/>
      <c r="F389" s="165"/>
      <c r="G389" s="159">
        <v>220</v>
      </c>
      <c r="H389" s="223" t="s">
        <v>15</v>
      </c>
      <c r="I389" s="169">
        <v>1159.82</v>
      </c>
      <c r="J389" s="159">
        <v>255160.4</v>
      </c>
      <c r="K389" s="172"/>
      <c r="M389" s="46">
        <v>220</v>
      </c>
      <c r="N389" s="46">
        <v>0</v>
      </c>
      <c r="O389" s="46">
        <v>255160.4</v>
      </c>
      <c r="P389" s="98"/>
      <c r="Q389" s="23" t="s">
        <v>1414</v>
      </c>
      <c r="R389" s="24" t="s">
        <v>3073</v>
      </c>
      <c r="S389" s="25" t="s">
        <v>97</v>
      </c>
      <c r="T389" s="26"/>
      <c r="U389" s="26">
        <v>220</v>
      </c>
      <c r="V389" s="169">
        <v>1159.82</v>
      </c>
      <c r="W389" s="127">
        <f t="shared" si="77"/>
        <v>0</v>
      </c>
      <c r="X389" s="127">
        <f>W389+M389</f>
        <v>220</v>
      </c>
      <c r="Y389" s="127">
        <f t="shared" si="79"/>
        <v>0</v>
      </c>
      <c r="Z389" s="127">
        <f t="shared" si="80"/>
        <v>255160.4</v>
      </c>
      <c r="AA389" s="27"/>
      <c r="AB389" s="36"/>
      <c r="AC389" s="200">
        <v>220</v>
      </c>
      <c r="AD389" s="181">
        <f t="shared" si="81"/>
        <v>255160.4</v>
      </c>
      <c r="AE389" s="181">
        <v>2</v>
      </c>
      <c r="AF389" s="181">
        <v>2</v>
      </c>
      <c r="AG389" s="101"/>
      <c r="AH389" s="190">
        <v>220</v>
      </c>
      <c r="AI389" s="69">
        <f t="shared" si="67"/>
        <v>220</v>
      </c>
    </row>
    <row r="390" spans="1:35" ht="39" x14ac:dyDescent="0.3">
      <c r="A390" s="207" t="s">
        <v>3074</v>
      </c>
      <c r="B390" s="208" t="s">
        <v>3075</v>
      </c>
      <c r="C390" s="204" t="s">
        <v>97</v>
      </c>
      <c r="D390" s="171"/>
      <c r="E390" s="158"/>
      <c r="F390" s="165"/>
      <c r="G390" s="159">
        <v>264.5</v>
      </c>
      <c r="H390" s="223" t="s">
        <v>15</v>
      </c>
      <c r="I390" s="169">
        <v>689.89</v>
      </c>
      <c r="J390" s="159">
        <v>182475.91</v>
      </c>
      <c r="K390" s="172"/>
      <c r="M390" s="46">
        <v>264.5</v>
      </c>
      <c r="N390" s="46">
        <v>0</v>
      </c>
      <c r="O390" s="46">
        <v>182475.91</v>
      </c>
      <c r="P390" s="98"/>
      <c r="Q390" s="23" t="s">
        <v>1429</v>
      </c>
      <c r="R390" s="24" t="s">
        <v>3075</v>
      </c>
      <c r="S390" s="25" t="s">
        <v>97</v>
      </c>
      <c r="T390" s="26"/>
      <c r="U390" s="26">
        <v>264.5</v>
      </c>
      <c r="V390" s="169">
        <v>689.89</v>
      </c>
      <c r="W390" s="127">
        <f t="shared" si="77"/>
        <v>0</v>
      </c>
      <c r="X390" s="127">
        <f t="shared" ref="X390:X406" si="82">W390+M390</f>
        <v>264.5</v>
      </c>
      <c r="Y390" s="127">
        <f t="shared" si="79"/>
        <v>0</v>
      </c>
      <c r="Z390" s="127">
        <f t="shared" si="80"/>
        <v>182475.91</v>
      </c>
      <c r="AA390" s="27"/>
      <c r="AB390" s="36"/>
      <c r="AC390" s="200">
        <v>264.5</v>
      </c>
      <c r="AD390" s="181">
        <f t="shared" si="81"/>
        <v>182475.91</v>
      </c>
      <c r="AE390" s="181">
        <v>2</v>
      </c>
      <c r="AF390" s="181">
        <v>2</v>
      </c>
      <c r="AG390" s="101"/>
      <c r="AH390" s="190">
        <v>264.5</v>
      </c>
      <c r="AI390" s="69">
        <f t="shared" si="67"/>
        <v>264.5</v>
      </c>
    </row>
    <row r="391" spans="1:35" ht="49.5" x14ac:dyDescent="0.3">
      <c r="A391" s="207" t="s">
        <v>3076</v>
      </c>
      <c r="B391" s="241" t="s">
        <v>3077</v>
      </c>
      <c r="C391" s="204" t="s">
        <v>97</v>
      </c>
      <c r="D391" s="171"/>
      <c r="E391" s="158"/>
      <c r="F391" s="165"/>
      <c r="G391" s="159">
        <v>218.5</v>
      </c>
      <c r="H391" s="223" t="s">
        <v>15</v>
      </c>
      <c r="I391" s="169">
        <v>899.86</v>
      </c>
      <c r="J391" s="159">
        <v>196619.41</v>
      </c>
      <c r="K391" s="172"/>
      <c r="M391" s="46">
        <v>218.5</v>
      </c>
      <c r="N391" s="46">
        <v>0</v>
      </c>
      <c r="O391" s="46">
        <v>196619.41</v>
      </c>
      <c r="P391" s="98"/>
      <c r="Q391" s="23" t="s">
        <v>1430</v>
      </c>
      <c r="R391" s="24" t="s">
        <v>3077</v>
      </c>
      <c r="S391" s="25" t="s">
        <v>97</v>
      </c>
      <c r="T391" s="26"/>
      <c r="U391" s="26">
        <v>218.5</v>
      </c>
      <c r="V391" s="169">
        <v>899.86</v>
      </c>
      <c r="W391" s="127">
        <f t="shared" si="77"/>
        <v>0</v>
      </c>
      <c r="X391" s="127">
        <f t="shared" si="82"/>
        <v>218.5</v>
      </c>
      <c r="Y391" s="127">
        <f t="shared" si="79"/>
        <v>0</v>
      </c>
      <c r="Z391" s="127">
        <f t="shared" si="80"/>
        <v>196619.41</v>
      </c>
      <c r="AA391" s="27"/>
      <c r="AB391" s="36"/>
      <c r="AC391" s="200">
        <v>218.5</v>
      </c>
      <c r="AD391" s="181">
        <f t="shared" si="81"/>
        <v>196619.41</v>
      </c>
      <c r="AE391" s="181">
        <v>2</v>
      </c>
      <c r="AF391" s="181">
        <v>2</v>
      </c>
      <c r="AG391" s="101"/>
      <c r="AH391" s="190">
        <v>218.5</v>
      </c>
      <c r="AI391" s="69">
        <f t="shared" si="67"/>
        <v>218.5</v>
      </c>
    </row>
    <row r="392" spans="1:35" ht="39" x14ac:dyDescent="0.3">
      <c r="A392" s="207" t="s">
        <v>3078</v>
      </c>
      <c r="B392" s="208" t="s">
        <v>3079</v>
      </c>
      <c r="C392" s="204" t="s">
        <v>97</v>
      </c>
      <c r="D392" s="171"/>
      <c r="E392" s="158"/>
      <c r="F392" s="165"/>
      <c r="G392" s="159">
        <v>87.5</v>
      </c>
      <c r="H392" s="223" t="s">
        <v>15</v>
      </c>
      <c r="I392" s="169">
        <v>1499.76</v>
      </c>
      <c r="J392" s="159">
        <v>131229</v>
      </c>
      <c r="K392" s="172"/>
      <c r="M392" s="46">
        <v>87.5</v>
      </c>
      <c r="N392" s="46">
        <v>0</v>
      </c>
      <c r="O392" s="46">
        <v>131229</v>
      </c>
      <c r="P392" s="98"/>
      <c r="Q392" s="23" t="s">
        <v>1431</v>
      </c>
      <c r="R392" s="24" t="s">
        <v>3079</v>
      </c>
      <c r="S392" s="25" t="s">
        <v>97</v>
      </c>
      <c r="T392" s="26"/>
      <c r="U392" s="26">
        <v>87.5</v>
      </c>
      <c r="V392" s="169">
        <v>1499.76</v>
      </c>
      <c r="W392" s="127">
        <f t="shared" si="77"/>
        <v>0</v>
      </c>
      <c r="X392" s="127">
        <f t="shared" si="82"/>
        <v>87.5</v>
      </c>
      <c r="Y392" s="127">
        <f t="shared" si="79"/>
        <v>0</v>
      </c>
      <c r="Z392" s="127">
        <f t="shared" si="80"/>
        <v>131229</v>
      </c>
      <c r="AA392" s="27"/>
      <c r="AB392" s="36"/>
      <c r="AC392" s="200">
        <v>87.5</v>
      </c>
      <c r="AD392" s="181">
        <f t="shared" si="81"/>
        <v>131229</v>
      </c>
      <c r="AE392" s="181">
        <v>2</v>
      </c>
      <c r="AF392" s="181">
        <v>2</v>
      </c>
      <c r="AG392" s="101"/>
      <c r="AH392" s="190">
        <v>87.5</v>
      </c>
      <c r="AI392" s="69">
        <f t="shared" si="67"/>
        <v>87.5</v>
      </c>
    </row>
    <row r="393" spans="1:35" ht="39" x14ac:dyDescent="0.3">
      <c r="A393" s="207" t="s">
        <v>3080</v>
      </c>
      <c r="B393" s="208" t="s">
        <v>3081</v>
      </c>
      <c r="C393" s="204" t="s">
        <v>97</v>
      </c>
      <c r="D393" s="171"/>
      <c r="E393" s="158"/>
      <c r="F393" s="159"/>
      <c r="G393" s="159">
        <v>144.5</v>
      </c>
      <c r="H393" s="159" t="s">
        <v>15</v>
      </c>
      <c r="I393" s="158">
        <v>1419.78</v>
      </c>
      <c r="J393" s="159">
        <v>205158.21</v>
      </c>
      <c r="K393" s="172"/>
      <c r="M393" s="46">
        <v>144.5</v>
      </c>
      <c r="N393" s="46">
        <v>0</v>
      </c>
      <c r="O393" s="46">
        <v>205158.21</v>
      </c>
      <c r="P393" s="98"/>
      <c r="Q393" s="23" t="s">
        <v>1395</v>
      </c>
      <c r="R393" s="24" t="s">
        <v>3081</v>
      </c>
      <c r="S393" s="25" t="s">
        <v>97</v>
      </c>
      <c r="T393" s="26"/>
      <c r="U393" s="26">
        <v>144.5</v>
      </c>
      <c r="V393" s="158">
        <v>1419.78</v>
      </c>
      <c r="W393" s="127">
        <f t="shared" si="77"/>
        <v>0</v>
      </c>
      <c r="X393" s="127">
        <f t="shared" si="82"/>
        <v>144.5</v>
      </c>
      <c r="Y393" s="127">
        <f t="shared" si="79"/>
        <v>0</v>
      </c>
      <c r="Z393" s="127">
        <f t="shared" si="80"/>
        <v>205158.21</v>
      </c>
      <c r="AA393" s="27"/>
      <c r="AB393" s="36"/>
      <c r="AC393" s="200">
        <v>144.5</v>
      </c>
      <c r="AD393" s="181">
        <f t="shared" si="81"/>
        <v>205158.21</v>
      </c>
      <c r="AE393" s="181">
        <v>2</v>
      </c>
      <c r="AF393" s="181">
        <v>2</v>
      </c>
      <c r="AG393" s="101"/>
      <c r="AH393" s="190">
        <v>144.5</v>
      </c>
      <c r="AI393" s="69">
        <f t="shared" si="67"/>
        <v>144.5</v>
      </c>
    </row>
    <row r="394" spans="1:35" x14ac:dyDescent="0.3">
      <c r="A394" s="207" t="s">
        <v>3082</v>
      </c>
      <c r="B394" s="208" t="s">
        <v>3083</v>
      </c>
      <c r="C394" s="204" t="s">
        <v>97</v>
      </c>
      <c r="D394" s="171"/>
      <c r="E394" s="158"/>
      <c r="F394" s="159"/>
      <c r="G394" s="159">
        <v>27</v>
      </c>
      <c r="H394" s="159" t="s">
        <v>15</v>
      </c>
      <c r="I394" s="158">
        <v>2999.53</v>
      </c>
      <c r="J394" s="159">
        <v>80987.31</v>
      </c>
      <c r="K394" s="172"/>
      <c r="M394" s="46">
        <v>27</v>
      </c>
      <c r="N394" s="46">
        <v>0</v>
      </c>
      <c r="O394" s="46">
        <v>80987.31</v>
      </c>
      <c r="P394" s="98"/>
      <c r="Q394" s="23" t="s">
        <v>1432</v>
      </c>
      <c r="R394" s="24" t="s">
        <v>3083</v>
      </c>
      <c r="S394" s="25" t="s">
        <v>97</v>
      </c>
      <c r="T394" s="26"/>
      <c r="U394" s="26">
        <v>27</v>
      </c>
      <c r="V394" s="158">
        <v>2999.53</v>
      </c>
      <c r="W394" s="127">
        <f t="shared" si="77"/>
        <v>0</v>
      </c>
      <c r="X394" s="127">
        <f t="shared" si="82"/>
        <v>27</v>
      </c>
      <c r="Y394" s="127">
        <f t="shared" si="79"/>
        <v>0</v>
      </c>
      <c r="Z394" s="127">
        <f t="shared" si="80"/>
        <v>80987.31</v>
      </c>
      <c r="AA394" s="27"/>
      <c r="AB394" s="36"/>
      <c r="AC394" s="200">
        <v>27</v>
      </c>
      <c r="AD394" s="181">
        <f t="shared" si="81"/>
        <v>80987.31</v>
      </c>
      <c r="AE394" s="181">
        <v>2</v>
      </c>
      <c r="AF394" s="181">
        <v>2</v>
      </c>
      <c r="AG394" s="101"/>
      <c r="AH394" s="190">
        <v>27</v>
      </c>
      <c r="AI394" s="69">
        <f t="shared" si="67"/>
        <v>27</v>
      </c>
    </row>
    <row r="395" spans="1:35" x14ac:dyDescent="0.3">
      <c r="A395" s="207" t="s">
        <v>3084</v>
      </c>
      <c r="B395" s="208" t="s">
        <v>3085</v>
      </c>
      <c r="C395" s="204" t="s">
        <v>97</v>
      </c>
      <c r="D395" s="171"/>
      <c r="E395" s="158"/>
      <c r="F395" s="159"/>
      <c r="G395" s="159">
        <v>28</v>
      </c>
      <c r="H395" s="159" t="s">
        <v>15</v>
      </c>
      <c r="I395" s="158">
        <v>1364.78</v>
      </c>
      <c r="J395" s="159">
        <v>38213.839999999997</v>
      </c>
      <c r="K395" s="172"/>
      <c r="M395" s="46">
        <v>28</v>
      </c>
      <c r="N395" s="46">
        <v>0</v>
      </c>
      <c r="O395" s="46">
        <v>38213.839999999997</v>
      </c>
      <c r="P395" s="98"/>
      <c r="Q395" s="23" t="s">
        <v>1433</v>
      </c>
      <c r="R395" s="24" t="s">
        <v>3085</v>
      </c>
      <c r="S395" s="25" t="s">
        <v>97</v>
      </c>
      <c r="T395" s="26"/>
      <c r="U395" s="26">
        <v>28</v>
      </c>
      <c r="V395" s="158">
        <v>1364.78</v>
      </c>
      <c r="W395" s="127">
        <f t="shared" si="77"/>
        <v>0</v>
      </c>
      <c r="X395" s="127">
        <f t="shared" si="82"/>
        <v>28</v>
      </c>
      <c r="Y395" s="127">
        <f t="shared" si="79"/>
        <v>0</v>
      </c>
      <c r="Z395" s="127">
        <f t="shared" si="80"/>
        <v>38213.839999999997</v>
      </c>
      <c r="AA395" s="27"/>
      <c r="AB395" s="36"/>
      <c r="AC395" s="200">
        <v>28</v>
      </c>
      <c r="AD395" s="181">
        <f t="shared" si="81"/>
        <v>38213.839999999997</v>
      </c>
      <c r="AE395" s="181">
        <v>2</v>
      </c>
      <c r="AF395" s="181">
        <v>2</v>
      </c>
      <c r="AG395" s="101"/>
      <c r="AH395" s="190">
        <v>28</v>
      </c>
      <c r="AI395" s="69">
        <f t="shared" ref="AI395:AI459" si="83">IF(G395=0,IF(F395=0,IF(E395=0,D395,E395),F395),G395)</f>
        <v>28</v>
      </c>
    </row>
    <row r="396" spans="1:35" ht="39" x14ac:dyDescent="0.3">
      <c r="A396" s="207" t="s">
        <v>3086</v>
      </c>
      <c r="B396" s="208" t="s">
        <v>3087</v>
      </c>
      <c r="C396" s="204" t="s">
        <v>97</v>
      </c>
      <c r="D396" s="171"/>
      <c r="E396" s="158"/>
      <c r="F396" s="159"/>
      <c r="G396" s="159">
        <v>156</v>
      </c>
      <c r="H396" s="159" t="s">
        <v>15</v>
      </c>
      <c r="I396" s="158">
        <v>771.88</v>
      </c>
      <c r="J396" s="159">
        <v>120413.28</v>
      </c>
      <c r="K396" s="172"/>
      <c r="M396" s="46">
        <v>156</v>
      </c>
      <c r="N396" s="46">
        <v>0</v>
      </c>
      <c r="O396" s="46">
        <v>120413.28</v>
      </c>
      <c r="P396" s="98"/>
      <c r="Q396" s="23" t="s">
        <v>1382</v>
      </c>
      <c r="R396" s="24" t="s">
        <v>3087</v>
      </c>
      <c r="S396" s="25" t="s">
        <v>97</v>
      </c>
      <c r="T396" s="26"/>
      <c r="U396" s="26">
        <v>156</v>
      </c>
      <c r="V396" s="158">
        <v>771.88</v>
      </c>
      <c r="W396" s="127">
        <f t="shared" si="77"/>
        <v>0</v>
      </c>
      <c r="X396" s="127">
        <f t="shared" si="82"/>
        <v>156</v>
      </c>
      <c r="Y396" s="127">
        <f t="shared" si="79"/>
        <v>0</v>
      </c>
      <c r="Z396" s="127">
        <f t="shared" si="80"/>
        <v>120413.28</v>
      </c>
      <c r="AA396" s="27"/>
      <c r="AB396" s="36"/>
      <c r="AC396" s="200">
        <v>156</v>
      </c>
      <c r="AD396" s="181">
        <f t="shared" si="81"/>
        <v>120413.28</v>
      </c>
      <c r="AE396" s="181">
        <v>2</v>
      </c>
      <c r="AF396" s="181">
        <v>2</v>
      </c>
      <c r="AG396" s="101"/>
      <c r="AH396" s="190">
        <v>156</v>
      </c>
      <c r="AI396" s="69">
        <f t="shared" si="83"/>
        <v>156</v>
      </c>
    </row>
    <row r="397" spans="1:35" ht="39" x14ac:dyDescent="0.3">
      <c r="A397" s="207" t="s">
        <v>3088</v>
      </c>
      <c r="B397" s="208" t="s">
        <v>3089</v>
      </c>
      <c r="C397" s="204" t="s">
        <v>97</v>
      </c>
      <c r="D397" s="171"/>
      <c r="E397" s="158"/>
      <c r="F397" s="159"/>
      <c r="G397" s="242">
        <v>1917</v>
      </c>
      <c r="H397" s="219" t="s">
        <v>15</v>
      </c>
      <c r="I397" s="158">
        <v>400.94</v>
      </c>
      <c r="J397" s="159">
        <v>768601.98</v>
      </c>
      <c r="K397" s="172"/>
      <c r="M397" s="46">
        <v>1917</v>
      </c>
      <c r="N397" s="46">
        <v>0</v>
      </c>
      <c r="O397" s="46">
        <v>768601.98</v>
      </c>
      <c r="P397" s="98"/>
      <c r="Q397" s="23" t="s">
        <v>1434</v>
      </c>
      <c r="R397" s="24" t="s">
        <v>3089</v>
      </c>
      <c r="S397" s="25" t="s">
        <v>97</v>
      </c>
      <c r="T397" s="26"/>
      <c r="U397" s="26">
        <v>1917</v>
      </c>
      <c r="V397" s="158">
        <v>400.94</v>
      </c>
      <c r="W397" s="127">
        <f t="shared" si="77"/>
        <v>0</v>
      </c>
      <c r="X397" s="127">
        <f t="shared" si="82"/>
        <v>1917</v>
      </c>
      <c r="Y397" s="127">
        <f t="shared" si="79"/>
        <v>0</v>
      </c>
      <c r="Z397" s="127">
        <f t="shared" si="80"/>
        <v>768601.98</v>
      </c>
      <c r="AA397" s="27"/>
      <c r="AB397" s="36"/>
      <c r="AC397" s="200">
        <v>1917</v>
      </c>
      <c r="AD397" s="181">
        <f t="shared" si="81"/>
        <v>768601.98</v>
      </c>
      <c r="AE397" s="181">
        <v>2</v>
      </c>
      <c r="AF397" s="181">
        <v>2</v>
      </c>
      <c r="AG397" s="101"/>
      <c r="AH397" s="190">
        <v>1917</v>
      </c>
      <c r="AI397" s="69">
        <f t="shared" si="83"/>
        <v>1917</v>
      </c>
    </row>
    <row r="398" spans="1:35" x14ac:dyDescent="0.3">
      <c r="A398" s="207" t="s">
        <v>3090</v>
      </c>
      <c r="B398" s="208" t="s">
        <v>3091</v>
      </c>
      <c r="C398" s="204" t="s">
        <v>97</v>
      </c>
      <c r="D398" s="171"/>
      <c r="E398" s="158"/>
      <c r="F398" s="159"/>
      <c r="G398" s="159">
        <v>380</v>
      </c>
      <c r="H398" s="159" t="s">
        <v>15</v>
      </c>
      <c r="I398" s="158">
        <v>280.95999999999998</v>
      </c>
      <c r="J398" s="159">
        <v>106764.8</v>
      </c>
      <c r="K398" s="172"/>
      <c r="M398" s="46">
        <v>380</v>
      </c>
      <c r="N398" s="46">
        <v>0</v>
      </c>
      <c r="O398" s="46">
        <v>106764.8</v>
      </c>
      <c r="P398" s="98"/>
      <c r="Q398" s="23" t="s">
        <v>1388</v>
      </c>
      <c r="R398" s="24" t="s">
        <v>3091</v>
      </c>
      <c r="S398" s="25" t="s">
        <v>97</v>
      </c>
      <c r="T398" s="26"/>
      <c r="U398" s="26">
        <v>380</v>
      </c>
      <c r="V398" s="158">
        <v>280.95999999999998</v>
      </c>
      <c r="W398" s="127">
        <f t="shared" si="77"/>
        <v>0</v>
      </c>
      <c r="X398" s="127">
        <f t="shared" si="82"/>
        <v>380</v>
      </c>
      <c r="Y398" s="127">
        <f t="shared" si="79"/>
        <v>0</v>
      </c>
      <c r="Z398" s="127">
        <f t="shared" si="80"/>
        <v>106764.8</v>
      </c>
      <c r="AA398" s="27"/>
      <c r="AB398" s="36"/>
      <c r="AC398" s="200">
        <v>380</v>
      </c>
      <c r="AD398" s="181">
        <f t="shared" si="81"/>
        <v>106764.8</v>
      </c>
      <c r="AE398" s="181">
        <v>2</v>
      </c>
      <c r="AF398" s="181">
        <v>2</v>
      </c>
      <c r="AG398" s="101"/>
      <c r="AH398" s="190">
        <v>380</v>
      </c>
      <c r="AI398" s="69">
        <f t="shared" si="83"/>
        <v>380</v>
      </c>
    </row>
    <row r="399" spans="1:35" ht="33" x14ac:dyDescent="0.3">
      <c r="A399" s="207" t="s">
        <v>3092</v>
      </c>
      <c r="B399" s="241" t="s">
        <v>3093</v>
      </c>
      <c r="C399" s="204" t="s">
        <v>97</v>
      </c>
      <c r="D399" s="171"/>
      <c r="E399" s="158"/>
      <c r="F399" s="159"/>
      <c r="G399" s="159">
        <v>660.5</v>
      </c>
      <c r="H399" s="159" t="s">
        <v>15</v>
      </c>
      <c r="I399" s="158">
        <v>800.87</v>
      </c>
      <c r="J399" s="159">
        <v>528974.64</v>
      </c>
      <c r="K399" s="172"/>
      <c r="M399" s="46">
        <v>660.5</v>
      </c>
      <c r="N399" s="46">
        <v>0</v>
      </c>
      <c r="O399" s="46">
        <v>528974.64</v>
      </c>
      <c r="P399" s="98"/>
      <c r="Q399" s="23" t="s">
        <v>1389</v>
      </c>
      <c r="R399" s="24" t="s">
        <v>3093</v>
      </c>
      <c r="S399" s="25" t="s">
        <v>97</v>
      </c>
      <c r="T399" s="26"/>
      <c r="U399" s="26">
        <v>660.5</v>
      </c>
      <c r="V399" s="158">
        <v>800.87</v>
      </c>
      <c r="W399" s="127">
        <f t="shared" si="77"/>
        <v>0</v>
      </c>
      <c r="X399" s="127">
        <f t="shared" si="82"/>
        <v>660.5</v>
      </c>
      <c r="Y399" s="127">
        <f t="shared" si="79"/>
        <v>0</v>
      </c>
      <c r="Z399" s="127">
        <f t="shared" si="80"/>
        <v>528974.64</v>
      </c>
      <c r="AA399" s="27"/>
      <c r="AB399" s="36"/>
      <c r="AC399" s="200">
        <v>660.5</v>
      </c>
      <c r="AD399" s="181">
        <f t="shared" si="81"/>
        <v>528974.64</v>
      </c>
      <c r="AE399" s="181">
        <v>2</v>
      </c>
      <c r="AF399" s="181">
        <v>2</v>
      </c>
      <c r="AG399" s="101"/>
      <c r="AH399" s="190">
        <v>660.5</v>
      </c>
      <c r="AI399" s="69">
        <f t="shared" si="83"/>
        <v>660.5</v>
      </c>
    </row>
    <row r="400" spans="1:35" x14ac:dyDescent="0.3">
      <c r="A400" s="207" t="s">
        <v>3094</v>
      </c>
      <c r="B400" s="208" t="s">
        <v>3095</v>
      </c>
      <c r="C400" s="204" t="s">
        <v>97</v>
      </c>
      <c r="D400" s="171"/>
      <c r="E400" s="158"/>
      <c r="F400" s="159"/>
      <c r="G400" s="159">
        <v>288.5</v>
      </c>
      <c r="H400" s="159" t="s">
        <v>15</v>
      </c>
      <c r="I400" s="158">
        <v>561.91</v>
      </c>
      <c r="J400" s="159">
        <v>162111.04000000001</v>
      </c>
      <c r="K400" s="172"/>
      <c r="M400" s="46">
        <v>288.5</v>
      </c>
      <c r="N400" s="46">
        <v>0</v>
      </c>
      <c r="O400" s="46">
        <v>162111.04000000001</v>
      </c>
      <c r="P400" s="98"/>
      <c r="Q400" s="23" t="s">
        <v>1390</v>
      </c>
      <c r="R400" s="24" t="s">
        <v>3095</v>
      </c>
      <c r="S400" s="25" t="s">
        <v>97</v>
      </c>
      <c r="T400" s="26"/>
      <c r="U400" s="26">
        <v>288.5</v>
      </c>
      <c r="V400" s="158">
        <v>561.91</v>
      </c>
      <c r="W400" s="127">
        <f t="shared" si="77"/>
        <v>0</v>
      </c>
      <c r="X400" s="127">
        <f t="shared" si="82"/>
        <v>288.5</v>
      </c>
      <c r="Y400" s="127">
        <f t="shared" si="79"/>
        <v>0</v>
      </c>
      <c r="Z400" s="127">
        <f t="shared" si="80"/>
        <v>162111.04000000001</v>
      </c>
      <c r="AA400" s="27"/>
      <c r="AB400" s="36"/>
      <c r="AC400" s="200">
        <v>288.5</v>
      </c>
      <c r="AD400" s="181">
        <f t="shared" si="81"/>
        <v>162111.04000000001</v>
      </c>
      <c r="AE400" s="181">
        <v>2</v>
      </c>
      <c r="AF400" s="181">
        <v>2</v>
      </c>
      <c r="AG400" s="101"/>
      <c r="AH400" s="190">
        <v>288.5</v>
      </c>
      <c r="AI400" s="69">
        <f t="shared" si="83"/>
        <v>288.5</v>
      </c>
    </row>
    <row r="401" spans="1:38" ht="39" x14ac:dyDescent="0.3">
      <c r="A401" s="207" t="s">
        <v>3096</v>
      </c>
      <c r="B401" s="208" t="s">
        <v>3097</v>
      </c>
      <c r="C401" s="204" t="s">
        <v>97</v>
      </c>
      <c r="D401" s="171"/>
      <c r="E401" s="158"/>
      <c r="F401" s="159"/>
      <c r="G401" s="159">
        <v>438</v>
      </c>
      <c r="H401" s="159" t="s">
        <v>15</v>
      </c>
      <c r="I401" s="158">
        <v>519.91999999999996</v>
      </c>
      <c r="J401" s="159">
        <v>227724.96</v>
      </c>
      <c r="K401" s="172"/>
      <c r="M401" s="46">
        <v>438</v>
      </c>
      <c r="N401" s="46">
        <v>0</v>
      </c>
      <c r="O401" s="46">
        <v>227724.96</v>
      </c>
      <c r="P401" s="98"/>
      <c r="Q401" s="23" t="s">
        <v>1391</v>
      </c>
      <c r="R401" s="24" t="s">
        <v>3097</v>
      </c>
      <c r="S401" s="25" t="s">
        <v>97</v>
      </c>
      <c r="T401" s="26"/>
      <c r="U401" s="26">
        <v>438</v>
      </c>
      <c r="V401" s="158">
        <v>519.91999999999996</v>
      </c>
      <c r="W401" s="127">
        <f t="shared" si="77"/>
        <v>0</v>
      </c>
      <c r="X401" s="127">
        <f t="shared" si="82"/>
        <v>438</v>
      </c>
      <c r="Y401" s="127">
        <f t="shared" si="79"/>
        <v>0</v>
      </c>
      <c r="Z401" s="127">
        <f t="shared" si="80"/>
        <v>227724.96</v>
      </c>
      <c r="AA401" s="27"/>
      <c r="AB401" s="36"/>
      <c r="AC401" s="200">
        <v>438</v>
      </c>
      <c r="AD401" s="181">
        <f t="shared" si="81"/>
        <v>227724.96</v>
      </c>
      <c r="AE401" s="181">
        <v>2</v>
      </c>
      <c r="AF401" s="181">
        <v>2</v>
      </c>
      <c r="AG401" s="101"/>
      <c r="AH401" s="190">
        <v>438</v>
      </c>
      <c r="AI401" s="69">
        <f t="shared" si="83"/>
        <v>438</v>
      </c>
    </row>
    <row r="402" spans="1:38" ht="39" x14ac:dyDescent="0.3">
      <c r="A402" s="207" t="s">
        <v>3098</v>
      </c>
      <c r="B402" s="208" t="s">
        <v>3099</v>
      </c>
      <c r="C402" s="204" t="s">
        <v>97</v>
      </c>
      <c r="D402" s="171"/>
      <c r="E402" s="158"/>
      <c r="F402" s="159"/>
      <c r="G402" s="159">
        <v>54</v>
      </c>
      <c r="H402" s="159" t="s">
        <v>15</v>
      </c>
      <c r="I402" s="158">
        <v>1579.75</v>
      </c>
      <c r="J402" s="159">
        <v>85306.5</v>
      </c>
      <c r="K402" s="172"/>
      <c r="M402" s="46">
        <v>54</v>
      </c>
      <c r="N402" s="46">
        <v>0</v>
      </c>
      <c r="O402" s="46">
        <v>85306.5</v>
      </c>
      <c r="P402" s="98"/>
      <c r="Q402" s="23" t="s">
        <v>1436</v>
      </c>
      <c r="R402" s="24" t="s">
        <v>3099</v>
      </c>
      <c r="S402" s="25" t="s">
        <v>97</v>
      </c>
      <c r="T402" s="26"/>
      <c r="U402" s="26">
        <v>54</v>
      </c>
      <c r="V402" s="158">
        <v>1579.75</v>
      </c>
      <c r="W402" s="127">
        <f t="shared" si="77"/>
        <v>0</v>
      </c>
      <c r="X402" s="127">
        <f t="shared" si="82"/>
        <v>54</v>
      </c>
      <c r="Y402" s="127">
        <f t="shared" si="79"/>
        <v>0</v>
      </c>
      <c r="Z402" s="127">
        <f t="shared" si="80"/>
        <v>85306.5</v>
      </c>
      <c r="AA402" s="27"/>
      <c r="AB402" s="36"/>
      <c r="AC402" s="200">
        <v>54</v>
      </c>
      <c r="AD402" s="181">
        <f t="shared" si="81"/>
        <v>85306.5</v>
      </c>
      <c r="AE402" s="181">
        <v>2</v>
      </c>
      <c r="AF402" s="181">
        <v>2</v>
      </c>
      <c r="AG402" s="101"/>
      <c r="AH402" s="190">
        <v>54</v>
      </c>
      <c r="AI402" s="69">
        <f t="shared" si="83"/>
        <v>54</v>
      </c>
    </row>
    <row r="403" spans="1:38" ht="39" x14ac:dyDescent="0.3">
      <c r="A403" s="207" t="s">
        <v>3100</v>
      </c>
      <c r="B403" s="208" t="s">
        <v>3101</v>
      </c>
      <c r="C403" s="204" t="s">
        <v>97</v>
      </c>
      <c r="D403" s="171"/>
      <c r="E403" s="158"/>
      <c r="F403" s="159"/>
      <c r="G403" s="159">
        <v>519.5</v>
      </c>
      <c r="H403" s="159" t="s">
        <v>15</v>
      </c>
      <c r="I403" s="158">
        <v>209.97</v>
      </c>
      <c r="J403" s="159">
        <v>109079.42</v>
      </c>
      <c r="K403" s="172"/>
      <c r="M403" s="46">
        <v>519.5</v>
      </c>
      <c r="N403" s="46">
        <v>0</v>
      </c>
      <c r="O403" s="46">
        <v>109079.42</v>
      </c>
      <c r="P403" s="98"/>
      <c r="Q403" s="23" t="s">
        <v>1374</v>
      </c>
      <c r="R403" s="24" t="s">
        <v>3101</v>
      </c>
      <c r="S403" s="25" t="s">
        <v>97</v>
      </c>
      <c r="T403" s="26"/>
      <c r="U403" s="26">
        <v>519.5</v>
      </c>
      <c r="V403" s="158">
        <v>209.97</v>
      </c>
      <c r="W403" s="127">
        <f t="shared" si="77"/>
        <v>0</v>
      </c>
      <c r="X403" s="127">
        <f t="shared" si="82"/>
        <v>519.5</v>
      </c>
      <c r="Y403" s="127">
        <f t="shared" si="79"/>
        <v>0</v>
      </c>
      <c r="Z403" s="127">
        <f t="shared" si="80"/>
        <v>109079.42</v>
      </c>
      <c r="AA403" s="27"/>
      <c r="AB403" s="36"/>
      <c r="AC403" s="200">
        <v>519.5</v>
      </c>
      <c r="AD403" s="181">
        <f t="shared" si="81"/>
        <v>109079.42</v>
      </c>
      <c r="AE403" s="181">
        <v>2</v>
      </c>
      <c r="AF403" s="181">
        <v>2</v>
      </c>
      <c r="AG403" s="101"/>
      <c r="AH403" s="190">
        <v>519.5</v>
      </c>
      <c r="AI403" s="69">
        <f t="shared" si="83"/>
        <v>519.5</v>
      </c>
    </row>
    <row r="404" spans="1:38" ht="49.5" x14ac:dyDescent="0.3">
      <c r="A404" s="207" t="s">
        <v>3102</v>
      </c>
      <c r="B404" s="241" t="s">
        <v>3103</v>
      </c>
      <c r="C404" s="204" t="s">
        <v>66</v>
      </c>
      <c r="D404" s="171"/>
      <c r="E404" s="158"/>
      <c r="F404" s="159"/>
      <c r="G404" s="159">
        <v>5</v>
      </c>
      <c r="H404" s="159" t="s">
        <v>15</v>
      </c>
      <c r="I404" s="158">
        <v>10798.3</v>
      </c>
      <c r="J404" s="159">
        <v>53991.5</v>
      </c>
      <c r="K404" s="172"/>
      <c r="M404" s="46">
        <v>5</v>
      </c>
      <c r="N404" s="46">
        <v>0</v>
      </c>
      <c r="O404" s="46">
        <v>53991.5</v>
      </c>
      <c r="P404" s="98"/>
      <c r="Q404" s="23" t="s">
        <v>1376</v>
      </c>
      <c r="R404" s="24" t="s">
        <v>3103</v>
      </c>
      <c r="S404" s="25" t="s">
        <v>66</v>
      </c>
      <c r="T404" s="26"/>
      <c r="U404" s="26">
        <v>5</v>
      </c>
      <c r="V404" s="158">
        <v>10798.3</v>
      </c>
      <c r="W404" s="127">
        <f t="shared" si="77"/>
        <v>0</v>
      </c>
      <c r="X404" s="127">
        <f t="shared" si="82"/>
        <v>5</v>
      </c>
      <c r="Y404" s="127">
        <f t="shared" si="79"/>
        <v>0</v>
      </c>
      <c r="Z404" s="127">
        <f t="shared" si="80"/>
        <v>53991.5</v>
      </c>
      <c r="AA404" s="27"/>
      <c r="AB404" s="36"/>
      <c r="AC404" s="200">
        <v>5</v>
      </c>
      <c r="AD404" s="181">
        <f t="shared" si="81"/>
        <v>53991.5</v>
      </c>
      <c r="AE404" s="181">
        <v>2</v>
      </c>
      <c r="AF404" s="181">
        <v>2</v>
      </c>
      <c r="AG404" s="101"/>
      <c r="AH404" s="190">
        <v>5</v>
      </c>
      <c r="AI404" s="69">
        <f t="shared" si="83"/>
        <v>5</v>
      </c>
    </row>
    <row r="405" spans="1:38" ht="49.5" x14ac:dyDescent="0.3">
      <c r="A405" s="207" t="s">
        <v>3104</v>
      </c>
      <c r="B405" s="241" t="s">
        <v>3105</v>
      </c>
      <c r="C405" s="204" t="s">
        <v>66</v>
      </c>
      <c r="D405" s="171"/>
      <c r="E405" s="158"/>
      <c r="F405" s="159"/>
      <c r="G405" s="159">
        <v>6</v>
      </c>
      <c r="H405" s="159" t="s">
        <v>15</v>
      </c>
      <c r="I405" s="158">
        <v>7248.86</v>
      </c>
      <c r="J405" s="159">
        <v>43493.16</v>
      </c>
      <c r="K405" s="172"/>
      <c r="M405" s="46">
        <v>6</v>
      </c>
      <c r="N405" s="46">
        <v>0</v>
      </c>
      <c r="O405" s="46">
        <v>43493.16</v>
      </c>
      <c r="P405" s="98"/>
      <c r="Q405" s="23" t="s">
        <v>1378</v>
      </c>
      <c r="R405" s="24" t="s">
        <v>3105</v>
      </c>
      <c r="S405" s="25" t="s">
        <v>66</v>
      </c>
      <c r="T405" s="26"/>
      <c r="U405" s="26">
        <v>6</v>
      </c>
      <c r="V405" s="158">
        <v>7248.86</v>
      </c>
      <c r="W405" s="127">
        <f t="shared" si="77"/>
        <v>0</v>
      </c>
      <c r="X405" s="127">
        <f t="shared" si="82"/>
        <v>6</v>
      </c>
      <c r="Y405" s="127">
        <f t="shared" si="79"/>
        <v>0</v>
      </c>
      <c r="Z405" s="127">
        <f t="shared" si="80"/>
        <v>43493.16</v>
      </c>
      <c r="AA405" s="27"/>
      <c r="AB405" s="36"/>
      <c r="AC405" s="200">
        <v>6</v>
      </c>
      <c r="AD405" s="181">
        <f t="shared" si="81"/>
        <v>43493.16</v>
      </c>
      <c r="AE405" s="181">
        <v>2</v>
      </c>
      <c r="AF405" s="181">
        <v>2</v>
      </c>
      <c r="AG405" s="101"/>
      <c r="AH405" s="190">
        <v>6</v>
      </c>
      <c r="AI405" s="69">
        <f t="shared" si="83"/>
        <v>6</v>
      </c>
    </row>
    <row r="406" spans="1:38" ht="25.5" customHeight="1" x14ac:dyDescent="0.3">
      <c r="A406" s="233">
        <v>2.29</v>
      </c>
      <c r="B406" s="180" t="s">
        <v>1527</v>
      </c>
      <c r="C406" s="58" t="s">
        <v>97</v>
      </c>
      <c r="D406" s="230"/>
      <c r="E406" s="230"/>
      <c r="F406" s="59"/>
      <c r="G406" s="59"/>
      <c r="H406" s="59">
        <v>320</v>
      </c>
      <c r="I406" s="230">
        <v>280</v>
      </c>
      <c r="J406" s="59">
        <v>89600</v>
      </c>
      <c r="K406" s="234"/>
      <c r="M406" s="46">
        <v>0</v>
      </c>
      <c r="N406" s="46">
        <v>0</v>
      </c>
      <c r="O406" s="46">
        <v>0</v>
      </c>
      <c r="P406" s="98"/>
      <c r="Q406" s="23">
        <v>29</v>
      </c>
      <c r="R406" s="24" t="s">
        <v>1527</v>
      </c>
      <c r="S406" s="25" t="s">
        <v>97</v>
      </c>
      <c r="T406" s="26"/>
      <c r="U406" s="26">
        <v>320</v>
      </c>
      <c r="V406" s="158">
        <v>280</v>
      </c>
      <c r="W406" s="26">
        <f t="shared" si="77"/>
        <v>0</v>
      </c>
      <c r="X406" s="26">
        <f t="shared" si="82"/>
        <v>0</v>
      </c>
      <c r="Y406" s="26">
        <f t="shared" si="79"/>
        <v>0</v>
      </c>
      <c r="Z406" s="26">
        <f t="shared" si="80"/>
        <v>0</v>
      </c>
      <c r="AA406" s="27"/>
      <c r="AB406" s="36"/>
      <c r="AC406" s="200">
        <v>320</v>
      </c>
      <c r="AD406" s="181">
        <f t="shared" si="81"/>
        <v>89600</v>
      </c>
      <c r="AE406" s="200">
        <v>2</v>
      </c>
      <c r="AF406" s="200"/>
      <c r="AG406" s="101"/>
      <c r="AH406" s="190">
        <v>0</v>
      </c>
      <c r="AI406" s="69">
        <f t="shared" si="83"/>
        <v>0</v>
      </c>
    </row>
    <row r="407" spans="1:38" s="69" customFormat="1" ht="33" customHeight="1" x14ac:dyDescent="0.3">
      <c r="A407" s="150" t="s">
        <v>1039</v>
      </c>
      <c r="B407" s="151" t="s">
        <v>1040</v>
      </c>
      <c r="C407" s="152" t="s">
        <v>14</v>
      </c>
      <c r="D407" s="153">
        <v>1</v>
      </c>
      <c r="E407" s="153"/>
      <c r="F407" s="153"/>
      <c r="G407" s="153"/>
      <c r="H407" s="153"/>
      <c r="I407" s="153"/>
      <c r="J407" s="153">
        <v>3727423.71</v>
      </c>
      <c r="K407" s="154" t="s">
        <v>15</v>
      </c>
      <c r="L407" s="73"/>
      <c r="M407" s="42">
        <v>1</v>
      </c>
      <c r="N407" s="42">
        <v>0</v>
      </c>
      <c r="O407" s="42">
        <v>2038723.71</v>
      </c>
      <c r="P407" s="98"/>
      <c r="Q407" s="13" t="s">
        <v>1407</v>
      </c>
      <c r="R407" s="14" t="s">
        <v>1040</v>
      </c>
      <c r="S407" s="15" t="s">
        <v>14</v>
      </c>
      <c r="T407" s="16">
        <v>1</v>
      </c>
      <c r="U407" s="16"/>
      <c r="V407" s="16">
        <f>SUMIFS(AD:AD,AE:AE,AE407)</f>
        <v>3727423.7099999995</v>
      </c>
      <c r="W407" s="16">
        <f t="shared" ref="W407:X407" si="84">IF(Y407=0,0,1)</f>
        <v>0</v>
      </c>
      <c r="X407" s="16">
        <f t="shared" si="84"/>
        <v>1</v>
      </c>
      <c r="Y407" s="16">
        <f>SUMIFS(Y:Y,AF:AF,AE407)</f>
        <v>0</v>
      </c>
      <c r="Z407" s="16">
        <f>SUMIFS(Z:Z,AF:AF,AE407)</f>
        <v>2038723.71</v>
      </c>
      <c r="AA407" s="17" t="s">
        <v>15</v>
      </c>
      <c r="AB407" s="40" t="s">
        <v>16</v>
      </c>
      <c r="AC407" s="181">
        <f t="shared" si="65"/>
        <v>1</v>
      </c>
      <c r="AD407" s="183"/>
      <c r="AE407" s="183">
        <v>3</v>
      </c>
      <c r="AF407" s="183"/>
      <c r="AG407" s="101" t="str">
        <f t="shared" si="66"/>
        <v/>
      </c>
      <c r="AH407" s="190">
        <v>1</v>
      </c>
      <c r="AI407" s="69">
        <f t="shared" si="83"/>
        <v>1</v>
      </c>
    </row>
    <row r="408" spans="1:38" s="69" customFormat="1" ht="66" x14ac:dyDescent="0.3">
      <c r="A408" s="55" t="s">
        <v>1041</v>
      </c>
      <c r="B408" s="138" t="s">
        <v>1042</v>
      </c>
      <c r="C408" s="54" t="s">
        <v>162</v>
      </c>
      <c r="D408" s="75">
        <v>340</v>
      </c>
      <c r="E408" s="75"/>
      <c r="F408" s="75"/>
      <c r="G408" s="75"/>
      <c r="H408" s="75"/>
      <c r="I408" s="75">
        <v>300</v>
      </c>
      <c r="J408" s="75">
        <v>102000</v>
      </c>
      <c r="K408" s="91" t="s">
        <v>1043</v>
      </c>
      <c r="L408" s="73"/>
      <c r="M408" s="46">
        <v>219</v>
      </c>
      <c r="N408" s="46">
        <v>0</v>
      </c>
      <c r="O408" s="46">
        <v>65700</v>
      </c>
      <c r="P408" s="98"/>
      <c r="Q408" s="23" t="s">
        <v>1421</v>
      </c>
      <c r="R408" s="24" t="s">
        <v>1042</v>
      </c>
      <c r="S408" s="25" t="s">
        <v>162</v>
      </c>
      <c r="T408" s="26">
        <v>340</v>
      </c>
      <c r="U408" s="26">
        <v>340</v>
      </c>
      <c r="V408" s="26">
        <v>300</v>
      </c>
      <c r="W408" s="128">
        <f t="shared" ref="W408:W446" si="85">AH408-M408</f>
        <v>0</v>
      </c>
      <c r="X408" s="26">
        <f t="shared" si="78"/>
        <v>219</v>
      </c>
      <c r="Y408" s="26">
        <f t="shared" ref="Y408:Y446" si="86">Z408-O408</f>
        <v>0</v>
      </c>
      <c r="Z408" s="26">
        <f t="shared" ref="Z408:Z446" si="87">ROUND(V408*X408,2)</f>
        <v>65700</v>
      </c>
      <c r="AA408" s="33" t="s">
        <v>15</v>
      </c>
      <c r="AB408" s="36" t="s">
        <v>16</v>
      </c>
      <c r="AC408" s="181">
        <f t="shared" si="65"/>
        <v>340</v>
      </c>
      <c r="AD408" s="181">
        <f t="shared" ref="AD408:AD446" si="88">ROUND(V408*AC408,2)</f>
        <v>102000</v>
      </c>
      <c r="AE408" s="181">
        <v>3</v>
      </c>
      <c r="AF408" s="181">
        <v>3</v>
      </c>
      <c r="AG408" s="101" t="str">
        <f t="shared" si="66"/>
        <v/>
      </c>
      <c r="AH408" s="190">
        <v>219</v>
      </c>
      <c r="AI408" s="69">
        <f t="shared" si="83"/>
        <v>340</v>
      </c>
      <c r="AL408" s="69">
        <v>0</v>
      </c>
    </row>
    <row r="409" spans="1:38" s="69" customFormat="1" ht="49.5" x14ac:dyDescent="0.3">
      <c r="A409" s="55" t="s">
        <v>1044</v>
      </c>
      <c r="B409" s="138" t="s">
        <v>1045</v>
      </c>
      <c r="C409" s="54" t="s">
        <v>325</v>
      </c>
      <c r="D409" s="75">
        <v>68</v>
      </c>
      <c r="E409" s="75"/>
      <c r="F409" s="75"/>
      <c r="G409" s="75"/>
      <c r="H409" s="75"/>
      <c r="I409" s="75">
        <v>3000</v>
      </c>
      <c r="J409" s="75">
        <v>204000</v>
      </c>
      <c r="K409" s="91" t="s">
        <v>1046</v>
      </c>
      <c r="L409" s="73"/>
      <c r="M409" s="46">
        <v>52</v>
      </c>
      <c r="N409" s="46">
        <v>0</v>
      </c>
      <c r="O409" s="46">
        <v>156000</v>
      </c>
      <c r="P409" s="98"/>
      <c r="Q409" s="23" t="s">
        <v>1426</v>
      </c>
      <c r="R409" s="24" t="s">
        <v>1045</v>
      </c>
      <c r="S409" s="25" t="s">
        <v>325</v>
      </c>
      <c r="T409" s="26">
        <v>68</v>
      </c>
      <c r="U409" s="26">
        <v>68</v>
      </c>
      <c r="V409" s="26">
        <v>3000</v>
      </c>
      <c r="W409" s="128">
        <f t="shared" si="85"/>
        <v>0</v>
      </c>
      <c r="X409" s="26">
        <f t="shared" si="78"/>
        <v>52</v>
      </c>
      <c r="Y409" s="26">
        <f t="shared" si="86"/>
        <v>0</v>
      </c>
      <c r="Z409" s="26">
        <f t="shared" si="87"/>
        <v>156000</v>
      </c>
      <c r="AA409" s="33" t="s">
        <v>15</v>
      </c>
      <c r="AB409" s="36" t="s">
        <v>16</v>
      </c>
      <c r="AC409" s="181">
        <f t="shared" si="65"/>
        <v>68</v>
      </c>
      <c r="AD409" s="181">
        <f t="shared" si="88"/>
        <v>204000</v>
      </c>
      <c r="AE409" s="181">
        <v>3</v>
      </c>
      <c r="AF409" s="181">
        <v>3</v>
      </c>
      <c r="AG409" s="101" t="str">
        <f t="shared" si="66"/>
        <v/>
      </c>
      <c r="AH409" s="190">
        <v>52</v>
      </c>
      <c r="AI409" s="69">
        <f t="shared" si="83"/>
        <v>68</v>
      </c>
      <c r="AL409" s="69">
        <v>0</v>
      </c>
    </row>
    <row r="410" spans="1:38" s="69" customFormat="1" ht="33" x14ac:dyDescent="0.3">
      <c r="A410" s="55" t="s">
        <v>1047</v>
      </c>
      <c r="B410" s="138" t="s">
        <v>1048</v>
      </c>
      <c r="C410" s="54" t="s">
        <v>325</v>
      </c>
      <c r="D410" s="75">
        <v>68</v>
      </c>
      <c r="E410" s="75"/>
      <c r="F410" s="75"/>
      <c r="G410" s="75"/>
      <c r="H410" s="75"/>
      <c r="I410" s="75">
        <v>150</v>
      </c>
      <c r="J410" s="75">
        <v>10200</v>
      </c>
      <c r="K410" s="91" t="s">
        <v>1049</v>
      </c>
      <c r="L410" s="73"/>
      <c r="M410" s="46">
        <v>52</v>
      </c>
      <c r="N410" s="46">
        <v>0</v>
      </c>
      <c r="O410" s="46">
        <v>7800</v>
      </c>
      <c r="P410" s="98"/>
      <c r="Q410" s="23" t="s">
        <v>1402</v>
      </c>
      <c r="R410" s="24" t="s">
        <v>1048</v>
      </c>
      <c r="S410" s="25" t="s">
        <v>325</v>
      </c>
      <c r="T410" s="26">
        <v>68</v>
      </c>
      <c r="U410" s="26">
        <v>68</v>
      </c>
      <c r="V410" s="26">
        <v>150</v>
      </c>
      <c r="W410" s="128">
        <f t="shared" si="85"/>
        <v>0</v>
      </c>
      <c r="X410" s="26">
        <f t="shared" si="78"/>
        <v>52</v>
      </c>
      <c r="Y410" s="26">
        <f t="shared" si="86"/>
        <v>0</v>
      </c>
      <c r="Z410" s="26">
        <f t="shared" si="87"/>
        <v>7800</v>
      </c>
      <c r="AA410" s="33" t="s">
        <v>15</v>
      </c>
      <c r="AB410" s="36" t="s">
        <v>16</v>
      </c>
      <c r="AC410" s="181">
        <f t="shared" si="65"/>
        <v>68</v>
      </c>
      <c r="AD410" s="181">
        <f t="shared" si="88"/>
        <v>10200</v>
      </c>
      <c r="AE410" s="181">
        <v>3</v>
      </c>
      <c r="AF410" s="181">
        <v>3</v>
      </c>
      <c r="AG410" s="101" t="str">
        <f t="shared" si="66"/>
        <v/>
      </c>
      <c r="AH410" s="190">
        <v>52</v>
      </c>
      <c r="AI410" s="69">
        <f t="shared" si="83"/>
        <v>68</v>
      </c>
      <c r="AL410" s="69">
        <v>0</v>
      </c>
    </row>
    <row r="411" spans="1:38" s="69" customFormat="1" ht="49.5" x14ac:dyDescent="0.3">
      <c r="A411" s="55" t="s">
        <v>1050</v>
      </c>
      <c r="B411" s="138" t="s">
        <v>1051</v>
      </c>
      <c r="C411" s="54" t="s">
        <v>1052</v>
      </c>
      <c r="D411" s="75">
        <v>9</v>
      </c>
      <c r="E411" s="75"/>
      <c r="F411" s="75"/>
      <c r="G411" s="75"/>
      <c r="H411" s="75"/>
      <c r="I411" s="75">
        <v>1200</v>
      </c>
      <c r="J411" s="75">
        <v>10800</v>
      </c>
      <c r="K411" s="91" t="s">
        <v>1053</v>
      </c>
      <c r="L411" s="73"/>
      <c r="M411" s="46">
        <v>0</v>
      </c>
      <c r="N411" s="46">
        <v>0</v>
      </c>
      <c r="O411" s="46">
        <v>0</v>
      </c>
      <c r="P411" s="98"/>
      <c r="Q411" s="23" t="s">
        <v>1373</v>
      </c>
      <c r="R411" s="24" t="s">
        <v>1051</v>
      </c>
      <c r="S411" s="25" t="s">
        <v>1052</v>
      </c>
      <c r="T411" s="26">
        <v>9</v>
      </c>
      <c r="U411" s="26">
        <v>9</v>
      </c>
      <c r="V411" s="26">
        <v>1200</v>
      </c>
      <c r="W411" s="26">
        <f t="shared" si="85"/>
        <v>0</v>
      </c>
      <c r="X411" s="26">
        <f t="shared" si="78"/>
        <v>0</v>
      </c>
      <c r="Y411" s="26">
        <f t="shared" si="86"/>
        <v>0</v>
      </c>
      <c r="Z411" s="26">
        <f t="shared" si="87"/>
        <v>0</v>
      </c>
      <c r="AA411" s="33" t="s">
        <v>15</v>
      </c>
      <c r="AB411" s="36" t="s">
        <v>16</v>
      </c>
      <c r="AC411" s="181">
        <f t="shared" si="65"/>
        <v>9</v>
      </c>
      <c r="AD411" s="181">
        <f t="shared" si="88"/>
        <v>10800</v>
      </c>
      <c r="AE411" s="181">
        <v>3</v>
      </c>
      <c r="AF411" s="181">
        <v>3</v>
      </c>
      <c r="AG411" s="101" t="str">
        <f t="shared" si="66"/>
        <v/>
      </c>
      <c r="AH411" s="190">
        <v>0</v>
      </c>
      <c r="AI411" s="69">
        <f t="shared" si="83"/>
        <v>9</v>
      </c>
      <c r="AL411" s="69">
        <v>0</v>
      </c>
    </row>
    <row r="412" spans="1:38" s="69" customFormat="1" ht="66" x14ac:dyDescent="0.3">
      <c r="A412" s="55" t="s">
        <v>1054</v>
      </c>
      <c r="B412" s="138" t="s">
        <v>3114</v>
      </c>
      <c r="C412" s="54" t="s">
        <v>325</v>
      </c>
      <c r="D412" s="75">
        <v>38</v>
      </c>
      <c r="E412" s="75"/>
      <c r="F412" s="75"/>
      <c r="G412" s="75"/>
      <c r="H412" s="75"/>
      <c r="I412" s="75">
        <v>650</v>
      </c>
      <c r="J412" s="75">
        <v>24700</v>
      </c>
      <c r="K412" s="91" t="s">
        <v>1056</v>
      </c>
      <c r="L412" s="73"/>
      <c r="M412" s="46">
        <v>12</v>
      </c>
      <c r="N412" s="46">
        <v>0</v>
      </c>
      <c r="O412" s="46">
        <v>7800</v>
      </c>
      <c r="P412" s="98"/>
      <c r="Q412" s="23" t="s">
        <v>1393</v>
      </c>
      <c r="R412" s="24" t="s">
        <v>1055</v>
      </c>
      <c r="S412" s="25" t="s">
        <v>325</v>
      </c>
      <c r="T412" s="26">
        <v>38</v>
      </c>
      <c r="U412" s="26">
        <v>38</v>
      </c>
      <c r="V412" s="26">
        <v>650</v>
      </c>
      <c r="W412" s="128">
        <f t="shared" si="85"/>
        <v>0</v>
      </c>
      <c r="X412" s="26">
        <f t="shared" si="78"/>
        <v>12</v>
      </c>
      <c r="Y412" s="26">
        <f t="shared" si="86"/>
        <v>0</v>
      </c>
      <c r="Z412" s="26">
        <f t="shared" si="87"/>
        <v>7800</v>
      </c>
      <c r="AA412" s="33" t="s">
        <v>15</v>
      </c>
      <c r="AB412" s="36" t="s">
        <v>16</v>
      </c>
      <c r="AC412" s="181">
        <f t="shared" si="65"/>
        <v>38</v>
      </c>
      <c r="AD412" s="181">
        <f t="shared" si="88"/>
        <v>24700</v>
      </c>
      <c r="AE412" s="181">
        <v>3</v>
      </c>
      <c r="AF412" s="181">
        <v>3</v>
      </c>
      <c r="AG412" s="101" t="str">
        <f t="shared" si="66"/>
        <v/>
      </c>
      <c r="AH412" s="190">
        <v>12</v>
      </c>
      <c r="AI412" s="69">
        <f t="shared" si="83"/>
        <v>38</v>
      </c>
      <c r="AL412" s="69">
        <v>0</v>
      </c>
    </row>
    <row r="413" spans="1:38" s="69" customFormat="1" ht="66" customHeight="1" x14ac:dyDescent="0.3">
      <c r="A413" s="55" t="s">
        <v>1057</v>
      </c>
      <c r="B413" s="138" t="s">
        <v>3115</v>
      </c>
      <c r="C413" s="54" t="s">
        <v>325</v>
      </c>
      <c r="D413" s="75">
        <v>38</v>
      </c>
      <c r="E413" s="75"/>
      <c r="F413" s="75"/>
      <c r="G413" s="75"/>
      <c r="H413" s="75"/>
      <c r="I413" s="75">
        <v>1300</v>
      </c>
      <c r="J413" s="75">
        <v>49400</v>
      </c>
      <c r="K413" s="91" t="s">
        <v>1059</v>
      </c>
      <c r="L413" s="73"/>
      <c r="M413" s="46">
        <v>12</v>
      </c>
      <c r="N413" s="46">
        <v>0</v>
      </c>
      <c r="O413" s="46">
        <v>15600</v>
      </c>
      <c r="P413" s="98"/>
      <c r="Q413" s="23" t="s">
        <v>1403</v>
      </c>
      <c r="R413" s="24" t="s">
        <v>1058</v>
      </c>
      <c r="S413" s="25" t="s">
        <v>325</v>
      </c>
      <c r="T413" s="26">
        <v>38</v>
      </c>
      <c r="U413" s="26">
        <v>38</v>
      </c>
      <c r="V413" s="26">
        <v>1300</v>
      </c>
      <c r="W413" s="128">
        <f t="shared" si="85"/>
        <v>0</v>
      </c>
      <c r="X413" s="26">
        <f t="shared" si="78"/>
        <v>12</v>
      </c>
      <c r="Y413" s="26">
        <f t="shared" si="86"/>
        <v>0</v>
      </c>
      <c r="Z413" s="26">
        <f t="shared" si="87"/>
        <v>15600</v>
      </c>
      <c r="AA413" s="33" t="s">
        <v>15</v>
      </c>
      <c r="AB413" s="36" t="s">
        <v>16</v>
      </c>
      <c r="AC413" s="181">
        <f t="shared" ref="AC413:AC477" si="89">IF(U413="",T413,U413)</f>
        <v>38</v>
      </c>
      <c r="AD413" s="181">
        <f t="shared" si="88"/>
        <v>49400</v>
      </c>
      <c r="AE413" s="181">
        <v>3</v>
      </c>
      <c r="AF413" s="181">
        <v>3</v>
      </c>
      <c r="AG413" s="101" t="str">
        <f t="shared" ref="AG413:AG477" si="90">IF(X413&gt;AI413,"超估","")</f>
        <v/>
      </c>
      <c r="AH413" s="190">
        <v>12</v>
      </c>
      <c r="AI413" s="69">
        <f t="shared" si="83"/>
        <v>38</v>
      </c>
      <c r="AL413" s="69">
        <v>0</v>
      </c>
    </row>
    <row r="414" spans="1:38" s="69" customFormat="1" ht="66" customHeight="1" x14ac:dyDescent="0.3">
      <c r="A414" s="55" t="s">
        <v>1060</v>
      </c>
      <c r="B414" s="138" t="s">
        <v>3116</v>
      </c>
      <c r="C414" s="54" t="s">
        <v>325</v>
      </c>
      <c r="D414" s="75">
        <v>7</v>
      </c>
      <c r="E414" s="75"/>
      <c r="F414" s="75"/>
      <c r="G414" s="75"/>
      <c r="H414" s="75"/>
      <c r="I414" s="75">
        <v>3500</v>
      </c>
      <c r="J414" s="75">
        <v>24500</v>
      </c>
      <c r="K414" s="91" t="s">
        <v>1062</v>
      </c>
      <c r="L414" s="73"/>
      <c r="M414" s="46">
        <v>0</v>
      </c>
      <c r="N414" s="46">
        <v>0</v>
      </c>
      <c r="O414" s="46">
        <v>0</v>
      </c>
      <c r="P414" s="98"/>
      <c r="Q414" s="23" t="s">
        <v>1427</v>
      </c>
      <c r="R414" s="24" t="s">
        <v>1061</v>
      </c>
      <c r="S414" s="25" t="s">
        <v>325</v>
      </c>
      <c r="T414" s="26">
        <v>7</v>
      </c>
      <c r="U414" s="26">
        <v>7</v>
      </c>
      <c r="V414" s="26">
        <v>3500</v>
      </c>
      <c r="W414" s="26">
        <f t="shared" si="85"/>
        <v>0</v>
      </c>
      <c r="X414" s="26">
        <f t="shared" si="78"/>
        <v>0</v>
      </c>
      <c r="Y414" s="26">
        <f t="shared" si="86"/>
        <v>0</v>
      </c>
      <c r="Z414" s="26">
        <f t="shared" si="87"/>
        <v>0</v>
      </c>
      <c r="AA414" s="33" t="s">
        <v>15</v>
      </c>
      <c r="AB414" s="36" t="s">
        <v>16</v>
      </c>
      <c r="AC414" s="181">
        <f t="shared" si="89"/>
        <v>7</v>
      </c>
      <c r="AD414" s="181">
        <f t="shared" si="88"/>
        <v>24500</v>
      </c>
      <c r="AE414" s="181">
        <v>3</v>
      </c>
      <c r="AF414" s="181">
        <v>3</v>
      </c>
      <c r="AG414" s="101" t="str">
        <f t="shared" si="90"/>
        <v/>
      </c>
      <c r="AH414" s="190">
        <v>0</v>
      </c>
      <c r="AI414" s="69">
        <f t="shared" si="83"/>
        <v>7</v>
      </c>
      <c r="AL414" s="69">
        <v>0</v>
      </c>
    </row>
    <row r="415" spans="1:38" s="69" customFormat="1" ht="66" customHeight="1" x14ac:dyDescent="0.3">
      <c r="A415" s="55" t="s">
        <v>1063</v>
      </c>
      <c r="B415" s="138" t="s">
        <v>1064</v>
      </c>
      <c r="C415" s="54" t="s">
        <v>325</v>
      </c>
      <c r="D415" s="75">
        <v>5</v>
      </c>
      <c r="E415" s="75"/>
      <c r="F415" s="75"/>
      <c r="G415" s="75"/>
      <c r="H415" s="75"/>
      <c r="I415" s="75">
        <v>700</v>
      </c>
      <c r="J415" s="75">
        <v>3500</v>
      </c>
      <c r="K415" s="91" t="s">
        <v>1065</v>
      </c>
      <c r="L415" s="73"/>
      <c r="M415" s="46">
        <v>0</v>
      </c>
      <c r="N415" s="46">
        <v>0</v>
      </c>
      <c r="O415" s="46">
        <v>0</v>
      </c>
      <c r="P415" s="98"/>
      <c r="Q415" s="23" t="s">
        <v>1428</v>
      </c>
      <c r="R415" s="24" t="s">
        <v>1064</v>
      </c>
      <c r="S415" s="25" t="s">
        <v>325</v>
      </c>
      <c r="T415" s="26">
        <v>5</v>
      </c>
      <c r="U415" s="26">
        <v>5</v>
      </c>
      <c r="V415" s="26">
        <v>700</v>
      </c>
      <c r="W415" s="26">
        <f t="shared" si="85"/>
        <v>0</v>
      </c>
      <c r="X415" s="26">
        <f t="shared" si="78"/>
        <v>0</v>
      </c>
      <c r="Y415" s="26">
        <f t="shared" si="86"/>
        <v>0</v>
      </c>
      <c r="Z415" s="26">
        <f t="shared" si="87"/>
        <v>0</v>
      </c>
      <c r="AA415" s="33" t="s">
        <v>15</v>
      </c>
      <c r="AB415" s="36" t="s">
        <v>16</v>
      </c>
      <c r="AC415" s="181">
        <f t="shared" si="89"/>
        <v>5</v>
      </c>
      <c r="AD415" s="181">
        <f t="shared" si="88"/>
        <v>3500</v>
      </c>
      <c r="AE415" s="181">
        <v>3</v>
      </c>
      <c r="AF415" s="181">
        <v>3</v>
      </c>
      <c r="AG415" s="101" t="str">
        <f t="shared" si="90"/>
        <v/>
      </c>
      <c r="AH415" s="190">
        <v>0</v>
      </c>
      <c r="AI415" s="69">
        <f t="shared" si="83"/>
        <v>5</v>
      </c>
      <c r="AL415" s="69">
        <v>0</v>
      </c>
    </row>
    <row r="416" spans="1:38" s="69" customFormat="1" ht="49.5" customHeight="1" x14ac:dyDescent="0.3">
      <c r="A416" s="55" t="s">
        <v>1066</v>
      </c>
      <c r="B416" s="138" t="s">
        <v>1067</v>
      </c>
      <c r="C416" s="54" t="s">
        <v>66</v>
      </c>
      <c r="D416" s="75">
        <v>1</v>
      </c>
      <c r="E416" s="75"/>
      <c r="F416" s="75"/>
      <c r="G416" s="75"/>
      <c r="H416" s="75"/>
      <c r="I416" s="75">
        <v>15000</v>
      </c>
      <c r="J416" s="75">
        <v>15000</v>
      </c>
      <c r="K416" s="91" t="s">
        <v>1068</v>
      </c>
      <c r="L416" s="73"/>
      <c r="M416" s="46">
        <v>0</v>
      </c>
      <c r="N416" s="46">
        <v>0</v>
      </c>
      <c r="O416" s="46">
        <v>0</v>
      </c>
      <c r="P416" s="98"/>
      <c r="Q416" s="23" t="s">
        <v>1387</v>
      </c>
      <c r="R416" s="24" t="s">
        <v>1067</v>
      </c>
      <c r="S416" s="25" t="s">
        <v>66</v>
      </c>
      <c r="T416" s="26">
        <v>1</v>
      </c>
      <c r="U416" s="26">
        <v>1</v>
      </c>
      <c r="V416" s="26">
        <v>15000</v>
      </c>
      <c r="W416" s="26">
        <f t="shared" si="85"/>
        <v>0</v>
      </c>
      <c r="X416" s="26">
        <f t="shared" si="78"/>
        <v>0</v>
      </c>
      <c r="Y416" s="26">
        <f t="shared" si="86"/>
        <v>0</v>
      </c>
      <c r="Z416" s="26">
        <f t="shared" si="87"/>
        <v>0</v>
      </c>
      <c r="AA416" s="33" t="s">
        <v>15</v>
      </c>
      <c r="AB416" s="36" t="s">
        <v>16</v>
      </c>
      <c r="AC416" s="181">
        <f t="shared" si="89"/>
        <v>1</v>
      </c>
      <c r="AD416" s="181">
        <f t="shared" si="88"/>
        <v>15000</v>
      </c>
      <c r="AE416" s="181">
        <v>3</v>
      </c>
      <c r="AF416" s="181">
        <v>3</v>
      </c>
      <c r="AG416" s="101" t="str">
        <f t="shared" si="90"/>
        <v/>
      </c>
      <c r="AH416" s="190">
        <v>0</v>
      </c>
      <c r="AI416" s="69">
        <f t="shared" si="83"/>
        <v>1</v>
      </c>
      <c r="AL416" s="69">
        <v>0</v>
      </c>
    </row>
    <row r="417" spans="1:38" s="69" customFormat="1" ht="49.5" customHeight="1" x14ac:dyDescent="0.3">
      <c r="A417" s="55" t="s">
        <v>1069</v>
      </c>
      <c r="B417" s="138" t="s">
        <v>1070</v>
      </c>
      <c r="C417" s="54" t="s">
        <v>325</v>
      </c>
      <c r="D417" s="75">
        <v>1</v>
      </c>
      <c r="E417" s="75"/>
      <c r="F417" s="75"/>
      <c r="G417" s="75"/>
      <c r="H417" s="75"/>
      <c r="I417" s="75">
        <v>6000</v>
      </c>
      <c r="J417" s="75">
        <v>6000</v>
      </c>
      <c r="K417" s="91" t="s">
        <v>1071</v>
      </c>
      <c r="L417" s="73"/>
      <c r="M417" s="46">
        <v>0</v>
      </c>
      <c r="N417" s="46">
        <v>0</v>
      </c>
      <c r="O417" s="46">
        <v>0</v>
      </c>
      <c r="P417" s="98"/>
      <c r="Q417" s="23" t="s">
        <v>1405</v>
      </c>
      <c r="R417" s="24" t="s">
        <v>1070</v>
      </c>
      <c r="S417" s="25" t="s">
        <v>325</v>
      </c>
      <c r="T417" s="26">
        <v>1</v>
      </c>
      <c r="U417" s="26">
        <v>1</v>
      </c>
      <c r="V417" s="26">
        <v>6000</v>
      </c>
      <c r="W417" s="26">
        <f t="shared" si="85"/>
        <v>0</v>
      </c>
      <c r="X417" s="26">
        <f t="shared" si="78"/>
        <v>0</v>
      </c>
      <c r="Y417" s="26">
        <f t="shared" si="86"/>
        <v>0</v>
      </c>
      <c r="Z417" s="26">
        <f t="shared" si="87"/>
        <v>0</v>
      </c>
      <c r="AA417" s="33" t="s">
        <v>15</v>
      </c>
      <c r="AB417" s="36" t="s">
        <v>16</v>
      </c>
      <c r="AC417" s="181">
        <f t="shared" si="89"/>
        <v>1</v>
      </c>
      <c r="AD417" s="181">
        <f t="shared" si="88"/>
        <v>6000</v>
      </c>
      <c r="AE417" s="181">
        <v>3</v>
      </c>
      <c r="AF417" s="181">
        <v>3</v>
      </c>
      <c r="AG417" s="101" t="str">
        <f t="shared" si="90"/>
        <v/>
      </c>
      <c r="AH417" s="190">
        <v>0</v>
      </c>
      <c r="AI417" s="69">
        <f t="shared" si="83"/>
        <v>1</v>
      </c>
      <c r="AL417" s="69">
        <v>0</v>
      </c>
    </row>
    <row r="418" spans="1:38" s="69" customFormat="1" ht="92.25" customHeight="1" x14ac:dyDescent="0.3">
      <c r="A418" s="55" t="s">
        <v>1072</v>
      </c>
      <c r="B418" s="138" t="s">
        <v>3141</v>
      </c>
      <c r="C418" s="54" t="s">
        <v>325</v>
      </c>
      <c r="D418" s="75">
        <v>1</v>
      </c>
      <c r="E418" s="75"/>
      <c r="F418" s="75"/>
      <c r="G418" s="75"/>
      <c r="H418" s="75"/>
      <c r="I418" s="75">
        <v>49500</v>
      </c>
      <c r="J418" s="75">
        <v>49500</v>
      </c>
      <c r="K418" s="91" t="s">
        <v>1074</v>
      </c>
      <c r="L418" s="73"/>
      <c r="M418" s="46">
        <v>0</v>
      </c>
      <c r="N418" s="46">
        <v>0</v>
      </c>
      <c r="O418" s="46">
        <v>0</v>
      </c>
      <c r="P418" s="98"/>
      <c r="Q418" s="23" t="s">
        <v>1406</v>
      </c>
      <c r="R418" s="24" t="s">
        <v>1073</v>
      </c>
      <c r="S418" s="25" t="s">
        <v>325</v>
      </c>
      <c r="T418" s="26">
        <v>1</v>
      </c>
      <c r="U418" s="26">
        <v>1</v>
      </c>
      <c r="V418" s="26">
        <v>49500</v>
      </c>
      <c r="W418" s="26">
        <f t="shared" si="85"/>
        <v>0</v>
      </c>
      <c r="X418" s="26">
        <f t="shared" si="78"/>
        <v>0</v>
      </c>
      <c r="Y418" s="26">
        <f t="shared" si="86"/>
        <v>0</v>
      </c>
      <c r="Z418" s="26">
        <f t="shared" si="87"/>
        <v>0</v>
      </c>
      <c r="AA418" s="33" t="s">
        <v>15</v>
      </c>
      <c r="AB418" s="36" t="s">
        <v>16</v>
      </c>
      <c r="AC418" s="181">
        <f t="shared" si="89"/>
        <v>1</v>
      </c>
      <c r="AD418" s="181">
        <f t="shared" si="88"/>
        <v>49500</v>
      </c>
      <c r="AE418" s="181">
        <v>3</v>
      </c>
      <c r="AF418" s="181">
        <v>3</v>
      </c>
      <c r="AG418" s="101" t="str">
        <f t="shared" si="90"/>
        <v/>
      </c>
      <c r="AH418" s="190">
        <v>0</v>
      </c>
      <c r="AI418" s="69">
        <f t="shared" si="83"/>
        <v>1</v>
      </c>
      <c r="AL418" s="69">
        <v>0</v>
      </c>
    </row>
    <row r="419" spans="1:38" s="69" customFormat="1" ht="66" customHeight="1" x14ac:dyDescent="0.3">
      <c r="A419" s="55" t="s">
        <v>1075</v>
      </c>
      <c r="B419" s="138" t="s">
        <v>3118</v>
      </c>
      <c r="C419" s="54" t="s">
        <v>325</v>
      </c>
      <c r="D419" s="75">
        <v>8</v>
      </c>
      <c r="E419" s="75"/>
      <c r="F419" s="75"/>
      <c r="G419" s="75"/>
      <c r="H419" s="75"/>
      <c r="I419" s="75">
        <v>3000</v>
      </c>
      <c r="J419" s="75">
        <v>24000</v>
      </c>
      <c r="K419" s="91" t="s">
        <v>1077</v>
      </c>
      <c r="L419" s="73"/>
      <c r="M419" s="46">
        <v>0</v>
      </c>
      <c r="N419" s="46">
        <v>0</v>
      </c>
      <c r="O419" s="46">
        <v>0</v>
      </c>
      <c r="P419" s="98"/>
      <c r="Q419" s="23" t="s">
        <v>1414</v>
      </c>
      <c r="R419" s="24" t="s">
        <v>1076</v>
      </c>
      <c r="S419" s="25" t="s">
        <v>325</v>
      </c>
      <c r="T419" s="26">
        <v>8</v>
      </c>
      <c r="U419" s="26">
        <v>8</v>
      </c>
      <c r="V419" s="26">
        <v>3000</v>
      </c>
      <c r="W419" s="26">
        <f t="shared" si="85"/>
        <v>0</v>
      </c>
      <c r="X419" s="26">
        <f t="shared" si="78"/>
        <v>0</v>
      </c>
      <c r="Y419" s="26">
        <f t="shared" si="86"/>
        <v>0</v>
      </c>
      <c r="Z419" s="26">
        <f t="shared" si="87"/>
        <v>0</v>
      </c>
      <c r="AA419" s="33" t="s">
        <v>15</v>
      </c>
      <c r="AB419" s="36" t="s">
        <v>16</v>
      </c>
      <c r="AC419" s="181">
        <f t="shared" si="89"/>
        <v>8</v>
      </c>
      <c r="AD419" s="181">
        <f t="shared" si="88"/>
        <v>24000</v>
      </c>
      <c r="AE419" s="181">
        <v>3</v>
      </c>
      <c r="AF419" s="181">
        <v>3</v>
      </c>
      <c r="AG419" s="101" t="str">
        <f t="shared" si="90"/>
        <v/>
      </c>
      <c r="AH419" s="190">
        <v>0</v>
      </c>
      <c r="AI419" s="69">
        <f t="shared" si="83"/>
        <v>8</v>
      </c>
      <c r="AL419" s="69">
        <v>0</v>
      </c>
    </row>
    <row r="420" spans="1:38" s="69" customFormat="1" ht="33" customHeight="1" x14ac:dyDescent="0.3">
      <c r="A420" s="55" t="s">
        <v>1078</v>
      </c>
      <c r="B420" s="138" t="s">
        <v>1079</v>
      </c>
      <c r="C420" s="54" t="s">
        <v>66</v>
      </c>
      <c r="D420" s="75">
        <v>75</v>
      </c>
      <c r="E420" s="75"/>
      <c r="F420" s="75"/>
      <c r="G420" s="75"/>
      <c r="H420" s="75"/>
      <c r="I420" s="75">
        <v>12000</v>
      </c>
      <c r="J420" s="75">
        <v>900000</v>
      </c>
      <c r="K420" s="91" t="s">
        <v>1080</v>
      </c>
      <c r="L420" s="73"/>
      <c r="M420" s="46">
        <v>50</v>
      </c>
      <c r="N420" s="46">
        <v>0</v>
      </c>
      <c r="O420" s="46">
        <v>600000</v>
      </c>
      <c r="P420" s="98"/>
      <c r="Q420" s="23" t="s">
        <v>1429</v>
      </c>
      <c r="R420" s="24" t="s">
        <v>1079</v>
      </c>
      <c r="S420" s="25" t="s">
        <v>66</v>
      </c>
      <c r="T420" s="26">
        <v>75</v>
      </c>
      <c r="U420" s="26">
        <v>75</v>
      </c>
      <c r="V420" s="26">
        <v>12000</v>
      </c>
      <c r="W420" s="128">
        <f t="shared" si="85"/>
        <v>0</v>
      </c>
      <c r="X420" s="26">
        <f t="shared" si="78"/>
        <v>50</v>
      </c>
      <c r="Y420" s="26">
        <f t="shared" si="86"/>
        <v>0</v>
      </c>
      <c r="Z420" s="26">
        <f t="shared" si="87"/>
        <v>600000</v>
      </c>
      <c r="AA420" s="33" t="s">
        <v>15</v>
      </c>
      <c r="AB420" s="36" t="s">
        <v>16</v>
      </c>
      <c r="AC420" s="181">
        <f t="shared" si="89"/>
        <v>75</v>
      </c>
      <c r="AD420" s="181">
        <f t="shared" si="88"/>
        <v>900000</v>
      </c>
      <c r="AE420" s="181">
        <v>3</v>
      </c>
      <c r="AF420" s="181">
        <v>3</v>
      </c>
      <c r="AG420" s="101" t="str">
        <f t="shared" si="90"/>
        <v/>
      </c>
      <c r="AH420" s="191">
        <v>50</v>
      </c>
      <c r="AI420" s="69">
        <f t="shared" si="83"/>
        <v>75</v>
      </c>
      <c r="AL420" s="69">
        <v>0</v>
      </c>
    </row>
    <row r="421" spans="1:38" s="69" customFormat="1" ht="33" customHeight="1" x14ac:dyDescent="0.3">
      <c r="A421" s="55" t="s">
        <v>1081</v>
      </c>
      <c r="B421" s="138" t="s">
        <v>1082</v>
      </c>
      <c r="C421" s="54" t="s">
        <v>1014</v>
      </c>
      <c r="D421" s="75">
        <v>75</v>
      </c>
      <c r="E421" s="75"/>
      <c r="F421" s="75"/>
      <c r="G421" s="75"/>
      <c r="H421" s="75"/>
      <c r="I421" s="75">
        <v>1500</v>
      </c>
      <c r="J421" s="75">
        <v>112500</v>
      </c>
      <c r="K421" s="91" t="s">
        <v>1083</v>
      </c>
      <c r="L421" s="73"/>
      <c r="M421" s="46">
        <v>0</v>
      </c>
      <c r="N421" s="46">
        <v>0</v>
      </c>
      <c r="O421" s="46">
        <v>0</v>
      </c>
      <c r="P421" s="98"/>
      <c r="Q421" s="23" t="s">
        <v>1430</v>
      </c>
      <c r="R421" s="24" t="s">
        <v>1082</v>
      </c>
      <c r="S421" s="25" t="s">
        <v>1014</v>
      </c>
      <c r="T421" s="26">
        <v>75</v>
      </c>
      <c r="U421" s="26">
        <v>75</v>
      </c>
      <c r="V421" s="26">
        <v>1500</v>
      </c>
      <c r="W421" s="128">
        <f t="shared" si="85"/>
        <v>0</v>
      </c>
      <c r="X421" s="26">
        <f t="shared" si="78"/>
        <v>0</v>
      </c>
      <c r="Y421" s="26">
        <f t="shared" si="86"/>
        <v>0</v>
      </c>
      <c r="Z421" s="26">
        <f t="shared" si="87"/>
        <v>0</v>
      </c>
      <c r="AA421" s="33" t="s">
        <v>15</v>
      </c>
      <c r="AB421" s="36" t="s">
        <v>16</v>
      </c>
      <c r="AC421" s="181">
        <f t="shared" si="89"/>
        <v>75</v>
      </c>
      <c r="AD421" s="181">
        <f t="shared" si="88"/>
        <v>112500</v>
      </c>
      <c r="AE421" s="181">
        <v>3</v>
      </c>
      <c r="AF421" s="181">
        <v>3</v>
      </c>
      <c r="AG421" s="101" t="str">
        <f t="shared" si="90"/>
        <v/>
      </c>
      <c r="AH421" s="191">
        <v>0</v>
      </c>
      <c r="AI421" s="69">
        <f t="shared" si="83"/>
        <v>75</v>
      </c>
      <c r="AL421" s="69">
        <v>0</v>
      </c>
    </row>
    <row r="422" spans="1:38" s="69" customFormat="1" ht="66" customHeight="1" x14ac:dyDescent="0.3">
      <c r="A422" s="55" t="s">
        <v>1084</v>
      </c>
      <c r="B422" s="138" t="s">
        <v>1085</v>
      </c>
      <c r="C422" s="54" t="s">
        <v>325</v>
      </c>
      <c r="D422" s="75">
        <v>1</v>
      </c>
      <c r="E422" s="75"/>
      <c r="F422" s="75"/>
      <c r="G422" s="75"/>
      <c r="H422" s="75"/>
      <c r="I422" s="75">
        <v>12000</v>
      </c>
      <c r="J422" s="75">
        <v>12000</v>
      </c>
      <c r="K422" s="91" t="s">
        <v>1086</v>
      </c>
      <c r="L422" s="73"/>
      <c r="M422" s="46">
        <v>0</v>
      </c>
      <c r="N422" s="46">
        <v>0</v>
      </c>
      <c r="O422" s="46">
        <v>0</v>
      </c>
      <c r="P422" s="98"/>
      <c r="Q422" s="23" t="s">
        <v>1431</v>
      </c>
      <c r="R422" s="24" t="s">
        <v>1085</v>
      </c>
      <c r="S422" s="25" t="s">
        <v>325</v>
      </c>
      <c r="T422" s="26">
        <v>1</v>
      </c>
      <c r="U422" s="26">
        <v>1</v>
      </c>
      <c r="V422" s="26">
        <v>12000</v>
      </c>
      <c r="W422" s="26">
        <f t="shared" si="85"/>
        <v>0</v>
      </c>
      <c r="X422" s="26">
        <f t="shared" si="78"/>
        <v>0</v>
      </c>
      <c r="Y422" s="26">
        <f t="shared" si="86"/>
        <v>0</v>
      </c>
      <c r="Z422" s="26">
        <f t="shared" si="87"/>
        <v>0</v>
      </c>
      <c r="AA422" s="33" t="s">
        <v>15</v>
      </c>
      <c r="AB422" s="36" t="s">
        <v>16</v>
      </c>
      <c r="AC422" s="181">
        <f t="shared" si="89"/>
        <v>1</v>
      </c>
      <c r="AD422" s="181">
        <f t="shared" si="88"/>
        <v>12000</v>
      </c>
      <c r="AE422" s="181">
        <v>3</v>
      </c>
      <c r="AF422" s="181">
        <v>3</v>
      </c>
      <c r="AG422" s="101" t="str">
        <f t="shared" si="90"/>
        <v/>
      </c>
      <c r="AH422" s="190">
        <v>0</v>
      </c>
      <c r="AI422" s="69">
        <f t="shared" si="83"/>
        <v>1</v>
      </c>
      <c r="AL422" s="69">
        <v>0</v>
      </c>
    </row>
    <row r="423" spans="1:38" s="69" customFormat="1" ht="49.5" customHeight="1" x14ac:dyDescent="0.3">
      <c r="A423" s="55" t="s">
        <v>1087</v>
      </c>
      <c r="B423" s="138" t="s">
        <v>1088</v>
      </c>
      <c r="C423" s="54" t="s">
        <v>325</v>
      </c>
      <c r="D423" s="75">
        <v>1</v>
      </c>
      <c r="E423" s="75"/>
      <c r="F423" s="75"/>
      <c r="G423" s="75"/>
      <c r="H423" s="75"/>
      <c r="I423" s="75">
        <v>2000</v>
      </c>
      <c r="J423" s="75">
        <v>2000</v>
      </c>
      <c r="K423" s="91" t="s">
        <v>1089</v>
      </c>
      <c r="L423" s="73"/>
      <c r="M423" s="46">
        <v>0</v>
      </c>
      <c r="N423" s="46">
        <v>0</v>
      </c>
      <c r="O423" s="46">
        <v>0</v>
      </c>
      <c r="P423" s="98"/>
      <c r="Q423" s="23" t="s">
        <v>1395</v>
      </c>
      <c r="R423" s="24" t="s">
        <v>1088</v>
      </c>
      <c r="S423" s="25" t="s">
        <v>325</v>
      </c>
      <c r="T423" s="26">
        <v>1</v>
      </c>
      <c r="U423" s="26">
        <v>1</v>
      </c>
      <c r="V423" s="26">
        <v>2000</v>
      </c>
      <c r="W423" s="26">
        <f t="shared" si="85"/>
        <v>0</v>
      </c>
      <c r="X423" s="26">
        <f t="shared" si="78"/>
        <v>0</v>
      </c>
      <c r="Y423" s="26">
        <f t="shared" si="86"/>
        <v>0</v>
      </c>
      <c r="Z423" s="26">
        <f t="shared" si="87"/>
        <v>0</v>
      </c>
      <c r="AA423" s="33" t="s">
        <v>15</v>
      </c>
      <c r="AB423" s="36" t="s">
        <v>16</v>
      </c>
      <c r="AC423" s="181">
        <f t="shared" si="89"/>
        <v>1</v>
      </c>
      <c r="AD423" s="181">
        <f t="shared" si="88"/>
        <v>2000</v>
      </c>
      <c r="AE423" s="181">
        <v>3</v>
      </c>
      <c r="AF423" s="181">
        <v>3</v>
      </c>
      <c r="AG423" s="101" t="str">
        <f t="shared" si="90"/>
        <v/>
      </c>
      <c r="AH423" s="190">
        <v>0</v>
      </c>
      <c r="AI423" s="69">
        <f t="shared" si="83"/>
        <v>1</v>
      </c>
      <c r="AL423" s="69">
        <v>0</v>
      </c>
    </row>
    <row r="424" spans="1:38" s="69" customFormat="1" ht="66" customHeight="1" x14ac:dyDescent="0.3">
      <c r="A424" s="55" t="s">
        <v>1090</v>
      </c>
      <c r="B424" s="138" t="s">
        <v>3119</v>
      </c>
      <c r="C424" s="54" t="s">
        <v>325</v>
      </c>
      <c r="D424" s="75">
        <v>14</v>
      </c>
      <c r="E424" s="75"/>
      <c r="F424" s="75"/>
      <c r="G424" s="75"/>
      <c r="H424" s="75"/>
      <c r="I424" s="75">
        <v>3000</v>
      </c>
      <c r="J424" s="75">
        <v>42000</v>
      </c>
      <c r="K424" s="91" t="s">
        <v>1092</v>
      </c>
      <c r="L424" s="73"/>
      <c r="M424" s="46">
        <v>0</v>
      </c>
      <c r="N424" s="46">
        <v>0</v>
      </c>
      <c r="O424" s="46">
        <v>0</v>
      </c>
      <c r="P424" s="98"/>
      <c r="Q424" s="23" t="s">
        <v>1432</v>
      </c>
      <c r="R424" s="24" t="s">
        <v>1091</v>
      </c>
      <c r="S424" s="25" t="s">
        <v>325</v>
      </c>
      <c r="T424" s="26">
        <v>14</v>
      </c>
      <c r="U424" s="26">
        <v>14</v>
      </c>
      <c r="V424" s="26">
        <v>3000</v>
      </c>
      <c r="W424" s="26">
        <f t="shared" si="85"/>
        <v>0</v>
      </c>
      <c r="X424" s="26">
        <f t="shared" si="78"/>
        <v>0</v>
      </c>
      <c r="Y424" s="26">
        <f t="shared" si="86"/>
        <v>0</v>
      </c>
      <c r="Z424" s="26">
        <f t="shared" si="87"/>
        <v>0</v>
      </c>
      <c r="AA424" s="33" t="s">
        <v>15</v>
      </c>
      <c r="AB424" s="36" t="s">
        <v>16</v>
      </c>
      <c r="AC424" s="181">
        <f t="shared" si="89"/>
        <v>14</v>
      </c>
      <c r="AD424" s="181">
        <f t="shared" si="88"/>
        <v>42000</v>
      </c>
      <c r="AE424" s="181">
        <v>3</v>
      </c>
      <c r="AF424" s="181">
        <v>3</v>
      </c>
      <c r="AG424" s="101" t="str">
        <f t="shared" si="90"/>
        <v/>
      </c>
      <c r="AH424" s="190">
        <v>0</v>
      </c>
      <c r="AI424" s="69">
        <f t="shared" si="83"/>
        <v>14</v>
      </c>
      <c r="AL424" s="69">
        <v>0</v>
      </c>
    </row>
    <row r="425" spans="1:38" s="69" customFormat="1" ht="49.5" customHeight="1" x14ac:dyDescent="0.3">
      <c r="A425" s="55" t="s">
        <v>1093</v>
      </c>
      <c r="B425" s="138" t="s">
        <v>1094</v>
      </c>
      <c r="C425" s="54" t="s">
        <v>325</v>
      </c>
      <c r="D425" s="75">
        <v>3</v>
      </c>
      <c r="E425" s="75"/>
      <c r="F425" s="75"/>
      <c r="G425" s="75"/>
      <c r="H425" s="75"/>
      <c r="I425" s="75">
        <v>1400</v>
      </c>
      <c r="J425" s="75">
        <v>4200</v>
      </c>
      <c r="K425" s="91" t="s">
        <v>1095</v>
      </c>
      <c r="L425" s="73"/>
      <c r="M425" s="46">
        <v>0</v>
      </c>
      <c r="N425" s="46">
        <v>0</v>
      </c>
      <c r="O425" s="46">
        <v>0</v>
      </c>
      <c r="P425" s="98"/>
      <c r="Q425" s="23" t="s">
        <v>1433</v>
      </c>
      <c r="R425" s="24" t="s">
        <v>1094</v>
      </c>
      <c r="S425" s="25" t="s">
        <v>325</v>
      </c>
      <c r="T425" s="26">
        <v>3</v>
      </c>
      <c r="U425" s="26">
        <v>3</v>
      </c>
      <c r="V425" s="26">
        <v>1400</v>
      </c>
      <c r="W425" s="26">
        <f t="shared" si="85"/>
        <v>0</v>
      </c>
      <c r="X425" s="26">
        <f t="shared" si="78"/>
        <v>0</v>
      </c>
      <c r="Y425" s="26">
        <f t="shared" si="86"/>
        <v>0</v>
      </c>
      <c r="Z425" s="26">
        <f t="shared" si="87"/>
        <v>0</v>
      </c>
      <c r="AA425" s="33" t="s">
        <v>15</v>
      </c>
      <c r="AB425" s="36" t="s">
        <v>16</v>
      </c>
      <c r="AC425" s="181">
        <f t="shared" si="89"/>
        <v>3</v>
      </c>
      <c r="AD425" s="181">
        <f t="shared" si="88"/>
        <v>4200</v>
      </c>
      <c r="AE425" s="181">
        <v>3</v>
      </c>
      <c r="AF425" s="181">
        <v>3</v>
      </c>
      <c r="AG425" s="101" t="str">
        <f t="shared" si="90"/>
        <v/>
      </c>
      <c r="AH425" s="190">
        <v>0</v>
      </c>
      <c r="AI425" s="69">
        <f t="shared" si="83"/>
        <v>3</v>
      </c>
      <c r="AL425" s="69">
        <v>0</v>
      </c>
    </row>
    <row r="426" spans="1:38" s="69" customFormat="1" ht="66" customHeight="1" x14ac:dyDescent="0.3">
      <c r="A426" s="55" t="s">
        <v>1096</v>
      </c>
      <c r="B426" s="138" t="s">
        <v>3140</v>
      </c>
      <c r="C426" s="54" t="s">
        <v>66</v>
      </c>
      <c r="D426" s="75">
        <v>5</v>
      </c>
      <c r="E426" s="75"/>
      <c r="F426" s="75"/>
      <c r="G426" s="75"/>
      <c r="H426" s="75"/>
      <c r="I426" s="75">
        <v>18000</v>
      </c>
      <c r="J426" s="75">
        <v>90000</v>
      </c>
      <c r="K426" s="91" t="s">
        <v>1098</v>
      </c>
      <c r="L426" s="73"/>
      <c r="M426" s="46">
        <v>0</v>
      </c>
      <c r="N426" s="46">
        <v>0</v>
      </c>
      <c r="O426" s="46">
        <v>0</v>
      </c>
      <c r="P426" s="98"/>
      <c r="Q426" s="23" t="s">
        <v>1382</v>
      </c>
      <c r="R426" s="24" t="s">
        <v>1097</v>
      </c>
      <c r="S426" s="25" t="s">
        <v>66</v>
      </c>
      <c r="T426" s="26">
        <v>5</v>
      </c>
      <c r="U426" s="26">
        <v>5</v>
      </c>
      <c r="V426" s="26">
        <v>18000</v>
      </c>
      <c r="W426" s="26">
        <f t="shared" si="85"/>
        <v>0</v>
      </c>
      <c r="X426" s="26">
        <f t="shared" si="78"/>
        <v>0</v>
      </c>
      <c r="Y426" s="26">
        <f t="shared" si="86"/>
        <v>0</v>
      </c>
      <c r="Z426" s="26">
        <f t="shared" si="87"/>
        <v>0</v>
      </c>
      <c r="AA426" s="33" t="s">
        <v>15</v>
      </c>
      <c r="AB426" s="36" t="s">
        <v>16</v>
      </c>
      <c r="AC426" s="181">
        <f t="shared" si="89"/>
        <v>5</v>
      </c>
      <c r="AD426" s="181">
        <f t="shared" si="88"/>
        <v>90000</v>
      </c>
      <c r="AE426" s="181">
        <v>3</v>
      </c>
      <c r="AF426" s="181">
        <v>3</v>
      </c>
      <c r="AG426" s="101" t="str">
        <f t="shared" si="90"/>
        <v/>
      </c>
      <c r="AH426" s="190">
        <v>0</v>
      </c>
      <c r="AI426" s="69">
        <f t="shared" si="83"/>
        <v>5</v>
      </c>
      <c r="AL426" s="69">
        <v>0</v>
      </c>
    </row>
    <row r="427" spans="1:38" s="69" customFormat="1" ht="49.5" customHeight="1" x14ac:dyDescent="0.3">
      <c r="A427" s="55" t="s">
        <v>1099</v>
      </c>
      <c r="B427" s="138" t="s">
        <v>1100</v>
      </c>
      <c r="C427" s="54" t="s">
        <v>66</v>
      </c>
      <c r="D427" s="75">
        <v>1</v>
      </c>
      <c r="E427" s="75"/>
      <c r="F427" s="75"/>
      <c r="G427" s="75"/>
      <c r="H427" s="75"/>
      <c r="I427" s="75">
        <v>9000</v>
      </c>
      <c r="J427" s="75">
        <v>9000</v>
      </c>
      <c r="K427" s="91" t="s">
        <v>1101</v>
      </c>
      <c r="L427" s="73"/>
      <c r="M427" s="46">
        <v>0</v>
      </c>
      <c r="N427" s="46">
        <v>0</v>
      </c>
      <c r="O427" s="46">
        <v>0</v>
      </c>
      <c r="P427" s="98"/>
      <c r="Q427" s="23" t="s">
        <v>1434</v>
      </c>
      <c r="R427" s="24" t="s">
        <v>1100</v>
      </c>
      <c r="S427" s="25" t="s">
        <v>66</v>
      </c>
      <c r="T427" s="26">
        <v>1</v>
      </c>
      <c r="U427" s="26">
        <v>1</v>
      </c>
      <c r="V427" s="26">
        <v>9000</v>
      </c>
      <c r="W427" s="26">
        <f t="shared" si="85"/>
        <v>0</v>
      </c>
      <c r="X427" s="26">
        <f t="shared" si="78"/>
        <v>0</v>
      </c>
      <c r="Y427" s="26">
        <f t="shared" si="86"/>
        <v>0</v>
      </c>
      <c r="Z427" s="26">
        <f t="shared" si="87"/>
        <v>0</v>
      </c>
      <c r="AA427" s="33" t="s">
        <v>15</v>
      </c>
      <c r="AB427" s="36" t="s">
        <v>16</v>
      </c>
      <c r="AC427" s="181">
        <f t="shared" si="89"/>
        <v>1</v>
      </c>
      <c r="AD427" s="181">
        <f t="shared" si="88"/>
        <v>9000</v>
      </c>
      <c r="AE427" s="181">
        <v>3</v>
      </c>
      <c r="AF427" s="181">
        <v>3</v>
      </c>
      <c r="AG427" s="101" t="str">
        <f t="shared" si="90"/>
        <v/>
      </c>
      <c r="AH427" s="190">
        <v>0</v>
      </c>
      <c r="AI427" s="69">
        <f t="shared" si="83"/>
        <v>1</v>
      </c>
      <c r="AL427" s="69">
        <v>0</v>
      </c>
    </row>
    <row r="428" spans="1:38" s="69" customFormat="1" ht="49.5" customHeight="1" x14ac:dyDescent="0.3">
      <c r="A428" s="55" t="s">
        <v>1102</v>
      </c>
      <c r="B428" s="138" t="s">
        <v>3120</v>
      </c>
      <c r="C428" s="54" t="s">
        <v>325</v>
      </c>
      <c r="D428" s="75">
        <v>3</v>
      </c>
      <c r="E428" s="75"/>
      <c r="F428" s="75"/>
      <c r="G428" s="75"/>
      <c r="H428" s="75"/>
      <c r="I428" s="75">
        <v>6000</v>
      </c>
      <c r="J428" s="75">
        <v>18000</v>
      </c>
      <c r="K428" s="91" t="s">
        <v>1104</v>
      </c>
      <c r="L428" s="73"/>
      <c r="M428" s="46">
        <v>0</v>
      </c>
      <c r="N428" s="46">
        <v>0</v>
      </c>
      <c r="O428" s="46">
        <v>0</v>
      </c>
      <c r="P428" s="98"/>
      <c r="Q428" s="23" t="s">
        <v>1388</v>
      </c>
      <c r="R428" s="24" t="s">
        <v>1103</v>
      </c>
      <c r="S428" s="25" t="s">
        <v>325</v>
      </c>
      <c r="T428" s="26">
        <v>3</v>
      </c>
      <c r="U428" s="26">
        <v>3</v>
      </c>
      <c r="V428" s="26">
        <v>6000</v>
      </c>
      <c r="W428" s="26">
        <f t="shared" si="85"/>
        <v>0</v>
      </c>
      <c r="X428" s="26">
        <f t="shared" si="78"/>
        <v>0</v>
      </c>
      <c r="Y428" s="26">
        <f t="shared" si="86"/>
        <v>0</v>
      </c>
      <c r="Z428" s="26">
        <f t="shared" si="87"/>
        <v>0</v>
      </c>
      <c r="AA428" s="33" t="s">
        <v>15</v>
      </c>
      <c r="AB428" s="36" t="s">
        <v>16</v>
      </c>
      <c r="AC428" s="181">
        <f t="shared" si="89"/>
        <v>3</v>
      </c>
      <c r="AD428" s="181">
        <f t="shared" si="88"/>
        <v>18000</v>
      </c>
      <c r="AE428" s="181">
        <v>3</v>
      </c>
      <c r="AF428" s="181">
        <v>3</v>
      </c>
      <c r="AG428" s="101" t="str">
        <f t="shared" si="90"/>
        <v/>
      </c>
      <c r="AH428" s="190">
        <v>0</v>
      </c>
      <c r="AI428" s="69">
        <f t="shared" si="83"/>
        <v>3</v>
      </c>
      <c r="AL428" s="69">
        <v>0</v>
      </c>
    </row>
    <row r="429" spans="1:38" s="69" customFormat="1" ht="49.5" customHeight="1" x14ac:dyDescent="0.3">
      <c r="A429" s="55" t="s">
        <v>1105</v>
      </c>
      <c r="B429" s="138" t="s">
        <v>3121</v>
      </c>
      <c r="C429" s="54" t="s">
        <v>66</v>
      </c>
      <c r="D429" s="75">
        <v>1</v>
      </c>
      <c r="E429" s="75"/>
      <c r="F429" s="75"/>
      <c r="G429" s="75"/>
      <c r="H429" s="75"/>
      <c r="I429" s="75">
        <v>2500</v>
      </c>
      <c r="J429" s="75">
        <v>2500</v>
      </c>
      <c r="K429" s="91" t="s">
        <v>1107</v>
      </c>
      <c r="L429" s="73"/>
      <c r="M429" s="46">
        <v>0</v>
      </c>
      <c r="N429" s="46">
        <v>0</v>
      </c>
      <c r="O429" s="46">
        <v>0</v>
      </c>
      <c r="P429" s="98"/>
      <c r="Q429" s="23" t="s">
        <v>1389</v>
      </c>
      <c r="R429" s="24" t="s">
        <v>1106</v>
      </c>
      <c r="S429" s="25" t="s">
        <v>66</v>
      </c>
      <c r="T429" s="26">
        <v>1</v>
      </c>
      <c r="U429" s="26">
        <v>1</v>
      </c>
      <c r="V429" s="26">
        <v>2500</v>
      </c>
      <c r="W429" s="26">
        <f t="shared" si="85"/>
        <v>0</v>
      </c>
      <c r="X429" s="26">
        <f t="shared" si="78"/>
        <v>0</v>
      </c>
      <c r="Y429" s="26">
        <f t="shared" si="86"/>
        <v>0</v>
      </c>
      <c r="Z429" s="26">
        <f t="shared" si="87"/>
        <v>0</v>
      </c>
      <c r="AA429" s="33" t="s">
        <v>15</v>
      </c>
      <c r="AB429" s="36" t="s">
        <v>16</v>
      </c>
      <c r="AC429" s="181">
        <f t="shared" si="89"/>
        <v>1</v>
      </c>
      <c r="AD429" s="181">
        <f t="shared" si="88"/>
        <v>2500</v>
      </c>
      <c r="AE429" s="181">
        <v>3</v>
      </c>
      <c r="AF429" s="181">
        <v>3</v>
      </c>
      <c r="AG429" s="101" t="str">
        <f t="shared" si="90"/>
        <v/>
      </c>
      <c r="AH429" s="190">
        <v>0</v>
      </c>
      <c r="AI429" s="69">
        <f t="shared" si="83"/>
        <v>1</v>
      </c>
      <c r="AL429" s="69">
        <v>0</v>
      </c>
    </row>
    <row r="430" spans="1:38" s="69" customFormat="1" ht="49.5" customHeight="1" x14ac:dyDescent="0.3">
      <c r="A430" s="55" t="s">
        <v>1108</v>
      </c>
      <c r="B430" s="138" t="s">
        <v>1109</v>
      </c>
      <c r="C430" s="54" t="s">
        <v>66</v>
      </c>
      <c r="D430" s="75">
        <v>1</v>
      </c>
      <c r="E430" s="75"/>
      <c r="F430" s="75"/>
      <c r="G430" s="75"/>
      <c r="H430" s="75"/>
      <c r="I430" s="75">
        <v>2500</v>
      </c>
      <c r="J430" s="75">
        <v>2500</v>
      </c>
      <c r="K430" s="91" t="s">
        <v>1110</v>
      </c>
      <c r="L430" s="73"/>
      <c r="M430" s="46">
        <v>0</v>
      </c>
      <c r="N430" s="46">
        <v>0</v>
      </c>
      <c r="O430" s="46">
        <v>0</v>
      </c>
      <c r="P430" s="98"/>
      <c r="Q430" s="23" t="s">
        <v>1390</v>
      </c>
      <c r="R430" s="24" t="s">
        <v>1109</v>
      </c>
      <c r="S430" s="25" t="s">
        <v>66</v>
      </c>
      <c r="T430" s="26">
        <v>1</v>
      </c>
      <c r="U430" s="26">
        <v>1</v>
      </c>
      <c r="V430" s="26">
        <v>2500</v>
      </c>
      <c r="W430" s="26">
        <f t="shared" si="85"/>
        <v>0</v>
      </c>
      <c r="X430" s="26">
        <f t="shared" si="78"/>
        <v>0</v>
      </c>
      <c r="Y430" s="26">
        <f t="shared" si="86"/>
        <v>0</v>
      </c>
      <c r="Z430" s="26">
        <f t="shared" si="87"/>
        <v>0</v>
      </c>
      <c r="AA430" s="33" t="s">
        <v>15</v>
      </c>
      <c r="AB430" s="36" t="s">
        <v>16</v>
      </c>
      <c r="AC430" s="181">
        <f t="shared" si="89"/>
        <v>1</v>
      </c>
      <c r="AD430" s="181">
        <f t="shared" si="88"/>
        <v>2500</v>
      </c>
      <c r="AE430" s="181">
        <v>3</v>
      </c>
      <c r="AF430" s="181">
        <v>3</v>
      </c>
      <c r="AG430" s="101" t="str">
        <f t="shared" si="90"/>
        <v/>
      </c>
      <c r="AH430" s="190">
        <v>0</v>
      </c>
      <c r="AI430" s="69">
        <f t="shared" si="83"/>
        <v>1</v>
      </c>
      <c r="AL430" s="69">
        <v>0</v>
      </c>
    </row>
    <row r="431" spans="1:38" s="69" customFormat="1" ht="49.5" customHeight="1" x14ac:dyDescent="0.3">
      <c r="A431" s="55" t="s">
        <v>1111</v>
      </c>
      <c r="B431" s="138" t="s">
        <v>3122</v>
      </c>
      <c r="C431" s="54" t="s">
        <v>325</v>
      </c>
      <c r="D431" s="75">
        <v>4</v>
      </c>
      <c r="E431" s="75"/>
      <c r="F431" s="75"/>
      <c r="G431" s="75"/>
      <c r="H431" s="75"/>
      <c r="I431" s="75">
        <v>3000</v>
      </c>
      <c r="J431" s="75">
        <v>12000</v>
      </c>
      <c r="K431" s="91" t="s">
        <v>1113</v>
      </c>
      <c r="L431" s="73"/>
      <c r="M431" s="46">
        <v>0</v>
      </c>
      <c r="N431" s="46">
        <v>0</v>
      </c>
      <c r="O431" s="46">
        <v>0</v>
      </c>
      <c r="P431" s="98"/>
      <c r="Q431" s="23" t="s">
        <v>1391</v>
      </c>
      <c r="R431" s="24" t="s">
        <v>1112</v>
      </c>
      <c r="S431" s="25" t="s">
        <v>325</v>
      </c>
      <c r="T431" s="26">
        <v>4</v>
      </c>
      <c r="U431" s="26">
        <v>4</v>
      </c>
      <c r="V431" s="26">
        <v>3000</v>
      </c>
      <c r="W431" s="26">
        <f t="shared" si="85"/>
        <v>0</v>
      </c>
      <c r="X431" s="26">
        <f t="shared" si="78"/>
        <v>0</v>
      </c>
      <c r="Y431" s="26">
        <f t="shared" si="86"/>
        <v>0</v>
      </c>
      <c r="Z431" s="26">
        <f t="shared" si="87"/>
        <v>0</v>
      </c>
      <c r="AA431" s="33" t="s">
        <v>15</v>
      </c>
      <c r="AB431" s="36" t="s">
        <v>16</v>
      </c>
      <c r="AC431" s="181">
        <f t="shared" si="89"/>
        <v>4</v>
      </c>
      <c r="AD431" s="181">
        <f t="shared" si="88"/>
        <v>12000</v>
      </c>
      <c r="AE431" s="181">
        <v>3</v>
      </c>
      <c r="AF431" s="181">
        <v>3</v>
      </c>
      <c r="AG431" s="101" t="str">
        <f t="shared" si="90"/>
        <v/>
      </c>
      <c r="AH431" s="190">
        <v>0</v>
      </c>
      <c r="AI431" s="69">
        <f t="shared" si="83"/>
        <v>4</v>
      </c>
      <c r="AL431" s="69">
        <v>0</v>
      </c>
    </row>
    <row r="432" spans="1:38" s="69" customFormat="1" ht="66" customHeight="1" x14ac:dyDescent="0.3">
      <c r="A432" s="55" t="s">
        <v>1114</v>
      </c>
      <c r="B432" s="138" t="s">
        <v>3123</v>
      </c>
      <c r="C432" s="54" t="s">
        <v>325</v>
      </c>
      <c r="D432" s="75">
        <v>2</v>
      </c>
      <c r="E432" s="75"/>
      <c r="F432" s="75"/>
      <c r="G432" s="75"/>
      <c r="H432" s="75"/>
      <c r="I432" s="75">
        <v>20000</v>
      </c>
      <c r="J432" s="75">
        <v>40000</v>
      </c>
      <c r="K432" s="91" t="s">
        <v>1116</v>
      </c>
      <c r="L432" s="73"/>
      <c r="M432" s="46">
        <v>0</v>
      </c>
      <c r="N432" s="46">
        <v>0</v>
      </c>
      <c r="O432" s="46">
        <v>0</v>
      </c>
      <c r="P432" s="98"/>
      <c r="Q432" s="23" t="s">
        <v>1436</v>
      </c>
      <c r="R432" s="24" t="s">
        <v>1115</v>
      </c>
      <c r="S432" s="25" t="s">
        <v>325</v>
      </c>
      <c r="T432" s="26">
        <v>2</v>
      </c>
      <c r="U432" s="26">
        <v>2</v>
      </c>
      <c r="V432" s="26">
        <v>20000</v>
      </c>
      <c r="W432" s="26">
        <f t="shared" si="85"/>
        <v>0</v>
      </c>
      <c r="X432" s="26">
        <f t="shared" si="78"/>
        <v>0</v>
      </c>
      <c r="Y432" s="26">
        <f t="shared" si="86"/>
        <v>0</v>
      </c>
      <c r="Z432" s="26">
        <f t="shared" si="87"/>
        <v>0</v>
      </c>
      <c r="AA432" s="33" t="s">
        <v>15</v>
      </c>
      <c r="AB432" s="36" t="s">
        <v>16</v>
      </c>
      <c r="AC432" s="181">
        <f t="shared" si="89"/>
        <v>2</v>
      </c>
      <c r="AD432" s="181">
        <f t="shared" si="88"/>
        <v>40000</v>
      </c>
      <c r="AE432" s="181">
        <v>3</v>
      </c>
      <c r="AF432" s="181">
        <v>3</v>
      </c>
      <c r="AG432" s="101" t="str">
        <f t="shared" si="90"/>
        <v/>
      </c>
      <c r="AH432" s="190">
        <v>0</v>
      </c>
      <c r="AI432" s="69">
        <f t="shared" si="83"/>
        <v>2</v>
      </c>
      <c r="AL432" s="69">
        <v>0</v>
      </c>
    </row>
    <row r="433" spans="1:38" s="69" customFormat="1" ht="49.5" customHeight="1" x14ac:dyDescent="0.3">
      <c r="A433" s="55" t="s">
        <v>1117</v>
      </c>
      <c r="B433" s="138" t="s">
        <v>1118</v>
      </c>
      <c r="C433" s="54" t="s">
        <v>66</v>
      </c>
      <c r="D433" s="75">
        <v>1</v>
      </c>
      <c r="E433" s="75"/>
      <c r="F433" s="75"/>
      <c r="G433" s="75"/>
      <c r="H433" s="75"/>
      <c r="I433" s="75">
        <v>15000</v>
      </c>
      <c r="J433" s="75">
        <v>15000</v>
      </c>
      <c r="K433" s="91" t="s">
        <v>1119</v>
      </c>
      <c r="L433" s="73"/>
      <c r="M433" s="46">
        <v>0</v>
      </c>
      <c r="N433" s="46">
        <v>0</v>
      </c>
      <c r="O433" s="46">
        <v>0</v>
      </c>
      <c r="P433" s="98"/>
      <c r="Q433" s="23" t="s">
        <v>1374</v>
      </c>
      <c r="R433" s="24" t="s">
        <v>1118</v>
      </c>
      <c r="S433" s="25" t="s">
        <v>66</v>
      </c>
      <c r="T433" s="26">
        <v>1</v>
      </c>
      <c r="U433" s="26">
        <v>1</v>
      </c>
      <c r="V433" s="26">
        <v>15000</v>
      </c>
      <c r="W433" s="26">
        <f t="shared" si="85"/>
        <v>0</v>
      </c>
      <c r="X433" s="26">
        <f t="shared" si="78"/>
        <v>0</v>
      </c>
      <c r="Y433" s="26">
        <f t="shared" si="86"/>
        <v>0</v>
      </c>
      <c r="Z433" s="26">
        <f t="shared" si="87"/>
        <v>0</v>
      </c>
      <c r="AA433" s="33" t="s">
        <v>15</v>
      </c>
      <c r="AB433" s="36" t="s">
        <v>16</v>
      </c>
      <c r="AC433" s="181">
        <f t="shared" si="89"/>
        <v>1</v>
      </c>
      <c r="AD433" s="181">
        <f t="shared" si="88"/>
        <v>15000</v>
      </c>
      <c r="AE433" s="181">
        <v>3</v>
      </c>
      <c r="AF433" s="181">
        <v>3</v>
      </c>
      <c r="AG433" s="101" t="str">
        <f t="shared" si="90"/>
        <v/>
      </c>
      <c r="AH433" s="190">
        <v>0</v>
      </c>
      <c r="AI433" s="69">
        <f t="shared" si="83"/>
        <v>1</v>
      </c>
      <c r="AL433" s="69">
        <v>0</v>
      </c>
    </row>
    <row r="434" spans="1:38" s="69" customFormat="1" ht="49.5" customHeight="1" x14ac:dyDescent="0.3">
      <c r="A434" s="55" t="s">
        <v>1120</v>
      </c>
      <c r="B434" s="138" t="s">
        <v>1121</v>
      </c>
      <c r="C434" s="54" t="s">
        <v>1122</v>
      </c>
      <c r="D434" s="75">
        <v>3</v>
      </c>
      <c r="E434" s="75"/>
      <c r="F434" s="75"/>
      <c r="G434" s="75"/>
      <c r="H434" s="75"/>
      <c r="I434" s="75">
        <v>1300</v>
      </c>
      <c r="J434" s="75">
        <v>3900</v>
      </c>
      <c r="K434" s="91" t="s">
        <v>1123</v>
      </c>
      <c r="L434" s="73"/>
      <c r="M434" s="46">
        <v>0</v>
      </c>
      <c r="N434" s="46">
        <v>0</v>
      </c>
      <c r="O434" s="46">
        <v>0</v>
      </c>
      <c r="P434" s="98"/>
      <c r="Q434" s="23" t="s">
        <v>1376</v>
      </c>
      <c r="R434" s="24" t="s">
        <v>1121</v>
      </c>
      <c r="S434" s="25" t="s">
        <v>1122</v>
      </c>
      <c r="T434" s="26">
        <v>3</v>
      </c>
      <c r="U434" s="26">
        <v>3</v>
      </c>
      <c r="V434" s="26">
        <v>1300</v>
      </c>
      <c r="W434" s="26">
        <f t="shared" si="85"/>
        <v>0</v>
      </c>
      <c r="X434" s="26">
        <f t="shared" si="78"/>
        <v>0</v>
      </c>
      <c r="Y434" s="26">
        <f t="shared" si="86"/>
        <v>0</v>
      </c>
      <c r="Z434" s="26">
        <f t="shared" si="87"/>
        <v>0</v>
      </c>
      <c r="AA434" s="33" t="s">
        <v>15</v>
      </c>
      <c r="AB434" s="36" t="s">
        <v>16</v>
      </c>
      <c r="AC434" s="181">
        <f t="shared" si="89"/>
        <v>3</v>
      </c>
      <c r="AD434" s="181">
        <f t="shared" si="88"/>
        <v>3900</v>
      </c>
      <c r="AE434" s="181">
        <v>3</v>
      </c>
      <c r="AF434" s="181">
        <v>3</v>
      </c>
      <c r="AG434" s="101" t="str">
        <f t="shared" si="90"/>
        <v/>
      </c>
      <c r="AH434" s="190">
        <v>0</v>
      </c>
      <c r="AI434" s="69">
        <f t="shared" si="83"/>
        <v>3</v>
      </c>
      <c r="AL434" s="69">
        <v>0</v>
      </c>
    </row>
    <row r="435" spans="1:38" s="69" customFormat="1" ht="33" customHeight="1" x14ac:dyDescent="0.3">
      <c r="A435" s="55" t="s">
        <v>1124</v>
      </c>
      <c r="B435" s="138" t="s">
        <v>3124</v>
      </c>
      <c r="C435" s="54" t="s">
        <v>1122</v>
      </c>
      <c r="D435" s="75">
        <v>6</v>
      </c>
      <c r="E435" s="75"/>
      <c r="F435" s="75"/>
      <c r="G435" s="75"/>
      <c r="H435" s="75"/>
      <c r="I435" s="75">
        <v>1000</v>
      </c>
      <c r="J435" s="75">
        <v>6000</v>
      </c>
      <c r="K435" s="91" t="s">
        <v>1126</v>
      </c>
      <c r="L435" s="73"/>
      <c r="M435" s="46">
        <v>0</v>
      </c>
      <c r="N435" s="46">
        <v>0</v>
      </c>
      <c r="O435" s="46">
        <v>0</v>
      </c>
      <c r="P435" s="98"/>
      <c r="Q435" s="23" t="s">
        <v>1378</v>
      </c>
      <c r="R435" s="24" t="s">
        <v>1125</v>
      </c>
      <c r="S435" s="25" t="s">
        <v>1122</v>
      </c>
      <c r="T435" s="26">
        <v>6</v>
      </c>
      <c r="U435" s="26">
        <v>6</v>
      </c>
      <c r="V435" s="26">
        <v>1000</v>
      </c>
      <c r="W435" s="26">
        <f t="shared" si="85"/>
        <v>0</v>
      </c>
      <c r="X435" s="26">
        <f t="shared" si="78"/>
        <v>0</v>
      </c>
      <c r="Y435" s="26">
        <f t="shared" si="86"/>
        <v>0</v>
      </c>
      <c r="Z435" s="26">
        <f t="shared" si="87"/>
        <v>0</v>
      </c>
      <c r="AA435" s="33" t="s">
        <v>15</v>
      </c>
      <c r="AB435" s="36" t="s">
        <v>16</v>
      </c>
      <c r="AC435" s="181">
        <f t="shared" si="89"/>
        <v>6</v>
      </c>
      <c r="AD435" s="181">
        <f t="shared" si="88"/>
        <v>6000</v>
      </c>
      <c r="AE435" s="181">
        <v>3</v>
      </c>
      <c r="AF435" s="181">
        <v>3</v>
      </c>
      <c r="AG435" s="101" t="str">
        <f t="shared" si="90"/>
        <v/>
      </c>
      <c r="AH435" s="190">
        <v>0</v>
      </c>
      <c r="AI435" s="69">
        <f t="shared" si="83"/>
        <v>6</v>
      </c>
      <c r="AL435" s="69">
        <v>0</v>
      </c>
    </row>
    <row r="436" spans="1:38" s="69" customFormat="1" ht="33" customHeight="1" x14ac:dyDescent="0.3">
      <c r="A436" s="55" t="s">
        <v>1127</v>
      </c>
      <c r="B436" s="138" t="s">
        <v>1128</v>
      </c>
      <c r="C436" s="54" t="s">
        <v>325</v>
      </c>
      <c r="D436" s="75">
        <v>2</v>
      </c>
      <c r="E436" s="75"/>
      <c r="F436" s="75"/>
      <c r="G436" s="75"/>
      <c r="H436" s="75"/>
      <c r="I436" s="75">
        <v>9000</v>
      </c>
      <c r="J436" s="75">
        <v>18000</v>
      </c>
      <c r="K436" s="91" t="s">
        <v>1129</v>
      </c>
      <c r="L436" s="73"/>
      <c r="M436" s="46">
        <v>0</v>
      </c>
      <c r="N436" s="46">
        <v>0</v>
      </c>
      <c r="O436" s="46">
        <v>0</v>
      </c>
      <c r="P436" s="98"/>
      <c r="Q436" s="23" t="s">
        <v>1438</v>
      </c>
      <c r="R436" s="24" t="s">
        <v>1128</v>
      </c>
      <c r="S436" s="25" t="s">
        <v>325</v>
      </c>
      <c r="T436" s="26">
        <v>2</v>
      </c>
      <c r="U436" s="26">
        <v>2</v>
      </c>
      <c r="V436" s="26">
        <v>9000</v>
      </c>
      <c r="W436" s="26">
        <f t="shared" si="85"/>
        <v>0</v>
      </c>
      <c r="X436" s="26">
        <f t="shared" si="78"/>
        <v>0</v>
      </c>
      <c r="Y436" s="26">
        <f t="shared" si="86"/>
        <v>0</v>
      </c>
      <c r="Z436" s="26">
        <f t="shared" si="87"/>
        <v>0</v>
      </c>
      <c r="AA436" s="33" t="s">
        <v>15</v>
      </c>
      <c r="AB436" s="36" t="s">
        <v>16</v>
      </c>
      <c r="AC436" s="181">
        <f t="shared" si="89"/>
        <v>2</v>
      </c>
      <c r="AD436" s="181">
        <f t="shared" si="88"/>
        <v>18000</v>
      </c>
      <c r="AE436" s="181">
        <v>3</v>
      </c>
      <c r="AF436" s="181">
        <v>3</v>
      </c>
      <c r="AG436" s="101" t="str">
        <f t="shared" si="90"/>
        <v/>
      </c>
      <c r="AH436" s="190">
        <v>0</v>
      </c>
      <c r="AI436" s="69">
        <f t="shared" si="83"/>
        <v>2</v>
      </c>
      <c r="AL436" s="69">
        <v>0</v>
      </c>
    </row>
    <row r="437" spans="1:38" s="69" customFormat="1" ht="49.5" customHeight="1" x14ac:dyDescent="0.3">
      <c r="A437" s="55" t="s">
        <v>1130</v>
      </c>
      <c r="B437" s="138" t="s">
        <v>3127</v>
      </c>
      <c r="C437" s="54" t="s">
        <v>325</v>
      </c>
      <c r="D437" s="75">
        <v>3</v>
      </c>
      <c r="E437" s="75"/>
      <c r="F437" s="75"/>
      <c r="G437" s="75"/>
      <c r="H437" s="75"/>
      <c r="I437" s="75">
        <v>4200</v>
      </c>
      <c r="J437" s="75">
        <v>12600</v>
      </c>
      <c r="K437" s="91" t="s">
        <v>1132</v>
      </c>
      <c r="L437" s="73"/>
      <c r="M437" s="46">
        <v>0</v>
      </c>
      <c r="N437" s="46">
        <v>0</v>
      </c>
      <c r="O437" s="46">
        <v>0</v>
      </c>
      <c r="P437" s="98"/>
      <c r="Q437" s="23" t="s">
        <v>1439</v>
      </c>
      <c r="R437" s="24" t="s">
        <v>1131</v>
      </c>
      <c r="S437" s="25" t="s">
        <v>325</v>
      </c>
      <c r="T437" s="26">
        <v>3</v>
      </c>
      <c r="U437" s="26">
        <v>3</v>
      </c>
      <c r="V437" s="26">
        <v>4200</v>
      </c>
      <c r="W437" s="26">
        <f t="shared" si="85"/>
        <v>0</v>
      </c>
      <c r="X437" s="26">
        <f t="shared" si="78"/>
        <v>0</v>
      </c>
      <c r="Y437" s="26">
        <f t="shared" si="86"/>
        <v>0</v>
      </c>
      <c r="Z437" s="26">
        <f t="shared" si="87"/>
        <v>0</v>
      </c>
      <c r="AA437" s="33" t="s">
        <v>15</v>
      </c>
      <c r="AB437" s="36" t="s">
        <v>16</v>
      </c>
      <c r="AC437" s="181">
        <f t="shared" si="89"/>
        <v>3</v>
      </c>
      <c r="AD437" s="181">
        <f t="shared" si="88"/>
        <v>12600</v>
      </c>
      <c r="AE437" s="181">
        <v>3</v>
      </c>
      <c r="AF437" s="181">
        <v>3</v>
      </c>
      <c r="AG437" s="101" t="str">
        <f t="shared" si="90"/>
        <v/>
      </c>
      <c r="AH437" s="190">
        <v>0</v>
      </c>
      <c r="AI437" s="69">
        <f t="shared" si="83"/>
        <v>3</v>
      </c>
    </row>
    <row r="438" spans="1:38" s="69" customFormat="1" ht="49.5" customHeight="1" x14ac:dyDescent="0.3">
      <c r="A438" s="55" t="s">
        <v>1133</v>
      </c>
      <c r="B438" s="138" t="s">
        <v>3126</v>
      </c>
      <c r="C438" s="54" t="s">
        <v>66</v>
      </c>
      <c r="D438" s="75">
        <v>4</v>
      </c>
      <c r="E438" s="75"/>
      <c r="F438" s="75"/>
      <c r="G438" s="75"/>
      <c r="H438" s="75"/>
      <c r="I438" s="75">
        <v>1000</v>
      </c>
      <c r="J438" s="75">
        <v>4000</v>
      </c>
      <c r="K438" s="91" t="s">
        <v>1135</v>
      </c>
      <c r="L438" s="73"/>
      <c r="M438" s="46">
        <v>0</v>
      </c>
      <c r="N438" s="46">
        <v>0</v>
      </c>
      <c r="O438" s="46">
        <v>0</v>
      </c>
      <c r="P438" s="98"/>
      <c r="Q438" s="23" t="s">
        <v>1440</v>
      </c>
      <c r="R438" s="24" t="s">
        <v>1134</v>
      </c>
      <c r="S438" s="25" t="s">
        <v>66</v>
      </c>
      <c r="T438" s="26">
        <v>4</v>
      </c>
      <c r="U438" s="26">
        <v>4</v>
      </c>
      <c r="V438" s="26">
        <v>1000</v>
      </c>
      <c r="W438" s="26">
        <f t="shared" si="85"/>
        <v>0</v>
      </c>
      <c r="X438" s="26">
        <f t="shared" si="78"/>
        <v>0</v>
      </c>
      <c r="Y438" s="26">
        <f t="shared" si="86"/>
        <v>0</v>
      </c>
      <c r="Z438" s="26">
        <f t="shared" si="87"/>
        <v>0</v>
      </c>
      <c r="AA438" s="33" t="s">
        <v>15</v>
      </c>
      <c r="AB438" s="36" t="s">
        <v>16</v>
      </c>
      <c r="AC438" s="181">
        <f t="shared" si="89"/>
        <v>4</v>
      </c>
      <c r="AD438" s="181">
        <f t="shared" si="88"/>
        <v>4000</v>
      </c>
      <c r="AE438" s="181">
        <v>3</v>
      </c>
      <c r="AF438" s="181">
        <v>3</v>
      </c>
      <c r="AG438" s="101" t="str">
        <f t="shared" si="90"/>
        <v/>
      </c>
      <c r="AH438" s="190">
        <v>0</v>
      </c>
      <c r="AI438" s="69">
        <f t="shared" si="83"/>
        <v>4</v>
      </c>
    </row>
    <row r="439" spans="1:38" s="69" customFormat="1" ht="49.5" customHeight="1" x14ac:dyDescent="0.3">
      <c r="A439" s="55" t="s">
        <v>1136</v>
      </c>
      <c r="B439" s="138" t="s">
        <v>3125</v>
      </c>
      <c r="C439" s="54" t="s">
        <v>325</v>
      </c>
      <c r="D439" s="75">
        <v>15</v>
      </c>
      <c r="E439" s="75"/>
      <c r="F439" s="75"/>
      <c r="G439" s="75"/>
      <c r="H439" s="75"/>
      <c r="I439" s="75">
        <v>4500</v>
      </c>
      <c r="J439" s="75">
        <v>67500</v>
      </c>
      <c r="K439" s="91" t="s">
        <v>1138</v>
      </c>
      <c r="L439" s="73"/>
      <c r="M439" s="46">
        <v>0</v>
      </c>
      <c r="N439" s="46">
        <v>0</v>
      </c>
      <c r="O439" s="46">
        <v>0</v>
      </c>
      <c r="P439" s="98"/>
      <c r="Q439" s="23" t="s">
        <v>1441</v>
      </c>
      <c r="R439" s="24" t="s">
        <v>1137</v>
      </c>
      <c r="S439" s="25" t="s">
        <v>325</v>
      </c>
      <c r="T439" s="26">
        <v>15</v>
      </c>
      <c r="U439" s="26">
        <v>15</v>
      </c>
      <c r="V439" s="26">
        <v>4500</v>
      </c>
      <c r="W439" s="26">
        <f t="shared" si="85"/>
        <v>0</v>
      </c>
      <c r="X439" s="26">
        <f t="shared" si="78"/>
        <v>0</v>
      </c>
      <c r="Y439" s="26">
        <f t="shared" si="86"/>
        <v>0</v>
      </c>
      <c r="Z439" s="26">
        <f t="shared" si="87"/>
        <v>0</v>
      </c>
      <c r="AA439" s="33" t="s">
        <v>15</v>
      </c>
      <c r="AB439" s="36" t="s">
        <v>16</v>
      </c>
      <c r="AC439" s="181">
        <f t="shared" si="89"/>
        <v>15</v>
      </c>
      <c r="AD439" s="181">
        <f t="shared" si="88"/>
        <v>67500</v>
      </c>
      <c r="AE439" s="181">
        <v>3</v>
      </c>
      <c r="AF439" s="181">
        <v>3</v>
      </c>
      <c r="AG439" s="101" t="str">
        <f t="shared" si="90"/>
        <v/>
      </c>
      <c r="AH439" s="190">
        <v>0</v>
      </c>
      <c r="AI439" s="69">
        <f t="shared" si="83"/>
        <v>15</v>
      </c>
    </row>
    <row r="440" spans="1:38" s="69" customFormat="1" ht="33" customHeight="1" x14ac:dyDescent="0.3">
      <c r="A440" s="55" t="s">
        <v>1139</v>
      </c>
      <c r="B440" s="138" t="s">
        <v>3128</v>
      </c>
      <c r="C440" s="54" t="s">
        <v>325</v>
      </c>
      <c r="D440" s="75">
        <v>2</v>
      </c>
      <c r="E440" s="75"/>
      <c r="F440" s="75"/>
      <c r="G440" s="75"/>
      <c r="H440" s="75"/>
      <c r="I440" s="75">
        <v>636300</v>
      </c>
      <c r="J440" s="75">
        <v>1272600</v>
      </c>
      <c r="K440" s="91" t="s">
        <v>1141</v>
      </c>
      <c r="L440" s="73"/>
      <c r="M440" s="46">
        <v>1</v>
      </c>
      <c r="N440" s="46">
        <v>0</v>
      </c>
      <c r="O440" s="46">
        <v>636300</v>
      </c>
      <c r="P440" s="98"/>
      <c r="Q440" s="23" t="s">
        <v>1442</v>
      </c>
      <c r="R440" s="24" t="s">
        <v>1140</v>
      </c>
      <c r="S440" s="25" t="s">
        <v>325</v>
      </c>
      <c r="T440" s="26">
        <v>2</v>
      </c>
      <c r="U440" s="26">
        <v>2</v>
      </c>
      <c r="V440" s="26">
        <v>636300</v>
      </c>
      <c r="W440" s="26">
        <f t="shared" si="85"/>
        <v>0</v>
      </c>
      <c r="X440" s="26">
        <f t="shared" si="78"/>
        <v>1</v>
      </c>
      <c r="Y440" s="26">
        <f t="shared" si="86"/>
        <v>0</v>
      </c>
      <c r="Z440" s="26">
        <f t="shared" si="87"/>
        <v>636300</v>
      </c>
      <c r="AA440" s="33" t="s">
        <v>15</v>
      </c>
      <c r="AB440" s="36" t="s">
        <v>16</v>
      </c>
      <c r="AC440" s="181">
        <f t="shared" si="89"/>
        <v>2</v>
      </c>
      <c r="AD440" s="181">
        <f t="shared" si="88"/>
        <v>1272600</v>
      </c>
      <c r="AE440" s="181">
        <v>3</v>
      </c>
      <c r="AF440" s="181">
        <v>3</v>
      </c>
      <c r="AG440" s="101" t="str">
        <f t="shared" si="90"/>
        <v/>
      </c>
      <c r="AH440" s="190">
        <v>1</v>
      </c>
      <c r="AI440" s="69">
        <f t="shared" si="83"/>
        <v>2</v>
      </c>
    </row>
    <row r="441" spans="1:38" s="69" customFormat="1" ht="49.5" customHeight="1" x14ac:dyDescent="0.3">
      <c r="A441" s="55" t="s">
        <v>1142</v>
      </c>
      <c r="B441" s="138" t="s">
        <v>3131</v>
      </c>
      <c r="C441" s="54" t="s">
        <v>1144</v>
      </c>
      <c r="D441" s="75">
        <v>4</v>
      </c>
      <c r="E441" s="75"/>
      <c r="F441" s="75"/>
      <c r="G441" s="75"/>
      <c r="H441" s="76"/>
      <c r="I441" s="75">
        <v>2000</v>
      </c>
      <c r="J441" s="75">
        <v>8000</v>
      </c>
      <c r="K441" s="91" t="s">
        <v>1145</v>
      </c>
      <c r="L441" s="73"/>
      <c r="M441" s="46">
        <v>0</v>
      </c>
      <c r="N441" s="46">
        <v>0</v>
      </c>
      <c r="O441" s="46">
        <v>0</v>
      </c>
      <c r="P441" s="98"/>
      <c r="Q441" s="23" t="s">
        <v>1443</v>
      </c>
      <c r="R441" s="24" t="s">
        <v>1143</v>
      </c>
      <c r="S441" s="25" t="s">
        <v>1144</v>
      </c>
      <c r="T441" s="26">
        <v>4</v>
      </c>
      <c r="U441" s="26">
        <v>4</v>
      </c>
      <c r="V441" s="26">
        <v>2000</v>
      </c>
      <c r="W441" s="26">
        <f t="shared" si="85"/>
        <v>0</v>
      </c>
      <c r="X441" s="26">
        <f t="shared" si="78"/>
        <v>0</v>
      </c>
      <c r="Y441" s="26">
        <f t="shared" si="86"/>
        <v>0</v>
      </c>
      <c r="Z441" s="26">
        <f t="shared" si="87"/>
        <v>0</v>
      </c>
      <c r="AA441" s="33" t="s">
        <v>15</v>
      </c>
      <c r="AB441" s="36" t="s">
        <v>16</v>
      </c>
      <c r="AC441" s="181">
        <f t="shared" si="89"/>
        <v>4</v>
      </c>
      <c r="AD441" s="181">
        <f t="shared" si="88"/>
        <v>8000</v>
      </c>
      <c r="AE441" s="181">
        <v>3</v>
      </c>
      <c r="AF441" s="181">
        <v>3</v>
      </c>
      <c r="AG441" s="101" t="str">
        <f t="shared" si="90"/>
        <v/>
      </c>
      <c r="AH441" s="190">
        <v>0</v>
      </c>
      <c r="AI441" s="69">
        <f t="shared" si="83"/>
        <v>4</v>
      </c>
    </row>
    <row r="442" spans="1:38" s="69" customFormat="1" ht="33" x14ac:dyDescent="0.3">
      <c r="A442" s="134">
        <v>3.35</v>
      </c>
      <c r="B442" s="135" t="s">
        <v>1346</v>
      </c>
      <c r="C442" s="204" t="s">
        <v>325</v>
      </c>
      <c r="D442" s="133"/>
      <c r="E442" s="59">
        <v>1</v>
      </c>
      <c r="F442" s="77"/>
      <c r="G442" s="226"/>
      <c r="H442" s="230"/>
      <c r="I442" s="178">
        <v>119161.05</v>
      </c>
      <c r="J442" s="59">
        <v>119161.05</v>
      </c>
      <c r="K442" s="92"/>
      <c r="L442" s="73"/>
      <c r="M442" s="46">
        <v>1</v>
      </c>
      <c r="N442" s="46">
        <v>0</v>
      </c>
      <c r="O442" s="46">
        <v>119161.05</v>
      </c>
      <c r="P442" s="98"/>
      <c r="Q442" s="23" t="s">
        <v>1444</v>
      </c>
      <c r="R442" s="24" t="s">
        <v>1501</v>
      </c>
      <c r="S442" s="25" t="s">
        <v>325</v>
      </c>
      <c r="T442" s="26">
        <v>0</v>
      </c>
      <c r="U442" s="26">
        <v>1</v>
      </c>
      <c r="V442" s="26">
        <v>119161.05</v>
      </c>
      <c r="W442" s="127">
        <f t="shared" si="85"/>
        <v>0</v>
      </c>
      <c r="X442" s="127">
        <f t="shared" si="78"/>
        <v>1</v>
      </c>
      <c r="Y442" s="127">
        <f t="shared" si="86"/>
        <v>0</v>
      </c>
      <c r="Z442" s="127">
        <f t="shared" si="87"/>
        <v>119161.05</v>
      </c>
      <c r="AA442" s="27"/>
      <c r="AB442" s="36" t="s">
        <v>16</v>
      </c>
      <c r="AC442" s="181">
        <f t="shared" si="89"/>
        <v>1</v>
      </c>
      <c r="AD442" s="181">
        <f t="shared" si="88"/>
        <v>119161.05</v>
      </c>
      <c r="AE442" s="181">
        <v>3</v>
      </c>
      <c r="AF442" s="181">
        <v>3</v>
      </c>
      <c r="AG442" s="101" t="str">
        <f t="shared" si="90"/>
        <v/>
      </c>
      <c r="AH442" s="190">
        <v>1</v>
      </c>
      <c r="AI442" s="69">
        <f t="shared" si="83"/>
        <v>1</v>
      </c>
    </row>
    <row r="443" spans="1:38" ht="39" x14ac:dyDescent="0.3">
      <c r="A443" s="134" t="s">
        <v>1347</v>
      </c>
      <c r="B443" s="135" t="s">
        <v>1348</v>
      </c>
      <c r="C443" s="204" t="s">
        <v>325</v>
      </c>
      <c r="D443" s="133"/>
      <c r="E443" s="78"/>
      <c r="F443" s="62">
        <v>1</v>
      </c>
      <c r="G443" s="163"/>
      <c r="H443" s="62"/>
      <c r="I443" s="167">
        <v>74988.5</v>
      </c>
      <c r="J443" s="62">
        <v>74988.5</v>
      </c>
      <c r="K443" s="93"/>
      <c r="M443" s="46">
        <v>1</v>
      </c>
      <c r="N443" s="46">
        <v>0</v>
      </c>
      <c r="O443" s="46">
        <v>74988.5</v>
      </c>
      <c r="P443" s="98"/>
      <c r="Q443" s="23" t="s">
        <v>1408</v>
      </c>
      <c r="R443" s="24" t="s">
        <v>1348</v>
      </c>
      <c r="S443" s="25" t="s">
        <v>325</v>
      </c>
      <c r="T443" s="26">
        <v>0</v>
      </c>
      <c r="U443" s="26">
        <v>1</v>
      </c>
      <c r="V443" s="26">
        <v>74988.5</v>
      </c>
      <c r="W443" s="127">
        <f t="shared" si="85"/>
        <v>0</v>
      </c>
      <c r="X443" s="127">
        <f t="shared" si="78"/>
        <v>1</v>
      </c>
      <c r="Y443" s="127">
        <f t="shared" si="86"/>
        <v>0</v>
      </c>
      <c r="Z443" s="127">
        <f t="shared" si="87"/>
        <v>74988.5</v>
      </c>
      <c r="AA443" s="27"/>
      <c r="AB443" s="36" t="s">
        <v>16</v>
      </c>
      <c r="AC443" s="181">
        <f t="shared" si="89"/>
        <v>1</v>
      </c>
      <c r="AD443" s="181">
        <f t="shared" si="88"/>
        <v>74988.5</v>
      </c>
      <c r="AE443" s="181">
        <v>3</v>
      </c>
      <c r="AF443" s="181">
        <v>3</v>
      </c>
      <c r="AG443" s="101" t="str">
        <f t="shared" si="90"/>
        <v/>
      </c>
      <c r="AH443" s="190">
        <v>1</v>
      </c>
      <c r="AI443" s="69">
        <f t="shared" si="83"/>
        <v>1</v>
      </c>
    </row>
    <row r="444" spans="1:38" ht="66" x14ac:dyDescent="0.3">
      <c r="A444" s="134" t="s">
        <v>1349</v>
      </c>
      <c r="B444" s="139" t="s">
        <v>3132</v>
      </c>
      <c r="C444" s="204" t="s">
        <v>325</v>
      </c>
      <c r="D444" s="133"/>
      <c r="E444" s="78"/>
      <c r="F444" s="62">
        <v>2</v>
      </c>
      <c r="G444" s="163"/>
      <c r="H444" s="62"/>
      <c r="I444" s="167">
        <v>83493.929999999993</v>
      </c>
      <c r="J444" s="62">
        <v>166987.85999999999</v>
      </c>
      <c r="K444" s="93"/>
      <c r="M444" s="46">
        <v>2</v>
      </c>
      <c r="N444" s="46">
        <v>0</v>
      </c>
      <c r="O444" s="46">
        <v>166987.85999999999</v>
      </c>
      <c r="P444" s="98"/>
      <c r="Q444" s="23" t="s">
        <v>1409</v>
      </c>
      <c r="R444" s="24" t="s">
        <v>1350</v>
      </c>
      <c r="S444" s="25" t="s">
        <v>325</v>
      </c>
      <c r="T444" s="26">
        <v>0</v>
      </c>
      <c r="U444" s="26">
        <v>2</v>
      </c>
      <c r="V444" s="26">
        <v>83493.929999999993</v>
      </c>
      <c r="W444" s="127">
        <f t="shared" si="85"/>
        <v>0</v>
      </c>
      <c r="X444" s="127">
        <f t="shared" si="78"/>
        <v>2</v>
      </c>
      <c r="Y444" s="127">
        <f t="shared" si="86"/>
        <v>0</v>
      </c>
      <c r="Z444" s="127">
        <f t="shared" si="87"/>
        <v>166987.85999999999</v>
      </c>
      <c r="AA444" s="27"/>
      <c r="AB444" s="36" t="s">
        <v>16</v>
      </c>
      <c r="AC444" s="181">
        <f t="shared" si="89"/>
        <v>2</v>
      </c>
      <c r="AD444" s="181">
        <f t="shared" si="88"/>
        <v>166987.85999999999</v>
      </c>
      <c r="AE444" s="181">
        <v>3</v>
      </c>
      <c r="AF444" s="181">
        <v>3</v>
      </c>
      <c r="AG444" s="101" t="str">
        <f t="shared" si="90"/>
        <v/>
      </c>
      <c r="AH444" s="190">
        <v>2</v>
      </c>
      <c r="AI444" s="69">
        <f t="shared" si="83"/>
        <v>2</v>
      </c>
    </row>
    <row r="445" spans="1:38" ht="49.5" x14ac:dyDescent="0.3">
      <c r="A445" s="134" t="s">
        <v>1351</v>
      </c>
      <c r="B445" s="139" t="s">
        <v>3133</v>
      </c>
      <c r="C445" s="204" t="s">
        <v>325</v>
      </c>
      <c r="D445" s="133"/>
      <c r="E445" s="78"/>
      <c r="F445" s="62">
        <v>2</v>
      </c>
      <c r="G445" s="163"/>
      <c r="H445" s="62"/>
      <c r="I445" s="167">
        <v>76194.460000000006</v>
      </c>
      <c r="J445" s="62">
        <v>152388.92000000001</v>
      </c>
      <c r="K445" s="93"/>
      <c r="M445" s="46">
        <v>2</v>
      </c>
      <c r="N445" s="46">
        <v>0</v>
      </c>
      <c r="O445" s="46">
        <v>152388.92000000001</v>
      </c>
      <c r="P445" s="98"/>
      <c r="Q445" s="23" t="s">
        <v>1410</v>
      </c>
      <c r="R445" s="24" t="s">
        <v>1352</v>
      </c>
      <c r="S445" s="25" t="s">
        <v>325</v>
      </c>
      <c r="T445" s="26">
        <v>0</v>
      </c>
      <c r="U445" s="26">
        <v>2</v>
      </c>
      <c r="V445" s="26">
        <v>76194.460000000006</v>
      </c>
      <c r="W445" s="127">
        <f t="shared" si="85"/>
        <v>0</v>
      </c>
      <c r="X445" s="127">
        <f t="shared" si="78"/>
        <v>2</v>
      </c>
      <c r="Y445" s="127">
        <f t="shared" si="86"/>
        <v>0</v>
      </c>
      <c r="Z445" s="127">
        <f t="shared" si="87"/>
        <v>152388.92000000001</v>
      </c>
      <c r="AA445" s="27"/>
      <c r="AB445" s="36" t="s">
        <v>16</v>
      </c>
      <c r="AC445" s="181">
        <f t="shared" si="89"/>
        <v>2</v>
      </c>
      <c r="AD445" s="181">
        <f t="shared" si="88"/>
        <v>152388.92000000001</v>
      </c>
      <c r="AE445" s="181">
        <v>3</v>
      </c>
      <c r="AF445" s="181">
        <v>3</v>
      </c>
      <c r="AG445" s="101" t="str">
        <f t="shared" si="90"/>
        <v/>
      </c>
      <c r="AH445" s="190">
        <v>2</v>
      </c>
      <c r="AI445" s="69">
        <f t="shared" si="83"/>
        <v>2</v>
      </c>
    </row>
    <row r="446" spans="1:38" ht="49.5" x14ac:dyDescent="0.3">
      <c r="A446" s="134" t="s">
        <v>1353</v>
      </c>
      <c r="B446" s="139" t="s">
        <v>3134</v>
      </c>
      <c r="C446" s="204" t="s">
        <v>325</v>
      </c>
      <c r="D446" s="133"/>
      <c r="E446" s="78"/>
      <c r="F446" s="62">
        <v>2</v>
      </c>
      <c r="G446" s="163"/>
      <c r="H446" s="62"/>
      <c r="I446" s="167">
        <v>17998.689999999999</v>
      </c>
      <c r="J446" s="62">
        <v>35997.379999999997</v>
      </c>
      <c r="K446" s="93"/>
      <c r="M446" s="46">
        <v>2</v>
      </c>
      <c r="N446" s="46">
        <v>0</v>
      </c>
      <c r="O446" s="46">
        <v>35997.379999999997</v>
      </c>
      <c r="P446" s="98"/>
      <c r="Q446" s="23" t="s">
        <v>1411</v>
      </c>
      <c r="R446" s="24" t="s">
        <v>1354</v>
      </c>
      <c r="S446" s="25" t="s">
        <v>325</v>
      </c>
      <c r="T446" s="26">
        <v>0</v>
      </c>
      <c r="U446" s="26">
        <v>2</v>
      </c>
      <c r="V446" s="26">
        <v>17998.689999999999</v>
      </c>
      <c r="W446" s="127">
        <f t="shared" si="85"/>
        <v>0</v>
      </c>
      <c r="X446" s="127">
        <f t="shared" si="78"/>
        <v>2</v>
      </c>
      <c r="Y446" s="127">
        <f t="shared" si="86"/>
        <v>0</v>
      </c>
      <c r="Z446" s="127">
        <f t="shared" si="87"/>
        <v>35997.379999999997</v>
      </c>
      <c r="AA446" s="27"/>
      <c r="AB446" s="36" t="s">
        <v>16</v>
      </c>
      <c r="AC446" s="181">
        <f t="shared" si="89"/>
        <v>2</v>
      </c>
      <c r="AD446" s="181">
        <f t="shared" si="88"/>
        <v>35997.379999999997</v>
      </c>
      <c r="AE446" s="181">
        <v>3</v>
      </c>
      <c r="AF446" s="181">
        <v>3</v>
      </c>
      <c r="AG446" s="101" t="str">
        <f t="shared" si="90"/>
        <v/>
      </c>
      <c r="AH446" s="190">
        <v>2</v>
      </c>
      <c r="AI446" s="69">
        <f t="shared" si="83"/>
        <v>2</v>
      </c>
    </row>
    <row r="447" spans="1:38" s="69" customFormat="1" ht="33" customHeight="1" x14ac:dyDescent="0.3">
      <c r="A447" s="85" t="s">
        <v>1146</v>
      </c>
      <c r="B447" s="86" t="s">
        <v>1147</v>
      </c>
      <c r="C447" s="87" t="s">
        <v>14</v>
      </c>
      <c r="D447" s="88">
        <v>1</v>
      </c>
      <c r="E447" s="88"/>
      <c r="F447" s="88"/>
      <c r="G447" s="236"/>
      <c r="H447" s="238"/>
      <c r="I447" s="237"/>
      <c r="J447" s="88">
        <v>2798664.24</v>
      </c>
      <c r="K447" s="95" t="s">
        <v>15</v>
      </c>
      <c r="L447" s="73"/>
      <c r="M447" s="42">
        <v>1</v>
      </c>
      <c r="N447" s="42">
        <v>26136.260000000009</v>
      </c>
      <c r="O447" s="42">
        <v>1252444.3</v>
      </c>
      <c r="P447" s="98"/>
      <c r="Q447" s="13" t="s">
        <v>1412</v>
      </c>
      <c r="R447" s="14" t="s">
        <v>1147</v>
      </c>
      <c r="S447" s="15" t="s">
        <v>14</v>
      </c>
      <c r="T447" s="16">
        <v>1</v>
      </c>
      <c r="U447" s="16"/>
      <c r="V447" s="16">
        <f>SUMIFS(AD:AD,AE:AE,AE447)</f>
        <v>2798664.24</v>
      </c>
      <c r="W447" s="16">
        <f t="shared" ref="W447:X447" si="91">IF(Y447=0,0,1)</f>
        <v>1</v>
      </c>
      <c r="X447" s="16">
        <f t="shared" si="91"/>
        <v>1</v>
      </c>
      <c r="Y447" s="16">
        <f>SUMIFS(Y:Y,AF:AF,AE447)</f>
        <v>146168.54000000004</v>
      </c>
      <c r="Z447" s="16">
        <f>SUMIFS(Z:Z,AF:AF,AE447)</f>
        <v>1398612.84</v>
      </c>
      <c r="AA447" s="17" t="s">
        <v>15</v>
      </c>
      <c r="AB447" s="40" t="s">
        <v>16</v>
      </c>
      <c r="AC447" s="181">
        <f t="shared" si="89"/>
        <v>1</v>
      </c>
      <c r="AD447" s="183"/>
      <c r="AE447" s="183">
        <v>4</v>
      </c>
      <c r="AF447" s="183"/>
      <c r="AG447" s="101" t="str">
        <f t="shared" si="90"/>
        <v/>
      </c>
      <c r="AH447" s="190">
        <v>1</v>
      </c>
      <c r="AI447" s="69">
        <f t="shared" si="83"/>
        <v>1</v>
      </c>
    </row>
    <row r="448" spans="1:38" s="69" customFormat="1" ht="49.5" customHeight="1" x14ac:dyDescent="0.3">
      <c r="A448" s="55" t="s">
        <v>1148</v>
      </c>
      <c r="B448" s="53" t="s">
        <v>1149</v>
      </c>
      <c r="C448" s="54" t="s">
        <v>1150</v>
      </c>
      <c r="D448" s="75">
        <v>48</v>
      </c>
      <c r="E448" s="75"/>
      <c r="F448" s="75"/>
      <c r="G448" s="75"/>
      <c r="H448" s="229"/>
      <c r="I448" s="75">
        <v>13068.13</v>
      </c>
      <c r="J448" s="75">
        <v>627270.24</v>
      </c>
      <c r="K448" s="91" t="s">
        <v>1151</v>
      </c>
      <c r="L448" s="73"/>
      <c r="M448" s="46">
        <v>34</v>
      </c>
      <c r="N448" s="46">
        <v>26136.260000000009</v>
      </c>
      <c r="O448" s="46">
        <v>444316.42</v>
      </c>
      <c r="P448" s="98"/>
      <c r="Q448" s="23" t="s">
        <v>1421</v>
      </c>
      <c r="R448" s="24" t="s">
        <v>1149</v>
      </c>
      <c r="S448" s="25" t="s">
        <v>1150</v>
      </c>
      <c r="T448" s="26">
        <v>48</v>
      </c>
      <c r="U448" s="26">
        <v>48</v>
      </c>
      <c r="V448" s="26">
        <v>13068.13</v>
      </c>
      <c r="W448" s="250">
        <f t="shared" ref="W448:W450" si="92">AH448-M448</f>
        <v>2</v>
      </c>
      <c r="X448" s="26">
        <f t="shared" si="78"/>
        <v>36</v>
      </c>
      <c r="Y448" s="26">
        <f>Z448-O448</f>
        <v>26136.260000000009</v>
      </c>
      <c r="Z448" s="26">
        <f t="shared" ref="Z448:Z450" si="93">ROUND(V448*X448,2)</f>
        <v>470452.68</v>
      </c>
      <c r="AA448" s="33" t="s">
        <v>15</v>
      </c>
      <c r="AB448" s="36" t="s">
        <v>16</v>
      </c>
      <c r="AC448" s="181">
        <f t="shared" si="89"/>
        <v>48</v>
      </c>
      <c r="AD448" s="181">
        <f t="shared" ref="AD448:AD450" si="94">ROUND(V448*AC448,2)</f>
        <v>627270.24</v>
      </c>
      <c r="AE448" s="181">
        <v>4</v>
      </c>
      <c r="AF448" s="181">
        <v>4</v>
      </c>
      <c r="AG448" s="101" t="str">
        <f t="shared" si="90"/>
        <v/>
      </c>
      <c r="AH448" s="191">
        <f>32+2+2</f>
        <v>36</v>
      </c>
      <c r="AI448" s="69">
        <f t="shared" si="83"/>
        <v>48</v>
      </c>
    </row>
    <row r="449" spans="1:35" s="69" customFormat="1" ht="66" customHeight="1" x14ac:dyDescent="0.3">
      <c r="A449" s="55" t="s">
        <v>1152</v>
      </c>
      <c r="B449" s="53" t="s">
        <v>1153</v>
      </c>
      <c r="C449" s="54" t="s">
        <v>998</v>
      </c>
      <c r="D449" s="75">
        <v>6720</v>
      </c>
      <c r="E449" s="75"/>
      <c r="F449" s="75"/>
      <c r="G449" s="75"/>
      <c r="H449" s="75"/>
      <c r="I449" s="75">
        <v>54.57</v>
      </c>
      <c r="J449" s="75">
        <v>366710.4</v>
      </c>
      <c r="K449" s="91" t="s">
        <v>1154</v>
      </c>
      <c r="L449" s="73"/>
      <c r="M449" s="46">
        <v>2360</v>
      </c>
      <c r="N449" s="46">
        <v>0</v>
      </c>
      <c r="O449" s="46">
        <v>128785.2</v>
      </c>
      <c r="P449" s="98"/>
      <c r="Q449" s="23" t="s">
        <v>1426</v>
      </c>
      <c r="R449" s="24" t="s">
        <v>1153</v>
      </c>
      <c r="S449" s="25" t="s">
        <v>998</v>
      </c>
      <c r="T449" s="26">
        <v>6720</v>
      </c>
      <c r="U449" s="26">
        <v>6720</v>
      </c>
      <c r="V449" s="26">
        <v>54.57</v>
      </c>
      <c r="W449" s="250">
        <f t="shared" si="92"/>
        <v>1020</v>
      </c>
      <c r="X449" s="26">
        <f t="shared" si="78"/>
        <v>3380</v>
      </c>
      <c r="Y449" s="26">
        <f>Z449-O449</f>
        <v>55661.400000000009</v>
      </c>
      <c r="Z449" s="26">
        <f t="shared" si="93"/>
        <v>184446.6</v>
      </c>
      <c r="AA449" s="33" t="s">
        <v>15</v>
      </c>
      <c r="AB449" s="36" t="s">
        <v>16</v>
      </c>
      <c r="AC449" s="181">
        <f t="shared" si="89"/>
        <v>6720</v>
      </c>
      <c r="AD449" s="181">
        <f t="shared" si="94"/>
        <v>366710.4</v>
      </c>
      <c r="AE449" s="181">
        <v>4</v>
      </c>
      <c r="AF449" s="181">
        <v>4</v>
      </c>
      <c r="AG449" s="101" t="str">
        <f t="shared" si="90"/>
        <v/>
      </c>
      <c r="AH449" s="191">
        <f>2360+1020</f>
        <v>3380</v>
      </c>
      <c r="AI449" s="69">
        <f t="shared" si="83"/>
        <v>6720</v>
      </c>
    </row>
    <row r="450" spans="1:35" s="69" customFormat="1" ht="33" x14ac:dyDescent="0.3">
      <c r="A450" s="66">
        <v>4.3</v>
      </c>
      <c r="B450" s="57" t="s">
        <v>1355</v>
      </c>
      <c r="C450" s="58" t="s">
        <v>1360</v>
      </c>
      <c r="D450" s="77"/>
      <c r="E450" s="117">
        <v>1570</v>
      </c>
      <c r="F450" s="59"/>
      <c r="G450" s="142"/>
      <c r="H450" s="142"/>
      <c r="I450" s="77">
        <v>1149.48</v>
      </c>
      <c r="J450" s="59">
        <v>1804683.6</v>
      </c>
      <c r="K450" s="92"/>
      <c r="L450" s="73"/>
      <c r="M450" s="46">
        <v>591</v>
      </c>
      <c r="N450" s="46">
        <v>0</v>
      </c>
      <c r="O450" s="46">
        <v>679342.68</v>
      </c>
      <c r="P450" s="98"/>
      <c r="Q450" s="23" t="s">
        <v>1402</v>
      </c>
      <c r="R450" s="24" t="s">
        <v>1502</v>
      </c>
      <c r="S450" s="25" t="s">
        <v>1360</v>
      </c>
      <c r="T450" s="26">
        <v>0</v>
      </c>
      <c r="U450" s="26">
        <v>1570</v>
      </c>
      <c r="V450" s="26">
        <v>1149.48</v>
      </c>
      <c r="W450" s="250">
        <f t="shared" si="92"/>
        <v>56</v>
      </c>
      <c r="X450" s="26">
        <f t="shared" si="78"/>
        <v>647</v>
      </c>
      <c r="Y450" s="26">
        <f>Z450-O450</f>
        <v>64370.880000000005</v>
      </c>
      <c r="Z450" s="26">
        <f t="shared" si="93"/>
        <v>743713.56</v>
      </c>
      <c r="AA450" s="27"/>
      <c r="AB450" s="36" t="s">
        <v>16</v>
      </c>
      <c r="AC450" s="181">
        <f t="shared" si="89"/>
        <v>1570</v>
      </c>
      <c r="AD450" s="181">
        <f t="shared" si="94"/>
        <v>1804683.6</v>
      </c>
      <c r="AE450" s="181">
        <v>4</v>
      </c>
      <c r="AF450" s="181">
        <v>4</v>
      </c>
      <c r="AG450" s="101" t="str">
        <f t="shared" si="90"/>
        <v/>
      </c>
      <c r="AH450" s="191">
        <f>591+56</f>
        <v>647</v>
      </c>
      <c r="AI450" s="69">
        <f t="shared" si="83"/>
        <v>1570</v>
      </c>
    </row>
    <row r="451" spans="1:35" s="69" customFormat="1" ht="33" customHeight="1" x14ac:dyDescent="0.3">
      <c r="A451" s="85" t="s">
        <v>1155</v>
      </c>
      <c r="B451" s="86" t="s">
        <v>1156</v>
      </c>
      <c r="C451" s="87" t="s">
        <v>14</v>
      </c>
      <c r="D451" s="88">
        <v>1</v>
      </c>
      <c r="E451" s="88"/>
      <c r="F451" s="88"/>
      <c r="G451" s="88"/>
      <c r="H451" s="88"/>
      <c r="I451" s="88"/>
      <c r="J451" s="88">
        <v>10715306.710000001</v>
      </c>
      <c r="K451" s="95" t="s">
        <v>15</v>
      </c>
      <c r="L451" s="73"/>
      <c r="M451" s="42">
        <v>1</v>
      </c>
      <c r="N451" s="42">
        <v>188937.71999999997</v>
      </c>
      <c r="O451" s="42">
        <v>9772551.0600000005</v>
      </c>
      <c r="P451" s="98"/>
      <c r="Q451" s="13" t="s">
        <v>1413</v>
      </c>
      <c r="R451" s="14" t="s">
        <v>1156</v>
      </c>
      <c r="S451" s="15" t="s">
        <v>14</v>
      </c>
      <c r="T451" s="16">
        <v>1</v>
      </c>
      <c r="U451" s="16"/>
      <c r="V451" s="16">
        <f>SUMIFS(AD:AD,AE:AE,AE451)</f>
        <v>10715306.709999999</v>
      </c>
      <c r="W451" s="16">
        <f t="shared" ref="W451:X451" si="95">IF(Y451=0,0,1)</f>
        <v>1</v>
      </c>
      <c r="X451" s="16">
        <f t="shared" si="95"/>
        <v>1</v>
      </c>
      <c r="Y451" s="16">
        <f>SUMIFS(Y:Y,AF:AF,AE451)</f>
        <v>110758.85999999999</v>
      </c>
      <c r="Z451" s="16">
        <f>SUMIFS(Z:Z,AF:AF,AE451)</f>
        <v>9883309.9199999999</v>
      </c>
      <c r="AA451" s="17" t="s">
        <v>15</v>
      </c>
      <c r="AB451" s="40" t="s">
        <v>16</v>
      </c>
      <c r="AC451" s="181">
        <f t="shared" si="89"/>
        <v>1</v>
      </c>
      <c r="AD451" s="183"/>
      <c r="AE451" s="183">
        <v>5</v>
      </c>
      <c r="AF451" s="183"/>
      <c r="AG451" s="101" t="str">
        <f t="shared" si="90"/>
        <v/>
      </c>
      <c r="AH451" s="190">
        <v>1</v>
      </c>
      <c r="AI451" s="69">
        <f t="shared" si="83"/>
        <v>1</v>
      </c>
    </row>
    <row r="452" spans="1:35" s="69" customFormat="1" ht="49.5" customHeight="1" x14ac:dyDescent="0.3">
      <c r="A452" s="130" t="s">
        <v>1157</v>
      </c>
      <c r="B452" s="240" t="s">
        <v>1158</v>
      </c>
      <c r="C452" s="132" t="s">
        <v>30</v>
      </c>
      <c r="D452" s="133">
        <v>1698.29</v>
      </c>
      <c r="E452" s="75"/>
      <c r="F452" s="75"/>
      <c r="G452" s="75"/>
      <c r="H452" s="75"/>
      <c r="I452" s="75">
        <v>3662.23</v>
      </c>
      <c r="J452" s="75">
        <v>6219528.5899999999</v>
      </c>
      <c r="K452" s="91" t="s">
        <v>1159</v>
      </c>
      <c r="L452" s="73"/>
      <c r="M452" s="46">
        <v>1698.29</v>
      </c>
      <c r="N452" s="46">
        <v>0</v>
      </c>
      <c r="O452" s="46">
        <v>6219528.5899999999</v>
      </c>
      <c r="P452" s="98"/>
      <c r="Q452" s="23" t="s">
        <v>1421</v>
      </c>
      <c r="R452" s="24" t="s">
        <v>1158</v>
      </c>
      <c r="S452" s="25" t="s">
        <v>30</v>
      </c>
      <c r="T452" s="26">
        <v>1698.29</v>
      </c>
      <c r="U452" s="26">
        <v>1698.29</v>
      </c>
      <c r="V452" s="26">
        <v>3662.23</v>
      </c>
      <c r="W452" s="127">
        <f t="shared" ref="W452:W471" si="96">AH452-M452</f>
        <v>0</v>
      </c>
      <c r="X452" s="127">
        <f t="shared" si="78"/>
        <v>1698.29</v>
      </c>
      <c r="Y452" s="127">
        <f t="shared" ref="Y452:Y471" si="97">Z452-O452</f>
        <v>0</v>
      </c>
      <c r="Z452" s="127">
        <f t="shared" ref="Z452:Z471" si="98">ROUND(V452*X452,2)</f>
        <v>6219528.5899999999</v>
      </c>
      <c r="AA452" s="33" t="s">
        <v>15</v>
      </c>
      <c r="AB452" s="36" t="s">
        <v>16</v>
      </c>
      <c r="AC452" s="181">
        <f t="shared" si="89"/>
        <v>1698.29</v>
      </c>
      <c r="AD452" s="181">
        <f t="shared" ref="AD452:AD471" si="99">ROUND(V452*AC452,2)</f>
        <v>6219528.5899999999</v>
      </c>
      <c r="AE452" s="181">
        <v>5</v>
      </c>
      <c r="AF452" s="181">
        <v>5</v>
      </c>
      <c r="AG452" s="101" t="str">
        <f t="shared" si="90"/>
        <v/>
      </c>
      <c r="AH452" s="190">
        <v>1698.29</v>
      </c>
      <c r="AI452" s="69">
        <f t="shared" si="83"/>
        <v>1698.29</v>
      </c>
    </row>
    <row r="453" spans="1:35" s="69" customFormat="1" ht="49.5" x14ac:dyDescent="0.3">
      <c r="A453" s="130" t="s">
        <v>1160</v>
      </c>
      <c r="B453" s="240" t="s">
        <v>1161</v>
      </c>
      <c r="C453" s="132" t="s">
        <v>50</v>
      </c>
      <c r="D453" s="133">
        <v>2123.4</v>
      </c>
      <c r="E453" s="75"/>
      <c r="F453" s="75"/>
      <c r="G453" s="75"/>
      <c r="H453" s="75"/>
      <c r="I453" s="75">
        <v>353</v>
      </c>
      <c r="J453" s="75">
        <v>749560.2</v>
      </c>
      <c r="K453" s="91" t="s">
        <v>1162</v>
      </c>
      <c r="L453" s="73"/>
      <c r="M453" s="46">
        <v>2123.4</v>
      </c>
      <c r="N453" s="46">
        <v>0</v>
      </c>
      <c r="O453" s="46">
        <v>749560.2</v>
      </c>
      <c r="P453" s="98"/>
      <c r="Q453" s="23" t="s">
        <v>1426</v>
      </c>
      <c r="R453" s="24" t="s">
        <v>1161</v>
      </c>
      <c r="S453" s="25" t="s">
        <v>50</v>
      </c>
      <c r="T453" s="26">
        <v>2123.4</v>
      </c>
      <c r="U453" s="26">
        <v>2123.4</v>
      </c>
      <c r="V453" s="26">
        <v>353</v>
      </c>
      <c r="W453" s="127">
        <f t="shared" si="96"/>
        <v>0</v>
      </c>
      <c r="X453" s="127">
        <v>2123.4</v>
      </c>
      <c r="Y453" s="127">
        <f t="shared" si="97"/>
        <v>0</v>
      </c>
      <c r="Z453" s="127">
        <f t="shared" si="98"/>
        <v>749560.2</v>
      </c>
      <c r="AA453" s="33" t="s">
        <v>15</v>
      </c>
      <c r="AB453" s="36" t="s">
        <v>16</v>
      </c>
      <c r="AC453" s="181">
        <f t="shared" si="89"/>
        <v>2123.4</v>
      </c>
      <c r="AD453" s="181">
        <f t="shared" si="99"/>
        <v>749560.2</v>
      </c>
      <c r="AE453" s="181">
        <v>5</v>
      </c>
      <c r="AF453" s="181">
        <v>5</v>
      </c>
      <c r="AG453" s="101" t="str">
        <f t="shared" si="90"/>
        <v/>
      </c>
      <c r="AH453" s="190">
        <v>2123.4</v>
      </c>
      <c r="AI453" s="69">
        <f t="shared" si="83"/>
        <v>2123.4</v>
      </c>
    </row>
    <row r="454" spans="1:35" s="69" customFormat="1" ht="42" customHeight="1" x14ac:dyDescent="0.3">
      <c r="A454" s="130" t="s">
        <v>1163</v>
      </c>
      <c r="B454" s="240" t="s">
        <v>1164</v>
      </c>
      <c r="C454" s="132" t="s">
        <v>162</v>
      </c>
      <c r="D454" s="133">
        <v>59</v>
      </c>
      <c r="E454" s="75"/>
      <c r="F454" s="75"/>
      <c r="G454" s="75"/>
      <c r="H454" s="75"/>
      <c r="I454" s="75">
        <v>217.02</v>
      </c>
      <c r="J454" s="75">
        <v>12804.18</v>
      </c>
      <c r="K454" s="91" t="s">
        <v>1165</v>
      </c>
      <c r="L454" s="73"/>
      <c r="M454" s="46">
        <v>59</v>
      </c>
      <c r="N454" s="46">
        <v>0</v>
      </c>
      <c r="O454" s="46">
        <v>12804.18</v>
      </c>
      <c r="P454" s="98"/>
      <c r="Q454" s="23" t="s">
        <v>1402</v>
      </c>
      <c r="R454" s="24" t="s">
        <v>1164</v>
      </c>
      <c r="S454" s="25" t="s">
        <v>162</v>
      </c>
      <c r="T454" s="26">
        <v>59</v>
      </c>
      <c r="U454" s="26">
        <v>59</v>
      </c>
      <c r="V454" s="26">
        <v>217.02</v>
      </c>
      <c r="W454" s="127">
        <f t="shared" si="96"/>
        <v>0</v>
      </c>
      <c r="X454" s="127">
        <f t="shared" si="78"/>
        <v>59</v>
      </c>
      <c r="Y454" s="127">
        <f t="shared" si="97"/>
        <v>0</v>
      </c>
      <c r="Z454" s="127">
        <f t="shared" si="98"/>
        <v>12804.18</v>
      </c>
      <c r="AA454" s="33" t="s">
        <v>15</v>
      </c>
      <c r="AB454" s="36" t="s">
        <v>16</v>
      </c>
      <c r="AC454" s="181">
        <f t="shared" si="89"/>
        <v>59</v>
      </c>
      <c r="AD454" s="181">
        <f t="shared" si="99"/>
        <v>12804.18</v>
      </c>
      <c r="AE454" s="181">
        <v>5</v>
      </c>
      <c r="AF454" s="181">
        <v>5</v>
      </c>
      <c r="AG454" s="101" t="str">
        <f t="shared" si="90"/>
        <v/>
      </c>
      <c r="AH454" s="194">
        <v>59</v>
      </c>
      <c r="AI454" s="69">
        <f t="shared" si="83"/>
        <v>59</v>
      </c>
    </row>
    <row r="455" spans="1:35" s="69" customFormat="1" ht="26.1" customHeight="1" x14ac:dyDescent="0.3">
      <c r="A455" s="130" t="s">
        <v>1166</v>
      </c>
      <c r="B455" s="131" t="s">
        <v>1167</v>
      </c>
      <c r="C455" s="132" t="s">
        <v>559</v>
      </c>
      <c r="D455" s="133">
        <v>30</v>
      </c>
      <c r="E455" s="75"/>
      <c r="F455" s="75"/>
      <c r="G455" s="75"/>
      <c r="H455" s="75"/>
      <c r="I455" s="75">
        <v>50</v>
      </c>
      <c r="J455" s="75">
        <v>1500</v>
      </c>
      <c r="K455" s="91" t="s">
        <v>1168</v>
      </c>
      <c r="L455" s="73"/>
      <c r="M455" s="46">
        <v>30</v>
      </c>
      <c r="N455" s="46">
        <v>0</v>
      </c>
      <c r="O455" s="46">
        <v>1500</v>
      </c>
      <c r="P455" s="98"/>
      <c r="Q455" s="23" t="s">
        <v>1373</v>
      </c>
      <c r="R455" s="24" t="s">
        <v>1167</v>
      </c>
      <c r="S455" s="25" t="s">
        <v>559</v>
      </c>
      <c r="T455" s="26">
        <v>30</v>
      </c>
      <c r="U455" s="26">
        <v>30</v>
      </c>
      <c r="V455" s="26">
        <v>50</v>
      </c>
      <c r="W455" s="127">
        <f t="shared" si="96"/>
        <v>0</v>
      </c>
      <c r="X455" s="127">
        <f t="shared" si="78"/>
        <v>30</v>
      </c>
      <c r="Y455" s="127">
        <f t="shared" si="97"/>
        <v>0</v>
      </c>
      <c r="Z455" s="127">
        <f t="shared" si="98"/>
        <v>1500</v>
      </c>
      <c r="AA455" s="33" t="s">
        <v>15</v>
      </c>
      <c r="AB455" s="36" t="s">
        <v>16</v>
      </c>
      <c r="AC455" s="181">
        <f t="shared" si="89"/>
        <v>30</v>
      </c>
      <c r="AD455" s="181">
        <f t="shared" si="99"/>
        <v>1500</v>
      </c>
      <c r="AE455" s="181">
        <v>5</v>
      </c>
      <c r="AF455" s="181">
        <v>5</v>
      </c>
      <c r="AG455" s="101" t="str">
        <f t="shared" si="90"/>
        <v/>
      </c>
      <c r="AH455" s="194">
        <v>30</v>
      </c>
      <c r="AI455" s="69">
        <f t="shared" si="83"/>
        <v>30</v>
      </c>
    </row>
    <row r="456" spans="1:35" s="69" customFormat="1" ht="26.1" customHeight="1" x14ac:dyDescent="0.3">
      <c r="A456" s="130" t="s">
        <v>1169</v>
      </c>
      <c r="B456" s="131" t="s">
        <v>1170</v>
      </c>
      <c r="C456" s="132" t="s">
        <v>81</v>
      </c>
      <c r="D456" s="133">
        <v>9</v>
      </c>
      <c r="E456" s="75"/>
      <c r="F456" s="75"/>
      <c r="G456" s="75"/>
      <c r="H456" s="75"/>
      <c r="I456" s="75">
        <v>1900.97</v>
      </c>
      <c r="J456" s="75">
        <v>17108.73</v>
      </c>
      <c r="K456" s="91" t="s">
        <v>1171</v>
      </c>
      <c r="L456" s="73"/>
      <c r="M456" s="46">
        <v>9</v>
      </c>
      <c r="N456" s="46">
        <v>0</v>
      </c>
      <c r="O456" s="46">
        <v>17108.73</v>
      </c>
      <c r="P456" s="98"/>
      <c r="Q456" s="23" t="s">
        <v>1393</v>
      </c>
      <c r="R456" s="24" t="s">
        <v>1170</v>
      </c>
      <c r="S456" s="25" t="s">
        <v>81</v>
      </c>
      <c r="T456" s="26">
        <v>9</v>
      </c>
      <c r="U456" s="26">
        <v>9</v>
      </c>
      <c r="V456" s="26">
        <v>1900.97</v>
      </c>
      <c r="W456" s="127">
        <f t="shared" si="96"/>
        <v>0</v>
      </c>
      <c r="X456" s="127">
        <f t="shared" si="78"/>
        <v>9</v>
      </c>
      <c r="Y456" s="127">
        <f t="shared" si="97"/>
        <v>0</v>
      </c>
      <c r="Z456" s="127">
        <f t="shared" si="98"/>
        <v>17108.73</v>
      </c>
      <c r="AA456" s="33" t="s">
        <v>15</v>
      </c>
      <c r="AB456" s="36" t="s">
        <v>16</v>
      </c>
      <c r="AC456" s="181">
        <f t="shared" si="89"/>
        <v>9</v>
      </c>
      <c r="AD456" s="181">
        <f t="shared" si="99"/>
        <v>17108.73</v>
      </c>
      <c r="AE456" s="181">
        <v>5</v>
      </c>
      <c r="AF456" s="181">
        <v>5</v>
      </c>
      <c r="AG456" s="101" t="str">
        <f t="shared" si="90"/>
        <v/>
      </c>
      <c r="AH456" s="190">
        <v>9</v>
      </c>
      <c r="AI456" s="69">
        <f t="shared" si="83"/>
        <v>9</v>
      </c>
    </row>
    <row r="457" spans="1:35" s="69" customFormat="1" ht="26.1" customHeight="1" x14ac:dyDescent="0.3">
      <c r="A457" s="130" t="s">
        <v>1172</v>
      </c>
      <c r="B457" s="131" t="s">
        <v>1173</v>
      </c>
      <c r="C457" s="132" t="s">
        <v>81</v>
      </c>
      <c r="D457" s="133">
        <v>5</v>
      </c>
      <c r="E457" s="75"/>
      <c r="F457" s="75"/>
      <c r="G457" s="75"/>
      <c r="H457" s="75"/>
      <c r="I457" s="75">
        <v>1230.75</v>
      </c>
      <c r="J457" s="75">
        <v>6153.75</v>
      </c>
      <c r="K457" s="91" t="s">
        <v>1174</v>
      </c>
      <c r="L457" s="73"/>
      <c r="M457" s="46">
        <v>5</v>
      </c>
      <c r="N457" s="46">
        <v>0</v>
      </c>
      <c r="O457" s="46">
        <v>6153.75</v>
      </c>
      <c r="P457" s="98"/>
      <c r="Q457" s="23" t="s">
        <v>1403</v>
      </c>
      <c r="R457" s="24" t="s">
        <v>1173</v>
      </c>
      <c r="S457" s="25" t="s">
        <v>81</v>
      </c>
      <c r="T457" s="26">
        <v>5</v>
      </c>
      <c r="U457" s="26">
        <v>5</v>
      </c>
      <c r="V457" s="26">
        <v>1230.75</v>
      </c>
      <c r="W457" s="127">
        <f t="shared" si="96"/>
        <v>0</v>
      </c>
      <c r="X457" s="127">
        <f t="shared" si="78"/>
        <v>5</v>
      </c>
      <c r="Y457" s="127">
        <f t="shared" si="97"/>
        <v>0</v>
      </c>
      <c r="Z457" s="127">
        <f t="shared" si="98"/>
        <v>6153.75</v>
      </c>
      <c r="AA457" s="33" t="s">
        <v>15</v>
      </c>
      <c r="AB457" s="36" t="s">
        <v>16</v>
      </c>
      <c r="AC457" s="181">
        <f t="shared" si="89"/>
        <v>5</v>
      </c>
      <c r="AD457" s="181">
        <f t="shared" si="99"/>
        <v>6153.75</v>
      </c>
      <c r="AE457" s="181">
        <v>5</v>
      </c>
      <c r="AF457" s="181">
        <v>5</v>
      </c>
      <c r="AG457" s="101" t="str">
        <f t="shared" si="90"/>
        <v/>
      </c>
      <c r="AH457" s="190">
        <v>5</v>
      </c>
      <c r="AI457" s="69">
        <f t="shared" si="83"/>
        <v>5</v>
      </c>
    </row>
    <row r="458" spans="1:35" s="69" customFormat="1" ht="33" x14ac:dyDescent="0.3">
      <c r="A458" s="55" t="s">
        <v>1175</v>
      </c>
      <c r="B458" s="53" t="s">
        <v>1176</v>
      </c>
      <c r="C458" s="54" t="s">
        <v>81</v>
      </c>
      <c r="D458" s="75">
        <v>756</v>
      </c>
      <c r="E458" s="75"/>
      <c r="F458" s="75"/>
      <c r="G458" s="75"/>
      <c r="H458" s="75"/>
      <c r="I458" s="75">
        <v>1666.11</v>
      </c>
      <c r="J458" s="75">
        <v>1259579.1599999999</v>
      </c>
      <c r="K458" s="91" t="s">
        <v>1177</v>
      </c>
      <c r="L458" s="73"/>
      <c r="M458" s="46">
        <v>523</v>
      </c>
      <c r="N458" s="46">
        <v>86637.719999999972</v>
      </c>
      <c r="O458" s="46">
        <v>871375.53</v>
      </c>
      <c r="P458" s="98"/>
      <c r="Q458" s="23" t="s">
        <v>1427</v>
      </c>
      <c r="R458" s="24" t="s">
        <v>1176</v>
      </c>
      <c r="S458" s="25" t="s">
        <v>81</v>
      </c>
      <c r="T458" s="26">
        <v>756</v>
      </c>
      <c r="U458" s="26">
        <v>756</v>
      </c>
      <c r="V458" s="26">
        <v>1666.11</v>
      </c>
      <c r="W458" s="243">
        <f t="shared" si="96"/>
        <v>26</v>
      </c>
      <c r="X458" s="26">
        <f t="shared" si="78"/>
        <v>549</v>
      </c>
      <c r="Y458" s="26">
        <f t="shared" si="97"/>
        <v>43318.859999999986</v>
      </c>
      <c r="Z458" s="26">
        <f t="shared" si="98"/>
        <v>914694.39</v>
      </c>
      <c r="AA458" s="33" t="s">
        <v>15</v>
      </c>
      <c r="AB458" s="36" t="s">
        <v>16</v>
      </c>
      <c r="AC458" s="181">
        <f t="shared" si="89"/>
        <v>756</v>
      </c>
      <c r="AD458" s="181">
        <f t="shared" si="99"/>
        <v>1259579.1599999999</v>
      </c>
      <c r="AE458" s="181">
        <v>5</v>
      </c>
      <c r="AF458" s="181">
        <v>5</v>
      </c>
      <c r="AG458" s="101" t="str">
        <f t="shared" si="90"/>
        <v/>
      </c>
      <c r="AH458" s="191">
        <f>471+52+26</f>
        <v>549</v>
      </c>
      <c r="AI458" s="69">
        <f t="shared" si="83"/>
        <v>756</v>
      </c>
    </row>
    <row r="459" spans="1:35" s="69" customFormat="1" ht="49.5" customHeight="1" x14ac:dyDescent="0.3">
      <c r="A459" s="130" t="s">
        <v>1178</v>
      </c>
      <c r="B459" s="240" t="s">
        <v>1179</v>
      </c>
      <c r="C459" s="132" t="s">
        <v>81</v>
      </c>
      <c r="D459" s="133">
        <v>2</v>
      </c>
      <c r="E459" s="75"/>
      <c r="F459" s="75"/>
      <c r="G459" s="75"/>
      <c r="H459" s="75"/>
      <c r="I459" s="75">
        <v>48513</v>
      </c>
      <c r="J459" s="75">
        <v>97026</v>
      </c>
      <c r="K459" s="91" t="s">
        <v>1180</v>
      </c>
      <c r="L459" s="73"/>
      <c r="M459" s="46">
        <v>2</v>
      </c>
      <c r="N459" s="46">
        <v>0</v>
      </c>
      <c r="O459" s="46">
        <v>97026</v>
      </c>
      <c r="P459" s="98"/>
      <c r="Q459" s="23" t="s">
        <v>1428</v>
      </c>
      <c r="R459" s="24" t="s">
        <v>1179</v>
      </c>
      <c r="S459" s="25" t="s">
        <v>81</v>
      </c>
      <c r="T459" s="26">
        <v>2</v>
      </c>
      <c r="U459" s="26">
        <v>2</v>
      </c>
      <c r="V459" s="26">
        <v>48513</v>
      </c>
      <c r="W459" s="127">
        <f t="shared" si="96"/>
        <v>0</v>
      </c>
      <c r="X459" s="127">
        <v>2</v>
      </c>
      <c r="Y459" s="127">
        <f t="shared" si="97"/>
        <v>0</v>
      </c>
      <c r="Z459" s="127">
        <f t="shared" si="98"/>
        <v>97026</v>
      </c>
      <c r="AA459" s="33" t="s">
        <v>15</v>
      </c>
      <c r="AB459" s="36" t="s">
        <v>16</v>
      </c>
      <c r="AC459" s="181">
        <f t="shared" si="89"/>
        <v>2</v>
      </c>
      <c r="AD459" s="181">
        <f t="shared" si="99"/>
        <v>97026</v>
      </c>
      <c r="AE459" s="181">
        <v>5</v>
      </c>
      <c r="AF459" s="181">
        <v>5</v>
      </c>
      <c r="AG459" s="101" t="str">
        <f t="shared" si="90"/>
        <v/>
      </c>
      <c r="AH459" s="190">
        <v>2</v>
      </c>
      <c r="AI459" s="69">
        <f t="shared" si="83"/>
        <v>2</v>
      </c>
    </row>
    <row r="460" spans="1:35" s="69" customFormat="1" ht="41.25" x14ac:dyDescent="0.3">
      <c r="A460" s="130" t="s">
        <v>1181</v>
      </c>
      <c r="B460" s="131" t="s">
        <v>1182</v>
      </c>
      <c r="C460" s="132" t="s">
        <v>1183</v>
      </c>
      <c r="D460" s="133">
        <v>18</v>
      </c>
      <c r="E460" s="75">
        <v>38</v>
      </c>
      <c r="F460" s="75"/>
      <c r="G460" s="75"/>
      <c r="H460" s="75"/>
      <c r="I460" s="75">
        <v>587.1</v>
      </c>
      <c r="J460" s="75">
        <v>22309.8</v>
      </c>
      <c r="K460" s="91" t="s">
        <v>1184</v>
      </c>
      <c r="L460" s="73"/>
      <c r="M460" s="46">
        <v>38</v>
      </c>
      <c r="N460" s="46">
        <v>0</v>
      </c>
      <c r="O460" s="46">
        <v>22309.8</v>
      </c>
      <c r="P460" s="98"/>
      <c r="Q460" s="23" t="s">
        <v>1387</v>
      </c>
      <c r="R460" s="24" t="s">
        <v>1182</v>
      </c>
      <c r="S460" s="25" t="s">
        <v>1183</v>
      </c>
      <c r="T460" s="26">
        <v>18</v>
      </c>
      <c r="U460" s="26">
        <v>38</v>
      </c>
      <c r="V460" s="26">
        <v>587.1</v>
      </c>
      <c r="W460" s="127">
        <f t="shared" si="96"/>
        <v>0</v>
      </c>
      <c r="X460" s="127">
        <f t="shared" ref="X460:X493" si="100">W460+M460</f>
        <v>38</v>
      </c>
      <c r="Y460" s="127">
        <f t="shared" si="97"/>
        <v>0</v>
      </c>
      <c r="Z460" s="127">
        <f t="shared" si="98"/>
        <v>22309.8</v>
      </c>
      <c r="AA460" s="27" t="s">
        <v>15</v>
      </c>
      <c r="AB460" s="36" t="s">
        <v>16</v>
      </c>
      <c r="AC460" s="181">
        <f t="shared" si="89"/>
        <v>38</v>
      </c>
      <c r="AD460" s="181">
        <f t="shared" si="99"/>
        <v>22309.8</v>
      </c>
      <c r="AE460" s="181">
        <v>5</v>
      </c>
      <c r="AF460" s="181">
        <v>5</v>
      </c>
      <c r="AG460" s="101" t="str">
        <f t="shared" si="90"/>
        <v/>
      </c>
      <c r="AH460" s="194">
        <v>38</v>
      </c>
      <c r="AI460" s="69">
        <f t="shared" ref="AI460:AI503" si="101">IF(G460=0,IF(F460=0,IF(E460=0,D460,E460),F460),G460)</f>
        <v>38</v>
      </c>
    </row>
    <row r="461" spans="1:35" s="69" customFormat="1" ht="49.5" customHeight="1" x14ac:dyDescent="0.3">
      <c r="A461" s="55" t="s">
        <v>1185</v>
      </c>
      <c r="B461" s="53" t="s">
        <v>1186</v>
      </c>
      <c r="C461" s="54" t="s">
        <v>162</v>
      </c>
      <c r="D461" s="75">
        <v>9</v>
      </c>
      <c r="E461" s="75"/>
      <c r="F461" s="75"/>
      <c r="G461" s="75"/>
      <c r="H461" s="75"/>
      <c r="I461" s="75">
        <v>664.14</v>
      </c>
      <c r="J461" s="75">
        <v>5977.26</v>
      </c>
      <c r="K461" s="91" t="s">
        <v>1187</v>
      </c>
      <c r="L461" s="73"/>
      <c r="M461" s="46">
        <v>0</v>
      </c>
      <c r="N461" s="46">
        <v>0</v>
      </c>
      <c r="O461" s="46">
        <v>0</v>
      </c>
      <c r="P461" s="98"/>
      <c r="Q461" s="23" t="s">
        <v>1405</v>
      </c>
      <c r="R461" s="24" t="s">
        <v>1186</v>
      </c>
      <c r="S461" s="25" t="s">
        <v>162</v>
      </c>
      <c r="T461" s="26">
        <v>9</v>
      </c>
      <c r="U461" s="26">
        <v>9</v>
      </c>
      <c r="V461" s="26">
        <v>664.14</v>
      </c>
      <c r="W461" s="26">
        <f t="shared" si="96"/>
        <v>0</v>
      </c>
      <c r="X461" s="26">
        <f t="shared" si="100"/>
        <v>0</v>
      </c>
      <c r="Y461" s="26">
        <f t="shared" si="97"/>
        <v>0</v>
      </c>
      <c r="Z461" s="26">
        <f t="shared" si="98"/>
        <v>0</v>
      </c>
      <c r="AA461" s="33" t="s">
        <v>15</v>
      </c>
      <c r="AB461" s="36" t="s">
        <v>16</v>
      </c>
      <c r="AC461" s="181">
        <f t="shared" si="89"/>
        <v>9</v>
      </c>
      <c r="AD461" s="181">
        <f t="shared" si="99"/>
        <v>5977.26</v>
      </c>
      <c r="AE461" s="181">
        <v>5</v>
      </c>
      <c r="AF461" s="181">
        <v>5</v>
      </c>
      <c r="AG461" s="101" t="str">
        <f t="shared" si="90"/>
        <v/>
      </c>
      <c r="AH461" s="190">
        <v>0</v>
      </c>
      <c r="AI461" s="69">
        <f t="shared" si="101"/>
        <v>9</v>
      </c>
    </row>
    <row r="462" spans="1:35" s="69" customFormat="1" ht="39" x14ac:dyDescent="0.3">
      <c r="A462" s="55" t="s">
        <v>1188</v>
      </c>
      <c r="B462" s="53" t="s">
        <v>1189</v>
      </c>
      <c r="C462" s="54" t="s">
        <v>81</v>
      </c>
      <c r="D462" s="75">
        <v>68</v>
      </c>
      <c r="E462" s="75"/>
      <c r="F462" s="75"/>
      <c r="G462" s="75"/>
      <c r="H462" s="75"/>
      <c r="I462" s="75">
        <v>847.07</v>
      </c>
      <c r="J462" s="75">
        <v>57600.76</v>
      </c>
      <c r="K462" s="91" t="s">
        <v>1190</v>
      </c>
      <c r="L462" s="73"/>
      <c r="M462" s="46">
        <v>40</v>
      </c>
      <c r="N462" s="46">
        <v>0</v>
      </c>
      <c r="O462" s="46">
        <v>33882.800000000003</v>
      </c>
      <c r="P462" s="98"/>
      <c r="Q462" s="23" t="s">
        <v>1406</v>
      </c>
      <c r="R462" s="24" t="s">
        <v>1189</v>
      </c>
      <c r="S462" s="25" t="s">
        <v>81</v>
      </c>
      <c r="T462" s="26">
        <v>68</v>
      </c>
      <c r="U462" s="26">
        <v>68</v>
      </c>
      <c r="V462" s="26">
        <v>847.07</v>
      </c>
      <c r="W462" s="128">
        <f t="shared" si="96"/>
        <v>0</v>
      </c>
      <c r="X462" s="26">
        <f t="shared" si="100"/>
        <v>40</v>
      </c>
      <c r="Y462" s="26">
        <f t="shared" si="97"/>
        <v>0</v>
      </c>
      <c r="Z462" s="26">
        <f t="shared" si="98"/>
        <v>33882.800000000003</v>
      </c>
      <c r="AA462" s="33" t="s">
        <v>15</v>
      </c>
      <c r="AB462" s="36" t="s">
        <v>16</v>
      </c>
      <c r="AC462" s="181">
        <f t="shared" si="89"/>
        <v>68</v>
      </c>
      <c r="AD462" s="181">
        <f t="shared" si="99"/>
        <v>57600.76</v>
      </c>
      <c r="AE462" s="181">
        <v>5</v>
      </c>
      <c r="AF462" s="181">
        <v>5</v>
      </c>
      <c r="AG462" s="101" t="str">
        <f t="shared" si="90"/>
        <v/>
      </c>
      <c r="AH462" s="190">
        <v>40</v>
      </c>
      <c r="AI462" s="69">
        <f t="shared" si="101"/>
        <v>68</v>
      </c>
    </row>
    <row r="463" spans="1:35" s="69" customFormat="1" ht="41.25" x14ac:dyDescent="0.3">
      <c r="A463" s="130" t="s">
        <v>1191</v>
      </c>
      <c r="B463" s="131" t="s">
        <v>1192</v>
      </c>
      <c r="C463" s="132" t="s">
        <v>30</v>
      </c>
      <c r="D463" s="133">
        <v>27.54</v>
      </c>
      <c r="E463" s="75"/>
      <c r="F463" s="75">
        <v>87.54</v>
      </c>
      <c r="G463" s="75"/>
      <c r="H463" s="75"/>
      <c r="I463" s="75">
        <v>293.74</v>
      </c>
      <c r="J463" s="75">
        <v>25714</v>
      </c>
      <c r="K463" s="91" t="s">
        <v>1193</v>
      </c>
      <c r="L463" s="73"/>
      <c r="M463" s="46">
        <v>87.54</v>
      </c>
      <c r="N463" s="46">
        <v>0</v>
      </c>
      <c r="O463" s="46">
        <v>25714</v>
      </c>
      <c r="P463" s="98"/>
      <c r="Q463" s="23" t="s">
        <v>1414</v>
      </c>
      <c r="R463" s="24" t="s">
        <v>1192</v>
      </c>
      <c r="S463" s="25" t="s">
        <v>30</v>
      </c>
      <c r="T463" s="26">
        <v>27.54</v>
      </c>
      <c r="U463" s="26">
        <v>87.54</v>
      </c>
      <c r="V463" s="26">
        <v>293.74</v>
      </c>
      <c r="W463" s="127">
        <f t="shared" si="96"/>
        <v>0</v>
      </c>
      <c r="X463" s="127">
        <f t="shared" si="100"/>
        <v>87.54</v>
      </c>
      <c r="Y463" s="127">
        <f t="shared" si="97"/>
        <v>0</v>
      </c>
      <c r="Z463" s="127">
        <f t="shared" si="98"/>
        <v>25714</v>
      </c>
      <c r="AA463" s="27" t="s">
        <v>15</v>
      </c>
      <c r="AB463" s="36" t="s">
        <v>16</v>
      </c>
      <c r="AC463" s="181">
        <f t="shared" si="89"/>
        <v>87.54</v>
      </c>
      <c r="AD463" s="181">
        <f t="shared" si="99"/>
        <v>25714</v>
      </c>
      <c r="AE463" s="181">
        <v>5</v>
      </c>
      <c r="AF463" s="181">
        <v>5</v>
      </c>
      <c r="AG463" s="101" t="str">
        <f t="shared" si="90"/>
        <v/>
      </c>
      <c r="AH463" s="190">
        <v>87.54</v>
      </c>
      <c r="AI463" s="69">
        <f t="shared" si="101"/>
        <v>87.54</v>
      </c>
    </row>
    <row r="464" spans="1:35" s="69" customFormat="1" ht="33" customHeight="1" x14ac:dyDescent="0.3">
      <c r="A464" s="130" t="s">
        <v>1194</v>
      </c>
      <c r="B464" s="131" t="s">
        <v>1195</v>
      </c>
      <c r="C464" s="132" t="s">
        <v>1196</v>
      </c>
      <c r="D464" s="133">
        <v>2</v>
      </c>
      <c r="E464" s="75"/>
      <c r="F464" s="75"/>
      <c r="G464" s="75"/>
      <c r="H464" s="75"/>
      <c r="I464" s="75">
        <v>10000</v>
      </c>
      <c r="J464" s="75">
        <v>20000</v>
      </c>
      <c r="K464" s="91" t="s">
        <v>1197</v>
      </c>
      <c r="L464" s="73"/>
      <c r="M464" s="46">
        <v>2</v>
      </c>
      <c r="N464" s="46">
        <v>0</v>
      </c>
      <c r="O464" s="46">
        <v>20000</v>
      </c>
      <c r="P464" s="98"/>
      <c r="Q464" s="23" t="s">
        <v>1429</v>
      </c>
      <c r="R464" s="24" t="s">
        <v>1195</v>
      </c>
      <c r="S464" s="25" t="s">
        <v>1196</v>
      </c>
      <c r="T464" s="26">
        <v>2</v>
      </c>
      <c r="U464" s="26">
        <v>2</v>
      </c>
      <c r="V464" s="26">
        <v>10000</v>
      </c>
      <c r="W464" s="127">
        <f t="shared" si="96"/>
        <v>0</v>
      </c>
      <c r="X464" s="127">
        <f t="shared" si="100"/>
        <v>2</v>
      </c>
      <c r="Y464" s="127">
        <f t="shared" si="97"/>
        <v>0</v>
      </c>
      <c r="Z464" s="127">
        <f t="shared" si="98"/>
        <v>20000</v>
      </c>
      <c r="AA464" s="33" t="s">
        <v>15</v>
      </c>
      <c r="AB464" s="36" t="s">
        <v>16</v>
      </c>
      <c r="AC464" s="181">
        <f t="shared" si="89"/>
        <v>2</v>
      </c>
      <c r="AD464" s="181">
        <f t="shared" si="99"/>
        <v>20000</v>
      </c>
      <c r="AE464" s="181">
        <v>5</v>
      </c>
      <c r="AF464" s="181">
        <v>5</v>
      </c>
      <c r="AG464" s="101" t="str">
        <f t="shared" si="90"/>
        <v/>
      </c>
      <c r="AH464" s="190">
        <v>2</v>
      </c>
      <c r="AI464" s="69">
        <f t="shared" si="101"/>
        <v>2</v>
      </c>
    </row>
    <row r="465" spans="1:35" s="69" customFormat="1" ht="33" customHeight="1" x14ac:dyDescent="0.3">
      <c r="A465" s="55" t="s">
        <v>1198</v>
      </c>
      <c r="B465" s="53" t="s">
        <v>1199</v>
      </c>
      <c r="C465" s="54" t="s">
        <v>30</v>
      </c>
      <c r="D465" s="75">
        <v>1064.31</v>
      </c>
      <c r="E465" s="75"/>
      <c r="F465" s="75"/>
      <c r="G465" s="75"/>
      <c r="H465" s="75"/>
      <c r="I465" s="75">
        <v>210</v>
      </c>
      <c r="J465" s="75">
        <v>223505.1</v>
      </c>
      <c r="K465" s="91" t="s">
        <v>1200</v>
      </c>
      <c r="L465" s="73"/>
      <c r="M465" s="46">
        <v>955</v>
      </c>
      <c r="N465" s="46">
        <v>23100</v>
      </c>
      <c r="O465" s="46">
        <v>200550</v>
      </c>
      <c r="P465" s="98"/>
      <c r="Q465" s="23" t="s">
        <v>1430</v>
      </c>
      <c r="R465" s="24" t="s">
        <v>1199</v>
      </c>
      <c r="S465" s="25" t="s">
        <v>30</v>
      </c>
      <c r="T465" s="26">
        <v>1064.31</v>
      </c>
      <c r="U465" s="26">
        <v>1064.31</v>
      </c>
      <c r="V465" s="26">
        <v>210</v>
      </c>
      <c r="W465" s="128">
        <f t="shared" si="96"/>
        <v>0</v>
      </c>
      <c r="X465" s="26">
        <f t="shared" si="100"/>
        <v>955</v>
      </c>
      <c r="Y465" s="26">
        <f t="shared" si="97"/>
        <v>0</v>
      </c>
      <c r="Z465" s="26">
        <f t="shared" si="98"/>
        <v>200550</v>
      </c>
      <c r="AA465" s="33" t="s">
        <v>15</v>
      </c>
      <c r="AB465" s="36" t="s">
        <v>16</v>
      </c>
      <c r="AC465" s="181">
        <f t="shared" si="89"/>
        <v>1064.31</v>
      </c>
      <c r="AD465" s="181">
        <f t="shared" si="99"/>
        <v>223505.1</v>
      </c>
      <c r="AE465" s="181">
        <v>5</v>
      </c>
      <c r="AF465" s="181">
        <v>5</v>
      </c>
      <c r="AG465" s="101" t="str">
        <f t="shared" si="90"/>
        <v/>
      </c>
      <c r="AH465" s="191">
        <f>845+110</f>
        <v>955</v>
      </c>
      <c r="AI465" s="69">
        <f t="shared" si="101"/>
        <v>1064.31</v>
      </c>
    </row>
    <row r="466" spans="1:35" s="69" customFormat="1" ht="33" x14ac:dyDescent="0.3">
      <c r="A466" s="55" t="s">
        <v>1201</v>
      </c>
      <c r="B466" s="53" t="s">
        <v>1202</v>
      </c>
      <c r="C466" s="54" t="s">
        <v>30</v>
      </c>
      <c r="D466" s="75">
        <v>1910.54</v>
      </c>
      <c r="E466" s="75"/>
      <c r="F466" s="75"/>
      <c r="G466" s="75"/>
      <c r="H466" s="75"/>
      <c r="I466" s="75">
        <v>300</v>
      </c>
      <c r="J466" s="75">
        <v>573162</v>
      </c>
      <c r="K466" s="91" t="s">
        <v>1203</v>
      </c>
      <c r="L466" s="73"/>
      <c r="M466" s="46">
        <v>1242</v>
      </c>
      <c r="N466" s="46">
        <v>40800</v>
      </c>
      <c r="O466" s="46">
        <v>372600</v>
      </c>
      <c r="P466" s="98"/>
      <c r="Q466" s="23" t="s">
        <v>1431</v>
      </c>
      <c r="R466" s="24" t="s">
        <v>1202</v>
      </c>
      <c r="S466" s="25" t="s">
        <v>30</v>
      </c>
      <c r="T466" s="26">
        <v>1910.54</v>
      </c>
      <c r="U466" s="26">
        <v>1910.54</v>
      </c>
      <c r="V466" s="26">
        <v>300</v>
      </c>
      <c r="W466" s="128">
        <f t="shared" si="96"/>
        <v>0</v>
      </c>
      <c r="X466" s="26">
        <f t="shared" si="100"/>
        <v>1242</v>
      </c>
      <c r="Y466" s="26">
        <f t="shared" si="97"/>
        <v>0</v>
      </c>
      <c r="Z466" s="26">
        <f t="shared" si="98"/>
        <v>372600</v>
      </c>
      <c r="AA466" s="33" t="s">
        <v>15</v>
      </c>
      <c r="AB466" s="36" t="s">
        <v>16</v>
      </c>
      <c r="AC466" s="181">
        <f t="shared" si="89"/>
        <v>1910.54</v>
      </c>
      <c r="AD466" s="181">
        <f t="shared" si="99"/>
        <v>573162</v>
      </c>
      <c r="AE466" s="181">
        <v>5</v>
      </c>
      <c r="AF466" s="181">
        <v>5</v>
      </c>
      <c r="AG466" s="101" t="str">
        <f t="shared" si="90"/>
        <v/>
      </c>
      <c r="AH466" s="191">
        <f>1106+136</f>
        <v>1242</v>
      </c>
      <c r="AI466" s="69">
        <f t="shared" si="101"/>
        <v>1910.54</v>
      </c>
    </row>
    <row r="467" spans="1:35" s="69" customFormat="1" ht="33" x14ac:dyDescent="0.3">
      <c r="A467" s="55" t="s">
        <v>1204</v>
      </c>
      <c r="B467" s="53" t="s">
        <v>1205</v>
      </c>
      <c r="C467" s="54" t="s">
        <v>30</v>
      </c>
      <c r="D467" s="75">
        <v>2738.45</v>
      </c>
      <c r="E467" s="75"/>
      <c r="F467" s="75"/>
      <c r="G467" s="75"/>
      <c r="H467" s="75"/>
      <c r="I467" s="75">
        <v>200</v>
      </c>
      <c r="J467" s="75">
        <v>547690</v>
      </c>
      <c r="K467" s="91" t="s">
        <v>1206</v>
      </c>
      <c r="L467" s="73"/>
      <c r="M467" s="46">
        <v>1448.3</v>
      </c>
      <c r="N467" s="46">
        <v>38400</v>
      </c>
      <c r="O467" s="46">
        <v>289660</v>
      </c>
      <c r="P467" s="98"/>
      <c r="Q467" s="23" t="s">
        <v>1395</v>
      </c>
      <c r="R467" s="24" t="s">
        <v>1205</v>
      </c>
      <c r="S467" s="25" t="s">
        <v>30</v>
      </c>
      <c r="T467" s="26">
        <v>2738.45</v>
      </c>
      <c r="U467" s="26">
        <v>2738.45</v>
      </c>
      <c r="V467" s="26">
        <v>200</v>
      </c>
      <c r="W467" s="243">
        <f t="shared" si="96"/>
        <v>337.20000000000005</v>
      </c>
      <c r="X467" s="26">
        <f t="shared" si="100"/>
        <v>1785.5</v>
      </c>
      <c r="Y467" s="26">
        <f t="shared" si="97"/>
        <v>67440</v>
      </c>
      <c r="Z467" s="26">
        <f t="shared" si="98"/>
        <v>357100</v>
      </c>
      <c r="AA467" s="33" t="s">
        <v>15</v>
      </c>
      <c r="AB467" s="36" t="s">
        <v>16</v>
      </c>
      <c r="AC467" s="181">
        <f t="shared" si="89"/>
        <v>2738.45</v>
      </c>
      <c r="AD467" s="181">
        <f t="shared" si="99"/>
        <v>547690</v>
      </c>
      <c r="AE467" s="181">
        <v>5</v>
      </c>
      <c r="AF467" s="181">
        <v>5</v>
      </c>
      <c r="AG467" s="101" t="str">
        <f t="shared" si="90"/>
        <v/>
      </c>
      <c r="AH467" s="191">
        <f>1256.3+192+337.2</f>
        <v>1785.5</v>
      </c>
      <c r="AI467" s="69">
        <f t="shared" si="101"/>
        <v>2738.45</v>
      </c>
    </row>
    <row r="468" spans="1:35" s="69" customFormat="1" ht="33" customHeight="1" x14ac:dyDescent="0.3">
      <c r="A468" s="55" t="s">
        <v>1207</v>
      </c>
      <c r="B468" s="53" t="s">
        <v>1208</v>
      </c>
      <c r="C468" s="54" t="s">
        <v>14</v>
      </c>
      <c r="D468" s="75">
        <v>1</v>
      </c>
      <c r="E468" s="75"/>
      <c r="F468" s="76"/>
      <c r="G468" s="76"/>
      <c r="H468" s="76"/>
      <c r="I468" s="75">
        <v>21460.9</v>
      </c>
      <c r="J468" s="75">
        <v>21460.9</v>
      </c>
      <c r="K468" s="91" t="s">
        <v>1209</v>
      </c>
      <c r="L468" s="73"/>
      <c r="M468" s="46">
        <v>0</v>
      </c>
      <c r="N468" s="46">
        <v>0</v>
      </c>
      <c r="O468" s="46">
        <v>0</v>
      </c>
      <c r="P468" s="98"/>
      <c r="Q468" s="23" t="s">
        <v>1432</v>
      </c>
      <c r="R468" s="24" t="s">
        <v>1208</v>
      </c>
      <c r="S468" s="25" t="s">
        <v>14</v>
      </c>
      <c r="T468" s="26">
        <v>1</v>
      </c>
      <c r="U468" s="26">
        <v>1</v>
      </c>
      <c r="V468" s="26">
        <v>21460.9</v>
      </c>
      <c r="W468" s="26">
        <f t="shared" si="96"/>
        <v>0</v>
      </c>
      <c r="X468" s="26">
        <f t="shared" si="100"/>
        <v>0</v>
      </c>
      <c r="Y468" s="136">
        <f t="shared" si="97"/>
        <v>0</v>
      </c>
      <c r="Z468" s="26">
        <f t="shared" si="98"/>
        <v>0</v>
      </c>
      <c r="AA468" s="33" t="s">
        <v>15</v>
      </c>
      <c r="AB468" s="36" t="s">
        <v>16</v>
      </c>
      <c r="AC468" s="181">
        <f t="shared" si="89"/>
        <v>1</v>
      </c>
      <c r="AD468" s="181">
        <f t="shared" si="99"/>
        <v>21460.9</v>
      </c>
      <c r="AE468" s="181">
        <v>5</v>
      </c>
      <c r="AF468" s="181">
        <v>5</v>
      </c>
      <c r="AG468" s="101" t="str">
        <f t="shared" si="90"/>
        <v/>
      </c>
      <c r="AH468" s="190">
        <v>0</v>
      </c>
      <c r="AI468" s="69">
        <f t="shared" si="101"/>
        <v>1</v>
      </c>
    </row>
    <row r="469" spans="1:35" s="69" customFormat="1" ht="39" x14ac:dyDescent="0.3">
      <c r="A469" s="251">
        <v>5.18</v>
      </c>
      <c r="B469" s="252" t="s">
        <v>1356</v>
      </c>
      <c r="C469" s="157" t="s">
        <v>97</v>
      </c>
      <c r="D469" s="253"/>
      <c r="E469" s="59">
        <v>720</v>
      </c>
      <c r="F469" s="180"/>
      <c r="G469" s="180"/>
      <c r="H469" s="180"/>
      <c r="I469" s="178">
        <v>273.11</v>
      </c>
      <c r="J469" s="59">
        <v>196639.2</v>
      </c>
      <c r="K469" s="92"/>
      <c r="L469" s="73"/>
      <c r="M469" s="46">
        <v>640</v>
      </c>
      <c r="N469" s="46">
        <v>0</v>
      </c>
      <c r="O469" s="46">
        <v>174790.39999999999</v>
      </c>
      <c r="P469" s="98"/>
      <c r="Q469" s="23" t="s">
        <v>1433</v>
      </c>
      <c r="R469" s="24" t="s">
        <v>1503</v>
      </c>
      <c r="S469" s="25" t="s">
        <v>97</v>
      </c>
      <c r="T469" s="26">
        <v>0</v>
      </c>
      <c r="U469" s="26">
        <v>720</v>
      </c>
      <c r="V469" s="26">
        <v>273.11</v>
      </c>
      <c r="W469" s="128">
        <f t="shared" si="96"/>
        <v>0</v>
      </c>
      <c r="X469" s="26">
        <f t="shared" si="100"/>
        <v>640</v>
      </c>
      <c r="Y469" s="26">
        <f t="shared" si="97"/>
        <v>0</v>
      </c>
      <c r="Z469" s="26">
        <f t="shared" si="98"/>
        <v>174790.39999999999</v>
      </c>
      <c r="AA469" s="27"/>
      <c r="AB469" s="36" t="s">
        <v>16</v>
      </c>
      <c r="AC469" s="181">
        <f t="shared" si="89"/>
        <v>720</v>
      </c>
      <c r="AD469" s="181">
        <f t="shared" si="99"/>
        <v>196639.2</v>
      </c>
      <c r="AE469" s="181">
        <v>5</v>
      </c>
      <c r="AF469" s="181">
        <v>5</v>
      </c>
      <c r="AG469" s="101" t="str">
        <f t="shared" si="90"/>
        <v/>
      </c>
      <c r="AH469" s="191">
        <v>640</v>
      </c>
      <c r="AI469" s="69">
        <f t="shared" si="101"/>
        <v>720</v>
      </c>
    </row>
    <row r="470" spans="1:35" s="69" customFormat="1" ht="39" x14ac:dyDescent="0.3">
      <c r="A470" s="144">
        <v>5.19</v>
      </c>
      <c r="B470" s="145" t="s">
        <v>1357</v>
      </c>
      <c r="C470" s="206" t="s">
        <v>30</v>
      </c>
      <c r="D470" s="221"/>
      <c r="E470" s="175">
        <v>212</v>
      </c>
      <c r="F470" s="180"/>
      <c r="G470" s="180"/>
      <c r="H470" s="180"/>
      <c r="I470" s="179">
        <v>1859.87</v>
      </c>
      <c r="J470" s="175">
        <v>394292.44</v>
      </c>
      <c r="K470" s="176"/>
      <c r="L470" s="73"/>
      <c r="M470" s="46">
        <v>212</v>
      </c>
      <c r="N470" s="46">
        <v>0</v>
      </c>
      <c r="O470" s="46">
        <v>394292.44</v>
      </c>
      <c r="P470" s="98"/>
      <c r="Q470" s="23" t="s">
        <v>1382</v>
      </c>
      <c r="R470" s="24" t="s">
        <v>1504</v>
      </c>
      <c r="S470" s="25" t="s">
        <v>30</v>
      </c>
      <c r="T470" s="26">
        <v>0</v>
      </c>
      <c r="U470" s="26">
        <v>212</v>
      </c>
      <c r="V470" s="26">
        <v>1859.87</v>
      </c>
      <c r="W470" s="127">
        <f t="shared" si="96"/>
        <v>0</v>
      </c>
      <c r="X470" s="127">
        <f t="shared" si="100"/>
        <v>212</v>
      </c>
      <c r="Y470" s="127">
        <f t="shared" si="97"/>
        <v>0</v>
      </c>
      <c r="Z470" s="127">
        <f t="shared" si="98"/>
        <v>394292.44</v>
      </c>
      <c r="AA470" s="27"/>
      <c r="AB470" s="36" t="s">
        <v>16</v>
      </c>
      <c r="AC470" s="181">
        <f t="shared" si="89"/>
        <v>212</v>
      </c>
      <c r="AD470" s="181">
        <f t="shared" si="99"/>
        <v>394292.44</v>
      </c>
      <c r="AE470" s="181">
        <v>5</v>
      </c>
      <c r="AF470" s="181">
        <v>5</v>
      </c>
      <c r="AG470" s="101" t="str">
        <f t="shared" si="90"/>
        <v/>
      </c>
      <c r="AH470" s="190">
        <v>212</v>
      </c>
      <c r="AI470" s="69">
        <f t="shared" si="101"/>
        <v>212</v>
      </c>
    </row>
    <row r="471" spans="1:35" s="69" customFormat="1" ht="39" x14ac:dyDescent="0.3">
      <c r="A471" s="210" t="s">
        <v>3106</v>
      </c>
      <c r="B471" s="208" t="s">
        <v>3107</v>
      </c>
      <c r="C471" s="204" t="s">
        <v>14</v>
      </c>
      <c r="D471" s="208"/>
      <c r="E471" s="159"/>
      <c r="F471" s="156"/>
      <c r="G471" s="156">
        <v>1</v>
      </c>
      <c r="H471" s="156"/>
      <c r="I471" s="158"/>
      <c r="J471" s="159">
        <v>263694.64</v>
      </c>
      <c r="K471" s="160"/>
      <c r="L471" s="73"/>
      <c r="M471" s="46">
        <v>1</v>
      </c>
      <c r="N471" s="46">
        <v>0</v>
      </c>
      <c r="O471" s="46">
        <v>263694.64</v>
      </c>
      <c r="P471" s="98"/>
      <c r="Q471" s="23" t="s">
        <v>3108</v>
      </c>
      <c r="R471" s="24" t="s">
        <v>3107</v>
      </c>
      <c r="S471" s="25" t="s">
        <v>14</v>
      </c>
      <c r="T471" s="26"/>
      <c r="U471" s="26">
        <v>1</v>
      </c>
      <c r="V471" s="26">
        <v>263694.64</v>
      </c>
      <c r="W471" s="127">
        <f t="shared" si="96"/>
        <v>0</v>
      </c>
      <c r="X471" s="127">
        <f t="shared" si="100"/>
        <v>1</v>
      </c>
      <c r="Y471" s="127">
        <f t="shared" si="97"/>
        <v>0</v>
      </c>
      <c r="Z471" s="127">
        <f t="shared" si="98"/>
        <v>263694.64</v>
      </c>
      <c r="AA471" s="27"/>
      <c r="AB471" s="36"/>
      <c r="AC471" s="181">
        <f t="shared" si="89"/>
        <v>1</v>
      </c>
      <c r="AD471" s="181">
        <f t="shared" si="99"/>
        <v>263694.64</v>
      </c>
      <c r="AE471" s="181">
        <v>5</v>
      </c>
      <c r="AF471" s="181">
        <v>5</v>
      </c>
      <c r="AG471" s="101"/>
      <c r="AH471" s="193">
        <v>1</v>
      </c>
      <c r="AI471" s="69">
        <f t="shared" si="101"/>
        <v>1</v>
      </c>
    </row>
    <row r="472" spans="1:35" s="69" customFormat="1" ht="33" x14ac:dyDescent="0.3">
      <c r="A472" s="150" t="s">
        <v>1210</v>
      </c>
      <c r="B472" s="151" t="s">
        <v>1211</v>
      </c>
      <c r="C472" s="152" t="s">
        <v>14</v>
      </c>
      <c r="D472" s="153">
        <v>1</v>
      </c>
      <c r="E472" s="153"/>
      <c r="F472" s="153"/>
      <c r="G472" s="153"/>
      <c r="H472" s="153"/>
      <c r="I472" s="153"/>
      <c r="J472" s="153">
        <v>3143726.96</v>
      </c>
      <c r="K472" s="154" t="s">
        <v>15</v>
      </c>
      <c r="L472" s="73"/>
      <c r="M472" s="42">
        <v>1</v>
      </c>
      <c r="N472" s="42">
        <v>47468</v>
      </c>
      <c r="O472" s="42">
        <v>2592129.37</v>
      </c>
      <c r="P472" s="98"/>
      <c r="Q472" s="13" t="s">
        <v>1415</v>
      </c>
      <c r="R472" s="14" t="s">
        <v>1211</v>
      </c>
      <c r="S472" s="15" t="s">
        <v>14</v>
      </c>
      <c r="T472" s="16">
        <v>1</v>
      </c>
      <c r="U472" s="16"/>
      <c r="V472" s="16">
        <f>SUMIFS(AD:AD,AE:AE,AE472)</f>
        <v>3143726.9600000004</v>
      </c>
      <c r="W472" s="16">
        <f t="shared" ref="W472:X472" si="102">IF(Y472=0,0,1)</f>
        <v>1</v>
      </c>
      <c r="X472" s="16">
        <f t="shared" si="102"/>
        <v>1</v>
      </c>
      <c r="Y472" s="16">
        <f>SUMIFS(Y:Y,AF:AF,AE472)</f>
        <v>94936</v>
      </c>
      <c r="Z472" s="16">
        <f>SUMIFS(Z:Z,AF:AF,AE472)</f>
        <v>2687065.37</v>
      </c>
      <c r="AA472" s="17" t="s">
        <v>15</v>
      </c>
      <c r="AB472" s="40" t="s">
        <v>16</v>
      </c>
      <c r="AC472" s="181">
        <f t="shared" si="89"/>
        <v>1</v>
      </c>
      <c r="AD472" s="183"/>
      <c r="AE472" s="183">
        <v>6</v>
      </c>
      <c r="AF472" s="183"/>
      <c r="AG472" s="101" t="str">
        <f t="shared" si="90"/>
        <v/>
      </c>
      <c r="AH472" s="190">
        <v>1</v>
      </c>
      <c r="AI472" s="69">
        <f t="shared" si="101"/>
        <v>1</v>
      </c>
    </row>
    <row r="473" spans="1:35" s="69" customFormat="1" ht="33" customHeight="1" x14ac:dyDescent="0.3">
      <c r="A473" s="130" t="s">
        <v>1212</v>
      </c>
      <c r="B473" s="131" t="s">
        <v>1213</v>
      </c>
      <c r="C473" s="132" t="s">
        <v>1014</v>
      </c>
      <c r="D473" s="133">
        <v>10</v>
      </c>
      <c r="E473" s="75"/>
      <c r="F473" s="75"/>
      <c r="G473" s="75"/>
      <c r="H473" s="75"/>
      <c r="I473" s="75">
        <v>770</v>
      </c>
      <c r="J473" s="75">
        <v>7700</v>
      </c>
      <c r="K473" s="91" t="s">
        <v>1214</v>
      </c>
      <c r="L473" s="73"/>
      <c r="M473" s="46">
        <v>10</v>
      </c>
      <c r="N473" s="46">
        <v>0</v>
      </c>
      <c r="O473" s="46">
        <v>7700</v>
      </c>
      <c r="P473" s="98"/>
      <c r="Q473" s="23" t="s">
        <v>1421</v>
      </c>
      <c r="R473" s="24" t="s">
        <v>1213</v>
      </c>
      <c r="S473" s="25" t="s">
        <v>1014</v>
      </c>
      <c r="T473" s="26">
        <v>10</v>
      </c>
      <c r="U473" s="26">
        <v>10</v>
      </c>
      <c r="V473" s="26">
        <v>770</v>
      </c>
      <c r="W473" s="127">
        <f t="shared" ref="W473:W491" si="103">AH473-M473</f>
        <v>0</v>
      </c>
      <c r="X473" s="127">
        <f t="shared" si="100"/>
        <v>10</v>
      </c>
      <c r="Y473" s="127">
        <f t="shared" ref="Y473:Y491" si="104">Z473-O473</f>
        <v>0</v>
      </c>
      <c r="Z473" s="127">
        <f t="shared" ref="Z473:Z490" si="105">ROUND(V473*X473,2)</f>
        <v>7700</v>
      </c>
      <c r="AA473" s="33" t="s">
        <v>15</v>
      </c>
      <c r="AB473" s="36" t="s">
        <v>16</v>
      </c>
      <c r="AC473" s="181">
        <f t="shared" si="89"/>
        <v>10</v>
      </c>
      <c r="AD473" s="181">
        <f t="shared" ref="AD473:AD491" si="106">ROUND(V473*AC473,2)</f>
        <v>7700</v>
      </c>
      <c r="AE473" s="181">
        <v>6</v>
      </c>
      <c r="AF473" s="181">
        <v>6</v>
      </c>
      <c r="AG473" s="101" t="str">
        <f t="shared" si="90"/>
        <v/>
      </c>
      <c r="AH473" s="190">
        <v>10</v>
      </c>
      <c r="AI473" s="69">
        <f t="shared" si="101"/>
        <v>10</v>
      </c>
    </row>
    <row r="474" spans="1:35" s="69" customFormat="1" ht="33" customHeight="1" x14ac:dyDescent="0.3">
      <c r="A474" s="130" t="s">
        <v>1215</v>
      </c>
      <c r="B474" s="131" t="s">
        <v>1216</v>
      </c>
      <c r="C474" s="132" t="s">
        <v>1217</v>
      </c>
      <c r="D474" s="133">
        <v>100</v>
      </c>
      <c r="E474" s="75"/>
      <c r="F474" s="75"/>
      <c r="G474" s="75"/>
      <c r="H474" s="75"/>
      <c r="I474" s="75">
        <v>201</v>
      </c>
      <c r="J474" s="75">
        <v>20100</v>
      </c>
      <c r="K474" s="91" t="s">
        <v>1218</v>
      </c>
      <c r="L474" s="73"/>
      <c r="M474" s="46">
        <v>100</v>
      </c>
      <c r="N474" s="46">
        <v>0</v>
      </c>
      <c r="O474" s="46">
        <v>20100</v>
      </c>
      <c r="P474" s="98"/>
      <c r="Q474" s="23" t="s">
        <v>1426</v>
      </c>
      <c r="R474" s="24" t="s">
        <v>1216</v>
      </c>
      <c r="S474" s="25" t="s">
        <v>1217</v>
      </c>
      <c r="T474" s="26">
        <v>100</v>
      </c>
      <c r="U474" s="26">
        <v>100</v>
      </c>
      <c r="V474" s="26">
        <v>201</v>
      </c>
      <c r="W474" s="127">
        <f t="shared" si="103"/>
        <v>0</v>
      </c>
      <c r="X474" s="127">
        <f t="shared" si="100"/>
        <v>100</v>
      </c>
      <c r="Y474" s="127">
        <f t="shared" si="104"/>
        <v>0</v>
      </c>
      <c r="Z474" s="127">
        <f t="shared" si="105"/>
        <v>20100</v>
      </c>
      <c r="AA474" s="33" t="s">
        <v>15</v>
      </c>
      <c r="AB474" s="36" t="s">
        <v>16</v>
      </c>
      <c r="AC474" s="181">
        <f t="shared" si="89"/>
        <v>100</v>
      </c>
      <c r="AD474" s="181">
        <f t="shared" si="106"/>
        <v>20100</v>
      </c>
      <c r="AE474" s="181">
        <v>6</v>
      </c>
      <c r="AF474" s="181">
        <v>6</v>
      </c>
      <c r="AG474" s="101" t="str">
        <f t="shared" si="90"/>
        <v/>
      </c>
      <c r="AH474" s="190">
        <v>100</v>
      </c>
      <c r="AI474" s="69">
        <f t="shared" si="101"/>
        <v>100</v>
      </c>
    </row>
    <row r="475" spans="1:35" s="69" customFormat="1" ht="39" x14ac:dyDescent="0.3">
      <c r="A475" s="130" t="s">
        <v>1219</v>
      </c>
      <c r="B475" s="131" t="s">
        <v>1220</v>
      </c>
      <c r="C475" s="132" t="s">
        <v>1221</v>
      </c>
      <c r="D475" s="133">
        <v>50</v>
      </c>
      <c r="E475" s="75"/>
      <c r="F475" s="75"/>
      <c r="G475" s="75"/>
      <c r="H475" s="75"/>
      <c r="I475" s="75">
        <v>300</v>
      </c>
      <c r="J475" s="75">
        <v>15000</v>
      </c>
      <c r="K475" s="91" t="s">
        <v>1222</v>
      </c>
      <c r="L475" s="73"/>
      <c r="M475" s="46">
        <v>50</v>
      </c>
      <c r="N475" s="46">
        <v>0</v>
      </c>
      <c r="O475" s="46">
        <v>15000</v>
      </c>
      <c r="P475" s="98"/>
      <c r="Q475" s="23" t="s">
        <v>1402</v>
      </c>
      <c r="R475" s="24" t="s">
        <v>1220</v>
      </c>
      <c r="S475" s="25" t="s">
        <v>1221</v>
      </c>
      <c r="T475" s="26">
        <v>50</v>
      </c>
      <c r="U475" s="26">
        <v>50</v>
      </c>
      <c r="V475" s="26">
        <v>300</v>
      </c>
      <c r="W475" s="127">
        <f t="shared" si="103"/>
        <v>0</v>
      </c>
      <c r="X475" s="127">
        <f t="shared" si="100"/>
        <v>50</v>
      </c>
      <c r="Y475" s="127">
        <f t="shared" si="104"/>
        <v>0</v>
      </c>
      <c r="Z475" s="127">
        <f t="shared" si="105"/>
        <v>15000</v>
      </c>
      <c r="AA475" s="33" t="s">
        <v>15</v>
      </c>
      <c r="AB475" s="36" t="s">
        <v>16</v>
      </c>
      <c r="AC475" s="181">
        <f t="shared" si="89"/>
        <v>50</v>
      </c>
      <c r="AD475" s="181">
        <f t="shared" si="106"/>
        <v>15000</v>
      </c>
      <c r="AE475" s="181">
        <v>6</v>
      </c>
      <c r="AF475" s="181">
        <v>6</v>
      </c>
      <c r="AG475" s="101" t="str">
        <f t="shared" si="90"/>
        <v/>
      </c>
      <c r="AH475" s="190">
        <v>50</v>
      </c>
      <c r="AI475" s="69">
        <f t="shared" si="101"/>
        <v>50</v>
      </c>
    </row>
    <row r="476" spans="1:35" s="69" customFormat="1" ht="33" customHeight="1" x14ac:dyDescent="0.3">
      <c r="A476" s="130" t="s">
        <v>1223</v>
      </c>
      <c r="B476" s="131" t="s">
        <v>1224</v>
      </c>
      <c r="C476" s="132" t="s">
        <v>325</v>
      </c>
      <c r="D476" s="133">
        <v>75</v>
      </c>
      <c r="E476" s="75"/>
      <c r="F476" s="75"/>
      <c r="G476" s="75"/>
      <c r="H476" s="75"/>
      <c r="I476" s="75">
        <v>650</v>
      </c>
      <c r="J476" s="75">
        <v>48750</v>
      </c>
      <c r="K476" s="91" t="s">
        <v>1225</v>
      </c>
      <c r="L476" s="73"/>
      <c r="M476" s="46">
        <v>75</v>
      </c>
      <c r="N476" s="46">
        <v>0</v>
      </c>
      <c r="O476" s="46">
        <v>48750</v>
      </c>
      <c r="P476" s="98"/>
      <c r="Q476" s="23" t="s">
        <v>1373</v>
      </c>
      <c r="R476" s="24" t="s">
        <v>1224</v>
      </c>
      <c r="S476" s="25" t="s">
        <v>325</v>
      </c>
      <c r="T476" s="26">
        <v>75</v>
      </c>
      <c r="U476" s="26">
        <v>75</v>
      </c>
      <c r="V476" s="26">
        <v>650</v>
      </c>
      <c r="W476" s="127">
        <f t="shared" si="103"/>
        <v>0</v>
      </c>
      <c r="X476" s="127">
        <f t="shared" si="100"/>
        <v>75</v>
      </c>
      <c r="Y476" s="127">
        <f t="shared" si="104"/>
        <v>0</v>
      </c>
      <c r="Z476" s="127">
        <f t="shared" si="105"/>
        <v>48750</v>
      </c>
      <c r="AA476" s="33" t="s">
        <v>15</v>
      </c>
      <c r="AB476" s="36" t="s">
        <v>16</v>
      </c>
      <c r="AC476" s="181">
        <f t="shared" si="89"/>
        <v>75</v>
      </c>
      <c r="AD476" s="181">
        <f t="shared" si="106"/>
        <v>48750</v>
      </c>
      <c r="AE476" s="181">
        <v>6</v>
      </c>
      <c r="AF476" s="181">
        <v>6</v>
      </c>
      <c r="AG476" s="101" t="str">
        <f t="shared" si="90"/>
        <v/>
      </c>
      <c r="AH476" s="190">
        <v>75</v>
      </c>
      <c r="AI476" s="69">
        <f t="shared" si="101"/>
        <v>75</v>
      </c>
    </row>
    <row r="477" spans="1:35" s="69" customFormat="1" ht="33" customHeight="1" x14ac:dyDescent="0.3">
      <c r="A477" s="130" t="s">
        <v>1226</v>
      </c>
      <c r="B477" s="131" t="s">
        <v>1227</v>
      </c>
      <c r="C477" s="132" t="s">
        <v>1228</v>
      </c>
      <c r="D477" s="133">
        <v>200</v>
      </c>
      <c r="E477" s="75"/>
      <c r="F477" s="75"/>
      <c r="G477" s="75"/>
      <c r="H477" s="75"/>
      <c r="I477" s="75">
        <v>28</v>
      </c>
      <c r="J477" s="75">
        <v>5600</v>
      </c>
      <c r="K477" s="91" t="s">
        <v>1229</v>
      </c>
      <c r="L477" s="73"/>
      <c r="M477" s="46">
        <v>200</v>
      </c>
      <c r="N477" s="46">
        <v>0</v>
      </c>
      <c r="O477" s="46">
        <v>5600</v>
      </c>
      <c r="P477" s="98"/>
      <c r="Q477" s="23" t="s">
        <v>1393</v>
      </c>
      <c r="R477" s="24" t="s">
        <v>1227</v>
      </c>
      <c r="S477" s="25" t="s">
        <v>1228</v>
      </c>
      <c r="T477" s="26">
        <v>200</v>
      </c>
      <c r="U477" s="26">
        <v>200</v>
      </c>
      <c r="V477" s="26">
        <v>28</v>
      </c>
      <c r="W477" s="127">
        <f t="shared" si="103"/>
        <v>0</v>
      </c>
      <c r="X477" s="127">
        <f t="shared" si="100"/>
        <v>200</v>
      </c>
      <c r="Y477" s="127">
        <f t="shared" si="104"/>
        <v>0</v>
      </c>
      <c r="Z477" s="127">
        <f t="shared" si="105"/>
        <v>5600</v>
      </c>
      <c r="AA477" s="33" t="s">
        <v>15</v>
      </c>
      <c r="AB477" s="36" t="s">
        <v>16</v>
      </c>
      <c r="AC477" s="181">
        <f t="shared" si="89"/>
        <v>200</v>
      </c>
      <c r="AD477" s="181">
        <f t="shared" si="106"/>
        <v>5600</v>
      </c>
      <c r="AE477" s="181">
        <v>6</v>
      </c>
      <c r="AF477" s="181">
        <v>6</v>
      </c>
      <c r="AG477" s="101" t="str">
        <f t="shared" si="90"/>
        <v/>
      </c>
      <c r="AH477" s="190">
        <v>200</v>
      </c>
      <c r="AI477" s="69">
        <f t="shared" si="101"/>
        <v>200</v>
      </c>
    </row>
    <row r="478" spans="1:35" s="69" customFormat="1" ht="33" customHeight="1" x14ac:dyDescent="0.3">
      <c r="A478" s="55" t="s">
        <v>1230</v>
      </c>
      <c r="B478" s="53" t="s">
        <v>1231</v>
      </c>
      <c r="C478" s="54" t="s">
        <v>1228</v>
      </c>
      <c r="D478" s="75">
        <v>100</v>
      </c>
      <c r="E478" s="75"/>
      <c r="F478" s="75"/>
      <c r="G478" s="75"/>
      <c r="H478" s="75"/>
      <c r="I478" s="75">
        <v>500</v>
      </c>
      <c r="J478" s="75">
        <v>50000</v>
      </c>
      <c r="K478" s="91" t="s">
        <v>1232</v>
      </c>
      <c r="L478" s="73"/>
      <c r="M478" s="46">
        <v>62</v>
      </c>
      <c r="N478" s="46">
        <v>0</v>
      </c>
      <c r="O478" s="46">
        <v>31000</v>
      </c>
      <c r="P478" s="98"/>
      <c r="Q478" s="23" t="s">
        <v>1403</v>
      </c>
      <c r="R478" s="24" t="s">
        <v>1231</v>
      </c>
      <c r="S478" s="25" t="s">
        <v>1228</v>
      </c>
      <c r="T478" s="26">
        <v>100</v>
      </c>
      <c r="U478" s="26">
        <v>100</v>
      </c>
      <c r="V478" s="26">
        <v>500</v>
      </c>
      <c r="W478" s="128">
        <f t="shared" si="103"/>
        <v>0</v>
      </c>
      <c r="X478" s="26">
        <f t="shared" si="100"/>
        <v>62</v>
      </c>
      <c r="Y478" s="26">
        <f t="shared" si="104"/>
        <v>0</v>
      </c>
      <c r="Z478" s="26">
        <f t="shared" si="105"/>
        <v>31000</v>
      </c>
      <c r="AA478" s="33" t="s">
        <v>15</v>
      </c>
      <c r="AB478" s="36" t="s">
        <v>16</v>
      </c>
      <c r="AC478" s="181">
        <f t="shared" ref="AC478:AC499" si="107">IF(U478="",T478,U478)</f>
        <v>100</v>
      </c>
      <c r="AD478" s="181">
        <f t="shared" si="106"/>
        <v>50000</v>
      </c>
      <c r="AE478" s="181">
        <v>6</v>
      </c>
      <c r="AF478" s="181">
        <v>6</v>
      </c>
      <c r="AG478" s="101" t="str">
        <f t="shared" ref="AG478:AG503" si="108">IF(X478&gt;AI478,"超估","")</f>
        <v/>
      </c>
      <c r="AH478" s="191">
        <v>62</v>
      </c>
      <c r="AI478" s="69">
        <f t="shared" si="101"/>
        <v>100</v>
      </c>
    </row>
    <row r="479" spans="1:35" s="69" customFormat="1" ht="33" customHeight="1" x14ac:dyDescent="0.3">
      <c r="A479" s="55" t="s">
        <v>1233</v>
      </c>
      <c r="B479" s="53" t="s">
        <v>1234</v>
      </c>
      <c r="C479" s="54" t="s">
        <v>1235</v>
      </c>
      <c r="D479" s="75">
        <v>75</v>
      </c>
      <c r="E479" s="75"/>
      <c r="F479" s="75"/>
      <c r="G479" s="75"/>
      <c r="H479" s="75"/>
      <c r="I479" s="75">
        <v>280</v>
      </c>
      <c r="J479" s="75">
        <v>21000</v>
      </c>
      <c r="K479" s="91" t="s">
        <v>1236</v>
      </c>
      <c r="L479" s="73"/>
      <c r="M479" s="46">
        <v>38</v>
      </c>
      <c r="N479" s="46">
        <v>0</v>
      </c>
      <c r="O479" s="46">
        <v>10640</v>
      </c>
      <c r="P479" s="98"/>
      <c r="Q479" s="23" t="s">
        <v>1427</v>
      </c>
      <c r="R479" s="24" t="s">
        <v>1234</v>
      </c>
      <c r="S479" s="25" t="s">
        <v>1235</v>
      </c>
      <c r="T479" s="26">
        <v>75</v>
      </c>
      <c r="U479" s="26">
        <v>75</v>
      </c>
      <c r="V479" s="26">
        <v>280</v>
      </c>
      <c r="W479" s="128">
        <f t="shared" si="103"/>
        <v>0</v>
      </c>
      <c r="X479" s="26">
        <f t="shared" si="100"/>
        <v>38</v>
      </c>
      <c r="Y479" s="26">
        <f t="shared" si="104"/>
        <v>0</v>
      </c>
      <c r="Z479" s="26">
        <f t="shared" si="105"/>
        <v>10640</v>
      </c>
      <c r="AA479" s="33" t="s">
        <v>15</v>
      </c>
      <c r="AB479" s="36" t="s">
        <v>16</v>
      </c>
      <c r="AC479" s="181">
        <f t="shared" si="107"/>
        <v>75</v>
      </c>
      <c r="AD479" s="181">
        <f t="shared" si="106"/>
        <v>21000</v>
      </c>
      <c r="AE479" s="181">
        <v>6</v>
      </c>
      <c r="AF479" s="181">
        <v>6</v>
      </c>
      <c r="AG479" s="101" t="str">
        <f t="shared" si="108"/>
        <v/>
      </c>
      <c r="AH479" s="191">
        <v>38</v>
      </c>
      <c r="AI479" s="69">
        <f t="shared" si="101"/>
        <v>75</v>
      </c>
    </row>
    <row r="480" spans="1:35" s="69" customFormat="1" ht="49.5" x14ac:dyDescent="0.3">
      <c r="A480" s="130" t="s">
        <v>1237</v>
      </c>
      <c r="B480" s="240" t="s">
        <v>1238</v>
      </c>
      <c r="C480" s="132" t="s">
        <v>1235</v>
      </c>
      <c r="D480" s="133">
        <v>50</v>
      </c>
      <c r="E480" s="75"/>
      <c r="F480" s="75"/>
      <c r="G480" s="75"/>
      <c r="H480" s="75"/>
      <c r="I480" s="75">
        <v>350</v>
      </c>
      <c r="J480" s="75">
        <v>17500</v>
      </c>
      <c r="K480" s="91" t="s">
        <v>1239</v>
      </c>
      <c r="L480" s="73"/>
      <c r="M480" s="46">
        <v>50</v>
      </c>
      <c r="N480" s="46">
        <v>0</v>
      </c>
      <c r="O480" s="46">
        <v>17500</v>
      </c>
      <c r="P480" s="98"/>
      <c r="Q480" s="23" t="s">
        <v>1428</v>
      </c>
      <c r="R480" s="24" t="s">
        <v>1238</v>
      </c>
      <c r="S480" s="25" t="s">
        <v>1235</v>
      </c>
      <c r="T480" s="26">
        <v>50</v>
      </c>
      <c r="U480" s="26">
        <v>50</v>
      </c>
      <c r="V480" s="26">
        <v>350</v>
      </c>
      <c r="W480" s="127">
        <f t="shared" si="103"/>
        <v>0</v>
      </c>
      <c r="X480" s="127">
        <f t="shared" si="100"/>
        <v>50</v>
      </c>
      <c r="Y480" s="127">
        <f t="shared" si="104"/>
        <v>0</v>
      </c>
      <c r="Z480" s="127">
        <f t="shared" si="105"/>
        <v>17500</v>
      </c>
      <c r="AA480" s="33" t="s">
        <v>15</v>
      </c>
      <c r="AB480" s="36" t="s">
        <v>16</v>
      </c>
      <c r="AC480" s="181">
        <f t="shared" si="107"/>
        <v>50</v>
      </c>
      <c r="AD480" s="181">
        <f t="shared" si="106"/>
        <v>17500</v>
      </c>
      <c r="AE480" s="181">
        <v>6</v>
      </c>
      <c r="AF480" s="181">
        <v>6</v>
      </c>
      <c r="AG480" s="101" t="str">
        <f t="shared" si="108"/>
        <v/>
      </c>
      <c r="AH480" s="190">
        <v>50</v>
      </c>
      <c r="AI480" s="69">
        <f t="shared" si="101"/>
        <v>50</v>
      </c>
    </row>
    <row r="481" spans="1:38" s="69" customFormat="1" ht="33" customHeight="1" x14ac:dyDescent="0.3">
      <c r="A481" s="130" t="s">
        <v>1240</v>
      </c>
      <c r="B481" s="131" t="s">
        <v>1241</v>
      </c>
      <c r="C481" s="132" t="s">
        <v>325</v>
      </c>
      <c r="D481" s="133">
        <v>10</v>
      </c>
      <c r="E481" s="75"/>
      <c r="F481" s="75"/>
      <c r="G481" s="75"/>
      <c r="H481" s="75"/>
      <c r="I481" s="75">
        <v>560</v>
      </c>
      <c r="J481" s="75">
        <v>5600</v>
      </c>
      <c r="K481" s="91" t="s">
        <v>1242</v>
      </c>
      <c r="L481" s="73"/>
      <c r="M481" s="46">
        <v>10</v>
      </c>
      <c r="N481" s="46">
        <v>0</v>
      </c>
      <c r="O481" s="46">
        <v>5600</v>
      </c>
      <c r="P481" s="98"/>
      <c r="Q481" s="23" t="s">
        <v>1387</v>
      </c>
      <c r="R481" s="24" t="s">
        <v>1241</v>
      </c>
      <c r="S481" s="25" t="s">
        <v>325</v>
      </c>
      <c r="T481" s="26">
        <v>10</v>
      </c>
      <c r="U481" s="26">
        <v>10</v>
      </c>
      <c r="V481" s="26">
        <v>560</v>
      </c>
      <c r="W481" s="127">
        <f t="shared" si="103"/>
        <v>0</v>
      </c>
      <c r="X481" s="127">
        <f t="shared" si="100"/>
        <v>10</v>
      </c>
      <c r="Y481" s="127">
        <f t="shared" si="104"/>
        <v>0</v>
      </c>
      <c r="Z481" s="127">
        <f t="shared" si="105"/>
        <v>5600</v>
      </c>
      <c r="AA481" s="33" t="s">
        <v>15</v>
      </c>
      <c r="AB481" s="36" t="s">
        <v>16</v>
      </c>
      <c r="AC481" s="181">
        <f t="shared" si="107"/>
        <v>10</v>
      </c>
      <c r="AD481" s="181">
        <f t="shared" si="106"/>
        <v>5600</v>
      </c>
      <c r="AE481" s="181">
        <v>6</v>
      </c>
      <c r="AF481" s="181">
        <v>6</v>
      </c>
      <c r="AG481" s="101" t="str">
        <f t="shared" si="108"/>
        <v/>
      </c>
      <c r="AH481" s="191">
        <v>10</v>
      </c>
      <c r="AI481" s="69">
        <f t="shared" si="101"/>
        <v>10</v>
      </c>
    </row>
    <row r="482" spans="1:38" s="69" customFormat="1" ht="33" customHeight="1" x14ac:dyDescent="0.3">
      <c r="A482" s="130" t="s">
        <v>1243</v>
      </c>
      <c r="B482" s="131" t="s">
        <v>1244</v>
      </c>
      <c r="C482" s="132" t="s">
        <v>162</v>
      </c>
      <c r="D482" s="133">
        <v>4</v>
      </c>
      <c r="E482" s="75"/>
      <c r="F482" s="75"/>
      <c r="G482" s="75"/>
      <c r="H482" s="75"/>
      <c r="I482" s="75">
        <v>250</v>
      </c>
      <c r="J482" s="75">
        <v>1000</v>
      </c>
      <c r="K482" s="91" t="s">
        <v>1245</v>
      </c>
      <c r="L482" s="73"/>
      <c r="M482" s="46">
        <v>4</v>
      </c>
      <c r="N482" s="46">
        <v>0</v>
      </c>
      <c r="O482" s="46">
        <v>1000</v>
      </c>
      <c r="P482" s="98"/>
      <c r="Q482" s="23" t="s">
        <v>1405</v>
      </c>
      <c r="R482" s="24" t="s">
        <v>1244</v>
      </c>
      <c r="S482" s="25" t="s">
        <v>162</v>
      </c>
      <c r="T482" s="26">
        <v>4</v>
      </c>
      <c r="U482" s="26">
        <v>4</v>
      </c>
      <c r="V482" s="26">
        <v>250</v>
      </c>
      <c r="W482" s="127">
        <f t="shared" si="103"/>
        <v>0</v>
      </c>
      <c r="X482" s="127">
        <f t="shared" si="100"/>
        <v>4</v>
      </c>
      <c r="Y482" s="127">
        <f t="shared" si="104"/>
        <v>0</v>
      </c>
      <c r="Z482" s="127">
        <f t="shared" si="105"/>
        <v>1000</v>
      </c>
      <c r="AA482" s="33" t="s">
        <v>15</v>
      </c>
      <c r="AB482" s="36" t="s">
        <v>16</v>
      </c>
      <c r="AC482" s="181">
        <f t="shared" si="107"/>
        <v>4</v>
      </c>
      <c r="AD482" s="181">
        <f t="shared" si="106"/>
        <v>1000</v>
      </c>
      <c r="AE482" s="181">
        <v>6</v>
      </c>
      <c r="AF482" s="181">
        <v>6</v>
      </c>
      <c r="AG482" s="101" t="str">
        <f t="shared" si="108"/>
        <v/>
      </c>
      <c r="AH482" s="190">
        <v>4</v>
      </c>
      <c r="AI482" s="69">
        <f t="shared" si="101"/>
        <v>4</v>
      </c>
    </row>
    <row r="483" spans="1:38" s="69" customFormat="1" ht="49.5" customHeight="1" x14ac:dyDescent="0.3">
      <c r="A483" s="130" t="s">
        <v>1246</v>
      </c>
      <c r="B483" s="240" t="s">
        <v>1247</v>
      </c>
      <c r="C483" s="132" t="s">
        <v>325</v>
      </c>
      <c r="D483" s="133">
        <v>5</v>
      </c>
      <c r="E483" s="75"/>
      <c r="F483" s="75"/>
      <c r="G483" s="75"/>
      <c r="H483" s="75"/>
      <c r="I483" s="75">
        <v>8300</v>
      </c>
      <c r="J483" s="75">
        <v>41500</v>
      </c>
      <c r="K483" s="91" t="s">
        <v>1248</v>
      </c>
      <c r="L483" s="73"/>
      <c r="M483" s="46">
        <v>5</v>
      </c>
      <c r="N483" s="46">
        <v>0</v>
      </c>
      <c r="O483" s="46">
        <v>41500</v>
      </c>
      <c r="P483" s="98"/>
      <c r="Q483" s="23" t="s">
        <v>1406</v>
      </c>
      <c r="R483" s="24" t="s">
        <v>1247</v>
      </c>
      <c r="S483" s="25" t="s">
        <v>325</v>
      </c>
      <c r="T483" s="26">
        <v>5</v>
      </c>
      <c r="U483" s="26">
        <v>5</v>
      </c>
      <c r="V483" s="26">
        <v>8300</v>
      </c>
      <c r="W483" s="127">
        <f t="shared" si="103"/>
        <v>0</v>
      </c>
      <c r="X483" s="127">
        <f t="shared" si="100"/>
        <v>5</v>
      </c>
      <c r="Y483" s="127">
        <f t="shared" si="104"/>
        <v>0</v>
      </c>
      <c r="Z483" s="127">
        <f t="shared" si="105"/>
        <v>41500</v>
      </c>
      <c r="AA483" s="33" t="s">
        <v>15</v>
      </c>
      <c r="AB483" s="36" t="s">
        <v>16</v>
      </c>
      <c r="AC483" s="181">
        <f t="shared" si="107"/>
        <v>5</v>
      </c>
      <c r="AD483" s="181">
        <f t="shared" si="106"/>
        <v>41500</v>
      </c>
      <c r="AE483" s="181">
        <v>6</v>
      </c>
      <c r="AF483" s="181">
        <v>6</v>
      </c>
      <c r="AG483" s="101" t="str">
        <f t="shared" si="108"/>
        <v/>
      </c>
      <c r="AH483" s="190">
        <v>5</v>
      </c>
      <c r="AI483" s="69">
        <f t="shared" si="101"/>
        <v>5</v>
      </c>
    </row>
    <row r="484" spans="1:38" s="69" customFormat="1" ht="33" customHeight="1" x14ac:dyDescent="0.3">
      <c r="A484" s="130" t="s">
        <v>1249</v>
      </c>
      <c r="B484" s="131" t="s">
        <v>1250</v>
      </c>
      <c r="C484" s="132" t="s">
        <v>325</v>
      </c>
      <c r="D484" s="133">
        <v>5</v>
      </c>
      <c r="E484" s="75"/>
      <c r="F484" s="75"/>
      <c r="G484" s="75"/>
      <c r="H484" s="75"/>
      <c r="I484" s="75">
        <v>1160</v>
      </c>
      <c r="J484" s="75">
        <v>5800</v>
      </c>
      <c r="K484" s="91" t="s">
        <v>1251</v>
      </c>
      <c r="L484" s="73"/>
      <c r="M484" s="46">
        <v>5</v>
      </c>
      <c r="N484" s="46">
        <v>0</v>
      </c>
      <c r="O484" s="46">
        <v>5800</v>
      </c>
      <c r="P484" s="98"/>
      <c r="Q484" s="23" t="s">
        <v>1414</v>
      </c>
      <c r="R484" s="24" t="s">
        <v>1250</v>
      </c>
      <c r="S484" s="25" t="s">
        <v>325</v>
      </c>
      <c r="T484" s="26">
        <v>5</v>
      </c>
      <c r="U484" s="26">
        <v>5</v>
      </c>
      <c r="V484" s="26">
        <v>1160</v>
      </c>
      <c r="W484" s="127">
        <f t="shared" si="103"/>
        <v>0</v>
      </c>
      <c r="X484" s="127">
        <f t="shared" si="100"/>
        <v>5</v>
      </c>
      <c r="Y484" s="127">
        <f t="shared" si="104"/>
        <v>0</v>
      </c>
      <c r="Z484" s="127">
        <f t="shared" si="105"/>
        <v>5800</v>
      </c>
      <c r="AA484" s="33" t="s">
        <v>15</v>
      </c>
      <c r="AB484" s="36" t="s">
        <v>16</v>
      </c>
      <c r="AC484" s="181">
        <f t="shared" si="107"/>
        <v>5</v>
      </c>
      <c r="AD484" s="181">
        <f t="shared" si="106"/>
        <v>5800</v>
      </c>
      <c r="AE484" s="181">
        <v>6</v>
      </c>
      <c r="AF484" s="181">
        <v>6</v>
      </c>
      <c r="AG484" s="101" t="str">
        <f t="shared" si="108"/>
        <v/>
      </c>
      <c r="AH484" s="190">
        <v>5</v>
      </c>
      <c r="AI484" s="69">
        <f t="shared" si="101"/>
        <v>5</v>
      </c>
    </row>
    <row r="485" spans="1:38" s="69" customFormat="1" ht="49.5" x14ac:dyDescent="0.3">
      <c r="A485" s="130" t="s">
        <v>1252</v>
      </c>
      <c r="B485" s="240" t="s">
        <v>1253</v>
      </c>
      <c r="C485" s="132" t="s">
        <v>325</v>
      </c>
      <c r="D485" s="133">
        <v>5</v>
      </c>
      <c r="E485" s="75"/>
      <c r="F485" s="75"/>
      <c r="G485" s="75"/>
      <c r="H485" s="75"/>
      <c r="I485" s="75">
        <v>600</v>
      </c>
      <c r="J485" s="75">
        <v>3000</v>
      </c>
      <c r="K485" s="91" t="s">
        <v>1254</v>
      </c>
      <c r="L485" s="73"/>
      <c r="M485" s="46">
        <v>5</v>
      </c>
      <c r="N485" s="46">
        <v>0</v>
      </c>
      <c r="O485" s="46">
        <v>3000</v>
      </c>
      <c r="P485" s="98"/>
      <c r="Q485" s="23" t="s">
        <v>1429</v>
      </c>
      <c r="R485" s="24" t="s">
        <v>1253</v>
      </c>
      <c r="S485" s="25" t="s">
        <v>325</v>
      </c>
      <c r="T485" s="26">
        <v>5</v>
      </c>
      <c r="U485" s="26">
        <v>5</v>
      </c>
      <c r="V485" s="26">
        <v>600</v>
      </c>
      <c r="W485" s="127">
        <f t="shared" si="103"/>
        <v>0</v>
      </c>
      <c r="X485" s="127">
        <f t="shared" si="100"/>
        <v>5</v>
      </c>
      <c r="Y485" s="127">
        <f t="shared" si="104"/>
        <v>0</v>
      </c>
      <c r="Z485" s="127">
        <f t="shared" si="105"/>
        <v>3000</v>
      </c>
      <c r="AA485" s="33" t="s">
        <v>15</v>
      </c>
      <c r="AB485" s="36" t="s">
        <v>16</v>
      </c>
      <c r="AC485" s="181">
        <f t="shared" si="107"/>
        <v>5</v>
      </c>
      <c r="AD485" s="181">
        <f t="shared" si="106"/>
        <v>3000</v>
      </c>
      <c r="AE485" s="181">
        <v>6</v>
      </c>
      <c r="AF485" s="181">
        <v>6</v>
      </c>
      <c r="AG485" s="101" t="str">
        <f t="shared" si="108"/>
        <v/>
      </c>
      <c r="AH485" s="190">
        <v>5</v>
      </c>
      <c r="AI485" s="69">
        <f t="shared" si="101"/>
        <v>5</v>
      </c>
    </row>
    <row r="486" spans="1:38" s="69" customFormat="1" ht="49.5" customHeight="1" x14ac:dyDescent="0.3">
      <c r="A486" s="130" t="s">
        <v>1255</v>
      </c>
      <c r="B486" s="240" t="s">
        <v>1256</v>
      </c>
      <c r="C486" s="132" t="s">
        <v>325</v>
      </c>
      <c r="D486" s="133">
        <v>5</v>
      </c>
      <c r="E486" s="75"/>
      <c r="F486" s="75"/>
      <c r="G486" s="75"/>
      <c r="H486" s="75"/>
      <c r="I486" s="75">
        <v>1800</v>
      </c>
      <c r="J486" s="75">
        <v>9000</v>
      </c>
      <c r="K486" s="91" t="s">
        <v>1257</v>
      </c>
      <c r="L486" s="73"/>
      <c r="M486" s="46">
        <v>5</v>
      </c>
      <c r="N486" s="46">
        <v>0</v>
      </c>
      <c r="O486" s="46">
        <v>9000</v>
      </c>
      <c r="P486" s="98"/>
      <c r="Q486" s="23" t="s">
        <v>1430</v>
      </c>
      <c r="R486" s="24" t="s">
        <v>1256</v>
      </c>
      <c r="S486" s="25" t="s">
        <v>325</v>
      </c>
      <c r="T486" s="26">
        <v>5</v>
      </c>
      <c r="U486" s="26">
        <v>5</v>
      </c>
      <c r="V486" s="26">
        <v>1800</v>
      </c>
      <c r="W486" s="127">
        <f t="shared" si="103"/>
        <v>0</v>
      </c>
      <c r="X486" s="127">
        <f t="shared" si="100"/>
        <v>5</v>
      </c>
      <c r="Y486" s="127">
        <f t="shared" si="104"/>
        <v>0</v>
      </c>
      <c r="Z486" s="127">
        <f t="shared" si="105"/>
        <v>9000</v>
      </c>
      <c r="AA486" s="33" t="s">
        <v>15</v>
      </c>
      <c r="AB486" s="36" t="s">
        <v>16</v>
      </c>
      <c r="AC486" s="181">
        <f t="shared" si="107"/>
        <v>5</v>
      </c>
      <c r="AD486" s="181">
        <f t="shared" si="106"/>
        <v>9000</v>
      </c>
      <c r="AE486" s="181">
        <v>6</v>
      </c>
      <c r="AF486" s="181">
        <v>6</v>
      </c>
      <c r="AG486" s="101" t="str">
        <f t="shared" si="108"/>
        <v/>
      </c>
      <c r="AH486" s="190">
        <v>5</v>
      </c>
      <c r="AI486" s="69">
        <f t="shared" si="101"/>
        <v>5</v>
      </c>
    </row>
    <row r="487" spans="1:38" s="69" customFormat="1" ht="39" x14ac:dyDescent="0.3">
      <c r="A487" s="55" t="s">
        <v>1258</v>
      </c>
      <c r="B487" s="53" t="s">
        <v>1259</v>
      </c>
      <c r="C487" s="54" t="s">
        <v>325</v>
      </c>
      <c r="D487" s="75">
        <v>80</v>
      </c>
      <c r="E487" s="75"/>
      <c r="F487" s="75"/>
      <c r="G487" s="75"/>
      <c r="H487" s="75"/>
      <c r="I487" s="75">
        <v>2200</v>
      </c>
      <c r="J487" s="75">
        <v>176000</v>
      </c>
      <c r="K487" s="91" t="s">
        <v>1260</v>
      </c>
      <c r="L487" s="73"/>
      <c r="M487" s="46">
        <v>65</v>
      </c>
      <c r="N487" s="46">
        <v>0</v>
      </c>
      <c r="O487" s="46">
        <v>143000</v>
      </c>
      <c r="P487" s="98"/>
      <c r="Q487" s="23" t="s">
        <v>1431</v>
      </c>
      <c r="R487" s="24" t="s">
        <v>1259</v>
      </c>
      <c r="S487" s="25" t="s">
        <v>325</v>
      </c>
      <c r="T487" s="26">
        <v>80</v>
      </c>
      <c r="U487" s="26">
        <v>80</v>
      </c>
      <c r="V487" s="26">
        <v>2200</v>
      </c>
      <c r="W487" s="128">
        <f t="shared" si="103"/>
        <v>0</v>
      </c>
      <c r="X487" s="26">
        <f t="shared" si="100"/>
        <v>65</v>
      </c>
      <c r="Y487" s="26">
        <f t="shared" si="104"/>
        <v>0</v>
      </c>
      <c r="Z487" s="26">
        <f t="shared" si="105"/>
        <v>143000</v>
      </c>
      <c r="AA487" s="33" t="s">
        <v>15</v>
      </c>
      <c r="AB487" s="36" t="s">
        <v>16</v>
      </c>
      <c r="AC487" s="181">
        <f t="shared" si="107"/>
        <v>80</v>
      </c>
      <c r="AD487" s="181">
        <f t="shared" si="106"/>
        <v>176000</v>
      </c>
      <c r="AE487" s="181">
        <v>6</v>
      </c>
      <c r="AF487" s="181">
        <v>6</v>
      </c>
      <c r="AG487" s="101" t="str">
        <f t="shared" si="108"/>
        <v/>
      </c>
      <c r="AH487" s="191">
        <v>65</v>
      </c>
      <c r="AI487" s="69">
        <f t="shared" si="101"/>
        <v>80</v>
      </c>
    </row>
    <row r="488" spans="1:38" s="69" customFormat="1" ht="42" x14ac:dyDescent="0.3">
      <c r="A488" s="130" t="s">
        <v>1261</v>
      </c>
      <c r="B488" s="131" t="s">
        <v>1262</v>
      </c>
      <c r="C488" s="132" t="s">
        <v>14</v>
      </c>
      <c r="D488" s="133">
        <v>1</v>
      </c>
      <c r="E488" s="75"/>
      <c r="F488" s="75"/>
      <c r="G488" s="75"/>
      <c r="H488" s="75"/>
      <c r="I488" s="75">
        <v>261478.99</v>
      </c>
      <c r="J488" s="75">
        <v>261478.99</v>
      </c>
      <c r="K488" s="91" t="s">
        <v>1263</v>
      </c>
      <c r="L488" s="73"/>
      <c r="M488" s="46">
        <v>1</v>
      </c>
      <c r="N488" s="46">
        <v>0</v>
      </c>
      <c r="O488" s="46">
        <v>261478.99</v>
      </c>
      <c r="P488" s="98"/>
      <c r="Q488" s="23" t="s">
        <v>1395</v>
      </c>
      <c r="R488" s="24" t="s">
        <v>1262</v>
      </c>
      <c r="S488" s="25" t="s">
        <v>14</v>
      </c>
      <c r="T488" s="26">
        <v>1</v>
      </c>
      <c r="U488" s="26">
        <v>1</v>
      </c>
      <c r="V488" s="26">
        <v>261478.99</v>
      </c>
      <c r="W488" s="127">
        <f t="shared" si="103"/>
        <v>0</v>
      </c>
      <c r="X488" s="127">
        <f t="shared" si="100"/>
        <v>1</v>
      </c>
      <c r="Y488" s="127">
        <f t="shared" si="104"/>
        <v>0</v>
      </c>
      <c r="Z488" s="127">
        <f t="shared" si="105"/>
        <v>261478.99</v>
      </c>
      <c r="AA488" s="33" t="s">
        <v>1499</v>
      </c>
      <c r="AB488" s="36" t="s">
        <v>16</v>
      </c>
      <c r="AC488" s="181">
        <f t="shared" si="107"/>
        <v>1</v>
      </c>
      <c r="AD488" s="181">
        <f t="shared" si="106"/>
        <v>261478.99</v>
      </c>
      <c r="AE488" s="181">
        <v>6</v>
      </c>
      <c r="AF488" s="181">
        <v>6</v>
      </c>
      <c r="AG488" s="101" t="str">
        <f t="shared" si="108"/>
        <v/>
      </c>
      <c r="AH488" s="190">
        <v>1</v>
      </c>
      <c r="AI488" s="69">
        <f t="shared" si="101"/>
        <v>1</v>
      </c>
    </row>
    <row r="489" spans="1:38" s="69" customFormat="1" ht="39" x14ac:dyDescent="0.3">
      <c r="A489" s="55" t="s">
        <v>1264</v>
      </c>
      <c r="B489" s="53" t="s">
        <v>1265</v>
      </c>
      <c r="C489" s="54" t="s">
        <v>30</v>
      </c>
      <c r="D489" s="75">
        <v>5000</v>
      </c>
      <c r="E489" s="75"/>
      <c r="F489" s="75"/>
      <c r="G489" s="75"/>
      <c r="H489" s="75"/>
      <c r="I489" s="75">
        <v>13</v>
      </c>
      <c r="J489" s="75">
        <v>65000</v>
      </c>
      <c r="K489" s="91" t="s">
        <v>1266</v>
      </c>
      <c r="L489" s="73"/>
      <c r="M489" s="46">
        <v>0</v>
      </c>
      <c r="N489" s="46">
        <v>0</v>
      </c>
      <c r="O489" s="46">
        <v>0</v>
      </c>
      <c r="P489" s="98"/>
      <c r="Q489" s="23" t="s">
        <v>1432</v>
      </c>
      <c r="R489" s="24" t="s">
        <v>1265</v>
      </c>
      <c r="S489" s="25" t="s">
        <v>30</v>
      </c>
      <c r="T489" s="26">
        <v>5000</v>
      </c>
      <c r="U489" s="26">
        <v>5000</v>
      </c>
      <c r="V489" s="26">
        <v>13</v>
      </c>
      <c r="W489" s="26">
        <f t="shared" si="103"/>
        <v>0</v>
      </c>
      <c r="X489" s="26">
        <f t="shared" si="100"/>
        <v>0</v>
      </c>
      <c r="Y489" s="26">
        <f t="shared" si="104"/>
        <v>0</v>
      </c>
      <c r="Z489" s="26">
        <f t="shared" si="105"/>
        <v>0</v>
      </c>
      <c r="AA489" s="33" t="s">
        <v>15</v>
      </c>
      <c r="AB489" s="36" t="s">
        <v>16</v>
      </c>
      <c r="AC489" s="181">
        <f t="shared" si="107"/>
        <v>5000</v>
      </c>
      <c r="AD489" s="181">
        <f t="shared" si="106"/>
        <v>65000</v>
      </c>
      <c r="AE489" s="181">
        <v>6</v>
      </c>
      <c r="AF489" s="181">
        <v>6</v>
      </c>
      <c r="AG489" s="101" t="str">
        <f t="shared" si="108"/>
        <v/>
      </c>
      <c r="AH489" s="190">
        <v>0</v>
      </c>
      <c r="AI489" s="69">
        <f t="shared" si="101"/>
        <v>5000</v>
      </c>
    </row>
    <row r="490" spans="1:38" s="69" customFormat="1" ht="39" x14ac:dyDescent="0.3">
      <c r="A490" s="55" t="s">
        <v>1267</v>
      </c>
      <c r="B490" s="53" t="s">
        <v>1268</v>
      </c>
      <c r="C490" s="54" t="s">
        <v>1269</v>
      </c>
      <c r="D490" s="75">
        <v>48</v>
      </c>
      <c r="E490" s="75"/>
      <c r="F490" s="75"/>
      <c r="G490" s="75"/>
      <c r="H490" s="75"/>
      <c r="I490" s="75">
        <v>47468</v>
      </c>
      <c r="J490" s="75">
        <v>2278464</v>
      </c>
      <c r="K490" s="91" t="s">
        <v>1270</v>
      </c>
      <c r="L490" s="73"/>
      <c r="M490" s="46">
        <v>40</v>
      </c>
      <c r="N490" s="46">
        <v>47468</v>
      </c>
      <c r="O490" s="46">
        <v>1898720</v>
      </c>
      <c r="P490" s="98"/>
      <c r="Q490" s="23" t="s">
        <v>1433</v>
      </c>
      <c r="R490" s="24" t="s">
        <v>1268</v>
      </c>
      <c r="S490" s="25" t="s">
        <v>1269</v>
      </c>
      <c r="T490" s="26">
        <v>48</v>
      </c>
      <c r="U490" s="26">
        <v>48</v>
      </c>
      <c r="V490" s="26">
        <v>47468</v>
      </c>
      <c r="W490" s="250">
        <f t="shared" si="103"/>
        <v>2</v>
      </c>
      <c r="X490" s="26">
        <f t="shared" si="100"/>
        <v>42</v>
      </c>
      <c r="Y490" s="26">
        <f>Z490-O490</f>
        <v>94936</v>
      </c>
      <c r="Z490" s="26">
        <f t="shared" si="105"/>
        <v>1993656</v>
      </c>
      <c r="AA490" s="33" t="s">
        <v>15</v>
      </c>
      <c r="AB490" s="36" t="s">
        <v>16</v>
      </c>
      <c r="AC490" s="181">
        <f t="shared" si="107"/>
        <v>48</v>
      </c>
      <c r="AD490" s="181">
        <f t="shared" si="106"/>
        <v>2278464</v>
      </c>
      <c r="AE490" s="181">
        <v>6</v>
      </c>
      <c r="AF490" s="181">
        <v>6</v>
      </c>
      <c r="AG490" s="101" t="str">
        <f t="shared" si="108"/>
        <v/>
      </c>
      <c r="AH490" s="191">
        <f>39+1+2</f>
        <v>42</v>
      </c>
      <c r="AI490" s="69">
        <f t="shared" si="101"/>
        <v>48</v>
      </c>
    </row>
    <row r="491" spans="1:38" s="69" customFormat="1" ht="39" x14ac:dyDescent="0.3">
      <c r="A491" s="55" t="s">
        <v>1271</v>
      </c>
      <c r="B491" s="53" t="s">
        <v>1272</v>
      </c>
      <c r="C491" s="54" t="s">
        <v>14</v>
      </c>
      <c r="D491" s="75">
        <v>1</v>
      </c>
      <c r="E491" s="75"/>
      <c r="F491" s="75"/>
      <c r="G491" s="75"/>
      <c r="H491" s="75"/>
      <c r="I491" s="75">
        <v>111233.97</v>
      </c>
      <c r="J491" s="75">
        <v>111233.97</v>
      </c>
      <c r="K491" s="91" t="s">
        <v>1273</v>
      </c>
      <c r="L491" s="73"/>
      <c r="M491" s="46">
        <v>0.59999998201988114</v>
      </c>
      <c r="N491" s="46">
        <v>0</v>
      </c>
      <c r="O491" s="46">
        <v>66740.38</v>
      </c>
      <c r="P491" s="98"/>
      <c r="Q491" s="23" t="s">
        <v>1382</v>
      </c>
      <c r="R491" s="24" t="s">
        <v>1272</v>
      </c>
      <c r="S491" s="25" t="s">
        <v>14</v>
      </c>
      <c r="T491" s="26">
        <v>1</v>
      </c>
      <c r="U491" s="26">
        <v>1</v>
      </c>
      <c r="V491" s="26">
        <v>111233.97</v>
      </c>
      <c r="W491" s="128">
        <f t="shared" si="103"/>
        <v>0.40000001798011886</v>
      </c>
      <c r="X491" s="26">
        <v>0.59999998201988114</v>
      </c>
      <c r="Y491" s="136">
        <f t="shared" si="104"/>
        <v>0</v>
      </c>
      <c r="Z491" s="26">
        <f>ROUND(V491*X491,2)</f>
        <v>66740.38</v>
      </c>
      <c r="AA491" s="33" t="s">
        <v>15</v>
      </c>
      <c r="AB491" s="36" t="s">
        <v>16</v>
      </c>
      <c r="AC491" s="181">
        <f t="shared" si="107"/>
        <v>1</v>
      </c>
      <c r="AD491" s="181">
        <f t="shared" si="106"/>
        <v>111233.97</v>
      </c>
      <c r="AE491" s="181">
        <v>6</v>
      </c>
      <c r="AF491" s="181">
        <v>6</v>
      </c>
      <c r="AG491" s="101" t="str">
        <f t="shared" si="108"/>
        <v/>
      </c>
      <c r="AH491" s="191">
        <v>1</v>
      </c>
      <c r="AI491" s="69">
        <f t="shared" si="101"/>
        <v>1</v>
      </c>
      <c r="AL491" s="69">
        <f>O491/Z491</f>
        <v>1</v>
      </c>
    </row>
    <row r="492" spans="1:38" s="69" customFormat="1" ht="33" x14ac:dyDescent="0.3">
      <c r="A492" s="85" t="s">
        <v>1274</v>
      </c>
      <c r="B492" s="86" t="s">
        <v>1275</v>
      </c>
      <c r="C492" s="87" t="s">
        <v>14</v>
      </c>
      <c r="D492" s="88">
        <v>1</v>
      </c>
      <c r="E492" s="88"/>
      <c r="F492" s="88"/>
      <c r="G492" s="88"/>
      <c r="H492" s="88"/>
      <c r="I492" s="88"/>
      <c r="J492" s="88">
        <v>2884379.96</v>
      </c>
      <c r="K492" s="95" t="s">
        <v>15</v>
      </c>
      <c r="L492" s="73"/>
      <c r="M492" s="42">
        <v>1</v>
      </c>
      <c r="N492" s="42">
        <v>47468</v>
      </c>
      <c r="O492" s="42">
        <v>2322861.17</v>
      </c>
      <c r="P492" s="98"/>
      <c r="Q492" s="13" t="s">
        <v>1416</v>
      </c>
      <c r="R492" s="14" t="s">
        <v>1275</v>
      </c>
      <c r="S492" s="15" t="s">
        <v>14</v>
      </c>
      <c r="T492" s="16">
        <v>1</v>
      </c>
      <c r="U492" s="16"/>
      <c r="V492" s="16">
        <f>SUMIFS(AD:AD,AE:AE,AE492)</f>
        <v>2884379.96</v>
      </c>
      <c r="W492" s="16">
        <f t="shared" ref="W492:X492" si="109">IF(Y492=0,0,1)</f>
        <v>1</v>
      </c>
      <c r="X492" s="16">
        <f t="shared" si="109"/>
        <v>1</v>
      </c>
      <c r="Y492" s="16">
        <f>SUMIFS(Y:Y,AF:AF,AE492)</f>
        <v>94936</v>
      </c>
      <c r="Z492" s="16">
        <f>SUMIFS(Z:Z,AF:AF,AE492)</f>
        <v>2417797.17</v>
      </c>
      <c r="AA492" s="17" t="s">
        <v>15</v>
      </c>
      <c r="AB492" s="40" t="s">
        <v>16</v>
      </c>
      <c r="AC492" s="181">
        <f t="shared" si="107"/>
        <v>1</v>
      </c>
      <c r="AD492" s="183"/>
      <c r="AE492" s="183">
        <v>7</v>
      </c>
      <c r="AF492" s="183"/>
      <c r="AG492" s="101" t="str">
        <f t="shared" si="108"/>
        <v/>
      </c>
      <c r="AH492" s="190">
        <v>1</v>
      </c>
      <c r="AI492" s="69">
        <f t="shared" si="101"/>
        <v>1</v>
      </c>
    </row>
    <row r="493" spans="1:38" s="69" customFormat="1" ht="39" x14ac:dyDescent="0.3">
      <c r="A493" s="55" t="s">
        <v>1276</v>
      </c>
      <c r="B493" s="53" t="s">
        <v>1277</v>
      </c>
      <c r="C493" s="54" t="s">
        <v>1269</v>
      </c>
      <c r="D493" s="75">
        <v>48</v>
      </c>
      <c r="E493" s="75"/>
      <c r="F493" s="75"/>
      <c r="G493" s="75"/>
      <c r="H493" s="75"/>
      <c r="I493" s="75">
        <v>47468</v>
      </c>
      <c r="J493" s="75">
        <v>2278464</v>
      </c>
      <c r="K493" s="91" t="s">
        <v>1278</v>
      </c>
      <c r="L493" s="73"/>
      <c r="M493" s="46">
        <v>40</v>
      </c>
      <c r="N493" s="46">
        <v>47468</v>
      </c>
      <c r="O493" s="46">
        <v>1898720</v>
      </c>
      <c r="P493" s="98"/>
      <c r="Q493" s="23" t="s">
        <v>1421</v>
      </c>
      <c r="R493" s="24" t="s">
        <v>1277</v>
      </c>
      <c r="S493" s="25" t="s">
        <v>1269</v>
      </c>
      <c r="T493" s="26">
        <v>48</v>
      </c>
      <c r="U493" s="26">
        <v>48</v>
      </c>
      <c r="V493" s="26">
        <v>47468</v>
      </c>
      <c r="W493" s="102">
        <f t="shared" ref="W493:W494" si="110">AH493-M493</f>
        <v>2</v>
      </c>
      <c r="X493" s="26">
        <f t="shared" si="100"/>
        <v>42</v>
      </c>
      <c r="Y493" s="26">
        <f>Z493-O493</f>
        <v>94936</v>
      </c>
      <c r="Z493" s="26">
        <f t="shared" ref="Z493:Z494" si="111">ROUND(V493*X493,2)</f>
        <v>1993656</v>
      </c>
      <c r="AA493" s="33" t="s">
        <v>15</v>
      </c>
      <c r="AB493" s="36" t="s">
        <v>16</v>
      </c>
      <c r="AC493" s="181">
        <f t="shared" si="107"/>
        <v>48</v>
      </c>
      <c r="AD493" s="181">
        <f t="shared" ref="AD493:AD494" si="112">ROUND(V493*AC493,2)</f>
        <v>2278464</v>
      </c>
      <c r="AE493" s="181">
        <v>7</v>
      </c>
      <c r="AF493" s="181">
        <v>7</v>
      </c>
      <c r="AG493" s="101" t="str">
        <f t="shared" si="108"/>
        <v/>
      </c>
      <c r="AH493" s="191">
        <f>39+1+2</f>
        <v>42</v>
      </c>
      <c r="AI493" s="69">
        <f t="shared" si="101"/>
        <v>48</v>
      </c>
    </row>
    <row r="494" spans="1:38" s="69" customFormat="1" ht="33" x14ac:dyDescent="0.3">
      <c r="A494" s="55" t="s">
        <v>1279</v>
      </c>
      <c r="B494" s="53" t="s">
        <v>1280</v>
      </c>
      <c r="C494" s="54" t="s">
        <v>14</v>
      </c>
      <c r="D494" s="75">
        <v>1</v>
      </c>
      <c r="E494" s="75"/>
      <c r="F494" s="75"/>
      <c r="G494" s="75"/>
      <c r="H494" s="75"/>
      <c r="I494" s="75">
        <v>605915.96</v>
      </c>
      <c r="J494" s="75">
        <v>605915.96</v>
      </c>
      <c r="K494" s="91" t="s">
        <v>1281</v>
      </c>
      <c r="L494" s="73"/>
      <c r="M494" s="46">
        <v>0.6999999966992122</v>
      </c>
      <c r="N494" s="46">
        <v>0</v>
      </c>
      <c r="O494" s="46">
        <v>424141.17</v>
      </c>
      <c r="P494" s="98"/>
      <c r="Q494" s="23" t="s">
        <v>1426</v>
      </c>
      <c r="R494" s="24" t="s">
        <v>1280</v>
      </c>
      <c r="S494" s="25" t="s">
        <v>14</v>
      </c>
      <c r="T494" s="26">
        <v>1</v>
      </c>
      <c r="U494" s="26">
        <v>1</v>
      </c>
      <c r="V494" s="26">
        <v>605915.96</v>
      </c>
      <c r="W494" s="128">
        <f t="shared" si="110"/>
        <v>3.3007877542345909E-9</v>
      </c>
      <c r="X494" s="26">
        <v>0.6999999966992122</v>
      </c>
      <c r="Y494" s="136">
        <f>Z494-O494</f>
        <v>0</v>
      </c>
      <c r="Z494" s="26">
        <f t="shared" si="111"/>
        <v>424141.17</v>
      </c>
      <c r="AA494" s="33" t="s">
        <v>15</v>
      </c>
      <c r="AB494" s="36" t="s">
        <v>16</v>
      </c>
      <c r="AC494" s="181">
        <f t="shared" si="107"/>
        <v>1</v>
      </c>
      <c r="AD494" s="181">
        <f t="shared" si="112"/>
        <v>605915.96</v>
      </c>
      <c r="AE494" s="181">
        <v>7</v>
      </c>
      <c r="AF494" s="181">
        <v>7</v>
      </c>
      <c r="AG494" s="101" t="str">
        <f t="shared" si="108"/>
        <v/>
      </c>
      <c r="AH494" s="191">
        <v>0.7</v>
      </c>
      <c r="AI494" s="69">
        <f t="shared" si="101"/>
        <v>1</v>
      </c>
      <c r="AL494" s="69">
        <f>O494/Z494</f>
        <v>1</v>
      </c>
    </row>
    <row r="495" spans="1:38" s="69" customFormat="1" ht="63" x14ac:dyDescent="0.3">
      <c r="A495" s="85" t="s">
        <v>1282</v>
      </c>
      <c r="B495" s="86" t="s">
        <v>1283</v>
      </c>
      <c r="C495" s="87" t="s">
        <v>14</v>
      </c>
      <c r="D495" s="88">
        <v>1</v>
      </c>
      <c r="E495" s="88"/>
      <c r="F495" s="88"/>
      <c r="G495" s="88"/>
      <c r="H495" s="88"/>
      <c r="I495" s="88"/>
      <c r="J495" s="88">
        <v>37525596.329999998</v>
      </c>
      <c r="K495" s="95" t="s">
        <v>1284</v>
      </c>
      <c r="L495" s="73"/>
      <c r="M495" s="42">
        <v>1</v>
      </c>
      <c r="N495" s="42">
        <v>1031116.1499999762</v>
      </c>
      <c r="O495" s="42">
        <v>28831308.109999977</v>
      </c>
      <c r="P495" s="98"/>
      <c r="Q495" s="28" t="s">
        <v>1417</v>
      </c>
      <c r="R495" s="29" t="s">
        <v>1283</v>
      </c>
      <c r="S495" s="30" t="s">
        <v>14</v>
      </c>
      <c r="T495" s="31">
        <v>1</v>
      </c>
      <c r="U495" s="31"/>
      <c r="V495" s="31">
        <v>37525596.329999998</v>
      </c>
      <c r="W495" s="31">
        <f t="shared" ref="W495:X496" si="113">IF(Y495=0,0,1)</f>
        <v>1</v>
      </c>
      <c r="X495" s="31">
        <f t="shared" si="113"/>
        <v>1</v>
      </c>
      <c r="Y495" s="31">
        <f>Z495-O495</f>
        <v>720527.28000000119</v>
      </c>
      <c r="Z495" s="31">
        <f>Z7-Z8-Z377-Z407-Z447-Z451-Z472-Z492-Z496-Z498</f>
        <v>29551835.389999978</v>
      </c>
      <c r="AA495" s="32" t="s">
        <v>1418</v>
      </c>
      <c r="AB495" s="40" t="s">
        <v>16</v>
      </c>
      <c r="AC495" s="181">
        <f t="shared" si="107"/>
        <v>1</v>
      </c>
      <c r="AD495" s="183"/>
      <c r="AE495" s="183">
        <v>8</v>
      </c>
      <c r="AF495" s="183"/>
      <c r="AG495" s="101" t="str">
        <f t="shared" si="108"/>
        <v/>
      </c>
      <c r="AH495" s="190">
        <v>1</v>
      </c>
      <c r="AI495" s="69">
        <f t="shared" si="101"/>
        <v>1</v>
      </c>
    </row>
    <row r="496" spans="1:38" s="69" customFormat="1" ht="157.5" x14ac:dyDescent="0.3">
      <c r="A496" s="85" t="s">
        <v>1285</v>
      </c>
      <c r="B496" s="86" t="s">
        <v>1286</v>
      </c>
      <c r="C496" s="87" t="s">
        <v>14</v>
      </c>
      <c r="D496" s="88">
        <v>1</v>
      </c>
      <c r="E496" s="88"/>
      <c r="F496" s="88"/>
      <c r="G496" s="88"/>
      <c r="H496" s="88"/>
      <c r="I496" s="88"/>
      <c r="J496" s="88">
        <v>3336000</v>
      </c>
      <c r="K496" s="95" t="s">
        <v>1287</v>
      </c>
      <c r="L496" s="73"/>
      <c r="M496" s="42">
        <v>1</v>
      </c>
      <c r="N496" s="42">
        <v>0</v>
      </c>
      <c r="O496" s="42">
        <v>2863500</v>
      </c>
      <c r="P496" s="98"/>
      <c r="Q496" s="13" t="s">
        <v>1419</v>
      </c>
      <c r="R496" s="14" t="s">
        <v>1286</v>
      </c>
      <c r="S496" s="15" t="s">
        <v>14</v>
      </c>
      <c r="T496" s="16">
        <v>1</v>
      </c>
      <c r="U496" s="16"/>
      <c r="V496" s="16">
        <f>SUMIFS(AD:AD,AE:AE,AE496)</f>
        <v>3336000</v>
      </c>
      <c r="W496" s="16">
        <f t="shared" si="113"/>
        <v>1</v>
      </c>
      <c r="X496" s="16">
        <f t="shared" si="113"/>
        <v>1</v>
      </c>
      <c r="Y496" s="16">
        <f>SUMIFS(Y:Y,AF:AF,AE496)</f>
        <v>471600</v>
      </c>
      <c r="Z496" s="16">
        <f>SUMIFS(Z:Z,AF:AF,AE496)</f>
        <v>3335100</v>
      </c>
      <c r="AA496" s="17" t="s">
        <v>1287</v>
      </c>
      <c r="AB496" s="40" t="s">
        <v>16</v>
      </c>
      <c r="AC496" s="181">
        <f t="shared" si="107"/>
        <v>1</v>
      </c>
      <c r="AD496" s="183"/>
      <c r="AE496" s="183">
        <v>9</v>
      </c>
      <c r="AF496" s="183"/>
      <c r="AG496" s="101" t="str">
        <f t="shared" si="108"/>
        <v/>
      </c>
      <c r="AH496" s="190">
        <v>1</v>
      </c>
      <c r="AI496" s="69">
        <f t="shared" si="101"/>
        <v>1</v>
      </c>
    </row>
    <row r="497" spans="1:35" s="69" customFormat="1" ht="33" x14ac:dyDescent="0.3">
      <c r="A497" s="55" t="s">
        <v>1288</v>
      </c>
      <c r="B497" s="53" t="s">
        <v>1286</v>
      </c>
      <c r="C497" s="54" t="s">
        <v>23</v>
      </c>
      <c r="D497" s="75">
        <v>22240</v>
      </c>
      <c r="E497" s="75"/>
      <c r="F497" s="75"/>
      <c r="G497" s="75"/>
      <c r="H497" s="75"/>
      <c r="I497" s="75">
        <v>150</v>
      </c>
      <c r="J497" s="75">
        <v>3336000</v>
      </c>
      <c r="K497" s="91" t="s">
        <v>1289</v>
      </c>
      <c r="L497" s="73"/>
      <c r="M497" s="46">
        <v>19090</v>
      </c>
      <c r="N497" s="46">
        <v>0</v>
      </c>
      <c r="O497" s="46">
        <v>2863500</v>
      </c>
      <c r="P497" s="98"/>
      <c r="Q497" s="23" t="s">
        <v>1421</v>
      </c>
      <c r="R497" s="24" t="s">
        <v>1286</v>
      </c>
      <c r="S497" s="25" t="s">
        <v>23</v>
      </c>
      <c r="T497" s="26">
        <v>22240</v>
      </c>
      <c r="U497" s="26">
        <v>22240</v>
      </c>
      <c r="V497" s="26">
        <v>150</v>
      </c>
      <c r="W497" s="103">
        <f t="shared" ref="W497" si="114">AH497-M497</f>
        <v>3144</v>
      </c>
      <c r="X497" s="26">
        <f t="shared" ref="X497" si="115">W497+M497</f>
        <v>22234</v>
      </c>
      <c r="Y497" s="26">
        <f>Z497-O497</f>
        <v>471600</v>
      </c>
      <c r="Z497" s="26">
        <f>ROUND(V497*X497,2)</f>
        <v>3335100</v>
      </c>
      <c r="AA497" s="33" t="s">
        <v>15</v>
      </c>
      <c r="AB497" s="36" t="s">
        <v>16</v>
      </c>
      <c r="AC497" s="181">
        <f t="shared" si="107"/>
        <v>22240</v>
      </c>
      <c r="AD497" s="181">
        <f t="shared" ref="AD497" si="116">ROUND(V497*AC497,2)</f>
        <v>3336000</v>
      </c>
      <c r="AE497" s="181">
        <v>9</v>
      </c>
      <c r="AF497" s="181">
        <v>9</v>
      </c>
      <c r="AG497" s="101" t="str">
        <f t="shared" si="108"/>
        <v/>
      </c>
      <c r="AH497" s="190">
        <f>AH16+3144</f>
        <v>22234</v>
      </c>
      <c r="AI497" s="69">
        <f t="shared" si="101"/>
        <v>22240</v>
      </c>
    </row>
    <row r="498" spans="1:35" s="69" customFormat="1" ht="178.5" x14ac:dyDescent="0.3">
      <c r="A498" s="85" t="s">
        <v>1290</v>
      </c>
      <c r="B498" s="86" t="s">
        <v>1291</v>
      </c>
      <c r="C498" s="87" t="s">
        <v>14</v>
      </c>
      <c r="D498" s="88">
        <v>1</v>
      </c>
      <c r="E498" s="88"/>
      <c r="F498" s="88"/>
      <c r="G498" s="88"/>
      <c r="H498" s="88"/>
      <c r="I498" s="88"/>
      <c r="J498" s="88">
        <v>212800</v>
      </c>
      <c r="K498" s="95" t="s">
        <v>1292</v>
      </c>
      <c r="L498" s="73"/>
      <c r="M498" s="42">
        <v>1</v>
      </c>
      <c r="N498" s="42">
        <v>0</v>
      </c>
      <c r="O498" s="42">
        <v>212800</v>
      </c>
      <c r="P498" s="98"/>
      <c r="Q498" s="13" t="s">
        <v>1420</v>
      </c>
      <c r="R498" s="14" t="s">
        <v>1291</v>
      </c>
      <c r="S498" s="15" t="s">
        <v>14</v>
      </c>
      <c r="T498" s="16">
        <v>1</v>
      </c>
      <c r="U498" s="16"/>
      <c r="V498" s="16">
        <f>SUMIFS(AD:AD,AE:AE,AE498)</f>
        <v>212800</v>
      </c>
      <c r="W498" s="16">
        <f t="shared" ref="W498:X498" si="117">IF(Y498=0,0,1)</f>
        <v>0</v>
      </c>
      <c r="X498" s="16">
        <f t="shared" si="117"/>
        <v>1</v>
      </c>
      <c r="Y498" s="16">
        <f>SUMIFS(Y:Y,AF:AF,AE498)</f>
        <v>0</v>
      </c>
      <c r="Z498" s="16">
        <f>SUMIFS(Z:Z,AF:AF,AE498)</f>
        <v>212800</v>
      </c>
      <c r="AA498" s="17" t="s">
        <v>1292</v>
      </c>
      <c r="AB498" s="40" t="s">
        <v>16</v>
      </c>
      <c r="AC498" s="181">
        <f t="shared" si="107"/>
        <v>1</v>
      </c>
      <c r="AD498" s="183"/>
      <c r="AE498" s="183">
        <v>10</v>
      </c>
      <c r="AF498" s="183"/>
      <c r="AG498" s="101" t="str">
        <f t="shared" si="108"/>
        <v/>
      </c>
      <c r="AH498" s="190">
        <v>1</v>
      </c>
      <c r="AI498" s="69">
        <f t="shared" si="101"/>
        <v>1</v>
      </c>
    </row>
    <row r="499" spans="1:35" s="69" customFormat="1" ht="33" x14ac:dyDescent="0.3">
      <c r="A499" s="55" t="s">
        <v>1293</v>
      </c>
      <c r="B499" s="53" t="s">
        <v>1294</v>
      </c>
      <c r="C499" s="54" t="s">
        <v>50</v>
      </c>
      <c r="D499" s="75">
        <v>3800</v>
      </c>
      <c r="E499" s="75"/>
      <c r="F499" s="75"/>
      <c r="G499" s="75"/>
      <c r="H499" s="75"/>
      <c r="I499" s="75">
        <v>56</v>
      </c>
      <c r="J499" s="75">
        <v>212800</v>
      </c>
      <c r="K499" s="91" t="s">
        <v>1295</v>
      </c>
      <c r="L499" s="73"/>
      <c r="M499" s="46">
        <v>3800</v>
      </c>
      <c r="N499" s="46">
        <v>0</v>
      </c>
      <c r="O499" s="46">
        <v>212800</v>
      </c>
      <c r="P499" s="98"/>
      <c r="Q499" s="23" t="s">
        <v>1421</v>
      </c>
      <c r="R499" s="24" t="s">
        <v>1294</v>
      </c>
      <c r="S499" s="25" t="s">
        <v>50</v>
      </c>
      <c r="T499" s="26">
        <v>3800</v>
      </c>
      <c r="U499" s="26">
        <v>3800</v>
      </c>
      <c r="V499" s="26">
        <v>56</v>
      </c>
      <c r="W499" s="26">
        <f t="shared" ref="W499" si="118">AH499-M499</f>
        <v>0</v>
      </c>
      <c r="X499" s="26">
        <f t="shared" ref="X499" si="119">W499+M499</f>
        <v>3800</v>
      </c>
      <c r="Y499" s="26">
        <v>0</v>
      </c>
      <c r="Z499" s="26">
        <f t="shared" ref="Z499" si="120">ROUND(V499*X499,2)</f>
        <v>212800</v>
      </c>
      <c r="AA499" s="33" t="s">
        <v>15</v>
      </c>
      <c r="AB499" s="36" t="s">
        <v>16</v>
      </c>
      <c r="AC499" s="181">
        <f t="shared" si="107"/>
        <v>3800</v>
      </c>
      <c r="AD499" s="181">
        <f t="shared" ref="AD499" si="121">ROUND(V499*AC499,2)</f>
        <v>212800</v>
      </c>
      <c r="AE499" s="181">
        <v>10</v>
      </c>
      <c r="AF499" s="181">
        <v>10</v>
      </c>
      <c r="AG499" s="101" t="str">
        <f t="shared" si="108"/>
        <v/>
      </c>
      <c r="AH499" s="190">
        <v>3800</v>
      </c>
      <c r="AI499" s="69">
        <f t="shared" si="101"/>
        <v>3800</v>
      </c>
    </row>
    <row r="500" spans="1:35" s="69" customFormat="1" ht="33" x14ac:dyDescent="0.3">
      <c r="A500" s="52"/>
      <c r="B500" s="53" t="s">
        <v>1296</v>
      </c>
      <c r="C500" s="54"/>
      <c r="D500" s="75"/>
      <c r="E500" s="75"/>
      <c r="F500" s="75"/>
      <c r="G500" s="75"/>
      <c r="H500" s="75"/>
      <c r="I500" s="75"/>
      <c r="J500" s="75"/>
      <c r="K500" s="91"/>
      <c r="L500" s="73"/>
      <c r="M500" s="46"/>
      <c r="N500" s="46">
        <v>9355400</v>
      </c>
      <c r="O500" s="46">
        <v>284759600</v>
      </c>
      <c r="P500" s="98"/>
      <c r="Q500" s="23" t="s">
        <v>1421</v>
      </c>
      <c r="R500" s="24" t="s">
        <v>1422</v>
      </c>
      <c r="S500" s="25"/>
      <c r="T500" s="26"/>
      <c r="U500" s="26"/>
      <c r="V500" s="26"/>
      <c r="W500" s="26"/>
      <c r="X500" s="26"/>
      <c r="Y500" s="26">
        <f>Y8+Y377+Y407+Y447+Y451+Y472+Y492+Y495+Y496+Y498</f>
        <v>7772700.0000000019</v>
      </c>
      <c r="Z500" s="26">
        <f>ROUNDDOWN((Z8+Z377+Z407+Z447+Z451+Z472+Z492+Z496+Z498+(Z8+Z377+Z407+Z447+Z451+Z472+Z492)*0.1095000004)/1000,1)*1000</f>
        <v>302980000</v>
      </c>
      <c r="AA500" s="33"/>
      <c r="AB500" s="36" t="s">
        <v>16</v>
      </c>
      <c r="AC500" s="181"/>
      <c r="AD500" s="181"/>
      <c r="AE500" s="181"/>
      <c r="AF500" s="181"/>
      <c r="AG500" s="101" t="str">
        <f t="shared" si="108"/>
        <v/>
      </c>
      <c r="AH500" s="190"/>
      <c r="AI500" s="69">
        <f t="shared" si="101"/>
        <v>0</v>
      </c>
    </row>
    <row r="501" spans="1:35" s="69" customFormat="1" ht="33" x14ac:dyDescent="0.3">
      <c r="A501" s="52"/>
      <c r="B501" s="53" t="s">
        <v>1297</v>
      </c>
      <c r="C501" s="54"/>
      <c r="D501" s="75"/>
      <c r="E501" s="75"/>
      <c r="F501" s="75"/>
      <c r="G501" s="75"/>
      <c r="H501" s="75"/>
      <c r="I501" s="75"/>
      <c r="J501" s="75"/>
      <c r="K501" s="91"/>
      <c r="L501" s="73"/>
      <c r="M501" s="39"/>
      <c r="N501" s="39">
        <v>9675</v>
      </c>
      <c r="O501" s="39">
        <v>19291</v>
      </c>
      <c r="P501" s="98"/>
      <c r="Q501" s="8" t="s">
        <v>1505</v>
      </c>
      <c r="R501" s="9" t="s">
        <v>1506</v>
      </c>
      <c r="S501" s="10" t="s">
        <v>14</v>
      </c>
      <c r="T501" s="11"/>
      <c r="U501" s="11"/>
      <c r="V501" s="11"/>
      <c r="W501" s="11"/>
      <c r="X501" s="11"/>
      <c r="Y501" s="11">
        <v>9675</v>
      </c>
      <c r="Z501" s="11">
        <v>19291</v>
      </c>
      <c r="AA501" s="12" t="s">
        <v>15</v>
      </c>
      <c r="AB501" s="37" t="s">
        <v>16</v>
      </c>
      <c r="AC501" s="182"/>
      <c r="AD501" s="182">
        <v>295040.74</v>
      </c>
      <c r="AE501" s="182">
        <v>12929586.060000001</v>
      </c>
      <c r="AF501" s="182"/>
      <c r="AG501" s="101" t="str">
        <f t="shared" si="108"/>
        <v/>
      </c>
      <c r="AH501" s="190"/>
      <c r="AI501" s="69">
        <f t="shared" si="101"/>
        <v>0</v>
      </c>
    </row>
    <row r="502" spans="1:35" s="69" customFormat="1" ht="33" x14ac:dyDescent="0.3">
      <c r="A502" s="382" t="s">
        <v>1298</v>
      </c>
      <c r="B502" s="383"/>
      <c r="C502" s="383"/>
      <c r="D502" s="383"/>
      <c r="E502" s="383"/>
      <c r="F502" s="383"/>
      <c r="G502" s="383"/>
      <c r="H502" s="383"/>
      <c r="I502" s="383"/>
      <c r="J502" s="383"/>
      <c r="K502" s="384"/>
      <c r="L502" s="89"/>
      <c r="M502" s="46"/>
      <c r="N502" s="46">
        <v>2999475</v>
      </c>
      <c r="O502" s="46">
        <v>131240691</v>
      </c>
      <c r="P502" s="98"/>
      <c r="Q502" s="23" t="s">
        <v>1421</v>
      </c>
      <c r="R502" s="24" t="s">
        <v>1507</v>
      </c>
      <c r="S502" s="25"/>
      <c r="T502" s="26"/>
      <c r="U502" s="26"/>
      <c r="V502" s="26"/>
      <c r="W502" s="26"/>
      <c r="X502" s="26"/>
      <c r="Y502" s="26">
        <v>2999475</v>
      </c>
      <c r="Z502" s="26">
        <v>131240691</v>
      </c>
      <c r="AA502" s="33"/>
      <c r="AB502" s="36" t="s">
        <v>16</v>
      </c>
      <c r="AC502" s="181"/>
      <c r="AD502" s="181"/>
      <c r="AE502" s="181"/>
      <c r="AF502" s="181"/>
      <c r="AG502" s="101" t="str">
        <f t="shared" si="108"/>
        <v/>
      </c>
      <c r="AH502" s="190"/>
      <c r="AI502" s="69">
        <f t="shared" si="101"/>
        <v>0</v>
      </c>
    </row>
    <row r="503" spans="1:35" s="69" customFormat="1" ht="153" customHeight="1" x14ac:dyDescent="0.3">
      <c r="A503" s="390" t="s">
        <v>1299</v>
      </c>
      <c r="B503" s="391"/>
      <c r="C503" s="391"/>
      <c r="D503" s="391"/>
      <c r="E503" s="391"/>
      <c r="F503" s="391"/>
      <c r="G503" s="391"/>
      <c r="H503" s="391"/>
      <c r="I503" s="391"/>
      <c r="J503" s="391"/>
      <c r="K503" s="392"/>
      <c r="L503" s="90"/>
      <c r="M503" s="39"/>
      <c r="N503" s="39">
        <v>0</v>
      </c>
      <c r="O503" s="39">
        <v>737520</v>
      </c>
      <c r="P503" s="98"/>
      <c r="Q503" s="8" t="s">
        <v>1508</v>
      </c>
      <c r="R503" s="9" t="s">
        <v>1509</v>
      </c>
      <c r="S503" s="10" t="s">
        <v>14</v>
      </c>
      <c r="T503" s="11"/>
      <c r="U503" s="11"/>
      <c r="V503" s="11"/>
      <c r="W503" s="11"/>
      <c r="X503" s="11"/>
      <c r="Y503" s="11">
        <v>0</v>
      </c>
      <c r="Z503" s="11">
        <f>SUM(Z504:Z506)</f>
        <v>737520</v>
      </c>
      <c r="AA503" s="12" t="s">
        <v>15</v>
      </c>
      <c r="AB503" s="37" t="s">
        <v>16</v>
      </c>
      <c r="AC503" s="182"/>
      <c r="AD503" s="182"/>
      <c r="AE503" s="182"/>
      <c r="AF503" s="182"/>
      <c r="AG503" s="101" t="str">
        <f t="shared" si="108"/>
        <v/>
      </c>
      <c r="AH503" s="190"/>
      <c r="AI503" s="69">
        <f t="shared" si="101"/>
        <v>0</v>
      </c>
    </row>
    <row r="504" spans="1:35" ht="33" x14ac:dyDescent="0.3">
      <c r="M504" s="46">
        <v>519.42999999999995</v>
      </c>
      <c r="N504" s="46">
        <v>0</v>
      </c>
      <c r="O504" s="46">
        <v>298672</v>
      </c>
      <c r="P504" s="98"/>
      <c r="Q504" s="23" t="s">
        <v>1421</v>
      </c>
      <c r="R504" s="24" t="s">
        <v>1510</v>
      </c>
      <c r="S504" s="25" t="s">
        <v>23</v>
      </c>
      <c r="T504" s="26"/>
      <c r="U504" s="26"/>
      <c r="V504" s="26">
        <v>575</v>
      </c>
      <c r="W504" s="26">
        <f>X504-M504</f>
        <v>0</v>
      </c>
      <c r="X504" s="26">
        <v>519.42999999999995</v>
      </c>
      <c r="Y504" s="26">
        <f>Z504-O504</f>
        <v>0</v>
      </c>
      <c r="Z504" s="26">
        <f>ROUNDDOWN(V504*X504,0)</f>
        <v>298672</v>
      </c>
      <c r="AA504" s="33" t="s">
        <v>15</v>
      </c>
      <c r="AB504" s="36" t="s">
        <v>16</v>
      </c>
      <c r="AG504" s="101"/>
      <c r="AH504" s="185">
        <v>519.42999999999995</v>
      </c>
      <c r="AI504" s="69"/>
    </row>
    <row r="505" spans="1:35" ht="33" x14ac:dyDescent="0.3">
      <c r="M505" s="46">
        <v>0</v>
      </c>
      <c r="N505" s="46">
        <v>0</v>
      </c>
      <c r="O505" s="46">
        <v>0</v>
      </c>
      <c r="P505" s="98"/>
      <c r="Q505" s="23" t="s">
        <v>1426</v>
      </c>
      <c r="R505" s="24" t="s">
        <v>1511</v>
      </c>
      <c r="S505" s="25" t="s">
        <v>110</v>
      </c>
      <c r="T505" s="26"/>
      <c r="U505" s="26"/>
      <c r="V505" s="26">
        <v>20</v>
      </c>
      <c r="W505" s="26">
        <f>X505-M505</f>
        <v>0</v>
      </c>
      <c r="X505" s="26">
        <v>0</v>
      </c>
      <c r="Y505" s="26">
        <f>Z505-O505</f>
        <v>0</v>
      </c>
      <c r="Z505" s="26">
        <f>ROUNDDOWN(V505*X505,0)</f>
        <v>0</v>
      </c>
      <c r="AA505" s="33" t="s">
        <v>15</v>
      </c>
      <c r="AB505" s="36" t="s">
        <v>16</v>
      </c>
      <c r="AG505" s="101"/>
      <c r="AH505" s="185">
        <v>0</v>
      </c>
      <c r="AI505" s="69"/>
    </row>
    <row r="506" spans="1:35" ht="33" x14ac:dyDescent="0.3">
      <c r="M506" s="46">
        <v>54856</v>
      </c>
      <c r="N506" s="46">
        <v>0</v>
      </c>
      <c r="O506" s="46">
        <v>438848</v>
      </c>
      <c r="P506" s="98"/>
      <c r="Q506" s="23" t="s">
        <v>1402</v>
      </c>
      <c r="R506" s="24" t="s">
        <v>1512</v>
      </c>
      <c r="S506" s="25" t="s">
        <v>110</v>
      </c>
      <c r="T506" s="26"/>
      <c r="U506" s="26"/>
      <c r="V506" s="26">
        <v>8</v>
      </c>
      <c r="W506" s="26">
        <f>X506-M506</f>
        <v>0</v>
      </c>
      <c r="X506" s="26">
        <v>54856</v>
      </c>
      <c r="Y506" s="26">
        <f>Z506-O506</f>
        <v>0</v>
      </c>
      <c r="Z506" s="26">
        <f>ROUNDDOWN(V506*X506,0)</f>
        <v>438848</v>
      </c>
      <c r="AA506" s="33" t="s">
        <v>15</v>
      </c>
      <c r="AB506" s="36" t="s">
        <v>16</v>
      </c>
      <c r="AG506" s="101"/>
      <c r="AH506" s="185">
        <v>54856</v>
      </c>
      <c r="AI506" s="69"/>
    </row>
  </sheetData>
  <autoFilter ref="A6:K503" xr:uid="{745AA45A-1115-4D12-8076-1F56B440D015}"/>
  <mergeCells count="13">
    <mergeCell ref="A503:K503"/>
    <mergeCell ref="A5:I5"/>
    <mergeCell ref="J5:K5"/>
    <mergeCell ref="M5:O5"/>
    <mergeCell ref="Q5:X5"/>
    <mergeCell ref="Z5:AA5"/>
    <mergeCell ref="A502:K502"/>
    <mergeCell ref="A1:K1"/>
    <mergeCell ref="A2:K2"/>
    <mergeCell ref="A3:K3"/>
    <mergeCell ref="Q3:AA3"/>
    <mergeCell ref="A4:K4"/>
    <mergeCell ref="Q4:AA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DC62-9725-4708-B840-DD80DBA79D78}">
  <sheetPr>
    <tabColor theme="8" tint="0.39997558519241921"/>
  </sheetPr>
  <dimension ref="A1:AL506"/>
  <sheetViews>
    <sheetView view="pageBreakPreview" topLeftCell="A6" zoomScale="80" zoomScaleNormal="80" zoomScaleSheetLayoutView="80" workbookViewId="0">
      <pane ySplit="1470" topLeftCell="A495" activePane="bottomLeft"/>
      <selection activeCell="AI7" sqref="AI7"/>
      <selection pane="bottomLeft" activeCell="AH497" sqref="AH497"/>
    </sheetView>
  </sheetViews>
  <sheetFormatPr defaultColWidth="8.5" defaultRowHeight="19.5" x14ac:dyDescent="0.3"/>
  <cols>
    <col min="1" max="1" width="5.25" style="72" customWidth="1"/>
    <col min="2" max="2" width="26.25" style="73" customWidth="1"/>
    <col min="3" max="3" width="5.5" style="73" customWidth="1"/>
    <col min="4" max="4" width="12.75" style="73" customWidth="1"/>
    <col min="5" max="5" width="14" style="73" customWidth="1"/>
    <col min="6" max="6" width="14.375" style="73" customWidth="1"/>
    <col min="7" max="7" width="10.75" style="73" customWidth="1"/>
    <col min="8" max="8" width="15.375" style="73" customWidth="1"/>
    <col min="9" max="9" width="14.75" style="73" customWidth="1"/>
    <col min="10" max="10" width="23" style="73" customWidth="1"/>
    <col min="11" max="11" width="10.875" style="73" customWidth="1"/>
    <col min="12" max="12" width="1.5" style="73" customWidth="1"/>
    <col min="13" max="15" width="11.5" style="2" customWidth="1"/>
    <col min="16" max="16" width="1.25" style="96" customWidth="1"/>
    <col min="17" max="17" width="4.25" style="3" hidden="1" customWidth="1"/>
    <col min="18" max="18" width="35.25" hidden="1" customWidth="1"/>
    <col min="19" max="19" width="5.75" hidden="1" customWidth="1"/>
    <col min="20" max="20" width="9" hidden="1" customWidth="1"/>
    <col min="21" max="21" width="9.375" hidden="1" customWidth="1"/>
    <col min="22" max="22" width="12" hidden="1" customWidth="1"/>
    <col min="23" max="23" width="11.375" customWidth="1"/>
    <col min="24" max="24" width="11.75" customWidth="1"/>
    <col min="25" max="25" width="12.875" customWidth="1"/>
    <col min="26" max="26" width="12" customWidth="1"/>
    <col min="27" max="27" width="5.25" style="34" customWidth="1"/>
    <col min="28" max="28" width="1.125" customWidth="1"/>
    <col min="29" max="32" width="1.125" style="181" customWidth="1"/>
    <col min="33" max="33" width="1.125" style="71" customWidth="1"/>
    <col min="34" max="34" width="16.5" style="185" customWidth="1"/>
    <col min="35" max="35" width="15.375" style="70" customWidth="1"/>
    <col min="36" max="36" width="8.375" style="70" customWidth="1"/>
    <col min="37" max="37" width="1.625" style="70" customWidth="1"/>
    <col min="38" max="38" width="16.375" style="70" bestFit="1" customWidth="1"/>
    <col min="39" max="224" width="8.5" style="70"/>
    <col min="225" max="225" width="5.25" style="70" customWidth="1"/>
    <col min="226" max="226" width="26.25" style="70" customWidth="1"/>
    <col min="227" max="227" width="5.5" style="70" customWidth="1"/>
    <col min="228" max="228" width="8.5" style="70"/>
    <col min="229" max="230" width="10.875" style="70" customWidth="1"/>
    <col min="231" max="231" width="15.25" style="70" customWidth="1"/>
    <col min="232" max="232" width="0.75" style="70" customWidth="1"/>
    <col min="233" max="235" width="0.625" style="70" customWidth="1"/>
    <col min="236" max="480" width="8.5" style="70"/>
    <col min="481" max="481" width="5.25" style="70" customWidth="1"/>
    <col min="482" max="482" width="26.25" style="70" customWidth="1"/>
    <col min="483" max="483" width="5.5" style="70" customWidth="1"/>
    <col min="484" max="484" width="8.5" style="70"/>
    <col min="485" max="486" width="10.875" style="70" customWidth="1"/>
    <col min="487" max="487" width="15.25" style="70" customWidth="1"/>
    <col min="488" max="488" width="0.75" style="70" customWidth="1"/>
    <col min="489" max="491" width="0.625" style="70" customWidth="1"/>
    <col min="492" max="736" width="8.5" style="70"/>
    <col min="737" max="737" width="5.25" style="70" customWidth="1"/>
    <col min="738" max="738" width="26.25" style="70" customWidth="1"/>
    <col min="739" max="739" width="5.5" style="70" customWidth="1"/>
    <col min="740" max="740" width="8.5" style="70"/>
    <col min="741" max="742" width="10.875" style="70" customWidth="1"/>
    <col min="743" max="743" width="15.25" style="70" customWidth="1"/>
    <col min="744" max="744" width="0.75" style="70" customWidth="1"/>
    <col min="745" max="747" width="0.625" style="70" customWidth="1"/>
    <col min="748" max="992" width="8.5" style="70"/>
    <col min="993" max="993" width="5.25" style="70" customWidth="1"/>
    <col min="994" max="994" width="26.25" style="70" customWidth="1"/>
    <col min="995" max="995" width="5.5" style="70" customWidth="1"/>
    <col min="996" max="996" width="8.5" style="70"/>
    <col min="997" max="998" width="10.875" style="70" customWidth="1"/>
    <col min="999" max="999" width="15.25" style="70" customWidth="1"/>
    <col min="1000" max="1000" width="0.75" style="70" customWidth="1"/>
    <col min="1001" max="1003" width="0.625" style="70" customWidth="1"/>
    <col min="1004" max="1248" width="8.5" style="70"/>
    <col min="1249" max="1249" width="5.25" style="70" customWidth="1"/>
    <col min="1250" max="1250" width="26.25" style="70" customWidth="1"/>
    <col min="1251" max="1251" width="5.5" style="70" customWidth="1"/>
    <col min="1252" max="1252" width="8.5" style="70"/>
    <col min="1253" max="1254" width="10.875" style="70" customWidth="1"/>
    <col min="1255" max="1255" width="15.25" style="70" customWidth="1"/>
    <col min="1256" max="1256" width="0.75" style="70" customWidth="1"/>
    <col min="1257" max="1259" width="0.625" style="70" customWidth="1"/>
    <col min="1260" max="1504" width="8.5" style="70"/>
    <col min="1505" max="1505" width="5.25" style="70" customWidth="1"/>
    <col min="1506" max="1506" width="26.25" style="70" customWidth="1"/>
    <col min="1507" max="1507" width="5.5" style="70" customWidth="1"/>
    <col min="1508" max="1508" width="8.5" style="70"/>
    <col min="1509" max="1510" width="10.875" style="70" customWidth="1"/>
    <col min="1511" max="1511" width="15.25" style="70" customWidth="1"/>
    <col min="1512" max="1512" width="0.75" style="70" customWidth="1"/>
    <col min="1513" max="1515" width="0.625" style="70" customWidth="1"/>
    <col min="1516" max="1760" width="8.5" style="70"/>
    <col min="1761" max="1761" width="5.25" style="70" customWidth="1"/>
    <col min="1762" max="1762" width="26.25" style="70" customWidth="1"/>
    <col min="1763" max="1763" width="5.5" style="70" customWidth="1"/>
    <col min="1764" max="1764" width="8.5" style="70"/>
    <col min="1765" max="1766" width="10.875" style="70" customWidth="1"/>
    <col min="1767" max="1767" width="15.25" style="70" customWidth="1"/>
    <col min="1768" max="1768" width="0.75" style="70" customWidth="1"/>
    <col min="1769" max="1771" width="0.625" style="70" customWidth="1"/>
    <col min="1772" max="2016" width="8.5" style="70"/>
    <col min="2017" max="2017" width="5.25" style="70" customWidth="1"/>
    <col min="2018" max="2018" width="26.25" style="70" customWidth="1"/>
    <col min="2019" max="2019" width="5.5" style="70" customWidth="1"/>
    <col min="2020" max="2020" width="8.5" style="70"/>
    <col min="2021" max="2022" width="10.875" style="70" customWidth="1"/>
    <col min="2023" max="2023" width="15.25" style="70" customWidth="1"/>
    <col min="2024" max="2024" width="0.75" style="70" customWidth="1"/>
    <col min="2025" max="2027" width="0.625" style="70" customWidth="1"/>
    <col min="2028" max="2272" width="8.5" style="70"/>
    <col min="2273" max="2273" width="5.25" style="70" customWidth="1"/>
    <col min="2274" max="2274" width="26.25" style="70" customWidth="1"/>
    <col min="2275" max="2275" width="5.5" style="70" customWidth="1"/>
    <col min="2276" max="2276" width="8.5" style="70"/>
    <col min="2277" max="2278" width="10.875" style="70" customWidth="1"/>
    <col min="2279" max="2279" width="15.25" style="70" customWidth="1"/>
    <col min="2280" max="2280" width="0.75" style="70" customWidth="1"/>
    <col min="2281" max="2283" width="0.625" style="70" customWidth="1"/>
    <col min="2284" max="2528" width="8.5" style="70"/>
    <col min="2529" max="2529" width="5.25" style="70" customWidth="1"/>
    <col min="2530" max="2530" width="26.25" style="70" customWidth="1"/>
    <col min="2531" max="2531" width="5.5" style="70" customWidth="1"/>
    <col min="2532" max="2532" width="8.5" style="70"/>
    <col min="2533" max="2534" width="10.875" style="70" customWidth="1"/>
    <col min="2535" max="2535" width="15.25" style="70" customWidth="1"/>
    <col min="2536" max="2536" width="0.75" style="70" customWidth="1"/>
    <col min="2537" max="2539" width="0.625" style="70" customWidth="1"/>
    <col min="2540" max="2784" width="8.5" style="70"/>
    <col min="2785" max="2785" width="5.25" style="70" customWidth="1"/>
    <col min="2786" max="2786" width="26.25" style="70" customWidth="1"/>
    <col min="2787" max="2787" width="5.5" style="70" customWidth="1"/>
    <col min="2788" max="2788" width="8.5" style="70"/>
    <col min="2789" max="2790" width="10.875" style="70" customWidth="1"/>
    <col min="2791" max="2791" width="15.25" style="70" customWidth="1"/>
    <col min="2792" max="2792" width="0.75" style="70" customWidth="1"/>
    <col min="2793" max="2795" width="0.625" style="70" customWidth="1"/>
    <col min="2796" max="3040" width="8.5" style="70"/>
    <col min="3041" max="3041" width="5.25" style="70" customWidth="1"/>
    <col min="3042" max="3042" width="26.25" style="70" customWidth="1"/>
    <col min="3043" max="3043" width="5.5" style="70" customWidth="1"/>
    <col min="3044" max="3044" width="8.5" style="70"/>
    <col min="3045" max="3046" width="10.875" style="70" customWidth="1"/>
    <col min="3047" max="3047" width="15.25" style="70" customWidth="1"/>
    <col min="3048" max="3048" width="0.75" style="70" customWidth="1"/>
    <col min="3049" max="3051" width="0.625" style="70" customWidth="1"/>
    <col min="3052" max="3296" width="8.5" style="70"/>
    <col min="3297" max="3297" width="5.25" style="70" customWidth="1"/>
    <col min="3298" max="3298" width="26.25" style="70" customWidth="1"/>
    <col min="3299" max="3299" width="5.5" style="70" customWidth="1"/>
    <col min="3300" max="3300" width="8.5" style="70"/>
    <col min="3301" max="3302" width="10.875" style="70" customWidth="1"/>
    <col min="3303" max="3303" width="15.25" style="70" customWidth="1"/>
    <col min="3304" max="3304" width="0.75" style="70" customWidth="1"/>
    <col min="3305" max="3307" width="0.625" style="70" customWidth="1"/>
    <col min="3308" max="3552" width="8.5" style="70"/>
    <col min="3553" max="3553" width="5.25" style="70" customWidth="1"/>
    <col min="3554" max="3554" width="26.25" style="70" customWidth="1"/>
    <col min="3555" max="3555" width="5.5" style="70" customWidth="1"/>
    <col min="3556" max="3556" width="8.5" style="70"/>
    <col min="3557" max="3558" width="10.875" style="70" customWidth="1"/>
    <col min="3559" max="3559" width="15.25" style="70" customWidth="1"/>
    <col min="3560" max="3560" width="0.75" style="70" customWidth="1"/>
    <col min="3561" max="3563" width="0.625" style="70" customWidth="1"/>
    <col min="3564" max="3808" width="8.5" style="70"/>
    <col min="3809" max="3809" width="5.25" style="70" customWidth="1"/>
    <col min="3810" max="3810" width="26.25" style="70" customWidth="1"/>
    <col min="3811" max="3811" width="5.5" style="70" customWidth="1"/>
    <col min="3812" max="3812" width="8.5" style="70"/>
    <col min="3813" max="3814" width="10.875" style="70" customWidth="1"/>
    <col min="3815" max="3815" width="15.25" style="70" customWidth="1"/>
    <col min="3816" max="3816" width="0.75" style="70" customWidth="1"/>
    <col min="3817" max="3819" width="0.625" style="70" customWidth="1"/>
    <col min="3820" max="4064" width="8.5" style="70"/>
    <col min="4065" max="4065" width="5.25" style="70" customWidth="1"/>
    <col min="4066" max="4066" width="26.25" style="70" customWidth="1"/>
    <col min="4067" max="4067" width="5.5" style="70" customWidth="1"/>
    <col min="4068" max="4068" width="8.5" style="70"/>
    <col min="4069" max="4070" width="10.875" style="70" customWidth="1"/>
    <col min="4071" max="4071" width="15.25" style="70" customWidth="1"/>
    <col min="4072" max="4072" width="0.75" style="70" customWidth="1"/>
    <col min="4073" max="4075" width="0.625" style="70" customWidth="1"/>
    <col min="4076" max="4320" width="8.5" style="70"/>
    <col min="4321" max="4321" width="5.25" style="70" customWidth="1"/>
    <col min="4322" max="4322" width="26.25" style="70" customWidth="1"/>
    <col min="4323" max="4323" width="5.5" style="70" customWidth="1"/>
    <col min="4324" max="4324" width="8.5" style="70"/>
    <col min="4325" max="4326" width="10.875" style="70" customWidth="1"/>
    <col min="4327" max="4327" width="15.25" style="70" customWidth="1"/>
    <col min="4328" max="4328" width="0.75" style="70" customWidth="1"/>
    <col min="4329" max="4331" width="0.625" style="70" customWidth="1"/>
    <col min="4332" max="4576" width="8.5" style="70"/>
    <col min="4577" max="4577" width="5.25" style="70" customWidth="1"/>
    <col min="4578" max="4578" width="26.25" style="70" customWidth="1"/>
    <col min="4579" max="4579" width="5.5" style="70" customWidth="1"/>
    <col min="4580" max="4580" width="8.5" style="70"/>
    <col min="4581" max="4582" width="10.875" style="70" customWidth="1"/>
    <col min="4583" max="4583" width="15.25" style="70" customWidth="1"/>
    <col min="4584" max="4584" width="0.75" style="70" customWidth="1"/>
    <col min="4585" max="4587" width="0.625" style="70" customWidth="1"/>
    <col min="4588" max="4832" width="8.5" style="70"/>
    <col min="4833" max="4833" width="5.25" style="70" customWidth="1"/>
    <col min="4834" max="4834" width="26.25" style="70" customWidth="1"/>
    <col min="4835" max="4835" width="5.5" style="70" customWidth="1"/>
    <col min="4836" max="4836" width="8.5" style="70"/>
    <col min="4837" max="4838" width="10.875" style="70" customWidth="1"/>
    <col min="4839" max="4839" width="15.25" style="70" customWidth="1"/>
    <col min="4840" max="4840" width="0.75" style="70" customWidth="1"/>
    <col min="4841" max="4843" width="0.625" style="70" customWidth="1"/>
    <col min="4844" max="5088" width="8.5" style="70"/>
    <col min="5089" max="5089" width="5.25" style="70" customWidth="1"/>
    <col min="5090" max="5090" width="26.25" style="70" customWidth="1"/>
    <col min="5091" max="5091" width="5.5" style="70" customWidth="1"/>
    <col min="5092" max="5092" width="8.5" style="70"/>
    <col min="5093" max="5094" width="10.875" style="70" customWidth="1"/>
    <col min="5095" max="5095" width="15.25" style="70" customWidth="1"/>
    <col min="5096" max="5096" width="0.75" style="70" customWidth="1"/>
    <col min="5097" max="5099" width="0.625" style="70" customWidth="1"/>
    <col min="5100" max="5344" width="8.5" style="70"/>
    <col min="5345" max="5345" width="5.25" style="70" customWidth="1"/>
    <col min="5346" max="5346" width="26.25" style="70" customWidth="1"/>
    <col min="5347" max="5347" width="5.5" style="70" customWidth="1"/>
    <col min="5348" max="5348" width="8.5" style="70"/>
    <col min="5349" max="5350" width="10.875" style="70" customWidth="1"/>
    <col min="5351" max="5351" width="15.25" style="70" customWidth="1"/>
    <col min="5352" max="5352" width="0.75" style="70" customWidth="1"/>
    <col min="5353" max="5355" width="0.625" style="70" customWidth="1"/>
    <col min="5356" max="5600" width="8.5" style="70"/>
    <col min="5601" max="5601" width="5.25" style="70" customWidth="1"/>
    <col min="5602" max="5602" width="26.25" style="70" customWidth="1"/>
    <col min="5603" max="5603" width="5.5" style="70" customWidth="1"/>
    <col min="5604" max="5604" width="8.5" style="70"/>
    <col min="5605" max="5606" width="10.875" style="70" customWidth="1"/>
    <col min="5607" max="5607" width="15.25" style="70" customWidth="1"/>
    <col min="5608" max="5608" width="0.75" style="70" customWidth="1"/>
    <col min="5609" max="5611" width="0.625" style="70" customWidth="1"/>
    <col min="5612" max="5856" width="8.5" style="70"/>
    <col min="5857" max="5857" width="5.25" style="70" customWidth="1"/>
    <col min="5858" max="5858" width="26.25" style="70" customWidth="1"/>
    <col min="5859" max="5859" width="5.5" style="70" customWidth="1"/>
    <col min="5860" max="5860" width="8.5" style="70"/>
    <col min="5861" max="5862" width="10.875" style="70" customWidth="1"/>
    <col min="5863" max="5863" width="15.25" style="70" customWidth="1"/>
    <col min="5864" max="5864" width="0.75" style="70" customWidth="1"/>
    <col min="5865" max="5867" width="0.625" style="70" customWidth="1"/>
    <col min="5868" max="6112" width="8.5" style="70"/>
    <col min="6113" max="6113" width="5.25" style="70" customWidth="1"/>
    <col min="6114" max="6114" width="26.25" style="70" customWidth="1"/>
    <col min="6115" max="6115" width="5.5" style="70" customWidth="1"/>
    <col min="6116" max="6116" width="8.5" style="70"/>
    <col min="6117" max="6118" width="10.875" style="70" customWidth="1"/>
    <col min="6119" max="6119" width="15.25" style="70" customWidth="1"/>
    <col min="6120" max="6120" width="0.75" style="70" customWidth="1"/>
    <col min="6121" max="6123" width="0.625" style="70" customWidth="1"/>
    <col min="6124" max="6368" width="8.5" style="70"/>
    <col min="6369" max="6369" width="5.25" style="70" customWidth="1"/>
    <col min="6370" max="6370" width="26.25" style="70" customWidth="1"/>
    <col min="6371" max="6371" width="5.5" style="70" customWidth="1"/>
    <col min="6372" max="6372" width="8.5" style="70"/>
    <col min="6373" max="6374" width="10.875" style="70" customWidth="1"/>
    <col min="6375" max="6375" width="15.25" style="70" customWidth="1"/>
    <col min="6376" max="6376" width="0.75" style="70" customWidth="1"/>
    <col min="6377" max="6379" width="0.625" style="70" customWidth="1"/>
    <col min="6380" max="6624" width="8.5" style="70"/>
    <col min="6625" max="6625" width="5.25" style="70" customWidth="1"/>
    <col min="6626" max="6626" width="26.25" style="70" customWidth="1"/>
    <col min="6627" max="6627" width="5.5" style="70" customWidth="1"/>
    <col min="6628" max="6628" width="8.5" style="70"/>
    <col min="6629" max="6630" width="10.875" style="70" customWidth="1"/>
    <col min="6631" max="6631" width="15.25" style="70" customWidth="1"/>
    <col min="6632" max="6632" width="0.75" style="70" customWidth="1"/>
    <col min="6633" max="6635" width="0.625" style="70" customWidth="1"/>
    <col min="6636" max="6880" width="8.5" style="70"/>
    <col min="6881" max="6881" width="5.25" style="70" customWidth="1"/>
    <col min="6882" max="6882" width="26.25" style="70" customWidth="1"/>
    <col min="6883" max="6883" width="5.5" style="70" customWidth="1"/>
    <col min="6884" max="6884" width="8.5" style="70"/>
    <col min="6885" max="6886" width="10.875" style="70" customWidth="1"/>
    <col min="6887" max="6887" width="15.25" style="70" customWidth="1"/>
    <col min="6888" max="6888" width="0.75" style="70" customWidth="1"/>
    <col min="6889" max="6891" width="0.625" style="70" customWidth="1"/>
    <col min="6892" max="7136" width="8.5" style="70"/>
    <col min="7137" max="7137" width="5.25" style="70" customWidth="1"/>
    <col min="7138" max="7138" width="26.25" style="70" customWidth="1"/>
    <col min="7139" max="7139" width="5.5" style="70" customWidth="1"/>
    <col min="7140" max="7140" width="8.5" style="70"/>
    <col min="7141" max="7142" width="10.875" style="70" customWidth="1"/>
    <col min="7143" max="7143" width="15.25" style="70" customWidth="1"/>
    <col min="7144" max="7144" width="0.75" style="70" customWidth="1"/>
    <col min="7145" max="7147" width="0.625" style="70" customWidth="1"/>
    <col min="7148" max="7392" width="8.5" style="70"/>
    <col min="7393" max="7393" width="5.25" style="70" customWidth="1"/>
    <col min="7394" max="7394" width="26.25" style="70" customWidth="1"/>
    <col min="7395" max="7395" width="5.5" style="70" customWidth="1"/>
    <col min="7396" max="7396" width="8.5" style="70"/>
    <col min="7397" max="7398" width="10.875" style="70" customWidth="1"/>
    <col min="7399" max="7399" width="15.25" style="70" customWidth="1"/>
    <col min="7400" max="7400" width="0.75" style="70" customWidth="1"/>
    <col min="7401" max="7403" width="0.625" style="70" customWidth="1"/>
    <col min="7404" max="7648" width="8.5" style="70"/>
    <col min="7649" max="7649" width="5.25" style="70" customWidth="1"/>
    <col min="7650" max="7650" width="26.25" style="70" customWidth="1"/>
    <col min="7651" max="7651" width="5.5" style="70" customWidth="1"/>
    <col min="7652" max="7652" width="8.5" style="70"/>
    <col min="7653" max="7654" width="10.875" style="70" customWidth="1"/>
    <col min="7655" max="7655" width="15.25" style="70" customWidth="1"/>
    <col min="7656" max="7656" width="0.75" style="70" customWidth="1"/>
    <col min="7657" max="7659" width="0.625" style="70" customWidth="1"/>
    <col min="7660" max="7904" width="8.5" style="70"/>
    <col min="7905" max="7905" width="5.25" style="70" customWidth="1"/>
    <col min="7906" max="7906" width="26.25" style="70" customWidth="1"/>
    <col min="7907" max="7907" width="5.5" style="70" customWidth="1"/>
    <col min="7908" max="7908" width="8.5" style="70"/>
    <col min="7909" max="7910" width="10.875" style="70" customWidth="1"/>
    <col min="7911" max="7911" width="15.25" style="70" customWidth="1"/>
    <col min="7912" max="7912" width="0.75" style="70" customWidth="1"/>
    <col min="7913" max="7915" width="0.625" style="70" customWidth="1"/>
    <col min="7916" max="8160" width="8.5" style="70"/>
    <col min="8161" max="8161" width="5.25" style="70" customWidth="1"/>
    <col min="8162" max="8162" width="26.25" style="70" customWidth="1"/>
    <col min="8163" max="8163" width="5.5" style="70" customWidth="1"/>
    <col min="8164" max="8164" width="8.5" style="70"/>
    <col min="8165" max="8166" width="10.875" style="70" customWidth="1"/>
    <col min="8167" max="8167" width="15.25" style="70" customWidth="1"/>
    <col min="8168" max="8168" width="0.75" style="70" customWidth="1"/>
    <col min="8169" max="8171" width="0.625" style="70" customWidth="1"/>
    <col min="8172" max="8416" width="8.5" style="70"/>
    <col min="8417" max="8417" width="5.25" style="70" customWidth="1"/>
    <col min="8418" max="8418" width="26.25" style="70" customWidth="1"/>
    <col min="8419" max="8419" width="5.5" style="70" customWidth="1"/>
    <col min="8420" max="8420" width="8.5" style="70"/>
    <col min="8421" max="8422" width="10.875" style="70" customWidth="1"/>
    <col min="8423" max="8423" width="15.25" style="70" customWidth="1"/>
    <col min="8424" max="8424" width="0.75" style="70" customWidth="1"/>
    <col min="8425" max="8427" width="0.625" style="70" customWidth="1"/>
    <col min="8428" max="8672" width="8.5" style="70"/>
    <col min="8673" max="8673" width="5.25" style="70" customWidth="1"/>
    <col min="8674" max="8674" width="26.25" style="70" customWidth="1"/>
    <col min="8675" max="8675" width="5.5" style="70" customWidth="1"/>
    <col min="8676" max="8676" width="8.5" style="70"/>
    <col min="8677" max="8678" width="10.875" style="70" customWidth="1"/>
    <col min="8679" max="8679" width="15.25" style="70" customWidth="1"/>
    <col min="8680" max="8680" width="0.75" style="70" customWidth="1"/>
    <col min="8681" max="8683" width="0.625" style="70" customWidth="1"/>
    <col min="8684" max="8928" width="8.5" style="70"/>
    <col min="8929" max="8929" width="5.25" style="70" customWidth="1"/>
    <col min="8930" max="8930" width="26.25" style="70" customWidth="1"/>
    <col min="8931" max="8931" width="5.5" style="70" customWidth="1"/>
    <col min="8932" max="8932" width="8.5" style="70"/>
    <col min="8933" max="8934" width="10.875" style="70" customWidth="1"/>
    <col min="8935" max="8935" width="15.25" style="70" customWidth="1"/>
    <col min="8936" max="8936" width="0.75" style="70" customWidth="1"/>
    <col min="8937" max="8939" width="0.625" style="70" customWidth="1"/>
    <col min="8940" max="9184" width="8.5" style="70"/>
    <col min="9185" max="9185" width="5.25" style="70" customWidth="1"/>
    <col min="9186" max="9186" width="26.25" style="70" customWidth="1"/>
    <col min="9187" max="9187" width="5.5" style="70" customWidth="1"/>
    <col min="9188" max="9188" width="8.5" style="70"/>
    <col min="9189" max="9190" width="10.875" style="70" customWidth="1"/>
    <col min="9191" max="9191" width="15.25" style="70" customWidth="1"/>
    <col min="9192" max="9192" width="0.75" style="70" customWidth="1"/>
    <col min="9193" max="9195" width="0.625" style="70" customWidth="1"/>
    <col min="9196" max="9440" width="8.5" style="70"/>
    <col min="9441" max="9441" width="5.25" style="70" customWidth="1"/>
    <col min="9442" max="9442" width="26.25" style="70" customWidth="1"/>
    <col min="9443" max="9443" width="5.5" style="70" customWidth="1"/>
    <col min="9444" max="9444" width="8.5" style="70"/>
    <col min="9445" max="9446" width="10.875" style="70" customWidth="1"/>
    <col min="9447" max="9447" width="15.25" style="70" customWidth="1"/>
    <col min="9448" max="9448" width="0.75" style="70" customWidth="1"/>
    <col min="9449" max="9451" width="0.625" style="70" customWidth="1"/>
    <col min="9452" max="9696" width="8.5" style="70"/>
    <col min="9697" max="9697" width="5.25" style="70" customWidth="1"/>
    <col min="9698" max="9698" width="26.25" style="70" customWidth="1"/>
    <col min="9699" max="9699" width="5.5" style="70" customWidth="1"/>
    <col min="9700" max="9700" width="8.5" style="70"/>
    <col min="9701" max="9702" width="10.875" style="70" customWidth="1"/>
    <col min="9703" max="9703" width="15.25" style="70" customWidth="1"/>
    <col min="9704" max="9704" width="0.75" style="70" customWidth="1"/>
    <col min="9705" max="9707" width="0.625" style="70" customWidth="1"/>
    <col min="9708" max="9952" width="8.5" style="70"/>
    <col min="9953" max="9953" width="5.25" style="70" customWidth="1"/>
    <col min="9954" max="9954" width="26.25" style="70" customWidth="1"/>
    <col min="9955" max="9955" width="5.5" style="70" customWidth="1"/>
    <col min="9956" max="9956" width="8.5" style="70"/>
    <col min="9957" max="9958" width="10.875" style="70" customWidth="1"/>
    <col min="9959" max="9959" width="15.25" style="70" customWidth="1"/>
    <col min="9960" max="9960" width="0.75" style="70" customWidth="1"/>
    <col min="9961" max="9963" width="0.625" style="70" customWidth="1"/>
    <col min="9964" max="10208" width="8.5" style="70"/>
    <col min="10209" max="10209" width="5.25" style="70" customWidth="1"/>
    <col min="10210" max="10210" width="26.25" style="70" customWidth="1"/>
    <col min="10211" max="10211" width="5.5" style="70" customWidth="1"/>
    <col min="10212" max="10212" width="8.5" style="70"/>
    <col min="10213" max="10214" width="10.875" style="70" customWidth="1"/>
    <col min="10215" max="10215" width="15.25" style="70" customWidth="1"/>
    <col min="10216" max="10216" width="0.75" style="70" customWidth="1"/>
    <col min="10217" max="10219" width="0.625" style="70" customWidth="1"/>
    <col min="10220" max="10464" width="8.5" style="70"/>
    <col min="10465" max="10465" width="5.25" style="70" customWidth="1"/>
    <col min="10466" max="10466" width="26.25" style="70" customWidth="1"/>
    <col min="10467" max="10467" width="5.5" style="70" customWidth="1"/>
    <col min="10468" max="10468" width="8.5" style="70"/>
    <col min="10469" max="10470" width="10.875" style="70" customWidth="1"/>
    <col min="10471" max="10471" width="15.25" style="70" customWidth="1"/>
    <col min="10472" max="10472" width="0.75" style="70" customWidth="1"/>
    <col min="10473" max="10475" width="0.625" style="70" customWidth="1"/>
    <col min="10476" max="10720" width="8.5" style="70"/>
    <col min="10721" max="10721" width="5.25" style="70" customWidth="1"/>
    <col min="10722" max="10722" width="26.25" style="70" customWidth="1"/>
    <col min="10723" max="10723" width="5.5" style="70" customWidth="1"/>
    <col min="10724" max="10724" width="8.5" style="70"/>
    <col min="10725" max="10726" width="10.875" style="70" customWidth="1"/>
    <col min="10727" max="10727" width="15.25" style="70" customWidth="1"/>
    <col min="10728" max="10728" width="0.75" style="70" customWidth="1"/>
    <col min="10729" max="10731" width="0.625" style="70" customWidth="1"/>
    <col min="10732" max="10976" width="8.5" style="70"/>
    <col min="10977" max="10977" width="5.25" style="70" customWidth="1"/>
    <col min="10978" max="10978" width="26.25" style="70" customWidth="1"/>
    <col min="10979" max="10979" width="5.5" style="70" customWidth="1"/>
    <col min="10980" max="10980" width="8.5" style="70"/>
    <col min="10981" max="10982" width="10.875" style="70" customWidth="1"/>
    <col min="10983" max="10983" width="15.25" style="70" customWidth="1"/>
    <col min="10984" max="10984" width="0.75" style="70" customWidth="1"/>
    <col min="10985" max="10987" width="0.625" style="70" customWidth="1"/>
    <col min="10988" max="11232" width="8.5" style="70"/>
    <col min="11233" max="11233" width="5.25" style="70" customWidth="1"/>
    <col min="11234" max="11234" width="26.25" style="70" customWidth="1"/>
    <col min="11235" max="11235" width="5.5" style="70" customWidth="1"/>
    <col min="11236" max="11236" width="8.5" style="70"/>
    <col min="11237" max="11238" width="10.875" style="70" customWidth="1"/>
    <col min="11239" max="11239" width="15.25" style="70" customWidth="1"/>
    <col min="11240" max="11240" width="0.75" style="70" customWidth="1"/>
    <col min="11241" max="11243" width="0.625" style="70" customWidth="1"/>
    <col min="11244" max="11488" width="8.5" style="70"/>
    <col min="11489" max="11489" width="5.25" style="70" customWidth="1"/>
    <col min="11490" max="11490" width="26.25" style="70" customWidth="1"/>
    <col min="11491" max="11491" width="5.5" style="70" customWidth="1"/>
    <col min="11492" max="11492" width="8.5" style="70"/>
    <col min="11493" max="11494" width="10.875" style="70" customWidth="1"/>
    <col min="11495" max="11495" width="15.25" style="70" customWidth="1"/>
    <col min="11496" max="11496" width="0.75" style="70" customWidth="1"/>
    <col min="11497" max="11499" width="0.625" style="70" customWidth="1"/>
    <col min="11500" max="11744" width="8.5" style="70"/>
    <col min="11745" max="11745" width="5.25" style="70" customWidth="1"/>
    <col min="11746" max="11746" width="26.25" style="70" customWidth="1"/>
    <col min="11747" max="11747" width="5.5" style="70" customWidth="1"/>
    <col min="11748" max="11748" width="8.5" style="70"/>
    <col min="11749" max="11750" width="10.875" style="70" customWidth="1"/>
    <col min="11751" max="11751" width="15.25" style="70" customWidth="1"/>
    <col min="11752" max="11752" width="0.75" style="70" customWidth="1"/>
    <col min="11753" max="11755" width="0.625" style="70" customWidth="1"/>
    <col min="11756" max="12000" width="8.5" style="70"/>
    <col min="12001" max="12001" width="5.25" style="70" customWidth="1"/>
    <col min="12002" max="12002" width="26.25" style="70" customWidth="1"/>
    <col min="12003" max="12003" width="5.5" style="70" customWidth="1"/>
    <col min="12004" max="12004" width="8.5" style="70"/>
    <col min="12005" max="12006" width="10.875" style="70" customWidth="1"/>
    <col min="12007" max="12007" width="15.25" style="70" customWidth="1"/>
    <col min="12008" max="12008" width="0.75" style="70" customWidth="1"/>
    <col min="12009" max="12011" width="0.625" style="70" customWidth="1"/>
    <col min="12012" max="12256" width="8.5" style="70"/>
    <col min="12257" max="12257" width="5.25" style="70" customWidth="1"/>
    <col min="12258" max="12258" width="26.25" style="70" customWidth="1"/>
    <col min="12259" max="12259" width="5.5" style="70" customWidth="1"/>
    <col min="12260" max="12260" width="8.5" style="70"/>
    <col min="12261" max="12262" width="10.875" style="70" customWidth="1"/>
    <col min="12263" max="12263" width="15.25" style="70" customWidth="1"/>
    <col min="12264" max="12264" width="0.75" style="70" customWidth="1"/>
    <col min="12265" max="12267" width="0.625" style="70" customWidth="1"/>
    <col min="12268" max="12512" width="8.5" style="70"/>
    <col min="12513" max="12513" width="5.25" style="70" customWidth="1"/>
    <col min="12514" max="12514" width="26.25" style="70" customWidth="1"/>
    <col min="12515" max="12515" width="5.5" style="70" customWidth="1"/>
    <col min="12516" max="12516" width="8.5" style="70"/>
    <col min="12517" max="12518" width="10.875" style="70" customWidth="1"/>
    <col min="12519" max="12519" width="15.25" style="70" customWidth="1"/>
    <col min="12520" max="12520" width="0.75" style="70" customWidth="1"/>
    <col min="12521" max="12523" width="0.625" style="70" customWidth="1"/>
    <col min="12524" max="12768" width="8.5" style="70"/>
    <col min="12769" max="12769" width="5.25" style="70" customWidth="1"/>
    <col min="12770" max="12770" width="26.25" style="70" customWidth="1"/>
    <col min="12771" max="12771" width="5.5" style="70" customWidth="1"/>
    <col min="12772" max="12772" width="8.5" style="70"/>
    <col min="12773" max="12774" width="10.875" style="70" customWidth="1"/>
    <col min="12775" max="12775" width="15.25" style="70" customWidth="1"/>
    <col min="12776" max="12776" width="0.75" style="70" customWidth="1"/>
    <col min="12777" max="12779" width="0.625" style="70" customWidth="1"/>
    <col min="12780" max="13024" width="8.5" style="70"/>
    <col min="13025" max="13025" width="5.25" style="70" customWidth="1"/>
    <col min="13026" max="13026" width="26.25" style="70" customWidth="1"/>
    <col min="13027" max="13027" width="5.5" style="70" customWidth="1"/>
    <col min="13028" max="13028" width="8.5" style="70"/>
    <col min="13029" max="13030" width="10.875" style="70" customWidth="1"/>
    <col min="13031" max="13031" width="15.25" style="70" customWidth="1"/>
    <col min="13032" max="13032" width="0.75" style="70" customWidth="1"/>
    <col min="13033" max="13035" width="0.625" style="70" customWidth="1"/>
    <col min="13036" max="13280" width="8.5" style="70"/>
    <col min="13281" max="13281" width="5.25" style="70" customWidth="1"/>
    <col min="13282" max="13282" width="26.25" style="70" customWidth="1"/>
    <col min="13283" max="13283" width="5.5" style="70" customWidth="1"/>
    <col min="13284" max="13284" width="8.5" style="70"/>
    <col min="13285" max="13286" width="10.875" style="70" customWidth="1"/>
    <col min="13287" max="13287" width="15.25" style="70" customWidth="1"/>
    <col min="13288" max="13288" width="0.75" style="70" customWidth="1"/>
    <col min="13289" max="13291" width="0.625" style="70" customWidth="1"/>
    <col min="13292" max="13536" width="8.5" style="70"/>
    <col min="13537" max="13537" width="5.25" style="70" customWidth="1"/>
    <col min="13538" max="13538" width="26.25" style="70" customWidth="1"/>
    <col min="13539" max="13539" width="5.5" style="70" customWidth="1"/>
    <col min="13540" max="13540" width="8.5" style="70"/>
    <col min="13541" max="13542" width="10.875" style="70" customWidth="1"/>
    <col min="13543" max="13543" width="15.25" style="70" customWidth="1"/>
    <col min="13544" max="13544" width="0.75" style="70" customWidth="1"/>
    <col min="13545" max="13547" width="0.625" style="70" customWidth="1"/>
    <col min="13548" max="13792" width="8.5" style="70"/>
    <col min="13793" max="13793" width="5.25" style="70" customWidth="1"/>
    <col min="13794" max="13794" width="26.25" style="70" customWidth="1"/>
    <col min="13795" max="13795" width="5.5" style="70" customWidth="1"/>
    <col min="13796" max="13796" width="8.5" style="70"/>
    <col min="13797" max="13798" width="10.875" style="70" customWidth="1"/>
    <col min="13799" max="13799" width="15.25" style="70" customWidth="1"/>
    <col min="13800" max="13800" width="0.75" style="70" customWidth="1"/>
    <col min="13801" max="13803" width="0.625" style="70" customWidth="1"/>
    <col min="13804" max="14048" width="8.5" style="70"/>
    <col min="14049" max="14049" width="5.25" style="70" customWidth="1"/>
    <col min="14050" max="14050" width="26.25" style="70" customWidth="1"/>
    <col min="14051" max="14051" width="5.5" style="70" customWidth="1"/>
    <col min="14052" max="14052" width="8.5" style="70"/>
    <col min="14053" max="14054" width="10.875" style="70" customWidth="1"/>
    <col min="14055" max="14055" width="15.25" style="70" customWidth="1"/>
    <col min="14056" max="14056" width="0.75" style="70" customWidth="1"/>
    <col min="14057" max="14059" width="0.625" style="70" customWidth="1"/>
    <col min="14060" max="14304" width="8.5" style="70"/>
    <col min="14305" max="14305" width="5.25" style="70" customWidth="1"/>
    <col min="14306" max="14306" width="26.25" style="70" customWidth="1"/>
    <col min="14307" max="14307" width="5.5" style="70" customWidth="1"/>
    <col min="14308" max="14308" width="8.5" style="70"/>
    <col min="14309" max="14310" width="10.875" style="70" customWidth="1"/>
    <col min="14311" max="14311" width="15.25" style="70" customWidth="1"/>
    <col min="14312" max="14312" width="0.75" style="70" customWidth="1"/>
    <col min="14313" max="14315" width="0.625" style="70" customWidth="1"/>
    <col min="14316" max="14560" width="8.5" style="70"/>
    <col min="14561" max="14561" width="5.25" style="70" customWidth="1"/>
    <col min="14562" max="14562" width="26.25" style="70" customWidth="1"/>
    <col min="14563" max="14563" width="5.5" style="70" customWidth="1"/>
    <col min="14564" max="14564" width="8.5" style="70"/>
    <col min="14565" max="14566" width="10.875" style="70" customWidth="1"/>
    <col min="14567" max="14567" width="15.25" style="70" customWidth="1"/>
    <col min="14568" max="14568" width="0.75" style="70" customWidth="1"/>
    <col min="14569" max="14571" width="0.625" style="70" customWidth="1"/>
    <col min="14572" max="14816" width="8.5" style="70"/>
    <col min="14817" max="14817" width="5.25" style="70" customWidth="1"/>
    <col min="14818" max="14818" width="26.25" style="70" customWidth="1"/>
    <col min="14819" max="14819" width="5.5" style="70" customWidth="1"/>
    <col min="14820" max="14820" width="8.5" style="70"/>
    <col min="14821" max="14822" width="10.875" style="70" customWidth="1"/>
    <col min="14823" max="14823" width="15.25" style="70" customWidth="1"/>
    <col min="14824" max="14824" width="0.75" style="70" customWidth="1"/>
    <col min="14825" max="14827" width="0.625" style="70" customWidth="1"/>
    <col min="14828" max="15072" width="8.5" style="70"/>
    <col min="15073" max="15073" width="5.25" style="70" customWidth="1"/>
    <col min="15074" max="15074" width="26.25" style="70" customWidth="1"/>
    <col min="15075" max="15075" width="5.5" style="70" customWidth="1"/>
    <col min="15076" max="15076" width="8.5" style="70"/>
    <col min="15077" max="15078" width="10.875" style="70" customWidth="1"/>
    <col min="15079" max="15079" width="15.25" style="70" customWidth="1"/>
    <col min="15080" max="15080" width="0.75" style="70" customWidth="1"/>
    <col min="15081" max="15083" width="0.625" style="70" customWidth="1"/>
    <col min="15084" max="15328" width="8.5" style="70"/>
    <col min="15329" max="15329" width="5.25" style="70" customWidth="1"/>
    <col min="15330" max="15330" width="26.25" style="70" customWidth="1"/>
    <col min="15331" max="15331" width="5.5" style="70" customWidth="1"/>
    <col min="15332" max="15332" width="8.5" style="70"/>
    <col min="15333" max="15334" width="10.875" style="70" customWidth="1"/>
    <col min="15335" max="15335" width="15.25" style="70" customWidth="1"/>
    <col min="15336" max="15336" width="0.75" style="70" customWidth="1"/>
    <col min="15337" max="15339" width="0.625" style="70" customWidth="1"/>
    <col min="15340" max="15584" width="8.5" style="70"/>
    <col min="15585" max="15585" width="5.25" style="70" customWidth="1"/>
    <col min="15586" max="15586" width="26.25" style="70" customWidth="1"/>
    <col min="15587" max="15587" width="5.5" style="70" customWidth="1"/>
    <col min="15588" max="15588" width="8.5" style="70"/>
    <col min="15589" max="15590" width="10.875" style="70" customWidth="1"/>
    <col min="15591" max="15591" width="15.25" style="70" customWidth="1"/>
    <col min="15592" max="15592" width="0.75" style="70" customWidth="1"/>
    <col min="15593" max="15595" width="0.625" style="70" customWidth="1"/>
    <col min="15596" max="15840" width="8.5" style="70"/>
    <col min="15841" max="15841" width="5.25" style="70" customWidth="1"/>
    <col min="15842" max="15842" width="26.25" style="70" customWidth="1"/>
    <col min="15843" max="15843" width="5.5" style="70" customWidth="1"/>
    <col min="15844" max="15844" width="8.5" style="70"/>
    <col min="15845" max="15846" width="10.875" style="70" customWidth="1"/>
    <col min="15847" max="15847" width="15.25" style="70" customWidth="1"/>
    <col min="15848" max="15848" width="0.75" style="70" customWidth="1"/>
    <col min="15849" max="15851" width="0.625" style="70" customWidth="1"/>
    <col min="15852" max="16096" width="8.5" style="70"/>
    <col min="16097" max="16097" width="5.25" style="70" customWidth="1"/>
    <col min="16098" max="16098" width="26.25" style="70" customWidth="1"/>
    <col min="16099" max="16099" width="5.5" style="70" customWidth="1"/>
    <col min="16100" max="16100" width="8.5" style="70"/>
    <col min="16101" max="16102" width="10.875" style="70" customWidth="1"/>
    <col min="16103" max="16103" width="15.25" style="70" customWidth="1"/>
    <col min="16104" max="16104" width="0.75" style="70" customWidth="1"/>
    <col min="16105" max="16107" width="0.625" style="70" customWidth="1"/>
    <col min="16108" max="16384" width="8.5" style="70"/>
  </cols>
  <sheetData>
    <row r="1" spans="1:38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47"/>
      <c r="W1" s="99"/>
      <c r="X1" s="99"/>
      <c r="Y1" s="99"/>
      <c r="Z1" s="99"/>
      <c r="AA1" s="100"/>
    </row>
    <row r="2" spans="1:38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47"/>
    </row>
    <row r="3" spans="1:38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47"/>
      <c r="Q3" s="386" t="s">
        <v>0</v>
      </c>
      <c r="R3" s="387"/>
      <c r="S3" s="387"/>
      <c r="T3" s="387"/>
      <c r="U3" s="387"/>
      <c r="V3" s="387"/>
      <c r="W3" s="387"/>
      <c r="X3" s="387"/>
      <c r="Y3" s="387"/>
      <c r="Z3" s="387"/>
      <c r="AA3" s="387"/>
    </row>
    <row r="4" spans="1:38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48"/>
      <c r="Q4" s="389">
        <v>24</v>
      </c>
      <c r="R4" s="387"/>
      <c r="S4" s="387"/>
      <c r="T4" s="387"/>
      <c r="U4" s="387"/>
      <c r="V4" s="387"/>
      <c r="W4" s="387"/>
      <c r="X4" s="387"/>
      <c r="Y4" s="387"/>
      <c r="Z4" s="387"/>
      <c r="AA4" s="387"/>
    </row>
    <row r="5" spans="1:38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93" t="s">
        <v>4</v>
      </c>
      <c r="K5" s="393"/>
      <c r="L5" s="74"/>
      <c r="M5" s="394" t="s">
        <v>3154</v>
      </c>
      <c r="N5" s="394"/>
      <c r="O5" s="394"/>
      <c r="P5" s="96"/>
      <c r="Q5" s="395" t="s">
        <v>2</v>
      </c>
      <c r="R5" s="396"/>
      <c r="S5" s="396"/>
      <c r="T5" s="396"/>
      <c r="U5" s="396"/>
      <c r="V5" s="396"/>
      <c r="W5" s="396"/>
      <c r="X5" s="396"/>
      <c r="Y5" s="4" t="s">
        <v>1361</v>
      </c>
      <c r="Z5" s="380">
        <v>45900</v>
      </c>
      <c r="AA5" s="381"/>
      <c r="AB5"/>
      <c r="AC5" s="181"/>
      <c r="AD5" s="181"/>
      <c r="AE5" s="181"/>
      <c r="AF5" s="181"/>
    </row>
    <row r="6" spans="1:38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1" t="s">
        <v>9</v>
      </c>
      <c r="J6" s="51" t="s">
        <v>3068</v>
      </c>
      <c r="K6" s="50" t="s">
        <v>11</v>
      </c>
      <c r="L6" s="47"/>
      <c r="M6" s="1" t="s">
        <v>1423</v>
      </c>
      <c r="N6" s="1" t="s">
        <v>1424</v>
      </c>
      <c r="O6" s="1" t="s">
        <v>1425</v>
      </c>
      <c r="P6" s="97"/>
      <c r="Q6" s="5" t="s">
        <v>5</v>
      </c>
      <c r="R6" s="6" t="s">
        <v>1362</v>
      </c>
      <c r="S6" s="6" t="s">
        <v>7</v>
      </c>
      <c r="T6" s="6" t="s">
        <v>1363</v>
      </c>
      <c r="U6" s="6" t="s">
        <v>1364</v>
      </c>
      <c r="V6" s="6" t="s">
        <v>1365</v>
      </c>
      <c r="W6" s="6" t="s">
        <v>1366</v>
      </c>
      <c r="X6" s="214" t="s">
        <v>1367</v>
      </c>
      <c r="Y6" s="214" t="s">
        <v>1368</v>
      </c>
      <c r="Z6" s="214" t="s">
        <v>1369</v>
      </c>
      <c r="AA6" s="7" t="s">
        <v>1370</v>
      </c>
      <c r="AB6" s="36"/>
      <c r="AH6" s="222">
        <f>AJ7</f>
        <v>0.81242499999999995</v>
      </c>
      <c r="AI6" s="104">
        <f>AJ9</f>
        <v>2.2949449765483854E-2</v>
      </c>
      <c r="AJ6" s="197" t="s">
        <v>1513</v>
      </c>
      <c r="AL6" s="68" t="s">
        <v>3110</v>
      </c>
    </row>
    <row r="7" spans="1:38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>
        <v>383773907</v>
      </c>
      <c r="K7" s="53" t="s">
        <v>15</v>
      </c>
      <c r="L7" s="73"/>
      <c r="M7" s="39">
        <v>1</v>
      </c>
      <c r="N7" s="39">
        <v>7772700.0000000019</v>
      </c>
      <c r="O7" s="39">
        <v>302980000</v>
      </c>
      <c r="P7" s="98"/>
      <c r="Q7" s="8" t="s">
        <v>12</v>
      </c>
      <c r="R7" s="9" t="s">
        <v>13</v>
      </c>
      <c r="S7" s="10" t="s">
        <v>14</v>
      </c>
      <c r="T7" s="11">
        <v>1</v>
      </c>
      <c r="U7" s="11"/>
      <c r="V7" s="11">
        <f>V8+V377+V407+V447+V451+V472+V492+V495+V496+V498</f>
        <v>383773907</v>
      </c>
      <c r="W7" s="11">
        <f>IF(Y7=0,0,1)</f>
        <v>1</v>
      </c>
      <c r="X7" s="11">
        <f>IF(Z7=0,0,1)</f>
        <v>1</v>
      </c>
      <c r="Y7" s="11">
        <f>Y8+Y377+Y407+Y447+Y451+Y472+Y492+Y495+Y496+Y498</f>
        <v>8807399.9999999721</v>
      </c>
      <c r="Z7" s="11">
        <f>ROUNDDOWN((Z8+Z377+Z407+Z447+Z451+Z472+Z492+Z496+Z498+(Z8+Z377+Z407+Z447+Z451+Z472+Z492)*0.1095000004)/1000,1)*1000</f>
        <v>311787400</v>
      </c>
      <c r="AA7" s="12" t="s">
        <v>15</v>
      </c>
      <c r="AB7" s="232"/>
      <c r="AC7" s="182"/>
      <c r="AD7" s="182"/>
      <c r="AE7" s="182"/>
      <c r="AF7" s="182"/>
      <c r="AG7" s="101"/>
      <c r="AH7" s="187"/>
      <c r="AI7" s="126">
        <f>V7</f>
        <v>383773907</v>
      </c>
      <c r="AJ7" s="201">
        <f>ROUND(Z7/AI7,6)</f>
        <v>0.81242499999999995</v>
      </c>
    </row>
    <row r="8" spans="1:38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>
        <v>291889770.98000002</v>
      </c>
      <c r="K8" s="86" t="s">
        <v>15</v>
      </c>
      <c r="L8" s="73"/>
      <c r="M8" s="42">
        <v>1</v>
      </c>
      <c r="N8" s="42">
        <v>5878815.3200000003</v>
      </c>
      <c r="O8" s="42">
        <v>227544924.30000001</v>
      </c>
      <c r="P8" s="98"/>
      <c r="Q8" s="13" t="s">
        <v>1371</v>
      </c>
      <c r="R8" s="14" t="s">
        <v>18</v>
      </c>
      <c r="S8" s="15" t="s">
        <v>14</v>
      </c>
      <c r="T8" s="16">
        <v>1</v>
      </c>
      <c r="U8" s="16"/>
      <c r="V8" s="16">
        <f>V9+V38+V133+V177+V202+V220+V237+V327+V369</f>
        <v>291889770.98000008</v>
      </c>
      <c r="W8" s="16">
        <f t="shared" ref="W8:X9" si="0">IF(Y8=0,0,1)</f>
        <v>1</v>
      </c>
      <c r="X8" s="16">
        <f t="shared" si="0"/>
        <v>1</v>
      </c>
      <c r="Y8" s="16">
        <f>Y9+Y38+Y133+Y177+Y202+Y220+Y237+Y327+Y369</f>
        <v>6673329.5599999987</v>
      </c>
      <c r="Z8" s="16">
        <f>Z9+Z38+Z133+Z177+Z202+Z220+Z237+Z327+Z369</f>
        <v>234218253.86000004</v>
      </c>
      <c r="AA8" s="17" t="s">
        <v>15</v>
      </c>
      <c r="AB8" s="40" t="s">
        <v>16</v>
      </c>
      <c r="AC8" s="183"/>
      <c r="AD8" s="183"/>
      <c r="AE8" s="183"/>
      <c r="AF8" s="183"/>
      <c r="AG8" s="101"/>
      <c r="AH8" s="188"/>
      <c r="AJ8" s="124" t="s">
        <v>1514</v>
      </c>
    </row>
    <row r="9" spans="1:38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>
        <v>90137193.75</v>
      </c>
      <c r="K9" s="80" t="s">
        <v>15</v>
      </c>
      <c r="L9" s="73"/>
      <c r="M9" s="45">
        <v>1</v>
      </c>
      <c r="N9" s="45">
        <v>760940.50999999954</v>
      </c>
      <c r="O9" s="45">
        <v>75701921.520000011</v>
      </c>
      <c r="P9" s="98"/>
      <c r="Q9" s="18" t="s">
        <v>1372</v>
      </c>
      <c r="R9" s="19" t="s">
        <v>20</v>
      </c>
      <c r="S9" s="20" t="s">
        <v>14</v>
      </c>
      <c r="T9" s="21">
        <v>1</v>
      </c>
      <c r="U9" s="21"/>
      <c r="V9" s="21">
        <f>SUMIFS(AD:AD,AE:AE,AE9)</f>
        <v>90137193.75000003</v>
      </c>
      <c r="W9" s="21">
        <f t="shared" si="0"/>
        <v>1</v>
      </c>
      <c r="X9" s="21">
        <f t="shared" si="0"/>
        <v>1</v>
      </c>
      <c r="Y9" s="21">
        <f>SUMIFS(Y:Y,AF:AF,AE9)</f>
        <v>767318.18999999983</v>
      </c>
      <c r="Z9" s="21">
        <f>SUMIFS(Z:Z,AF:AF,AE9)</f>
        <v>76469239.710000008</v>
      </c>
      <c r="AA9" s="22" t="s">
        <v>15</v>
      </c>
      <c r="AB9" s="43" t="s">
        <v>16</v>
      </c>
      <c r="AC9" s="184">
        <f>IF(U9=0,T9,U9)</f>
        <v>1</v>
      </c>
      <c r="AD9" s="184"/>
      <c r="AE9" s="181">
        <v>1.1000000000000001</v>
      </c>
      <c r="AF9" s="181"/>
      <c r="AG9" s="101"/>
      <c r="AH9" s="189" t="s">
        <v>3061</v>
      </c>
      <c r="AJ9" s="125">
        <f>Y7/AI7</f>
        <v>2.2949449765483854E-2</v>
      </c>
      <c r="AL9" s="101" t="s">
        <v>3062</v>
      </c>
    </row>
    <row r="10" spans="1:38" s="69" customFormat="1" ht="39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 t="s">
        <v>15</v>
      </c>
      <c r="I10" s="75">
        <v>193.12</v>
      </c>
      <c r="J10" s="75">
        <v>105184.74</v>
      </c>
      <c r="K10" s="91" t="s">
        <v>24</v>
      </c>
      <c r="L10" s="73"/>
      <c r="M10" s="46">
        <v>408.7</v>
      </c>
      <c r="N10" s="46">
        <v>0</v>
      </c>
      <c r="O10" s="46">
        <v>78928.14</v>
      </c>
      <c r="P10" s="98"/>
      <c r="Q10" s="23" t="s">
        <v>1421</v>
      </c>
      <c r="R10" s="24" t="s">
        <v>22</v>
      </c>
      <c r="S10" s="25" t="s">
        <v>23</v>
      </c>
      <c r="T10" s="26">
        <v>544.66</v>
      </c>
      <c r="U10" s="26">
        <v>544.66</v>
      </c>
      <c r="V10" s="26">
        <v>193.12</v>
      </c>
      <c r="W10" s="127">
        <f>AH10-M10</f>
        <v>0</v>
      </c>
      <c r="X10" s="127">
        <f>W10+M10</f>
        <v>408.7</v>
      </c>
      <c r="Y10" s="127">
        <f t="shared" ref="Y10:Y37" si="1">Z10-O10</f>
        <v>0</v>
      </c>
      <c r="Z10" s="127">
        <f>ROUND(V10*X10,2)</f>
        <v>78928.14</v>
      </c>
      <c r="AA10" s="33" t="s">
        <v>15</v>
      </c>
      <c r="AB10" s="36" t="s">
        <v>16</v>
      </c>
      <c r="AC10" s="181">
        <f>IF(U10="",T10,U10)</f>
        <v>544.66</v>
      </c>
      <c r="AD10" s="181">
        <f t="shared" ref="AD10:AD37" si="2">ROUND(V10*AC10,2)</f>
        <v>105184.74</v>
      </c>
      <c r="AE10" s="181">
        <v>1.1000000000000001</v>
      </c>
      <c r="AF10" s="181">
        <v>1.1000000000000001</v>
      </c>
      <c r="AG10" s="101" t="str">
        <f>IF(X10&gt;AI10,"超估","")</f>
        <v/>
      </c>
      <c r="AH10" s="192">
        <v>408.7</v>
      </c>
      <c r="AI10" s="69">
        <f>IF(G10=0,IF(F10=0,IF(E10=0,D10,E10),F10),G10)</f>
        <v>544.66</v>
      </c>
    </row>
    <row r="11" spans="1:38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 t="s">
        <v>15</v>
      </c>
      <c r="I11" s="75">
        <v>1046.22</v>
      </c>
      <c r="J11" s="75">
        <v>7417092.9900000002</v>
      </c>
      <c r="K11" s="91" t="s">
        <v>27</v>
      </c>
      <c r="L11" s="73"/>
      <c r="M11" s="46">
        <v>6566.61</v>
      </c>
      <c r="N11" s="46">
        <v>37140.80999999959</v>
      </c>
      <c r="O11" s="46">
        <v>6870118.71</v>
      </c>
      <c r="P11" s="98"/>
      <c r="Q11" s="23" t="s">
        <v>1426</v>
      </c>
      <c r="R11" s="24" t="s">
        <v>26</v>
      </c>
      <c r="S11" s="25" t="s">
        <v>23</v>
      </c>
      <c r="T11" s="26">
        <v>7089.42</v>
      </c>
      <c r="U11" s="26">
        <v>7089.42</v>
      </c>
      <c r="V11" s="26">
        <v>1046.22</v>
      </c>
      <c r="W11" s="243">
        <f>AH11-M11</f>
        <v>231.69999999999982</v>
      </c>
      <c r="X11" s="26">
        <f t="shared" ref="X11:X74" si="3">W11+M11</f>
        <v>6798.3099999999995</v>
      </c>
      <c r="Y11" s="26">
        <f t="shared" si="1"/>
        <v>242409.1799999997</v>
      </c>
      <c r="Z11" s="26">
        <f t="shared" ref="Z11:Z74" si="4">ROUND(V11*X11,2)</f>
        <v>7112527.8899999997</v>
      </c>
      <c r="AA11" s="33" t="s">
        <v>15</v>
      </c>
      <c r="AB11" s="36" t="s">
        <v>16</v>
      </c>
      <c r="AC11" s="181">
        <f t="shared" ref="AC11:AC74" si="5">IF(U11="",T11,U11)</f>
        <v>7089.42</v>
      </c>
      <c r="AD11" s="181">
        <f t="shared" si="2"/>
        <v>7417092.9900000002</v>
      </c>
      <c r="AE11" s="181">
        <v>1.1000000000000001</v>
      </c>
      <c r="AF11" s="181">
        <v>1.1000000000000001</v>
      </c>
      <c r="AG11" s="101" t="str">
        <f t="shared" ref="AG11:AG74" si="6">IF(X11&gt;AI11,"超估","")</f>
        <v/>
      </c>
      <c r="AH11" s="193">
        <f>6531.11+35.5+231.7</f>
        <v>6798.3099999999995</v>
      </c>
      <c r="AI11" s="69">
        <f t="shared" ref="AI11:AI74" si="7">IF(G11=0,IF(F11=0,IF(E11=0,D11,E11),F11),G11)</f>
        <v>7089.42</v>
      </c>
    </row>
    <row r="12" spans="1:38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 t="s">
        <v>15</v>
      </c>
      <c r="I12" s="75">
        <v>6200</v>
      </c>
      <c r="J12" s="75">
        <v>28619200</v>
      </c>
      <c r="K12" s="91" t="s">
        <v>31</v>
      </c>
      <c r="L12" s="73"/>
      <c r="M12" s="46">
        <v>4610.7</v>
      </c>
      <c r="N12" s="46">
        <v>0</v>
      </c>
      <c r="O12" s="46">
        <v>28586340</v>
      </c>
      <c r="P12" s="98"/>
      <c r="Q12" s="23" t="s">
        <v>1402</v>
      </c>
      <c r="R12" s="24" t="s">
        <v>29</v>
      </c>
      <c r="S12" s="25" t="s">
        <v>30</v>
      </c>
      <c r="T12" s="26">
        <v>4616</v>
      </c>
      <c r="U12" s="26">
        <v>4616</v>
      </c>
      <c r="V12" s="26">
        <v>6200</v>
      </c>
      <c r="W12" s="127">
        <f t="shared" ref="W12:W75" si="8">AH12-M12</f>
        <v>0</v>
      </c>
      <c r="X12" s="127">
        <f t="shared" si="3"/>
        <v>4610.7</v>
      </c>
      <c r="Y12" s="127">
        <f t="shared" si="1"/>
        <v>0</v>
      </c>
      <c r="Z12" s="127">
        <f t="shared" si="4"/>
        <v>28586340</v>
      </c>
      <c r="AA12" s="33" t="s">
        <v>15</v>
      </c>
      <c r="AB12" s="36" t="s">
        <v>16</v>
      </c>
      <c r="AC12" s="181">
        <f t="shared" si="5"/>
        <v>4616</v>
      </c>
      <c r="AD12" s="181">
        <f t="shared" si="2"/>
        <v>28619200</v>
      </c>
      <c r="AE12" s="181">
        <v>1.1000000000000001</v>
      </c>
      <c r="AF12" s="181">
        <v>1.1000000000000001</v>
      </c>
      <c r="AG12" s="101" t="str">
        <f t="shared" si="6"/>
        <v/>
      </c>
      <c r="AH12" s="192">
        <v>4610.7</v>
      </c>
      <c r="AI12" s="69">
        <f t="shared" si="7"/>
        <v>4616</v>
      </c>
    </row>
    <row r="13" spans="1:38" s="69" customFormat="1" ht="58.5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 t="s">
        <v>15</v>
      </c>
      <c r="I13" s="75">
        <v>48.28</v>
      </c>
      <c r="J13" s="75">
        <v>1533324.52</v>
      </c>
      <c r="K13" s="91" t="s">
        <v>35</v>
      </c>
      <c r="L13" s="73"/>
      <c r="M13" s="46">
        <v>28942.799999999999</v>
      </c>
      <c r="N13" s="46">
        <v>0</v>
      </c>
      <c r="O13" s="46">
        <v>1397358.38</v>
      </c>
      <c r="P13" s="98"/>
      <c r="Q13" s="23" t="s">
        <v>1373</v>
      </c>
      <c r="R13" s="24" t="s">
        <v>33</v>
      </c>
      <c r="S13" s="25" t="s">
        <v>34</v>
      </c>
      <c r="T13" s="26">
        <v>29759</v>
      </c>
      <c r="U13" s="26">
        <v>31759</v>
      </c>
      <c r="V13" s="26">
        <v>48.28</v>
      </c>
      <c r="W13" s="243">
        <f>AH13-M13</f>
        <v>415.59999999999854</v>
      </c>
      <c r="X13" s="127">
        <f>W13+M13</f>
        <v>29358.399999999998</v>
      </c>
      <c r="Y13" s="127">
        <f t="shared" si="1"/>
        <v>20065.170000000158</v>
      </c>
      <c r="Z13" s="127">
        <f t="shared" si="4"/>
        <v>1417423.55</v>
      </c>
      <c r="AA13" s="27" t="s">
        <v>15</v>
      </c>
      <c r="AB13" s="36" t="s">
        <v>16</v>
      </c>
      <c r="AC13" s="181">
        <f t="shared" si="5"/>
        <v>31759</v>
      </c>
      <c r="AD13" s="181">
        <f t="shared" si="2"/>
        <v>1533324.52</v>
      </c>
      <c r="AE13" s="181">
        <v>1.1000000000000001</v>
      </c>
      <c r="AF13" s="181">
        <v>1.1000000000000001</v>
      </c>
      <c r="AG13" s="101" t="str">
        <f t="shared" si="6"/>
        <v/>
      </c>
      <c r="AH13" s="191">
        <f>28942.8+415.6</f>
        <v>29358.399999999998</v>
      </c>
      <c r="AI13" s="69">
        <f t="shared" si="7"/>
        <v>31759</v>
      </c>
    </row>
    <row r="14" spans="1:38" s="69" customFormat="1" ht="39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 t="s">
        <v>15</v>
      </c>
      <c r="I14" s="75">
        <v>599.75</v>
      </c>
      <c r="J14" s="75">
        <v>438681.14</v>
      </c>
      <c r="K14" s="91" t="s">
        <v>38</v>
      </c>
      <c r="L14" s="73"/>
      <c r="M14" s="46">
        <v>731.43999999999994</v>
      </c>
      <c r="N14" s="46">
        <v>127153</v>
      </c>
      <c r="O14" s="46">
        <v>438681.14</v>
      </c>
      <c r="P14" s="98"/>
      <c r="Q14" s="23" t="s">
        <v>1393</v>
      </c>
      <c r="R14" s="24" t="s">
        <v>37</v>
      </c>
      <c r="S14" s="25" t="s">
        <v>23</v>
      </c>
      <c r="T14" s="26">
        <v>731.44</v>
      </c>
      <c r="U14" s="26">
        <v>731.44</v>
      </c>
      <c r="V14" s="26">
        <v>599.75</v>
      </c>
      <c r="W14" s="209">
        <f t="shared" si="8"/>
        <v>0</v>
      </c>
      <c r="X14" s="127">
        <f t="shared" si="3"/>
        <v>731.43999999999994</v>
      </c>
      <c r="Y14" s="127">
        <f t="shared" si="1"/>
        <v>0</v>
      </c>
      <c r="Z14" s="127">
        <f t="shared" si="4"/>
        <v>438681.14</v>
      </c>
      <c r="AA14" s="33" t="s">
        <v>15</v>
      </c>
      <c r="AB14" s="36" t="s">
        <v>16</v>
      </c>
      <c r="AC14" s="181">
        <f t="shared" si="5"/>
        <v>731.44</v>
      </c>
      <c r="AD14" s="181">
        <f t="shared" si="2"/>
        <v>438681.14</v>
      </c>
      <c r="AE14" s="181">
        <v>1.1000000000000001</v>
      </c>
      <c r="AF14" s="181">
        <v>1.1000000000000001</v>
      </c>
      <c r="AG14" s="101" t="str">
        <f t="shared" si="6"/>
        <v/>
      </c>
      <c r="AH14" s="191">
        <f>519.43+212.01</f>
        <v>731.43999999999994</v>
      </c>
      <c r="AI14" s="69">
        <f t="shared" si="7"/>
        <v>731.44</v>
      </c>
    </row>
    <row r="15" spans="1:38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 t="s">
        <v>15</v>
      </c>
      <c r="I15" s="75">
        <v>104.64</v>
      </c>
      <c r="J15" s="75">
        <v>786788.16</v>
      </c>
      <c r="K15" s="91" t="s">
        <v>41</v>
      </c>
      <c r="L15" s="73"/>
      <c r="M15" s="46">
        <v>2219</v>
      </c>
      <c r="N15" s="46">
        <v>0</v>
      </c>
      <c r="O15" s="46">
        <v>232196.16</v>
      </c>
      <c r="P15" s="98"/>
      <c r="Q15" s="23" t="s">
        <v>1403</v>
      </c>
      <c r="R15" s="24" t="s">
        <v>40</v>
      </c>
      <c r="S15" s="25" t="s">
        <v>23</v>
      </c>
      <c r="T15" s="26">
        <v>7519</v>
      </c>
      <c r="U15" s="26">
        <v>7519</v>
      </c>
      <c r="V15" s="26">
        <v>104.64</v>
      </c>
      <c r="W15" s="243">
        <f t="shared" si="8"/>
        <v>252.59999999999991</v>
      </c>
      <c r="X15" s="127">
        <f t="shared" si="3"/>
        <v>2471.6</v>
      </c>
      <c r="Y15" s="127">
        <f t="shared" si="1"/>
        <v>26432.059999999998</v>
      </c>
      <c r="Z15" s="127">
        <f t="shared" si="4"/>
        <v>258628.22</v>
      </c>
      <c r="AA15" s="33" t="s">
        <v>15</v>
      </c>
      <c r="AB15" s="36" t="s">
        <v>16</v>
      </c>
      <c r="AC15" s="181">
        <f t="shared" si="5"/>
        <v>7519</v>
      </c>
      <c r="AD15" s="181">
        <f t="shared" si="2"/>
        <v>786788.16</v>
      </c>
      <c r="AE15" s="181">
        <v>1.1000000000000001</v>
      </c>
      <c r="AF15" s="181">
        <v>1.1000000000000001</v>
      </c>
      <c r="AG15" s="101" t="str">
        <f t="shared" si="6"/>
        <v/>
      </c>
      <c r="AH15" s="191">
        <f>2219+252.6</f>
        <v>2471.6</v>
      </c>
      <c r="AI15" s="69">
        <f t="shared" si="7"/>
        <v>7519</v>
      </c>
    </row>
    <row r="16" spans="1:38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 t="s">
        <v>15</v>
      </c>
      <c r="I16" s="75">
        <v>1027.43</v>
      </c>
      <c r="J16" s="75">
        <v>22850043.199999999</v>
      </c>
      <c r="K16" s="91" t="s">
        <v>44</v>
      </c>
      <c r="L16" s="73"/>
      <c r="M16" s="46">
        <v>19090</v>
      </c>
      <c r="N16" s="46">
        <v>0</v>
      </c>
      <c r="O16" s="46">
        <v>19613638.699999999</v>
      </c>
      <c r="P16" s="98"/>
      <c r="Q16" s="23" t="s">
        <v>1427</v>
      </c>
      <c r="R16" s="24" t="s">
        <v>43</v>
      </c>
      <c r="S16" s="25" t="s">
        <v>34</v>
      </c>
      <c r="T16" s="26">
        <v>22240</v>
      </c>
      <c r="U16" s="26">
        <v>22240</v>
      </c>
      <c r="V16" s="26">
        <v>1027.43</v>
      </c>
      <c r="W16" s="243">
        <f t="shared" si="8"/>
        <v>0</v>
      </c>
      <c r="X16" s="121">
        <f t="shared" si="3"/>
        <v>19090</v>
      </c>
      <c r="Y16" s="127">
        <f t="shared" si="1"/>
        <v>0</v>
      </c>
      <c r="Z16" s="127">
        <f t="shared" si="4"/>
        <v>19613638.699999999</v>
      </c>
      <c r="AA16" s="33" t="s">
        <v>15</v>
      </c>
      <c r="AB16" s="36" t="s">
        <v>16</v>
      </c>
      <c r="AC16" s="181">
        <f t="shared" si="5"/>
        <v>22240</v>
      </c>
      <c r="AD16" s="181">
        <f t="shared" si="2"/>
        <v>22850043.199999999</v>
      </c>
      <c r="AE16" s="181">
        <v>1.1000000000000001</v>
      </c>
      <c r="AF16" s="181">
        <v>1.1000000000000001</v>
      </c>
      <c r="AG16" s="101" t="str">
        <f t="shared" si="6"/>
        <v/>
      </c>
      <c r="AH16" s="193">
        <f>19090</f>
        <v>19090</v>
      </c>
      <c r="AI16" s="69">
        <f t="shared" si="7"/>
        <v>22240</v>
      </c>
    </row>
    <row r="17" spans="1:35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 t="s">
        <v>15</v>
      </c>
      <c r="I17" s="75">
        <v>1085.04</v>
      </c>
      <c r="J17" s="75">
        <v>7302774.9199999999</v>
      </c>
      <c r="K17" s="91" t="s">
        <v>47</v>
      </c>
      <c r="L17" s="73"/>
      <c r="M17" s="46">
        <v>4956</v>
      </c>
      <c r="N17" s="46">
        <v>0</v>
      </c>
      <c r="O17" s="46">
        <v>5377458.2400000002</v>
      </c>
      <c r="P17" s="98"/>
      <c r="Q17" s="23" t="s">
        <v>1428</v>
      </c>
      <c r="R17" s="24" t="s">
        <v>46</v>
      </c>
      <c r="S17" s="25" t="s">
        <v>23</v>
      </c>
      <c r="T17" s="26">
        <v>6730.42</v>
      </c>
      <c r="U17" s="26">
        <v>6730.42</v>
      </c>
      <c r="V17" s="26">
        <v>1085.04</v>
      </c>
      <c r="W17" s="26">
        <f t="shared" si="8"/>
        <v>0</v>
      </c>
      <c r="X17" s="121">
        <f t="shared" si="3"/>
        <v>4956</v>
      </c>
      <c r="Y17" s="127">
        <f t="shared" si="1"/>
        <v>0</v>
      </c>
      <c r="Z17" s="127">
        <f t="shared" si="4"/>
        <v>5377458.2400000002</v>
      </c>
      <c r="AA17" s="33" t="s">
        <v>15</v>
      </c>
      <c r="AB17" s="36" t="s">
        <v>16</v>
      </c>
      <c r="AC17" s="181">
        <f t="shared" si="5"/>
        <v>6730.42</v>
      </c>
      <c r="AD17" s="181">
        <f t="shared" si="2"/>
        <v>7302774.9199999999</v>
      </c>
      <c r="AE17" s="181">
        <v>1.1000000000000001</v>
      </c>
      <c r="AF17" s="181">
        <v>1.1000000000000001</v>
      </c>
      <c r="AG17" s="101" t="str">
        <f t="shared" si="6"/>
        <v/>
      </c>
      <c r="AH17" s="190">
        <v>4956</v>
      </c>
      <c r="AI17" s="69">
        <f t="shared" si="7"/>
        <v>6730.42</v>
      </c>
    </row>
    <row r="18" spans="1:35" s="69" customFormat="1" ht="78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 t="s">
        <v>15</v>
      </c>
      <c r="I18" s="75">
        <v>30.45</v>
      </c>
      <c r="J18" s="75">
        <v>113745.98</v>
      </c>
      <c r="K18" s="91" t="s">
        <v>51</v>
      </c>
      <c r="L18" s="73"/>
      <c r="M18" s="46">
        <v>2100</v>
      </c>
      <c r="N18" s="46">
        <v>0</v>
      </c>
      <c r="O18" s="46">
        <v>63945</v>
      </c>
      <c r="P18" s="98"/>
      <c r="Q18" s="23" t="s">
        <v>1387</v>
      </c>
      <c r="R18" s="24" t="s">
        <v>49</v>
      </c>
      <c r="S18" s="25" t="s">
        <v>50</v>
      </c>
      <c r="T18" s="26">
        <v>3735.5</v>
      </c>
      <c r="U18" s="26">
        <v>3735.5</v>
      </c>
      <c r="V18" s="26">
        <v>30.45</v>
      </c>
      <c r="W18" s="127">
        <f t="shared" si="8"/>
        <v>0</v>
      </c>
      <c r="X18" s="127">
        <f t="shared" si="3"/>
        <v>2100</v>
      </c>
      <c r="Y18" s="127">
        <f t="shared" si="1"/>
        <v>0</v>
      </c>
      <c r="Z18" s="127">
        <f t="shared" si="4"/>
        <v>63945</v>
      </c>
      <c r="AA18" s="33" t="s">
        <v>15</v>
      </c>
      <c r="AB18" s="36" t="s">
        <v>16</v>
      </c>
      <c r="AC18" s="181">
        <f t="shared" si="5"/>
        <v>3735.5</v>
      </c>
      <c r="AD18" s="181">
        <f t="shared" si="2"/>
        <v>113745.98</v>
      </c>
      <c r="AE18" s="181">
        <v>1.1000000000000001</v>
      </c>
      <c r="AF18" s="181">
        <v>1.1000000000000001</v>
      </c>
      <c r="AG18" s="101" t="str">
        <f t="shared" si="6"/>
        <v/>
      </c>
      <c r="AH18" s="190">
        <v>2100</v>
      </c>
      <c r="AI18" s="69">
        <f t="shared" si="7"/>
        <v>3735.5</v>
      </c>
    </row>
    <row r="19" spans="1:35" s="69" customFormat="1" ht="58.5" x14ac:dyDescent="0.3">
      <c r="A19" s="55" t="s">
        <v>52</v>
      </c>
      <c r="B19" s="53" t="s">
        <v>53</v>
      </c>
      <c r="C19" s="54" t="s">
        <v>50</v>
      </c>
      <c r="D19" s="75">
        <v>10205</v>
      </c>
      <c r="E19" s="75"/>
      <c r="F19" s="75"/>
      <c r="G19" s="75"/>
      <c r="H19" s="75" t="s">
        <v>15</v>
      </c>
      <c r="I19" s="75">
        <v>28.48</v>
      </c>
      <c r="J19" s="75">
        <v>290638.40000000002</v>
      </c>
      <c r="K19" s="91" t="s">
        <v>54</v>
      </c>
      <c r="L19" s="73"/>
      <c r="M19" s="46">
        <v>2663.8</v>
      </c>
      <c r="N19" s="46">
        <v>67321.02</v>
      </c>
      <c r="O19" s="46">
        <v>75865.02</v>
      </c>
      <c r="P19" s="255"/>
      <c r="Q19" s="23" t="s">
        <v>1405</v>
      </c>
      <c r="R19" s="24" t="s">
        <v>53</v>
      </c>
      <c r="S19" s="25" t="s">
        <v>50</v>
      </c>
      <c r="T19" s="26">
        <v>10205</v>
      </c>
      <c r="U19" s="26">
        <v>10205</v>
      </c>
      <c r="V19" s="26">
        <v>28.48</v>
      </c>
      <c r="W19" s="199">
        <f t="shared" si="8"/>
        <v>871.19999999999982</v>
      </c>
      <c r="X19" s="26">
        <f t="shared" si="3"/>
        <v>3535</v>
      </c>
      <c r="Y19" s="26">
        <f t="shared" si="1"/>
        <v>24811.78</v>
      </c>
      <c r="Z19" s="26">
        <f t="shared" si="4"/>
        <v>100676.8</v>
      </c>
      <c r="AA19" s="33" t="s">
        <v>15</v>
      </c>
      <c r="AB19" s="36" t="s">
        <v>16</v>
      </c>
      <c r="AC19" s="181">
        <f t="shared" si="5"/>
        <v>10205</v>
      </c>
      <c r="AD19" s="181">
        <f t="shared" si="2"/>
        <v>290638.40000000002</v>
      </c>
      <c r="AE19" s="181">
        <v>1.1000000000000001</v>
      </c>
      <c r="AF19" s="181">
        <v>1.1000000000000001</v>
      </c>
      <c r="AG19" s="101" t="str">
        <f t="shared" si="6"/>
        <v/>
      </c>
      <c r="AH19" s="190">
        <f>300+2363.8+198*2.2*2</f>
        <v>3535</v>
      </c>
      <c r="AI19" s="69">
        <f t="shared" si="7"/>
        <v>10205</v>
      </c>
    </row>
    <row r="20" spans="1:35" s="69" customFormat="1" ht="58.5" x14ac:dyDescent="0.3">
      <c r="A20" s="130" t="s">
        <v>55</v>
      </c>
      <c r="B20" s="131" t="s">
        <v>56</v>
      </c>
      <c r="C20" s="132" t="s">
        <v>30</v>
      </c>
      <c r="D20" s="133">
        <v>142.6</v>
      </c>
      <c r="E20" s="75"/>
      <c r="F20" s="75"/>
      <c r="G20" s="75"/>
      <c r="H20" s="75" t="s">
        <v>15</v>
      </c>
      <c r="I20" s="75">
        <v>65.400000000000006</v>
      </c>
      <c r="J20" s="75">
        <v>9326.0400000000009</v>
      </c>
      <c r="K20" s="91" t="s">
        <v>57</v>
      </c>
      <c r="L20" s="73"/>
      <c r="M20" s="46">
        <v>142.19999999999999</v>
      </c>
      <c r="N20" s="46">
        <v>4525.6799999999994</v>
      </c>
      <c r="O20" s="46">
        <v>9299.8799999999992</v>
      </c>
      <c r="P20" s="98"/>
      <c r="Q20" s="23" t="s">
        <v>1406</v>
      </c>
      <c r="R20" s="24" t="s">
        <v>56</v>
      </c>
      <c r="S20" s="25" t="s">
        <v>30</v>
      </c>
      <c r="T20" s="26">
        <v>142.6</v>
      </c>
      <c r="U20" s="26">
        <v>142.6</v>
      </c>
      <c r="V20" s="26">
        <v>65.400000000000006</v>
      </c>
      <c r="W20" s="209">
        <f t="shared" si="8"/>
        <v>0</v>
      </c>
      <c r="X20" s="127">
        <f t="shared" si="3"/>
        <v>142.19999999999999</v>
      </c>
      <c r="Y20" s="127">
        <f t="shared" si="1"/>
        <v>0</v>
      </c>
      <c r="Z20" s="127">
        <f t="shared" si="4"/>
        <v>9299.8799999999992</v>
      </c>
      <c r="AA20" s="33" t="s">
        <v>15</v>
      </c>
      <c r="AB20" s="36" t="s">
        <v>16</v>
      </c>
      <c r="AC20" s="181">
        <f t="shared" si="5"/>
        <v>142.6</v>
      </c>
      <c r="AD20" s="181">
        <f t="shared" si="2"/>
        <v>9326.0400000000009</v>
      </c>
      <c r="AE20" s="181">
        <v>1.1000000000000001</v>
      </c>
      <c r="AF20" s="181">
        <v>1.1000000000000001</v>
      </c>
      <c r="AG20" s="101" t="str">
        <f t="shared" si="6"/>
        <v/>
      </c>
      <c r="AH20" s="192">
        <f>73+69.2</f>
        <v>142.19999999999999</v>
      </c>
      <c r="AI20" s="69">
        <f t="shared" si="7"/>
        <v>142.6</v>
      </c>
    </row>
    <row r="21" spans="1:35" s="69" customFormat="1" ht="39" x14ac:dyDescent="0.3">
      <c r="A21" s="55" t="s">
        <v>58</v>
      </c>
      <c r="B21" s="53" t="s">
        <v>59</v>
      </c>
      <c r="C21" s="54" t="s">
        <v>50</v>
      </c>
      <c r="D21" s="75">
        <v>8459.2999999999993</v>
      </c>
      <c r="E21" s="75"/>
      <c r="F21" s="75"/>
      <c r="G21" s="75"/>
      <c r="H21" s="75" t="s">
        <v>15</v>
      </c>
      <c r="I21" s="75">
        <v>20.190000000000001</v>
      </c>
      <c r="J21" s="75">
        <v>170793.27</v>
      </c>
      <c r="K21" s="91" t="s">
        <v>60</v>
      </c>
      <c r="L21" s="73"/>
      <c r="M21" s="46">
        <v>7834</v>
      </c>
      <c r="N21" s="46">
        <v>0</v>
      </c>
      <c r="O21" s="46">
        <v>158168.46</v>
      </c>
      <c r="P21" s="98"/>
      <c r="Q21" s="23" t="s">
        <v>1414</v>
      </c>
      <c r="R21" s="24" t="s">
        <v>59</v>
      </c>
      <c r="S21" s="25" t="s">
        <v>50</v>
      </c>
      <c r="T21" s="26">
        <v>8459.2999999999993</v>
      </c>
      <c r="U21" s="26">
        <v>8459.2999999999993</v>
      </c>
      <c r="V21" s="26">
        <v>20.190000000000001</v>
      </c>
      <c r="W21" s="128">
        <f t="shared" si="8"/>
        <v>0</v>
      </c>
      <c r="X21" s="26">
        <f t="shared" si="3"/>
        <v>7834</v>
      </c>
      <c r="Y21" s="26">
        <f t="shared" si="1"/>
        <v>0</v>
      </c>
      <c r="Z21" s="26">
        <f t="shared" si="4"/>
        <v>158168.46</v>
      </c>
      <c r="AA21" s="33" t="s">
        <v>15</v>
      </c>
      <c r="AB21" s="36" t="s">
        <v>16</v>
      </c>
      <c r="AC21" s="181">
        <f t="shared" si="5"/>
        <v>8459.2999999999993</v>
      </c>
      <c r="AD21" s="181">
        <f t="shared" si="2"/>
        <v>170793.27</v>
      </c>
      <c r="AE21" s="181">
        <v>1.1000000000000001</v>
      </c>
      <c r="AF21" s="181">
        <v>1.1000000000000001</v>
      </c>
      <c r="AG21" s="101" t="str">
        <f t="shared" si="6"/>
        <v/>
      </c>
      <c r="AH21" s="194">
        <v>7834</v>
      </c>
      <c r="AI21" s="69">
        <f t="shared" si="7"/>
        <v>8459.2999999999993</v>
      </c>
    </row>
    <row r="22" spans="1:35" s="69" customFormat="1" ht="39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 t="s">
        <v>15</v>
      </c>
      <c r="I22" s="75">
        <v>2492.81</v>
      </c>
      <c r="J22" s="75">
        <v>3163126.61</v>
      </c>
      <c r="K22" s="91" t="s">
        <v>63</v>
      </c>
      <c r="L22" s="73"/>
      <c r="M22" s="46">
        <v>369</v>
      </c>
      <c r="N22" s="46">
        <v>0</v>
      </c>
      <c r="O22" s="46">
        <v>919846.89</v>
      </c>
      <c r="P22" s="98"/>
      <c r="Q22" s="23" t="s">
        <v>1429</v>
      </c>
      <c r="R22" s="24" t="s">
        <v>62</v>
      </c>
      <c r="S22" s="25" t="s">
        <v>23</v>
      </c>
      <c r="T22" s="26">
        <v>1268.9000000000001</v>
      </c>
      <c r="U22" s="26">
        <v>1268.9000000000001</v>
      </c>
      <c r="V22" s="26">
        <v>2492.81</v>
      </c>
      <c r="W22" s="128">
        <f t="shared" si="8"/>
        <v>0</v>
      </c>
      <c r="X22" s="121">
        <f t="shared" si="3"/>
        <v>369</v>
      </c>
      <c r="Y22" s="26">
        <f t="shared" si="1"/>
        <v>0</v>
      </c>
      <c r="Z22" s="26">
        <f t="shared" si="4"/>
        <v>919846.89</v>
      </c>
      <c r="AA22" s="33" t="s">
        <v>15</v>
      </c>
      <c r="AB22" s="36" t="s">
        <v>16</v>
      </c>
      <c r="AC22" s="181">
        <f t="shared" si="5"/>
        <v>1268.9000000000001</v>
      </c>
      <c r="AD22" s="181">
        <f t="shared" si="2"/>
        <v>3163126.61</v>
      </c>
      <c r="AE22" s="181">
        <v>1.1000000000000001</v>
      </c>
      <c r="AF22" s="181">
        <v>1.1000000000000001</v>
      </c>
      <c r="AG22" s="101" t="str">
        <f t="shared" si="6"/>
        <v/>
      </c>
      <c r="AH22" s="191">
        <v>369</v>
      </c>
      <c r="AI22" s="69">
        <f t="shared" si="7"/>
        <v>1268.9000000000001</v>
      </c>
    </row>
    <row r="23" spans="1:35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 t="s">
        <v>15</v>
      </c>
      <c r="I23" s="75">
        <v>521.17999999999995</v>
      </c>
      <c r="J23" s="75">
        <v>343457.62</v>
      </c>
      <c r="K23" s="91" t="s">
        <v>67</v>
      </c>
      <c r="L23" s="73"/>
      <c r="M23" s="46">
        <v>659</v>
      </c>
      <c r="N23" s="46">
        <v>0</v>
      </c>
      <c r="O23" s="46">
        <v>343457.62</v>
      </c>
      <c r="P23" s="98"/>
      <c r="Q23" s="23" t="s">
        <v>1430</v>
      </c>
      <c r="R23" s="24" t="s">
        <v>65</v>
      </c>
      <c r="S23" s="25" t="s">
        <v>66</v>
      </c>
      <c r="T23" s="26">
        <v>659</v>
      </c>
      <c r="U23" s="26">
        <v>659</v>
      </c>
      <c r="V23" s="26">
        <v>521.17999999999995</v>
      </c>
      <c r="W23" s="127">
        <f t="shared" si="8"/>
        <v>0</v>
      </c>
      <c r="X23" s="127">
        <f t="shared" si="3"/>
        <v>659</v>
      </c>
      <c r="Y23" s="127">
        <f t="shared" si="1"/>
        <v>0</v>
      </c>
      <c r="Z23" s="127">
        <f t="shared" si="4"/>
        <v>343457.62</v>
      </c>
      <c r="AA23" s="33" t="s">
        <v>15</v>
      </c>
      <c r="AB23" s="36" t="s">
        <v>16</v>
      </c>
      <c r="AC23" s="181">
        <f t="shared" si="5"/>
        <v>659</v>
      </c>
      <c r="AD23" s="181">
        <f t="shared" si="2"/>
        <v>343457.62</v>
      </c>
      <c r="AE23" s="181">
        <v>1.1000000000000001</v>
      </c>
      <c r="AF23" s="181">
        <v>1.1000000000000001</v>
      </c>
      <c r="AG23" s="101" t="str">
        <f t="shared" si="6"/>
        <v/>
      </c>
      <c r="AH23" s="193">
        <v>659</v>
      </c>
      <c r="AI23" s="69">
        <f t="shared" si="7"/>
        <v>659</v>
      </c>
    </row>
    <row r="24" spans="1:35" s="69" customFormat="1" ht="39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 t="s">
        <v>15</v>
      </c>
      <c r="I24" s="75">
        <v>289.69</v>
      </c>
      <c r="J24" s="75">
        <v>73378.48</v>
      </c>
      <c r="K24" s="91" t="s">
        <v>70</v>
      </c>
      <c r="L24" s="73"/>
      <c r="M24" s="46">
        <v>250</v>
      </c>
      <c r="N24" s="46">
        <v>0</v>
      </c>
      <c r="O24" s="46">
        <v>72422.5</v>
      </c>
      <c r="P24" s="98"/>
      <c r="Q24" s="23" t="s">
        <v>1431</v>
      </c>
      <c r="R24" s="24" t="s">
        <v>69</v>
      </c>
      <c r="S24" s="25" t="s">
        <v>30</v>
      </c>
      <c r="T24" s="26">
        <v>253.3</v>
      </c>
      <c r="U24" s="26">
        <v>253.3</v>
      </c>
      <c r="V24" s="26">
        <v>289.69</v>
      </c>
      <c r="W24" s="127">
        <f t="shared" si="8"/>
        <v>0</v>
      </c>
      <c r="X24" s="127">
        <f t="shared" si="3"/>
        <v>250</v>
      </c>
      <c r="Y24" s="127">
        <f t="shared" si="1"/>
        <v>0</v>
      </c>
      <c r="Z24" s="127">
        <f t="shared" si="4"/>
        <v>72422.5</v>
      </c>
      <c r="AA24" s="33" t="s">
        <v>15</v>
      </c>
      <c r="AB24" s="36" t="s">
        <v>16</v>
      </c>
      <c r="AC24" s="181">
        <f t="shared" si="5"/>
        <v>253.3</v>
      </c>
      <c r="AD24" s="181">
        <f t="shared" si="2"/>
        <v>73378.48</v>
      </c>
      <c r="AE24" s="181">
        <v>1.1000000000000001</v>
      </c>
      <c r="AF24" s="181">
        <v>1.1000000000000001</v>
      </c>
      <c r="AG24" s="101" t="str">
        <f t="shared" si="6"/>
        <v/>
      </c>
      <c r="AH24" s="190">
        <v>250</v>
      </c>
      <c r="AI24" s="69">
        <f t="shared" si="7"/>
        <v>253.3</v>
      </c>
    </row>
    <row r="25" spans="1:35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 t="s">
        <v>15</v>
      </c>
      <c r="I25" s="75">
        <v>3311.45</v>
      </c>
      <c r="J25" s="75">
        <v>264916</v>
      </c>
      <c r="K25" s="91" t="s">
        <v>74</v>
      </c>
      <c r="L25" s="73"/>
      <c r="M25" s="46">
        <v>0</v>
      </c>
      <c r="N25" s="46">
        <v>0</v>
      </c>
      <c r="O25" s="46">
        <v>0</v>
      </c>
      <c r="P25" s="98"/>
      <c r="Q25" s="23" t="s">
        <v>1395</v>
      </c>
      <c r="R25" s="24" t="s">
        <v>72</v>
      </c>
      <c r="S25" s="25" t="s">
        <v>73</v>
      </c>
      <c r="T25" s="26">
        <v>80</v>
      </c>
      <c r="U25" s="26">
        <v>80</v>
      </c>
      <c r="V25" s="26">
        <v>3311.45</v>
      </c>
      <c r="W25" s="26">
        <f t="shared" si="8"/>
        <v>0</v>
      </c>
      <c r="X25" s="26">
        <f t="shared" si="3"/>
        <v>0</v>
      </c>
      <c r="Y25" s="26">
        <f t="shared" si="1"/>
        <v>0</v>
      </c>
      <c r="Z25" s="26">
        <f t="shared" si="4"/>
        <v>0</v>
      </c>
      <c r="AA25" s="33" t="s">
        <v>15</v>
      </c>
      <c r="AB25" s="36" t="s">
        <v>16</v>
      </c>
      <c r="AC25" s="181">
        <f t="shared" si="5"/>
        <v>80</v>
      </c>
      <c r="AD25" s="181">
        <f t="shared" si="2"/>
        <v>264916</v>
      </c>
      <c r="AE25" s="181">
        <v>1.1000000000000001</v>
      </c>
      <c r="AF25" s="181">
        <v>1.1000000000000001</v>
      </c>
      <c r="AG25" s="101" t="str">
        <f t="shared" si="6"/>
        <v/>
      </c>
      <c r="AH25" s="190">
        <v>0</v>
      </c>
      <c r="AI25" s="69">
        <f t="shared" si="7"/>
        <v>80</v>
      </c>
    </row>
    <row r="26" spans="1:35" s="69" customFormat="1" ht="33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 t="s">
        <v>15</v>
      </c>
      <c r="I26" s="75">
        <v>3082.28</v>
      </c>
      <c r="J26" s="75">
        <v>3939153.84</v>
      </c>
      <c r="K26" s="91" t="s">
        <v>78</v>
      </c>
      <c r="L26" s="73"/>
      <c r="M26" s="46">
        <v>1153</v>
      </c>
      <c r="N26" s="46">
        <v>0</v>
      </c>
      <c r="O26" s="46">
        <v>3553868.84</v>
      </c>
      <c r="P26" s="98"/>
      <c r="Q26" s="23" t="s">
        <v>1432</v>
      </c>
      <c r="R26" s="24" t="s">
        <v>76</v>
      </c>
      <c r="S26" s="25" t="s">
        <v>77</v>
      </c>
      <c r="T26" s="26">
        <v>1278</v>
      </c>
      <c r="U26" s="26">
        <v>1278</v>
      </c>
      <c r="V26" s="26">
        <v>3082.28</v>
      </c>
      <c r="W26" s="128">
        <f t="shared" si="8"/>
        <v>0</v>
      </c>
      <c r="X26" s="121">
        <f t="shared" si="3"/>
        <v>1153</v>
      </c>
      <c r="Y26" s="26">
        <f t="shared" si="1"/>
        <v>0</v>
      </c>
      <c r="Z26" s="26">
        <f t="shared" si="4"/>
        <v>3553868.84</v>
      </c>
      <c r="AA26" s="33" t="s">
        <v>15</v>
      </c>
      <c r="AB26" s="36" t="s">
        <v>16</v>
      </c>
      <c r="AC26" s="181">
        <f t="shared" si="5"/>
        <v>1278</v>
      </c>
      <c r="AD26" s="181">
        <f t="shared" si="2"/>
        <v>3939153.84</v>
      </c>
      <c r="AE26" s="181">
        <v>1.1000000000000001</v>
      </c>
      <c r="AF26" s="181">
        <v>1.1000000000000001</v>
      </c>
      <c r="AG26" s="101" t="str">
        <f t="shared" si="6"/>
        <v/>
      </c>
      <c r="AH26" s="192">
        <v>1153</v>
      </c>
      <c r="AI26" s="69">
        <f t="shared" si="7"/>
        <v>1278</v>
      </c>
    </row>
    <row r="27" spans="1:35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 t="s">
        <v>15</v>
      </c>
      <c r="I27" s="75">
        <v>1200</v>
      </c>
      <c r="J27" s="75">
        <v>36000</v>
      </c>
      <c r="K27" s="91" t="s">
        <v>82</v>
      </c>
      <c r="L27" s="73"/>
      <c r="M27" s="46">
        <v>0</v>
      </c>
      <c r="N27" s="46">
        <v>0</v>
      </c>
      <c r="O27" s="46">
        <v>0</v>
      </c>
      <c r="P27" s="98"/>
      <c r="Q27" s="23" t="s">
        <v>1433</v>
      </c>
      <c r="R27" s="24" t="s">
        <v>80</v>
      </c>
      <c r="S27" s="25" t="s">
        <v>81</v>
      </c>
      <c r="T27" s="26">
        <v>30</v>
      </c>
      <c r="U27" s="26">
        <v>30</v>
      </c>
      <c r="V27" s="26">
        <v>1200</v>
      </c>
      <c r="W27" s="26">
        <f t="shared" si="8"/>
        <v>0</v>
      </c>
      <c r="X27" s="26">
        <f t="shared" si="3"/>
        <v>0</v>
      </c>
      <c r="Y27" s="26">
        <f t="shared" si="1"/>
        <v>0</v>
      </c>
      <c r="Z27" s="26">
        <f t="shared" si="4"/>
        <v>0</v>
      </c>
      <c r="AA27" s="33" t="s">
        <v>15</v>
      </c>
      <c r="AB27" s="36" t="s">
        <v>16</v>
      </c>
      <c r="AC27" s="181">
        <f t="shared" si="5"/>
        <v>30</v>
      </c>
      <c r="AD27" s="181">
        <f t="shared" si="2"/>
        <v>36000</v>
      </c>
      <c r="AE27" s="181">
        <v>1.1000000000000001</v>
      </c>
      <c r="AF27" s="181">
        <v>1.1000000000000001</v>
      </c>
      <c r="AG27" s="101" t="str">
        <f t="shared" si="6"/>
        <v/>
      </c>
      <c r="AH27" s="192">
        <v>0</v>
      </c>
      <c r="AI27" s="69">
        <f t="shared" si="7"/>
        <v>30</v>
      </c>
    </row>
    <row r="28" spans="1:35" s="69" customFormat="1" ht="33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 t="s">
        <v>15</v>
      </c>
      <c r="I28" s="75">
        <v>3000</v>
      </c>
      <c r="J28" s="75">
        <v>36000</v>
      </c>
      <c r="K28" s="91" t="s">
        <v>85</v>
      </c>
      <c r="L28" s="73"/>
      <c r="M28" s="46">
        <v>12</v>
      </c>
      <c r="N28" s="46">
        <v>0</v>
      </c>
      <c r="O28" s="46">
        <v>36000</v>
      </c>
      <c r="P28" s="98"/>
      <c r="Q28" s="23" t="s">
        <v>1382</v>
      </c>
      <c r="R28" s="24" t="s">
        <v>84</v>
      </c>
      <c r="S28" s="25" t="s">
        <v>81</v>
      </c>
      <c r="T28" s="26">
        <v>12</v>
      </c>
      <c r="U28" s="26">
        <v>12</v>
      </c>
      <c r="V28" s="26">
        <v>3000</v>
      </c>
      <c r="W28" s="127">
        <f t="shared" si="8"/>
        <v>0</v>
      </c>
      <c r="X28" s="127">
        <f t="shared" si="3"/>
        <v>12</v>
      </c>
      <c r="Y28" s="127">
        <f t="shared" si="1"/>
        <v>0</v>
      </c>
      <c r="Z28" s="127">
        <f t="shared" si="4"/>
        <v>36000</v>
      </c>
      <c r="AA28" s="33" t="s">
        <v>15</v>
      </c>
      <c r="AB28" s="36" t="s">
        <v>16</v>
      </c>
      <c r="AC28" s="181">
        <f t="shared" si="5"/>
        <v>12</v>
      </c>
      <c r="AD28" s="181">
        <f t="shared" si="2"/>
        <v>36000</v>
      </c>
      <c r="AE28" s="181">
        <v>1.1000000000000001</v>
      </c>
      <c r="AF28" s="181">
        <v>1.1000000000000001</v>
      </c>
      <c r="AG28" s="101" t="str">
        <f t="shared" si="6"/>
        <v/>
      </c>
      <c r="AH28" s="192">
        <v>12</v>
      </c>
      <c r="AI28" s="69">
        <f t="shared" si="7"/>
        <v>12</v>
      </c>
    </row>
    <row r="29" spans="1:35" s="69" customFormat="1" ht="33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 t="s">
        <v>15</v>
      </c>
      <c r="I29" s="75">
        <v>3000</v>
      </c>
      <c r="J29" s="75">
        <v>60000</v>
      </c>
      <c r="K29" s="91" t="s">
        <v>88</v>
      </c>
      <c r="L29" s="73"/>
      <c r="M29" s="46">
        <v>20</v>
      </c>
      <c r="N29" s="46">
        <v>0</v>
      </c>
      <c r="O29" s="46">
        <v>60000</v>
      </c>
      <c r="P29" s="98"/>
      <c r="Q29" s="23" t="s">
        <v>1434</v>
      </c>
      <c r="R29" s="24" t="s">
        <v>87</v>
      </c>
      <c r="S29" s="25" t="s">
        <v>81</v>
      </c>
      <c r="T29" s="26">
        <v>20</v>
      </c>
      <c r="U29" s="26">
        <v>20</v>
      </c>
      <c r="V29" s="26">
        <v>3000</v>
      </c>
      <c r="W29" s="127">
        <f t="shared" si="8"/>
        <v>0</v>
      </c>
      <c r="X29" s="127">
        <f t="shared" si="3"/>
        <v>20</v>
      </c>
      <c r="Y29" s="127">
        <f t="shared" si="1"/>
        <v>0</v>
      </c>
      <c r="Z29" s="127">
        <f t="shared" si="4"/>
        <v>60000</v>
      </c>
      <c r="AA29" s="33" t="s">
        <v>15</v>
      </c>
      <c r="AB29" s="36" t="s">
        <v>16</v>
      </c>
      <c r="AC29" s="181">
        <f t="shared" si="5"/>
        <v>20</v>
      </c>
      <c r="AD29" s="181">
        <f t="shared" si="2"/>
        <v>60000</v>
      </c>
      <c r="AE29" s="181">
        <v>1.1000000000000001</v>
      </c>
      <c r="AF29" s="181">
        <v>1.1000000000000001</v>
      </c>
      <c r="AG29" s="101" t="str">
        <f t="shared" si="6"/>
        <v/>
      </c>
      <c r="AH29" s="192">
        <v>20</v>
      </c>
      <c r="AI29" s="69">
        <f t="shared" si="7"/>
        <v>20</v>
      </c>
    </row>
    <row r="30" spans="1:35" s="69" customFormat="1" ht="33" x14ac:dyDescent="0.3">
      <c r="A30" s="130" t="s">
        <v>89</v>
      </c>
      <c r="B30" s="131" t="s">
        <v>90</v>
      </c>
      <c r="C30" s="132" t="s">
        <v>81</v>
      </c>
      <c r="D30" s="133">
        <v>19</v>
      </c>
      <c r="E30" s="75"/>
      <c r="F30" s="75"/>
      <c r="G30" s="75"/>
      <c r="H30" s="75" t="s">
        <v>15</v>
      </c>
      <c r="I30" s="75">
        <v>3000</v>
      </c>
      <c r="J30" s="75">
        <v>57000</v>
      </c>
      <c r="K30" s="91" t="s">
        <v>91</v>
      </c>
      <c r="L30" s="73"/>
      <c r="M30" s="46">
        <v>16</v>
      </c>
      <c r="N30" s="46">
        <v>0</v>
      </c>
      <c r="O30" s="46">
        <v>48000</v>
      </c>
      <c r="P30" s="98"/>
      <c r="Q30" s="23" t="s">
        <v>1388</v>
      </c>
      <c r="R30" s="24" t="s">
        <v>90</v>
      </c>
      <c r="S30" s="25" t="s">
        <v>81</v>
      </c>
      <c r="T30" s="26">
        <v>19</v>
      </c>
      <c r="U30" s="26">
        <v>19</v>
      </c>
      <c r="V30" s="26">
        <v>3000</v>
      </c>
      <c r="W30" s="127">
        <f t="shared" si="8"/>
        <v>0</v>
      </c>
      <c r="X30" s="127">
        <f t="shared" si="3"/>
        <v>16</v>
      </c>
      <c r="Y30" s="127">
        <f t="shared" si="1"/>
        <v>0</v>
      </c>
      <c r="Z30" s="127">
        <f t="shared" si="4"/>
        <v>48000</v>
      </c>
      <c r="AA30" s="33" t="s">
        <v>15</v>
      </c>
      <c r="AB30" s="36" t="s">
        <v>16</v>
      </c>
      <c r="AC30" s="181">
        <f t="shared" si="5"/>
        <v>19</v>
      </c>
      <c r="AD30" s="181">
        <f t="shared" si="2"/>
        <v>57000</v>
      </c>
      <c r="AE30" s="181">
        <v>1.1000000000000001</v>
      </c>
      <c r="AF30" s="181">
        <v>1.1000000000000001</v>
      </c>
      <c r="AG30" s="101" t="str">
        <f t="shared" si="6"/>
        <v/>
      </c>
      <c r="AH30" s="191">
        <v>16</v>
      </c>
      <c r="AI30" s="69">
        <f t="shared" si="7"/>
        <v>19</v>
      </c>
    </row>
    <row r="31" spans="1:35" s="69" customFormat="1" ht="39" x14ac:dyDescent="0.3">
      <c r="A31" s="130" t="s">
        <v>92</v>
      </c>
      <c r="B31" s="131" t="s">
        <v>93</v>
      </c>
      <c r="C31" s="132" t="s">
        <v>14</v>
      </c>
      <c r="D31" s="133">
        <v>1</v>
      </c>
      <c r="E31" s="75"/>
      <c r="F31" s="75"/>
      <c r="G31" s="75"/>
      <c r="H31" s="75" t="s">
        <v>15</v>
      </c>
      <c r="I31" s="75">
        <v>400000</v>
      </c>
      <c r="J31" s="75">
        <v>400000</v>
      </c>
      <c r="K31" s="91" t="s">
        <v>94</v>
      </c>
      <c r="L31" s="73"/>
      <c r="M31" s="46">
        <v>1</v>
      </c>
      <c r="N31" s="46">
        <v>200000</v>
      </c>
      <c r="O31" s="46">
        <v>400000</v>
      </c>
      <c r="P31" s="98"/>
      <c r="Q31" s="23" t="s">
        <v>1389</v>
      </c>
      <c r="R31" s="24" t="s">
        <v>93</v>
      </c>
      <c r="S31" s="25" t="s">
        <v>14</v>
      </c>
      <c r="T31" s="26">
        <v>1</v>
      </c>
      <c r="U31" s="26">
        <v>1</v>
      </c>
      <c r="V31" s="26">
        <v>400000</v>
      </c>
      <c r="W31" s="243">
        <f t="shared" si="8"/>
        <v>0</v>
      </c>
      <c r="X31" s="127">
        <f t="shared" si="3"/>
        <v>1</v>
      </c>
      <c r="Y31" s="127">
        <f t="shared" si="1"/>
        <v>0</v>
      </c>
      <c r="Z31" s="127">
        <f t="shared" si="4"/>
        <v>400000</v>
      </c>
      <c r="AA31" s="33" t="s">
        <v>15</v>
      </c>
      <c r="AB31" s="36" t="s">
        <v>16</v>
      </c>
      <c r="AC31" s="181">
        <f t="shared" si="5"/>
        <v>1</v>
      </c>
      <c r="AD31" s="181">
        <f t="shared" si="2"/>
        <v>400000</v>
      </c>
      <c r="AE31" s="181">
        <v>1.1000000000000001</v>
      </c>
      <c r="AF31" s="181">
        <v>1.1000000000000001</v>
      </c>
      <c r="AG31" s="101" t="str">
        <f t="shared" si="6"/>
        <v/>
      </c>
      <c r="AH31" s="192">
        <f>0.5+0.5</f>
        <v>1</v>
      </c>
      <c r="AI31" s="69">
        <f t="shared" si="7"/>
        <v>1</v>
      </c>
    </row>
    <row r="32" spans="1:35" s="69" customFormat="1" ht="58.5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6" t="s">
        <v>15</v>
      </c>
      <c r="I32" s="75">
        <v>280</v>
      </c>
      <c r="J32" s="75">
        <v>8624000</v>
      </c>
      <c r="K32" s="91" t="s">
        <v>98</v>
      </c>
      <c r="L32" s="73"/>
      <c r="M32" s="46">
        <v>15442</v>
      </c>
      <c r="N32" s="46">
        <v>324800</v>
      </c>
      <c r="O32" s="46">
        <v>4323760</v>
      </c>
      <c r="P32" s="98"/>
      <c r="Q32" s="23" t="s">
        <v>1390</v>
      </c>
      <c r="R32" s="24" t="s">
        <v>96</v>
      </c>
      <c r="S32" s="25" t="s">
        <v>97</v>
      </c>
      <c r="T32" s="26">
        <v>30800</v>
      </c>
      <c r="U32" s="26">
        <v>30800</v>
      </c>
      <c r="V32" s="26">
        <v>280</v>
      </c>
      <c r="W32" s="243">
        <f t="shared" si="8"/>
        <v>1620</v>
      </c>
      <c r="X32" s="26">
        <f t="shared" si="3"/>
        <v>17062</v>
      </c>
      <c r="Y32" s="26">
        <f t="shared" si="1"/>
        <v>453600</v>
      </c>
      <c r="Z32" s="26">
        <f t="shared" si="4"/>
        <v>4777360</v>
      </c>
      <c r="AA32" s="33" t="s">
        <v>15</v>
      </c>
      <c r="AB32" s="36" t="s">
        <v>16</v>
      </c>
      <c r="AC32" s="181">
        <f t="shared" si="5"/>
        <v>30800</v>
      </c>
      <c r="AD32" s="181">
        <f t="shared" si="2"/>
        <v>8624000</v>
      </c>
      <c r="AE32" s="181">
        <v>1.1000000000000001</v>
      </c>
      <c r="AF32" s="181">
        <v>1.1000000000000001</v>
      </c>
      <c r="AG32" s="101" t="str">
        <f t="shared" si="6"/>
        <v/>
      </c>
      <c r="AH32" s="191">
        <f>13162+1120+1160+1620</f>
        <v>17062</v>
      </c>
      <c r="AI32" s="69">
        <f t="shared" si="7"/>
        <v>30800</v>
      </c>
    </row>
    <row r="33" spans="1:35" s="69" customFormat="1" ht="39" x14ac:dyDescent="0.3">
      <c r="A33" s="134" t="s">
        <v>1302</v>
      </c>
      <c r="B33" s="135" t="s">
        <v>1303</v>
      </c>
      <c r="C33" s="204" t="s">
        <v>50</v>
      </c>
      <c r="D33" s="216"/>
      <c r="E33" s="59">
        <v>2405</v>
      </c>
      <c r="F33" s="59"/>
      <c r="G33" s="59"/>
      <c r="H33" s="59" t="s">
        <v>15</v>
      </c>
      <c r="I33" s="58">
        <v>70.23</v>
      </c>
      <c r="J33" s="59">
        <v>168903.15</v>
      </c>
      <c r="K33" s="92"/>
      <c r="L33" s="73"/>
      <c r="M33" s="46">
        <v>2405</v>
      </c>
      <c r="N33" s="46">
        <v>0</v>
      </c>
      <c r="O33" s="46">
        <v>168903.15</v>
      </c>
      <c r="P33" s="98"/>
      <c r="Q33" s="23" t="s">
        <v>1391</v>
      </c>
      <c r="R33" s="24" t="s">
        <v>1435</v>
      </c>
      <c r="S33" s="25" t="s">
        <v>50</v>
      </c>
      <c r="T33" s="26">
        <v>0</v>
      </c>
      <c r="U33" s="26">
        <v>2405</v>
      </c>
      <c r="V33" s="26">
        <v>70.23</v>
      </c>
      <c r="W33" s="127">
        <f t="shared" si="8"/>
        <v>0</v>
      </c>
      <c r="X33" s="127">
        <f t="shared" si="3"/>
        <v>2405</v>
      </c>
      <c r="Y33" s="127">
        <f t="shared" si="1"/>
        <v>0</v>
      </c>
      <c r="Z33" s="127">
        <f t="shared" si="4"/>
        <v>168903.15</v>
      </c>
      <c r="AA33" s="27" t="s">
        <v>15</v>
      </c>
      <c r="AB33" s="36" t="s">
        <v>16</v>
      </c>
      <c r="AC33" s="181">
        <f t="shared" si="5"/>
        <v>2405</v>
      </c>
      <c r="AD33" s="181">
        <f t="shared" si="2"/>
        <v>168903.15</v>
      </c>
      <c r="AE33" s="181">
        <v>1.1000000000000001</v>
      </c>
      <c r="AF33" s="181">
        <v>1.1000000000000001</v>
      </c>
      <c r="AG33" s="101" t="str">
        <f t="shared" si="6"/>
        <v/>
      </c>
      <c r="AH33" s="190">
        <v>2405</v>
      </c>
      <c r="AI33" s="69">
        <f t="shared" si="7"/>
        <v>2405</v>
      </c>
    </row>
    <row r="34" spans="1:35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 t="s">
        <v>15</v>
      </c>
      <c r="I34" s="61">
        <v>20000</v>
      </c>
      <c r="J34" s="62">
        <v>3000000</v>
      </c>
      <c r="K34" s="93"/>
      <c r="M34" s="46">
        <v>127</v>
      </c>
      <c r="N34" s="46">
        <v>0</v>
      </c>
      <c r="O34" s="46">
        <v>2540000</v>
      </c>
      <c r="P34" s="98"/>
      <c r="Q34" s="23" t="s">
        <v>1436</v>
      </c>
      <c r="R34" s="24" t="s">
        <v>1437</v>
      </c>
      <c r="S34" s="25" t="s">
        <v>1358</v>
      </c>
      <c r="T34" s="26">
        <v>0</v>
      </c>
      <c r="U34" s="26">
        <v>150</v>
      </c>
      <c r="V34" s="26">
        <v>20000</v>
      </c>
      <c r="W34" s="128">
        <f t="shared" si="8"/>
        <v>0</v>
      </c>
      <c r="X34" s="26">
        <f t="shared" si="3"/>
        <v>127</v>
      </c>
      <c r="Y34" s="26">
        <f t="shared" si="1"/>
        <v>0</v>
      </c>
      <c r="Z34" s="26">
        <f t="shared" si="4"/>
        <v>2540000</v>
      </c>
      <c r="AA34" s="27"/>
      <c r="AB34" s="36" t="s">
        <v>16</v>
      </c>
      <c r="AC34" s="181">
        <f t="shared" si="5"/>
        <v>150</v>
      </c>
      <c r="AD34" s="181">
        <f t="shared" si="2"/>
        <v>3000000</v>
      </c>
      <c r="AE34" s="181">
        <v>1.1000000000000001</v>
      </c>
      <c r="AF34" s="181">
        <v>1.1000000000000001</v>
      </c>
      <c r="AG34" s="101" t="str">
        <f t="shared" si="6"/>
        <v/>
      </c>
      <c r="AH34" s="193">
        <v>127</v>
      </c>
      <c r="AI34" s="69">
        <f t="shared" si="7"/>
        <v>150</v>
      </c>
    </row>
    <row r="35" spans="1:35" ht="42" customHeight="1" x14ac:dyDescent="0.3">
      <c r="A35" s="134" t="s">
        <v>1306</v>
      </c>
      <c r="B35" s="217" t="s">
        <v>1307</v>
      </c>
      <c r="C35" s="204" t="s">
        <v>50</v>
      </c>
      <c r="D35" s="216"/>
      <c r="E35" s="63"/>
      <c r="F35" s="62">
        <v>138.05000000000001</v>
      </c>
      <c r="G35" s="62"/>
      <c r="H35" s="62" t="s">
        <v>15</v>
      </c>
      <c r="I35" s="61">
        <v>165.22</v>
      </c>
      <c r="J35" s="62">
        <v>22808.62</v>
      </c>
      <c r="K35" s="93"/>
      <c r="M35" s="46">
        <v>138.05000000000001</v>
      </c>
      <c r="N35" s="46">
        <v>0</v>
      </c>
      <c r="O35" s="46">
        <v>22808.62</v>
      </c>
      <c r="P35" s="98"/>
      <c r="Q35" s="23" t="s">
        <v>1374</v>
      </c>
      <c r="R35" s="24" t="s">
        <v>1375</v>
      </c>
      <c r="S35" s="25" t="s">
        <v>50</v>
      </c>
      <c r="T35" s="26">
        <v>0</v>
      </c>
      <c r="U35" s="26">
        <v>138.05000000000001</v>
      </c>
      <c r="V35" s="26">
        <v>165.22</v>
      </c>
      <c r="W35" s="127">
        <f t="shared" si="8"/>
        <v>0</v>
      </c>
      <c r="X35" s="127">
        <f t="shared" si="3"/>
        <v>138.05000000000001</v>
      </c>
      <c r="Y35" s="127">
        <f t="shared" si="1"/>
        <v>0</v>
      </c>
      <c r="Z35" s="127">
        <f t="shared" si="4"/>
        <v>22808.62</v>
      </c>
      <c r="AA35" s="27"/>
      <c r="AB35" s="36" t="s">
        <v>16</v>
      </c>
      <c r="AC35" s="181">
        <f t="shared" si="5"/>
        <v>138.05000000000001</v>
      </c>
      <c r="AD35" s="181">
        <f t="shared" si="2"/>
        <v>22808.62</v>
      </c>
      <c r="AE35" s="181">
        <v>1.1000000000000001</v>
      </c>
      <c r="AF35" s="181">
        <v>1.1000000000000001</v>
      </c>
      <c r="AG35" s="101" t="str">
        <f t="shared" si="6"/>
        <v/>
      </c>
      <c r="AH35" s="190">
        <v>138.05000000000001</v>
      </c>
      <c r="AI35" s="69">
        <f t="shared" si="7"/>
        <v>138.05000000000001</v>
      </c>
    </row>
    <row r="36" spans="1:35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62">
        <v>2000</v>
      </c>
      <c r="G36" s="62"/>
      <c r="H36" s="62" t="s">
        <v>15</v>
      </c>
      <c r="I36" s="61">
        <v>100</v>
      </c>
      <c r="J36" s="62">
        <v>200000</v>
      </c>
      <c r="K36" s="93"/>
      <c r="M36" s="46">
        <v>2000</v>
      </c>
      <c r="N36" s="46">
        <v>0</v>
      </c>
      <c r="O36" s="46">
        <v>200000</v>
      </c>
      <c r="P36" s="98"/>
      <c r="Q36" s="23" t="s">
        <v>1376</v>
      </c>
      <c r="R36" s="24" t="s">
        <v>1377</v>
      </c>
      <c r="S36" s="25" t="s">
        <v>34</v>
      </c>
      <c r="T36" s="26">
        <v>0</v>
      </c>
      <c r="U36" s="26">
        <v>2000</v>
      </c>
      <c r="V36" s="26">
        <v>100</v>
      </c>
      <c r="W36" s="127">
        <f t="shared" si="8"/>
        <v>0</v>
      </c>
      <c r="X36" s="127">
        <f t="shared" si="3"/>
        <v>2000</v>
      </c>
      <c r="Y36" s="127">
        <f t="shared" si="1"/>
        <v>0</v>
      </c>
      <c r="Z36" s="127">
        <f t="shared" si="4"/>
        <v>200000</v>
      </c>
      <c r="AA36" s="27"/>
      <c r="AB36" s="36" t="s">
        <v>16</v>
      </c>
      <c r="AC36" s="181">
        <f t="shared" si="5"/>
        <v>2000</v>
      </c>
      <c r="AD36" s="181">
        <f t="shared" si="2"/>
        <v>200000</v>
      </c>
      <c r="AE36" s="181">
        <v>1.1000000000000001</v>
      </c>
      <c r="AF36" s="181">
        <v>1.1000000000000001</v>
      </c>
      <c r="AG36" s="101" t="str">
        <f t="shared" si="6"/>
        <v/>
      </c>
      <c r="AH36" s="190">
        <v>2000</v>
      </c>
      <c r="AI36" s="69">
        <f t="shared" si="7"/>
        <v>2000</v>
      </c>
    </row>
    <row r="37" spans="1:35" ht="33" x14ac:dyDescent="0.3">
      <c r="A37" s="134" t="s">
        <v>1310</v>
      </c>
      <c r="B37" s="217" t="s">
        <v>1311</v>
      </c>
      <c r="C37" s="204" t="s">
        <v>50</v>
      </c>
      <c r="D37" s="216"/>
      <c r="E37" s="63"/>
      <c r="F37" s="62">
        <v>3324.02</v>
      </c>
      <c r="G37" s="62"/>
      <c r="H37" s="62" t="s">
        <v>15</v>
      </c>
      <c r="I37" s="61">
        <v>33.35</v>
      </c>
      <c r="J37" s="62">
        <v>110856.07</v>
      </c>
      <c r="K37" s="93"/>
      <c r="M37" s="46">
        <v>3324.02</v>
      </c>
      <c r="N37" s="46">
        <v>0</v>
      </c>
      <c r="O37" s="46">
        <v>110856.07</v>
      </c>
      <c r="P37" s="98"/>
      <c r="Q37" s="23" t="s">
        <v>1378</v>
      </c>
      <c r="R37" s="24" t="s">
        <v>1379</v>
      </c>
      <c r="S37" s="25" t="s">
        <v>50</v>
      </c>
      <c r="T37" s="26">
        <v>0</v>
      </c>
      <c r="U37" s="26">
        <v>3324.02</v>
      </c>
      <c r="V37" s="26">
        <v>33.35</v>
      </c>
      <c r="W37" s="127">
        <f t="shared" si="8"/>
        <v>0</v>
      </c>
      <c r="X37" s="127">
        <f t="shared" si="3"/>
        <v>3324.02</v>
      </c>
      <c r="Y37" s="127">
        <f t="shared" si="1"/>
        <v>0</v>
      </c>
      <c r="Z37" s="127">
        <f t="shared" si="4"/>
        <v>110856.07</v>
      </c>
      <c r="AA37" s="27"/>
      <c r="AB37" s="36" t="s">
        <v>16</v>
      </c>
      <c r="AC37" s="181">
        <f t="shared" si="5"/>
        <v>3324.02</v>
      </c>
      <c r="AD37" s="181">
        <f t="shared" si="2"/>
        <v>110856.07</v>
      </c>
      <c r="AE37" s="181">
        <v>1.1000000000000001</v>
      </c>
      <c r="AF37" s="181">
        <v>1.1000000000000001</v>
      </c>
      <c r="AG37" s="101" t="str">
        <f t="shared" si="6"/>
        <v/>
      </c>
      <c r="AH37" s="190">
        <v>3324.02</v>
      </c>
      <c r="AI37" s="69">
        <f t="shared" si="7"/>
        <v>3324.02</v>
      </c>
    </row>
    <row r="38" spans="1:35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4" t="s">
        <v>15</v>
      </c>
      <c r="I38" s="82"/>
      <c r="J38" s="82">
        <v>42752872.340000004</v>
      </c>
      <c r="K38" s="94" t="s">
        <v>15</v>
      </c>
      <c r="L38" s="73"/>
      <c r="M38" s="45">
        <v>1</v>
      </c>
      <c r="N38" s="45">
        <v>3704466.6600000006</v>
      </c>
      <c r="O38" s="45">
        <v>19213823.150000006</v>
      </c>
      <c r="P38" s="98"/>
      <c r="Q38" s="18" t="s">
        <v>1380</v>
      </c>
      <c r="R38" s="19" t="s">
        <v>100</v>
      </c>
      <c r="S38" s="20" t="s">
        <v>14</v>
      </c>
      <c r="T38" s="21">
        <v>1</v>
      </c>
      <c r="U38" s="21"/>
      <c r="V38" s="21">
        <f>SUMIFS(AD:AD,AE:AE,AE38)</f>
        <v>42752872.340000033</v>
      </c>
      <c r="W38" s="21">
        <f t="shared" ref="W38:X38" si="9">IF(Y38=0,0,1)</f>
        <v>1</v>
      </c>
      <c r="X38" s="21">
        <f t="shared" si="9"/>
        <v>1</v>
      </c>
      <c r="Y38" s="21">
        <f>SUMIFS(Y:Y,AF:AF,AE38)</f>
        <v>4621937.3899999997</v>
      </c>
      <c r="Z38" s="21">
        <f>SUMIFS(Z:Z,AF:AF,AE38)</f>
        <v>23835760.540000007</v>
      </c>
      <c r="AA38" s="22" t="s">
        <v>15</v>
      </c>
      <c r="AB38" s="43" t="s">
        <v>16</v>
      </c>
      <c r="AC38" s="181">
        <f t="shared" si="5"/>
        <v>1</v>
      </c>
      <c r="AD38" s="184"/>
      <c r="AE38" s="181">
        <v>1.2</v>
      </c>
      <c r="AF38" s="181"/>
      <c r="AG38" s="101" t="str">
        <f t="shared" si="6"/>
        <v/>
      </c>
      <c r="AH38" s="190">
        <v>1</v>
      </c>
      <c r="AI38" s="69">
        <f t="shared" si="7"/>
        <v>1</v>
      </c>
    </row>
    <row r="39" spans="1:35" s="69" customFormat="1" ht="39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 t="s">
        <v>15</v>
      </c>
      <c r="I39" s="75">
        <v>320.74</v>
      </c>
      <c r="J39" s="75">
        <v>753030.16</v>
      </c>
      <c r="K39" s="91" t="s">
        <v>104</v>
      </c>
      <c r="L39" s="73"/>
      <c r="M39" s="46">
        <v>937.6</v>
      </c>
      <c r="N39" s="46">
        <v>37077.539999999979</v>
      </c>
      <c r="O39" s="46">
        <v>300725.82</v>
      </c>
      <c r="P39" s="98"/>
      <c r="Q39" s="23" t="s">
        <v>1421</v>
      </c>
      <c r="R39" s="24" t="s">
        <v>102</v>
      </c>
      <c r="S39" s="25" t="s">
        <v>103</v>
      </c>
      <c r="T39" s="26">
        <v>2347.79</v>
      </c>
      <c r="U39" s="26">
        <v>2347.79</v>
      </c>
      <c r="V39" s="26">
        <f t="shared" ref="V39:V102" si="10">I39</f>
        <v>320.74</v>
      </c>
      <c r="W39" s="243">
        <f t="shared" si="8"/>
        <v>380.7299999999999</v>
      </c>
      <c r="X39" s="26">
        <f t="shared" si="3"/>
        <v>1318.33</v>
      </c>
      <c r="Y39" s="26">
        <f t="shared" ref="Y39:Y102" si="11">Z39-O39</f>
        <v>122115.33999999997</v>
      </c>
      <c r="Z39" s="26">
        <f t="shared" si="4"/>
        <v>422841.16</v>
      </c>
      <c r="AA39" s="33" t="s">
        <v>15</v>
      </c>
      <c r="AB39" s="36" t="s">
        <v>16</v>
      </c>
      <c r="AC39" s="181">
        <f t="shared" si="5"/>
        <v>2347.79</v>
      </c>
      <c r="AD39" s="181">
        <f>ROUND(V39*AC39,2)</f>
        <v>753030.16</v>
      </c>
      <c r="AE39" s="181">
        <v>1.2</v>
      </c>
      <c r="AF39" s="181">
        <v>1.2</v>
      </c>
      <c r="AG39" s="101" t="str">
        <f t="shared" si="6"/>
        <v/>
      </c>
      <c r="AH39" s="191">
        <f>822+115.6+380.73</f>
        <v>1318.33</v>
      </c>
      <c r="AI39" s="69">
        <f t="shared" si="7"/>
        <v>2347.79</v>
      </c>
    </row>
    <row r="40" spans="1:35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 t="s">
        <v>15</v>
      </c>
      <c r="I40" s="75">
        <v>346.08</v>
      </c>
      <c r="J40" s="75">
        <v>261553.42</v>
      </c>
      <c r="K40" s="91" t="s">
        <v>107</v>
      </c>
      <c r="L40" s="73"/>
      <c r="M40" s="46">
        <v>0</v>
      </c>
      <c r="N40" s="46">
        <v>0</v>
      </c>
      <c r="O40" s="46">
        <v>0</v>
      </c>
      <c r="P40" s="98"/>
      <c r="Q40" s="23" t="s">
        <v>1426</v>
      </c>
      <c r="R40" s="24" t="s">
        <v>106</v>
      </c>
      <c r="S40" s="25" t="s">
        <v>103</v>
      </c>
      <c r="T40" s="26">
        <v>755.76</v>
      </c>
      <c r="U40" s="26">
        <v>755.76</v>
      </c>
      <c r="V40" s="26">
        <f t="shared" si="10"/>
        <v>346.08</v>
      </c>
      <c r="W40" s="243">
        <f t="shared" si="8"/>
        <v>23</v>
      </c>
      <c r="X40" s="26">
        <f t="shared" si="3"/>
        <v>23</v>
      </c>
      <c r="Y40" s="26">
        <f t="shared" si="11"/>
        <v>7959.84</v>
      </c>
      <c r="Z40" s="26">
        <f t="shared" si="4"/>
        <v>7959.84</v>
      </c>
      <c r="AA40" s="33" t="s">
        <v>15</v>
      </c>
      <c r="AB40" s="36" t="s">
        <v>16</v>
      </c>
      <c r="AC40" s="181">
        <f t="shared" si="5"/>
        <v>755.76</v>
      </c>
      <c r="AD40" s="181">
        <f t="shared" ref="AD40:AD103" si="12">ROUND(V40*AC40,2)</f>
        <v>261553.42</v>
      </c>
      <c r="AE40" s="181">
        <v>1.2</v>
      </c>
      <c r="AF40" s="181">
        <v>1.2</v>
      </c>
      <c r="AG40" s="101" t="str">
        <f t="shared" si="6"/>
        <v/>
      </c>
      <c r="AH40" s="191">
        <f>23</f>
        <v>23</v>
      </c>
      <c r="AI40" s="69">
        <f t="shared" si="7"/>
        <v>755.76</v>
      </c>
    </row>
    <row r="41" spans="1:35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 t="s">
        <v>15</v>
      </c>
      <c r="I41" s="75">
        <v>36.4</v>
      </c>
      <c r="J41" s="75">
        <v>1355298.67</v>
      </c>
      <c r="K41" s="91" t="s">
        <v>111</v>
      </c>
      <c r="L41" s="73"/>
      <c r="M41" s="46">
        <v>21761.1</v>
      </c>
      <c r="N41" s="46">
        <v>256175.92000000004</v>
      </c>
      <c r="O41" s="46">
        <v>792104.04</v>
      </c>
      <c r="P41" s="98"/>
      <c r="Q41" s="23" t="s">
        <v>1402</v>
      </c>
      <c r="R41" s="24" t="s">
        <v>109</v>
      </c>
      <c r="S41" s="25" t="s">
        <v>110</v>
      </c>
      <c r="T41" s="26">
        <v>37233.480000000003</v>
      </c>
      <c r="U41" s="26">
        <v>37233.480000000003</v>
      </c>
      <c r="V41" s="26">
        <f t="shared" si="10"/>
        <v>36.4</v>
      </c>
      <c r="W41" s="243">
        <f t="shared" si="8"/>
        <v>0</v>
      </c>
      <c r="X41" s="26">
        <f t="shared" si="3"/>
        <v>21761.1</v>
      </c>
      <c r="Y41" s="26">
        <f t="shared" si="11"/>
        <v>0</v>
      </c>
      <c r="Z41" s="26">
        <f t="shared" si="4"/>
        <v>792104.04</v>
      </c>
      <c r="AA41" s="33" t="s">
        <v>15</v>
      </c>
      <c r="AB41" s="36" t="s">
        <v>16</v>
      </c>
      <c r="AC41" s="181">
        <f t="shared" si="5"/>
        <v>37233.480000000003</v>
      </c>
      <c r="AD41" s="181">
        <f t="shared" si="12"/>
        <v>1355298.67</v>
      </c>
      <c r="AE41" s="181">
        <v>1.2</v>
      </c>
      <c r="AF41" s="181">
        <v>1.2</v>
      </c>
      <c r="AG41" s="101" t="str">
        <f t="shared" si="6"/>
        <v/>
      </c>
      <c r="AH41" s="191">
        <f>4011.3+10712+7037.8</f>
        <v>21761.1</v>
      </c>
      <c r="AI41" s="69">
        <f t="shared" si="7"/>
        <v>37233.480000000003</v>
      </c>
    </row>
    <row r="42" spans="1:35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 t="s">
        <v>15</v>
      </c>
      <c r="I42" s="75">
        <v>3115.13</v>
      </c>
      <c r="J42" s="75">
        <v>918901.05</v>
      </c>
      <c r="K42" s="91" t="s">
        <v>114</v>
      </c>
      <c r="L42" s="73"/>
      <c r="M42" s="46">
        <v>99.700000000000017</v>
      </c>
      <c r="N42" s="46">
        <v>74451.610000000015</v>
      </c>
      <c r="O42" s="46">
        <v>310578.46000000002</v>
      </c>
      <c r="P42" s="98"/>
      <c r="Q42" s="23" t="s">
        <v>1373</v>
      </c>
      <c r="R42" s="24" t="s">
        <v>392</v>
      </c>
      <c r="S42" s="25" t="s">
        <v>23</v>
      </c>
      <c r="T42" s="26">
        <v>294.98</v>
      </c>
      <c r="U42" s="26">
        <v>294.98</v>
      </c>
      <c r="V42" s="26">
        <f t="shared" si="10"/>
        <v>3115.13</v>
      </c>
      <c r="W42" s="243">
        <f t="shared" si="8"/>
        <v>112.01000000000002</v>
      </c>
      <c r="X42" s="26">
        <f t="shared" si="3"/>
        <v>211.71000000000004</v>
      </c>
      <c r="Y42" s="26">
        <f t="shared" si="11"/>
        <v>348925.71</v>
      </c>
      <c r="Z42" s="26">
        <f t="shared" si="4"/>
        <v>659504.17000000004</v>
      </c>
      <c r="AA42" s="33" t="s">
        <v>15</v>
      </c>
      <c r="AB42" s="36" t="s">
        <v>16</v>
      </c>
      <c r="AC42" s="181">
        <f t="shared" si="5"/>
        <v>294.98</v>
      </c>
      <c r="AD42" s="181">
        <f t="shared" si="12"/>
        <v>918901.05</v>
      </c>
      <c r="AE42" s="181">
        <v>1.2</v>
      </c>
      <c r="AF42" s="181">
        <v>1.2</v>
      </c>
      <c r="AG42" s="101" t="str">
        <f t="shared" si="6"/>
        <v/>
      </c>
      <c r="AH42" s="191">
        <f>36.6+39.2+23.9+112.01</f>
        <v>211.71000000000004</v>
      </c>
      <c r="AI42" s="69">
        <f t="shared" si="7"/>
        <v>294.98</v>
      </c>
    </row>
    <row r="43" spans="1:35" s="69" customFormat="1" ht="39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 t="s">
        <v>15</v>
      </c>
      <c r="I43" s="75">
        <v>3321.13</v>
      </c>
      <c r="J43" s="75">
        <v>2811934.35</v>
      </c>
      <c r="K43" s="91" t="s">
        <v>117</v>
      </c>
      <c r="L43" s="73"/>
      <c r="M43" s="46">
        <v>571.09999999999991</v>
      </c>
      <c r="N43" s="46">
        <v>435732.25</v>
      </c>
      <c r="O43" s="46">
        <v>1896697.34</v>
      </c>
      <c r="P43" s="98"/>
      <c r="Q43" s="23" t="s">
        <v>1393</v>
      </c>
      <c r="R43" s="24" t="s">
        <v>116</v>
      </c>
      <c r="S43" s="25" t="s">
        <v>23</v>
      </c>
      <c r="T43" s="26">
        <v>846.68</v>
      </c>
      <c r="U43" s="26">
        <v>846.68</v>
      </c>
      <c r="V43" s="26">
        <f t="shared" si="10"/>
        <v>3321.13</v>
      </c>
      <c r="W43" s="243">
        <f t="shared" si="8"/>
        <v>0</v>
      </c>
      <c r="X43" s="26">
        <f t="shared" si="3"/>
        <v>571.09999999999991</v>
      </c>
      <c r="Y43" s="26">
        <f t="shared" si="11"/>
        <v>0</v>
      </c>
      <c r="Z43" s="26">
        <f t="shared" si="4"/>
        <v>1896697.34</v>
      </c>
      <c r="AA43" s="33" t="s">
        <v>15</v>
      </c>
      <c r="AB43" s="36" t="s">
        <v>16</v>
      </c>
      <c r="AC43" s="181">
        <f t="shared" si="5"/>
        <v>846.68</v>
      </c>
      <c r="AD43" s="181">
        <f t="shared" si="12"/>
        <v>2811934.35</v>
      </c>
      <c r="AE43" s="181">
        <v>1.2</v>
      </c>
      <c r="AF43" s="181">
        <v>1.2</v>
      </c>
      <c r="AG43" s="101" t="str">
        <f t="shared" si="6"/>
        <v/>
      </c>
      <c r="AH43" s="191">
        <f>282.3+157.6+131.2</f>
        <v>571.09999999999991</v>
      </c>
      <c r="AI43" s="69">
        <f t="shared" si="7"/>
        <v>846.68</v>
      </c>
    </row>
    <row r="44" spans="1:35" s="69" customFormat="1" ht="26.1" customHeight="1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 t="s">
        <v>15</v>
      </c>
      <c r="I44" s="75">
        <v>533.64</v>
      </c>
      <c r="J44" s="75">
        <v>1273974.78</v>
      </c>
      <c r="K44" s="91" t="s">
        <v>120</v>
      </c>
      <c r="L44" s="73"/>
      <c r="M44" s="46">
        <v>1273.3</v>
      </c>
      <c r="N44" s="46">
        <v>123324.20000000007</v>
      </c>
      <c r="O44" s="46">
        <v>679483.81</v>
      </c>
      <c r="P44" s="98"/>
      <c r="Q44" s="23" t="s">
        <v>1403</v>
      </c>
      <c r="R44" s="24" t="s">
        <v>119</v>
      </c>
      <c r="S44" s="25" t="s">
        <v>50</v>
      </c>
      <c r="T44" s="26">
        <v>2387.33</v>
      </c>
      <c r="U44" s="26">
        <v>2387.33</v>
      </c>
      <c r="V44" s="26">
        <f t="shared" si="10"/>
        <v>533.64</v>
      </c>
      <c r="W44" s="243">
        <f t="shared" si="8"/>
        <v>653.04</v>
      </c>
      <c r="X44" s="26">
        <f t="shared" si="3"/>
        <v>1926.34</v>
      </c>
      <c r="Y44" s="26">
        <f t="shared" si="11"/>
        <v>348488.2699999999</v>
      </c>
      <c r="Z44" s="26">
        <f t="shared" si="4"/>
        <v>1027972.08</v>
      </c>
      <c r="AA44" s="33" t="s">
        <v>15</v>
      </c>
      <c r="AB44" s="36" t="s">
        <v>16</v>
      </c>
      <c r="AC44" s="181">
        <f t="shared" si="5"/>
        <v>2387.33</v>
      </c>
      <c r="AD44" s="181">
        <f t="shared" si="12"/>
        <v>1273974.78</v>
      </c>
      <c r="AE44" s="181">
        <v>1.2</v>
      </c>
      <c r="AF44" s="181">
        <v>1.2</v>
      </c>
      <c r="AG44" s="101" t="str">
        <f t="shared" si="6"/>
        <v/>
      </c>
      <c r="AH44" s="191">
        <f>815.4+226.8+231.1+653.04</f>
        <v>1926.34</v>
      </c>
      <c r="AI44" s="69">
        <f t="shared" si="7"/>
        <v>2387.33</v>
      </c>
    </row>
    <row r="45" spans="1:35" s="69" customFormat="1" ht="26.1" customHeight="1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 t="s">
        <v>15</v>
      </c>
      <c r="I45" s="75">
        <v>1299.8900000000001</v>
      </c>
      <c r="J45" s="75">
        <v>1770710.16</v>
      </c>
      <c r="K45" s="91" t="s">
        <v>123</v>
      </c>
      <c r="L45" s="73"/>
      <c r="M45" s="46">
        <v>343.5</v>
      </c>
      <c r="N45" s="46">
        <v>51085.679999999993</v>
      </c>
      <c r="O45" s="46">
        <v>446512.22</v>
      </c>
      <c r="P45" s="98"/>
      <c r="Q45" s="23" t="s">
        <v>1427</v>
      </c>
      <c r="R45" s="24" t="s">
        <v>122</v>
      </c>
      <c r="S45" s="25" t="s">
        <v>50</v>
      </c>
      <c r="T45" s="26">
        <v>1362.2</v>
      </c>
      <c r="U45" s="26">
        <v>1362.2</v>
      </c>
      <c r="V45" s="26">
        <f t="shared" si="10"/>
        <v>1299.8900000000001</v>
      </c>
      <c r="W45" s="243">
        <f t="shared" si="8"/>
        <v>0</v>
      </c>
      <c r="X45" s="26">
        <f t="shared" si="3"/>
        <v>343.5</v>
      </c>
      <c r="Y45" s="26">
        <f t="shared" si="11"/>
        <v>0</v>
      </c>
      <c r="Z45" s="26">
        <f t="shared" si="4"/>
        <v>446512.22</v>
      </c>
      <c r="AA45" s="33" t="s">
        <v>15</v>
      </c>
      <c r="AB45" s="36" t="s">
        <v>16</v>
      </c>
      <c r="AC45" s="181">
        <f t="shared" si="5"/>
        <v>1362.2</v>
      </c>
      <c r="AD45" s="181">
        <f t="shared" si="12"/>
        <v>1770710.16</v>
      </c>
      <c r="AE45" s="181">
        <v>1.2</v>
      </c>
      <c r="AF45" s="181">
        <v>1.2</v>
      </c>
      <c r="AG45" s="101" t="str">
        <f t="shared" si="6"/>
        <v/>
      </c>
      <c r="AH45" s="191">
        <f>165+139.2+39.3</f>
        <v>343.5</v>
      </c>
      <c r="AI45" s="69">
        <f t="shared" si="7"/>
        <v>1362.2</v>
      </c>
    </row>
    <row r="46" spans="1:35" s="69" customFormat="1" ht="26.1" customHeight="1" x14ac:dyDescent="0.3">
      <c r="A46" s="130" t="s">
        <v>124</v>
      </c>
      <c r="B46" s="131" t="s">
        <v>125</v>
      </c>
      <c r="C46" s="132" t="s">
        <v>110</v>
      </c>
      <c r="D46" s="133">
        <v>4781.5600000000004</v>
      </c>
      <c r="E46" s="75"/>
      <c r="F46" s="75"/>
      <c r="G46" s="75"/>
      <c r="H46" s="75" t="s">
        <v>15</v>
      </c>
      <c r="I46" s="75">
        <v>60</v>
      </c>
      <c r="J46" s="75">
        <v>286893.59999999998</v>
      </c>
      <c r="K46" s="91" t="s">
        <v>126</v>
      </c>
      <c r="L46" s="73"/>
      <c r="M46" s="46">
        <v>4781.5</v>
      </c>
      <c r="N46" s="46">
        <v>74106</v>
      </c>
      <c r="O46" s="46">
        <v>286890</v>
      </c>
      <c r="P46" s="98"/>
      <c r="Q46" s="23" t="s">
        <v>1428</v>
      </c>
      <c r="R46" s="24" t="s">
        <v>125</v>
      </c>
      <c r="S46" s="25" t="s">
        <v>110</v>
      </c>
      <c r="T46" s="26">
        <v>4781.5600000000004</v>
      </c>
      <c r="U46" s="26">
        <v>4781.5600000000004</v>
      </c>
      <c r="V46" s="26">
        <f t="shared" si="10"/>
        <v>60</v>
      </c>
      <c r="W46" s="209">
        <f t="shared" si="8"/>
        <v>0</v>
      </c>
      <c r="X46" s="127">
        <f t="shared" si="3"/>
        <v>4781.5</v>
      </c>
      <c r="Y46" s="127">
        <f t="shared" si="11"/>
        <v>0</v>
      </c>
      <c r="Z46" s="127">
        <f t="shared" si="4"/>
        <v>286890</v>
      </c>
      <c r="AA46" s="33" t="s">
        <v>15</v>
      </c>
      <c r="AB46" s="36" t="s">
        <v>16</v>
      </c>
      <c r="AC46" s="181">
        <f t="shared" si="5"/>
        <v>4781.5600000000004</v>
      </c>
      <c r="AD46" s="181">
        <f t="shared" si="12"/>
        <v>286893.59999999998</v>
      </c>
      <c r="AE46" s="181">
        <v>1.2</v>
      </c>
      <c r="AF46" s="181">
        <v>1.2</v>
      </c>
      <c r="AG46" s="101" t="str">
        <f t="shared" si="6"/>
        <v/>
      </c>
      <c r="AH46" s="191">
        <f>3546.4+1235.1</f>
        <v>4781.5</v>
      </c>
      <c r="AI46" s="69">
        <f t="shared" si="7"/>
        <v>4781.5600000000004</v>
      </c>
    </row>
    <row r="47" spans="1:35" s="69" customFormat="1" ht="39" x14ac:dyDescent="0.3">
      <c r="A47" s="130" t="s">
        <v>127</v>
      </c>
      <c r="B47" s="131" t="s">
        <v>128</v>
      </c>
      <c r="C47" s="132" t="s">
        <v>110</v>
      </c>
      <c r="D47" s="133">
        <v>4781.5600000000004</v>
      </c>
      <c r="E47" s="75"/>
      <c r="F47" s="75"/>
      <c r="G47" s="75"/>
      <c r="H47" s="75" t="s">
        <v>15</v>
      </c>
      <c r="I47" s="75">
        <v>31.9</v>
      </c>
      <c r="J47" s="75">
        <v>152531.76</v>
      </c>
      <c r="K47" s="91" t="s">
        <v>129</v>
      </c>
      <c r="L47" s="73"/>
      <c r="M47" s="46">
        <v>4781.5</v>
      </c>
      <c r="N47" s="46">
        <v>39399.69</v>
      </c>
      <c r="O47" s="46">
        <v>152529.85</v>
      </c>
      <c r="P47" s="98"/>
      <c r="Q47" s="23" t="s">
        <v>1387</v>
      </c>
      <c r="R47" s="24" t="s">
        <v>128</v>
      </c>
      <c r="S47" s="25" t="s">
        <v>110</v>
      </c>
      <c r="T47" s="26">
        <v>4781.5600000000004</v>
      </c>
      <c r="U47" s="26">
        <v>4781.5600000000004</v>
      </c>
      <c r="V47" s="26">
        <f t="shared" si="10"/>
        <v>31.9</v>
      </c>
      <c r="W47" s="209">
        <f t="shared" si="8"/>
        <v>0</v>
      </c>
      <c r="X47" s="127">
        <f t="shared" si="3"/>
        <v>4781.5</v>
      </c>
      <c r="Y47" s="127">
        <f t="shared" si="11"/>
        <v>0</v>
      </c>
      <c r="Z47" s="127">
        <f t="shared" si="4"/>
        <v>152529.85</v>
      </c>
      <c r="AA47" s="33" t="s">
        <v>15</v>
      </c>
      <c r="AB47" s="36" t="s">
        <v>16</v>
      </c>
      <c r="AC47" s="181">
        <f t="shared" si="5"/>
        <v>4781.5600000000004</v>
      </c>
      <c r="AD47" s="181">
        <f t="shared" si="12"/>
        <v>152531.76</v>
      </c>
      <c r="AE47" s="181">
        <v>1.2</v>
      </c>
      <c r="AF47" s="181">
        <v>1.2</v>
      </c>
      <c r="AG47" s="101" t="str">
        <f t="shared" si="6"/>
        <v/>
      </c>
      <c r="AH47" s="191">
        <f>AH46</f>
        <v>4781.5</v>
      </c>
      <c r="AI47" s="69">
        <f t="shared" si="7"/>
        <v>4781.5600000000004</v>
      </c>
    </row>
    <row r="48" spans="1:35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 t="s">
        <v>15</v>
      </c>
      <c r="I48" s="75">
        <v>107.31</v>
      </c>
      <c r="J48" s="75">
        <v>246905.29</v>
      </c>
      <c r="K48" s="91" t="s">
        <v>132</v>
      </c>
      <c r="L48" s="73"/>
      <c r="M48" s="46">
        <v>1855</v>
      </c>
      <c r="N48" s="46">
        <v>0</v>
      </c>
      <c r="O48" s="46">
        <v>199060.05</v>
      </c>
      <c r="P48" s="98"/>
      <c r="Q48" s="23" t="s">
        <v>1405</v>
      </c>
      <c r="R48" s="24" t="s">
        <v>131</v>
      </c>
      <c r="S48" s="25" t="s">
        <v>110</v>
      </c>
      <c r="T48" s="26">
        <v>2300.86</v>
      </c>
      <c r="U48" s="26">
        <v>2300.86</v>
      </c>
      <c r="V48" s="26">
        <f t="shared" si="10"/>
        <v>107.31</v>
      </c>
      <c r="W48" s="128">
        <f t="shared" si="8"/>
        <v>0</v>
      </c>
      <c r="X48" s="26">
        <f t="shared" si="3"/>
        <v>1855</v>
      </c>
      <c r="Y48" s="26">
        <f t="shared" si="11"/>
        <v>0</v>
      </c>
      <c r="Z48" s="26">
        <f t="shared" si="4"/>
        <v>199060.05</v>
      </c>
      <c r="AA48" s="33" t="s">
        <v>15</v>
      </c>
      <c r="AB48" s="36" t="s">
        <v>16</v>
      </c>
      <c r="AC48" s="181">
        <f t="shared" si="5"/>
        <v>2300.86</v>
      </c>
      <c r="AD48" s="181">
        <f t="shared" si="12"/>
        <v>246905.29</v>
      </c>
      <c r="AE48" s="181">
        <v>1.2</v>
      </c>
      <c r="AF48" s="181">
        <v>1.2</v>
      </c>
      <c r="AG48" s="101" t="str">
        <f t="shared" si="6"/>
        <v/>
      </c>
      <c r="AH48" s="191">
        <v>1855</v>
      </c>
      <c r="AI48" s="69">
        <f t="shared" si="7"/>
        <v>2300.86</v>
      </c>
    </row>
    <row r="49" spans="1:35" s="69" customFormat="1" ht="33" x14ac:dyDescent="0.3">
      <c r="A49" s="55" t="s">
        <v>133</v>
      </c>
      <c r="B49" s="215" t="s">
        <v>134</v>
      </c>
      <c r="C49" s="54" t="s">
        <v>50</v>
      </c>
      <c r="D49" s="75">
        <v>5207.01</v>
      </c>
      <c r="E49" s="75"/>
      <c r="F49" s="75"/>
      <c r="G49" s="75"/>
      <c r="H49" s="75" t="s">
        <v>15</v>
      </c>
      <c r="I49" s="75">
        <v>2964</v>
      </c>
      <c r="J49" s="75">
        <v>15433577.640000001</v>
      </c>
      <c r="K49" s="137" t="s">
        <v>135</v>
      </c>
      <c r="L49" s="73"/>
      <c r="M49" s="46">
        <v>2182.1999999999998</v>
      </c>
      <c r="N49" s="46">
        <v>624514.79999999981</v>
      </c>
      <c r="O49" s="46">
        <v>6468040.7999999998</v>
      </c>
      <c r="P49" s="98"/>
      <c r="Q49" s="23" t="s">
        <v>1406</v>
      </c>
      <c r="R49" s="24" t="s">
        <v>134</v>
      </c>
      <c r="S49" s="25" t="s">
        <v>50</v>
      </c>
      <c r="T49" s="26">
        <v>5207.01</v>
      </c>
      <c r="U49" s="26">
        <v>5207.01</v>
      </c>
      <c r="V49" s="26">
        <f t="shared" si="10"/>
        <v>2964</v>
      </c>
      <c r="W49" s="243">
        <f t="shared" si="8"/>
        <v>652.79</v>
      </c>
      <c r="X49" s="26">
        <f t="shared" si="3"/>
        <v>2834.99</v>
      </c>
      <c r="Y49" s="26">
        <f t="shared" si="11"/>
        <v>1934869.5599999996</v>
      </c>
      <c r="Z49" s="26">
        <f t="shared" si="4"/>
        <v>8402910.3599999994</v>
      </c>
      <c r="AA49" s="33" t="s">
        <v>15</v>
      </c>
      <c r="AB49" s="36" t="s">
        <v>16</v>
      </c>
      <c r="AC49" s="181">
        <f t="shared" si="5"/>
        <v>5207.01</v>
      </c>
      <c r="AD49" s="181">
        <f t="shared" si="12"/>
        <v>15433577.640000001</v>
      </c>
      <c r="AE49" s="181">
        <v>1.2</v>
      </c>
      <c r="AF49" s="181">
        <v>1.2</v>
      </c>
      <c r="AG49" s="101" t="str">
        <f t="shared" si="6"/>
        <v/>
      </c>
      <c r="AH49" s="191">
        <f>1759.3+212.2+210.7+652.79</f>
        <v>2834.99</v>
      </c>
      <c r="AI49" s="69">
        <f t="shared" si="7"/>
        <v>5207.01</v>
      </c>
    </row>
    <row r="50" spans="1:35" s="69" customFormat="1" ht="39" x14ac:dyDescent="0.3">
      <c r="A50" s="55" t="s">
        <v>136</v>
      </c>
      <c r="B50" s="53" t="s">
        <v>3138</v>
      </c>
      <c r="C50" s="54" t="s">
        <v>50</v>
      </c>
      <c r="D50" s="75">
        <v>693.8</v>
      </c>
      <c r="E50" s="75"/>
      <c r="F50" s="75"/>
      <c r="G50" s="75"/>
      <c r="H50" s="75" t="s">
        <v>15</v>
      </c>
      <c r="I50" s="75">
        <v>3961.57</v>
      </c>
      <c r="J50" s="75">
        <v>2748537.27</v>
      </c>
      <c r="K50" s="137" t="s">
        <v>138</v>
      </c>
      <c r="L50" s="73"/>
      <c r="M50" s="46">
        <v>519.79999999999995</v>
      </c>
      <c r="N50" s="46">
        <v>923045.81</v>
      </c>
      <c r="O50" s="46">
        <v>2059224.09</v>
      </c>
      <c r="P50" s="98"/>
      <c r="Q50" s="23" t="s">
        <v>1414</v>
      </c>
      <c r="R50" s="24" t="s">
        <v>137</v>
      </c>
      <c r="S50" s="25" t="s">
        <v>50</v>
      </c>
      <c r="T50" s="26">
        <v>693.8</v>
      </c>
      <c r="U50" s="26">
        <v>693.8</v>
      </c>
      <c r="V50" s="26">
        <f t="shared" si="10"/>
        <v>3961.57</v>
      </c>
      <c r="W50" s="243">
        <f>AH50-M50</f>
        <v>0</v>
      </c>
      <c r="X50" s="26">
        <f t="shared" si="3"/>
        <v>519.79999999999995</v>
      </c>
      <c r="Y50" s="26">
        <f t="shared" si="11"/>
        <v>0</v>
      </c>
      <c r="Z50" s="26">
        <f t="shared" si="4"/>
        <v>2059224.09</v>
      </c>
      <c r="AA50" s="33" t="s">
        <v>15</v>
      </c>
      <c r="AB50" s="36" t="s">
        <v>16</v>
      </c>
      <c r="AC50" s="181">
        <f t="shared" si="5"/>
        <v>693.8</v>
      </c>
      <c r="AD50" s="181">
        <f t="shared" si="12"/>
        <v>2748537.27</v>
      </c>
      <c r="AE50" s="181">
        <v>1.2</v>
      </c>
      <c r="AF50" s="181">
        <v>1.2</v>
      </c>
      <c r="AG50" s="101" t="str">
        <f t="shared" si="6"/>
        <v/>
      </c>
      <c r="AH50" s="191">
        <f>286.8+233</f>
        <v>519.79999999999995</v>
      </c>
      <c r="AI50" s="69">
        <f t="shared" si="7"/>
        <v>693.8</v>
      </c>
    </row>
    <row r="51" spans="1:35" s="69" customFormat="1" ht="26.1" customHeight="1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 t="s">
        <v>15</v>
      </c>
      <c r="I51" s="75">
        <v>3965.81</v>
      </c>
      <c r="J51" s="75">
        <v>1488090.89</v>
      </c>
      <c r="K51" s="137" t="s">
        <v>141</v>
      </c>
      <c r="L51" s="73"/>
      <c r="M51" s="46">
        <v>0</v>
      </c>
      <c r="N51" s="46">
        <v>0</v>
      </c>
      <c r="O51" s="46">
        <v>0</v>
      </c>
      <c r="P51" s="98"/>
      <c r="Q51" s="23" t="s">
        <v>1429</v>
      </c>
      <c r="R51" s="24" t="s">
        <v>140</v>
      </c>
      <c r="S51" s="25" t="s">
        <v>50</v>
      </c>
      <c r="T51" s="26">
        <v>375.23</v>
      </c>
      <c r="U51" s="26">
        <v>375.23</v>
      </c>
      <c r="V51" s="26">
        <f t="shared" si="10"/>
        <v>3965.81</v>
      </c>
      <c r="W51" s="26">
        <f t="shared" si="8"/>
        <v>0</v>
      </c>
      <c r="X51" s="26">
        <f t="shared" si="3"/>
        <v>0</v>
      </c>
      <c r="Y51" s="26">
        <f t="shared" si="11"/>
        <v>0</v>
      </c>
      <c r="Z51" s="26">
        <f t="shared" si="4"/>
        <v>0</v>
      </c>
      <c r="AA51" s="33" t="s">
        <v>15</v>
      </c>
      <c r="AB51" s="36" t="s">
        <v>16</v>
      </c>
      <c r="AC51" s="181">
        <f t="shared" si="5"/>
        <v>375.23</v>
      </c>
      <c r="AD51" s="181">
        <f t="shared" si="12"/>
        <v>1488090.89</v>
      </c>
      <c r="AE51" s="181">
        <v>1.2</v>
      </c>
      <c r="AF51" s="181">
        <v>1.2</v>
      </c>
      <c r="AG51" s="101" t="str">
        <f t="shared" si="6"/>
        <v/>
      </c>
      <c r="AH51" s="190">
        <v>0</v>
      </c>
      <c r="AI51" s="69">
        <f t="shared" si="7"/>
        <v>375.23</v>
      </c>
    </row>
    <row r="52" spans="1:35" s="69" customFormat="1" ht="26.1" customHeight="1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 t="s">
        <v>15</v>
      </c>
      <c r="I52" s="75">
        <v>773.88</v>
      </c>
      <c r="J52" s="75">
        <v>26931.02</v>
      </c>
      <c r="K52" s="91" t="s">
        <v>144</v>
      </c>
      <c r="L52" s="73"/>
      <c r="M52" s="46">
        <v>0</v>
      </c>
      <c r="N52" s="46">
        <v>0</v>
      </c>
      <c r="O52" s="46">
        <v>0</v>
      </c>
      <c r="P52" s="98"/>
      <c r="Q52" s="23" t="s">
        <v>1430</v>
      </c>
      <c r="R52" s="24" t="s">
        <v>143</v>
      </c>
      <c r="S52" s="25" t="s">
        <v>50</v>
      </c>
      <c r="T52" s="26">
        <v>34.799999999999997</v>
      </c>
      <c r="U52" s="26">
        <v>34.799999999999997</v>
      </c>
      <c r="V52" s="26">
        <f t="shared" si="10"/>
        <v>773.88</v>
      </c>
      <c r="W52" s="26">
        <f t="shared" si="8"/>
        <v>0</v>
      </c>
      <c r="X52" s="26">
        <f t="shared" si="3"/>
        <v>0</v>
      </c>
      <c r="Y52" s="26">
        <f t="shared" si="11"/>
        <v>0</v>
      </c>
      <c r="Z52" s="26">
        <f t="shared" si="4"/>
        <v>0</v>
      </c>
      <c r="AA52" s="33" t="s">
        <v>15</v>
      </c>
      <c r="AB52" s="36" t="s">
        <v>16</v>
      </c>
      <c r="AC52" s="181">
        <f t="shared" si="5"/>
        <v>34.799999999999997</v>
      </c>
      <c r="AD52" s="181">
        <f t="shared" si="12"/>
        <v>26931.02</v>
      </c>
      <c r="AE52" s="181">
        <v>1.2</v>
      </c>
      <c r="AF52" s="181">
        <v>1.2</v>
      </c>
      <c r="AG52" s="101" t="str">
        <f t="shared" si="6"/>
        <v/>
      </c>
      <c r="AH52" s="190">
        <v>0</v>
      </c>
      <c r="AI52" s="69">
        <f t="shared" si="7"/>
        <v>34.799999999999997</v>
      </c>
    </row>
    <row r="53" spans="1:35" s="69" customFormat="1" ht="26.1" customHeight="1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 t="s">
        <v>15</v>
      </c>
      <c r="I53" s="75">
        <v>948.4</v>
      </c>
      <c r="J53" s="75">
        <v>11361.83</v>
      </c>
      <c r="K53" s="91" t="s">
        <v>147</v>
      </c>
      <c r="L53" s="73"/>
      <c r="M53" s="46">
        <v>0</v>
      </c>
      <c r="N53" s="46">
        <v>0</v>
      </c>
      <c r="O53" s="46">
        <v>0</v>
      </c>
      <c r="P53" s="98"/>
      <c r="Q53" s="23" t="s">
        <v>1431</v>
      </c>
      <c r="R53" s="24" t="s">
        <v>146</v>
      </c>
      <c r="S53" s="25" t="s">
        <v>50</v>
      </c>
      <c r="T53" s="26">
        <v>11.98</v>
      </c>
      <c r="U53" s="26">
        <v>11.98</v>
      </c>
      <c r="V53" s="26">
        <f t="shared" si="10"/>
        <v>948.4</v>
      </c>
      <c r="W53" s="26">
        <f t="shared" si="8"/>
        <v>0</v>
      </c>
      <c r="X53" s="26">
        <f t="shared" si="3"/>
        <v>0</v>
      </c>
      <c r="Y53" s="26">
        <f t="shared" si="11"/>
        <v>0</v>
      </c>
      <c r="Z53" s="26">
        <f t="shared" si="4"/>
        <v>0</v>
      </c>
      <c r="AA53" s="33" t="s">
        <v>15</v>
      </c>
      <c r="AB53" s="36" t="s">
        <v>16</v>
      </c>
      <c r="AC53" s="181">
        <f t="shared" si="5"/>
        <v>11.98</v>
      </c>
      <c r="AD53" s="181">
        <f t="shared" si="12"/>
        <v>11361.83</v>
      </c>
      <c r="AE53" s="181">
        <v>1.2</v>
      </c>
      <c r="AF53" s="181">
        <v>1.2</v>
      </c>
      <c r="AG53" s="101" t="str">
        <f t="shared" si="6"/>
        <v/>
      </c>
      <c r="AH53" s="190">
        <v>0</v>
      </c>
      <c r="AI53" s="69">
        <f t="shared" si="7"/>
        <v>11.98</v>
      </c>
    </row>
    <row r="54" spans="1:35" s="69" customFormat="1" ht="26.1" customHeight="1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 t="s">
        <v>15</v>
      </c>
      <c r="I54" s="75">
        <v>6163.46</v>
      </c>
      <c r="J54" s="75">
        <v>870650.36</v>
      </c>
      <c r="K54" s="91" t="s">
        <v>150</v>
      </c>
      <c r="L54" s="73"/>
      <c r="M54" s="46">
        <v>12</v>
      </c>
      <c r="N54" s="46">
        <v>0</v>
      </c>
      <c r="O54" s="46">
        <v>73961.52</v>
      </c>
      <c r="P54" s="98"/>
      <c r="Q54" s="23" t="s">
        <v>1395</v>
      </c>
      <c r="R54" s="24" t="s">
        <v>149</v>
      </c>
      <c r="S54" s="25" t="s">
        <v>50</v>
      </c>
      <c r="T54" s="26">
        <v>141.26</v>
      </c>
      <c r="U54" s="26">
        <v>141.26</v>
      </c>
      <c r="V54" s="26">
        <f t="shared" si="10"/>
        <v>6163.46</v>
      </c>
      <c r="W54" s="128">
        <f t="shared" si="8"/>
        <v>0</v>
      </c>
      <c r="X54" s="26">
        <f t="shared" si="3"/>
        <v>12</v>
      </c>
      <c r="Y54" s="26">
        <f t="shared" si="11"/>
        <v>0</v>
      </c>
      <c r="Z54" s="26">
        <f t="shared" si="4"/>
        <v>73961.52</v>
      </c>
      <c r="AA54" s="33" t="s">
        <v>15</v>
      </c>
      <c r="AB54" s="36" t="s">
        <v>16</v>
      </c>
      <c r="AC54" s="181">
        <f t="shared" si="5"/>
        <v>141.26</v>
      </c>
      <c r="AD54" s="181">
        <f t="shared" si="12"/>
        <v>870650.36</v>
      </c>
      <c r="AE54" s="181">
        <v>1.2</v>
      </c>
      <c r="AF54" s="181">
        <v>1.2</v>
      </c>
      <c r="AG54" s="101" t="str">
        <f t="shared" si="6"/>
        <v/>
      </c>
      <c r="AH54" s="191">
        <f>12</f>
        <v>12</v>
      </c>
      <c r="AI54" s="69">
        <f t="shared" si="7"/>
        <v>141.26</v>
      </c>
    </row>
    <row r="55" spans="1:35" s="69" customFormat="1" ht="26.1" customHeight="1" x14ac:dyDescent="0.3">
      <c r="A55" s="55" t="s">
        <v>151</v>
      </c>
      <c r="B55" s="53" t="s">
        <v>152</v>
      </c>
      <c r="C55" s="54" t="s">
        <v>81</v>
      </c>
      <c r="D55" s="75">
        <v>1</v>
      </c>
      <c r="E55" s="75"/>
      <c r="F55" s="75"/>
      <c r="G55" s="75"/>
      <c r="H55" s="75" t="s">
        <v>15</v>
      </c>
      <c r="I55" s="75">
        <v>169519.61</v>
      </c>
      <c r="J55" s="75">
        <v>169519.61</v>
      </c>
      <c r="K55" s="91" t="s">
        <v>153</v>
      </c>
      <c r="L55" s="73"/>
      <c r="M55" s="46">
        <v>0</v>
      </c>
      <c r="N55" s="46">
        <v>0</v>
      </c>
      <c r="O55" s="46">
        <v>0</v>
      </c>
      <c r="P55" s="98"/>
      <c r="Q55" s="23" t="s">
        <v>1432</v>
      </c>
      <c r="R55" s="24" t="s">
        <v>152</v>
      </c>
      <c r="S55" s="25" t="s">
        <v>81</v>
      </c>
      <c r="T55" s="26">
        <v>1</v>
      </c>
      <c r="U55" s="26">
        <v>1</v>
      </c>
      <c r="V55" s="26">
        <f t="shared" si="10"/>
        <v>169519.61</v>
      </c>
      <c r="W55" s="26">
        <f t="shared" si="8"/>
        <v>0</v>
      </c>
      <c r="X55" s="26">
        <f t="shared" si="3"/>
        <v>0</v>
      </c>
      <c r="Y55" s="26">
        <f t="shared" si="11"/>
        <v>0</v>
      </c>
      <c r="Z55" s="26">
        <f t="shared" si="4"/>
        <v>0</v>
      </c>
      <c r="AA55" s="33" t="s">
        <v>15</v>
      </c>
      <c r="AB55" s="36" t="s">
        <v>16</v>
      </c>
      <c r="AC55" s="181">
        <f t="shared" si="5"/>
        <v>1</v>
      </c>
      <c r="AD55" s="181">
        <f t="shared" si="12"/>
        <v>169519.61</v>
      </c>
      <c r="AE55" s="181">
        <v>1.2</v>
      </c>
      <c r="AF55" s="181">
        <v>1.2</v>
      </c>
      <c r="AG55" s="101" t="str">
        <f t="shared" si="6"/>
        <v/>
      </c>
      <c r="AH55" s="190">
        <v>0</v>
      </c>
      <c r="AI55" s="69">
        <f t="shared" si="7"/>
        <v>1</v>
      </c>
    </row>
    <row r="56" spans="1:35" s="69" customFormat="1" ht="26.1" customHeight="1" x14ac:dyDescent="0.3">
      <c r="A56" s="130" t="s">
        <v>154</v>
      </c>
      <c r="B56" s="131" t="s">
        <v>155</v>
      </c>
      <c r="C56" s="132" t="s">
        <v>81</v>
      </c>
      <c r="D56" s="133">
        <v>1</v>
      </c>
      <c r="E56" s="75"/>
      <c r="F56" s="75"/>
      <c r="G56" s="75"/>
      <c r="H56" s="75" t="s">
        <v>15</v>
      </c>
      <c r="I56" s="75">
        <v>350211.64</v>
      </c>
      <c r="J56" s="75">
        <v>350211.64</v>
      </c>
      <c r="K56" s="91" t="s">
        <v>156</v>
      </c>
      <c r="L56" s="73"/>
      <c r="M56" s="46">
        <v>1</v>
      </c>
      <c r="N56" s="46">
        <v>350211.64</v>
      </c>
      <c r="O56" s="46">
        <v>350211.64</v>
      </c>
      <c r="P56" s="98"/>
      <c r="Q56" s="23" t="s">
        <v>1433</v>
      </c>
      <c r="R56" s="24" t="s">
        <v>155</v>
      </c>
      <c r="S56" s="25" t="s">
        <v>81</v>
      </c>
      <c r="T56" s="26">
        <v>1</v>
      </c>
      <c r="U56" s="26">
        <v>1</v>
      </c>
      <c r="V56" s="26">
        <f t="shared" si="10"/>
        <v>350211.64</v>
      </c>
      <c r="W56" s="209">
        <f t="shared" si="8"/>
        <v>0</v>
      </c>
      <c r="X56" s="127">
        <f t="shared" si="3"/>
        <v>1</v>
      </c>
      <c r="Y56" s="127">
        <f t="shared" si="11"/>
        <v>0</v>
      </c>
      <c r="Z56" s="127">
        <f t="shared" si="4"/>
        <v>350211.64</v>
      </c>
      <c r="AA56" s="33" t="s">
        <v>15</v>
      </c>
      <c r="AB56" s="36" t="s">
        <v>16</v>
      </c>
      <c r="AC56" s="181">
        <f t="shared" si="5"/>
        <v>1</v>
      </c>
      <c r="AD56" s="181">
        <f t="shared" si="12"/>
        <v>350211.64</v>
      </c>
      <c r="AE56" s="181">
        <v>1.2</v>
      </c>
      <c r="AF56" s="181">
        <v>1.2</v>
      </c>
      <c r="AG56" s="101" t="str">
        <f t="shared" si="6"/>
        <v/>
      </c>
      <c r="AH56" s="191">
        <f>1</f>
        <v>1</v>
      </c>
      <c r="AI56" s="69">
        <f t="shared" si="7"/>
        <v>1</v>
      </c>
    </row>
    <row r="57" spans="1:35" s="69" customFormat="1" ht="26.1" customHeight="1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 t="s">
        <v>15</v>
      </c>
      <c r="I57" s="75">
        <v>309726.87</v>
      </c>
      <c r="J57" s="75">
        <v>309726.87</v>
      </c>
      <c r="K57" s="91" t="s">
        <v>159</v>
      </c>
      <c r="L57" s="73"/>
      <c r="M57" s="46">
        <v>0</v>
      </c>
      <c r="N57" s="46">
        <v>0</v>
      </c>
      <c r="O57" s="46">
        <v>0</v>
      </c>
      <c r="P57" s="98"/>
      <c r="Q57" s="23" t="s">
        <v>1382</v>
      </c>
      <c r="R57" s="24" t="s">
        <v>158</v>
      </c>
      <c r="S57" s="25" t="s">
        <v>81</v>
      </c>
      <c r="T57" s="26">
        <v>1</v>
      </c>
      <c r="U57" s="26">
        <v>1</v>
      </c>
      <c r="V57" s="26">
        <f t="shared" si="10"/>
        <v>309726.87</v>
      </c>
      <c r="W57" s="26">
        <f t="shared" si="8"/>
        <v>0</v>
      </c>
      <c r="X57" s="26">
        <f t="shared" si="3"/>
        <v>0</v>
      </c>
      <c r="Y57" s="26">
        <f t="shared" si="11"/>
        <v>0</v>
      </c>
      <c r="Z57" s="26">
        <f t="shared" si="4"/>
        <v>0</v>
      </c>
      <c r="AA57" s="33" t="s">
        <v>15</v>
      </c>
      <c r="AB57" s="36" t="s">
        <v>16</v>
      </c>
      <c r="AC57" s="181">
        <f t="shared" si="5"/>
        <v>1</v>
      </c>
      <c r="AD57" s="181">
        <f t="shared" si="12"/>
        <v>309726.87</v>
      </c>
      <c r="AE57" s="181">
        <v>1.2</v>
      </c>
      <c r="AF57" s="181">
        <v>1.2</v>
      </c>
      <c r="AG57" s="101" t="str">
        <f t="shared" si="6"/>
        <v/>
      </c>
      <c r="AH57" s="190">
        <v>0</v>
      </c>
      <c r="AI57" s="69">
        <f t="shared" si="7"/>
        <v>1</v>
      </c>
    </row>
    <row r="58" spans="1:35" s="69" customFormat="1" ht="26.1" customHeight="1" x14ac:dyDescent="0.3">
      <c r="A58" s="55" t="s">
        <v>160</v>
      </c>
      <c r="B58" s="53" t="s">
        <v>161</v>
      </c>
      <c r="C58" s="54" t="s">
        <v>162</v>
      </c>
      <c r="D58" s="75">
        <v>19</v>
      </c>
      <c r="E58" s="75"/>
      <c r="F58" s="75"/>
      <c r="G58" s="75"/>
      <c r="H58" s="75" t="s">
        <v>15</v>
      </c>
      <c r="I58" s="75">
        <v>1134.56</v>
      </c>
      <c r="J58" s="75">
        <v>21556.639999999999</v>
      </c>
      <c r="K58" s="91" t="s">
        <v>163</v>
      </c>
      <c r="L58" s="73"/>
      <c r="M58" s="46">
        <v>0</v>
      </c>
      <c r="N58" s="46">
        <v>0</v>
      </c>
      <c r="O58" s="46">
        <v>0</v>
      </c>
      <c r="P58" s="98"/>
      <c r="Q58" s="23" t="s">
        <v>1434</v>
      </c>
      <c r="R58" s="24" t="s">
        <v>161</v>
      </c>
      <c r="S58" s="25" t="s">
        <v>162</v>
      </c>
      <c r="T58" s="26">
        <v>19</v>
      </c>
      <c r="U58" s="26">
        <v>19</v>
      </c>
      <c r="V58" s="26">
        <f t="shared" si="10"/>
        <v>1134.56</v>
      </c>
      <c r="W58" s="243">
        <f t="shared" si="8"/>
        <v>14</v>
      </c>
      <c r="X58" s="26">
        <f t="shared" si="3"/>
        <v>14</v>
      </c>
      <c r="Y58" s="26">
        <f t="shared" si="11"/>
        <v>15883.84</v>
      </c>
      <c r="Z58" s="26">
        <f t="shared" si="4"/>
        <v>15883.84</v>
      </c>
      <c r="AA58" s="33" t="s">
        <v>15</v>
      </c>
      <c r="AB58" s="36" t="s">
        <v>16</v>
      </c>
      <c r="AC58" s="181">
        <f t="shared" si="5"/>
        <v>19</v>
      </c>
      <c r="AD58" s="181">
        <f t="shared" si="12"/>
        <v>21556.639999999999</v>
      </c>
      <c r="AE58" s="181">
        <v>1.2</v>
      </c>
      <c r="AF58" s="181">
        <v>1.2</v>
      </c>
      <c r="AG58" s="101" t="str">
        <f t="shared" si="6"/>
        <v/>
      </c>
      <c r="AH58" s="191">
        <f>14</f>
        <v>14</v>
      </c>
      <c r="AI58" s="69">
        <f t="shared" si="7"/>
        <v>19</v>
      </c>
    </row>
    <row r="59" spans="1:35" s="69" customFormat="1" ht="26.1" customHeight="1" x14ac:dyDescent="0.3">
      <c r="A59" s="55" t="s">
        <v>164</v>
      </c>
      <c r="B59" s="118" t="s">
        <v>165</v>
      </c>
      <c r="C59" s="54" t="s">
        <v>103</v>
      </c>
      <c r="D59" s="75">
        <v>179.11</v>
      </c>
      <c r="E59" s="75"/>
      <c r="F59" s="75"/>
      <c r="G59" s="75"/>
      <c r="H59" s="75" t="s">
        <v>15</v>
      </c>
      <c r="I59" s="120">
        <v>145.21</v>
      </c>
      <c r="J59" s="75">
        <v>26008.560000000001</v>
      </c>
      <c r="K59" s="91" t="s">
        <v>166</v>
      </c>
      <c r="L59" s="73"/>
      <c r="M59" s="46">
        <v>0</v>
      </c>
      <c r="N59" s="46">
        <v>0</v>
      </c>
      <c r="O59" s="46">
        <v>0</v>
      </c>
      <c r="P59" s="98"/>
      <c r="Q59" s="23" t="s">
        <v>1388</v>
      </c>
      <c r="R59" s="24" t="s">
        <v>165</v>
      </c>
      <c r="S59" s="25" t="s">
        <v>103</v>
      </c>
      <c r="T59" s="26">
        <v>179.11</v>
      </c>
      <c r="U59" s="26">
        <v>179.11</v>
      </c>
      <c r="V59" s="26">
        <f t="shared" si="10"/>
        <v>145.21</v>
      </c>
      <c r="W59" s="26">
        <f t="shared" si="8"/>
        <v>0</v>
      </c>
      <c r="X59" s="26">
        <f t="shared" si="3"/>
        <v>0</v>
      </c>
      <c r="Y59" s="26">
        <f t="shared" si="11"/>
        <v>0</v>
      </c>
      <c r="Z59" s="26">
        <f t="shared" si="4"/>
        <v>0</v>
      </c>
      <c r="AA59" s="33" t="s">
        <v>15</v>
      </c>
      <c r="AB59" s="36" t="s">
        <v>16</v>
      </c>
      <c r="AC59" s="181">
        <f t="shared" si="5"/>
        <v>179.11</v>
      </c>
      <c r="AD59" s="181">
        <f t="shared" si="12"/>
        <v>26008.560000000001</v>
      </c>
      <c r="AE59" s="181">
        <v>1.2</v>
      </c>
      <c r="AF59" s="181">
        <v>1.2</v>
      </c>
      <c r="AG59" s="101" t="str">
        <f t="shared" si="6"/>
        <v/>
      </c>
      <c r="AH59" s="190">
        <v>0</v>
      </c>
      <c r="AI59" s="69">
        <f t="shared" si="7"/>
        <v>179.11</v>
      </c>
    </row>
    <row r="60" spans="1:35" s="69" customFormat="1" ht="26.1" customHeight="1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 t="s">
        <v>15</v>
      </c>
      <c r="I60" s="75">
        <v>2755.97</v>
      </c>
      <c r="J60" s="75">
        <v>2176665.11</v>
      </c>
      <c r="K60" s="91" t="s">
        <v>169</v>
      </c>
      <c r="L60" s="73"/>
      <c r="M60" s="46">
        <v>569</v>
      </c>
      <c r="N60" s="46">
        <v>251344.45999999996</v>
      </c>
      <c r="O60" s="46">
        <v>1568146.93</v>
      </c>
      <c r="P60" s="98"/>
      <c r="Q60" s="23" t="s">
        <v>1389</v>
      </c>
      <c r="R60" s="24" t="s">
        <v>168</v>
      </c>
      <c r="S60" s="25" t="s">
        <v>30</v>
      </c>
      <c r="T60" s="26">
        <v>789.8</v>
      </c>
      <c r="U60" s="26">
        <v>789.8</v>
      </c>
      <c r="V60" s="26">
        <f t="shared" si="10"/>
        <v>2755.97</v>
      </c>
      <c r="W60" s="243">
        <f t="shared" si="8"/>
        <v>0</v>
      </c>
      <c r="X60" s="26">
        <f t="shared" si="3"/>
        <v>569</v>
      </c>
      <c r="Y60" s="26">
        <f t="shared" si="11"/>
        <v>0</v>
      </c>
      <c r="Z60" s="26">
        <f t="shared" si="4"/>
        <v>1568146.93</v>
      </c>
      <c r="AA60" s="33" t="s">
        <v>15</v>
      </c>
      <c r="AB60" s="36" t="s">
        <v>16</v>
      </c>
      <c r="AC60" s="181">
        <f t="shared" si="5"/>
        <v>789.8</v>
      </c>
      <c r="AD60" s="181">
        <f t="shared" si="12"/>
        <v>2176665.11</v>
      </c>
      <c r="AE60" s="181">
        <v>1.2</v>
      </c>
      <c r="AF60" s="181">
        <v>1.2</v>
      </c>
      <c r="AG60" s="101" t="str">
        <f t="shared" si="6"/>
        <v/>
      </c>
      <c r="AH60" s="191">
        <f>164+313.8+91.2</f>
        <v>569</v>
      </c>
      <c r="AI60" s="69">
        <f t="shared" si="7"/>
        <v>789.8</v>
      </c>
    </row>
    <row r="61" spans="1:35" s="69" customFormat="1" ht="26.1" customHeight="1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 t="s">
        <v>15</v>
      </c>
      <c r="I61" s="75">
        <v>576.79999999999995</v>
      </c>
      <c r="J61" s="75">
        <v>18053.84</v>
      </c>
      <c r="K61" s="91" t="s">
        <v>172</v>
      </c>
      <c r="L61" s="73"/>
      <c r="M61" s="46">
        <v>0</v>
      </c>
      <c r="N61" s="46">
        <v>0</v>
      </c>
      <c r="O61" s="46">
        <v>0</v>
      </c>
      <c r="P61" s="98"/>
      <c r="Q61" s="23" t="s">
        <v>1390</v>
      </c>
      <c r="R61" s="24" t="s">
        <v>171</v>
      </c>
      <c r="S61" s="25" t="s">
        <v>30</v>
      </c>
      <c r="T61" s="26">
        <v>31.3</v>
      </c>
      <c r="U61" s="26">
        <v>31.3</v>
      </c>
      <c r="V61" s="26">
        <f t="shared" si="10"/>
        <v>576.79999999999995</v>
      </c>
      <c r="W61" s="26">
        <f t="shared" si="8"/>
        <v>0</v>
      </c>
      <c r="X61" s="26">
        <f t="shared" si="3"/>
        <v>0</v>
      </c>
      <c r="Y61" s="26">
        <f t="shared" si="11"/>
        <v>0</v>
      </c>
      <c r="Z61" s="26">
        <f t="shared" si="4"/>
        <v>0</v>
      </c>
      <c r="AA61" s="33" t="s">
        <v>15</v>
      </c>
      <c r="AB61" s="36" t="s">
        <v>16</v>
      </c>
      <c r="AC61" s="181">
        <f t="shared" si="5"/>
        <v>31.3</v>
      </c>
      <c r="AD61" s="181">
        <f t="shared" si="12"/>
        <v>18053.84</v>
      </c>
      <c r="AE61" s="181">
        <v>1.2</v>
      </c>
      <c r="AF61" s="181">
        <v>1.2</v>
      </c>
      <c r="AG61" s="101" t="str">
        <f t="shared" si="6"/>
        <v/>
      </c>
      <c r="AH61" s="190">
        <v>0</v>
      </c>
      <c r="AI61" s="69">
        <f t="shared" si="7"/>
        <v>31.3</v>
      </c>
    </row>
    <row r="62" spans="1:35" s="69" customFormat="1" ht="26.1" customHeight="1" x14ac:dyDescent="0.3">
      <c r="A62" s="55" t="s">
        <v>173</v>
      </c>
      <c r="B62" s="215" t="s">
        <v>174</v>
      </c>
      <c r="C62" s="54" t="s">
        <v>30</v>
      </c>
      <c r="D62" s="75">
        <v>360.35</v>
      </c>
      <c r="E62" s="75"/>
      <c r="F62" s="75"/>
      <c r="G62" s="75"/>
      <c r="H62" s="75" t="s">
        <v>15</v>
      </c>
      <c r="I62" s="75">
        <v>615.34</v>
      </c>
      <c r="J62" s="75">
        <v>221737.77</v>
      </c>
      <c r="K62" s="91" t="s">
        <v>175</v>
      </c>
      <c r="L62" s="73"/>
      <c r="M62" s="46">
        <v>132</v>
      </c>
      <c r="N62" s="46">
        <v>0</v>
      </c>
      <c r="O62" s="46">
        <v>81224.88</v>
      </c>
      <c r="P62" s="98"/>
      <c r="Q62" s="23" t="s">
        <v>1391</v>
      </c>
      <c r="R62" s="24" t="s">
        <v>174</v>
      </c>
      <c r="S62" s="25" t="s">
        <v>30</v>
      </c>
      <c r="T62" s="26">
        <v>360.35</v>
      </c>
      <c r="U62" s="26">
        <v>360.35</v>
      </c>
      <c r="V62" s="26">
        <f t="shared" si="10"/>
        <v>615.34</v>
      </c>
      <c r="W62" s="243">
        <f t="shared" si="8"/>
        <v>98</v>
      </c>
      <c r="X62" s="26">
        <f t="shared" si="3"/>
        <v>230</v>
      </c>
      <c r="Y62" s="26">
        <f t="shared" si="11"/>
        <v>60303.320000000007</v>
      </c>
      <c r="Z62" s="26">
        <f t="shared" si="4"/>
        <v>141528.20000000001</v>
      </c>
      <c r="AA62" s="33" t="s">
        <v>15</v>
      </c>
      <c r="AB62" s="36" t="s">
        <v>16</v>
      </c>
      <c r="AC62" s="181">
        <f t="shared" si="5"/>
        <v>360.35</v>
      </c>
      <c r="AD62" s="181">
        <f t="shared" si="12"/>
        <v>221737.77</v>
      </c>
      <c r="AE62" s="181">
        <v>1.2</v>
      </c>
      <c r="AF62" s="181">
        <v>1.2</v>
      </c>
      <c r="AG62" s="101" t="str">
        <f t="shared" si="6"/>
        <v/>
      </c>
      <c r="AH62" s="191">
        <f>132+98</f>
        <v>230</v>
      </c>
      <c r="AI62" s="69">
        <f t="shared" si="7"/>
        <v>360.35</v>
      </c>
    </row>
    <row r="63" spans="1:35" s="69" customFormat="1" ht="26.1" customHeight="1" x14ac:dyDescent="0.3">
      <c r="A63" s="55" t="s">
        <v>176</v>
      </c>
      <c r="B63" s="215" t="s">
        <v>177</v>
      </c>
      <c r="C63" s="54" t="s">
        <v>30</v>
      </c>
      <c r="D63" s="75">
        <v>691.14</v>
      </c>
      <c r="E63" s="75"/>
      <c r="F63" s="75"/>
      <c r="G63" s="75"/>
      <c r="H63" s="75" t="s">
        <v>15</v>
      </c>
      <c r="I63" s="75">
        <v>685.3</v>
      </c>
      <c r="J63" s="75">
        <v>473638.24</v>
      </c>
      <c r="K63" s="91" t="s">
        <v>178</v>
      </c>
      <c r="L63" s="73"/>
      <c r="M63" s="46">
        <v>421</v>
      </c>
      <c r="N63" s="46">
        <v>0</v>
      </c>
      <c r="O63" s="46">
        <v>288511.3</v>
      </c>
      <c r="P63" s="98"/>
      <c r="Q63" s="23" t="s">
        <v>1436</v>
      </c>
      <c r="R63" s="24" t="s">
        <v>177</v>
      </c>
      <c r="S63" s="25" t="s">
        <v>30</v>
      </c>
      <c r="T63" s="26">
        <v>691.14</v>
      </c>
      <c r="U63" s="26">
        <v>691.14</v>
      </c>
      <c r="V63" s="26">
        <f t="shared" si="10"/>
        <v>685.3</v>
      </c>
      <c r="W63" s="243">
        <f t="shared" si="8"/>
        <v>139.70000000000005</v>
      </c>
      <c r="X63" s="26">
        <f t="shared" si="3"/>
        <v>560.70000000000005</v>
      </c>
      <c r="Y63" s="26">
        <f t="shared" si="11"/>
        <v>95736.410000000033</v>
      </c>
      <c r="Z63" s="26">
        <f t="shared" si="4"/>
        <v>384247.71</v>
      </c>
      <c r="AA63" s="33" t="s">
        <v>15</v>
      </c>
      <c r="AB63" s="36" t="s">
        <v>16</v>
      </c>
      <c r="AC63" s="181">
        <f t="shared" si="5"/>
        <v>691.14</v>
      </c>
      <c r="AD63" s="181">
        <f t="shared" si="12"/>
        <v>473638.24</v>
      </c>
      <c r="AE63" s="181">
        <v>1.2</v>
      </c>
      <c r="AF63" s="181">
        <v>1.2</v>
      </c>
      <c r="AG63" s="101" t="str">
        <f t="shared" si="6"/>
        <v/>
      </c>
      <c r="AH63" s="191">
        <f>421+139.7</f>
        <v>560.70000000000005</v>
      </c>
      <c r="AI63" s="69">
        <f t="shared" si="7"/>
        <v>691.14</v>
      </c>
    </row>
    <row r="64" spans="1:35" s="69" customFormat="1" ht="26.1" customHeight="1" x14ac:dyDescent="0.3">
      <c r="A64" s="55" t="s">
        <v>179</v>
      </c>
      <c r="B64" s="215" t="s">
        <v>180</v>
      </c>
      <c r="C64" s="54" t="s">
        <v>30</v>
      </c>
      <c r="D64" s="75">
        <v>890.62</v>
      </c>
      <c r="E64" s="75"/>
      <c r="F64" s="75"/>
      <c r="G64" s="75"/>
      <c r="H64" s="75" t="s">
        <v>15</v>
      </c>
      <c r="I64" s="75">
        <v>699.72</v>
      </c>
      <c r="J64" s="75">
        <v>623184.63</v>
      </c>
      <c r="K64" s="91" t="s">
        <v>181</v>
      </c>
      <c r="L64" s="73"/>
      <c r="M64" s="46">
        <v>701.1</v>
      </c>
      <c r="N64" s="46">
        <v>36455.409999999974</v>
      </c>
      <c r="O64" s="46">
        <v>490573.69</v>
      </c>
      <c r="P64" s="98"/>
      <c r="Q64" s="23" t="s">
        <v>1374</v>
      </c>
      <c r="R64" s="24" t="s">
        <v>180</v>
      </c>
      <c r="S64" s="25" t="s">
        <v>30</v>
      </c>
      <c r="T64" s="26">
        <v>890.62</v>
      </c>
      <c r="U64" s="26">
        <v>890.62</v>
      </c>
      <c r="V64" s="26">
        <f t="shared" si="10"/>
        <v>699.72</v>
      </c>
      <c r="W64" s="243">
        <f t="shared" si="8"/>
        <v>113.39999999999998</v>
      </c>
      <c r="X64" s="26">
        <f t="shared" si="3"/>
        <v>814.5</v>
      </c>
      <c r="Y64" s="26">
        <f t="shared" si="11"/>
        <v>79348.249999999942</v>
      </c>
      <c r="Z64" s="26">
        <f t="shared" si="4"/>
        <v>569921.93999999994</v>
      </c>
      <c r="AA64" s="33" t="s">
        <v>15</v>
      </c>
      <c r="AB64" s="36" t="s">
        <v>16</v>
      </c>
      <c r="AC64" s="181">
        <f t="shared" si="5"/>
        <v>890.62</v>
      </c>
      <c r="AD64" s="181">
        <f t="shared" si="12"/>
        <v>623184.63</v>
      </c>
      <c r="AE64" s="181">
        <v>1.2</v>
      </c>
      <c r="AF64" s="181">
        <v>1.2</v>
      </c>
      <c r="AG64" s="101" t="str">
        <f t="shared" si="6"/>
        <v/>
      </c>
      <c r="AH64" s="191">
        <f>457+192+52.1+113.4</f>
        <v>814.5</v>
      </c>
      <c r="AI64" s="69">
        <f t="shared" si="7"/>
        <v>890.62</v>
      </c>
    </row>
    <row r="65" spans="1:35" s="69" customFormat="1" ht="26.1" customHeight="1" x14ac:dyDescent="0.3">
      <c r="A65" s="55" t="s">
        <v>182</v>
      </c>
      <c r="B65" s="215" t="s">
        <v>183</v>
      </c>
      <c r="C65" s="54" t="s">
        <v>30</v>
      </c>
      <c r="D65" s="75">
        <v>85.77</v>
      </c>
      <c r="E65" s="75"/>
      <c r="F65" s="75"/>
      <c r="G65" s="75"/>
      <c r="H65" s="75" t="s">
        <v>15</v>
      </c>
      <c r="I65" s="75">
        <v>1199.33</v>
      </c>
      <c r="J65" s="75">
        <v>102866.53</v>
      </c>
      <c r="K65" s="91" t="s">
        <v>184</v>
      </c>
      <c r="L65" s="73"/>
      <c r="M65" s="46">
        <v>12</v>
      </c>
      <c r="N65" s="46">
        <v>0</v>
      </c>
      <c r="O65" s="46">
        <v>14391.96</v>
      </c>
      <c r="P65" s="98"/>
      <c r="Q65" s="23" t="s">
        <v>1376</v>
      </c>
      <c r="R65" s="24" t="s">
        <v>183</v>
      </c>
      <c r="S65" s="25" t="s">
        <v>30</v>
      </c>
      <c r="T65" s="26">
        <v>85.77</v>
      </c>
      <c r="U65" s="26">
        <v>85.77</v>
      </c>
      <c r="V65" s="26">
        <f t="shared" si="10"/>
        <v>1199.33</v>
      </c>
      <c r="W65" s="243">
        <f t="shared" si="8"/>
        <v>26.5</v>
      </c>
      <c r="X65" s="26">
        <f t="shared" si="3"/>
        <v>38.5</v>
      </c>
      <c r="Y65" s="26">
        <f t="shared" si="11"/>
        <v>31782.25</v>
      </c>
      <c r="Z65" s="26">
        <f t="shared" si="4"/>
        <v>46174.21</v>
      </c>
      <c r="AA65" s="33" t="s">
        <v>15</v>
      </c>
      <c r="AB65" s="36" t="s">
        <v>16</v>
      </c>
      <c r="AC65" s="181">
        <f t="shared" si="5"/>
        <v>85.77</v>
      </c>
      <c r="AD65" s="181">
        <f t="shared" si="12"/>
        <v>102866.53</v>
      </c>
      <c r="AE65" s="181">
        <v>1.2</v>
      </c>
      <c r="AF65" s="181">
        <v>1.2</v>
      </c>
      <c r="AG65" s="101" t="str">
        <f t="shared" si="6"/>
        <v/>
      </c>
      <c r="AH65" s="191">
        <f>12+26.5</f>
        <v>38.5</v>
      </c>
      <c r="AI65" s="69">
        <f t="shared" si="7"/>
        <v>85.77</v>
      </c>
    </row>
    <row r="66" spans="1:35" s="69" customFormat="1" ht="26.1" customHeight="1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 t="s">
        <v>15</v>
      </c>
      <c r="I66" s="75">
        <v>57.68</v>
      </c>
      <c r="J66" s="75">
        <v>10833.46</v>
      </c>
      <c r="K66" s="91" t="s">
        <v>187</v>
      </c>
      <c r="L66" s="73"/>
      <c r="M66" s="46">
        <v>0</v>
      </c>
      <c r="N66" s="46">
        <v>0</v>
      </c>
      <c r="O66" s="46">
        <v>0</v>
      </c>
      <c r="P66" s="98"/>
      <c r="Q66" s="23" t="s">
        <v>1378</v>
      </c>
      <c r="R66" s="24" t="s">
        <v>186</v>
      </c>
      <c r="S66" s="25" t="s">
        <v>30</v>
      </c>
      <c r="T66" s="26">
        <v>187.82</v>
      </c>
      <c r="U66" s="26">
        <v>187.82</v>
      </c>
      <c r="V66" s="26">
        <f t="shared" si="10"/>
        <v>57.68</v>
      </c>
      <c r="W66" s="243">
        <f t="shared" si="8"/>
        <v>132.6</v>
      </c>
      <c r="X66" s="26">
        <f t="shared" si="3"/>
        <v>132.6</v>
      </c>
      <c r="Y66" s="26">
        <f t="shared" si="11"/>
        <v>7648.37</v>
      </c>
      <c r="Z66" s="26">
        <f t="shared" si="4"/>
        <v>7648.37</v>
      </c>
      <c r="AA66" s="33" t="s">
        <v>15</v>
      </c>
      <c r="AB66" s="36" t="s">
        <v>16</v>
      </c>
      <c r="AC66" s="181">
        <f t="shared" si="5"/>
        <v>187.82</v>
      </c>
      <c r="AD66" s="181">
        <f t="shared" si="12"/>
        <v>10833.46</v>
      </c>
      <c r="AE66" s="181">
        <v>1.2</v>
      </c>
      <c r="AF66" s="181">
        <v>1.2</v>
      </c>
      <c r="AG66" s="101" t="str">
        <f t="shared" si="6"/>
        <v/>
      </c>
      <c r="AH66" s="191">
        <f>132.6</f>
        <v>132.6</v>
      </c>
      <c r="AI66" s="69">
        <f t="shared" si="7"/>
        <v>187.82</v>
      </c>
    </row>
    <row r="67" spans="1:35" s="69" customFormat="1" ht="26.1" customHeight="1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 t="s">
        <v>15</v>
      </c>
      <c r="I67" s="75">
        <v>138.84</v>
      </c>
      <c r="J67" s="75">
        <v>2611.58</v>
      </c>
      <c r="K67" s="91" t="s">
        <v>190</v>
      </c>
      <c r="L67" s="73"/>
      <c r="M67" s="46">
        <v>0</v>
      </c>
      <c r="N67" s="46">
        <v>0</v>
      </c>
      <c r="O67" s="46">
        <v>0</v>
      </c>
      <c r="P67" s="98"/>
      <c r="Q67" s="23" t="s">
        <v>1438</v>
      </c>
      <c r="R67" s="24" t="s">
        <v>189</v>
      </c>
      <c r="S67" s="25" t="s">
        <v>30</v>
      </c>
      <c r="T67" s="26">
        <v>18.809999999999999</v>
      </c>
      <c r="U67" s="26">
        <v>18.809999999999999</v>
      </c>
      <c r="V67" s="26">
        <f t="shared" si="10"/>
        <v>138.84</v>
      </c>
      <c r="W67" s="26">
        <f t="shared" si="8"/>
        <v>0</v>
      </c>
      <c r="X67" s="26">
        <f t="shared" si="3"/>
        <v>0</v>
      </c>
      <c r="Y67" s="26">
        <f t="shared" si="11"/>
        <v>0</v>
      </c>
      <c r="Z67" s="26">
        <f t="shared" si="4"/>
        <v>0</v>
      </c>
      <c r="AA67" s="33" t="s">
        <v>15</v>
      </c>
      <c r="AB67" s="36" t="s">
        <v>16</v>
      </c>
      <c r="AC67" s="181">
        <f t="shared" si="5"/>
        <v>18.809999999999999</v>
      </c>
      <c r="AD67" s="181">
        <f t="shared" si="12"/>
        <v>2611.58</v>
      </c>
      <c r="AE67" s="181">
        <v>1.2</v>
      </c>
      <c r="AF67" s="181">
        <v>1.2</v>
      </c>
      <c r="AG67" s="101" t="str">
        <f t="shared" si="6"/>
        <v/>
      </c>
      <c r="AH67" s="190">
        <v>0</v>
      </c>
      <c r="AI67" s="69">
        <f t="shared" si="7"/>
        <v>18.809999999999999</v>
      </c>
    </row>
    <row r="68" spans="1:35" s="69" customFormat="1" ht="26.1" customHeight="1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 t="s">
        <v>15</v>
      </c>
      <c r="I68" s="75">
        <v>2145.42</v>
      </c>
      <c r="J68" s="75">
        <v>43938.2</v>
      </c>
      <c r="K68" s="91" t="s">
        <v>193</v>
      </c>
      <c r="L68" s="73"/>
      <c r="M68" s="46">
        <v>0</v>
      </c>
      <c r="N68" s="46">
        <v>0</v>
      </c>
      <c r="O68" s="46">
        <v>0</v>
      </c>
      <c r="P68" s="98"/>
      <c r="Q68" s="23" t="s">
        <v>1439</v>
      </c>
      <c r="R68" s="24" t="s">
        <v>192</v>
      </c>
      <c r="S68" s="25" t="s">
        <v>50</v>
      </c>
      <c r="T68" s="26">
        <v>20.48</v>
      </c>
      <c r="U68" s="26">
        <v>20.48</v>
      </c>
      <c r="V68" s="26">
        <f t="shared" si="10"/>
        <v>2145.42</v>
      </c>
      <c r="W68" s="243">
        <f t="shared" si="8"/>
        <v>15.2</v>
      </c>
      <c r="X68" s="26">
        <f t="shared" si="3"/>
        <v>15.2</v>
      </c>
      <c r="Y68" s="26">
        <f t="shared" si="11"/>
        <v>32610.38</v>
      </c>
      <c r="Z68" s="26">
        <f t="shared" si="4"/>
        <v>32610.38</v>
      </c>
      <c r="AA68" s="33" t="s">
        <v>15</v>
      </c>
      <c r="AB68" s="36" t="s">
        <v>16</v>
      </c>
      <c r="AC68" s="181">
        <f t="shared" si="5"/>
        <v>20.48</v>
      </c>
      <c r="AD68" s="181">
        <f t="shared" si="12"/>
        <v>43938.2</v>
      </c>
      <c r="AE68" s="181">
        <v>1.2</v>
      </c>
      <c r="AF68" s="181">
        <v>1.2</v>
      </c>
      <c r="AG68" s="101" t="str">
        <f t="shared" si="6"/>
        <v/>
      </c>
      <c r="AH68" s="191">
        <f>15.2</f>
        <v>15.2</v>
      </c>
      <c r="AI68" s="69">
        <f t="shared" si="7"/>
        <v>20.48</v>
      </c>
    </row>
    <row r="69" spans="1:35" s="69" customFormat="1" ht="26.1" customHeight="1" x14ac:dyDescent="0.3">
      <c r="A69" s="55" t="s">
        <v>194</v>
      </c>
      <c r="B69" s="215" t="s">
        <v>195</v>
      </c>
      <c r="C69" s="54" t="s">
        <v>30</v>
      </c>
      <c r="D69" s="75">
        <v>354.7</v>
      </c>
      <c r="E69" s="75"/>
      <c r="F69" s="75"/>
      <c r="G69" s="75"/>
      <c r="H69" s="75" t="s">
        <v>15</v>
      </c>
      <c r="I69" s="75">
        <v>511.4</v>
      </c>
      <c r="J69" s="75">
        <v>181393.58</v>
      </c>
      <c r="K69" s="91" t="s">
        <v>3143</v>
      </c>
      <c r="L69" s="73"/>
      <c r="M69" s="46">
        <v>127</v>
      </c>
      <c r="N69" s="46">
        <v>0</v>
      </c>
      <c r="O69" s="46">
        <v>64947.8</v>
      </c>
      <c r="P69" s="98"/>
      <c r="Q69" s="23" t="s">
        <v>1440</v>
      </c>
      <c r="R69" s="24" t="s">
        <v>195</v>
      </c>
      <c r="S69" s="25" t="s">
        <v>30</v>
      </c>
      <c r="T69" s="26">
        <v>354.7</v>
      </c>
      <c r="U69" s="26">
        <v>354.7</v>
      </c>
      <c r="V69" s="26">
        <f t="shared" si="10"/>
        <v>511.4</v>
      </c>
      <c r="W69" s="243">
        <f t="shared" si="8"/>
        <v>51.199999999999989</v>
      </c>
      <c r="X69" s="26">
        <f t="shared" si="3"/>
        <v>178.2</v>
      </c>
      <c r="Y69" s="26">
        <f t="shared" si="11"/>
        <v>26183.679999999993</v>
      </c>
      <c r="Z69" s="26">
        <f t="shared" si="4"/>
        <v>91131.48</v>
      </c>
      <c r="AA69" s="33" t="s">
        <v>15</v>
      </c>
      <c r="AB69" s="36" t="s">
        <v>16</v>
      </c>
      <c r="AC69" s="181">
        <f t="shared" si="5"/>
        <v>354.7</v>
      </c>
      <c r="AD69" s="181">
        <f t="shared" si="12"/>
        <v>181393.58</v>
      </c>
      <c r="AE69" s="181">
        <v>1.2</v>
      </c>
      <c r="AF69" s="181">
        <v>1.2</v>
      </c>
      <c r="AG69" s="101" t="str">
        <f t="shared" si="6"/>
        <v/>
      </c>
      <c r="AH69" s="191">
        <f>127+51.2</f>
        <v>178.2</v>
      </c>
      <c r="AI69" s="69">
        <f t="shared" si="7"/>
        <v>354.7</v>
      </c>
    </row>
    <row r="70" spans="1:35" s="69" customFormat="1" ht="26.1" customHeight="1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 t="s">
        <v>15</v>
      </c>
      <c r="I70" s="75">
        <v>578.86</v>
      </c>
      <c r="J70" s="75">
        <v>25875.040000000001</v>
      </c>
      <c r="K70" s="91" t="s">
        <v>199</v>
      </c>
      <c r="L70" s="73"/>
      <c r="M70" s="46">
        <v>0</v>
      </c>
      <c r="N70" s="46">
        <v>0</v>
      </c>
      <c r="O70" s="46">
        <v>0</v>
      </c>
      <c r="P70" s="98"/>
      <c r="Q70" s="23" t="s">
        <v>1441</v>
      </c>
      <c r="R70" s="24" t="s">
        <v>198</v>
      </c>
      <c r="S70" s="25" t="s">
        <v>30</v>
      </c>
      <c r="T70" s="26">
        <v>44.7</v>
      </c>
      <c r="U70" s="26">
        <v>44.7</v>
      </c>
      <c r="V70" s="26">
        <f t="shared" si="10"/>
        <v>578.86</v>
      </c>
      <c r="W70" s="26">
        <f t="shared" si="8"/>
        <v>0</v>
      </c>
      <c r="X70" s="26">
        <f t="shared" si="3"/>
        <v>0</v>
      </c>
      <c r="Y70" s="26">
        <f t="shared" si="11"/>
        <v>0</v>
      </c>
      <c r="Z70" s="26">
        <f t="shared" si="4"/>
        <v>0</v>
      </c>
      <c r="AA70" s="33" t="s">
        <v>15</v>
      </c>
      <c r="AB70" s="36" t="s">
        <v>16</v>
      </c>
      <c r="AC70" s="181">
        <f t="shared" si="5"/>
        <v>44.7</v>
      </c>
      <c r="AD70" s="181">
        <f t="shared" si="12"/>
        <v>25875.040000000001</v>
      </c>
      <c r="AE70" s="181">
        <v>1.2</v>
      </c>
      <c r="AF70" s="181">
        <v>1.2</v>
      </c>
      <c r="AG70" s="101" t="str">
        <f t="shared" si="6"/>
        <v/>
      </c>
      <c r="AH70" s="190">
        <v>0</v>
      </c>
      <c r="AI70" s="69">
        <f t="shared" si="7"/>
        <v>44.7</v>
      </c>
    </row>
    <row r="71" spans="1:35" s="69" customFormat="1" ht="26.1" customHeight="1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 t="s">
        <v>15</v>
      </c>
      <c r="I71" s="75">
        <v>723.06</v>
      </c>
      <c r="J71" s="75">
        <v>22414.86</v>
      </c>
      <c r="K71" s="91" t="s">
        <v>202</v>
      </c>
      <c r="L71" s="73"/>
      <c r="M71" s="46">
        <v>0</v>
      </c>
      <c r="N71" s="46">
        <v>0</v>
      </c>
      <c r="O71" s="46">
        <v>0</v>
      </c>
      <c r="P71" s="98"/>
      <c r="Q71" s="23" t="s">
        <v>1442</v>
      </c>
      <c r="R71" s="24" t="s">
        <v>201</v>
      </c>
      <c r="S71" s="25" t="s">
        <v>30</v>
      </c>
      <c r="T71" s="26">
        <v>31</v>
      </c>
      <c r="U71" s="26">
        <v>31</v>
      </c>
      <c r="V71" s="26">
        <f t="shared" si="10"/>
        <v>723.06</v>
      </c>
      <c r="W71" s="26">
        <f t="shared" si="8"/>
        <v>0</v>
      </c>
      <c r="X71" s="26">
        <f t="shared" si="3"/>
        <v>0</v>
      </c>
      <c r="Y71" s="26">
        <f t="shared" si="11"/>
        <v>0</v>
      </c>
      <c r="Z71" s="26">
        <f t="shared" si="4"/>
        <v>0</v>
      </c>
      <c r="AA71" s="33" t="s">
        <v>15</v>
      </c>
      <c r="AB71" s="36" t="s">
        <v>16</v>
      </c>
      <c r="AC71" s="181">
        <f t="shared" si="5"/>
        <v>31</v>
      </c>
      <c r="AD71" s="181">
        <f t="shared" si="12"/>
        <v>22414.86</v>
      </c>
      <c r="AE71" s="181">
        <v>1.2</v>
      </c>
      <c r="AF71" s="181">
        <v>1.2</v>
      </c>
      <c r="AG71" s="101" t="str">
        <f t="shared" si="6"/>
        <v/>
      </c>
      <c r="AH71" s="190">
        <v>0</v>
      </c>
      <c r="AI71" s="69">
        <f t="shared" si="7"/>
        <v>31</v>
      </c>
    </row>
    <row r="72" spans="1:35" s="69" customFormat="1" ht="26.1" customHeight="1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 t="s">
        <v>15</v>
      </c>
      <c r="I72" s="75">
        <v>829.15</v>
      </c>
      <c r="J72" s="75">
        <v>15007.62</v>
      </c>
      <c r="K72" s="91" t="s">
        <v>205</v>
      </c>
      <c r="L72" s="73"/>
      <c r="M72" s="46">
        <v>0</v>
      </c>
      <c r="N72" s="46">
        <v>0</v>
      </c>
      <c r="O72" s="46">
        <v>0</v>
      </c>
      <c r="P72" s="98"/>
      <c r="Q72" s="23" t="s">
        <v>1443</v>
      </c>
      <c r="R72" s="24" t="s">
        <v>204</v>
      </c>
      <c r="S72" s="25" t="s">
        <v>30</v>
      </c>
      <c r="T72" s="26">
        <v>18.100000000000001</v>
      </c>
      <c r="U72" s="26">
        <v>18.100000000000001</v>
      </c>
      <c r="V72" s="26">
        <f t="shared" si="10"/>
        <v>829.15</v>
      </c>
      <c r="W72" s="26">
        <f t="shared" si="8"/>
        <v>0</v>
      </c>
      <c r="X72" s="26">
        <f t="shared" si="3"/>
        <v>0</v>
      </c>
      <c r="Y72" s="26">
        <f t="shared" si="11"/>
        <v>0</v>
      </c>
      <c r="Z72" s="26">
        <f t="shared" si="4"/>
        <v>0</v>
      </c>
      <c r="AA72" s="33" t="s">
        <v>15</v>
      </c>
      <c r="AB72" s="36" t="s">
        <v>16</v>
      </c>
      <c r="AC72" s="181">
        <f t="shared" si="5"/>
        <v>18.100000000000001</v>
      </c>
      <c r="AD72" s="181">
        <f t="shared" si="12"/>
        <v>15007.62</v>
      </c>
      <c r="AE72" s="181">
        <v>1.2</v>
      </c>
      <c r="AF72" s="181">
        <v>1.2</v>
      </c>
      <c r="AG72" s="101" t="str">
        <f t="shared" si="6"/>
        <v/>
      </c>
      <c r="AH72" s="190">
        <v>0</v>
      </c>
      <c r="AI72" s="69">
        <f t="shared" si="7"/>
        <v>18.100000000000001</v>
      </c>
    </row>
    <row r="73" spans="1:35" s="69" customFormat="1" ht="26.1" customHeight="1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 t="s">
        <v>15</v>
      </c>
      <c r="I73" s="75">
        <v>443.93</v>
      </c>
      <c r="J73" s="75">
        <v>80084.97</v>
      </c>
      <c r="K73" s="91" t="s">
        <v>208</v>
      </c>
      <c r="L73" s="73"/>
      <c r="M73" s="46">
        <v>0</v>
      </c>
      <c r="N73" s="46">
        <v>0</v>
      </c>
      <c r="O73" s="46">
        <v>0</v>
      </c>
      <c r="P73" s="98"/>
      <c r="Q73" s="23" t="s">
        <v>1444</v>
      </c>
      <c r="R73" s="24" t="s">
        <v>207</v>
      </c>
      <c r="S73" s="25" t="s">
        <v>30</v>
      </c>
      <c r="T73" s="26">
        <v>180.4</v>
      </c>
      <c r="U73" s="26">
        <v>180.4</v>
      </c>
      <c r="V73" s="26">
        <f t="shared" si="10"/>
        <v>443.93</v>
      </c>
      <c r="W73" s="26">
        <f t="shared" si="8"/>
        <v>0</v>
      </c>
      <c r="X73" s="26">
        <f t="shared" si="3"/>
        <v>0</v>
      </c>
      <c r="Y73" s="26">
        <f t="shared" si="11"/>
        <v>0</v>
      </c>
      <c r="Z73" s="26">
        <f t="shared" si="4"/>
        <v>0</v>
      </c>
      <c r="AA73" s="33" t="s">
        <v>15</v>
      </c>
      <c r="AB73" s="36" t="s">
        <v>16</v>
      </c>
      <c r="AC73" s="181">
        <f t="shared" si="5"/>
        <v>180.4</v>
      </c>
      <c r="AD73" s="181">
        <f t="shared" si="12"/>
        <v>80084.97</v>
      </c>
      <c r="AE73" s="181">
        <v>1.2</v>
      </c>
      <c r="AF73" s="181">
        <v>1.2</v>
      </c>
      <c r="AG73" s="101" t="str">
        <f t="shared" si="6"/>
        <v/>
      </c>
      <c r="AH73" s="190">
        <v>0</v>
      </c>
      <c r="AI73" s="69">
        <f t="shared" si="7"/>
        <v>180.4</v>
      </c>
    </row>
    <row r="74" spans="1:35" s="69" customFormat="1" ht="26.1" customHeight="1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 t="s">
        <v>15</v>
      </c>
      <c r="I74" s="75">
        <v>578.86</v>
      </c>
      <c r="J74" s="75">
        <v>14818.82</v>
      </c>
      <c r="K74" s="91" t="s">
        <v>211</v>
      </c>
      <c r="L74" s="73"/>
      <c r="M74" s="46">
        <v>0</v>
      </c>
      <c r="N74" s="46">
        <v>0</v>
      </c>
      <c r="O74" s="46">
        <v>0</v>
      </c>
      <c r="P74" s="98"/>
      <c r="Q74" s="23" t="s">
        <v>1408</v>
      </c>
      <c r="R74" s="24" t="s">
        <v>210</v>
      </c>
      <c r="S74" s="25" t="s">
        <v>30</v>
      </c>
      <c r="T74" s="26">
        <v>25.6</v>
      </c>
      <c r="U74" s="26">
        <v>25.6</v>
      </c>
      <c r="V74" s="26">
        <f t="shared" si="10"/>
        <v>578.86</v>
      </c>
      <c r="W74" s="26">
        <f t="shared" si="8"/>
        <v>0</v>
      </c>
      <c r="X74" s="26">
        <f t="shared" si="3"/>
        <v>0</v>
      </c>
      <c r="Y74" s="26">
        <f t="shared" si="11"/>
        <v>0</v>
      </c>
      <c r="Z74" s="26">
        <f t="shared" si="4"/>
        <v>0</v>
      </c>
      <c r="AA74" s="33" t="s">
        <v>15</v>
      </c>
      <c r="AB74" s="36" t="s">
        <v>16</v>
      </c>
      <c r="AC74" s="181">
        <f t="shared" si="5"/>
        <v>25.6</v>
      </c>
      <c r="AD74" s="181">
        <f t="shared" si="12"/>
        <v>14818.82</v>
      </c>
      <c r="AE74" s="181">
        <v>1.2</v>
      </c>
      <c r="AF74" s="181">
        <v>1.2</v>
      </c>
      <c r="AG74" s="101" t="str">
        <f t="shared" si="6"/>
        <v/>
      </c>
      <c r="AH74" s="190">
        <v>0</v>
      </c>
      <c r="AI74" s="69">
        <f t="shared" si="7"/>
        <v>25.6</v>
      </c>
    </row>
    <row r="75" spans="1:35" s="69" customFormat="1" ht="26.1" customHeight="1" x14ac:dyDescent="0.3">
      <c r="A75" s="55" t="s">
        <v>212</v>
      </c>
      <c r="B75" s="215" t="s">
        <v>213</v>
      </c>
      <c r="C75" s="54" t="s">
        <v>81</v>
      </c>
      <c r="D75" s="75">
        <v>7</v>
      </c>
      <c r="E75" s="75"/>
      <c r="F75" s="75"/>
      <c r="G75" s="75"/>
      <c r="H75" s="75" t="s">
        <v>15</v>
      </c>
      <c r="I75" s="75">
        <v>17307.09</v>
      </c>
      <c r="J75" s="75">
        <v>121149.63</v>
      </c>
      <c r="K75" s="91" t="s">
        <v>214</v>
      </c>
      <c r="L75" s="73"/>
      <c r="M75" s="46">
        <v>0</v>
      </c>
      <c r="N75" s="46">
        <v>0</v>
      </c>
      <c r="O75" s="46">
        <v>0</v>
      </c>
      <c r="P75" s="98"/>
      <c r="Q75" s="23" t="s">
        <v>1409</v>
      </c>
      <c r="R75" s="24" t="s">
        <v>213</v>
      </c>
      <c r="S75" s="25" t="s">
        <v>81</v>
      </c>
      <c r="T75" s="26">
        <v>7</v>
      </c>
      <c r="U75" s="26">
        <v>7</v>
      </c>
      <c r="V75" s="26">
        <f t="shared" si="10"/>
        <v>17307.09</v>
      </c>
      <c r="W75" s="243">
        <f t="shared" si="8"/>
        <v>3</v>
      </c>
      <c r="X75" s="26">
        <f t="shared" ref="X75:X132" si="13">W75+M75</f>
        <v>3</v>
      </c>
      <c r="Y75" s="26">
        <f t="shared" si="11"/>
        <v>51921.27</v>
      </c>
      <c r="Z75" s="26">
        <f t="shared" ref="Z75:Z138" si="14">ROUND(V75*X75,2)</f>
        <v>51921.27</v>
      </c>
      <c r="AA75" s="33" t="s">
        <v>15</v>
      </c>
      <c r="AB75" s="36" t="s">
        <v>16</v>
      </c>
      <c r="AC75" s="181">
        <f t="shared" ref="AC75:AC138" si="15">IF(U75="",T75,U75)</f>
        <v>7</v>
      </c>
      <c r="AD75" s="181">
        <f t="shared" si="12"/>
        <v>121149.63</v>
      </c>
      <c r="AE75" s="181">
        <v>1.2</v>
      </c>
      <c r="AF75" s="181">
        <v>1.2</v>
      </c>
      <c r="AG75" s="101" t="str">
        <f t="shared" ref="AG75:AG138" si="16">IF(X75&gt;AI75,"超估","")</f>
        <v/>
      </c>
      <c r="AH75" s="191">
        <f>3</f>
        <v>3</v>
      </c>
      <c r="AI75" s="69">
        <f t="shared" ref="AI75:AI138" si="17">IF(G75=0,IF(F75=0,IF(E75=0,D75,E75),F75),G75)</f>
        <v>7</v>
      </c>
    </row>
    <row r="76" spans="1:35" s="69" customFormat="1" ht="26.1" customHeight="1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 t="s">
        <v>15</v>
      </c>
      <c r="I76" s="75">
        <v>443.93</v>
      </c>
      <c r="J76" s="75">
        <v>3462.65</v>
      </c>
      <c r="K76" s="91" t="s">
        <v>217</v>
      </c>
      <c r="L76" s="73"/>
      <c r="M76" s="46">
        <v>0</v>
      </c>
      <c r="N76" s="46">
        <v>0</v>
      </c>
      <c r="O76" s="46">
        <v>0</v>
      </c>
      <c r="P76" s="98"/>
      <c r="Q76" s="23" t="s">
        <v>1410</v>
      </c>
      <c r="R76" s="24" t="s">
        <v>216</v>
      </c>
      <c r="S76" s="25" t="s">
        <v>30</v>
      </c>
      <c r="T76" s="26">
        <v>7.8</v>
      </c>
      <c r="U76" s="26">
        <v>7.8</v>
      </c>
      <c r="V76" s="26">
        <f t="shared" si="10"/>
        <v>443.93</v>
      </c>
      <c r="W76" s="26">
        <f t="shared" ref="W76:W132" si="18">AH76-M76</f>
        <v>0</v>
      </c>
      <c r="X76" s="26">
        <f t="shared" si="13"/>
        <v>0</v>
      </c>
      <c r="Y76" s="26">
        <f t="shared" si="11"/>
        <v>0</v>
      </c>
      <c r="Z76" s="26">
        <f t="shared" si="14"/>
        <v>0</v>
      </c>
      <c r="AA76" s="33" t="s">
        <v>15</v>
      </c>
      <c r="AB76" s="36" t="s">
        <v>16</v>
      </c>
      <c r="AC76" s="181">
        <f t="shared" si="15"/>
        <v>7.8</v>
      </c>
      <c r="AD76" s="181">
        <f t="shared" si="12"/>
        <v>3462.65</v>
      </c>
      <c r="AE76" s="181">
        <v>1.2</v>
      </c>
      <c r="AF76" s="181">
        <v>1.2</v>
      </c>
      <c r="AG76" s="101" t="str">
        <f t="shared" si="16"/>
        <v/>
      </c>
      <c r="AH76" s="190">
        <v>0</v>
      </c>
      <c r="AI76" s="69">
        <f t="shared" si="17"/>
        <v>7.8</v>
      </c>
    </row>
    <row r="77" spans="1:35" s="69" customFormat="1" ht="26.1" customHeight="1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 t="s">
        <v>15</v>
      </c>
      <c r="I77" s="75">
        <v>13705.7</v>
      </c>
      <c r="J77" s="75">
        <v>27411.4</v>
      </c>
      <c r="K77" s="91" t="s">
        <v>220</v>
      </c>
      <c r="L77" s="73"/>
      <c r="M77" s="46">
        <v>0</v>
      </c>
      <c r="N77" s="46">
        <v>0</v>
      </c>
      <c r="O77" s="46">
        <v>0</v>
      </c>
      <c r="P77" s="98"/>
      <c r="Q77" s="23" t="s">
        <v>1411</v>
      </c>
      <c r="R77" s="24" t="s">
        <v>219</v>
      </c>
      <c r="S77" s="25" t="s">
        <v>81</v>
      </c>
      <c r="T77" s="26">
        <v>2</v>
      </c>
      <c r="U77" s="26">
        <v>2</v>
      </c>
      <c r="V77" s="26">
        <f t="shared" si="10"/>
        <v>13705.7</v>
      </c>
      <c r="W77" s="26">
        <f t="shared" si="18"/>
        <v>0</v>
      </c>
      <c r="X77" s="26">
        <f t="shared" si="13"/>
        <v>0</v>
      </c>
      <c r="Y77" s="26">
        <f t="shared" si="11"/>
        <v>0</v>
      </c>
      <c r="Z77" s="26">
        <f t="shared" si="14"/>
        <v>0</v>
      </c>
      <c r="AA77" s="33" t="s">
        <v>15</v>
      </c>
      <c r="AB77" s="36" t="s">
        <v>16</v>
      </c>
      <c r="AC77" s="181">
        <f t="shared" si="15"/>
        <v>2</v>
      </c>
      <c r="AD77" s="181">
        <f t="shared" si="12"/>
        <v>27411.4</v>
      </c>
      <c r="AE77" s="181">
        <v>1.2</v>
      </c>
      <c r="AF77" s="181">
        <v>1.2</v>
      </c>
      <c r="AG77" s="101" t="str">
        <f t="shared" si="16"/>
        <v/>
      </c>
      <c r="AH77" s="190">
        <v>0</v>
      </c>
      <c r="AI77" s="69">
        <f t="shared" si="17"/>
        <v>2</v>
      </c>
    </row>
    <row r="78" spans="1:35" s="69" customFormat="1" ht="26.1" customHeight="1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 t="s">
        <v>15</v>
      </c>
      <c r="I78" s="75">
        <v>25126.95</v>
      </c>
      <c r="J78" s="75">
        <v>75380.850000000006</v>
      </c>
      <c r="K78" s="91" t="s">
        <v>223</v>
      </c>
      <c r="L78" s="73"/>
      <c r="M78" s="46">
        <v>0</v>
      </c>
      <c r="N78" s="46">
        <v>0</v>
      </c>
      <c r="O78" s="46">
        <v>0</v>
      </c>
      <c r="P78" s="98"/>
      <c r="Q78" s="23" t="s">
        <v>1445</v>
      </c>
      <c r="R78" s="24" t="s">
        <v>222</v>
      </c>
      <c r="S78" s="25" t="s">
        <v>81</v>
      </c>
      <c r="T78" s="26">
        <v>3</v>
      </c>
      <c r="U78" s="26">
        <v>3</v>
      </c>
      <c r="V78" s="26">
        <f t="shared" si="10"/>
        <v>25126.95</v>
      </c>
      <c r="W78" s="26">
        <f t="shared" si="18"/>
        <v>0</v>
      </c>
      <c r="X78" s="26">
        <f t="shared" si="13"/>
        <v>0</v>
      </c>
      <c r="Y78" s="26">
        <f t="shared" si="11"/>
        <v>0</v>
      </c>
      <c r="Z78" s="26">
        <f t="shared" si="14"/>
        <v>0</v>
      </c>
      <c r="AA78" s="33" t="s">
        <v>15</v>
      </c>
      <c r="AB78" s="36" t="s">
        <v>16</v>
      </c>
      <c r="AC78" s="181">
        <f t="shared" si="15"/>
        <v>3</v>
      </c>
      <c r="AD78" s="181">
        <f t="shared" si="12"/>
        <v>75380.850000000006</v>
      </c>
      <c r="AE78" s="181">
        <v>1.2</v>
      </c>
      <c r="AF78" s="181">
        <v>1.2</v>
      </c>
      <c r="AG78" s="101" t="str">
        <f t="shared" si="16"/>
        <v/>
      </c>
      <c r="AH78" s="190">
        <v>0</v>
      </c>
      <c r="AI78" s="69">
        <f t="shared" si="17"/>
        <v>3</v>
      </c>
    </row>
    <row r="79" spans="1:35" s="69" customFormat="1" ht="26.1" customHeight="1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 t="s">
        <v>15</v>
      </c>
      <c r="I79" s="75">
        <v>2901.57</v>
      </c>
      <c r="J79" s="75">
        <v>52228.26</v>
      </c>
      <c r="K79" s="91" t="s">
        <v>226</v>
      </c>
      <c r="L79" s="73"/>
      <c r="M79" s="46">
        <v>0</v>
      </c>
      <c r="N79" s="46">
        <v>0</v>
      </c>
      <c r="O79" s="46">
        <v>0</v>
      </c>
      <c r="P79" s="98"/>
      <c r="Q79" s="23" t="s">
        <v>1383</v>
      </c>
      <c r="R79" s="24" t="s">
        <v>225</v>
      </c>
      <c r="S79" s="25" t="s">
        <v>30</v>
      </c>
      <c r="T79" s="26">
        <v>18</v>
      </c>
      <c r="U79" s="26">
        <v>18</v>
      </c>
      <c r="V79" s="26">
        <f t="shared" si="10"/>
        <v>2901.57</v>
      </c>
      <c r="W79" s="26">
        <f t="shared" si="18"/>
        <v>0</v>
      </c>
      <c r="X79" s="26">
        <f t="shared" si="13"/>
        <v>0</v>
      </c>
      <c r="Y79" s="26">
        <f t="shared" si="11"/>
        <v>0</v>
      </c>
      <c r="Z79" s="26">
        <f t="shared" si="14"/>
        <v>0</v>
      </c>
      <c r="AA79" s="33" t="s">
        <v>15</v>
      </c>
      <c r="AB79" s="36" t="s">
        <v>16</v>
      </c>
      <c r="AC79" s="181">
        <f t="shared" si="15"/>
        <v>18</v>
      </c>
      <c r="AD79" s="181">
        <f t="shared" si="12"/>
        <v>52228.26</v>
      </c>
      <c r="AE79" s="181">
        <v>1.2</v>
      </c>
      <c r="AF79" s="181">
        <v>1.2</v>
      </c>
      <c r="AG79" s="101" t="str">
        <f t="shared" si="16"/>
        <v/>
      </c>
      <c r="AH79" s="190">
        <v>0</v>
      </c>
      <c r="AI79" s="69">
        <f t="shared" si="17"/>
        <v>18</v>
      </c>
    </row>
    <row r="80" spans="1:35" s="69" customFormat="1" ht="26.1" customHeight="1" x14ac:dyDescent="0.3">
      <c r="A80" s="130" t="s">
        <v>227</v>
      </c>
      <c r="B80" s="131" t="s">
        <v>228</v>
      </c>
      <c r="C80" s="132" t="s">
        <v>30</v>
      </c>
      <c r="D80" s="133">
        <v>17.100000000000001</v>
      </c>
      <c r="E80" s="75"/>
      <c r="F80" s="75"/>
      <c r="G80" s="75"/>
      <c r="H80" s="75" t="s">
        <v>15</v>
      </c>
      <c r="I80" s="75">
        <v>1762.96</v>
      </c>
      <c r="J80" s="75">
        <v>30146.62</v>
      </c>
      <c r="K80" s="91" t="s">
        <v>229</v>
      </c>
      <c r="L80" s="73"/>
      <c r="M80" s="46">
        <v>17.100000000000001</v>
      </c>
      <c r="N80" s="46">
        <v>0</v>
      </c>
      <c r="O80" s="46">
        <v>30146.62</v>
      </c>
      <c r="P80" s="98"/>
      <c r="Q80" s="23" t="s">
        <v>1384</v>
      </c>
      <c r="R80" s="24" t="s">
        <v>228</v>
      </c>
      <c r="S80" s="25" t="s">
        <v>30</v>
      </c>
      <c r="T80" s="26">
        <v>17.100000000000001</v>
      </c>
      <c r="U80" s="26">
        <v>17.100000000000001</v>
      </c>
      <c r="V80" s="26">
        <f t="shared" si="10"/>
        <v>1762.96</v>
      </c>
      <c r="W80" s="127">
        <f t="shared" si="18"/>
        <v>0</v>
      </c>
      <c r="X80" s="127">
        <f t="shared" si="13"/>
        <v>17.100000000000001</v>
      </c>
      <c r="Y80" s="127">
        <f t="shared" si="11"/>
        <v>0</v>
      </c>
      <c r="Z80" s="127">
        <f t="shared" si="14"/>
        <v>30146.62</v>
      </c>
      <c r="AA80" s="33" t="s">
        <v>15</v>
      </c>
      <c r="AB80" s="36" t="s">
        <v>16</v>
      </c>
      <c r="AC80" s="181">
        <f t="shared" si="15"/>
        <v>17.100000000000001</v>
      </c>
      <c r="AD80" s="181">
        <f t="shared" si="12"/>
        <v>30146.62</v>
      </c>
      <c r="AE80" s="181">
        <v>1.2</v>
      </c>
      <c r="AF80" s="181">
        <v>1.2</v>
      </c>
      <c r="AG80" s="101" t="str">
        <f t="shared" si="16"/>
        <v/>
      </c>
      <c r="AH80" s="191">
        <v>17.100000000000001</v>
      </c>
      <c r="AI80" s="69">
        <f t="shared" si="17"/>
        <v>17.100000000000001</v>
      </c>
    </row>
    <row r="81" spans="1:35" s="69" customFormat="1" ht="26.1" customHeight="1" x14ac:dyDescent="0.3">
      <c r="A81" s="130" t="s">
        <v>230</v>
      </c>
      <c r="B81" s="131" t="s">
        <v>231</v>
      </c>
      <c r="C81" s="132" t="s">
        <v>30</v>
      </c>
      <c r="D81" s="133">
        <v>77.400000000000006</v>
      </c>
      <c r="E81" s="75"/>
      <c r="F81" s="75"/>
      <c r="G81" s="75"/>
      <c r="H81" s="75" t="s">
        <v>15</v>
      </c>
      <c r="I81" s="75">
        <v>1224.3</v>
      </c>
      <c r="J81" s="75">
        <v>94760.82</v>
      </c>
      <c r="K81" s="91" t="s">
        <v>232</v>
      </c>
      <c r="L81" s="73"/>
      <c r="M81" s="46">
        <v>56</v>
      </c>
      <c r="N81" s="46">
        <v>0</v>
      </c>
      <c r="O81" s="46">
        <v>68560.800000000003</v>
      </c>
      <c r="P81" s="98"/>
      <c r="Q81" s="23" t="s">
        <v>1385</v>
      </c>
      <c r="R81" s="24" t="s">
        <v>231</v>
      </c>
      <c r="S81" s="25" t="s">
        <v>30</v>
      </c>
      <c r="T81" s="26">
        <v>77.400000000000006</v>
      </c>
      <c r="U81" s="26">
        <v>77.400000000000006</v>
      </c>
      <c r="V81" s="26">
        <f t="shared" si="10"/>
        <v>1224.3</v>
      </c>
      <c r="W81" s="127">
        <f t="shared" si="18"/>
        <v>0</v>
      </c>
      <c r="X81" s="127">
        <f t="shared" si="13"/>
        <v>56</v>
      </c>
      <c r="Y81" s="127">
        <f t="shared" si="11"/>
        <v>0</v>
      </c>
      <c r="Z81" s="127">
        <f t="shared" si="14"/>
        <v>68560.800000000003</v>
      </c>
      <c r="AA81" s="33" t="s">
        <v>15</v>
      </c>
      <c r="AB81" s="36" t="s">
        <v>16</v>
      </c>
      <c r="AC81" s="181">
        <f t="shared" si="15"/>
        <v>77.400000000000006</v>
      </c>
      <c r="AD81" s="181">
        <f t="shared" si="12"/>
        <v>94760.82</v>
      </c>
      <c r="AE81" s="181">
        <v>1.2</v>
      </c>
      <c r="AF81" s="181">
        <v>1.2</v>
      </c>
      <c r="AG81" s="101" t="str">
        <f t="shared" si="16"/>
        <v/>
      </c>
      <c r="AH81" s="191">
        <v>56</v>
      </c>
      <c r="AI81" s="69">
        <f t="shared" si="17"/>
        <v>77.400000000000006</v>
      </c>
    </row>
    <row r="82" spans="1:35" s="69" customFormat="1" ht="26.1" customHeight="1" x14ac:dyDescent="0.3">
      <c r="A82" s="55" t="s">
        <v>233</v>
      </c>
      <c r="B82" s="215" t="s">
        <v>234</v>
      </c>
      <c r="C82" s="54" t="s">
        <v>30</v>
      </c>
      <c r="D82" s="75">
        <v>32.5</v>
      </c>
      <c r="E82" s="75"/>
      <c r="F82" s="75"/>
      <c r="G82" s="75"/>
      <c r="H82" s="75" t="s">
        <v>15</v>
      </c>
      <c r="I82" s="75">
        <v>1148.7</v>
      </c>
      <c r="J82" s="75">
        <v>37332.75</v>
      </c>
      <c r="K82" s="91" t="s">
        <v>235</v>
      </c>
      <c r="L82" s="73"/>
      <c r="M82" s="46">
        <v>0</v>
      </c>
      <c r="N82" s="46">
        <v>0</v>
      </c>
      <c r="O82" s="46">
        <v>0</v>
      </c>
      <c r="P82" s="98"/>
      <c r="Q82" s="23" t="s">
        <v>1446</v>
      </c>
      <c r="R82" s="24" t="s">
        <v>234</v>
      </c>
      <c r="S82" s="25" t="s">
        <v>30</v>
      </c>
      <c r="T82" s="26">
        <v>32.5</v>
      </c>
      <c r="U82" s="26">
        <v>32.5</v>
      </c>
      <c r="V82" s="26">
        <f t="shared" si="10"/>
        <v>1148.7</v>
      </c>
      <c r="W82" s="26">
        <f t="shared" si="18"/>
        <v>0</v>
      </c>
      <c r="X82" s="26">
        <f t="shared" si="13"/>
        <v>0</v>
      </c>
      <c r="Y82" s="26">
        <f t="shared" si="11"/>
        <v>0</v>
      </c>
      <c r="Z82" s="26">
        <f t="shared" si="14"/>
        <v>0</v>
      </c>
      <c r="AA82" s="33" t="s">
        <v>15</v>
      </c>
      <c r="AB82" s="36" t="s">
        <v>16</v>
      </c>
      <c r="AC82" s="181">
        <f t="shared" si="15"/>
        <v>32.5</v>
      </c>
      <c r="AD82" s="181">
        <f t="shared" si="12"/>
        <v>37332.75</v>
      </c>
      <c r="AE82" s="181">
        <v>1.2</v>
      </c>
      <c r="AF82" s="181">
        <v>1.2</v>
      </c>
      <c r="AG82" s="101" t="str">
        <f t="shared" si="16"/>
        <v/>
      </c>
      <c r="AH82" s="190">
        <v>0</v>
      </c>
      <c r="AI82" s="69">
        <f t="shared" si="17"/>
        <v>32.5</v>
      </c>
    </row>
    <row r="83" spans="1:35" s="69" customFormat="1" ht="26.1" customHeight="1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 t="s">
        <v>15</v>
      </c>
      <c r="I83" s="75">
        <v>19780.169999999998</v>
      </c>
      <c r="J83" s="75">
        <v>19780.169999999998</v>
      </c>
      <c r="K83" s="91" t="s">
        <v>238</v>
      </c>
      <c r="L83" s="73"/>
      <c r="M83" s="46">
        <v>0</v>
      </c>
      <c r="N83" s="46">
        <v>0</v>
      </c>
      <c r="O83" s="46">
        <v>0</v>
      </c>
      <c r="P83" s="98"/>
      <c r="Q83" s="23" t="s">
        <v>1447</v>
      </c>
      <c r="R83" s="24" t="s">
        <v>237</v>
      </c>
      <c r="S83" s="25" t="s">
        <v>81</v>
      </c>
      <c r="T83" s="26">
        <v>1</v>
      </c>
      <c r="U83" s="26">
        <v>1</v>
      </c>
      <c r="V83" s="26">
        <f t="shared" si="10"/>
        <v>19780.169999999998</v>
      </c>
      <c r="W83" s="26">
        <f t="shared" si="18"/>
        <v>0</v>
      </c>
      <c r="X83" s="26">
        <f t="shared" si="13"/>
        <v>0</v>
      </c>
      <c r="Y83" s="26">
        <f t="shared" si="11"/>
        <v>0</v>
      </c>
      <c r="Z83" s="26">
        <f t="shared" si="14"/>
        <v>0</v>
      </c>
      <c r="AA83" s="33" t="s">
        <v>15</v>
      </c>
      <c r="AB83" s="36" t="s">
        <v>16</v>
      </c>
      <c r="AC83" s="181">
        <f t="shared" si="15"/>
        <v>1</v>
      </c>
      <c r="AD83" s="181">
        <f t="shared" si="12"/>
        <v>19780.169999999998</v>
      </c>
      <c r="AE83" s="181">
        <v>1.2</v>
      </c>
      <c r="AF83" s="181">
        <v>1.2</v>
      </c>
      <c r="AG83" s="101" t="str">
        <f t="shared" si="16"/>
        <v/>
      </c>
      <c r="AH83" s="190">
        <v>0</v>
      </c>
      <c r="AI83" s="69">
        <f t="shared" si="17"/>
        <v>1</v>
      </c>
    </row>
    <row r="84" spans="1:35" s="69" customFormat="1" ht="26.1" customHeight="1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 t="s">
        <v>15</v>
      </c>
      <c r="I84" s="75">
        <v>1218.03</v>
      </c>
      <c r="J84" s="75">
        <v>1218.03</v>
      </c>
      <c r="K84" s="91" t="s">
        <v>241</v>
      </c>
      <c r="L84" s="73"/>
      <c r="M84" s="46">
        <v>0</v>
      </c>
      <c r="N84" s="46">
        <v>0</v>
      </c>
      <c r="O84" s="46">
        <v>0</v>
      </c>
      <c r="P84" s="98"/>
      <c r="Q84" s="23" t="s">
        <v>1448</v>
      </c>
      <c r="R84" s="24" t="s">
        <v>240</v>
      </c>
      <c r="S84" s="25" t="s">
        <v>81</v>
      </c>
      <c r="T84" s="26">
        <v>1</v>
      </c>
      <c r="U84" s="26">
        <v>1</v>
      </c>
      <c r="V84" s="26">
        <f t="shared" si="10"/>
        <v>1218.03</v>
      </c>
      <c r="W84" s="26">
        <f t="shared" si="18"/>
        <v>0</v>
      </c>
      <c r="X84" s="26">
        <f t="shared" si="13"/>
        <v>0</v>
      </c>
      <c r="Y84" s="26">
        <f t="shared" si="11"/>
        <v>0</v>
      </c>
      <c r="Z84" s="26">
        <f t="shared" si="14"/>
        <v>0</v>
      </c>
      <c r="AA84" s="33" t="s">
        <v>15</v>
      </c>
      <c r="AB84" s="36" t="s">
        <v>16</v>
      </c>
      <c r="AC84" s="181">
        <f t="shared" si="15"/>
        <v>1</v>
      </c>
      <c r="AD84" s="181">
        <f t="shared" si="12"/>
        <v>1218.03</v>
      </c>
      <c r="AE84" s="181">
        <v>1.2</v>
      </c>
      <c r="AF84" s="181">
        <v>1.2</v>
      </c>
      <c r="AG84" s="101" t="str">
        <f t="shared" si="16"/>
        <v/>
      </c>
      <c r="AH84" s="190">
        <v>0</v>
      </c>
      <c r="AI84" s="69">
        <f t="shared" si="17"/>
        <v>1</v>
      </c>
    </row>
    <row r="85" spans="1:35" s="69" customFormat="1" ht="26.1" customHeight="1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 t="s">
        <v>15</v>
      </c>
      <c r="I85" s="75">
        <v>3110.7</v>
      </c>
      <c r="J85" s="75">
        <v>3110.7</v>
      </c>
      <c r="K85" s="91" t="s">
        <v>244</v>
      </c>
      <c r="L85" s="73"/>
      <c r="M85" s="46">
        <v>0</v>
      </c>
      <c r="N85" s="46">
        <v>0</v>
      </c>
      <c r="O85" s="46">
        <v>0</v>
      </c>
      <c r="P85" s="98"/>
      <c r="Q85" s="23" t="s">
        <v>1449</v>
      </c>
      <c r="R85" s="24" t="s">
        <v>243</v>
      </c>
      <c r="S85" s="25" t="s">
        <v>81</v>
      </c>
      <c r="T85" s="26">
        <v>1</v>
      </c>
      <c r="U85" s="26">
        <v>1</v>
      </c>
      <c r="V85" s="26">
        <f t="shared" si="10"/>
        <v>3110.7</v>
      </c>
      <c r="W85" s="26">
        <f t="shared" si="18"/>
        <v>0</v>
      </c>
      <c r="X85" s="26">
        <f t="shared" si="13"/>
        <v>0</v>
      </c>
      <c r="Y85" s="26">
        <f t="shared" si="11"/>
        <v>0</v>
      </c>
      <c r="Z85" s="26">
        <f t="shared" si="14"/>
        <v>0</v>
      </c>
      <c r="AA85" s="33" t="s">
        <v>15</v>
      </c>
      <c r="AB85" s="36" t="s">
        <v>16</v>
      </c>
      <c r="AC85" s="181">
        <f t="shared" si="15"/>
        <v>1</v>
      </c>
      <c r="AD85" s="181">
        <f t="shared" si="12"/>
        <v>3110.7</v>
      </c>
      <c r="AE85" s="181">
        <v>1.2</v>
      </c>
      <c r="AF85" s="181">
        <v>1.2</v>
      </c>
      <c r="AG85" s="101" t="str">
        <f t="shared" si="16"/>
        <v/>
      </c>
      <c r="AH85" s="190">
        <v>0</v>
      </c>
      <c r="AI85" s="69">
        <f t="shared" si="17"/>
        <v>1</v>
      </c>
    </row>
    <row r="86" spans="1:35" s="69" customFormat="1" ht="26.1" customHeight="1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 t="s">
        <v>15</v>
      </c>
      <c r="I86" s="75">
        <v>1251.0999999999999</v>
      </c>
      <c r="J86" s="75">
        <v>1251.0999999999999</v>
      </c>
      <c r="K86" s="91" t="s">
        <v>247</v>
      </c>
      <c r="L86" s="73"/>
      <c r="M86" s="46">
        <v>0</v>
      </c>
      <c r="N86" s="46">
        <v>0</v>
      </c>
      <c r="O86" s="46">
        <v>0</v>
      </c>
      <c r="P86" s="98"/>
      <c r="Q86" s="23" t="s">
        <v>1450</v>
      </c>
      <c r="R86" s="24" t="s">
        <v>246</v>
      </c>
      <c r="S86" s="25" t="s">
        <v>81</v>
      </c>
      <c r="T86" s="26">
        <v>1</v>
      </c>
      <c r="U86" s="26">
        <v>1</v>
      </c>
      <c r="V86" s="26">
        <f t="shared" si="10"/>
        <v>1251.0999999999999</v>
      </c>
      <c r="W86" s="26">
        <f t="shared" si="18"/>
        <v>0</v>
      </c>
      <c r="X86" s="26">
        <f t="shared" si="13"/>
        <v>0</v>
      </c>
      <c r="Y86" s="26">
        <f t="shared" si="11"/>
        <v>0</v>
      </c>
      <c r="Z86" s="26">
        <f t="shared" si="14"/>
        <v>0</v>
      </c>
      <c r="AA86" s="33" t="s">
        <v>15</v>
      </c>
      <c r="AB86" s="36" t="s">
        <v>16</v>
      </c>
      <c r="AC86" s="181">
        <f t="shared" si="15"/>
        <v>1</v>
      </c>
      <c r="AD86" s="181">
        <f t="shared" si="12"/>
        <v>1251.0999999999999</v>
      </c>
      <c r="AE86" s="181">
        <v>1.2</v>
      </c>
      <c r="AF86" s="181">
        <v>1.2</v>
      </c>
      <c r="AG86" s="101" t="str">
        <f t="shared" si="16"/>
        <v/>
      </c>
      <c r="AH86" s="190">
        <v>0</v>
      </c>
      <c r="AI86" s="69">
        <f t="shared" si="17"/>
        <v>1</v>
      </c>
    </row>
    <row r="87" spans="1:35" s="69" customFormat="1" ht="26.1" customHeight="1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 t="s">
        <v>15</v>
      </c>
      <c r="I87" s="75">
        <v>9500.58</v>
      </c>
      <c r="J87" s="75">
        <v>9500.58</v>
      </c>
      <c r="K87" s="91" t="s">
        <v>250</v>
      </c>
      <c r="L87" s="73"/>
      <c r="M87" s="46">
        <v>0</v>
      </c>
      <c r="N87" s="46">
        <v>0</v>
      </c>
      <c r="O87" s="46">
        <v>0</v>
      </c>
      <c r="P87" s="98"/>
      <c r="Q87" s="23" t="s">
        <v>1451</v>
      </c>
      <c r="R87" s="24" t="s">
        <v>249</v>
      </c>
      <c r="S87" s="25" t="s">
        <v>81</v>
      </c>
      <c r="T87" s="26">
        <v>1</v>
      </c>
      <c r="U87" s="26">
        <v>1</v>
      </c>
      <c r="V87" s="26">
        <f t="shared" si="10"/>
        <v>9500.58</v>
      </c>
      <c r="W87" s="26">
        <f t="shared" si="18"/>
        <v>0</v>
      </c>
      <c r="X87" s="26">
        <f t="shared" si="13"/>
        <v>0</v>
      </c>
      <c r="Y87" s="26">
        <f t="shared" si="11"/>
        <v>0</v>
      </c>
      <c r="Z87" s="26">
        <f t="shared" si="14"/>
        <v>0</v>
      </c>
      <c r="AA87" s="33" t="s">
        <v>15</v>
      </c>
      <c r="AB87" s="36" t="s">
        <v>16</v>
      </c>
      <c r="AC87" s="181">
        <f t="shared" si="15"/>
        <v>1</v>
      </c>
      <c r="AD87" s="181">
        <f t="shared" si="12"/>
        <v>9500.58</v>
      </c>
      <c r="AE87" s="181">
        <v>1.2</v>
      </c>
      <c r="AF87" s="181">
        <v>1.2</v>
      </c>
      <c r="AG87" s="101" t="str">
        <f t="shared" si="16"/>
        <v/>
      </c>
      <c r="AH87" s="190">
        <v>0</v>
      </c>
      <c r="AI87" s="69">
        <f t="shared" si="17"/>
        <v>1</v>
      </c>
    </row>
    <row r="88" spans="1:35" s="69" customFormat="1" ht="26.1" customHeight="1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 t="s">
        <v>15</v>
      </c>
      <c r="I88" s="75">
        <v>3871.43</v>
      </c>
      <c r="J88" s="75">
        <v>3871.43</v>
      </c>
      <c r="K88" s="91" t="s">
        <v>253</v>
      </c>
      <c r="L88" s="73"/>
      <c r="M88" s="46">
        <v>0</v>
      </c>
      <c r="N88" s="46">
        <v>0</v>
      </c>
      <c r="O88" s="46">
        <v>0</v>
      </c>
      <c r="P88" s="98"/>
      <c r="Q88" s="23" t="s">
        <v>1452</v>
      </c>
      <c r="R88" s="24" t="s">
        <v>252</v>
      </c>
      <c r="S88" s="25" t="s">
        <v>81</v>
      </c>
      <c r="T88" s="26">
        <v>1</v>
      </c>
      <c r="U88" s="26">
        <v>1</v>
      </c>
      <c r="V88" s="26">
        <f t="shared" si="10"/>
        <v>3871.43</v>
      </c>
      <c r="W88" s="26">
        <f t="shared" si="18"/>
        <v>0</v>
      </c>
      <c r="X88" s="26">
        <f t="shared" si="13"/>
        <v>0</v>
      </c>
      <c r="Y88" s="26">
        <f t="shared" si="11"/>
        <v>0</v>
      </c>
      <c r="Z88" s="26">
        <f t="shared" si="14"/>
        <v>0</v>
      </c>
      <c r="AA88" s="33" t="s">
        <v>15</v>
      </c>
      <c r="AB88" s="36" t="s">
        <v>16</v>
      </c>
      <c r="AC88" s="181">
        <f t="shared" si="15"/>
        <v>1</v>
      </c>
      <c r="AD88" s="181">
        <f t="shared" si="12"/>
        <v>3871.43</v>
      </c>
      <c r="AE88" s="181">
        <v>1.2</v>
      </c>
      <c r="AF88" s="181">
        <v>1.2</v>
      </c>
      <c r="AG88" s="101" t="str">
        <f t="shared" si="16"/>
        <v/>
      </c>
      <c r="AH88" s="190">
        <v>0</v>
      </c>
      <c r="AI88" s="69">
        <f t="shared" si="17"/>
        <v>1</v>
      </c>
    </row>
    <row r="89" spans="1:35" s="69" customFormat="1" ht="26.1" customHeight="1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 t="s">
        <v>15</v>
      </c>
      <c r="I89" s="75">
        <v>25380.34</v>
      </c>
      <c r="J89" s="75">
        <v>25380.34</v>
      </c>
      <c r="K89" s="91" t="s">
        <v>256</v>
      </c>
      <c r="L89" s="73"/>
      <c r="M89" s="46">
        <v>0</v>
      </c>
      <c r="N89" s="46">
        <v>0</v>
      </c>
      <c r="O89" s="46">
        <v>0</v>
      </c>
      <c r="P89" s="98"/>
      <c r="Q89" s="23" t="s">
        <v>1453</v>
      </c>
      <c r="R89" s="24" t="s">
        <v>255</v>
      </c>
      <c r="S89" s="25" t="s">
        <v>81</v>
      </c>
      <c r="T89" s="26">
        <v>1</v>
      </c>
      <c r="U89" s="26">
        <v>1</v>
      </c>
      <c r="V89" s="26">
        <f t="shared" si="10"/>
        <v>25380.34</v>
      </c>
      <c r="W89" s="26">
        <f t="shared" si="18"/>
        <v>0</v>
      </c>
      <c r="X89" s="26">
        <f t="shared" si="13"/>
        <v>0</v>
      </c>
      <c r="Y89" s="26">
        <f t="shared" si="11"/>
        <v>0</v>
      </c>
      <c r="Z89" s="26">
        <f t="shared" si="14"/>
        <v>0</v>
      </c>
      <c r="AA89" s="33" t="s">
        <v>15</v>
      </c>
      <c r="AB89" s="36" t="s">
        <v>16</v>
      </c>
      <c r="AC89" s="181">
        <f t="shared" si="15"/>
        <v>1</v>
      </c>
      <c r="AD89" s="181">
        <f t="shared" si="12"/>
        <v>25380.34</v>
      </c>
      <c r="AE89" s="181">
        <v>1.2</v>
      </c>
      <c r="AF89" s="181">
        <v>1.2</v>
      </c>
      <c r="AG89" s="101" t="str">
        <f t="shared" si="16"/>
        <v/>
      </c>
      <c r="AH89" s="190">
        <v>0</v>
      </c>
      <c r="AI89" s="69">
        <f t="shared" si="17"/>
        <v>1</v>
      </c>
    </row>
    <row r="90" spans="1:35" s="69" customFormat="1" ht="26.1" customHeight="1" x14ac:dyDescent="0.3">
      <c r="A90" s="55" t="s">
        <v>257</v>
      </c>
      <c r="B90" s="53" t="s">
        <v>258</v>
      </c>
      <c r="C90" s="54" t="s">
        <v>30</v>
      </c>
      <c r="D90" s="75">
        <v>13.9</v>
      </c>
      <c r="E90" s="75"/>
      <c r="F90" s="75"/>
      <c r="G90" s="75"/>
      <c r="H90" s="75" t="s">
        <v>15</v>
      </c>
      <c r="I90" s="75">
        <v>1285.31</v>
      </c>
      <c r="J90" s="75">
        <v>17865.810000000001</v>
      </c>
      <c r="K90" s="91" t="s">
        <v>259</v>
      </c>
      <c r="L90" s="73"/>
      <c r="M90" s="46">
        <v>0</v>
      </c>
      <c r="N90" s="46">
        <v>0</v>
      </c>
      <c r="O90" s="46">
        <v>0</v>
      </c>
      <c r="P90" s="98"/>
      <c r="Q90" s="23" t="s">
        <v>1454</v>
      </c>
      <c r="R90" s="24" t="s">
        <v>258</v>
      </c>
      <c r="S90" s="25" t="s">
        <v>30</v>
      </c>
      <c r="T90" s="26">
        <v>13.9</v>
      </c>
      <c r="U90" s="26">
        <v>13.9</v>
      </c>
      <c r="V90" s="26">
        <f t="shared" si="10"/>
        <v>1285.31</v>
      </c>
      <c r="W90" s="243">
        <f t="shared" si="18"/>
        <v>13.9</v>
      </c>
      <c r="X90" s="26">
        <f t="shared" si="13"/>
        <v>13.9</v>
      </c>
      <c r="Y90" s="26">
        <f t="shared" si="11"/>
        <v>17865.810000000001</v>
      </c>
      <c r="Z90" s="26">
        <f t="shared" si="14"/>
        <v>17865.810000000001</v>
      </c>
      <c r="AA90" s="33" t="s">
        <v>15</v>
      </c>
      <c r="AB90" s="36" t="s">
        <v>16</v>
      </c>
      <c r="AC90" s="181">
        <f t="shared" si="15"/>
        <v>13.9</v>
      </c>
      <c r="AD90" s="181">
        <f t="shared" si="12"/>
        <v>17865.810000000001</v>
      </c>
      <c r="AE90" s="181">
        <v>1.2</v>
      </c>
      <c r="AF90" s="181">
        <v>1.2</v>
      </c>
      <c r="AG90" s="101" t="str">
        <f t="shared" si="16"/>
        <v/>
      </c>
      <c r="AH90" s="191">
        <f>13.9</f>
        <v>13.9</v>
      </c>
      <c r="AI90" s="69">
        <f t="shared" si="17"/>
        <v>13.9</v>
      </c>
    </row>
    <row r="91" spans="1:35" s="69" customFormat="1" ht="26.1" customHeight="1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 t="s">
        <v>15</v>
      </c>
      <c r="I91" s="75">
        <v>1976.06</v>
      </c>
      <c r="J91" s="75">
        <v>186046.05</v>
      </c>
      <c r="K91" s="91" t="s">
        <v>262</v>
      </c>
      <c r="L91" s="73"/>
      <c r="M91" s="46">
        <v>0</v>
      </c>
      <c r="N91" s="46">
        <v>0</v>
      </c>
      <c r="O91" s="46">
        <v>0</v>
      </c>
      <c r="P91" s="98"/>
      <c r="Q91" s="23" t="s">
        <v>1455</v>
      </c>
      <c r="R91" s="24" t="s">
        <v>261</v>
      </c>
      <c r="S91" s="25" t="s">
        <v>30</v>
      </c>
      <c r="T91" s="26">
        <v>94.15</v>
      </c>
      <c r="U91" s="26">
        <v>94.15</v>
      </c>
      <c r="V91" s="26">
        <f t="shared" si="10"/>
        <v>1976.06</v>
      </c>
      <c r="W91" s="243">
        <f t="shared" si="18"/>
        <v>26.7</v>
      </c>
      <c r="X91" s="26">
        <f t="shared" si="13"/>
        <v>26.7</v>
      </c>
      <c r="Y91" s="26">
        <f t="shared" si="11"/>
        <v>52760.800000000003</v>
      </c>
      <c r="Z91" s="26">
        <f t="shared" si="14"/>
        <v>52760.800000000003</v>
      </c>
      <c r="AA91" s="33" t="s">
        <v>15</v>
      </c>
      <c r="AB91" s="36" t="s">
        <v>16</v>
      </c>
      <c r="AC91" s="181">
        <f t="shared" si="15"/>
        <v>94.15</v>
      </c>
      <c r="AD91" s="181">
        <f t="shared" si="12"/>
        <v>186046.05</v>
      </c>
      <c r="AE91" s="181">
        <v>1.2</v>
      </c>
      <c r="AF91" s="181">
        <v>1.2</v>
      </c>
      <c r="AG91" s="101" t="str">
        <f t="shared" si="16"/>
        <v/>
      </c>
      <c r="AH91" s="191">
        <f>26.7</f>
        <v>26.7</v>
      </c>
      <c r="AI91" s="69">
        <f t="shared" si="17"/>
        <v>94.15</v>
      </c>
    </row>
    <row r="92" spans="1:35" s="69" customFormat="1" ht="26.1" customHeight="1" x14ac:dyDescent="0.3">
      <c r="A92" s="130" t="s">
        <v>263</v>
      </c>
      <c r="B92" s="131" t="s">
        <v>264</v>
      </c>
      <c r="C92" s="132" t="s">
        <v>30</v>
      </c>
      <c r="D92" s="133">
        <v>13.5</v>
      </c>
      <c r="E92" s="75"/>
      <c r="F92" s="75"/>
      <c r="G92" s="75"/>
      <c r="H92" s="75" t="s">
        <v>15</v>
      </c>
      <c r="I92" s="75">
        <v>1889.54</v>
      </c>
      <c r="J92" s="75">
        <v>25508.79</v>
      </c>
      <c r="K92" s="91" t="s">
        <v>265</v>
      </c>
      <c r="L92" s="73"/>
      <c r="M92" s="46">
        <v>11.5</v>
      </c>
      <c r="N92" s="46">
        <v>21729.71</v>
      </c>
      <c r="O92" s="46">
        <v>21729.71</v>
      </c>
      <c r="P92" s="98"/>
      <c r="Q92" s="23" t="s">
        <v>1456</v>
      </c>
      <c r="R92" s="24" t="s">
        <v>264</v>
      </c>
      <c r="S92" s="25" t="s">
        <v>30</v>
      </c>
      <c r="T92" s="26">
        <v>13.5</v>
      </c>
      <c r="U92" s="26">
        <v>13.5</v>
      </c>
      <c r="V92" s="26">
        <f t="shared" si="10"/>
        <v>1889.54</v>
      </c>
      <c r="W92" s="243">
        <f t="shared" si="18"/>
        <v>0</v>
      </c>
      <c r="X92" s="26">
        <f t="shared" si="13"/>
        <v>11.5</v>
      </c>
      <c r="Y92" s="26">
        <f t="shared" si="11"/>
        <v>0</v>
      </c>
      <c r="Z92" s="26">
        <f t="shared" si="14"/>
        <v>21729.71</v>
      </c>
      <c r="AA92" s="33" t="s">
        <v>15</v>
      </c>
      <c r="AB92" s="36" t="s">
        <v>16</v>
      </c>
      <c r="AC92" s="181">
        <f t="shared" si="15"/>
        <v>13.5</v>
      </c>
      <c r="AD92" s="181">
        <f t="shared" si="12"/>
        <v>25508.79</v>
      </c>
      <c r="AE92" s="181">
        <v>1.2</v>
      </c>
      <c r="AF92" s="181">
        <v>1.2</v>
      </c>
      <c r="AG92" s="101" t="str">
        <f t="shared" si="16"/>
        <v/>
      </c>
      <c r="AH92" s="191">
        <f>11.5</f>
        <v>11.5</v>
      </c>
      <c r="AI92" s="69">
        <f t="shared" si="17"/>
        <v>13.5</v>
      </c>
    </row>
    <row r="93" spans="1:35" s="69" customFormat="1" ht="33" x14ac:dyDescent="0.3">
      <c r="A93" s="130" t="s">
        <v>266</v>
      </c>
      <c r="B93" s="131" t="s">
        <v>267</v>
      </c>
      <c r="C93" s="132" t="s">
        <v>30</v>
      </c>
      <c r="D93" s="133">
        <v>13.7</v>
      </c>
      <c r="E93" s="75"/>
      <c r="F93" s="75"/>
      <c r="G93" s="75"/>
      <c r="H93" s="75" t="s">
        <v>15</v>
      </c>
      <c r="I93" s="75">
        <v>1778.66</v>
      </c>
      <c r="J93" s="75">
        <v>24367.64</v>
      </c>
      <c r="K93" s="91" t="s">
        <v>268</v>
      </c>
      <c r="L93" s="73"/>
      <c r="M93" s="46">
        <v>13.7</v>
      </c>
      <c r="N93" s="46">
        <v>24367.64</v>
      </c>
      <c r="O93" s="46">
        <v>24367.64</v>
      </c>
      <c r="P93" s="98"/>
      <c r="Q93" s="23" t="s">
        <v>1457</v>
      </c>
      <c r="R93" s="24" t="s">
        <v>267</v>
      </c>
      <c r="S93" s="25" t="s">
        <v>30</v>
      </c>
      <c r="T93" s="26">
        <v>13.7</v>
      </c>
      <c r="U93" s="26">
        <v>13.7</v>
      </c>
      <c r="V93" s="26">
        <f t="shared" si="10"/>
        <v>1778.66</v>
      </c>
      <c r="W93" s="199">
        <f t="shared" si="18"/>
        <v>0</v>
      </c>
      <c r="X93" s="127">
        <f t="shared" si="13"/>
        <v>13.7</v>
      </c>
      <c r="Y93" s="127">
        <f t="shared" si="11"/>
        <v>0</v>
      </c>
      <c r="Z93" s="127">
        <f t="shared" si="14"/>
        <v>24367.64</v>
      </c>
      <c r="AA93" s="33" t="s">
        <v>15</v>
      </c>
      <c r="AB93" s="36" t="s">
        <v>16</v>
      </c>
      <c r="AC93" s="181">
        <f t="shared" si="15"/>
        <v>13.7</v>
      </c>
      <c r="AD93" s="181">
        <f t="shared" si="12"/>
        <v>24367.64</v>
      </c>
      <c r="AE93" s="181">
        <v>1.2</v>
      </c>
      <c r="AF93" s="181">
        <v>1.2</v>
      </c>
      <c r="AG93" s="101" t="str">
        <f t="shared" si="16"/>
        <v/>
      </c>
      <c r="AH93" s="191">
        <f>13.7</f>
        <v>13.7</v>
      </c>
      <c r="AI93" s="69">
        <f t="shared" si="17"/>
        <v>13.7</v>
      </c>
    </row>
    <row r="94" spans="1:35" s="69" customFormat="1" ht="26.1" customHeight="1" x14ac:dyDescent="0.3">
      <c r="A94" s="130" t="s">
        <v>269</v>
      </c>
      <c r="B94" s="131" t="s">
        <v>270</v>
      </c>
      <c r="C94" s="132" t="s">
        <v>30</v>
      </c>
      <c r="D94" s="133">
        <v>17.920000000000002</v>
      </c>
      <c r="E94" s="75"/>
      <c r="F94" s="75"/>
      <c r="G94" s="75"/>
      <c r="H94" s="75" t="s">
        <v>15</v>
      </c>
      <c r="I94" s="75">
        <v>2939.14</v>
      </c>
      <c r="J94" s="75">
        <v>52669.39</v>
      </c>
      <c r="K94" s="91" t="s">
        <v>271</v>
      </c>
      <c r="L94" s="73"/>
      <c r="M94" s="46">
        <v>0</v>
      </c>
      <c r="N94" s="46">
        <v>0</v>
      </c>
      <c r="O94" s="46">
        <v>0</v>
      </c>
      <c r="P94" s="98"/>
      <c r="Q94" s="23" t="s">
        <v>1458</v>
      </c>
      <c r="R94" s="24" t="s">
        <v>270</v>
      </c>
      <c r="S94" s="25" t="s">
        <v>30</v>
      </c>
      <c r="T94" s="26">
        <v>17.920000000000002</v>
      </c>
      <c r="U94" s="26">
        <v>17.920000000000002</v>
      </c>
      <c r="V94" s="26">
        <f t="shared" si="10"/>
        <v>2939.14</v>
      </c>
      <c r="W94" s="243">
        <f t="shared" si="18"/>
        <v>16.8</v>
      </c>
      <c r="X94" s="127">
        <f t="shared" si="13"/>
        <v>16.8</v>
      </c>
      <c r="Y94" s="127">
        <f t="shared" si="11"/>
        <v>49377.55</v>
      </c>
      <c r="Z94" s="127">
        <f t="shared" si="14"/>
        <v>49377.55</v>
      </c>
      <c r="AA94" s="33" t="s">
        <v>15</v>
      </c>
      <c r="AB94" s="36" t="s">
        <v>16</v>
      </c>
      <c r="AC94" s="181">
        <f t="shared" si="15"/>
        <v>17.920000000000002</v>
      </c>
      <c r="AD94" s="181">
        <f t="shared" si="12"/>
        <v>52669.39</v>
      </c>
      <c r="AE94" s="181">
        <v>1.2</v>
      </c>
      <c r="AF94" s="181">
        <v>1.2</v>
      </c>
      <c r="AG94" s="101" t="str">
        <f t="shared" si="16"/>
        <v/>
      </c>
      <c r="AH94" s="191">
        <f>16.8</f>
        <v>16.8</v>
      </c>
      <c r="AI94" s="69">
        <f t="shared" si="17"/>
        <v>17.920000000000002</v>
      </c>
    </row>
    <row r="95" spans="1:35" s="69" customFormat="1" ht="26.1" customHeight="1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 t="s">
        <v>15</v>
      </c>
      <c r="I95" s="75">
        <v>23030.799999999999</v>
      </c>
      <c r="J95" s="75">
        <v>23030.799999999999</v>
      </c>
      <c r="K95" s="91" t="s">
        <v>274</v>
      </c>
      <c r="L95" s="73"/>
      <c r="M95" s="46">
        <v>0</v>
      </c>
      <c r="N95" s="46">
        <v>0</v>
      </c>
      <c r="O95" s="46">
        <v>0</v>
      </c>
      <c r="P95" s="98"/>
      <c r="Q95" s="23" t="s">
        <v>1459</v>
      </c>
      <c r="R95" s="24" t="s">
        <v>273</v>
      </c>
      <c r="S95" s="25" t="s">
        <v>81</v>
      </c>
      <c r="T95" s="26">
        <v>1</v>
      </c>
      <c r="U95" s="26">
        <v>1</v>
      </c>
      <c r="V95" s="26">
        <f t="shared" si="10"/>
        <v>23030.799999999999</v>
      </c>
      <c r="W95" s="26">
        <f t="shared" si="18"/>
        <v>0</v>
      </c>
      <c r="X95" s="26">
        <f t="shared" si="13"/>
        <v>0</v>
      </c>
      <c r="Y95" s="26">
        <f t="shared" si="11"/>
        <v>0</v>
      </c>
      <c r="Z95" s="26">
        <f t="shared" si="14"/>
        <v>0</v>
      </c>
      <c r="AA95" s="33" t="s">
        <v>15</v>
      </c>
      <c r="AB95" s="36" t="s">
        <v>16</v>
      </c>
      <c r="AC95" s="181">
        <f t="shared" si="15"/>
        <v>1</v>
      </c>
      <c r="AD95" s="181">
        <f t="shared" si="12"/>
        <v>23030.799999999999</v>
      </c>
      <c r="AE95" s="181">
        <v>1.2</v>
      </c>
      <c r="AF95" s="181">
        <v>1.2</v>
      </c>
      <c r="AG95" s="101" t="str">
        <f t="shared" si="16"/>
        <v/>
      </c>
      <c r="AH95" s="190">
        <v>0</v>
      </c>
      <c r="AI95" s="69">
        <f t="shared" si="17"/>
        <v>1</v>
      </c>
    </row>
    <row r="96" spans="1:35" s="69" customFormat="1" ht="26.1" customHeight="1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 t="s">
        <v>15</v>
      </c>
      <c r="I96" s="75">
        <v>18605.919999999998</v>
      </c>
      <c r="J96" s="75">
        <v>37211.839999999997</v>
      </c>
      <c r="K96" s="91" t="s">
        <v>277</v>
      </c>
      <c r="L96" s="73"/>
      <c r="M96" s="46">
        <v>0</v>
      </c>
      <c r="N96" s="46">
        <v>0</v>
      </c>
      <c r="O96" s="46">
        <v>0</v>
      </c>
      <c r="P96" s="98"/>
      <c r="Q96" s="23" t="s">
        <v>1460</v>
      </c>
      <c r="R96" s="24" t="s">
        <v>276</v>
      </c>
      <c r="S96" s="25" t="s">
        <v>81</v>
      </c>
      <c r="T96" s="26">
        <v>2</v>
      </c>
      <c r="U96" s="26">
        <v>2</v>
      </c>
      <c r="V96" s="26">
        <f t="shared" si="10"/>
        <v>18605.919999999998</v>
      </c>
      <c r="W96" s="26">
        <f t="shared" si="18"/>
        <v>0</v>
      </c>
      <c r="X96" s="26">
        <f t="shared" si="13"/>
        <v>0</v>
      </c>
      <c r="Y96" s="26">
        <f t="shared" si="11"/>
        <v>0</v>
      </c>
      <c r="Z96" s="26">
        <f t="shared" si="14"/>
        <v>0</v>
      </c>
      <c r="AA96" s="33" t="s">
        <v>15</v>
      </c>
      <c r="AB96" s="36" t="s">
        <v>16</v>
      </c>
      <c r="AC96" s="181">
        <f t="shared" si="15"/>
        <v>2</v>
      </c>
      <c r="AD96" s="181">
        <f t="shared" si="12"/>
        <v>37211.839999999997</v>
      </c>
      <c r="AE96" s="181">
        <v>1.2</v>
      </c>
      <c r="AF96" s="181">
        <v>1.2</v>
      </c>
      <c r="AG96" s="101" t="str">
        <f t="shared" si="16"/>
        <v/>
      </c>
      <c r="AH96" s="190">
        <v>0</v>
      </c>
      <c r="AI96" s="69">
        <f t="shared" si="17"/>
        <v>2</v>
      </c>
    </row>
    <row r="97" spans="1:35" s="69" customFormat="1" ht="26.1" customHeight="1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 t="s">
        <v>15</v>
      </c>
      <c r="I97" s="75">
        <v>18605.919999999998</v>
      </c>
      <c r="J97" s="75">
        <v>18605.919999999998</v>
      </c>
      <c r="K97" s="91" t="s">
        <v>280</v>
      </c>
      <c r="L97" s="73"/>
      <c r="M97" s="46">
        <v>0</v>
      </c>
      <c r="N97" s="46">
        <v>0</v>
      </c>
      <c r="O97" s="46">
        <v>0</v>
      </c>
      <c r="P97" s="98"/>
      <c r="Q97" s="23" t="s">
        <v>1461</v>
      </c>
      <c r="R97" s="24" t="s">
        <v>279</v>
      </c>
      <c r="S97" s="25" t="s">
        <v>81</v>
      </c>
      <c r="T97" s="26">
        <v>1</v>
      </c>
      <c r="U97" s="26">
        <v>1</v>
      </c>
      <c r="V97" s="26">
        <f t="shared" si="10"/>
        <v>18605.919999999998</v>
      </c>
      <c r="W97" s="26">
        <f t="shared" si="18"/>
        <v>0</v>
      </c>
      <c r="X97" s="26">
        <f t="shared" si="13"/>
        <v>0</v>
      </c>
      <c r="Y97" s="26">
        <f t="shared" si="11"/>
        <v>0</v>
      </c>
      <c r="Z97" s="26">
        <f t="shared" si="14"/>
        <v>0</v>
      </c>
      <c r="AA97" s="33" t="s">
        <v>15</v>
      </c>
      <c r="AB97" s="36" t="s">
        <v>16</v>
      </c>
      <c r="AC97" s="181">
        <f t="shared" si="15"/>
        <v>1</v>
      </c>
      <c r="AD97" s="181">
        <f t="shared" si="12"/>
        <v>18605.919999999998</v>
      </c>
      <c r="AE97" s="181">
        <v>1.2</v>
      </c>
      <c r="AF97" s="181">
        <v>1.2</v>
      </c>
      <c r="AG97" s="101" t="str">
        <f t="shared" si="16"/>
        <v/>
      </c>
      <c r="AH97" s="190">
        <v>0</v>
      </c>
      <c r="AI97" s="69">
        <f t="shared" si="17"/>
        <v>1</v>
      </c>
    </row>
    <row r="98" spans="1:35" s="69" customFormat="1" ht="26.1" customHeight="1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 t="s">
        <v>15</v>
      </c>
      <c r="I98" s="75">
        <v>11655.48</v>
      </c>
      <c r="J98" s="75">
        <v>34966.44</v>
      </c>
      <c r="K98" s="91" t="s">
        <v>283</v>
      </c>
      <c r="L98" s="73"/>
      <c r="M98" s="46">
        <v>0</v>
      </c>
      <c r="N98" s="46">
        <v>0</v>
      </c>
      <c r="O98" s="46">
        <v>0</v>
      </c>
      <c r="P98" s="98"/>
      <c r="Q98" s="23" t="s">
        <v>1462</v>
      </c>
      <c r="R98" s="24" t="s">
        <v>282</v>
      </c>
      <c r="S98" s="25" t="s">
        <v>81</v>
      </c>
      <c r="T98" s="26">
        <v>3</v>
      </c>
      <c r="U98" s="26">
        <v>3</v>
      </c>
      <c r="V98" s="26">
        <f t="shared" si="10"/>
        <v>11655.48</v>
      </c>
      <c r="W98" s="26">
        <f t="shared" si="18"/>
        <v>0</v>
      </c>
      <c r="X98" s="26">
        <f t="shared" si="13"/>
        <v>0</v>
      </c>
      <c r="Y98" s="26">
        <f t="shared" si="11"/>
        <v>0</v>
      </c>
      <c r="Z98" s="26">
        <f t="shared" si="14"/>
        <v>0</v>
      </c>
      <c r="AA98" s="33" t="s">
        <v>15</v>
      </c>
      <c r="AB98" s="36" t="s">
        <v>16</v>
      </c>
      <c r="AC98" s="181">
        <f t="shared" si="15"/>
        <v>3</v>
      </c>
      <c r="AD98" s="181">
        <f t="shared" si="12"/>
        <v>34966.44</v>
      </c>
      <c r="AE98" s="181">
        <v>1.2</v>
      </c>
      <c r="AF98" s="181">
        <v>1.2</v>
      </c>
      <c r="AG98" s="101" t="str">
        <f t="shared" si="16"/>
        <v/>
      </c>
      <c r="AH98" s="190">
        <v>0</v>
      </c>
      <c r="AI98" s="69">
        <f t="shared" si="17"/>
        <v>3</v>
      </c>
    </row>
    <row r="99" spans="1:35" s="69" customFormat="1" ht="26.1" customHeight="1" x14ac:dyDescent="0.3">
      <c r="A99" s="246" t="s">
        <v>284</v>
      </c>
      <c r="B99" s="247" t="s">
        <v>285</v>
      </c>
      <c r="C99" s="248" t="s">
        <v>81</v>
      </c>
      <c r="D99" s="249">
        <v>4</v>
      </c>
      <c r="E99" s="75"/>
      <c r="F99" s="75"/>
      <c r="G99" s="75"/>
      <c r="H99" s="75" t="s">
        <v>15</v>
      </c>
      <c r="I99" s="75">
        <v>25108.91</v>
      </c>
      <c r="J99" s="75">
        <v>100435.64</v>
      </c>
      <c r="K99" s="91" t="s">
        <v>286</v>
      </c>
      <c r="L99" s="73"/>
      <c r="M99" s="46">
        <v>0</v>
      </c>
      <c r="N99" s="46">
        <v>0</v>
      </c>
      <c r="O99" s="46">
        <v>0</v>
      </c>
      <c r="P99" s="98"/>
      <c r="Q99" s="23" t="s">
        <v>1463</v>
      </c>
      <c r="R99" s="24" t="s">
        <v>285</v>
      </c>
      <c r="S99" s="25" t="s">
        <v>81</v>
      </c>
      <c r="T99" s="26">
        <v>4</v>
      </c>
      <c r="U99" s="26">
        <v>4</v>
      </c>
      <c r="V99" s="26">
        <f t="shared" si="10"/>
        <v>25108.91</v>
      </c>
      <c r="W99" s="26">
        <f t="shared" si="18"/>
        <v>0</v>
      </c>
      <c r="X99" s="26">
        <f t="shared" si="13"/>
        <v>0</v>
      </c>
      <c r="Y99" s="26">
        <f t="shared" si="11"/>
        <v>0</v>
      </c>
      <c r="Z99" s="26">
        <f t="shared" si="14"/>
        <v>0</v>
      </c>
      <c r="AA99" s="33" t="s">
        <v>15</v>
      </c>
      <c r="AB99" s="36" t="s">
        <v>16</v>
      </c>
      <c r="AC99" s="181">
        <f t="shared" si="15"/>
        <v>4</v>
      </c>
      <c r="AD99" s="181">
        <f t="shared" si="12"/>
        <v>100435.64</v>
      </c>
      <c r="AE99" s="181">
        <v>1.2</v>
      </c>
      <c r="AF99" s="181">
        <v>1.2</v>
      </c>
      <c r="AG99" s="101" t="str">
        <f t="shared" si="16"/>
        <v/>
      </c>
      <c r="AH99" s="190">
        <v>0</v>
      </c>
      <c r="AI99" s="69">
        <f t="shared" si="17"/>
        <v>4</v>
      </c>
    </row>
    <row r="100" spans="1:35" s="69" customFormat="1" ht="26.1" customHeight="1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 t="s">
        <v>15</v>
      </c>
      <c r="I100" s="75">
        <v>22416.92</v>
      </c>
      <c r="J100" s="75">
        <v>112084.6</v>
      </c>
      <c r="K100" s="91" t="s">
        <v>289</v>
      </c>
      <c r="L100" s="73"/>
      <c r="M100" s="46">
        <v>0</v>
      </c>
      <c r="N100" s="46">
        <v>0</v>
      </c>
      <c r="O100" s="46">
        <v>0</v>
      </c>
      <c r="P100" s="98"/>
      <c r="Q100" s="23" t="s">
        <v>1464</v>
      </c>
      <c r="R100" s="24" t="s">
        <v>288</v>
      </c>
      <c r="S100" s="25" t="s">
        <v>81</v>
      </c>
      <c r="T100" s="26">
        <v>5</v>
      </c>
      <c r="U100" s="26">
        <v>5</v>
      </c>
      <c r="V100" s="26">
        <f t="shared" si="10"/>
        <v>22416.92</v>
      </c>
      <c r="W100" s="26">
        <f t="shared" si="18"/>
        <v>0</v>
      </c>
      <c r="X100" s="26">
        <f t="shared" si="13"/>
        <v>0</v>
      </c>
      <c r="Y100" s="26">
        <f t="shared" si="11"/>
        <v>0</v>
      </c>
      <c r="Z100" s="26">
        <f t="shared" si="14"/>
        <v>0</v>
      </c>
      <c r="AA100" s="33" t="s">
        <v>15</v>
      </c>
      <c r="AB100" s="36" t="s">
        <v>16</v>
      </c>
      <c r="AC100" s="181">
        <f t="shared" si="15"/>
        <v>5</v>
      </c>
      <c r="AD100" s="181">
        <f t="shared" si="12"/>
        <v>112084.6</v>
      </c>
      <c r="AE100" s="181">
        <v>1.2</v>
      </c>
      <c r="AF100" s="181">
        <v>1.2</v>
      </c>
      <c r="AG100" s="101" t="str">
        <f t="shared" si="16"/>
        <v/>
      </c>
      <c r="AH100" s="190">
        <v>0</v>
      </c>
      <c r="AI100" s="69">
        <f t="shared" si="17"/>
        <v>5</v>
      </c>
    </row>
    <row r="101" spans="1:35" s="69" customFormat="1" ht="26.1" customHeight="1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 t="s">
        <v>15</v>
      </c>
      <c r="I101" s="75">
        <v>21724.76</v>
      </c>
      <c r="J101" s="75">
        <v>21724.76</v>
      </c>
      <c r="K101" s="91" t="s">
        <v>292</v>
      </c>
      <c r="L101" s="73"/>
      <c r="M101" s="46">
        <v>0</v>
      </c>
      <c r="N101" s="46">
        <v>0</v>
      </c>
      <c r="O101" s="46">
        <v>0</v>
      </c>
      <c r="P101" s="98"/>
      <c r="Q101" s="23" t="s">
        <v>1465</v>
      </c>
      <c r="R101" s="24" t="s">
        <v>291</v>
      </c>
      <c r="S101" s="25" t="s">
        <v>81</v>
      </c>
      <c r="T101" s="26">
        <v>1</v>
      </c>
      <c r="U101" s="26">
        <v>1</v>
      </c>
      <c r="V101" s="26">
        <f t="shared" si="10"/>
        <v>21724.76</v>
      </c>
      <c r="W101" s="26">
        <f t="shared" si="18"/>
        <v>0</v>
      </c>
      <c r="X101" s="26">
        <f t="shared" si="13"/>
        <v>0</v>
      </c>
      <c r="Y101" s="26">
        <f t="shared" si="11"/>
        <v>0</v>
      </c>
      <c r="Z101" s="26">
        <f t="shared" si="14"/>
        <v>0</v>
      </c>
      <c r="AA101" s="33" t="s">
        <v>15</v>
      </c>
      <c r="AB101" s="36" t="s">
        <v>16</v>
      </c>
      <c r="AC101" s="181">
        <f t="shared" si="15"/>
        <v>1</v>
      </c>
      <c r="AD101" s="181">
        <f t="shared" si="12"/>
        <v>21724.76</v>
      </c>
      <c r="AE101" s="181">
        <v>1.2</v>
      </c>
      <c r="AF101" s="181">
        <v>1.2</v>
      </c>
      <c r="AG101" s="101" t="str">
        <f t="shared" si="16"/>
        <v/>
      </c>
      <c r="AH101" s="190">
        <v>0</v>
      </c>
      <c r="AI101" s="69">
        <f t="shared" si="17"/>
        <v>1</v>
      </c>
    </row>
    <row r="102" spans="1:35" s="69" customFormat="1" ht="26.1" customHeight="1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 t="s">
        <v>15</v>
      </c>
      <c r="I102" s="75">
        <v>17341.04</v>
      </c>
      <c r="J102" s="75">
        <v>34682.080000000002</v>
      </c>
      <c r="K102" s="91" t="s">
        <v>295</v>
      </c>
      <c r="L102" s="73"/>
      <c r="M102" s="46">
        <v>0</v>
      </c>
      <c r="N102" s="46">
        <v>0</v>
      </c>
      <c r="O102" s="46">
        <v>0</v>
      </c>
      <c r="P102" s="98"/>
      <c r="Q102" s="23" t="s">
        <v>1466</v>
      </c>
      <c r="R102" s="24" t="s">
        <v>294</v>
      </c>
      <c r="S102" s="25" t="s">
        <v>81</v>
      </c>
      <c r="T102" s="26">
        <v>2</v>
      </c>
      <c r="U102" s="26">
        <v>2</v>
      </c>
      <c r="V102" s="26">
        <f t="shared" si="10"/>
        <v>17341.04</v>
      </c>
      <c r="W102" s="26">
        <f t="shared" si="18"/>
        <v>0</v>
      </c>
      <c r="X102" s="26">
        <f t="shared" si="13"/>
        <v>0</v>
      </c>
      <c r="Y102" s="26">
        <f t="shared" si="11"/>
        <v>0</v>
      </c>
      <c r="Z102" s="26">
        <f t="shared" si="14"/>
        <v>0</v>
      </c>
      <c r="AA102" s="33" t="s">
        <v>15</v>
      </c>
      <c r="AB102" s="36" t="s">
        <v>16</v>
      </c>
      <c r="AC102" s="181">
        <f t="shared" si="15"/>
        <v>2</v>
      </c>
      <c r="AD102" s="181">
        <f t="shared" si="12"/>
        <v>34682.080000000002</v>
      </c>
      <c r="AE102" s="181">
        <v>1.2</v>
      </c>
      <c r="AF102" s="181">
        <v>1.2</v>
      </c>
      <c r="AG102" s="101" t="str">
        <f t="shared" si="16"/>
        <v/>
      </c>
      <c r="AH102" s="190">
        <v>0</v>
      </c>
      <c r="AI102" s="69">
        <f t="shared" si="17"/>
        <v>2</v>
      </c>
    </row>
    <row r="103" spans="1:35" s="69" customFormat="1" ht="26.1" customHeight="1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 t="s">
        <v>15</v>
      </c>
      <c r="I103" s="75">
        <v>17341.04</v>
      </c>
      <c r="J103" s="75">
        <v>17341.04</v>
      </c>
      <c r="K103" s="91" t="s">
        <v>298</v>
      </c>
      <c r="L103" s="73"/>
      <c r="M103" s="46">
        <v>0</v>
      </c>
      <c r="N103" s="46">
        <v>0</v>
      </c>
      <c r="O103" s="46">
        <v>0</v>
      </c>
      <c r="P103" s="98"/>
      <c r="Q103" s="23" t="s">
        <v>1467</v>
      </c>
      <c r="R103" s="24" t="s">
        <v>297</v>
      </c>
      <c r="S103" s="25" t="s">
        <v>81</v>
      </c>
      <c r="T103" s="26">
        <v>1</v>
      </c>
      <c r="U103" s="26">
        <v>1</v>
      </c>
      <c r="V103" s="26">
        <f t="shared" ref="V103:V166" si="19">I103</f>
        <v>17341.04</v>
      </c>
      <c r="W103" s="26">
        <f t="shared" si="18"/>
        <v>0</v>
      </c>
      <c r="X103" s="26">
        <f t="shared" si="13"/>
        <v>0</v>
      </c>
      <c r="Y103" s="26">
        <f t="shared" ref="Y103:Y132" si="20">Z103-O103</f>
        <v>0</v>
      </c>
      <c r="Z103" s="26">
        <f t="shared" si="14"/>
        <v>0</v>
      </c>
      <c r="AA103" s="33" t="s">
        <v>15</v>
      </c>
      <c r="AB103" s="36" t="s">
        <v>16</v>
      </c>
      <c r="AC103" s="181">
        <f t="shared" si="15"/>
        <v>1</v>
      </c>
      <c r="AD103" s="181">
        <f t="shared" si="12"/>
        <v>17341.04</v>
      </c>
      <c r="AE103" s="181">
        <v>1.2</v>
      </c>
      <c r="AF103" s="181">
        <v>1.2</v>
      </c>
      <c r="AG103" s="101" t="str">
        <f t="shared" si="16"/>
        <v/>
      </c>
      <c r="AH103" s="190">
        <v>0</v>
      </c>
      <c r="AI103" s="69">
        <f t="shared" si="17"/>
        <v>1</v>
      </c>
    </row>
    <row r="104" spans="1:35" s="69" customFormat="1" ht="26.1" customHeight="1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 t="s">
        <v>15</v>
      </c>
      <c r="I104" s="75">
        <v>17341.04</v>
      </c>
      <c r="J104" s="75">
        <v>104046.24</v>
      </c>
      <c r="K104" s="91" t="s">
        <v>301</v>
      </c>
      <c r="L104" s="73"/>
      <c r="M104" s="46">
        <v>0</v>
      </c>
      <c r="N104" s="46">
        <v>0</v>
      </c>
      <c r="O104" s="46">
        <v>0</v>
      </c>
      <c r="P104" s="98"/>
      <c r="Q104" s="23" t="s">
        <v>1468</v>
      </c>
      <c r="R104" s="24" t="s">
        <v>300</v>
      </c>
      <c r="S104" s="25" t="s">
        <v>81</v>
      </c>
      <c r="T104" s="26">
        <v>6</v>
      </c>
      <c r="U104" s="26">
        <v>6</v>
      </c>
      <c r="V104" s="26">
        <f t="shared" si="19"/>
        <v>17341.04</v>
      </c>
      <c r="W104" s="26">
        <f t="shared" si="18"/>
        <v>0</v>
      </c>
      <c r="X104" s="26">
        <f t="shared" si="13"/>
        <v>0</v>
      </c>
      <c r="Y104" s="26">
        <f t="shared" si="20"/>
        <v>0</v>
      </c>
      <c r="Z104" s="26">
        <f t="shared" si="14"/>
        <v>0</v>
      </c>
      <c r="AA104" s="33" t="s">
        <v>15</v>
      </c>
      <c r="AB104" s="36" t="s">
        <v>16</v>
      </c>
      <c r="AC104" s="181">
        <f t="shared" si="15"/>
        <v>6</v>
      </c>
      <c r="AD104" s="181">
        <f t="shared" ref="AD104:AD132" si="21">ROUND(V104*AC104,2)</f>
        <v>104046.24</v>
      </c>
      <c r="AE104" s="181">
        <v>1.2</v>
      </c>
      <c r="AF104" s="181">
        <v>1.2</v>
      </c>
      <c r="AG104" s="101" t="str">
        <f t="shared" si="16"/>
        <v/>
      </c>
      <c r="AH104" s="190">
        <v>0</v>
      </c>
      <c r="AI104" s="69">
        <f t="shared" si="17"/>
        <v>6</v>
      </c>
    </row>
    <row r="105" spans="1:35" s="69" customFormat="1" ht="26.1" customHeight="1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 t="s">
        <v>15</v>
      </c>
      <c r="I105" s="75">
        <v>17497.64</v>
      </c>
      <c r="J105" s="75">
        <v>34995.279999999999</v>
      </c>
      <c r="K105" s="91" t="s">
        <v>304</v>
      </c>
      <c r="L105" s="73"/>
      <c r="M105" s="46">
        <v>0</v>
      </c>
      <c r="N105" s="46">
        <v>0</v>
      </c>
      <c r="O105" s="46">
        <v>0</v>
      </c>
      <c r="P105" s="98"/>
      <c r="Q105" s="23" t="s">
        <v>1469</v>
      </c>
      <c r="R105" s="24" t="s">
        <v>303</v>
      </c>
      <c r="S105" s="25" t="s">
        <v>81</v>
      </c>
      <c r="T105" s="26">
        <v>2</v>
      </c>
      <c r="U105" s="26">
        <v>2</v>
      </c>
      <c r="V105" s="26">
        <f t="shared" si="19"/>
        <v>17497.64</v>
      </c>
      <c r="W105" s="26">
        <f t="shared" si="18"/>
        <v>0</v>
      </c>
      <c r="X105" s="26">
        <f t="shared" si="13"/>
        <v>0</v>
      </c>
      <c r="Y105" s="26">
        <f t="shared" si="20"/>
        <v>0</v>
      </c>
      <c r="Z105" s="26">
        <f t="shared" si="14"/>
        <v>0</v>
      </c>
      <c r="AA105" s="33" t="s">
        <v>15</v>
      </c>
      <c r="AB105" s="36" t="s">
        <v>16</v>
      </c>
      <c r="AC105" s="181">
        <f t="shared" si="15"/>
        <v>2</v>
      </c>
      <c r="AD105" s="181">
        <f t="shared" si="21"/>
        <v>34995.279999999999</v>
      </c>
      <c r="AE105" s="181">
        <v>1.2</v>
      </c>
      <c r="AF105" s="181">
        <v>1.2</v>
      </c>
      <c r="AG105" s="101" t="str">
        <f t="shared" si="16"/>
        <v/>
      </c>
      <c r="AH105" s="190">
        <v>0</v>
      </c>
      <c r="AI105" s="69">
        <f t="shared" si="17"/>
        <v>2</v>
      </c>
    </row>
    <row r="106" spans="1:35" s="69" customFormat="1" ht="26.1" customHeight="1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 t="s">
        <v>15</v>
      </c>
      <c r="I106" s="75">
        <v>1501.74</v>
      </c>
      <c r="J106" s="75">
        <v>3003.48</v>
      </c>
      <c r="K106" s="91" t="s">
        <v>307</v>
      </c>
      <c r="L106" s="73"/>
      <c r="M106" s="46">
        <v>0</v>
      </c>
      <c r="N106" s="46">
        <v>0</v>
      </c>
      <c r="O106" s="46">
        <v>0</v>
      </c>
      <c r="P106" s="98"/>
      <c r="Q106" s="23" t="s">
        <v>1470</v>
      </c>
      <c r="R106" s="24" t="s">
        <v>306</v>
      </c>
      <c r="S106" s="25" t="s">
        <v>81</v>
      </c>
      <c r="T106" s="26">
        <v>2</v>
      </c>
      <c r="U106" s="26">
        <v>2</v>
      </c>
      <c r="V106" s="26">
        <f t="shared" si="19"/>
        <v>1501.74</v>
      </c>
      <c r="W106" s="26">
        <f t="shared" si="18"/>
        <v>0</v>
      </c>
      <c r="X106" s="26">
        <f t="shared" si="13"/>
        <v>0</v>
      </c>
      <c r="Y106" s="26">
        <f t="shared" si="20"/>
        <v>0</v>
      </c>
      <c r="Z106" s="26">
        <f t="shared" si="14"/>
        <v>0</v>
      </c>
      <c r="AA106" s="33" t="s">
        <v>15</v>
      </c>
      <c r="AB106" s="36" t="s">
        <v>16</v>
      </c>
      <c r="AC106" s="181">
        <f t="shared" si="15"/>
        <v>2</v>
      </c>
      <c r="AD106" s="181">
        <f t="shared" si="21"/>
        <v>3003.48</v>
      </c>
      <c r="AE106" s="181">
        <v>1.2</v>
      </c>
      <c r="AF106" s="181">
        <v>1.2</v>
      </c>
      <c r="AG106" s="101" t="str">
        <f t="shared" si="16"/>
        <v/>
      </c>
      <c r="AH106" s="190">
        <v>0</v>
      </c>
      <c r="AI106" s="69">
        <f t="shared" si="17"/>
        <v>2</v>
      </c>
    </row>
    <row r="107" spans="1:35" s="69" customFormat="1" ht="26.1" customHeight="1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 t="s">
        <v>15</v>
      </c>
      <c r="I107" s="75">
        <v>994.98</v>
      </c>
      <c r="J107" s="75">
        <v>994.98</v>
      </c>
      <c r="K107" s="91" t="s">
        <v>310</v>
      </c>
      <c r="L107" s="73"/>
      <c r="M107" s="46">
        <v>0</v>
      </c>
      <c r="N107" s="46">
        <v>0</v>
      </c>
      <c r="O107" s="46">
        <v>0</v>
      </c>
      <c r="P107" s="98"/>
      <c r="Q107" s="23" t="s">
        <v>1471</v>
      </c>
      <c r="R107" s="24" t="s">
        <v>309</v>
      </c>
      <c r="S107" s="25" t="s">
        <v>81</v>
      </c>
      <c r="T107" s="26">
        <v>1</v>
      </c>
      <c r="U107" s="26">
        <v>1</v>
      </c>
      <c r="V107" s="26">
        <f t="shared" si="19"/>
        <v>994.98</v>
      </c>
      <c r="W107" s="26">
        <f t="shared" si="18"/>
        <v>0</v>
      </c>
      <c r="X107" s="26">
        <f t="shared" si="13"/>
        <v>0</v>
      </c>
      <c r="Y107" s="26">
        <f t="shared" si="20"/>
        <v>0</v>
      </c>
      <c r="Z107" s="26">
        <f t="shared" si="14"/>
        <v>0</v>
      </c>
      <c r="AA107" s="33" t="s">
        <v>15</v>
      </c>
      <c r="AB107" s="36" t="s">
        <v>16</v>
      </c>
      <c r="AC107" s="181">
        <f t="shared" si="15"/>
        <v>1</v>
      </c>
      <c r="AD107" s="181">
        <f t="shared" si="21"/>
        <v>994.98</v>
      </c>
      <c r="AE107" s="181">
        <v>1.2</v>
      </c>
      <c r="AF107" s="181">
        <v>1.2</v>
      </c>
      <c r="AG107" s="101" t="str">
        <f t="shared" si="16"/>
        <v/>
      </c>
      <c r="AH107" s="190">
        <v>0</v>
      </c>
      <c r="AI107" s="69">
        <f t="shared" si="17"/>
        <v>1</v>
      </c>
    </row>
    <row r="108" spans="1:35" s="69" customFormat="1" ht="26.1" customHeight="1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 t="s">
        <v>15</v>
      </c>
      <c r="I108" s="75">
        <v>331.66</v>
      </c>
      <c r="J108" s="75">
        <v>3979.92</v>
      </c>
      <c r="K108" s="91" t="s">
        <v>313</v>
      </c>
      <c r="L108" s="73"/>
      <c r="M108" s="46">
        <v>0</v>
      </c>
      <c r="N108" s="46">
        <v>0</v>
      </c>
      <c r="O108" s="46">
        <v>0</v>
      </c>
      <c r="P108" s="98"/>
      <c r="Q108" s="23" t="s">
        <v>1472</v>
      </c>
      <c r="R108" s="24" t="s">
        <v>312</v>
      </c>
      <c r="S108" s="25" t="s">
        <v>81</v>
      </c>
      <c r="T108" s="26">
        <v>12</v>
      </c>
      <c r="U108" s="26">
        <v>12</v>
      </c>
      <c r="V108" s="26">
        <f t="shared" si="19"/>
        <v>331.66</v>
      </c>
      <c r="W108" s="26">
        <f t="shared" si="18"/>
        <v>0</v>
      </c>
      <c r="X108" s="26">
        <f t="shared" si="13"/>
        <v>0</v>
      </c>
      <c r="Y108" s="26">
        <f t="shared" si="20"/>
        <v>0</v>
      </c>
      <c r="Z108" s="26">
        <f t="shared" si="14"/>
        <v>0</v>
      </c>
      <c r="AA108" s="33" t="s">
        <v>15</v>
      </c>
      <c r="AB108" s="36" t="s">
        <v>16</v>
      </c>
      <c r="AC108" s="181">
        <f t="shared" si="15"/>
        <v>12</v>
      </c>
      <c r="AD108" s="181">
        <f t="shared" si="21"/>
        <v>3979.92</v>
      </c>
      <c r="AE108" s="181">
        <v>1.2</v>
      </c>
      <c r="AF108" s="181">
        <v>1.2</v>
      </c>
      <c r="AG108" s="101" t="str">
        <f t="shared" si="16"/>
        <v/>
      </c>
      <c r="AH108" s="190">
        <v>0</v>
      </c>
      <c r="AI108" s="69">
        <f t="shared" si="17"/>
        <v>12</v>
      </c>
    </row>
    <row r="109" spans="1:35" s="69" customFormat="1" ht="26.1" customHeight="1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 t="s">
        <v>15</v>
      </c>
      <c r="I109" s="75">
        <v>1096.44</v>
      </c>
      <c r="J109" s="75">
        <v>2192.88</v>
      </c>
      <c r="K109" s="91" t="s">
        <v>316</v>
      </c>
      <c r="L109" s="73"/>
      <c r="M109" s="46">
        <v>0</v>
      </c>
      <c r="N109" s="46">
        <v>0</v>
      </c>
      <c r="O109" s="46">
        <v>0</v>
      </c>
      <c r="P109" s="98"/>
      <c r="Q109" s="23" t="s">
        <v>1473</v>
      </c>
      <c r="R109" s="24" t="s">
        <v>315</v>
      </c>
      <c r="S109" s="25" t="s">
        <v>81</v>
      </c>
      <c r="T109" s="26">
        <v>2</v>
      </c>
      <c r="U109" s="26">
        <v>2</v>
      </c>
      <c r="V109" s="26">
        <f t="shared" si="19"/>
        <v>1096.44</v>
      </c>
      <c r="W109" s="26">
        <f t="shared" si="18"/>
        <v>0</v>
      </c>
      <c r="X109" s="26">
        <f t="shared" si="13"/>
        <v>0</v>
      </c>
      <c r="Y109" s="26">
        <f t="shared" si="20"/>
        <v>0</v>
      </c>
      <c r="Z109" s="26">
        <f t="shared" si="14"/>
        <v>0</v>
      </c>
      <c r="AA109" s="33" t="s">
        <v>15</v>
      </c>
      <c r="AB109" s="36" t="s">
        <v>16</v>
      </c>
      <c r="AC109" s="181">
        <f t="shared" si="15"/>
        <v>2</v>
      </c>
      <c r="AD109" s="181">
        <f t="shared" si="21"/>
        <v>2192.88</v>
      </c>
      <c r="AE109" s="181">
        <v>1.2</v>
      </c>
      <c r="AF109" s="181">
        <v>1.2</v>
      </c>
      <c r="AG109" s="101" t="str">
        <f t="shared" si="16"/>
        <v/>
      </c>
      <c r="AH109" s="190">
        <v>0</v>
      </c>
      <c r="AI109" s="69">
        <f t="shared" si="17"/>
        <v>2</v>
      </c>
    </row>
    <row r="110" spans="1:35" s="69" customFormat="1" ht="26.1" customHeight="1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 t="s">
        <v>15</v>
      </c>
      <c r="I110" s="75">
        <v>952.24</v>
      </c>
      <c r="J110" s="75">
        <v>3808.96</v>
      </c>
      <c r="K110" s="91" t="s">
        <v>319</v>
      </c>
      <c r="L110" s="73"/>
      <c r="M110" s="46">
        <v>0</v>
      </c>
      <c r="N110" s="46">
        <v>0</v>
      </c>
      <c r="O110" s="46">
        <v>0</v>
      </c>
      <c r="P110" s="98"/>
      <c r="Q110" s="23" t="s">
        <v>1474</v>
      </c>
      <c r="R110" s="24" t="s">
        <v>318</v>
      </c>
      <c r="S110" s="25" t="s">
        <v>81</v>
      </c>
      <c r="T110" s="26">
        <v>4</v>
      </c>
      <c r="U110" s="26">
        <v>4</v>
      </c>
      <c r="V110" s="26">
        <f t="shared" si="19"/>
        <v>952.24</v>
      </c>
      <c r="W110" s="26">
        <f t="shared" si="18"/>
        <v>0</v>
      </c>
      <c r="X110" s="26">
        <f t="shared" si="13"/>
        <v>0</v>
      </c>
      <c r="Y110" s="26">
        <f t="shared" si="20"/>
        <v>0</v>
      </c>
      <c r="Z110" s="26">
        <f t="shared" si="14"/>
        <v>0</v>
      </c>
      <c r="AA110" s="33" t="s">
        <v>15</v>
      </c>
      <c r="AB110" s="36" t="s">
        <v>16</v>
      </c>
      <c r="AC110" s="181">
        <f t="shared" si="15"/>
        <v>4</v>
      </c>
      <c r="AD110" s="181">
        <f t="shared" si="21"/>
        <v>3808.96</v>
      </c>
      <c r="AE110" s="181">
        <v>1.2</v>
      </c>
      <c r="AF110" s="181">
        <v>1.2</v>
      </c>
      <c r="AG110" s="101" t="str">
        <f t="shared" si="16"/>
        <v/>
      </c>
      <c r="AH110" s="190">
        <v>0</v>
      </c>
      <c r="AI110" s="69">
        <f t="shared" si="17"/>
        <v>4</v>
      </c>
    </row>
    <row r="111" spans="1:35" s="69" customFormat="1" ht="49.5" x14ac:dyDescent="0.3">
      <c r="A111" s="130" t="s">
        <v>320</v>
      </c>
      <c r="B111" s="240" t="s">
        <v>321</v>
      </c>
      <c r="C111" s="132" t="s">
        <v>50</v>
      </c>
      <c r="D111" s="133">
        <v>676.98</v>
      </c>
      <c r="E111" s="75">
        <v>773.78</v>
      </c>
      <c r="F111" s="75"/>
      <c r="G111" s="75"/>
      <c r="H111" s="75" t="s">
        <v>15</v>
      </c>
      <c r="I111" s="75">
        <v>647.70000000000005</v>
      </c>
      <c r="J111" s="75">
        <v>501177.31</v>
      </c>
      <c r="K111" s="91" t="s">
        <v>322</v>
      </c>
      <c r="L111" s="73"/>
      <c r="M111" s="46">
        <v>354.83</v>
      </c>
      <c r="N111" s="46">
        <v>0</v>
      </c>
      <c r="O111" s="46">
        <v>229823.39</v>
      </c>
      <c r="P111" s="98"/>
      <c r="Q111" s="23" t="s">
        <v>1475</v>
      </c>
      <c r="R111" s="24" t="s">
        <v>321</v>
      </c>
      <c r="S111" s="25" t="s">
        <v>50</v>
      </c>
      <c r="T111" s="26">
        <v>676.98</v>
      </c>
      <c r="U111" s="26">
        <v>773.78</v>
      </c>
      <c r="V111" s="26">
        <f t="shared" si="19"/>
        <v>647.70000000000005</v>
      </c>
      <c r="W111" s="128">
        <f t="shared" si="18"/>
        <v>0</v>
      </c>
      <c r="X111" s="127">
        <f t="shared" si="13"/>
        <v>354.83</v>
      </c>
      <c r="Y111" s="127">
        <f t="shared" si="20"/>
        <v>0</v>
      </c>
      <c r="Z111" s="127">
        <f t="shared" si="14"/>
        <v>229823.39</v>
      </c>
      <c r="AA111" s="27" t="s">
        <v>15</v>
      </c>
      <c r="AB111" s="36" t="s">
        <v>16</v>
      </c>
      <c r="AC111" s="181">
        <f t="shared" si="15"/>
        <v>773.78</v>
      </c>
      <c r="AD111" s="181">
        <f t="shared" si="21"/>
        <v>501177.31</v>
      </c>
      <c r="AE111" s="181">
        <v>1.2</v>
      </c>
      <c r="AF111" s="181">
        <v>1.2</v>
      </c>
      <c r="AG111" s="101" t="str">
        <f t="shared" si="16"/>
        <v/>
      </c>
      <c r="AH111" s="191">
        <v>354.83</v>
      </c>
      <c r="AI111" s="69">
        <f t="shared" si="17"/>
        <v>773.78</v>
      </c>
    </row>
    <row r="112" spans="1:35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 t="s">
        <v>15</v>
      </c>
      <c r="I112" s="75">
        <v>10413.299999999999</v>
      </c>
      <c r="J112" s="75">
        <v>20826.599999999999</v>
      </c>
      <c r="K112" s="91" t="s">
        <v>326</v>
      </c>
      <c r="L112" s="73"/>
      <c r="M112" s="46">
        <v>0</v>
      </c>
      <c r="N112" s="46">
        <v>0</v>
      </c>
      <c r="O112" s="46">
        <v>0</v>
      </c>
      <c r="P112" s="98"/>
      <c r="Q112" s="23" t="s">
        <v>1476</v>
      </c>
      <c r="R112" s="24" t="s">
        <v>324</v>
      </c>
      <c r="S112" s="25" t="s">
        <v>325</v>
      </c>
      <c r="T112" s="26">
        <v>2</v>
      </c>
      <c r="U112" s="26">
        <v>2</v>
      </c>
      <c r="V112" s="26">
        <f t="shared" si="19"/>
        <v>10413.299999999999</v>
      </c>
      <c r="W112" s="26">
        <f t="shared" si="18"/>
        <v>0</v>
      </c>
      <c r="X112" s="26">
        <f t="shared" si="13"/>
        <v>0</v>
      </c>
      <c r="Y112" s="26">
        <f t="shared" si="20"/>
        <v>0</v>
      </c>
      <c r="Z112" s="26">
        <f t="shared" si="14"/>
        <v>0</v>
      </c>
      <c r="AA112" s="33" t="s">
        <v>15</v>
      </c>
      <c r="AB112" s="36" t="s">
        <v>16</v>
      </c>
      <c r="AC112" s="181">
        <f t="shared" si="15"/>
        <v>2</v>
      </c>
      <c r="AD112" s="181">
        <f t="shared" si="21"/>
        <v>20826.599999999999</v>
      </c>
      <c r="AE112" s="181">
        <v>1.2</v>
      </c>
      <c r="AF112" s="181">
        <v>1.2</v>
      </c>
      <c r="AG112" s="101" t="str">
        <f t="shared" si="16"/>
        <v/>
      </c>
      <c r="AH112" s="190">
        <v>0</v>
      </c>
      <c r="AI112" s="69">
        <f t="shared" si="17"/>
        <v>2</v>
      </c>
    </row>
    <row r="113" spans="1:35" s="69" customFormat="1" ht="33" x14ac:dyDescent="0.3">
      <c r="A113" s="130" t="s">
        <v>327</v>
      </c>
      <c r="B113" s="131" t="s">
        <v>328</v>
      </c>
      <c r="C113" s="132" t="s">
        <v>81</v>
      </c>
      <c r="D113" s="133">
        <v>1</v>
      </c>
      <c r="E113" s="75"/>
      <c r="F113" s="75"/>
      <c r="G113" s="75"/>
      <c r="H113" s="75" t="s">
        <v>15</v>
      </c>
      <c r="I113" s="75">
        <v>101421.35</v>
      </c>
      <c r="J113" s="75">
        <v>101421.35</v>
      </c>
      <c r="K113" s="91" t="s">
        <v>329</v>
      </c>
      <c r="L113" s="73"/>
      <c r="M113" s="46">
        <v>1</v>
      </c>
      <c r="N113" s="46">
        <v>0</v>
      </c>
      <c r="O113" s="46">
        <v>101421.35</v>
      </c>
      <c r="P113" s="98"/>
      <c r="Q113" s="23" t="s">
        <v>1477</v>
      </c>
      <c r="R113" s="24" t="s">
        <v>328</v>
      </c>
      <c r="S113" s="25" t="s">
        <v>81</v>
      </c>
      <c r="T113" s="26">
        <v>1</v>
      </c>
      <c r="U113" s="26">
        <v>1</v>
      </c>
      <c r="V113" s="26">
        <f t="shared" si="19"/>
        <v>101421.35</v>
      </c>
      <c r="W113" s="127">
        <f t="shared" si="18"/>
        <v>0</v>
      </c>
      <c r="X113" s="127">
        <f t="shared" si="13"/>
        <v>1</v>
      </c>
      <c r="Y113" s="127">
        <f t="shared" si="20"/>
        <v>0</v>
      </c>
      <c r="Z113" s="127">
        <f t="shared" si="14"/>
        <v>101421.35</v>
      </c>
      <c r="AA113" s="33" t="s">
        <v>15</v>
      </c>
      <c r="AB113" s="36" t="s">
        <v>16</v>
      </c>
      <c r="AC113" s="181">
        <f t="shared" si="15"/>
        <v>1</v>
      </c>
      <c r="AD113" s="181">
        <f t="shared" si="21"/>
        <v>101421.35</v>
      </c>
      <c r="AE113" s="181">
        <v>1.2</v>
      </c>
      <c r="AF113" s="181">
        <v>1.2</v>
      </c>
      <c r="AG113" s="101" t="str">
        <f t="shared" si="16"/>
        <v/>
      </c>
      <c r="AH113" s="190">
        <v>1</v>
      </c>
      <c r="AI113" s="69">
        <f t="shared" si="17"/>
        <v>1</v>
      </c>
    </row>
    <row r="114" spans="1:35" s="69" customFormat="1" ht="33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 t="s">
        <v>15</v>
      </c>
      <c r="I114" s="75">
        <v>4575.26</v>
      </c>
      <c r="J114" s="75">
        <v>13725.78</v>
      </c>
      <c r="K114" s="91" t="s">
        <v>332</v>
      </c>
      <c r="L114" s="73"/>
      <c r="M114" s="46">
        <v>0</v>
      </c>
      <c r="N114" s="46">
        <v>0</v>
      </c>
      <c r="O114" s="46">
        <v>0</v>
      </c>
      <c r="P114" s="98"/>
      <c r="Q114" s="23" t="s">
        <v>1478</v>
      </c>
      <c r="R114" s="24" t="s">
        <v>331</v>
      </c>
      <c r="S114" s="25" t="s">
        <v>325</v>
      </c>
      <c r="T114" s="26">
        <v>3</v>
      </c>
      <c r="U114" s="26">
        <v>3</v>
      </c>
      <c r="V114" s="26">
        <f t="shared" si="19"/>
        <v>4575.26</v>
      </c>
      <c r="W114" s="26">
        <f t="shared" si="18"/>
        <v>0</v>
      </c>
      <c r="X114" s="26">
        <f t="shared" si="13"/>
        <v>0</v>
      </c>
      <c r="Y114" s="26">
        <f t="shared" si="20"/>
        <v>0</v>
      </c>
      <c r="Z114" s="26">
        <f t="shared" si="14"/>
        <v>0</v>
      </c>
      <c r="AA114" s="33" t="s">
        <v>15</v>
      </c>
      <c r="AB114" s="36" t="s">
        <v>16</v>
      </c>
      <c r="AC114" s="181">
        <f t="shared" si="15"/>
        <v>3</v>
      </c>
      <c r="AD114" s="181">
        <f t="shared" si="21"/>
        <v>13725.78</v>
      </c>
      <c r="AE114" s="181">
        <v>1.2</v>
      </c>
      <c r="AF114" s="181">
        <v>1.2</v>
      </c>
      <c r="AG114" s="101" t="str">
        <f t="shared" si="16"/>
        <v/>
      </c>
      <c r="AH114" s="190">
        <v>0</v>
      </c>
      <c r="AI114" s="69">
        <f t="shared" si="17"/>
        <v>3</v>
      </c>
    </row>
    <row r="115" spans="1:35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 t="s">
        <v>15</v>
      </c>
      <c r="I115" s="75">
        <v>12634.43</v>
      </c>
      <c r="J115" s="75">
        <v>12634.43</v>
      </c>
      <c r="K115" s="91" t="s">
        <v>335</v>
      </c>
      <c r="L115" s="73"/>
      <c r="M115" s="46">
        <v>0</v>
      </c>
      <c r="N115" s="46">
        <v>0</v>
      </c>
      <c r="O115" s="46">
        <v>0</v>
      </c>
      <c r="P115" s="98"/>
      <c r="Q115" s="23" t="s">
        <v>1479</v>
      </c>
      <c r="R115" s="24" t="s">
        <v>334</v>
      </c>
      <c r="S115" s="25" t="s">
        <v>81</v>
      </c>
      <c r="T115" s="26">
        <v>1</v>
      </c>
      <c r="U115" s="26">
        <v>1</v>
      </c>
      <c r="V115" s="26">
        <f t="shared" si="19"/>
        <v>12634.43</v>
      </c>
      <c r="W115" s="26">
        <f t="shared" si="18"/>
        <v>0</v>
      </c>
      <c r="X115" s="26">
        <f t="shared" si="13"/>
        <v>0</v>
      </c>
      <c r="Y115" s="26">
        <f t="shared" si="20"/>
        <v>0</v>
      </c>
      <c r="Z115" s="26">
        <f t="shared" si="14"/>
        <v>0</v>
      </c>
      <c r="AA115" s="33" t="s">
        <v>15</v>
      </c>
      <c r="AB115" s="36" t="s">
        <v>16</v>
      </c>
      <c r="AC115" s="181">
        <f t="shared" si="15"/>
        <v>1</v>
      </c>
      <c r="AD115" s="181">
        <f t="shared" si="21"/>
        <v>12634.43</v>
      </c>
      <c r="AE115" s="181">
        <v>1.2</v>
      </c>
      <c r="AF115" s="181">
        <v>1.2</v>
      </c>
      <c r="AG115" s="101" t="str">
        <f t="shared" si="16"/>
        <v/>
      </c>
      <c r="AH115" s="190">
        <v>0</v>
      </c>
      <c r="AI115" s="69">
        <f t="shared" si="17"/>
        <v>1</v>
      </c>
    </row>
    <row r="116" spans="1:35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 t="s">
        <v>15</v>
      </c>
      <c r="I116" s="75">
        <v>15300</v>
      </c>
      <c r="J116" s="75">
        <v>974304</v>
      </c>
      <c r="K116" s="91" t="s">
        <v>339</v>
      </c>
      <c r="L116" s="73"/>
      <c r="M116" s="46">
        <v>57.5</v>
      </c>
      <c r="N116" s="46">
        <v>333540</v>
      </c>
      <c r="O116" s="46">
        <v>879750</v>
      </c>
      <c r="P116" s="98"/>
      <c r="Q116" s="23" t="s">
        <v>1480</v>
      </c>
      <c r="R116" s="24" t="s">
        <v>337</v>
      </c>
      <c r="S116" s="25" t="s">
        <v>338</v>
      </c>
      <c r="T116" s="26">
        <v>63.68</v>
      </c>
      <c r="U116" s="26">
        <v>63.68</v>
      </c>
      <c r="V116" s="26">
        <f t="shared" si="19"/>
        <v>15300</v>
      </c>
      <c r="W116" s="243">
        <f t="shared" si="18"/>
        <v>0</v>
      </c>
      <c r="X116" s="26">
        <f t="shared" si="13"/>
        <v>57.5</v>
      </c>
      <c r="Y116" s="26">
        <f t="shared" si="20"/>
        <v>0</v>
      </c>
      <c r="Z116" s="26">
        <f t="shared" si="14"/>
        <v>879750</v>
      </c>
      <c r="AA116" s="33" t="s">
        <v>15</v>
      </c>
      <c r="AB116" s="36" t="s">
        <v>16</v>
      </c>
      <c r="AC116" s="181">
        <f t="shared" si="15"/>
        <v>63.68</v>
      </c>
      <c r="AD116" s="181">
        <f t="shared" si="21"/>
        <v>974304</v>
      </c>
      <c r="AE116" s="181">
        <v>1.2</v>
      </c>
      <c r="AF116" s="181">
        <v>1.2</v>
      </c>
      <c r="AG116" s="101" t="str">
        <f t="shared" si="16"/>
        <v/>
      </c>
      <c r="AH116" s="191">
        <f>35.7+21.8</f>
        <v>57.5</v>
      </c>
      <c r="AI116" s="69">
        <f t="shared" si="17"/>
        <v>63.68</v>
      </c>
    </row>
    <row r="117" spans="1:35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 t="s">
        <v>15</v>
      </c>
      <c r="I117" s="75">
        <v>4498.58</v>
      </c>
      <c r="J117" s="75">
        <v>278911.96000000002</v>
      </c>
      <c r="K117" s="91" t="s">
        <v>342</v>
      </c>
      <c r="L117" s="73"/>
      <c r="M117" s="46">
        <v>19</v>
      </c>
      <c r="N117" s="46">
        <v>13495.740000000005</v>
      </c>
      <c r="O117" s="46">
        <v>85473.02</v>
      </c>
      <c r="P117" s="98"/>
      <c r="Q117" s="23" t="s">
        <v>1481</v>
      </c>
      <c r="R117" s="24" t="s">
        <v>341</v>
      </c>
      <c r="S117" s="25" t="s">
        <v>81</v>
      </c>
      <c r="T117" s="26">
        <v>62</v>
      </c>
      <c r="U117" s="26">
        <v>62</v>
      </c>
      <c r="V117" s="26">
        <f t="shared" si="19"/>
        <v>4498.58</v>
      </c>
      <c r="W117" s="243">
        <f t="shared" si="18"/>
        <v>0</v>
      </c>
      <c r="X117" s="26">
        <f t="shared" si="13"/>
        <v>19</v>
      </c>
      <c r="Y117" s="26">
        <f t="shared" si="20"/>
        <v>0</v>
      </c>
      <c r="Z117" s="26">
        <f t="shared" si="14"/>
        <v>85473.02</v>
      </c>
      <c r="AA117" s="33" t="s">
        <v>15</v>
      </c>
      <c r="AB117" s="36" t="s">
        <v>16</v>
      </c>
      <c r="AC117" s="181">
        <f t="shared" si="15"/>
        <v>62</v>
      </c>
      <c r="AD117" s="181">
        <f t="shared" si="21"/>
        <v>278911.96000000002</v>
      </c>
      <c r="AE117" s="181">
        <v>1.2</v>
      </c>
      <c r="AF117" s="181">
        <v>1.2</v>
      </c>
      <c r="AG117" s="101" t="str">
        <f t="shared" si="16"/>
        <v/>
      </c>
      <c r="AH117" s="191">
        <f>16+3</f>
        <v>19</v>
      </c>
      <c r="AI117" s="69">
        <f t="shared" si="17"/>
        <v>62</v>
      </c>
    </row>
    <row r="118" spans="1:35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 t="s">
        <v>15</v>
      </c>
      <c r="I118" s="75">
        <v>3353.68</v>
      </c>
      <c r="J118" s="75">
        <v>50305.2</v>
      </c>
      <c r="K118" s="91" t="s">
        <v>345</v>
      </c>
      <c r="L118" s="73"/>
      <c r="M118" s="46">
        <v>8</v>
      </c>
      <c r="N118" s="46">
        <v>20122.079999999998</v>
      </c>
      <c r="O118" s="46">
        <v>26829.439999999999</v>
      </c>
      <c r="P118" s="98"/>
      <c r="Q118" s="23" t="s">
        <v>1482</v>
      </c>
      <c r="R118" s="24" t="s">
        <v>344</v>
      </c>
      <c r="S118" s="25" t="s">
        <v>81</v>
      </c>
      <c r="T118" s="26">
        <v>15</v>
      </c>
      <c r="U118" s="26">
        <v>15</v>
      </c>
      <c r="V118" s="26">
        <f t="shared" si="19"/>
        <v>3353.68</v>
      </c>
      <c r="W118" s="243">
        <f t="shared" si="18"/>
        <v>0</v>
      </c>
      <c r="X118" s="26">
        <f t="shared" si="13"/>
        <v>8</v>
      </c>
      <c r="Y118" s="26">
        <f t="shared" si="20"/>
        <v>0</v>
      </c>
      <c r="Z118" s="26">
        <f t="shared" si="14"/>
        <v>26829.439999999999</v>
      </c>
      <c r="AA118" s="33" t="s">
        <v>15</v>
      </c>
      <c r="AB118" s="36" t="s">
        <v>16</v>
      </c>
      <c r="AC118" s="181">
        <f t="shared" si="15"/>
        <v>15</v>
      </c>
      <c r="AD118" s="181">
        <f t="shared" si="21"/>
        <v>50305.2</v>
      </c>
      <c r="AE118" s="181">
        <v>1.2</v>
      </c>
      <c r="AF118" s="181">
        <v>1.2</v>
      </c>
      <c r="AG118" s="101" t="str">
        <f t="shared" si="16"/>
        <v/>
      </c>
      <c r="AH118" s="191">
        <f>2+6</f>
        <v>8</v>
      </c>
      <c r="AI118" s="69">
        <f t="shared" si="17"/>
        <v>15</v>
      </c>
    </row>
    <row r="119" spans="1:35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 t="s">
        <v>15</v>
      </c>
      <c r="I119" s="75">
        <v>9874.4</v>
      </c>
      <c r="J119" s="75">
        <v>128367.2</v>
      </c>
      <c r="K119" s="91" t="s">
        <v>348</v>
      </c>
      <c r="L119" s="73"/>
      <c r="M119" s="46">
        <v>0</v>
      </c>
      <c r="N119" s="46">
        <v>0</v>
      </c>
      <c r="O119" s="46">
        <v>0</v>
      </c>
      <c r="P119" s="98"/>
      <c r="Q119" s="23" t="s">
        <v>1483</v>
      </c>
      <c r="R119" s="24" t="s">
        <v>347</v>
      </c>
      <c r="S119" s="25" t="s">
        <v>30</v>
      </c>
      <c r="T119" s="26">
        <v>13</v>
      </c>
      <c r="U119" s="26">
        <v>13</v>
      </c>
      <c r="V119" s="26">
        <f t="shared" si="19"/>
        <v>9874.4</v>
      </c>
      <c r="W119" s="26">
        <f t="shared" si="18"/>
        <v>0</v>
      </c>
      <c r="X119" s="26">
        <f t="shared" si="13"/>
        <v>0</v>
      </c>
      <c r="Y119" s="26">
        <f t="shared" si="20"/>
        <v>0</v>
      </c>
      <c r="Z119" s="26">
        <f t="shared" si="14"/>
        <v>0</v>
      </c>
      <c r="AA119" s="33" t="s">
        <v>15</v>
      </c>
      <c r="AB119" s="36" t="s">
        <v>16</v>
      </c>
      <c r="AC119" s="181">
        <f t="shared" si="15"/>
        <v>13</v>
      </c>
      <c r="AD119" s="181">
        <f t="shared" si="21"/>
        <v>128367.2</v>
      </c>
      <c r="AE119" s="181">
        <v>1.2</v>
      </c>
      <c r="AF119" s="181">
        <v>1.2</v>
      </c>
      <c r="AG119" s="101" t="str">
        <f t="shared" si="16"/>
        <v/>
      </c>
      <c r="AH119" s="190">
        <v>0</v>
      </c>
      <c r="AI119" s="69">
        <f t="shared" si="17"/>
        <v>13</v>
      </c>
    </row>
    <row r="120" spans="1:35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 t="s">
        <v>15</v>
      </c>
      <c r="I120" s="75">
        <v>6554.37</v>
      </c>
      <c r="J120" s="75">
        <v>273317.23</v>
      </c>
      <c r="K120" s="91" t="s">
        <v>351</v>
      </c>
      <c r="L120" s="73"/>
      <c r="M120" s="46">
        <v>0</v>
      </c>
      <c r="N120" s="46">
        <v>0</v>
      </c>
      <c r="O120" s="46">
        <v>0</v>
      </c>
      <c r="P120" s="98"/>
      <c r="Q120" s="23" t="s">
        <v>1484</v>
      </c>
      <c r="R120" s="24" t="s">
        <v>350</v>
      </c>
      <c r="S120" s="25" t="s">
        <v>30</v>
      </c>
      <c r="T120" s="26">
        <v>41.7</v>
      </c>
      <c r="U120" s="26">
        <v>41.7</v>
      </c>
      <c r="V120" s="26">
        <f t="shared" si="19"/>
        <v>6554.37</v>
      </c>
      <c r="W120" s="26">
        <f t="shared" si="18"/>
        <v>0</v>
      </c>
      <c r="X120" s="26">
        <f t="shared" si="13"/>
        <v>0</v>
      </c>
      <c r="Y120" s="26">
        <f t="shared" si="20"/>
        <v>0</v>
      </c>
      <c r="Z120" s="26">
        <f t="shared" si="14"/>
        <v>0</v>
      </c>
      <c r="AA120" s="33" t="s">
        <v>15</v>
      </c>
      <c r="AB120" s="36" t="s">
        <v>16</v>
      </c>
      <c r="AC120" s="181">
        <f t="shared" si="15"/>
        <v>41.7</v>
      </c>
      <c r="AD120" s="181">
        <f t="shared" si="21"/>
        <v>273317.23</v>
      </c>
      <c r="AE120" s="181">
        <v>1.2</v>
      </c>
      <c r="AF120" s="181">
        <v>1.2</v>
      </c>
      <c r="AG120" s="101" t="str">
        <f t="shared" si="16"/>
        <v/>
      </c>
      <c r="AH120" s="190">
        <v>0</v>
      </c>
      <c r="AI120" s="69">
        <f t="shared" si="17"/>
        <v>41.7</v>
      </c>
    </row>
    <row r="121" spans="1:35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 t="s">
        <v>15</v>
      </c>
      <c r="I121" s="75">
        <v>8390.73</v>
      </c>
      <c r="J121" s="75">
        <v>10907.95</v>
      </c>
      <c r="K121" s="91" t="s">
        <v>354</v>
      </c>
      <c r="L121" s="73"/>
      <c r="M121" s="46">
        <v>0</v>
      </c>
      <c r="N121" s="46">
        <v>0</v>
      </c>
      <c r="O121" s="46">
        <v>0</v>
      </c>
      <c r="P121" s="98"/>
      <c r="Q121" s="23" t="s">
        <v>1485</v>
      </c>
      <c r="R121" s="24" t="s">
        <v>353</v>
      </c>
      <c r="S121" s="25" t="s">
        <v>30</v>
      </c>
      <c r="T121" s="26">
        <v>1.3</v>
      </c>
      <c r="U121" s="26">
        <v>1.3</v>
      </c>
      <c r="V121" s="26">
        <f t="shared" si="19"/>
        <v>8390.73</v>
      </c>
      <c r="W121" s="26">
        <f t="shared" si="18"/>
        <v>0</v>
      </c>
      <c r="X121" s="26">
        <f t="shared" si="13"/>
        <v>0</v>
      </c>
      <c r="Y121" s="26">
        <f t="shared" si="20"/>
        <v>0</v>
      </c>
      <c r="Z121" s="26">
        <f t="shared" si="14"/>
        <v>0</v>
      </c>
      <c r="AA121" s="33" t="s">
        <v>15</v>
      </c>
      <c r="AB121" s="36" t="s">
        <v>16</v>
      </c>
      <c r="AC121" s="181">
        <f t="shared" si="15"/>
        <v>1.3</v>
      </c>
      <c r="AD121" s="181">
        <f t="shared" si="21"/>
        <v>10907.95</v>
      </c>
      <c r="AE121" s="181">
        <v>1.2</v>
      </c>
      <c r="AF121" s="181">
        <v>1.2</v>
      </c>
      <c r="AG121" s="101" t="str">
        <f t="shared" si="16"/>
        <v/>
      </c>
      <c r="AH121" s="190">
        <v>0</v>
      </c>
      <c r="AI121" s="69">
        <f t="shared" si="17"/>
        <v>1.3</v>
      </c>
    </row>
    <row r="122" spans="1:35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 t="s">
        <v>15</v>
      </c>
      <c r="I122" s="75">
        <v>671.99</v>
      </c>
      <c r="J122" s="75">
        <v>82184.38</v>
      </c>
      <c r="K122" s="91" t="s">
        <v>357</v>
      </c>
      <c r="L122" s="73"/>
      <c r="M122" s="46">
        <v>0</v>
      </c>
      <c r="N122" s="46">
        <v>0</v>
      </c>
      <c r="O122" s="46">
        <v>0</v>
      </c>
      <c r="P122" s="98"/>
      <c r="Q122" s="23" t="s">
        <v>1486</v>
      </c>
      <c r="R122" s="24" t="s">
        <v>356</v>
      </c>
      <c r="S122" s="25" t="s">
        <v>30</v>
      </c>
      <c r="T122" s="26">
        <v>122.3</v>
      </c>
      <c r="U122" s="26">
        <v>122.3</v>
      </c>
      <c r="V122" s="26">
        <f t="shared" si="19"/>
        <v>671.99</v>
      </c>
      <c r="W122" s="26">
        <f t="shared" si="18"/>
        <v>0</v>
      </c>
      <c r="X122" s="26">
        <f t="shared" si="13"/>
        <v>0</v>
      </c>
      <c r="Y122" s="26">
        <f t="shared" si="20"/>
        <v>0</v>
      </c>
      <c r="Z122" s="26">
        <f t="shared" si="14"/>
        <v>0</v>
      </c>
      <c r="AA122" s="33" t="s">
        <v>15</v>
      </c>
      <c r="AB122" s="36" t="s">
        <v>16</v>
      </c>
      <c r="AC122" s="181">
        <f t="shared" si="15"/>
        <v>122.3</v>
      </c>
      <c r="AD122" s="181">
        <f t="shared" si="21"/>
        <v>82184.38</v>
      </c>
      <c r="AE122" s="181">
        <v>1.2</v>
      </c>
      <c r="AF122" s="181">
        <v>1.2</v>
      </c>
      <c r="AG122" s="101" t="str">
        <f t="shared" si="16"/>
        <v/>
      </c>
      <c r="AH122" s="190">
        <v>0</v>
      </c>
      <c r="AI122" s="69">
        <f t="shared" si="17"/>
        <v>122.3</v>
      </c>
    </row>
    <row r="123" spans="1:35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 t="s">
        <v>15</v>
      </c>
      <c r="I123" s="75">
        <v>935.67</v>
      </c>
      <c r="J123" s="75">
        <v>94512.03</v>
      </c>
      <c r="K123" s="91" t="s">
        <v>360</v>
      </c>
      <c r="L123" s="73"/>
      <c r="M123" s="46">
        <v>0</v>
      </c>
      <c r="N123" s="46">
        <v>0</v>
      </c>
      <c r="O123" s="46">
        <v>0</v>
      </c>
      <c r="P123" s="98"/>
      <c r="Q123" s="23" t="s">
        <v>1487</v>
      </c>
      <c r="R123" s="24" t="s">
        <v>359</v>
      </c>
      <c r="S123" s="25" t="s">
        <v>30</v>
      </c>
      <c r="T123" s="26">
        <v>101.01</v>
      </c>
      <c r="U123" s="26">
        <v>101.01</v>
      </c>
      <c r="V123" s="26">
        <f t="shared" si="19"/>
        <v>935.67</v>
      </c>
      <c r="W123" s="26">
        <f t="shared" si="18"/>
        <v>0</v>
      </c>
      <c r="X123" s="26">
        <f t="shared" si="13"/>
        <v>0</v>
      </c>
      <c r="Y123" s="26">
        <f t="shared" si="20"/>
        <v>0</v>
      </c>
      <c r="Z123" s="26">
        <f t="shared" si="14"/>
        <v>0</v>
      </c>
      <c r="AA123" s="33" t="s">
        <v>15</v>
      </c>
      <c r="AB123" s="36" t="s">
        <v>16</v>
      </c>
      <c r="AC123" s="181">
        <f t="shared" si="15"/>
        <v>101.01</v>
      </c>
      <c r="AD123" s="181">
        <f t="shared" si="21"/>
        <v>94512.03</v>
      </c>
      <c r="AE123" s="181">
        <v>1.2</v>
      </c>
      <c r="AF123" s="181">
        <v>1.2</v>
      </c>
      <c r="AG123" s="101" t="str">
        <f t="shared" si="16"/>
        <v/>
      </c>
      <c r="AH123" s="190">
        <v>0</v>
      </c>
      <c r="AI123" s="69">
        <f t="shared" si="17"/>
        <v>101.01</v>
      </c>
    </row>
    <row r="124" spans="1:35" s="69" customFormat="1" ht="33" x14ac:dyDescent="0.3">
      <c r="A124" s="55" t="s">
        <v>361</v>
      </c>
      <c r="B124" s="211" t="s">
        <v>362</v>
      </c>
      <c r="C124" s="54" t="s">
        <v>30</v>
      </c>
      <c r="D124" s="75">
        <v>489</v>
      </c>
      <c r="E124" s="75"/>
      <c r="F124" s="75"/>
      <c r="G124" s="75"/>
      <c r="H124" s="75" t="s">
        <v>15</v>
      </c>
      <c r="I124" s="75">
        <v>658.31</v>
      </c>
      <c r="J124" s="75">
        <v>321913.59000000003</v>
      </c>
      <c r="K124" s="91" t="s">
        <v>363</v>
      </c>
      <c r="L124" s="73"/>
      <c r="M124" s="46">
        <v>277.7</v>
      </c>
      <c r="N124" s="46">
        <v>0</v>
      </c>
      <c r="O124" s="46">
        <v>182812.69</v>
      </c>
      <c r="P124" s="98"/>
      <c r="Q124" s="23" t="s">
        <v>1488</v>
      </c>
      <c r="R124" s="24" t="s">
        <v>362</v>
      </c>
      <c r="S124" s="25" t="s">
        <v>30</v>
      </c>
      <c r="T124" s="26">
        <v>489</v>
      </c>
      <c r="U124" s="26">
        <v>489</v>
      </c>
      <c r="V124" s="26">
        <f t="shared" si="19"/>
        <v>658.31</v>
      </c>
      <c r="W124" s="243">
        <f t="shared" si="18"/>
        <v>0</v>
      </c>
      <c r="X124" s="26">
        <f t="shared" si="13"/>
        <v>277.7</v>
      </c>
      <c r="Y124" s="26">
        <f t="shared" si="20"/>
        <v>0</v>
      </c>
      <c r="Z124" s="26">
        <f t="shared" si="14"/>
        <v>182812.69</v>
      </c>
      <c r="AA124" s="33" t="s">
        <v>15</v>
      </c>
      <c r="AB124" s="36" t="s">
        <v>16</v>
      </c>
      <c r="AC124" s="181">
        <f t="shared" si="15"/>
        <v>489</v>
      </c>
      <c r="AD124" s="181">
        <f t="shared" si="21"/>
        <v>321913.59000000003</v>
      </c>
      <c r="AE124" s="181">
        <v>1.2</v>
      </c>
      <c r="AF124" s="181">
        <v>1.2</v>
      </c>
      <c r="AG124" s="101" t="str">
        <f t="shared" si="16"/>
        <v/>
      </c>
      <c r="AH124" s="191">
        <v>277.7</v>
      </c>
      <c r="AI124" s="69">
        <f t="shared" si="17"/>
        <v>489</v>
      </c>
    </row>
    <row r="125" spans="1:35" s="69" customFormat="1" ht="33" x14ac:dyDescent="0.3">
      <c r="A125" s="55" t="s">
        <v>364</v>
      </c>
      <c r="B125" s="211" t="s">
        <v>3111</v>
      </c>
      <c r="C125" s="54" t="s">
        <v>30</v>
      </c>
      <c r="D125" s="75">
        <v>216</v>
      </c>
      <c r="E125" s="75"/>
      <c r="F125" s="75"/>
      <c r="G125" s="75"/>
      <c r="H125" s="75" t="s">
        <v>15</v>
      </c>
      <c r="I125" s="75">
        <v>730.41</v>
      </c>
      <c r="J125" s="75">
        <v>157768.56</v>
      </c>
      <c r="K125" s="91" t="s">
        <v>366</v>
      </c>
      <c r="L125" s="73"/>
      <c r="M125" s="46">
        <v>120</v>
      </c>
      <c r="N125" s="46">
        <v>0</v>
      </c>
      <c r="O125" s="46">
        <v>87649.2</v>
      </c>
      <c r="P125" s="98"/>
      <c r="Q125" s="23" t="s">
        <v>1489</v>
      </c>
      <c r="R125" s="24" t="s">
        <v>365</v>
      </c>
      <c r="S125" s="25" t="s">
        <v>30</v>
      </c>
      <c r="T125" s="26">
        <v>216</v>
      </c>
      <c r="U125" s="26">
        <v>216</v>
      </c>
      <c r="V125" s="26">
        <f t="shared" si="19"/>
        <v>730.41</v>
      </c>
      <c r="W125" s="243">
        <f t="shared" si="18"/>
        <v>0</v>
      </c>
      <c r="X125" s="26">
        <f t="shared" si="13"/>
        <v>120</v>
      </c>
      <c r="Y125" s="26">
        <f t="shared" si="20"/>
        <v>0</v>
      </c>
      <c r="Z125" s="26">
        <f t="shared" si="14"/>
        <v>87649.2</v>
      </c>
      <c r="AA125" s="33" t="s">
        <v>15</v>
      </c>
      <c r="AB125" s="36" t="s">
        <v>16</v>
      </c>
      <c r="AC125" s="181">
        <f t="shared" si="15"/>
        <v>216</v>
      </c>
      <c r="AD125" s="181">
        <f t="shared" si="21"/>
        <v>157768.56</v>
      </c>
      <c r="AE125" s="181">
        <v>1.2</v>
      </c>
      <c r="AF125" s="181">
        <v>1.2</v>
      </c>
      <c r="AG125" s="101" t="str">
        <f t="shared" si="16"/>
        <v/>
      </c>
      <c r="AH125" s="191">
        <v>120</v>
      </c>
      <c r="AI125" s="69">
        <f t="shared" si="17"/>
        <v>216</v>
      </c>
    </row>
    <row r="126" spans="1:35" s="69" customFormat="1" ht="33" x14ac:dyDescent="0.3">
      <c r="A126" s="55" t="s">
        <v>367</v>
      </c>
      <c r="B126" s="53" t="s">
        <v>368</v>
      </c>
      <c r="C126" s="54" t="s">
        <v>30</v>
      </c>
      <c r="D126" s="75">
        <v>45.16</v>
      </c>
      <c r="E126" s="75"/>
      <c r="F126" s="75"/>
      <c r="G126" s="75"/>
      <c r="H126" s="75" t="s">
        <v>15</v>
      </c>
      <c r="I126" s="75">
        <v>406.4</v>
      </c>
      <c r="J126" s="75">
        <v>18353.02</v>
      </c>
      <c r="K126" s="91" t="s">
        <v>369</v>
      </c>
      <c r="L126" s="73"/>
      <c r="M126" s="46">
        <v>0</v>
      </c>
      <c r="N126" s="46">
        <v>0</v>
      </c>
      <c r="O126" s="46">
        <v>0</v>
      </c>
      <c r="P126" s="98"/>
      <c r="Q126" s="23" t="s">
        <v>1398</v>
      </c>
      <c r="R126" s="24" t="s">
        <v>368</v>
      </c>
      <c r="S126" s="25" t="s">
        <v>30</v>
      </c>
      <c r="T126" s="26">
        <v>45.16</v>
      </c>
      <c r="U126" s="26">
        <v>45.16</v>
      </c>
      <c r="V126" s="26">
        <f t="shared" si="19"/>
        <v>406.4</v>
      </c>
      <c r="W126" s="26">
        <f t="shared" si="18"/>
        <v>0</v>
      </c>
      <c r="X126" s="26">
        <f t="shared" si="13"/>
        <v>0</v>
      </c>
      <c r="Y126" s="26">
        <f t="shared" si="20"/>
        <v>0</v>
      </c>
      <c r="Z126" s="26">
        <f t="shared" si="14"/>
        <v>0</v>
      </c>
      <c r="AA126" s="33" t="s">
        <v>15</v>
      </c>
      <c r="AB126" s="36" t="s">
        <v>16</v>
      </c>
      <c r="AC126" s="181">
        <f t="shared" si="15"/>
        <v>45.16</v>
      </c>
      <c r="AD126" s="181">
        <f t="shared" si="21"/>
        <v>18353.02</v>
      </c>
      <c r="AE126" s="181">
        <v>1.2</v>
      </c>
      <c r="AF126" s="181">
        <v>1.2</v>
      </c>
      <c r="AG126" s="101" t="str">
        <f t="shared" si="16"/>
        <v/>
      </c>
      <c r="AH126" s="190">
        <v>0</v>
      </c>
      <c r="AI126" s="69">
        <f t="shared" si="17"/>
        <v>45.16</v>
      </c>
    </row>
    <row r="127" spans="1:35" s="69" customFormat="1" ht="33" x14ac:dyDescent="0.3">
      <c r="A127" s="55" t="s">
        <v>370</v>
      </c>
      <c r="B127" s="211" t="s">
        <v>371</v>
      </c>
      <c r="C127" s="54" t="s">
        <v>30</v>
      </c>
      <c r="D127" s="75">
        <v>116.8</v>
      </c>
      <c r="E127" s="75"/>
      <c r="F127" s="75"/>
      <c r="G127" s="75"/>
      <c r="H127" s="75" t="s">
        <v>15</v>
      </c>
      <c r="I127" s="75">
        <v>457.9</v>
      </c>
      <c r="J127" s="75">
        <v>53482.720000000001</v>
      </c>
      <c r="K127" s="91" t="s">
        <v>372</v>
      </c>
      <c r="L127" s="73"/>
      <c r="M127" s="46">
        <v>83.2</v>
      </c>
      <c r="N127" s="46">
        <v>14286.48</v>
      </c>
      <c r="O127" s="46">
        <v>38097.279999999999</v>
      </c>
      <c r="P127" s="98"/>
      <c r="Q127" s="23" t="s">
        <v>1399</v>
      </c>
      <c r="R127" s="24" t="s">
        <v>371</v>
      </c>
      <c r="S127" s="25" t="s">
        <v>30</v>
      </c>
      <c r="T127" s="26">
        <v>116.8</v>
      </c>
      <c r="U127" s="26">
        <v>116.8</v>
      </c>
      <c r="V127" s="26">
        <f t="shared" si="19"/>
        <v>457.9</v>
      </c>
      <c r="W127" s="243">
        <f t="shared" si="18"/>
        <v>0</v>
      </c>
      <c r="X127" s="26">
        <f t="shared" si="13"/>
        <v>83.2</v>
      </c>
      <c r="Y127" s="26">
        <f t="shared" si="20"/>
        <v>0</v>
      </c>
      <c r="Z127" s="26">
        <f t="shared" si="14"/>
        <v>38097.279999999999</v>
      </c>
      <c r="AA127" s="33" t="s">
        <v>15</v>
      </c>
      <c r="AB127" s="36" t="s">
        <v>16</v>
      </c>
      <c r="AC127" s="181">
        <f t="shared" si="15"/>
        <v>116.8</v>
      </c>
      <c r="AD127" s="181">
        <f t="shared" si="21"/>
        <v>53482.720000000001</v>
      </c>
      <c r="AE127" s="181">
        <v>1.2</v>
      </c>
      <c r="AF127" s="181">
        <v>1.2</v>
      </c>
      <c r="AG127" s="101" t="str">
        <f t="shared" si="16"/>
        <v/>
      </c>
      <c r="AH127" s="191">
        <f>52+31.2</f>
        <v>83.2</v>
      </c>
      <c r="AI127" s="69">
        <f t="shared" si="17"/>
        <v>116.8</v>
      </c>
    </row>
    <row r="128" spans="1:35" s="69" customFormat="1" ht="39" x14ac:dyDescent="0.3">
      <c r="A128" s="55" t="s">
        <v>373</v>
      </c>
      <c r="B128" s="53" t="s">
        <v>374</v>
      </c>
      <c r="C128" s="54" t="s">
        <v>30</v>
      </c>
      <c r="D128" s="75">
        <v>25.8</v>
      </c>
      <c r="E128" s="75"/>
      <c r="F128" s="75"/>
      <c r="G128" s="75"/>
      <c r="H128" s="75" t="s">
        <v>15</v>
      </c>
      <c r="I128" s="75">
        <v>499.1</v>
      </c>
      <c r="J128" s="75">
        <v>12876.78</v>
      </c>
      <c r="K128" s="91" t="s">
        <v>375</v>
      </c>
      <c r="L128" s="73"/>
      <c r="M128" s="46">
        <v>0</v>
      </c>
      <c r="N128" s="46">
        <v>0</v>
      </c>
      <c r="O128" s="46">
        <v>0</v>
      </c>
      <c r="P128" s="98"/>
      <c r="Q128" s="23" t="s">
        <v>1490</v>
      </c>
      <c r="R128" s="24" t="s">
        <v>374</v>
      </c>
      <c r="S128" s="25" t="s">
        <v>30</v>
      </c>
      <c r="T128" s="26">
        <v>25.8</v>
      </c>
      <c r="U128" s="26">
        <v>25.8</v>
      </c>
      <c r="V128" s="26">
        <f t="shared" si="19"/>
        <v>499.1</v>
      </c>
      <c r="W128" s="26">
        <f t="shared" si="18"/>
        <v>0</v>
      </c>
      <c r="X128" s="26">
        <f t="shared" si="13"/>
        <v>0</v>
      </c>
      <c r="Y128" s="26">
        <f t="shared" si="20"/>
        <v>0</v>
      </c>
      <c r="Z128" s="26">
        <f t="shared" si="14"/>
        <v>0</v>
      </c>
      <c r="AA128" s="33" t="s">
        <v>15</v>
      </c>
      <c r="AB128" s="36" t="s">
        <v>16</v>
      </c>
      <c r="AC128" s="181">
        <f t="shared" si="15"/>
        <v>25.8</v>
      </c>
      <c r="AD128" s="181">
        <f t="shared" si="21"/>
        <v>12876.78</v>
      </c>
      <c r="AE128" s="181">
        <v>1.2</v>
      </c>
      <c r="AF128" s="181">
        <v>1.2</v>
      </c>
      <c r="AG128" s="101" t="str">
        <f t="shared" si="16"/>
        <v/>
      </c>
      <c r="AH128" s="190">
        <v>0</v>
      </c>
      <c r="AI128" s="69">
        <f t="shared" si="17"/>
        <v>25.8</v>
      </c>
    </row>
    <row r="129" spans="1:38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 t="s">
        <v>15</v>
      </c>
      <c r="I129" s="75">
        <v>545.85</v>
      </c>
      <c r="J129" s="75">
        <v>29415.86</v>
      </c>
      <c r="K129" s="91" t="s">
        <v>378</v>
      </c>
      <c r="L129" s="73"/>
      <c r="M129" s="46">
        <v>0</v>
      </c>
      <c r="N129" s="46">
        <v>0</v>
      </c>
      <c r="O129" s="46">
        <v>0</v>
      </c>
      <c r="P129" s="98"/>
      <c r="Q129" s="23" t="s">
        <v>1491</v>
      </c>
      <c r="R129" s="24" t="s">
        <v>377</v>
      </c>
      <c r="S129" s="25" t="s">
        <v>30</v>
      </c>
      <c r="T129" s="26">
        <v>53.89</v>
      </c>
      <c r="U129" s="26">
        <v>53.89</v>
      </c>
      <c r="V129" s="26">
        <f t="shared" si="19"/>
        <v>545.85</v>
      </c>
      <c r="W129" s="26">
        <f t="shared" si="18"/>
        <v>0</v>
      </c>
      <c r="X129" s="26">
        <f t="shared" si="13"/>
        <v>0</v>
      </c>
      <c r="Y129" s="26">
        <f t="shared" si="20"/>
        <v>0</v>
      </c>
      <c r="Z129" s="26">
        <f t="shared" si="14"/>
        <v>0</v>
      </c>
      <c r="AA129" s="33" t="s">
        <v>15</v>
      </c>
      <c r="AB129" s="36" t="s">
        <v>16</v>
      </c>
      <c r="AC129" s="181">
        <f t="shared" si="15"/>
        <v>53.89</v>
      </c>
      <c r="AD129" s="181">
        <f t="shared" si="21"/>
        <v>29415.86</v>
      </c>
      <c r="AE129" s="181">
        <v>1.2</v>
      </c>
      <c r="AF129" s="181">
        <v>1.2</v>
      </c>
      <c r="AG129" s="101" t="str">
        <f t="shared" si="16"/>
        <v/>
      </c>
      <c r="AH129" s="190">
        <v>0</v>
      </c>
      <c r="AI129" s="69">
        <f t="shared" si="17"/>
        <v>53.89</v>
      </c>
    </row>
    <row r="130" spans="1:38" s="69" customFormat="1" ht="33" x14ac:dyDescent="0.3">
      <c r="A130" s="55" t="s">
        <v>379</v>
      </c>
      <c r="B130" s="53" t="s">
        <v>380</v>
      </c>
      <c r="C130" s="54" t="s">
        <v>30</v>
      </c>
      <c r="D130" s="75">
        <v>21</v>
      </c>
      <c r="E130" s="75"/>
      <c r="F130" s="75"/>
      <c r="G130" s="75"/>
      <c r="H130" s="75" t="s">
        <v>15</v>
      </c>
      <c r="I130" s="75">
        <v>644.09</v>
      </c>
      <c r="J130" s="75">
        <v>13525.89</v>
      </c>
      <c r="K130" s="91" t="s">
        <v>381</v>
      </c>
      <c r="L130" s="73"/>
      <c r="M130" s="46">
        <v>0</v>
      </c>
      <c r="N130" s="46">
        <v>0</v>
      </c>
      <c r="O130" s="46">
        <v>0</v>
      </c>
      <c r="P130" s="98"/>
      <c r="Q130" s="23" t="s">
        <v>1492</v>
      </c>
      <c r="R130" s="24" t="s">
        <v>380</v>
      </c>
      <c r="S130" s="25" t="s">
        <v>30</v>
      </c>
      <c r="T130" s="26">
        <v>21</v>
      </c>
      <c r="U130" s="26">
        <v>21</v>
      </c>
      <c r="V130" s="26">
        <f t="shared" si="19"/>
        <v>644.09</v>
      </c>
      <c r="W130" s="26">
        <f t="shared" si="18"/>
        <v>0</v>
      </c>
      <c r="X130" s="26">
        <f t="shared" si="13"/>
        <v>0</v>
      </c>
      <c r="Y130" s="26">
        <f t="shared" si="20"/>
        <v>0</v>
      </c>
      <c r="Z130" s="26">
        <f t="shared" si="14"/>
        <v>0</v>
      </c>
      <c r="AA130" s="33" t="s">
        <v>15</v>
      </c>
      <c r="AB130" s="36" t="s">
        <v>16</v>
      </c>
      <c r="AC130" s="181">
        <f t="shared" si="15"/>
        <v>21</v>
      </c>
      <c r="AD130" s="181">
        <f t="shared" si="21"/>
        <v>13525.89</v>
      </c>
      <c r="AE130" s="181">
        <v>1.2</v>
      </c>
      <c r="AF130" s="181">
        <v>1.2</v>
      </c>
      <c r="AG130" s="101" t="str">
        <f t="shared" si="16"/>
        <v/>
      </c>
      <c r="AH130" s="190">
        <v>0</v>
      </c>
      <c r="AI130" s="69">
        <f t="shared" si="17"/>
        <v>21</v>
      </c>
    </row>
    <row r="131" spans="1:38" s="69" customFormat="1" ht="33" x14ac:dyDescent="0.3">
      <c r="A131" s="55" t="s">
        <v>382</v>
      </c>
      <c r="B131" s="53" t="s">
        <v>383</v>
      </c>
      <c r="C131" s="54" t="s">
        <v>30</v>
      </c>
      <c r="D131" s="75">
        <v>275.60000000000002</v>
      </c>
      <c r="E131" s="75"/>
      <c r="F131" s="75"/>
      <c r="G131" s="75"/>
      <c r="H131" s="75" t="s">
        <v>15</v>
      </c>
      <c r="I131" s="75">
        <v>7340.41</v>
      </c>
      <c r="J131" s="75">
        <v>2023017</v>
      </c>
      <c r="K131" s="91" t="s">
        <v>384</v>
      </c>
      <c r="L131" s="73"/>
      <c r="M131" s="46">
        <v>0</v>
      </c>
      <c r="N131" s="46">
        <v>0</v>
      </c>
      <c r="O131" s="46">
        <v>0</v>
      </c>
      <c r="P131" s="98"/>
      <c r="Q131" s="23" t="s">
        <v>1493</v>
      </c>
      <c r="R131" s="24" t="s">
        <v>383</v>
      </c>
      <c r="S131" s="25" t="s">
        <v>30</v>
      </c>
      <c r="T131" s="26">
        <v>275.60000000000002</v>
      </c>
      <c r="U131" s="26">
        <v>275.60000000000002</v>
      </c>
      <c r="V131" s="26">
        <f t="shared" si="19"/>
        <v>7340.41</v>
      </c>
      <c r="W131" s="243">
        <f t="shared" si="18"/>
        <v>182.3</v>
      </c>
      <c r="X131" s="26">
        <f t="shared" si="13"/>
        <v>182.3</v>
      </c>
      <c r="Y131" s="26">
        <f t="shared" si="20"/>
        <v>1338156.74</v>
      </c>
      <c r="Z131" s="26">
        <f t="shared" si="14"/>
        <v>1338156.74</v>
      </c>
      <c r="AA131" s="33" t="s">
        <v>15</v>
      </c>
      <c r="AB131" s="36" t="s">
        <v>16</v>
      </c>
      <c r="AC131" s="181">
        <f t="shared" si="15"/>
        <v>275.60000000000002</v>
      </c>
      <c r="AD131" s="181">
        <f t="shared" si="21"/>
        <v>2023017</v>
      </c>
      <c r="AE131" s="181">
        <v>1.2</v>
      </c>
      <c r="AF131" s="181">
        <v>1.2</v>
      </c>
      <c r="AG131" s="101" t="str">
        <f t="shared" si="16"/>
        <v/>
      </c>
      <c r="AH131" s="191">
        <f>182.3</f>
        <v>182.3</v>
      </c>
      <c r="AI131" s="69">
        <f t="shared" si="17"/>
        <v>275.60000000000002</v>
      </c>
    </row>
    <row r="132" spans="1:38" s="69" customFormat="1" ht="33" x14ac:dyDescent="0.3">
      <c r="A132" s="130" t="s">
        <v>385</v>
      </c>
      <c r="B132" s="131" t="s">
        <v>386</v>
      </c>
      <c r="C132" s="132" t="s">
        <v>81</v>
      </c>
      <c r="D132" s="133">
        <v>1</v>
      </c>
      <c r="E132" s="75"/>
      <c r="F132" s="75"/>
      <c r="G132" s="75"/>
      <c r="H132" s="75" t="s">
        <v>15</v>
      </c>
      <c r="I132" s="75">
        <v>913345.81</v>
      </c>
      <c r="J132" s="75">
        <v>913345.81</v>
      </c>
      <c r="K132" s="91" t="s">
        <v>387</v>
      </c>
      <c r="L132" s="73"/>
      <c r="M132" s="46">
        <v>1</v>
      </c>
      <c r="N132" s="46">
        <v>0</v>
      </c>
      <c r="O132" s="46">
        <v>913345.81</v>
      </c>
      <c r="P132" s="98"/>
      <c r="Q132" s="23" t="s">
        <v>1494</v>
      </c>
      <c r="R132" s="24" t="s">
        <v>386</v>
      </c>
      <c r="S132" s="25" t="s">
        <v>81</v>
      </c>
      <c r="T132" s="26">
        <v>1</v>
      </c>
      <c r="U132" s="26">
        <v>1</v>
      </c>
      <c r="V132" s="26">
        <f t="shared" si="19"/>
        <v>913345.81</v>
      </c>
      <c r="W132" s="127">
        <f t="shared" si="18"/>
        <v>0</v>
      </c>
      <c r="X132" s="127">
        <f t="shared" si="13"/>
        <v>1</v>
      </c>
      <c r="Y132" s="127">
        <f t="shared" si="20"/>
        <v>0</v>
      </c>
      <c r="Z132" s="127">
        <f t="shared" si="14"/>
        <v>913345.81</v>
      </c>
      <c r="AA132" s="33" t="s">
        <v>15</v>
      </c>
      <c r="AB132" s="36" t="s">
        <v>16</v>
      </c>
      <c r="AC132" s="181">
        <f t="shared" si="15"/>
        <v>1</v>
      </c>
      <c r="AD132" s="181">
        <f t="shared" si="21"/>
        <v>913345.81</v>
      </c>
      <c r="AE132" s="181">
        <v>1.2</v>
      </c>
      <c r="AF132" s="181">
        <v>1.2</v>
      </c>
      <c r="AG132" s="101" t="str">
        <f t="shared" si="16"/>
        <v/>
      </c>
      <c r="AH132" s="191">
        <v>1</v>
      </c>
      <c r="AI132" s="69">
        <f t="shared" si="17"/>
        <v>1</v>
      </c>
    </row>
    <row r="133" spans="1:38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 t="s">
        <v>15</v>
      </c>
      <c r="I133" s="82"/>
      <c r="J133" s="82">
        <v>62087911.219999999</v>
      </c>
      <c r="K133" s="94" t="s">
        <v>15</v>
      </c>
      <c r="L133" s="73"/>
      <c r="M133" s="45">
        <v>1</v>
      </c>
      <c r="N133" s="45">
        <v>84633</v>
      </c>
      <c r="O133" s="45">
        <v>57955263.420000017</v>
      </c>
      <c r="P133" s="98"/>
      <c r="Q133" s="18" t="s">
        <v>1381</v>
      </c>
      <c r="R133" s="19" t="s">
        <v>389</v>
      </c>
      <c r="S133" s="20" t="s">
        <v>14</v>
      </c>
      <c r="T133" s="21">
        <v>1</v>
      </c>
      <c r="U133" s="21"/>
      <c r="V133" s="21">
        <f>SUMIFS(AD:AD,AE:AE,AE133)</f>
        <v>62087911.219999999</v>
      </c>
      <c r="W133" s="21">
        <f t="shared" ref="W133:X133" si="22">IF(Y133=0,0,1)</f>
        <v>1</v>
      </c>
      <c r="X133" s="21">
        <f t="shared" si="22"/>
        <v>1</v>
      </c>
      <c r="Y133" s="21">
        <f>SUMIFS(Y:Y,AF:AF,AE133)</f>
        <v>827150.6</v>
      </c>
      <c r="Z133" s="21">
        <f>SUMIFS(Z:Z,AF:AF,AE133)</f>
        <v>58782414.020000018</v>
      </c>
      <c r="AA133" s="22" t="s">
        <v>15</v>
      </c>
      <c r="AB133" s="43" t="s">
        <v>16</v>
      </c>
      <c r="AC133" s="181">
        <f t="shared" si="15"/>
        <v>1</v>
      </c>
      <c r="AD133" s="184"/>
      <c r="AE133" s="184">
        <v>1.3</v>
      </c>
      <c r="AF133" s="184"/>
      <c r="AG133" s="101" t="str">
        <f t="shared" si="16"/>
        <v/>
      </c>
      <c r="AH133" s="190">
        <v>1</v>
      </c>
      <c r="AI133" s="69">
        <f t="shared" si="17"/>
        <v>1</v>
      </c>
    </row>
    <row r="134" spans="1:38" s="69" customFormat="1" ht="39" x14ac:dyDescent="0.3">
      <c r="A134" s="130" t="s">
        <v>390</v>
      </c>
      <c r="B134" s="131" t="s">
        <v>102</v>
      </c>
      <c r="C134" s="132" t="s">
        <v>103</v>
      </c>
      <c r="D134" s="133">
        <v>274.45</v>
      </c>
      <c r="E134" s="75"/>
      <c r="F134" s="75"/>
      <c r="G134" s="75"/>
      <c r="H134" s="75" t="s">
        <v>15</v>
      </c>
      <c r="I134" s="75">
        <v>320.74</v>
      </c>
      <c r="J134" s="75">
        <v>88027.09</v>
      </c>
      <c r="K134" s="91" t="s">
        <v>104</v>
      </c>
      <c r="L134" s="73"/>
      <c r="M134" s="46">
        <v>225</v>
      </c>
      <c r="N134" s="46">
        <v>0</v>
      </c>
      <c r="O134" s="46">
        <v>72166.5</v>
      </c>
      <c r="P134" s="98"/>
      <c r="Q134" s="23" t="s">
        <v>1421</v>
      </c>
      <c r="R134" s="24" t="s">
        <v>102</v>
      </c>
      <c r="S134" s="25" t="s">
        <v>103</v>
      </c>
      <c r="T134" s="26">
        <v>274.45</v>
      </c>
      <c r="U134" s="26">
        <v>274.45</v>
      </c>
      <c r="V134" s="26">
        <f t="shared" si="19"/>
        <v>320.74</v>
      </c>
      <c r="W134" s="127">
        <f t="shared" ref="W134:W176" si="23">AH134-M134</f>
        <v>0</v>
      </c>
      <c r="X134" s="127">
        <f t="shared" ref="X134:X176" si="24">W134+M134</f>
        <v>225</v>
      </c>
      <c r="Y134" s="127">
        <f t="shared" ref="Y134:Y176" si="25">Z134-O134</f>
        <v>0</v>
      </c>
      <c r="Z134" s="127">
        <f t="shared" si="14"/>
        <v>72166.5</v>
      </c>
      <c r="AA134" s="33" t="s">
        <v>15</v>
      </c>
      <c r="AB134" s="36" t="s">
        <v>16</v>
      </c>
      <c r="AC134" s="181">
        <f t="shared" si="15"/>
        <v>274.45</v>
      </c>
      <c r="AD134" s="181">
        <f t="shared" ref="AD134:AD176" si="26">ROUND(V134*AC134,2)</f>
        <v>88027.09</v>
      </c>
      <c r="AE134" s="181">
        <v>1.3</v>
      </c>
      <c r="AF134" s="181">
        <v>1.3</v>
      </c>
      <c r="AG134" s="101" t="str">
        <f t="shared" si="16"/>
        <v/>
      </c>
      <c r="AH134" s="190">
        <v>225</v>
      </c>
      <c r="AI134" s="69">
        <f t="shared" si="17"/>
        <v>274.45</v>
      </c>
    </row>
    <row r="135" spans="1:38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 t="s">
        <v>15</v>
      </c>
      <c r="I135" s="75">
        <v>3115.13</v>
      </c>
      <c r="J135" s="75">
        <v>137751.04999999999</v>
      </c>
      <c r="K135" s="91" t="s">
        <v>114</v>
      </c>
      <c r="L135" s="73"/>
      <c r="M135" s="46">
        <v>16.79</v>
      </c>
      <c r="N135" s="46">
        <v>0</v>
      </c>
      <c r="O135" s="46">
        <v>52303.03</v>
      </c>
      <c r="P135" s="98"/>
      <c r="Q135" s="23" t="s">
        <v>1426</v>
      </c>
      <c r="R135" s="24" t="s">
        <v>392</v>
      </c>
      <c r="S135" s="25" t="s">
        <v>23</v>
      </c>
      <c r="T135" s="26">
        <v>44.22</v>
      </c>
      <c r="U135" s="26">
        <v>44.22</v>
      </c>
      <c r="V135" s="26">
        <f t="shared" si="19"/>
        <v>3115.13</v>
      </c>
      <c r="W135" s="26">
        <f t="shared" si="23"/>
        <v>0</v>
      </c>
      <c r="X135" s="26">
        <f t="shared" si="24"/>
        <v>16.79</v>
      </c>
      <c r="Y135" s="26">
        <f t="shared" si="25"/>
        <v>0</v>
      </c>
      <c r="Z135" s="26">
        <f t="shared" si="14"/>
        <v>52303.03</v>
      </c>
      <c r="AA135" s="33" t="s">
        <v>15</v>
      </c>
      <c r="AB135" s="36" t="s">
        <v>16</v>
      </c>
      <c r="AC135" s="181">
        <f t="shared" si="15"/>
        <v>44.22</v>
      </c>
      <c r="AD135" s="181">
        <f t="shared" si="26"/>
        <v>137751.04999999999</v>
      </c>
      <c r="AE135" s="181">
        <v>1.3</v>
      </c>
      <c r="AF135" s="181">
        <v>1.3</v>
      </c>
      <c r="AG135" s="101" t="str">
        <f t="shared" si="16"/>
        <v/>
      </c>
      <c r="AH135" s="190">
        <v>16.79</v>
      </c>
      <c r="AI135" s="69">
        <f t="shared" si="17"/>
        <v>44.22</v>
      </c>
    </row>
    <row r="136" spans="1:38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 t="s">
        <v>15</v>
      </c>
      <c r="I136" s="75">
        <v>3321.13</v>
      </c>
      <c r="J136" s="75">
        <v>318728.84999999998</v>
      </c>
      <c r="K136" s="91" t="s">
        <v>117</v>
      </c>
      <c r="L136" s="73"/>
      <c r="M136" s="46">
        <v>26.5</v>
      </c>
      <c r="N136" s="46">
        <v>0</v>
      </c>
      <c r="O136" s="46">
        <v>88009.95</v>
      </c>
      <c r="P136" s="98"/>
      <c r="Q136" s="23" t="s">
        <v>1402</v>
      </c>
      <c r="R136" s="24" t="s">
        <v>116</v>
      </c>
      <c r="S136" s="25" t="s">
        <v>23</v>
      </c>
      <c r="T136" s="26">
        <v>95.97</v>
      </c>
      <c r="U136" s="26">
        <v>95.97</v>
      </c>
      <c r="V136" s="26">
        <f t="shared" si="19"/>
        <v>3321.13</v>
      </c>
      <c r="W136" s="128">
        <f t="shared" si="23"/>
        <v>0</v>
      </c>
      <c r="X136" s="26">
        <f t="shared" si="24"/>
        <v>26.5</v>
      </c>
      <c r="Y136" s="26">
        <f t="shared" si="25"/>
        <v>0</v>
      </c>
      <c r="Z136" s="26">
        <f t="shared" si="14"/>
        <v>88009.95</v>
      </c>
      <c r="AA136" s="33" t="s">
        <v>15</v>
      </c>
      <c r="AB136" s="36" t="s">
        <v>16</v>
      </c>
      <c r="AC136" s="181">
        <f t="shared" si="15"/>
        <v>95.97</v>
      </c>
      <c r="AD136" s="181">
        <f t="shared" si="26"/>
        <v>318728.84999999998</v>
      </c>
      <c r="AE136" s="181">
        <v>1.3</v>
      </c>
      <c r="AF136" s="181">
        <v>1.3</v>
      </c>
      <c r="AG136" s="101" t="str">
        <f t="shared" si="16"/>
        <v/>
      </c>
      <c r="AH136" s="191">
        <v>26.5</v>
      </c>
      <c r="AI136" s="69">
        <f t="shared" si="17"/>
        <v>95.97</v>
      </c>
    </row>
    <row r="137" spans="1:38" s="69" customFormat="1" ht="39" x14ac:dyDescent="0.3">
      <c r="A137" s="130" t="s">
        <v>394</v>
      </c>
      <c r="B137" s="131" t="s">
        <v>395</v>
      </c>
      <c r="C137" s="132" t="s">
        <v>23</v>
      </c>
      <c r="D137" s="133">
        <v>1216.8</v>
      </c>
      <c r="E137" s="75"/>
      <c r="F137" s="75"/>
      <c r="G137" s="75"/>
      <c r="H137" s="133">
        <v>709.04</v>
      </c>
      <c r="I137" s="75">
        <v>3643.73</v>
      </c>
      <c r="J137" s="75">
        <v>2583550.3199999998</v>
      </c>
      <c r="K137" s="91" t="s">
        <v>396</v>
      </c>
      <c r="L137" s="73"/>
      <c r="M137" s="46">
        <v>645.58000000000004</v>
      </c>
      <c r="N137" s="46">
        <v>0</v>
      </c>
      <c r="O137" s="46">
        <v>2352319.21</v>
      </c>
      <c r="P137" s="98"/>
      <c r="Q137" s="23" t="s">
        <v>1373</v>
      </c>
      <c r="R137" s="24" t="s">
        <v>395</v>
      </c>
      <c r="S137" s="25" t="s">
        <v>23</v>
      </c>
      <c r="T137" s="26">
        <v>1216.8</v>
      </c>
      <c r="U137" s="26">
        <v>709.04</v>
      </c>
      <c r="V137" s="26">
        <f t="shared" si="19"/>
        <v>3643.73</v>
      </c>
      <c r="W137" s="127">
        <f t="shared" si="23"/>
        <v>0</v>
      </c>
      <c r="X137" s="127">
        <f t="shared" si="24"/>
        <v>645.58000000000004</v>
      </c>
      <c r="Y137" s="127">
        <f t="shared" si="25"/>
        <v>0</v>
      </c>
      <c r="Z137" s="127">
        <f t="shared" si="14"/>
        <v>2352319.21</v>
      </c>
      <c r="AA137" s="33" t="s">
        <v>15</v>
      </c>
      <c r="AB137" s="36" t="s">
        <v>16</v>
      </c>
      <c r="AC137" s="181">
        <f t="shared" si="15"/>
        <v>709.04</v>
      </c>
      <c r="AD137" s="181">
        <f t="shared" si="26"/>
        <v>2583550.3199999998</v>
      </c>
      <c r="AE137" s="181">
        <v>1.3</v>
      </c>
      <c r="AF137" s="181">
        <v>1.3</v>
      </c>
      <c r="AG137" s="101" t="str">
        <f t="shared" si="16"/>
        <v/>
      </c>
      <c r="AH137" s="191">
        <v>645.58000000000004</v>
      </c>
      <c r="AI137" s="69">
        <f t="shared" si="17"/>
        <v>1216.8</v>
      </c>
      <c r="AL137" s="195">
        <v>388.56</v>
      </c>
    </row>
    <row r="138" spans="1:38" s="69" customFormat="1" ht="33" x14ac:dyDescent="0.3">
      <c r="A138" s="130" t="s">
        <v>397</v>
      </c>
      <c r="B138" s="122" t="s">
        <v>109</v>
      </c>
      <c r="C138" s="132" t="s">
        <v>110</v>
      </c>
      <c r="D138" s="133">
        <v>4788.7700000000004</v>
      </c>
      <c r="E138" s="75"/>
      <c r="F138" s="75"/>
      <c r="G138" s="75"/>
      <c r="H138" s="75" t="s">
        <v>15</v>
      </c>
      <c r="I138" s="75">
        <v>36.4</v>
      </c>
      <c r="J138" s="75">
        <v>174311.23</v>
      </c>
      <c r="K138" s="91" t="s">
        <v>111</v>
      </c>
      <c r="L138" s="73"/>
      <c r="M138" s="46">
        <v>4778</v>
      </c>
      <c r="N138" s="46">
        <v>0</v>
      </c>
      <c r="O138" s="46">
        <v>173919.2</v>
      </c>
      <c r="P138" s="98"/>
      <c r="Q138" s="23" t="s">
        <v>1393</v>
      </c>
      <c r="R138" s="24" t="s">
        <v>109</v>
      </c>
      <c r="S138" s="25" t="s">
        <v>110</v>
      </c>
      <c r="T138" s="26">
        <v>4788.7700000000004</v>
      </c>
      <c r="U138" s="26">
        <v>4788.7700000000004</v>
      </c>
      <c r="V138" s="26">
        <f t="shared" si="19"/>
        <v>36.4</v>
      </c>
      <c r="W138" s="127">
        <f t="shared" si="23"/>
        <v>0</v>
      </c>
      <c r="X138" s="127">
        <f t="shared" si="24"/>
        <v>4778</v>
      </c>
      <c r="Y138" s="127">
        <f t="shared" si="25"/>
        <v>0</v>
      </c>
      <c r="Z138" s="127">
        <f t="shared" si="14"/>
        <v>173919.2</v>
      </c>
      <c r="AA138" s="33" t="s">
        <v>15</v>
      </c>
      <c r="AB138" s="36" t="s">
        <v>16</v>
      </c>
      <c r="AC138" s="181">
        <f t="shared" si="15"/>
        <v>4788.7700000000004</v>
      </c>
      <c r="AD138" s="181">
        <f t="shared" si="26"/>
        <v>174311.23</v>
      </c>
      <c r="AE138" s="181">
        <v>1.3</v>
      </c>
      <c r="AF138" s="181">
        <v>1.3</v>
      </c>
      <c r="AG138" s="101" t="str">
        <f t="shared" si="16"/>
        <v/>
      </c>
      <c r="AH138" s="193">
        <v>4778</v>
      </c>
      <c r="AI138" s="69">
        <f t="shared" si="17"/>
        <v>4788.7700000000004</v>
      </c>
      <c r="AL138" s="195">
        <v>4788.7700000000004</v>
      </c>
    </row>
    <row r="139" spans="1:38" s="69" customFormat="1" ht="33" x14ac:dyDescent="0.3">
      <c r="A139" s="130" t="s">
        <v>398</v>
      </c>
      <c r="B139" s="122" t="s">
        <v>399</v>
      </c>
      <c r="C139" s="132" t="s">
        <v>110</v>
      </c>
      <c r="D139" s="133">
        <v>205535.32</v>
      </c>
      <c r="E139" s="75"/>
      <c r="F139" s="75"/>
      <c r="G139" s="75"/>
      <c r="H139" s="75" t="s">
        <v>15</v>
      </c>
      <c r="I139" s="75">
        <v>38.71</v>
      </c>
      <c r="J139" s="75">
        <v>7956272.2400000002</v>
      </c>
      <c r="K139" s="91" t="s">
        <v>400</v>
      </c>
      <c r="L139" s="73"/>
      <c r="M139" s="46">
        <v>202264.52</v>
      </c>
      <c r="N139" s="46">
        <v>0</v>
      </c>
      <c r="O139" s="46">
        <v>7829659.5700000003</v>
      </c>
      <c r="P139" s="98"/>
      <c r="Q139" s="23" t="s">
        <v>1403</v>
      </c>
      <c r="R139" s="24" t="s">
        <v>399</v>
      </c>
      <c r="S139" s="25" t="s">
        <v>110</v>
      </c>
      <c r="T139" s="26">
        <v>205535.32</v>
      </c>
      <c r="U139" s="26">
        <v>205535.32</v>
      </c>
      <c r="V139" s="26">
        <f t="shared" si="19"/>
        <v>38.71</v>
      </c>
      <c r="W139" s="127">
        <f t="shared" si="23"/>
        <v>0</v>
      </c>
      <c r="X139" s="127">
        <f t="shared" si="24"/>
        <v>202264.52</v>
      </c>
      <c r="Y139" s="127">
        <f t="shared" si="25"/>
        <v>0</v>
      </c>
      <c r="Z139" s="127">
        <f t="shared" ref="Z139:Z203" si="27">ROUND(V139*X139,2)</f>
        <v>7829659.5700000003</v>
      </c>
      <c r="AA139" s="33" t="s">
        <v>15</v>
      </c>
      <c r="AB139" s="36" t="s">
        <v>16</v>
      </c>
      <c r="AC139" s="181">
        <f t="shared" ref="AC139:AC202" si="28">IF(U139="",T139,U139)</f>
        <v>205535.32</v>
      </c>
      <c r="AD139" s="181">
        <f t="shared" si="26"/>
        <v>7956272.2400000002</v>
      </c>
      <c r="AE139" s="181">
        <v>1.3</v>
      </c>
      <c r="AF139" s="181">
        <v>1.3</v>
      </c>
      <c r="AG139" s="101" t="str">
        <f t="shared" ref="AG139:AG202" si="29">IF(X139&gt;AI139,"超估","")</f>
        <v/>
      </c>
      <c r="AH139" s="190">
        <v>202264.52</v>
      </c>
      <c r="AI139" s="69">
        <f t="shared" ref="AI139:AI202" si="30">IF(G139=0,IF(F139=0,IF(E139=0,D139,E139),F139),G139)</f>
        <v>205535.32</v>
      </c>
      <c r="AL139" s="195">
        <v>72641</v>
      </c>
    </row>
    <row r="140" spans="1:38" s="69" customFormat="1" ht="33" x14ac:dyDescent="0.3">
      <c r="A140" s="130" t="s">
        <v>401</v>
      </c>
      <c r="B140" s="131" t="s">
        <v>402</v>
      </c>
      <c r="C140" s="132" t="s">
        <v>50</v>
      </c>
      <c r="D140" s="133">
        <v>320.89999999999998</v>
      </c>
      <c r="E140" s="75"/>
      <c r="F140" s="75"/>
      <c r="G140" s="75"/>
      <c r="H140" s="133">
        <v>351.33</v>
      </c>
      <c r="I140" s="75">
        <v>1154.98</v>
      </c>
      <c r="J140" s="75">
        <v>405779.12</v>
      </c>
      <c r="K140" s="91" t="s">
        <v>403</v>
      </c>
      <c r="L140" s="73"/>
      <c r="M140" s="46">
        <v>320.08999999999997</v>
      </c>
      <c r="N140" s="46">
        <v>0</v>
      </c>
      <c r="O140" s="46">
        <v>369697.55</v>
      </c>
      <c r="P140" s="98"/>
      <c r="Q140" s="23" t="s">
        <v>1427</v>
      </c>
      <c r="R140" s="24" t="s">
        <v>402</v>
      </c>
      <c r="S140" s="25" t="s">
        <v>50</v>
      </c>
      <c r="T140" s="26">
        <v>320.89999999999998</v>
      </c>
      <c r="U140" s="26">
        <v>351.33</v>
      </c>
      <c r="V140" s="26">
        <f t="shared" si="19"/>
        <v>1154.98</v>
      </c>
      <c r="W140" s="127">
        <f t="shared" si="23"/>
        <v>0</v>
      </c>
      <c r="X140" s="127">
        <f t="shared" si="24"/>
        <v>320.08999999999997</v>
      </c>
      <c r="Y140" s="127">
        <f t="shared" si="25"/>
        <v>0</v>
      </c>
      <c r="Z140" s="127">
        <f t="shared" si="27"/>
        <v>369697.55</v>
      </c>
      <c r="AA140" s="33" t="s">
        <v>15</v>
      </c>
      <c r="AB140" s="36" t="s">
        <v>16</v>
      </c>
      <c r="AC140" s="181">
        <f t="shared" si="28"/>
        <v>351.33</v>
      </c>
      <c r="AD140" s="181">
        <f t="shared" si="26"/>
        <v>405779.12</v>
      </c>
      <c r="AE140" s="181">
        <v>1.3</v>
      </c>
      <c r="AF140" s="181">
        <v>1.3</v>
      </c>
      <c r="AG140" s="101" t="str">
        <f t="shared" si="29"/>
        <v/>
      </c>
      <c r="AH140" s="191">
        <v>320.08999999999997</v>
      </c>
      <c r="AI140" s="69">
        <f t="shared" si="30"/>
        <v>320.89999999999998</v>
      </c>
      <c r="AL140" s="195">
        <v>351.34</v>
      </c>
    </row>
    <row r="141" spans="1:38" s="69" customFormat="1" ht="57.75" x14ac:dyDescent="0.3">
      <c r="A141" s="130" t="s">
        <v>404</v>
      </c>
      <c r="B141" s="131" t="s">
        <v>405</v>
      </c>
      <c r="C141" s="132" t="s">
        <v>50</v>
      </c>
      <c r="D141" s="133">
        <v>493.85</v>
      </c>
      <c r="E141" s="203"/>
      <c r="F141" s="203"/>
      <c r="G141" s="203"/>
      <c r="H141" s="133">
        <v>574.89</v>
      </c>
      <c r="I141" s="75">
        <v>982.98</v>
      </c>
      <c r="J141" s="75">
        <v>565105.37</v>
      </c>
      <c r="K141" s="91" t="s">
        <v>406</v>
      </c>
      <c r="L141" s="73"/>
      <c r="M141" s="46">
        <v>493.85</v>
      </c>
      <c r="N141" s="46">
        <v>0</v>
      </c>
      <c r="O141" s="46">
        <v>485444.67</v>
      </c>
      <c r="P141" s="98"/>
      <c r="Q141" s="23" t="s">
        <v>1428</v>
      </c>
      <c r="R141" s="24" t="s">
        <v>405</v>
      </c>
      <c r="S141" s="25" t="s">
        <v>50</v>
      </c>
      <c r="T141" s="26">
        <v>493.85</v>
      </c>
      <c r="U141" s="26">
        <v>574.89</v>
      </c>
      <c r="V141" s="26">
        <f t="shared" si="19"/>
        <v>982.98</v>
      </c>
      <c r="W141" s="127">
        <f t="shared" si="23"/>
        <v>0</v>
      </c>
      <c r="X141" s="127">
        <f t="shared" si="24"/>
        <v>493.85</v>
      </c>
      <c r="Y141" s="127">
        <f t="shared" si="25"/>
        <v>0</v>
      </c>
      <c r="Z141" s="127">
        <f t="shared" si="27"/>
        <v>485444.67</v>
      </c>
      <c r="AA141" s="33" t="s">
        <v>15</v>
      </c>
      <c r="AB141" s="36" t="s">
        <v>16</v>
      </c>
      <c r="AC141" s="181">
        <f t="shared" si="28"/>
        <v>574.89</v>
      </c>
      <c r="AD141" s="181">
        <f t="shared" si="26"/>
        <v>565105.37</v>
      </c>
      <c r="AE141" s="181">
        <v>1.3</v>
      </c>
      <c r="AF141" s="181">
        <v>1.3</v>
      </c>
      <c r="AG141" s="101" t="str">
        <f t="shared" si="29"/>
        <v/>
      </c>
      <c r="AH141" s="192">
        <v>493.85</v>
      </c>
      <c r="AI141" s="69">
        <f t="shared" si="30"/>
        <v>493.85</v>
      </c>
      <c r="AL141" s="195">
        <v>574.89200000000017</v>
      </c>
    </row>
    <row r="142" spans="1:38" s="69" customFormat="1" ht="41.25" x14ac:dyDescent="0.3">
      <c r="A142" s="130" t="s">
        <v>407</v>
      </c>
      <c r="B142" s="131" t="s">
        <v>408</v>
      </c>
      <c r="C142" s="132" t="s">
        <v>50</v>
      </c>
      <c r="D142" s="133">
        <v>126.48</v>
      </c>
      <c r="E142" s="203"/>
      <c r="F142" s="203"/>
      <c r="G142" s="203"/>
      <c r="H142" s="133">
        <v>138</v>
      </c>
      <c r="I142" s="75">
        <v>804.79</v>
      </c>
      <c r="J142" s="75">
        <v>111061.02</v>
      </c>
      <c r="K142" s="91" t="s">
        <v>409</v>
      </c>
      <c r="L142" s="73"/>
      <c r="M142" s="46">
        <v>126.48</v>
      </c>
      <c r="N142" s="46">
        <v>0</v>
      </c>
      <c r="O142" s="46">
        <v>101789.84</v>
      </c>
      <c r="P142" s="98"/>
      <c r="Q142" s="23" t="s">
        <v>1387</v>
      </c>
      <c r="R142" s="24" t="s">
        <v>408</v>
      </c>
      <c r="S142" s="25" t="s">
        <v>50</v>
      </c>
      <c r="T142" s="26">
        <v>126.48</v>
      </c>
      <c r="U142" s="26">
        <v>138</v>
      </c>
      <c r="V142" s="26">
        <f t="shared" si="19"/>
        <v>804.79</v>
      </c>
      <c r="W142" s="127">
        <f t="shared" si="23"/>
        <v>0</v>
      </c>
      <c r="X142" s="127">
        <f t="shared" si="24"/>
        <v>126.48</v>
      </c>
      <c r="Y142" s="127">
        <f t="shared" si="25"/>
        <v>0</v>
      </c>
      <c r="Z142" s="127">
        <f t="shared" si="27"/>
        <v>101789.84</v>
      </c>
      <c r="AA142" s="33" t="s">
        <v>15</v>
      </c>
      <c r="AB142" s="36" t="s">
        <v>16</v>
      </c>
      <c r="AC142" s="181">
        <f t="shared" si="28"/>
        <v>138</v>
      </c>
      <c r="AD142" s="181">
        <f t="shared" si="26"/>
        <v>111061.02</v>
      </c>
      <c r="AE142" s="181">
        <v>1.3</v>
      </c>
      <c r="AF142" s="181">
        <v>1.3</v>
      </c>
      <c r="AG142" s="101" t="str">
        <f t="shared" si="29"/>
        <v/>
      </c>
      <c r="AH142" s="192">
        <v>126.48</v>
      </c>
      <c r="AI142" s="69">
        <f t="shared" si="30"/>
        <v>126.48</v>
      </c>
      <c r="AL142" s="195">
        <v>120</v>
      </c>
    </row>
    <row r="143" spans="1:38" s="69" customFormat="1" ht="33" x14ac:dyDescent="0.3">
      <c r="A143" s="55" t="s">
        <v>410</v>
      </c>
      <c r="B143" s="53" t="s">
        <v>411</v>
      </c>
      <c r="C143" s="54" t="s">
        <v>412</v>
      </c>
      <c r="D143" s="75">
        <v>12205</v>
      </c>
      <c r="E143" s="75"/>
      <c r="F143" s="75"/>
      <c r="G143" s="75"/>
      <c r="H143" s="75" t="s">
        <v>15</v>
      </c>
      <c r="I143" s="75">
        <v>75</v>
      </c>
      <c r="J143" s="75">
        <v>915375</v>
      </c>
      <c r="K143" s="91" t="s">
        <v>413</v>
      </c>
      <c r="L143" s="73"/>
      <c r="M143" s="46">
        <v>0</v>
      </c>
      <c r="N143" s="46">
        <v>0</v>
      </c>
      <c r="O143" s="46">
        <v>0</v>
      </c>
      <c r="P143" s="98"/>
      <c r="Q143" s="23" t="s">
        <v>1405</v>
      </c>
      <c r="R143" s="24" t="s">
        <v>411</v>
      </c>
      <c r="S143" s="25" t="s">
        <v>412</v>
      </c>
      <c r="T143" s="26">
        <v>12205</v>
      </c>
      <c r="U143" s="26">
        <v>12205</v>
      </c>
      <c r="V143" s="26">
        <f t="shared" si="19"/>
        <v>75</v>
      </c>
      <c r="W143" s="243">
        <f t="shared" si="23"/>
        <v>6752.2</v>
      </c>
      <c r="X143" s="26">
        <f t="shared" si="24"/>
        <v>6752.2</v>
      </c>
      <c r="Y143" s="26">
        <f t="shared" si="25"/>
        <v>506415</v>
      </c>
      <c r="Z143" s="26">
        <f t="shared" si="27"/>
        <v>506415</v>
      </c>
      <c r="AA143" s="33" t="s">
        <v>15</v>
      </c>
      <c r="AB143" s="36" t="s">
        <v>16</v>
      </c>
      <c r="AC143" s="181">
        <f t="shared" si="28"/>
        <v>12205</v>
      </c>
      <c r="AD143" s="181">
        <f t="shared" si="26"/>
        <v>915375</v>
      </c>
      <c r="AE143" s="181">
        <v>1.3</v>
      </c>
      <c r="AF143" s="181">
        <v>1.3</v>
      </c>
      <c r="AG143" s="101" t="str">
        <f t="shared" si="29"/>
        <v/>
      </c>
      <c r="AH143" s="191">
        <f>6752.2</f>
        <v>6752.2</v>
      </c>
      <c r="AI143" s="69">
        <f t="shared" si="30"/>
        <v>12205</v>
      </c>
    </row>
    <row r="144" spans="1:38" s="69" customFormat="1" ht="33" x14ac:dyDescent="0.3">
      <c r="A144" s="55" t="s">
        <v>414</v>
      </c>
      <c r="B144" s="53" t="s">
        <v>125</v>
      </c>
      <c r="C144" s="54" t="s">
        <v>110</v>
      </c>
      <c r="D144" s="75">
        <v>8317</v>
      </c>
      <c r="E144" s="75"/>
      <c r="F144" s="75"/>
      <c r="G144" s="75"/>
      <c r="H144" s="75" t="s">
        <v>15</v>
      </c>
      <c r="I144" s="75">
        <v>60</v>
      </c>
      <c r="J144" s="75">
        <v>499020</v>
      </c>
      <c r="K144" s="91" t="s">
        <v>126</v>
      </c>
      <c r="L144" s="73"/>
      <c r="M144" s="46">
        <v>5520</v>
      </c>
      <c r="N144" s="46">
        <v>0</v>
      </c>
      <c r="O144" s="46">
        <v>331200</v>
      </c>
      <c r="P144" s="98"/>
      <c r="Q144" s="23" t="s">
        <v>1406</v>
      </c>
      <c r="R144" s="24" t="s">
        <v>125</v>
      </c>
      <c r="S144" s="25" t="s">
        <v>110</v>
      </c>
      <c r="T144" s="26">
        <v>8317</v>
      </c>
      <c r="U144" s="26">
        <v>8317</v>
      </c>
      <c r="V144" s="26">
        <f t="shared" si="19"/>
        <v>60</v>
      </c>
      <c r="W144" s="128">
        <f t="shared" si="23"/>
        <v>0</v>
      </c>
      <c r="X144" s="26">
        <f t="shared" si="24"/>
        <v>5520</v>
      </c>
      <c r="Y144" s="26">
        <f t="shared" si="25"/>
        <v>0</v>
      </c>
      <c r="Z144" s="26">
        <f t="shared" si="27"/>
        <v>331200</v>
      </c>
      <c r="AA144" s="33" t="s">
        <v>15</v>
      </c>
      <c r="AB144" s="36" t="s">
        <v>16</v>
      </c>
      <c r="AC144" s="181">
        <f t="shared" si="28"/>
        <v>8317</v>
      </c>
      <c r="AD144" s="181">
        <f t="shared" si="26"/>
        <v>499020</v>
      </c>
      <c r="AE144" s="181">
        <v>1.3</v>
      </c>
      <c r="AF144" s="181">
        <v>1.3</v>
      </c>
      <c r="AG144" s="101" t="str">
        <f t="shared" si="29"/>
        <v/>
      </c>
      <c r="AH144" s="191">
        <v>5520</v>
      </c>
      <c r="AI144" s="69">
        <f t="shared" si="30"/>
        <v>8317</v>
      </c>
    </row>
    <row r="145" spans="1:35" s="69" customFormat="1" ht="39" x14ac:dyDescent="0.3">
      <c r="A145" s="55" t="s">
        <v>415</v>
      </c>
      <c r="B145" s="53" t="s">
        <v>3147</v>
      </c>
      <c r="C145" s="54" t="s">
        <v>110</v>
      </c>
      <c r="D145" s="75">
        <v>8317</v>
      </c>
      <c r="E145" s="75"/>
      <c r="F145" s="75"/>
      <c r="G145" s="75"/>
      <c r="H145" s="75" t="s">
        <v>15</v>
      </c>
      <c r="I145" s="75">
        <v>31.9</v>
      </c>
      <c r="J145" s="75">
        <v>265312.3</v>
      </c>
      <c r="K145" s="91" t="s">
        <v>3148</v>
      </c>
      <c r="L145" s="73"/>
      <c r="M145" s="46">
        <v>5520</v>
      </c>
      <c r="N145" s="46">
        <v>0</v>
      </c>
      <c r="O145" s="46">
        <v>176088</v>
      </c>
      <c r="P145" s="98"/>
      <c r="Q145" s="23" t="s">
        <v>1414</v>
      </c>
      <c r="R145" s="24" t="s">
        <v>128</v>
      </c>
      <c r="S145" s="25" t="s">
        <v>110</v>
      </c>
      <c r="T145" s="26">
        <v>8317</v>
      </c>
      <c r="U145" s="26">
        <v>8317</v>
      </c>
      <c r="V145" s="26">
        <f t="shared" si="19"/>
        <v>31.9</v>
      </c>
      <c r="W145" s="128">
        <f t="shared" si="23"/>
        <v>0</v>
      </c>
      <c r="X145" s="26">
        <f t="shared" si="24"/>
        <v>5520</v>
      </c>
      <c r="Y145" s="26">
        <f t="shared" si="25"/>
        <v>0</v>
      </c>
      <c r="Z145" s="26">
        <f t="shared" si="27"/>
        <v>176088</v>
      </c>
      <c r="AA145" s="33" t="s">
        <v>15</v>
      </c>
      <c r="AB145" s="36" t="s">
        <v>16</v>
      </c>
      <c r="AC145" s="181">
        <f t="shared" si="28"/>
        <v>8317</v>
      </c>
      <c r="AD145" s="181">
        <f t="shared" si="26"/>
        <v>265312.3</v>
      </c>
      <c r="AE145" s="181">
        <v>1.3</v>
      </c>
      <c r="AF145" s="181">
        <v>1.3</v>
      </c>
      <c r="AG145" s="101" t="str">
        <f t="shared" si="29"/>
        <v/>
      </c>
      <c r="AH145" s="191">
        <v>5520</v>
      </c>
      <c r="AI145" s="69">
        <f t="shared" si="30"/>
        <v>8317</v>
      </c>
    </row>
    <row r="146" spans="1:35" s="69" customFormat="1" ht="39" x14ac:dyDescent="0.3">
      <c r="A146" s="55" t="s">
        <v>416</v>
      </c>
      <c r="B146" s="53" t="s">
        <v>417</v>
      </c>
      <c r="C146" s="54" t="s">
        <v>110</v>
      </c>
      <c r="D146" s="75">
        <v>1087</v>
      </c>
      <c r="E146" s="75"/>
      <c r="F146" s="75"/>
      <c r="G146" s="75"/>
      <c r="H146" s="75" t="s">
        <v>15</v>
      </c>
      <c r="I146" s="75">
        <v>278.10000000000002</v>
      </c>
      <c r="J146" s="75">
        <v>302294.7</v>
      </c>
      <c r="K146" s="91" t="s">
        <v>418</v>
      </c>
      <c r="L146" s="73"/>
      <c r="M146" s="46">
        <v>0</v>
      </c>
      <c r="N146" s="46">
        <v>0</v>
      </c>
      <c r="O146" s="46">
        <v>0</v>
      </c>
      <c r="P146" s="98"/>
      <c r="Q146" s="23" t="s">
        <v>1429</v>
      </c>
      <c r="R146" s="24" t="s">
        <v>417</v>
      </c>
      <c r="S146" s="25" t="s">
        <v>110</v>
      </c>
      <c r="T146" s="26">
        <v>1087</v>
      </c>
      <c r="U146" s="26">
        <v>1087</v>
      </c>
      <c r="V146" s="26">
        <f t="shared" si="19"/>
        <v>278.10000000000002</v>
      </c>
      <c r="W146" s="128">
        <f t="shared" si="23"/>
        <v>0</v>
      </c>
      <c r="X146" s="26">
        <f t="shared" si="24"/>
        <v>0</v>
      </c>
      <c r="Y146" s="26">
        <f t="shared" si="25"/>
        <v>0</v>
      </c>
      <c r="Z146" s="26">
        <f t="shared" si="27"/>
        <v>0</v>
      </c>
      <c r="AA146" s="33" t="s">
        <v>15</v>
      </c>
      <c r="AB146" s="36" t="s">
        <v>16</v>
      </c>
      <c r="AC146" s="181">
        <f t="shared" si="28"/>
        <v>1087</v>
      </c>
      <c r="AD146" s="181">
        <f t="shared" si="26"/>
        <v>302294.7</v>
      </c>
      <c r="AE146" s="181">
        <v>1.3</v>
      </c>
      <c r="AF146" s="181">
        <v>1.3</v>
      </c>
      <c r="AG146" s="101" t="str">
        <f t="shared" si="29"/>
        <v/>
      </c>
      <c r="AH146" s="191">
        <v>0</v>
      </c>
      <c r="AI146" s="69">
        <f t="shared" si="30"/>
        <v>1087</v>
      </c>
    </row>
    <row r="147" spans="1:35" s="69" customFormat="1" ht="58.5" x14ac:dyDescent="0.3">
      <c r="A147" s="55" t="s">
        <v>419</v>
      </c>
      <c r="B147" s="53" t="s">
        <v>420</v>
      </c>
      <c r="C147" s="54" t="s">
        <v>50</v>
      </c>
      <c r="D147" s="75">
        <v>172</v>
      </c>
      <c r="E147" s="75"/>
      <c r="F147" s="75"/>
      <c r="G147" s="75"/>
      <c r="H147" s="75" t="s">
        <v>15</v>
      </c>
      <c r="I147" s="75">
        <v>1400</v>
      </c>
      <c r="J147" s="75">
        <v>240800</v>
      </c>
      <c r="K147" s="91" t="s">
        <v>421</v>
      </c>
      <c r="L147" s="73"/>
      <c r="M147" s="46">
        <v>0</v>
      </c>
      <c r="N147" s="46">
        <v>0</v>
      </c>
      <c r="O147" s="46">
        <v>0</v>
      </c>
      <c r="P147" s="98"/>
      <c r="Q147" s="23" t="s">
        <v>1430</v>
      </c>
      <c r="R147" s="24" t="s">
        <v>420</v>
      </c>
      <c r="S147" s="25" t="s">
        <v>50</v>
      </c>
      <c r="T147" s="26">
        <v>172</v>
      </c>
      <c r="U147" s="26">
        <v>172</v>
      </c>
      <c r="V147" s="26">
        <f t="shared" si="19"/>
        <v>1400</v>
      </c>
      <c r="W147" s="26">
        <f t="shared" si="23"/>
        <v>0</v>
      </c>
      <c r="X147" s="26">
        <f t="shared" si="24"/>
        <v>0</v>
      </c>
      <c r="Y147" s="26">
        <f t="shared" si="25"/>
        <v>0</v>
      </c>
      <c r="Z147" s="26">
        <f t="shared" si="27"/>
        <v>0</v>
      </c>
      <c r="AA147" s="33" t="s">
        <v>15</v>
      </c>
      <c r="AB147" s="36" t="s">
        <v>16</v>
      </c>
      <c r="AC147" s="181">
        <f t="shared" si="28"/>
        <v>172</v>
      </c>
      <c r="AD147" s="181">
        <f t="shared" si="26"/>
        <v>240800</v>
      </c>
      <c r="AE147" s="181">
        <v>1.3</v>
      </c>
      <c r="AF147" s="181">
        <v>1.3</v>
      </c>
      <c r="AG147" s="101" t="str">
        <f t="shared" si="29"/>
        <v/>
      </c>
      <c r="AH147" s="190">
        <v>0</v>
      </c>
      <c r="AI147" s="69">
        <f t="shared" si="30"/>
        <v>172</v>
      </c>
    </row>
    <row r="148" spans="1:35" s="69" customFormat="1" ht="97.5" x14ac:dyDescent="0.3">
      <c r="A148" s="130" t="s">
        <v>422</v>
      </c>
      <c r="B148" s="131" t="s">
        <v>3070</v>
      </c>
      <c r="C148" s="132" t="s">
        <v>110</v>
      </c>
      <c r="D148" s="133">
        <v>150400</v>
      </c>
      <c r="E148" s="75"/>
      <c r="F148" s="75"/>
      <c r="G148" s="75"/>
      <c r="H148" s="75">
        <v>154935.98000000001</v>
      </c>
      <c r="I148" s="75">
        <v>107.31</v>
      </c>
      <c r="J148" s="75">
        <v>16626180.01</v>
      </c>
      <c r="K148" s="91" t="s">
        <v>132</v>
      </c>
      <c r="L148" s="73"/>
      <c r="M148" s="46">
        <v>150350.57999999999</v>
      </c>
      <c r="N148" s="46">
        <v>0</v>
      </c>
      <c r="O148" s="46">
        <v>16134120.74</v>
      </c>
      <c r="P148" s="98"/>
      <c r="Q148" s="23" t="s">
        <v>1431</v>
      </c>
      <c r="R148" s="24" t="s">
        <v>131</v>
      </c>
      <c r="S148" s="25" t="s">
        <v>110</v>
      </c>
      <c r="T148" s="26">
        <v>150400</v>
      </c>
      <c r="U148" s="26">
        <v>154935.98000000001</v>
      </c>
      <c r="V148" s="26">
        <f t="shared" si="19"/>
        <v>107.31</v>
      </c>
      <c r="W148" s="127">
        <f t="shared" si="23"/>
        <v>0</v>
      </c>
      <c r="X148" s="127">
        <f t="shared" si="24"/>
        <v>150350.57999999999</v>
      </c>
      <c r="Y148" s="127">
        <f t="shared" si="25"/>
        <v>0</v>
      </c>
      <c r="Z148" s="127">
        <f t="shared" si="27"/>
        <v>16134120.74</v>
      </c>
      <c r="AA148" s="33" t="s">
        <v>15</v>
      </c>
      <c r="AB148" s="36" t="s">
        <v>16</v>
      </c>
      <c r="AC148" s="181">
        <f t="shared" si="28"/>
        <v>154935.98000000001</v>
      </c>
      <c r="AD148" s="181">
        <f t="shared" si="26"/>
        <v>16626180.01</v>
      </c>
      <c r="AE148" s="181">
        <v>1.3</v>
      </c>
      <c r="AF148" s="181">
        <v>1.3</v>
      </c>
      <c r="AG148" s="101" t="str">
        <f t="shared" si="29"/>
        <v/>
      </c>
      <c r="AH148" s="191">
        <v>150350.57999999999</v>
      </c>
      <c r="AI148" s="69">
        <f t="shared" si="30"/>
        <v>150400</v>
      </c>
    </row>
    <row r="149" spans="1:35" s="69" customFormat="1" ht="39" x14ac:dyDescent="0.3">
      <c r="A149" s="130" t="s">
        <v>423</v>
      </c>
      <c r="B149" s="131" t="s">
        <v>424</v>
      </c>
      <c r="C149" s="132" t="s">
        <v>50</v>
      </c>
      <c r="D149" s="133">
        <v>1140.1600000000001</v>
      </c>
      <c r="E149" s="75"/>
      <c r="F149" s="75"/>
      <c r="G149" s="75"/>
      <c r="H149" s="75" t="s">
        <v>15</v>
      </c>
      <c r="I149" s="75">
        <v>692.16</v>
      </c>
      <c r="J149" s="75">
        <v>789173.15</v>
      </c>
      <c r="K149" s="91" t="s">
        <v>425</v>
      </c>
      <c r="L149" s="73"/>
      <c r="M149" s="46">
        <v>1139.5999999999999</v>
      </c>
      <c r="N149" s="46">
        <v>0</v>
      </c>
      <c r="O149" s="46">
        <v>788785.54</v>
      </c>
      <c r="P149" s="98"/>
      <c r="Q149" s="23" t="s">
        <v>1395</v>
      </c>
      <c r="R149" s="24" t="s">
        <v>424</v>
      </c>
      <c r="S149" s="25" t="s">
        <v>50</v>
      </c>
      <c r="T149" s="26">
        <v>1140.1600000000001</v>
      </c>
      <c r="U149" s="26">
        <v>1140.1600000000001</v>
      </c>
      <c r="V149" s="26">
        <f t="shared" si="19"/>
        <v>692.16</v>
      </c>
      <c r="W149" s="127">
        <f t="shared" si="23"/>
        <v>0</v>
      </c>
      <c r="X149" s="127">
        <f t="shared" si="24"/>
        <v>1139.5999999999999</v>
      </c>
      <c r="Y149" s="127">
        <f t="shared" si="25"/>
        <v>0</v>
      </c>
      <c r="Z149" s="127">
        <f t="shared" si="27"/>
        <v>788785.54</v>
      </c>
      <c r="AA149" s="33" t="s">
        <v>15</v>
      </c>
      <c r="AB149" s="36" t="s">
        <v>16</v>
      </c>
      <c r="AC149" s="181">
        <f t="shared" si="28"/>
        <v>1140.1600000000001</v>
      </c>
      <c r="AD149" s="181">
        <f t="shared" si="26"/>
        <v>789173.15</v>
      </c>
      <c r="AE149" s="181">
        <v>1.3</v>
      </c>
      <c r="AF149" s="181">
        <v>1.3</v>
      </c>
      <c r="AG149" s="101" t="str">
        <f t="shared" si="29"/>
        <v/>
      </c>
      <c r="AH149" s="191">
        <v>1139.5999999999999</v>
      </c>
      <c r="AI149" s="69">
        <f t="shared" si="30"/>
        <v>1140.1600000000001</v>
      </c>
    </row>
    <row r="150" spans="1:35" s="69" customFormat="1" ht="58.5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203"/>
      <c r="F150" s="203"/>
      <c r="G150" s="203"/>
      <c r="H150" s="203" t="s">
        <v>15</v>
      </c>
      <c r="I150" s="75">
        <v>48.28</v>
      </c>
      <c r="J150" s="75">
        <v>25472.05</v>
      </c>
      <c r="K150" s="91" t="s">
        <v>35</v>
      </c>
      <c r="L150" s="73"/>
      <c r="M150" s="46">
        <v>527.59</v>
      </c>
      <c r="N150" s="46">
        <v>0</v>
      </c>
      <c r="O150" s="46">
        <v>25472.05</v>
      </c>
      <c r="P150" s="98"/>
      <c r="Q150" s="23" t="s">
        <v>1432</v>
      </c>
      <c r="R150" s="24" t="s">
        <v>33</v>
      </c>
      <c r="S150" s="25" t="s">
        <v>34</v>
      </c>
      <c r="T150" s="26">
        <v>527.59</v>
      </c>
      <c r="U150" s="26">
        <v>527.59</v>
      </c>
      <c r="V150" s="26">
        <f t="shared" si="19"/>
        <v>48.28</v>
      </c>
      <c r="W150" s="127">
        <f t="shared" si="23"/>
        <v>0</v>
      </c>
      <c r="X150" s="127">
        <f t="shared" si="24"/>
        <v>527.59</v>
      </c>
      <c r="Y150" s="127">
        <f t="shared" si="25"/>
        <v>0</v>
      </c>
      <c r="Z150" s="127">
        <f t="shared" si="27"/>
        <v>25472.05</v>
      </c>
      <c r="AA150" s="33" t="s">
        <v>15</v>
      </c>
      <c r="AB150" s="36" t="s">
        <v>16</v>
      </c>
      <c r="AC150" s="181">
        <f t="shared" si="28"/>
        <v>527.59</v>
      </c>
      <c r="AD150" s="181">
        <f t="shared" si="26"/>
        <v>25472.05</v>
      </c>
      <c r="AE150" s="181">
        <v>1.3</v>
      </c>
      <c r="AF150" s="181">
        <v>1.3</v>
      </c>
      <c r="AG150" s="101" t="str">
        <f t="shared" si="29"/>
        <v/>
      </c>
      <c r="AH150" s="190">
        <v>527.59</v>
      </c>
      <c r="AI150" s="69">
        <f t="shared" si="30"/>
        <v>527.59</v>
      </c>
    </row>
    <row r="151" spans="1:35" s="69" customFormat="1" ht="58.5" x14ac:dyDescent="0.3">
      <c r="A151" s="130" t="s">
        <v>427</v>
      </c>
      <c r="B151" s="131" t="s">
        <v>428</v>
      </c>
      <c r="C151" s="132" t="s">
        <v>34</v>
      </c>
      <c r="D151" s="133">
        <v>355.42</v>
      </c>
      <c r="E151" s="203"/>
      <c r="F151" s="203"/>
      <c r="G151" s="203"/>
      <c r="H151" s="203" t="s">
        <v>15</v>
      </c>
      <c r="I151" s="75">
        <v>721.06</v>
      </c>
      <c r="J151" s="75">
        <v>256279.15</v>
      </c>
      <c r="K151" s="91" t="s">
        <v>429</v>
      </c>
      <c r="L151" s="73"/>
      <c r="M151" s="46">
        <v>0</v>
      </c>
      <c r="N151" s="46">
        <v>0</v>
      </c>
      <c r="O151" s="46">
        <v>0</v>
      </c>
      <c r="P151" s="98"/>
      <c r="Q151" s="23" t="s">
        <v>1433</v>
      </c>
      <c r="R151" s="24" t="s">
        <v>428</v>
      </c>
      <c r="S151" s="25" t="s">
        <v>34</v>
      </c>
      <c r="T151" s="26">
        <v>355.42</v>
      </c>
      <c r="U151" s="26">
        <v>355.42</v>
      </c>
      <c r="V151" s="26">
        <f t="shared" si="19"/>
        <v>721.06</v>
      </c>
      <c r="W151" s="127">
        <f t="shared" si="23"/>
        <v>0</v>
      </c>
      <c r="X151" s="127">
        <f t="shared" si="24"/>
        <v>0</v>
      </c>
      <c r="Y151" s="127">
        <f t="shared" si="25"/>
        <v>0</v>
      </c>
      <c r="Z151" s="127">
        <f t="shared" si="27"/>
        <v>0</v>
      </c>
      <c r="AA151" s="33" t="s">
        <v>15</v>
      </c>
      <c r="AB151" s="36" t="s">
        <v>16</v>
      </c>
      <c r="AC151" s="181">
        <f t="shared" si="28"/>
        <v>355.42</v>
      </c>
      <c r="AD151" s="181">
        <f t="shared" si="26"/>
        <v>256279.15</v>
      </c>
      <c r="AE151" s="181">
        <v>1.3</v>
      </c>
      <c r="AF151" s="181">
        <v>1.3</v>
      </c>
      <c r="AG151" s="101" t="str">
        <f t="shared" si="29"/>
        <v/>
      </c>
      <c r="AH151" s="190">
        <v>0</v>
      </c>
      <c r="AI151" s="69">
        <f t="shared" si="30"/>
        <v>355.42</v>
      </c>
    </row>
    <row r="152" spans="1:35" s="69" customFormat="1" ht="33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203" t="s">
        <v>15</v>
      </c>
      <c r="I152" s="75">
        <v>28</v>
      </c>
      <c r="J152" s="75">
        <v>914900</v>
      </c>
      <c r="K152" s="91" t="s">
        <v>432</v>
      </c>
      <c r="L152" s="73"/>
      <c r="M152" s="46">
        <v>23501</v>
      </c>
      <c r="N152" s="46">
        <v>25984</v>
      </c>
      <c r="O152" s="46">
        <v>658028</v>
      </c>
      <c r="P152" s="98"/>
      <c r="Q152" s="23" t="s">
        <v>1382</v>
      </c>
      <c r="R152" s="24" t="s">
        <v>431</v>
      </c>
      <c r="S152" s="25" t="s">
        <v>50</v>
      </c>
      <c r="T152" s="26">
        <v>272</v>
      </c>
      <c r="U152" s="26">
        <v>32675</v>
      </c>
      <c r="V152" s="26">
        <f t="shared" si="19"/>
        <v>28</v>
      </c>
      <c r="W152" s="243">
        <f t="shared" si="23"/>
        <v>1928</v>
      </c>
      <c r="X152" s="26">
        <f t="shared" si="24"/>
        <v>25429</v>
      </c>
      <c r="Y152" s="26">
        <f t="shared" si="25"/>
        <v>53984</v>
      </c>
      <c r="Z152" s="26">
        <f t="shared" si="27"/>
        <v>712012</v>
      </c>
      <c r="AA152" s="27" t="s">
        <v>15</v>
      </c>
      <c r="AB152" s="36" t="s">
        <v>16</v>
      </c>
      <c r="AC152" s="181">
        <f t="shared" si="28"/>
        <v>32675</v>
      </c>
      <c r="AD152" s="181">
        <f t="shared" si="26"/>
        <v>914900</v>
      </c>
      <c r="AE152" s="181">
        <v>1.3</v>
      </c>
      <c r="AF152" s="181">
        <v>1.3</v>
      </c>
      <c r="AG152" s="101" t="str">
        <f t="shared" si="29"/>
        <v/>
      </c>
      <c r="AH152" s="191">
        <f>22573+928+1928</f>
        <v>25429</v>
      </c>
      <c r="AI152" s="69">
        <f t="shared" si="30"/>
        <v>32675</v>
      </c>
    </row>
    <row r="153" spans="1:35" s="69" customFormat="1" ht="39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203"/>
      <c r="F153" s="203"/>
      <c r="G153" s="203"/>
      <c r="H153" s="203" t="s">
        <v>15</v>
      </c>
      <c r="I153" s="75">
        <v>19012.060000000001</v>
      </c>
      <c r="J153" s="75">
        <v>14144972.640000001</v>
      </c>
      <c r="K153" s="91" t="s">
        <v>435</v>
      </c>
      <c r="L153" s="73"/>
      <c r="M153" s="46">
        <v>744</v>
      </c>
      <c r="N153" s="46">
        <v>0</v>
      </c>
      <c r="O153" s="46">
        <v>14144972.640000001</v>
      </c>
      <c r="P153" s="98"/>
      <c r="Q153" s="23" t="s">
        <v>1434</v>
      </c>
      <c r="R153" s="24" t="s">
        <v>434</v>
      </c>
      <c r="S153" s="25" t="s">
        <v>30</v>
      </c>
      <c r="T153" s="26">
        <v>744</v>
      </c>
      <c r="U153" s="26">
        <v>744</v>
      </c>
      <c r="V153" s="26">
        <f t="shared" si="19"/>
        <v>19012.060000000001</v>
      </c>
      <c r="W153" s="127">
        <f t="shared" si="23"/>
        <v>0</v>
      </c>
      <c r="X153" s="127">
        <f t="shared" si="24"/>
        <v>744</v>
      </c>
      <c r="Y153" s="127">
        <f t="shared" si="25"/>
        <v>0</v>
      </c>
      <c r="Z153" s="127">
        <f t="shared" si="27"/>
        <v>14144972.640000001</v>
      </c>
      <c r="AA153" s="33" t="s">
        <v>15</v>
      </c>
      <c r="AB153" s="36" t="s">
        <v>16</v>
      </c>
      <c r="AC153" s="181">
        <f t="shared" si="28"/>
        <v>744</v>
      </c>
      <c r="AD153" s="181">
        <f t="shared" si="26"/>
        <v>14144972.640000001</v>
      </c>
      <c r="AE153" s="181">
        <v>1.3</v>
      </c>
      <c r="AF153" s="181">
        <v>1.3</v>
      </c>
      <c r="AG153" s="101" t="str">
        <f t="shared" si="29"/>
        <v/>
      </c>
      <c r="AH153" s="190">
        <v>744</v>
      </c>
      <c r="AI153" s="69">
        <f t="shared" si="30"/>
        <v>744</v>
      </c>
    </row>
    <row r="154" spans="1:35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 t="s">
        <v>15</v>
      </c>
      <c r="I154" s="75">
        <v>373.1</v>
      </c>
      <c r="J154" s="75">
        <v>50741.599999999999</v>
      </c>
      <c r="K154" s="91" t="s">
        <v>438</v>
      </c>
      <c r="L154" s="73"/>
      <c r="M154" s="46">
        <v>112</v>
      </c>
      <c r="N154" s="46">
        <v>0</v>
      </c>
      <c r="O154" s="46">
        <v>41787.199999999997</v>
      </c>
      <c r="P154" s="98"/>
      <c r="Q154" s="23" t="s">
        <v>1388</v>
      </c>
      <c r="R154" s="24" t="s">
        <v>437</v>
      </c>
      <c r="S154" s="25" t="s">
        <v>50</v>
      </c>
      <c r="T154" s="26">
        <v>136</v>
      </c>
      <c r="U154" s="26">
        <v>136</v>
      </c>
      <c r="V154" s="26">
        <f t="shared" si="19"/>
        <v>373.1</v>
      </c>
      <c r="W154" s="128">
        <f t="shared" si="23"/>
        <v>0</v>
      </c>
      <c r="X154" s="26">
        <f t="shared" si="24"/>
        <v>112</v>
      </c>
      <c r="Y154" s="26">
        <f t="shared" si="25"/>
        <v>0</v>
      </c>
      <c r="Z154" s="26">
        <f t="shared" si="27"/>
        <v>41787.199999999997</v>
      </c>
      <c r="AA154" s="33" t="s">
        <v>15</v>
      </c>
      <c r="AB154" s="36" t="s">
        <v>16</v>
      </c>
      <c r="AC154" s="181">
        <f t="shared" si="28"/>
        <v>136</v>
      </c>
      <c r="AD154" s="181">
        <f t="shared" si="26"/>
        <v>50741.599999999999</v>
      </c>
      <c r="AE154" s="181">
        <v>1.3</v>
      </c>
      <c r="AF154" s="181">
        <v>1.3</v>
      </c>
      <c r="AG154" s="101" t="str">
        <f t="shared" si="29"/>
        <v/>
      </c>
      <c r="AH154" s="191">
        <v>112</v>
      </c>
      <c r="AI154" s="69">
        <f t="shared" si="30"/>
        <v>136</v>
      </c>
    </row>
    <row r="155" spans="1:35" s="69" customFormat="1" ht="39" x14ac:dyDescent="0.3">
      <c r="A155" s="130" t="s">
        <v>439</v>
      </c>
      <c r="B155" s="131" t="s">
        <v>440</v>
      </c>
      <c r="C155" s="132" t="s">
        <v>50</v>
      </c>
      <c r="D155" s="133">
        <v>136</v>
      </c>
      <c r="E155" s="75"/>
      <c r="F155" s="75"/>
      <c r="G155" s="75"/>
      <c r="H155" s="75" t="s">
        <v>15</v>
      </c>
      <c r="I155" s="75">
        <v>616.53</v>
      </c>
      <c r="J155" s="75">
        <v>83848.08</v>
      </c>
      <c r="K155" s="91" t="s">
        <v>441</v>
      </c>
      <c r="L155" s="73"/>
      <c r="M155" s="46">
        <v>0</v>
      </c>
      <c r="N155" s="46">
        <v>0</v>
      </c>
      <c r="O155" s="46">
        <v>0</v>
      </c>
      <c r="P155" s="98"/>
      <c r="Q155" s="23" t="s">
        <v>1389</v>
      </c>
      <c r="R155" s="24" t="s">
        <v>440</v>
      </c>
      <c r="S155" s="25" t="s">
        <v>50</v>
      </c>
      <c r="T155" s="26">
        <v>136</v>
      </c>
      <c r="U155" s="26">
        <v>136</v>
      </c>
      <c r="V155" s="26">
        <f t="shared" si="19"/>
        <v>616.53</v>
      </c>
      <c r="W155" s="243">
        <f t="shared" si="23"/>
        <v>122.8</v>
      </c>
      <c r="X155" s="127">
        <f t="shared" si="24"/>
        <v>122.8</v>
      </c>
      <c r="Y155" s="127">
        <f t="shared" si="25"/>
        <v>75709.88</v>
      </c>
      <c r="Z155" s="127">
        <f t="shared" si="27"/>
        <v>75709.88</v>
      </c>
      <c r="AA155" s="33" t="s">
        <v>15</v>
      </c>
      <c r="AB155" s="36" t="s">
        <v>16</v>
      </c>
      <c r="AC155" s="181">
        <f t="shared" si="28"/>
        <v>136</v>
      </c>
      <c r="AD155" s="181">
        <f t="shared" si="26"/>
        <v>83848.08</v>
      </c>
      <c r="AE155" s="181">
        <v>1.3</v>
      </c>
      <c r="AF155" s="181">
        <v>1.3</v>
      </c>
      <c r="AG155" s="101" t="str">
        <f t="shared" si="29"/>
        <v/>
      </c>
      <c r="AH155" s="191">
        <f>122.8</f>
        <v>122.8</v>
      </c>
      <c r="AI155" s="69">
        <f t="shared" si="30"/>
        <v>136</v>
      </c>
    </row>
    <row r="156" spans="1:35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 t="s">
        <v>15</v>
      </c>
      <c r="I156" s="75">
        <v>2664.06</v>
      </c>
      <c r="J156" s="75">
        <v>9590.6200000000008</v>
      </c>
      <c r="K156" s="91" t="s">
        <v>444</v>
      </c>
      <c r="L156" s="73"/>
      <c r="M156" s="46">
        <v>0</v>
      </c>
      <c r="N156" s="46">
        <v>0</v>
      </c>
      <c r="O156" s="46">
        <v>0</v>
      </c>
      <c r="P156" s="98"/>
      <c r="Q156" s="23" t="s">
        <v>1390</v>
      </c>
      <c r="R156" s="24" t="s">
        <v>443</v>
      </c>
      <c r="S156" s="25" t="s">
        <v>50</v>
      </c>
      <c r="T156" s="26">
        <v>3.6</v>
      </c>
      <c r="U156" s="26">
        <v>3.6</v>
      </c>
      <c r="V156" s="26">
        <f t="shared" si="19"/>
        <v>2664.06</v>
      </c>
      <c r="W156" s="26">
        <f t="shared" si="23"/>
        <v>0</v>
      </c>
      <c r="X156" s="26">
        <f t="shared" si="24"/>
        <v>0</v>
      </c>
      <c r="Y156" s="26">
        <f t="shared" si="25"/>
        <v>0</v>
      </c>
      <c r="Z156" s="26">
        <f t="shared" si="27"/>
        <v>0</v>
      </c>
      <c r="AA156" s="33" t="s">
        <v>15</v>
      </c>
      <c r="AB156" s="36" t="s">
        <v>16</v>
      </c>
      <c r="AC156" s="181">
        <f t="shared" si="28"/>
        <v>3.6</v>
      </c>
      <c r="AD156" s="181">
        <f t="shared" si="26"/>
        <v>9590.6200000000008</v>
      </c>
      <c r="AE156" s="181">
        <v>1.3</v>
      </c>
      <c r="AF156" s="181">
        <v>1.3</v>
      </c>
      <c r="AG156" s="101" t="str">
        <f t="shared" si="29"/>
        <v/>
      </c>
      <c r="AH156" s="190">
        <v>0</v>
      </c>
      <c r="AI156" s="69">
        <f t="shared" si="30"/>
        <v>3.6</v>
      </c>
    </row>
    <row r="157" spans="1:35" s="69" customFormat="1" ht="39" x14ac:dyDescent="0.3">
      <c r="A157" s="130" t="s">
        <v>445</v>
      </c>
      <c r="B157" s="131" t="s">
        <v>446</v>
      </c>
      <c r="C157" s="132" t="s">
        <v>30</v>
      </c>
      <c r="D157" s="133">
        <v>44</v>
      </c>
      <c r="E157" s="75"/>
      <c r="F157" s="75"/>
      <c r="G157" s="75"/>
      <c r="H157" s="75" t="s">
        <v>15</v>
      </c>
      <c r="I157" s="75">
        <v>5183.22</v>
      </c>
      <c r="J157" s="75">
        <v>228061.68</v>
      </c>
      <c r="K157" s="137" t="s">
        <v>447</v>
      </c>
      <c r="L157" s="73"/>
      <c r="M157" s="46">
        <v>35</v>
      </c>
      <c r="N157" s="46">
        <v>0</v>
      </c>
      <c r="O157" s="46">
        <v>181412.7</v>
      </c>
      <c r="P157" s="98"/>
      <c r="Q157" s="23" t="s">
        <v>1391</v>
      </c>
      <c r="R157" s="24" t="s">
        <v>446</v>
      </c>
      <c r="S157" s="25" t="s">
        <v>30</v>
      </c>
      <c r="T157" s="26">
        <v>44</v>
      </c>
      <c r="U157" s="26">
        <v>44</v>
      </c>
      <c r="V157" s="26">
        <f t="shared" si="19"/>
        <v>5183.22</v>
      </c>
      <c r="W157" s="243">
        <f t="shared" si="23"/>
        <v>8.7000000000000028</v>
      </c>
      <c r="X157" s="127">
        <f t="shared" si="24"/>
        <v>43.7</v>
      </c>
      <c r="Y157" s="127">
        <f t="shared" si="25"/>
        <v>45094.00999999998</v>
      </c>
      <c r="Z157" s="127">
        <f t="shared" si="27"/>
        <v>226506.71</v>
      </c>
      <c r="AA157" s="33" t="s">
        <v>15</v>
      </c>
      <c r="AB157" s="36" t="s">
        <v>16</v>
      </c>
      <c r="AC157" s="181">
        <f t="shared" si="28"/>
        <v>44</v>
      </c>
      <c r="AD157" s="181">
        <f t="shared" si="26"/>
        <v>228061.68</v>
      </c>
      <c r="AE157" s="181">
        <v>1.3</v>
      </c>
      <c r="AF157" s="181">
        <v>1.3</v>
      </c>
      <c r="AG157" s="101" t="str">
        <f t="shared" si="29"/>
        <v/>
      </c>
      <c r="AH157" s="191">
        <f>AH160</f>
        <v>43.7</v>
      </c>
      <c r="AI157" s="69">
        <f t="shared" si="30"/>
        <v>44</v>
      </c>
    </row>
    <row r="158" spans="1:35" s="69" customFormat="1" ht="39" x14ac:dyDescent="0.3">
      <c r="A158" s="130" t="s">
        <v>448</v>
      </c>
      <c r="B158" s="131" t="s">
        <v>449</v>
      </c>
      <c r="C158" s="132" t="s">
        <v>30</v>
      </c>
      <c r="D158" s="133">
        <v>94.14</v>
      </c>
      <c r="E158" s="75"/>
      <c r="F158" s="75"/>
      <c r="G158" s="75"/>
      <c r="H158" s="75" t="s">
        <v>15</v>
      </c>
      <c r="I158" s="75">
        <v>9392.57</v>
      </c>
      <c r="J158" s="75">
        <v>884216.54</v>
      </c>
      <c r="K158" s="137" t="s">
        <v>450</v>
      </c>
      <c r="L158" s="73"/>
      <c r="M158" s="46">
        <v>75</v>
      </c>
      <c r="N158" s="46">
        <v>0</v>
      </c>
      <c r="O158" s="46">
        <v>704442.75</v>
      </c>
      <c r="P158" s="98"/>
      <c r="Q158" s="23" t="s">
        <v>1436</v>
      </c>
      <c r="R158" s="24" t="s">
        <v>449</v>
      </c>
      <c r="S158" s="25" t="s">
        <v>30</v>
      </c>
      <c r="T158" s="26">
        <v>94.14</v>
      </c>
      <c r="U158" s="26">
        <v>94.14</v>
      </c>
      <c r="V158" s="26">
        <f t="shared" si="19"/>
        <v>9392.57</v>
      </c>
      <c r="W158" s="243">
        <f t="shared" si="23"/>
        <v>18.099999999999994</v>
      </c>
      <c r="X158" s="127">
        <f t="shared" si="24"/>
        <v>93.1</v>
      </c>
      <c r="Y158" s="127">
        <f t="shared" si="25"/>
        <v>170005.52000000002</v>
      </c>
      <c r="Z158" s="127">
        <f t="shared" si="27"/>
        <v>874448.27</v>
      </c>
      <c r="AA158" s="33" t="s">
        <v>15</v>
      </c>
      <c r="AB158" s="36" t="s">
        <v>16</v>
      </c>
      <c r="AC158" s="181">
        <f t="shared" si="28"/>
        <v>94.14</v>
      </c>
      <c r="AD158" s="181">
        <f t="shared" si="26"/>
        <v>884216.54</v>
      </c>
      <c r="AE158" s="181">
        <v>1.3</v>
      </c>
      <c r="AF158" s="181">
        <v>1.3</v>
      </c>
      <c r="AG158" s="101" t="str">
        <f t="shared" si="29"/>
        <v/>
      </c>
      <c r="AH158" s="191">
        <f>75+18.1</f>
        <v>93.1</v>
      </c>
      <c r="AI158" s="69">
        <f t="shared" si="30"/>
        <v>94.14</v>
      </c>
    </row>
    <row r="159" spans="1:35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 t="s">
        <v>15</v>
      </c>
      <c r="I159" s="75">
        <v>2388.5700000000002</v>
      </c>
      <c r="J159" s="75">
        <v>272296.98</v>
      </c>
      <c r="K159" s="137" t="s">
        <v>453</v>
      </c>
      <c r="L159" s="73"/>
      <c r="M159" s="46">
        <v>68</v>
      </c>
      <c r="N159" s="46">
        <v>0</v>
      </c>
      <c r="O159" s="46">
        <v>162422.76</v>
      </c>
      <c r="P159" s="98"/>
      <c r="Q159" s="23" t="s">
        <v>1374</v>
      </c>
      <c r="R159" s="24" t="s">
        <v>452</v>
      </c>
      <c r="S159" s="25" t="s">
        <v>30</v>
      </c>
      <c r="T159" s="26">
        <v>114</v>
      </c>
      <c r="U159" s="26">
        <v>114</v>
      </c>
      <c r="V159" s="26">
        <f t="shared" si="19"/>
        <v>2388.5700000000002</v>
      </c>
      <c r="W159" s="128">
        <f t="shared" si="23"/>
        <v>0</v>
      </c>
      <c r="X159" s="26">
        <f t="shared" si="24"/>
        <v>68</v>
      </c>
      <c r="Y159" s="26">
        <f t="shared" si="25"/>
        <v>0</v>
      </c>
      <c r="Z159" s="26">
        <f t="shared" si="27"/>
        <v>162422.76</v>
      </c>
      <c r="AA159" s="33" t="s">
        <v>15</v>
      </c>
      <c r="AB159" s="36" t="s">
        <v>16</v>
      </c>
      <c r="AC159" s="181">
        <f t="shared" si="28"/>
        <v>114</v>
      </c>
      <c r="AD159" s="181">
        <f t="shared" si="26"/>
        <v>272296.98</v>
      </c>
      <c r="AE159" s="181">
        <v>1.3</v>
      </c>
      <c r="AF159" s="181">
        <v>1.3</v>
      </c>
      <c r="AG159" s="101" t="str">
        <f t="shared" si="29"/>
        <v/>
      </c>
      <c r="AH159" s="191">
        <f>68</f>
        <v>68</v>
      </c>
      <c r="AI159" s="69">
        <f t="shared" si="30"/>
        <v>114</v>
      </c>
    </row>
    <row r="160" spans="1:35" s="69" customFormat="1" ht="39" x14ac:dyDescent="0.3">
      <c r="A160" s="130" t="s">
        <v>454</v>
      </c>
      <c r="B160" s="131" t="s">
        <v>455</v>
      </c>
      <c r="C160" s="132" t="s">
        <v>30</v>
      </c>
      <c r="D160" s="133">
        <v>44</v>
      </c>
      <c r="E160" s="75"/>
      <c r="F160" s="75"/>
      <c r="G160" s="75"/>
      <c r="H160" s="75" t="s">
        <v>15</v>
      </c>
      <c r="I160" s="75">
        <v>80192.710000000006</v>
      </c>
      <c r="J160" s="75">
        <v>3528479.24</v>
      </c>
      <c r="K160" s="137" t="s">
        <v>456</v>
      </c>
      <c r="L160" s="73"/>
      <c r="M160" s="46">
        <v>44</v>
      </c>
      <c r="N160" s="46">
        <v>0</v>
      </c>
      <c r="O160" s="46">
        <v>3528479.24</v>
      </c>
      <c r="P160" s="98"/>
      <c r="Q160" s="23" t="s">
        <v>1376</v>
      </c>
      <c r="R160" s="24" t="s">
        <v>455</v>
      </c>
      <c r="S160" s="25" t="s">
        <v>30</v>
      </c>
      <c r="T160" s="26">
        <v>44</v>
      </c>
      <c r="U160" s="26">
        <v>44</v>
      </c>
      <c r="V160" s="26">
        <f t="shared" si="19"/>
        <v>80192.710000000006</v>
      </c>
      <c r="W160" s="209">
        <f t="shared" si="23"/>
        <v>-0.29999999999999716</v>
      </c>
      <c r="X160" s="127">
        <f t="shared" si="24"/>
        <v>43.7</v>
      </c>
      <c r="Y160" s="127">
        <f t="shared" si="25"/>
        <v>-24057.810000000056</v>
      </c>
      <c r="Z160" s="127">
        <f t="shared" si="27"/>
        <v>3504421.43</v>
      </c>
      <c r="AA160" s="33" t="s">
        <v>15</v>
      </c>
      <c r="AB160" s="36" t="s">
        <v>16</v>
      </c>
      <c r="AC160" s="181">
        <f t="shared" si="28"/>
        <v>44</v>
      </c>
      <c r="AD160" s="181">
        <f t="shared" si="26"/>
        <v>3528479.24</v>
      </c>
      <c r="AE160" s="181">
        <v>1.3</v>
      </c>
      <c r="AF160" s="181">
        <v>1.3</v>
      </c>
      <c r="AG160" s="101" t="str">
        <f t="shared" si="29"/>
        <v/>
      </c>
      <c r="AH160" s="191">
        <f>35+9-0.3</f>
        <v>43.7</v>
      </c>
      <c r="AI160" s="69">
        <f t="shared" si="30"/>
        <v>44</v>
      </c>
    </row>
    <row r="161" spans="1:35" s="69" customFormat="1" ht="58.5" x14ac:dyDescent="0.3">
      <c r="A161" s="130" t="s">
        <v>457</v>
      </c>
      <c r="B161" s="131" t="s">
        <v>458</v>
      </c>
      <c r="C161" s="132" t="s">
        <v>30</v>
      </c>
      <c r="D161" s="133">
        <v>90</v>
      </c>
      <c r="E161" s="75"/>
      <c r="F161" s="75"/>
      <c r="G161" s="75"/>
      <c r="H161" s="75" t="s">
        <v>15</v>
      </c>
      <c r="I161" s="75">
        <v>9257.1299999999992</v>
      </c>
      <c r="J161" s="75">
        <v>833141.7</v>
      </c>
      <c r="K161" s="137" t="s">
        <v>459</v>
      </c>
      <c r="L161" s="73"/>
      <c r="M161" s="46">
        <v>90</v>
      </c>
      <c r="N161" s="46">
        <v>0</v>
      </c>
      <c r="O161" s="46">
        <v>833141.7</v>
      </c>
      <c r="P161" s="98"/>
      <c r="Q161" s="23" t="s">
        <v>1378</v>
      </c>
      <c r="R161" s="24" t="s">
        <v>458</v>
      </c>
      <c r="S161" s="25" t="s">
        <v>30</v>
      </c>
      <c r="T161" s="26">
        <v>90</v>
      </c>
      <c r="U161" s="26">
        <v>90</v>
      </c>
      <c r="V161" s="26">
        <f t="shared" si="19"/>
        <v>9257.1299999999992</v>
      </c>
      <c r="W161" s="127">
        <f t="shared" si="23"/>
        <v>0</v>
      </c>
      <c r="X161" s="127">
        <f t="shared" si="24"/>
        <v>90</v>
      </c>
      <c r="Y161" s="127">
        <f t="shared" si="25"/>
        <v>0</v>
      </c>
      <c r="Z161" s="127">
        <f t="shared" si="27"/>
        <v>833141.7</v>
      </c>
      <c r="AA161" s="33" t="s">
        <v>15</v>
      </c>
      <c r="AB161" s="36" t="s">
        <v>16</v>
      </c>
      <c r="AC161" s="181">
        <f t="shared" si="28"/>
        <v>90</v>
      </c>
      <c r="AD161" s="181">
        <f t="shared" si="26"/>
        <v>833141.7</v>
      </c>
      <c r="AE161" s="181">
        <v>1.3</v>
      </c>
      <c r="AF161" s="181">
        <v>1.3</v>
      </c>
      <c r="AG161" s="101" t="str">
        <f t="shared" si="29"/>
        <v/>
      </c>
      <c r="AH161" s="191">
        <f>70+20</f>
        <v>90</v>
      </c>
      <c r="AI161" s="69">
        <f t="shared" si="30"/>
        <v>90</v>
      </c>
    </row>
    <row r="162" spans="1:35" s="69" customFormat="1" ht="33" x14ac:dyDescent="0.3">
      <c r="A162" s="130" t="s">
        <v>460</v>
      </c>
      <c r="B162" s="131" t="s">
        <v>461</v>
      </c>
      <c r="C162" s="132" t="s">
        <v>81</v>
      </c>
      <c r="D162" s="133">
        <v>1</v>
      </c>
      <c r="E162" s="75"/>
      <c r="F162" s="75"/>
      <c r="G162" s="75"/>
      <c r="H162" s="75" t="s">
        <v>15</v>
      </c>
      <c r="I162" s="75">
        <v>58649</v>
      </c>
      <c r="J162" s="75">
        <v>58649</v>
      </c>
      <c r="K162" s="137" t="s">
        <v>462</v>
      </c>
      <c r="L162" s="73"/>
      <c r="M162" s="46">
        <v>1</v>
      </c>
      <c r="N162" s="46">
        <v>58649</v>
      </c>
      <c r="O162" s="46">
        <v>58649</v>
      </c>
      <c r="P162" s="98"/>
      <c r="Q162" s="23" t="s">
        <v>1438</v>
      </c>
      <c r="R162" s="24" t="s">
        <v>461</v>
      </c>
      <c r="S162" s="25" t="s">
        <v>81</v>
      </c>
      <c r="T162" s="26">
        <v>1</v>
      </c>
      <c r="U162" s="26">
        <v>1</v>
      </c>
      <c r="V162" s="26">
        <f t="shared" si="19"/>
        <v>58649</v>
      </c>
      <c r="W162" s="209">
        <f t="shared" si="23"/>
        <v>0</v>
      </c>
      <c r="X162" s="127">
        <f t="shared" si="24"/>
        <v>1</v>
      </c>
      <c r="Y162" s="127">
        <f t="shared" si="25"/>
        <v>0</v>
      </c>
      <c r="Z162" s="127">
        <f t="shared" si="27"/>
        <v>58649</v>
      </c>
      <c r="AA162" s="33" t="s">
        <v>15</v>
      </c>
      <c r="AB162" s="36" t="s">
        <v>16</v>
      </c>
      <c r="AC162" s="181">
        <f t="shared" si="28"/>
        <v>1</v>
      </c>
      <c r="AD162" s="181">
        <f t="shared" si="26"/>
        <v>58649</v>
      </c>
      <c r="AE162" s="181">
        <v>1.3</v>
      </c>
      <c r="AF162" s="181">
        <v>1.3</v>
      </c>
      <c r="AG162" s="101" t="str">
        <f t="shared" si="29"/>
        <v/>
      </c>
      <c r="AH162" s="191">
        <f>1</f>
        <v>1</v>
      </c>
      <c r="AI162" s="69">
        <f t="shared" si="30"/>
        <v>1</v>
      </c>
    </row>
    <row r="163" spans="1:35" s="69" customFormat="1" ht="33" x14ac:dyDescent="0.3">
      <c r="A163" s="130" t="s">
        <v>463</v>
      </c>
      <c r="B163" s="131" t="s">
        <v>464</v>
      </c>
      <c r="C163" s="132" t="s">
        <v>81</v>
      </c>
      <c r="D163" s="133">
        <v>1</v>
      </c>
      <c r="E163" s="75"/>
      <c r="F163" s="75"/>
      <c r="G163" s="75"/>
      <c r="H163" s="75" t="s">
        <v>15</v>
      </c>
      <c r="I163" s="75">
        <v>107614.5</v>
      </c>
      <c r="J163" s="75">
        <v>107614.5</v>
      </c>
      <c r="K163" s="137" t="s">
        <v>465</v>
      </c>
      <c r="L163" s="73"/>
      <c r="M163" s="46">
        <v>0.8</v>
      </c>
      <c r="N163" s="46">
        <v>0</v>
      </c>
      <c r="O163" s="46">
        <v>86091.6</v>
      </c>
      <c r="P163" s="98"/>
      <c r="Q163" s="23" t="s">
        <v>1439</v>
      </c>
      <c r="R163" s="24" t="s">
        <v>464</v>
      </c>
      <c r="S163" s="25" t="s">
        <v>81</v>
      </c>
      <c r="T163" s="26">
        <v>1</v>
      </c>
      <c r="U163" s="26">
        <v>1</v>
      </c>
      <c r="V163" s="26">
        <f t="shared" si="19"/>
        <v>107614.5</v>
      </c>
      <c r="W163" s="128">
        <f t="shared" si="23"/>
        <v>0</v>
      </c>
      <c r="X163" s="26">
        <f t="shared" si="24"/>
        <v>0.8</v>
      </c>
      <c r="Y163" s="26">
        <f t="shared" si="25"/>
        <v>0</v>
      </c>
      <c r="Z163" s="26">
        <f t="shared" si="27"/>
        <v>86091.6</v>
      </c>
      <c r="AA163" s="33" t="s">
        <v>15</v>
      </c>
      <c r="AB163" s="36" t="s">
        <v>16</v>
      </c>
      <c r="AC163" s="181">
        <f t="shared" si="28"/>
        <v>1</v>
      </c>
      <c r="AD163" s="181">
        <f t="shared" si="26"/>
        <v>107614.5</v>
      </c>
      <c r="AE163" s="181">
        <v>1.3</v>
      </c>
      <c r="AF163" s="181">
        <v>1.3</v>
      </c>
      <c r="AG163" s="101" t="str">
        <f t="shared" si="29"/>
        <v/>
      </c>
      <c r="AH163" s="191">
        <v>0.8</v>
      </c>
      <c r="AI163" s="69">
        <f t="shared" si="30"/>
        <v>1</v>
      </c>
    </row>
    <row r="164" spans="1:35" s="69" customFormat="1" ht="33" x14ac:dyDescent="0.3">
      <c r="A164" s="55" t="s">
        <v>466</v>
      </c>
      <c r="B164" s="53" t="s">
        <v>467</v>
      </c>
      <c r="C164" s="54" t="s">
        <v>30</v>
      </c>
      <c r="D164" s="75">
        <v>13.2</v>
      </c>
      <c r="E164" s="75"/>
      <c r="F164" s="75"/>
      <c r="G164" s="75"/>
      <c r="H164" s="75" t="s">
        <v>15</v>
      </c>
      <c r="I164" s="75">
        <v>2809.33</v>
      </c>
      <c r="J164" s="75">
        <v>37083.160000000003</v>
      </c>
      <c r="K164" s="137" t="s">
        <v>468</v>
      </c>
      <c r="L164" s="73"/>
      <c r="M164" s="46">
        <v>0</v>
      </c>
      <c r="N164" s="46">
        <v>0</v>
      </c>
      <c r="O164" s="46">
        <v>0</v>
      </c>
      <c r="P164" s="98"/>
      <c r="Q164" s="23" t="s">
        <v>1440</v>
      </c>
      <c r="R164" s="24" t="s">
        <v>467</v>
      </c>
      <c r="S164" s="25" t="s">
        <v>30</v>
      </c>
      <c r="T164" s="26">
        <v>13.2</v>
      </c>
      <c r="U164" s="26">
        <v>13.2</v>
      </c>
      <c r="V164" s="26">
        <f t="shared" si="19"/>
        <v>2809.33</v>
      </c>
      <c r="W164" s="26">
        <f t="shared" si="23"/>
        <v>0</v>
      </c>
      <c r="X164" s="26">
        <f t="shared" si="24"/>
        <v>0</v>
      </c>
      <c r="Y164" s="26">
        <f t="shared" si="25"/>
        <v>0</v>
      </c>
      <c r="Z164" s="26">
        <f t="shared" si="27"/>
        <v>0</v>
      </c>
      <c r="AA164" s="33" t="s">
        <v>15</v>
      </c>
      <c r="AB164" s="36" t="s">
        <v>16</v>
      </c>
      <c r="AC164" s="181">
        <f t="shared" si="28"/>
        <v>13.2</v>
      </c>
      <c r="AD164" s="181">
        <f t="shared" si="26"/>
        <v>37083.160000000003</v>
      </c>
      <c r="AE164" s="181">
        <v>1.3</v>
      </c>
      <c r="AF164" s="181">
        <v>1.3</v>
      </c>
      <c r="AG164" s="101" t="str">
        <f t="shared" si="29"/>
        <v/>
      </c>
      <c r="AH164" s="190">
        <v>0</v>
      </c>
      <c r="AI164" s="69">
        <f t="shared" si="30"/>
        <v>13.2</v>
      </c>
    </row>
    <row r="165" spans="1:35" s="69" customFormat="1" ht="39" x14ac:dyDescent="0.3">
      <c r="A165" s="55" t="s">
        <v>469</v>
      </c>
      <c r="B165" s="53" t="s">
        <v>470</v>
      </c>
      <c r="C165" s="54" t="s">
        <v>30</v>
      </c>
      <c r="D165" s="75">
        <v>3</v>
      </c>
      <c r="E165" s="75"/>
      <c r="F165" s="75"/>
      <c r="G165" s="75"/>
      <c r="H165" s="75" t="s">
        <v>15</v>
      </c>
      <c r="I165" s="75">
        <v>2433.89</v>
      </c>
      <c r="J165" s="75">
        <v>7301.67</v>
      </c>
      <c r="K165" s="137" t="s">
        <v>471</v>
      </c>
      <c r="L165" s="73"/>
      <c r="M165" s="46">
        <v>0</v>
      </c>
      <c r="N165" s="46">
        <v>0</v>
      </c>
      <c r="O165" s="46">
        <v>0</v>
      </c>
      <c r="P165" s="98"/>
      <c r="Q165" s="23" t="s">
        <v>1441</v>
      </c>
      <c r="R165" s="24" t="s">
        <v>470</v>
      </c>
      <c r="S165" s="25" t="s">
        <v>30</v>
      </c>
      <c r="T165" s="26">
        <v>3</v>
      </c>
      <c r="U165" s="26">
        <v>3</v>
      </c>
      <c r="V165" s="26">
        <f t="shared" si="19"/>
        <v>2433.89</v>
      </c>
      <c r="W165" s="26">
        <f t="shared" si="23"/>
        <v>0</v>
      </c>
      <c r="X165" s="26">
        <f t="shared" si="24"/>
        <v>0</v>
      </c>
      <c r="Y165" s="26">
        <f t="shared" si="25"/>
        <v>0</v>
      </c>
      <c r="Z165" s="26">
        <f t="shared" si="27"/>
        <v>0</v>
      </c>
      <c r="AA165" s="33" t="s">
        <v>15</v>
      </c>
      <c r="AB165" s="36" t="s">
        <v>16</v>
      </c>
      <c r="AC165" s="181">
        <f t="shared" si="28"/>
        <v>3</v>
      </c>
      <c r="AD165" s="181">
        <f t="shared" si="26"/>
        <v>7301.67</v>
      </c>
      <c r="AE165" s="181">
        <v>1.3</v>
      </c>
      <c r="AF165" s="181">
        <v>1.3</v>
      </c>
      <c r="AG165" s="101" t="str">
        <f t="shared" si="29"/>
        <v/>
      </c>
      <c r="AH165" s="190">
        <v>0</v>
      </c>
      <c r="AI165" s="69">
        <f t="shared" si="30"/>
        <v>3</v>
      </c>
    </row>
    <row r="166" spans="1:35" s="69" customFormat="1" ht="39" x14ac:dyDescent="0.3">
      <c r="A166" s="55" t="s">
        <v>472</v>
      </c>
      <c r="B166" s="53" t="s">
        <v>473</v>
      </c>
      <c r="C166" s="54" t="s">
        <v>30</v>
      </c>
      <c r="D166" s="75">
        <v>6</v>
      </c>
      <c r="E166" s="75"/>
      <c r="F166" s="75"/>
      <c r="G166" s="75"/>
      <c r="H166" s="75" t="s">
        <v>15</v>
      </c>
      <c r="I166" s="75">
        <v>2888.64</v>
      </c>
      <c r="J166" s="75">
        <v>17331.84</v>
      </c>
      <c r="K166" s="137" t="s">
        <v>474</v>
      </c>
      <c r="L166" s="73"/>
      <c r="M166" s="46">
        <v>0</v>
      </c>
      <c r="N166" s="46">
        <v>0</v>
      </c>
      <c r="O166" s="46">
        <v>0</v>
      </c>
      <c r="P166" s="98"/>
      <c r="Q166" s="23" t="s">
        <v>1442</v>
      </c>
      <c r="R166" s="24" t="s">
        <v>473</v>
      </c>
      <c r="S166" s="25" t="s">
        <v>30</v>
      </c>
      <c r="T166" s="26">
        <v>6</v>
      </c>
      <c r="U166" s="26">
        <v>6</v>
      </c>
      <c r="V166" s="26">
        <f t="shared" si="19"/>
        <v>2888.64</v>
      </c>
      <c r="W166" s="26">
        <f t="shared" si="23"/>
        <v>0</v>
      </c>
      <c r="X166" s="26">
        <f t="shared" si="24"/>
        <v>0</v>
      </c>
      <c r="Y166" s="26">
        <f t="shared" si="25"/>
        <v>0</v>
      </c>
      <c r="Z166" s="26">
        <f t="shared" si="27"/>
        <v>0</v>
      </c>
      <c r="AA166" s="33" t="s">
        <v>15</v>
      </c>
      <c r="AB166" s="36" t="s">
        <v>16</v>
      </c>
      <c r="AC166" s="181">
        <f t="shared" si="28"/>
        <v>6</v>
      </c>
      <c r="AD166" s="181">
        <f t="shared" si="26"/>
        <v>17331.84</v>
      </c>
      <c r="AE166" s="181">
        <v>1.3</v>
      </c>
      <c r="AF166" s="181">
        <v>1.3</v>
      </c>
      <c r="AG166" s="101" t="str">
        <f t="shared" si="29"/>
        <v/>
      </c>
      <c r="AH166" s="190">
        <v>0</v>
      </c>
      <c r="AI166" s="69">
        <f t="shared" si="30"/>
        <v>6</v>
      </c>
    </row>
    <row r="167" spans="1:35" s="69" customFormat="1" ht="58.5" x14ac:dyDescent="0.3">
      <c r="A167" s="130" t="s">
        <v>475</v>
      </c>
      <c r="B167" s="131" t="s">
        <v>476</v>
      </c>
      <c r="C167" s="132" t="s">
        <v>14</v>
      </c>
      <c r="D167" s="133">
        <v>1</v>
      </c>
      <c r="E167" s="75"/>
      <c r="F167" s="75"/>
      <c r="G167" s="75"/>
      <c r="H167" s="75" t="s">
        <v>15</v>
      </c>
      <c r="I167" s="75">
        <v>430876.81</v>
      </c>
      <c r="J167" s="75">
        <v>430876.81</v>
      </c>
      <c r="K167" s="137" t="s">
        <v>477</v>
      </c>
      <c r="L167" s="73"/>
      <c r="M167" s="46">
        <v>1</v>
      </c>
      <c r="N167" s="46">
        <v>0</v>
      </c>
      <c r="O167" s="46">
        <v>430876.81</v>
      </c>
      <c r="P167" s="98"/>
      <c r="Q167" s="23" t="s">
        <v>1443</v>
      </c>
      <c r="R167" s="24" t="s">
        <v>476</v>
      </c>
      <c r="S167" s="25" t="s">
        <v>14</v>
      </c>
      <c r="T167" s="26">
        <v>1</v>
      </c>
      <c r="U167" s="26">
        <v>1</v>
      </c>
      <c r="V167" s="26">
        <f t="shared" ref="V167:V176" si="31">I167</f>
        <v>430876.81</v>
      </c>
      <c r="W167" s="127">
        <f t="shared" si="23"/>
        <v>0</v>
      </c>
      <c r="X167" s="127">
        <f t="shared" si="24"/>
        <v>1</v>
      </c>
      <c r="Y167" s="127">
        <f t="shared" si="25"/>
        <v>0</v>
      </c>
      <c r="Z167" s="127">
        <f t="shared" si="27"/>
        <v>430876.81</v>
      </c>
      <c r="AA167" s="33" t="s">
        <v>15</v>
      </c>
      <c r="AB167" s="36" t="s">
        <v>16</v>
      </c>
      <c r="AC167" s="181">
        <f t="shared" si="28"/>
        <v>1</v>
      </c>
      <c r="AD167" s="181">
        <f t="shared" si="26"/>
        <v>430876.81</v>
      </c>
      <c r="AE167" s="181">
        <v>1.3</v>
      </c>
      <c r="AF167" s="181">
        <v>1.3</v>
      </c>
      <c r="AG167" s="101" t="str">
        <f t="shared" si="29"/>
        <v/>
      </c>
      <c r="AH167" s="191">
        <v>1</v>
      </c>
      <c r="AI167" s="69">
        <f t="shared" si="30"/>
        <v>1</v>
      </c>
    </row>
    <row r="168" spans="1:35" s="69" customFormat="1" ht="39" x14ac:dyDescent="0.3">
      <c r="A168" s="130" t="s">
        <v>478</v>
      </c>
      <c r="B168" s="131" t="s">
        <v>479</v>
      </c>
      <c r="C168" s="132" t="s">
        <v>81</v>
      </c>
      <c r="D168" s="133">
        <v>1</v>
      </c>
      <c r="E168" s="75"/>
      <c r="F168" s="75"/>
      <c r="G168" s="75"/>
      <c r="H168" s="75" t="s">
        <v>15</v>
      </c>
      <c r="I168" s="75">
        <v>29563.21</v>
      </c>
      <c r="J168" s="75">
        <v>29563.21</v>
      </c>
      <c r="K168" s="137" t="s">
        <v>480</v>
      </c>
      <c r="L168" s="73"/>
      <c r="M168" s="46">
        <v>1</v>
      </c>
      <c r="N168" s="46">
        <v>0</v>
      </c>
      <c r="O168" s="46">
        <v>29563.21</v>
      </c>
      <c r="P168" s="98"/>
      <c r="Q168" s="23" t="s">
        <v>1444</v>
      </c>
      <c r="R168" s="24" t="s">
        <v>479</v>
      </c>
      <c r="S168" s="25" t="s">
        <v>81</v>
      </c>
      <c r="T168" s="26">
        <v>1</v>
      </c>
      <c r="U168" s="26">
        <v>1</v>
      </c>
      <c r="V168" s="26">
        <f t="shared" si="31"/>
        <v>29563.21</v>
      </c>
      <c r="W168" s="127">
        <f t="shared" si="23"/>
        <v>0</v>
      </c>
      <c r="X168" s="127">
        <f t="shared" si="24"/>
        <v>1</v>
      </c>
      <c r="Y168" s="127">
        <f t="shared" si="25"/>
        <v>0</v>
      </c>
      <c r="Z168" s="127">
        <f t="shared" si="27"/>
        <v>29563.21</v>
      </c>
      <c r="AA168" s="33" t="s">
        <v>15</v>
      </c>
      <c r="AB168" s="36" t="s">
        <v>16</v>
      </c>
      <c r="AC168" s="181">
        <f t="shared" si="28"/>
        <v>1</v>
      </c>
      <c r="AD168" s="181">
        <f t="shared" si="26"/>
        <v>29563.21</v>
      </c>
      <c r="AE168" s="181">
        <v>1.3</v>
      </c>
      <c r="AF168" s="181">
        <v>1.3</v>
      </c>
      <c r="AG168" s="101" t="str">
        <f t="shared" si="29"/>
        <v/>
      </c>
      <c r="AH168" s="194">
        <v>1</v>
      </c>
      <c r="AI168" s="69">
        <f t="shared" si="30"/>
        <v>1</v>
      </c>
    </row>
    <row r="169" spans="1:35" s="69" customFormat="1" ht="33" x14ac:dyDescent="0.3">
      <c r="A169" s="130" t="s">
        <v>481</v>
      </c>
      <c r="B169" s="131" t="s">
        <v>482</v>
      </c>
      <c r="C169" s="132" t="s">
        <v>81</v>
      </c>
      <c r="D169" s="133">
        <v>1</v>
      </c>
      <c r="E169" s="75"/>
      <c r="F169" s="75"/>
      <c r="G169" s="75"/>
      <c r="H169" s="75" t="s">
        <v>15</v>
      </c>
      <c r="I169" s="75">
        <v>1061152.75</v>
      </c>
      <c r="J169" s="75">
        <v>1061152.75</v>
      </c>
      <c r="K169" s="137" t="s">
        <v>483</v>
      </c>
      <c r="L169" s="73"/>
      <c r="M169" s="46">
        <v>1</v>
      </c>
      <c r="N169" s="46">
        <v>0</v>
      </c>
      <c r="O169" s="46">
        <v>1061152.75</v>
      </c>
      <c r="P169" s="98"/>
      <c r="Q169" s="23" t="s">
        <v>1408</v>
      </c>
      <c r="R169" s="24" t="s">
        <v>482</v>
      </c>
      <c r="S169" s="25" t="s">
        <v>81</v>
      </c>
      <c r="T169" s="26">
        <v>1</v>
      </c>
      <c r="U169" s="26">
        <v>1</v>
      </c>
      <c r="V169" s="26">
        <f t="shared" si="31"/>
        <v>1061152.75</v>
      </c>
      <c r="W169" s="127">
        <f t="shared" si="23"/>
        <v>0</v>
      </c>
      <c r="X169" s="127">
        <f t="shared" si="24"/>
        <v>1</v>
      </c>
      <c r="Y169" s="127">
        <f t="shared" si="25"/>
        <v>0</v>
      </c>
      <c r="Z169" s="127">
        <f t="shared" si="27"/>
        <v>1061152.75</v>
      </c>
      <c r="AA169" s="33" t="s">
        <v>15</v>
      </c>
      <c r="AB169" s="36" t="s">
        <v>16</v>
      </c>
      <c r="AC169" s="181">
        <f t="shared" si="28"/>
        <v>1</v>
      </c>
      <c r="AD169" s="181">
        <f t="shared" si="26"/>
        <v>1061152.75</v>
      </c>
      <c r="AE169" s="181">
        <v>1.3</v>
      </c>
      <c r="AF169" s="181">
        <v>1.3</v>
      </c>
      <c r="AG169" s="101" t="str">
        <f t="shared" si="29"/>
        <v/>
      </c>
      <c r="AH169" s="191">
        <v>1</v>
      </c>
      <c r="AI169" s="69">
        <f t="shared" si="30"/>
        <v>1</v>
      </c>
    </row>
    <row r="170" spans="1:35" s="69" customFormat="1" ht="33" x14ac:dyDescent="0.3">
      <c r="A170" s="130" t="s">
        <v>484</v>
      </c>
      <c r="B170" s="131" t="s">
        <v>485</v>
      </c>
      <c r="C170" s="132" t="s">
        <v>81</v>
      </c>
      <c r="D170" s="133">
        <v>1</v>
      </c>
      <c r="E170" s="75"/>
      <c r="F170" s="75"/>
      <c r="G170" s="75"/>
      <c r="H170" s="75" t="s">
        <v>15</v>
      </c>
      <c r="I170" s="75">
        <v>2431046.88</v>
      </c>
      <c r="J170" s="75">
        <v>2431046.88</v>
      </c>
      <c r="K170" s="137" t="s">
        <v>486</v>
      </c>
      <c r="L170" s="73"/>
      <c r="M170" s="46">
        <v>1</v>
      </c>
      <c r="N170" s="46">
        <v>0</v>
      </c>
      <c r="O170" s="46">
        <v>2431046.88</v>
      </c>
      <c r="P170" s="98"/>
      <c r="Q170" s="23" t="s">
        <v>1409</v>
      </c>
      <c r="R170" s="24" t="s">
        <v>485</v>
      </c>
      <c r="S170" s="25" t="s">
        <v>81</v>
      </c>
      <c r="T170" s="26">
        <v>1</v>
      </c>
      <c r="U170" s="26">
        <v>1</v>
      </c>
      <c r="V170" s="26">
        <f t="shared" si="31"/>
        <v>2431046.88</v>
      </c>
      <c r="W170" s="127">
        <f t="shared" si="23"/>
        <v>0</v>
      </c>
      <c r="X170" s="127">
        <f t="shared" si="24"/>
        <v>1</v>
      </c>
      <c r="Y170" s="127">
        <f t="shared" si="25"/>
        <v>0</v>
      </c>
      <c r="Z170" s="127">
        <f t="shared" si="27"/>
        <v>2431046.88</v>
      </c>
      <c r="AA170" s="33" t="s">
        <v>15</v>
      </c>
      <c r="AB170" s="36" t="s">
        <v>16</v>
      </c>
      <c r="AC170" s="181">
        <f t="shared" si="28"/>
        <v>1</v>
      </c>
      <c r="AD170" s="181">
        <f t="shared" si="26"/>
        <v>2431046.88</v>
      </c>
      <c r="AE170" s="181">
        <v>1.3</v>
      </c>
      <c r="AF170" s="181">
        <v>1.3</v>
      </c>
      <c r="AG170" s="101" t="str">
        <f t="shared" si="29"/>
        <v/>
      </c>
      <c r="AH170" s="194">
        <v>1</v>
      </c>
      <c r="AI170" s="69">
        <f t="shared" si="30"/>
        <v>1</v>
      </c>
    </row>
    <row r="171" spans="1:35" s="69" customFormat="1" ht="33" x14ac:dyDescent="0.3">
      <c r="A171" s="134" t="s">
        <v>1312</v>
      </c>
      <c r="B171" s="135" t="s">
        <v>1313</v>
      </c>
      <c r="C171" s="204" t="s">
        <v>14</v>
      </c>
      <c r="D171" s="133"/>
      <c r="E171" s="59">
        <v>1</v>
      </c>
      <c r="F171" s="77"/>
      <c r="G171" s="77"/>
      <c r="H171" s="77" t="s">
        <v>15</v>
      </c>
      <c r="I171" s="77">
        <v>87950.62</v>
      </c>
      <c r="J171" s="59">
        <v>87950.62</v>
      </c>
      <c r="K171" s="92"/>
      <c r="L171" s="73"/>
      <c r="M171" s="46">
        <v>1</v>
      </c>
      <c r="N171" s="46">
        <v>0</v>
      </c>
      <c r="O171" s="46">
        <v>87950.62</v>
      </c>
      <c r="P171" s="98"/>
      <c r="Q171" s="23" t="s">
        <v>1410</v>
      </c>
      <c r="R171" s="24" t="s">
        <v>1495</v>
      </c>
      <c r="S171" s="25" t="s">
        <v>14</v>
      </c>
      <c r="T171" s="26">
        <v>0</v>
      </c>
      <c r="U171" s="26">
        <v>1</v>
      </c>
      <c r="V171" s="26">
        <f t="shared" si="31"/>
        <v>87950.62</v>
      </c>
      <c r="W171" s="127">
        <f t="shared" si="23"/>
        <v>0</v>
      </c>
      <c r="X171" s="127">
        <f t="shared" si="24"/>
        <v>1</v>
      </c>
      <c r="Y171" s="127">
        <f t="shared" si="25"/>
        <v>0</v>
      </c>
      <c r="Z171" s="127">
        <f t="shared" si="27"/>
        <v>87950.62</v>
      </c>
      <c r="AA171" s="27"/>
      <c r="AB171" s="36" t="s">
        <v>16</v>
      </c>
      <c r="AC171" s="181">
        <f t="shared" si="28"/>
        <v>1</v>
      </c>
      <c r="AD171" s="181">
        <f t="shared" si="26"/>
        <v>87950.62</v>
      </c>
      <c r="AE171" s="181">
        <v>1.3</v>
      </c>
      <c r="AF171" s="181">
        <v>1.3</v>
      </c>
      <c r="AG171" s="101" t="str">
        <f t="shared" si="29"/>
        <v/>
      </c>
      <c r="AH171" s="190">
        <v>1</v>
      </c>
      <c r="AI171" s="69">
        <f t="shared" si="30"/>
        <v>1</v>
      </c>
    </row>
    <row r="172" spans="1:35" s="69" customFormat="1" ht="33" x14ac:dyDescent="0.3">
      <c r="A172" s="134" t="s">
        <v>1314</v>
      </c>
      <c r="B172" s="135" t="s">
        <v>1315</v>
      </c>
      <c r="C172" s="204" t="s">
        <v>30</v>
      </c>
      <c r="D172" s="133"/>
      <c r="E172" s="59">
        <v>24</v>
      </c>
      <c r="F172" s="77"/>
      <c r="G172" s="77"/>
      <c r="H172" s="77" t="s">
        <v>15</v>
      </c>
      <c r="I172" s="77">
        <v>4257.93</v>
      </c>
      <c r="J172" s="59">
        <v>102190.32</v>
      </c>
      <c r="K172" s="92"/>
      <c r="L172" s="73"/>
      <c r="M172" s="46">
        <v>24</v>
      </c>
      <c r="N172" s="46">
        <v>0</v>
      </c>
      <c r="O172" s="46">
        <v>102190.32</v>
      </c>
      <c r="P172" s="98"/>
      <c r="Q172" s="23" t="s">
        <v>1411</v>
      </c>
      <c r="R172" s="24" t="s">
        <v>1496</v>
      </c>
      <c r="S172" s="25" t="s">
        <v>30</v>
      </c>
      <c r="T172" s="26">
        <v>0</v>
      </c>
      <c r="U172" s="26">
        <v>24</v>
      </c>
      <c r="V172" s="26">
        <f t="shared" si="31"/>
        <v>4257.93</v>
      </c>
      <c r="W172" s="127">
        <f t="shared" si="23"/>
        <v>0</v>
      </c>
      <c r="X172" s="127">
        <f t="shared" si="24"/>
        <v>24</v>
      </c>
      <c r="Y172" s="127">
        <f t="shared" si="25"/>
        <v>0</v>
      </c>
      <c r="Z172" s="127">
        <f t="shared" si="27"/>
        <v>102190.32</v>
      </c>
      <c r="AA172" s="27"/>
      <c r="AB172" s="36" t="s">
        <v>16</v>
      </c>
      <c r="AC172" s="181">
        <f t="shared" si="28"/>
        <v>24</v>
      </c>
      <c r="AD172" s="181">
        <f t="shared" si="26"/>
        <v>102190.32</v>
      </c>
      <c r="AE172" s="181">
        <v>1.3</v>
      </c>
      <c r="AF172" s="181">
        <v>1.3</v>
      </c>
      <c r="AG172" s="101" t="str">
        <f t="shared" si="29"/>
        <v/>
      </c>
      <c r="AH172" s="190">
        <v>24</v>
      </c>
      <c r="AI172" s="69">
        <f t="shared" si="30"/>
        <v>24</v>
      </c>
    </row>
    <row r="173" spans="1:35" s="69" customFormat="1" ht="33" x14ac:dyDescent="0.3">
      <c r="A173" s="134" t="s">
        <v>1316</v>
      </c>
      <c r="B173" s="135" t="s">
        <v>1317</v>
      </c>
      <c r="C173" s="204" t="s">
        <v>513</v>
      </c>
      <c r="D173" s="133"/>
      <c r="E173" s="59">
        <v>1</v>
      </c>
      <c r="F173" s="77"/>
      <c r="G173" s="205"/>
      <c r="H173" s="205" t="s">
        <v>15</v>
      </c>
      <c r="I173" s="77">
        <v>200835.11</v>
      </c>
      <c r="J173" s="59">
        <v>200835.11</v>
      </c>
      <c r="K173" s="92"/>
      <c r="L173" s="73"/>
      <c r="M173" s="46">
        <v>1</v>
      </c>
      <c r="N173" s="46">
        <v>0</v>
      </c>
      <c r="O173" s="46">
        <v>200835.11</v>
      </c>
      <c r="P173" s="98"/>
      <c r="Q173" s="23" t="s">
        <v>1445</v>
      </c>
      <c r="R173" s="24" t="s">
        <v>1497</v>
      </c>
      <c r="S173" s="25" t="s">
        <v>513</v>
      </c>
      <c r="T173" s="26">
        <v>0</v>
      </c>
      <c r="U173" s="26">
        <v>1</v>
      </c>
      <c r="V173" s="26">
        <f t="shared" si="31"/>
        <v>200835.11</v>
      </c>
      <c r="W173" s="127">
        <f t="shared" si="23"/>
        <v>0</v>
      </c>
      <c r="X173" s="127">
        <f t="shared" si="24"/>
        <v>1</v>
      </c>
      <c r="Y173" s="127">
        <f t="shared" si="25"/>
        <v>0</v>
      </c>
      <c r="Z173" s="127">
        <f t="shared" si="27"/>
        <v>200835.11</v>
      </c>
      <c r="AA173" s="27"/>
      <c r="AB173" s="36" t="s">
        <v>16</v>
      </c>
      <c r="AC173" s="181">
        <f t="shared" si="28"/>
        <v>1</v>
      </c>
      <c r="AD173" s="181">
        <f t="shared" si="26"/>
        <v>200835.11</v>
      </c>
      <c r="AE173" s="181">
        <v>1.3</v>
      </c>
      <c r="AF173" s="181">
        <v>1.3</v>
      </c>
      <c r="AG173" s="101" t="str">
        <f t="shared" si="29"/>
        <v/>
      </c>
      <c r="AH173" s="190">
        <v>1</v>
      </c>
      <c r="AI173" s="69">
        <f t="shared" si="30"/>
        <v>1</v>
      </c>
    </row>
    <row r="174" spans="1:35" ht="33" x14ac:dyDescent="0.3">
      <c r="A174" s="134" t="s">
        <v>1318</v>
      </c>
      <c r="B174" s="135" t="s">
        <v>1319</v>
      </c>
      <c r="C174" s="204" t="s">
        <v>412</v>
      </c>
      <c r="D174" s="133"/>
      <c r="E174" s="78"/>
      <c r="F174" s="116">
        <v>150400</v>
      </c>
      <c r="G174" s="116"/>
      <c r="H174" s="116">
        <v>154935.98000000001</v>
      </c>
      <c r="I174" s="167">
        <v>16.21</v>
      </c>
      <c r="J174" s="62">
        <v>2511512.2400000002</v>
      </c>
      <c r="K174" s="93"/>
      <c r="M174" s="46">
        <v>150350.57999999999</v>
      </c>
      <c r="N174" s="46">
        <v>0</v>
      </c>
      <c r="O174" s="46">
        <v>2437182.9</v>
      </c>
      <c r="P174" s="98"/>
      <c r="Q174" s="23" t="s">
        <v>1383</v>
      </c>
      <c r="R174" s="24" t="s">
        <v>1319</v>
      </c>
      <c r="S174" s="25" t="s">
        <v>412</v>
      </c>
      <c r="T174" s="26">
        <v>0</v>
      </c>
      <c r="U174" s="26">
        <v>154935.98000000001</v>
      </c>
      <c r="V174" s="26">
        <f t="shared" si="31"/>
        <v>16.21</v>
      </c>
      <c r="W174" s="127">
        <f t="shared" si="23"/>
        <v>0</v>
      </c>
      <c r="X174" s="127">
        <f t="shared" si="24"/>
        <v>150350.57999999999</v>
      </c>
      <c r="Y174" s="127">
        <f t="shared" si="25"/>
        <v>0</v>
      </c>
      <c r="Z174" s="127">
        <f t="shared" si="27"/>
        <v>2437182.9</v>
      </c>
      <c r="AA174" s="27"/>
      <c r="AB174" s="36" t="s">
        <v>16</v>
      </c>
      <c r="AC174" s="181">
        <f t="shared" si="28"/>
        <v>154935.98000000001</v>
      </c>
      <c r="AD174" s="181">
        <f t="shared" si="26"/>
        <v>2511512.2400000002</v>
      </c>
      <c r="AE174" s="181">
        <v>1.3</v>
      </c>
      <c r="AF174" s="181">
        <v>1.3</v>
      </c>
      <c r="AG174" s="101" t="str">
        <f t="shared" si="29"/>
        <v/>
      </c>
      <c r="AH174" s="191">
        <v>150350.57999999999</v>
      </c>
      <c r="AI174" s="69">
        <f t="shared" si="30"/>
        <v>150400</v>
      </c>
    </row>
    <row r="175" spans="1:35" ht="33" x14ac:dyDescent="0.3">
      <c r="A175" s="134" t="s">
        <v>1320</v>
      </c>
      <c r="B175" s="135" t="s">
        <v>1321</v>
      </c>
      <c r="C175" s="204" t="s">
        <v>325</v>
      </c>
      <c r="D175" s="133"/>
      <c r="E175" s="78"/>
      <c r="F175" s="62">
        <v>18</v>
      </c>
      <c r="G175" s="62"/>
      <c r="H175" s="62" t="s">
        <v>15</v>
      </c>
      <c r="I175" s="167">
        <v>79588.210000000006</v>
      </c>
      <c r="J175" s="62">
        <v>1432587.78</v>
      </c>
      <c r="K175" s="93"/>
      <c r="M175" s="46">
        <v>18</v>
      </c>
      <c r="N175" s="46">
        <v>0</v>
      </c>
      <c r="O175" s="46">
        <v>1432587.78</v>
      </c>
      <c r="P175" s="98"/>
      <c r="Q175" s="23" t="s">
        <v>1384</v>
      </c>
      <c r="R175" s="24" t="s">
        <v>1321</v>
      </c>
      <c r="S175" s="25" t="s">
        <v>325</v>
      </c>
      <c r="T175" s="26">
        <v>0</v>
      </c>
      <c r="U175" s="26">
        <v>18</v>
      </c>
      <c r="V175" s="26">
        <f t="shared" si="31"/>
        <v>79588.210000000006</v>
      </c>
      <c r="W175" s="127">
        <f t="shared" si="23"/>
        <v>0</v>
      </c>
      <c r="X175" s="127">
        <f t="shared" si="24"/>
        <v>18</v>
      </c>
      <c r="Y175" s="127">
        <f t="shared" si="25"/>
        <v>0</v>
      </c>
      <c r="Z175" s="127">
        <f t="shared" si="27"/>
        <v>1432587.78</v>
      </c>
      <c r="AA175" s="27"/>
      <c r="AB175" s="36" t="s">
        <v>16</v>
      </c>
      <c r="AC175" s="181">
        <f t="shared" si="28"/>
        <v>18</v>
      </c>
      <c r="AD175" s="181">
        <f t="shared" si="26"/>
        <v>1432587.78</v>
      </c>
      <c r="AE175" s="181">
        <v>1.3</v>
      </c>
      <c r="AF175" s="181">
        <v>1.3</v>
      </c>
      <c r="AG175" s="101" t="str">
        <f t="shared" si="29"/>
        <v/>
      </c>
      <c r="AH175" s="194">
        <v>18</v>
      </c>
      <c r="AI175" s="69">
        <f t="shared" si="30"/>
        <v>18</v>
      </c>
    </row>
    <row r="176" spans="1:35" ht="39" x14ac:dyDescent="0.3">
      <c r="A176" s="134" t="s">
        <v>1322</v>
      </c>
      <c r="B176" s="135" t="s">
        <v>1323</v>
      </c>
      <c r="C176" s="204" t="s">
        <v>325</v>
      </c>
      <c r="D176" s="133"/>
      <c r="E176" s="78"/>
      <c r="F176" s="62">
        <v>2</v>
      </c>
      <c r="G176" s="62"/>
      <c r="H176" s="62">
        <v>3</v>
      </c>
      <c r="I176" s="167">
        <v>120491.2</v>
      </c>
      <c r="J176" s="62">
        <v>361473.6</v>
      </c>
      <c r="K176" s="93"/>
      <c r="M176" s="46">
        <v>3</v>
      </c>
      <c r="N176" s="46">
        <v>0</v>
      </c>
      <c r="O176" s="46">
        <v>361473.6</v>
      </c>
      <c r="P176" s="98"/>
      <c r="Q176" s="23" t="s">
        <v>1385</v>
      </c>
      <c r="R176" s="24" t="s">
        <v>1323</v>
      </c>
      <c r="S176" s="25" t="s">
        <v>325</v>
      </c>
      <c r="T176" s="26">
        <v>0</v>
      </c>
      <c r="U176" s="26">
        <v>3</v>
      </c>
      <c r="V176" s="26">
        <f t="shared" si="31"/>
        <v>120491.2</v>
      </c>
      <c r="W176" s="128">
        <f t="shared" si="23"/>
        <v>0</v>
      </c>
      <c r="X176" s="127">
        <f t="shared" si="24"/>
        <v>3</v>
      </c>
      <c r="Y176" s="127">
        <f t="shared" si="25"/>
        <v>0</v>
      </c>
      <c r="Z176" s="127">
        <f t="shared" si="27"/>
        <v>361473.6</v>
      </c>
      <c r="AA176" s="27"/>
      <c r="AB176" s="36" t="s">
        <v>16</v>
      </c>
      <c r="AC176" s="181">
        <f t="shared" si="28"/>
        <v>3</v>
      </c>
      <c r="AD176" s="181">
        <f t="shared" si="26"/>
        <v>361473.6</v>
      </c>
      <c r="AE176" s="181">
        <v>1.3</v>
      </c>
      <c r="AF176" s="181">
        <v>1.3</v>
      </c>
      <c r="AG176" s="101" t="str">
        <f t="shared" si="29"/>
        <v>超估</v>
      </c>
      <c r="AH176" s="191">
        <v>3</v>
      </c>
      <c r="AI176" s="69">
        <f t="shared" si="30"/>
        <v>2</v>
      </c>
    </row>
    <row r="177" spans="1:35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4"/>
      <c r="H177" s="84" t="s">
        <v>15</v>
      </c>
      <c r="I177" s="82"/>
      <c r="J177" s="82">
        <v>25916103.719999999</v>
      </c>
      <c r="K177" s="94" t="s">
        <v>15</v>
      </c>
      <c r="L177" s="73"/>
      <c r="M177" s="45">
        <v>1</v>
      </c>
      <c r="N177" s="45">
        <v>0</v>
      </c>
      <c r="O177" s="45">
        <v>22861804.32</v>
      </c>
      <c r="P177" s="98"/>
      <c r="Q177" s="18" t="s">
        <v>1386</v>
      </c>
      <c r="R177" s="19" t="s">
        <v>488</v>
      </c>
      <c r="S177" s="20" t="s">
        <v>14</v>
      </c>
      <c r="T177" s="21">
        <v>1</v>
      </c>
      <c r="U177" s="21"/>
      <c r="V177" s="21">
        <f>SUMIFS(AD:AD,AE:AE,AE177)</f>
        <v>25916103.719999999</v>
      </c>
      <c r="W177" s="21">
        <f t="shared" ref="W177:X177" si="32">IF(Y177=0,0,1)</f>
        <v>0</v>
      </c>
      <c r="X177" s="21">
        <f t="shared" si="32"/>
        <v>1</v>
      </c>
      <c r="Y177" s="21">
        <f>SUMIFS(Y:Y,AF:AF,AE177)</f>
        <v>0</v>
      </c>
      <c r="Z177" s="21">
        <f>SUMIFS(Z:Z,AF:AF,AE177)</f>
        <v>22861804.32</v>
      </c>
      <c r="AA177" s="22" t="s">
        <v>15</v>
      </c>
      <c r="AB177" s="43" t="s">
        <v>16</v>
      </c>
      <c r="AC177" s="181">
        <f t="shared" si="28"/>
        <v>1</v>
      </c>
      <c r="AD177" s="184"/>
      <c r="AE177" s="184">
        <v>1.4</v>
      </c>
      <c r="AF177" s="184"/>
      <c r="AG177" s="101" t="str">
        <f t="shared" si="29"/>
        <v/>
      </c>
      <c r="AH177" s="190">
        <v>1</v>
      </c>
      <c r="AI177" s="69">
        <f t="shared" si="30"/>
        <v>1</v>
      </c>
    </row>
    <row r="178" spans="1:35" s="69" customFormat="1" ht="39" x14ac:dyDescent="0.3">
      <c r="A178" s="130" t="s">
        <v>489</v>
      </c>
      <c r="B178" s="131" t="s">
        <v>392</v>
      </c>
      <c r="C178" s="132" t="s">
        <v>23</v>
      </c>
      <c r="D178" s="133">
        <v>20</v>
      </c>
      <c r="E178" s="75"/>
      <c r="F178" s="75"/>
      <c r="G178" s="75"/>
      <c r="H178" s="75" t="s">
        <v>15</v>
      </c>
      <c r="I178" s="75">
        <v>3115.13</v>
      </c>
      <c r="J178" s="75">
        <v>62302.6</v>
      </c>
      <c r="K178" s="91" t="s">
        <v>114</v>
      </c>
      <c r="L178" s="73"/>
      <c r="M178" s="46">
        <v>19.45</v>
      </c>
      <c r="N178" s="46">
        <v>0</v>
      </c>
      <c r="O178" s="46">
        <v>60589.279999999999</v>
      </c>
      <c r="P178" s="98"/>
      <c r="Q178" s="23" t="s">
        <v>1421</v>
      </c>
      <c r="R178" s="24" t="s">
        <v>392</v>
      </c>
      <c r="S178" s="25" t="s">
        <v>23</v>
      </c>
      <c r="T178" s="26">
        <v>20</v>
      </c>
      <c r="U178" s="26">
        <v>20</v>
      </c>
      <c r="V178" s="26">
        <f t="shared" ref="V178:V201" si="33">I178</f>
        <v>3115.13</v>
      </c>
      <c r="W178" s="127">
        <f t="shared" ref="W178:W201" si="34">AH178-M178</f>
        <v>0</v>
      </c>
      <c r="X178" s="127">
        <f t="shared" ref="X178:X241" si="35">W178+M178</f>
        <v>19.45</v>
      </c>
      <c r="Y178" s="127">
        <f t="shared" ref="Y178:Y201" si="36">Z178-O178</f>
        <v>0</v>
      </c>
      <c r="Z178" s="127">
        <f t="shared" si="27"/>
        <v>60589.279999999999</v>
      </c>
      <c r="AA178" s="33" t="s">
        <v>15</v>
      </c>
      <c r="AB178" s="36" t="s">
        <v>16</v>
      </c>
      <c r="AC178" s="181">
        <f t="shared" si="28"/>
        <v>20</v>
      </c>
      <c r="AD178" s="181">
        <f t="shared" ref="AD178:AD219" si="37">ROUND(V178*AC178,2)</f>
        <v>62302.6</v>
      </c>
      <c r="AE178" s="181">
        <v>1.4</v>
      </c>
      <c r="AF178" s="181">
        <v>1.4</v>
      </c>
      <c r="AG178" s="101" t="str">
        <f t="shared" si="29"/>
        <v/>
      </c>
      <c r="AH178" s="191">
        <v>19.45</v>
      </c>
      <c r="AI178" s="69">
        <f t="shared" si="30"/>
        <v>20</v>
      </c>
    </row>
    <row r="179" spans="1:35" s="69" customFormat="1" ht="39" x14ac:dyDescent="0.3">
      <c r="A179" s="130" t="s">
        <v>490</v>
      </c>
      <c r="B179" s="131" t="s">
        <v>116</v>
      </c>
      <c r="C179" s="132" t="s">
        <v>23</v>
      </c>
      <c r="D179" s="133">
        <v>354</v>
      </c>
      <c r="E179" s="75"/>
      <c r="F179" s="75"/>
      <c r="G179" s="75"/>
      <c r="H179" s="75" t="s">
        <v>15</v>
      </c>
      <c r="I179" s="75">
        <v>3321.13</v>
      </c>
      <c r="J179" s="75">
        <v>1175680.02</v>
      </c>
      <c r="K179" s="91" t="s">
        <v>117</v>
      </c>
      <c r="L179" s="73"/>
      <c r="M179" s="46">
        <v>326.60000000000002</v>
      </c>
      <c r="N179" s="46">
        <v>0</v>
      </c>
      <c r="O179" s="46">
        <v>1084681.06</v>
      </c>
      <c r="P179" s="98"/>
      <c r="Q179" s="23" t="s">
        <v>1426</v>
      </c>
      <c r="R179" s="24" t="s">
        <v>116</v>
      </c>
      <c r="S179" s="25" t="s">
        <v>23</v>
      </c>
      <c r="T179" s="26">
        <v>354</v>
      </c>
      <c r="U179" s="26">
        <v>354</v>
      </c>
      <c r="V179" s="26">
        <f t="shared" si="33"/>
        <v>3321.13</v>
      </c>
      <c r="W179" s="127">
        <f t="shared" si="34"/>
        <v>0</v>
      </c>
      <c r="X179" s="127">
        <f t="shared" si="35"/>
        <v>326.60000000000002</v>
      </c>
      <c r="Y179" s="127">
        <f t="shared" si="36"/>
        <v>0</v>
      </c>
      <c r="Z179" s="127">
        <f t="shared" si="27"/>
        <v>1084681.06</v>
      </c>
      <c r="AA179" s="33" t="s">
        <v>15</v>
      </c>
      <c r="AB179" s="36" t="s">
        <v>16</v>
      </c>
      <c r="AC179" s="181">
        <f t="shared" si="28"/>
        <v>354</v>
      </c>
      <c r="AD179" s="181">
        <f t="shared" si="37"/>
        <v>1175680.02</v>
      </c>
      <c r="AE179" s="181">
        <v>1.4</v>
      </c>
      <c r="AF179" s="181">
        <v>1.4</v>
      </c>
      <c r="AG179" s="101" t="str">
        <f t="shared" si="29"/>
        <v/>
      </c>
      <c r="AH179" s="191">
        <v>326.60000000000002</v>
      </c>
      <c r="AI179" s="69">
        <f t="shared" si="30"/>
        <v>354</v>
      </c>
    </row>
    <row r="180" spans="1:35" s="69" customFormat="1" ht="39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203"/>
      <c r="F180" s="203"/>
      <c r="G180" s="203"/>
      <c r="H180" s="203" t="s">
        <v>15</v>
      </c>
      <c r="I180" s="75">
        <v>3643.73</v>
      </c>
      <c r="J180" s="75">
        <v>0</v>
      </c>
      <c r="K180" s="91" t="s">
        <v>396</v>
      </c>
      <c r="L180" s="73"/>
      <c r="M180" s="46">
        <v>0</v>
      </c>
      <c r="N180" s="46">
        <v>0</v>
      </c>
      <c r="O180" s="46">
        <v>0</v>
      </c>
      <c r="P180" s="98"/>
      <c r="Q180" s="23" t="s">
        <v>1402</v>
      </c>
      <c r="R180" s="24" t="s">
        <v>395</v>
      </c>
      <c r="S180" s="25" t="s">
        <v>23</v>
      </c>
      <c r="T180" s="26">
        <v>690</v>
      </c>
      <c r="U180" s="26">
        <v>0</v>
      </c>
      <c r="V180" s="26">
        <f t="shared" si="33"/>
        <v>3643.73</v>
      </c>
      <c r="W180" s="127">
        <f t="shared" si="34"/>
        <v>0</v>
      </c>
      <c r="X180" s="127">
        <f t="shared" si="35"/>
        <v>0</v>
      </c>
      <c r="Y180" s="127">
        <f t="shared" si="36"/>
        <v>0</v>
      </c>
      <c r="Z180" s="127">
        <f t="shared" si="27"/>
        <v>0</v>
      </c>
      <c r="AA180" s="33" t="s">
        <v>15</v>
      </c>
      <c r="AB180" s="36" t="s">
        <v>16</v>
      </c>
      <c r="AC180" s="181">
        <f t="shared" si="28"/>
        <v>0</v>
      </c>
      <c r="AD180" s="181">
        <f t="shared" si="37"/>
        <v>0</v>
      </c>
      <c r="AE180" s="181">
        <v>1.4</v>
      </c>
      <c r="AF180" s="181">
        <v>1.4</v>
      </c>
      <c r="AG180" s="101" t="str">
        <f t="shared" si="29"/>
        <v/>
      </c>
      <c r="AH180" s="194">
        <v>0</v>
      </c>
      <c r="AI180" s="69">
        <f t="shared" si="30"/>
        <v>690</v>
      </c>
    </row>
    <row r="181" spans="1:35" s="69" customFormat="1" ht="33" customHeight="1" x14ac:dyDescent="0.3">
      <c r="A181" s="130" t="s">
        <v>492</v>
      </c>
      <c r="B181" s="131" t="s">
        <v>493</v>
      </c>
      <c r="C181" s="132" t="s">
        <v>23</v>
      </c>
      <c r="D181" s="133">
        <v>1065</v>
      </c>
      <c r="E181" s="203"/>
      <c r="F181" s="203"/>
      <c r="G181" s="203"/>
      <c r="H181" s="203">
        <v>1900.83</v>
      </c>
      <c r="I181" s="75">
        <v>200</v>
      </c>
      <c r="J181" s="75">
        <v>380166</v>
      </c>
      <c r="K181" s="91" t="s">
        <v>494</v>
      </c>
      <c r="L181" s="73"/>
      <c r="M181" s="46">
        <v>1815.71</v>
      </c>
      <c r="N181" s="46">
        <v>0</v>
      </c>
      <c r="O181" s="46">
        <v>363142</v>
      </c>
      <c r="P181" s="98"/>
      <c r="Q181" s="23" t="s">
        <v>1373</v>
      </c>
      <c r="R181" s="24" t="s">
        <v>493</v>
      </c>
      <c r="S181" s="25" t="s">
        <v>23</v>
      </c>
      <c r="T181" s="26">
        <v>1065</v>
      </c>
      <c r="U181" s="26">
        <v>1900.83</v>
      </c>
      <c r="V181" s="26">
        <f t="shared" si="33"/>
        <v>200</v>
      </c>
      <c r="W181" s="127">
        <f>AH181-M181</f>
        <v>0</v>
      </c>
      <c r="X181" s="127">
        <f t="shared" si="35"/>
        <v>1815.71</v>
      </c>
      <c r="Y181" s="127">
        <f t="shared" si="36"/>
        <v>0</v>
      </c>
      <c r="Z181" s="127">
        <f t="shared" si="27"/>
        <v>363142</v>
      </c>
      <c r="AA181" s="33" t="s">
        <v>15</v>
      </c>
      <c r="AB181" s="36" t="s">
        <v>16</v>
      </c>
      <c r="AC181" s="181">
        <f t="shared" si="28"/>
        <v>1900.83</v>
      </c>
      <c r="AD181" s="181">
        <f t="shared" si="37"/>
        <v>380166</v>
      </c>
      <c r="AE181" s="181">
        <v>1.4</v>
      </c>
      <c r="AF181" s="181">
        <v>1.4</v>
      </c>
      <c r="AG181" s="101" t="str">
        <f t="shared" si="29"/>
        <v>超估</v>
      </c>
      <c r="AH181" s="191">
        <v>1815.71</v>
      </c>
      <c r="AI181" s="69">
        <f t="shared" si="30"/>
        <v>1065</v>
      </c>
    </row>
    <row r="182" spans="1:35" s="69" customFormat="1" ht="57.75" x14ac:dyDescent="0.3">
      <c r="A182" s="55" t="s">
        <v>495</v>
      </c>
      <c r="B182" s="53" t="s">
        <v>405</v>
      </c>
      <c r="C182" s="54" t="s">
        <v>50</v>
      </c>
      <c r="D182" s="75">
        <v>1229</v>
      </c>
      <c r="E182" s="203"/>
      <c r="F182" s="203"/>
      <c r="G182" s="203"/>
      <c r="H182" s="203">
        <v>1437.49</v>
      </c>
      <c r="I182" s="75">
        <v>982.98</v>
      </c>
      <c r="J182" s="75">
        <v>1413023.92</v>
      </c>
      <c r="K182" s="91" t="s">
        <v>406</v>
      </c>
      <c r="L182" s="73"/>
      <c r="M182" s="46">
        <v>1349</v>
      </c>
      <c r="N182" s="46">
        <v>0</v>
      </c>
      <c r="O182" s="46">
        <v>1326040.02</v>
      </c>
      <c r="P182" s="98"/>
      <c r="Q182" s="23" t="s">
        <v>1393</v>
      </c>
      <c r="R182" s="24" t="s">
        <v>405</v>
      </c>
      <c r="S182" s="25" t="s">
        <v>50</v>
      </c>
      <c r="T182" s="26">
        <v>1229</v>
      </c>
      <c r="U182" s="26">
        <v>1437.49</v>
      </c>
      <c r="V182" s="26">
        <f t="shared" si="33"/>
        <v>982.98</v>
      </c>
      <c r="W182" s="128">
        <f t="shared" si="34"/>
        <v>0</v>
      </c>
      <c r="X182" s="26">
        <f t="shared" si="35"/>
        <v>1349</v>
      </c>
      <c r="Y182" s="26">
        <f t="shared" si="36"/>
        <v>0</v>
      </c>
      <c r="Z182" s="26">
        <f t="shared" si="27"/>
        <v>1326040.02</v>
      </c>
      <c r="AA182" s="33" t="s">
        <v>15</v>
      </c>
      <c r="AB182" s="36" t="s">
        <v>16</v>
      </c>
      <c r="AC182" s="181">
        <f t="shared" si="28"/>
        <v>1437.49</v>
      </c>
      <c r="AD182" s="181">
        <f t="shared" si="37"/>
        <v>1413023.92</v>
      </c>
      <c r="AE182" s="181">
        <v>1.4</v>
      </c>
      <c r="AF182" s="181">
        <v>1.4</v>
      </c>
      <c r="AG182" s="101" t="str">
        <f t="shared" si="29"/>
        <v>超估</v>
      </c>
      <c r="AH182" s="191">
        <v>1349</v>
      </c>
      <c r="AI182" s="69">
        <f t="shared" si="30"/>
        <v>1229</v>
      </c>
    </row>
    <row r="183" spans="1:35" s="69" customFormat="1" ht="41.25" x14ac:dyDescent="0.3">
      <c r="A183" s="55" t="s">
        <v>496</v>
      </c>
      <c r="B183" s="53" t="s">
        <v>408</v>
      </c>
      <c r="C183" s="54" t="s">
        <v>50</v>
      </c>
      <c r="D183" s="75">
        <v>285</v>
      </c>
      <c r="E183" s="203"/>
      <c r="F183" s="203"/>
      <c r="G183" s="203"/>
      <c r="H183" s="203">
        <v>685.45</v>
      </c>
      <c r="I183" s="75">
        <v>804.79</v>
      </c>
      <c r="J183" s="75">
        <v>551643.31000000006</v>
      </c>
      <c r="K183" s="91" t="s">
        <v>409</v>
      </c>
      <c r="L183" s="73"/>
      <c r="M183" s="46">
        <v>551</v>
      </c>
      <c r="N183" s="46">
        <v>0</v>
      </c>
      <c r="O183" s="46">
        <v>443439.29</v>
      </c>
      <c r="P183" s="98"/>
      <c r="Q183" s="23" t="s">
        <v>1403</v>
      </c>
      <c r="R183" s="24" t="s">
        <v>408</v>
      </c>
      <c r="S183" s="25" t="s">
        <v>50</v>
      </c>
      <c r="T183" s="26">
        <v>285</v>
      </c>
      <c r="U183" s="26">
        <v>685.45</v>
      </c>
      <c r="V183" s="26">
        <f t="shared" si="33"/>
        <v>804.79</v>
      </c>
      <c r="W183" s="243">
        <f t="shared" si="34"/>
        <v>0</v>
      </c>
      <c r="X183" s="199">
        <f t="shared" si="35"/>
        <v>551</v>
      </c>
      <c r="Y183" s="26">
        <f t="shared" si="36"/>
        <v>0</v>
      </c>
      <c r="Z183" s="26">
        <f t="shared" si="27"/>
        <v>443439.29</v>
      </c>
      <c r="AA183" s="33" t="s">
        <v>15</v>
      </c>
      <c r="AB183" s="36" t="s">
        <v>16</v>
      </c>
      <c r="AC183" s="181">
        <f t="shared" si="28"/>
        <v>685.45</v>
      </c>
      <c r="AD183" s="181">
        <f t="shared" si="37"/>
        <v>551643.31000000006</v>
      </c>
      <c r="AE183" s="181">
        <v>1.4</v>
      </c>
      <c r="AF183" s="181">
        <v>1.4</v>
      </c>
      <c r="AG183" s="101" t="str">
        <f t="shared" si="29"/>
        <v>超估</v>
      </c>
      <c r="AH183" s="191">
        <v>551</v>
      </c>
      <c r="AI183" s="69">
        <f t="shared" si="30"/>
        <v>285</v>
      </c>
    </row>
    <row r="184" spans="1:35" s="69" customFormat="1" ht="33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203"/>
      <c r="F184" s="203"/>
      <c r="G184" s="203"/>
      <c r="H184" s="203">
        <v>18482.54</v>
      </c>
      <c r="I184" s="75">
        <v>36.4</v>
      </c>
      <c r="J184" s="75">
        <v>672764.46</v>
      </c>
      <c r="K184" s="91" t="s">
        <v>111</v>
      </c>
      <c r="L184" s="73"/>
      <c r="M184" s="46">
        <v>13110.94</v>
      </c>
      <c r="N184" s="46">
        <v>0</v>
      </c>
      <c r="O184" s="46">
        <v>477238.22</v>
      </c>
      <c r="P184" s="98"/>
      <c r="Q184" s="23" t="s">
        <v>1427</v>
      </c>
      <c r="R184" s="24" t="s">
        <v>109</v>
      </c>
      <c r="S184" s="25" t="s">
        <v>110</v>
      </c>
      <c r="T184" s="26">
        <v>13716</v>
      </c>
      <c r="U184" s="26">
        <v>18482.54</v>
      </c>
      <c r="V184" s="26">
        <f t="shared" si="33"/>
        <v>36.4</v>
      </c>
      <c r="W184" s="127">
        <f t="shared" si="34"/>
        <v>0</v>
      </c>
      <c r="X184" s="127">
        <f t="shared" si="35"/>
        <v>13110.94</v>
      </c>
      <c r="Y184" s="127">
        <f t="shared" si="36"/>
        <v>0</v>
      </c>
      <c r="Z184" s="127">
        <f t="shared" si="27"/>
        <v>477238.22</v>
      </c>
      <c r="AA184" s="33" t="s">
        <v>15</v>
      </c>
      <c r="AB184" s="36" t="s">
        <v>16</v>
      </c>
      <c r="AC184" s="181">
        <f t="shared" si="28"/>
        <v>18482.54</v>
      </c>
      <c r="AD184" s="181">
        <f t="shared" si="37"/>
        <v>672764.46</v>
      </c>
      <c r="AE184" s="181">
        <v>1.4</v>
      </c>
      <c r="AF184" s="181">
        <v>1.4</v>
      </c>
      <c r="AG184" s="101" t="str">
        <f t="shared" si="29"/>
        <v/>
      </c>
      <c r="AH184" s="191">
        <v>13110.94</v>
      </c>
      <c r="AI184" s="69">
        <f t="shared" si="30"/>
        <v>13716</v>
      </c>
    </row>
    <row r="185" spans="1:35" s="69" customFormat="1" ht="39" x14ac:dyDescent="0.3">
      <c r="A185" s="55" t="s">
        <v>498</v>
      </c>
      <c r="B185" s="53" t="s">
        <v>399</v>
      </c>
      <c r="C185" s="54" t="s">
        <v>110</v>
      </c>
      <c r="D185" s="75">
        <v>13810</v>
      </c>
      <c r="E185" s="203"/>
      <c r="F185" s="203"/>
      <c r="G185" s="203"/>
      <c r="H185" s="203">
        <v>36577.19</v>
      </c>
      <c r="I185" s="75">
        <v>38.71</v>
      </c>
      <c r="J185" s="75">
        <v>1415903.02</v>
      </c>
      <c r="K185" s="91" t="s">
        <v>400</v>
      </c>
      <c r="L185" s="73"/>
      <c r="M185" s="46">
        <v>28173</v>
      </c>
      <c r="N185" s="46">
        <v>0</v>
      </c>
      <c r="O185" s="46">
        <v>1090576.83</v>
      </c>
      <c r="P185" s="98"/>
      <c r="Q185" s="23" t="s">
        <v>1428</v>
      </c>
      <c r="R185" s="24" t="s">
        <v>399</v>
      </c>
      <c r="S185" s="25" t="s">
        <v>110</v>
      </c>
      <c r="T185" s="26">
        <v>13810</v>
      </c>
      <c r="U185" s="26">
        <v>36577.19</v>
      </c>
      <c r="V185" s="26">
        <f t="shared" si="33"/>
        <v>38.71</v>
      </c>
      <c r="W185" s="128">
        <f t="shared" si="34"/>
        <v>0</v>
      </c>
      <c r="X185" s="26">
        <f t="shared" si="35"/>
        <v>28173</v>
      </c>
      <c r="Y185" s="26">
        <f t="shared" si="36"/>
        <v>0</v>
      </c>
      <c r="Z185" s="26">
        <f t="shared" si="27"/>
        <v>1090576.83</v>
      </c>
      <c r="AA185" s="33" t="s">
        <v>15</v>
      </c>
      <c r="AB185" s="36" t="s">
        <v>16</v>
      </c>
      <c r="AC185" s="181">
        <f t="shared" si="28"/>
        <v>36577.19</v>
      </c>
      <c r="AD185" s="181">
        <f t="shared" si="37"/>
        <v>1415903.02</v>
      </c>
      <c r="AE185" s="181">
        <v>1.4</v>
      </c>
      <c r="AF185" s="181">
        <v>1.4</v>
      </c>
      <c r="AG185" s="101" t="str">
        <f t="shared" si="29"/>
        <v>超估</v>
      </c>
      <c r="AH185" s="191">
        <v>28173</v>
      </c>
      <c r="AI185" s="69">
        <f t="shared" si="30"/>
        <v>13810</v>
      </c>
    </row>
    <row r="186" spans="1:35" s="69" customFormat="1" ht="33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203"/>
      <c r="F186" s="203">
        <v>754.47</v>
      </c>
      <c r="G186" s="203"/>
      <c r="H186" s="203">
        <v>762.55</v>
      </c>
      <c r="I186" s="75">
        <v>2510.79</v>
      </c>
      <c r="J186" s="75">
        <v>1914602.91</v>
      </c>
      <c r="K186" s="91" t="s">
        <v>501</v>
      </c>
      <c r="L186" s="73"/>
      <c r="M186" s="46">
        <v>754.3</v>
      </c>
      <c r="N186" s="46">
        <v>0</v>
      </c>
      <c r="O186" s="46">
        <v>1893888.9</v>
      </c>
      <c r="P186" s="98"/>
      <c r="Q186" s="23" t="s">
        <v>1387</v>
      </c>
      <c r="R186" s="24" t="s">
        <v>500</v>
      </c>
      <c r="S186" s="25" t="s">
        <v>50</v>
      </c>
      <c r="T186" s="26">
        <v>699</v>
      </c>
      <c r="U186" s="26">
        <v>762.55</v>
      </c>
      <c r="V186" s="26">
        <f t="shared" si="33"/>
        <v>2510.79</v>
      </c>
      <c r="W186" s="127">
        <f t="shared" si="34"/>
        <v>0</v>
      </c>
      <c r="X186" s="127">
        <f t="shared" si="35"/>
        <v>754.3</v>
      </c>
      <c r="Y186" s="127">
        <f t="shared" si="36"/>
        <v>0</v>
      </c>
      <c r="Z186" s="127">
        <f t="shared" si="27"/>
        <v>1893888.9</v>
      </c>
      <c r="AA186" s="27"/>
      <c r="AB186" s="36" t="s">
        <v>16</v>
      </c>
      <c r="AC186" s="181">
        <f t="shared" si="28"/>
        <v>762.55</v>
      </c>
      <c r="AD186" s="181">
        <f t="shared" si="37"/>
        <v>1914602.91</v>
      </c>
      <c r="AE186" s="181">
        <v>1.4</v>
      </c>
      <c r="AF186" s="181">
        <v>1.4</v>
      </c>
      <c r="AG186" s="101" t="str">
        <f t="shared" si="29"/>
        <v/>
      </c>
      <c r="AH186" s="191">
        <v>754.3</v>
      </c>
      <c r="AI186" s="69">
        <f t="shared" si="30"/>
        <v>754.47</v>
      </c>
    </row>
    <row r="187" spans="1:35" s="69" customFormat="1" ht="39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203"/>
      <c r="F187" s="203"/>
      <c r="G187" s="203"/>
      <c r="H187" s="203">
        <v>318.56</v>
      </c>
      <c r="I187" s="75">
        <v>3298.06</v>
      </c>
      <c r="J187" s="75">
        <v>1050629.99</v>
      </c>
      <c r="K187" s="91" t="s">
        <v>504</v>
      </c>
      <c r="L187" s="73"/>
      <c r="M187" s="46">
        <v>304.60000000000002</v>
      </c>
      <c r="N187" s="46">
        <v>0</v>
      </c>
      <c r="O187" s="46">
        <v>1004589.08</v>
      </c>
      <c r="P187" s="98"/>
      <c r="Q187" s="23" t="s">
        <v>1405</v>
      </c>
      <c r="R187" s="24" t="s">
        <v>503</v>
      </c>
      <c r="S187" s="25" t="s">
        <v>103</v>
      </c>
      <c r="T187" s="26">
        <v>275</v>
      </c>
      <c r="U187" s="26">
        <v>318.56</v>
      </c>
      <c r="V187" s="26">
        <f t="shared" si="33"/>
        <v>3298.06</v>
      </c>
      <c r="W187" s="127">
        <f t="shared" si="34"/>
        <v>0</v>
      </c>
      <c r="X187" s="127">
        <f t="shared" si="35"/>
        <v>304.60000000000002</v>
      </c>
      <c r="Y187" s="127">
        <f t="shared" si="36"/>
        <v>0</v>
      </c>
      <c r="Z187" s="127">
        <f t="shared" si="27"/>
        <v>1004589.08</v>
      </c>
      <c r="AA187" s="33"/>
      <c r="AB187" s="36" t="s">
        <v>16</v>
      </c>
      <c r="AC187" s="181">
        <f t="shared" si="28"/>
        <v>318.56</v>
      </c>
      <c r="AD187" s="181">
        <f t="shared" si="37"/>
        <v>1050629.99</v>
      </c>
      <c r="AE187" s="181">
        <v>1.4</v>
      </c>
      <c r="AF187" s="181">
        <v>1.4</v>
      </c>
      <c r="AG187" s="101" t="str">
        <f t="shared" si="29"/>
        <v>超估</v>
      </c>
      <c r="AH187" s="191">
        <v>304.60000000000002</v>
      </c>
      <c r="AI187" s="69">
        <f t="shared" si="30"/>
        <v>275</v>
      </c>
    </row>
    <row r="188" spans="1:35" s="69" customFormat="1" ht="39" x14ac:dyDescent="0.3">
      <c r="A188" s="130" t="s">
        <v>505</v>
      </c>
      <c r="B188" s="131" t="s">
        <v>506</v>
      </c>
      <c r="C188" s="132" t="s">
        <v>50</v>
      </c>
      <c r="D188" s="133">
        <v>203</v>
      </c>
      <c r="E188" s="75"/>
      <c r="F188" s="75"/>
      <c r="G188" s="75"/>
      <c r="H188" s="75">
        <v>418.05</v>
      </c>
      <c r="I188" s="75">
        <v>2952.19</v>
      </c>
      <c r="J188" s="75">
        <v>1234163.03</v>
      </c>
      <c r="K188" s="91" t="s">
        <v>507</v>
      </c>
      <c r="L188" s="73"/>
      <c r="M188" s="46">
        <v>392.5</v>
      </c>
      <c r="N188" s="46">
        <v>0</v>
      </c>
      <c r="O188" s="46">
        <v>1158734.58</v>
      </c>
      <c r="P188" s="98"/>
      <c r="Q188" s="23" t="s">
        <v>1406</v>
      </c>
      <c r="R188" s="24" t="s">
        <v>506</v>
      </c>
      <c r="S188" s="25" t="s">
        <v>50</v>
      </c>
      <c r="T188" s="26">
        <v>203</v>
      </c>
      <c r="U188" s="26">
        <v>418.05</v>
      </c>
      <c r="V188" s="26">
        <f t="shared" si="33"/>
        <v>2952.19</v>
      </c>
      <c r="W188" s="127">
        <f t="shared" si="34"/>
        <v>0</v>
      </c>
      <c r="X188" s="127">
        <f t="shared" si="35"/>
        <v>392.5</v>
      </c>
      <c r="Y188" s="127">
        <f t="shared" si="36"/>
        <v>0</v>
      </c>
      <c r="Z188" s="127">
        <f t="shared" si="27"/>
        <v>1158734.58</v>
      </c>
      <c r="AA188" s="33" t="s">
        <v>15</v>
      </c>
      <c r="AB188" s="36" t="s">
        <v>16</v>
      </c>
      <c r="AC188" s="181">
        <f t="shared" si="28"/>
        <v>418.05</v>
      </c>
      <c r="AD188" s="181">
        <f t="shared" si="37"/>
        <v>1234163.03</v>
      </c>
      <c r="AE188" s="181">
        <v>1.4</v>
      </c>
      <c r="AF188" s="181">
        <v>1.4</v>
      </c>
      <c r="AG188" s="101" t="str">
        <f t="shared" si="29"/>
        <v>超估</v>
      </c>
      <c r="AH188" s="191">
        <v>392.5</v>
      </c>
      <c r="AI188" s="69">
        <f t="shared" si="30"/>
        <v>203</v>
      </c>
    </row>
    <row r="189" spans="1:35" s="69" customFormat="1" ht="33" x14ac:dyDescent="0.3">
      <c r="A189" s="130" t="s">
        <v>508</v>
      </c>
      <c r="B189" s="131" t="s">
        <v>509</v>
      </c>
      <c r="C189" s="132" t="s">
        <v>50</v>
      </c>
      <c r="D189" s="133">
        <v>405</v>
      </c>
      <c r="E189" s="75"/>
      <c r="F189" s="75"/>
      <c r="G189" s="75"/>
      <c r="H189" s="75" t="s">
        <v>15</v>
      </c>
      <c r="I189" s="75">
        <v>1454.57</v>
      </c>
      <c r="J189" s="75">
        <v>589100.85</v>
      </c>
      <c r="K189" s="91" t="s">
        <v>510</v>
      </c>
      <c r="L189" s="73"/>
      <c r="M189" s="46">
        <v>405</v>
      </c>
      <c r="N189" s="46">
        <v>0</v>
      </c>
      <c r="O189" s="46">
        <v>589100.85</v>
      </c>
      <c r="P189" s="98"/>
      <c r="Q189" s="23" t="s">
        <v>1414</v>
      </c>
      <c r="R189" s="24" t="s">
        <v>509</v>
      </c>
      <c r="S189" s="25" t="s">
        <v>50</v>
      </c>
      <c r="T189" s="26">
        <v>405</v>
      </c>
      <c r="U189" s="26">
        <v>405</v>
      </c>
      <c r="V189" s="26">
        <f t="shared" si="33"/>
        <v>1454.57</v>
      </c>
      <c r="W189" s="127">
        <f t="shared" si="34"/>
        <v>0</v>
      </c>
      <c r="X189" s="127">
        <f t="shared" si="35"/>
        <v>405</v>
      </c>
      <c r="Y189" s="127">
        <f t="shared" si="36"/>
        <v>0</v>
      </c>
      <c r="Z189" s="127">
        <f t="shared" si="27"/>
        <v>589100.85</v>
      </c>
      <c r="AA189" s="33" t="s">
        <v>15</v>
      </c>
      <c r="AB189" s="36" t="s">
        <v>16</v>
      </c>
      <c r="AC189" s="181">
        <f t="shared" si="28"/>
        <v>405</v>
      </c>
      <c r="AD189" s="181">
        <f t="shared" si="37"/>
        <v>589100.85</v>
      </c>
      <c r="AE189" s="181">
        <v>1.4</v>
      </c>
      <c r="AF189" s="181">
        <v>1.4</v>
      </c>
      <c r="AG189" s="101" t="str">
        <f t="shared" si="29"/>
        <v/>
      </c>
      <c r="AH189" s="194">
        <v>405</v>
      </c>
      <c r="AI189" s="69">
        <f t="shared" si="30"/>
        <v>405</v>
      </c>
    </row>
    <row r="190" spans="1:35" s="69" customFormat="1" ht="58.5" x14ac:dyDescent="0.3">
      <c r="A190" s="130" t="s">
        <v>511</v>
      </c>
      <c r="B190" s="131" t="s">
        <v>512</v>
      </c>
      <c r="C190" s="132" t="s">
        <v>513</v>
      </c>
      <c r="D190" s="133">
        <v>372</v>
      </c>
      <c r="E190" s="75"/>
      <c r="F190" s="75"/>
      <c r="G190" s="75"/>
      <c r="H190" s="75" t="s">
        <v>15</v>
      </c>
      <c r="I190" s="75">
        <v>435</v>
      </c>
      <c r="J190" s="75">
        <v>161820</v>
      </c>
      <c r="K190" s="91" t="s">
        <v>514</v>
      </c>
      <c r="L190" s="73"/>
      <c r="M190" s="46">
        <v>292</v>
      </c>
      <c r="N190" s="46">
        <v>0</v>
      </c>
      <c r="O190" s="46">
        <v>127020</v>
      </c>
      <c r="P190" s="98"/>
      <c r="Q190" s="23" t="s">
        <v>1429</v>
      </c>
      <c r="R190" s="24" t="s">
        <v>512</v>
      </c>
      <c r="S190" s="25" t="s">
        <v>513</v>
      </c>
      <c r="T190" s="26">
        <v>372</v>
      </c>
      <c r="U190" s="26">
        <v>372</v>
      </c>
      <c r="V190" s="26">
        <f t="shared" si="33"/>
        <v>435</v>
      </c>
      <c r="W190" s="127">
        <f t="shared" si="34"/>
        <v>0</v>
      </c>
      <c r="X190" s="127">
        <f t="shared" si="35"/>
        <v>292</v>
      </c>
      <c r="Y190" s="127">
        <f t="shared" si="36"/>
        <v>0</v>
      </c>
      <c r="Z190" s="127">
        <f t="shared" si="27"/>
        <v>127020</v>
      </c>
      <c r="AA190" s="33" t="s">
        <v>15</v>
      </c>
      <c r="AB190" s="36" t="s">
        <v>16</v>
      </c>
      <c r="AC190" s="181">
        <f t="shared" si="28"/>
        <v>372</v>
      </c>
      <c r="AD190" s="181">
        <f t="shared" si="37"/>
        <v>161820</v>
      </c>
      <c r="AE190" s="181">
        <v>1.4</v>
      </c>
      <c r="AF190" s="181">
        <v>1.4</v>
      </c>
      <c r="AG190" s="101" t="str">
        <f t="shared" si="29"/>
        <v/>
      </c>
      <c r="AH190" s="194">
        <v>292</v>
      </c>
      <c r="AI190" s="69">
        <f t="shared" si="30"/>
        <v>372</v>
      </c>
    </row>
    <row r="191" spans="1:35" s="69" customFormat="1" ht="33" x14ac:dyDescent="0.3">
      <c r="A191" s="130" t="s">
        <v>515</v>
      </c>
      <c r="B191" s="131" t="s">
        <v>516</v>
      </c>
      <c r="C191" s="132" t="s">
        <v>50</v>
      </c>
      <c r="D191" s="133">
        <v>1984</v>
      </c>
      <c r="E191" s="75"/>
      <c r="F191" s="75"/>
      <c r="G191" s="75"/>
      <c r="H191" s="75" t="s">
        <v>15</v>
      </c>
      <c r="I191" s="75">
        <v>885.8</v>
      </c>
      <c r="J191" s="75">
        <v>1757427.2</v>
      </c>
      <c r="K191" s="91" t="s">
        <v>517</v>
      </c>
      <c r="L191" s="73"/>
      <c r="M191" s="46">
        <v>1796.5</v>
      </c>
      <c r="N191" s="46">
        <v>0</v>
      </c>
      <c r="O191" s="46">
        <v>1591339.7</v>
      </c>
      <c r="P191" s="98"/>
      <c r="Q191" s="23" t="s">
        <v>1430</v>
      </c>
      <c r="R191" s="24" t="s">
        <v>516</v>
      </c>
      <c r="S191" s="25" t="s">
        <v>50</v>
      </c>
      <c r="T191" s="26">
        <v>1984</v>
      </c>
      <c r="U191" s="26">
        <v>1984</v>
      </c>
      <c r="V191" s="26">
        <f t="shared" si="33"/>
        <v>885.8</v>
      </c>
      <c r="W191" s="127">
        <f t="shared" si="34"/>
        <v>0</v>
      </c>
      <c r="X191" s="127">
        <f t="shared" si="35"/>
        <v>1796.5</v>
      </c>
      <c r="Y191" s="127">
        <f t="shared" si="36"/>
        <v>0</v>
      </c>
      <c r="Z191" s="127">
        <f t="shared" si="27"/>
        <v>1591339.7</v>
      </c>
      <c r="AA191" s="33" t="s">
        <v>15</v>
      </c>
      <c r="AB191" s="36" t="s">
        <v>16</v>
      </c>
      <c r="AC191" s="181">
        <f t="shared" si="28"/>
        <v>1984</v>
      </c>
      <c r="AD191" s="181">
        <f t="shared" si="37"/>
        <v>1757427.2</v>
      </c>
      <c r="AE191" s="181">
        <v>1.4</v>
      </c>
      <c r="AF191" s="181">
        <v>1.4</v>
      </c>
      <c r="AG191" s="101" t="str">
        <f t="shared" si="29"/>
        <v/>
      </c>
      <c r="AH191" s="190">
        <v>1796.5</v>
      </c>
      <c r="AI191" s="69">
        <f t="shared" si="30"/>
        <v>1984</v>
      </c>
    </row>
    <row r="192" spans="1:35" s="69" customFormat="1" ht="33" x14ac:dyDescent="0.3">
      <c r="A192" s="130" t="s">
        <v>518</v>
      </c>
      <c r="B192" s="131" t="s">
        <v>189</v>
      </c>
      <c r="C192" s="132" t="s">
        <v>30</v>
      </c>
      <c r="D192" s="133">
        <v>45</v>
      </c>
      <c r="E192" s="75"/>
      <c r="F192" s="75"/>
      <c r="G192" s="75"/>
      <c r="H192" s="75" t="s">
        <v>15</v>
      </c>
      <c r="I192" s="75">
        <v>138.84</v>
      </c>
      <c r="J192" s="75">
        <v>6247.8</v>
      </c>
      <c r="K192" s="91" t="s">
        <v>190</v>
      </c>
      <c r="L192" s="73"/>
      <c r="M192" s="46">
        <v>36.96</v>
      </c>
      <c r="N192" s="46">
        <v>0</v>
      </c>
      <c r="O192" s="46">
        <v>5131.53</v>
      </c>
      <c r="P192" s="98"/>
      <c r="Q192" s="23" t="s">
        <v>1431</v>
      </c>
      <c r="R192" s="24" t="s">
        <v>189</v>
      </c>
      <c r="S192" s="25" t="s">
        <v>30</v>
      </c>
      <c r="T192" s="26">
        <v>45</v>
      </c>
      <c r="U192" s="26">
        <v>45</v>
      </c>
      <c r="V192" s="26">
        <f t="shared" si="33"/>
        <v>138.84</v>
      </c>
      <c r="W192" s="127">
        <f t="shared" si="34"/>
        <v>0</v>
      </c>
      <c r="X192" s="127">
        <f t="shared" si="35"/>
        <v>36.96</v>
      </c>
      <c r="Y192" s="127">
        <f t="shared" si="36"/>
        <v>0</v>
      </c>
      <c r="Z192" s="127">
        <f t="shared" si="27"/>
        <v>5131.53</v>
      </c>
      <c r="AA192" s="33" t="s">
        <v>15</v>
      </c>
      <c r="AB192" s="36" t="s">
        <v>16</v>
      </c>
      <c r="AC192" s="181">
        <f t="shared" si="28"/>
        <v>45</v>
      </c>
      <c r="AD192" s="181">
        <f t="shared" si="37"/>
        <v>6247.8</v>
      </c>
      <c r="AE192" s="181">
        <v>1.4</v>
      </c>
      <c r="AF192" s="181">
        <v>1.4</v>
      </c>
      <c r="AG192" s="101" t="str">
        <f t="shared" si="29"/>
        <v/>
      </c>
      <c r="AH192" s="194">
        <v>36.96</v>
      </c>
      <c r="AI192" s="69">
        <f t="shared" si="30"/>
        <v>45</v>
      </c>
    </row>
    <row r="193" spans="1:38" s="69" customFormat="1" ht="33" x14ac:dyDescent="0.3">
      <c r="A193" s="130" t="s">
        <v>519</v>
      </c>
      <c r="B193" s="131" t="s">
        <v>520</v>
      </c>
      <c r="C193" s="132" t="s">
        <v>30</v>
      </c>
      <c r="D193" s="133">
        <v>62</v>
      </c>
      <c r="E193" s="75"/>
      <c r="F193" s="75"/>
      <c r="G193" s="75"/>
      <c r="H193" s="76" t="s">
        <v>15</v>
      </c>
      <c r="I193" s="75">
        <v>326.3</v>
      </c>
      <c r="J193" s="75">
        <v>20230.599999999999</v>
      </c>
      <c r="K193" s="91" t="s">
        <v>521</v>
      </c>
      <c r="L193" s="73"/>
      <c r="M193" s="46">
        <v>59</v>
      </c>
      <c r="N193" s="46">
        <v>0</v>
      </c>
      <c r="O193" s="46">
        <v>19251.7</v>
      </c>
      <c r="P193" s="98"/>
      <c r="Q193" s="23" t="s">
        <v>1395</v>
      </c>
      <c r="R193" s="24" t="s">
        <v>520</v>
      </c>
      <c r="S193" s="25" t="s">
        <v>30</v>
      </c>
      <c r="T193" s="26">
        <v>62</v>
      </c>
      <c r="U193" s="26">
        <v>62</v>
      </c>
      <c r="V193" s="26">
        <f t="shared" si="33"/>
        <v>326.3</v>
      </c>
      <c r="W193" s="127">
        <f t="shared" si="34"/>
        <v>0</v>
      </c>
      <c r="X193" s="127">
        <f t="shared" si="35"/>
        <v>59</v>
      </c>
      <c r="Y193" s="127">
        <f t="shared" si="36"/>
        <v>0</v>
      </c>
      <c r="Z193" s="127">
        <f t="shared" si="27"/>
        <v>19251.7</v>
      </c>
      <c r="AA193" s="33" t="s">
        <v>15</v>
      </c>
      <c r="AB193" s="36" t="s">
        <v>16</v>
      </c>
      <c r="AC193" s="181">
        <f t="shared" si="28"/>
        <v>62</v>
      </c>
      <c r="AD193" s="181">
        <f t="shared" si="37"/>
        <v>20230.599999999999</v>
      </c>
      <c r="AE193" s="181">
        <v>1.4</v>
      </c>
      <c r="AF193" s="181">
        <v>1.4</v>
      </c>
      <c r="AG193" s="101" t="str">
        <f t="shared" si="29"/>
        <v/>
      </c>
      <c r="AH193" s="194">
        <v>59</v>
      </c>
      <c r="AI193" s="69">
        <f t="shared" si="30"/>
        <v>62</v>
      </c>
    </row>
    <row r="194" spans="1:38" s="69" customFormat="1" ht="39" x14ac:dyDescent="0.3">
      <c r="A194" s="55" t="s">
        <v>522</v>
      </c>
      <c r="B194" s="53" t="s">
        <v>424</v>
      </c>
      <c r="C194" s="54" t="s">
        <v>50</v>
      </c>
      <c r="D194" s="75">
        <v>275</v>
      </c>
      <c r="E194" s="75"/>
      <c r="F194" s="75"/>
      <c r="G194" s="161"/>
      <c r="H194" s="158">
        <v>2016.9</v>
      </c>
      <c r="I194" s="166">
        <v>692.16</v>
      </c>
      <c r="J194" s="75">
        <v>1396017.5</v>
      </c>
      <c r="K194" s="91" t="s">
        <v>425</v>
      </c>
      <c r="L194" s="73"/>
      <c r="M194" s="46">
        <v>275</v>
      </c>
      <c r="N194" s="46">
        <v>0</v>
      </c>
      <c r="O194" s="46">
        <v>190344</v>
      </c>
      <c r="P194" s="98"/>
      <c r="Q194" s="23" t="s">
        <v>1432</v>
      </c>
      <c r="R194" s="24" t="s">
        <v>424</v>
      </c>
      <c r="S194" s="25" t="s">
        <v>50</v>
      </c>
      <c r="T194" s="26">
        <v>275</v>
      </c>
      <c r="U194" s="26">
        <v>2016.9</v>
      </c>
      <c r="V194" s="26">
        <f t="shared" si="33"/>
        <v>692.16</v>
      </c>
      <c r="W194" s="128">
        <f t="shared" si="34"/>
        <v>0</v>
      </c>
      <c r="X194" s="26">
        <f t="shared" si="35"/>
        <v>275</v>
      </c>
      <c r="Y194" s="26">
        <f t="shared" si="36"/>
        <v>0</v>
      </c>
      <c r="Z194" s="26">
        <f t="shared" si="27"/>
        <v>190344</v>
      </c>
      <c r="AA194" s="33" t="s">
        <v>15</v>
      </c>
      <c r="AB194" s="36" t="s">
        <v>16</v>
      </c>
      <c r="AC194" s="181">
        <f t="shared" si="28"/>
        <v>2016.9</v>
      </c>
      <c r="AD194" s="181">
        <f t="shared" si="37"/>
        <v>1396017.5</v>
      </c>
      <c r="AE194" s="181">
        <v>1.4</v>
      </c>
      <c r="AF194" s="181">
        <v>1.4</v>
      </c>
      <c r="AG194" s="101" t="str">
        <f t="shared" si="29"/>
        <v/>
      </c>
      <c r="AH194" s="191">
        <v>275</v>
      </c>
      <c r="AI194" s="69">
        <f t="shared" si="30"/>
        <v>275</v>
      </c>
    </row>
    <row r="195" spans="1:38" s="69" customFormat="1" ht="41.25" x14ac:dyDescent="0.3">
      <c r="A195" s="130" t="s">
        <v>523</v>
      </c>
      <c r="B195" s="131" t="s">
        <v>524</v>
      </c>
      <c r="C195" s="132" t="s">
        <v>30</v>
      </c>
      <c r="D195" s="133">
        <v>429</v>
      </c>
      <c r="E195" s="75"/>
      <c r="F195" s="75"/>
      <c r="G195" s="161"/>
      <c r="H195" s="158" t="s">
        <v>15</v>
      </c>
      <c r="I195" s="166">
        <v>1707.13</v>
      </c>
      <c r="J195" s="75">
        <v>0</v>
      </c>
      <c r="K195" s="91" t="s">
        <v>525</v>
      </c>
      <c r="L195" s="73"/>
      <c r="M195" s="46">
        <v>0</v>
      </c>
      <c r="N195" s="46">
        <v>0</v>
      </c>
      <c r="O195" s="46">
        <v>0</v>
      </c>
      <c r="P195" s="98"/>
      <c r="Q195" s="23" t="s">
        <v>1433</v>
      </c>
      <c r="R195" s="24" t="s">
        <v>524</v>
      </c>
      <c r="S195" s="25" t="s">
        <v>30</v>
      </c>
      <c r="T195" s="26">
        <v>429</v>
      </c>
      <c r="U195" s="26">
        <v>0</v>
      </c>
      <c r="V195" s="26">
        <f t="shared" si="33"/>
        <v>1707.13</v>
      </c>
      <c r="W195" s="127">
        <f t="shared" si="34"/>
        <v>0</v>
      </c>
      <c r="X195" s="127">
        <f t="shared" si="35"/>
        <v>0</v>
      </c>
      <c r="Y195" s="127">
        <f t="shared" si="36"/>
        <v>0</v>
      </c>
      <c r="Z195" s="127">
        <f t="shared" si="27"/>
        <v>0</v>
      </c>
      <c r="AA195" s="33" t="s">
        <v>15</v>
      </c>
      <c r="AB195" s="36" t="s">
        <v>16</v>
      </c>
      <c r="AC195" s="181">
        <f t="shared" si="28"/>
        <v>0</v>
      </c>
      <c r="AD195" s="181">
        <f t="shared" si="37"/>
        <v>0</v>
      </c>
      <c r="AE195" s="181">
        <v>1.4</v>
      </c>
      <c r="AF195" s="181">
        <v>1.4</v>
      </c>
      <c r="AG195" s="101" t="str">
        <f t="shared" si="29"/>
        <v/>
      </c>
      <c r="AH195" s="190">
        <v>0</v>
      </c>
      <c r="AI195" s="69">
        <f t="shared" si="30"/>
        <v>429</v>
      </c>
    </row>
    <row r="196" spans="1:38" s="69" customFormat="1" ht="39" x14ac:dyDescent="0.3">
      <c r="A196" s="55" t="s">
        <v>526</v>
      </c>
      <c r="B196" s="53" t="s">
        <v>527</v>
      </c>
      <c r="C196" s="54" t="s">
        <v>34</v>
      </c>
      <c r="D196" s="75">
        <v>1597.5</v>
      </c>
      <c r="E196" s="75"/>
      <c r="F196" s="75"/>
      <c r="G196" s="161"/>
      <c r="H196" s="158">
        <v>2059.1999999999998</v>
      </c>
      <c r="I196" s="166">
        <v>49</v>
      </c>
      <c r="J196" s="75">
        <v>100900.8</v>
      </c>
      <c r="K196" s="91" t="s">
        <v>528</v>
      </c>
      <c r="L196" s="73"/>
      <c r="M196" s="46">
        <v>1530</v>
      </c>
      <c r="N196" s="46">
        <v>0</v>
      </c>
      <c r="O196" s="46">
        <v>74970</v>
      </c>
      <c r="P196" s="98"/>
      <c r="Q196" s="23" t="s">
        <v>1382</v>
      </c>
      <c r="R196" s="24" t="s">
        <v>527</v>
      </c>
      <c r="S196" s="25" t="s">
        <v>34</v>
      </c>
      <c r="T196" s="26">
        <v>1597.5</v>
      </c>
      <c r="U196" s="26">
        <v>2059.1999999999998</v>
      </c>
      <c r="V196" s="26">
        <f t="shared" si="33"/>
        <v>49</v>
      </c>
      <c r="W196" s="128">
        <f t="shared" si="34"/>
        <v>0</v>
      </c>
      <c r="X196" s="26">
        <f t="shared" si="35"/>
        <v>1530</v>
      </c>
      <c r="Y196" s="26">
        <f t="shared" si="36"/>
        <v>0</v>
      </c>
      <c r="Z196" s="26">
        <f t="shared" si="27"/>
        <v>74970</v>
      </c>
      <c r="AA196" s="33" t="s">
        <v>15</v>
      </c>
      <c r="AB196" s="36" t="s">
        <v>16</v>
      </c>
      <c r="AC196" s="181">
        <f t="shared" si="28"/>
        <v>2059.1999999999998</v>
      </c>
      <c r="AD196" s="181">
        <f t="shared" si="37"/>
        <v>100900.8</v>
      </c>
      <c r="AE196" s="181">
        <v>1.4</v>
      </c>
      <c r="AF196" s="181">
        <v>1.4</v>
      </c>
      <c r="AG196" s="101" t="str">
        <f t="shared" si="29"/>
        <v/>
      </c>
      <c r="AH196" s="191">
        <v>1530</v>
      </c>
      <c r="AI196" s="69">
        <f t="shared" si="30"/>
        <v>1597.5</v>
      </c>
    </row>
    <row r="197" spans="1:38" s="69" customFormat="1" ht="39" x14ac:dyDescent="0.3">
      <c r="A197" s="134" t="s">
        <v>1324</v>
      </c>
      <c r="B197" s="135" t="s">
        <v>1325</v>
      </c>
      <c r="C197" s="204" t="s">
        <v>23</v>
      </c>
      <c r="D197" s="216"/>
      <c r="E197" s="117">
        <v>1362.5</v>
      </c>
      <c r="F197" s="77"/>
      <c r="G197" s="226"/>
      <c r="H197" s="230" t="s">
        <v>15</v>
      </c>
      <c r="I197" s="178">
        <v>926.62</v>
      </c>
      <c r="J197" s="59">
        <v>1262519.75</v>
      </c>
      <c r="K197" s="92"/>
      <c r="L197" s="73"/>
      <c r="M197" s="46">
        <v>1345</v>
      </c>
      <c r="N197" s="46">
        <v>0</v>
      </c>
      <c r="O197" s="46">
        <v>1246303.8999999999</v>
      </c>
      <c r="P197" s="98"/>
      <c r="Q197" s="23" t="s">
        <v>1434</v>
      </c>
      <c r="R197" s="24" t="s">
        <v>1498</v>
      </c>
      <c r="S197" s="25" t="s">
        <v>23</v>
      </c>
      <c r="T197" s="26">
        <v>0</v>
      </c>
      <c r="U197" s="26">
        <v>1362.5</v>
      </c>
      <c r="V197" s="26">
        <f t="shared" si="33"/>
        <v>926.62</v>
      </c>
      <c r="W197" s="127">
        <f t="shared" si="34"/>
        <v>0</v>
      </c>
      <c r="X197" s="127">
        <f t="shared" si="35"/>
        <v>1345</v>
      </c>
      <c r="Y197" s="127">
        <f t="shared" si="36"/>
        <v>0</v>
      </c>
      <c r="Z197" s="127">
        <f t="shared" si="27"/>
        <v>1246303.8999999999</v>
      </c>
      <c r="AA197" s="27"/>
      <c r="AB197" s="36" t="s">
        <v>16</v>
      </c>
      <c r="AC197" s="181">
        <f t="shared" si="28"/>
        <v>1362.5</v>
      </c>
      <c r="AD197" s="181">
        <f t="shared" si="37"/>
        <v>1262519.75</v>
      </c>
      <c r="AE197" s="181">
        <v>1.4</v>
      </c>
      <c r="AF197" s="181">
        <v>1.4</v>
      </c>
      <c r="AG197" s="101" t="str">
        <f t="shared" si="29"/>
        <v/>
      </c>
      <c r="AH197" s="194">
        <v>1345</v>
      </c>
      <c r="AI197" s="69">
        <f t="shared" si="30"/>
        <v>1362.5</v>
      </c>
    </row>
    <row r="198" spans="1:38" ht="39" x14ac:dyDescent="0.3">
      <c r="A198" s="134" t="s">
        <v>1326</v>
      </c>
      <c r="B198" s="135" t="s">
        <v>3136</v>
      </c>
      <c r="C198" s="204" t="s">
        <v>50</v>
      </c>
      <c r="D198" s="216"/>
      <c r="E198" s="78"/>
      <c r="F198" s="62">
        <v>548.70000000000005</v>
      </c>
      <c r="G198" s="163"/>
      <c r="H198" s="62">
        <v>805.73</v>
      </c>
      <c r="I198" s="167">
        <v>3120.78</v>
      </c>
      <c r="J198" s="62">
        <v>2514506.0699999998</v>
      </c>
      <c r="K198" s="93"/>
      <c r="M198" s="46">
        <v>672.3</v>
      </c>
      <c r="N198" s="46">
        <v>0</v>
      </c>
      <c r="O198" s="46">
        <v>2098100.39</v>
      </c>
      <c r="P198" s="98"/>
      <c r="Q198" s="23" t="s">
        <v>1388</v>
      </c>
      <c r="R198" s="24" t="s">
        <v>1327</v>
      </c>
      <c r="S198" s="25" t="s">
        <v>50</v>
      </c>
      <c r="T198" s="26">
        <v>0</v>
      </c>
      <c r="U198" s="26">
        <v>805.73</v>
      </c>
      <c r="V198" s="26">
        <f t="shared" si="33"/>
        <v>3120.78</v>
      </c>
      <c r="W198" s="128">
        <f t="shared" si="34"/>
        <v>0</v>
      </c>
      <c r="X198" s="127">
        <f t="shared" si="35"/>
        <v>672.3</v>
      </c>
      <c r="Y198" s="127">
        <f t="shared" si="36"/>
        <v>0</v>
      </c>
      <c r="Z198" s="127">
        <f>ROUND(V198*X198,2)</f>
        <v>2098100.39</v>
      </c>
      <c r="AA198" s="27"/>
      <c r="AB198" s="36" t="s">
        <v>16</v>
      </c>
      <c r="AC198" s="181">
        <f t="shared" si="28"/>
        <v>805.73</v>
      </c>
      <c r="AD198" s="181">
        <f t="shared" si="37"/>
        <v>2514506.0699999998</v>
      </c>
      <c r="AE198" s="181">
        <v>1.4</v>
      </c>
      <c r="AF198" s="181">
        <v>1.4</v>
      </c>
      <c r="AG198" s="101" t="str">
        <f t="shared" si="29"/>
        <v>超估</v>
      </c>
      <c r="AH198" s="191">
        <v>672.3</v>
      </c>
      <c r="AI198" s="69">
        <f t="shared" si="30"/>
        <v>548.70000000000005</v>
      </c>
    </row>
    <row r="199" spans="1:38" ht="49.5" x14ac:dyDescent="0.3">
      <c r="A199" s="134" t="s">
        <v>1328</v>
      </c>
      <c r="B199" s="139" t="s">
        <v>1329</v>
      </c>
      <c r="C199" s="204" t="s">
        <v>30</v>
      </c>
      <c r="D199" s="216"/>
      <c r="E199" s="78"/>
      <c r="F199" s="62">
        <v>410</v>
      </c>
      <c r="G199" s="163"/>
      <c r="H199" s="62" t="s">
        <v>15</v>
      </c>
      <c r="I199" s="167">
        <v>5733.63</v>
      </c>
      <c r="J199" s="62">
        <v>2350788.2999999998</v>
      </c>
      <c r="K199" s="93"/>
      <c r="M199" s="46">
        <v>410</v>
      </c>
      <c r="N199" s="46">
        <v>0</v>
      </c>
      <c r="O199" s="46">
        <v>2350788.2999999998</v>
      </c>
      <c r="P199" s="98"/>
      <c r="Q199" s="23" t="s">
        <v>1389</v>
      </c>
      <c r="R199" s="24" t="s">
        <v>1329</v>
      </c>
      <c r="S199" s="25" t="s">
        <v>30</v>
      </c>
      <c r="T199" s="26">
        <v>0</v>
      </c>
      <c r="U199" s="26">
        <v>410</v>
      </c>
      <c r="V199" s="26">
        <f t="shared" si="33"/>
        <v>5733.63</v>
      </c>
      <c r="W199" s="127">
        <f t="shared" si="34"/>
        <v>0</v>
      </c>
      <c r="X199" s="127">
        <f t="shared" si="35"/>
        <v>410</v>
      </c>
      <c r="Y199" s="127">
        <f t="shared" si="36"/>
        <v>0</v>
      </c>
      <c r="Z199" s="127">
        <f t="shared" si="27"/>
        <v>2350788.2999999998</v>
      </c>
      <c r="AA199" s="27"/>
      <c r="AB199" s="36" t="s">
        <v>16</v>
      </c>
      <c r="AC199" s="181">
        <f t="shared" si="28"/>
        <v>410</v>
      </c>
      <c r="AD199" s="181">
        <f t="shared" si="37"/>
        <v>2350788.2999999998</v>
      </c>
      <c r="AE199" s="181">
        <v>1.4</v>
      </c>
      <c r="AF199" s="181">
        <v>1.4</v>
      </c>
      <c r="AG199" s="101" t="str">
        <f t="shared" si="29"/>
        <v/>
      </c>
      <c r="AH199" s="190">
        <v>410</v>
      </c>
      <c r="AI199" s="69">
        <f t="shared" si="30"/>
        <v>410</v>
      </c>
    </row>
    <row r="200" spans="1:38" ht="58.5" x14ac:dyDescent="0.3">
      <c r="A200" s="134" t="s">
        <v>1330</v>
      </c>
      <c r="B200" s="135" t="s">
        <v>3135</v>
      </c>
      <c r="C200" s="204" t="s">
        <v>23</v>
      </c>
      <c r="D200" s="216"/>
      <c r="E200" s="78"/>
      <c r="F200" s="62">
        <v>690</v>
      </c>
      <c r="G200" s="163"/>
      <c r="H200" s="62">
        <v>1526.83</v>
      </c>
      <c r="I200" s="167">
        <v>3832.97</v>
      </c>
      <c r="J200" s="62">
        <v>5852293.5899999999</v>
      </c>
      <c r="K200" s="93"/>
      <c r="M200" s="46">
        <v>1469.66</v>
      </c>
      <c r="N200" s="46">
        <v>0</v>
      </c>
      <c r="O200" s="46">
        <v>5633162.6900000004</v>
      </c>
      <c r="P200" s="98"/>
      <c r="Q200" s="23" t="s">
        <v>1390</v>
      </c>
      <c r="R200" s="24" t="s">
        <v>1331</v>
      </c>
      <c r="S200" s="25" t="s">
        <v>23</v>
      </c>
      <c r="T200" s="26">
        <v>0</v>
      </c>
      <c r="U200" s="26">
        <v>1526.83</v>
      </c>
      <c r="V200" s="26">
        <f t="shared" si="33"/>
        <v>3832.97</v>
      </c>
      <c r="W200" s="128">
        <f t="shared" si="34"/>
        <v>0</v>
      </c>
      <c r="X200" s="127">
        <f t="shared" si="35"/>
        <v>1469.66</v>
      </c>
      <c r="Y200" s="127">
        <f t="shared" si="36"/>
        <v>0</v>
      </c>
      <c r="Z200" s="127">
        <f t="shared" si="27"/>
        <v>5633162.6900000004</v>
      </c>
      <c r="AA200" s="27"/>
      <c r="AB200" s="36" t="s">
        <v>16</v>
      </c>
      <c r="AC200" s="181">
        <f t="shared" si="28"/>
        <v>1526.83</v>
      </c>
      <c r="AD200" s="181">
        <f t="shared" si="37"/>
        <v>5852293.5899999999</v>
      </c>
      <c r="AE200" s="181">
        <v>1.4</v>
      </c>
      <c r="AF200" s="181">
        <v>1.4</v>
      </c>
      <c r="AG200" s="101" t="str">
        <f t="shared" si="29"/>
        <v>超估</v>
      </c>
      <c r="AH200" s="191">
        <v>1469.66</v>
      </c>
      <c r="AI200" s="69">
        <f t="shared" si="30"/>
        <v>690</v>
      </c>
    </row>
    <row r="201" spans="1:38" ht="33" x14ac:dyDescent="0.3">
      <c r="A201" s="134" t="s">
        <v>1332</v>
      </c>
      <c r="B201" s="135" t="s">
        <v>1333</v>
      </c>
      <c r="C201" s="204" t="s">
        <v>50</v>
      </c>
      <c r="D201" s="216"/>
      <c r="E201" s="78"/>
      <c r="F201" s="62">
        <v>48</v>
      </c>
      <c r="G201" s="163"/>
      <c r="H201" s="62" t="s">
        <v>15</v>
      </c>
      <c r="I201" s="167">
        <v>695.25</v>
      </c>
      <c r="J201" s="62">
        <v>33372</v>
      </c>
      <c r="K201" s="93"/>
      <c r="M201" s="46">
        <v>48</v>
      </c>
      <c r="N201" s="46">
        <v>0</v>
      </c>
      <c r="O201" s="46">
        <v>33372</v>
      </c>
      <c r="P201" s="98"/>
      <c r="Q201" s="23" t="s">
        <v>1391</v>
      </c>
      <c r="R201" s="24" t="s">
        <v>1333</v>
      </c>
      <c r="S201" s="25" t="s">
        <v>50</v>
      </c>
      <c r="T201" s="26">
        <v>0</v>
      </c>
      <c r="U201" s="26">
        <v>48</v>
      </c>
      <c r="V201" s="26">
        <f t="shared" si="33"/>
        <v>695.25</v>
      </c>
      <c r="W201" s="127">
        <f t="shared" si="34"/>
        <v>0</v>
      </c>
      <c r="X201" s="127">
        <f t="shared" si="35"/>
        <v>48</v>
      </c>
      <c r="Y201" s="127">
        <f t="shared" si="36"/>
        <v>0</v>
      </c>
      <c r="Z201" s="127">
        <f t="shared" si="27"/>
        <v>33372</v>
      </c>
      <c r="AA201" s="27"/>
      <c r="AB201" s="36" t="s">
        <v>16</v>
      </c>
      <c r="AC201" s="181">
        <f t="shared" si="28"/>
        <v>48</v>
      </c>
      <c r="AD201" s="181">
        <f t="shared" si="37"/>
        <v>33372</v>
      </c>
      <c r="AE201" s="181">
        <v>1.4</v>
      </c>
      <c r="AF201" s="181">
        <v>1.4</v>
      </c>
      <c r="AG201" s="101" t="str">
        <f t="shared" si="29"/>
        <v/>
      </c>
      <c r="AH201" s="190">
        <v>48</v>
      </c>
      <c r="AI201" s="69">
        <f t="shared" si="30"/>
        <v>48</v>
      </c>
    </row>
    <row r="202" spans="1:38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227"/>
      <c r="H202" s="231" t="s">
        <v>15</v>
      </c>
      <c r="I202" s="228"/>
      <c r="J202" s="82">
        <v>33543936.84</v>
      </c>
      <c r="K202" s="94" t="s">
        <v>15</v>
      </c>
      <c r="L202" s="73"/>
      <c r="M202" s="45">
        <v>1</v>
      </c>
      <c r="N202" s="45">
        <v>313199.49000000011</v>
      </c>
      <c r="O202" s="45">
        <v>32526947.079999998</v>
      </c>
      <c r="P202" s="98"/>
      <c r="Q202" s="18" t="s">
        <v>1392</v>
      </c>
      <c r="R202" s="19" t="s">
        <v>530</v>
      </c>
      <c r="S202" s="20" t="s">
        <v>14</v>
      </c>
      <c r="T202" s="21">
        <v>1</v>
      </c>
      <c r="U202" s="21"/>
      <c r="V202" s="21">
        <f>SUMIFS(AD:AD,AE:AE,AE202)</f>
        <v>33543936.840000004</v>
      </c>
      <c r="W202" s="21">
        <f t="shared" ref="W202:X202" si="38">IF(Y202=0,0,1)</f>
        <v>0</v>
      </c>
      <c r="X202" s="21">
        <f t="shared" si="38"/>
        <v>1</v>
      </c>
      <c r="Y202" s="21">
        <f>SUMIFS(Y:Y,AF:AF,AE202)</f>
        <v>0</v>
      </c>
      <c r="Z202" s="21">
        <f>SUMIFS(Z:Z,AF:AF,AE202)</f>
        <v>32526947.079999998</v>
      </c>
      <c r="AA202" s="22" t="s">
        <v>15</v>
      </c>
      <c r="AB202" s="43" t="s">
        <v>16</v>
      </c>
      <c r="AC202" s="181">
        <f t="shared" si="28"/>
        <v>1</v>
      </c>
      <c r="AD202" s="181"/>
      <c r="AE202" s="184">
        <v>1.5</v>
      </c>
      <c r="AF202" s="184"/>
      <c r="AG202" s="101" t="str">
        <f t="shared" si="29"/>
        <v/>
      </c>
      <c r="AH202" s="190">
        <v>1</v>
      </c>
      <c r="AI202" s="69">
        <f t="shared" si="30"/>
        <v>1</v>
      </c>
    </row>
    <row r="203" spans="1:38" s="69" customFormat="1" ht="49.5" customHeight="1" x14ac:dyDescent="0.3">
      <c r="A203" s="130" t="s">
        <v>531</v>
      </c>
      <c r="B203" s="131" t="s">
        <v>392</v>
      </c>
      <c r="C203" s="132" t="s">
        <v>23</v>
      </c>
      <c r="D203" s="133">
        <v>250</v>
      </c>
      <c r="E203" s="75"/>
      <c r="F203" s="75"/>
      <c r="G203" s="75"/>
      <c r="H203" s="239">
        <v>11.7</v>
      </c>
      <c r="I203" s="75">
        <v>3115.13</v>
      </c>
      <c r="J203" s="75">
        <v>36447.019999999997</v>
      </c>
      <c r="K203" s="91" t="s">
        <v>114</v>
      </c>
      <c r="L203" s="73"/>
      <c r="M203" s="46">
        <v>11.7</v>
      </c>
      <c r="N203" s="46">
        <v>0</v>
      </c>
      <c r="O203" s="46">
        <v>36447.019999999997</v>
      </c>
      <c r="P203" s="98"/>
      <c r="Q203" s="23" t="s">
        <v>1421</v>
      </c>
      <c r="R203" s="24" t="s">
        <v>392</v>
      </c>
      <c r="S203" s="25" t="s">
        <v>23</v>
      </c>
      <c r="T203" s="26">
        <v>250</v>
      </c>
      <c r="U203" s="26">
        <v>11.7</v>
      </c>
      <c r="V203" s="26">
        <v>3115.13</v>
      </c>
      <c r="W203" s="127">
        <f t="shared" ref="W203:W219" si="39">AH203-M203</f>
        <v>0</v>
      </c>
      <c r="X203" s="127">
        <f t="shared" si="35"/>
        <v>11.7</v>
      </c>
      <c r="Y203" s="127">
        <f t="shared" ref="Y203:Y219" si="40">Z203-O203</f>
        <v>0</v>
      </c>
      <c r="Z203" s="127">
        <f t="shared" si="27"/>
        <v>36447.019999999997</v>
      </c>
      <c r="AA203" s="33" t="s">
        <v>15</v>
      </c>
      <c r="AB203" s="36" t="s">
        <v>16</v>
      </c>
      <c r="AC203" s="181">
        <f t="shared" ref="AC203:AC266" si="41">IF(U203="",T203,U203)</f>
        <v>11.7</v>
      </c>
      <c r="AD203" s="181">
        <f t="shared" si="37"/>
        <v>36447.019999999997</v>
      </c>
      <c r="AE203" s="181">
        <v>1.5</v>
      </c>
      <c r="AF203" s="181">
        <v>1.5</v>
      </c>
      <c r="AG203" s="101" t="str">
        <f t="shared" ref="AG203:AG266" si="42">IF(X203&gt;AI203,"超估","")</f>
        <v/>
      </c>
      <c r="AH203" s="190">
        <v>11.7</v>
      </c>
      <c r="AI203" s="69">
        <f t="shared" ref="AI203:AI266" si="43">IF(G203=0,IF(F203=0,IF(E203=0,D203,E203),F203),G203)</f>
        <v>250</v>
      </c>
    </row>
    <row r="204" spans="1:38" s="69" customFormat="1" ht="49.5" customHeight="1" x14ac:dyDescent="0.3">
      <c r="A204" s="130" t="s">
        <v>532</v>
      </c>
      <c r="B204" s="131" t="s">
        <v>116</v>
      </c>
      <c r="C204" s="132" t="s">
        <v>23</v>
      </c>
      <c r="D204" s="133">
        <v>2474</v>
      </c>
      <c r="E204" s="75"/>
      <c r="F204" s="75"/>
      <c r="G204" s="75"/>
      <c r="H204" s="75">
        <v>2593.6999999999998</v>
      </c>
      <c r="I204" s="75">
        <v>3321.13</v>
      </c>
      <c r="J204" s="75">
        <v>8614014.8800000008</v>
      </c>
      <c r="K204" s="91" t="s">
        <v>117</v>
      </c>
      <c r="L204" s="73"/>
      <c r="M204" s="46">
        <v>2473.35</v>
      </c>
      <c r="N204" s="46">
        <v>0</v>
      </c>
      <c r="O204" s="46">
        <v>8214316.8899999997</v>
      </c>
      <c r="P204" s="98"/>
      <c r="Q204" s="23" t="s">
        <v>1426</v>
      </c>
      <c r="R204" s="24" t="s">
        <v>116</v>
      </c>
      <c r="S204" s="25" t="s">
        <v>23</v>
      </c>
      <c r="T204" s="26">
        <v>2474</v>
      </c>
      <c r="U204" s="26">
        <v>2593.6999999999998</v>
      </c>
      <c r="V204" s="26">
        <v>3321.13</v>
      </c>
      <c r="W204" s="127">
        <f t="shared" si="39"/>
        <v>0</v>
      </c>
      <c r="X204" s="127">
        <f t="shared" si="35"/>
        <v>2473.35</v>
      </c>
      <c r="Y204" s="127">
        <f t="shared" si="40"/>
        <v>0</v>
      </c>
      <c r="Z204" s="127">
        <f t="shared" ref="Z204:Z267" si="44">ROUND(V204*X204,2)</f>
        <v>8214316.8899999997</v>
      </c>
      <c r="AA204" s="33" t="s">
        <v>15</v>
      </c>
      <c r="AB204" s="36" t="s">
        <v>16</v>
      </c>
      <c r="AC204" s="181">
        <f t="shared" si="41"/>
        <v>2593.6999999999998</v>
      </c>
      <c r="AD204" s="181">
        <f t="shared" si="37"/>
        <v>8614014.8800000008</v>
      </c>
      <c r="AE204" s="181">
        <v>1.5</v>
      </c>
      <c r="AF204" s="181">
        <v>1.5</v>
      </c>
      <c r="AG204" s="101" t="str">
        <f t="shared" si="42"/>
        <v/>
      </c>
      <c r="AH204" s="194">
        <v>2473.35</v>
      </c>
      <c r="AI204" s="69">
        <f t="shared" si="43"/>
        <v>2474</v>
      </c>
      <c r="AL204" s="196">
        <v>2782.2855</v>
      </c>
    </row>
    <row r="205" spans="1:38" s="69" customFormat="1" ht="49.5" customHeight="1" x14ac:dyDescent="0.3">
      <c r="A205" s="130" t="s">
        <v>533</v>
      </c>
      <c r="B205" s="131" t="s">
        <v>534</v>
      </c>
      <c r="C205" s="132" t="s">
        <v>23</v>
      </c>
      <c r="D205" s="133">
        <v>1187</v>
      </c>
      <c r="E205" s="75"/>
      <c r="F205" s="75"/>
      <c r="G205" s="75"/>
      <c r="H205" s="75">
        <v>1256.1500000000001</v>
      </c>
      <c r="I205" s="75">
        <v>1749.25</v>
      </c>
      <c r="J205" s="75">
        <v>2197320.39</v>
      </c>
      <c r="K205" s="91" t="s">
        <v>535</v>
      </c>
      <c r="L205" s="73"/>
      <c r="M205" s="46">
        <v>1187</v>
      </c>
      <c r="N205" s="46">
        <v>0</v>
      </c>
      <c r="O205" s="46">
        <v>2076359.75</v>
      </c>
      <c r="P205" s="98"/>
      <c r="Q205" s="23" t="s">
        <v>1402</v>
      </c>
      <c r="R205" s="24" t="s">
        <v>534</v>
      </c>
      <c r="S205" s="25" t="s">
        <v>23</v>
      </c>
      <c r="T205" s="26">
        <v>1187</v>
      </c>
      <c r="U205" s="26">
        <v>1256.1500000000001</v>
      </c>
      <c r="V205" s="26">
        <v>1749.25</v>
      </c>
      <c r="W205" s="127">
        <f t="shared" si="39"/>
        <v>0</v>
      </c>
      <c r="X205" s="127">
        <f t="shared" si="35"/>
        <v>1187</v>
      </c>
      <c r="Y205" s="127">
        <f t="shared" si="40"/>
        <v>0</v>
      </c>
      <c r="Z205" s="127">
        <f t="shared" si="44"/>
        <v>2076359.75</v>
      </c>
      <c r="AA205" s="33" t="s">
        <v>15</v>
      </c>
      <c r="AB205" s="36" t="s">
        <v>16</v>
      </c>
      <c r="AC205" s="181">
        <f t="shared" si="41"/>
        <v>1256.1500000000001</v>
      </c>
      <c r="AD205" s="181">
        <f t="shared" si="37"/>
        <v>2197320.39</v>
      </c>
      <c r="AE205" s="181">
        <v>1.5</v>
      </c>
      <c r="AF205" s="181">
        <v>1.5</v>
      </c>
      <c r="AG205" s="101" t="str">
        <f t="shared" si="42"/>
        <v/>
      </c>
      <c r="AH205" s="194">
        <v>1187</v>
      </c>
      <c r="AI205" s="69">
        <f t="shared" si="43"/>
        <v>1187</v>
      </c>
      <c r="AL205" s="195">
        <v>1161.5828000000001</v>
      </c>
    </row>
    <row r="206" spans="1:38" s="69" customFormat="1" ht="39" x14ac:dyDescent="0.3">
      <c r="A206" s="130" t="s">
        <v>536</v>
      </c>
      <c r="B206" s="131" t="s">
        <v>493</v>
      </c>
      <c r="C206" s="132" t="s">
        <v>23</v>
      </c>
      <c r="D206" s="133">
        <v>3911</v>
      </c>
      <c r="E206" s="75"/>
      <c r="F206" s="75"/>
      <c r="G206" s="75"/>
      <c r="H206" s="75" t="s">
        <v>15</v>
      </c>
      <c r="I206" s="75">
        <v>200</v>
      </c>
      <c r="J206" s="75">
        <v>782200</v>
      </c>
      <c r="K206" s="91" t="s">
        <v>494</v>
      </c>
      <c r="L206" s="73"/>
      <c r="M206" s="46">
        <v>3672.05</v>
      </c>
      <c r="N206" s="46">
        <v>0</v>
      </c>
      <c r="O206" s="46">
        <v>734410</v>
      </c>
      <c r="P206" s="98"/>
      <c r="Q206" s="23" t="s">
        <v>1373</v>
      </c>
      <c r="R206" s="24" t="s">
        <v>493</v>
      </c>
      <c r="S206" s="25" t="s">
        <v>23</v>
      </c>
      <c r="T206" s="26">
        <v>3911</v>
      </c>
      <c r="U206" s="26">
        <v>3911</v>
      </c>
      <c r="V206" s="26">
        <v>200</v>
      </c>
      <c r="W206" s="127">
        <f t="shared" si="39"/>
        <v>0</v>
      </c>
      <c r="X206" s="127">
        <f t="shared" si="35"/>
        <v>3672.05</v>
      </c>
      <c r="Y206" s="127">
        <f t="shared" si="40"/>
        <v>0</v>
      </c>
      <c r="Z206" s="127">
        <f t="shared" si="44"/>
        <v>734410</v>
      </c>
      <c r="AA206" s="33" t="s">
        <v>15</v>
      </c>
      <c r="AB206" s="36" t="s">
        <v>16</v>
      </c>
      <c r="AC206" s="181">
        <f t="shared" si="41"/>
        <v>3911</v>
      </c>
      <c r="AD206" s="181">
        <f t="shared" si="37"/>
        <v>782200</v>
      </c>
      <c r="AE206" s="181">
        <v>1.5</v>
      </c>
      <c r="AF206" s="181">
        <v>1.5</v>
      </c>
      <c r="AG206" s="101" t="str">
        <f t="shared" si="42"/>
        <v/>
      </c>
      <c r="AH206" s="194">
        <v>3672.05</v>
      </c>
      <c r="AI206" s="69">
        <f t="shared" si="43"/>
        <v>3911</v>
      </c>
      <c r="AL206" s="198">
        <f>AL203+AL204+AL205</f>
        <v>3943.8683000000001</v>
      </c>
    </row>
    <row r="207" spans="1:38" s="69" customFormat="1" ht="57.75" x14ac:dyDescent="0.3">
      <c r="A207" s="130" t="s">
        <v>537</v>
      </c>
      <c r="B207" s="131" t="s">
        <v>405</v>
      </c>
      <c r="C207" s="132" t="s">
        <v>50</v>
      </c>
      <c r="D207" s="133">
        <v>3820</v>
      </c>
      <c r="E207" s="75"/>
      <c r="F207" s="75">
        <v>4730</v>
      </c>
      <c r="G207" s="75"/>
      <c r="H207" s="75">
        <v>5411.06</v>
      </c>
      <c r="I207" s="75">
        <v>982.98</v>
      </c>
      <c r="J207" s="75">
        <v>5318963.76</v>
      </c>
      <c r="K207" s="91" t="s">
        <v>406</v>
      </c>
      <c r="L207" s="73"/>
      <c r="M207" s="46">
        <v>5409.2</v>
      </c>
      <c r="N207" s="46">
        <v>0</v>
      </c>
      <c r="O207" s="46">
        <v>5317135.42</v>
      </c>
      <c r="P207" s="98"/>
      <c r="Q207" s="23" t="s">
        <v>1393</v>
      </c>
      <c r="R207" s="24" t="s">
        <v>405</v>
      </c>
      <c r="S207" s="25" t="s">
        <v>50</v>
      </c>
      <c r="T207" s="26">
        <v>3820</v>
      </c>
      <c r="U207" s="26">
        <v>5411.06</v>
      </c>
      <c r="V207" s="26">
        <v>982.98</v>
      </c>
      <c r="W207" s="127">
        <f t="shared" si="39"/>
        <v>0</v>
      </c>
      <c r="X207" s="127">
        <f t="shared" si="35"/>
        <v>5409.2</v>
      </c>
      <c r="Y207" s="127">
        <f t="shared" si="40"/>
        <v>0</v>
      </c>
      <c r="Z207" s="127">
        <f t="shared" si="44"/>
        <v>5317135.42</v>
      </c>
      <c r="AA207" s="27" t="s">
        <v>15</v>
      </c>
      <c r="AB207" s="36" t="s">
        <v>16</v>
      </c>
      <c r="AC207" s="181">
        <f t="shared" si="41"/>
        <v>5411.06</v>
      </c>
      <c r="AD207" s="181">
        <f t="shared" si="37"/>
        <v>5318963.76</v>
      </c>
      <c r="AE207" s="181">
        <v>1.5</v>
      </c>
      <c r="AF207" s="181">
        <v>1.5</v>
      </c>
      <c r="AG207" s="101" t="str">
        <f t="shared" si="42"/>
        <v>超估</v>
      </c>
      <c r="AH207" s="191">
        <v>5409.2</v>
      </c>
      <c r="AI207" s="69">
        <f t="shared" si="43"/>
        <v>4730</v>
      </c>
      <c r="AL207" s="195">
        <v>5411.06</v>
      </c>
    </row>
    <row r="208" spans="1:38" s="69" customFormat="1" ht="41.25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203"/>
      <c r="F208" s="203"/>
      <c r="G208" s="203"/>
      <c r="H208" s="203">
        <v>1811.33</v>
      </c>
      <c r="I208" s="75">
        <v>804.79</v>
      </c>
      <c r="J208" s="75">
        <v>1457740.27</v>
      </c>
      <c r="K208" s="91" t="s">
        <v>409</v>
      </c>
      <c r="L208" s="73"/>
      <c r="M208" s="46">
        <v>1796.3</v>
      </c>
      <c r="N208" s="46">
        <v>0</v>
      </c>
      <c r="O208" s="46">
        <v>1445644.28</v>
      </c>
      <c r="P208" s="98"/>
      <c r="Q208" s="23" t="s">
        <v>1403</v>
      </c>
      <c r="R208" s="24" t="s">
        <v>408</v>
      </c>
      <c r="S208" s="25" t="s">
        <v>50</v>
      </c>
      <c r="T208" s="26">
        <v>800</v>
      </c>
      <c r="U208" s="26">
        <v>1811.33</v>
      </c>
      <c r="V208" s="26">
        <v>804.79</v>
      </c>
      <c r="W208" s="127">
        <f t="shared" si="39"/>
        <v>0</v>
      </c>
      <c r="X208" s="127">
        <f t="shared" si="35"/>
        <v>1796.3</v>
      </c>
      <c r="Y208" s="127">
        <f t="shared" si="40"/>
        <v>0</v>
      </c>
      <c r="Z208" s="127">
        <f t="shared" si="44"/>
        <v>1445644.28</v>
      </c>
      <c r="AA208" s="33" t="s">
        <v>15</v>
      </c>
      <c r="AB208" s="36" t="s">
        <v>16</v>
      </c>
      <c r="AC208" s="181">
        <f t="shared" si="41"/>
        <v>1811.33</v>
      </c>
      <c r="AD208" s="181">
        <f t="shared" si="37"/>
        <v>1457740.27</v>
      </c>
      <c r="AE208" s="181">
        <v>1.5</v>
      </c>
      <c r="AF208" s="181">
        <v>1.5</v>
      </c>
      <c r="AG208" s="101" t="str">
        <f t="shared" si="42"/>
        <v>超估</v>
      </c>
      <c r="AH208" s="191">
        <v>1796.3</v>
      </c>
      <c r="AI208" s="69">
        <f t="shared" si="43"/>
        <v>800</v>
      </c>
    </row>
    <row r="209" spans="1:35" s="69" customFormat="1" ht="41.25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203"/>
      <c r="F209" s="203"/>
      <c r="G209" s="203"/>
      <c r="H209" s="203">
        <v>1210.32</v>
      </c>
      <c r="I209" s="75">
        <v>533.64</v>
      </c>
      <c r="J209" s="75">
        <v>645875.16</v>
      </c>
      <c r="K209" s="91" t="s">
        <v>120</v>
      </c>
      <c r="L209" s="73"/>
      <c r="M209" s="46">
        <v>1121.2</v>
      </c>
      <c r="N209" s="46">
        <v>0</v>
      </c>
      <c r="O209" s="46">
        <v>598317.17000000004</v>
      </c>
      <c r="P209" s="98"/>
      <c r="Q209" s="23" t="s">
        <v>1427</v>
      </c>
      <c r="R209" s="24" t="s">
        <v>119</v>
      </c>
      <c r="S209" s="25" t="s">
        <v>50</v>
      </c>
      <c r="T209" s="26">
        <v>258</v>
      </c>
      <c r="U209" s="26">
        <v>1210.32</v>
      </c>
      <c r="V209" s="26">
        <v>533.64</v>
      </c>
      <c r="W209" s="127">
        <f t="shared" si="39"/>
        <v>0</v>
      </c>
      <c r="X209" s="127">
        <f t="shared" si="35"/>
        <v>1121.2</v>
      </c>
      <c r="Y209" s="127">
        <f t="shared" si="40"/>
        <v>0</v>
      </c>
      <c r="Z209" s="127">
        <f t="shared" si="44"/>
        <v>598317.17000000004</v>
      </c>
      <c r="AA209" s="33" t="s">
        <v>15</v>
      </c>
      <c r="AB209" s="36" t="s">
        <v>16</v>
      </c>
      <c r="AC209" s="181">
        <f t="shared" si="41"/>
        <v>1210.32</v>
      </c>
      <c r="AD209" s="181">
        <f t="shared" si="37"/>
        <v>645875.16</v>
      </c>
      <c r="AE209" s="181">
        <v>1.5</v>
      </c>
      <c r="AF209" s="181">
        <v>1.5</v>
      </c>
      <c r="AG209" s="101" t="str">
        <f t="shared" si="42"/>
        <v>超估</v>
      </c>
      <c r="AH209" s="191">
        <v>1121.2</v>
      </c>
      <c r="AI209" s="69">
        <f t="shared" si="43"/>
        <v>258</v>
      </c>
    </row>
    <row r="210" spans="1:35" s="69" customFormat="1" ht="39" x14ac:dyDescent="0.3">
      <c r="A210" s="130" t="s">
        <v>540</v>
      </c>
      <c r="B210" s="131" t="s">
        <v>109</v>
      </c>
      <c r="C210" s="132" t="s">
        <v>110</v>
      </c>
      <c r="D210" s="133">
        <v>133401</v>
      </c>
      <c r="E210" s="203"/>
      <c r="F210" s="203"/>
      <c r="G210" s="203"/>
      <c r="H210" s="203">
        <v>153939.46</v>
      </c>
      <c r="I210" s="75">
        <v>36.4</v>
      </c>
      <c r="J210" s="75">
        <v>5603396.3399999999</v>
      </c>
      <c r="K210" s="91" t="s">
        <v>111</v>
      </c>
      <c r="L210" s="73"/>
      <c r="M210" s="46">
        <v>153669.92000000001</v>
      </c>
      <c r="N210" s="46">
        <v>0</v>
      </c>
      <c r="O210" s="46">
        <v>5593585.0899999999</v>
      </c>
      <c r="P210" s="98"/>
      <c r="Q210" s="23" t="s">
        <v>1428</v>
      </c>
      <c r="R210" s="24" t="s">
        <v>109</v>
      </c>
      <c r="S210" s="25" t="s">
        <v>110</v>
      </c>
      <c r="T210" s="26">
        <v>133401</v>
      </c>
      <c r="U210" s="26">
        <v>153939.46</v>
      </c>
      <c r="V210" s="26">
        <v>36.4</v>
      </c>
      <c r="W210" s="127">
        <f t="shared" si="39"/>
        <v>0</v>
      </c>
      <c r="X210" s="127">
        <f t="shared" si="35"/>
        <v>153669.92000000001</v>
      </c>
      <c r="Y210" s="127">
        <f t="shared" si="40"/>
        <v>0</v>
      </c>
      <c r="Z210" s="127">
        <f t="shared" si="44"/>
        <v>5593585.0899999999</v>
      </c>
      <c r="AA210" s="33" t="s">
        <v>15</v>
      </c>
      <c r="AB210" s="36" t="s">
        <v>16</v>
      </c>
      <c r="AC210" s="181">
        <f t="shared" si="41"/>
        <v>153939.46</v>
      </c>
      <c r="AD210" s="181">
        <f t="shared" si="37"/>
        <v>5603396.3399999999</v>
      </c>
      <c r="AE210" s="181">
        <v>1.5</v>
      </c>
      <c r="AF210" s="181">
        <v>1.5</v>
      </c>
      <c r="AG210" s="101" t="str">
        <f t="shared" si="42"/>
        <v>超估</v>
      </c>
      <c r="AH210" s="191">
        <v>153669.92000000001</v>
      </c>
      <c r="AI210" s="69">
        <f t="shared" si="43"/>
        <v>133401</v>
      </c>
    </row>
    <row r="211" spans="1:35" s="69" customFormat="1" ht="39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203"/>
      <c r="F211" s="203"/>
      <c r="G211" s="203"/>
      <c r="H211" s="203">
        <v>185226.6</v>
      </c>
      <c r="I211" s="75">
        <v>38.71</v>
      </c>
      <c r="J211" s="75">
        <v>7170121.6900000004</v>
      </c>
      <c r="K211" s="91" t="s">
        <v>400</v>
      </c>
      <c r="L211" s="73"/>
      <c r="M211" s="46">
        <v>185029</v>
      </c>
      <c r="N211" s="46">
        <v>0</v>
      </c>
      <c r="O211" s="46">
        <v>7162472.5899999999</v>
      </c>
      <c r="P211" s="98"/>
      <c r="Q211" s="23" t="s">
        <v>1387</v>
      </c>
      <c r="R211" s="24" t="s">
        <v>399</v>
      </c>
      <c r="S211" s="25" t="s">
        <v>110</v>
      </c>
      <c r="T211" s="26">
        <v>118802</v>
      </c>
      <c r="U211" s="26">
        <v>185226.6</v>
      </c>
      <c r="V211" s="26">
        <v>38.71</v>
      </c>
      <c r="W211" s="127">
        <f t="shared" si="39"/>
        <v>0</v>
      </c>
      <c r="X211" s="127">
        <f t="shared" si="35"/>
        <v>185029</v>
      </c>
      <c r="Y211" s="127">
        <f t="shared" si="40"/>
        <v>0</v>
      </c>
      <c r="Z211" s="127">
        <f t="shared" si="44"/>
        <v>7162472.5899999999</v>
      </c>
      <c r="AA211" s="33" t="s">
        <v>15</v>
      </c>
      <c r="AB211" s="36" t="s">
        <v>16</v>
      </c>
      <c r="AC211" s="181">
        <f t="shared" si="41"/>
        <v>185226.6</v>
      </c>
      <c r="AD211" s="181">
        <f t="shared" si="37"/>
        <v>7170121.6900000004</v>
      </c>
      <c r="AE211" s="181">
        <v>1.5</v>
      </c>
      <c r="AF211" s="181">
        <v>1.5</v>
      </c>
      <c r="AG211" s="101" t="str">
        <f t="shared" si="42"/>
        <v>超估</v>
      </c>
      <c r="AH211" s="191">
        <v>185029</v>
      </c>
      <c r="AI211" s="69">
        <f t="shared" si="43"/>
        <v>118802</v>
      </c>
    </row>
    <row r="212" spans="1:35" s="69" customFormat="1" ht="58.5" x14ac:dyDescent="0.3">
      <c r="A212" s="130" t="s">
        <v>542</v>
      </c>
      <c r="B212" s="131" t="s">
        <v>543</v>
      </c>
      <c r="C212" s="132" t="s">
        <v>30</v>
      </c>
      <c r="D212" s="133">
        <v>129</v>
      </c>
      <c r="E212" s="75"/>
      <c r="F212" s="75"/>
      <c r="G212" s="75"/>
      <c r="H212" s="75" t="s">
        <v>15</v>
      </c>
      <c r="I212" s="75">
        <v>2865.95</v>
      </c>
      <c r="J212" s="75">
        <v>369707.55</v>
      </c>
      <c r="K212" s="91" t="s">
        <v>544</v>
      </c>
      <c r="L212" s="73"/>
      <c r="M212" s="46">
        <v>78</v>
      </c>
      <c r="N212" s="46">
        <v>120369.90000000001</v>
      </c>
      <c r="O212" s="46">
        <v>223544.1</v>
      </c>
      <c r="P212" s="98"/>
      <c r="Q212" s="23" t="s">
        <v>1405</v>
      </c>
      <c r="R212" s="24" t="s">
        <v>543</v>
      </c>
      <c r="S212" s="25" t="s">
        <v>30</v>
      </c>
      <c r="T212" s="26">
        <v>129</v>
      </c>
      <c r="U212" s="26">
        <v>129</v>
      </c>
      <c r="V212" s="26">
        <v>2865.95</v>
      </c>
      <c r="W212" s="243">
        <f t="shared" si="39"/>
        <v>0</v>
      </c>
      <c r="X212" s="127">
        <f t="shared" si="35"/>
        <v>78</v>
      </c>
      <c r="Y212" s="127">
        <f t="shared" si="40"/>
        <v>0</v>
      </c>
      <c r="Z212" s="127">
        <f t="shared" si="44"/>
        <v>223544.1</v>
      </c>
      <c r="AA212" s="33" t="s">
        <v>15</v>
      </c>
      <c r="AB212" s="36" t="s">
        <v>16</v>
      </c>
      <c r="AC212" s="181">
        <f t="shared" si="41"/>
        <v>129</v>
      </c>
      <c r="AD212" s="181">
        <f t="shared" si="37"/>
        <v>369707.55</v>
      </c>
      <c r="AE212" s="181">
        <v>1.5</v>
      </c>
      <c r="AF212" s="181">
        <v>1.5</v>
      </c>
      <c r="AG212" s="101" t="str">
        <f t="shared" si="42"/>
        <v/>
      </c>
      <c r="AH212" s="191">
        <f>36+42</f>
        <v>78</v>
      </c>
      <c r="AI212" s="69">
        <f t="shared" si="43"/>
        <v>129</v>
      </c>
    </row>
    <row r="213" spans="1:35" s="69" customFormat="1" ht="58.5" x14ac:dyDescent="0.3">
      <c r="A213" s="130" t="s">
        <v>545</v>
      </c>
      <c r="B213" s="131" t="s">
        <v>546</v>
      </c>
      <c r="C213" s="132" t="s">
        <v>81</v>
      </c>
      <c r="D213" s="133">
        <v>54</v>
      </c>
      <c r="E213" s="75"/>
      <c r="F213" s="75"/>
      <c r="G213" s="75"/>
      <c r="H213" s="75" t="s">
        <v>15</v>
      </c>
      <c r="I213" s="75">
        <v>1478.05</v>
      </c>
      <c r="J213" s="75">
        <v>79814.7</v>
      </c>
      <c r="K213" s="91" t="s">
        <v>547</v>
      </c>
      <c r="L213" s="73"/>
      <c r="M213" s="46">
        <v>33</v>
      </c>
      <c r="N213" s="46">
        <v>22170.75</v>
      </c>
      <c r="O213" s="46">
        <v>48775.65</v>
      </c>
      <c r="P213" s="98"/>
      <c r="Q213" s="23" t="s">
        <v>1406</v>
      </c>
      <c r="R213" s="24" t="s">
        <v>546</v>
      </c>
      <c r="S213" s="25" t="s">
        <v>81</v>
      </c>
      <c r="T213" s="26">
        <v>54</v>
      </c>
      <c r="U213" s="26">
        <v>54</v>
      </c>
      <c r="V213" s="26">
        <v>1478.05</v>
      </c>
      <c r="W213" s="243">
        <f t="shared" si="39"/>
        <v>0</v>
      </c>
      <c r="X213" s="127">
        <f t="shared" si="35"/>
        <v>33</v>
      </c>
      <c r="Y213" s="127">
        <f t="shared" si="40"/>
        <v>0</v>
      </c>
      <c r="Z213" s="127">
        <f t="shared" si="44"/>
        <v>48775.65</v>
      </c>
      <c r="AA213" s="33" t="s">
        <v>15</v>
      </c>
      <c r="AB213" s="36" t="s">
        <v>16</v>
      </c>
      <c r="AC213" s="181">
        <f t="shared" si="41"/>
        <v>54</v>
      </c>
      <c r="AD213" s="181">
        <f t="shared" si="37"/>
        <v>79814.7</v>
      </c>
      <c r="AE213" s="181">
        <v>1.5</v>
      </c>
      <c r="AF213" s="181">
        <v>1.5</v>
      </c>
      <c r="AG213" s="101" t="str">
        <f t="shared" si="42"/>
        <v/>
      </c>
      <c r="AH213" s="191">
        <f>18+15</f>
        <v>33</v>
      </c>
      <c r="AI213" s="69">
        <f t="shared" si="43"/>
        <v>54</v>
      </c>
    </row>
    <row r="214" spans="1:35" s="69" customFormat="1" ht="49.5" x14ac:dyDescent="0.3">
      <c r="A214" s="130" t="s">
        <v>548</v>
      </c>
      <c r="B214" s="240" t="s">
        <v>549</v>
      </c>
      <c r="C214" s="132" t="s">
        <v>30</v>
      </c>
      <c r="D214" s="133">
        <v>170</v>
      </c>
      <c r="E214" s="75"/>
      <c r="F214" s="75"/>
      <c r="G214" s="75"/>
      <c r="H214" s="75" t="s">
        <v>15</v>
      </c>
      <c r="I214" s="75">
        <v>151.72</v>
      </c>
      <c r="J214" s="75">
        <v>25792.400000000001</v>
      </c>
      <c r="K214" s="91" t="s">
        <v>550</v>
      </c>
      <c r="L214" s="73"/>
      <c r="M214" s="46">
        <v>91</v>
      </c>
      <c r="N214" s="46">
        <v>8344.6</v>
      </c>
      <c r="O214" s="46">
        <v>13806.52</v>
      </c>
      <c r="P214" s="98"/>
      <c r="Q214" s="23" t="s">
        <v>1414</v>
      </c>
      <c r="R214" s="24" t="s">
        <v>549</v>
      </c>
      <c r="S214" s="25" t="s">
        <v>30</v>
      </c>
      <c r="T214" s="26">
        <v>170</v>
      </c>
      <c r="U214" s="26">
        <v>170</v>
      </c>
      <c r="V214" s="26">
        <v>151.72</v>
      </c>
      <c r="W214" s="243">
        <f t="shared" si="39"/>
        <v>0</v>
      </c>
      <c r="X214" s="127">
        <f t="shared" si="35"/>
        <v>91</v>
      </c>
      <c r="Y214" s="127">
        <f t="shared" si="40"/>
        <v>0</v>
      </c>
      <c r="Z214" s="127">
        <f t="shared" si="44"/>
        <v>13806.52</v>
      </c>
      <c r="AA214" s="33" t="s">
        <v>15</v>
      </c>
      <c r="AB214" s="36" t="s">
        <v>16</v>
      </c>
      <c r="AC214" s="181">
        <f t="shared" si="41"/>
        <v>170</v>
      </c>
      <c r="AD214" s="181">
        <f t="shared" si="37"/>
        <v>25792.400000000001</v>
      </c>
      <c r="AE214" s="181">
        <v>1.5</v>
      </c>
      <c r="AF214" s="181">
        <v>1.5</v>
      </c>
      <c r="AG214" s="101" t="str">
        <f t="shared" si="42"/>
        <v/>
      </c>
      <c r="AH214" s="191">
        <f>36+55</f>
        <v>91</v>
      </c>
      <c r="AI214" s="69">
        <f t="shared" si="43"/>
        <v>170</v>
      </c>
    </row>
    <row r="215" spans="1:35" s="69" customFormat="1" ht="33" x14ac:dyDescent="0.3">
      <c r="A215" s="55" t="s">
        <v>551</v>
      </c>
      <c r="B215" s="138" t="s">
        <v>552</v>
      </c>
      <c r="C215" s="54" t="s">
        <v>325</v>
      </c>
      <c r="D215" s="75">
        <v>4</v>
      </c>
      <c r="E215" s="75"/>
      <c r="F215" s="75"/>
      <c r="G215" s="75"/>
      <c r="H215" s="75">
        <v>6</v>
      </c>
      <c r="I215" s="75">
        <v>15779.6</v>
      </c>
      <c r="J215" s="75">
        <v>94677.6</v>
      </c>
      <c r="K215" s="91" t="s">
        <v>553</v>
      </c>
      <c r="L215" s="73"/>
      <c r="M215" s="46">
        <v>4</v>
      </c>
      <c r="N215" s="46">
        <v>31559.200000000001</v>
      </c>
      <c r="O215" s="46">
        <v>63118.400000000001</v>
      </c>
      <c r="P215" s="98"/>
      <c r="Q215" s="23" t="s">
        <v>1429</v>
      </c>
      <c r="R215" s="24" t="s">
        <v>552</v>
      </c>
      <c r="S215" s="25" t="s">
        <v>325</v>
      </c>
      <c r="T215" s="26">
        <v>4</v>
      </c>
      <c r="U215" s="26">
        <v>6</v>
      </c>
      <c r="V215" s="26">
        <v>15779.6</v>
      </c>
      <c r="W215" s="243">
        <f t="shared" si="39"/>
        <v>0</v>
      </c>
      <c r="X215" s="26">
        <f t="shared" si="35"/>
        <v>4</v>
      </c>
      <c r="Y215" s="26">
        <f t="shared" si="40"/>
        <v>0</v>
      </c>
      <c r="Z215" s="26">
        <f t="shared" si="44"/>
        <v>63118.400000000001</v>
      </c>
      <c r="AA215" s="33" t="s">
        <v>15</v>
      </c>
      <c r="AB215" s="36" t="s">
        <v>16</v>
      </c>
      <c r="AC215" s="181">
        <f t="shared" si="41"/>
        <v>6</v>
      </c>
      <c r="AD215" s="181">
        <f t="shared" si="37"/>
        <v>94677.6</v>
      </c>
      <c r="AE215" s="181">
        <v>1.5</v>
      </c>
      <c r="AF215" s="181">
        <v>1.5</v>
      </c>
      <c r="AG215" s="101" t="str">
        <f t="shared" si="42"/>
        <v/>
      </c>
      <c r="AH215" s="191">
        <f>2+2</f>
        <v>4</v>
      </c>
      <c r="AI215" s="69">
        <f t="shared" si="43"/>
        <v>4</v>
      </c>
    </row>
    <row r="216" spans="1:35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 t="s">
        <v>15</v>
      </c>
      <c r="I216" s="75">
        <v>138.84</v>
      </c>
      <c r="J216" s="75">
        <v>62894.52</v>
      </c>
      <c r="K216" s="91" t="s">
        <v>190</v>
      </c>
      <c r="L216" s="73"/>
      <c r="M216" s="46">
        <v>376</v>
      </c>
      <c r="N216" s="46">
        <v>12634.439999999995</v>
      </c>
      <c r="O216" s="46">
        <v>52203.839999999997</v>
      </c>
      <c r="P216" s="98"/>
      <c r="Q216" s="23" t="s">
        <v>1430</v>
      </c>
      <c r="R216" s="24" t="s">
        <v>189</v>
      </c>
      <c r="S216" s="25" t="s">
        <v>30</v>
      </c>
      <c r="T216" s="26">
        <v>453</v>
      </c>
      <c r="U216" s="26">
        <v>453</v>
      </c>
      <c r="V216" s="26">
        <v>138.84</v>
      </c>
      <c r="W216" s="243">
        <f t="shared" si="39"/>
        <v>0</v>
      </c>
      <c r="X216" s="26">
        <f t="shared" si="35"/>
        <v>376</v>
      </c>
      <c r="Y216" s="26">
        <f t="shared" si="40"/>
        <v>0</v>
      </c>
      <c r="Z216" s="26">
        <f t="shared" si="44"/>
        <v>52203.839999999997</v>
      </c>
      <c r="AA216" s="33" t="s">
        <v>15</v>
      </c>
      <c r="AB216" s="36" t="s">
        <v>16</v>
      </c>
      <c r="AC216" s="181">
        <f t="shared" si="41"/>
        <v>453</v>
      </c>
      <c r="AD216" s="181">
        <f t="shared" si="37"/>
        <v>62894.52</v>
      </c>
      <c r="AE216" s="181">
        <v>1.5</v>
      </c>
      <c r="AF216" s="181">
        <v>1.5</v>
      </c>
      <c r="AG216" s="101" t="str">
        <f t="shared" si="42"/>
        <v/>
      </c>
      <c r="AH216" s="191">
        <f>285+91</f>
        <v>376</v>
      </c>
      <c r="AI216" s="69">
        <f t="shared" si="43"/>
        <v>453</v>
      </c>
    </row>
    <row r="217" spans="1:35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 t="s">
        <v>15</v>
      </c>
      <c r="I217" s="75">
        <v>326.3</v>
      </c>
      <c r="J217" s="75">
        <v>548184</v>
      </c>
      <c r="K217" s="91" t="s">
        <v>521</v>
      </c>
      <c r="L217" s="73"/>
      <c r="M217" s="46">
        <v>1298</v>
      </c>
      <c r="N217" s="46">
        <v>118120.60000000003</v>
      </c>
      <c r="O217" s="46">
        <v>423537.4</v>
      </c>
      <c r="P217" s="98"/>
      <c r="Q217" s="23" t="s">
        <v>1431</v>
      </c>
      <c r="R217" s="24" t="s">
        <v>520</v>
      </c>
      <c r="S217" s="25" t="s">
        <v>30</v>
      </c>
      <c r="T217" s="26">
        <v>1680</v>
      </c>
      <c r="U217" s="26">
        <v>1680</v>
      </c>
      <c r="V217" s="26">
        <v>326.3</v>
      </c>
      <c r="W217" s="243">
        <f t="shared" si="39"/>
        <v>0</v>
      </c>
      <c r="X217" s="26">
        <f t="shared" si="35"/>
        <v>1298</v>
      </c>
      <c r="Y217" s="26">
        <f t="shared" si="40"/>
        <v>0</v>
      </c>
      <c r="Z217" s="26">
        <f t="shared" si="44"/>
        <v>423537.4</v>
      </c>
      <c r="AA217" s="33" t="s">
        <v>15</v>
      </c>
      <c r="AB217" s="36" t="s">
        <v>16</v>
      </c>
      <c r="AC217" s="181">
        <f t="shared" si="41"/>
        <v>1680</v>
      </c>
      <c r="AD217" s="181">
        <f t="shared" si="37"/>
        <v>548184</v>
      </c>
      <c r="AE217" s="181">
        <v>1.5</v>
      </c>
      <c r="AF217" s="181">
        <v>1.5</v>
      </c>
      <c r="AG217" s="101" t="str">
        <f t="shared" si="42"/>
        <v/>
      </c>
      <c r="AH217" s="191">
        <f>936+362</f>
        <v>1298</v>
      </c>
      <c r="AI217" s="69">
        <f t="shared" si="43"/>
        <v>1680</v>
      </c>
    </row>
    <row r="218" spans="1:35" s="69" customFormat="1" ht="39" x14ac:dyDescent="0.3">
      <c r="A218" s="130" t="s">
        <v>556</v>
      </c>
      <c r="B218" s="131" t="s">
        <v>424</v>
      </c>
      <c r="C218" s="132" t="s">
        <v>50</v>
      </c>
      <c r="D218" s="133">
        <v>756</v>
      </c>
      <c r="E218" s="75"/>
      <c r="F218" s="75"/>
      <c r="G218" s="75"/>
      <c r="H218" s="75" t="s">
        <v>15</v>
      </c>
      <c r="I218" s="75">
        <v>692.16</v>
      </c>
      <c r="J218" s="75">
        <v>523272.96000000002</v>
      </c>
      <c r="K218" s="91" t="s">
        <v>425</v>
      </c>
      <c r="L218" s="73"/>
      <c r="M218" s="46">
        <v>756</v>
      </c>
      <c r="N218" s="46">
        <v>0</v>
      </c>
      <c r="O218" s="46">
        <v>523272.96000000002</v>
      </c>
      <c r="P218" s="98"/>
      <c r="Q218" s="23" t="s">
        <v>1395</v>
      </c>
      <c r="R218" s="24" t="s">
        <v>424</v>
      </c>
      <c r="S218" s="25" t="s">
        <v>50</v>
      </c>
      <c r="T218" s="26">
        <v>756</v>
      </c>
      <c r="U218" s="26">
        <v>756</v>
      </c>
      <c r="V218" s="26">
        <v>692.16</v>
      </c>
      <c r="W218" s="127">
        <f t="shared" si="39"/>
        <v>0</v>
      </c>
      <c r="X218" s="127">
        <f t="shared" si="35"/>
        <v>756</v>
      </c>
      <c r="Y218" s="127">
        <f t="shared" si="40"/>
        <v>0</v>
      </c>
      <c r="Z218" s="127">
        <f t="shared" si="44"/>
        <v>523272.96000000002</v>
      </c>
      <c r="AA218" s="33" t="s">
        <v>15</v>
      </c>
      <c r="AB218" s="36" t="s">
        <v>16</v>
      </c>
      <c r="AC218" s="181">
        <f t="shared" si="41"/>
        <v>756</v>
      </c>
      <c r="AD218" s="181">
        <f t="shared" si="37"/>
        <v>523272.96000000002</v>
      </c>
      <c r="AE218" s="181">
        <v>1.5</v>
      </c>
      <c r="AF218" s="181">
        <v>1.5</v>
      </c>
      <c r="AG218" s="101" t="str">
        <f t="shared" si="42"/>
        <v/>
      </c>
      <c r="AH218" s="191">
        <v>756</v>
      </c>
      <c r="AI218" s="69">
        <f t="shared" si="43"/>
        <v>756</v>
      </c>
    </row>
    <row r="219" spans="1:35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 t="s">
        <v>15</v>
      </c>
      <c r="I219" s="75">
        <v>422.3</v>
      </c>
      <c r="J219" s="75">
        <v>13513.6</v>
      </c>
      <c r="K219" s="91" t="s">
        <v>560</v>
      </c>
      <c r="L219" s="73"/>
      <c r="M219" s="46">
        <v>0</v>
      </c>
      <c r="N219" s="46">
        <v>0</v>
      </c>
      <c r="O219" s="46">
        <v>0</v>
      </c>
      <c r="P219" s="98"/>
      <c r="Q219" s="23" t="s">
        <v>1432</v>
      </c>
      <c r="R219" s="24" t="s">
        <v>558</v>
      </c>
      <c r="S219" s="25" t="s">
        <v>559</v>
      </c>
      <c r="T219" s="26">
        <v>32</v>
      </c>
      <c r="U219" s="26">
        <v>32</v>
      </c>
      <c r="V219" s="26">
        <v>422.3</v>
      </c>
      <c r="W219" s="26">
        <f t="shared" si="39"/>
        <v>0</v>
      </c>
      <c r="X219" s="26">
        <f t="shared" si="35"/>
        <v>0</v>
      </c>
      <c r="Y219" s="26">
        <f t="shared" si="40"/>
        <v>0</v>
      </c>
      <c r="Z219" s="26">
        <f t="shared" si="44"/>
        <v>0</v>
      </c>
      <c r="AA219" s="33" t="s">
        <v>15</v>
      </c>
      <c r="AB219" s="36" t="s">
        <v>16</v>
      </c>
      <c r="AC219" s="181">
        <f t="shared" si="41"/>
        <v>32</v>
      </c>
      <c r="AD219" s="181">
        <f t="shared" si="37"/>
        <v>13513.6</v>
      </c>
      <c r="AE219" s="181">
        <v>1.5</v>
      </c>
      <c r="AF219" s="181">
        <v>1.5</v>
      </c>
      <c r="AG219" s="101" t="str">
        <f t="shared" si="42"/>
        <v/>
      </c>
      <c r="AH219" s="190">
        <v>0</v>
      </c>
      <c r="AI219" s="69">
        <f t="shared" si="43"/>
        <v>32</v>
      </c>
    </row>
    <row r="220" spans="1:35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 t="s">
        <v>15</v>
      </c>
      <c r="I220" s="82"/>
      <c r="J220" s="82">
        <v>13861675.58</v>
      </c>
      <c r="K220" s="94" t="s">
        <v>15</v>
      </c>
      <c r="L220" s="73"/>
      <c r="M220" s="45">
        <v>1</v>
      </c>
      <c r="N220" s="45">
        <v>418994.96</v>
      </c>
      <c r="O220" s="45">
        <v>7982143.0199999986</v>
      </c>
      <c r="P220" s="98"/>
      <c r="Q220" s="18" t="s">
        <v>1394</v>
      </c>
      <c r="R220" s="19" t="s">
        <v>562</v>
      </c>
      <c r="S220" s="20" t="s">
        <v>14</v>
      </c>
      <c r="T220" s="21">
        <v>1</v>
      </c>
      <c r="U220" s="21"/>
      <c r="V220" s="21">
        <f>SUMIFS(AD:AD,AE:AE,AE220)</f>
        <v>13861675.579999998</v>
      </c>
      <c r="W220" s="21">
        <f t="shared" ref="W220:X220" si="45">IF(Y220=0,0,1)</f>
        <v>0</v>
      </c>
      <c r="X220" s="21">
        <f t="shared" si="45"/>
        <v>1</v>
      </c>
      <c r="Y220" s="21">
        <f>SUMIFS(Y:Y,AF:AF,AE220)</f>
        <v>0</v>
      </c>
      <c r="Z220" s="21">
        <f>SUMIFS(Z:Z,AF:AF,AE220)</f>
        <v>7982143.0199999986</v>
      </c>
      <c r="AA220" s="22" t="s">
        <v>15</v>
      </c>
      <c r="AB220" s="43" t="s">
        <v>16</v>
      </c>
      <c r="AC220" s="181">
        <f t="shared" si="41"/>
        <v>1</v>
      </c>
      <c r="AD220" s="184"/>
      <c r="AE220" s="184">
        <v>1.6</v>
      </c>
      <c r="AF220" s="184"/>
      <c r="AG220" s="101" t="str">
        <f t="shared" si="42"/>
        <v/>
      </c>
      <c r="AH220" s="190">
        <v>1</v>
      </c>
      <c r="AI220" s="69">
        <f t="shared" si="43"/>
        <v>1</v>
      </c>
    </row>
    <row r="221" spans="1:35" s="69" customFormat="1" ht="58.5" x14ac:dyDescent="0.3">
      <c r="A221" s="55" t="s">
        <v>563</v>
      </c>
      <c r="B221" s="53" t="s">
        <v>564</v>
      </c>
      <c r="C221" s="54" t="s">
        <v>23</v>
      </c>
      <c r="D221" s="75">
        <v>256</v>
      </c>
      <c r="E221" s="75"/>
      <c r="F221" s="75"/>
      <c r="G221" s="75"/>
      <c r="H221" s="75">
        <v>380.68</v>
      </c>
      <c r="I221" s="75">
        <v>7517.56</v>
      </c>
      <c r="J221" s="75">
        <v>2861784.74</v>
      </c>
      <c r="K221" s="91" t="s">
        <v>565</v>
      </c>
      <c r="L221" s="73"/>
      <c r="M221" s="46">
        <v>144.1</v>
      </c>
      <c r="N221" s="46">
        <v>0</v>
      </c>
      <c r="O221" s="46">
        <v>1083280.3999999999</v>
      </c>
      <c r="P221" s="98"/>
      <c r="Q221" s="23" t="s">
        <v>1421</v>
      </c>
      <c r="R221" s="24" t="s">
        <v>564</v>
      </c>
      <c r="S221" s="25" t="s">
        <v>23</v>
      </c>
      <c r="T221" s="26">
        <v>256</v>
      </c>
      <c r="U221" s="26">
        <v>380.68</v>
      </c>
      <c r="V221" s="26">
        <v>7517.56</v>
      </c>
      <c r="W221" s="128">
        <f t="shared" ref="W221:W236" si="46">AH221-M221</f>
        <v>0</v>
      </c>
      <c r="X221" s="26">
        <f t="shared" si="35"/>
        <v>144.1</v>
      </c>
      <c r="Y221" s="26">
        <f t="shared" ref="Y221:Y236" si="47">Z221-O221</f>
        <v>0</v>
      </c>
      <c r="Z221" s="26">
        <f t="shared" si="44"/>
        <v>1083280.3999999999</v>
      </c>
      <c r="AA221" s="33" t="s">
        <v>15</v>
      </c>
      <c r="AB221" s="36" t="s">
        <v>16</v>
      </c>
      <c r="AC221" s="181">
        <f t="shared" si="41"/>
        <v>380.68</v>
      </c>
      <c r="AD221" s="181">
        <f t="shared" ref="AD221:AD236" si="48">ROUND(V221*AC221,2)</f>
        <v>2861784.74</v>
      </c>
      <c r="AE221" s="181">
        <v>1.6</v>
      </c>
      <c r="AF221" s="181">
        <v>1.6</v>
      </c>
      <c r="AG221" s="101" t="str">
        <f t="shared" si="42"/>
        <v/>
      </c>
      <c r="AH221" s="191">
        <v>144.1</v>
      </c>
      <c r="AI221" s="69">
        <f t="shared" si="43"/>
        <v>256</v>
      </c>
    </row>
    <row r="222" spans="1:35" s="69" customFormat="1" ht="58.5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917.25</v>
      </c>
      <c r="I222" s="75">
        <v>7496.96</v>
      </c>
      <c r="J222" s="75">
        <v>6876586.5599999996</v>
      </c>
      <c r="K222" s="91" t="s">
        <v>568</v>
      </c>
      <c r="L222" s="73"/>
      <c r="M222" s="46">
        <v>437.3</v>
      </c>
      <c r="N222" s="46">
        <v>0</v>
      </c>
      <c r="O222" s="46">
        <v>3278420.61</v>
      </c>
      <c r="P222" s="98"/>
      <c r="Q222" s="23" t="s">
        <v>1426</v>
      </c>
      <c r="R222" s="24" t="s">
        <v>567</v>
      </c>
      <c r="S222" s="25" t="s">
        <v>23</v>
      </c>
      <c r="T222" s="26">
        <v>766</v>
      </c>
      <c r="U222" s="26">
        <v>917.25</v>
      </c>
      <c r="V222" s="26">
        <v>7496.96</v>
      </c>
      <c r="W222" s="128">
        <f t="shared" si="46"/>
        <v>0</v>
      </c>
      <c r="X222" s="26">
        <f t="shared" si="35"/>
        <v>437.3</v>
      </c>
      <c r="Y222" s="26">
        <f t="shared" si="47"/>
        <v>0</v>
      </c>
      <c r="Z222" s="26">
        <f t="shared" si="44"/>
        <v>3278420.61</v>
      </c>
      <c r="AA222" s="33" t="s">
        <v>15</v>
      </c>
      <c r="AB222" s="36" t="s">
        <v>16</v>
      </c>
      <c r="AC222" s="181">
        <f t="shared" si="41"/>
        <v>917.25</v>
      </c>
      <c r="AD222" s="181">
        <f t="shared" si="48"/>
        <v>6876586.5599999996</v>
      </c>
      <c r="AE222" s="181">
        <v>1.6</v>
      </c>
      <c r="AF222" s="181">
        <v>1.6</v>
      </c>
      <c r="AG222" s="101" t="str">
        <f t="shared" si="42"/>
        <v/>
      </c>
      <c r="AH222" s="191">
        <v>437.3</v>
      </c>
      <c r="AI222" s="69">
        <f t="shared" si="43"/>
        <v>766</v>
      </c>
    </row>
    <row r="223" spans="1:35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 t="s">
        <v>15</v>
      </c>
      <c r="I223" s="75">
        <v>11.6</v>
      </c>
      <c r="J223" s="75">
        <v>59194.8</v>
      </c>
      <c r="K223" s="91" t="s">
        <v>571</v>
      </c>
      <c r="L223" s="73"/>
      <c r="M223" s="46">
        <v>798</v>
      </c>
      <c r="N223" s="46">
        <v>0</v>
      </c>
      <c r="O223" s="46">
        <v>9256.7999999999993</v>
      </c>
      <c r="P223" s="98"/>
      <c r="Q223" s="23" t="s">
        <v>1402</v>
      </c>
      <c r="R223" s="24" t="s">
        <v>570</v>
      </c>
      <c r="S223" s="25" t="s">
        <v>50</v>
      </c>
      <c r="T223" s="26">
        <v>5103</v>
      </c>
      <c r="U223" s="26">
        <v>5103</v>
      </c>
      <c r="V223" s="26">
        <v>11.6</v>
      </c>
      <c r="W223" s="128">
        <f t="shared" si="46"/>
        <v>0</v>
      </c>
      <c r="X223" s="26">
        <f t="shared" si="35"/>
        <v>798</v>
      </c>
      <c r="Y223" s="26">
        <f t="shared" si="47"/>
        <v>0</v>
      </c>
      <c r="Z223" s="26">
        <f t="shared" si="44"/>
        <v>9256.7999999999993</v>
      </c>
      <c r="AA223" s="33" t="s">
        <v>15</v>
      </c>
      <c r="AB223" s="36" t="s">
        <v>16</v>
      </c>
      <c r="AC223" s="181">
        <f t="shared" si="41"/>
        <v>5103</v>
      </c>
      <c r="AD223" s="181">
        <f t="shared" si="48"/>
        <v>59194.8</v>
      </c>
      <c r="AE223" s="181">
        <v>1.6</v>
      </c>
      <c r="AF223" s="181">
        <v>1.6</v>
      </c>
      <c r="AG223" s="101" t="str">
        <f t="shared" si="42"/>
        <v/>
      </c>
      <c r="AH223" s="191">
        <v>798</v>
      </c>
      <c r="AI223" s="69">
        <f t="shared" si="43"/>
        <v>5103</v>
      </c>
    </row>
    <row r="224" spans="1:35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6734.4</v>
      </c>
      <c r="I224" s="75">
        <v>42.46</v>
      </c>
      <c r="J224" s="75">
        <v>285942.62</v>
      </c>
      <c r="K224" s="91" t="s">
        <v>574</v>
      </c>
      <c r="L224" s="73"/>
      <c r="M224" s="46">
        <v>2381</v>
      </c>
      <c r="N224" s="46">
        <v>0</v>
      </c>
      <c r="O224" s="46">
        <v>101097.26</v>
      </c>
      <c r="P224" s="98"/>
      <c r="Q224" s="23" t="s">
        <v>1373</v>
      </c>
      <c r="R224" s="24" t="s">
        <v>573</v>
      </c>
      <c r="S224" s="25" t="s">
        <v>50</v>
      </c>
      <c r="T224" s="26">
        <v>5103</v>
      </c>
      <c r="U224" s="26">
        <v>6734.4</v>
      </c>
      <c r="V224" s="26">
        <v>42.46</v>
      </c>
      <c r="W224" s="128">
        <f t="shared" si="46"/>
        <v>0</v>
      </c>
      <c r="X224" s="26">
        <f t="shared" si="35"/>
        <v>2381</v>
      </c>
      <c r="Y224" s="26">
        <f t="shared" si="47"/>
        <v>0</v>
      </c>
      <c r="Z224" s="26">
        <f t="shared" si="44"/>
        <v>101097.26</v>
      </c>
      <c r="AA224" s="33" t="s">
        <v>15</v>
      </c>
      <c r="AB224" s="36" t="s">
        <v>16</v>
      </c>
      <c r="AC224" s="181">
        <f t="shared" si="41"/>
        <v>6734.4</v>
      </c>
      <c r="AD224" s="181">
        <f t="shared" si="48"/>
        <v>285942.62</v>
      </c>
      <c r="AE224" s="181">
        <v>1.6</v>
      </c>
      <c r="AF224" s="181">
        <v>1.6</v>
      </c>
      <c r="AG224" s="101" t="str">
        <f t="shared" si="42"/>
        <v/>
      </c>
      <c r="AH224" s="191">
        <v>2381</v>
      </c>
      <c r="AI224" s="69">
        <f t="shared" si="43"/>
        <v>5103</v>
      </c>
    </row>
    <row r="225" spans="1:35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19027.2</v>
      </c>
      <c r="I225" s="75">
        <v>15.96</v>
      </c>
      <c r="J225" s="75">
        <v>303674.11</v>
      </c>
      <c r="K225" s="91" t="s">
        <v>577</v>
      </c>
      <c r="L225" s="73"/>
      <c r="M225" s="46">
        <v>7986</v>
      </c>
      <c r="N225" s="46">
        <v>0</v>
      </c>
      <c r="O225" s="46">
        <v>127456.56</v>
      </c>
      <c r="P225" s="98"/>
      <c r="Q225" s="23" t="s">
        <v>1393</v>
      </c>
      <c r="R225" s="24" t="s">
        <v>576</v>
      </c>
      <c r="S225" s="25" t="s">
        <v>50</v>
      </c>
      <c r="T225" s="26">
        <v>15307</v>
      </c>
      <c r="U225" s="26">
        <v>19027.2</v>
      </c>
      <c r="V225" s="26">
        <v>15.96</v>
      </c>
      <c r="W225" s="128">
        <f t="shared" si="46"/>
        <v>0</v>
      </c>
      <c r="X225" s="26">
        <f t="shared" si="35"/>
        <v>7986</v>
      </c>
      <c r="Y225" s="26">
        <f t="shared" si="47"/>
        <v>0</v>
      </c>
      <c r="Z225" s="26">
        <f t="shared" si="44"/>
        <v>127456.56</v>
      </c>
      <c r="AA225" s="33" t="s">
        <v>15</v>
      </c>
      <c r="AB225" s="36" t="s">
        <v>16</v>
      </c>
      <c r="AC225" s="181">
        <f t="shared" si="41"/>
        <v>19027.2</v>
      </c>
      <c r="AD225" s="181">
        <f t="shared" si="48"/>
        <v>303674.11</v>
      </c>
      <c r="AE225" s="181">
        <v>1.6</v>
      </c>
      <c r="AF225" s="181">
        <v>1.6</v>
      </c>
      <c r="AG225" s="101" t="str">
        <f t="shared" si="42"/>
        <v/>
      </c>
      <c r="AH225" s="191">
        <v>7986</v>
      </c>
      <c r="AI225" s="69">
        <f t="shared" si="43"/>
        <v>15307</v>
      </c>
    </row>
    <row r="226" spans="1:35" s="69" customFormat="1" ht="39" x14ac:dyDescent="0.3">
      <c r="A226" s="130" t="s">
        <v>578</v>
      </c>
      <c r="B226" s="131" t="s">
        <v>392</v>
      </c>
      <c r="C226" s="132" t="s">
        <v>23</v>
      </c>
      <c r="D226" s="133">
        <v>24</v>
      </c>
      <c r="E226" s="75"/>
      <c r="F226" s="75"/>
      <c r="G226" s="75"/>
      <c r="H226" s="75" t="s">
        <v>15</v>
      </c>
      <c r="I226" s="75">
        <v>3115.13</v>
      </c>
      <c r="J226" s="75">
        <v>74763.12</v>
      </c>
      <c r="K226" s="91" t="s">
        <v>114</v>
      </c>
      <c r="L226" s="73"/>
      <c r="M226" s="46">
        <v>24</v>
      </c>
      <c r="N226" s="46">
        <v>0</v>
      </c>
      <c r="O226" s="46">
        <v>74763.12</v>
      </c>
      <c r="P226" s="98"/>
      <c r="Q226" s="23" t="s">
        <v>1403</v>
      </c>
      <c r="R226" s="24" t="s">
        <v>392</v>
      </c>
      <c r="S226" s="25" t="s">
        <v>23</v>
      </c>
      <c r="T226" s="26">
        <v>24</v>
      </c>
      <c r="U226" s="26">
        <v>24</v>
      </c>
      <c r="V226" s="26">
        <v>3115.13</v>
      </c>
      <c r="W226" s="127">
        <f t="shared" si="46"/>
        <v>0</v>
      </c>
      <c r="X226" s="127">
        <f t="shared" si="35"/>
        <v>24</v>
      </c>
      <c r="Y226" s="127">
        <f t="shared" si="47"/>
        <v>0</v>
      </c>
      <c r="Z226" s="127">
        <f t="shared" si="44"/>
        <v>74763.12</v>
      </c>
      <c r="AA226" s="33" t="s">
        <v>15</v>
      </c>
      <c r="AB226" s="36" t="s">
        <v>16</v>
      </c>
      <c r="AC226" s="181">
        <f t="shared" si="41"/>
        <v>24</v>
      </c>
      <c r="AD226" s="181">
        <f t="shared" si="48"/>
        <v>74763.12</v>
      </c>
      <c r="AE226" s="181">
        <v>1.6</v>
      </c>
      <c r="AF226" s="181">
        <v>1.6</v>
      </c>
      <c r="AG226" s="101" t="str">
        <f t="shared" si="42"/>
        <v/>
      </c>
      <c r="AH226" s="191">
        <f>5+19</f>
        <v>24</v>
      </c>
      <c r="AI226" s="69">
        <f t="shared" si="43"/>
        <v>24</v>
      </c>
    </row>
    <row r="227" spans="1:35" s="69" customFormat="1" ht="39" x14ac:dyDescent="0.3">
      <c r="A227" s="130" t="s">
        <v>579</v>
      </c>
      <c r="B227" s="131" t="s">
        <v>116</v>
      </c>
      <c r="C227" s="132" t="s">
        <v>23</v>
      </c>
      <c r="D227" s="133">
        <v>237</v>
      </c>
      <c r="E227" s="75"/>
      <c r="F227" s="75"/>
      <c r="G227" s="75"/>
      <c r="H227" s="75" t="s">
        <v>15</v>
      </c>
      <c r="I227" s="75">
        <v>3321.13</v>
      </c>
      <c r="J227" s="75">
        <v>787107.81</v>
      </c>
      <c r="K227" s="91" t="s">
        <v>117</v>
      </c>
      <c r="L227" s="73"/>
      <c r="M227" s="46">
        <v>237</v>
      </c>
      <c r="N227" s="46">
        <v>43340.75</v>
      </c>
      <c r="O227" s="46">
        <v>787107.81</v>
      </c>
      <c r="P227" s="98"/>
      <c r="Q227" s="23" t="s">
        <v>1427</v>
      </c>
      <c r="R227" s="24" t="s">
        <v>116</v>
      </c>
      <c r="S227" s="25" t="s">
        <v>23</v>
      </c>
      <c r="T227" s="26">
        <v>237</v>
      </c>
      <c r="U227" s="26">
        <v>237</v>
      </c>
      <c r="V227" s="26">
        <v>3321.13</v>
      </c>
      <c r="W227" s="209">
        <f t="shared" si="46"/>
        <v>0</v>
      </c>
      <c r="X227" s="127">
        <f t="shared" si="35"/>
        <v>237</v>
      </c>
      <c r="Y227" s="127">
        <f t="shared" si="47"/>
        <v>0</v>
      </c>
      <c r="Z227" s="127">
        <f t="shared" si="44"/>
        <v>787107.81</v>
      </c>
      <c r="AA227" s="33" t="s">
        <v>15</v>
      </c>
      <c r="AB227" s="36" t="s">
        <v>16</v>
      </c>
      <c r="AC227" s="181">
        <f t="shared" si="41"/>
        <v>237</v>
      </c>
      <c r="AD227" s="181">
        <f t="shared" si="48"/>
        <v>787107.81</v>
      </c>
      <c r="AE227" s="181">
        <v>1.6</v>
      </c>
      <c r="AF227" s="181">
        <v>1.6</v>
      </c>
      <c r="AG227" s="101" t="str">
        <f t="shared" si="42"/>
        <v/>
      </c>
      <c r="AH227" s="191">
        <f>120.35+103.6+13.05</f>
        <v>237</v>
      </c>
      <c r="AI227" s="69">
        <f t="shared" si="43"/>
        <v>237</v>
      </c>
    </row>
    <row r="228" spans="1:35" s="69" customFormat="1" ht="39" x14ac:dyDescent="0.3">
      <c r="A228" s="130" t="s">
        <v>580</v>
      </c>
      <c r="B228" s="131" t="s">
        <v>493</v>
      </c>
      <c r="C228" s="132" t="s">
        <v>23</v>
      </c>
      <c r="D228" s="133">
        <v>261</v>
      </c>
      <c r="E228" s="75"/>
      <c r="F228" s="75"/>
      <c r="G228" s="75"/>
      <c r="H228" s="75" t="s">
        <v>15</v>
      </c>
      <c r="I228" s="75">
        <v>200</v>
      </c>
      <c r="J228" s="75">
        <v>52200</v>
      </c>
      <c r="K228" s="91" t="s">
        <v>494</v>
      </c>
      <c r="L228" s="73"/>
      <c r="M228" s="46">
        <v>261</v>
      </c>
      <c r="N228" s="46">
        <v>2610</v>
      </c>
      <c r="O228" s="46">
        <v>52200</v>
      </c>
      <c r="P228" s="98"/>
      <c r="Q228" s="23" t="s">
        <v>1428</v>
      </c>
      <c r="R228" s="24" t="s">
        <v>493</v>
      </c>
      <c r="S228" s="25" t="s">
        <v>23</v>
      </c>
      <c r="T228" s="26">
        <v>261</v>
      </c>
      <c r="U228" s="26">
        <v>261</v>
      </c>
      <c r="V228" s="26">
        <v>200</v>
      </c>
      <c r="W228" s="209">
        <f t="shared" si="46"/>
        <v>0</v>
      </c>
      <c r="X228" s="127">
        <f t="shared" si="35"/>
        <v>261</v>
      </c>
      <c r="Y228" s="127">
        <f t="shared" si="47"/>
        <v>0</v>
      </c>
      <c r="Z228" s="127">
        <f t="shared" si="44"/>
        <v>52200</v>
      </c>
      <c r="AA228" s="33" t="s">
        <v>15</v>
      </c>
      <c r="AB228" s="36" t="s">
        <v>16</v>
      </c>
      <c r="AC228" s="181">
        <f t="shared" si="41"/>
        <v>261</v>
      </c>
      <c r="AD228" s="181">
        <f t="shared" si="48"/>
        <v>52200</v>
      </c>
      <c r="AE228" s="181">
        <v>1.6</v>
      </c>
      <c r="AF228" s="181">
        <v>1.6</v>
      </c>
      <c r="AG228" s="101" t="str">
        <f t="shared" si="42"/>
        <v/>
      </c>
      <c r="AH228" s="191">
        <f>AH226+AH227</f>
        <v>261</v>
      </c>
      <c r="AI228" s="69">
        <f t="shared" si="43"/>
        <v>261</v>
      </c>
    </row>
    <row r="229" spans="1:35" s="69" customFormat="1" ht="33" x14ac:dyDescent="0.3">
      <c r="A229" s="130" t="s">
        <v>581</v>
      </c>
      <c r="B229" s="131" t="s">
        <v>582</v>
      </c>
      <c r="C229" s="132" t="s">
        <v>50</v>
      </c>
      <c r="D229" s="133">
        <v>745</v>
      </c>
      <c r="E229" s="75"/>
      <c r="F229" s="75"/>
      <c r="G229" s="75"/>
      <c r="H229" s="75" t="s">
        <v>15</v>
      </c>
      <c r="I229" s="75">
        <v>698.31</v>
      </c>
      <c r="J229" s="75">
        <v>520240.95</v>
      </c>
      <c r="K229" s="91" t="s">
        <v>583</v>
      </c>
      <c r="L229" s="73"/>
      <c r="M229" s="46">
        <v>745</v>
      </c>
      <c r="N229" s="46">
        <v>123600.87</v>
      </c>
      <c r="O229" s="46">
        <v>520240.95</v>
      </c>
      <c r="P229" s="98"/>
      <c r="Q229" s="23" t="s">
        <v>1387</v>
      </c>
      <c r="R229" s="24" t="s">
        <v>582</v>
      </c>
      <c r="S229" s="25" t="s">
        <v>50</v>
      </c>
      <c r="T229" s="26">
        <v>745</v>
      </c>
      <c r="U229" s="26">
        <v>745</v>
      </c>
      <c r="V229" s="26">
        <v>698.31</v>
      </c>
      <c r="W229" s="209">
        <f t="shared" si="46"/>
        <v>0</v>
      </c>
      <c r="X229" s="127">
        <f t="shared" si="35"/>
        <v>745</v>
      </c>
      <c r="Y229" s="127">
        <f t="shared" si="47"/>
        <v>0</v>
      </c>
      <c r="Z229" s="127">
        <f t="shared" si="44"/>
        <v>520240.95</v>
      </c>
      <c r="AA229" s="33" t="s">
        <v>15</v>
      </c>
      <c r="AB229" s="36" t="s">
        <v>16</v>
      </c>
      <c r="AC229" s="181">
        <f t="shared" si="41"/>
        <v>745</v>
      </c>
      <c r="AD229" s="181">
        <f t="shared" si="48"/>
        <v>520240.95</v>
      </c>
      <c r="AE229" s="181">
        <v>1.6</v>
      </c>
      <c r="AF229" s="181">
        <v>1.6</v>
      </c>
      <c r="AG229" s="101" t="str">
        <f t="shared" si="42"/>
        <v/>
      </c>
      <c r="AH229" s="191">
        <f>256+312+177</f>
        <v>745</v>
      </c>
      <c r="AI229" s="69">
        <f t="shared" si="43"/>
        <v>745</v>
      </c>
    </row>
    <row r="230" spans="1:35" s="69" customFormat="1" ht="41.25" x14ac:dyDescent="0.3">
      <c r="A230" s="130" t="s">
        <v>584</v>
      </c>
      <c r="B230" s="131" t="s">
        <v>119</v>
      </c>
      <c r="C230" s="132" t="s">
        <v>50</v>
      </c>
      <c r="D230" s="133">
        <v>915</v>
      </c>
      <c r="E230" s="75"/>
      <c r="F230" s="75"/>
      <c r="G230" s="75"/>
      <c r="H230" s="75" t="s">
        <v>15</v>
      </c>
      <c r="I230" s="75">
        <v>533.64</v>
      </c>
      <c r="J230" s="75">
        <v>488280.6</v>
      </c>
      <c r="K230" s="91" t="s">
        <v>120</v>
      </c>
      <c r="L230" s="73"/>
      <c r="M230" s="46">
        <v>915</v>
      </c>
      <c r="N230" s="46">
        <v>20545.139999999956</v>
      </c>
      <c r="O230" s="46">
        <v>488280.6</v>
      </c>
      <c r="P230" s="98"/>
      <c r="Q230" s="23" t="s">
        <v>1405</v>
      </c>
      <c r="R230" s="24" t="s">
        <v>119</v>
      </c>
      <c r="S230" s="25" t="s">
        <v>50</v>
      </c>
      <c r="T230" s="26">
        <v>915</v>
      </c>
      <c r="U230" s="26">
        <v>915</v>
      </c>
      <c r="V230" s="26">
        <v>533.64</v>
      </c>
      <c r="W230" s="209">
        <f t="shared" si="46"/>
        <v>0</v>
      </c>
      <c r="X230" s="127">
        <f t="shared" si="35"/>
        <v>915</v>
      </c>
      <c r="Y230" s="127">
        <f t="shared" si="47"/>
        <v>0</v>
      </c>
      <c r="Z230" s="127">
        <f t="shared" si="44"/>
        <v>488280.6</v>
      </c>
      <c r="AA230" s="33" t="s">
        <v>15</v>
      </c>
      <c r="AB230" s="36" t="s">
        <v>16</v>
      </c>
      <c r="AC230" s="181">
        <f t="shared" si="41"/>
        <v>915</v>
      </c>
      <c r="AD230" s="181">
        <f t="shared" si="48"/>
        <v>488280.6</v>
      </c>
      <c r="AE230" s="181">
        <v>1.6</v>
      </c>
      <c r="AF230" s="181">
        <v>1.6</v>
      </c>
      <c r="AG230" s="101" t="str">
        <f t="shared" si="42"/>
        <v/>
      </c>
      <c r="AH230" s="191">
        <f>254.5+622+38.5</f>
        <v>915</v>
      </c>
      <c r="AI230" s="69">
        <f t="shared" si="43"/>
        <v>915</v>
      </c>
    </row>
    <row r="231" spans="1:35" s="69" customFormat="1" ht="33" x14ac:dyDescent="0.3">
      <c r="A231" s="130" t="s">
        <v>585</v>
      </c>
      <c r="B231" s="131" t="s">
        <v>109</v>
      </c>
      <c r="C231" s="132" t="s">
        <v>110</v>
      </c>
      <c r="D231" s="133">
        <v>9227</v>
      </c>
      <c r="E231" s="75"/>
      <c r="F231" s="75"/>
      <c r="G231" s="75"/>
      <c r="H231" s="75" t="s">
        <v>15</v>
      </c>
      <c r="I231" s="75">
        <v>36.4</v>
      </c>
      <c r="J231" s="75">
        <v>335862.8</v>
      </c>
      <c r="K231" s="91" t="s">
        <v>111</v>
      </c>
      <c r="L231" s="73"/>
      <c r="M231" s="46">
        <v>9227</v>
      </c>
      <c r="N231" s="46">
        <v>0</v>
      </c>
      <c r="O231" s="46">
        <v>335862.8</v>
      </c>
      <c r="P231" s="98"/>
      <c r="Q231" s="23" t="s">
        <v>1406</v>
      </c>
      <c r="R231" s="24" t="s">
        <v>109</v>
      </c>
      <c r="S231" s="25" t="s">
        <v>110</v>
      </c>
      <c r="T231" s="26">
        <v>9227</v>
      </c>
      <c r="U231" s="26">
        <v>9227</v>
      </c>
      <c r="V231" s="26">
        <v>36.4</v>
      </c>
      <c r="W231" s="127">
        <f t="shared" si="46"/>
        <v>0</v>
      </c>
      <c r="X231" s="127">
        <f t="shared" si="35"/>
        <v>9227</v>
      </c>
      <c r="Y231" s="127">
        <f t="shared" si="47"/>
        <v>0</v>
      </c>
      <c r="Z231" s="127">
        <f t="shared" si="44"/>
        <v>335862.8</v>
      </c>
      <c r="AA231" s="33" t="s">
        <v>15</v>
      </c>
      <c r="AB231" s="36" t="s">
        <v>16</v>
      </c>
      <c r="AC231" s="181">
        <f t="shared" si="41"/>
        <v>9227</v>
      </c>
      <c r="AD231" s="181">
        <f t="shared" si="48"/>
        <v>335862.8</v>
      </c>
      <c r="AE231" s="181">
        <v>1.6</v>
      </c>
      <c r="AF231" s="181">
        <v>1.6</v>
      </c>
      <c r="AG231" s="101" t="str">
        <f t="shared" si="42"/>
        <v/>
      </c>
      <c r="AH231" s="191">
        <v>9227</v>
      </c>
      <c r="AI231" s="69">
        <f t="shared" si="43"/>
        <v>9227</v>
      </c>
    </row>
    <row r="232" spans="1:35" s="69" customFormat="1" ht="58.5" x14ac:dyDescent="0.3">
      <c r="A232" s="130" t="s">
        <v>586</v>
      </c>
      <c r="B232" s="131" t="s">
        <v>587</v>
      </c>
      <c r="C232" s="132" t="s">
        <v>513</v>
      </c>
      <c r="D232" s="133">
        <v>189</v>
      </c>
      <c r="E232" s="75"/>
      <c r="F232" s="75"/>
      <c r="G232" s="75"/>
      <c r="H232" s="75" t="s">
        <v>15</v>
      </c>
      <c r="I232" s="75">
        <v>40</v>
      </c>
      <c r="J232" s="75">
        <v>7560</v>
      </c>
      <c r="K232" s="91" t="s">
        <v>588</v>
      </c>
      <c r="L232" s="73"/>
      <c r="M232" s="46">
        <v>0</v>
      </c>
      <c r="N232" s="46">
        <v>0</v>
      </c>
      <c r="O232" s="46">
        <v>0</v>
      </c>
      <c r="P232" s="98"/>
      <c r="Q232" s="23" t="s">
        <v>1414</v>
      </c>
      <c r="R232" s="24" t="s">
        <v>587</v>
      </c>
      <c r="S232" s="25" t="s">
        <v>513</v>
      </c>
      <c r="T232" s="26">
        <v>189</v>
      </c>
      <c r="U232" s="26">
        <v>189</v>
      </c>
      <c r="V232" s="26">
        <v>40</v>
      </c>
      <c r="W232" s="127">
        <f t="shared" si="46"/>
        <v>0</v>
      </c>
      <c r="X232" s="127">
        <f t="shared" si="35"/>
        <v>0</v>
      </c>
      <c r="Y232" s="127">
        <f t="shared" si="47"/>
        <v>0</v>
      </c>
      <c r="Z232" s="127">
        <f t="shared" si="44"/>
        <v>0</v>
      </c>
      <c r="AA232" s="33" t="s">
        <v>15</v>
      </c>
      <c r="AB232" s="36" t="s">
        <v>16</v>
      </c>
      <c r="AC232" s="181">
        <f t="shared" si="41"/>
        <v>189</v>
      </c>
      <c r="AD232" s="181">
        <f t="shared" si="48"/>
        <v>7560</v>
      </c>
      <c r="AE232" s="181">
        <v>1.6</v>
      </c>
      <c r="AF232" s="181">
        <v>1.6</v>
      </c>
      <c r="AG232" s="101" t="str">
        <f t="shared" si="42"/>
        <v/>
      </c>
      <c r="AH232" s="190">
        <v>0</v>
      </c>
      <c r="AI232" s="69">
        <f t="shared" si="43"/>
        <v>189</v>
      </c>
    </row>
    <row r="233" spans="1:35" s="69" customFormat="1" ht="58.5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 t="s">
        <v>15</v>
      </c>
      <c r="I233" s="75">
        <v>3615.3</v>
      </c>
      <c r="J233" s="75">
        <v>426605.4</v>
      </c>
      <c r="K233" s="91" t="s">
        <v>591</v>
      </c>
      <c r="L233" s="73"/>
      <c r="M233" s="46">
        <v>108</v>
      </c>
      <c r="N233" s="46">
        <v>93997.800000000047</v>
      </c>
      <c r="O233" s="46">
        <v>390452.4</v>
      </c>
      <c r="P233" s="98"/>
      <c r="Q233" s="23" t="s">
        <v>1429</v>
      </c>
      <c r="R233" s="24" t="s">
        <v>590</v>
      </c>
      <c r="S233" s="25" t="s">
        <v>325</v>
      </c>
      <c r="T233" s="26">
        <v>118</v>
      </c>
      <c r="U233" s="26">
        <v>118</v>
      </c>
      <c r="V233" s="26">
        <v>3615.3</v>
      </c>
      <c r="W233" s="243">
        <f t="shared" si="46"/>
        <v>0</v>
      </c>
      <c r="X233" s="26">
        <f t="shared" si="35"/>
        <v>108</v>
      </c>
      <c r="Y233" s="26">
        <f t="shared" si="47"/>
        <v>0</v>
      </c>
      <c r="Z233" s="26">
        <f t="shared" si="44"/>
        <v>390452.4</v>
      </c>
      <c r="AA233" s="33" t="s">
        <v>15</v>
      </c>
      <c r="AB233" s="36" t="s">
        <v>16</v>
      </c>
      <c r="AC233" s="181">
        <f t="shared" si="41"/>
        <v>118</v>
      </c>
      <c r="AD233" s="181">
        <f t="shared" si="48"/>
        <v>426605.4</v>
      </c>
      <c r="AE233" s="181">
        <v>1.6</v>
      </c>
      <c r="AF233" s="181">
        <v>1.6</v>
      </c>
      <c r="AG233" s="101" t="str">
        <f t="shared" si="42"/>
        <v/>
      </c>
      <c r="AH233" s="191">
        <f>40+42+26</f>
        <v>108</v>
      </c>
      <c r="AI233" s="69">
        <f t="shared" si="43"/>
        <v>118</v>
      </c>
    </row>
    <row r="234" spans="1:35" s="69" customFormat="1" ht="58.5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 t="s">
        <v>15</v>
      </c>
      <c r="I234" s="75">
        <v>113.98</v>
      </c>
      <c r="J234" s="75">
        <v>316066.53999999998</v>
      </c>
      <c r="K234" s="91" t="s">
        <v>594</v>
      </c>
      <c r="L234" s="73"/>
      <c r="M234" s="46">
        <v>2487</v>
      </c>
      <c r="N234" s="46">
        <v>66678.300000000017</v>
      </c>
      <c r="O234" s="46">
        <v>283468.26</v>
      </c>
      <c r="P234" s="98"/>
      <c r="Q234" s="23" t="s">
        <v>1430</v>
      </c>
      <c r="R234" s="24" t="s">
        <v>593</v>
      </c>
      <c r="S234" s="25" t="s">
        <v>110</v>
      </c>
      <c r="T234" s="26">
        <v>2773</v>
      </c>
      <c r="U234" s="26">
        <v>2773</v>
      </c>
      <c r="V234" s="26">
        <v>113.98</v>
      </c>
      <c r="W234" s="243">
        <f t="shared" si="46"/>
        <v>0</v>
      </c>
      <c r="X234" s="26">
        <f t="shared" si="35"/>
        <v>2487</v>
      </c>
      <c r="Y234" s="26">
        <f t="shared" si="47"/>
        <v>0</v>
      </c>
      <c r="Z234" s="26">
        <f t="shared" si="44"/>
        <v>283468.26</v>
      </c>
      <c r="AA234" s="33" t="s">
        <v>15</v>
      </c>
      <c r="AB234" s="36" t="s">
        <v>16</v>
      </c>
      <c r="AC234" s="181">
        <f t="shared" si="41"/>
        <v>2773</v>
      </c>
      <c r="AD234" s="181">
        <f t="shared" si="48"/>
        <v>316066.53999999998</v>
      </c>
      <c r="AE234" s="181">
        <v>1.6</v>
      </c>
      <c r="AF234" s="181">
        <v>1.6</v>
      </c>
      <c r="AG234" s="101" t="str">
        <f t="shared" si="42"/>
        <v/>
      </c>
      <c r="AH234" s="191">
        <f>940+962+585</f>
        <v>2487</v>
      </c>
      <c r="AI234" s="69">
        <f t="shared" si="43"/>
        <v>2773</v>
      </c>
    </row>
    <row r="235" spans="1:35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6" t="s">
        <v>15</v>
      </c>
      <c r="I235" s="75">
        <v>138.84</v>
      </c>
      <c r="J235" s="75">
        <v>15550.08</v>
      </c>
      <c r="K235" s="91" t="s">
        <v>190</v>
      </c>
      <c r="L235" s="73"/>
      <c r="M235" s="46">
        <v>0</v>
      </c>
      <c r="N235" s="46">
        <v>0</v>
      </c>
      <c r="O235" s="46">
        <v>0</v>
      </c>
      <c r="P235" s="98"/>
      <c r="Q235" s="23" t="s">
        <v>1431</v>
      </c>
      <c r="R235" s="24" t="s">
        <v>189</v>
      </c>
      <c r="S235" s="25" t="s">
        <v>30</v>
      </c>
      <c r="T235" s="26">
        <v>112</v>
      </c>
      <c r="U235" s="26">
        <v>112</v>
      </c>
      <c r="V235" s="26">
        <v>138.84</v>
      </c>
      <c r="W235" s="26">
        <f t="shared" si="46"/>
        <v>0</v>
      </c>
      <c r="X235" s="26">
        <f t="shared" si="35"/>
        <v>0</v>
      </c>
      <c r="Y235" s="26">
        <f t="shared" si="47"/>
        <v>0</v>
      </c>
      <c r="Z235" s="26">
        <f t="shared" si="44"/>
        <v>0</v>
      </c>
      <c r="AA235" s="33" t="s">
        <v>15</v>
      </c>
      <c r="AB235" s="36" t="s">
        <v>16</v>
      </c>
      <c r="AC235" s="181">
        <f t="shared" si="41"/>
        <v>112</v>
      </c>
      <c r="AD235" s="181">
        <f t="shared" si="48"/>
        <v>15550.08</v>
      </c>
      <c r="AE235" s="181">
        <v>1.6</v>
      </c>
      <c r="AF235" s="181">
        <v>1.6</v>
      </c>
      <c r="AG235" s="101" t="str">
        <f t="shared" si="42"/>
        <v/>
      </c>
      <c r="AH235" s="190">
        <v>0</v>
      </c>
      <c r="AI235" s="69">
        <f t="shared" si="43"/>
        <v>112</v>
      </c>
    </row>
    <row r="236" spans="1:35" ht="39" x14ac:dyDescent="0.3">
      <c r="A236" s="134" t="s">
        <v>1334</v>
      </c>
      <c r="B236" s="135" t="s">
        <v>1335</v>
      </c>
      <c r="C236" s="204" t="s">
        <v>50</v>
      </c>
      <c r="D236" s="133"/>
      <c r="E236" s="78"/>
      <c r="F236" s="62">
        <v>518.22</v>
      </c>
      <c r="G236" s="140"/>
      <c r="H236" s="62" t="s">
        <v>15</v>
      </c>
      <c r="I236" s="167">
        <v>868.85</v>
      </c>
      <c r="J236" s="62">
        <v>450255.45</v>
      </c>
      <c r="K236" s="93"/>
      <c r="M236" s="46">
        <v>518.22</v>
      </c>
      <c r="N236" s="46">
        <v>68222.100000000035</v>
      </c>
      <c r="O236" s="46">
        <v>450255.45</v>
      </c>
      <c r="P236" s="98"/>
      <c r="Q236" s="23" t="s">
        <v>1395</v>
      </c>
      <c r="R236" s="24" t="s">
        <v>1396</v>
      </c>
      <c r="S236" s="25" t="s">
        <v>50</v>
      </c>
      <c r="T236" s="26">
        <v>0</v>
      </c>
      <c r="U236" s="26">
        <v>518.22</v>
      </c>
      <c r="V236" s="26">
        <v>868.85</v>
      </c>
      <c r="W236" s="209">
        <f t="shared" si="46"/>
        <v>0</v>
      </c>
      <c r="X236" s="127">
        <f t="shared" si="35"/>
        <v>518.22</v>
      </c>
      <c r="Y236" s="127">
        <f t="shared" si="47"/>
        <v>0</v>
      </c>
      <c r="Z236" s="127">
        <f t="shared" si="44"/>
        <v>450255.45</v>
      </c>
      <c r="AA236" s="27"/>
      <c r="AB236" s="36" t="s">
        <v>16</v>
      </c>
      <c r="AC236" s="181">
        <f t="shared" si="41"/>
        <v>518.22</v>
      </c>
      <c r="AD236" s="181">
        <f t="shared" si="48"/>
        <v>450255.45</v>
      </c>
      <c r="AE236" s="181">
        <v>1.6</v>
      </c>
      <c r="AF236" s="181">
        <v>1.6</v>
      </c>
      <c r="AG236" s="101" t="str">
        <f t="shared" si="42"/>
        <v/>
      </c>
      <c r="AH236" s="191">
        <f>143.5+296.2+78.52</f>
        <v>518.22</v>
      </c>
      <c r="AI236" s="69">
        <f t="shared" si="43"/>
        <v>518.22</v>
      </c>
    </row>
    <row r="237" spans="1:35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4" t="s">
        <v>15</v>
      </c>
      <c r="I237" s="82"/>
      <c r="J237" s="82">
        <v>7859013.9699999997</v>
      </c>
      <c r="K237" s="94" t="s">
        <v>15</v>
      </c>
      <c r="L237" s="73"/>
      <c r="M237" s="45">
        <v>1</v>
      </c>
      <c r="N237" s="45">
        <v>0</v>
      </c>
      <c r="O237" s="45">
        <v>3078299.32</v>
      </c>
      <c r="P237" s="98"/>
      <c r="Q237" s="18" t="s">
        <v>1397</v>
      </c>
      <c r="R237" s="19" t="s">
        <v>597</v>
      </c>
      <c r="S237" s="20" t="s">
        <v>14</v>
      </c>
      <c r="T237" s="21">
        <v>1</v>
      </c>
      <c r="U237" s="21"/>
      <c r="V237" s="21">
        <f>SUMIFS(AD:AD,AE:AE,AE237)</f>
        <v>7859013.9699999997</v>
      </c>
      <c r="W237" s="21">
        <f t="shared" ref="W237:X237" si="49">IF(Y237=0,0,1)</f>
        <v>0</v>
      </c>
      <c r="X237" s="21">
        <f t="shared" si="49"/>
        <v>1</v>
      </c>
      <c r="Y237" s="21">
        <f>SUMIFS(Y:Y,AF:AF,AE237)</f>
        <v>0</v>
      </c>
      <c r="Z237" s="21">
        <f>SUMIFS(Z:Z,AF:AF,AE237)</f>
        <v>3078299.32</v>
      </c>
      <c r="AA237" s="22" t="s">
        <v>15</v>
      </c>
      <c r="AB237" s="43" t="s">
        <v>16</v>
      </c>
      <c r="AC237" s="181">
        <f t="shared" si="41"/>
        <v>1</v>
      </c>
      <c r="AD237" s="184"/>
      <c r="AE237" s="184">
        <v>1.7</v>
      </c>
      <c r="AF237" s="184"/>
      <c r="AG237" s="101" t="str">
        <f t="shared" si="42"/>
        <v/>
      </c>
      <c r="AH237" s="190">
        <v>1</v>
      </c>
      <c r="AI237" s="69">
        <f t="shared" si="43"/>
        <v>1</v>
      </c>
    </row>
    <row r="238" spans="1:35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 t="s">
        <v>15</v>
      </c>
      <c r="I238" s="75">
        <v>704.52</v>
      </c>
      <c r="J238" s="75">
        <v>1829427.08</v>
      </c>
      <c r="K238" s="91" t="s">
        <v>600</v>
      </c>
      <c r="L238" s="73"/>
      <c r="M238" s="46">
        <v>881</v>
      </c>
      <c r="N238" s="46">
        <v>0</v>
      </c>
      <c r="O238" s="46">
        <v>620682.12</v>
      </c>
      <c r="P238" s="98"/>
      <c r="Q238" s="23" t="s">
        <v>1421</v>
      </c>
      <c r="R238" s="24" t="s">
        <v>599</v>
      </c>
      <c r="S238" s="25" t="s">
        <v>103</v>
      </c>
      <c r="T238" s="26">
        <v>2596.6999999999998</v>
      </c>
      <c r="U238" s="26">
        <v>2596.6999999999998</v>
      </c>
      <c r="V238" s="26">
        <v>704.52</v>
      </c>
      <c r="W238" s="128">
        <f t="shared" ref="W238:W301" si="50">AH238-M238</f>
        <v>0</v>
      </c>
      <c r="X238" s="26">
        <f t="shared" si="35"/>
        <v>881</v>
      </c>
      <c r="Y238" s="26">
        <f t="shared" ref="Y238:Y301" si="51">Z238-O238</f>
        <v>0</v>
      </c>
      <c r="Z238" s="26">
        <f t="shared" si="44"/>
        <v>620682.12</v>
      </c>
      <c r="AA238" s="33" t="s">
        <v>15</v>
      </c>
      <c r="AB238" s="36" t="s">
        <v>16</v>
      </c>
      <c r="AC238" s="181">
        <f t="shared" si="41"/>
        <v>2596.6999999999998</v>
      </c>
      <c r="AD238" s="181">
        <f t="shared" ref="AD238:AD301" si="52">ROUND(V238*AC238,2)</f>
        <v>1829427.08</v>
      </c>
      <c r="AE238" s="181">
        <v>1.7</v>
      </c>
      <c r="AF238" s="181">
        <v>1.7</v>
      </c>
      <c r="AG238" s="101" t="str">
        <f t="shared" si="42"/>
        <v/>
      </c>
      <c r="AH238" s="191">
        <f>316+565</f>
        <v>881</v>
      </c>
      <c r="AI238" s="69">
        <f t="shared" si="43"/>
        <v>2596.6999999999998</v>
      </c>
    </row>
    <row r="239" spans="1:35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 t="s">
        <v>15</v>
      </c>
      <c r="I239" s="75">
        <v>400</v>
      </c>
      <c r="J239" s="75">
        <v>50400</v>
      </c>
      <c r="K239" s="91" t="s">
        <v>603</v>
      </c>
      <c r="L239" s="73"/>
      <c r="M239" s="46">
        <v>0</v>
      </c>
      <c r="N239" s="46">
        <v>0</v>
      </c>
      <c r="O239" s="46">
        <v>0</v>
      </c>
      <c r="P239" s="98"/>
      <c r="Q239" s="23" t="s">
        <v>1426</v>
      </c>
      <c r="R239" s="24" t="s">
        <v>602</v>
      </c>
      <c r="S239" s="25" t="s">
        <v>559</v>
      </c>
      <c r="T239" s="26">
        <v>126</v>
      </c>
      <c r="U239" s="26">
        <v>126</v>
      </c>
      <c r="V239" s="26">
        <v>400</v>
      </c>
      <c r="W239" s="26">
        <f t="shared" si="50"/>
        <v>0</v>
      </c>
      <c r="X239" s="26">
        <f t="shared" si="35"/>
        <v>0</v>
      </c>
      <c r="Y239" s="26">
        <f t="shared" si="51"/>
        <v>0</v>
      </c>
      <c r="Z239" s="26">
        <f t="shared" si="44"/>
        <v>0</v>
      </c>
      <c r="AA239" s="33" t="s">
        <v>15</v>
      </c>
      <c r="AB239" s="36" t="s">
        <v>16</v>
      </c>
      <c r="AC239" s="181">
        <f t="shared" si="41"/>
        <v>126</v>
      </c>
      <c r="AD239" s="181">
        <f t="shared" si="52"/>
        <v>50400</v>
      </c>
      <c r="AE239" s="181">
        <v>1.7</v>
      </c>
      <c r="AF239" s="181">
        <v>1.7</v>
      </c>
      <c r="AG239" s="101" t="str">
        <f t="shared" si="42"/>
        <v/>
      </c>
      <c r="AH239" s="190">
        <v>0</v>
      </c>
      <c r="AI239" s="69">
        <f t="shared" si="43"/>
        <v>126</v>
      </c>
    </row>
    <row r="240" spans="1:35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 t="s">
        <v>15</v>
      </c>
      <c r="I240" s="75">
        <v>3569.95</v>
      </c>
      <c r="J240" s="75">
        <v>42839.4</v>
      </c>
      <c r="K240" s="91" t="s">
        <v>607</v>
      </c>
      <c r="L240" s="73"/>
      <c r="M240" s="46">
        <v>0</v>
      </c>
      <c r="N240" s="46">
        <v>0</v>
      </c>
      <c r="O240" s="46">
        <v>0</v>
      </c>
      <c r="P240" s="98"/>
      <c r="Q240" s="23" t="s">
        <v>1402</v>
      </c>
      <c r="R240" s="24" t="s">
        <v>605</v>
      </c>
      <c r="S240" s="25" t="s">
        <v>606</v>
      </c>
      <c r="T240" s="26">
        <v>12</v>
      </c>
      <c r="U240" s="26">
        <v>12</v>
      </c>
      <c r="V240" s="26">
        <v>3569.95</v>
      </c>
      <c r="W240" s="26">
        <f t="shared" si="50"/>
        <v>0</v>
      </c>
      <c r="X240" s="26">
        <f t="shared" si="35"/>
        <v>0</v>
      </c>
      <c r="Y240" s="26">
        <f t="shared" si="51"/>
        <v>0</v>
      </c>
      <c r="Z240" s="26">
        <f t="shared" si="44"/>
        <v>0</v>
      </c>
      <c r="AA240" s="33" t="s">
        <v>15</v>
      </c>
      <c r="AB240" s="36" t="s">
        <v>16</v>
      </c>
      <c r="AC240" s="181">
        <f t="shared" si="41"/>
        <v>12</v>
      </c>
      <c r="AD240" s="181">
        <f t="shared" si="52"/>
        <v>42839.4</v>
      </c>
      <c r="AE240" s="181">
        <v>1.7</v>
      </c>
      <c r="AF240" s="181">
        <v>1.7</v>
      </c>
      <c r="AG240" s="101" t="str">
        <f t="shared" si="42"/>
        <v/>
      </c>
      <c r="AH240" s="190">
        <v>0</v>
      </c>
      <c r="AI240" s="69">
        <f t="shared" si="43"/>
        <v>12</v>
      </c>
    </row>
    <row r="241" spans="1:35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 t="s">
        <v>15</v>
      </c>
      <c r="I241" s="75">
        <v>4083.1</v>
      </c>
      <c r="J241" s="75">
        <v>73495.8</v>
      </c>
      <c r="K241" s="91" t="s">
        <v>610</v>
      </c>
      <c r="L241" s="73"/>
      <c r="M241" s="46">
        <v>5</v>
      </c>
      <c r="N241" s="46">
        <v>0</v>
      </c>
      <c r="O241" s="46">
        <v>20415.5</v>
      </c>
      <c r="P241" s="98"/>
      <c r="Q241" s="23" t="s">
        <v>1373</v>
      </c>
      <c r="R241" s="24" t="s">
        <v>609</v>
      </c>
      <c r="S241" s="25" t="s">
        <v>606</v>
      </c>
      <c r="T241" s="26">
        <v>18</v>
      </c>
      <c r="U241" s="26">
        <v>18</v>
      </c>
      <c r="V241" s="26">
        <v>4083.1</v>
      </c>
      <c r="W241" s="26">
        <f t="shared" si="50"/>
        <v>0</v>
      </c>
      <c r="X241" s="26">
        <f t="shared" si="35"/>
        <v>5</v>
      </c>
      <c r="Y241" s="26">
        <f t="shared" si="51"/>
        <v>0</v>
      </c>
      <c r="Z241" s="26">
        <f t="shared" si="44"/>
        <v>20415.5</v>
      </c>
      <c r="AA241" s="33" t="s">
        <v>15</v>
      </c>
      <c r="AB241" s="36" t="s">
        <v>16</v>
      </c>
      <c r="AC241" s="181">
        <f t="shared" si="41"/>
        <v>18</v>
      </c>
      <c r="AD241" s="181">
        <f t="shared" si="52"/>
        <v>73495.8</v>
      </c>
      <c r="AE241" s="181">
        <v>1.7</v>
      </c>
      <c r="AF241" s="181">
        <v>1.7</v>
      </c>
      <c r="AG241" s="101" t="str">
        <f t="shared" si="42"/>
        <v/>
      </c>
      <c r="AH241" s="190">
        <v>5</v>
      </c>
      <c r="AI241" s="69">
        <f t="shared" si="43"/>
        <v>18</v>
      </c>
    </row>
    <row r="242" spans="1:35" s="69" customFormat="1" ht="39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203"/>
      <c r="F242" s="203"/>
      <c r="G242" s="203"/>
      <c r="H242" s="203" t="s">
        <v>15</v>
      </c>
      <c r="I242" s="75">
        <v>7408.5</v>
      </c>
      <c r="J242" s="75">
        <v>37042.5</v>
      </c>
      <c r="K242" s="91" t="s">
        <v>613</v>
      </c>
      <c r="L242" s="73"/>
      <c r="M242" s="46">
        <v>5</v>
      </c>
      <c r="N242" s="46">
        <v>0</v>
      </c>
      <c r="O242" s="46">
        <v>37042.5</v>
      </c>
      <c r="P242" s="98"/>
      <c r="Q242" s="23" t="s">
        <v>1393</v>
      </c>
      <c r="R242" s="24" t="s">
        <v>612</v>
      </c>
      <c r="S242" s="25" t="s">
        <v>606</v>
      </c>
      <c r="T242" s="26">
        <v>5</v>
      </c>
      <c r="U242" s="26">
        <v>5</v>
      </c>
      <c r="V242" s="26">
        <v>7408.5</v>
      </c>
      <c r="W242" s="127">
        <f t="shared" si="50"/>
        <v>0</v>
      </c>
      <c r="X242" s="127">
        <f t="shared" ref="X242:X305" si="53">W242+M242</f>
        <v>5</v>
      </c>
      <c r="Y242" s="127">
        <f t="shared" si="51"/>
        <v>0</v>
      </c>
      <c r="Z242" s="127">
        <f t="shared" si="44"/>
        <v>37042.5</v>
      </c>
      <c r="AA242" s="33" t="s">
        <v>15</v>
      </c>
      <c r="AB242" s="36" t="s">
        <v>16</v>
      </c>
      <c r="AC242" s="181">
        <f t="shared" si="41"/>
        <v>5</v>
      </c>
      <c r="AD242" s="181">
        <f t="shared" si="52"/>
        <v>37042.5</v>
      </c>
      <c r="AE242" s="181">
        <v>1.7</v>
      </c>
      <c r="AF242" s="181">
        <v>1.7</v>
      </c>
      <c r="AG242" s="101" t="str">
        <f t="shared" si="42"/>
        <v/>
      </c>
      <c r="AH242" s="190">
        <v>5</v>
      </c>
      <c r="AI242" s="69">
        <f t="shared" si="43"/>
        <v>5</v>
      </c>
    </row>
    <row r="243" spans="1:35" s="69" customFormat="1" ht="39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203"/>
      <c r="F243" s="203"/>
      <c r="G243" s="203"/>
      <c r="H243" s="203" t="s">
        <v>15</v>
      </c>
      <c r="I243" s="75">
        <v>10319.280000000001</v>
      </c>
      <c r="J243" s="75">
        <v>51596.4</v>
      </c>
      <c r="K243" s="91" t="s">
        <v>616</v>
      </c>
      <c r="L243" s="73"/>
      <c r="M243" s="46">
        <v>5</v>
      </c>
      <c r="N243" s="46">
        <v>0</v>
      </c>
      <c r="O243" s="46">
        <v>51596.4</v>
      </c>
      <c r="P243" s="98"/>
      <c r="Q243" s="23" t="s">
        <v>1403</v>
      </c>
      <c r="R243" s="24" t="s">
        <v>615</v>
      </c>
      <c r="S243" s="25" t="s">
        <v>606</v>
      </c>
      <c r="T243" s="26">
        <v>5</v>
      </c>
      <c r="U243" s="26">
        <v>5</v>
      </c>
      <c r="V243" s="26">
        <v>10319.280000000001</v>
      </c>
      <c r="W243" s="127">
        <f t="shared" si="50"/>
        <v>0</v>
      </c>
      <c r="X243" s="127">
        <f t="shared" si="53"/>
        <v>5</v>
      </c>
      <c r="Y243" s="127">
        <f t="shared" si="51"/>
        <v>0</v>
      </c>
      <c r="Z243" s="127">
        <f t="shared" si="44"/>
        <v>51596.4</v>
      </c>
      <c r="AA243" s="33" t="s">
        <v>15</v>
      </c>
      <c r="AB243" s="36" t="s">
        <v>16</v>
      </c>
      <c r="AC243" s="181">
        <f t="shared" si="41"/>
        <v>5</v>
      </c>
      <c r="AD243" s="181">
        <f t="shared" si="52"/>
        <v>51596.4</v>
      </c>
      <c r="AE243" s="181">
        <v>1.7</v>
      </c>
      <c r="AF243" s="181">
        <v>1.7</v>
      </c>
      <c r="AG243" s="101" t="str">
        <f t="shared" si="42"/>
        <v/>
      </c>
      <c r="AH243" s="190">
        <v>5</v>
      </c>
      <c r="AI243" s="69">
        <f t="shared" si="43"/>
        <v>5</v>
      </c>
    </row>
    <row r="244" spans="1:35" s="69" customFormat="1" ht="39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203"/>
      <c r="F244" s="203"/>
      <c r="G244" s="203"/>
      <c r="H244" s="203" t="s">
        <v>15</v>
      </c>
      <c r="I244" s="75">
        <v>15164.14</v>
      </c>
      <c r="J244" s="75">
        <v>30328.28</v>
      </c>
      <c r="K244" s="91" t="s">
        <v>619</v>
      </c>
      <c r="L244" s="73"/>
      <c r="M244" s="46">
        <v>2</v>
      </c>
      <c r="N244" s="46">
        <v>0</v>
      </c>
      <c r="O244" s="46">
        <v>30328.28</v>
      </c>
      <c r="P244" s="98"/>
      <c r="Q244" s="23" t="s">
        <v>1427</v>
      </c>
      <c r="R244" s="24" t="s">
        <v>618</v>
      </c>
      <c r="S244" s="25" t="s">
        <v>606</v>
      </c>
      <c r="T244" s="26">
        <v>2</v>
      </c>
      <c r="U244" s="26">
        <v>2</v>
      </c>
      <c r="V244" s="26">
        <v>15164.14</v>
      </c>
      <c r="W244" s="127">
        <f t="shared" si="50"/>
        <v>0</v>
      </c>
      <c r="X244" s="127">
        <f t="shared" si="53"/>
        <v>2</v>
      </c>
      <c r="Y244" s="127">
        <f t="shared" si="51"/>
        <v>0</v>
      </c>
      <c r="Z244" s="127">
        <f t="shared" si="44"/>
        <v>30328.28</v>
      </c>
      <c r="AA244" s="33" t="s">
        <v>15</v>
      </c>
      <c r="AB244" s="36" t="s">
        <v>16</v>
      </c>
      <c r="AC244" s="181">
        <f t="shared" si="41"/>
        <v>2</v>
      </c>
      <c r="AD244" s="181">
        <f t="shared" si="52"/>
        <v>30328.28</v>
      </c>
      <c r="AE244" s="181">
        <v>1.7</v>
      </c>
      <c r="AF244" s="181">
        <v>1.7</v>
      </c>
      <c r="AG244" s="101" t="str">
        <f t="shared" si="42"/>
        <v/>
      </c>
      <c r="AH244" s="190">
        <v>2</v>
      </c>
      <c r="AI244" s="69">
        <f t="shared" si="43"/>
        <v>2</v>
      </c>
    </row>
    <row r="245" spans="1:35" s="69" customFormat="1" ht="39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203"/>
      <c r="F245" s="203"/>
      <c r="G245" s="203"/>
      <c r="H245" s="203" t="s">
        <v>15</v>
      </c>
      <c r="I245" s="75">
        <v>21803.06</v>
      </c>
      <c r="J245" s="75">
        <v>130818.36</v>
      </c>
      <c r="K245" s="91" t="s">
        <v>622</v>
      </c>
      <c r="L245" s="73"/>
      <c r="M245" s="46">
        <v>6</v>
      </c>
      <c r="N245" s="46">
        <v>0</v>
      </c>
      <c r="O245" s="46">
        <v>130818.36</v>
      </c>
      <c r="P245" s="98"/>
      <c r="Q245" s="23" t="s">
        <v>1428</v>
      </c>
      <c r="R245" s="24" t="s">
        <v>621</v>
      </c>
      <c r="S245" s="25" t="s">
        <v>606</v>
      </c>
      <c r="T245" s="26">
        <v>6</v>
      </c>
      <c r="U245" s="26">
        <v>6</v>
      </c>
      <c r="V245" s="26">
        <v>21803.06</v>
      </c>
      <c r="W245" s="127">
        <f t="shared" si="50"/>
        <v>0</v>
      </c>
      <c r="X245" s="127">
        <f t="shared" si="53"/>
        <v>6</v>
      </c>
      <c r="Y245" s="127">
        <f t="shared" si="51"/>
        <v>0</v>
      </c>
      <c r="Z245" s="127">
        <f t="shared" si="44"/>
        <v>130818.36</v>
      </c>
      <c r="AA245" s="33" t="s">
        <v>15</v>
      </c>
      <c r="AB245" s="36" t="s">
        <v>16</v>
      </c>
      <c r="AC245" s="181">
        <f t="shared" si="41"/>
        <v>6</v>
      </c>
      <c r="AD245" s="181">
        <f t="shared" si="52"/>
        <v>130818.36</v>
      </c>
      <c r="AE245" s="181">
        <v>1.7</v>
      </c>
      <c r="AF245" s="181">
        <v>1.7</v>
      </c>
      <c r="AG245" s="101" t="str">
        <f t="shared" si="42"/>
        <v/>
      </c>
      <c r="AH245" s="190">
        <v>6</v>
      </c>
      <c r="AI245" s="69">
        <f t="shared" si="43"/>
        <v>6</v>
      </c>
    </row>
    <row r="246" spans="1:35" s="69" customFormat="1" ht="39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203"/>
      <c r="F246" s="203"/>
      <c r="G246" s="203"/>
      <c r="H246" s="203" t="s">
        <v>15</v>
      </c>
      <c r="I246" s="75">
        <v>26196.51</v>
      </c>
      <c r="J246" s="75">
        <v>78589.53</v>
      </c>
      <c r="K246" s="91" t="s">
        <v>625</v>
      </c>
      <c r="L246" s="73"/>
      <c r="M246" s="46">
        <v>3</v>
      </c>
      <c r="N246" s="46">
        <v>0</v>
      </c>
      <c r="O246" s="46">
        <v>78589.53</v>
      </c>
      <c r="P246" s="98"/>
      <c r="Q246" s="23" t="s">
        <v>1387</v>
      </c>
      <c r="R246" s="24" t="s">
        <v>624</v>
      </c>
      <c r="S246" s="25" t="s">
        <v>606</v>
      </c>
      <c r="T246" s="26">
        <v>3</v>
      </c>
      <c r="U246" s="26">
        <v>3</v>
      </c>
      <c r="V246" s="26">
        <v>26196.51</v>
      </c>
      <c r="W246" s="127">
        <f t="shared" si="50"/>
        <v>0</v>
      </c>
      <c r="X246" s="127">
        <f t="shared" si="53"/>
        <v>3</v>
      </c>
      <c r="Y246" s="127">
        <f t="shared" si="51"/>
        <v>0</v>
      </c>
      <c r="Z246" s="127">
        <f t="shared" si="44"/>
        <v>78589.53</v>
      </c>
      <c r="AA246" s="33" t="s">
        <v>15</v>
      </c>
      <c r="AB246" s="36" t="s">
        <v>16</v>
      </c>
      <c r="AC246" s="181">
        <f t="shared" si="41"/>
        <v>3</v>
      </c>
      <c r="AD246" s="181">
        <f t="shared" si="52"/>
        <v>78589.53</v>
      </c>
      <c r="AE246" s="181">
        <v>1.7</v>
      </c>
      <c r="AF246" s="181">
        <v>1.7</v>
      </c>
      <c r="AG246" s="101" t="str">
        <f t="shared" si="42"/>
        <v/>
      </c>
      <c r="AH246" s="190">
        <v>3</v>
      </c>
      <c r="AI246" s="69">
        <f t="shared" si="43"/>
        <v>3</v>
      </c>
    </row>
    <row r="247" spans="1:35" s="69" customFormat="1" ht="39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203"/>
      <c r="F247" s="203"/>
      <c r="G247" s="203"/>
      <c r="H247" s="203" t="s">
        <v>15</v>
      </c>
      <c r="I247" s="75">
        <v>29984.85</v>
      </c>
      <c r="J247" s="75">
        <v>59969.7</v>
      </c>
      <c r="K247" s="91" t="s">
        <v>628</v>
      </c>
      <c r="L247" s="73"/>
      <c r="M247" s="46">
        <v>2</v>
      </c>
      <c r="N247" s="46">
        <v>0</v>
      </c>
      <c r="O247" s="46">
        <v>59969.7</v>
      </c>
      <c r="P247" s="98"/>
      <c r="Q247" s="23" t="s">
        <v>1405</v>
      </c>
      <c r="R247" s="24" t="s">
        <v>627</v>
      </c>
      <c r="S247" s="25" t="s">
        <v>606</v>
      </c>
      <c r="T247" s="26">
        <v>2</v>
      </c>
      <c r="U247" s="26">
        <v>2</v>
      </c>
      <c r="V247" s="26">
        <v>29984.85</v>
      </c>
      <c r="W247" s="127">
        <f t="shared" si="50"/>
        <v>0</v>
      </c>
      <c r="X247" s="127">
        <f t="shared" si="53"/>
        <v>2</v>
      </c>
      <c r="Y247" s="127">
        <f t="shared" si="51"/>
        <v>0</v>
      </c>
      <c r="Z247" s="127">
        <f t="shared" si="44"/>
        <v>59969.7</v>
      </c>
      <c r="AA247" s="33" t="s">
        <v>15</v>
      </c>
      <c r="AB247" s="36" t="s">
        <v>16</v>
      </c>
      <c r="AC247" s="181">
        <f t="shared" si="41"/>
        <v>2</v>
      </c>
      <c r="AD247" s="181">
        <f t="shared" si="52"/>
        <v>59969.7</v>
      </c>
      <c r="AE247" s="181">
        <v>1.7</v>
      </c>
      <c r="AF247" s="181">
        <v>1.7</v>
      </c>
      <c r="AG247" s="101" t="str">
        <f t="shared" si="42"/>
        <v/>
      </c>
      <c r="AH247" s="190">
        <v>2</v>
      </c>
      <c r="AI247" s="69">
        <f t="shared" si="43"/>
        <v>2</v>
      </c>
    </row>
    <row r="248" spans="1:35" s="69" customFormat="1" ht="39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203"/>
      <c r="F248" s="203"/>
      <c r="G248" s="203"/>
      <c r="H248" s="203" t="s">
        <v>15</v>
      </c>
      <c r="I248" s="75">
        <v>38914.949999999997</v>
      </c>
      <c r="J248" s="75">
        <v>116744.85</v>
      </c>
      <c r="K248" s="91" t="s">
        <v>631</v>
      </c>
      <c r="L248" s="73"/>
      <c r="M248" s="46">
        <v>3</v>
      </c>
      <c r="N248" s="46">
        <v>0</v>
      </c>
      <c r="O248" s="46">
        <v>116744.85</v>
      </c>
      <c r="P248" s="98"/>
      <c r="Q248" s="23" t="s">
        <v>1406</v>
      </c>
      <c r="R248" s="24" t="s">
        <v>630</v>
      </c>
      <c r="S248" s="25" t="s">
        <v>606</v>
      </c>
      <c r="T248" s="26">
        <v>3</v>
      </c>
      <c r="U248" s="26">
        <v>3</v>
      </c>
      <c r="V248" s="26">
        <v>38914.949999999997</v>
      </c>
      <c r="W248" s="127">
        <f t="shared" si="50"/>
        <v>0</v>
      </c>
      <c r="X248" s="127">
        <f t="shared" si="53"/>
        <v>3</v>
      </c>
      <c r="Y248" s="127">
        <f t="shared" si="51"/>
        <v>0</v>
      </c>
      <c r="Z248" s="127">
        <f t="shared" si="44"/>
        <v>116744.85</v>
      </c>
      <c r="AA248" s="33" t="s">
        <v>15</v>
      </c>
      <c r="AB248" s="36" t="s">
        <v>16</v>
      </c>
      <c r="AC248" s="181">
        <f t="shared" si="41"/>
        <v>3</v>
      </c>
      <c r="AD248" s="181">
        <f t="shared" si="52"/>
        <v>116744.85</v>
      </c>
      <c r="AE248" s="181">
        <v>1.7</v>
      </c>
      <c r="AF248" s="181">
        <v>1.7</v>
      </c>
      <c r="AG248" s="101" t="str">
        <f t="shared" si="42"/>
        <v/>
      </c>
      <c r="AH248" s="190">
        <v>3</v>
      </c>
      <c r="AI248" s="69">
        <f t="shared" si="43"/>
        <v>3</v>
      </c>
    </row>
    <row r="249" spans="1:35" s="69" customFormat="1" ht="39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203"/>
      <c r="F249" s="203"/>
      <c r="G249" s="203"/>
      <c r="H249" s="203" t="s">
        <v>15</v>
      </c>
      <c r="I249" s="75">
        <v>43624.88</v>
      </c>
      <c r="J249" s="75">
        <v>130874.64</v>
      </c>
      <c r="K249" s="91" t="s">
        <v>634</v>
      </c>
      <c r="L249" s="73"/>
      <c r="M249" s="46">
        <v>3</v>
      </c>
      <c r="N249" s="46">
        <v>0</v>
      </c>
      <c r="O249" s="46">
        <v>130874.64</v>
      </c>
      <c r="P249" s="98"/>
      <c r="Q249" s="23" t="s">
        <v>1414</v>
      </c>
      <c r="R249" s="24" t="s">
        <v>633</v>
      </c>
      <c r="S249" s="25" t="s">
        <v>606</v>
      </c>
      <c r="T249" s="26">
        <v>3</v>
      </c>
      <c r="U249" s="26">
        <v>3</v>
      </c>
      <c r="V249" s="26">
        <v>43624.88</v>
      </c>
      <c r="W249" s="127">
        <f t="shared" si="50"/>
        <v>0</v>
      </c>
      <c r="X249" s="127">
        <f t="shared" si="53"/>
        <v>3</v>
      </c>
      <c r="Y249" s="127">
        <f t="shared" si="51"/>
        <v>0</v>
      </c>
      <c r="Z249" s="127">
        <f t="shared" si="44"/>
        <v>130874.64</v>
      </c>
      <c r="AA249" s="33" t="s">
        <v>15</v>
      </c>
      <c r="AB249" s="36" t="s">
        <v>16</v>
      </c>
      <c r="AC249" s="181">
        <f t="shared" si="41"/>
        <v>3</v>
      </c>
      <c r="AD249" s="181">
        <f t="shared" si="52"/>
        <v>130874.64</v>
      </c>
      <c r="AE249" s="181">
        <v>1.7</v>
      </c>
      <c r="AF249" s="181">
        <v>1.7</v>
      </c>
      <c r="AG249" s="101" t="str">
        <f t="shared" si="42"/>
        <v/>
      </c>
      <c r="AH249" s="190">
        <v>3</v>
      </c>
      <c r="AI249" s="69">
        <f t="shared" si="43"/>
        <v>3</v>
      </c>
    </row>
    <row r="250" spans="1:35" s="69" customFormat="1" ht="39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203"/>
      <c r="F250" s="203"/>
      <c r="G250" s="203"/>
      <c r="H250" s="203" t="s">
        <v>15</v>
      </c>
      <c r="I250" s="75">
        <v>73088.800000000003</v>
      </c>
      <c r="J250" s="75">
        <v>73088.800000000003</v>
      </c>
      <c r="K250" s="91" t="s">
        <v>637</v>
      </c>
      <c r="L250" s="73"/>
      <c r="M250" s="46">
        <v>1</v>
      </c>
      <c r="N250" s="46">
        <v>0</v>
      </c>
      <c r="O250" s="46">
        <v>73088.800000000003</v>
      </c>
      <c r="P250" s="98"/>
      <c r="Q250" s="23" t="s">
        <v>1429</v>
      </c>
      <c r="R250" s="24" t="s">
        <v>636</v>
      </c>
      <c r="S250" s="25" t="s">
        <v>606</v>
      </c>
      <c r="T250" s="26">
        <v>1</v>
      </c>
      <c r="U250" s="26">
        <v>1</v>
      </c>
      <c r="V250" s="26">
        <v>73088.800000000003</v>
      </c>
      <c r="W250" s="127">
        <f t="shared" si="50"/>
        <v>0</v>
      </c>
      <c r="X250" s="127">
        <f t="shared" si="53"/>
        <v>1</v>
      </c>
      <c r="Y250" s="127">
        <f t="shared" si="51"/>
        <v>0</v>
      </c>
      <c r="Z250" s="127">
        <f t="shared" si="44"/>
        <v>73088.800000000003</v>
      </c>
      <c r="AA250" s="33" t="s">
        <v>15</v>
      </c>
      <c r="AB250" s="36" t="s">
        <v>16</v>
      </c>
      <c r="AC250" s="181">
        <f t="shared" si="41"/>
        <v>1</v>
      </c>
      <c r="AD250" s="181">
        <f t="shared" si="52"/>
        <v>73088.800000000003</v>
      </c>
      <c r="AE250" s="181">
        <v>1.7</v>
      </c>
      <c r="AF250" s="181">
        <v>1.7</v>
      </c>
      <c r="AG250" s="101" t="str">
        <f t="shared" si="42"/>
        <v/>
      </c>
      <c r="AH250" s="190">
        <v>1</v>
      </c>
      <c r="AI250" s="69">
        <f t="shared" si="43"/>
        <v>1</v>
      </c>
    </row>
    <row r="251" spans="1:35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 t="s">
        <v>15</v>
      </c>
      <c r="I251" s="75">
        <v>22814.5</v>
      </c>
      <c r="J251" s="75">
        <v>136887</v>
      </c>
      <c r="K251" s="91" t="s">
        <v>640</v>
      </c>
      <c r="L251" s="73"/>
      <c r="M251" s="46">
        <v>0</v>
      </c>
      <c r="N251" s="46">
        <v>0</v>
      </c>
      <c r="O251" s="46">
        <v>0</v>
      </c>
      <c r="P251" s="98"/>
      <c r="Q251" s="23" t="s">
        <v>1430</v>
      </c>
      <c r="R251" s="24" t="s">
        <v>639</v>
      </c>
      <c r="S251" s="25" t="s">
        <v>606</v>
      </c>
      <c r="T251" s="26">
        <v>6</v>
      </c>
      <c r="U251" s="26">
        <v>6</v>
      </c>
      <c r="V251" s="26">
        <v>22814.5</v>
      </c>
      <c r="W251" s="26">
        <f t="shared" si="50"/>
        <v>0</v>
      </c>
      <c r="X251" s="26">
        <f t="shared" si="53"/>
        <v>0</v>
      </c>
      <c r="Y251" s="26">
        <f t="shared" si="51"/>
        <v>0</v>
      </c>
      <c r="Z251" s="26">
        <f t="shared" si="44"/>
        <v>0</v>
      </c>
      <c r="AA251" s="33" t="s">
        <v>15</v>
      </c>
      <c r="AB251" s="36" t="s">
        <v>16</v>
      </c>
      <c r="AC251" s="181">
        <f t="shared" si="41"/>
        <v>6</v>
      </c>
      <c r="AD251" s="181">
        <f t="shared" si="52"/>
        <v>136887</v>
      </c>
      <c r="AE251" s="181">
        <v>1.7</v>
      </c>
      <c r="AF251" s="181">
        <v>1.7</v>
      </c>
      <c r="AG251" s="101" t="str">
        <f t="shared" si="42"/>
        <v/>
      </c>
      <c r="AH251" s="190">
        <v>0</v>
      </c>
      <c r="AI251" s="69">
        <f t="shared" si="43"/>
        <v>6</v>
      </c>
    </row>
    <row r="252" spans="1:35" s="69" customFormat="1" ht="58.5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203"/>
      <c r="F252" s="203"/>
      <c r="G252" s="203"/>
      <c r="H252" s="203">
        <v>8</v>
      </c>
      <c r="I252" s="75">
        <v>1963.3</v>
      </c>
      <c r="J252" s="75">
        <v>15706.4</v>
      </c>
      <c r="K252" s="91" t="s">
        <v>643</v>
      </c>
      <c r="L252" s="73"/>
      <c r="M252" s="46">
        <v>3</v>
      </c>
      <c r="N252" s="46">
        <v>0</v>
      </c>
      <c r="O252" s="46">
        <v>5889.9</v>
      </c>
      <c r="P252" s="98"/>
      <c r="Q252" s="23" t="s">
        <v>1431</v>
      </c>
      <c r="R252" s="24" t="s">
        <v>642</v>
      </c>
      <c r="S252" s="25" t="s">
        <v>606</v>
      </c>
      <c r="T252" s="26">
        <v>3</v>
      </c>
      <c r="U252" s="26">
        <v>8</v>
      </c>
      <c r="V252" s="26">
        <v>1963.3</v>
      </c>
      <c r="W252" s="127">
        <f t="shared" si="50"/>
        <v>0</v>
      </c>
      <c r="X252" s="127">
        <f t="shared" si="53"/>
        <v>3</v>
      </c>
      <c r="Y252" s="127">
        <f t="shared" si="51"/>
        <v>0</v>
      </c>
      <c r="Z252" s="127">
        <f t="shared" si="44"/>
        <v>5889.9</v>
      </c>
      <c r="AA252" s="33" t="s">
        <v>15</v>
      </c>
      <c r="AB252" s="36" t="s">
        <v>16</v>
      </c>
      <c r="AC252" s="181">
        <f t="shared" si="41"/>
        <v>8</v>
      </c>
      <c r="AD252" s="181">
        <f t="shared" si="52"/>
        <v>15706.4</v>
      </c>
      <c r="AE252" s="181">
        <v>1.7</v>
      </c>
      <c r="AF252" s="181">
        <v>1.7</v>
      </c>
      <c r="AG252" s="101" t="str">
        <f t="shared" si="42"/>
        <v/>
      </c>
      <c r="AH252" s="190">
        <v>3</v>
      </c>
      <c r="AI252" s="69">
        <f t="shared" si="43"/>
        <v>3</v>
      </c>
    </row>
    <row r="253" spans="1:35" s="69" customFormat="1" ht="58.5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203"/>
      <c r="F253" s="203"/>
      <c r="G253" s="203"/>
      <c r="H253" s="203">
        <v>10</v>
      </c>
      <c r="I253" s="75">
        <v>2216.6</v>
      </c>
      <c r="J253" s="75">
        <v>22166</v>
      </c>
      <c r="K253" s="91" t="s">
        <v>646</v>
      </c>
      <c r="L253" s="73"/>
      <c r="M253" s="46">
        <v>5</v>
      </c>
      <c r="N253" s="46">
        <v>0</v>
      </c>
      <c r="O253" s="46">
        <v>11083</v>
      </c>
      <c r="P253" s="98"/>
      <c r="Q253" s="23" t="s">
        <v>1395</v>
      </c>
      <c r="R253" s="24" t="s">
        <v>645</v>
      </c>
      <c r="S253" s="25" t="s">
        <v>606</v>
      </c>
      <c r="T253" s="26">
        <v>5</v>
      </c>
      <c r="U253" s="26">
        <v>10</v>
      </c>
      <c r="V253" s="26">
        <v>2216.6</v>
      </c>
      <c r="W253" s="127">
        <f t="shared" si="50"/>
        <v>0</v>
      </c>
      <c r="X253" s="127">
        <f t="shared" si="53"/>
        <v>5</v>
      </c>
      <c r="Y253" s="127">
        <f t="shared" si="51"/>
        <v>0</v>
      </c>
      <c r="Z253" s="127">
        <f t="shared" si="44"/>
        <v>11083</v>
      </c>
      <c r="AA253" s="33" t="s">
        <v>15</v>
      </c>
      <c r="AB253" s="36" t="s">
        <v>16</v>
      </c>
      <c r="AC253" s="181">
        <f t="shared" si="41"/>
        <v>10</v>
      </c>
      <c r="AD253" s="181">
        <f t="shared" si="52"/>
        <v>22166</v>
      </c>
      <c r="AE253" s="181">
        <v>1.7</v>
      </c>
      <c r="AF253" s="181">
        <v>1.7</v>
      </c>
      <c r="AG253" s="101" t="str">
        <f t="shared" si="42"/>
        <v/>
      </c>
      <c r="AH253" s="190">
        <v>5</v>
      </c>
      <c r="AI253" s="69">
        <f t="shared" si="43"/>
        <v>5</v>
      </c>
    </row>
    <row r="254" spans="1:35" s="69" customFormat="1" ht="58.5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203" t="s">
        <v>15</v>
      </c>
      <c r="I254" s="75">
        <v>2999.02</v>
      </c>
      <c r="J254" s="75">
        <v>50983.34</v>
      </c>
      <c r="K254" s="91" t="s">
        <v>649</v>
      </c>
      <c r="L254" s="73"/>
      <c r="M254" s="46">
        <v>7</v>
      </c>
      <c r="N254" s="46">
        <v>0</v>
      </c>
      <c r="O254" s="46">
        <v>20993.14</v>
      </c>
      <c r="P254" s="98"/>
      <c r="Q254" s="23" t="s">
        <v>1432</v>
      </c>
      <c r="R254" s="24" t="s">
        <v>648</v>
      </c>
      <c r="S254" s="25" t="s">
        <v>606</v>
      </c>
      <c r="T254" s="26">
        <v>7</v>
      </c>
      <c r="U254" s="26">
        <v>17</v>
      </c>
      <c r="V254" s="26">
        <v>2999.02</v>
      </c>
      <c r="W254" s="26">
        <f t="shared" si="50"/>
        <v>0</v>
      </c>
      <c r="X254" s="26">
        <f t="shared" si="53"/>
        <v>7</v>
      </c>
      <c r="Y254" s="26">
        <f t="shared" si="51"/>
        <v>0</v>
      </c>
      <c r="Z254" s="26">
        <f t="shared" si="44"/>
        <v>20993.14</v>
      </c>
      <c r="AA254" s="27" t="s">
        <v>15</v>
      </c>
      <c r="AB254" s="36" t="s">
        <v>16</v>
      </c>
      <c r="AC254" s="181">
        <f t="shared" si="41"/>
        <v>17</v>
      </c>
      <c r="AD254" s="181">
        <f t="shared" si="52"/>
        <v>50983.34</v>
      </c>
      <c r="AE254" s="181">
        <v>1.7</v>
      </c>
      <c r="AF254" s="181">
        <v>1.7</v>
      </c>
      <c r="AG254" s="101" t="str">
        <f t="shared" si="42"/>
        <v/>
      </c>
      <c r="AH254" s="190">
        <v>7</v>
      </c>
      <c r="AI254" s="69">
        <f t="shared" si="43"/>
        <v>17</v>
      </c>
    </row>
    <row r="255" spans="1:35" s="69" customFormat="1" ht="58.5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203"/>
      <c r="F255" s="203"/>
      <c r="G255" s="203"/>
      <c r="H255" s="203" t="s">
        <v>15</v>
      </c>
      <c r="I255" s="75">
        <v>4720.5600000000004</v>
      </c>
      <c r="J255" s="75">
        <v>14161.68</v>
      </c>
      <c r="K255" s="91" t="s">
        <v>652</v>
      </c>
      <c r="L255" s="73"/>
      <c r="M255" s="46">
        <v>3</v>
      </c>
      <c r="N255" s="46">
        <v>0</v>
      </c>
      <c r="O255" s="46">
        <v>14161.68</v>
      </c>
      <c r="P255" s="98"/>
      <c r="Q255" s="23" t="s">
        <v>1433</v>
      </c>
      <c r="R255" s="24" t="s">
        <v>651</v>
      </c>
      <c r="S255" s="25" t="s">
        <v>606</v>
      </c>
      <c r="T255" s="26">
        <v>3</v>
      </c>
      <c r="U255" s="26">
        <v>3</v>
      </c>
      <c r="V255" s="26">
        <v>4720.5600000000004</v>
      </c>
      <c r="W255" s="127">
        <f t="shared" si="50"/>
        <v>0</v>
      </c>
      <c r="X255" s="127">
        <f t="shared" si="53"/>
        <v>3</v>
      </c>
      <c r="Y255" s="127">
        <f t="shared" si="51"/>
        <v>0</v>
      </c>
      <c r="Z255" s="127">
        <f t="shared" si="44"/>
        <v>14161.68</v>
      </c>
      <c r="AA255" s="33" t="s">
        <v>15</v>
      </c>
      <c r="AB255" s="36" t="s">
        <v>16</v>
      </c>
      <c r="AC255" s="181">
        <f t="shared" si="41"/>
        <v>3</v>
      </c>
      <c r="AD255" s="181">
        <f t="shared" si="52"/>
        <v>14161.68</v>
      </c>
      <c r="AE255" s="181">
        <v>1.7</v>
      </c>
      <c r="AF255" s="181">
        <v>1.7</v>
      </c>
      <c r="AG255" s="101" t="str">
        <f t="shared" si="42"/>
        <v/>
      </c>
      <c r="AH255" s="190">
        <v>3</v>
      </c>
      <c r="AI255" s="69">
        <f t="shared" si="43"/>
        <v>3</v>
      </c>
    </row>
    <row r="256" spans="1:35" s="69" customFormat="1" ht="58.5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203"/>
      <c r="F256" s="203"/>
      <c r="G256" s="203"/>
      <c r="H256" s="203">
        <v>5</v>
      </c>
      <c r="I256" s="75">
        <v>5897.9</v>
      </c>
      <c r="J256" s="75">
        <v>29489.5</v>
      </c>
      <c r="K256" s="91" t="s">
        <v>655</v>
      </c>
      <c r="L256" s="73"/>
      <c r="M256" s="46">
        <v>4</v>
      </c>
      <c r="N256" s="46">
        <v>0</v>
      </c>
      <c r="O256" s="46">
        <v>23591.599999999999</v>
      </c>
      <c r="P256" s="98"/>
      <c r="Q256" s="23" t="s">
        <v>1382</v>
      </c>
      <c r="R256" s="24" t="s">
        <v>654</v>
      </c>
      <c r="S256" s="25" t="s">
        <v>606</v>
      </c>
      <c r="T256" s="26">
        <v>4</v>
      </c>
      <c r="U256" s="26">
        <v>5</v>
      </c>
      <c r="V256" s="26">
        <v>5897.9</v>
      </c>
      <c r="W256" s="127">
        <f t="shared" si="50"/>
        <v>0</v>
      </c>
      <c r="X256" s="127">
        <f t="shared" si="53"/>
        <v>4</v>
      </c>
      <c r="Y256" s="127">
        <f t="shared" si="51"/>
        <v>0</v>
      </c>
      <c r="Z256" s="127">
        <f t="shared" si="44"/>
        <v>23591.599999999999</v>
      </c>
      <c r="AA256" s="33" t="s">
        <v>15</v>
      </c>
      <c r="AB256" s="36" t="s">
        <v>16</v>
      </c>
      <c r="AC256" s="181">
        <f t="shared" si="41"/>
        <v>5</v>
      </c>
      <c r="AD256" s="181">
        <f t="shared" si="52"/>
        <v>29489.5</v>
      </c>
      <c r="AE256" s="181">
        <v>1.7</v>
      </c>
      <c r="AF256" s="181">
        <v>1.7</v>
      </c>
      <c r="AG256" s="101" t="str">
        <f t="shared" si="42"/>
        <v/>
      </c>
      <c r="AH256" s="190">
        <v>4</v>
      </c>
      <c r="AI256" s="69">
        <f t="shared" si="43"/>
        <v>4</v>
      </c>
    </row>
    <row r="257" spans="1:35" s="69" customFormat="1" ht="58.5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203"/>
      <c r="F257" s="203"/>
      <c r="G257" s="203"/>
      <c r="H257" s="203" t="s">
        <v>15</v>
      </c>
      <c r="I257" s="75">
        <v>9356.16</v>
      </c>
      <c r="J257" s="75">
        <v>9356.16</v>
      </c>
      <c r="K257" s="91" t="s">
        <v>658</v>
      </c>
      <c r="L257" s="73"/>
      <c r="M257" s="46">
        <v>1</v>
      </c>
      <c r="N257" s="46">
        <v>0</v>
      </c>
      <c r="O257" s="46">
        <v>9356.16</v>
      </c>
      <c r="P257" s="98"/>
      <c r="Q257" s="23" t="s">
        <v>1434</v>
      </c>
      <c r="R257" s="24" t="s">
        <v>657</v>
      </c>
      <c r="S257" s="25" t="s">
        <v>606</v>
      </c>
      <c r="T257" s="26">
        <v>1</v>
      </c>
      <c r="U257" s="26">
        <v>1</v>
      </c>
      <c r="V257" s="26">
        <v>9356.16</v>
      </c>
      <c r="W257" s="127">
        <f t="shared" si="50"/>
        <v>0</v>
      </c>
      <c r="X257" s="127">
        <f t="shared" si="53"/>
        <v>1</v>
      </c>
      <c r="Y257" s="127">
        <f t="shared" si="51"/>
        <v>0</v>
      </c>
      <c r="Z257" s="127">
        <f t="shared" si="44"/>
        <v>9356.16</v>
      </c>
      <c r="AA257" s="33" t="s">
        <v>15</v>
      </c>
      <c r="AB257" s="36" t="s">
        <v>16</v>
      </c>
      <c r="AC257" s="181">
        <f t="shared" si="41"/>
        <v>1</v>
      </c>
      <c r="AD257" s="181">
        <f t="shared" si="52"/>
        <v>9356.16</v>
      </c>
      <c r="AE257" s="181">
        <v>1.7</v>
      </c>
      <c r="AF257" s="181">
        <v>1.7</v>
      </c>
      <c r="AG257" s="101" t="str">
        <f t="shared" si="42"/>
        <v/>
      </c>
      <c r="AH257" s="190">
        <v>1</v>
      </c>
      <c r="AI257" s="69">
        <f t="shared" si="43"/>
        <v>1</v>
      </c>
    </row>
    <row r="258" spans="1:35" s="69" customFormat="1" ht="58.5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203"/>
      <c r="F258" s="203"/>
      <c r="G258" s="203"/>
      <c r="H258" s="203" t="s">
        <v>15</v>
      </c>
      <c r="I258" s="75">
        <v>13184.01</v>
      </c>
      <c r="J258" s="75">
        <v>13184.01</v>
      </c>
      <c r="K258" s="91" t="s">
        <v>661</v>
      </c>
      <c r="L258" s="73"/>
      <c r="M258" s="46">
        <v>1</v>
      </c>
      <c r="N258" s="46">
        <v>0</v>
      </c>
      <c r="O258" s="46">
        <v>13184.01</v>
      </c>
      <c r="P258" s="98"/>
      <c r="Q258" s="23" t="s">
        <v>1388</v>
      </c>
      <c r="R258" s="24" t="s">
        <v>660</v>
      </c>
      <c r="S258" s="25" t="s">
        <v>606</v>
      </c>
      <c r="T258" s="26">
        <v>1</v>
      </c>
      <c r="U258" s="26">
        <v>1</v>
      </c>
      <c r="V258" s="26">
        <v>13184.01</v>
      </c>
      <c r="W258" s="127">
        <f t="shared" si="50"/>
        <v>0</v>
      </c>
      <c r="X258" s="127">
        <f t="shared" si="53"/>
        <v>1</v>
      </c>
      <c r="Y258" s="127">
        <f t="shared" si="51"/>
        <v>0</v>
      </c>
      <c r="Z258" s="127">
        <f t="shared" si="44"/>
        <v>13184.01</v>
      </c>
      <c r="AA258" s="33" t="s">
        <v>15</v>
      </c>
      <c r="AB258" s="36" t="s">
        <v>16</v>
      </c>
      <c r="AC258" s="181">
        <f t="shared" si="41"/>
        <v>1</v>
      </c>
      <c r="AD258" s="181">
        <f t="shared" si="52"/>
        <v>13184.01</v>
      </c>
      <c r="AE258" s="181">
        <v>1.7</v>
      </c>
      <c r="AF258" s="181">
        <v>1.7</v>
      </c>
      <c r="AG258" s="101" t="str">
        <f t="shared" si="42"/>
        <v/>
      </c>
      <c r="AH258" s="190">
        <v>1</v>
      </c>
      <c r="AI258" s="69">
        <f t="shared" si="43"/>
        <v>1</v>
      </c>
    </row>
    <row r="259" spans="1:35" s="69" customFormat="1" ht="39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203"/>
      <c r="F259" s="203"/>
      <c r="G259" s="203"/>
      <c r="H259" s="203" t="s">
        <v>15</v>
      </c>
      <c r="I259" s="75">
        <v>1859.87</v>
      </c>
      <c r="J259" s="75">
        <v>87432.49</v>
      </c>
      <c r="K259" s="91" t="s">
        <v>664</v>
      </c>
      <c r="L259" s="73"/>
      <c r="M259" s="46">
        <v>47.01</v>
      </c>
      <c r="N259" s="46">
        <v>0</v>
      </c>
      <c r="O259" s="46">
        <v>87432.49</v>
      </c>
      <c r="P259" s="98"/>
      <c r="Q259" s="23" t="s">
        <v>1389</v>
      </c>
      <c r="R259" s="24" t="s">
        <v>663</v>
      </c>
      <c r="S259" s="25" t="s">
        <v>30</v>
      </c>
      <c r="T259" s="26">
        <v>47.01</v>
      </c>
      <c r="U259" s="26">
        <v>47.01</v>
      </c>
      <c r="V259" s="26">
        <v>1859.87</v>
      </c>
      <c r="W259" s="127">
        <f t="shared" si="50"/>
        <v>0</v>
      </c>
      <c r="X259" s="127">
        <f t="shared" si="53"/>
        <v>47.01</v>
      </c>
      <c r="Y259" s="127">
        <f t="shared" si="51"/>
        <v>0</v>
      </c>
      <c r="Z259" s="127">
        <f t="shared" si="44"/>
        <v>87432.49</v>
      </c>
      <c r="AA259" s="33" t="s">
        <v>15</v>
      </c>
      <c r="AB259" s="36" t="s">
        <v>16</v>
      </c>
      <c r="AC259" s="181">
        <f t="shared" si="41"/>
        <v>47.01</v>
      </c>
      <c r="AD259" s="181">
        <f t="shared" si="52"/>
        <v>87432.49</v>
      </c>
      <c r="AE259" s="181">
        <v>1.7</v>
      </c>
      <c r="AF259" s="181">
        <v>1.7</v>
      </c>
      <c r="AG259" s="101" t="str">
        <f t="shared" si="42"/>
        <v/>
      </c>
      <c r="AH259" s="190">
        <v>47.01</v>
      </c>
      <c r="AI259" s="69">
        <f t="shared" si="43"/>
        <v>47.01</v>
      </c>
    </row>
    <row r="260" spans="1:35" s="69" customFormat="1" ht="58.5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203"/>
      <c r="F260" s="203"/>
      <c r="G260" s="203"/>
      <c r="H260" s="203" t="s">
        <v>15</v>
      </c>
      <c r="I260" s="75">
        <v>40</v>
      </c>
      <c r="J260" s="75">
        <v>2520</v>
      </c>
      <c r="K260" s="91" t="s">
        <v>667</v>
      </c>
      <c r="L260" s="73"/>
      <c r="M260" s="46">
        <v>63</v>
      </c>
      <c r="N260" s="46">
        <v>0</v>
      </c>
      <c r="O260" s="46">
        <v>2520</v>
      </c>
      <c r="P260" s="98"/>
      <c r="Q260" s="23" t="s">
        <v>1390</v>
      </c>
      <c r="R260" s="24" t="s">
        <v>666</v>
      </c>
      <c r="S260" s="25" t="s">
        <v>325</v>
      </c>
      <c r="T260" s="26">
        <v>63</v>
      </c>
      <c r="U260" s="26">
        <v>63</v>
      </c>
      <c r="V260" s="26">
        <v>40</v>
      </c>
      <c r="W260" s="127">
        <f t="shared" si="50"/>
        <v>0</v>
      </c>
      <c r="X260" s="127">
        <f t="shared" si="53"/>
        <v>63</v>
      </c>
      <c r="Y260" s="127">
        <f t="shared" si="51"/>
        <v>0</v>
      </c>
      <c r="Z260" s="127">
        <f t="shared" si="44"/>
        <v>2520</v>
      </c>
      <c r="AA260" s="33" t="s">
        <v>15</v>
      </c>
      <c r="AB260" s="36" t="s">
        <v>16</v>
      </c>
      <c r="AC260" s="181">
        <f t="shared" si="41"/>
        <v>63</v>
      </c>
      <c r="AD260" s="181">
        <f t="shared" si="52"/>
        <v>2520</v>
      </c>
      <c r="AE260" s="181">
        <v>1.7</v>
      </c>
      <c r="AF260" s="181">
        <v>1.7</v>
      </c>
      <c r="AG260" s="101" t="str">
        <f t="shared" si="42"/>
        <v/>
      </c>
      <c r="AH260" s="190">
        <v>63</v>
      </c>
      <c r="AI260" s="69">
        <f t="shared" si="43"/>
        <v>63</v>
      </c>
    </row>
    <row r="261" spans="1:35" s="69" customFormat="1" ht="58.5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203"/>
      <c r="F261" s="203"/>
      <c r="G261" s="203"/>
      <c r="H261" s="203" t="s">
        <v>15</v>
      </c>
      <c r="I261" s="75">
        <v>35</v>
      </c>
      <c r="J261" s="75">
        <v>11025</v>
      </c>
      <c r="K261" s="91" t="s">
        <v>670</v>
      </c>
      <c r="L261" s="73"/>
      <c r="M261" s="46">
        <v>315</v>
      </c>
      <c r="N261" s="46">
        <v>0</v>
      </c>
      <c r="O261" s="46">
        <v>11025</v>
      </c>
      <c r="P261" s="98"/>
      <c r="Q261" s="23" t="s">
        <v>1391</v>
      </c>
      <c r="R261" s="24" t="s">
        <v>669</v>
      </c>
      <c r="S261" s="25" t="s">
        <v>162</v>
      </c>
      <c r="T261" s="26">
        <v>315</v>
      </c>
      <c r="U261" s="26">
        <v>315</v>
      </c>
      <c r="V261" s="26">
        <v>35</v>
      </c>
      <c r="W261" s="127">
        <f t="shared" si="50"/>
        <v>0</v>
      </c>
      <c r="X261" s="127">
        <f t="shared" si="53"/>
        <v>315</v>
      </c>
      <c r="Y261" s="127">
        <f t="shared" si="51"/>
        <v>0</v>
      </c>
      <c r="Z261" s="127">
        <f t="shared" si="44"/>
        <v>11025</v>
      </c>
      <c r="AA261" s="33" t="s">
        <v>15</v>
      </c>
      <c r="AB261" s="36" t="s">
        <v>16</v>
      </c>
      <c r="AC261" s="181">
        <f t="shared" si="41"/>
        <v>315</v>
      </c>
      <c r="AD261" s="181">
        <f t="shared" si="52"/>
        <v>11025</v>
      </c>
      <c r="AE261" s="181">
        <v>1.7</v>
      </c>
      <c r="AF261" s="181">
        <v>1.7</v>
      </c>
      <c r="AG261" s="101" t="str">
        <f t="shared" si="42"/>
        <v/>
      </c>
      <c r="AH261" s="190">
        <v>315</v>
      </c>
      <c r="AI261" s="69">
        <f t="shared" si="43"/>
        <v>315</v>
      </c>
    </row>
    <row r="262" spans="1:35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 t="s">
        <v>15</v>
      </c>
      <c r="I262" s="75">
        <v>10</v>
      </c>
      <c r="J262" s="75">
        <v>12000</v>
      </c>
      <c r="K262" s="91" t="s">
        <v>673</v>
      </c>
      <c r="L262" s="73"/>
      <c r="M262" s="46">
        <v>0</v>
      </c>
      <c r="N262" s="46">
        <v>0</v>
      </c>
      <c r="O262" s="46">
        <v>0</v>
      </c>
      <c r="P262" s="98"/>
      <c r="Q262" s="23" t="s">
        <v>1436</v>
      </c>
      <c r="R262" s="24" t="s">
        <v>672</v>
      </c>
      <c r="S262" s="25" t="s">
        <v>30</v>
      </c>
      <c r="T262" s="26">
        <v>1200</v>
      </c>
      <c r="U262" s="26">
        <v>1200</v>
      </c>
      <c r="V262" s="26">
        <v>10</v>
      </c>
      <c r="W262" s="26">
        <f t="shared" si="50"/>
        <v>0</v>
      </c>
      <c r="X262" s="26">
        <f t="shared" si="53"/>
        <v>0</v>
      </c>
      <c r="Y262" s="26">
        <f t="shared" si="51"/>
        <v>0</v>
      </c>
      <c r="Z262" s="26">
        <f t="shared" si="44"/>
        <v>0</v>
      </c>
      <c r="AA262" s="33" t="s">
        <v>15</v>
      </c>
      <c r="AB262" s="36" t="s">
        <v>16</v>
      </c>
      <c r="AC262" s="181">
        <f t="shared" si="41"/>
        <v>1200</v>
      </c>
      <c r="AD262" s="181">
        <f t="shared" si="52"/>
        <v>12000</v>
      </c>
      <c r="AE262" s="181">
        <v>1.7</v>
      </c>
      <c r="AF262" s="181">
        <v>1.7</v>
      </c>
      <c r="AG262" s="101" t="str">
        <f t="shared" si="42"/>
        <v/>
      </c>
      <c r="AH262" s="190">
        <v>0</v>
      </c>
      <c r="AI262" s="69">
        <f t="shared" si="43"/>
        <v>1200</v>
      </c>
    </row>
    <row r="263" spans="1:35" s="69" customFormat="1" ht="33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203"/>
      <c r="F263" s="203"/>
      <c r="G263" s="203"/>
      <c r="H263" s="203" t="s">
        <v>15</v>
      </c>
      <c r="I263" s="75">
        <v>531</v>
      </c>
      <c r="J263" s="75">
        <v>16381.35</v>
      </c>
      <c r="K263" s="91" t="s">
        <v>676</v>
      </c>
      <c r="L263" s="73"/>
      <c r="M263" s="46">
        <v>30.85</v>
      </c>
      <c r="N263" s="46">
        <v>0</v>
      </c>
      <c r="O263" s="46">
        <v>16381.35</v>
      </c>
      <c r="P263" s="98"/>
      <c r="Q263" s="23" t="s">
        <v>1374</v>
      </c>
      <c r="R263" s="24" t="s">
        <v>675</v>
      </c>
      <c r="S263" s="25" t="s">
        <v>50</v>
      </c>
      <c r="T263" s="26">
        <v>30.85</v>
      </c>
      <c r="U263" s="26">
        <v>30.85</v>
      </c>
      <c r="V263" s="26">
        <v>531</v>
      </c>
      <c r="W263" s="127">
        <f t="shared" si="50"/>
        <v>0</v>
      </c>
      <c r="X263" s="127">
        <f t="shared" si="53"/>
        <v>30.85</v>
      </c>
      <c r="Y263" s="127">
        <f t="shared" si="51"/>
        <v>0</v>
      </c>
      <c r="Z263" s="127">
        <f t="shared" si="44"/>
        <v>16381.35</v>
      </c>
      <c r="AA263" s="33" t="s">
        <v>15</v>
      </c>
      <c r="AB263" s="36" t="s">
        <v>16</v>
      </c>
      <c r="AC263" s="181">
        <f t="shared" si="41"/>
        <v>30.85</v>
      </c>
      <c r="AD263" s="181">
        <f t="shared" si="52"/>
        <v>16381.35</v>
      </c>
      <c r="AE263" s="181">
        <v>1.7</v>
      </c>
      <c r="AF263" s="181">
        <v>1.7</v>
      </c>
      <c r="AG263" s="101" t="str">
        <f t="shared" si="42"/>
        <v/>
      </c>
      <c r="AH263" s="190">
        <v>30.85</v>
      </c>
      <c r="AI263" s="69">
        <f t="shared" si="43"/>
        <v>30.85</v>
      </c>
    </row>
    <row r="264" spans="1:35" s="69" customFormat="1" ht="33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203"/>
      <c r="F264" s="203"/>
      <c r="G264" s="203"/>
      <c r="H264" s="225" t="s">
        <v>15</v>
      </c>
      <c r="I264" s="75">
        <v>3386.57</v>
      </c>
      <c r="J264" s="75">
        <v>12530.31</v>
      </c>
      <c r="K264" s="91" t="s">
        <v>679</v>
      </c>
      <c r="L264" s="73"/>
      <c r="M264" s="46">
        <v>3.7</v>
      </c>
      <c r="N264" s="46">
        <v>0</v>
      </c>
      <c r="O264" s="46">
        <v>12530.31</v>
      </c>
      <c r="P264" s="98"/>
      <c r="Q264" s="23" t="s">
        <v>1376</v>
      </c>
      <c r="R264" s="24" t="s">
        <v>678</v>
      </c>
      <c r="S264" s="25" t="s">
        <v>23</v>
      </c>
      <c r="T264" s="26">
        <v>3.7</v>
      </c>
      <c r="U264" s="26">
        <v>3.7</v>
      </c>
      <c r="V264" s="26">
        <v>3386.57</v>
      </c>
      <c r="W264" s="127">
        <f t="shared" si="50"/>
        <v>0</v>
      </c>
      <c r="X264" s="127">
        <f t="shared" si="53"/>
        <v>3.7</v>
      </c>
      <c r="Y264" s="127">
        <f t="shared" si="51"/>
        <v>0</v>
      </c>
      <c r="Z264" s="127">
        <f t="shared" si="44"/>
        <v>12530.31</v>
      </c>
      <c r="AA264" s="33" t="s">
        <v>15</v>
      </c>
      <c r="AB264" s="36" t="s">
        <v>16</v>
      </c>
      <c r="AC264" s="181">
        <f t="shared" si="41"/>
        <v>3.7</v>
      </c>
      <c r="AD264" s="181">
        <f t="shared" si="52"/>
        <v>12530.31</v>
      </c>
      <c r="AE264" s="181">
        <v>1.7</v>
      </c>
      <c r="AF264" s="181">
        <v>1.7</v>
      </c>
      <c r="AG264" s="101" t="str">
        <f t="shared" si="42"/>
        <v/>
      </c>
      <c r="AH264" s="190">
        <v>3.7</v>
      </c>
      <c r="AI264" s="69">
        <f t="shared" si="43"/>
        <v>3.7</v>
      </c>
    </row>
    <row r="265" spans="1:35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161"/>
      <c r="H265" s="158" t="s">
        <v>15</v>
      </c>
      <c r="I265" s="166">
        <v>108000</v>
      </c>
      <c r="J265" s="75">
        <v>108000</v>
      </c>
      <c r="K265" s="91" t="s">
        <v>682</v>
      </c>
      <c r="L265" s="73"/>
      <c r="M265" s="46">
        <v>0</v>
      </c>
      <c r="N265" s="46">
        <v>0</v>
      </c>
      <c r="O265" s="46">
        <v>0</v>
      </c>
      <c r="P265" s="98"/>
      <c r="Q265" s="23" t="s">
        <v>1378</v>
      </c>
      <c r="R265" s="24" t="s">
        <v>681</v>
      </c>
      <c r="S265" s="25" t="s">
        <v>14</v>
      </c>
      <c r="T265" s="26">
        <v>1</v>
      </c>
      <c r="U265" s="26">
        <v>1</v>
      </c>
      <c r="V265" s="26">
        <v>108000</v>
      </c>
      <c r="W265" s="26">
        <f t="shared" si="50"/>
        <v>0</v>
      </c>
      <c r="X265" s="26">
        <f t="shared" si="53"/>
        <v>0</v>
      </c>
      <c r="Y265" s="26">
        <f t="shared" si="51"/>
        <v>0</v>
      </c>
      <c r="Z265" s="26">
        <f t="shared" si="44"/>
        <v>0</v>
      </c>
      <c r="AA265" s="33" t="s">
        <v>15</v>
      </c>
      <c r="AB265" s="36" t="s">
        <v>16</v>
      </c>
      <c r="AC265" s="181">
        <f t="shared" si="41"/>
        <v>1</v>
      </c>
      <c r="AD265" s="181">
        <f t="shared" si="52"/>
        <v>108000</v>
      </c>
      <c r="AE265" s="181">
        <v>1.7</v>
      </c>
      <c r="AF265" s="181">
        <v>1.7</v>
      </c>
      <c r="AG265" s="101" t="str">
        <f t="shared" si="42"/>
        <v/>
      </c>
      <c r="AH265" s="190">
        <v>0</v>
      </c>
      <c r="AI265" s="69">
        <f t="shared" si="43"/>
        <v>1</v>
      </c>
    </row>
    <row r="266" spans="1:35" s="69" customFormat="1" ht="39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161"/>
      <c r="H266" s="158" t="s">
        <v>15</v>
      </c>
      <c r="I266" s="166">
        <v>500</v>
      </c>
      <c r="J266" s="75">
        <v>724160</v>
      </c>
      <c r="K266" s="91" t="s">
        <v>685</v>
      </c>
      <c r="L266" s="73"/>
      <c r="M266" s="46">
        <v>0</v>
      </c>
      <c r="N266" s="46">
        <v>0</v>
      </c>
      <c r="O266" s="46">
        <v>0</v>
      </c>
      <c r="P266" s="98"/>
      <c r="Q266" s="23" t="s">
        <v>1438</v>
      </c>
      <c r="R266" s="24" t="s">
        <v>684</v>
      </c>
      <c r="S266" s="25" t="s">
        <v>50</v>
      </c>
      <c r="T266" s="26">
        <v>1448.32</v>
      </c>
      <c r="U266" s="26">
        <v>1448.32</v>
      </c>
      <c r="V266" s="26">
        <v>500</v>
      </c>
      <c r="W266" s="26">
        <f t="shared" si="50"/>
        <v>0</v>
      </c>
      <c r="X266" s="26">
        <f t="shared" si="53"/>
        <v>0</v>
      </c>
      <c r="Y266" s="26">
        <f t="shared" si="51"/>
        <v>0</v>
      </c>
      <c r="Z266" s="26">
        <f t="shared" si="44"/>
        <v>0</v>
      </c>
      <c r="AA266" s="33" t="s">
        <v>15</v>
      </c>
      <c r="AB266" s="36" t="s">
        <v>16</v>
      </c>
      <c r="AC266" s="181">
        <f t="shared" si="41"/>
        <v>1448.32</v>
      </c>
      <c r="AD266" s="181">
        <f t="shared" si="52"/>
        <v>724160</v>
      </c>
      <c r="AE266" s="181">
        <v>1.7</v>
      </c>
      <c r="AF266" s="181">
        <v>1.7</v>
      </c>
      <c r="AG266" s="101" t="str">
        <f t="shared" si="42"/>
        <v/>
      </c>
      <c r="AH266" s="190">
        <v>0</v>
      </c>
      <c r="AI266" s="69">
        <f t="shared" si="43"/>
        <v>1448.32</v>
      </c>
    </row>
    <row r="267" spans="1:35" s="69" customFormat="1" ht="78" hidden="1" x14ac:dyDescent="0.3">
      <c r="A267" s="55" t="s">
        <v>686</v>
      </c>
      <c r="B267" s="53" t="s">
        <v>687</v>
      </c>
      <c r="C267" s="54" t="s">
        <v>606</v>
      </c>
      <c r="D267" s="75">
        <v>42</v>
      </c>
      <c r="E267" s="75"/>
      <c r="F267" s="75"/>
      <c r="G267" s="161"/>
      <c r="H267" s="158" t="s">
        <v>15</v>
      </c>
      <c r="I267" s="166">
        <v>10176.969999999999</v>
      </c>
      <c r="J267" s="75">
        <v>427432.74</v>
      </c>
      <c r="K267" s="91" t="s">
        <v>688</v>
      </c>
      <c r="L267" s="73"/>
      <c r="M267" s="46">
        <v>0</v>
      </c>
      <c r="N267" s="46">
        <v>0</v>
      </c>
      <c r="O267" s="46">
        <v>0</v>
      </c>
      <c r="P267" s="98"/>
      <c r="Q267" s="23" t="s">
        <v>1439</v>
      </c>
      <c r="R267" s="24" t="s">
        <v>687</v>
      </c>
      <c r="S267" s="25" t="s">
        <v>606</v>
      </c>
      <c r="T267" s="26">
        <v>42</v>
      </c>
      <c r="U267" s="26">
        <v>42</v>
      </c>
      <c r="V267" s="26">
        <v>10176.969999999999</v>
      </c>
      <c r="W267" s="26">
        <f t="shared" si="50"/>
        <v>0</v>
      </c>
      <c r="X267" s="26">
        <f t="shared" si="53"/>
        <v>0</v>
      </c>
      <c r="Y267" s="26">
        <f t="shared" si="51"/>
        <v>0</v>
      </c>
      <c r="Z267" s="26">
        <f t="shared" si="44"/>
        <v>0</v>
      </c>
      <c r="AA267" s="33" t="s">
        <v>15</v>
      </c>
      <c r="AB267" s="36" t="s">
        <v>16</v>
      </c>
      <c r="AC267" s="181">
        <f t="shared" ref="AC267:AC330" si="54">IF(U267="",T267,U267)</f>
        <v>42</v>
      </c>
      <c r="AD267" s="181">
        <f t="shared" si="52"/>
        <v>427432.74</v>
      </c>
      <c r="AE267" s="181">
        <v>1.7</v>
      </c>
      <c r="AF267" s="181">
        <v>1.7</v>
      </c>
      <c r="AG267" s="101" t="str">
        <f t="shared" ref="AG267:AG330" si="55">IF(X267&gt;AI267,"超估","")</f>
        <v/>
      </c>
      <c r="AH267" s="190">
        <v>0</v>
      </c>
      <c r="AI267" s="69">
        <f t="shared" ref="AI267:AI330" si="56">IF(G267=0,IF(F267=0,IF(E267=0,D267,E267),F267),G267)</f>
        <v>42</v>
      </c>
    </row>
    <row r="268" spans="1:35" s="69" customFormat="1" ht="78" hidden="1" x14ac:dyDescent="0.3">
      <c r="A268" s="55" t="s">
        <v>689</v>
      </c>
      <c r="B268" s="53" t="s">
        <v>690</v>
      </c>
      <c r="C268" s="54" t="s">
        <v>606</v>
      </c>
      <c r="D268" s="75">
        <v>19</v>
      </c>
      <c r="E268" s="75"/>
      <c r="F268" s="75"/>
      <c r="G268" s="161"/>
      <c r="H268" s="158" t="s">
        <v>15</v>
      </c>
      <c r="I268" s="166">
        <v>13526.18</v>
      </c>
      <c r="J268" s="75">
        <v>256997.42</v>
      </c>
      <c r="K268" s="91" t="s">
        <v>691</v>
      </c>
      <c r="L268" s="73"/>
      <c r="M268" s="46">
        <v>0</v>
      </c>
      <c r="N268" s="46">
        <v>0</v>
      </c>
      <c r="O268" s="46">
        <v>0</v>
      </c>
      <c r="P268" s="98"/>
      <c r="Q268" s="23" t="s">
        <v>1440</v>
      </c>
      <c r="R268" s="24" t="s">
        <v>690</v>
      </c>
      <c r="S268" s="25" t="s">
        <v>606</v>
      </c>
      <c r="T268" s="26">
        <v>19</v>
      </c>
      <c r="U268" s="26">
        <v>19</v>
      </c>
      <c r="V268" s="26">
        <v>13526.18</v>
      </c>
      <c r="W268" s="26">
        <f t="shared" si="50"/>
        <v>0</v>
      </c>
      <c r="X268" s="26">
        <f t="shared" si="53"/>
        <v>0</v>
      </c>
      <c r="Y268" s="26">
        <f t="shared" si="51"/>
        <v>0</v>
      </c>
      <c r="Z268" s="26">
        <f t="shared" ref="Z268:Z331" si="57">ROUND(V268*X268,2)</f>
        <v>0</v>
      </c>
      <c r="AA268" s="33" t="s">
        <v>15</v>
      </c>
      <c r="AB268" s="36" t="s">
        <v>16</v>
      </c>
      <c r="AC268" s="181">
        <f t="shared" si="54"/>
        <v>19</v>
      </c>
      <c r="AD268" s="181">
        <f t="shared" si="52"/>
        <v>256997.42</v>
      </c>
      <c r="AE268" s="181">
        <v>1.7</v>
      </c>
      <c r="AF268" s="181">
        <v>1.7</v>
      </c>
      <c r="AG268" s="101" t="str">
        <f t="shared" si="55"/>
        <v/>
      </c>
      <c r="AH268" s="190">
        <v>0</v>
      </c>
      <c r="AI268" s="69">
        <f t="shared" si="56"/>
        <v>19</v>
      </c>
    </row>
    <row r="269" spans="1:35" s="69" customFormat="1" ht="78" hidden="1" x14ac:dyDescent="0.3">
      <c r="A269" s="55" t="s">
        <v>692</v>
      </c>
      <c r="B269" s="53" t="s">
        <v>693</v>
      </c>
      <c r="C269" s="54" t="s">
        <v>606</v>
      </c>
      <c r="D269" s="75">
        <v>8</v>
      </c>
      <c r="E269" s="75"/>
      <c r="F269" s="75"/>
      <c r="G269" s="161"/>
      <c r="H269" s="158" t="s">
        <v>15</v>
      </c>
      <c r="I269" s="166">
        <v>8660.64</v>
      </c>
      <c r="J269" s="75">
        <v>69285.119999999995</v>
      </c>
      <c r="K269" s="91" t="s">
        <v>694</v>
      </c>
      <c r="L269" s="73"/>
      <c r="M269" s="46">
        <v>0</v>
      </c>
      <c r="N269" s="46">
        <v>0</v>
      </c>
      <c r="O269" s="46">
        <v>0</v>
      </c>
      <c r="P269" s="98"/>
      <c r="Q269" s="23" t="s">
        <v>1441</v>
      </c>
      <c r="R269" s="24" t="s">
        <v>693</v>
      </c>
      <c r="S269" s="25" t="s">
        <v>606</v>
      </c>
      <c r="T269" s="26">
        <v>8</v>
      </c>
      <c r="U269" s="26">
        <v>8</v>
      </c>
      <c r="V269" s="26">
        <v>8660.64</v>
      </c>
      <c r="W269" s="26">
        <f t="shared" si="50"/>
        <v>0</v>
      </c>
      <c r="X269" s="26">
        <f t="shared" si="53"/>
        <v>0</v>
      </c>
      <c r="Y269" s="26">
        <f t="shared" si="51"/>
        <v>0</v>
      </c>
      <c r="Z269" s="26">
        <f t="shared" si="57"/>
        <v>0</v>
      </c>
      <c r="AA269" s="33" t="s">
        <v>15</v>
      </c>
      <c r="AB269" s="36" t="s">
        <v>16</v>
      </c>
      <c r="AC269" s="181">
        <f t="shared" si="54"/>
        <v>8</v>
      </c>
      <c r="AD269" s="181">
        <f t="shared" si="52"/>
        <v>69285.119999999995</v>
      </c>
      <c r="AE269" s="181">
        <v>1.7</v>
      </c>
      <c r="AF269" s="181">
        <v>1.7</v>
      </c>
      <c r="AG269" s="101" t="str">
        <f t="shared" si="55"/>
        <v/>
      </c>
      <c r="AH269" s="190">
        <v>0</v>
      </c>
      <c r="AI269" s="69">
        <f t="shared" si="56"/>
        <v>8</v>
      </c>
    </row>
    <row r="270" spans="1:35" s="69" customFormat="1" ht="78" hidden="1" x14ac:dyDescent="0.3">
      <c r="A270" s="55" t="s">
        <v>695</v>
      </c>
      <c r="B270" s="53" t="s">
        <v>696</v>
      </c>
      <c r="C270" s="54" t="s">
        <v>606</v>
      </c>
      <c r="D270" s="75">
        <v>8</v>
      </c>
      <c r="E270" s="75"/>
      <c r="F270" s="75"/>
      <c r="G270" s="161"/>
      <c r="H270" s="158" t="s">
        <v>15</v>
      </c>
      <c r="I270" s="166">
        <v>17930.64</v>
      </c>
      <c r="J270" s="75">
        <v>143445.12</v>
      </c>
      <c r="K270" s="91" t="s">
        <v>697</v>
      </c>
      <c r="L270" s="73"/>
      <c r="M270" s="46">
        <v>0</v>
      </c>
      <c r="N270" s="46">
        <v>0</v>
      </c>
      <c r="O270" s="46">
        <v>0</v>
      </c>
      <c r="P270" s="98"/>
      <c r="Q270" s="23" t="s">
        <v>1442</v>
      </c>
      <c r="R270" s="24" t="s">
        <v>696</v>
      </c>
      <c r="S270" s="25" t="s">
        <v>606</v>
      </c>
      <c r="T270" s="26">
        <v>8</v>
      </c>
      <c r="U270" s="26">
        <v>8</v>
      </c>
      <c r="V270" s="26">
        <v>17930.64</v>
      </c>
      <c r="W270" s="26">
        <f t="shared" si="50"/>
        <v>0</v>
      </c>
      <c r="X270" s="26">
        <f t="shared" si="53"/>
        <v>0</v>
      </c>
      <c r="Y270" s="26">
        <f t="shared" si="51"/>
        <v>0</v>
      </c>
      <c r="Z270" s="26">
        <f t="shared" si="57"/>
        <v>0</v>
      </c>
      <c r="AA270" s="33" t="s">
        <v>15</v>
      </c>
      <c r="AB270" s="36" t="s">
        <v>16</v>
      </c>
      <c r="AC270" s="181">
        <f t="shared" si="54"/>
        <v>8</v>
      </c>
      <c r="AD270" s="181">
        <f t="shared" si="52"/>
        <v>143445.12</v>
      </c>
      <c r="AE270" s="181">
        <v>1.7</v>
      </c>
      <c r="AF270" s="181">
        <v>1.7</v>
      </c>
      <c r="AG270" s="101" t="str">
        <f t="shared" si="55"/>
        <v/>
      </c>
      <c r="AH270" s="190">
        <v>0</v>
      </c>
      <c r="AI270" s="69">
        <f t="shared" si="56"/>
        <v>8</v>
      </c>
    </row>
    <row r="271" spans="1:35" s="69" customFormat="1" ht="78" hidden="1" x14ac:dyDescent="0.3">
      <c r="A271" s="55" t="s">
        <v>698</v>
      </c>
      <c r="B271" s="53" t="s">
        <v>699</v>
      </c>
      <c r="C271" s="54" t="s">
        <v>606</v>
      </c>
      <c r="D271" s="75">
        <v>14</v>
      </c>
      <c r="E271" s="75"/>
      <c r="F271" s="75"/>
      <c r="G271" s="161"/>
      <c r="H271" s="158" t="s">
        <v>15</v>
      </c>
      <c r="I271" s="166">
        <v>5272.95</v>
      </c>
      <c r="J271" s="75">
        <v>73821.3</v>
      </c>
      <c r="K271" s="91" t="s">
        <v>700</v>
      </c>
      <c r="L271" s="73"/>
      <c r="M271" s="46">
        <v>0</v>
      </c>
      <c r="N271" s="46">
        <v>0</v>
      </c>
      <c r="O271" s="46">
        <v>0</v>
      </c>
      <c r="P271" s="98"/>
      <c r="Q271" s="23" t="s">
        <v>1443</v>
      </c>
      <c r="R271" s="24" t="s">
        <v>699</v>
      </c>
      <c r="S271" s="25" t="s">
        <v>606</v>
      </c>
      <c r="T271" s="26">
        <v>14</v>
      </c>
      <c r="U271" s="26">
        <v>14</v>
      </c>
      <c r="V271" s="26">
        <v>5272.95</v>
      </c>
      <c r="W271" s="26">
        <f t="shared" si="50"/>
        <v>0</v>
      </c>
      <c r="X271" s="26">
        <f t="shared" si="53"/>
        <v>0</v>
      </c>
      <c r="Y271" s="26">
        <f t="shared" si="51"/>
        <v>0</v>
      </c>
      <c r="Z271" s="26">
        <f t="shared" si="57"/>
        <v>0</v>
      </c>
      <c r="AA271" s="33" t="s">
        <v>15</v>
      </c>
      <c r="AB271" s="36" t="s">
        <v>16</v>
      </c>
      <c r="AC271" s="181">
        <f t="shared" si="54"/>
        <v>14</v>
      </c>
      <c r="AD271" s="181">
        <f t="shared" si="52"/>
        <v>73821.3</v>
      </c>
      <c r="AE271" s="181">
        <v>1.7</v>
      </c>
      <c r="AF271" s="181">
        <v>1.7</v>
      </c>
      <c r="AG271" s="101" t="str">
        <f t="shared" si="55"/>
        <v/>
      </c>
      <c r="AH271" s="190">
        <v>0</v>
      </c>
      <c r="AI271" s="69">
        <f t="shared" si="56"/>
        <v>14</v>
      </c>
    </row>
    <row r="272" spans="1:35" s="69" customFormat="1" ht="78" hidden="1" x14ac:dyDescent="0.3">
      <c r="A272" s="55" t="s">
        <v>701</v>
      </c>
      <c r="B272" s="53" t="s">
        <v>702</v>
      </c>
      <c r="C272" s="54" t="s">
        <v>606</v>
      </c>
      <c r="D272" s="75">
        <v>15</v>
      </c>
      <c r="E272" s="75"/>
      <c r="F272" s="75"/>
      <c r="G272" s="161"/>
      <c r="H272" s="158" t="s">
        <v>15</v>
      </c>
      <c r="I272" s="166">
        <v>5272.95</v>
      </c>
      <c r="J272" s="75">
        <v>79094.25</v>
      </c>
      <c r="K272" s="91" t="s">
        <v>703</v>
      </c>
      <c r="L272" s="73"/>
      <c r="M272" s="46">
        <v>0</v>
      </c>
      <c r="N272" s="46">
        <v>0</v>
      </c>
      <c r="O272" s="46">
        <v>0</v>
      </c>
      <c r="P272" s="98"/>
      <c r="Q272" s="23" t="s">
        <v>1444</v>
      </c>
      <c r="R272" s="24" t="s">
        <v>702</v>
      </c>
      <c r="S272" s="25" t="s">
        <v>606</v>
      </c>
      <c r="T272" s="26">
        <v>15</v>
      </c>
      <c r="U272" s="26">
        <v>15</v>
      </c>
      <c r="V272" s="26">
        <v>5272.95</v>
      </c>
      <c r="W272" s="26">
        <f t="shared" si="50"/>
        <v>0</v>
      </c>
      <c r="X272" s="26">
        <f t="shared" si="53"/>
        <v>0</v>
      </c>
      <c r="Y272" s="26">
        <f t="shared" si="51"/>
        <v>0</v>
      </c>
      <c r="Z272" s="26">
        <f t="shared" si="57"/>
        <v>0</v>
      </c>
      <c r="AA272" s="33" t="s">
        <v>15</v>
      </c>
      <c r="AB272" s="36" t="s">
        <v>16</v>
      </c>
      <c r="AC272" s="181">
        <f t="shared" si="54"/>
        <v>15</v>
      </c>
      <c r="AD272" s="181">
        <f t="shared" si="52"/>
        <v>79094.25</v>
      </c>
      <c r="AE272" s="181">
        <v>1.7</v>
      </c>
      <c r="AF272" s="181">
        <v>1.7</v>
      </c>
      <c r="AG272" s="101" t="str">
        <f t="shared" si="55"/>
        <v/>
      </c>
      <c r="AH272" s="190">
        <v>0</v>
      </c>
      <c r="AI272" s="69">
        <f t="shared" si="56"/>
        <v>15</v>
      </c>
    </row>
    <row r="273" spans="1:35" s="69" customFormat="1" ht="78" hidden="1" x14ac:dyDescent="0.3">
      <c r="A273" s="55" t="s">
        <v>704</v>
      </c>
      <c r="B273" s="53" t="s">
        <v>705</v>
      </c>
      <c r="C273" s="54" t="s">
        <v>606</v>
      </c>
      <c r="D273" s="75">
        <v>1</v>
      </c>
      <c r="E273" s="75"/>
      <c r="F273" s="75"/>
      <c r="G273" s="161"/>
      <c r="H273" s="158" t="s">
        <v>15</v>
      </c>
      <c r="I273" s="166">
        <v>7859.47</v>
      </c>
      <c r="J273" s="75">
        <v>7859.47</v>
      </c>
      <c r="K273" s="91" t="s">
        <v>706</v>
      </c>
      <c r="L273" s="73"/>
      <c r="M273" s="46">
        <v>0</v>
      </c>
      <c r="N273" s="46">
        <v>0</v>
      </c>
      <c r="O273" s="46">
        <v>0</v>
      </c>
      <c r="P273" s="98"/>
      <c r="Q273" s="23" t="s">
        <v>1408</v>
      </c>
      <c r="R273" s="24" t="s">
        <v>705</v>
      </c>
      <c r="S273" s="25" t="s">
        <v>606</v>
      </c>
      <c r="T273" s="26">
        <v>1</v>
      </c>
      <c r="U273" s="26">
        <v>1</v>
      </c>
      <c r="V273" s="26">
        <v>7859.47</v>
      </c>
      <c r="W273" s="26">
        <f t="shared" si="50"/>
        <v>0</v>
      </c>
      <c r="X273" s="26">
        <f t="shared" si="53"/>
        <v>0</v>
      </c>
      <c r="Y273" s="26">
        <f t="shared" si="51"/>
        <v>0</v>
      </c>
      <c r="Z273" s="26">
        <f t="shared" si="57"/>
        <v>0</v>
      </c>
      <c r="AA273" s="33" t="s">
        <v>15</v>
      </c>
      <c r="AB273" s="36" t="s">
        <v>16</v>
      </c>
      <c r="AC273" s="181">
        <f t="shared" si="54"/>
        <v>1</v>
      </c>
      <c r="AD273" s="181">
        <f t="shared" si="52"/>
        <v>7859.47</v>
      </c>
      <c r="AE273" s="181">
        <v>1.7</v>
      </c>
      <c r="AF273" s="181">
        <v>1.7</v>
      </c>
      <c r="AG273" s="101" t="str">
        <f t="shared" si="55"/>
        <v/>
      </c>
      <c r="AH273" s="190">
        <v>0</v>
      </c>
      <c r="AI273" s="69">
        <f t="shared" si="56"/>
        <v>1</v>
      </c>
    </row>
    <row r="274" spans="1:35" s="69" customFormat="1" ht="78" hidden="1" x14ac:dyDescent="0.3">
      <c r="A274" s="55" t="s">
        <v>707</v>
      </c>
      <c r="B274" s="53" t="s">
        <v>708</v>
      </c>
      <c r="C274" s="54" t="s">
        <v>606</v>
      </c>
      <c r="D274" s="75">
        <v>1</v>
      </c>
      <c r="E274" s="75"/>
      <c r="F274" s="75"/>
      <c r="G274" s="161"/>
      <c r="H274" s="158" t="s">
        <v>15</v>
      </c>
      <c r="I274" s="166">
        <v>5839.45</v>
      </c>
      <c r="J274" s="75">
        <v>5839.45</v>
      </c>
      <c r="K274" s="91" t="s">
        <v>709</v>
      </c>
      <c r="L274" s="73"/>
      <c r="M274" s="46">
        <v>0</v>
      </c>
      <c r="N274" s="46">
        <v>0</v>
      </c>
      <c r="O274" s="46">
        <v>0</v>
      </c>
      <c r="P274" s="98"/>
      <c r="Q274" s="23" t="s">
        <v>1409</v>
      </c>
      <c r="R274" s="24" t="s">
        <v>708</v>
      </c>
      <c r="S274" s="25" t="s">
        <v>606</v>
      </c>
      <c r="T274" s="26">
        <v>1</v>
      </c>
      <c r="U274" s="26">
        <v>1</v>
      </c>
      <c r="V274" s="26">
        <v>5839.45</v>
      </c>
      <c r="W274" s="26">
        <f t="shared" si="50"/>
        <v>0</v>
      </c>
      <c r="X274" s="26">
        <f t="shared" si="53"/>
        <v>0</v>
      </c>
      <c r="Y274" s="26">
        <f t="shared" si="51"/>
        <v>0</v>
      </c>
      <c r="Z274" s="26">
        <f t="shared" si="57"/>
        <v>0</v>
      </c>
      <c r="AA274" s="33" t="s">
        <v>15</v>
      </c>
      <c r="AB274" s="36" t="s">
        <v>16</v>
      </c>
      <c r="AC274" s="181">
        <f t="shared" si="54"/>
        <v>1</v>
      </c>
      <c r="AD274" s="181">
        <f t="shared" si="52"/>
        <v>5839.45</v>
      </c>
      <c r="AE274" s="181">
        <v>1.7</v>
      </c>
      <c r="AF274" s="181">
        <v>1.7</v>
      </c>
      <c r="AG274" s="101" t="str">
        <f t="shared" si="55"/>
        <v/>
      </c>
      <c r="AH274" s="190">
        <v>0</v>
      </c>
      <c r="AI274" s="69">
        <f t="shared" si="56"/>
        <v>1</v>
      </c>
    </row>
    <row r="275" spans="1:35" s="69" customFormat="1" ht="78" hidden="1" x14ac:dyDescent="0.3">
      <c r="A275" s="55" t="s">
        <v>710</v>
      </c>
      <c r="B275" s="53" t="s">
        <v>711</v>
      </c>
      <c r="C275" s="54" t="s">
        <v>606</v>
      </c>
      <c r="D275" s="75">
        <v>1</v>
      </c>
      <c r="E275" s="75"/>
      <c r="F275" s="75"/>
      <c r="G275" s="161"/>
      <c r="H275" s="158" t="s">
        <v>15</v>
      </c>
      <c r="I275" s="166">
        <v>7189.97</v>
      </c>
      <c r="J275" s="75">
        <v>7189.97</v>
      </c>
      <c r="K275" s="91" t="s">
        <v>712</v>
      </c>
      <c r="L275" s="73"/>
      <c r="M275" s="46">
        <v>0</v>
      </c>
      <c r="N275" s="46">
        <v>0</v>
      </c>
      <c r="O275" s="46">
        <v>0</v>
      </c>
      <c r="P275" s="98"/>
      <c r="Q275" s="23" t="s">
        <v>1410</v>
      </c>
      <c r="R275" s="24" t="s">
        <v>711</v>
      </c>
      <c r="S275" s="25" t="s">
        <v>606</v>
      </c>
      <c r="T275" s="26">
        <v>1</v>
      </c>
      <c r="U275" s="26">
        <v>1</v>
      </c>
      <c r="V275" s="26">
        <v>7189.97</v>
      </c>
      <c r="W275" s="26">
        <f t="shared" si="50"/>
        <v>0</v>
      </c>
      <c r="X275" s="26">
        <f t="shared" si="53"/>
        <v>0</v>
      </c>
      <c r="Y275" s="26">
        <f t="shared" si="51"/>
        <v>0</v>
      </c>
      <c r="Z275" s="26">
        <f t="shared" si="57"/>
        <v>0</v>
      </c>
      <c r="AA275" s="33" t="s">
        <v>15</v>
      </c>
      <c r="AB275" s="36" t="s">
        <v>16</v>
      </c>
      <c r="AC275" s="181">
        <f t="shared" si="54"/>
        <v>1</v>
      </c>
      <c r="AD275" s="181">
        <f t="shared" si="52"/>
        <v>7189.97</v>
      </c>
      <c r="AE275" s="181">
        <v>1.7</v>
      </c>
      <c r="AF275" s="181">
        <v>1.7</v>
      </c>
      <c r="AG275" s="101" t="str">
        <f t="shared" si="55"/>
        <v/>
      </c>
      <c r="AH275" s="190">
        <v>0</v>
      </c>
      <c r="AI275" s="69">
        <f t="shared" si="56"/>
        <v>1</v>
      </c>
    </row>
    <row r="276" spans="1:35" s="69" customFormat="1" ht="78" hidden="1" x14ac:dyDescent="0.3">
      <c r="A276" s="55" t="s">
        <v>713</v>
      </c>
      <c r="B276" s="53" t="s">
        <v>714</v>
      </c>
      <c r="C276" s="54" t="s">
        <v>606</v>
      </c>
      <c r="D276" s="75">
        <v>4</v>
      </c>
      <c r="E276" s="75"/>
      <c r="F276" s="75"/>
      <c r="G276" s="161"/>
      <c r="H276" s="158" t="s">
        <v>15</v>
      </c>
      <c r="I276" s="166">
        <v>4860.95</v>
      </c>
      <c r="J276" s="75">
        <v>19443.8</v>
      </c>
      <c r="K276" s="91" t="s">
        <v>715</v>
      </c>
      <c r="L276" s="73"/>
      <c r="M276" s="46">
        <v>0</v>
      </c>
      <c r="N276" s="46">
        <v>0</v>
      </c>
      <c r="O276" s="46">
        <v>0</v>
      </c>
      <c r="P276" s="98"/>
      <c r="Q276" s="23" t="s">
        <v>1411</v>
      </c>
      <c r="R276" s="24" t="s">
        <v>714</v>
      </c>
      <c r="S276" s="25" t="s">
        <v>606</v>
      </c>
      <c r="T276" s="26">
        <v>4</v>
      </c>
      <c r="U276" s="26">
        <v>4</v>
      </c>
      <c r="V276" s="26">
        <v>4860.95</v>
      </c>
      <c r="W276" s="26">
        <f t="shared" si="50"/>
        <v>0</v>
      </c>
      <c r="X276" s="26">
        <f t="shared" si="53"/>
        <v>0</v>
      </c>
      <c r="Y276" s="26">
        <f t="shared" si="51"/>
        <v>0</v>
      </c>
      <c r="Z276" s="26">
        <f t="shared" si="57"/>
        <v>0</v>
      </c>
      <c r="AA276" s="33" t="s">
        <v>15</v>
      </c>
      <c r="AB276" s="36" t="s">
        <v>16</v>
      </c>
      <c r="AC276" s="181">
        <f t="shared" si="54"/>
        <v>4</v>
      </c>
      <c r="AD276" s="181">
        <f t="shared" si="52"/>
        <v>19443.8</v>
      </c>
      <c r="AE276" s="181">
        <v>1.7</v>
      </c>
      <c r="AF276" s="181">
        <v>1.7</v>
      </c>
      <c r="AG276" s="101" t="str">
        <f t="shared" si="55"/>
        <v/>
      </c>
      <c r="AH276" s="190">
        <v>0</v>
      </c>
      <c r="AI276" s="69">
        <f t="shared" si="56"/>
        <v>4</v>
      </c>
    </row>
    <row r="277" spans="1:35" s="69" customFormat="1" ht="78" hidden="1" x14ac:dyDescent="0.3">
      <c r="A277" s="55" t="s">
        <v>716</v>
      </c>
      <c r="B277" s="53" t="s">
        <v>717</v>
      </c>
      <c r="C277" s="54" t="s">
        <v>606</v>
      </c>
      <c r="D277" s="75">
        <v>1</v>
      </c>
      <c r="E277" s="75"/>
      <c r="F277" s="75"/>
      <c r="G277" s="161"/>
      <c r="H277" s="158" t="s">
        <v>15</v>
      </c>
      <c r="I277" s="166">
        <v>14800.45</v>
      </c>
      <c r="J277" s="75">
        <v>14800.45</v>
      </c>
      <c r="K277" s="91" t="s">
        <v>718</v>
      </c>
      <c r="L277" s="73"/>
      <c r="M277" s="46">
        <v>0</v>
      </c>
      <c r="N277" s="46">
        <v>0</v>
      </c>
      <c r="O277" s="46">
        <v>0</v>
      </c>
      <c r="P277" s="98"/>
      <c r="Q277" s="23" t="s">
        <v>1445</v>
      </c>
      <c r="R277" s="24" t="s">
        <v>717</v>
      </c>
      <c r="S277" s="25" t="s">
        <v>606</v>
      </c>
      <c r="T277" s="26">
        <v>1</v>
      </c>
      <c r="U277" s="26">
        <v>1</v>
      </c>
      <c r="V277" s="26">
        <v>14800.45</v>
      </c>
      <c r="W277" s="26">
        <f t="shared" si="50"/>
        <v>0</v>
      </c>
      <c r="X277" s="26">
        <f t="shared" si="53"/>
        <v>0</v>
      </c>
      <c r="Y277" s="26">
        <f t="shared" si="51"/>
        <v>0</v>
      </c>
      <c r="Z277" s="26">
        <f t="shared" si="57"/>
        <v>0</v>
      </c>
      <c r="AA277" s="33" t="s">
        <v>15</v>
      </c>
      <c r="AB277" s="36" t="s">
        <v>16</v>
      </c>
      <c r="AC277" s="181">
        <f t="shared" si="54"/>
        <v>1</v>
      </c>
      <c r="AD277" s="181">
        <f t="shared" si="52"/>
        <v>14800.45</v>
      </c>
      <c r="AE277" s="181">
        <v>1.7</v>
      </c>
      <c r="AF277" s="181">
        <v>1.7</v>
      </c>
      <c r="AG277" s="101" t="str">
        <f t="shared" si="55"/>
        <v/>
      </c>
      <c r="AH277" s="190">
        <v>0</v>
      </c>
      <c r="AI277" s="69">
        <f t="shared" si="56"/>
        <v>1</v>
      </c>
    </row>
    <row r="278" spans="1:35" s="69" customFormat="1" ht="78" hidden="1" x14ac:dyDescent="0.3">
      <c r="A278" s="55" t="s">
        <v>719</v>
      </c>
      <c r="B278" s="53" t="s">
        <v>720</v>
      </c>
      <c r="C278" s="54" t="s">
        <v>606</v>
      </c>
      <c r="D278" s="75">
        <v>1</v>
      </c>
      <c r="E278" s="75"/>
      <c r="F278" s="75"/>
      <c r="G278" s="161"/>
      <c r="H278" s="158" t="s">
        <v>15</v>
      </c>
      <c r="I278" s="166">
        <v>6661.47</v>
      </c>
      <c r="J278" s="75">
        <v>6661.47</v>
      </c>
      <c r="K278" s="91" t="s">
        <v>721</v>
      </c>
      <c r="L278" s="73"/>
      <c r="M278" s="46">
        <v>0</v>
      </c>
      <c r="N278" s="46">
        <v>0</v>
      </c>
      <c r="O278" s="46">
        <v>0</v>
      </c>
      <c r="P278" s="98"/>
      <c r="Q278" s="23" t="s">
        <v>1383</v>
      </c>
      <c r="R278" s="24" t="s">
        <v>720</v>
      </c>
      <c r="S278" s="25" t="s">
        <v>606</v>
      </c>
      <c r="T278" s="26">
        <v>1</v>
      </c>
      <c r="U278" s="26">
        <v>1</v>
      </c>
      <c r="V278" s="26">
        <v>6661.47</v>
      </c>
      <c r="W278" s="26">
        <f t="shared" si="50"/>
        <v>0</v>
      </c>
      <c r="X278" s="26">
        <f t="shared" si="53"/>
        <v>0</v>
      </c>
      <c r="Y278" s="26">
        <f t="shared" si="51"/>
        <v>0</v>
      </c>
      <c r="Z278" s="26">
        <f t="shared" si="57"/>
        <v>0</v>
      </c>
      <c r="AA278" s="33" t="s">
        <v>15</v>
      </c>
      <c r="AB278" s="36" t="s">
        <v>16</v>
      </c>
      <c r="AC278" s="181">
        <f t="shared" si="54"/>
        <v>1</v>
      </c>
      <c r="AD278" s="181">
        <f t="shared" si="52"/>
        <v>6661.47</v>
      </c>
      <c r="AE278" s="181">
        <v>1.7</v>
      </c>
      <c r="AF278" s="181">
        <v>1.7</v>
      </c>
      <c r="AG278" s="101" t="str">
        <f t="shared" si="55"/>
        <v/>
      </c>
      <c r="AH278" s="190">
        <v>0</v>
      </c>
      <c r="AI278" s="69">
        <f t="shared" si="56"/>
        <v>1</v>
      </c>
    </row>
    <row r="279" spans="1:35" s="69" customFormat="1" ht="78" hidden="1" x14ac:dyDescent="0.3">
      <c r="A279" s="55" t="s">
        <v>722</v>
      </c>
      <c r="B279" s="53" t="s">
        <v>723</v>
      </c>
      <c r="C279" s="54" t="s">
        <v>606</v>
      </c>
      <c r="D279" s="75">
        <v>1</v>
      </c>
      <c r="E279" s="75"/>
      <c r="F279" s="75"/>
      <c r="G279" s="161"/>
      <c r="H279" s="158" t="s">
        <v>15</v>
      </c>
      <c r="I279" s="166">
        <v>15584.47</v>
      </c>
      <c r="J279" s="75">
        <v>15584.47</v>
      </c>
      <c r="K279" s="91" t="s">
        <v>724</v>
      </c>
      <c r="L279" s="73"/>
      <c r="M279" s="46">
        <v>0</v>
      </c>
      <c r="N279" s="46">
        <v>0</v>
      </c>
      <c r="O279" s="46">
        <v>0</v>
      </c>
      <c r="P279" s="98"/>
      <c r="Q279" s="23" t="s">
        <v>1384</v>
      </c>
      <c r="R279" s="24" t="s">
        <v>723</v>
      </c>
      <c r="S279" s="25" t="s">
        <v>606</v>
      </c>
      <c r="T279" s="26">
        <v>1</v>
      </c>
      <c r="U279" s="26">
        <v>1</v>
      </c>
      <c r="V279" s="26">
        <v>15584.47</v>
      </c>
      <c r="W279" s="26">
        <f t="shared" si="50"/>
        <v>0</v>
      </c>
      <c r="X279" s="26">
        <f t="shared" si="53"/>
        <v>0</v>
      </c>
      <c r="Y279" s="26">
        <f t="shared" si="51"/>
        <v>0</v>
      </c>
      <c r="Z279" s="26">
        <f t="shared" si="57"/>
        <v>0</v>
      </c>
      <c r="AA279" s="33" t="s">
        <v>15</v>
      </c>
      <c r="AB279" s="36" t="s">
        <v>16</v>
      </c>
      <c r="AC279" s="181">
        <f t="shared" si="54"/>
        <v>1</v>
      </c>
      <c r="AD279" s="181">
        <f t="shared" si="52"/>
        <v>15584.47</v>
      </c>
      <c r="AE279" s="181">
        <v>1.7</v>
      </c>
      <c r="AF279" s="181">
        <v>1.7</v>
      </c>
      <c r="AG279" s="101" t="str">
        <f t="shared" si="55"/>
        <v/>
      </c>
      <c r="AH279" s="190">
        <v>0</v>
      </c>
      <c r="AI279" s="69">
        <f t="shared" si="56"/>
        <v>1</v>
      </c>
    </row>
    <row r="280" spans="1:35" s="69" customFormat="1" ht="78" hidden="1" x14ac:dyDescent="0.3">
      <c r="A280" s="55" t="s">
        <v>725</v>
      </c>
      <c r="B280" s="53" t="s">
        <v>726</v>
      </c>
      <c r="C280" s="54" t="s">
        <v>606</v>
      </c>
      <c r="D280" s="75">
        <v>4</v>
      </c>
      <c r="E280" s="75"/>
      <c r="F280" s="75"/>
      <c r="G280" s="161"/>
      <c r="H280" s="158" t="s">
        <v>15</v>
      </c>
      <c r="I280" s="166">
        <v>3949.4</v>
      </c>
      <c r="J280" s="75">
        <v>15797.6</v>
      </c>
      <c r="K280" s="91" t="s">
        <v>727</v>
      </c>
      <c r="L280" s="73"/>
      <c r="M280" s="46">
        <v>0</v>
      </c>
      <c r="N280" s="46">
        <v>0</v>
      </c>
      <c r="O280" s="46">
        <v>0</v>
      </c>
      <c r="P280" s="98"/>
      <c r="Q280" s="23" t="s">
        <v>1385</v>
      </c>
      <c r="R280" s="24" t="s">
        <v>726</v>
      </c>
      <c r="S280" s="25" t="s">
        <v>606</v>
      </c>
      <c r="T280" s="26">
        <v>4</v>
      </c>
      <c r="U280" s="26">
        <v>4</v>
      </c>
      <c r="V280" s="26">
        <v>3949.4</v>
      </c>
      <c r="W280" s="26">
        <f t="shared" si="50"/>
        <v>0</v>
      </c>
      <c r="X280" s="26">
        <f t="shared" si="53"/>
        <v>0</v>
      </c>
      <c r="Y280" s="26">
        <f t="shared" si="51"/>
        <v>0</v>
      </c>
      <c r="Z280" s="26">
        <f t="shared" si="57"/>
        <v>0</v>
      </c>
      <c r="AA280" s="33" t="s">
        <v>15</v>
      </c>
      <c r="AB280" s="36" t="s">
        <v>16</v>
      </c>
      <c r="AC280" s="181">
        <f t="shared" si="54"/>
        <v>4</v>
      </c>
      <c r="AD280" s="181">
        <f t="shared" si="52"/>
        <v>15797.6</v>
      </c>
      <c r="AE280" s="181">
        <v>1.7</v>
      </c>
      <c r="AF280" s="181">
        <v>1.7</v>
      </c>
      <c r="AG280" s="101" t="str">
        <f t="shared" si="55"/>
        <v/>
      </c>
      <c r="AH280" s="190">
        <v>0</v>
      </c>
      <c r="AI280" s="69">
        <f t="shared" si="56"/>
        <v>4</v>
      </c>
    </row>
    <row r="281" spans="1:35" s="69" customFormat="1" ht="58.5" hidden="1" x14ac:dyDescent="0.3">
      <c r="A281" s="55" t="s">
        <v>728</v>
      </c>
      <c r="B281" s="53" t="s">
        <v>729</v>
      </c>
      <c r="C281" s="54" t="s">
        <v>606</v>
      </c>
      <c r="D281" s="75">
        <v>1</v>
      </c>
      <c r="E281" s="75"/>
      <c r="F281" s="75"/>
      <c r="G281" s="161"/>
      <c r="H281" s="158" t="s">
        <v>15</v>
      </c>
      <c r="I281" s="166">
        <v>227.07</v>
      </c>
      <c r="J281" s="75">
        <v>227.07</v>
      </c>
      <c r="K281" s="91" t="s">
        <v>730</v>
      </c>
      <c r="L281" s="73"/>
      <c r="M281" s="46">
        <v>0</v>
      </c>
      <c r="N281" s="46">
        <v>0</v>
      </c>
      <c r="O281" s="46">
        <v>0</v>
      </c>
      <c r="P281" s="98"/>
      <c r="Q281" s="23" t="s">
        <v>1446</v>
      </c>
      <c r="R281" s="24" t="s">
        <v>729</v>
      </c>
      <c r="S281" s="25" t="s">
        <v>606</v>
      </c>
      <c r="T281" s="26">
        <v>1</v>
      </c>
      <c r="U281" s="26">
        <v>1</v>
      </c>
      <c r="V281" s="26">
        <v>227.07</v>
      </c>
      <c r="W281" s="26">
        <f t="shared" si="50"/>
        <v>0</v>
      </c>
      <c r="X281" s="26">
        <f t="shared" si="53"/>
        <v>0</v>
      </c>
      <c r="Y281" s="26">
        <f t="shared" si="51"/>
        <v>0</v>
      </c>
      <c r="Z281" s="26">
        <f t="shared" si="57"/>
        <v>0</v>
      </c>
      <c r="AA281" s="33" t="s">
        <v>15</v>
      </c>
      <c r="AB281" s="36" t="s">
        <v>16</v>
      </c>
      <c r="AC281" s="181">
        <f t="shared" si="54"/>
        <v>1</v>
      </c>
      <c r="AD281" s="181">
        <f t="shared" si="52"/>
        <v>227.07</v>
      </c>
      <c r="AE281" s="181">
        <v>1.7</v>
      </c>
      <c r="AF281" s="181">
        <v>1.7</v>
      </c>
      <c r="AG281" s="101" t="str">
        <f t="shared" si="55"/>
        <v/>
      </c>
      <c r="AH281" s="190">
        <v>0</v>
      </c>
      <c r="AI281" s="69">
        <f t="shared" si="56"/>
        <v>1</v>
      </c>
    </row>
    <row r="282" spans="1:35" s="69" customFormat="1" ht="39" hidden="1" x14ac:dyDescent="0.3">
      <c r="A282" s="55" t="s">
        <v>731</v>
      </c>
      <c r="B282" s="53" t="s">
        <v>732</v>
      </c>
      <c r="C282" s="54" t="s">
        <v>606</v>
      </c>
      <c r="D282" s="75">
        <v>1</v>
      </c>
      <c r="E282" s="75"/>
      <c r="F282" s="75"/>
      <c r="G282" s="161"/>
      <c r="H282" s="158" t="s">
        <v>15</v>
      </c>
      <c r="I282" s="166">
        <v>277.02999999999997</v>
      </c>
      <c r="J282" s="75">
        <v>277.02999999999997</v>
      </c>
      <c r="K282" s="91" t="s">
        <v>733</v>
      </c>
      <c r="L282" s="73"/>
      <c r="M282" s="46">
        <v>0</v>
      </c>
      <c r="N282" s="46">
        <v>0</v>
      </c>
      <c r="O282" s="46">
        <v>0</v>
      </c>
      <c r="P282" s="98"/>
      <c r="Q282" s="23" t="s">
        <v>1447</v>
      </c>
      <c r="R282" s="24" t="s">
        <v>732</v>
      </c>
      <c r="S282" s="25" t="s">
        <v>606</v>
      </c>
      <c r="T282" s="26">
        <v>1</v>
      </c>
      <c r="U282" s="26">
        <v>1</v>
      </c>
      <c r="V282" s="26">
        <v>277.02999999999997</v>
      </c>
      <c r="W282" s="26">
        <f t="shared" si="50"/>
        <v>0</v>
      </c>
      <c r="X282" s="26">
        <f t="shared" si="53"/>
        <v>0</v>
      </c>
      <c r="Y282" s="26">
        <f t="shared" si="51"/>
        <v>0</v>
      </c>
      <c r="Z282" s="26">
        <f t="shared" si="57"/>
        <v>0</v>
      </c>
      <c r="AA282" s="33" t="s">
        <v>15</v>
      </c>
      <c r="AB282" s="36" t="s">
        <v>16</v>
      </c>
      <c r="AC282" s="181">
        <f t="shared" si="54"/>
        <v>1</v>
      </c>
      <c r="AD282" s="181">
        <f t="shared" si="52"/>
        <v>277.02999999999997</v>
      </c>
      <c r="AE282" s="181">
        <v>1.7</v>
      </c>
      <c r="AF282" s="181">
        <v>1.7</v>
      </c>
      <c r="AG282" s="101" t="str">
        <f t="shared" si="55"/>
        <v/>
      </c>
      <c r="AH282" s="190">
        <v>0</v>
      </c>
      <c r="AI282" s="69">
        <f t="shared" si="56"/>
        <v>1</v>
      </c>
    </row>
    <row r="283" spans="1:35" s="69" customFormat="1" ht="39" hidden="1" x14ac:dyDescent="0.3">
      <c r="A283" s="55" t="s">
        <v>734</v>
      </c>
      <c r="B283" s="53" t="s">
        <v>735</v>
      </c>
      <c r="C283" s="54" t="s">
        <v>606</v>
      </c>
      <c r="D283" s="75">
        <v>1</v>
      </c>
      <c r="E283" s="75"/>
      <c r="F283" s="75"/>
      <c r="G283" s="161"/>
      <c r="H283" s="158" t="s">
        <v>15</v>
      </c>
      <c r="I283" s="166">
        <v>286.3</v>
      </c>
      <c r="J283" s="75">
        <v>286.3</v>
      </c>
      <c r="K283" s="91" t="s">
        <v>736</v>
      </c>
      <c r="L283" s="73"/>
      <c r="M283" s="46">
        <v>0</v>
      </c>
      <c r="N283" s="46">
        <v>0</v>
      </c>
      <c r="O283" s="46">
        <v>0</v>
      </c>
      <c r="P283" s="98"/>
      <c r="Q283" s="23" t="s">
        <v>1448</v>
      </c>
      <c r="R283" s="24" t="s">
        <v>735</v>
      </c>
      <c r="S283" s="25" t="s">
        <v>606</v>
      </c>
      <c r="T283" s="26">
        <v>1</v>
      </c>
      <c r="U283" s="26">
        <v>1</v>
      </c>
      <c r="V283" s="26">
        <v>286.3</v>
      </c>
      <c r="W283" s="26">
        <f t="shared" si="50"/>
        <v>0</v>
      </c>
      <c r="X283" s="26">
        <f t="shared" si="53"/>
        <v>0</v>
      </c>
      <c r="Y283" s="26">
        <f t="shared" si="51"/>
        <v>0</v>
      </c>
      <c r="Z283" s="26">
        <f t="shared" si="57"/>
        <v>0</v>
      </c>
      <c r="AA283" s="33" t="s">
        <v>15</v>
      </c>
      <c r="AB283" s="36" t="s">
        <v>16</v>
      </c>
      <c r="AC283" s="181">
        <f t="shared" si="54"/>
        <v>1</v>
      </c>
      <c r="AD283" s="181">
        <f t="shared" si="52"/>
        <v>286.3</v>
      </c>
      <c r="AE283" s="181">
        <v>1.7</v>
      </c>
      <c r="AF283" s="181">
        <v>1.7</v>
      </c>
      <c r="AG283" s="101" t="str">
        <f t="shared" si="55"/>
        <v/>
      </c>
      <c r="AH283" s="190">
        <v>0</v>
      </c>
      <c r="AI283" s="69">
        <f t="shared" si="56"/>
        <v>1</v>
      </c>
    </row>
    <row r="284" spans="1:35" s="69" customFormat="1" ht="39" hidden="1" x14ac:dyDescent="0.3">
      <c r="A284" s="55" t="s">
        <v>737</v>
      </c>
      <c r="B284" s="53" t="s">
        <v>738</v>
      </c>
      <c r="C284" s="54" t="s">
        <v>606</v>
      </c>
      <c r="D284" s="75">
        <v>1</v>
      </c>
      <c r="E284" s="75"/>
      <c r="F284" s="75"/>
      <c r="G284" s="161"/>
      <c r="H284" s="158" t="s">
        <v>15</v>
      </c>
      <c r="I284" s="166">
        <v>134.37</v>
      </c>
      <c r="J284" s="75">
        <v>134.37</v>
      </c>
      <c r="K284" s="91" t="s">
        <v>739</v>
      </c>
      <c r="L284" s="73"/>
      <c r="M284" s="46">
        <v>0</v>
      </c>
      <c r="N284" s="46">
        <v>0</v>
      </c>
      <c r="O284" s="46">
        <v>0</v>
      </c>
      <c r="P284" s="98"/>
      <c r="Q284" s="23" t="s">
        <v>1449</v>
      </c>
      <c r="R284" s="24" t="s">
        <v>738</v>
      </c>
      <c r="S284" s="25" t="s">
        <v>606</v>
      </c>
      <c r="T284" s="26">
        <v>1</v>
      </c>
      <c r="U284" s="26">
        <v>1</v>
      </c>
      <c r="V284" s="26">
        <v>134.37</v>
      </c>
      <c r="W284" s="26">
        <f t="shared" si="50"/>
        <v>0</v>
      </c>
      <c r="X284" s="26">
        <f t="shared" si="53"/>
        <v>0</v>
      </c>
      <c r="Y284" s="26">
        <f t="shared" si="51"/>
        <v>0</v>
      </c>
      <c r="Z284" s="26">
        <f t="shared" si="57"/>
        <v>0</v>
      </c>
      <c r="AA284" s="33" t="s">
        <v>15</v>
      </c>
      <c r="AB284" s="36" t="s">
        <v>16</v>
      </c>
      <c r="AC284" s="181">
        <f t="shared" si="54"/>
        <v>1</v>
      </c>
      <c r="AD284" s="181">
        <f t="shared" si="52"/>
        <v>134.37</v>
      </c>
      <c r="AE284" s="181">
        <v>1.7</v>
      </c>
      <c r="AF284" s="181">
        <v>1.7</v>
      </c>
      <c r="AG284" s="101" t="str">
        <f t="shared" si="55"/>
        <v/>
      </c>
      <c r="AH284" s="190">
        <v>0</v>
      </c>
      <c r="AI284" s="69">
        <f t="shared" si="56"/>
        <v>1</v>
      </c>
    </row>
    <row r="285" spans="1:35" s="69" customFormat="1" ht="39" hidden="1" x14ac:dyDescent="0.3">
      <c r="A285" s="55" t="s">
        <v>740</v>
      </c>
      <c r="B285" s="53" t="s">
        <v>741</v>
      </c>
      <c r="C285" s="54" t="s">
        <v>606</v>
      </c>
      <c r="D285" s="75">
        <v>1</v>
      </c>
      <c r="E285" s="75"/>
      <c r="F285" s="75"/>
      <c r="G285" s="161"/>
      <c r="H285" s="158" t="s">
        <v>15</v>
      </c>
      <c r="I285" s="166">
        <v>142.1</v>
      </c>
      <c r="J285" s="75">
        <v>142.1</v>
      </c>
      <c r="K285" s="91" t="s">
        <v>742</v>
      </c>
      <c r="L285" s="73"/>
      <c r="M285" s="46">
        <v>0</v>
      </c>
      <c r="N285" s="46">
        <v>0</v>
      </c>
      <c r="O285" s="46">
        <v>0</v>
      </c>
      <c r="P285" s="98"/>
      <c r="Q285" s="23" t="s">
        <v>1450</v>
      </c>
      <c r="R285" s="24" t="s">
        <v>741</v>
      </c>
      <c r="S285" s="25" t="s">
        <v>606</v>
      </c>
      <c r="T285" s="26">
        <v>1</v>
      </c>
      <c r="U285" s="26">
        <v>1</v>
      </c>
      <c r="V285" s="26">
        <v>142.1</v>
      </c>
      <c r="W285" s="26">
        <f t="shared" si="50"/>
        <v>0</v>
      </c>
      <c r="X285" s="26">
        <f t="shared" si="53"/>
        <v>0</v>
      </c>
      <c r="Y285" s="26">
        <f t="shared" si="51"/>
        <v>0</v>
      </c>
      <c r="Z285" s="26">
        <f t="shared" si="57"/>
        <v>0</v>
      </c>
      <c r="AA285" s="33" t="s">
        <v>15</v>
      </c>
      <c r="AB285" s="36" t="s">
        <v>16</v>
      </c>
      <c r="AC285" s="181">
        <f t="shared" si="54"/>
        <v>1</v>
      </c>
      <c r="AD285" s="181">
        <f t="shared" si="52"/>
        <v>142.1</v>
      </c>
      <c r="AE285" s="181">
        <v>1.7</v>
      </c>
      <c r="AF285" s="181">
        <v>1.7</v>
      </c>
      <c r="AG285" s="101" t="str">
        <f t="shared" si="55"/>
        <v/>
      </c>
      <c r="AH285" s="190">
        <v>0</v>
      </c>
      <c r="AI285" s="69">
        <f t="shared" si="56"/>
        <v>1</v>
      </c>
    </row>
    <row r="286" spans="1:35" s="69" customFormat="1" ht="39" hidden="1" x14ac:dyDescent="0.3">
      <c r="A286" s="55" t="s">
        <v>743</v>
      </c>
      <c r="B286" s="53" t="s">
        <v>744</v>
      </c>
      <c r="C286" s="54" t="s">
        <v>606</v>
      </c>
      <c r="D286" s="75">
        <v>1</v>
      </c>
      <c r="E286" s="75"/>
      <c r="F286" s="75"/>
      <c r="G286" s="161"/>
      <c r="H286" s="158" t="s">
        <v>15</v>
      </c>
      <c r="I286" s="166">
        <v>90.32</v>
      </c>
      <c r="J286" s="75">
        <v>90.32</v>
      </c>
      <c r="K286" s="91" t="s">
        <v>745</v>
      </c>
      <c r="L286" s="73"/>
      <c r="M286" s="46">
        <v>0</v>
      </c>
      <c r="N286" s="46">
        <v>0</v>
      </c>
      <c r="O286" s="46">
        <v>0</v>
      </c>
      <c r="P286" s="98"/>
      <c r="Q286" s="23" t="s">
        <v>1451</v>
      </c>
      <c r="R286" s="24" t="s">
        <v>744</v>
      </c>
      <c r="S286" s="25" t="s">
        <v>606</v>
      </c>
      <c r="T286" s="26">
        <v>1</v>
      </c>
      <c r="U286" s="26">
        <v>1</v>
      </c>
      <c r="V286" s="26">
        <v>90.32</v>
      </c>
      <c r="W286" s="26">
        <f t="shared" si="50"/>
        <v>0</v>
      </c>
      <c r="X286" s="26">
        <f t="shared" si="53"/>
        <v>0</v>
      </c>
      <c r="Y286" s="26">
        <f t="shared" si="51"/>
        <v>0</v>
      </c>
      <c r="Z286" s="26">
        <f t="shared" si="57"/>
        <v>0</v>
      </c>
      <c r="AA286" s="33" t="s">
        <v>15</v>
      </c>
      <c r="AB286" s="36" t="s">
        <v>16</v>
      </c>
      <c r="AC286" s="181">
        <f t="shared" si="54"/>
        <v>1</v>
      </c>
      <c r="AD286" s="181">
        <f t="shared" si="52"/>
        <v>90.32</v>
      </c>
      <c r="AE286" s="181">
        <v>1.7</v>
      </c>
      <c r="AF286" s="181">
        <v>1.7</v>
      </c>
      <c r="AG286" s="101" t="str">
        <f t="shared" si="55"/>
        <v/>
      </c>
      <c r="AH286" s="190">
        <v>0</v>
      </c>
      <c r="AI286" s="69">
        <f t="shared" si="56"/>
        <v>1</v>
      </c>
    </row>
    <row r="287" spans="1:35" s="69" customFormat="1" ht="58.5" hidden="1" x14ac:dyDescent="0.3">
      <c r="A287" s="55" t="s">
        <v>746</v>
      </c>
      <c r="B287" s="53" t="s">
        <v>747</v>
      </c>
      <c r="C287" s="54" t="s">
        <v>606</v>
      </c>
      <c r="D287" s="75">
        <v>1</v>
      </c>
      <c r="E287" s="75"/>
      <c r="F287" s="75"/>
      <c r="G287" s="161"/>
      <c r="H287" s="158" t="s">
        <v>15</v>
      </c>
      <c r="I287" s="166">
        <v>125.1</v>
      </c>
      <c r="J287" s="75">
        <v>125.1</v>
      </c>
      <c r="K287" s="91" t="s">
        <v>748</v>
      </c>
      <c r="L287" s="73"/>
      <c r="M287" s="46">
        <v>0</v>
      </c>
      <c r="N287" s="46">
        <v>0</v>
      </c>
      <c r="O287" s="46">
        <v>0</v>
      </c>
      <c r="P287" s="98"/>
      <c r="Q287" s="23" t="s">
        <v>1452</v>
      </c>
      <c r="R287" s="24" t="s">
        <v>747</v>
      </c>
      <c r="S287" s="25" t="s">
        <v>606</v>
      </c>
      <c r="T287" s="26">
        <v>1</v>
      </c>
      <c r="U287" s="26">
        <v>1</v>
      </c>
      <c r="V287" s="26">
        <v>125.1</v>
      </c>
      <c r="W287" s="26">
        <f t="shared" si="50"/>
        <v>0</v>
      </c>
      <c r="X287" s="26">
        <f t="shared" si="53"/>
        <v>0</v>
      </c>
      <c r="Y287" s="26">
        <f t="shared" si="51"/>
        <v>0</v>
      </c>
      <c r="Z287" s="26">
        <f t="shared" si="57"/>
        <v>0</v>
      </c>
      <c r="AA287" s="33" t="s">
        <v>15</v>
      </c>
      <c r="AB287" s="36" t="s">
        <v>16</v>
      </c>
      <c r="AC287" s="181">
        <f t="shared" si="54"/>
        <v>1</v>
      </c>
      <c r="AD287" s="181">
        <f t="shared" si="52"/>
        <v>125.1</v>
      </c>
      <c r="AE287" s="181">
        <v>1.7</v>
      </c>
      <c r="AF287" s="181">
        <v>1.7</v>
      </c>
      <c r="AG287" s="101" t="str">
        <f t="shared" si="55"/>
        <v/>
      </c>
      <c r="AH287" s="190">
        <v>0</v>
      </c>
      <c r="AI287" s="69">
        <f t="shared" si="56"/>
        <v>1</v>
      </c>
    </row>
    <row r="288" spans="1:35" s="69" customFormat="1" ht="58.5" hidden="1" x14ac:dyDescent="0.3">
      <c r="A288" s="55" t="s">
        <v>749</v>
      </c>
      <c r="B288" s="53" t="s">
        <v>750</v>
      </c>
      <c r="C288" s="54" t="s">
        <v>606</v>
      </c>
      <c r="D288" s="75">
        <v>1</v>
      </c>
      <c r="E288" s="75"/>
      <c r="F288" s="75"/>
      <c r="G288" s="161"/>
      <c r="H288" s="158" t="s">
        <v>15</v>
      </c>
      <c r="I288" s="166">
        <v>137.04</v>
      </c>
      <c r="J288" s="75">
        <v>137.04</v>
      </c>
      <c r="K288" s="91" t="s">
        <v>751</v>
      </c>
      <c r="L288" s="73"/>
      <c r="M288" s="46">
        <v>0</v>
      </c>
      <c r="N288" s="46">
        <v>0</v>
      </c>
      <c r="O288" s="46">
        <v>0</v>
      </c>
      <c r="P288" s="98"/>
      <c r="Q288" s="23" t="s">
        <v>1453</v>
      </c>
      <c r="R288" s="24" t="s">
        <v>750</v>
      </c>
      <c r="S288" s="25" t="s">
        <v>606</v>
      </c>
      <c r="T288" s="26">
        <v>1</v>
      </c>
      <c r="U288" s="26">
        <v>1</v>
      </c>
      <c r="V288" s="26">
        <v>137.04</v>
      </c>
      <c r="W288" s="26">
        <f t="shared" si="50"/>
        <v>0</v>
      </c>
      <c r="X288" s="26">
        <f t="shared" si="53"/>
        <v>0</v>
      </c>
      <c r="Y288" s="26">
        <f t="shared" si="51"/>
        <v>0</v>
      </c>
      <c r="Z288" s="26">
        <f t="shared" si="57"/>
        <v>0</v>
      </c>
      <c r="AA288" s="33" t="s">
        <v>15</v>
      </c>
      <c r="AB288" s="36" t="s">
        <v>16</v>
      </c>
      <c r="AC288" s="181">
        <f t="shared" si="54"/>
        <v>1</v>
      </c>
      <c r="AD288" s="181">
        <f t="shared" si="52"/>
        <v>137.04</v>
      </c>
      <c r="AE288" s="181">
        <v>1.7</v>
      </c>
      <c r="AF288" s="181">
        <v>1.7</v>
      </c>
      <c r="AG288" s="101" t="str">
        <f t="shared" si="55"/>
        <v/>
      </c>
      <c r="AH288" s="190">
        <v>0</v>
      </c>
      <c r="AI288" s="69">
        <f t="shared" si="56"/>
        <v>1</v>
      </c>
    </row>
    <row r="289" spans="1:35" s="69" customFormat="1" ht="39" hidden="1" x14ac:dyDescent="0.3">
      <c r="A289" s="55" t="s">
        <v>752</v>
      </c>
      <c r="B289" s="53" t="s">
        <v>753</v>
      </c>
      <c r="C289" s="54" t="s">
        <v>606</v>
      </c>
      <c r="D289" s="75">
        <v>1</v>
      </c>
      <c r="E289" s="75"/>
      <c r="F289" s="75"/>
      <c r="G289" s="161"/>
      <c r="H289" s="158" t="s">
        <v>15</v>
      </c>
      <c r="I289" s="166">
        <v>107.12</v>
      </c>
      <c r="J289" s="75">
        <v>107.12</v>
      </c>
      <c r="K289" s="91" t="s">
        <v>754</v>
      </c>
      <c r="L289" s="73"/>
      <c r="M289" s="46">
        <v>0</v>
      </c>
      <c r="N289" s="46">
        <v>0</v>
      </c>
      <c r="O289" s="46">
        <v>0</v>
      </c>
      <c r="P289" s="98"/>
      <c r="Q289" s="23" t="s">
        <v>1454</v>
      </c>
      <c r="R289" s="24" t="s">
        <v>753</v>
      </c>
      <c r="S289" s="25" t="s">
        <v>606</v>
      </c>
      <c r="T289" s="26">
        <v>1</v>
      </c>
      <c r="U289" s="26">
        <v>1</v>
      </c>
      <c r="V289" s="26">
        <v>107.12</v>
      </c>
      <c r="W289" s="26">
        <f t="shared" si="50"/>
        <v>0</v>
      </c>
      <c r="X289" s="26">
        <f t="shared" si="53"/>
        <v>0</v>
      </c>
      <c r="Y289" s="26">
        <f t="shared" si="51"/>
        <v>0</v>
      </c>
      <c r="Z289" s="26">
        <f t="shared" si="57"/>
        <v>0</v>
      </c>
      <c r="AA289" s="33" t="s">
        <v>15</v>
      </c>
      <c r="AB289" s="36" t="s">
        <v>16</v>
      </c>
      <c r="AC289" s="181">
        <f t="shared" si="54"/>
        <v>1</v>
      </c>
      <c r="AD289" s="181">
        <f t="shared" si="52"/>
        <v>107.12</v>
      </c>
      <c r="AE289" s="181">
        <v>1.7</v>
      </c>
      <c r="AF289" s="181">
        <v>1.7</v>
      </c>
      <c r="AG289" s="101" t="str">
        <f t="shared" si="55"/>
        <v/>
      </c>
      <c r="AH289" s="190">
        <v>0</v>
      </c>
      <c r="AI289" s="69">
        <f t="shared" si="56"/>
        <v>1</v>
      </c>
    </row>
    <row r="290" spans="1:35" s="69" customFormat="1" ht="39" hidden="1" x14ac:dyDescent="0.3">
      <c r="A290" s="55" t="s">
        <v>755</v>
      </c>
      <c r="B290" s="53" t="s">
        <v>756</v>
      </c>
      <c r="C290" s="54" t="s">
        <v>606</v>
      </c>
      <c r="D290" s="75">
        <v>1</v>
      </c>
      <c r="E290" s="75"/>
      <c r="F290" s="75"/>
      <c r="G290" s="161"/>
      <c r="H290" s="158" t="s">
        <v>15</v>
      </c>
      <c r="I290" s="166">
        <v>124.17</v>
      </c>
      <c r="J290" s="75">
        <v>124.17</v>
      </c>
      <c r="K290" s="91" t="s">
        <v>757</v>
      </c>
      <c r="L290" s="73"/>
      <c r="M290" s="46">
        <v>0</v>
      </c>
      <c r="N290" s="46">
        <v>0</v>
      </c>
      <c r="O290" s="46">
        <v>0</v>
      </c>
      <c r="P290" s="98"/>
      <c r="Q290" s="23" t="s">
        <v>1455</v>
      </c>
      <c r="R290" s="24" t="s">
        <v>756</v>
      </c>
      <c r="S290" s="25" t="s">
        <v>606</v>
      </c>
      <c r="T290" s="26">
        <v>1</v>
      </c>
      <c r="U290" s="26">
        <v>1</v>
      </c>
      <c r="V290" s="26">
        <v>124.17</v>
      </c>
      <c r="W290" s="26">
        <f t="shared" si="50"/>
        <v>0</v>
      </c>
      <c r="X290" s="26">
        <f t="shared" si="53"/>
        <v>0</v>
      </c>
      <c r="Y290" s="26">
        <f t="shared" si="51"/>
        <v>0</v>
      </c>
      <c r="Z290" s="26">
        <f t="shared" si="57"/>
        <v>0</v>
      </c>
      <c r="AA290" s="33" t="s">
        <v>15</v>
      </c>
      <c r="AB290" s="36" t="s">
        <v>16</v>
      </c>
      <c r="AC290" s="181">
        <f t="shared" si="54"/>
        <v>1</v>
      </c>
      <c r="AD290" s="181">
        <f t="shared" si="52"/>
        <v>124.17</v>
      </c>
      <c r="AE290" s="181">
        <v>1.7</v>
      </c>
      <c r="AF290" s="181">
        <v>1.7</v>
      </c>
      <c r="AG290" s="101" t="str">
        <f t="shared" si="55"/>
        <v/>
      </c>
      <c r="AH290" s="190">
        <v>0</v>
      </c>
      <c r="AI290" s="69">
        <f t="shared" si="56"/>
        <v>1</v>
      </c>
    </row>
    <row r="291" spans="1:35" s="69" customFormat="1" ht="39" hidden="1" x14ac:dyDescent="0.3">
      <c r="A291" s="55" t="s">
        <v>758</v>
      </c>
      <c r="B291" s="53" t="s">
        <v>759</v>
      </c>
      <c r="C291" s="54" t="s">
        <v>606</v>
      </c>
      <c r="D291" s="75">
        <v>1</v>
      </c>
      <c r="E291" s="75"/>
      <c r="F291" s="75"/>
      <c r="G291" s="161"/>
      <c r="H291" s="158" t="s">
        <v>15</v>
      </c>
      <c r="I291" s="166">
        <v>121.59</v>
      </c>
      <c r="J291" s="75">
        <v>121.59</v>
      </c>
      <c r="K291" s="91" t="s">
        <v>760</v>
      </c>
      <c r="L291" s="73"/>
      <c r="M291" s="46">
        <v>0</v>
      </c>
      <c r="N291" s="46">
        <v>0</v>
      </c>
      <c r="O291" s="46">
        <v>0</v>
      </c>
      <c r="P291" s="98"/>
      <c r="Q291" s="23" t="s">
        <v>1456</v>
      </c>
      <c r="R291" s="24" t="s">
        <v>759</v>
      </c>
      <c r="S291" s="25" t="s">
        <v>606</v>
      </c>
      <c r="T291" s="26">
        <v>1</v>
      </c>
      <c r="U291" s="26">
        <v>1</v>
      </c>
      <c r="V291" s="26">
        <v>121.59</v>
      </c>
      <c r="W291" s="26">
        <f t="shared" si="50"/>
        <v>0</v>
      </c>
      <c r="X291" s="26">
        <f t="shared" si="53"/>
        <v>0</v>
      </c>
      <c r="Y291" s="26">
        <f t="shared" si="51"/>
        <v>0</v>
      </c>
      <c r="Z291" s="26">
        <f t="shared" si="57"/>
        <v>0</v>
      </c>
      <c r="AA291" s="33" t="s">
        <v>15</v>
      </c>
      <c r="AB291" s="36" t="s">
        <v>16</v>
      </c>
      <c r="AC291" s="181">
        <f t="shared" si="54"/>
        <v>1</v>
      </c>
      <c r="AD291" s="181">
        <f t="shared" si="52"/>
        <v>121.59</v>
      </c>
      <c r="AE291" s="181">
        <v>1.7</v>
      </c>
      <c r="AF291" s="181">
        <v>1.7</v>
      </c>
      <c r="AG291" s="101" t="str">
        <f t="shared" si="55"/>
        <v/>
      </c>
      <c r="AH291" s="190">
        <v>0</v>
      </c>
      <c r="AI291" s="69">
        <f t="shared" si="56"/>
        <v>1</v>
      </c>
    </row>
    <row r="292" spans="1:35" s="69" customFormat="1" ht="39" hidden="1" x14ac:dyDescent="0.3">
      <c r="A292" s="55" t="s">
        <v>761</v>
      </c>
      <c r="B292" s="53" t="s">
        <v>762</v>
      </c>
      <c r="C292" s="54" t="s">
        <v>606</v>
      </c>
      <c r="D292" s="75">
        <v>1</v>
      </c>
      <c r="E292" s="75"/>
      <c r="F292" s="75"/>
      <c r="G292" s="161"/>
      <c r="H292" s="158" t="s">
        <v>15</v>
      </c>
      <c r="I292" s="166">
        <v>154.51</v>
      </c>
      <c r="J292" s="75">
        <v>154.51</v>
      </c>
      <c r="K292" s="91" t="s">
        <v>763</v>
      </c>
      <c r="L292" s="73"/>
      <c r="M292" s="46">
        <v>0</v>
      </c>
      <c r="N292" s="46">
        <v>0</v>
      </c>
      <c r="O292" s="46">
        <v>0</v>
      </c>
      <c r="P292" s="98"/>
      <c r="Q292" s="23" t="s">
        <v>1457</v>
      </c>
      <c r="R292" s="24" t="s">
        <v>762</v>
      </c>
      <c r="S292" s="25" t="s">
        <v>606</v>
      </c>
      <c r="T292" s="26">
        <v>1</v>
      </c>
      <c r="U292" s="26">
        <v>1</v>
      </c>
      <c r="V292" s="26">
        <v>154.51</v>
      </c>
      <c r="W292" s="26">
        <f t="shared" si="50"/>
        <v>0</v>
      </c>
      <c r="X292" s="26">
        <f t="shared" si="53"/>
        <v>0</v>
      </c>
      <c r="Y292" s="26">
        <f t="shared" si="51"/>
        <v>0</v>
      </c>
      <c r="Z292" s="26">
        <f t="shared" si="57"/>
        <v>0</v>
      </c>
      <c r="AA292" s="33" t="s">
        <v>15</v>
      </c>
      <c r="AB292" s="36" t="s">
        <v>16</v>
      </c>
      <c r="AC292" s="181">
        <f t="shared" si="54"/>
        <v>1</v>
      </c>
      <c r="AD292" s="181">
        <f t="shared" si="52"/>
        <v>154.51</v>
      </c>
      <c r="AE292" s="181">
        <v>1.7</v>
      </c>
      <c r="AF292" s="181">
        <v>1.7</v>
      </c>
      <c r="AG292" s="101" t="str">
        <f t="shared" si="55"/>
        <v/>
      </c>
      <c r="AH292" s="190">
        <v>0</v>
      </c>
      <c r="AI292" s="69">
        <f t="shared" si="56"/>
        <v>1</v>
      </c>
    </row>
    <row r="293" spans="1:35" s="69" customFormat="1" ht="58.5" hidden="1" x14ac:dyDescent="0.3">
      <c r="A293" s="55" t="s">
        <v>764</v>
      </c>
      <c r="B293" s="53" t="s">
        <v>765</v>
      </c>
      <c r="C293" s="54" t="s">
        <v>606</v>
      </c>
      <c r="D293" s="75">
        <v>1</v>
      </c>
      <c r="E293" s="75"/>
      <c r="F293" s="75"/>
      <c r="G293" s="161"/>
      <c r="H293" s="158" t="s">
        <v>15</v>
      </c>
      <c r="I293" s="166">
        <v>36.549999999999997</v>
      </c>
      <c r="J293" s="75">
        <v>36.549999999999997</v>
      </c>
      <c r="K293" s="91" t="s">
        <v>766</v>
      </c>
      <c r="L293" s="73"/>
      <c r="M293" s="46">
        <v>0</v>
      </c>
      <c r="N293" s="46">
        <v>0</v>
      </c>
      <c r="O293" s="46">
        <v>0</v>
      </c>
      <c r="P293" s="98"/>
      <c r="Q293" s="23" t="s">
        <v>1458</v>
      </c>
      <c r="R293" s="24" t="s">
        <v>765</v>
      </c>
      <c r="S293" s="25" t="s">
        <v>606</v>
      </c>
      <c r="T293" s="26">
        <v>1</v>
      </c>
      <c r="U293" s="26">
        <v>1</v>
      </c>
      <c r="V293" s="26">
        <v>36.549999999999997</v>
      </c>
      <c r="W293" s="26">
        <f t="shared" si="50"/>
        <v>0</v>
      </c>
      <c r="X293" s="26">
        <f t="shared" si="53"/>
        <v>0</v>
      </c>
      <c r="Y293" s="26">
        <f t="shared" si="51"/>
        <v>0</v>
      </c>
      <c r="Z293" s="26">
        <f t="shared" si="57"/>
        <v>0</v>
      </c>
      <c r="AA293" s="33" t="s">
        <v>15</v>
      </c>
      <c r="AB293" s="36" t="s">
        <v>16</v>
      </c>
      <c r="AC293" s="181">
        <f t="shared" si="54"/>
        <v>1</v>
      </c>
      <c r="AD293" s="181">
        <f t="shared" si="52"/>
        <v>36.549999999999997</v>
      </c>
      <c r="AE293" s="181">
        <v>1.7</v>
      </c>
      <c r="AF293" s="181">
        <v>1.7</v>
      </c>
      <c r="AG293" s="101" t="str">
        <f t="shared" si="55"/>
        <v/>
      </c>
      <c r="AH293" s="190">
        <v>0</v>
      </c>
      <c r="AI293" s="69">
        <f t="shared" si="56"/>
        <v>1</v>
      </c>
    </row>
    <row r="294" spans="1:35" s="69" customFormat="1" ht="39" hidden="1" x14ac:dyDescent="0.3">
      <c r="A294" s="55" t="s">
        <v>767</v>
      </c>
      <c r="B294" s="53" t="s">
        <v>768</v>
      </c>
      <c r="C294" s="54" t="s">
        <v>606</v>
      </c>
      <c r="D294" s="75">
        <v>1</v>
      </c>
      <c r="E294" s="75"/>
      <c r="F294" s="75"/>
      <c r="G294" s="161"/>
      <c r="H294" s="158" t="s">
        <v>15</v>
      </c>
      <c r="I294" s="166">
        <v>27.8</v>
      </c>
      <c r="J294" s="75">
        <v>27.8</v>
      </c>
      <c r="K294" s="91" t="s">
        <v>769</v>
      </c>
      <c r="L294" s="73"/>
      <c r="M294" s="46">
        <v>0</v>
      </c>
      <c r="N294" s="46">
        <v>0</v>
      </c>
      <c r="O294" s="46">
        <v>0</v>
      </c>
      <c r="P294" s="98"/>
      <c r="Q294" s="23" t="s">
        <v>1459</v>
      </c>
      <c r="R294" s="24" t="s">
        <v>768</v>
      </c>
      <c r="S294" s="25" t="s">
        <v>606</v>
      </c>
      <c r="T294" s="26">
        <v>1</v>
      </c>
      <c r="U294" s="26">
        <v>1</v>
      </c>
      <c r="V294" s="26">
        <v>27.8</v>
      </c>
      <c r="W294" s="26">
        <f t="shared" si="50"/>
        <v>0</v>
      </c>
      <c r="X294" s="26">
        <f t="shared" si="53"/>
        <v>0</v>
      </c>
      <c r="Y294" s="26">
        <f t="shared" si="51"/>
        <v>0</v>
      </c>
      <c r="Z294" s="26">
        <f t="shared" si="57"/>
        <v>0</v>
      </c>
      <c r="AA294" s="33" t="s">
        <v>15</v>
      </c>
      <c r="AB294" s="36" t="s">
        <v>16</v>
      </c>
      <c r="AC294" s="181">
        <f t="shared" si="54"/>
        <v>1</v>
      </c>
      <c r="AD294" s="181">
        <f t="shared" si="52"/>
        <v>27.8</v>
      </c>
      <c r="AE294" s="181">
        <v>1.7</v>
      </c>
      <c r="AF294" s="181">
        <v>1.7</v>
      </c>
      <c r="AG294" s="101" t="str">
        <f t="shared" si="55"/>
        <v/>
      </c>
      <c r="AH294" s="190">
        <v>0</v>
      </c>
      <c r="AI294" s="69">
        <f t="shared" si="56"/>
        <v>1</v>
      </c>
    </row>
    <row r="295" spans="1:35" s="69" customFormat="1" ht="39" hidden="1" x14ac:dyDescent="0.3">
      <c r="A295" s="55" t="s">
        <v>770</v>
      </c>
      <c r="B295" s="53" t="s">
        <v>771</v>
      </c>
      <c r="C295" s="54" t="s">
        <v>606</v>
      </c>
      <c r="D295" s="75">
        <v>1</v>
      </c>
      <c r="E295" s="75"/>
      <c r="F295" s="75"/>
      <c r="G295" s="161"/>
      <c r="H295" s="158" t="s">
        <v>15</v>
      </c>
      <c r="I295" s="166">
        <v>105.13</v>
      </c>
      <c r="J295" s="75">
        <v>105.13</v>
      </c>
      <c r="K295" s="91" t="s">
        <v>772</v>
      </c>
      <c r="L295" s="73"/>
      <c r="M295" s="46">
        <v>0</v>
      </c>
      <c r="N295" s="46">
        <v>0</v>
      </c>
      <c r="O295" s="46">
        <v>0</v>
      </c>
      <c r="P295" s="98"/>
      <c r="Q295" s="23" t="s">
        <v>1460</v>
      </c>
      <c r="R295" s="24" t="s">
        <v>771</v>
      </c>
      <c r="S295" s="25" t="s">
        <v>606</v>
      </c>
      <c r="T295" s="26">
        <v>1</v>
      </c>
      <c r="U295" s="26">
        <v>1</v>
      </c>
      <c r="V295" s="26">
        <v>105.13</v>
      </c>
      <c r="W295" s="26">
        <f t="shared" si="50"/>
        <v>0</v>
      </c>
      <c r="X295" s="26">
        <f t="shared" si="53"/>
        <v>0</v>
      </c>
      <c r="Y295" s="26">
        <f t="shared" si="51"/>
        <v>0</v>
      </c>
      <c r="Z295" s="26">
        <f t="shared" si="57"/>
        <v>0</v>
      </c>
      <c r="AA295" s="33" t="s">
        <v>15</v>
      </c>
      <c r="AB295" s="36" t="s">
        <v>16</v>
      </c>
      <c r="AC295" s="181">
        <f t="shared" si="54"/>
        <v>1</v>
      </c>
      <c r="AD295" s="181">
        <f t="shared" si="52"/>
        <v>105.13</v>
      </c>
      <c r="AE295" s="181">
        <v>1.7</v>
      </c>
      <c r="AF295" s="181">
        <v>1.7</v>
      </c>
      <c r="AG295" s="101" t="str">
        <f t="shared" si="55"/>
        <v/>
      </c>
      <c r="AH295" s="190">
        <v>0</v>
      </c>
      <c r="AI295" s="69">
        <f t="shared" si="56"/>
        <v>1</v>
      </c>
    </row>
    <row r="296" spans="1:35" s="69" customFormat="1" ht="39" hidden="1" x14ac:dyDescent="0.3">
      <c r="A296" s="55" t="s">
        <v>773</v>
      </c>
      <c r="B296" s="53" t="s">
        <v>774</v>
      </c>
      <c r="C296" s="54" t="s">
        <v>606</v>
      </c>
      <c r="D296" s="75">
        <v>1</v>
      </c>
      <c r="E296" s="75"/>
      <c r="F296" s="75"/>
      <c r="G296" s="161"/>
      <c r="H296" s="158" t="s">
        <v>15</v>
      </c>
      <c r="I296" s="166">
        <v>53.12</v>
      </c>
      <c r="J296" s="75">
        <v>53.12</v>
      </c>
      <c r="K296" s="91" t="s">
        <v>775</v>
      </c>
      <c r="L296" s="73"/>
      <c r="M296" s="46">
        <v>0</v>
      </c>
      <c r="N296" s="46">
        <v>0</v>
      </c>
      <c r="O296" s="46">
        <v>0</v>
      </c>
      <c r="P296" s="98"/>
      <c r="Q296" s="23" t="s">
        <v>1461</v>
      </c>
      <c r="R296" s="24" t="s">
        <v>774</v>
      </c>
      <c r="S296" s="25" t="s">
        <v>606</v>
      </c>
      <c r="T296" s="26">
        <v>1</v>
      </c>
      <c r="U296" s="26">
        <v>1</v>
      </c>
      <c r="V296" s="26">
        <v>53.12</v>
      </c>
      <c r="W296" s="26">
        <f t="shared" si="50"/>
        <v>0</v>
      </c>
      <c r="X296" s="26">
        <f t="shared" si="53"/>
        <v>0</v>
      </c>
      <c r="Y296" s="26">
        <f t="shared" si="51"/>
        <v>0</v>
      </c>
      <c r="Z296" s="26">
        <f t="shared" si="57"/>
        <v>0</v>
      </c>
      <c r="AA296" s="33" t="s">
        <v>15</v>
      </c>
      <c r="AB296" s="36" t="s">
        <v>16</v>
      </c>
      <c r="AC296" s="181">
        <f t="shared" si="54"/>
        <v>1</v>
      </c>
      <c r="AD296" s="181">
        <f t="shared" si="52"/>
        <v>53.12</v>
      </c>
      <c r="AE296" s="181">
        <v>1.7</v>
      </c>
      <c r="AF296" s="181">
        <v>1.7</v>
      </c>
      <c r="AG296" s="101" t="str">
        <f t="shared" si="55"/>
        <v/>
      </c>
      <c r="AH296" s="190">
        <v>0</v>
      </c>
      <c r="AI296" s="69">
        <f t="shared" si="56"/>
        <v>1</v>
      </c>
    </row>
    <row r="297" spans="1:35" s="69" customFormat="1" ht="58.5" hidden="1" x14ac:dyDescent="0.3">
      <c r="A297" s="55" t="s">
        <v>776</v>
      </c>
      <c r="B297" s="53" t="s">
        <v>777</v>
      </c>
      <c r="C297" s="54" t="s">
        <v>606</v>
      </c>
      <c r="D297" s="75">
        <v>1</v>
      </c>
      <c r="E297" s="75"/>
      <c r="F297" s="75"/>
      <c r="G297" s="161"/>
      <c r="H297" s="158" t="s">
        <v>15</v>
      </c>
      <c r="I297" s="166">
        <v>36.380000000000003</v>
      </c>
      <c r="J297" s="75">
        <v>36.380000000000003</v>
      </c>
      <c r="K297" s="91" t="s">
        <v>778</v>
      </c>
      <c r="L297" s="73"/>
      <c r="M297" s="46">
        <v>0</v>
      </c>
      <c r="N297" s="46">
        <v>0</v>
      </c>
      <c r="O297" s="46">
        <v>0</v>
      </c>
      <c r="P297" s="98"/>
      <c r="Q297" s="23" t="s">
        <v>1462</v>
      </c>
      <c r="R297" s="24" t="s">
        <v>777</v>
      </c>
      <c r="S297" s="25" t="s">
        <v>606</v>
      </c>
      <c r="T297" s="26">
        <v>1</v>
      </c>
      <c r="U297" s="26">
        <v>1</v>
      </c>
      <c r="V297" s="26">
        <v>36.380000000000003</v>
      </c>
      <c r="W297" s="26">
        <f t="shared" si="50"/>
        <v>0</v>
      </c>
      <c r="X297" s="26">
        <f t="shared" si="53"/>
        <v>0</v>
      </c>
      <c r="Y297" s="26">
        <f t="shared" si="51"/>
        <v>0</v>
      </c>
      <c r="Z297" s="26">
        <f t="shared" si="57"/>
        <v>0</v>
      </c>
      <c r="AA297" s="33" t="s">
        <v>15</v>
      </c>
      <c r="AB297" s="36" t="s">
        <v>16</v>
      </c>
      <c r="AC297" s="181">
        <f t="shared" si="54"/>
        <v>1</v>
      </c>
      <c r="AD297" s="181">
        <f t="shared" si="52"/>
        <v>36.380000000000003</v>
      </c>
      <c r="AE297" s="181">
        <v>1.7</v>
      </c>
      <c r="AF297" s="181">
        <v>1.7</v>
      </c>
      <c r="AG297" s="101" t="str">
        <f t="shared" si="55"/>
        <v/>
      </c>
      <c r="AH297" s="190">
        <v>0</v>
      </c>
      <c r="AI297" s="69">
        <f t="shared" si="56"/>
        <v>1</v>
      </c>
    </row>
    <row r="298" spans="1:35" s="69" customFormat="1" ht="58.5" hidden="1" x14ac:dyDescent="0.3">
      <c r="A298" s="55" t="s">
        <v>779</v>
      </c>
      <c r="B298" s="53" t="s">
        <v>780</v>
      </c>
      <c r="C298" s="54" t="s">
        <v>606</v>
      </c>
      <c r="D298" s="75">
        <v>1</v>
      </c>
      <c r="E298" s="75"/>
      <c r="F298" s="75"/>
      <c r="G298" s="161"/>
      <c r="H298" s="158" t="s">
        <v>15</v>
      </c>
      <c r="I298" s="166">
        <v>59.74</v>
      </c>
      <c r="J298" s="75">
        <v>59.74</v>
      </c>
      <c r="K298" s="91" t="s">
        <v>781</v>
      </c>
      <c r="L298" s="73"/>
      <c r="M298" s="46">
        <v>0</v>
      </c>
      <c r="N298" s="46">
        <v>0</v>
      </c>
      <c r="O298" s="46">
        <v>0</v>
      </c>
      <c r="P298" s="98"/>
      <c r="Q298" s="23" t="s">
        <v>1463</v>
      </c>
      <c r="R298" s="24" t="s">
        <v>780</v>
      </c>
      <c r="S298" s="25" t="s">
        <v>606</v>
      </c>
      <c r="T298" s="26">
        <v>1</v>
      </c>
      <c r="U298" s="26">
        <v>1</v>
      </c>
      <c r="V298" s="26">
        <v>59.74</v>
      </c>
      <c r="W298" s="26">
        <f t="shared" si="50"/>
        <v>0</v>
      </c>
      <c r="X298" s="26">
        <f t="shared" si="53"/>
        <v>0</v>
      </c>
      <c r="Y298" s="26">
        <f t="shared" si="51"/>
        <v>0</v>
      </c>
      <c r="Z298" s="26">
        <f t="shared" si="57"/>
        <v>0</v>
      </c>
      <c r="AA298" s="33" t="s">
        <v>15</v>
      </c>
      <c r="AB298" s="36" t="s">
        <v>16</v>
      </c>
      <c r="AC298" s="181">
        <f t="shared" si="54"/>
        <v>1</v>
      </c>
      <c r="AD298" s="181">
        <f t="shared" si="52"/>
        <v>59.74</v>
      </c>
      <c r="AE298" s="181">
        <v>1.7</v>
      </c>
      <c r="AF298" s="181">
        <v>1.7</v>
      </c>
      <c r="AG298" s="101" t="str">
        <f t="shared" si="55"/>
        <v/>
      </c>
      <c r="AH298" s="190">
        <v>0</v>
      </c>
      <c r="AI298" s="69">
        <f t="shared" si="56"/>
        <v>1</v>
      </c>
    </row>
    <row r="299" spans="1:35" s="69" customFormat="1" ht="58.5" hidden="1" x14ac:dyDescent="0.3">
      <c r="A299" s="55" t="s">
        <v>782</v>
      </c>
      <c r="B299" s="53" t="s">
        <v>783</v>
      </c>
      <c r="C299" s="54" t="s">
        <v>606</v>
      </c>
      <c r="D299" s="75">
        <v>1</v>
      </c>
      <c r="E299" s="75"/>
      <c r="F299" s="75"/>
      <c r="G299" s="161"/>
      <c r="H299" s="158" t="s">
        <v>15</v>
      </c>
      <c r="I299" s="166">
        <v>80.41</v>
      </c>
      <c r="J299" s="75">
        <v>80.41</v>
      </c>
      <c r="K299" s="91" t="s">
        <v>784</v>
      </c>
      <c r="L299" s="73"/>
      <c r="M299" s="46">
        <v>0</v>
      </c>
      <c r="N299" s="46">
        <v>0</v>
      </c>
      <c r="O299" s="46">
        <v>0</v>
      </c>
      <c r="P299" s="98"/>
      <c r="Q299" s="23" t="s">
        <v>1464</v>
      </c>
      <c r="R299" s="24" t="s">
        <v>783</v>
      </c>
      <c r="S299" s="25" t="s">
        <v>606</v>
      </c>
      <c r="T299" s="26">
        <v>1</v>
      </c>
      <c r="U299" s="26">
        <v>1</v>
      </c>
      <c r="V299" s="26">
        <v>80.41</v>
      </c>
      <c r="W299" s="26">
        <f t="shared" si="50"/>
        <v>0</v>
      </c>
      <c r="X299" s="26">
        <f t="shared" si="53"/>
        <v>0</v>
      </c>
      <c r="Y299" s="26">
        <f t="shared" si="51"/>
        <v>0</v>
      </c>
      <c r="Z299" s="26">
        <f t="shared" si="57"/>
        <v>0</v>
      </c>
      <c r="AA299" s="33" t="s">
        <v>15</v>
      </c>
      <c r="AB299" s="36" t="s">
        <v>16</v>
      </c>
      <c r="AC299" s="181">
        <f t="shared" si="54"/>
        <v>1</v>
      </c>
      <c r="AD299" s="181">
        <f t="shared" si="52"/>
        <v>80.41</v>
      </c>
      <c r="AE299" s="181">
        <v>1.7</v>
      </c>
      <c r="AF299" s="181">
        <v>1.7</v>
      </c>
      <c r="AG299" s="101" t="str">
        <f t="shared" si="55"/>
        <v/>
      </c>
      <c r="AH299" s="190">
        <v>0</v>
      </c>
      <c r="AI299" s="69">
        <f t="shared" si="56"/>
        <v>1</v>
      </c>
    </row>
    <row r="300" spans="1:35" s="69" customFormat="1" ht="39" hidden="1" x14ac:dyDescent="0.3">
      <c r="A300" s="55" t="s">
        <v>785</v>
      </c>
      <c r="B300" s="53" t="s">
        <v>786</v>
      </c>
      <c r="C300" s="54" t="s">
        <v>606</v>
      </c>
      <c r="D300" s="75">
        <v>1</v>
      </c>
      <c r="E300" s="75"/>
      <c r="F300" s="75"/>
      <c r="G300" s="161"/>
      <c r="H300" s="158" t="s">
        <v>15</v>
      </c>
      <c r="I300" s="166">
        <v>64.959999999999994</v>
      </c>
      <c r="J300" s="75">
        <v>64.959999999999994</v>
      </c>
      <c r="K300" s="91" t="s">
        <v>787</v>
      </c>
      <c r="L300" s="73"/>
      <c r="M300" s="46">
        <v>0</v>
      </c>
      <c r="N300" s="46">
        <v>0</v>
      </c>
      <c r="O300" s="46">
        <v>0</v>
      </c>
      <c r="P300" s="98"/>
      <c r="Q300" s="23" t="s">
        <v>1465</v>
      </c>
      <c r="R300" s="24" t="s">
        <v>786</v>
      </c>
      <c r="S300" s="25" t="s">
        <v>606</v>
      </c>
      <c r="T300" s="26">
        <v>1</v>
      </c>
      <c r="U300" s="26">
        <v>1</v>
      </c>
      <c r="V300" s="26">
        <v>64.959999999999994</v>
      </c>
      <c r="W300" s="26">
        <f t="shared" si="50"/>
        <v>0</v>
      </c>
      <c r="X300" s="26">
        <f t="shared" si="53"/>
        <v>0</v>
      </c>
      <c r="Y300" s="26">
        <f t="shared" si="51"/>
        <v>0</v>
      </c>
      <c r="Z300" s="26">
        <f t="shared" si="57"/>
        <v>0</v>
      </c>
      <c r="AA300" s="33" t="s">
        <v>15</v>
      </c>
      <c r="AB300" s="36" t="s">
        <v>16</v>
      </c>
      <c r="AC300" s="181">
        <f t="shared" si="54"/>
        <v>1</v>
      </c>
      <c r="AD300" s="181">
        <f t="shared" si="52"/>
        <v>64.959999999999994</v>
      </c>
      <c r="AE300" s="181">
        <v>1.7</v>
      </c>
      <c r="AF300" s="181">
        <v>1.7</v>
      </c>
      <c r="AG300" s="101" t="str">
        <f t="shared" si="55"/>
        <v/>
      </c>
      <c r="AH300" s="190">
        <v>0</v>
      </c>
      <c r="AI300" s="69">
        <f t="shared" si="56"/>
        <v>1</v>
      </c>
    </row>
    <row r="301" spans="1:35" s="69" customFormat="1" ht="58.5" hidden="1" x14ac:dyDescent="0.3">
      <c r="A301" s="55" t="s">
        <v>788</v>
      </c>
      <c r="B301" s="53" t="s">
        <v>789</v>
      </c>
      <c r="C301" s="54" t="s">
        <v>606</v>
      </c>
      <c r="D301" s="75">
        <v>1</v>
      </c>
      <c r="E301" s="75"/>
      <c r="F301" s="75"/>
      <c r="G301" s="161"/>
      <c r="H301" s="158" t="s">
        <v>15</v>
      </c>
      <c r="I301" s="166">
        <v>95.86</v>
      </c>
      <c r="J301" s="75">
        <v>95.86</v>
      </c>
      <c r="K301" s="91" t="s">
        <v>790</v>
      </c>
      <c r="L301" s="73"/>
      <c r="M301" s="46">
        <v>0</v>
      </c>
      <c r="N301" s="46">
        <v>0</v>
      </c>
      <c r="O301" s="46">
        <v>0</v>
      </c>
      <c r="P301" s="98"/>
      <c r="Q301" s="23" t="s">
        <v>1466</v>
      </c>
      <c r="R301" s="24" t="s">
        <v>789</v>
      </c>
      <c r="S301" s="25" t="s">
        <v>606</v>
      </c>
      <c r="T301" s="26">
        <v>1</v>
      </c>
      <c r="U301" s="26">
        <v>1</v>
      </c>
      <c r="V301" s="26">
        <v>95.86</v>
      </c>
      <c r="W301" s="26">
        <f t="shared" si="50"/>
        <v>0</v>
      </c>
      <c r="X301" s="26">
        <f t="shared" si="53"/>
        <v>0</v>
      </c>
      <c r="Y301" s="26">
        <f t="shared" si="51"/>
        <v>0</v>
      </c>
      <c r="Z301" s="26">
        <f t="shared" si="57"/>
        <v>0</v>
      </c>
      <c r="AA301" s="33" t="s">
        <v>15</v>
      </c>
      <c r="AB301" s="36" t="s">
        <v>16</v>
      </c>
      <c r="AC301" s="181">
        <f t="shared" si="54"/>
        <v>1</v>
      </c>
      <c r="AD301" s="181">
        <f t="shared" si="52"/>
        <v>95.86</v>
      </c>
      <c r="AE301" s="181">
        <v>1.7</v>
      </c>
      <c r="AF301" s="181">
        <v>1.7</v>
      </c>
      <c r="AG301" s="101" t="str">
        <f t="shared" si="55"/>
        <v/>
      </c>
      <c r="AH301" s="190">
        <v>0</v>
      </c>
      <c r="AI301" s="69">
        <f t="shared" si="56"/>
        <v>1</v>
      </c>
    </row>
    <row r="302" spans="1:35" s="69" customFormat="1" ht="39" hidden="1" x14ac:dyDescent="0.3">
      <c r="A302" s="55" t="s">
        <v>791</v>
      </c>
      <c r="B302" s="53" t="s">
        <v>792</v>
      </c>
      <c r="C302" s="54" t="s">
        <v>606</v>
      </c>
      <c r="D302" s="75">
        <v>1</v>
      </c>
      <c r="E302" s="75"/>
      <c r="F302" s="75"/>
      <c r="G302" s="161"/>
      <c r="H302" s="158" t="s">
        <v>15</v>
      </c>
      <c r="I302" s="166">
        <v>93.29</v>
      </c>
      <c r="J302" s="75">
        <v>93.29</v>
      </c>
      <c r="K302" s="91" t="s">
        <v>793</v>
      </c>
      <c r="L302" s="73"/>
      <c r="M302" s="46">
        <v>0</v>
      </c>
      <c r="N302" s="46">
        <v>0</v>
      </c>
      <c r="O302" s="46">
        <v>0</v>
      </c>
      <c r="P302" s="98"/>
      <c r="Q302" s="23" t="s">
        <v>1467</v>
      </c>
      <c r="R302" s="24" t="s">
        <v>792</v>
      </c>
      <c r="S302" s="25" t="s">
        <v>606</v>
      </c>
      <c r="T302" s="26">
        <v>1</v>
      </c>
      <c r="U302" s="26">
        <v>1</v>
      </c>
      <c r="V302" s="26">
        <v>93.29</v>
      </c>
      <c r="W302" s="26">
        <f t="shared" ref="W302:W326" si="58">AH302-M302</f>
        <v>0</v>
      </c>
      <c r="X302" s="26">
        <f t="shared" si="53"/>
        <v>0</v>
      </c>
      <c r="Y302" s="26">
        <f t="shared" ref="Y302:Y326" si="59">Z302-O302</f>
        <v>0</v>
      </c>
      <c r="Z302" s="26">
        <f t="shared" si="57"/>
        <v>0</v>
      </c>
      <c r="AA302" s="33" t="s">
        <v>15</v>
      </c>
      <c r="AB302" s="36" t="s">
        <v>16</v>
      </c>
      <c r="AC302" s="181">
        <f t="shared" si="54"/>
        <v>1</v>
      </c>
      <c r="AD302" s="181">
        <f t="shared" ref="AD302:AD365" si="60">ROUND(V302*AC302,2)</f>
        <v>93.29</v>
      </c>
      <c r="AE302" s="181">
        <v>1.7</v>
      </c>
      <c r="AF302" s="181">
        <v>1.7</v>
      </c>
      <c r="AG302" s="101" t="str">
        <f t="shared" si="55"/>
        <v/>
      </c>
      <c r="AH302" s="190">
        <v>0</v>
      </c>
      <c r="AI302" s="69">
        <f t="shared" si="56"/>
        <v>1</v>
      </c>
    </row>
    <row r="303" spans="1:35" s="69" customFormat="1" ht="58.5" hidden="1" x14ac:dyDescent="0.3">
      <c r="A303" s="55" t="s">
        <v>794</v>
      </c>
      <c r="B303" s="53" t="s">
        <v>795</v>
      </c>
      <c r="C303" s="54" t="s">
        <v>606</v>
      </c>
      <c r="D303" s="75">
        <v>1</v>
      </c>
      <c r="E303" s="75"/>
      <c r="F303" s="75"/>
      <c r="G303" s="161"/>
      <c r="H303" s="158" t="s">
        <v>15</v>
      </c>
      <c r="I303" s="166">
        <v>93.8</v>
      </c>
      <c r="J303" s="75">
        <v>93.8</v>
      </c>
      <c r="K303" s="91" t="s">
        <v>796</v>
      </c>
      <c r="L303" s="73"/>
      <c r="M303" s="46">
        <v>0</v>
      </c>
      <c r="N303" s="46">
        <v>0</v>
      </c>
      <c r="O303" s="46">
        <v>0</v>
      </c>
      <c r="P303" s="98"/>
      <c r="Q303" s="23" t="s">
        <v>1468</v>
      </c>
      <c r="R303" s="24" t="s">
        <v>795</v>
      </c>
      <c r="S303" s="25" t="s">
        <v>606</v>
      </c>
      <c r="T303" s="26">
        <v>1</v>
      </c>
      <c r="U303" s="26">
        <v>1</v>
      </c>
      <c r="V303" s="26">
        <v>93.8</v>
      </c>
      <c r="W303" s="26">
        <f t="shared" si="58"/>
        <v>0</v>
      </c>
      <c r="X303" s="26">
        <f t="shared" si="53"/>
        <v>0</v>
      </c>
      <c r="Y303" s="26">
        <f t="shared" si="59"/>
        <v>0</v>
      </c>
      <c r="Z303" s="26">
        <f t="shared" si="57"/>
        <v>0</v>
      </c>
      <c r="AA303" s="33" t="s">
        <v>15</v>
      </c>
      <c r="AB303" s="36" t="s">
        <v>16</v>
      </c>
      <c r="AC303" s="181">
        <f t="shared" si="54"/>
        <v>1</v>
      </c>
      <c r="AD303" s="181">
        <f t="shared" si="60"/>
        <v>93.8</v>
      </c>
      <c r="AE303" s="181">
        <v>1.7</v>
      </c>
      <c r="AF303" s="181">
        <v>1.7</v>
      </c>
      <c r="AG303" s="101" t="str">
        <f t="shared" si="55"/>
        <v/>
      </c>
      <c r="AH303" s="190">
        <v>0</v>
      </c>
      <c r="AI303" s="69">
        <f t="shared" si="56"/>
        <v>1</v>
      </c>
    </row>
    <row r="304" spans="1:35" s="69" customFormat="1" ht="39" hidden="1" x14ac:dyDescent="0.3">
      <c r="A304" s="55" t="s">
        <v>797</v>
      </c>
      <c r="B304" s="53" t="s">
        <v>798</v>
      </c>
      <c r="C304" s="54" t="s">
        <v>606</v>
      </c>
      <c r="D304" s="75">
        <v>1</v>
      </c>
      <c r="E304" s="75"/>
      <c r="F304" s="75"/>
      <c r="G304" s="161"/>
      <c r="H304" s="158" t="s">
        <v>15</v>
      </c>
      <c r="I304" s="166">
        <v>63.35</v>
      </c>
      <c r="J304" s="75">
        <v>63.35</v>
      </c>
      <c r="K304" s="91" t="s">
        <v>799</v>
      </c>
      <c r="L304" s="73"/>
      <c r="M304" s="46">
        <v>0</v>
      </c>
      <c r="N304" s="46">
        <v>0</v>
      </c>
      <c r="O304" s="46">
        <v>0</v>
      </c>
      <c r="P304" s="98"/>
      <c r="Q304" s="23" t="s">
        <v>1469</v>
      </c>
      <c r="R304" s="24" t="s">
        <v>798</v>
      </c>
      <c r="S304" s="25" t="s">
        <v>606</v>
      </c>
      <c r="T304" s="26">
        <v>1</v>
      </c>
      <c r="U304" s="26">
        <v>1</v>
      </c>
      <c r="V304" s="26">
        <v>63.35</v>
      </c>
      <c r="W304" s="26">
        <f t="shared" si="58"/>
        <v>0</v>
      </c>
      <c r="X304" s="26">
        <f t="shared" si="53"/>
        <v>0</v>
      </c>
      <c r="Y304" s="26">
        <f t="shared" si="59"/>
        <v>0</v>
      </c>
      <c r="Z304" s="26">
        <f t="shared" si="57"/>
        <v>0</v>
      </c>
      <c r="AA304" s="33" t="s">
        <v>15</v>
      </c>
      <c r="AB304" s="36" t="s">
        <v>16</v>
      </c>
      <c r="AC304" s="181">
        <f t="shared" si="54"/>
        <v>1</v>
      </c>
      <c r="AD304" s="181">
        <f t="shared" si="60"/>
        <v>63.35</v>
      </c>
      <c r="AE304" s="181">
        <v>1.7</v>
      </c>
      <c r="AF304" s="181">
        <v>1.7</v>
      </c>
      <c r="AG304" s="101" t="str">
        <f t="shared" si="55"/>
        <v/>
      </c>
      <c r="AH304" s="190">
        <v>0</v>
      </c>
      <c r="AI304" s="69">
        <f t="shared" si="56"/>
        <v>1</v>
      </c>
    </row>
    <row r="305" spans="1:35" s="69" customFormat="1" ht="39" hidden="1" x14ac:dyDescent="0.3">
      <c r="A305" s="55" t="s">
        <v>800</v>
      </c>
      <c r="B305" s="53" t="s">
        <v>801</v>
      </c>
      <c r="C305" s="54" t="s">
        <v>606</v>
      </c>
      <c r="D305" s="75">
        <v>1</v>
      </c>
      <c r="E305" s="75"/>
      <c r="F305" s="75"/>
      <c r="G305" s="161"/>
      <c r="H305" s="158" t="s">
        <v>15</v>
      </c>
      <c r="I305" s="166">
        <v>156.05000000000001</v>
      </c>
      <c r="J305" s="75">
        <v>156.05000000000001</v>
      </c>
      <c r="K305" s="91" t="s">
        <v>802</v>
      </c>
      <c r="L305" s="73"/>
      <c r="M305" s="46">
        <v>0</v>
      </c>
      <c r="N305" s="46">
        <v>0</v>
      </c>
      <c r="O305" s="46">
        <v>0</v>
      </c>
      <c r="P305" s="98"/>
      <c r="Q305" s="23" t="s">
        <v>1470</v>
      </c>
      <c r="R305" s="24" t="s">
        <v>801</v>
      </c>
      <c r="S305" s="25" t="s">
        <v>606</v>
      </c>
      <c r="T305" s="26">
        <v>1</v>
      </c>
      <c r="U305" s="26">
        <v>1</v>
      </c>
      <c r="V305" s="26">
        <v>156.05000000000001</v>
      </c>
      <c r="W305" s="26">
        <f t="shared" si="58"/>
        <v>0</v>
      </c>
      <c r="X305" s="26">
        <f t="shared" si="53"/>
        <v>0</v>
      </c>
      <c r="Y305" s="26">
        <f t="shared" si="59"/>
        <v>0</v>
      </c>
      <c r="Z305" s="26">
        <f t="shared" si="57"/>
        <v>0</v>
      </c>
      <c r="AA305" s="33" t="s">
        <v>15</v>
      </c>
      <c r="AB305" s="36" t="s">
        <v>16</v>
      </c>
      <c r="AC305" s="181">
        <f t="shared" si="54"/>
        <v>1</v>
      </c>
      <c r="AD305" s="181">
        <f t="shared" si="60"/>
        <v>156.05000000000001</v>
      </c>
      <c r="AE305" s="181">
        <v>1.7</v>
      </c>
      <c r="AF305" s="181">
        <v>1.7</v>
      </c>
      <c r="AG305" s="101" t="str">
        <f t="shared" si="55"/>
        <v/>
      </c>
      <c r="AH305" s="190">
        <v>0</v>
      </c>
      <c r="AI305" s="69">
        <f t="shared" si="56"/>
        <v>1</v>
      </c>
    </row>
    <row r="306" spans="1:35" s="69" customFormat="1" ht="58.5" hidden="1" x14ac:dyDescent="0.3">
      <c r="A306" s="55" t="s">
        <v>803</v>
      </c>
      <c r="B306" s="53" t="s">
        <v>804</v>
      </c>
      <c r="C306" s="54" t="s">
        <v>606</v>
      </c>
      <c r="D306" s="75">
        <v>1</v>
      </c>
      <c r="E306" s="75"/>
      <c r="F306" s="75"/>
      <c r="G306" s="161"/>
      <c r="H306" s="158" t="s">
        <v>15</v>
      </c>
      <c r="I306" s="166">
        <v>69.08</v>
      </c>
      <c r="J306" s="75">
        <v>69.08</v>
      </c>
      <c r="K306" s="91" t="s">
        <v>805</v>
      </c>
      <c r="L306" s="73"/>
      <c r="M306" s="46">
        <v>0</v>
      </c>
      <c r="N306" s="46">
        <v>0</v>
      </c>
      <c r="O306" s="46">
        <v>0</v>
      </c>
      <c r="P306" s="98"/>
      <c r="Q306" s="23" t="s">
        <v>1471</v>
      </c>
      <c r="R306" s="24" t="s">
        <v>804</v>
      </c>
      <c r="S306" s="25" t="s">
        <v>606</v>
      </c>
      <c r="T306" s="26">
        <v>1</v>
      </c>
      <c r="U306" s="26">
        <v>1</v>
      </c>
      <c r="V306" s="26">
        <v>69.08</v>
      </c>
      <c r="W306" s="26">
        <f t="shared" si="58"/>
        <v>0</v>
      </c>
      <c r="X306" s="26">
        <f t="shared" ref="X306:X370" si="61">W306+M306</f>
        <v>0</v>
      </c>
      <c r="Y306" s="26">
        <f t="shared" si="59"/>
        <v>0</v>
      </c>
      <c r="Z306" s="26">
        <f t="shared" si="57"/>
        <v>0</v>
      </c>
      <c r="AA306" s="33" t="s">
        <v>15</v>
      </c>
      <c r="AB306" s="36" t="s">
        <v>16</v>
      </c>
      <c r="AC306" s="181">
        <f t="shared" si="54"/>
        <v>1</v>
      </c>
      <c r="AD306" s="181">
        <f t="shared" si="60"/>
        <v>69.08</v>
      </c>
      <c r="AE306" s="181">
        <v>1.7</v>
      </c>
      <c r="AF306" s="181">
        <v>1.7</v>
      </c>
      <c r="AG306" s="101" t="str">
        <f t="shared" si="55"/>
        <v/>
      </c>
      <c r="AH306" s="190">
        <v>0</v>
      </c>
      <c r="AI306" s="69">
        <f t="shared" si="56"/>
        <v>1</v>
      </c>
    </row>
    <row r="307" spans="1:35" s="69" customFormat="1" ht="39" hidden="1" x14ac:dyDescent="0.3">
      <c r="A307" s="55" t="s">
        <v>806</v>
      </c>
      <c r="B307" s="53" t="s">
        <v>807</v>
      </c>
      <c r="C307" s="54" t="s">
        <v>606</v>
      </c>
      <c r="D307" s="75">
        <v>1</v>
      </c>
      <c r="E307" s="75"/>
      <c r="F307" s="75"/>
      <c r="G307" s="161"/>
      <c r="H307" s="158" t="s">
        <v>15</v>
      </c>
      <c r="I307" s="166">
        <v>55.62</v>
      </c>
      <c r="J307" s="75">
        <v>55.62</v>
      </c>
      <c r="K307" s="91" t="s">
        <v>808</v>
      </c>
      <c r="L307" s="73"/>
      <c r="M307" s="46">
        <v>0</v>
      </c>
      <c r="N307" s="46">
        <v>0</v>
      </c>
      <c r="O307" s="46">
        <v>0</v>
      </c>
      <c r="P307" s="98"/>
      <c r="Q307" s="23" t="s">
        <v>1472</v>
      </c>
      <c r="R307" s="24" t="s">
        <v>807</v>
      </c>
      <c r="S307" s="25" t="s">
        <v>606</v>
      </c>
      <c r="T307" s="26">
        <v>1</v>
      </c>
      <c r="U307" s="26">
        <v>1</v>
      </c>
      <c r="V307" s="26">
        <v>55.62</v>
      </c>
      <c r="W307" s="26">
        <f t="shared" si="58"/>
        <v>0</v>
      </c>
      <c r="X307" s="26">
        <f t="shared" si="61"/>
        <v>0</v>
      </c>
      <c r="Y307" s="26">
        <f t="shared" si="59"/>
        <v>0</v>
      </c>
      <c r="Z307" s="26">
        <f t="shared" si="57"/>
        <v>0</v>
      </c>
      <c r="AA307" s="33" t="s">
        <v>15</v>
      </c>
      <c r="AB307" s="36" t="s">
        <v>16</v>
      </c>
      <c r="AC307" s="181">
        <f t="shared" si="54"/>
        <v>1</v>
      </c>
      <c r="AD307" s="181">
        <f t="shared" si="60"/>
        <v>55.62</v>
      </c>
      <c r="AE307" s="181">
        <v>1.7</v>
      </c>
      <c r="AF307" s="181">
        <v>1.7</v>
      </c>
      <c r="AG307" s="101" t="str">
        <f t="shared" si="55"/>
        <v/>
      </c>
      <c r="AH307" s="190">
        <v>0</v>
      </c>
      <c r="AI307" s="69">
        <f t="shared" si="56"/>
        <v>1</v>
      </c>
    </row>
    <row r="308" spans="1:35" s="69" customFormat="1" ht="39" hidden="1" x14ac:dyDescent="0.3">
      <c r="A308" s="55" t="s">
        <v>809</v>
      </c>
      <c r="B308" s="53" t="s">
        <v>810</v>
      </c>
      <c r="C308" s="54" t="s">
        <v>606</v>
      </c>
      <c r="D308" s="75">
        <v>1</v>
      </c>
      <c r="E308" s="75"/>
      <c r="F308" s="75"/>
      <c r="G308" s="161"/>
      <c r="H308" s="158" t="s">
        <v>15</v>
      </c>
      <c r="I308" s="166">
        <v>91.67</v>
      </c>
      <c r="J308" s="75">
        <v>91.67</v>
      </c>
      <c r="K308" s="91" t="s">
        <v>811</v>
      </c>
      <c r="L308" s="73"/>
      <c r="M308" s="46">
        <v>0</v>
      </c>
      <c r="N308" s="46">
        <v>0</v>
      </c>
      <c r="O308" s="46">
        <v>0</v>
      </c>
      <c r="P308" s="98"/>
      <c r="Q308" s="23" t="s">
        <v>1473</v>
      </c>
      <c r="R308" s="24" t="s">
        <v>810</v>
      </c>
      <c r="S308" s="25" t="s">
        <v>606</v>
      </c>
      <c r="T308" s="26">
        <v>1</v>
      </c>
      <c r="U308" s="26">
        <v>1</v>
      </c>
      <c r="V308" s="26">
        <v>91.67</v>
      </c>
      <c r="W308" s="26">
        <f t="shared" si="58"/>
        <v>0</v>
      </c>
      <c r="X308" s="26">
        <f t="shared" si="61"/>
        <v>0</v>
      </c>
      <c r="Y308" s="26">
        <f t="shared" si="59"/>
        <v>0</v>
      </c>
      <c r="Z308" s="26">
        <f t="shared" si="57"/>
        <v>0</v>
      </c>
      <c r="AA308" s="33" t="s">
        <v>15</v>
      </c>
      <c r="AB308" s="36" t="s">
        <v>16</v>
      </c>
      <c r="AC308" s="181">
        <f t="shared" si="54"/>
        <v>1</v>
      </c>
      <c r="AD308" s="181">
        <f t="shared" si="60"/>
        <v>91.67</v>
      </c>
      <c r="AE308" s="181">
        <v>1.7</v>
      </c>
      <c r="AF308" s="181">
        <v>1.7</v>
      </c>
      <c r="AG308" s="101" t="str">
        <f t="shared" si="55"/>
        <v/>
      </c>
      <c r="AH308" s="190">
        <v>0</v>
      </c>
      <c r="AI308" s="69">
        <f t="shared" si="56"/>
        <v>1</v>
      </c>
    </row>
    <row r="309" spans="1:35" s="69" customFormat="1" ht="39" hidden="1" x14ac:dyDescent="0.3">
      <c r="A309" s="55" t="s">
        <v>812</v>
      </c>
      <c r="B309" s="53" t="s">
        <v>813</v>
      </c>
      <c r="C309" s="54" t="s">
        <v>606</v>
      </c>
      <c r="D309" s="75">
        <v>1</v>
      </c>
      <c r="E309" s="75"/>
      <c r="F309" s="75"/>
      <c r="G309" s="161"/>
      <c r="H309" s="158" t="s">
        <v>15</v>
      </c>
      <c r="I309" s="166">
        <v>68.5</v>
      </c>
      <c r="J309" s="75">
        <v>68.5</v>
      </c>
      <c r="K309" s="91" t="s">
        <v>814</v>
      </c>
      <c r="L309" s="73"/>
      <c r="M309" s="46">
        <v>0</v>
      </c>
      <c r="N309" s="46">
        <v>0</v>
      </c>
      <c r="O309" s="46">
        <v>0</v>
      </c>
      <c r="P309" s="98"/>
      <c r="Q309" s="23" t="s">
        <v>1474</v>
      </c>
      <c r="R309" s="24" t="s">
        <v>813</v>
      </c>
      <c r="S309" s="25" t="s">
        <v>606</v>
      </c>
      <c r="T309" s="26">
        <v>1</v>
      </c>
      <c r="U309" s="26">
        <v>1</v>
      </c>
      <c r="V309" s="26">
        <v>68.5</v>
      </c>
      <c r="W309" s="26">
        <f t="shared" si="58"/>
        <v>0</v>
      </c>
      <c r="X309" s="26">
        <f t="shared" si="61"/>
        <v>0</v>
      </c>
      <c r="Y309" s="26">
        <f t="shared" si="59"/>
        <v>0</v>
      </c>
      <c r="Z309" s="26">
        <f t="shared" si="57"/>
        <v>0</v>
      </c>
      <c r="AA309" s="33" t="s">
        <v>15</v>
      </c>
      <c r="AB309" s="36" t="s">
        <v>16</v>
      </c>
      <c r="AC309" s="181">
        <f t="shared" si="54"/>
        <v>1</v>
      </c>
      <c r="AD309" s="181">
        <f t="shared" si="60"/>
        <v>68.5</v>
      </c>
      <c r="AE309" s="181">
        <v>1.7</v>
      </c>
      <c r="AF309" s="181">
        <v>1.7</v>
      </c>
      <c r="AG309" s="101" t="str">
        <f t="shared" si="55"/>
        <v/>
      </c>
      <c r="AH309" s="190">
        <v>0</v>
      </c>
      <c r="AI309" s="69">
        <f t="shared" si="56"/>
        <v>1</v>
      </c>
    </row>
    <row r="310" spans="1:35" s="69" customFormat="1" ht="39" hidden="1" x14ac:dyDescent="0.3">
      <c r="A310" s="55" t="s">
        <v>815</v>
      </c>
      <c r="B310" s="53" t="s">
        <v>816</v>
      </c>
      <c r="C310" s="54" t="s">
        <v>606</v>
      </c>
      <c r="D310" s="75">
        <v>1</v>
      </c>
      <c r="E310" s="75"/>
      <c r="F310" s="75"/>
      <c r="G310" s="161"/>
      <c r="H310" s="158" t="s">
        <v>15</v>
      </c>
      <c r="I310" s="166">
        <v>58.2</v>
      </c>
      <c r="J310" s="75">
        <v>58.2</v>
      </c>
      <c r="K310" s="91" t="s">
        <v>817</v>
      </c>
      <c r="L310" s="73"/>
      <c r="M310" s="46">
        <v>0</v>
      </c>
      <c r="N310" s="46">
        <v>0</v>
      </c>
      <c r="O310" s="46">
        <v>0</v>
      </c>
      <c r="P310" s="98"/>
      <c r="Q310" s="23" t="s">
        <v>1475</v>
      </c>
      <c r="R310" s="24" t="s">
        <v>816</v>
      </c>
      <c r="S310" s="25" t="s">
        <v>606</v>
      </c>
      <c r="T310" s="26">
        <v>1</v>
      </c>
      <c r="U310" s="26">
        <v>1</v>
      </c>
      <c r="V310" s="26">
        <v>58.2</v>
      </c>
      <c r="W310" s="26">
        <f t="shared" si="58"/>
        <v>0</v>
      </c>
      <c r="X310" s="26">
        <f t="shared" si="61"/>
        <v>0</v>
      </c>
      <c r="Y310" s="26">
        <f t="shared" si="59"/>
        <v>0</v>
      </c>
      <c r="Z310" s="26">
        <f t="shared" si="57"/>
        <v>0</v>
      </c>
      <c r="AA310" s="33" t="s">
        <v>15</v>
      </c>
      <c r="AB310" s="36" t="s">
        <v>16</v>
      </c>
      <c r="AC310" s="181">
        <f t="shared" si="54"/>
        <v>1</v>
      </c>
      <c r="AD310" s="181">
        <f t="shared" si="60"/>
        <v>58.2</v>
      </c>
      <c r="AE310" s="181">
        <v>1.7</v>
      </c>
      <c r="AF310" s="181">
        <v>1.7</v>
      </c>
      <c r="AG310" s="101" t="str">
        <f t="shared" si="55"/>
        <v/>
      </c>
      <c r="AH310" s="190">
        <v>0</v>
      </c>
      <c r="AI310" s="69">
        <f t="shared" si="56"/>
        <v>1</v>
      </c>
    </row>
    <row r="311" spans="1:35" s="69" customFormat="1" ht="39" hidden="1" x14ac:dyDescent="0.3">
      <c r="A311" s="55" t="s">
        <v>818</v>
      </c>
      <c r="B311" s="53" t="s">
        <v>819</v>
      </c>
      <c r="C311" s="54" t="s">
        <v>606</v>
      </c>
      <c r="D311" s="75">
        <v>1</v>
      </c>
      <c r="E311" s="75"/>
      <c r="F311" s="75"/>
      <c r="G311" s="161"/>
      <c r="H311" s="158" t="s">
        <v>15</v>
      </c>
      <c r="I311" s="166">
        <v>70.040000000000006</v>
      </c>
      <c r="J311" s="75">
        <v>70.040000000000006</v>
      </c>
      <c r="K311" s="91" t="s">
        <v>820</v>
      </c>
      <c r="L311" s="73"/>
      <c r="M311" s="46">
        <v>0</v>
      </c>
      <c r="N311" s="46">
        <v>0</v>
      </c>
      <c r="O311" s="46">
        <v>0</v>
      </c>
      <c r="P311" s="98"/>
      <c r="Q311" s="23" t="s">
        <v>1476</v>
      </c>
      <c r="R311" s="24" t="s">
        <v>819</v>
      </c>
      <c r="S311" s="25" t="s">
        <v>606</v>
      </c>
      <c r="T311" s="26">
        <v>1</v>
      </c>
      <c r="U311" s="26">
        <v>1</v>
      </c>
      <c r="V311" s="26">
        <v>70.040000000000006</v>
      </c>
      <c r="W311" s="26">
        <f t="shared" si="58"/>
        <v>0</v>
      </c>
      <c r="X311" s="26">
        <f t="shared" si="61"/>
        <v>0</v>
      </c>
      <c r="Y311" s="26">
        <f t="shared" si="59"/>
        <v>0</v>
      </c>
      <c r="Z311" s="26">
        <f t="shared" si="57"/>
        <v>0</v>
      </c>
      <c r="AA311" s="33" t="s">
        <v>15</v>
      </c>
      <c r="AB311" s="36" t="s">
        <v>16</v>
      </c>
      <c r="AC311" s="181">
        <f t="shared" si="54"/>
        <v>1</v>
      </c>
      <c r="AD311" s="181">
        <f t="shared" si="60"/>
        <v>70.040000000000006</v>
      </c>
      <c r="AE311" s="181">
        <v>1.7</v>
      </c>
      <c r="AF311" s="181">
        <v>1.7</v>
      </c>
      <c r="AG311" s="101" t="str">
        <f t="shared" si="55"/>
        <v/>
      </c>
      <c r="AH311" s="190">
        <v>0</v>
      </c>
      <c r="AI311" s="69">
        <f t="shared" si="56"/>
        <v>1</v>
      </c>
    </row>
    <row r="312" spans="1:35" s="69" customFormat="1" ht="39" hidden="1" x14ac:dyDescent="0.3">
      <c r="A312" s="55" t="s">
        <v>821</v>
      </c>
      <c r="B312" s="53" t="s">
        <v>822</v>
      </c>
      <c r="C312" s="54" t="s">
        <v>606</v>
      </c>
      <c r="D312" s="75">
        <v>1</v>
      </c>
      <c r="E312" s="75"/>
      <c r="F312" s="75"/>
      <c r="G312" s="161"/>
      <c r="H312" s="158" t="s">
        <v>15</v>
      </c>
      <c r="I312" s="166">
        <v>61.29</v>
      </c>
      <c r="J312" s="75">
        <v>61.29</v>
      </c>
      <c r="K312" s="91" t="s">
        <v>823</v>
      </c>
      <c r="L312" s="73"/>
      <c r="M312" s="46">
        <v>0</v>
      </c>
      <c r="N312" s="46">
        <v>0</v>
      </c>
      <c r="O312" s="46">
        <v>0</v>
      </c>
      <c r="P312" s="98"/>
      <c r="Q312" s="23" t="s">
        <v>1477</v>
      </c>
      <c r="R312" s="24" t="s">
        <v>822</v>
      </c>
      <c r="S312" s="25" t="s">
        <v>606</v>
      </c>
      <c r="T312" s="26">
        <v>1</v>
      </c>
      <c r="U312" s="26">
        <v>1</v>
      </c>
      <c r="V312" s="26">
        <v>61.29</v>
      </c>
      <c r="W312" s="26">
        <f t="shared" si="58"/>
        <v>0</v>
      </c>
      <c r="X312" s="26">
        <f t="shared" si="61"/>
        <v>0</v>
      </c>
      <c r="Y312" s="26">
        <f t="shared" si="59"/>
        <v>0</v>
      </c>
      <c r="Z312" s="26">
        <f t="shared" si="57"/>
        <v>0</v>
      </c>
      <c r="AA312" s="33" t="s">
        <v>15</v>
      </c>
      <c r="AB312" s="36" t="s">
        <v>16</v>
      </c>
      <c r="AC312" s="181">
        <f t="shared" si="54"/>
        <v>1</v>
      </c>
      <c r="AD312" s="181">
        <f t="shared" si="60"/>
        <v>61.29</v>
      </c>
      <c r="AE312" s="181">
        <v>1.7</v>
      </c>
      <c r="AF312" s="181">
        <v>1.7</v>
      </c>
      <c r="AG312" s="101" t="str">
        <f t="shared" si="55"/>
        <v/>
      </c>
      <c r="AH312" s="190">
        <v>0</v>
      </c>
      <c r="AI312" s="69">
        <f t="shared" si="56"/>
        <v>1</v>
      </c>
    </row>
    <row r="313" spans="1:35" s="69" customFormat="1" ht="39" hidden="1" x14ac:dyDescent="0.3">
      <c r="A313" s="55" t="s">
        <v>824</v>
      </c>
      <c r="B313" s="53" t="s">
        <v>825</v>
      </c>
      <c r="C313" s="54" t="s">
        <v>606</v>
      </c>
      <c r="D313" s="75">
        <v>1</v>
      </c>
      <c r="E313" s="75"/>
      <c r="F313" s="75"/>
      <c r="G313" s="161"/>
      <c r="H313" s="158" t="s">
        <v>15</v>
      </c>
      <c r="I313" s="166">
        <v>59.74</v>
      </c>
      <c r="J313" s="75">
        <v>59.74</v>
      </c>
      <c r="K313" s="91" t="s">
        <v>826</v>
      </c>
      <c r="L313" s="73"/>
      <c r="M313" s="46">
        <v>0</v>
      </c>
      <c r="N313" s="46">
        <v>0</v>
      </c>
      <c r="O313" s="46">
        <v>0</v>
      </c>
      <c r="P313" s="98"/>
      <c r="Q313" s="23" t="s">
        <v>1478</v>
      </c>
      <c r="R313" s="24" t="s">
        <v>825</v>
      </c>
      <c r="S313" s="25" t="s">
        <v>606</v>
      </c>
      <c r="T313" s="26">
        <v>1</v>
      </c>
      <c r="U313" s="26">
        <v>1</v>
      </c>
      <c r="V313" s="26">
        <v>59.74</v>
      </c>
      <c r="W313" s="26">
        <f t="shared" si="58"/>
        <v>0</v>
      </c>
      <c r="X313" s="26">
        <f t="shared" si="61"/>
        <v>0</v>
      </c>
      <c r="Y313" s="26">
        <f t="shared" si="59"/>
        <v>0</v>
      </c>
      <c r="Z313" s="26">
        <f t="shared" si="57"/>
        <v>0</v>
      </c>
      <c r="AA313" s="33" t="s">
        <v>15</v>
      </c>
      <c r="AB313" s="36" t="s">
        <v>16</v>
      </c>
      <c r="AC313" s="181">
        <f t="shared" si="54"/>
        <v>1</v>
      </c>
      <c r="AD313" s="181">
        <f t="shared" si="60"/>
        <v>59.74</v>
      </c>
      <c r="AE313" s="181">
        <v>1.7</v>
      </c>
      <c r="AF313" s="181">
        <v>1.7</v>
      </c>
      <c r="AG313" s="101" t="str">
        <f t="shared" si="55"/>
        <v/>
      </c>
      <c r="AH313" s="190">
        <v>0</v>
      </c>
      <c r="AI313" s="69">
        <f t="shared" si="56"/>
        <v>1</v>
      </c>
    </row>
    <row r="314" spans="1:35" s="69" customFormat="1" ht="39" hidden="1" x14ac:dyDescent="0.3">
      <c r="A314" s="55" t="s">
        <v>827</v>
      </c>
      <c r="B314" s="53" t="s">
        <v>828</v>
      </c>
      <c r="C314" s="54" t="s">
        <v>606</v>
      </c>
      <c r="D314" s="75">
        <v>1</v>
      </c>
      <c r="E314" s="75"/>
      <c r="F314" s="75"/>
      <c r="G314" s="161"/>
      <c r="H314" s="158" t="s">
        <v>15</v>
      </c>
      <c r="I314" s="166">
        <v>69.58</v>
      </c>
      <c r="J314" s="75">
        <v>69.58</v>
      </c>
      <c r="K314" s="91" t="s">
        <v>829</v>
      </c>
      <c r="L314" s="73"/>
      <c r="M314" s="46">
        <v>0</v>
      </c>
      <c r="N314" s="46">
        <v>0</v>
      </c>
      <c r="O314" s="46">
        <v>0</v>
      </c>
      <c r="P314" s="98"/>
      <c r="Q314" s="23" t="s">
        <v>1479</v>
      </c>
      <c r="R314" s="24" t="s">
        <v>828</v>
      </c>
      <c r="S314" s="25" t="s">
        <v>606</v>
      </c>
      <c r="T314" s="26">
        <v>1</v>
      </c>
      <c r="U314" s="26">
        <v>1</v>
      </c>
      <c r="V314" s="26">
        <v>69.58</v>
      </c>
      <c r="W314" s="26">
        <f t="shared" si="58"/>
        <v>0</v>
      </c>
      <c r="X314" s="26">
        <f t="shared" si="61"/>
        <v>0</v>
      </c>
      <c r="Y314" s="26">
        <f t="shared" si="59"/>
        <v>0</v>
      </c>
      <c r="Z314" s="26">
        <f t="shared" si="57"/>
        <v>0</v>
      </c>
      <c r="AA314" s="33" t="s">
        <v>15</v>
      </c>
      <c r="AB314" s="36" t="s">
        <v>16</v>
      </c>
      <c r="AC314" s="181">
        <f t="shared" si="54"/>
        <v>1</v>
      </c>
      <c r="AD314" s="181">
        <f t="shared" si="60"/>
        <v>69.58</v>
      </c>
      <c r="AE314" s="181">
        <v>1.7</v>
      </c>
      <c r="AF314" s="181">
        <v>1.7</v>
      </c>
      <c r="AG314" s="101" t="str">
        <f t="shared" si="55"/>
        <v/>
      </c>
      <c r="AH314" s="190">
        <v>0</v>
      </c>
      <c r="AI314" s="69">
        <f t="shared" si="56"/>
        <v>1</v>
      </c>
    </row>
    <row r="315" spans="1:35" s="69" customFormat="1" ht="39" hidden="1" x14ac:dyDescent="0.3">
      <c r="A315" s="55" t="s">
        <v>830</v>
      </c>
      <c r="B315" s="53" t="s">
        <v>831</v>
      </c>
      <c r="C315" s="54" t="s">
        <v>606</v>
      </c>
      <c r="D315" s="75">
        <v>1</v>
      </c>
      <c r="E315" s="75"/>
      <c r="F315" s="75"/>
      <c r="G315" s="161"/>
      <c r="H315" s="158" t="s">
        <v>15</v>
      </c>
      <c r="I315" s="166">
        <v>112.84</v>
      </c>
      <c r="J315" s="75">
        <v>112.84</v>
      </c>
      <c r="K315" s="91" t="s">
        <v>832</v>
      </c>
      <c r="L315" s="73"/>
      <c r="M315" s="46">
        <v>0</v>
      </c>
      <c r="N315" s="46">
        <v>0</v>
      </c>
      <c r="O315" s="46">
        <v>0</v>
      </c>
      <c r="P315" s="98"/>
      <c r="Q315" s="23" t="s">
        <v>1480</v>
      </c>
      <c r="R315" s="24" t="s">
        <v>831</v>
      </c>
      <c r="S315" s="25" t="s">
        <v>606</v>
      </c>
      <c r="T315" s="26">
        <v>1</v>
      </c>
      <c r="U315" s="26">
        <v>1</v>
      </c>
      <c r="V315" s="26">
        <v>112.84</v>
      </c>
      <c r="W315" s="26">
        <f t="shared" si="58"/>
        <v>0</v>
      </c>
      <c r="X315" s="26">
        <f t="shared" si="61"/>
        <v>0</v>
      </c>
      <c r="Y315" s="26">
        <f t="shared" si="59"/>
        <v>0</v>
      </c>
      <c r="Z315" s="26">
        <f t="shared" si="57"/>
        <v>0</v>
      </c>
      <c r="AA315" s="33" t="s">
        <v>15</v>
      </c>
      <c r="AB315" s="36" t="s">
        <v>16</v>
      </c>
      <c r="AC315" s="181">
        <f t="shared" si="54"/>
        <v>1</v>
      </c>
      <c r="AD315" s="181">
        <f t="shared" si="60"/>
        <v>112.84</v>
      </c>
      <c r="AE315" s="181">
        <v>1.7</v>
      </c>
      <c r="AF315" s="181">
        <v>1.7</v>
      </c>
      <c r="AG315" s="101" t="str">
        <f t="shared" si="55"/>
        <v/>
      </c>
      <c r="AH315" s="190">
        <v>0</v>
      </c>
      <c r="AI315" s="69">
        <f t="shared" si="56"/>
        <v>1</v>
      </c>
    </row>
    <row r="316" spans="1:35" s="69" customFormat="1" ht="39" hidden="1" x14ac:dyDescent="0.3">
      <c r="A316" s="55" t="s">
        <v>833</v>
      </c>
      <c r="B316" s="53" t="s">
        <v>834</v>
      </c>
      <c r="C316" s="54" t="s">
        <v>606</v>
      </c>
      <c r="D316" s="75">
        <v>1</v>
      </c>
      <c r="E316" s="75"/>
      <c r="F316" s="75"/>
      <c r="G316" s="161"/>
      <c r="H316" s="158" t="s">
        <v>15</v>
      </c>
      <c r="I316" s="166">
        <v>102.54</v>
      </c>
      <c r="J316" s="75">
        <v>102.54</v>
      </c>
      <c r="K316" s="91" t="s">
        <v>835</v>
      </c>
      <c r="L316" s="73"/>
      <c r="M316" s="46">
        <v>0</v>
      </c>
      <c r="N316" s="46">
        <v>0</v>
      </c>
      <c r="O316" s="46">
        <v>0</v>
      </c>
      <c r="P316" s="98"/>
      <c r="Q316" s="23" t="s">
        <v>1481</v>
      </c>
      <c r="R316" s="24" t="s">
        <v>834</v>
      </c>
      <c r="S316" s="25" t="s">
        <v>606</v>
      </c>
      <c r="T316" s="26">
        <v>1</v>
      </c>
      <c r="U316" s="26">
        <v>1</v>
      </c>
      <c r="V316" s="26">
        <v>102.54</v>
      </c>
      <c r="W316" s="26">
        <f t="shared" si="58"/>
        <v>0</v>
      </c>
      <c r="X316" s="26">
        <f t="shared" si="61"/>
        <v>0</v>
      </c>
      <c r="Y316" s="26">
        <f t="shared" si="59"/>
        <v>0</v>
      </c>
      <c r="Z316" s="26">
        <f t="shared" si="57"/>
        <v>0</v>
      </c>
      <c r="AA316" s="33" t="s">
        <v>15</v>
      </c>
      <c r="AB316" s="36" t="s">
        <v>16</v>
      </c>
      <c r="AC316" s="181">
        <f t="shared" si="54"/>
        <v>1</v>
      </c>
      <c r="AD316" s="181">
        <f t="shared" si="60"/>
        <v>102.54</v>
      </c>
      <c r="AE316" s="181">
        <v>1.7</v>
      </c>
      <c r="AF316" s="181">
        <v>1.7</v>
      </c>
      <c r="AG316" s="101" t="str">
        <f t="shared" si="55"/>
        <v/>
      </c>
      <c r="AH316" s="190">
        <v>0</v>
      </c>
      <c r="AI316" s="69">
        <f t="shared" si="56"/>
        <v>1</v>
      </c>
    </row>
    <row r="317" spans="1:35" s="69" customFormat="1" ht="39" hidden="1" x14ac:dyDescent="0.3">
      <c r="A317" s="55" t="s">
        <v>836</v>
      </c>
      <c r="B317" s="53" t="s">
        <v>837</v>
      </c>
      <c r="C317" s="54" t="s">
        <v>606</v>
      </c>
      <c r="D317" s="75">
        <v>1</v>
      </c>
      <c r="E317" s="75"/>
      <c r="F317" s="75"/>
      <c r="G317" s="161"/>
      <c r="H317" s="158" t="s">
        <v>15</v>
      </c>
      <c r="I317" s="166">
        <v>82.99</v>
      </c>
      <c r="J317" s="75">
        <v>82.99</v>
      </c>
      <c r="K317" s="91" t="s">
        <v>838</v>
      </c>
      <c r="L317" s="73"/>
      <c r="M317" s="46">
        <v>0</v>
      </c>
      <c r="N317" s="46">
        <v>0</v>
      </c>
      <c r="O317" s="46">
        <v>0</v>
      </c>
      <c r="P317" s="98"/>
      <c r="Q317" s="23" t="s">
        <v>1482</v>
      </c>
      <c r="R317" s="24" t="s">
        <v>837</v>
      </c>
      <c r="S317" s="25" t="s">
        <v>606</v>
      </c>
      <c r="T317" s="26">
        <v>1</v>
      </c>
      <c r="U317" s="26">
        <v>1</v>
      </c>
      <c r="V317" s="26">
        <v>82.99</v>
      </c>
      <c r="W317" s="26">
        <f t="shared" si="58"/>
        <v>0</v>
      </c>
      <c r="X317" s="26">
        <f t="shared" si="61"/>
        <v>0</v>
      </c>
      <c r="Y317" s="26">
        <f t="shared" si="59"/>
        <v>0</v>
      </c>
      <c r="Z317" s="26">
        <f t="shared" si="57"/>
        <v>0</v>
      </c>
      <c r="AA317" s="33" t="s">
        <v>15</v>
      </c>
      <c r="AB317" s="36" t="s">
        <v>16</v>
      </c>
      <c r="AC317" s="181">
        <f t="shared" si="54"/>
        <v>1</v>
      </c>
      <c r="AD317" s="181">
        <f t="shared" si="60"/>
        <v>82.99</v>
      </c>
      <c r="AE317" s="181">
        <v>1.7</v>
      </c>
      <c r="AF317" s="181">
        <v>1.7</v>
      </c>
      <c r="AG317" s="101" t="str">
        <f t="shared" si="55"/>
        <v/>
      </c>
      <c r="AH317" s="190">
        <v>0</v>
      </c>
      <c r="AI317" s="69">
        <f t="shared" si="56"/>
        <v>1</v>
      </c>
    </row>
    <row r="318" spans="1:35" s="69" customFormat="1" ht="58.5" hidden="1" x14ac:dyDescent="0.3">
      <c r="A318" s="55" t="s">
        <v>839</v>
      </c>
      <c r="B318" s="53" t="s">
        <v>840</v>
      </c>
      <c r="C318" s="54" t="s">
        <v>606</v>
      </c>
      <c r="D318" s="75">
        <v>1</v>
      </c>
      <c r="E318" s="75"/>
      <c r="F318" s="75"/>
      <c r="G318" s="161"/>
      <c r="H318" s="158" t="s">
        <v>15</v>
      </c>
      <c r="I318" s="166">
        <v>80.41</v>
      </c>
      <c r="J318" s="75">
        <v>80.41</v>
      </c>
      <c r="K318" s="91" t="s">
        <v>841</v>
      </c>
      <c r="L318" s="73"/>
      <c r="M318" s="46">
        <v>0</v>
      </c>
      <c r="N318" s="46">
        <v>0</v>
      </c>
      <c r="O318" s="46">
        <v>0</v>
      </c>
      <c r="P318" s="98"/>
      <c r="Q318" s="23" t="s">
        <v>1483</v>
      </c>
      <c r="R318" s="24" t="s">
        <v>840</v>
      </c>
      <c r="S318" s="25" t="s">
        <v>606</v>
      </c>
      <c r="T318" s="26">
        <v>1</v>
      </c>
      <c r="U318" s="26">
        <v>1</v>
      </c>
      <c r="V318" s="26">
        <v>80.41</v>
      </c>
      <c r="W318" s="26">
        <f t="shared" si="58"/>
        <v>0</v>
      </c>
      <c r="X318" s="26">
        <f t="shared" si="61"/>
        <v>0</v>
      </c>
      <c r="Y318" s="26">
        <f t="shared" si="59"/>
        <v>0</v>
      </c>
      <c r="Z318" s="26">
        <f t="shared" si="57"/>
        <v>0</v>
      </c>
      <c r="AA318" s="33" t="s">
        <v>15</v>
      </c>
      <c r="AB318" s="36" t="s">
        <v>16</v>
      </c>
      <c r="AC318" s="181">
        <f t="shared" si="54"/>
        <v>1</v>
      </c>
      <c r="AD318" s="181">
        <f t="shared" si="60"/>
        <v>80.41</v>
      </c>
      <c r="AE318" s="181">
        <v>1.7</v>
      </c>
      <c r="AF318" s="181">
        <v>1.7</v>
      </c>
      <c r="AG318" s="101" t="str">
        <f t="shared" si="55"/>
        <v/>
      </c>
      <c r="AH318" s="190">
        <v>0</v>
      </c>
      <c r="AI318" s="69">
        <f t="shared" si="56"/>
        <v>1</v>
      </c>
    </row>
    <row r="319" spans="1:35" s="69" customFormat="1" ht="39" hidden="1" x14ac:dyDescent="0.3">
      <c r="A319" s="55" t="s">
        <v>842</v>
      </c>
      <c r="B319" s="53" t="s">
        <v>843</v>
      </c>
      <c r="C319" s="54" t="s">
        <v>606</v>
      </c>
      <c r="D319" s="75">
        <v>1</v>
      </c>
      <c r="E319" s="75"/>
      <c r="F319" s="75"/>
      <c r="G319" s="161"/>
      <c r="H319" s="158" t="s">
        <v>15</v>
      </c>
      <c r="I319" s="166">
        <v>101.01</v>
      </c>
      <c r="J319" s="75">
        <v>101.01</v>
      </c>
      <c r="K319" s="91" t="s">
        <v>844</v>
      </c>
      <c r="L319" s="73"/>
      <c r="M319" s="46">
        <v>0</v>
      </c>
      <c r="N319" s="46">
        <v>0</v>
      </c>
      <c r="O319" s="46">
        <v>0</v>
      </c>
      <c r="P319" s="98"/>
      <c r="Q319" s="23" t="s">
        <v>1484</v>
      </c>
      <c r="R319" s="24" t="s">
        <v>843</v>
      </c>
      <c r="S319" s="25" t="s">
        <v>606</v>
      </c>
      <c r="T319" s="26">
        <v>1</v>
      </c>
      <c r="U319" s="26">
        <v>1</v>
      </c>
      <c r="V319" s="26">
        <v>101.01</v>
      </c>
      <c r="W319" s="26">
        <f t="shared" si="58"/>
        <v>0</v>
      </c>
      <c r="X319" s="26">
        <f t="shared" si="61"/>
        <v>0</v>
      </c>
      <c r="Y319" s="26">
        <f t="shared" si="59"/>
        <v>0</v>
      </c>
      <c r="Z319" s="26">
        <f t="shared" si="57"/>
        <v>0</v>
      </c>
      <c r="AA319" s="33" t="s">
        <v>15</v>
      </c>
      <c r="AB319" s="36" t="s">
        <v>16</v>
      </c>
      <c r="AC319" s="181">
        <f t="shared" si="54"/>
        <v>1</v>
      </c>
      <c r="AD319" s="181">
        <f t="shared" si="60"/>
        <v>101.01</v>
      </c>
      <c r="AE319" s="181">
        <v>1.7</v>
      </c>
      <c r="AF319" s="181">
        <v>1.7</v>
      </c>
      <c r="AG319" s="101" t="str">
        <f t="shared" si="55"/>
        <v/>
      </c>
      <c r="AH319" s="190">
        <v>0</v>
      </c>
      <c r="AI319" s="69">
        <f t="shared" si="56"/>
        <v>1</v>
      </c>
    </row>
    <row r="320" spans="1:35" s="69" customFormat="1" ht="58.5" hidden="1" x14ac:dyDescent="0.3">
      <c r="A320" s="55" t="s">
        <v>845</v>
      </c>
      <c r="B320" s="53" t="s">
        <v>846</v>
      </c>
      <c r="C320" s="54" t="s">
        <v>606</v>
      </c>
      <c r="D320" s="75">
        <v>1</v>
      </c>
      <c r="E320" s="75"/>
      <c r="F320" s="75"/>
      <c r="G320" s="161"/>
      <c r="H320" s="158" t="s">
        <v>15</v>
      </c>
      <c r="I320" s="166">
        <v>76.290000000000006</v>
      </c>
      <c r="J320" s="75">
        <v>76.290000000000006</v>
      </c>
      <c r="K320" s="91" t="s">
        <v>847</v>
      </c>
      <c r="L320" s="73"/>
      <c r="M320" s="46">
        <v>0</v>
      </c>
      <c r="N320" s="46">
        <v>0</v>
      </c>
      <c r="O320" s="46">
        <v>0</v>
      </c>
      <c r="P320" s="98"/>
      <c r="Q320" s="23" t="s">
        <v>1485</v>
      </c>
      <c r="R320" s="24" t="s">
        <v>846</v>
      </c>
      <c r="S320" s="25" t="s">
        <v>606</v>
      </c>
      <c r="T320" s="26">
        <v>1</v>
      </c>
      <c r="U320" s="26">
        <v>1</v>
      </c>
      <c r="V320" s="26">
        <v>76.290000000000006</v>
      </c>
      <c r="W320" s="26">
        <f t="shared" si="58"/>
        <v>0</v>
      </c>
      <c r="X320" s="26">
        <f t="shared" si="61"/>
        <v>0</v>
      </c>
      <c r="Y320" s="26">
        <f t="shared" si="59"/>
        <v>0</v>
      </c>
      <c r="Z320" s="26">
        <f t="shared" si="57"/>
        <v>0</v>
      </c>
      <c r="AA320" s="33" t="s">
        <v>15</v>
      </c>
      <c r="AB320" s="36" t="s">
        <v>16</v>
      </c>
      <c r="AC320" s="181">
        <f t="shared" si="54"/>
        <v>1</v>
      </c>
      <c r="AD320" s="181">
        <f t="shared" si="60"/>
        <v>76.290000000000006</v>
      </c>
      <c r="AE320" s="181">
        <v>1.7</v>
      </c>
      <c r="AF320" s="181">
        <v>1.7</v>
      </c>
      <c r="AG320" s="101" t="str">
        <f t="shared" si="55"/>
        <v/>
      </c>
      <c r="AH320" s="190">
        <v>0</v>
      </c>
      <c r="AI320" s="69">
        <f t="shared" si="56"/>
        <v>1</v>
      </c>
    </row>
    <row r="321" spans="1:35" s="69" customFormat="1" ht="39" hidden="1" x14ac:dyDescent="0.3">
      <c r="A321" s="55" t="s">
        <v>848</v>
      </c>
      <c r="B321" s="53" t="s">
        <v>849</v>
      </c>
      <c r="C321" s="54" t="s">
        <v>606</v>
      </c>
      <c r="D321" s="75">
        <v>1</v>
      </c>
      <c r="E321" s="75"/>
      <c r="F321" s="75"/>
      <c r="G321" s="161"/>
      <c r="H321" s="158" t="s">
        <v>15</v>
      </c>
      <c r="I321" s="166">
        <v>73.650000000000006</v>
      </c>
      <c r="J321" s="75">
        <v>73.650000000000006</v>
      </c>
      <c r="K321" s="91" t="s">
        <v>850</v>
      </c>
      <c r="L321" s="73"/>
      <c r="M321" s="46">
        <v>0</v>
      </c>
      <c r="N321" s="46">
        <v>0</v>
      </c>
      <c r="O321" s="46">
        <v>0</v>
      </c>
      <c r="P321" s="98"/>
      <c r="Q321" s="23" t="s">
        <v>1486</v>
      </c>
      <c r="R321" s="24" t="s">
        <v>849</v>
      </c>
      <c r="S321" s="25" t="s">
        <v>606</v>
      </c>
      <c r="T321" s="26">
        <v>1</v>
      </c>
      <c r="U321" s="26">
        <v>1</v>
      </c>
      <c r="V321" s="26">
        <v>73.650000000000006</v>
      </c>
      <c r="W321" s="26">
        <f t="shared" si="58"/>
        <v>0</v>
      </c>
      <c r="X321" s="26">
        <f t="shared" si="61"/>
        <v>0</v>
      </c>
      <c r="Y321" s="26">
        <f t="shared" si="59"/>
        <v>0</v>
      </c>
      <c r="Z321" s="26">
        <f t="shared" si="57"/>
        <v>0</v>
      </c>
      <c r="AA321" s="33" t="s">
        <v>15</v>
      </c>
      <c r="AB321" s="36" t="s">
        <v>16</v>
      </c>
      <c r="AC321" s="181">
        <f t="shared" si="54"/>
        <v>1</v>
      </c>
      <c r="AD321" s="181">
        <f t="shared" si="60"/>
        <v>73.650000000000006</v>
      </c>
      <c r="AE321" s="181">
        <v>1.7</v>
      </c>
      <c r="AF321" s="181">
        <v>1.7</v>
      </c>
      <c r="AG321" s="101" t="str">
        <f t="shared" si="55"/>
        <v/>
      </c>
      <c r="AH321" s="190">
        <v>0</v>
      </c>
      <c r="AI321" s="69">
        <f t="shared" si="56"/>
        <v>1</v>
      </c>
    </row>
    <row r="322" spans="1:35" s="69" customFormat="1" ht="39" hidden="1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161"/>
      <c r="H322" s="158" t="s">
        <v>15</v>
      </c>
      <c r="I322" s="166">
        <v>43.78</v>
      </c>
      <c r="J322" s="75">
        <v>43.78</v>
      </c>
      <c r="K322" s="91" t="s">
        <v>853</v>
      </c>
      <c r="L322" s="73"/>
      <c r="M322" s="46">
        <v>0</v>
      </c>
      <c r="N322" s="46">
        <v>0</v>
      </c>
      <c r="O322" s="46">
        <v>0</v>
      </c>
      <c r="P322" s="98"/>
      <c r="Q322" s="23" t="s">
        <v>1487</v>
      </c>
      <c r="R322" s="24" t="s">
        <v>852</v>
      </c>
      <c r="S322" s="25" t="s">
        <v>50</v>
      </c>
      <c r="T322" s="26">
        <v>1</v>
      </c>
      <c r="U322" s="26">
        <v>1</v>
      </c>
      <c r="V322" s="26">
        <v>43.78</v>
      </c>
      <c r="W322" s="26">
        <f t="shared" si="58"/>
        <v>0</v>
      </c>
      <c r="X322" s="26">
        <f t="shared" si="61"/>
        <v>0</v>
      </c>
      <c r="Y322" s="26">
        <f t="shared" si="59"/>
        <v>0</v>
      </c>
      <c r="Z322" s="26">
        <f t="shared" si="57"/>
        <v>0</v>
      </c>
      <c r="AA322" s="33" t="s">
        <v>15</v>
      </c>
      <c r="AB322" s="36" t="s">
        <v>16</v>
      </c>
      <c r="AC322" s="181">
        <f t="shared" si="54"/>
        <v>1</v>
      </c>
      <c r="AD322" s="181">
        <f t="shared" si="60"/>
        <v>43.78</v>
      </c>
      <c r="AE322" s="181">
        <v>1.7</v>
      </c>
      <c r="AF322" s="181">
        <v>1.7</v>
      </c>
      <c r="AG322" s="101" t="str">
        <f t="shared" si="55"/>
        <v/>
      </c>
      <c r="AH322" s="190">
        <v>0</v>
      </c>
      <c r="AI322" s="69">
        <f t="shared" si="56"/>
        <v>1</v>
      </c>
    </row>
    <row r="323" spans="1:35" s="69" customFormat="1" ht="39" hidden="1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161"/>
      <c r="H323" s="158" t="s">
        <v>15</v>
      </c>
      <c r="I323" s="166">
        <v>28.11</v>
      </c>
      <c r="J323" s="75">
        <v>28.11</v>
      </c>
      <c r="K323" s="91" t="s">
        <v>857</v>
      </c>
      <c r="L323" s="73"/>
      <c r="M323" s="46">
        <v>0</v>
      </c>
      <c r="N323" s="46">
        <v>0</v>
      </c>
      <c r="O323" s="46">
        <v>0</v>
      </c>
      <c r="P323" s="98"/>
      <c r="Q323" s="23" t="s">
        <v>1488</v>
      </c>
      <c r="R323" s="24" t="s">
        <v>855</v>
      </c>
      <c r="S323" s="25" t="s">
        <v>856</v>
      </c>
      <c r="T323" s="26">
        <v>1</v>
      </c>
      <c r="U323" s="26">
        <v>1</v>
      </c>
      <c r="V323" s="26">
        <v>28.11</v>
      </c>
      <c r="W323" s="26">
        <f t="shared" si="58"/>
        <v>0</v>
      </c>
      <c r="X323" s="26">
        <f t="shared" si="61"/>
        <v>0</v>
      </c>
      <c r="Y323" s="26">
        <f t="shared" si="59"/>
        <v>0</v>
      </c>
      <c r="Z323" s="26">
        <f t="shared" si="57"/>
        <v>0</v>
      </c>
      <c r="AA323" s="33" t="s">
        <v>15</v>
      </c>
      <c r="AB323" s="36" t="s">
        <v>16</v>
      </c>
      <c r="AC323" s="181">
        <f t="shared" si="54"/>
        <v>1</v>
      </c>
      <c r="AD323" s="181">
        <f t="shared" si="60"/>
        <v>28.11</v>
      </c>
      <c r="AE323" s="181">
        <v>1.7</v>
      </c>
      <c r="AF323" s="181">
        <v>1.7</v>
      </c>
      <c r="AG323" s="101" t="str">
        <f t="shared" si="55"/>
        <v/>
      </c>
      <c r="AH323" s="190">
        <v>0</v>
      </c>
      <c r="AI323" s="69">
        <f t="shared" si="56"/>
        <v>1</v>
      </c>
    </row>
    <row r="324" spans="1:35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224"/>
      <c r="H324" s="158" t="s">
        <v>15</v>
      </c>
      <c r="I324" s="166">
        <v>245.47</v>
      </c>
      <c r="J324" s="75">
        <v>245.47</v>
      </c>
      <c r="K324" s="91" t="s">
        <v>860</v>
      </c>
      <c r="L324" s="73"/>
      <c r="M324" s="46">
        <v>0</v>
      </c>
      <c r="N324" s="46">
        <v>0</v>
      </c>
      <c r="O324" s="46">
        <v>0</v>
      </c>
      <c r="P324" s="98"/>
      <c r="Q324" s="23" t="s">
        <v>1489</v>
      </c>
      <c r="R324" s="24" t="s">
        <v>859</v>
      </c>
      <c r="S324" s="25" t="s">
        <v>50</v>
      </c>
      <c r="T324" s="26">
        <v>1</v>
      </c>
      <c r="U324" s="26">
        <v>1</v>
      </c>
      <c r="V324" s="26">
        <v>245.47</v>
      </c>
      <c r="W324" s="26">
        <f t="shared" si="58"/>
        <v>0</v>
      </c>
      <c r="X324" s="26">
        <f t="shared" si="61"/>
        <v>0</v>
      </c>
      <c r="Y324" s="26">
        <f t="shared" si="59"/>
        <v>0</v>
      </c>
      <c r="Z324" s="26">
        <f t="shared" si="57"/>
        <v>0</v>
      </c>
      <c r="AA324" s="33" t="s">
        <v>15</v>
      </c>
      <c r="AB324" s="36" t="s">
        <v>16</v>
      </c>
      <c r="AC324" s="181">
        <f t="shared" si="54"/>
        <v>1</v>
      </c>
      <c r="AD324" s="181">
        <f t="shared" si="60"/>
        <v>245.47</v>
      </c>
      <c r="AE324" s="181">
        <v>1.7</v>
      </c>
      <c r="AF324" s="181">
        <v>1.7</v>
      </c>
      <c r="AG324" s="101" t="str">
        <f t="shared" si="55"/>
        <v/>
      </c>
      <c r="AH324" s="190">
        <v>0</v>
      </c>
      <c r="AI324" s="69">
        <f t="shared" si="56"/>
        <v>1</v>
      </c>
    </row>
    <row r="325" spans="1:35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163"/>
      <c r="H325" s="62" t="s">
        <v>15</v>
      </c>
      <c r="I325" s="167">
        <v>839.94</v>
      </c>
      <c r="J325" s="62">
        <v>61718.79</v>
      </c>
      <c r="K325" s="93"/>
      <c r="M325" s="46">
        <v>0</v>
      </c>
      <c r="N325" s="46">
        <v>0</v>
      </c>
      <c r="O325" s="46">
        <v>0</v>
      </c>
      <c r="P325" s="98"/>
      <c r="Q325" s="23" t="s">
        <v>1398</v>
      </c>
      <c r="R325" s="24" t="s">
        <v>1337</v>
      </c>
      <c r="S325" s="25" t="s">
        <v>30</v>
      </c>
      <c r="T325" s="26">
        <v>0</v>
      </c>
      <c r="U325" s="26">
        <v>73.48</v>
      </c>
      <c r="V325" s="26">
        <v>839.94</v>
      </c>
      <c r="W325" s="26">
        <f t="shared" si="58"/>
        <v>0</v>
      </c>
      <c r="X325" s="26">
        <f t="shared" si="61"/>
        <v>0</v>
      </c>
      <c r="Y325" s="26">
        <f t="shared" si="59"/>
        <v>0</v>
      </c>
      <c r="Z325" s="26">
        <f>ROUND(V325*X325,2)</f>
        <v>0</v>
      </c>
      <c r="AA325" s="27"/>
      <c r="AB325" s="36" t="s">
        <v>16</v>
      </c>
      <c r="AC325" s="181">
        <f t="shared" si="54"/>
        <v>73.48</v>
      </c>
      <c r="AD325" s="181">
        <f t="shared" si="60"/>
        <v>61718.79</v>
      </c>
      <c r="AE325" s="181">
        <v>1.7</v>
      </c>
      <c r="AF325" s="181">
        <v>1.7</v>
      </c>
      <c r="AG325" s="101" t="str">
        <f t="shared" si="55"/>
        <v/>
      </c>
      <c r="AH325" s="190">
        <v>0</v>
      </c>
      <c r="AI325" s="69">
        <f t="shared" si="56"/>
        <v>73.48</v>
      </c>
    </row>
    <row r="326" spans="1:35" ht="39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163"/>
      <c r="H326" s="62" t="s">
        <v>15</v>
      </c>
      <c r="I326" s="167">
        <v>150</v>
      </c>
      <c r="J326" s="62">
        <v>2678400</v>
      </c>
      <c r="K326" s="93"/>
      <c r="M326" s="46">
        <v>10000</v>
      </c>
      <c r="N326" s="46">
        <v>0</v>
      </c>
      <c r="O326" s="46">
        <v>1500000</v>
      </c>
      <c r="P326" s="98"/>
      <c r="Q326" s="23" t="s">
        <v>1399</v>
      </c>
      <c r="R326" s="24" t="s">
        <v>1339</v>
      </c>
      <c r="S326" s="25" t="s">
        <v>1359</v>
      </c>
      <c r="T326" s="26">
        <v>0</v>
      </c>
      <c r="U326" s="26">
        <v>17856</v>
      </c>
      <c r="V326" s="26">
        <v>150</v>
      </c>
      <c r="W326" s="26">
        <f t="shared" si="58"/>
        <v>0</v>
      </c>
      <c r="X326" s="26">
        <f t="shared" si="61"/>
        <v>10000</v>
      </c>
      <c r="Y326" s="26">
        <f t="shared" si="59"/>
        <v>0</v>
      </c>
      <c r="Z326" s="26">
        <f t="shared" si="57"/>
        <v>1500000</v>
      </c>
      <c r="AA326" s="27"/>
      <c r="AB326" s="36" t="s">
        <v>16</v>
      </c>
      <c r="AC326" s="181">
        <f t="shared" si="54"/>
        <v>17856</v>
      </c>
      <c r="AD326" s="181">
        <f t="shared" si="60"/>
        <v>2678400</v>
      </c>
      <c r="AE326" s="181">
        <v>1.7</v>
      </c>
      <c r="AF326" s="181">
        <v>1.7</v>
      </c>
      <c r="AG326" s="101" t="str">
        <f t="shared" si="55"/>
        <v/>
      </c>
      <c r="AH326" s="190">
        <v>10000</v>
      </c>
      <c r="AI326" s="69">
        <f t="shared" si="56"/>
        <v>17856</v>
      </c>
    </row>
    <row r="327" spans="1:35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4" t="s">
        <v>15</v>
      </c>
      <c r="I327" s="82"/>
      <c r="J327" s="82">
        <v>5831452.4900000002</v>
      </c>
      <c r="K327" s="94" t="s">
        <v>15</v>
      </c>
      <c r="L327" s="73"/>
      <c r="M327" s="45">
        <v>1</v>
      </c>
      <c r="N327" s="45">
        <v>505734.70000000007</v>
      </c>
      <c r="O327" s="45">
        <v>1293934.6999999997</v>
      </c>
      <c r="P327" s="98"/>
      <c r="Q327" s="18" t="s">
        <v>1400</v>
      </c>
      <c r="R327" s="19" t="s">
        <v>862</v>
      </c>
      <c r="S327" s="20" t="s">
        <v>14</v>
      </c>
      <c r="T327" s="21">
        <v>1</v>
      </c>
      <c r="U327" s="21"/>
      <c r="V327" s="21">
        <f>SUMIFS(AD:AD,AE:AE,AE327)</f>
        <v>5831452.4899999993</v>
      </c>
      <c r="W327" s="21">
        <f t="shared" ref="W327:X327" si="62">IF(Y327=0,0,1)</f>
        <v>1</v>
      </c>
      <c r="X327" s="21">
        <f t="shared" si="62"/>
        <v>1</v>
      </c>
      <c r="Y327" s="21">
        <f>SUMIFS(Y:Y,AF:AF,AE327)</f>
        <v>456923.37999999995</v>
      </c>
      <c r="Z327" s="21">
        <f>SUMIFS(Z:Z,AF:AF,AE327)</f>
        <v>1750858.08</v>
      </c>
      <c r="AA327" s="22" t="s">
        <v>15</v>
      </c>
      <c r="AB327" s="43" t="s">
        <v>16</v>
      </c>
      <c r="AC327" s="181">
        <f t="shared" si="54"/>
        <v>1</v>
      </c>
      <c r="AD327" s="184"/>
      <c r="AE327" s="184">
        <v>1.8</v>
      </c>
      <c r="AF327" s="184"/>
      <c r="AG327" s="101" t="str">
        <f t="shared" si="55"/>
        <v/>
      </c>
      <c r="AH327" s="190">
        <v>1</v>
      </c>
      <c r="AI327" s="69">
        <f t="shared" si="56"/>
        <v>1</v>
      </c>
    </row>
    <row r="328" spans="1:35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 t="s">
        <v>15</v>
      </c>
      <c r="I328" s="75">
        <v>69458</v>
      </c>
      <c r="J328" s="75">
        <v>69458</v>
      </c>
      <c r="K328" s="91" t="s">
        <v>865</v>
      </c>
      <c r="L328" s="73"/>
      <c r="M328" s="46">
        <v>0</v>
      </c>
      <c r="N328" s="46">
        <v>0</v>
      </c>
      <c r="O328" s="46">
        <v>0</v>
      </c>
      <c r="P328" s="98"/>
      <c r="Q328" s="23" t="s">
        <v>1421</v>
      </c>
      <c r="R328" s="24" t="s">
        <v>864</v>
      </c>
      <c r="S328" s="25" t="s">
        <v>14</v>
      </c>
      <c r="T328" s="26">
        <v>1</v>
      </c>
      <c r="U328" s="26">
        <v>1</v>
      </c>
      <c r="V328" s="26">
        <v>69458</v>
      </c>
      <c r="W328" s="26">
        <f t="shared" ref="W328:W368" si="63">AH328-M328</f>
        <v>0</v>
      </c>
      <c r="X328" s="26">
        <f t="shared" si="61"/>
        <v>0</v>
      </c>
      <c r="Y328" s="26">
        <f t="shared" ref="Y328:Y368" si="64">Z328-O328</f>
        <v>0</v>
      </c>
      <c r="Z328" s="26">
        <f t="shared" si="57"/>
        <v>0</v>
      </c>
      <c r="AA328" s="33" t="s">
        <v>15</v>
      </c>
      <c r="AB328" s="36" t="s">
        <v>16</v>
      </c>
      <c r="AC328" s="181">
        <f t="shared" si="54"/>
        <v>1</v>
      </c>
      <c r="AD328" s="181">
        <f t="shared" si="60"/>
        <v>69458</v>
      </c>
      <c r="AE328" s="181">
        <v>1.8</v>
      </c>
      <c r="AF328" s="181">
        <v>1.8</v>
      </c>
      <c r="AG328" s="101" t="str">
        <f t="shared" si="55"/>
        <v/>
      </c>
      <c r="AH328" s="190">
        <v>0</v>
      </c>
      <c r="AI328" s="69">
        <f t="shared" si="56"/>
        <v>1</v>
      </c>
    </row>
    <row r="329" spans="1:35" s="69" customFormat="1" ht="39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 t="s">
        <v>15</v>
      </c>
      <c r="I329" s="75">
        <v>94852.479999999996</v>
      </c>
      <c r="J329" s="75">
        <v>94852.479999999996</v>
      </c>
      <c r="K329" s="91" t="s">
        <v>868</v>
      </c>
      <c r="L329" s="73"/>
      <c r="M329" s="46">
        <v>0</v>
      </c>
      <c r="N329" s="46">
        <v>0</v>
      </c>
      <c r="O329" s="46">
        <v>0</v>
      </c>
      <c r="P329" s="98"/>
      <c r="Q329" s="23" t="s">
        <v>1426</v>
      </c>
      <c r="R329" s="24" t="s">
        <v>867</v>
      </c>
      <c r="S329" s="25" t="s">
        <v>14</v>
      </c>
      <c r="T329" s="26">
        <v>1</v>
      </c>
      <c r="U329" s="26">
        <v>1</v>
      </c>
      <c r="V329" s="26">
        <v>94852.479999999996</v>
      </c>
      <c r="W329" s="26">
        <f t="shared" si="63"/>
        <v>0</v>
      </c>
      <c r="X329" s="26">
        <f t="shared" si="61"/>
        <v>0</v>
      </c>
      <c r="Y329" s="26">
        <f t="shared" si="64"/>
        <v>0</v>
      </c>
      <c r="Z329" s="26">
        <f t="shared" si="57"/>
        <v>0</v>
      </c>
      <c r="AA329" s="33" t="s">
        <v>15</v>
      </c>
      <c r="AB329" s="36" t="s">
        <v>16</v>
      </c>
      <c r="AC329" s="181">
        <f t="shared" si="54"/>
        <v>1</v>
      </c>
      <c r="AD329" s="181">
        <f t="shared" si="60"/>
        <v>94852.479999999996</v>
      </c>
      <c r="AE329" s="181">
        <v>1.8</v>
      </c>
      <c r="AF329" s="181">
        <v>1.8</v>
      </c>
      <c r="AG329" s="101" t="str">
        <f t="shared" si="55"/>
        <v/>
      </c>
      <c r="AH329" s="190">
        <v>0</v>
      </c>
      <c r="AI329" s="69">
        <f t="shared" si="56"/>
        <v>1</v>
      </c>
    </row>
    <row r="330" spans="1:35" s="69" customFormat="1" ht="39" x14ac:dyDescent="0.3">
      <c r="A330" s="55" t="s">
        <v>869</v>
      </c>
      <c r="B330" s="53" t="s">
        <v>870</v>
      </c>
      <c r="C330" s="54" t="s">
        <v>14</v>
      </c>
      <c r="D330" s="75">
        <v>1</v>
      </c>
      <c r="E330" s="75"/>
      <c r="F330" s="75"/>
      <c r="G330" s="75"/>
      <c r="H330" s="75" t="s">
        <v>15</v>
      </c>
      <c r="I330" s="75">
        <v>251510</v>
      </c>
      <c r="J330" s="75">
        <v>251510</v>
      </c>
      <c r="K330" s="91" t="s">
        <v>871</v>
      </c>
      <c r="L330" s="73"/>
      <c r="M330" s="46">
        <v>0</v>
      </c>
      <c r="N330" s="46">
        <v>0</v>
      </c>
      <c r="O330" s="46">
        <v>0</v>
      </c>
      <c r="P330" s="98"/>
      <c r="Q330" s="23" t="s">
        <v>1402</v>
      </c>
      <c r="R330" s="24" t="s">
        <v>870</v>
      </c>
      <c r="S330" s="25" t="s">
        <v>14</v>
      </c>
      <c r="T330" s="26">
        <v>1</v>
      </c>
      <c r="U330" s="26">
        <v>1</v>
      </c>
      <c r="V330" s="26">
        <v>251510</v>
      </c>
      <c r="W330" s="26">
        <f t="shared" si="63"/>
        <v>0</v>
      </c>
      <c r="X330" s="26">
        <f t="shared" si="61"/>
        <v>0</v>
      </c>
      <c r="Y330" s="26">
        <f t="shared" si="64"/>
        <v>0</v>
      </c>
      <c r="Z330" s="26">
        <f t="shared" si="57"/>
        <v>0</v>
      </c>
      <c r="AA330" s="33" t="s">
        <v>15</v>
      </c>
      <c r="AB330" s="36" t="s">
        <v>16</v>
      </c>
      <c r="AC330" s="181">
        <f t="shared" si="54"/>
        <v>1</v>
      </c>
      <c r="AD330" s="181">
        <f t="shared" si="60"/>
        <v>251510</v>
      </c>
      <c r="AE330" s="181">
        <v>1.8</v>
      </c>
      <c r="AF330" s="181">
        <v>1.8</v>
      </c>
      <c r="AG330" s="101" t="str">
        <f t="shared" si="55"/>
        <v/>
      </c>
      <c r="AH330" s="190">
        <v>0</v>
      </c>
      <c r="AI330" s="69">
        <f t="shared" si="56"/>
        <v>1</v>
      </c>
    </row>
    <row r="331" spans="1:35" s="69" customFormat="1" ht="39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 t="s">
        <v>15</v>
      </c>
      <c r="I331" s="75">
        <v>174688.22</v>
      </c>
      <c r="J331" s="75">
        <v>174688.22</v>
      </c>
      <c r="K331" s="91" t="s">
        <v>874</v>
      </c>
      <c r="L331" s="73"/>
      <c r="M331" s="46">
        <v>0</v>
      </c>
      <c r="N331" s="46">
        <v>0</v>
      </c>
      <c r="O331" s="46">
        <v>0</v>
      </c>
      <c r="P331" s="98"/>
      <c r="Q331" s="23" t="s">
        <v>1373</v>
      </c>
      <c r="R331" s="24" t="s">
        <v>873</v>
      </c>
      <c r="S331" s="25" t="s">
        <v>14</v>
      </c>
      <c r="T331" s="26">
        <v>1</v>
      </c>
      <c r="U331" s="26">
        <v>1</v>
      </c>
      <c r="V331" s="26">
        <v>174688.22</v>
      </c>
      <c r="W331" s="26">
        <f t="shared" si="63"/>
        <v>0</v>
      </c>
      <c r="X331" s="26">
        <f t="shared" si="61"/>
        <v>0</v>
      </c>
      <c r="Y331" s="26">
        <f t="shared" si="64"/>
        <v>0</v>
      </c>
      <c r="Z331" s="26">
        <f t="shared" si="57"/>
        <v>0</v>
      </c>
      <c r="AA331" s="33" t="s">
        <v>15</v>
      </c>
      <c r="AB331" s="36" t="s">
        <v>16</v>
      </c>
      <c r="AC331" s="181">
        <f t="shared" ref="AC331:AC412" si="65">IF(U331="",T331,U331)</f>
        <v>1</v>
      </c>
      <c r="AD331" s="181">
        <f t="shared" si="60"/>
        <v>174688.22</v>
      </c>
      <c r="AE331" s="181">
        <v>1.8</v>
      </c>
      <c r="AF331" s="181">
        <v>1.8</v>
      </c>
      <c r="AG331" s="101" t="str">
        <f t="shared" ref="AG331:AG412" si="66">IF(X331&gt;AI331,"超估","")</f>
        <v/>
      </c>
      <c r="AH331" s="190">
        <v>0</v>
      </c>
      <c r="AI331" s="69">
        <f t="shared" ref="AI331:AI394" si="67">IF(G331=0,IF(F331=0,IF(E331=0,D331,E331),F331),G331)</f>
        <v>1</v>
      </c>
    </row>
    <row r="332" spans="1:35" s="69" customFormat="1" ht="39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 t="s">
        <v>15</v>
      </c>
      <c r="I332" s="75">
        <v>21221.84</v>
      </c>
      <c r="J332" s="75">
        <v>21221.84</v>
      </c>
      <c r="K332" s="91" t="s">
        <v>877</v>
      </c>
      <c r="L332" s="73"/>
      <c r="M332" s="46">
        <v>0</v>
      </c>
      <c r="N332" s="46">
        <v>0</v>
      </c>
      <c r="O332" s="46">
        <v>0</v>
      </c>
      <c r="P332" s="98"/>
      <c r="Q332" s="23" t="s">
        <v>1393</v>
      </c>
      <c r="R332" s="24" t="s">
        <v>876</v>
      </c>
      <c r="S332" s="25" t="s">
        <v>14</v>
      </c>
      <c r="T332" s="26">
        <v>1</v>
      </c>
      <c r="U332" s="26">
        <v>1</v>
      </c>
      <c r="V332" s="26">
        <v>21221.84</v>
      </c>
      <c r="W332" s="26">
        <f t="shared" si="63"/>
        <v>0</v>
      </c>
      <c r="X332" s="26">
        <f t="shared" si="61"/>
        <v>0</v>
      </c>
      <c r="Y332" s="26">
        <f t="shared" si="64"/>
        <v>0</v>
      </c>
      <c r="Z332" s="26">
        <f t="shared" ref="Z332:Z368" si="68">ROUND(V332*X332,2)</f>
        <v>0</v>
      </c>
      <c r="AA332" s="33" t="s">
        <v>15</v>
      </c>
      <c r="AB332" s="36" t="s">
        <v>16</v>
      </c>
      <c r="AC332" s="181">
        <f t="shared" si="65"/>
        <v>1</v>
      </c>
      <c r="AD332" s="181">
        <f t="shared" si="60"/>
        <v>21221.84</v>
      </c>
      <c r="AE332" s="181">
        <v>1.8</v>
      </c>
      <c r="AF332" s="181">
        <v>1.8</v>
      </c>
      <c r="AG332" s="101" t="str">
        <f t="shared" si="66"/>
        <v/>
      </c>
      <c r="AH332" s="190">
        <v>0</v>
      </c>
      <c r="AI332" s="69">
        <f t="shared" si="67"/>
        <v>1</v>
      </c>
    </row>
    <row r="333" spans="1:35" s="69" customFormat="1" ht="58.5" x14ac:dyDescent="0.3">
      <c r="A333" s="130" t="s">
        <v>878</v>
      </c>
      <c r="B333" s="131" t="s">
        <v>879</v>
      </c>
      <c r="C333" s="132" t="s">
        <v>3144</v>
      </c>
      <c r="D333" s="133">
        <v>12</v>
      </c>
      <c r="E333" s="75"/>
      <c r="F333" s="75"/>
      <c r="G333" s="75"/>
      <c r="H333" s="75" t="s">
        <v>15</v>
      </c>
      <c r="I333" s="75">
        <v>42800</v>
      </c>
      <c r="J333" s="75">
        <v>513600</v>
      </c>
      <c r="K333" s="91" t="s">
        <v>880</v>
      </c>
      <c r="L333" s="73"/>
      <c r="M333" s="46">
        <v>4</v>
      </c>
      <c r="N333" s="46">
        <v>0</v>
      </c>
      <c r="O333" s="46">
        <v>171200</v>
      </c>
      <c r="P333" s="98"/>
      <c r="Q333" s="23" t="s">
        <v>1403</v>
      </c>
      <c r="R333" s="24" t="s">
        <v>879</v>
      </c>
      <c r="S333" s="25" t="s">
        <v>81</v>
      </c>
      <c r="T333" s="26">
        <v>12</v>
      </c>
      <c r="U333" s="26">
        <v>12</v>
      </c>
      <c r="V333" s="26">
        <v>42800</v>
      </c>
      <c r="W333" s="243">
        <f t="shared" si="63"/>
        <v>8</v>
      </c>
      <c r="X333" s="127">
        <f t="shared" si="61"/>
        <v>12</v>
      </c>
      <c r="Y333" s="127">
        <f t="shared" si="64"/>
        <v>342400</v>
      </c>
      <c r="Z333" s="127">
        <f t="shared" si="68"/>
        <v>513600</v>
      </c>
      <c r="AA333" s="33" t="s">
        <v>15</v>
      </c>
      <c r="AB333" s="36" t="s">
        <v>16</v>
      </c>
      <c r="AC333" s="181">
        <f t="shared" si="65"/>
        <v>12</v>
      </c>
      <c r="AD333" s="181">
        <f t="shared" si="60"/>
        <v>513600</v>
      </c>
      <c r="AE333" s="181">
        <v>1.8</v>
      </c>
      <c r="AF333" s="181">
        <v>1.8</v>
      </c>
      <c r="AG333" s="101" t="str">
        <f t="shared" si="66"/>
        <v/>
      </c>
      <c r="AH333" s="191">
        <f>4+8</f>
        <v>12</v>
      </c>
      <c r="AI333" s="69">
        <f t="shared" si="67"/>
        <v>12</v>
      </c>
    </row>
    <row r="334" spans="1:35" s="69" customFormat="1" ht="58.5" x14ac:dyDescent="0.3">
      <c r="A334" s="245" t="s">
        <v>881</v>
      </c>
      <c r="B334" s="118" t="s">
        <v>882</v>
      </c>
      <c r="C334" s="119" t="s">
        <v>81</v>
      </c>
      <c r="D334" s="120">
        <v>7</v>
      </c>
      <c r="E334" s="75"/>
      <c r="F334" s="75"/>
      <c r="G334" s="75"/>
      <c r="H334" s="75" t="s">
        <v>15</v>
      </c>
      <c r="I334" s="75">
        <v>60400</v>
      </c>
      <c r="J334" s="75">
        <v>422800</v>
      </c>
      <c r="K334" s="91" t="s">
        <v>883</v>
      </c>
      <c r="L334" s="73"/>
      <c r="M334" s="46">
        <v>5</v>
      </c>
      <c r="N334" s="46">
        <v>0</v>
      </c>
      <c r="O334" s="46">
        <v>302000</v>
      </c>
      <c r="P334" s="98"/>
      <c r="Q334" s="23" t="s">
        <v>1427</v>
      </c>
      <c r="R334" s="24" t="s">
        <v>882</v>
      </c>
      <c r="S334" s="25" t="s">
        <v>81</v>
      </c>
      <c r="T334" s="26">
        <v>7</v>
      </c>
      <c r="U334" s="26">
        <v>7</v>
      </c>
      <c r="V334" s="26">
        <v>60400</v>
      </c>
      <c r="W334" s="128">
        <f t="shared" si="63"/>
        <v>1</v>
      </c>
      <c r="X334" s="26">
        <f t="shared" si="61"/>
        <v>6</v>
      </c>
      <c r="Y334" s="26">
        <f t="shared" si="64"/>
        <v>60400</v>
      </c>
      <c r="Z334" s="26">
        <f t="shared" si="68"/>
        <v>362400</v>
      </c>
      <c r="AA334" s="33" t="s">
        <v>15</v>
      </c>
      <c r="AB334" s="36" t="s">
        <v>16</v>
      </c>
      <c r="AC334" s="181">
        <f t="shared" si="65"/>
        <v>7</v>
      </c>
      <c r="AD334" s="181">
        <f t="shared" si="60"/>
        <v>422800</v>
      </c>
      <c r="AE334" s="181">
        <v>1.8</v>
      </c>
      <c r="AF334" s="181">
        <v>1.8</v>
      </c>
      <c r="AG334" s="101" t="str">
        <f t="shared" si="66"/>
        <v/>
      </c>
      <c r="AH334" s="191">
        <f>5+1</f>
        <v>6</v>
      </c>
      <c r="AI334" s="69">
        <f t="shared" si="67"/>
        <v>7</v>
      </c>
    </row>
    <row r="335" spans="1:35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 t="s">
        <v>15</v>
      </c>
      <c r="I335" s="75">
        <v>35000</v>
      </c>
      <c r="J335" s="75">
        <v>455000</v>
      </c>
      <c r="K335" s="91" t="s">
        <v>886</v>
      </c>
      <c r="L335" s="73"/>
      <c r="M335" s="46">
        <v>0</v>
      </c>
      <c r="N335" s="46">
        <v>0</v>
      </c>
      <c r="O335" s="46">
        <v>0</v>
      </c>
      <c r="P335" s="98"/>
      <c r="Q335" s="23" t="s">
        <v>1428</v>
      </c>
      <c r="R335" s="24" t="s">
        <v>885</v>
      </c>
      <c r="S335" s="25" t="s">
        <v>81</v>
      </c>
      <c r="T335" s="26">
        <v>13</v>
      </c>
      <c r="U335" s="26">
        <v>13</v>
      </c>
      <c r="V335" s="26">
        <v>35000</v>
      </c>
      <c r="W335" s="26">
        <f t="shared" si="63"/>
        <v>0</v>
      </c>
      <c r="X335" s="26">
        <f t="shared" si="61"/>
        <v>0</v>
      </c>
      <c r="Y335" s="26">
        <f t="shared" si="64"/>
        <v>0</v>
      </c>
      <c r="Z335" s="26">
        <f t="shared" si="68"/>
        <v>0</v>
      </c>
      <c r="AA335" s="33" t="s">
        <v>15</v>
      </c>
      <c r="AB335" s="36" t="s">
        <v>16</v>
      </c>
      <c r="AC335" s="181">
        <f t="shared" si="65"/>
        <v>13</v>
      </c>
      <c r="AD335" s="181">
        <f t="shared" si="60"/>
        <v>455000</v>
      </c>
      <c r="AE335" s="181">
        <v>1.8</v>
      </c>
      <c r="AF335" s="181">
        <v>1.8</v>
      </c>
      <c r="AG335" s="101" t="str">
        <f t="shared" si="66"/>
        <v/>
      </c>
      <c r="AH335" s="190">
        <v>0</v>
      </c>
      <c r="AI335" s="69">
        <f t="shared" si="67"/>
        <v>13</v>
      </c>
    </row>
    <row r="336" spans="1:35" s="69" customFormat="1" ht="58.5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 t="s">
        <v>15</v>
      </c>
      <c r="I336" s="75">
        <v>10000</v>
      </c>
      <c r="J336" s="75">
        <v>130000</v>
      </c>
      <c r="K336" s="91" t="s">
        <v>889</v>
      </c>
      <c r="L336" s="73"/>
      <c r="M336" s="46">
        <v>0</v>
      </c>
      <c r="N336" s="46">
        <v>0</v>
      </c>
      <c r="O336" s="46">
        <v>0</v>
      </c>
      <c r="P336" s="98"/>
      <c r="Q336" s="23" t="s">
        <v>1387</v>
      </c>
      <c r="R336" s="24" t="s">
        <v>888</v>
      </c>
      <c r="S336" s="25" t="s">
        <v>81</v>
      </c>
      <c r="T336" s="26">
        <v>13</v>
      </c>
      <c r="U336" s="26">
        <v>13</v>
      </c>
      <c r="V336" s="26">
        <v>10000</v>
      </c>
      <c r="W336" s="26">
        <f t="shared" si="63"/>
        <v>0</v>
      </c>
      <c r="X336" s="26">
        <f t="shared" si="61"/>
        <v>0</v>
      </c>
      <c r="Y336" s="26">
        <f t="shared" si="64"/>
        <v>0</v>
      </c>
      <c r="Z336" s="26">
        <f t="shared" si="68"/>
        <v>0</v>
      </c>
      <c r="AA336" s="33" t="s">
        <v>15</v>
      </c>
      <c r="AB336" s="36" t="s">
        <v>16</v>
      </c>
      <c r="AC336" s="181">
        <f t="shared" si="65"/>
        <v>13</v>
      </c>
      <c r="AD336" s="181">
        <f t="shared" si="60"/>
        <v>130000</v>
      </c>
      <c r="AE336" s="181">
        <v>1.8</v>
      </c>
      <c r="AF336" s="181">
        <v>1.8</v>
      </c>
      <c r="AG336" s="101" t="str">
        <f t="shared" si="66"/>
        <v/>
      </c>
      <c r="AH336" s="190">
        <v>0</v>
      </c>
      <c r="AI336" s="69">
        <f t="shared" si="67"/>
        <v>13</v>
      </c>
    </row>
    <row r="337" spans="1:35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 t="s">
        <v>15</v>
      </c>
      <c r="I337" s="75">
        <v>1500</v>
      </c>
      <c r="J337" s="75">
        <v>3000</v>
      </c>
      <c r="K337" s="91" t="s">
        <v>892</v>
      </c>
      <c r="L337" s="73"/>
      <c r="M337" s="46">
        <v>0</v>
      </c>
      <c r="N337" s="46">
        <v>0</v>
      </c>
      <c r="O337" s="46">
        <v>0</v>
      </c>
      <c r="P337" s="98"/>
      <c r="Q337" s="23" t="s">
        <v>1405</v>
      </c>
      <c r="R337" s="24" t="s">
        <v>891</v>
      </c>
      <c r="S337" s="25" t="s">
        <v>325</v>
      </c>
      <c r="T337" s="26">
        <v>2</v>
      </c>
      <c r="U337" s="26">
        <v>2</v>
      </c>
      <c r="V337" s="26">
        <v>1500</v>
      </c>
      <c r="W337" s="26">
        <f t="shared" si="63"/>
        <v>0</v>
      </c>
      <c r="X337" s="26">
        <f t="shared" si="61"/>
        <v>0</v>
      </c>
      <c r="Y337" s="26">
        <f t="shared" si="64"/>
        <v>0</v>
      </c>
      <c r="Z337" s="26">
        <f t="shared" si="68"/>
        <v>0</v>
      </c>
      <c r="AA337" s="33" t="s">
        <v>15</v>
      </c>
      <c r="AB337" s="36" t="s">
        <v>16</v>
      </c>
      <c r="AC337" s="181">
        <f t="shared" si="65"/>
        <v>2</v>
      </c>
      <c r="AD337" s="181">
        <f t="shared" si="60"/>
        <v>3000</v>
      </c>
      <c r="AE337" s="181">
        <v>1.8</v>
      </c>
      <c r="AF337" s="181">
        <v>1.8</v>
      </c>
      <c r="AG337" s="101" t="str">
        <f t="shared" si="66"/>
        <v/>
      </c>
      <c r="AH337" s="190">
        <v>0</v>
      </c>
      <c r="AI337" s="69">
        <f t="shared" si="67"/>
        <v>2</v>
      </c>
    </row>
    <row r="338" spans="1:35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 t="s">
        <v>15</v>
      </c>
      <c r="I338" s="75">
        <v>4000</v>
      </c>
      <c r="J338" s="75">
        <v>8000</v>
      </c>
      <c r="K338" s="91" t="s">
        <v>895</v>
      </c>
      <c r="L338" s="73"/>
      <c r="M338" s="46">
        <v>0</v>
      </c>
      <c r="N338" s="46">
        <v>0</v>
      </c>
      <c r="O338" s="46">
        <v>0</v>
      </c>
      <c r="P338" s="98"/>
      <c r="Q338" s="23" t="s">
        <v>1406</v>
      </c>
      <c r="R338" s="24" t="s">
        <v>894</v>
      </c>
      <c r="S338" s="25" t="s">
        <v>325</v>
      </c>
      <c r="T338" s="26">
        <v>2</v>
      </c>
      <c r="U338" s="26">
        <v>2</v>
      </c>
      <c r="V338" s="26">
        <v>4000</v>
      </c>
      <c r="W338" s="26">
        <f t="shared" si="63"/>
        <v>0</v>
      </c>
      <c r="X338" s="26">
        <f t="shared" si="61"/>
        <v>0</v>
      </c>
      <c r="Y338" s="26">
        <f t="shared" si="64"/>
        <v>0</v>
      </c>
      <c r="Z338" s="26">
        <f t="shared" si="68"/>
        <v>0</v>
      </c>
      <c r="AA338" s="33" t="s">
        <v>15</v>
      </c>
      <c r="AB338" s="36" t="s">
        <v>16</v>
      </c>
      <c r="AC338" s="181">
        <f t="shared" si="65"/>
        <v>2</v>
      </c>
      <c r="AD338" s="181">
        <f t="shared" si="60"/>
        <v>8000</v>
      </c>
      <c r="AE338" s="181">
        <v>1.8</v>
      </c>
      <c r="AF338" s="181">
        <v>1.8</v>
      </c>
      <c r="AG338" s="101" t="str">
        <f t="shared" si="66"/>
        <v/>
      </c>
      <c r="AH338" s="190">
        <v>0</v>
      </c>
      <c r="AI338" s="69">
        <f t="shared" si="67"/>
        <v>2</v>
      </c>
    </row>
    <row r="339" spans="1:35" s="69" customFormat="1" ht="33" x14ac:dyDescent="0.3">
      <c r="A339" s="55" t="s">
        <v>896</v>
      </c>
      <c r="B339" s="53" t="s">
        <v>897</v>
      </c>
      <c r="C339" s="54" t="s">
        <v>30</v>
      </c>
      <c r="D339" s="75">
        <v>216.55</v>
      </c>
      <c r="E339" s="75"/>
      <c r="F339" s="75"/>
      <c r="G339" s="75"/>
      <c r="H339" s="75" t="s">
        <v>15</v>
      </c>
      <c r="I339" s="75">
        <v>800</v>
      </c>
      <c r="J339" s="75">
        <v>173240</v>
      </c>
      <c r="K339" s="91" t="s">
        <v>898</v>
      </c>
      <c r="L339" s="73"/>
      <c r="M339" s="46">
        <v>0</v>
      </c>
      <c r="N339" s="46">
        <v>0</v>
      </c>
      <c r="O339" s="46">
        <v>0</v>
      </c>
      <c r="P339" s="98"/>
      <c r="Q339" s="23" t="s">
        <v>1414</v>
      </c>
      <c r="R339" s="24" t="s">
        <v>897</v>
      </c>
      <c r="S339" s="25" t="s">
        <v>30</v>
      </c>
      <c r="T339" s="26">
        <v>216.55</v>
      </c>
      <c r="U339" s="26">
        <v>216.55</v>
      </c>
      <c r="V339" s="26">
        <v>800</v>
      </c>
      <c r="W339" s="26">
        <f t="shared" si="63"/>
        <v>0</v>
      </c>
      <c r="X339" s="26">
        <f t="shared" si="61"/>
        <v>0</v>
      </c>
      <c r="Y339" s="26">
        <f t="shared" si="64"/>
        <v>0</v>
      </c>
      <c r="Z339" s="26">
        <f t="shared" si="68"/>
        <v>0</v>
      </c>
      <c r="AA339" s="33" t="s">
        <v>15</v>
      </c>
      <c r="AB339" s="36" t="s">
        <v>16</v>
      </c>
      <c r="AC339" s="181">
        <f t="shared" si="65"/>
        <v>216.55</v>
      </c>
      <c r="AD339" s="181">
        <f t="shared" si="60"/>
        <v>173240</v>
      </c>
      <c r="AE339" s="181">
        <v>1.8</v>
      </c>
      <c r="AF339" s="181">
        <v>1.8</v>
      </c>
      <c r="AG339" s="101" t="str">
        <f t="shared" si="66"/>
        <v/>
      </c>
      <c r="AH339" s="190">
        <v>0</v>
      </c>
      <c r="AI339" s="69">
        <f t="shared" si="67"/>
        <v>216.55</v>
      </c>
    </row>
    <row r="340" spans="1:35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 t="s">
        <v>15</v>
      </c>
      <c r="I340" s="75">
        <v>11300</v>
      </c>
      <c r="J340" s="75">
        <v>56500</v>
      </c>
      <c r="K340" s="91" t="s">
        <v>901</v>
      </c>
      <c r="L340" s="73"/>
      <c r="M340" s="46">
        <v>0</v>
      </c>
      <c r="N340" s="46">
        <v>0</v>
      </c>
      <c r="O340" s="46">
        <v>0</v>
      </c>
      <c r="P340" s="98"/>
      <c r="Q340" s="23" t="s">
        <v>1429</v>
      </c>
      <c r="R340" s="24" t="s">
        <v>900</v>
      </c>
      <c r="S340" s="25" t="s">
        <v>325</v>
      </c>
      <c r="T340" s="26">
        <v>5</v>
      </c>
      <c r="U340" s="26">
        <v>5</v>
      </c>
      <c r="V340" s="26">
        <v>11300</v>
      </c>
      <c r="W340" s="26">
        <f t="shared" si="63"/>
        <v>0</v>
      </c>
      <c r="X340" s="26">
        <f t="shared" si="61"/>
        <v>0</v>
      </c>
      <c r="Y340" s="26">
        <f t="shared" si="64"/>
        <v>0</v>
      </c>
      <c r="Z340" s="26">
        <f t="shared" si="68"/>
        <v>0</v>
      </c>
      <c r="AA340" s="33" t="s">
        <v>15</v>
      </c>
      <c r="AB340" s="36" t="s">
        <v>16</v>
      </c>
      <c r="AC340" s="181">
        <f t="shared" si="65"/>
        <v>5</v>
      </c>
      <c r="AD340" s="181">
        <f t="shared" si="60"/>
        <v>56500</v>
      </c>
      <c r="AE340" s="181">
        <v>1.8</v>
      </c>
      <c r="AF340" s="181">
        <v>1.8</v>
      </c>
      <c r="AG340" s="101" t="str">
        <f t="shared" si="66"/>
        <v/>
      </c>
      <c r="AH340" s="190">
        <v>0</v>
      </c>
      <c r="AI340" s="69">
        <f t="shared" si="67"/>
        <v>5</v>
      </c>
    </row>
    <row r="341" spans="1:35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 t="s">
        <v>15</v>
      </c>
      <c r="I341" s="75">
        <v>13500</v>
      </c>
      <c r="J341" s="75">
        <v>108000</v>
      </c>
      <c r="K341" s="91" t="s">
        <v>904</v>
      </c>
      <c r="L341" s="73"/>
      <c r="M341" s="46">
        <v>0</v>
      </c>
      <c r="N341" s="46">
        <v>0</v>
      </c>
      <c r="O341" s="46">
        <v>0</v>
      </c>
      <c r="P341" s="98"/>
      <c r="Q341" s="23" t="s">
        <v>1430</v>
      </c>
      <c r="R341" s="24" t="s">
        <v>903</v>
      </c>
      <c r="S341" s="25" t="s">
        <v>325</v>
      </c>
      <c r="T341" s="26">
        <v>8</v>
      </c>
      <c r="U341" s="26">
        <v>8</v>
      </c>
      <c r="V341" s="26">
        <v>13500</v>
      </c>
      <c r="W341" s="26">
        <f t="shared" si="63"/>
        <v>0</v>
      </c>
      <c r="X341" s="26">
        <f t="shared" si="61"/>
        <v>0</v>
      </c>
      <c r="Y341" s="26">
        <f t="shared" si="64"/>
        <v>0</v>
      </c>
      <c r="Z341" s="26">
        <f t="shared" si="68"/>
        <v>0</v>
      </c>
      <c r="AA341" s="33" t="s">
        <v>15</v>
      </c>
      <c r="AB341" s="36" t="s">
        <v>16</v>
      </c>
      <c r="AC341" s="181">
        <f t="shared" si="65"/>
        <v>8</v>
      </c>
      <c r="AD341" s="181">
        <f t="shared" si="60"/>
        <v>108000</v>
      </c>
      <c r="AE341" s="181">
        <v>1.8</v>
      </c>
      <c r="AF341" s="181">
        <v>1.8</v>
      </c>
      <c r="AG341" s="101" t="str">
        <f t="shared" si="66"/>
        <v/>
      </c>
      <c r="AH341" s="190">
        <v>0</v>
      </c>
      <c r="AI341" s="69">
        <f t="shared" si="67"/>
        <v>8</v>
      </c>
    </row>
    <row r="342" spans="1:35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 t="s">
        <v>15</v>
      </c>
      <c r="I342" s="75">
        <v>112963.49</v>
      </c>
      <c r="J342" s="75">
        <v>112963.49</v>
      </c>
      <c r="K342" s="91" t="s">
        <v>907</v>
      </c>
      <c r="L342" s="73"/>
      <c r="M342" s="46">
        <v>0</v>
      </c>
      <c r="N342" s="46">
        <v>0</v>
      </c>
      <c r="O342" s="46">
        <v>0</v>
      </c>
      <c r="P342" s="98"/>
      <c r="Q342" s="23" t="s">
        <v>1431</v>
      </c>
      <c r="R342" s="24" t="s">
        <v>906</v>
      </c>
      <c r="S342" s="25" t="s">
        <v>73</v>
      </c>
      <c r="T342" s="26">
        <v>1</v>
      </c>
      <c r="U342" s="26">
        <v>1</v>
      </c>
      <c r="V342" s="26">
        <v>112963.49</v>
      </c>
      <c r="W342" s="26">
        <f t="shared" si="63"/>
        <v>0</v>
      </c>
      <c r="X342" s="26">
        <f t="shared" si="61"/>
        <v>0</v>
      </c>
      <c r="Y342" s="26">
        <f t="shared" si="64"/>
        <v>0</v>
      </c>
      <c r="Z342" s="26">
        <f t="shared" si="68"/>
        <v>0</v>
      </c>
      <c r="AA342" s="33" t="s">
        <v>15</v>
      </c>
      <c r="AB342" s="36" t="s">
        <v>16</v>
      </c>
      <c r="AC342" s="181">
        <f t="shared" si="65"/>
        <v>1</v>
      </c>
      <c r="AD342" s="181">
        <f t="shared" si="60"/>
        <v>112963.49</v>
      </c>
      <c r="AE342" s="181">
        <v>1.8</v>
      </c>
      <c r="AF342" s="181">
        <v>1.8</v>
      </c>
      <c r="AG342" s="101" t="str">
        <f t="shared" si="66"/>
        <v/>
      </c>
      <c r="AH342" s="190">
        <v>0</v>
      </c>
      <c r="AI342" s="69">
        <f t="shared" si="67"/>
        <v>1</v>
      </c>
    </row>
    <row r="343" spans="1:35" s="69" customFormat="1" ht="33" x14ac:dyDescent="0.3">
      <c r="A343" s="246" t="s">
        <v>908</v>
      </c>
      <c r="B343" s="247" t="s">
        <v>909</v>
      </c>
      <c r="C343" s="248" t="s">
        <v>14</v>
      </c>
      <c r="D343" s="249">
        <v>1</v>
      </c>
      <c r="E343" s="75"/>
      <c r="F343" s="75"/>
      <c r="G343" s="75"/>
      <c r="H343" s="75" t="s">
        <v>15</v>
      </c>
      <c r="I343" s="75">
        <v>322500</v>
      </c>
      <c r="J343" s="75">
        <v>322500</v>
      </c>
      <c r="K343" s="91" t="s">
        <v>910</v>
      </c>
      <c r="L343" s="73"/>
      <c r="M343" s="46">
        <v>0</v>
      </c>
      <c r="N343" s="46">
        <v>0</v>
      </c>
      <c r="O343" s="46">
        <v>0</v>
      </c>
      <c r="P343" s="98"/>
      <c r="Q343" s="23" t="s">
        <v>1395</v>
      </c>
      <c r="R343" s="24" t="s">
        <v>909</v>
      </c>
      <c r="S343" s="25" t="s">
        <v>14</v>
      </c>
      <c r="T343" s="26">
        <v>1</v>
      </c>
      <c r="U343" s="26">
        <v>1</v>
      </c>
      <c r="V343" s="26">
        <v>322500</v>
      </c>
      <c r="W343" s="26">
        <f t="shared" si="63"/>
        <v>0</v>
      </c>
      <c r="X343" s="26">
        <f t="shared" si="61"/>
        <v>0</v>
      </c>
      <c r="Y343" s="26">
        <f t="shared" si="64"/>
        <v>0</v>
      </c>
      <c r="Z343" s="26">
        <f t="shared" si="68"/>
        <v>0</v>
      </c>
      <c r="AA343" s="33" t="s">
        <v>15</v>
      </c>
      <c r="AB343" s="36" t="s">
        <v>16</v>
      </c>
      <c r="AC343" s="181">
        <f t="shared" si="65"/>
        <v>1</v>
      </c>
      <c r="AD343" s="181">
        <f t="shared" si="60"/>
        <v>322500</v>
      </c>
      <c r="AE343" s="181">
        <v>1.8</v>
      </c>
      <c r="AF343" s="181">
        <v>1.8</v>
      </c>
      <c r="AG343" s="101" t="str">
        <f t="shared" si="66"/>
        <v/>
      </c>
      <c r="AH343" s="190">
        <v>0</v>
      </c>
      <c r="AI343" s="69">
        <f t="shared" si="67"/>
        <v>1</v>
      </c>
    </row>
    <row r="344" spans="1:35" s="69" customFormat="1" ht="33" x14ac:dyDescent="0.3">
      <c r="A344" s="246" t="s">
        <v>911</v>
      </c>
      <c r="B344" s="247" t="s">
        <v>912</v>
      </c>
      <c r="C344" s="248" t="s">
        <v>325</v>
      </c>
      <c r="D344" s="249">
        <v>7</v>
      </c>
      <c r="E344" s="75"/>
      <c r="F344" s="75"/>
      <c r="G344" s="75"/>
      <c r="H344" s="75" t="s">
        <v>15</v>
      </c>
      <c r="I344" s="75">
        <v>15500</v>
      </c>
      <c r="J344" s="75">
        <v>108500</v>
      </c>
      <c r="K344" s="91" t="s">
        <v>913</v>
      </c>
      <c r="L344" s="73"/>
      <c r="M344" s="46">
        <v>0</v>
      </c>
      <c r="N344" s="46">
        <v>0</v>
      </c>
      <c r="O344" s="46">
        <v>0</v>
      </c>
      <c r="P344" s="98"/>
      <c r="Q344" s="23" t="s">
        <v>1432</v>
      </c>
      <c r="R344" s="24" t="s">
        <v>912</v>
      </c>
      <c r="S344" s="25" t="s">
        <v>325</v>
      </c>
      <c r="T344" s="26">
        <v>7</v>
      </c>
      <c r="U344" s="26">
        <v>7</v>
      </c>
      <c r="V344" s="26">
        <v>15500</v>
      </c>
      <c r="W344" s="26">
        <f t="shared" si="63"/>
        <v>0</v>
      </c>
      <c r="X344" s="26">
        <f t="shared" si="61"/>
        <v>0</v>
      </c>
      <c r="Y344" s="26">
        <f t="shared" si="64"/>
        <v>0</v>
      </c>
      <c r="Z344" s="26">
        <f t="shared" si="68"/>
        <v>0</v>
      </c>
      <c r="AA344" s="33" t="s">
        <v>15</v>
      </c>
      <c r="AB344" s="36" t="s">
        <v>16</v>
      </c>
      <c r="AC344" s="181">
        <f t="shared" si="65"/>
        <v>7</v>
      </c>
      <c r="AD344" s="181">
        <f t="shared" si="60"/>
        <v>108500</v>
      </c>
      <c r="AE344" s="181">
        <v>1.8</v>
      </c>
      <c r="AF344" s="181">
        <v>1.8</v>
      </c>
      <c r="AG344" s="101" t="str">
        <f t="shared" si="66"/>
        <v/>
      </c>
      <c r="AH344" s="190">
        <v>0</v>
      </c>
      <c r="AI344" s="69">
        <f t="shared" si="67"/>
        <v>7</v>
      </c>
    </row>
    <row r="345" spans="1:35" s="69" customFormat="1" ht="33" x14ac:dyDescent="0.3">
      <c r="A345" s="246" t="s">
        <v>914</v>
      </c>
      <c r="B345" s="247" t="s">
        <v>915</v>
      </c>
      <c r="C345" s="248" t="s">
        <v>325</v>
      </c>
      <c r="D345" s="249">
        <v>2</v>
      </c>
      <c r="E345" s="75"/>
      <c r="F345" s="75"/>
      <c r="G345" s="75"/>
      <c r="H345" s="75" t="s">
        <v>15</v>
      </c>
      <c r="I345" s="75">
        <v>113300</v>
      </c>
      <c r="J345" s="75">
        <v>226600</v>
      </c>
      <c r="K345" s="91" t="s">
        <v>916</v>
      </c>
      <c r="L345" s="73"/>
      <c r="M345" s="46">
        <v>0</v>
      </c>
      <c r="N345" s="46">
        <v>0</v>
      </c>
      <c r="O345" s="46">
        <v>0</v>
      </c>
      <c r="P345" s="98"/>
      <c r="Q345" s="23" t="s">
        <v>1433</v>
      </c>
      <c r="R345" s="24" t="s">
        <v>915</v>
      </c>
      <c r="S345" s="25" t="s">
        <v>325</v>
      </c>
      <c r="T345" s="26">
        <v>2</v>
      </c>
      <c r="U345" s="26">
        <v>2</v>
      </c>
      <c r="V345" s="26">
        <v>113300</v>
      </c>
      <c r="W345" s="26">
        <f t="shared" si="63"/>
        <v>0</v>
      </c>
      <c r="X345" s="26">
        <f t="shared" si="61"/>
        <v>0</v>
      </c>
      <c r="Y345" s="26">
        <f t="shared" si="64"/>
        <v>0</v>
      </c>
      <c r="Z345" s="26">
        <f t="shared" si="68"/>
        <v>0</v>
      </c>
      <c r="AA345" s="33" t="s">
        <v>15</v>
      </c>
      <c r="AB345" s="36" t="s">
        <v>16</v>
      </c>
      <c r="AC345" s="181">
        <f t="shared" si="65"/>
        <v>2</v>
      </c>
      <c r="AD345" s="181">
        <f t="shared" si="60"/>
        <v>226600</v>
      </c>
      <c r="AE345" s="181">
        <v>1.8</v>
      </c>
      <c r="AF345" s="181">
        <v>1.8</v>
      </c>
      <c r="AG345" s="101" t="str">
        <f t="shared" si="66"/>
        <v/>
      </c>
      <c r="AH345" s="190">
        <v>0</v>
      </c>
      <c r="AI345" s="69">
        <f t="shared" si="67"/>
        <v>2</v>
      </c>
    </row>
    <row r="346" spans="1:35" s="69" customFormat="1" ht="33" x14ac:dyDescent="0.3">
      <c r="A346" s="55" t="s">
        <v>917</v>
      </c>
      <c r="B346" s="53" t="s">
        <v>918</v>
      </c>
      <c r="C346" s="54" t="s">
        <v>325</v>
      </c>
      <c r="D346" s="75">
        <v>9</v>
      </c>
      <c r="E346" s="75"/>
      <c r="F346" s="75"/>
      <c r="G346" s="75"/>
      <c r="H346" s="75" t="s">
        <v>15</v>
      </c>
      <c r="I346" s="75">
        <v>100000</v>
      </c>
      <c r="J346" s="75">
        <v>900000</v>
      </c>
      <c r="K346" s="91" t="s">
        <v>919</v>
      </c>
      <c r="L346" s="73"/>
      <c r="M346" s="46">
        <v>6</v>
      </c>
      <c r="N346" s="46">
        <v>300000</v>
      </c>
      <c r="O346" s="46">
        <v>600000</v>
      </c>
      <c r="P346" s="98"/>
      <c r="Q346" s="23" t="s">
        <v>1382</v>
      </c>
      <c r="R346" s="24" t="s">
        <v>918</v>
      </c>
      <c r="S346" s="25" t="s">
        <v>325</v>
      </c>
      <c r="T346" s="26">
        <v>9</v>
      </c>
      <c r="U346" s="26">
        <v>9</v>
      </c>
      <c r="V346" s="26">
        <v>100000</v>
      </c>
      <c r="W346" s="243">
        <f t="shared" si="63"/>
        <v>0</v>
      </c>
      <c r="X346" s="26">
        <f t="shared" si="61"/>
        <v>6</v>
      </c>
      <c r="Y346" s="26">
        <f t="shared" si="64"/>
        <v>0</v>
      </c>
      <c r="Z346" s="26">
        <f t="shared" si="68"/>
        <v>600000</v>
      </c>
      <c r="AA346" s="33" t="s">
        <v>15</v>
      </c>
      <c r="AB346" s="36" t="s">
        <v>16</v>
      </c>
      <c r="AC346" s="181">
        <f t="shared" si="65"/>
        <v>9</v>
      </c>
      <c r="AD346" s="181">
        <f t="shared" si="60"/>
        <v>900000</v>
      </c>
      <c r="AE346" s="181">
        <v>1.8</v>
      </c>
      <c r="AF346" s="181">
        <v>1.8</v>
      </c>
      <c r="AG346" s="101" t="str">
        <f t="shared" si="66"/>
        <v/>
      </c>
      <c r="AH346" s="191">
        <f>1+2+3</f>
        <v>6</v>
      </c>
      <c r="AI346" s="69">
        <f t="shared" si="67"/>
        <v>9</v>
      </c>
    </row>
    <row r="347" spans="1:35" s="69" customFormat="1" ht="33" x14ac:dyDescent="0.3">
      <c r="A347" s="55" t="s">
        <v>920</v>
      </c>
      <c r="B347" s="53" t="s">
        <v>921</v>
      </c>
      <c r="C347" s="54" t="s">
        <v>81</v>
      </c>
      <c r="D347" s="75">
        <v>2</v>
      </c>
      <c r="E347" s="75"/>
      <c r="F347" s="75"/>
      <c r="G347" s="75"/>
      <c r="H347" s="75" t="s">
        <v>15</v>
      </c>
      <c r="I347" s="75">
        <v>15000</v>
      </c>
      <c r="J347" s="75">
        <v>30000</v>
      </c>
      <c r="K347" s="91" t="s">
        <v>922</v>
      </c>
      <c r="L347" s="73"/>
      <c r="M347" s="46">
        <v>1</v>
      </c>
      <c r="N347" s="46">
        <v>0</v>
      </c>
      <c r="O347" s="46">
        <v>15000</v>
      </c>
      <c r="P347" s="98"/>
      <c r="Q347" s="23" t="s">
        <v>1434</v>
      </c>
      <c r="R347" s="24" t="s">
        <v>921</v>
      </c>
      <c r="S347" s="25" t="s">
        <v>81</v>
      </c>
      <c r="T347" s="26">
        <v>2</v>
      </c>
      <c r="U347" s="26">
        <v>2</v>
      </c>
      <c r="V347" s="26">
        <v>15000</v>
      </c>
      <c r="W347" s="243">
        <f t="shared" si="63"/>
        <v>0</v>
      </c>
      <c r="X347" s="26">
        <f t="shared" si="61"/>
        <v>1</v>
      </c>
      <c r="Y347" s="26">
        <f t="shared" si="64"/>
        <v>0</v>
      </c>
      <c r="Z347" s="26">
        <f t="shared" si="68"/>
        <v>15000</v>
      </c>
      <c r="AA347" s="33" t="s">
        <v>15</v>
      </c>
      <c r="AB347" s="36" t="s">
        <v>16</v>
      </c>
      <c r="AC347" s="181">
        <f t="shared" si="65"/>
        <v>2</v>
      </c>
      <c r="AD347" s="181">
        <f t="shared" si="60"/>
        <v>30000</v>
      </c>
      <c r="AE347" s="181">
        <v>1.8</v>
      </c>
      <c r="AF347" s="181">
        <v>1.8</v>
      </c>
      <c r="AG347" s="101" t="str">
        <f t="shared" si="66"/>
        <v/>
      </c>
      <c r="AH347" s="191">
        <v>1</v>
      </c>
      <c r="AI347" s="69">
        <f t="shared" si="67"/>
        <v>2</v>
      </c>
    </row>
    <row r="348" spans="1:35" s="69" customFormat="1" ht="39" x14ac:dyDescent="0.3">
      <c r="A348" s="55" t="s">
        <v>923</v>
      </c>
      <c r="B348" s="53" t="s">
        <v>924</v>
      </c>
      <c r="C348" s="54" t="s">
        <v>925</v>
      </c>
      <c r="D348" s="75">
        <v>1</v>
      </c>
      <c r="E348" s="75"/>
      <c r="F348" s="75"/>
      <c r="G348" s="75"/>
      <c r="H348" s="75" t="s">
        <v>15</v>
      </c>
      <c r="I348" s="75">
        <v>15000</v>
      </c>
      <c r="J348" s="75">
        <v>15000</v>
      </c>
      <c r="K348" s="91" t="s">
        <v>926</v>
      </c>
      <c r="L348" s="73"/>
      <c r="M348" s="46">
        <v>0</v>
      </c>
      <c r="N348" s="46">
        <v>0</v>
      </c>
      <c r="O348" s="46">
        <v>0</v>
      </c>
      <c r="P348" s="98"/>
      <c r="Q348" s="23" t="s">
        <v>1388</v>
      </c>
      <c r="R348" s="24" t="s">
        <v>924</v>
      </c>
      <c r="S348" s="25" t="s">
        <v>925</v>
      </c>
      <c r="T348" s="26">
        <v>1</v>
      </c>
      <c r="U348" s="26">
        <v>1</v>
      </c>
      <c r="V348" s="26">
        <v>15000</v>
      </c>
      <c r="W348" s="26">
        <f t="shared" si="63"/>
        <v>0</v>
      </c>
      <c r="X348" s="26">
        <f t="shared" si="61"/>
        <v>0</v>
      </c>
      <c r="Y348" s="26">
        <f t="shared" si="64"/>
        <v>0</v>
      </c>
      <c r="Z348" s="26">
        <f t="shared" si="68"/>
        <v>0</v>
      </c>
      <c r="AA348" s="33" t="s">
        <v>15</v>
      </c>
      <c r="AB348" s="36" t="s">
        <v>16</v>
      </c>
      <c r="AC348" s="181">
        <f t="shared" si="65"/>
        <v>1</v>
      </c>
      <c r="AD348" s="181">
        <f t="shared" si="60"/>
        <v>15000</v>
      </c>
      <c r="AE348" s="181">
        <v>1.8</v>
      </c>
      <c r="AF348" s="181">
        <v>1.8</v>
      </c>
      <c r="AG348" s="101" t="str">
        <f t="shared" si="66"/>
        <v/>
      </c>
      <c r="AH348" s="190">
        <v>0</v>
      </c>
      <c r="AI348" s="69">
        <f t="shared" si="67"/>
        <v>1</v>
      </c>
    </row>
    <row r="349" spans="1:35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 t="s">
        <v>15</v>
      </c>
      <c r="I349" s="75">
        <v>1500</v>
      </c>
      <c r="J349" s="75">
        <v>1500</v>
      </c>
      <c r="K349" s="91" t="s">
        <v>929</v>
      </c>
      <c r="L349" s="73"/>
      <c r="M349" s="46">
        <v>0</v>
      </c>
      <c r="N349" s="46">
        <v>0</v>
      </c>
      <c r="O349" s="46">
        <v>0</v>
      </c>
      <c r="P349" s="98"/>
      <c r="Q349" s="23" t="s">
        <v>1389</v>
      </c>
      <c r="R349" s="24" t="s">
        <v>928</v>
      </c>
      <c r="S349" s="25" t="s">
        <v>325</v>
      </c>
      <c r="T349" s="26">
        <v>1</v>
      </c>
      <c r="U349" s="26">
        <v>1</v>
      </c>
      <c r="V349" s="26">
        <v>1500</v>
      </c>
      <c r="W349" s="26">
        <f t="shared" si="63"/>
        <v>0</v>
      </c>
      <c r="X349" s="26">
        <f t="shared" si="61"/>
        <v>0</v>
      </c>
      <c r="Y349" s="26">
        <f t="shared" si="64"/>
        <v>0</v>
      </c>
      <c r="Z349" s="26">
        <f t="shared" si="68"/>
        <v>0</v>
      </c>
      <c r="AA349" s="33" t="s">
        <v>15</v>
      </c>
      <c r="AB349" s="36" t="s">
        <v>16</v>
      </c>
      <c r="AC349" s="181">
        <f t="shared" si="65"/>
        <v>1</v>
      </c>
      <c r="AD349" s="181">
        <f t="shared" si="60"/>
        <v>1500</v>
      </c>
      <c r="AE349" s="181">
        <v>1.8</v>
      </c>
      <c r="AF349" s="181">
        <v>1.8</v>
      </c>
      <c r="AG349" s="101" t="str">
        <f t="shared" si="66"/>
        <v/>
      </c>
      <c r="AH349" s="190">
        <v>0</v>
      </c>
      <c r="AI349" s="69">
        <f t="shared" si="67"/>
        <v>1</v>
      </c>
    </row>
    <row r="350" spans="1:35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 t="s">
        <v>15</v>
      </c>
      <c r="I350" s="75">
        <v>2600</v>
      </c>
      <c r="J350" s="75">
        <v>7800</v>
      </c>
      <c r="K350" s="91" t="s">
        <v>933</v>
      </c>
      <c r="L350" s="73"/>
      <c r="M350" s="46">
        <v>0</v>
      </c>
      <c r="N350" s="46">
        <v>0</v>
      </c>
      <c r="O350" s="46">
        <v>0</v>
      </c>
      <c r="P350" s="98"/>
      <c r="Q350" s="23" t="s">
        <v>1390</v>
      </c>
      <c r="R350" s="24" t="s">
        <v>931</v>
      </c>
      <c r="S350" s="25" t="s">
        <v>932</v>
      </c>
      <c r="T350" s="26">
        <v>3</v>
      </c>
      <c r="U350" s="26">
        <v>3</v>
      </c>
      <c r="V350" s="26">
        <v>2600</v>
      </c>
      <c r="W350" s="26">
        <f t="shared" si="63"/>
        <v>0</v>
      </c>
      <c r="X350" s="26">
        <f t="shared" si="61"/>
        <v>0</v>
      </c>
      <c r="Y350" s="26">
        <f t="shared" si="64"/>
        <v>0</v>
      </c>
      <c r="Z350" s="26">
        <f t="shared" si="68"/>
        <v>0</v>
      </c>
      <c r="AA350" s="33" t="s">
        <v>15</v>
      </c>
      <c r="AB350" s="36" t="s">
        <v>16</v>
      </c>
      <c r="AC350" s="181">
        <f t="shared" si="65"/>
        <v>3</v>
      </c>
      <c r="AD350" s="181">
        <f t="shared" si="60"/>
        <v>7800</v>
      </c>
      <c r="AE350" s="181">
        <v>1.8</v>
      </c>
      <c r="AF350" s="181">
        <v>1.8</v>
      </c>
      <c r="AG350" s="101" t="str">
        <f t="shared" si="66"/>
        <v/>
      </c>
      <c r="AH350" s="190">
        <v>0</v>
      </c>
      <c r="AI350" s="69">
        <f t="shared" si="67"/>
        <v>3</v>
      </c>
    </row>
    <row r="351" spans="1:35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 t="s">
        <v>15</v>
      </c>
      <c r="I351" s="75">
        <v>4460</v>
      </c>
      <c r="J351" s="75">
        <v>169480</v>
      </c>
      <c r="K351" s="91" t="s">
        <v>936</v>
      </c>
      <c r="L351" s="73"/>
      <c r="M351" s="46">
        <v>0</v>
      </c>
      <c r="N351" s="46">
        <v>0</v>
      </c>
      <c r="O351" s="46">
        <v>0</v>
      </c>
      <c r="P351" s="98"/>
      <c r="Q351" s="23" t="s">
        <v>1391</v>
      </c>
      <c r="R351" s="24" t="s">
        <v>935</v>
      </c>
      <c r="S351" s="25" t="s">
        <v>932</v>
      </c>
      <c r="T351" s="26">
        <v>38</v>
      </c>
      <c r="U351" s="26">
        <v>38</v>
      </c>
      <c r="V351" s="26">
        <v>4460</v>
      </c>
      <c r="W351" s="26">
        <f t="shared" si="63"/>
        <v>0</v>
      </c>
      <c r="X351" s="26">
        <f t="shared" si="61"/>
        <v>0</v>
      </c>
      <c r="Y351" s="26">
        <f t="shared" si="64"/>
        <v>0</v>
      </c>
      <c r="Z351" s="26">
        <f t="shared" si="68"/>
        <v>0</v>
      </c>
      <c r="AA351" s="33" t="s">
        <v>15</v>
      </c>
      <c r="AB351" s="36" t="s">
        <v>16</v>
      </c>
      <c r="AC351" s="181">
        <f t="shared" si="65"/>
        <v>38</v>
      </c>
      <c r="AD351" s="181">
        <f t="shared" si="60"/>
        <v>169480</v>
      </c>
      <c r="AE351" s="181">
        <v>1.8</v>
      </c>
      <c r="AF351" s="181">
        <v>1.8</v>
      </c>
      <c r="AG351" s="101" t="str">
        <f t="shared" si="66"/>
        <v/>
      </c>
      <c r="AH351" s="190">
        <v>0</v>
      </c>
      <c r="AI351" s="69">
        <f t="shared" si="67"/>
        <v>38</v>
      </c>
    </row>
    <row r="352" spans="1:35" s="69" customFormat="1" ht="39" x14ac:dyDescent="0.3">
      <c r="A352" s="55" t="s">
        <v>937</v>
      </c>
      <c r="B352" s="118" t="s">
        <v>938</v>
      </c>
      <c r="C352" s="119" t="s">
        <v>30</v>
      </c>
      <c r="D352" s="120">
        <v>1352</v>
      </c>
      <c r="E352" s="75"/>
      <c r="F352" s="75"/>
      <c r="G352" s="75"/>
      <c r="H352" s="75" t="s">
        <v>15</v>
      </c>
      <c r="I352" s="75">
        <v>30.59</v>
      </c>
      <c r="J352" s="75">
        <v>41357.68</v>
      </c>
      <c r="K352" s="91" t="s">
        <v>939</v>
      </c>
      <c r="L352" s="73"/>
      <c r="M352" s="46">
        <v>0</v>
      </c>
      <c r="N352" s="46">
        <v>0</v>
      </c>
      <c r="O352" s="46">
        <v>0</v>
      </c>
      <c r="P352" s="98"/>
      <c r="Q352" s="23" t="s">
        <v>1436</v>
      </c>
      <c r="R352" s="24" t="s">
        <v>938</v>
      </c>
      <c r="S352" s="25" t="s">
        <v>30</v>
      </c>
      <c r="T352" s="26">
        <v>1352</v>
      </c>
      <c r="U352" s="26">
        <v>1352</v>
      </c>
      <c r="V352" s="26">
        <v>30.59</v>
      </c>
      <c r="W352" s="26">
        <f t="shared" si="63"/>
        <v>0</v>
      </c>
      <c r="X352" s="26">
        <f t="shared" si="61"/>
        <v>0</v>
      </c>
      <c r="Y352" s="26">
        <f t="shared" si="64"/>
        <v>0</v>
      </c>
      <c r="Z352" s="26">
        <f t="shared" si="68"/>
        <v>0</v>
      </c>
      <c r="AA352" s="33" t="s">
        <v>15</v>
      </c>
      <c r="AB352" s="36" t="s">
        <v>16</v>
      </c>
      <c r="AC352" s="181">
        <f t="shared" si="65"/>
        <v>1352</v>
      </c>
      <c r="AD352" s="181">
        <f t="shared" si="60"/>
        <v>41357.68</v>
      </c>
      <c r="AE352" s="181">
        <v>1.8</v>
      </c>
      <c r="AF352" s="181">
        <v>1.8</v>
      </c>
      <c r="AG352" s="101" t="str">
        <f t="shared" si="66"/>
        <v/>
      </c>
      <c r="AH352" s="190">
        <v>0</v>
      </c>
      <c r="AI352" s="69">
        <f t="shared" si="67"/>
        <v>1352</v>
      </c>
    </row>
    <row r="353" spans="1:35" s="69" customFormat="1" ht="58.5" x14ac:dyDescent="0.3">
      <c r="A353" s="55" t="s">
        <v>940</v>
      </c>
      <c r="B353" s="118" t="s">
        <v>941</v>
      </c>
      <c r="C353" s="119" t="s">
        <v>30</v>
      </c>
      <c r="D353" s="120">
        <v>300</v>
      </c>
      <c r="E353" s="75"/>
      <c r="F353" s="75"/>
      <c r="G353" s="75"/>
      <c r="H353" s="75" t="s">
        <v>15</v>
      </c>
      <c r="I353" s="75">
        <v>972.45</v>
      </c>
      <c r="J353" s="75">
        <v>291735</v>
      </c>
      <c r="K353" s="91" t="s">
        <v>942</v>
      </c>
      <c r="L353" s="73"/>
      <c r="M353" s="46">
        <v>0</v>
      </c>
      <c r="N353" s="46">
        <v>0</v>
      </c>
      <c r="O353" s="46">
        <v>0</v>
      </c>
      <c r="P353" s="98"/>
      <c r="Q353" s="23" t="s">
        <v>1374</v>
      </c>
      <c r="R353" s="24" t="s">
        <v>941</v>
      </c>
      <c r="S353" s="25" t="s">
        <v>30</v>
      </c>
      <c r="T353" s="26">
        <v>300</v>
      </c>
      <c r="U353" s="26">
        <v>300</v>
      </c>
      <c r="V353" s="26">
        <v>972.45</v>
      </c>
      <c r="W353" s="26">
        <f t="shared" si="63"/>
        <v>0</v>
      </c>
      <c r="X353" s="26">
        <f t="shared" si="61"/>
        <v>0</v>
      </c>
      <c r="Y353" s="26">
        <f t="shared" si="64"/>
        <v>0</v>
      </c>
      <c r="Z353" s="26">
        <f t="shared" si="68"/>
        <v>0</v>
      </c>
      <c r="AA353" s="33" t="s">
        <v>15</v>
      </c>
      <c r="AB353" s="36" t="s">
        <v>16</v>
      </c>
      <c r="AC353" s="181">
        <f t="shared" si="65"/>
        <v>300</v>
      </c>
      <c r="AD353" s="181">
        <f t="shared" si="60"/>
        <v>291735</v>
      </c>
      <c r="AE353" s="181">
        <v>1.8</v>
      </c>
      <c r="AF353" s="181">
        <v>1.8</v>
      </c>
      <c r="AG353" s="101" t="str">
        <f t="shared" si="66"/>
        <v/>
      </c>
      <c r="AH353" s="190">
        <v>0</v>
      </c>
      <c r="AI353" s="69">
        <f t="shared" si="67"/>
        <v>300</v>
      </c>
    </row>
    <row r="354" spans="1:35" s="69" customFormat="1" ht="58.5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 t="s">
        <v>15</v>
      </c>
      <c r="I354" s="75">
        <v>628.34</v>
      </c>
      <c r="J354" s="75">
        <v>158341.68</v>
      </c>
      <c r="K354" s="91" t="s">
        <v>945</v>
      </c>
      <c r="L354" s="73"/>
      <c r="M354" s="46">
        <v>0</v>
      </c>
      <c r="N354" s="46">
        <v>0</v>
      </c>
      <c r="O354" s="46">
        <v>0</v>
      </c>
      <c r="P354" s="98"/>
      <c r="Q354" s="23" t="s">
        <v>1376</v>
      </c>
      <c r="R354" s="24" t="s">
        <v>944</v>
      </c>
      <c r="S354" s="25" t="s">
        <v>30</v>
      </c>
      <c r="T354" s="26">
        <v>252</v>
      </c>
      <c r="U354" s="26">
        <v>252</v>
      </c>
      <c r="V354" s="26">
        <v>628.34</v>
      </c>
      <c r="W354" s="26">
        <f t="shared" si="63"/>
        <v>0</v>
      </c>
      <c r="X354" s="26">
        <f t="shared" si="61"/>
        <v>0</v>
      </c>
      <c r="Y354" s="26">
        <f t="shared" si="64"/>
        <v>0</v>
      </c>
      <c r="Z354" s="26">
        <f t="shared" si="68"/>
        <v>0</v>
      </c>
      <c r="AA354" s="33" t="s">
        <v>15</v>
      </c>
      <c r="AB354" s="36" t="s">
        <v>16</v>
      </c>
      <c r="AC354" s="181">
        <f t="shared" si="65"/>
        <v>252</v>
      </c>
      <c r="AD354" s="181">
        <f t="shared" si="60"/>
        <v>158341.68</v>
      </c>
      <c r="AE354" s="181">
        <v>1.8</v>
      </c>
      <c r="AF354" s="181">
        <v>1.8</v>
      </c>
      <c r="AG354" s="101" t="str">
        <f t="shared" si="66"/>
        <v/>
      </c>
      <c r="AH354" s="190">
        <v>0</v>
      </c>
      <c r="AI354" s="69">
        <f t="shared" si="67"/>
        <v>252</v>
      </c>
    </row>
    <row r="355" spans="1:35" s="69" customFormat="1" ht="58.5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 t="s">
        <v>15</v>
      </c>
      <c r="I355" s="75">
        <v>497.09</v>
      </c>
      <c r="J355" s="75">
        <v>17895.240000000002</v>
      </c>
      <c r="K355" s="91" t="s">
        <v>948</v>
      </c>
      <c r="L355" s="73"/>
      <c r="M355" s="46">
        <v>0</v>
      </c>
      <c r="N355" s="46">
        <v>0</v>
      </c>
      <c r="O355" s="46">
        <v>0</v>
      </c>
      <c r="P355" s="98"/>
      <c r="Q355" s="23" t="s">
        <v>1378</v>
      </c>
      <c r="R355" s="24" t="s">
        <v>947</v>
      </c>
      <c r="S355" s="25" t="s">
        <v>30</v>
      </c>
      <c r="T355" s="26">
        <v>36</v>
      </c>
      <c r="U355" s="26">
        <v>36</v>
      </c>
      <c r="V355" s="26">
        <v>497.09</v>
      </c>
      <c r="W355" s="26">
        <f t="shared" si="63"/>
        <v>0</v>
      </c>
      <c r="X355" s="26">
        <f t="shared" si="61"/>
        <v>0</v>
      </c>
      <c r="Y355" s="26">
        <f t="shared" si="64"/>
        <v>0</v>
      </c>
      <c r="Z355" s="26">
        <f t="shared" si="68"/>
        <v>0</v>
      </c>
      <c r="AA355" s="33" t="s">
        <v>15</v>
      </c>
      <c r="AB355" s="36" t="s">
        <v>16</v>
      </c>
      <c r="AC355" s="181">
        <f t="shared" si="65"/>
        <v>36</v>
      </c>
      <c r="AD355" s="181">
        <f t="shared" si="60"/>
        <v>17895.240000000002</v>
      </c>
      <c r="AE355" s="181">
        <v>1.8</v>
      </c>
      <c r="AF355" s="181">
        <v>1.8</v>
      </c>
      <c r="AG355" s="101" t="str">
        <f t="shared" si="66"/>
        <v/>
      </c>
      <c r="AH355" s="190">
        <v>0</v>
      </c>
      <c r="AI355" s="69">
        <f t="shared" si="67"/>
        <v>36</v>
      </c>
    </row>
    <row r="356" spans="1:35" s="69" customFormat="1" ht="58.5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 t="s">
        <v>15</v>
      </c>
      <c r="I356" s="75">
        <v>270.2</v>
      </c>
      <c r="J356" s="75">
        <v>42961.8</v>
      </c>
      <c r="K356" s="91" t="s">
        <v>951</v>
      </c>
      <c r="L356" s="73"/>
      <c r="M356" s="46">
        <v>0</v>
      </c>
      <c r="N356" s="46">
        <v>0</v>
      </c>
      <c r="O356" s="46">
        <v>0</v>
      </c>
      <c r="P356" s="98"/>
      <c r="Q356" s="23" t="s">
        <v>1438</v>
      </c>
      <c r="R356" s="24" t="s">
        <v>950</v>
      </c>
      <c r="S356" s="25" t="s">
        <v>30</v>
      </c>
      <c r="T356" s="26">
        <v>159</v>
      </c>
      <c r="U356" s="26">
        <v>159</v>
      </c>
      <c r="V356" s="26">
        <v>270.2</v>
      </c>
      <c r="W356" s="26">
        <f t="shared" si="63"/>
        <v>0</v>
      </c>
      <c r="X356" s="26">
        <f t="shared" si="61"/>
        <v>0</v>
      </c>
      <c r="Y356" s="26">
        <f t="shared" si="64"/>
        <v>0</v>
      </c>
      <c r="Z356" s="26">
        <f t="shared" si="68"/>
        <v>0</v>
      </c>
      <c r="AA356" s="33" t="s">
        <v>15</v>
      </c>
      <c r="AB356" s="36" t="s">
        <v>16</v>
      </c>
      <c r="AC356" s="181">
        <f t="shared" si="65"/>
        <v>159</v>
      </c>
      <c r="AD356" s="181">
        <f t="shared" si="60"/>
        <v>42961.8</v>
      </c>
      <c r="AE356" s="181">
        <v>1.8</v>
      </c>
      <c r="AF356" s="181">
        <v>1.8</v>
      </c>
      <c r="AG356" s="101" t="str">
        <f t="shared" si="66"/>
        <v/>
      </c>
      <c r="AH356" s="190">
        <v>0</v>
      </c>
      <c r="AI356" s="69">
        <f t="shared" si="67"/>
        <v>159</v>
      </c>
    </row>
    <row r="357" spans="1:35" s="69" customFormat="1" ht="58.5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 t="s">
        <v>15</v>
      </c>
      <c r="I357" s="75">
        <v>152.94</v>
      </c>
      <c r="J357" s="75">
        <v>183375.06</v>
      </c>
      <c r="K357" s="91" t="s">
        <v>954</v>
      </c>
      <c r="L357" s="73"/>
      <c r="M357" s="46">
        <v>427</v>
      </c>
      <c r="N357" s="46">
        <v>65305.38</v>
      </c>
      <c r="O357" s="46">
        <v>65305.38</v>
      </c>
      <c r="P357" s="98"/>
      <c r="Q357" s="23" t="s">
        <v>1439</v>
      </c>
      <c r="R357" s="24" t="s">
        <v>953</v>
      </c>
      <c r="S357" s="25" t="s">
        <v>30</v>
      </c>
      <c r="T357" s="26">
        <v>1199</v>
      </c>
      <c r="U357" s="26">
        <v>1199</v>
      </c>
      <c r="V357" s="26">
        <v>152.94</v>
      </c>
      <c r="W357" s="243">
        <f t="shared" si="63"/>
        <v>136.89999999999998</v>
      </c>
      <c r="X357" s="26">
        <f t="shared" si="61"/>
        <v>563.9</v>
      </c>
      <c r="Y357" s="26">
        <f t="shared" si="64"/>
        <v>20937.489999999998</v>
      </c>
      <c r="Z357" s="26">
        <f t="shared" si="68"/>
        <v>86242.87</v>
      </c>
      <c r="AA357" s="33" t="s">
        <v>15</v>
      </c>
      <c r="AB357" s="36" t="s">
        <v>16</v>
      </c>
      <c r="AC357" s="181">
        <f t="shared" si="65"/>
        <v>1199</v>
      </c>
      <c r="AD357" s="181">
        <f t="shared" si="60"/>
        <v>183375.06</v>
      </c>
      <c r="AE357" s="181">
        <v>1.8</v>
      </c>
      <c r="AF357" s="181">
        <v>1.8</v>
      </c>
      <c r="AG357" s="101" t="str">
        <f t="shared" si="66"/>
        <v/>
      </c>
      <c r="AH357" s="191">
        <f>427+136.9</f>
        <v>563.9</v>
      </c>
      <c r="AI357" s="69">
        <f t="shared" si="67"/>
        <v>1199</v>
      </c>
    </row>
    <row r="358" spans="1:35" s="69" customFormat="1" ht="33" x14ac:dyDescent="0.3">
      <c r="A358" s="55" t="s">
        <v>955</v>
      </c>
      <c r="B358" s="138" t="s">
        <v>956</v>
      </c>
      <c r="C358" s="54" t="s">
        <v>30</v>
      </c>
      <c r="D358" s="75">
        <v>144</v>
      </c>
      <c r="E358" s="75"/>
      <c r="F358" s="75"/>
      <c r="G358" s="75"/>
      <c r="H358" s="75" t="s">
        <v>15</v>
      </c>
      <c r="I358" s="75">
        <v>228.14</v>
      </c>
      <c r="J358" s="75">
        <v>32852.160000000003</v>
      </c>
      <c r="K358" s="91" t="s">
        <v>957</v>
      </c>
      <c r="L358" s="73"/>
      <c r="M358" s="46">
        <v>75</v>
      </c>
      <c r="N358" s="46">
        <v>17110.5</v>
      </c>
      <c r="O358" s="46">
        <v>17110.5</v>
      </c>
      <c r="P358" s="98"/>
      <c r="Q358" s="23" t="s">
        <v>1440</v>
      </c>
      <c r="R358" s="24" t="s">
        <v>956</v>
      </c>
      <c r="S358" s="25" t="s">
        <v>30</v>
      </c>
      <c r="T358" s="26">
        <v>144</v>
      </c>
      <c r="U358" s="26">
        <v>144</v>
      </c>
      <c r="V358" s="26">
        <v>228.14</v>
      </c>
      <c r="W358" s="243">
        <f t="shared" si="63"/>
        <v>0</v>
      </c>
      <c r="X358" s="26">
        <f t="shared" si="61"/>
        <v>75</v>
      </c>
      <c r="Y358" s="26">
        <f t="shared" si="64"/>
        <v>0</v>
      </c>
      <c r="Z358" s="26">
        <f t="shared" si="68"/>
        <v>17110.5</v>
      </c>
      <c r="AA358" s="33" t="s">
        <v>15</v>
      </c>
      <c r="AB358" s="36" t="s">
        <v>16</v>
      </c>
      <c r="AC358" s="181">
        <f t="shared" si="65"/>
        <v>144</v>
      </c>
      <c r="AD358" s="181">
        <f t="shared" si="60"/>
        <v>32852.160000000003</v>
      </c>
      <c r="AE358" s="181">
        <v>1.8</v>
      </c>
      <c r="AF358" s="181">
        <v>1.8</v>
      </c>
      <c r="AG358" s="101" t="str">
        <f t="shared" si="66"/>
        <v/>
      </c>
      <c r="AH358" s="191">
        <f>75</f>
        <v>75</v>
      </c>
      <c r="AI358" s="69">
        <f t="shared" si="67"/>
        <v>144</v>
      </c>
    </row>
    <row r="359" spans="1:35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 t="s">
        <v>15</v>
      </c>
      <c r="I359" s="75">
        <v>90448.13</v>
      </c>
      <c r="J359" s="75">
        <v>90448.13</v>
      </c>
      <c r="K359" s="91" t="s">
        <v>960</v>
      </c>
      <c r="L359" s="73"/>
      <c r="M359" s="46">
        <v>0</v>
      </c>
      <c r="N359" s="46">
        <v>0</v>
      </c>
      <c r="O359" s="46">
        <v>0</v>
      </c>
      <c r="P359" s="98"/>
      <c r="Q359" s="23" t="s">
        <v>1441</v>
      </c>
      <c r="R359" s="24" t="s">
        <v>959</v>
      </c>
      <c r="S359" s="25" t="s">
        <v>14</v>
      </c>
      <c r="T359" s="26">
        <v>1</v>
      </c>
      <c r="U359" s="26">
        <v>1</v>
      </c>
      <c r="V359" s="26">
        <v>90448.13</v>
      </c>
      <c r="W359" s="26">
        <f t="shared" si="63"/>
        <v>0</v>
      </c>
      <c r="X359" s="26">
        <f t="shared" si="61"/>
        <v>0</v>
      </c>
      <c r="Y359" s="26">
        <f t="shared" si="64"/>
        <v>0</v>
      </c>
      <c r="Z359" s="26">
        <f t="shared" si="68"/>
        <v>0</v>
      </c>
      <c r="AA359" s="33" t="s">
        <v>15</v>
      </c>
      <c r="AB359" s="36" t="s">
        <v>16</v>
      </c>
      <c r="AC359" s="181">
        <f t="shared" si="65"/>
        <v>1</v>
      </c>
      <c r="AD359" s="181">
        <f t="shared" si="60"/>
        <v>90448.13</v>
      </c>
      <c r="AE359" s="181">
        <v>1.8</v>
      </c>
      <c r="AF359" s="181">
        <v>1.8</v>
      </c>
      <c r="AG359" s="101" t="str">
        <f t="shared" si="66"/>
        <v/>
      </c>
      <c r="AH359" s="190">
        <v>0</v>
      </c>
      <c r="AI359" s="69">
        <f t="shared" si="67"/>
        <v>1</v>
      </c>
    </row>
    <row r="360" spans="1:35" s="69" customFormat="1" ht="42.75" x14ac:dyDescent="0.3">
      <c r="A360" s="55" t="s">
        <v>961</v>
      </c>
      <c r="B360" s="254" t="s">
        <v>962</v>
      </c>
      <c r="C360" s="54" t="s">
        <v>30</v>
      </c>
      <c r="D360" s="75">
        <v>2702</v>
      </c>
      <c r="E360" s="75"/>
      <c r="F360" s="75"/>
      <c r="G360" s="75"/>
      <c r="H360" s="75" t="s">
        <v>15</v>
      </c>
      <c r="I360" s="75">
        <v>81.569999999999993</v>
      </c>
      <c r="J360" s="75">
        <v>220402.14</v>
      </c>
      <c r="K360" s="91" t="s">
        <v>963</v>
      </c>
      <c r="L360" s="73"/>
      <c r="M360" s="46">
        <v>854</v>
      </c>
      <c r="N360" s="46">
        <v>69660.78</v>
      </c>
      <c r="O360" s="46">
        <v>69660.78</v>
      </c>
      <c r="P360" s="98"/>
      <c r="Q360" s="23" t="s">
        <v>1442</v>
      </c>
      <c r="R360" s="24" t="s">
        <v>962</v>
      </c>
      <c r="S360" s="25" t="s">
        <v>30</v>
      </c>
      <c r="T360" s="26">
        <v>2702</v>
      </c>
      <c r="U360" s="26">
        <v>2702</v>
      </c>
      <c r="V360" s="26">
        <v>81.569999999999993</v>
      </c>
      <c r="W360" s="243">
        <f t="shared" si="63"/>
        <v>273.79999999999995</v>
      </c>
      <c r="X360" s="26">
        <f t="shared" si="61"/>
        <v>1127.8</v>
      </c>
      <c r="Y360" s="26">
        <f t="shared" si="64"/>
        <v>22333.869999999995</v>
      </c>
      <c r="Z360" s="26">
        <f t="shared" si="68"/>
        <v>91994.65</v>
      </c>
      <c r="AA360" s="33" t="s">
        <v>15</v>
      </c>
      <c r="AB360" s="36" t="s">
        <v>16</v>
      </c>
      <c r="AC360" s="181">
        <f t="shared" si="65"/>
        <v>2702</v>
      </c>
      <c r="AD360" s="181">
        <f t="shared" si="60"/>
        <v>220402.14</v>
      </c>
      <c r="AE360" s="181">
        <v>1.8</v>
      </c>
      <c r="AF360" s="181">
        <v>1.8</v>
      </c>
      <c r="AG360" s="101" t="str">
        <f t="shared" si="66"/>
        <v/>
      </c>
      <c r="AH360" s="191">
        <f>AH363*2</f>
        <v>1127.8</v>
      </c>
      <c r="AI360" s="69">
        <f t="shared" si="67"/>
        <v>2702</v>
      </c>
    </row>
    <row r="361" spans="1:35" s="69" customFormat="1" ht="39" x14ac:dyDescent="0.3">
      <c r="A361" s="55" t="s">
        <v>964</v>
      </c>
      <c r="B361" s="53" t="s">
        <v>965</v>
      </c>
      <c r="C361" s="54" t="s">
        <v>14</v>
      </c>
      <c r="D361" s="75">
        <v>1</v>
      </c>
      <c r="E361" s="75"/>
      <c r="F361" s="75"/>
      <c r="G361" s="75"/>
      <c r="H361" s="75" t="s">
        <v>15</v>
      </c>
      <c r="I361" s="75">
        <v>25939</v>
      </c>
      <c r="J361" s="75">
        <v>25939</v>
      </c>
      <c r="K361" s="91" t="s">
        <v>966</v>
      </c>
      <c r="L361" s="73"/>
      <c r="M361" s="46">
        <v>0</v>
      </c>
      <c r="N361" s="46">
        <v>0</v>
      </c>
      <c r="O361" s="46">
        <v>0</v>
      </c>
      <c r="P361" s="98"/>
      <c r="Q361" s="23" t="s">
        <v>1443</v>
      </c>
      <c r="R361" s="24" t="s">
        <v>965</v>
      </c>
      <c r="S361" s="25" t="s">
        <v>14</v>
      </c>
      <c r="T361" s="26">
        <v>1</v>
      </c>
      <c r="U361" s="26">
        <v>1</v>
      </c>
      <c r="V361" s="26">
        <v>25939</v>
      </c>
      <c r="W361" s="26">
        <f t="shared" si="63"/>
        <v>0</v>
      </c>
      <c r="X361" s="26">
        <f t="shared" si="61"/>
        <v>0</v>
      </c>
      <c r="Y361" s="26">
        <f t="shared" si="64"/>
        <v>0</v>
      </c>
      <c r="Z361" s="26">
        <f t="shared" si="68"/>
        <v>0</v>
      </c>
      <c r="AA361" s="33" t="s">
        <v>15</v>
      </c>
      <c r="AB361" s="36" t="s">
        <v>16</v>
      </c>
      <c r="AC361" s="181">
        <f t="shared" si="65"/>
        <v>1</v>
      </c>
      <c r="AD361" s="181">
        <f t="shared" si="60"/>
        <v>25939</v>
      </c>
      <c r="AE361" s="181">
        <v>1.8</v>
      </c>
      <c r="AF361" s="181">
        <v>1.8</v>
      </c>
      <c r="AG361" s="101" t="str">
        <f t="shared" si="66"/>
        <v/>
      </c>
      <c r="AH361" s="190">
        <v>0</v>
      </c>
      <c r="AI361" s="69">
        <f t="shared" si="67"/>
        <v>1</v>
      </c>
    </row>
    <row r="362" spans="1:35" s="69" customFormat="1" ht="58.5" x14ac:dyDescent="0.3">
      <c r="A362" s="55" t="s">
        <v>967</v>
      </c>
      <c r="B362" s="215" t="s">
        <v>968</v>
      </c>
      <c r="C362" s="54" t="s">
        <v>30</v>
      </c>
      <c r="D362" s="75">
        <v>1272</v>
      </c>
      <c r="E362" s="75"/>
      <c r="F362" s="75"/>
      <c r="G362" s="75"/>
      <c r="H362" s="75" t="s">
        <v>15</v>
      </c>
      <c r="I362" s="75">
        <v>36.96</v>
      </c>
      <c r="J362" s="75">
        <v>47013.120000000003</v>
      </c>
      <c r="K362" s="91" t="s">
        <v>969</v>
      </c>
      <c r="L362" s="73"/>
      <c r="M362" s="46">
        <v>365.5</v>
      </c>
      <c r="N362" s="46">
        <v>13508.88</v>
      </c>
      <c r="O362" s="46">
        <v>13508.88</v>
      </c>
      <c r="P362" s="98"/>
      <c r="Q362" s="23" t="s">
        <v>1444</v>
      </c>
      <c r="R362" s="24" t="s">
        <v>968</v>
      </c>
      <c r="S362" s="25" t="s">
        <v>30</v>
      </c>
      <c r="T362" s="26">
        <v>1272</v>
      </c>
      <c r="U362" s="26">
        <v>1272</v>
      </c>
      <c r="V362" s="26">
        <v>36.96</v>
      </c>
      <c r="W362" s="243">
        <f t="shared" si="63"/>
        <v>62.300000000000011</v>
      </c>
      <c r="X362" s="26">
        <f t="shared" si="61"/>
        <v>427.8</v>
      </c>
      <c r="Y362" s="26">
        <f t="shared" si="64"/>
        <v>2302.6100000000006</v>
      </c>
      <c r="Z362" s="26">
        <f t="shared" si="68"/>
        <v>15811.49</v>
      </c>
      <c r="AA362" s="33" t="s">
        <v>15</v>
      </c>
      <c r="AB362" s="36" t="s">
        <v>16</v>
      </c>
      <c r="AC362" s="181">
        <f t="shared" si="65"/>
        <v>1272</v>
      </c>
      <c r="AD362" s="181">
        <f t="shared" si="60"/>
        <v>47013.120000000003</v>
      </c>
      <c r="AE362" s="181">
        <v>1.8</v>
      </c>
      <c r="AF362" s="181">
        <v>1.8</v>
      </c>
      <c r="AG362" s="101" t="str">
        <f t="shared" si="66"/>
        <v/>
      </c>
      <c r="AH362" s="191">
        <f>365.5+62.3</f>
        <v>427.8</v>
      </c>
      <c r="AI362" s="69">
        <f t="shared" si="67"/>
        <v>1272</v>
      </c>
    </row>
    <row r="363" spans="1:35" s="69" customFormat="1" ht="58.5" x14ac:dyDescent="0.3">
      <c r="A363" s="55" t="s">
        <v>970</v>
      </c>
      <c r="B363" s="215" t="s">
        <v>971</v>
      </c>
      <c r="C363" s="54" t="s">
        <v>30</v>
      </c>
      <c r="D363" s="75">
        <v>1470</v>
      </c>
      <c r="E363" s="75"/>
      <c r="F363" s="75"/>
      <c r="G363" s="75"/>
      <c r="H363" s="75" t="s">
        <v>15</v>
      </c>
      <c r="I363" s="75">
        <v>62.45</v>
      </c>
      <c r="J363" s="75">
        <v>91801.5</v>
      </c>
      <c r="K363" s="91" t="s">
        <v>972</v>
      </c>
      <c r="L363" s="73"/>
      <c r="M363" s="46">
        <v>427</v>
      </c>
      <c r="N363" s="46">
        <v>26666.15</v>
      </c>
      <c r="O363" s="46">
        <v>26666.15</v>
      </c>
      <c r="P363" s="98"/>
      <c r="Q363" s="23" t="s">
        <v>1408</v>
      </c>
      <c r="R363" s="24" t="s">
        <v>971</v>
      </c>
      <c r="S363" s="25" t="s">
        <v>30</v>
      </c>
      <c r="T363" s="26">
        <v>1470</v>
      </c>
      <c r="U363" s="26">
        <v>1470</v>
      </c>
      <c r="V363" s="26">
        <v>62.45</v>
      </c>
      <c r="W363" s="243">
        <f t="shared" si="63"/>
        <v>136.89999999999998</v>
      </c>
      <c r="X363" s="26">
        <f t="shared" si="61"/>
        <v>563.9</v>
      </c>
      <c r="Y363" s="26">
        <f t="shared" si="64"/>
        <v>8549.4099999999962</v>
      </c>
      <c r="Z363" s="26">
        <f t="shared" si="68"/>
        <v>35215.56</v>
      </c>
      <c r="AA363" s="33" t="s">
        <v>15</v>
      </c>
      <c r="AB363" s="36" t="s">
        <v>16</v>
      </c>
      <c r="AC363" s="181">
        <f t="shared" si="65"/>
        <v>1470</v>
      </c>
      <c r="AD363" s="181">
        <f t="shared" si="60"/>
        <v>91801.5</v>
      </c>
      <c r="AE363" s="181">
        <v>1.8</v>
      </c>
      <c r="AF363" s="181">
        <v>1.8</v>
      </c>
      <c r="AG363" s="101" t="str">
        <f t="shared" si="66"/>
        <v/>
      </c>
      <c r="AH363" s="191">
        <f>427+136.9</f>
        <v>563.9</v>
      </c>
      <c r="AI363" s="69">
        <f t="shared" si="67"/>
        <v>1470</v>
      </c>
    </row>
    <row r="364" spans="1:35" s="69" customFormat="1" ht="58.5" x14ac:dyDescent="0.3">
      <c r="A364" s="55" t="s">
        <v>973</v>
      </c>
      <c r="B364" s="215" t="s">
        <v>974</v>
      </c>
      <c r="C364" s="54" t="s">
        <v>30</v>
      </c>
      <c r="D364" s="75">
        <v>407</v>
      </c>
      <c r="E364" s="75"/>
      <c r="F364" s="75"/>
      <c r="G364" s="75"/>
      <c r="H364" s="75" t="s">
        <v>15</v>
      </c>
      <c r="I364" s="75">
        <v>90.49</v>
      </c>
      <c r="J364" s="75">
        <v>36829.43</v>
      </c>
      <c r="K364" s="91" t="s">
        <v>975</v>
      </c>
      <c r="L364" s="73"/>
      <c r="M364" s="46">
        <v>149</v>
      </c>
      <c r="N364" s="46">
        <v>13483.01</v>
      </c>
      <c r="O364" s="46">
        <v>13483.01</v>
      </c>
      <c r="P364" s="98"/>
      <c r="Q364" s="23" t="s">
        <v>1409</v>
      </c>
      <c r="R364" s="24" t="s">
        <v>974</v>
      </c>
      <c r="S364" s="25" t="s">
        <v>30</v>
      </c>
      <c r="T364" s="26">
        <v>407</v>
      </c>
      <c r="U364" s="26">
        <v>407</v>
      </c>
      <c r="V364" s="26">
        <v>90.49</v>
      </c>
      <c r="W364" s="243">
        <f t="shared" si="63"/>
        <v>0</v>
      </c>
      <c r="X364" s="26">
        <f t="shared" si="61"/>
        <v>149</v>
      </c>
      <c r="Y364" s="26">
        <f t="shared" si="64"/>
        <v>0</v>
      </c>
      <c r="Z364" s="26">
        <f t="shared" si="68"/>
        <v>13483.01</v>
      </c>
      <c r="AA364" s="33" t="s">
        <v>15</v>
      </c>
      <c r="AB364" s="36" t="s">
        <v>16</v>
      </c>
      <c r="AC364" s="181">
        <f t="shared" si="65"/>
        <v>407</v>
      </c>
      <c r="AD364" s="181">
        <f t="shared" si="60"/>
        <v>36829.43</v>
      </c>
      <c r="AE364" s="181">
        <v>1.8</v>
      </c>
      <c r="AF364" s="181">
        <v>1.8</v>
      </c>
      <c r="AG364" s="101" t="str">
        <f t="shared" si="66"/>
        <v/>
      </c>
      <c r="AH364" s="191">
        <f>149</f>
        <v>149</v>
      </c>
      <c r="AI364" s="69">
        <f t="shared" si="67"/>
        <v>407</v>
      </c>
    </row>
    <row r="365" spans="1:35" s="69" customFormat="1" ht="58.5" x14ac:dyDescent="0.3">
      <c r="A365" s="55" t="s">
        <v>976</v>
      </c>
      <c r="B365" s="215" t="s">
        <v>977</v>
      </c>
      <c r="C365" s="54" t="s">
        <v>30</v>
      </c>
      <c r="D365" s="75">
        <v>55</v>
      </c>
      <c r="E365" s="75"/>
      <c r="F365" s="75"/>
      <c r="G365" s="75"/>
      <c r="H365" s="75" t="s">
        <v>15</v>
      </c>
      <c r="I365" s="75">
        <v>186.08</v>
      </c>
      <c r="J365" s="75">
        <v>10234.4</v>
      </c>
      <c r="K365" s="91" t="s">
        <v>978</v>
      </c>
      <c r="L365" s="73"/>
      <c r="M365" s="46">
        <v>0</v>
      </c>
      <c r="N365" s="46">
        <v>0</v>
      </c>
      <c r="O365" s="46">
        <v>0</v>
      </c>
      <c r="P365" s="98"/>
      <c r="Q365" s="23" t="s">
        <v>1410</v>
      </c>
      <c r="R365" s="24" t="s">
        <v>977</v>
      </c>
      <c r="S365" s="25" t="s">
        <v>30</v>
      </c>
      <c r="T365" s="26">
        <v>55</v>
      </c>
      <c r="U365" s="26">
        <v>55</v>
      </c>
      <c r="V365" s="26">
        <v>186.08</v>
      </c>
      <c r="W365" s="243">
        <f t="shared" si="63"/>
        <v>0</v>
      </c>
      <c r="X365" s="26">
        <f t="shared" si="61"/>
        <v>0</v>
      </c>
      <c r="Y365" s="26">
        <f t="shared" si="64"/>
        <v>0</v>
      </c>
      <c r="Z365" s="26">
        <f t="shared" si="68"/>
        <v>0</v>
      </c>
      <c r="AA365" s="33" t="s">
        <v>15</v>
      </c>
      <c r="AB365" s="36" t="s">
        <v>16</v>
      </c>
      <c r="AC365" s="181">
        <f t="shared" si="65"/>
        <v>55</v>
      </c>
      <c r="AD365" s="181">
        <f t="shared" si="60"/>
        <v>10234.4</v>
      </c>
      <c r="AE365" s="181">
        <v>1.8</v>
      </c>
      <c r="AF365" s="181">
        <v>1.8</v>
      </c>
      <c r="AG365" s="101" t="str">
        <f t="shared" si="66"/>
        <v/>
      </c>
      <c r="AH365" s="191">
        <v>0</v>
      </c>
      <c r="AI365" s="69">
        <f t="shared" si="67"/>
        <v>55</v>
      </c>
    </row>
    <row r="366" spans="1:35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 t="s">
        <v>15</v>
      </c>
      <c r="I366" s="75">
        <v>51046</v>
      </c>
      <c r="J366" s="75">
        <v>51046</v>
      </c>
      <c r="K366" s="91" t="s">
        <v>981</v>
      </c>
      <c r="L366" s="73"/>
      <c r="M366" s="46">
        <v>0</v>
      </c>
      <c r="N366" s="46">
        <v>0</v>
      </c>
      <c r="O366" s="46">
        <v>0</v>
      </c>
      <c r="P366" s="98"/>
      <c r="Q366" s="23" t="s">
        <v>1411</v>
      </c>
      <c r="R366" s="24" t="s">
        <v>980</v>
      </c>
      <c r="S366" s="25" t="s">
        <v>14</v>
      </c>
      <c r="T366" s="26">
        <v>1</v>
      </c>
      <c r="U366" s="26">
        <v>1</v>
      </c>
      <c r="V366" s="26">
        <v>51046</v>
      </c>
      <c r="W366" s="26">
        <f t="shared" si="63"/>
        <v>0</v>
      </c>
      <c r="X366" s="26">
        <f t="shared" si="61"/>
        <v>0</v>
      </c>
      <c r="Y366" s="26">
        <f t="shared" si="64"/>
        <v>0</v>
      </c>
      <c r="Z366" s="26">
        <f t="shared" si="68"/>
        <v>0</v>
      </c>
      <c r="AA366" s="33" t="s">
        <v>15</v>
      </c>
      <c r="AB366" s="36" t="s">
        <v>16</v>
      </c>
      <c r="AC366" s="181">
        <f t="shared" si="65"/>
        <v>1</v>
      </c>
      <c r="AD366" s="181">
        <f t="shared" ref="AD366:AD368" si="69">ROUND(V366*AC366,2)</f>
        <v>51046</v>
      </c>
      <c r="AE366" s="181">
        <v>1.8</v>
      </c>
      <c r="AF366" s="181">
        <v>1.8</v>
      </c>
      <c r="AG366" s="101" t="str">
        <f t="shared" si="66"/>
        <v/>
      </c>
      <c r="AH366" s="190">
        <v>0</v>
      </c>
      <c r="AI366" s="69">
        <f t="shared" si="67"/>
        <v>1</v>
      </c>
    </row>
    <row r="367" spans="1:35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 t="s">
        <v>15</v>
      </c>
      <c r="I367" s="75">
        <v>671.66</v>
      </c>
      <c r="J367" s="75">
        <v>88659.12</v>
      </c>
      <c r="K367" s="91" t="s">
        <v>984</v>
      </c>
      <c r="L367" s="73"/>
      <c r="M367" s="46">
        <v>0</v>
      </c>
      <c r="N367" s="46">
        <v>0</v>
      </c>
      <c r="O367" s="46">
        <v>0</v>
      </c>
      <c r="P367" s="98"/>
      <c r="Q367" s="23" t="s">
        <v>1445</v>
      </c>
      <c r="R367" s="24" t="s">
        <v>983</v>
      </c>
      <c r="S367" s="25" t="s">
        <v>30</v>
      </c>
      <c r="T367" s="26">
        <v>132</v>
      </c>
      <c r="U367" s="26">
        <v>132</v>
      </c>
      <c r="V367" s="26">
        <v>671.66</v>
      </c>
      <c r="W367" s="26">
        <f t="shared" si="63"/>
        <v>0</v>
      </c>
      <c r="X367" s="26">
        <f t="shared" si="61"/>
        <v>0</v>
      </c>
      <c r="Y367" s="26">
        <f t="shared" si="64"/>
        <v>0</v>
      </c>
      <c r="Z367" s="26">
        <f t="shared" si="68"/>
        <v>0</v>
      </c>
      <c r="AA367" s="33" t="s">
        <v>15</v>
      </c>
      <c r="AB367" s="36" t="s">
        <v>16</v>
      </c>
      <c r="AC367" s="181">
        <f t="shared" si="65"/>
        <v>132</v>
      </c>
      <c r="AD367" s="181">
        <f t="shared" si="69"/>
        <v>88659.12</v>
      </c>
      <c r="AE367" s="181">
        <v>1.8</v>
      </c>
      <c r="AF367" s="181">
        <v>1.8</v>
      </c>
      <c r="AG367" s="101" t="str">
        <f t="shared" si="66"/>
        <v/>
      </c>
      <c r="AH367" s="190">
        <v>0</v>
      </c>
      <c r="AI367" s="69">
        <f t="shared" si="67"/>
        <v>132</v>
      </c>
    </row>
    <row r="368" spans="1:35" s="69" customFormat="1" ht="39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 t="s">
        <v>15</v>
      </c>
      <c r="I368" s="75">
        <v>24347</v>
      </c>
      <c r="J368" s="75">
        <v>24347</v>
      </c>
      <c r="K368" s="91" t="s">
        <v>987</v>
      </c>
      <c r="L368" s="73"/>
      <c r="M368" s="46">
        <v>0</v>
      </c>
      <c r="N368" s="46">
        <v>0</v>
      </c>
      <c r="O368" s="46">
        <v>0</v>
      </c>
      <c r="P368" s="98"/>
      <c r="Q368" s="23" t="s">
        <v>1383</v>
      </c>
      <c r="R368" s="24" t="s">
        <v>986</v>
      </c>
      <c r="S368" s="25" t="s">
        <v>14</v>
      </c>
      <c r="T368" s="26">
        <v>1</v>
      </c>
      <c r="U368" s="26">
        <v>1</v>
      </c>
      <c r="V368" s="26">
        <v>24347</v>
      </c>
      <c r="W368" s="26">
        <f t="shared" si="63"/>
        <v>0</v>
      </c>
      <c r="X368" s="26">
        <f t="shared" si="61"/>
        <v>0</v>
      </c>
      <c r="Y368" s="26">
        <f t="shared" si="64"/>
        <v>0</v>
      </c>
      <c r="Z368" s="26">
        <f t="shared" si="68"/>
        <v>0</v>
      </c>
      <c r="AA368" s="33" t="s">
        <v>15</v>
      </c>
      <c r="AB368" s="36" t="s">
        <v>16</v>
      </c>
      <c r="AC368" s="181">
        <f t="shared" si="65"/>
        <v>1</v>
      </c>
      <c r="AD368" s="181">
        <f t="shared" si="69"/>
        <v>24347</v>
      </c>
      <c r="AE368" s="181">
        <v>1.8</v>
      </c>
      <c r="AF368" s="181">
        <v>1.8</v>
      </c>
      <c r="AG368" s="101" t="str">
        <f t="shared" si="66"/>
        <v/>
      </c>
      <c r="AH368" s="190">
        <v>0</v>
      </c>
      <c r="AI368" s="69">
        <f t="shared" si="67"/>
        <v>1</v>
      </c>
    </row>
    <row r="369" spans="1:35" s="69" customFormat="1" ht="39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 t="s">
        <v>15</v>
      </c>
      <c r="I369" s="82"/>
      <c r="J369" s="82">
        <v>9899611.0700000003</v>
      </c>
      <c r="K369" s="94" t="s">
        <v>15</v>
      </c>
      <c r="L369" s="73"/>
      <c r="M369" s="45">
        <v>1</v>
      </c>
      <c r="N369" s="45">
        <v>90846</v>
      </c>
      <c r="O369" s="45">
        <v>6930787.7699999996</v>
      </c>
      <c r="P369" s="98"/>
      <c r="Q369" s="18" t="s">
        <v>1401</v>
      </c>
      <c r="R369" s="19" t="s">
        <v>989</v>
      </c>
      <c r="S369" s="20" t="s">
        <v>14</v>
      </c>
      <c r="T369" s="21">
        <v>1</v>
      </c>
      <c r="U369" s="21"/>
      <c r="V369" s="21">
        <f>SUMIFS(AD:AD,AE:AE,AE369)</f>
        <v>9899611.0700000003</v>
      </c>
      <c r="W369" s="21">
        <f t="shared" ref="W369:X369" si="70">IF(Y369=0,0,1)</f>
        <v>0</v>
      </c>
      <c r="X369" s="21">
        <f t="shared" si="70"/>
        <v>1</v>
      </c>
      <c r="Y369" s="21">
        <f>SUMIFS(Y:Y,AF:AF,AE369)</f>
        <v>0</v>
      </c>
      <c r="Z369" s="21">
        <f>SUMIFS(Z:Z,AF:AF,AE369)</f>
        <v>6930787.7699999996</v>
      </c>
      <c r="AA369" s="22" t="s">
        <v>15</v>
      </c>
      <c r="AB369" s="43" t="s">
        <v>16</v>
      </c>
      <c r="AC369" s="181">
        <f t="shared" si="65"/>
        <v>1</v>
      </c>
      <c r="AD369" s="184"/>
      <c r="AE369" s="184">
        <v>1.9</v>
      </c>
      <c r="AF369" s="184"/>
      <c r="AG369" s="101" t="str">
        <f t="shared" si="66"/>
        <v/>
      </c>
      <c r="AH369" s="190">
        <v>1</v>
      </c>
      <c r="AI369" s="69">
        <f t="shared" si="67"/>
        <v>1</v>
      </c>
    </row>
    <row r="370" spans="1:35" s="69" customFormat="1" ht="33" x14ac:dyDescent="0.3">
      <c r="A370" s="55" t="s">
        <v>990</v>
      </c>
      <c r="B370" s="138" t="s">
        <v>991</v>
      </c>
      <c r="C370" s="54" t="s">
        <v>30</v>
      </c>
      <c r="D370" s="75">
        <v>1088</v>
      </c>
      <c r="E370" s="75">
        <v>975</v>
      </c>
      <c r="F370" s="75"/>
      <c r="G370" s="75"/>
      <c r="H370" s="75">
        <v>2893</v>
      </c>
      <c r="I370" s="75">
        <v>247.2</v>
      </c>
      <c r="J370" s="75">
        <v>715149.6</v>
      </c>
      <c r="K370" s="91" t="s">
        <v>992</v>
      </c>
      <c r="L370" s="73"/>
      <c r="M370" s="46">
        <v>975</v>
      </c>
      <c r="N370" s="46">
        <v>0</v>
      </c>
      <c r="O370" s="46">
        <v>241020</v>
      </c>
      <c r="P370" s="98"/>
      <c r="Q370" s="23" t="s">
        <v>1421</v>
      </c>
      <c r="R370" s="24" t="s">
        <v>991</v>
      </c>
      <c r="S370" s="25" t="s">
        <v>30</v>
      </c>
      <c r="T370" s="26">
        <v>1088</v>
      </c>
      <c r="U370" s="26">
        <v>2893</v>
      </c>
      <c r="V370" s="26">
        <v>247.2</v>
      </c>
      <c r="W370" s="128">
        <f t="shared" ref="W370:W376" si="71">AH370-M370</f>
        <v>0</v>
      </c>
      <c r="X370" s="26">
        <f t="shared" si="61"/>
        <v>975</v>
      </c>
      <c r="Y370" s="26">
        <f t="shared" ref="Y370:Y376" si="72">Z370-O370</f>
        <v>0</v>
      </c>
      <c r="Z370" s="26">
        <f t="shared" ref="Z370:Z376" si="73">ROUND(V370*X370,2)</f>
        <v>241020</v>
      </c>
      <c r="AA370" s="27" t="s">
        <v>15</v>
      </c>
      <c r="AB370" s="36" t="s">
        <v>16</v>
      </c>
      <c r="AC370" s="181">
        <f t="shared" si="65"/>
        <v>2893</v>
      </c>
      <c r="AD370" s="181">
        <f t="shared" ref="AD370:AD376" si="74">ROUND(V370*AC370,2)</f>
        <v>715149.6</v>
      </c>
      <c r="AE370" s="181">
        <v>1.9</v>
      </c>
      <c r="AF370" s="181">
        <v>1.9</v>
      </c>
      <c r="AG370" s="101" t="str">
        <f t="shared" si="66"/>
        <v/>
      </c>
      <c r="AH370" s="191">
        <v>975</v>
      </c>
      <c r="AI370" s="69">
        <f t="shared" si="67"/>
        <v>975</v>
      </c>
    </row>
    <row r="371" spans="1:35" s="69" customFormat="1" ht="33" x14ac:dyDescent="0.3">
      <c r="A371" s="55" t="s">
        <v>993</v>
      </c>
      <c r="B371" s="138" t="s">
        <v>994</v>
      </c>
      <c r="C371" s="54" t="s">
        <v>30</v>
      </c>
      <c r="D371" s="75">
        <v>1088</v>
      </c>
      <c r="E371" s="75">
        <v>975</v>
      </c>
      <c r="F371" s="75"/>
      <c r="G371" s="75"/>
      <c r="H371" s="75">
        <v>2893</v>
      </c>
      <c r="I371" s="75">
        <v>236.9</v>
      </c>
      <c r="J371" s="75">
        <v>685351.7</v>
      </c>
      <c r="K371" s="91" t="s">
        <v>995</v>
      </c>
      <c r="L371" s="73"/>
      <c r="M371" s="46">
        <v>975</v>
      </c>
      <c r="N371" s="46">
        <v>0</v>
      </c>
      <c r="O371" s="46">
        <v>230977.5</v>
      </c>
      <c r="P371" s="98"/>
      <c r="Q371" s="23" t="s">
        <v>1426</v>
      </c>
      <c r="R371" s="24" t="s">
        <v>994</v>
      </c>
      <c r="S371" s="25" t="s">
        <v>30</v>
      </c>
      <c r="T371" s="26">
        <v>1088</v>
      </c>
      <c r="U371" s="26">
        <v>2893</v>
      </c>
      <c r="V371" s="26">
        <v>236.9</v>
      </c>
      <c r="W371" s="128">
        <f t="shared" si="71"/>
        <v>0</v>
      </c>
      <c r="X371" s="26">
        <f t="shared" ref="X371:X376" si="75">W371+M371</f>
        <v>975</v>
      </c>
      <c r="Y371" s="26">
        <f>Z371-O371</f>
        <v>0</v>
      </c>
      <c r="Z371" s="26">
        <f t="shared" si="73"/>
        <v>230977.5</v>
      </c>
      <c r="AA371" s="27" t="s">
        <v>15</v>
      </c>
      <c r="AB371" s="36" t="s">
        <v>16</v>
      </c>
      <c r="AC371" s="181">
        <f t="shared" si="65"/>
        <v>2893</v>
      </c>
      <c r="AD371" s="181">
        <f t="shared" si="74"/>
        <v>685351.7</v>
      </c>
      <c r="AE371" s="181">
        <v>1.9</v>
      </c>
      <c r="AF371" s="181">
        <v>1.9</v>
      </c>
      <c r="AG371" s="101" t="str">
        <f t="shared" si="66"/>
        <v/>
      </c>
      <c r="AH371" s="191">
        <v>975</v>
      </c>
      <c r="AI371" s="69">
        <f t="shared" si="67"/>
        <v>975</v>
      </c>
    </row>
    <row r="372" spans="1:35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9795.5</v>
      </c>
      <c r="I372" s="75">
        <v>252.35</v>
      </c>
      <c r="J372" s="75">
        <v>2471894.4300000002</v>
      </c>
      <c r="K372" s="91" t="s">
        <v>999</v>
      </c>
      <c r="L372" s="73"/>
      <c r="M372" s="46">
        <v>8464</v>
      </c>
      <c r="N372" s="46">
        <v>90846</v>
      </c>
      <c r="O372" s="46">
        <v>2135890.4</v>
      </c>
      <c r="P372" s="98"/>
      <c r="Q372" s="23" t="s">
        <v>1402</v>
      </c>
      <c r="R372" s="24" t="s">
        <v>997</v>
      </c>
      <c r="S372" s="25" t="s">
        <v>998</v>
      </c>
      <c r="T372" s="26">
        <v>6984</v>
      </c>
      <c r="U372" s="26">
        <v>9795.5</v>
      </c>
      <c r="V372" s="26">
        <v>252.35</v>
      </c>
      <c r="W372" s="243">
        <f t="shared" si="71"/>
        <v>0</v>
      </c>
      <c r="X372" s="26">
        <f t="shared" si="75"/>
        <v>8464</v>
      </c>
      <c r="Y372" s="26">
        <f t="shared" si="72"/>
        <v>0</v>
      </c>
      <c r="Z372" s="26">
        <f t="shared" si="73"/>
        <v>2135890.4</v>
      </c>
      <c r="AA372" s="27" t="s">
        <v>15</v>
      </c>
      <c r="AB372" s="36" t="s">
        <v>16</v>
      </c>
      <c r="AC372" s="181">
        <f t="shared" si="65"/>
        <v>9795.5</v>
      </c>
      <c r="AD372" s="181">
        <f t="shared" si="74"/>
        <v>2471894.4300000002</v>
      </c>
      <c r="AE372" s="181">
        <v>1.9</v>
      </c>
      <c r="AF372" s="181">
        <v>1.9</v>
      </c>
      <c r="AG372" s="101" t="str">
        <f t="shared" si="66"/>
        <v/>
      </c>
      <c r="AH372" s="191">
        <f>7744+360+360</f>
        <v>8464</v>
      </c>
      <c r="AI372" s="69">
        <f t="shared" si="67"/>
        <v>8744</v>
      </c>
    </row>
    <row r="373" spans="1:35" s="69" customFormat="1" ht="49.5" x14ac:dyDescent="0.3">
      <c r="A373" s="55" t="s">
        <v>1000</v>
      </c>
      <c r="B373" s="138" t="s">
        <v>1001</v>
      </c>
      <c r="C373" s="54" t="s">
        <v>14</v>
      </c>
      <c r="D373" s="75">
        <v>1</v>
      </c>
      <c r="E373" s="75"/>
      <c r="F373" s="75"/>
      <c r="G373" s="75"/>
      <c r="H373" s="75" t="s">
        <v>15</v>
      </c>
      <c r="I373" s="75">
        <v>350000</v>
      </c>
      <c r="J373" s="75">
        <v>350000</v>
      </c>
      <c r="K373" s="91" t="s">
        <v>1002</v>
      </c>
      <c r="L373" s="73"/>
      <c r="M373" s="46">
        <v>1</v>
      </c>
      <c r="N373" s="46">
        <v>0</v>
      </c>
      <c r="O373" s="46">
        <v>157500</v>
      </c>
      <c r="P373" s="98"/>
      <c r="Q373" s="23" t="s">
        <v>1373</v>
      </c>
      <c r="R373" s="24" t="s">
        <v>1001</v>
      </c>
      <c r="S373" s="25" t="s">
        <v>14</v>
      </c>
      <c r="T373" s="26">
        <v>1</v>
      </c>
      <c r="U373" s="26">
        <v>1</v>
      </c>
      <c r="V373" s="26">
        <v>350000</v>
      </c>
      <c r="W373" s="26">
        <f>IF(Y373=0,0,1)</f>
        <v>0</v>
      </c>
      <c r="X373" s="26">
        <f>IF(Z373=0,0,1)</f>
        <v>1</v>
      </c>
      <c r="Y373" s="26">
        <f t="shared" si="72"/>
        <v>0</v>
      </c>
      <c r="Z373" s="26">
        <v>157500</v>
      </c>
      <c r="AA373" s="123">
        <f>Z373/J373</f>
        <v>0.45</v>
      </c>
      <c r="AB373" s="36" t="s">
        <v>16</v>
      </c>
      <c r="AC373" s="181">
        <f t="shared" si="65"/>
        <v>1</v>
      </c>
      <c r="AD373" s="181">
        <f t="shared" si="74"/>
        <v>350000</v>
      </c>
      <c r="AE373" s="181">
        <v>1.9</v>
      </c>
      <c r="AF373" s="181">
        <v>1.9</v>
      </c>
      <c r="AG373" s="101" t="str">
        <f t="shared" si="66"/>
        <v/>
      </c>
      <c r="AH373" s="190">
        <v>1</v>
      </c>
      <c r="AI373" s="69">
        <f t="shared" si="67"/>
        <v>1</v>
      </c>
    </row>
    <row r="374" spans="1:35" s="69" customFormat="1" ht="33" x14ac:dyDescent="0.3">
      <c r="A374" s="55" t="s">
        <v>1003</v>
      </c>
      <c r="B374" s="138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3149</v>
      </c>
      <c r="I374" s="75">
        <v>931.12</v>
      </c>
      <c r="J374" s="75">
        <v>2932096.88</v>
      </c>
      <c r="K374" s="91" t="s">
        <v>1005</v>
      </c>
      <c r="L374" s="73"/>
      <c r="M374" s="46">
        <v>2060</v>
      </c>
      <c r="N374" s="46">
        <v>0</v>
      </c>
      <c r="O374" s="46">
        <v>1918107.2</v>
      </c>
      <c r="P374" s="98"/>
      <c r="Q374" s="23" t="s">
        <v>1393</v>
      </c>
      <c r="R374" s="24" t="s">
        <v>1004</v>
      </c>
      <c r="S374" s="25" t="s">
        <v>97</v>
      </c>
      <c r="T374" s="26">
        <v>1</v>
      </c>
      <c r="U374" s="26">
        <v>3149</v>
      </c>
      <c r="V374" s="26">
        <v>931.12</v>
      </c>
      <c r="W374" s="128">
        <f t="shared" si="71"/>
        <v>0</v>
      </c>
      <c r="X374" s="26">
        <f t="shared" si="75"/>
        <v>2060</v>
      </c>
      <c r="Y374" s="26">
        <f t="shared" si="72"/>
        <v>0</v>
      </c>
      <c r="Z374" s="26">
        <f t="shared" si="73"/>
        <v>1918107.2</v>
      </c>
      <c r="AA374" s="27" t="s">
        <v>15</v>
      </c>
      <c r="AB374" s="36" t="s">
        <v>16</v>
      </c>
      <c r="AC374" s="181">
        <f t="shared" si="65"/>
        <v>3149</v>
      </c>
      <c r="AD374" s="181">
        <f t="shared" si="74"/>
        <v>2932096.88</v>
      </c>
      <c r="AE374" s="181">
        <v>1.9</v>
      </c>
      <c r="AF374" s="181">
        <v>1.9</v>
      </c>
      <c r="AG374" s="101" t="str">
        <f t="shared" si="66"/>
        <v/>
      </c>
      <c r="AH374" s="191">
        <v>2060</v>
      </c>
      <c r="AI374" s="69">
        <f t="shared" si="67"/>
        <v>2480</v>
      </c>
    </row>
    <row r="375" spans="1:35" s="69" customFormat="1" ht="33" x14ac:dyDescent="0.3">
      <c r="A375" s="55" t="s">
        <v>1006</v>
      </c>
      <c r="B375" s="53" t="s">
        <v>678</v>
      </c>
      <c r="C375" s="54" t="s">
        <v>23</v>
      </c>
      <c r="D375" s="75">
        <v>1</v>
      </c>
      <c r="E375" s="203">
        <v>91</v>
      </c>
      <c r="F375" s="203">
        <v>291</v>
      </c>
      <c r="G375" s="203"/>
      <c r="H375" s="203">
        <v>438</v>
      </c>
      <c r="I375" s="75">
        <v>3386.57</v>
      </c>
      <c r="J375" s="75">
        <v>1483317.66</v>
      </c>
      <c r="K375" s="91" t="s">
        <v>679</v>
      </c>
      <c r="L375" s="73"/>
      <c r="M375" s="46">
        <v>291</v>
      </c>
      <c r="N375" s="46">
        <v>0</v>
      </c>
      <c r="O375" s="46">
        <v>985491.87</v>
      </c>
      <c r="P375" s="98"/>
      <c r="Q375" s="23" t="s">
        <v>1403</v>
      </c>
      <c r="R375" s="24" t="s">
        <v>678</v>
      </c>
      <c r="S375" s="25" t="s">
        <v>23</v>
      </c>
      <c r="T375" s="26">
        <v>1</v>
      </c>
      <c r="U375" s="26">
        <v>438</v>
      </c>
      <c r="V375" s="26">
        <v>3386.57</v>
      </c>
      <c r="W375" s="128">
        <f t="shared" si="71"/>
        <v>0</v>
      </c>
      <c r="X375" s="26">
        <f t="shared" si="75"/>
        <v>291</v>
      </c>
      <c r="Y375" s="26">
        <f t="shared" si="72"/>
        <v>0</v>
      </c>
      <c r="Z375" s="26">
        <f t="shared" si="73"/>
        <v>985491.87</v>
      </c>
      <c r="AA375" s="27" t="s">
        <v>15</v>
      </c>
      <c r="AB375" s="36" t="s">
        <v>16</v>
      </c>
      <c r="AC375" s="181">
        <f t="shared" si="65"/>
        <v>438</v>
      </c>
      <c r="AD375" s="181">
        <f t="shared" si="74"/>
        <v>1483317.66</v>
      </c>
      <c r="AE375" s="181">
        <v>1.9</v>
      </c>
      <c r="AF375" s="181">
        <v>1.9</v>
      </c>
      <c r="AG375" s="101" t="str">
        <f t="shared" si="66"/>
        <v/>
      </c>
      <c r="AH375" s="190">
        <v>291</v>
      </c>
      <c r="AI375" s="69">
        <f t="shared" si="67"/>
        <v>291</v>
      </c>
    </row>
    <row r="376" spans="1:35" s="69" customFormat="1" ht="49.5" x14ac:dyDescent="0.3">
      <c r="A376" s="134" t="s">
        <v>1340</v>
      </c>
      <c r="B376" s="139" t="s">
        <v>3137</v>
      </c>
      <c r="C376" s="204" t="s">
        <v>30</v>
      </c>
      <c r="D376" s="133"/>
      <c r="E376" s="59">
        <v>130</v>
      </c>
      <c r="F376" s="77"/>
      <c r="G376" s="77"/>
      <c r="H376" s="77" t="s">
        <v>15</v>
      </c>
      <c r="I376" s="77">
        <v>9706.16</v>
      </c>
      <c r="J376" s="59">
        <v>1261800.8</v>
      </c>
      <c r="K376" s="92"/>
      <c r="L376" s="73"/>
      <c r="M376" s="46">
        <v>130</v>
      </c>
      <c r="N376" s="46">
        <v>0</v>
      </c>
      <c r="O376" s="46">
        <v>1261800.8</v>
      </c>
      <c r="P376" s="98"/>
      <c r="Q376" s="23" t="s">
        <v>1427</v>
      </c>
      <c r="R376" s="24" t="s">
        <v>1500</v>
      </c>
      <c r="S376" s="25" t="s">
        <v>30</v>
      </c>
      <c r="T376" s="26">
        <v>0</v>
      </c>
      <c r="U376" s="26">
        <v>130</v>
      </c>
      <c r="V376" s="26">
        <v>9706.16</v>
      </c>
      <c r="W376" s="127">
        <f t="shared" si="71"/>
        <v>0</v>
      </c>
      <c r="X376" s="127">
        <f t="shared" si="75"/>
        <v>130</v>
      </c>
      <c r="Y376" s="127">
        <f t="shared" si="72"/>
        <v>0</v>
      </c>
      <c r="Z376" s="127">
        <f t="shared" si="73"/>
        <v>1261800.8</v>
      </c>
      <c r="AA376" s="27"/>
      <c r="AB376" s="36" t="s">
        <v>16</v>
      </c>
      <c r="AC376" s="181">
        <f t="shared" si="65"/>
        <v>130</v>
      </c>
      <c r="AD376" s="181">
        <f t="shared" si="74"/>
        <v>1261800.8</v>
      </c>
      <c r="AE376" s="181">
        <v>1.9</v>
      </c>
      <c r="AF376" s="181">
        <v>1.9</v>
      </c>
      <c r="AG376" s="101" t="str">
        <f t="shared" si="66"/>
        <v/>
      </c>
      <c r="AH376" s="191">
        <v>130</v>
      </c>
      <c r="AI376" s="69">
        <f t="shared" si="67"/>
        <v>130</v>
      </c>
    </row>
    <row r="377" spans="1:35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 t="s">
        <v>15</v>
      </c>
      <c r="I377" s="88"/>
      <c r="J377" s="88">
        <v>27540238.109999999</v>
      </c>
      <c r="K377" s="95" t="s">
        <v>15</v>
      </c>
      <c r="L377" s="73"/>
      <c r="M377" s="42">
        <v>1</v>
      </c>
      <c r="N377" s="42">
        <v>254958</v>
      </c>
      <c r="O377" s="42">
        <v>23909831.300000004</v>
      </c>
      <c r="P377" s="98"/>
      <c r="Q377" s="13" t="s">
        <v>1404</v>
      </c>
      <c r="R377" s="14" t="s">
        <v>1008</v>
      </c>
      <c r="S377" s="15" t="s">
        <v>14</v>
      </c>
      <c r="T377" s="16">
        <v>1</v>
      </c>
      <c r="U377" s="16"/>
      <c r="V377" s="16">
        <f>SUMIFS(AD:AD,AE:AE,AE377)</f>
        <v>27540238.110000003</v>
      </c>
      <c r="W377" s="16">
        <f t="shared" ref="W377:X377" si="76">IF(Y377=0,0,1)</f>
        <v>1</v>
      </c>
      <c r="X377" s="16">
        <f t="shared" si="76"/>
        <v>1</v>
      </c>
      <c r="Y377" s="16">
        <f>SUMIFS(Y:Y,AF:AF,AE377)</f>
        <v>254958</v>
      </c>
      <c r="Z377" s="16">
        <f>SUMIFS(Z:Z,AF:AF,AE377)</f>
        <v>24164789.300000004</v>
      </c>
      <c r="AA377" s="17" t="s">
        <v>15</v>
      </c>
      <c r="AB377" s="40" t="s">
        <v>16</v>
      </c>
      <c r="AC377" s="181">
        <f t="shared" si="65"/>
        <v>1</v>
      </c>
      <c r="AD377" s="183"/>
      <c r="AE377" s="183">
        <v>2</v>
      </c>
      <c r="AF377" s="183"/>
      <c r="AG377" s="101" t="str">
        <f t="shared" si="66"/>
        <v/>
      </c>
      <c r="AH377" s="190">
        <v>1</v>
      </c>
      <c r="AI377" s="69">
        <f t="shared" si="67"/>
        <v>1</v>
      </c>
    </row>
    <row r="378" spans="1:35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 t="s">
        <v>15</v>
      </c>
      <c r="I378" s="75">
        <v>711302</v>
      </c>
      <c r="J378" s="75">
        <v>711302</v>
      </c>
      <c r="K378" s="91" t="s">
        <v>1011</v>
      </c>
      <c r="L378" s="73"/>
      <c r="M378" s="46">
        <v>0</v>
      </c>
      <c r="N378" s="46">
        <v>0</v>
      </c>
      <c r="O378" s="46">
        <v>0</v>
      </c>
      <c r="P378" s="98"/>
      <c r="Q378" s="23" t="s">
        <v>1421</v>
      </c>
      <c r="R378" s="24" t="s">
        <v>1010</v>
      </c>
      <c r="S378" s="25" t="s">
        <v>14</v>
      </c>
      <c r="T378" s="26">
        <v>1</v>
      </c>
      <c r="U378" s="26">
        <v>1</v>
      </c>
      <c r="V378" s="26">
        <v>711302</v>
      </c>
      <c r="W378" s="26">
        <f t="shared" ref="W378:W406" si="77">AH378-M378</f>
        <v>0</v>
      </c>
      <c r="X378" s="26">
        <f t="shared" ref="X378:X458" si="78">W378+M378</f>
        <v>0</v>
      </c>
      <c r="Y378" s="26">
        <f t="shared" ref="Y378:Y406" si="79">Z378-O378</f>
        <v>0</v>
      </c>
      <c r="Z378" s="26">
        <f t="shared" ref="Z378:Z406" si="80">ROUND(V378*X378,2)</f>
        <v>0</v>
      </c>
      <c r="AA378" s="33" t="s">
        <v>15</v>
      </c>
      <c r="AB378" s="36" t="s">
        <v>16</v>
      </c>
      <c r="AC378" s="181">
        <f t="shared" si="65"/>
        <v>1</v>
      </c>
      <c r="AD378" s="181">
        <f t="shared" ref="AD378:AD406" si="81">ROUND(V378*AC378,2)</f>
        <v>711302</v>
      </c>
      <c r="AE378" s="181">
        <v>2</v>
      </c>
      <c r="AF378" s="181">
        <v>2</v>
      </c>
      <c r="AG378" s="101" t="str">
        <f t="shared" si="66"/>
        <v/>
      </c>
      <c r="AH378" s="190">
        <v>0</v>
      </c>
      <c r="AI378" s="69">
        <f t="shared" si="67"/>
        <v>1</v>
      </c>
    </row>
    <row r="379" spans="1:35" s="69" customFormat="1" ht="33" customHeight="1" x14ac:dyDescent="0.3">
      <c r="A379" s="55" t="s">
        <v>1012</v>
      </c>
      <c r="B379" s="53" t="s">
        <v>3153</v>
      </c>
      <c r="C379" s="54" t="s">
        <v>1014</v>
      </c>
      <c r="D379" s="75">
        <v>7</v>
      </c>
      <c r="E379" s="75"/>
      <c r="F379" s="75"/>
      <c r="G379" s="75"/>
      <c r="H379" s="76" t="s">
        <v>15</v>
      </c>
      <c r="I379" s="75">
        <v>50000</v>
      </c>
      <c r="J379" s="75">
        <v>350000</v>
      </c>
      <c r="K379" s="91" t="s">
        <v>1015</v>
      </c>
      <c r="L379" s="73"/>
      <c r="M379" s="46">
        <v>0</v>
      </c>
      <c r="N379" s="46">
        <v>0</v>
      </c>
      <c r="O379" s="46">
        <v>0</v>
      </c>
      <c r="P379" s="98"/>
      <c r="Q379" s="23" t="s">
        <v>1426</v>
      </c>
      <c r="R379" s="24" t="s">
        <v>1013</v>
      </c>
      <c r="S379" s="25" t="s">
        <v>1014</v>
      </c>
      <c r="T379" s="26">
        <v>7</v>
      </c>
      <c r="U379" s="26">
        <v>7</v>
      </c>
      <c r="V379" s="26">
        <v>50000</v>
      </c>
      <c r="W379" s="26">
        <f t="shared" si="77"/>
        <v>0</v>
      </c>
      <c r="X379" s="26">
        <f t="shared" si="78"/>
        <v>0</v>
      </c>
      <c r="Y379" s="26">
        <f t="shared" si="79"/>
        <v>0</v>
      </c>
      <c r="Z379" s="26">
        <f t="shared" si="80"/>
        <v>0</v>
      </c>
      <c r="AA379" s="33" t="s">
        <v>15</v>
      </c>
      <c r="AB379" s="36" t="s">
        <v>16</v>
      </c>
      <c r="AC379" s="181">
        <f t="shared" si="65"/>
        <v>7</v>
      </c>
      <c r="AD379" s="181">
        <f t="shared" si="81"/>
        <v>350000</v>
      </c>
      <c r="AE379" s="181">
        <v>2</v>
      </c>
      <c r="AF379" s="181">
        <v>2</v>
      </c>
      <c r="AG379" s="101" t="str">
        <f t="shared" si="66"/>
        <v/>
      </c>
      <c r="AH379" s="190">
        <v>0</v>
      </c>
      <c r="AI379" s="69">
        <f t="shared" si="67"/>
        <v>7</v>
      </c>
    </row>
    <row r="380" spans="1:35" s="69" customFormat="1" ht="33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75"/>
      <c r="F380" s="75">
        <v>400</v>
      </c>
      <c r="G380" s="224"/>
      <c r="H380" s="158" t="s">
        <v>15</v>
      </c>
      <c r="I380" s="166">
        <v>22500</v>
      </c>
      <c r="J380" s="75">
        <v>9000000</v>
      </c>
      <c r="K380" s="91" t="s">
        <v>1018</v>
      </c>
      <c r="L380" s="73"/>
      <c r="M380" s="46">
        <v>400</v>
      </c>
      <c r="N380" s="46">
        <v>0</v>
      </c>
      <c r="O380" s="46">
        <v>9000000</v>
      </c>
      <c r="P380" s="98"/>
      <c r="Q380" s="23" t="s">
        <v>1402</v>
      </c>
      <c r="R380" s="24" t="s">
        <v>1017</v>
      </c>
      <c r="S380" s="25" t="s">
        <v>50</v>
      </c>
      <c r="T380" s="26">
        <v>360</v>
      </c>
      <c r="U380" s="26">
        <v>400</v>
      </c>
      <c r="V380" s="26">
        <v>22500</v>
      </c>
      <c r="W380" s="127">
        <f t="shared" si="77"/>
        <v>0</v>
      </c>
      <c r="X380" s="127">
        <f t="shared" si="78"/>
        <v>400</v>
      </c>
      <c r="Y380" s="127">
        <f t="shared" si="79"/>
        <v>0</v>
      </c>
      <c r="Z380" s="127">
        <f t="shared" si="80"/>
        <v>9000000</v>
      </c>
      <c r="AA380" s="27" t="s">
        <v>15</v>
      </c>
      <c r="AB380" s="36" t="s">
        <v>16</v>
      </c>
      <c r="AC380" s="181">
        <f t="shared" si="65"/>
        <v>400</v>
      </c>
      <c r="AD380" s="181">
        <f t="shared" si="81"/>
        <v>9000000</v>
      </c>
      <c r="AE380" s="181">
        <v>2</v>
      </c>
      <c r="AF380" s="181">
        <v>2</v>
      </c>
      <c r="AG380" s="101" t="str">
        <f t="shared" si="66"/>
        <v/>
      </c>
      <c r="AH380" s="190">
        <v>400</v>
      </c>
      <c r="AI380" s="69">
        <f t="shared" si="67"/>
        <v>400</v>
      </c>
    </row>
    <row r="381" spans="1:35" s="69" customFormat="1" ht="49.5" x14ac:dyDescent="0.3">
      <c r="A381" s="55" t="s">
        <v>1019</v>
      </c>
      <c r="B381" s="138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235"/>
      <c r="H381" s="158" t="s">
        <v>15</v>
      </c>
      <c r="I381" s="166">
        <v>806</v>
      </c>
      <c r="J381" s="75">
        <v>2941900</v>
      </c>
      <c r="K381" s="91" t="s">
        <v>1022</v>
      </c>
      <c r="L381" s="73"/>
      <c r="M381" s="46">
        <v>2163</v>
      </c>
      <c r="N381" s="46">
        <v>74958</v>
      </c>
      <c r="O381" s="46">
        <v>1743378</v>
      </c>
      <c r="P381" s="98"/>
      <c r="Q381" s="23" t="s">
        <v>1373</v>
      </c>
      <c r="R381" s="24" t="s">
        <v>1020</v>
      </c>
      <c r="S381" s="25" t="s">
        <v>1021</v>
      </c>
      <c r="T381" s="26">
        <v>730</v>
      </c>
      <c r="U381" s="26">
        <v>3650</v>
      </c>
      <c r="V381" s="26">
        <v>806</v>
      </c>
      <c r="W381" s="250">
        <f t="shared" si="77"/>
        <v>93</v>
      </c>
      <c r="X381" s="26">
        <f t="shared" si="78"/>
        <v>2256</v>
      </c>
      <c r="Y381" s="26">
        <f t="shared" si="79"/>
        <v>74958</v>
      </c>
      <c r="Z381" s="26">
        <f t="shared" si="80"/>
        <v>1818336</v>
      </c>
      <c r="AA381" s="27" t="s">
        <v>15</v>
      </c>
      <c r="AB381" s="36" t="s">
        <v>16</v>
      </c>
      <c r="AC381" s="181">
        <f t="shared" si="65"/>
        <v>3650</v>
      </c>
      <c r="AD381" s="181">
        <f t="shared" si="81"/>
        <v>2941900</v>
      </c>
      <c r="AE381" s="181">
        <v>2</v>
      </c>
      <c r="AF381" s="181">
        <v>2</v>
      </c>
      <c r="AG381" s="101" t="str">
        <f t="shared" si="66"/>
        <v/>
      </c>
      <c r="AH381" s="191">
        <f>2070+93+93</f>
        <v>2256</v>
      </c>
      <c r="AI381" s="69">
        <f t="shared" si="67"/>
        <v>3650</v>
      </c>
    </row>
    <row r="382" spans="1:35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75">
        <v>4</v>
      </c>
      <c r="F382" s="161">
        <v>5</v>
      </c>
      <c r="G382" s="235"/>
      <c r="H382" s="158" t="s">
        <v>15</v>
      </c>
      <c r="I382" s="166">
        <v>50000</v>
      </c>
      <c r="J382" s="75">
        <v>250000</v>
      </c>
      <c r="K382" s="91" t="s">
        <v>1025</v>
      </c>
      <c r="L382" s="73"/>
      <c r="M382" s="46">
        <v>5</v>
      </c>
      <c r="N382" s="46">
        <v>0</v>
      </c>
      <c r="O382" s="46">
        <v>250000</v>
      </c>
      <c r="P382" s="98"/>
      <c r="Q382" s="23" t="s">
        <v>1393</v>
      </c>
      <c r="R382" s="24" t="s">
        <v>1024</v>
      </c>
      <c r="S382" s="25" t="s">
        <v>1014</v>
      </c>
      <c r="T382" s="26">
        <v>2</v>
      </c>
      <c r="U382" s="26">
        <v>5</v>
      </c>
      <c r="V382" s="26">
        <v>50000</v>
      </c>
      <c r="W382" s="127">
        <f t="shared" si="77"/>
        <v>0</v>
      </c>
      <c r="X382" s="127">
        <f t="shared" si="78"/>
        <v>5</v>
      </c>
      <c r="Y382" s="127">
        <f t="shared" si="79"/>
        <v>0</v>
      </c>
      <c r="Z382" s="127">
        <f t="shared" si="80"/>
        <v>250000</v>
      </c>
      <c r="AA382" s="27" t="s">
        <v>15</v>
      </c>
      <c r="AB382" s="36" t="s">
        <v>16</v>
      </c>
      <c r="AC382" s="181">
        <f t="shared" si="65"/>
        <v>5</v>
      </c>
      <c r="AD382" s="181">
        <f t="shared" si="81"/>
        <v>250000</v>
      </c>
      <c r="AE382" s="181">
        <v>2</v>
      </c>
      <c r="AF382" s="181">
        <v>2</v>
      </c>
      <c r="AG382" s="101" t="str">
        <f t="shared" si="66"/>
        <v/>
      </c>
      <c r="AH382" s="190">
        <v>5</v>
      </c>
      <c r="AI382" s="69">
        <f t="shared" si="67"/>
        <v>5</v>
      </c>
    </row>
    <row r="383" spans="1:35" s="69" customFormat="1" ht="36.75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235"/>
      <c r="H383" s="158" t="s">
        <v>15</v>
      </c>
      <c r="I383" s="166">
        <v>180000</v>
      </c>
      <c r="J383" s="75">
        <v>4320000</v>
      </c>
      <c r="K383" s="91" t="s">
        <v>1029</v>
      </c>
      <c r="L383" s="73"/>
      <c r="M383" s="46">
        <v>19</v>
      </c>
      <c r="N383" s="46">
        <v>180000</v>
      </c>
      <c r="O383" s="46">
        <v>3420000</v>
      </c>
      <c r="P383" s="98"/>
      <c r="Q383" s="23" t="s">
        <v>1403</v>
      </c>
      <c r="R383" s="24" t="s">
        <v>1027</v>
      </c>
      <c r="S383" s="25" t="s">
        <v>1028</v>
      </c>
      <c r="T383" s="26">
        <v>24</v>
      </c>
      <c r="U383" s="26">
        <v>24</v>
      </c>
      <c r="V383" s="26">
        <v>180000</v>
      </c>
      <c r="W383" s="250">
        <f t="shared" si="77"/>
        <v>1</v>
      </c>
      <c r="X383" s="26">
        <f t="shared" si="78"/>
        <v>20</v>
      </c>
      <c r="Y383" s="26">
        <f t="shared" si="79"/>
        <v>180000</v>
      </c>
      <c r="Z383" s="26">
        <f t="shared" si="80"/>
        <v>3600000</v>
      </c>
      <c r="AA383" s="33" t="s">
        <v>15</v>
      </c>
      <c r="AB383" s="36" t="s">
        <v>16</v>
      </c>
      <c r="AC383" s="181">
        <f t="shared" si="65"/>
        <v>24</v>
      </c>
      <c r="AD383" s="181">
        <f t="shared" si="81"/>
        <v>4320000</v>
      </c>
      <c r="AE383" s="181">
        <v>2</v>
      </c>
      <c r="AF383" s="181">
        <v>2</v>
      </c>
      <c r="AG383" s="101" t="str">
        <f t="shared" si="66"/>
        <v/>
      </c>
      <c r="AH383" s="191">
        <f>17+1+1+1</f>
        <v>20</v>
      </c>
      <c r="AI383" s="69">
        <f t="shared" si="67"/>
        <v>24</v>
      </c>
    </row>
    <row r="384" spans="1:35" s="69" customFormat="1" ht="34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235"/>
      <c r="H384" s="158" t="s">
        <v>15</v>
      </c>
      <c r="I384" s="166">
        <v>205982.81</v>
      </c>
      <c r="J384" s="75">
        <v>205982.81</v>
      </c>
      <c r="K384" s="91" t="s">
        <v>1032</v>
      </c>
      <c r="L384" s="73"/>
      <c r="M384" s="46">
        <v>0</v>
      </c>
      <c r="N384" s="46">
        <v>0</v>
      </c>
      <c r="O384" s="46">
        <v>0</v>
      </c>
      <c r="P384" s="98"/>
      <c r="Q384" s="23" t="s">
        <v>1427</v>
      </c>
      <c r="R384" s="24" t="s">
        <v>1031</v>
      </c>
      <c r="S384" s="25" t="s">
        <v>14</v>
      </c>
      <c r="T384" s="26">
        <v>1</v>
      </c>
      <c r="U384" s="26">
        <v>1</v>
      </c>
      <c r="V384" s="26">
        <v>205982.81</v>
      </c>
      <c r="W384" s="26">
        <f t="shared" si="77"/>
        <v>0</v>
      </c>
      <c r="X384" s="26">
        <f t="shared" si="78"/>
        <v>0</v>
      </c>
      <c r="Y384" s="26">
        <f t="shared" si="79"/>
        <v>0</v>
      </c>
      <c r="Z384" s="26">
        <f t="shared" si="80"/>
        <v>0</v>
      </c>
      <c r="AA384" s="33" t="s">
        <v>15</v>
      </c>
      <c r="AB384" s="36" t="s">
        <v>16</v>
      </c>
      <c r="AC384" s="181">
        <f t="shared" si="65"/>
        <v>1</v>
      </c>
      <c r="AD384" s="181">
        <f t="shared" si="81"/>
        <v>205982.81</v>
      </c>
      <c r="AE384" s="181">
        <v>2</v>
      </c>
      <c r="AF384" s="181">
        <v>2</v>
      </c>
      <c r="AG384" s="101" t="str">
        <f t="shared" si="66"/>
        <v/>
      </c>
      <c r="AH384" s="190">
        <v>0</v>
      </c>
      <c r="AI384" s="69">
        <f t="shared" si="67"/>
        <v>1</v>
      </c>
    </row>
    <row r="385" spans="1:35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75"/>
      <c r="F385" s="161"/>
      <c r="G385" s="235"/>
      <c r="H385" s="158" t="s">
        <v>15</v>
      </c>
      <c r="I385" s="166">
        <v>2425000</v>
      </c>
      <c r="J385" s="75">
        <v>2425000</v>
      </c>
      <c r="K385" s="91" t="s">
        <v>1035</v>
      </c>
      <c r="L385" s="73"/>
      <c r="M385" s="46">
        <v>1</v>
      </c>
      <c r="N385" s="46">
        <v>0</v>
      </c>
      <c r="O385" s="46">
        <v>2425000</v>
      </c>
      <c r="P385" s="98"/>
      <c r="Q385" s="23" t="s">
        <v>1428</v>
      </c>
      <c r="R385" s="24" t="s">
        <v>1034</v>
      </c>
      <c r="S385" s="25" t="s">
        <v>14</v>
      </c>
      <c r="T385" s="26">
        <v>1</v>
      </c>
      <c r="U385" s="26">
        <v>1</v>
      </c>
      <c r="V385" s="26">
        <v>2425000</v>
      </c>
      <c r="W385" s="127">
        <f t="shared" si="77"/>
        <v>0</v>
      </c>
      <c r="X385" s="127">
        <f t="shared" si="78"/>
        <v>1</v>
      </c>
      <c r="Y385" s="127">
        <f t="shared" si="79"/>
        <v>0</v>
      </c>
      <c r="Z385" s="127">
        <f t="shared" si="80"/>
        <v>2425000</v>
      </c>
      <c r="AA385" s="33" t="s">
        <v>1499</v>
      </c>
      <c r="AB385" s="36" t="s">
        <v>16</v>
      </c>
      <c r="AC385" s="181">
        <f t="shared" si="65"/>
        <v>1</v>
      </c>
      <c r="AD385" s="181">
        <f t="shared" si="81"/>
        <v>2425000</v>
      </c>
      <c r="AE385" s="181">
        <v>2</v>
      </c>
      <c r="AF385" s="181">
        <v>2</v>
      </c>
      <c r="AG385" s="101" t="str">
        <f t="shared" si="66"/>
        <v/>
      </c>
      <c r="AH385" s="190">
        <v>1</v>
      </c>
      <c r="AI385" s="69">
        <f t="shared" si="67"/>
        <v>1</v>
      </c>
    </row>
    <row r="386" spans="1:35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235"/>
      <c r="H386" s="158" t="s">
        <v>15</v>
      </c>
      <c r="I386" s="166">
        <v>350000</v>
      </c>
      <c r="J386" s="75">
        <v>350000</v>
      </c>
      <c r="K386" s="91" t="s">
        <v>1038</v>
      </c>
      <c r="L386" s="73"/>
      <c r="M386" s="46">
        <v>0.5</v>
      </c>
      <c r="N386" s="46">
        <v>0</v>
      </c>
      <c r="O386" s="46">
        <v>175000</v>
      </c>
      <c r="P386" s="98"/>
      <c r="Q386" s="23" t="s">
        <v>1387</v>
      </c>
      <c r="R386" s="24" t="s">
        <v>1037</v>
      </c>
      <c r="S386" s="25" t="s">
        <v>14</v>
      </c>
      <c r="T386" s="26">
        <v>1</v>
      </c>
      <c r="U386" s="26">
        <v>1</v>
      </c>
      <c r="V386" s="26">
        <v>350000</v>
      </c>
      <c r="W386" s="128">
        <f t="shared" si="77"/>
        <v>0.5</v>
      </c>
      <c r="X386" s="26">
        <v>0.5</v>
      </c>
      <c r="Y386" s="26">
        <f t="shared" si="79"/>
        <v>0</v>
      </c>
      <c r="Z386" s="26">
        <f t="shared" si="80"/>
        <v>175000</v>
      </c>
      <c r="AA386" s="33" t="s">
        <v>15</v>
      </c>
      <c r="AB386" s="36" t="s">
        <v>16</v>
      </c>
      <c r="AC386" s="181">
        <f t="shared" si="65"/>
        <v>1</v>
      </c>
      <c r="AD386" s="181">
        <f t="shared" si="81"/>
        <v>350000</v>
      </c>
      <c r="AE386" s="181">
        <v>2</v>
      </c>
      <c r="AF386" s="181">
        <v>2</v>
      </c>
      <c r="AG386" s="101" t="str">
        <f t="shared" si="66"/>
        <v/>
      </c>
      <c r="AH386" s="191">
        <v>1</v>
      </c>
      <c r="AI386" s="69">
        <f t="shared" si="67"/>
        <v>1</v>
      </c>
    </row>
    <row r="387" spans="1:35" ht="33" x14ac:dyDescent="0.3">
      <c r="A387" s="134" t="s">
        <v>1342</v>
      </c>
      <c r="B387" s="135" t="s">
        <v>1343</v>
      </c>
      <c r="C387" s="204" t="s">
        <v>50</v>
      </c>
      <c r="D387" s="133"/>
      <c r="E387" s="78"/>
      <c r="F387" s="163">
        <v>320</v>
      </c>
      <c r="G387" s="163"/>
      <c r="H387" s="62" t="s">
        <v>15</v>
      </c>
      <c r="I387" s="167">
        <v>10869.24</v>
      </c>
      <c r="J387" s="62">
        <v>3478156.8</v>
      </c>
      <c r="K387" s="93"/>
      <c r="M387" s="46">
        <v>320</v>
      </c>
      <c r="N387" s="46">
        <v>0</v>
      </c>
      <c r="O387" s="46">
        <v>3478156.8</v>
      </c>
      <c r="P387" s="98"/>
      <c r="Q387" s="23" t="s">
        <v>1405</v>
      </c>
      <c r="R387" s="24" t="s">
        <v>1343</v>
      </c>
      <c r="S387" s="25" t="s">
        <v>50</v>
      </c>
      <c r="T387" s="26">
        <v>0</v>
      </c>
      <c r="U387" s="26">
        <v>320</v>
      </c>
      <c r="V387" s="26">
        <v>10869.24</v>
      </c>
      <c r="W387" s="127">
        <f t="shared" si="77"/>
        <v>0</v>
      </c>
      <c r="X387" s="127">
        <f t="shared" si="78"/>
        <v>320</v>
      </c>
      <c r="Y387" s="127">
        <f t="shared" si="79"/>
        <v>0</v>
      </c>
      <c r="Z387" s="127">
        <f t="shared" si="80"/>
        <v>3478156.8</v>
      </c>
      <c r="AA387" s="27"/>
      <c r="AB387" s="36" t="s">
        <v>16</v>
      </c>
      <c r="AC387" s="181">
        <f t="shared" si="65"/>
        <v>320</v>
      </c>
      <c r="AD387" s="181">
        <f t="shared" si="81"/>
        <v>3478156.8</v>
      </c>
      <c r="AE387" s="181">
        <v>2</v>
      </c>
      <c r="AF387" s="181">
        <v>2</v>
      </c>
      <c r="AG387" s="101" t="str">
        <f t="shared" si="66"/>
        <v/>
      </c>
      <c r="AH387" s="191">
        <v>320</v>
      </c>
      <c r="AI387" s="69">
        <f t="shared" si="67"/>
        <v>320</v>
      </c>
    </row>
    <row r="388" spans="1:35" ht="33" x14ac:dyDescent="0.3">
      <c r="A388" s="144" t="s">
        <v>1344</v>
      </c>
      <c r="B388" s="145" t="s">
        <v>1345</v>
      </c>
      <c r="C388" s="206" t="s">
        <v>325</v>
      </c>
      <c r="D388" s="170"/>
      <c r="E388" s="147"/>
      <c r="F388" s="164">
        <v>2</v>
      </c>
      <c r="G388" s="163"/>
      <c r="H388" s="62" t="s">
        <v>15</v>
      </c>
      <c r="I388" s="168">
        <v>60995.57</v>
      </c>
      <c r="J388" s="148">
        <v>121991.14</v>
      </c>
      <c r="K388" s="149"/>
      <c r="M388" s="46">
        <v>2</v>
      </c>
      <c r="N388" s="46">
        <v>0</v>
      </c>
      <c r="O388" s="46">
        <v>121991.14</v>
      </c>
      <c r="P388" s="98"/>
      <c r="Q388" s="23" t="s">
        <v>1406</v>
      </c>
      <c r="R388" s="24" t="s">
        <v>1345</v>
      </c>
      <c r="S388" s="25" t="s">
        <v>325</v>
      </c>
      <c r="T388" s="26">
        <v>0</v>
      </c>
      <c r="U388" s="26">
        <v>2</v>
      </c>
      <c r="V388" s="26">
        <v>60995.57</v>
      </c>
      <c r="W388" s="127">
        <f t="shared" si="77"/>
        <v>0</v>
      </c>
      <c r="X388" s="127">
        <f t="shared" si="78"/>
        <v>2</v>
      </c>
      <c r="Y388" s="127">
        <f t="shared" si="79"/>
        <v>0</v>
      </c>
      <c r="Z388" s="127">
        <f t="shared" si="80"/>
        <v>121991.14</v>
      </c>
      <c r="AA388" s="27"/>
      <c r="AB388" s="36" t="s">
        <v>16</v>
      </c>
      <c r="AC388" s="181">
        <f t="shared" si="65"/>
        <v>2</v>
      </c>
      <c r="AD388" s="181">
        <f t="shared" si="81"/>
        <v>121991.14</v>
      </c>
      <c r="AE388" s="181">
        <v>2</v>
      </c>
      <c r="AF388" s="181">
        <v>2</v>
      </c>
      <c r="AG388" s="101" t="str">
        <f t="shared" si="66"/>
        <v/>
      </c>
      <c r="AH388" s="190">
        <v>2</v>
      </c>
      <c r="AI388" s="69">
        <f t="shared" si="67"/>
        <v>2</v>
      </c>
    </row>
    <row r="389" spans="1:35" ht="39" x14ac:dyDescent="0.3">
      <c r="A389" s="207" t="s">
        <v>3072</v>
      </c>
      <c r="B389" s="208" t="s">
        <v>3073</v>
      </c>
      <c r="C389" s="204" t="s">
        <v>97</v>
      </c>
      <c r="D389" s="171"/>
      <c r="E389" s="158"/>
      <c r="F389" s="165"/>
      <c r="G389" s="159">
        <v>220</v>
      </c>
      <c r="H389" s="223" t="s">
        <v>15</v>
      </c>
      <c r="I389" s="169">
        <v>1159.82</v>
      </c>
      <c r="J389" s="159">
        <v>255160.4</v>
      </c>
      <c r="K389" s="172"/>
      <c r="M389" s="46">
        <v>220</v>
      </c>
      <c r="N389" s="46">
        <v>0</v>
      </c>
      <c r="O389" s="46">
        <v>255160.4</v>
      </c>
      <c r="P389" s="98"/>
      <c r="Q389" s="23" t="s">
        <v>1414</v>
      </c>
      <c r="R389" s="24" t="s">
        <v>3073</v>
      </c>
      <c r="S389" s="25" t="s">
        <v>97</v>
      </c>
      <c r="T389" s="26"/>
      <c r="U389" s="26">
        <v>220</v>
      </c>
      <c r="V389" s="169">
        <v>1159.82</v>
      </c>
      <c r="W389" s="127">
        <f t="shared" si="77"/>
        <v>0</v>
      </c>
      <c r="X389" s="127">
        <f>W389+M389</f>
        <v>220</v>
      </c>
      <c r="Y389" s="127">
        <f t="shared" si="79"/>
        <v>0</v>
      </c>
      <c r="Z389" s="127">
        <f t="shared" si="80"/>
        <v>255160.4</v>
      </c>
      <c r="AA389" s="27"/>
      <c r="AB389" s="36"/>
      <c r="AC389" s="200">
        <v>220</v>
      </c>
      <c r="AD389" s="181">
        <f t="shared" si="81"/>
        <v>255160.4</v>
      </c>
      <c r="AE389" s="181">
        <v>2</v>
      </c>
      <c r="AF389" s="181">
        <v>2</v>
      </c>
      <c r="AG389" s="101"/>
      <c r="AH389" s="190">
        <v>220</v>
      </c>
      <c r="AI389" s="69">
        <f t="shared" si="67"/>
        <v>220</v>
      </c>
    </row>
    <row r="390" spans="1:35" ht="39" x14ac:dyDescent="0.3">
      <c r="A390" s="207" t="s">
        <v>3074</v>
      </c>
      <c r="B390" s="208" t="s">
        <v>3075</v>
      </c>
      <c r="C390" s="204" t="s">
        <v>97</v>
      </c>
      <c r="D390" s="171"/>
      <c r="E390" s="158"/>
      <c r="F390" s="165"/>
      <c r="G390" s="159">
        <v>264.5</v>
      </c>
      <c r="H390" s="223" t="s">
        <v>15</v>
      </c>
      <c r="I390" s="169">
        <v>689.89</v>
      </c>
      <c r="J390" s="159">
        <v>182475.91</v>
      </c>
      <c r="K390" s="172"/>
      <c r="M390" s="46">
        <v>264.5</v>
      </c>
      <c r="N390" s="46">
        <v>0</v>
      </c>
      <c r="O390" s="46">
        <v>182475.91</v>
      </c>
      <c r="P390" s="98"/>
      <c r="Q390" s="23" t="s">
        <v>1429</v>
      </c>
      <c r="R390" s="24" t="s">
        <v>3075</v>
      </c>
      <c r="S390" s="25" t="s">
        <v>97</v>
      </c>
      <c r="T390" s="26"/>
      <c r="U390" s="26">
        <v>264.5</v>
      </c>
      <c r="V390" s="169">
        <v>689.89</v>
      </c>
      <c r="W390" s="127">
        <f t="shared" si="77"/>
        <v>0</v>
      </c>
      <c r="X390" s="127">
        <f t="shared" ref="X390:X406" si="82">W390+M390</f>
        <v>264.5</v>
      </c>
      <c r="Y390" s="127">
        <f t="shared" si="79"/>
        <v>0</v>
      </c>
      <c r="Z390" s="127">
        <f t="shared" si="80"/>
        <v>182475.91</v>
      </c>
      <c r="AA390" s="27"/>
      <c r="AB390" s="36"/>
      <c r="AC390" s="200">
        <v>264.5</v>
      </c>
      <c r="AD390" s="181">
        <f t="shared" si="81"/>
        <v>182475.91</v>
      </c>
      <c r="AE390" s="181">
        <v>2</v>
      </c>
      <c r="AF390" s="181">
        <v>2</v>
      </c>
      <c r="AG390" s="101"/>
      <c r="AH390" s="190">
        <v>264.5</v>
      </c>
      <c r="AI390" s="69">
        <f t="shared" si="67"/>
        <v>264.5</v>
      </c>
    </row>
    <row r="391" spans="1:35" ht="49.5" x14ac:dyDescent="0.3">
      <c r="A391" s="207" t="s">
        <v>3076</v>
      </c>
      <c r="B391" s="241" t="s">
        <v>3077</v>
      </c>
      <c r="C391" s="204" t="s">
        <v>97</v>
      </c>
      <c r="D391" s="171"/>
      <c r="E391" s="158"/>
      <c r="F391" s="165"/>
      <c r="G391" s="159">
        <v>218.5</v>
      </c>
      <c r="H391" s="223" t="s">
        <v>15</v>
      </c>
      <c r="I391" s="169">
        <v>899.86</v>
      </c>
      <c r="J391" s="159">
        <v>196619.41</v>
      </c>
      <c r="K391" s="172"/>
      <c r="M391" s="46">
        <v>218.5</v>
      </c>
      <c r="N391" s="46">
        <v>0</v>
      </c>
      <c r="O391" s="46">
        <v>196619.41</v>
      </c>
      <c r="P391" s="98"/>
      <c r="Q391" s="23" t="s">
        <v>1430</v>
      </c>
      <c r="R391" s="24" t="s">
        <v>3077</v>
      </c>
      <c r="S391" s="25" t="s">
        <v>97</v>
      </c>
      <c r="T391" s="26"/>
      <c r="U391" s="26">
        <v>218.5</v>
      </c>
      <c r="V391" s="169">
        <v>899.86</v>
      </c>
      <c r="W391" s="127">
        <f t="shared" si="77"/>
        <v>0</v>
      </c>
      <c r="X391" s="127">
        <f t="shared" si="82"/>
        <v>218.5</v>
      </c>
      <c r="Y391" s="127">
        <f t="shared" si="79"/>
        <v>0</v>
      </c>
      <c r="Z391" s="127">
        <f t="shared" si="80"/>
        <v>196619.41</v>
      </c>
      <c r="AA391" s="27"/>
      <c r="AB391" s="36"/>
      <c r="AC391" s="200">
        <v>218.5</v>
      </c>
      <c r="AD391" s="181">
        <f t="shared" si="81"/>
        <v>196619.41</v>
      </c>
      <c r="AE391" s="181">
        <v>2</v>
      </c>
      <c r="AF391" s="181">
        <v>2</v>
      </c>
      <c r="AG391" s="101"/>
      <c r="AH391" s="190">
        <v>218.5</v>
      </c>
      <c r="AI391" s="69">
        <f t="shared" si="67"/>
        <v>218.5</v>
      </c>
    </row>
    <row r="392" spans="1:35" ht="39" x14ac:dyDescent="0.3">
      <c r="A392" s="207" t="s">
        <v>3078</v>
      </c>
      <c r="B392" s="208" t="s">
        <v>3079</v>
      </c>
      <c r="C392" s="204" t="s">
        <v>97</v>
      </c>
      <c r="D392" s="171"/>
      <c r="E392" s="158"/>
      <c r="F392" s="165"/>
      <c r="G392" s="159">
        <v>87.5</v>
      </c>
      <c r="H392" s="223" t="s">
        <v>15</v>
      </c>
      <c r="I392" s="169">
        <v>1499.76</v>
      </c>
      <c r="J392" s="159">
        <v>131229</v>
      </c>
      <c r="K392" s="172"/>
      <c r="M392" s="46">
        <v>87.5</v>
      </c>
      <c r="N392" s="46">
        <v>0</v>
      </c>
      <c r="O392" s="46">
        <v>131229</v>
      </c>
      <c r="P392" s="98"/>
      <c r="Q392" s="23" t="s">
        <v>1431</v>
      </c>
      <c r="R392" s="24" t="s">
        <v>3079</v>
      </c>
      <c r="S392" s="25" t="s">
        <v>97</v>
      </c>
      <c r="T392" s="26"/>
      <c r="U392" s="26">
        <v>87.5</v>
      </c>
      <c r="V392" s="169">
        <v>1499.76</v>
      </c>
      <c r="W392" s="127">
        <f t="shared" si="77"/>
        <v>0</v>
      </c>
      <c r="X392" s="127">
        <f t="shared" si="82"/>
        <v>87.5</v>
      </c>
      <c r="Y392" s="127">
        <f t="shared" si="79"/>
        <v>0</v>
      </c>
      <c r="Z392" s="127">
        <f t="shared" si="80"/>
        <v>131229</v>
      </c>
      <c r="AA392" s="27"/>
      <c r="AB392" s="36"/>
      <c r="AC392" s="200">
        <v>87.5</v>
      </c>
      <c r="AD392" s="181">
        <f t="shared" si="81"/>
        <v>131229</v>
      </c>
      <c r="AE392" s="181">
        <v>2</v>
      </c>
      <c r="AF392" s="181">
        <v>2</v>
      </c>
      <c r="AG392" s="101"/>
      <c r="AH392" s="190">
        <v>87.5</v>
      </c>
      <c r="AI392" s="69">
        <f t="shared" si="67"/>
        <v>87.5</v>
      </c>
    </row>
    <row r="393" spans="1:35" ht="39" x14ac:dyDescent="0.3">
      <c r="A393" s="207" t="s">
        <v>3080</v>
      </c>
      <c r="B393" s="208" t="s">
        <v>3081</v>
      </c>
      <c r="C393" s="204" t="s">
        <v>97</v>
      </c>
      <c r="D393" s="171"/>
      <c r="E393" s="158"/>
      <c r="F393" s="159"/>
      <c r="G393" s="159">
        <v>144.5</v>
      </c>
      <c r="H393" s="159" t="s">
        <v>15</v>
      </c>
      <c r="I393" s="158">
        <v>1419.78</v>
      </c>
      <c r="J393" s="159">
        <v>205158.21</v>
      </c>
      <c r="K393" s="172"/>
      <c r="M393" s="46">
        <v>144.5</v>
      </c>
      <c r="N393" s="46">
        <v>0</v>
      </c>
      <c r="O393" s="46">
        <v>205158.21</v>
      </c>
      <c r="P393" s="98"/>
      <c r="Q393" s="23" t="s">
        <v>1395</v>
      </c>
      <c r="R393" s="24" t="s">
        <v>3081</v>
      </c>
      <c r="S393" s="25" t="s">
        <v>97</v>
      </c>
      <c r="T393" s="26"/>
      <c r="U393" s="26">
        <v>144.5</v>
      </c>
      <c r="V393" s="158">
        <v>1419.78</v>
      </c>
      <c r="W393" s="127">
        <f t="shared" si="77"/>
        <v>0</v>
      </c>
      <c r="X393" s="127">
        <f t="shared" si="82"/>
        <v>144.5</v>
      </c>
      <c r="Y393" s="127">
        <f t="shared" si="79"/>
        <v>0</v>
      </c>
      <c r="Z393" s="127">
        <f t="shared" si="80"/>
        <v>205158.21</v>
      </c>
      <c r="AA393" s="27"/>
      <c r="AB393" s="36"/>
      <c r="AC393" s="200">
        <v>144.5</v>
      </c>
      <c r="AD393" s="181">
        <f t="shared" si="81"/>
        <v>205158.21</v>
      </c>
      <c r="AE393" s="181">
        <v>2</v>
      </c>
      <c r="AF393" s="181">
        <v>2</v>
      </c>
      <c r="AG393" s="101"/>
      <c r="AH393" s="190">
        <v>144.5</v>
      </c>
      <c r="AI393" s="69">
        <f t="shared" si="67"/>
        <v>144.5</v>
      </c>
    </row>
    <row r="394" spans="1:35" x14ac:dyDescent="0.3">
      <c r="A394" s="207" t="s">
        <v>3082</v>
      </c>
      <c r="B394" s="208" t="s">
        <v>3083</v>
      </c>
      <c r="C394" s="204" t="s">
        <v>97</v>
      </c>
      <c r="D394" s="171"/>
      <c r="E394" s="158"/>
      <c r="F394" s="159"/>
      <c r="G394" s="159">
        <v>27</v>
      </c>
      <c r="H394" s="159" t="s">
        <v>15</v>
      </c>
      <c r="I394" s="158">
        <v>2999.53</v>
      </c>
      <c r="J394" s="159">
        <v>80987.31</v>
      </c>
      <c r="K394" s="172"/>
      <c r="M394" s="46">
        <v>27</v>
      </c>
      <c r="N394" s="46">
        <v>0</v>
      </c>
      <c r="O394" s="46">
        <v>80987.31</v>
      </c>
      <c r="P394" s="98"/>
      <c r="Q394" s="23" t="s">
        <v>1432</v>
      </c>
      <c r="R394" s="24" t="s">
        <v>3083</v>
      </c>
      <c r="S394" s="25" t="s">
        <v>97</v>
      </c>
      <c r="T394" s="26"/>
      <c r="U394" s="26">
        <v>27</v>
      </c>
      <c r="V394" s="158">
        <v>2999.53</v>
      </c>
      <c r="W394" s="127">
        <f t="shared" si="77"/>
        <v>0</v>
      </c>
      <c r="X394" s="127">
        <f t="shared" si="82"/>
        <v>27</v>
      </c>
      <c r="Y394" s="127">
        <f t="shared" si="79"/>
        <v>0</v>
      </c>
      <c r="Z394" s="127">
        <f t="shared" si="80"/>
        <v>80987.31</v>
      </c>
      <c r="AA394" s="27"/>
      <c r="AB394" s="36"/>
      <c r="AC394" s="200">
        <v>27</v>
      </c>
      <c r="AD394" s="181">
        <f t="shared" si="81"/>
        <v>80987.31</v>
      </c>
      <c r="AE394" s="181">
        <v>2</v>
      </c>
      <c r="AF394" s="181">
        <v>2</v>
      </c>
      <c r="AG394" s="101"/>
      <c r="AH394" s="190">
        <v>27</v>
      </c>
      <c r="AI394" s="69">
        <f t="shared" si="67"/>
        <v>27</v>
      </c>
    </row>
    <row r="395" spans="1:35" x14ac:dyDescent="0.3">
      <c r="A395" s="207" t="s">
        <v>3084</v>
      </c>
      <c r="B395" s="208" t="s">
        <v>3085</v>
      </c>
      <c r="C395" s="204" t="s">
        <v>97</v>
      </c>
      <c r="D395" s="171"/>
      <c r="E395" s="158"/>
      <c r="F395" s="159"/>
      <c r="G395" s="159">
        <v>28</v>
      </c>
      <c r="H395" s="159" t="s">
        <v>15</v>
      </c>
      <c r="I395" s="158">
        <v>1364.78</v>
      </c>
      <c r="J395" s="159">
        <v>38213.839999999997</v>
      </c>
      <c r="K395" s="172"/>
      <c r="M395" s="46">
        <v>28</v>
      </c>
      <c r="N395" s="46">
        <v>0</v>
      </c>
      <c r="O395" s="46">
        <v>38213.839999999997</v>
      </c>
      <c r="P395" s="98"/>
      <c r="Q395" s="23" t="s">
        <v>1433</v>
      </c>
      <c r="R395" s="24" t="s">
        <v>3085</v>
      </c>
      <c r="S395" s="25" t="s">
        <v>97</v>
      </c>
      <c r="T395" s="26"/>
      <c r="U395" s="26">
        <v>28</v>
      </c>
      <c r="V395" s="158">
        <v>1364.78</v>
      </c>
      <c r="W395" s="127">
        <f t="shared" si="77"/>
        <v>0</v>
      </c>
      <c r="X395" s="127">
        <f t="shared" si="82"/>
        <v>28</v>
      </c>
      <c r="Y395" s="127">
        <f t="shared" si="79"/>
        <v>0</v>
      </c>
      <c r="Z395" s="127">
        <f t="shared" si="80"/>
        <v>38213.839999999997</v>
      </c>
      <c r="AA395" s="27"/>
      <c r="AB395" s="36"/>
      <c r="AC395" s="200">
        <v>28</v>
      </c>
      <c r="AD395" s="181">
        <f t="shared" si="81"/>
        <v>38213.839999999997</v>
      </c>
      <c r="AE395" s="181">
        <v>2</v>
      </c>
      <c r="AF395" s="181">
        <v>2</v>
      </c>
      <c r="AG395" s="101"/>
      <c r="AH395" s="190">
        <v>28</v>
      </c>
      <c r="AI395" s="69">
        <f t="shared" ref="AI395:AI459" si="83">IF(G395=0,IF(F395=0,IF(E395=0,D395,E395),F395),G395)</f>
        <v>28</v>
      </c>
    </row>
    <row r="396" spans="1:35" ht="39" x14ac:dyDescent="0.3">
      <c r="A396" s="207" t="s">
        <v>3086</v>
      </c>
      <c r="B396" s="208" t="s">
        <v>3087</v>
      </c>
      <c r="C396" s="204" t="s">
        <v>97</v>
      </c>
      <c r="D396" s="171"/>
      <c r="E396" s="158"/>
      <c r="F396" s="159"/>
      <c r="G396" s="159">
        <v>156</v>
      </c>
      <c r="H396" s="159" t="s">
        <v>15</v>
      </c>
      <c r="I396" s="158">
        <v>771.88</v>
      </c>
      <c r="J396" s="159">
        <v>120413.28</v>
      </c>
      <c r="K396" s="172"/>
      <c r="M396" s="46">
        <v>156</v>
      </c>
      <c r="N396" s="46">
        <v>0</v>
      </c>
      <c r="O396" s="46">
        <v>120413.28</v>
      </c>
      <c r="P396" s="98"/>
      <c r="Q396" s="23" t="s">
        <v>1382</v>
      </c>
      <c r="R396" s="24" t="s">
        <v>3087</v>
      </c>
      <c r="S396" s="25" t="s">
        <v>97</v>
      </c>
      <c r="T396" s="26"/>
      <c r="U396" s="26">
        <v>156</v>
      </c>
      <c r="V396" s="158">
        <v>771.88</v>
      </c>
      <c r="W396" s="127">
        <f t="shared" si="77"/>
        <v>0</v>
      </c>
      <c r="X396" s="127">
        <f t="shared" si="82"/>
        <v>156</v>
      </c>
      <c r="Y396" s="127">
        <f t="shared" si="79"/>
        <v>0</v>
      </c>
      <c r="Z396" s="127">
        <f t="shared" si="80"/>
        <v>120413.28</v>
      </c>
      <c r="AA396" s="27"/>
      <c r="AB396" s="36"/>
      <c r="AC396" s="200">
        <v>156</v>
      </c>
      <c r="AD396" s="181">
        <f t="shared" si="81"/>
        <v>120413.28</v>
      </c>
      <c r="AE396" s="181">
        <v>2</v>
      </c>
      <c r="AF396" s="181">
        <v>2</v>
      </c>
      <c r="AG396" s="101"/>
      <c r="AH396" s="190">
        <v>156</v>
      </c>
      <c r="AI396" s="69">
        <f t="shared" si="83"/>
        <v>156</v>
      </c>
    </row>
    <row r="397" spans="1:35" ht="39" x14ac:dyDescent="0.3">
      <c r="A397" s="207" t="s">
        <v>3088</v>
      </c>
      <c r="B397" s="208" t="s">
        <v>3089</v>
      </c>
      <c r="C397" s="204" t="s">
        <v>97</v>
      </c>
      <c r="D397" s="171"/>
      <c r="E397" s="158"/>
      <c r="F397" s="159"/>
      <c r="G397" s="242">
        <v>1917</v>
      </c>
      <c r="H397" s="219" t="s">
        <v>15</v>
      </c>
      <c r="I397" s="158">
        <v>400.94</v>
      </c>
      <c r="J397" s="159">
        <v>768601.98</v>
      </c>
      <c r="K397" s="172"/>
      <c r="M397" s="46">
        <v>1917</v>
      </c>
      <c r="N397" s="46">
        <v>0</v>
      </c>
      <c r="O397" s="46">
        <v>768601.98</v>
      </c>
      <c r="P397" s="98"/>
      <c r="Q397" s="23" t="s">
        <v>1434</v>
      </c>
      <c r="R397" s="24" t="s">
        <v>3089</v>
      </c>
      <c r="S397" s="25" t="s">
        <v>97</v>
      </c>
      <c r="T397" s="26"/>
      <c r="U397" s="26">
        <v>1917</v>
      </c>
      <c r="V397" s="158">
        <v>400.94</v>
      </c>
      <c r="W397" s="127">
        <f t="shared" si="77"/>
        <v>0</v>
      </c>
      <c r="X397" s="127">
        <f t="shared" si="82"/>
        <v>1917</v>
      </c>
      <c r="Y397" s="127">
        <f t="shared" si="79"/>
        <v>0</v>
      </c>
      <c r="Z397" s="127">
        <f t="shared" si="80"/>
        <v>768601.98</v>
      </c>
      <c r="AA397" s="27"/>
      <c r="AB397" s="36"/>
      <c r="AC397" s="200">
        <v>1917</v>
      </c>
      <c r="AD397" s="181">
        <f t="shared" si="81"/>
        <v>768601.98</v>
      </c>
      <c r="AE397" s="181">
        <v>2</v>
      </c>
      <c r="AF397" s="181">
        <v>2</v>
      </c>
      <c r="AG397" s="101"/>
      <c r="AH397" s="190">
        <v>1917</v>
      </c>
      <c r="AI397" s="69">
        <f t="shared" si="83"/>
        <v>1917</v>
      </c>
    </row>
    <row r="398" spans="1:35" x14ac:dyDescent="0.3">
      <c r="A398" s="207" t="s">
        <v>3090</v>
      </c>
      <c r="B398" s="208" t="s">
        <v>3091</v>
      </c>
      <c r="C398" s="204" t="s">
        <v>97</v>
      </c>
      <c r="D398" s="171"/>
      <c r="E398" s="158"/>
      <c r="F398" s="159"/>
      <c r="G398" s="159">
        <v>380</v>
      </c>
      <c r="H398" s="159" t="s">
        <v>15</v>
      </c>
      <c r="I398" s="158">
        <v>280.95999999999998</v>
      </c>
      <c r="J398" s="159">
        <v>106764.8</v>
      </c>
      <c r="K398" s="172"/>
      <c r="M398" s="46">
        <v>380</v>
      </c>
      <c r="N398" s="46">
        <v>0</v>
      </c>
      <c r="O398" s="46">
        <v>106764.8</v>
      </c>
      <c r="P398" s="98"/>
      <c r="Q398" s="23" t="s">
        <v>1388</v>
      </c>
      <c r="R398" s="24" t="s">
        <v>3091</v>
      </c>
      <c r="S398" s="25" t="s">
        <v>97</v>
      </c>
      <c r="T398" s="26"/>
      <c r="U398" s="26">
        <v>380</v>
      </c>
      <c r="V398" s="158">
        <v>280.95999999999998</v>
      </c>
      <c r="W398" s="127">
        <f t="shared" si="77"/>
        <v>0</v>
      </c>
      <c r="X398" s="127">
        <f t="shared" si="82"/>
        <v>380</v>
      </c>
      <c r="Y398" s="127">
        <f t="shared" si="79"/>
        <v>0</v>
      </c>
      <c r="Z398" s="127">
        <f t="shared" si="80"/>
        <v>106764.8</v>
      </c>
      <c r="AA398" s="27"/>
      <c r="AB398" s="36"/>
      <c r="AC398" s="200">
        <v>380</v>
      </c>
      <c r="AD398" s="181">
        <f t="shared" si="81"/>
        <v>106764.8</v>
      </c>
      <c r="AE398" s="181">
        <v>2</v>
      </c>
      <c r="AF398" s="181">
        <v>2</v>
      </c>
      <c r="AG398" s="101"/>
      <c r="AH398" s="190">
        <v>380</v>
      </c>
      <c r="AI398" s="69">
        <f t="shared" si="83"/>
        <v>380</v>
      </c>
    </row>
    <row r="399" spans="1:35" ht="33" x14ac:dyDescent="0.3">
      <c r="A399" s="207" t="s">
        <v>3092</v>
      </c>
      <c r="B399" s="241" t="s">
        <v>3093</v>
      </c>
      <c r="C399" s="204" t="s">
        <v>97</v>
      </c>
      <c r="D399" s="171"/>
      <c r="E399" s="158"/>
      <c r="F399" s="159"/>
      <c r="G399" s="159">
        <v>660.5</v>
      </c>
      <c r="H399" s="159" t="s">
        <v>15</v>
      </c>
      <c r="I399" s="158">
        <v>800.87</v>
      </c>
      <c r="J399" s="159">
        <v>528974.64</v>
      </c>
      <c r="K399" s="172"/>
      <c r="M399" s="46">
        <v>660.5</v>
      </c>
      <c r="N399" s="46">
        <v>0</v>
      </c>
      <c r="O399" s="46">
        <v>528974.64</v>
      </c>
      <c r="P399" s="98"/>
      <c r="Q399" s="23" t="s">
        <v>1389</v>
      </c>
      <c r="R399" s="24" t="s">
        <v>3093</v>
      </c>
      <c r="S399" s="25" t="s">
        <v>97</v>
      </c>
      <c r="T399" s="26"/>
      <c r="U399" s="26">
        <v>660.5</v>
      </c>
      <c r="V399" s="158">
        <v>800.87</v>
      </c>
      <c r="W399" s="127">
        <f t="shared" si="77"/>
        <v>0</v>
      </c>
      <c r="X399" s="127">
        <f t="shared" si="82"/>
        <v>660.5</v>
      </c>
      <c r="Y399" s="127">
        <f t="shared" si="79"/>
        <v>0</v>
      </c>
      <c r="Z399" s="127">
        <f t="shared" si="80"/>
        <v>528974.64</v>
      </c>
      <c r="AA399" s="27"/>
      <c r="AB399" s="36"/>
      <c r="AC399" s="200">
        <v>660.5</v>
      </c>
      <c r="AD399" s="181">
        <f t="shared" si="81"/>
        <v>528974.64</v>
      </c>
      <c r="AE399" s="181">
        <v>2</v>
      </c>
      <c r="AF399" s="181">
        <v>2</v>
      </c>
      <c r="AG399" s="101"/>
      <c r="AH399" s="190">
        <v>660.5</v>
      </c>
      <c r="AI399" s="69">
        <f t="shared" si="83"/>
        <v>660.5</v>
      </c>
    </row>
    <row r="400" spans="1:35" x14ac:dyDescent="0.3">
      <c r="A400" s="207" t="s">
        <v>3094</v>
      </c>
      <c r="B400" s="208" t="s">
        <v>3095</v>
      </c>
      <c r="C400" s="204" t="s">
        <v>97</v>
      </c>
      <c r="D400" s="171"/>
      <c r="E400" s="158"/>
      <c r="F400" s="159"/>
      <c r="G400" s="159">
        <v>288.5</v>
      </c>
      <c r="H400" s="159" t="s">
        <v>15</v>
      </c>
      <c r="I400" s="158">
        <v>561.91</v>
      </c>
      <c r="J400" s="159">
        <v>162111.04000000001</v>
      </c>
      <c r="K400" s="172"/>
      <c r="M400" s="46">
        <v>288.5</v>
      </c>
      <c r="N400" s="46">
        <v>0</v>
      </c>
      <c r="O400" s="46">
        <v>162111.04000000001</v>
      </c>
      <c r="P400" s="98"/>
      <c r="Q400" s="23" t="s">
        <v>1390</v>
      </c>
      <c r="R400" s="24" t="s">
        <v>3095</v>
      </c>
      <c r="S400" s="25" t="s">
        <v>97</v>
      </c>
      <c r="T400" s="26"/>
      <c r="U400" s="26">
        <v>288.5</v>
      </c>
      <c r="V400" s="158">
        <v>561.91</v>
      </c>
      <c r="W400" s="127">
        <f t="shared" si="77"/>
        <v>0</v>
      </c>
      <c r="X400" s="127">
        <f t="shared" si="82"/>
        <v>288.5</v>
      </c>
      <c r="Y400" s="127">
        <f t="shared" si="79"/>
        <v>0</v>
      </c>
      <c r="Z400" s="127">
        <f t="shared" si="80"/>
        <v>162111.04000000001</v>
      </c>
      <c r="AA400" s="27"/>
      <c r="AB400" s="36"/>
      <c r="AC400" s="200">
        <v>288.5</v>
      </c>
      <c r="AD400" s="181">
        <f t="shared" si="81"/>
        <v>162111.04000000001</v>
      </c>
      <c r="AE400" s="181">
        <v>2</v>
      </c>
      <c r="AF400" s="181">
        <v>2</v>
      </c>
      <c r="AG400" s="101"/>
      <c r="AH400" s="190">
        <v>288.5</v>
      </c>
      <c r="AI400" s="69">
        <f t="shared" si="83"/>
        <v>288.5</v>
      </c>
    </row>
    <row r="401" spans="1:38" ht="39" x14ac:dyDescent="0.3">
      <c r="A401" s="207" t="s">
        <v>3096</v>
      </c>
      <c r="B401" s="208" t="s">
        <v>3097</v>
      </c>
      <c r="C401" s="204" t="s">
        <v>97</v>
      </c>
      <c r="D401" s="171"/>
      <c r="E401" s="158"/>
      <c r="F401" s="159"/>
      <c r="G401" s="159">
        <v>438</v>
      </c>
      <c r="H401" s="159" t="s">
        <v>15</v>
      </c>
      <c r="I401" s="158">
        <v>519.91999999999996</v>
      </c>
      <c r="J401" s="159">
        <v>227724.96</v>
      </c>
      <c r="K401" s="172"/>
      <c r="M401" s="46">
        <v>438</v>
      </c>
      <c r="N401" s="46">
        <v>0</v>
      </c>
      <c r="O401" s="46">
        <v>227724.96</v>
      </c>
      <c r="P401" s="98"/>
      <c r="Q401" s="23" t="s">
        <v>1391</v>
      </c>
      <c r="R401" s="24" t="s">
        <v>3097</v>
      </c>
      <c r="S401" s="25" t="s">
        <v>97</v>
      </c>
      <c r="T401" s="26"/>
      <c r="U401" s="26">
        <v>438</v>
      </c>
      <c r="V401" s="158">
        <v>519.91999999999996</v>
      </c>
      <c r="W401" s="127">
        <f t="shared" si="77"/>
        <v>0</v>
      </c>
      <c r="X401" s="127">
        <f t="shared" si="82"/>
        <v>438</v>
      </c>
      <c r="Y401" s="127">
        <f t="shared" si="79"/>
        <v>0</v>
      </c>
      <c r="Z401" s="127">
        <f t="shared" si="80"/>
        <v>227724.96</v>
      </c>
      <c r="AA401" s="27"/>
      <c r="AB401" s="36"/>
      <c r="AC401" s="200">
        <v>438</v>
      </c>
      <c r="AD401" s="181">
        <f t="shared" si="81"/>
        <v>227724.96</v>
      </c>
      <c r="AE401" s="181">
        <v>2</v>
      </c>
      <c r="AF401" s="181">
        <v>2</v>
      </c>
      <c r="AG401" s="101"/>
      <c r="AH401" s="190">
        <v>438</v>
      </c>
      <c r="AI401" s="69">
        <f t="shared" si="83"/>
        <v>438</v>
      </c>
    </row>
    <row r="402" spans="1:38" ht="39" x14ac:dyDescent="0.3">
      <c r="A402" s="207" t="s">
        <v>3098</v>
      </c>
      <c r="B402" s="208" t="s">
        <v>3099</v>
      </c>
      <c r="C402" s="204" t="s">
        <v>97</v>
      </c>
      <c r="D402" s="171"/>
      <c r="E402" s="158"/>
      <c r="F402" s="159"/>
      <c r="G402" s="159">
        <v>54</v>
      </c>
      <c r="H402" s="159" t="s">
        <v>15</v>
      </c>
      <c r="I402" s="158">
        <v>1579.75</v>
      </c>
      <c r="J402" s="159">
        <v>85306.5</v>
      </c>
      <c r="K402" s="172"/>
      <c r="M402" s="46">
        <v>54</v>
      </c>
      <c r="N402" s="46">
        <v>0</v>
      </c>
      <c r="O402" s="46">
        <v>85306.5</v>
      </c>
      <c r="P402" s="98"/>
      <c r="Q402" s="23" t="s">
        <v>1436</v>
      </c>
      <c r="R402" s="24" t="s">
        <v>3099</v>
      </c>
      <c r="S402" s="25" t="s">
        <v>97</v>
      </c>
      <c r="T402" s="26"/>
      <c r="U402" s="26">
        <v>54</v>
      </c>
      <c r="V402" s="158">
        <v>1579.75</v>
      </c>
      <c r="W402" s="127">
        <f t="shared" si="77"/>
        <v>0</v>
      </c>
      <c r="X402" s="127">
        <f t="shared" si="82"/>
        <v>54</v>
      </c>
      <c r="Y402" s="127">
        <f t="shared" si="79"/>
        <v>0</v>
      </c>
      <c r="Z402" s="127">
        <f t="shared" si="80"/>
        <v>85306.5</v>
      </c>
      <c r="AA402" s="27"/>
      <c r="AB402" s="36"/>
      <c r="AC402" s="200">
        <v>54</v>
      </c>
      <c r="AD402" s="181">
        <f t="shared" si="81"/>
        <v>85306.5</v>
      </c>
      <c r="AE402" s="181">
        <v>2</v>
      </c>
      <c r="AF402" s="181">
        <v>2</v>
      </c>
      <c r="AG402" s="101"/>
      <c r="AH402" s="190">
        <v>54</v>
      </c>
      <c r="AI402" s="69">
        <f t="shared" si="83"/>
        <v>54</v>
      </c>
    </row>
    <row r="403" spans="1:38" ht="39" x14ac:dyDescent="0.3">
      <c r="A403" s="207" t="s">
        <v>3100</v>
      </c>
      <c r="B403" s="208" t="s">
        <v>3101</v>
      </c>
      <c r="C403" s="204" t="s">
        <v>97</v>
      </c>
      <c r="D403" s="171"/>
      <c r="E403" s="158"/>
      <c r="F403" s="159"/>
      <c r="G403" s="159">
        <v>519.5</v>
      </c>
      <c r="H403" s="159" t="s">
        <v>15</v>
      </c>
      <c r="I403" s="158">
        <v>209.97</v>
      </c>
      <c r="J403" s="159">
        <v>109079.42</v>
      </c>
      <c r="K403" s="172"/>
      <c r="M403" s="46">
        <v>519.5</v>
      </c>
      <c r="N403" s="46">
        <v>0</v>
      </c>
      <c r="O403" s="46">
        <v>109079.42</v>
      </c>
      <c r="P403" s="98"/>
      <c r="Q403" s="23" t="s">
        <v>1374</v>
      </c>
      <c r="R403" s="24" t="s">
        <v>3101</v>
      </c>
      <c r="S403" s="25" t="s">
        <v>97</v>
      </c>
      <c r="T403" s="26"/>
      <c r="U403" s="26">
        <v>519.5</v>
      </c>
      <c r="V403" s="158">
        <v>209.97</v>
      </c>
      <c r="W403" s="127">
        <f t="shared" si="77"/>
        <v>0</v>
      </c>
      <c r="X403" s="127">
        <f t="shared" si="82"/>
        <v>519.5</v>
      </c>
      <c r="Y403" s="127">
        <f t="shared" si="79"/>
        <v>0</v>
      </c>
      <c r="Z403" s="127">
        <f t="shared" si="80"/>
        <v>109079.42</v>
      </c>
      <c r="AA403" s="27"/>
      <c r="AB403" s="36"/>
      <c r="AC403" s="200">
        <v>519.5</v>
      </c>
      <c r="AD403" s="181">
        <f t="shared" si="81"/>
        <v>109079.42</v>
      </c>
      <c r="AE403" s="181">
        <v>2</v>
      </c>
      <c r="AF403" s="181">
        <v>2</v>
      </c>
      <c r="AG403" s="101"/>
      <c r="AH403" s="190">
        <v>519.5</v>
      </c>
      <c r="AI403" s="69">
        <f t="shared" si="83"/>
        <v>519.5</v>
      </c>
    </row>
    <row r="404" spans="1:38" ht="49.5" x14ac:dyDescent="0.3">
      <c r="A404" s="207" t="s">
        <v>3102</v>
      </c>
      <c r="B404" s="241" t="s">
        <v>3103</v>
      </c>
      <c r="C404" s="204" t="s">
        <v>66</v>
      </c>
      <c r="D404" s="171"/>
      <c r="E404" s="158"/>
      <c r="F404" s="159"/>
      <c r="G404" s="159">
        <v>5</v>
      </c>
      <c r="H404" s="159" t="s">
        <v>15</v>
      </c>
      <c r="I404" s="158">
        <v>10798.3</v>
      </c>
      <c r="J404" s="159">
        <v>53991.5</v>
      </c>
      <c r="K404" s="172"/>
      <c r="M404" s="46">
        <v>5</v>
      </c>
      <c r="N404" s="46">
        <v>0</v>
      </c>
      <c r="O404" s="46">
        <v>53991.5</v>
      </c>
      <c r="P404" s="98"/>
      <c r="Q404" s="23" t="s">
        <v>1376</v>
      </c>
      <c r="R404" s="24" t="s">
        <v>3103</v>
      </c>
      <c r="S404" s="25" t="s">
        <v>66</v>
      </c>
      <c r="T404" s="26"/>
      <c r="U404" s="26">
        <v>5</v>
      </c>
      <c r="V404" s="158">
        <v>10798.3</v>
      </c>
      <c r="W404" s="127">
        <f t="shared" si="77"/>
        <v>0</v>
      </c>
      <c r="X404" s="127">
        <f t="shared" si="82"/>
        <v>5</v>
      </c>
      <c r="Y404" s="127">
        <f t="shared" si="79"/>
        <v>0</v>
      </c>
      <c r="Z404" s="127">
        <f t="shared" si="80"/>
        <v>53991.5</v>
      </c>
      <c r="AA404" s="27"/>
      <c r="AB404" s="36"/>
      <c r="AC404" s="200">
        <v>5</v>
      </c>
      <c r="AD404" s="181">
        <f t="shared" si="81"/>
        <v>53991.5</v>
      </c>
      <c r="AE404" s="181">
        <v>2</v>
      </c>
      <c r="AF404" s="181">
        <v>2</v>
      </c>
      <c r="AG404" s="101"/>
      <c r="AH404" s="190">
        <v>5</v>
      </c>
      <c r="AI404" s="69">
        <f t="shared" si="83"/>
        <v>5</v>
      </c>
    </row>
    <row r="405" spans="1:38" ht="49.5" x14ac:dyDescent="0.3">
      <c r="A405" s="207" t="s">
        <v>3104</v>
      </c>
      <c r="B405" s="241" t="s">
        <v>3105</v>
      </c>
      <c r="C405" s="204" t="s">
        <v>66</v>
      </c>
      <c r="D405" s="171"/>
      <c r="E405" s="158"/>
      <c r="F405" s="159"/>
      <c r="G405" s="159">
        <v>6</v>
      </c>
      <c r="H405" s="159" t="s">
        <v>15</v>
      </c>
      <c r="I405" s="158">
        <v>7248.86</v>
      </c>
      <c r="J405" s="159">
        <v>43493.16</v>
      </c>
      <c r="K405" s="172"/>
      <c r="M405" s="46">
        <v>6</v>
      </c>
      <c r="N405" s="46">
        <v>0</v>
      </c>
      <c r="O405" s="46">
        <v>43493.16</v>
      </c>
      <c r="P405" s="98"/>
      <c r="Q405" s="23" t="s">
        <v>1378</v>
      </c>
      <c r="R405" s="24" t="s">
        <v>3105</v>
      </c>
      <c r="S405" s="25" t="s">
        <v>66</v>
      </c>
      <c r="T405" s="26"/>
      <c r="U405" s="26">
        <v>6</v>
      </c>
      <c r="V405" s="158">
        <v>7248.86</v>
      </c>
      <c r="W405" s="127">
        <f t="shared" si="77"/>
        <v>0</v>
      </c>
      <c r="X405" s="127">
        <f t="shared" si="82"/>
        <v>6</v>
      </c>
      <c r="Y405" s="127">
        <f t="shared" si="79"/>
        <v>0</v>
      </c>
      <c r="Z405" s="127">
        <f t="shared" si="80"/>
        <v>43493.16</v>
      </c>
      <c r="AA405" s="27"/>
      <c r="AB405" s="36"/>
      <c r="AC405" s="200">
        <v>6</v>
      </c>
      <c r="AD405" s="181">
        <f t="shared" si="81"/>
        <v>43493.16</v>
      </c>
      <c r="AE405" s="181">
        <v>2</v>
      </c>
      <c r="AF405" s="181">
        <v>2</v>
      </c>
      <c r="AG405" s="101"/>
      <c r="AH405" s="190">
        <v>6</v>
      </c>
      <c r="AI405" s="69">
        <f t="shared" si="83"/>
        <v>6</v>
      </c>
    </row>
    <row r="406" spans="1:38" ht="25.5" customHeight="1" x14ac:dyDescent="0.3">
      <c r="A406" s="233">
        <v>2.29</v>
      </c>
      <c r="B406" s="180" t="s">
        <v>1527</v>
      </c>
      <c r="C406" s="58" t="s">
        <v>97</v>
      </c>
      <c r="D406" s="230"/>
      <c r="E406" s="230"/>
      <c r="F406" s="59"/>
      <c r="G406" s="59"/>
      <c r="H406" s="59">
        <v>320</v>
      </c>
      <c r="I406" s="230">
        <v>280</v>
      </c>
      <c r="J406" s="59">
        <v>89600</v>
      </c>
      <c r="K406" s="234"/>
      <c r="M406" s="46">
        <v>0</v>
      </c>
      <c r="N406" s="46">
        <v>0</v>
      </c>
      <c r="O406" s="46">
        <v>0</v>
      </c>
      <c r="P406" s="98"/>
      <c r="Q406" s="23">
        <v>29</v>
      </c>
      <c r="R406" s="24" t="s">
        <v>1527</v>
      </c>
      <c r="S406" s="25" t="s">
        <v>97</v>
      </c>
      <c r="T406" s="26"/>
      <c r="U406" s="26">
        <v>320</v>
      </c>
      <c r="V406" s="158">
        <v>280</v>
      </c>
      <c r="W406" s="26">
        <f t="shared" si="77"/>
        <v>0</v>
      </c>
      <c r="X406" s="26">
        <f t="shared" si="82"/>
        <v>0</v>
      </c>
      <c r="Y406" s="26">
        <f t="shared" si="79"/>
        <v>0</v>
      </c>
      <c r="Z406" s="26">
        <f t="shared" si="80"/>
        <v>0</v>
      </c>
      <c r="AA406" s="27"/>
      <c r="AB406" s="36"/>
      <c r="AC406" s="200">
        <v>320</v>
      </c>
      <c r="AD406" s="181">
        <f t="shared" si="81"/>
        <v>89600</v>
      </c>
      <c r="AE406" s="200">
        <v>2</v>
      </c>
      <c r="AF406" s="200"/>
      <c r="AG406" s="101"/>
      <c r="AH406" s="190">
        <v>0</v>
      </c>
      <c r="AI406" s="69">
        <f t="shared" si="83"/>
        <v>0</v>
      </c>
    </row>
    <row r="407" spans="1:38" s="69" customFormat="1" ht="33" customHeight="1" x14ac:dyDescent="0.3">
      <c r="A407" s="150" t="s">
        <v>1039</v>
      </c>
      <c r="B407" s="151" t="s">
        <v>1040</v>
      </c>
      <c r="C407" s="152" t="s">
        <v>14</v>
      </c>
      <c r="D407" s="153">
        <v>1</v>
      </c>
      <c r="E407" s="153"/>
      <c r="F407" s="153"/>
      <c r="G407" s="153"/>
      <c r="H407" s="153"/>
      <c r="I407" s="153"/>
      <c r="J407" s="153">
        <v>3727423.71</v>
      </c>
      <c r="K407" s="154" t="s">
        <v>15</v>
      </c>
      <c r="L407" s="73"/>
      <c r="M407" s="42">
        <v>1</v>
      </c>
      <c r="N407" s="42">
        <v>0</v>
      </c>
      <c r="O407" s="42">
        <v>2038723.71</v>
      </c>
      <c r="P407" s="98"/>
      <c r="Q407" s="13" t="s">
        <v>1407</v>
      </c>
      <c r="R407" s="14" t="s">
        <v>1040</v>
      </c>
      <c r="S407" s="15" t="s">
        <v>14</v>
      </c>
      <c r="T407" s="16">
        <v>1</v>
      </c>
      <c r="U407" s="16"/>
      <c r="V407" s="16">
        <f>SUMIFS(AD:AD,AE:AE,AE407)</f>
        <v>3727423.7099999995</v>
      </c>
      <c r="W407" s="16">
        <f t="shared" ref="W407:X407" si="84">IF(Y407=0,0,1)</f>
        <v>1</v>
      </c>
      <c r="X407" s="16">
        <f t="shared" si="84"/>
        <v>1</v>
      </c>
      <c r="Y407" s="16">
        <f>SUMIFS(Y:Y,AF:AF,AE407)</f>
        <v>569550</v>
      </c>
      <c r="Z407" s="16">
        <f>SUMIFS(Z:Z,AF:AF,AE407)</f>
        <v>2608273.7099999995</v>
      </c>
      <c r="AA407" s="17" t="s">
        <v>15</v>
      </c>
      <c r="AB407" s="40" t="s">
        <v>16</v>
      </c>
      <c r="AC407" s="181">
        <f t="shared" si="65"/>
        <v>1</v>
      </c>
      <c r="AD407" s="183"/>
      <c r="AE407" s="183">
        <v>3</v>
      </c>
      <c r="AF407" s="183"/>
      <c r="AG407" s="101" t="str">
        <f t="shared" si="66"/>
        <v/>
      </c>
      <c r="AH407" s="190">
        <v>1</v>
      </c>
      <c r="AI407" s="69">
        <f t="shared" si="83"/>
        <v>1</v>
      </c>
    </row>
    <row r="408" spans="1:38" s="69" customFormat="1" ht="66" x14ac:dyDescent="0.3">
      <c r="A408" s="55" t="s">
        <v>1041</v>
      </c>
      <c r="B408" s="138" t="s">
        <v>1042</v>
      </c>
      <c r="C408" s="54" t="s">
        <v>162</v>
      </c>
      <c r="D408" s="75">
        <v>340</v>
      </c>
      <c r="E408" s="75"/>
      <c r="F408" s="75"/>
      <c r="G408" s="75"/>
      <c r="H408" s="75"/>
      <c r="I408" s="75">
        <v>300</v>
      </c>
      <c r="J408" s="75">
        <v>102000</v>
      </c>
      <c r="K408" s="91" t="s">
        <v>1043</v>
      </c>
      <c r="L408" s="73"/>
      <c r="M408" s="46">
        <v>219</v>
      </c>
      <c r="N408" s="46">
        <v>0</v>
      </c>
      <c r="O408" s="46">
        <v>65700</v>
      </c>
      <c r="P408" s="98"/>
      <c r="Q408" s="23" t="s">
        <v>1421</v>
      </c>
      <c r="R408" s="24" t="s">
        <v>1042</v>
      </c>
      <c r="S408" s="25" t="s">
        <v>162</v>
      </c>
      <c r="T408" s="26">
        <v>340</v>
      </c>
      <c r="U408" s="26">
        <v>340</v>
      </c>
      <c r="V408" s="26">
        <v>300</v>
      </c>
      <c r="W408" s="128">
        <f t="shared" ref="W408:W446" si="85">AH408-M408</f>
        <v>0</v>
      </c>
      <c r="X408" s="26">
        <f t="shared" si="78"/>
        <v>219</v>
      </c>
      <c r="Y408" s="26">
        <f t="shared" ref="Y408:Y446" si="86">Z408-O408</f>
        <v>0</v>
      </c>
      <c r="Z408" s="26">
        <f t="shared" ref="Z408:Z446" si="87">ROUND(V408*X408,2)</f>
        <v>65700</v>
      </c>
      <c r="AA408" s="33" t="s">
        <v>15</v>
      </c>
      <c r="AB408" s="36" t="s">
        <v>16</v>
      </c>
      <c r="AC408" s="181">
        <f t="shared" si="65"/>
        <v>340</v>
      </c>
      <c r="AD408" s="181">
        <f t="shared" ref="AD408:AD446" si="88">ROUND(V408*AC408,2)</f>
        <v>102000</v>
      </c>
      <c r="AE408" s="181">
        <v>3</v>
      </c>
      <c r="AF408" s="181">
        <v>3</v>
      </c>
      <c r="AG408" s="101" t="str">
        <f t="shared" si="66"/>
        <v/>
      </c>
      <c r="AH408" s="190">
        <v>219</v>
      </c>
      <c r="AI408" s="69">
        <f t="shared" si="83"/>
        <v>340</v>
      </c>
      <c r="AL408" s="69">
        <v>0</v>
      </c>
    </row>
    <row r="409" spans="1:38" s="69" customFormat="1" ht="49.5" x14ac:dyDescent="0.3">
      <c r="A409" s="55" t="s">
        <v>1044</v>
      </c>
      <c r="B409" s="138" t="s">
        <v>1045</v>
      </c>
      <c r="C409" s="54" t="s">
        <v>325</v>
      </c>
      <c r="D409" s="75">
        <v>68</v>
      </c>
      <c r="E409" s="75"/>
      <c r="F409" s="75"/>
      <c r="G409" s="75"/>
      <c r="H409" s="75"/>
      <c r="I409" s="75">
        <v>3000</v>
      </c>
      <c r="J409" s="75">
        <v>204000</v>
      </c>
      <c r="K409" s="91" t="s">
        <v>1046</v>
      </c>
      <c r="L409" s="73"/>
      <c r="M409" s="46">
        <v>52</v>
      </c>
      <c r="N409" s="46">
        <v>0</v>
      </c>
      <c r="O409" s="46">
        <v>156000</v>
      </c>
      <c r="P409" s="98"/>
      <c r="Q409" s="23" t="s">
        <v>1426</v>
      </c>
      <c r="R409" s="24" t="s">
        <v>1045</v>
      </c>
      <c r="S409" s="25" t="s">
        <v>325</v>
      </c>
      <c r="T409" s="26">
        <v>68</v>
      </c>
      <c r="U409" s="26">
        <v>68</v>
      </c>
      <c r="V409" s="26">
        <v>3000</v>
      </c>
      <c r="W409" s="128">
        <f t="shared" si="85"/>
        <v>0</v>
      </c>
      <c r="X409" s="26">
        <f t="shared" si="78"/>
        <v>52</v>
      </c>
      <c r="Y409" s="26">
        <f t="shared" si="86"/>
        <v>0</v>
      </c>
      <c r="Z409" s="26">
        <f t="shared" si="87"/>
        <v>156000</v>
      </c>
      <c r="AA409" s="33" t="s">
        <v>15</v>
      </c>
      <c r="AB409" s="36" t="s">
        <v>16</v>
      </c>
      <c r="AC409" s="181">
        <f t="shared" si="65"/>
        <v>68</v>
      </c>
      <c r="AD409" s="181">
        <f t="shared" si="88"/>
        <v>204000</v>
      </c>
      <c r="AE409" s="181">
        <v>3</v>
      </c>
      <c r="AF409" s="181">
        <v>3</v>
      </c>
      <c r="AG409" s="101" t="str">
        <f t="shared" si="66"/>
        <v/>
      </c>
      <c r="AH409" s="190">
        <v>52</v>
      </c>
      <c r="AI409" s="69">
        <f t="shared" si="83"/>
        <v>68</v>
      </c>
      <c r="AL409" s="69">
        <v>0</v>
      </c>
    </row>
    <row r="410" spans="1:38" s="69" customFormat="1" ht="33" x14ac:dyDescent="0.3">
      <c r="A410" s="55" t="s">
        <v>1047</v>
      </c>
      <c r="B410" s="138" t="s">
        <v>1048</v>
      </c>
      <c r="C410" s="54" t="s">
        <v>325</v>
      </c>
      <c r="D410" s="75">
        <v>68</v>
      </c>
      <c r="E410" s="75"/>
      <c r="F410" s="75"/>
      <c r="G410" s="75"/>
      <c r="H410" s="75"/>
      <c r="I410" s="75">
        <v>150</v>
      </c>
      <c r="J410" s="75">
        <v>10200</v>
      </c>
      <c r="K410" s="91" t="s">
        <v>1049</v>
      </c>
      <c r="L410" s="73"/>
      <c r="M410" s="46">
        <v>52</v>
      </c>
      <c r="N410" s="46">
        <v>0</v>
      </c>
      <c r="O410" s="46">
        <v>7800</v>
      </c>
      <c r="P410" s="98"/>
      <c r="Q410" s="23" t="s">
        <v>1402</v>
      </c>
      <c r="R410" s="24" t="s">
        <v>1048</v>
      </c>
      <c r="S410" s="25" t="s">
        <v>325</v>
      </c>
      <c r="T410" s="26">
        <v>68</v>
      </c>
      <c r="U410" s="26">
        <v>68</v>
      </c>
      <c r="V410" s="26">
        <v>150</v>
      </c>
      <c r="W410" s="128">
        <f t="shared" si="85"/>
        <v>0</v>
      </c>
      <c r="X410" s="26">
        <f t="shared" si="78"/>
        <v>52</v>
      </c>
      <c r="Y410" s="26">
        <f t="shared" si="86"/>
        <v>0</v>
      </c>
      <c r="Z410" s="26">
        <f t="shared" si="87"/>
        <v>7800</v>
      </c>
      <c r="AA410" s="33" t="s">
        <v>15</v>
      </c>
      <c r="AB410" s="36" t="s">
        <v>16</v>
      </c>
      <c r="AC410" s="181">
        <f t="shared" si="65"/>
        <v>68</v>
      </c>
      <c r="AD410" s="181">
        <f t="shared" si="88"/>
        <v>10200</v>
      </c>
      <c r="AE410" s="181">
        <v>3</v>
      </c>
      <c r="AF410" s="181">
        <v>3</v>
      </c>
      <c r="AG410" s="101" t="str">
        <f t="shared" si="66"/>
        <v/>
      </c>
      <c r="AH410" s="190">
        <v>52</v>
      </c>
      <c r="AI410" s="69">
        <f t="shared" si="83"/>
        <v>68</v>
      </c>
      <c r="AL410" s="69">
        <v>0</v>
      </c>
    </row>
    <row r="411" spans="1:38" s="69" customFormat="1" ht="49.5" x14ac:dyDescent="0.3">
      <c r="A411" s="55" t="s">
        <v>1050</v>
      </c>
      <c r="B411" s="138" t="s">
        <v>1051</v>
      </c>
      <c r="C411" s="54" t="s">
        <v>1052</v>
      </c>
      <c r="D411" s="75">
        <v>9</v>
      </c>
      <c r="E411" s="75"/>
      <c r="F411" s="75"/>
      <c r="G411" s="75"/>
      <c r="H411" s="75"/>
      <c r="I411" s="75">
        <v>1200</v>
      </c>
      <c r="J411" s="75">
        <v>10800</v>
      </c>
      <c r="K411" s="91" t="s">
        <v>1053</v>
      </c>
      <c r="L411" s="73"/>
      <c r="M411" s="46">
        <v>0</v>
      </c>
      <c r="N411" s="46">
        <v>0</v>
      </c>
      <c r="O411" s="46">
        <v>0</v>
      </c>
      <c r="P411" s="98"/>
      <c r="Q411" s="23" t="s">
        <v>1373</v>
      </c>
      <c r="R411" s="24" t="s">
        <v>1051</v>
      </c>
      <c r="S411" s="25" t="s">
        <v>1052</v>
      </c>
      <c r="T411" s="26">
        <v>9</v>
      </c>
      <c r="U411" s="26">
        <v>9</v>
      </c>
      <c r="V411" s="26">
        <v>1200</v>
      </c>
      <c r="W411" s="243">
        <f t="shared" si="85"/>
        <v>3</v>
      </c>
      <c r="X411" s="26">
        <f t="shared" si="78"/>
        <v>3</v>
      </c>
      <c r="Y411" s="26">
        <f t="shared" si="86"/>
        <v>3600</v>
      </c>
      <c r="Z411" s="26">
        <f t="shared" si="87"/>
        <v>3600</v>
      </c>
      <c r="AA411" s="33" t="s">
        <v>15</v>
      </c>
      <c r="AB411" s="36" t="s">
        <v>16</v>
      </c>
      <c r="AC411" s="181">
        <f t="shared" si="65"/>
        <v>9</v>
      </c>
      <c r="AD411" s="181">
        <f t="shared" si="88"/>
        <v>10800</v>
      </c>
      <c r="AE411" s="181">
        <v>3</v>
      </c>
      <c r="AF411" s="181">
        <v>3</v>
      </c>
      <c r="AG411" s="101" t="str">
        <f t="shared" si="66"/>
        <v/>
      </c>
      <c r="AH411" s="191">
        <f>3</f>
        <v>3</v>
      </c>
      <c r="AI411" s="69">
        <f t="shared" si="83"/>
        <v>9</v>
      </c>
      <c r="AL411" s="69">
        <v>0</v>
      </c>
    </row>
    <row r="412" spans="1:38" s="69" customFormat="1" ht="66" x14ac:dyDescent="0.3">
      <c r="A412" s="55" t="s">
        <v>1054</v>
      </c>
      <c r="B412" s="138" t="s">
        <v>3114</v>
      </c>
      <c r="C412" s="54" t="s">
        <v>325</v>
      </c>
      <c r="D412" s="75">
        <v>38</v>
      </c>
      <c r="E412" s="75"/>
      <c r="F412" s="75"/>
      <c r="G412" s="75"/>
      <c r="H412" s="75"/>
      <c r="I412" s="75">
        <v>650</v>
      </c>
      <c r="J412" s="75">
        <v>24700</v>
      </c>
      <c r="K412" s="91" t="s">
        <v>1056</v>
      </c>
      <c r="L412" s="73"/>
      <c r="M412" s="46">
        <v>12</v>
      </c>
      <c r="N412" s="46">
        <v>0</v>
      </c>
      <c r="O412" s="46">
        <v>7800</v>
      </c>
      <c r="P412" s="98"/>
      <c r="Q412" s="23" t="s">
        <v>1393</v>
      </c>
      <c r="R412" s="24" t="s">
        <v>1055</v>
      </c>
      <c r="S412" s="25" t="s">
        <v>325</v>
      </c>
      <c r="T412" s="26">
        <v>38</v>
      </c>
      <c r="U412" s="26">
        <v>38</v>
      </c>
      <c r="V412" s="26">
        <v>650</v>
      </c>
      <c r="W412" s="243">
        <f t="shared" si="85"/>
        <v>13</v>
      </c>
      <c r="X412" s="26">
        <f t="shared" si="78"/>
        <v>25</v>
      </c>
      <c r="Y412" s="26">
        <f t="shared" si="86"/>
        <v>8450</v>
      </c>
      <c r="Z412" s="26">
        <f t="shared" si="87"/>
        <v>16250</v>
      </c>
      <c r="AA412" s="33" t="s">
        <v>15</v>
      </c>
      <c r="AB412" s="36" t="s">
        <v>16</v>
      </c>
      <c r="AC412" s="181">
        <f t="shared" si="65"/>
        <v>38</v>
      </c>
      <c r="AD412" s="181">
        <f t="shared" si="88"/>
        <v>24700</v>
      </c>
      <c r="AE412" s="181">
        <v>3</v>
      </c>
      <c r="AF412" s="181">
        <v>3</v>
      </c>
      <c r="AG412" s="101" t="str">
        <f t="shared" si="66"/>
        <v/>
      </c>
      <c r="AH412" s="191">
        <f>12+13</f>
        <v>25</v>
      </c>
      <c r="AI412" s="69">
        <f t="shared" si="83"/>
        <v>38</v>
      </c>
      <c r="AL412" s="69">
        <v>0</v>
      </c>
    </row>
    <row r="413" spans="1:38" s="69" customFormat="1" ht="66" customHeight="1" x14ac:dyDescent="0.3">
      <c r="A413" s="55" t="s">
        <v>1057</v>
      </c>
      <c r="B413" s="138" t="s">
        <v>3115</v>
      </c>
      <c r="C413" s="54" t="s">
        <v>325</v>
      </c>
      <c r="D413" s="75">
        <v>38</v>
      </c>
      <c r="E413" s="75"/>
      <c r="F413" s="75"/>
      <c r="G413" s="75"/>
      <c r="H413" s="75"/>
      <c r="I413" s="75">
        <v>1300</v>
      </c>
      <c r="J413" s="75">
        <v>49400</v>
      </c>
      <c r="K413" s="91" t="s">
        <v>1059</v>
      </c>
      <c r="L413" s="73"/>
      <c r="M413" s="46">
        <v>12</v>
      </c>
      <c r="N413" s="46">
        <v>0</v>
      </c>
      <c r="O413" s="46">
        <v>15600</v>
      </c>
      <c r="P413" s="98"/>
      <c r="Q413" s="23" t="s">
        <v>1403</v>
      </c>
      <c r="R413" s="24" t="s">
        <v>1058</v>
      </c>
      <c r="S413" s="25" t="s">
        <v>325</v>
      </c>
      <c r="T413" s="26">
        <v>38</v>
      </c>
      <c r="U413" s="26">
        <v>38</v>
      </c>
      <c r="V413" s="26">
        <v>1300</v>
      </c>
      <c r="W413" s="243">
        <f t="shared" si="85"/>
        <v>13</v>
      </c>
      <c r="X413" s="26">
        <f t="shared" si="78"/>
        <v>25</v>
      </c>
      <c r="Y413" s="26">
        <f t="shared" si="86"/>
        <v>16900</v>
      </c>
      <c r="Z413" s="26">
        <f t="shared" si="87"/>
        <v>32500</v>
      </c>
      <c r="AA413" s="33" t="s">
        <v>15</v>
      </c>
      <c r="AB413" s="36" t="s">
        <v>16</v>
      </c>
      <c r="AC413" s="181">
        <f t="shared" ref="AC413:AC477" si="89">IF(U413="",T413,U413)</f>
        <v>38</v>
      </c>
      <c r="AD413" s="181">
        <f t="shared" si="88"/>
        <v>49400</v>
      </c>
      <c r="AE413" s="181">
        <v>3</v>
      </c>
      <c r="AF413" s="181">
        <v>3</v>
      </c>
      <c r="AG413" s="101" t="str">
        <f t="shared" ref="AG413:AG477" si="90">IF(X413&gt;AI413,"超估","")</f>
        <v/>
      </c>
      <c r="AH413" s="191">
        <f>AH412</f>
        <v>25</v>
      </c>
      <c r="AI413" s="69">
        <f t="shared" si="83"/>
        <v>38</v>
      </c>
      <c r="AL413" s="69">
        <v>0</v>
      </c>
    </row>
    <row r="414" spans="1:38" s="69" customFormat="1" ht="66" customHeight="1" x14ac:dyDescent="0.3">
      <c r="A414" s="55" t="s">
        <v>1060</v>
      </c>
      <c r="B414" s="138" t="s">
        <v>3116</v>
      </c>
      <c r="C414" s="54" t="s">
        <v>325</v>
      </c>
      <c r="D414" s="75">
        <v>7</v>
      </c>
      <c r="E414" s="75"/>
      <c r="F414" s="75"/>
      <c r="G414" s="75"/>
      <c r="H414" s="75"/>
      <c r="I414" s="75">
        <v>3500</v>
      </c>
      <c r="J414" s="75">
        <v>24500</v>
      </c>
      <c r="K414" s="91" t="s">
        <v>1062</v>
      </c>
      <c r="L414" s="73"/>
      <c r="M414" s="46">
        <v>0</v>
      </c>
      <c r="N414" s="46">
        <v>0</v>
      </c>
      <c r="O414" s="46">
        <v>0</v>
      </c>
      <c r="P414" s="98"/>
      <c r="Q414" s="23" t="s">
        <v>1427</v>
      </c>
      <c r="R414" s="24" t="s">
        <v>1061</v>
      </c>
      <c r="S414" s="25" t="s">
        <v>325</v>
      </c>
      <c r="T414" s="26">
        <v>7</v>
      </c>
      <c r="U414" s="26">
        <v>7</v>
      </c>
      <c r="V414" s="26">
        <v>3500</v>
      </c>
      <c r="W414" s="26">
        <f t="shared" si="85"/>
        <v>0</v>
      </c>
      <c r="X414" s="26">
        <f t="shared" si="78"/>
        <v>0</v>
      </c>
      <c r="Y414" s="26">
        <f t="shared" si="86"/>
        <v>0</v>
      </c>
      <c r="Z414" s="26">
        <f t="shared" si="87"/>
        <v>0</v>
      </c>
      <c r="AA414" s="33" t="s">
        <v>15</v>
      </c>
      <c r="AB414" s="36" t="s">
        <v>16</v>
      </c>
      <c r="AC414" s="181">
        <f t="shared" si="89"/>
        <v>7</v>
      </c>
      <c r="AD414" s="181">
        <f t="shared" si="88"/>
        <v>24500</v>
      </c>
      <c r="AE414" s="181">
        <v>3</v>
      </c>
      <c r="AF414" s="181">
        <v>3</v>
      </c>
      <c r="AG414" s="101" t="str">
        <f t="shared" si="90"/>
        <v/>
      </c>
      <c r="AH414" s="190">
        <v>0</v>
      </c>
      <c r="AI414" s="69">
        <f t="shared" si="83"/>
        <v>7</v>
      </c>
      <c r="AL414" s="69">
        <v>0</v>
      </c>
    </row>
    <row r="415" spans="1:38" s="69" customFormat="1" ht="66" customHeight="1" x14ac:dyDescent="0.3">
      <c r="A415" s="55" t="s">
        <v>1063</v>
      </c>
      <c r="B415" s="138" t="s">
        <v>1064</v>
      </c>
      <c r="C415" s="54" t="s">
        <v>325</v>
      </c>
      <c r="D415" s="75">
        <v>5</v>
      </c>
      <c r="E415" s="75"/>
      <c r="F415" s="75"/>
      <c r="G415" s="75"/>
      <c r="H415" s="75"/>
      <c r="I415" s="75">
        <v>700</v>
      </c>
      <c r="J415" s="75">
        <v>3500</v>
      </c>
      <c r="K415" s="91" t="s">
        <v>1065</v>
      </c>
      <c r="L415" s="73"/>
      <c r="M415" s="46">
        <v>0</v>
      </c>
      <c r="N415" s="46">
        <v>0</v>
      </c>
      <c r="O415" s="46">
        <v>0</v>
      </c>
      <c r="P415" s="98"/>
      <c r="Q415" s="23" t="s">
        <v>1428</v>
      </c>
      <c r="R415" s="24" t="s">
        <v>1064</v>
      </c>
      <c r="S415" s="25" t="s">
        <v>325</v>
      </c>
      <c r="T415" s="26">
        <v>5</v>
      </c>
      <c r="U415" s="26">
        <v>5</v>
      </c>
      <c r="V415" s="26">
        <v>700</v>
      </c>
      <c r="W415" s="26">
        <f t="shared" si="85"/>
        <v>0</v>
      </c>
      <c r="X415" s="26">
        <f t="shared" si="78"/>
        <v>0</v>
      </c>
      <c r="Y415" s="26">
        <f t="shared" si="86"/>
        <v>0</v>
      </c>
      <c r="Z415" s="26">
        <f t="shared" si="87"/>
        <v>0</v>
      </c>
      <c r="AA415" s="33" t="s">
        <v>15</v>
      </c>
      <c r="AB415" s="36" t="s">
        <v>16</v>
      </c>
      <c r="AC415" s="181">
        <f t="shared" si="89"/>
        <v>5</v>
      </c>
      <c r="AD415" s="181">
        <f t="shared" si="88"/>
        <v>3500</v>
      </c>
      <c r="AE415" s="181">
        <v>3</v>
      </c>
      <c r="AF415" s="181">
        <v>3</v>
      </c>
      <c r="AG415" s="101" t="str">
        <f t="shared" si="90"/>
        <v/>
      </c>
      <c r="AH415" s="190">
        <v>0</v>
      </c>
      <c r="AI415" s="69">
        <f t="shared" si="83"/>
        <v>5</v>
      </c>
      <c r="AL415" s="69">
        <v>0</v>
      </c>
    </row>
    <row r="416" spans="1:38" s="69" customFormat="1" ht="49.5" customHeight="1" x14ac:dyDescent="0.3">
      <c r="A416" s="55" t="s">
        <v>1066</v>
      </c>
      <c r="B416" s="138" t="s">
        <v>1067</v>
      </c>
      <c r="C416" s="54" t="s">
        <v>66</v>
      </c>
      <c r="D416" s="75">
        <v>1</v>
      </c>
      <c r="E416" s="75"/>
      <c r="F416" s="75"/>
      <c r="G416" s="75"/>
      <c r="H416" s="75"/>
      <c r="I416" s="75">
        <v>15000</v>
      </c>
      <c r="J416" s="75">
        <v>15000</v>
      </c>
      <c r="K416" s="91" t="s">
        <v>1068</v>
      </c>
      <c r="L416" s="73"/>
      <c r="M416" s="46">
        <v>0</v>
      </c>
      <c r="N416" s="46">
        <v>0</v>
      </c>
      <c r="O416" s="46">
        <v>0</v>
      </c>
      <c r="P416" s="98"/>
      <c r="Q416" s="23" t="s">
        <v>1387</v>
      </c>
      <c r="R416" s="24" t="s">
        <v>1067</v>
      </c>
      <c r="S416" s="25" t="s">
        <v>66</v>
      </c>
      <c r="T416" s="26">
        <v>1</v>
      </c>
      <c r="U416" s="26">
        <v>1</v>
      </c>
      <c r="V416" s="26">
        <v>15000</v>
      </c>
      <c r="W416" s="26">
        <f t="shared" si="85"/>
        <v>0</v>
      </c>
      <c r="X416" s="26">
        <f t="shared" si="78"/>
        <v>0</v>
      </c>
      <c r="Y416" s="26">
        <f t="shared" si="86"/>
        <v>0</v>
      </c>
      <c r="Z416" s="26">
        <f t="shared" si="87"/>
        <v>0</v>
      </c>
      <c r="AA416" s="33" t="s">
        <v>15</v>
      </c>
      <c r="AB416" s="36" t="s">
        <v>16</v>
      </c>
      <c r="AC416" s="181">
        <f t="shared" si="89"/>
        <v>1</v>
      </c>
      <c r="AD416" s="181">
        <f t="shared" si="88"/>
        <v>15000</v>
      </c>
      <c r="AE416" s="181">
        <v>3</v>
      </c>
      <c r="AF416" s="181">
        <v>3</v>
      </c>
      <c r="AG416" s="101" t="str">
        <f t="shared" si="90"/>
        <v/>
      </c>
      <c r="AH416" s="190">
        <v>0</v>
      </c>
      <c r="AI416" s="69">
        <f t="shared" si="83"/>
        <v>1</v>
      </c>
      <c r="AL416" s="69">
        <v>0</v>
      </c>
    </row>
    <row r="417" spans="1:38" s="69" customFormat="1" ht="49.5" customHeight="1" x14ac:dyDescent="0.3">
      <c r="A417" s="55" t="s">
        <v>1069</v>
      </c>
      <c r="B417" s="138" t="s">
        <v>1070</v>
      </c>
      <c r="C417" s="54" t="s">
        <v>325</v>
      </c>
      <c r="D417" s="75">
        <v>1</v>
      </c>
      <c r="E417" s="75"/>
      <c r="F417" s="75"/>
      <c r="G417" s="75"/>
      <c r="H417" s="75"/>
      <c r="I417" s="75">
        <v>6000</v>
      </c>
      <c r="J417" s="75">
        <v>6000</v>
      </c>
      <c r="K417" s="91" t="s">
        <v>1071</v>
      </c>
      <c r="L417" s="73"/>
      <c r="M417" s="46">
        <v>0</v>
      </c>
      <c r="N417" s="46">
        <v>0</v>
      </c>
      <c r="O417" s="46">
        <v>0</v>
      </c>
      <c r="P417" s="98"/>
      <c r="Q417" s="23" t="s">
        <v>1405</v>
      </c>
      <c r="R417" s="24" t="s">
        <v>1070</v>
      </c>
      <c r="S417" s="25" t="s">
        <v>325</v>
      </c>
      <c r="T417" s="26">
        <v>1</v>
      </c>
      <c r="U417" s="26">
        <v>1</v>
      </c>
      <c r="V417" s="26">
        <v>6000</v>
      </c>
      <c r="W417" s="26">
        <f t="shared" si="85"/>
        <v>0</v>
      </c>
      <c r="X417" s="26">
        <f t="shared" si="78"/>
        <v>0</v>
      </c>
      <c r="Y417" s="26">
        <f t="shared" si="86"/>
        <v>0</v>
      </c>
      <c r="Z417" s="26">
        <f t="shared" si="87"/>
        <v>0</v>
      </c>
      <c r="AA417" s="33" t="s">
        <v>15</v>
      </c>
      <c r="AB417" s="36" t="s">
        <v>16</v>
      </c>
      <c r="AC417" s="181">
        <f t="shared" si="89"/>
        <v>1</v>
      </c>
      <c r="AD417" s="181">
        <f t="shared" si="88"/>
        <v>6000</v>
      </c>
      <c r="AE417" s="181">
        <v>3</v>
      </c>
      <c r="AF417" s="181">
        <v>3</v>
      </c>
      <c r="AG417" s="101" t="str">
        <f t="shared" si="90"/>
        <v/>
      </c>
      <c r="AH417" s="190">
        <v>0</v>
      </c>
      <c r="AI417" s="69">
        <f t="shared" si="83"/>
        <v>1</v>
      </c>
      <c r="AL417" s="69">
        <v>0</v>
      </c>
    </row>
    <row r="418" spans="1:38" s="69" customFormat="1" ht="92.25" customHeight="1" x14ac:dyDescent="0.3">
      <c r="A418" s="130" t="s">
        <v>1072</v>
      </c>
      <c r="B418" s="240" t="s">
        <v>3141</v>
      </c>
      <c r="C418" s="132" t="s">
        <v>325</v>
      </c>
      <c r="D418" s="133">
        <v>1</v>
      </c>
      <c r="E418" s="75"/>
      <c r="F418" s="75"/>
      <c r="G418" s="75"/>
      <c r="H418" s="75"/>
      <c r="I418" s="75">
        <v>49500</v>
      </c>
      <c r="J418" s="75">
        <v>49500</v>
      </c>
      <c r="K418" s="91" t="s">
        <v>1074</v>
      </c>
      <c r="L418" s="73"/>
      <c r="M418" s="46">
        <v>0</v>
      </c>
      <c r="N418" s="46">
        <v>0</v>
      </c>
      <c r="O418" s="46">
        <v>0</v>
      </c>
      <c r="P418" s="98"/>
      <c r="Q418" s="23" t="s">
        <v>1406</v>
      </c>
      <c r="R418" s="24" t="s">
        <v>1073</v>
      </c>
      <c r="S418" s="25" t="s">
        <v>325</v>
      </c>
      <c r="T418" s="26">
        <v>1</v>
      </c>
      <c r="U418" s="26">
        <v>1</v>
      </c>
      <c r="V418" s="26">
        <v>49500</v>
      </c>
      <c r="W418" s="243">
        <f t="shared" si="85"/>
        <v>1</v>
      </c>
      <c r="X418" s="127">
        <f t="shared" si="78"/>
        <v>1</v>
      </c>
      <c r="Y418" s="127">
        <f t="shared" si="86"/>
        <v>49500</v>
      </c>
      <c r="Z418" s="127">
        <f t="shared" si="87"/>
        <v>49500</v>
      </c>
      <c r="AA418" s="33" t="s">
        <v>15</v>
      </c>
      <c r="AB418" s="36" t="s">
        <v>16</v>
      </c>
      <c r="AC418" s="181">
        <f t="shared" si="89"/>
        <v>1</v>
      </c>
      <c r="AD418" s="181">
        <f t="shared" si="88"/>
        <v>49500</v>
      </c>
      <c r="AE418" s="181">
        <v>3</v>
      </c>
      <c r="AF418" s="181">
        <v>3</v>
      </c>
      <c r="AG418" s="101" t="str">
        <f t="shared" si="90"/>
        <v/>
      </c>
      <c r="AH418" s="191">
        <v>1</v>
      </c>
      <c r="AI418" s="69">
        <f t="shared" si="83"/>
        <v>1</v>
      </c>
      <c r="AL418" s="69">
        <v>0</v>
      </c>
    </row>
    <row r="419" spans="1:38" s="69" customFormat="1" ht="66" customHeight="1" x14ac:dyDescent="0.3">
      <c r="A419" s="55" t="s">
        <v>1075</v>
      </c>
      <c r="B419" s="138" t="s">
        <v>3118</v>
      </c>
      <c r="C419" s="54" t="s">
        <v>325</v>
      </c>
      <c r="D419" s="75">
        <v>8</v>
      </c>
      <c r="E419" s="75"/>
      <c r="F419" s="75"/>
      <c r="G419" s="75"/>
      <c r="H419" s="75"/>
      <c r="I419" s="75">
        <v>3000</v>
      </c>
      <c r="J419" s="75">
        <v>24000</v>
      </c>
      <c r="K419" s="91" t="s">
        <v>1077</v>
      </c>
      <c r="L419" s="73"/>
      <c r="M419" s="46">
        <v>0</v>
      </c>
      <c r="N419" s="46">
        <v>0</v>
      </c>
      <c r="O419" s="46">
        <v>0</v>
      </c>
      <c r="P419" s="98"/>
      <c r="Q419" s="23" t="s">
        <v>1414</v>
      </c>
      <c r="R419" s="24" t="s">
        <v>1076</v>
      </c>
      <c r="S419" s="25" t="s">
        <v>325</v>
      </c>
      <c r="T419" s="26">
        <v>8</v>
      </c>
      <c r="U419" s="26">
        <v>8</v>
      </c>
      <c r="V419" s="26">
        <v>3000</v>
      </c>
      <c r="W419" s="26">
        <f t="shared" si="85"/>
        <v>0</v>
      </c>
      <c r="X419" s="26">
        <f t="shared" si="78"/>
        <v>0</v>
      </c>
      <c r="Y419" s="26">
        <f t="shared" si="86"/>
        <v>0</v>
      </c>
      <c r="Z419" s="26">
        <f t="shared" si="87"/>
        <v>0</v>
      </c>
      <c r="AA419" s="33" t="s">
        <v>15</v>
      </c>
      <c r="AB419" s="36" t="s">
        <v>16</v>
      </c>
      <c r="AC419" s="181">
        <f t="shared" si="89"/>
        <v>8</v>
      </c>
      <c r="AD419" s="181">
        <f t="shared" si="88"/>
        <v>24000</v>
      </c>
      <c r="AE419" s="181">
        <v>3</v>
      </c>
      <c r="AF419" s="181">
        <v>3</v>
      </c>
      <c r="AG419" s="101" t="str">
        <f t="shared" si="90"/>
        <v/>
      </c>
      <c r="AH419" s="190">
        <v>0</v>
      </c>
      <c r="AI419" s="69">
        <f t="shared" si="83"/>
        <v>8</v>
      </c>
      <c r="AL419" s="69">
        <v>0</v>
      </c>
    </row>
    <row r="420" spans="1:38" s="69" customFormat="1" ht="33" customHeight="1" x14ac:dyDescent="0.3">
      <c r="A420" s="130" t="s">
        <v>1078</v>
      </c>
      <c r="B420" s="240" t="s">
        <v>1079</v>
      </c>
      <c r="C420" s="132" t="s">
        <v>66</v>
      </c>
      <c r="D420" s="133">
        <v>75</v>
      </c>
      <c r="E420" s="75"/>
      <c r="F420" s="75"/>
      <c r="G420" s="75"/>
      <c r="H420" s="75"/>
      <c r="I420" s="75">
        <v>12000</v>
      </c>
      <c r="J420" s="75">
        <v>900000</v>
      </c>
      <c r="K420" s="91" t="s">
        <v>1080</v>
      </c>
      <c r="L420" s="73"/>
      <c r="M420" s="46">
        <v>50</v>
      </c>
      <c r="N420" s="46">
        <v>0</v>
      </c>
      <c r="O420" s="46">
        <v>600000</v>
      </c>
      <c r="P420" s="98"/>
      <c r="Q420" s="23" t="s">
        <v>1429</v>
      </c>
      <c r="R420" s="24" t="s">
        <v>1079</v>
      </c>
      <c r="S420" s="25" t="s">
        <v>66</v>
      </c>
      <c r="T420" s="26">
        <v>75</v>
      </c>
      <c r="U420" s="26">
        <v>75</v>
      </c>
      <c r="V420" s="26">
        <v>12000</v>
      </c>
      <c r="W420" s="243">
        <f t="shared" si="85"/>
        <v>25</v>
      </c>
      <c r="X420" s="127">
        <f t="shared" si="78"/>
        <v>75</v>
      </c>
      <c r="Y420" s="127">
        <f t="shared" si="86"/>
        <v>300000</v>
      </c>
      <c r="Z420" s="127">
        <f t="shared" si="87"/>
        <v>900000</v>
      </c>
      <c r="AA420" s="33" t="s">
        <v>15</v>
      </c>
      <c r="AB420" s="36" t="s">
        <v>16</v>
      </c>
      <c r="AC420" s="181">
        <f t="shared" si="89"/>
        <v>75</v>
      </c>
      <c r="AD420" s="181">
        <f t="shared" si="88"/>
        <v>900000</v>
      </c>
      <c r="AE420" s="181">
        <v>3</v>
      </c>
      <c r="AF420" s="181">
        <v>3</v>
      </c>
      <c r="AG420" s="101" t="str">
        <f t="shared" si="90"/>
        <v/>
      </c>
      <c r="AH420" s="191">
        <f>50+25</f>
        <v>75</v>
      </c>
      <c r="AI420" s="69">
        <f t="shared" si="83"/>
        <v>75</v>
      </c>
      <c r="AL420" s="69">
        <v>0</v>
      </c>
    </row>
    <row r="421" spans="1:38" s="69" customFormat="1" ht="33" customHeight="1" x14ac:dyDescent="0.3">
      <c r="A421" s="130" t="s">
        <v>1081</v>
      </c>
      <c r="B421" s="240" t="s">
        <v>1082</v>
      </c>
      <c r="C421" s="132" t="s">
        <v>1014</v>
      </c>
      <c r="D421" s="133">
        <v>75</v>
      </c>
      <c r="E421" s="75"/>
      <c r="F421" s="75"/>
      <c r="G421" s="75"/>
      <c r="H421" s="75"/>
      <c r="I421" s="75">
        <v>1500</v>
      </c>
      <c r="J421" s="75">
        <v>112500</v>
      </c>
      <c r="K421" s="91" t="s">
        <v>1083</v>
      </c>
      <c r="L421" s="73"/>
      <c r="M421" s="46">
        <v>0</v>
      </c>
      <c r="N421" s="46">
        <v>0</v>
      </c>
      <c r="O421" s="46">
        <v>0</v>
      </c>
      <c r="P421" s="98"/>
      <c r="Q421" s="23" t="s">
        <v>1430</v>
      </c>
      <c r="R421" s="24" t="s">
        <v>1082</v>
      </c>
      <c r="S421" s="25" t="s">
        <v>1014</v>
      </c>
      <c r="T421" s="26">
        <v>75</v>
      </c>
      <c r="U421" s="26">
        <v>75</v>
      </c>
      <c r="V421" s="26">
        <v>1500</v>
      </c>
      <c r="W421" s="243">
        <f t="shared" si="85"/>
        <v>30</v>
      </c>
      <c r="X421" s="127">
        <f t="shared" si="78"/>
        <v>30</v>
      </c>
      <c r="Y421" s="127">
        <f t="shared" si="86"/>
        <v>45000</v>
      </c>
      <c r="Z421" s="127">
        <f t="shared" si="87"/>
        <v>45000</v>
      </c>
      <c r="AA421" s="33" t="s">
        <v>15</v>
      </c>
      <c r="AB421" s="36" t="s">
        <v>16</v>
      </c>
      <c r="AC421" s="181">
        <f t="shared" si="89"/>
        <v>75</v>
      </c>
      <c r="AD421" s="181">
        <f t="shared" si="88"/>
        <v>112500</v>
      </c>
      <c r="AE421" s="181">
        <v>3</v>
      </c>
      <c r="AF421" s="181">
        <v>3</v>
      </c>
      <c r="AG421" s="101" t="str">
        <f t="shared" si="90"/>
        <v/>
      </c>
      <c r="AH421" s="191">
        <f>30</f>
        <v>30</v>
      </c>
      <c r="AI421" s="69">
        <f t="shared" si="83"/>
        <v>75</v>
      </c>
      <c r="AL421" s="69">
        <v>0</v>
      </c>
    </row>
    <row r="422" spans="1:38" s="69" customFormat="1" ht="66" customHeight="1" x14ac:dyDescent="0.3">
      <c r="A422" s="55" t="s">
        <v>1084</v>
      </c>
      <c r="B422" s="138" t="s">
        <v>1085</v>
      </c>
      <c r="C422" s="54" t="s">
        <v>325</v>
      </c>
      <c r="D422" s="75">
        <v>1</v>
      </c>
      <c r="E422" s="75"/>
      <c r="F422" s="75"/>
      <c r="G422" s="75"/>
      <c r="H422" s="75"/>
      <c r="I422" s="75">
        <v>12000</v>
      </c>
      <c r="J422" s="75">
        <v>12000</v>
      </c>
      <c r="K422" s="91" t="s">
        <v>1086</v>
      </c>
      <c r="L422" s="73"/>
      <c r="M422" s="46">
        <v>0</v>
      </c>
      <c r="N422" s="46">
        <v>0</v>
      </c>
      <c r="O422" s="46">
        <v>0</v>
      </c>
      <c r="P422" s="98"/>
      <c r="Q422" s="23" t="s">
        <v>1431</v>
      </c>
      <c r="R422" s="24" t="s">
        <v>1085</v>
      </c>
      <c r="S422" s="25" t="s">
        <v>325</v>
      </c>
      <c r="T422" s="26">
        <v>1</v>
      </c>
      <c r="U422" s="26">
        <v>1</v>
      </c>
      <c r="V422" s="26">
        <v>12000</v>
      </c>
      <c r="W422" s="26">
        <f t="shared" si="85"/>
        <v>0</v>
      </c>
      <c r="X422" s="26">
        <f t="shared" si="78"/>
        <v>0</v>
      </c>
      <c r="Y422" s="26">
        <f t="shared" si="86"/>
        <v>0</v>
      </c>
      <c r="Z422" s="26">
        <f t="shared" si="87"/>
        <v>0</v>
      </c>
      <c r="AA422" s="33" t="s">
        <v>15</v>
      </c>
      <c r="AB422" s="36" t="s">
        <v>16</v>
      </c>
      <c r="AC422" s="181">
        <f t="shared" si="89"/>
        <v>1</v>
      </c>
      <c r="AD422" s="181">
        <f t="shared" si="88"/>
        <v>12000</v>
      </c>
      <c r="AE422" s="181">
        <v>3</v>
      </c>
      <c r="AF422" s="181">
        <v>3</v>
      </c>
      <c r="AG422" s="101" t="str">
        <f t="shared" si="90"/>
        <v/>
      </c>
      <c r="AH422" s="190">
        <v>0</v>
      </c>
      <c r="AI422" s="69">
        <f t="shared" si="83"/>
        <v>1</v>
      </c>
      <c r="AL422" s="69">
        <v>0</v>
      </c>
    </row>
    <row r="423" spans="1:38" s="69" customFormat="1" ht="49.5" customHeight="1" x14ac:dyDescent="0.3">
      <c r="A423" s="55" t="s">
        <v>1087</v>
      </c>
      <c r="B423" s="138" t="s">
        <v>1088</v>
      </c>
      <c r="C423" s="54" t="s">
        <v>325</v>
      </c>
      <c r="D423" s="75">
        <v>1</v>
      </c>
      <c r="E423" s="75"/>
      <c r="F423" s="75"/>
      <c r="G423" s="75"/>
      <c r="H423" s="75"/>
      <c r="I423" s="75">
        <v>2000</v>
      </c>
      <c r="J423" s="75">
        <v>2000</v>
      </c>
      <c r="K423" s="91" t="s">
        <v>1089</v>
      </c>
      <c r="L423" s="73"/>
      <c r="M423" s="46">
        <v>0</v>
      </c>
      <c r="N423" s="46">
        <v>0</v>
      </c>
      <c r="O423" s="46">
        <v>0</v>
      </c>
      <c r="P423" s="98"/>
      <c r="Q423" s="23" t="s">
        <v>1395</v>
      </c>
      <c r="R423" s="24" t="s">
        <v>1088</v>
      </c>
      <c r="S423" s="25" t="s">
        <v>325</v>
      </c>
      <c r="T423" s="26">
        <v>1</v>
      </c>
      <c r="U423" s="26">
        <v>1</v>
      </c>
      <c r="V423" s="26">
        <v>2000</v>
      </c>
      <c r="W423" s="26">
        <f t="shared" si="85"/>
        <v>0</v>
      </c>
      <c r="X423" s="26">
        <f t="shared" si="78"/>
        <v>0</v>
      </c>
      <c r="Y423" s="26">
        <f t="shared" si="86"/>
        <v>0</v>
      </c>
      <c r="Z423" s="26">
        <f t="shared" si="87"/>
        <v>0</v>
      </c>
      <c r="AA423" s="33" t="s">
        <v>15</v>
      </c>
      <c r="AB423" s="36" t="s">
        <v>16</v>
      </c>
      <c r="AC423" s="181">
        <f t="shared" si="89"/>
        <v>1</v>
      </c>
      <c r="AD423" s="181">
        <f t="shared" si="88"/>
        <v>2000</v>
      </c>
      <c r="AE423" s="181">
        <v>3</v>
      </c>
      <c r="AF423" s="181">
        <v>3</v>
      </c>
      <c r="AG423" s="101" t="str">
        <f t="shared" si="90"/>
        <v/>
      </c>
      <c r="AH423" s="190">
        <v>0</v>
      </c>
      <c r="AI423" s="69">
        <f t="shared" si="83"/>
        <v>1</v>
      </c>
      <c r="AL423" s="69">
        <v>0</v>
      </c>
    </row>
    <row r="424" spans="1:38" s="69" customFormat="1" ht="66" customHeight="1" x14ac:dyDescent="0.3">
      <c r="A424" s="55" t="s">
        <v>1090</v>
      </c>
      <c r="B424" s="138" t="s">
        <v>3119</v>
      </c>
      <c r="C424" s="54" t="s">
        <v>325</v>
      </c>
      <c r="D424" s="75">
        <v>14</v>
      </c>
      <c r="E424" s="75"/>
      <c r="F424" s="75"/>
      <c r="G424" s="75"/>
      <c r="H424" s="75"/>
      <c r="I424" s="75">
        <v>3000</v>
      </c>
      <c r="J424" s="75">
        <v>42000</v>
      </c>
      <c r="K424" s="91" t="s">
        <v>1092</v>
      </c>
      <c r="L424" s="73"/>
      <c r="M424" s="46">
        <v>0</v>
      </c>
      <c r="N424" s="46">
        <v>0</v>
      </c>
      <c r="O424" s="46">
        <v>0</v>
      </c>
      <c r="P424" s="98"/>
      <c r="Q424" s="23" t="s">
        <v>1432</v>
      </c>
      <c r="R424" s="24" t="s">
        <v>1091</v>
      </c>
      <c r="S424" s="25" t="s">
        <v>325</v>
      </c>
      <c r="T424" s="26">
        <v>14</v>
      </c>
      <c r="U424" s="26">
        <v>14</v>
      </c>
      <c r="V424" s="26">
        <v>3000</v>
      </c>
      <c r="W424" s="243">
        <f t="shared" si="85"/>
        <v>8</v>
      </c>
      <c r="X424" s="26">
        <f t="shared" si="78"/>
        <v>8</v>
      </c>
      <c r="Y424" s="26">
        <f t="shared" si="86"/>
        <v>24000</v>
      </c>
      <c r="Z424" s="26">
        <f t="shared" si="87"/>
        <v>24000</v>
      </c>
      <c r="AA424" s="33" t="s">
        <v>15</v>
      </c>
      <c r="AB424" s="36" t="s">
        <v>16</v>
      </c>
      <c r="AC424" s="181">
        <f t="shared" si="89"/>
        <v>14</v>
      </c>
      <c r="AD424" s="181">
        <f t="shared" si="88"/>
        <v>42000</v>
      </c>
      <c r="AE424" s="181">
        <v>3</v>
      </c>
      <c r="AF424" s="181">
        <v>3</v>
      </c>
      <c r="AG424" s="101" t="str">
        <f t="shared" si="90"/>
        <v/>
      </c>
      <c r="AH424" s="191">
        <f>8</f>
        <v>8</v>
      </c>
      <c r="AI424" s="69">
        <f t="shared" si="83"/>
        <v>14</v>
      </c>
      <c r="AL424" s="69">
        <v>0</v>
      </c>
    </row>
    <row r="425" spans="1:38" s="69" customFormat="1" ht="49.5" customHeight="1" x14ac:dyDescent="0.3">
      <c r="A425" s="130" t="s">
        <v>1093</v>
      </c>
      <c r="B425" s="240" t="s">
        <v>1094</v>
      </c>
      <c r="C425" s="132" t="s">
        <v>325</v>
      </c>
      <c r="D425" s="133">
        <v>3</v>
      </c>
      <c r="E425" s="75"/>
      <c r="F425" s="75"/>
      <c r="G425" s="75"/>
      <c r="H425" s="75"/>
      <c r="I425" s="75">
        <v>1400</v>
      </c>
      <c r="J425" s="75">
        <v>4200</v>
      </c>
      <c r="K425" s="91" t="s">
        <v>1095</v>
      </c>
      <c r="L425" s="73"/>
      <c r="M425" s="46">
        <v>0</v>
      </c>
      <c r="N425" s="46">
        <v>0</v>
      </c>
      <c r="O425" s="46">
        <v>0</v>
      </c>
      <c r="P425" s="98"/>
      <c r="Q425" s="23" t="s">
        <v>1433</v>
      </c>
      <c r="R425" s="24" t="s">
        <v>1094</v>
      </c>
      <c r="S425" s="25" t="s">
        <v>325</v>
      </c>
      <c r="T425" s="26">
        <v>3</v>
      </c>
      <c r="U425" s="26">
        <v>3</v>
      </c>
      <c r="V425" s="26">
        <v>1400</v>
      </c>
      <c r="W425" s="243">
        <f t="shared" si="85"/>
        <v>3</v>
      </c>
      <c r="X425" s="127">
        <f t="shared" si="78"/>
        <v>3</v>
      </c>
      <c r="Y425" s="127">
        <f t="shared" si="86"/>
        <v>4200</v>
      </c>
      <c r="Z425" s="127">
        <f t="shared" si="87"/>
        <v>4200</v>
      </c>
      <c r="AA425" s="33" t="s">
        <v>15</v>
      </c>
      <c r="AB425" s="36" t="s">
        <v>16</v>
      </c>
      <c r="AC425" s="181">
        <f t="shared" si="89"/>
        <v>3</v>
      </c>
      <c r="AD425" s="181">
        <f t="shared" si="88"/>
        <v>4200</v>
      </c>
      <c r="AE425" s="181">
        <v>3</v>
      </c>
      <c r="AF425" s="181">
        <v>3</v>
      </c>
      <c r="AG425" s="101" t="str">
        <f t="shared" si="90"/>
        <v/>
      </c>
      <c r="AH425" s="191">
        <f>3</f>
        <v>3</v>
      </c>
      <c r="AI425" s="69">
        <f t="shared" si="83"/>
        <v>3</v>
      </c>
      <c r="AL425" s="69">
        <v>0</v>
      </c>
    </row>
    <row r="426" spans="1:38" s="69" customFormat="1" ht="66" customHeight="1" x14ac:dyDescent="0.3">
      <c r="A426" s="55" t="s">
        <v>1096</v>
      </c>
      <c r="B426" s="138" t="s">
        <v>3140</v>
      </c>
      <c r="C426" s="54" t="s">
        <v>66</v>
      </c>
      <c r="D426" s="75">
        <v>5</v>
      </c>
      <c r="E426" s="75"/>
      <c r="F426" s="75"/>
      <c r="G426" s="75"/>
      <c r="H426" s="75"/>
      <c r="I426" s="75">
        <v>18000</v>
      </c>
      <c r="J426" s="75">
        <v>90000</v>
      </c>
      <c r="K426" s="91" t="s">
        <v>1098</v>
      </c>
      <c r="L426" s="73"/>
      <c r="M426" s="46">
        <v>0</v>
      </c>
      <c r="N426" s="46">
        <v>0</v>
      </c>
      <c r="O426" s="46">
        <v>0</v>
      </c>
      <c r="P426" s="98"/>
      <c r="Q426" s="23" t="s">
        <v>1382</v>
      </c>
      <c r="R426" s="24" t="s">
        <v>1097</v>
      </c>
      <c r="S426" s="25" t="s">
        <v>66</v>
      </c>
      <c r="T426" s="26">
        <v>5</v>
      </c>
      <c r="U426" s="26">
        <v>5</v>
      </c>
      <c r="V426" s="26">
        <v>18000</v>
      </c>
      <c r="W426" s="26">
        <f t="shared" si="85"/>
        <v>0</v>
      </c>
      <c r="X426" s="26">
        <f t="shared" si="78"/>
        <v>0</v>
      </c>
      <c r="Y426" s="26">
        <f t="shared" si="86"/>
        <v>0</v>
      </c>
      <c r="Z426" s="26">
        <f t="shared" si="87"/>
        <v>0</v>
      </c>
      <c r="AA426" s="33" t="s">
        <v>15</v>
      </c>
      <c r="AB426" s="36" t="s">
        <v>16</v>
      </c>
      <c r="AC426" s="181">
        <f t="shared" si="89"/>
        <v>5</v>
      </c>
      <c r="AD426" s="181">
        <f t="shared" si="88"/>
        <v>90000</v>
      </c>
      <c r="AE426" s="181">
        <v>3</v>
      </c>
      <c r="AF426" s="181">
        <v>3</v>
      </c>
      <c r="AG426" s="101" t="str">
        <f t="shared" si="90"/>
        <v/>
      </c>
      <c r="AH426" s="190">
        <v>0</v>
      </c>
      <c r="AI426" s="69">
        <f t="shared" si="83"/>
        <v>5</v>
      </c>
      <c r="AL426" s="69">
        <v>0</v>
      </c>
    </row>
    <row r="427" spans="1:38" s="69" customFormat="1" ht="49.5" customHeight="1" x14ac:dyDescent="0.3">
      <c r="A427" s="55" t="s">
        <v>1099</v>
      </c>
      <c r="B427" s="138" t="s">
        <v>1100</v>
      </c>
      <c r="C427" s="54" t="s">
        <v>66</v>
      </c>
      <c r="D427" s="75">
        <v>1</v>
      </c>
      <c r="E427" s="75"/>
      <c r="F427" s="75"/>
      <c r="G427" s="75"/>
      <c r="H427" s="75"/>
      <c r="I427" s="75">
        <v>9000</v>
      </c>
      <c r="J427" s="75">
        <v>9000</v>
      </c>
      <c r="K427" s="91" t="s">
        <v>1101</v>
      </c>
      <c r="L427" s="73"/>
      <c r="M427" s="46">
        <v>0</v>
      </c>
      <c r="N427" s="46">
        <v>0</v>
      </c>
      <c r="O427" s="46">
        <v>0</v>
      </c>
      <c r="P427" s="98"/>
      <c r="Q427" s="23" t="s">
        <v>1434</v>
      </c>
      <c r="R427" s="24" t="s">
        <v>1100</v>
      </c>
      <c r="S427" s="25" t="s">
        <v>66</v>
      </c>
      <c r="T427" s="26">
        <v>1</v>
      </c>
      <c r="U427" s="26">
        <v>1</v>
      </c>
      <c r="V427" s="26">
        <v>9000</v>
      </c>
      <c r="W427" s="26">
        <f t="shared" si="85"/>
        <v>0</v>
      </c>
      <c r="X427" s="26">
        <f t="shared" si="78"/>
        <v>0</v>
      </c>
      <c r="Y427" s="26">
        <f t="shared" si="86"/>
        <v>0</v>
      </c>
      <c r="Z427" s="26">
        <f t="shared" si="87"/>
        <v>0</v>
      </c>
      <c r="AA427" s="33" t="s">
        <v>15</v>
      </c>
      <c r="AB427" s="36" t="s">
        <v>16</v>
      </c>
      <c r="AC427" s="181">
        <f t="shared" si="89"/>
        <v>1</v>
      </c>
      <c r="AD427" s="181">
        <f t="shared" si="88"/>
        <v>9000</v>
      </c>
      <c r="AE427" s="181">
        <v>3</v>
      </c>
      <c r="AF427" s="181">
        <v>3</v>
      </c>
      <c r="AG427" s="101" t="str">
        <f t="shared" si="90"/>
        <v/>
      </c>
      <c r="AH427" s="190">
        <v>0</v>
      </c>
      <c r="AI427" s="69">
        <f t="shared" si="83"/>
        <v>1</v>
      </c>
      <c r="AL427" s="69">
        <v>0</v>
      </c>
    </row>
    <row r="428" spans="1:38" s="69" customFormat="1" ht="49.5" customHeight="1" x14ac:dyDescent="0.3">
      <c r="A428" s="55" t="s">
        <v>1102</v>
      </c>
      <c r="B428" s="138" t="s">
        <v>3120</v>
      </c>
      <c r="C428" s="54" t="s">
        <v>325</v>
      </c>
      <c r="D428" s="75">
        <v>3</v>
      </c>
      <c r="E428" s="75"/>
      <c r="F428" s="75"/>
      <c r="G428" s="75"/>
      <c r="H428" s="75"/>
      <c r="I428" s="75">
        <v>6000</v>
      </c>
      <c r="J428" s="75">
        <v>18000</v>
      </c>
      <c r="K428" s="91" t="s">
        <v>1104</v>
      </c>
      <c r="L428" s="73"/>
      <c r="M428" s="46">
        <v>0</v>
      </c>
      <c r="N428" s="46">
        <v>0</v>
      </c>
      <c r="O428" s="46">
        <v>0</v>
      </c>
      <c r="P428" s="98"/>
      <c r="Q428" s="23" t="s">
        <v>1388</v>
      </c>
      <c r="R428" s="24" t="s">
        <v>1103</v>
      </c>
      <c r="S428" s="25" t="s">
        <v>325</v>
      </c>
      <c r="T428" s="26">
        <v>3</v>
      </c>
      <c r="U428" s="26">
        <v>3</v>
      </c>
      <c r="V428" s="26">
        <v>6000</v>
      </c>
      <c r="W428" s="243">
        <f t="shared" si="85"/>
        <v>1</v>
      </c>
      <c r="X428" s="26">
        <f t="shared" si="78"/>
        <v>1</v>
      </c>
      <c r="Y428" s="26">
        <f t="shared" si="86"/>
        <v>6000</v>
      </c>
      <c r="Z428" s="26">
        <f t="shared" si="87"/>
        <v>6000</v>
      </c>
      <c r="AA428" s="33" t="s">
        <v>15</v>
      </c>
      <c r="AB428" s="36" t="s">
        <v>16</v>
      </c>
      <c r="AC428" s="181">
        <f t="shared" si="89"/>
        <v>3</v>
      </c>
      <c r="AD428" s="181">
        <f t="shared" si="88"/>
        <v>18000</v>
      </c>
      <c r="AE428" s="181">
        <v>3</v>
      </c>
      <c r="AF428" s="181">
        <v>3</v>
      </c>
      <c r="AG428" s="101" t="str">
        <f t="shared" si="90"/>
        <v/>
      </c>
      <c r="AH428" s="191">
        <f>1</f>
        <v>1</v>
      </c>
      <c r="AI428" s="69">
        <f t="shared" si="83"/>
        <v>3</v>
      </c>
      <c r="AL428" s="69">
        <v>0</v>
      </c>
    </row>
    <row r="429" spans="1:38" s="69" customFormat="1" ht="49.5" customHeight="1" x14ac:dyDescent="0.3">
      <c r="A429" s="130" t="s">
        <v>1105</v>
      </c>
      <c r="B429" s="240" t="s">
        <v>3121</v>
      </c>
      <c r="C429" s="132" t="s">
        <v>66</v>
      </c>
      <c r="D429" s="133">
        <v>1</v>
      </c>
      <c r="E429" s="75"/>
      <c r="F429" s="75"/>
      <c r="G429" s="75"/>
      <c r="H429" s="75"/>
      <c r="I429" s="75">
        <v>2500</v>
      </c>
      <c r="J429" s="75">
        <v>2500</v>
      </c>
      <c r="K429" s="91" t="s">
        <v>1107</v>
      </c>
      <c r="L429" s="73"/>
      <c r="M429" s="46">
        <v>0</v>
      </c>
      <c r="N429" s="46">
        <v>0</v>
      </c>
      <c r="O429" s="46">
        <v>0</v>
      </c>
      <c r="P429" s="98"/>
      <c r="Q429" s="23" t="s">
        <v>1389</v>
      </c>
      <c r="R429" s="24" t="s">
        <v>1106</v>
      </c>
      <c r="S429" s="25" t="s">
        <v>66</v>
      </c>
      <c r="T429" s="26">
        <v>1</v>
      </c>
      <c r="U429" s="26">
        <v>1</v>
      </c>
      <c r="V429" s="26">
        <v>2500</v>
      </c>
      <c r="W429" s="243">
        <f t="shared" si="85"/>
        <v>1</v>
      </c>
      <c r="X429" s="127">
        <f t="shared" si="78"/>
        <v>1</v>
      </c>
      <c r="Y429" s="127">
        <f t="shared" si="86"/>
        <v>2500</v>
      </c>
      <c r="Z429" s="127">
        <f t="shared" si="87"/>
        <v>2500</v>
      </c>
      <c r="AA429" s="33" t="s">
        <v>15</v>
      </c>
      <c r="AB429" s="36" t="s">
        <v>16</v>
      </c>
      <c r="AC429" s="181">
        <f t="shared" si="89"/>
        <v>1</v>
      </c>
      <c r="AD429" s="181">
        <f t="shared" si="88"/>
        <v>2500</v>
      </c>
      <c r="AE429" s="181">
        <v>3</v>
      </c>
      <c r="AF429" s="181">
        <v>3</v>
      </c>
      <c r="AG429" s="101" t="str">
        <f t="shared" si="90"/>
        <v/>
      </c>
      <c r="AH429" s="191">
        <f>1</f>
        <v>1</v>
      </c>
      <c r="AI429" s="69">
        <f t="shared" si="83"/>
        <v>1</v>
      </c>
      <c r="AL429" s="69">
        <v>0</v>
      </c>
    </row>
    <row r="430" spans="1:38" s="69" customFormat="1" ht="49.5" customHeight="1" x14ac:dyDescent="0.3">
      <c r="A430" s="130" t="s">
        <v>1108</v>
      </c>
      <c r="B430" s="240" t="s">
        <v>1109</v>
      </c>
      <c r="C430" s="132" t="s">
        <v>66</v>
      </c>
      <c r="D430" s="133">
        <v>1</v>
      </c>
      <c r="E430" s="75"/>
      <c r="F430" s="75"/>
      <c r="G430" s="75"/>
      <c r="H430" s="75"/>
      <c r="I430" s="75">
        <v>2500</v>
      </c>
      <c r="J430" s="75">
        <v>2500</v>
      </c>
      <c r="K430" s="91" t="s">
        <v>1110</v>
      </c>
      <c r="L430" s="73"/>
      <c r="M430" s="46">
        <v>0</v>
      </c>
      <c r="N430" s="46">
        <v>0</v>
      </c>
      <c r="O430" s="46">
        <v>0</v>
      </c>
      <c r="P430" s="98"/>
      <c r="Q430" s="23" t="s">
        <v>1390</v>
      </c>
      <c r="R430" s="24" t="s">
        <v>1109</v>
      </c>
      <c r="S430" s="25" t="s">
        <v>66</v>
      </c>
      <c r="T430" s="26">
        <v>1</v>
      </c>
      <c r="U430" s="26">
        <v>1</v>
      </c>
      <c r="V430" s="26">
        <v>2500</v>
      </c>
      <c r="W430" s="243">
        <f t="shared" si="85"/>
        <v>1</v>
      </c>
      <c r="X430" s="127">
        <f t="shared" si="78"/>
        <v>1</v>
      </c>
      <c r="Y430" s="127">
        <f t="shared" si="86"/>
        <v>2500</v>
      </c>
      <c r="Z430" s="127">
        <f t="shared" si="87"/>
        <v>2500</v>
      </c>
      <c r="AA430" s="33" t="s">
        <v>15</v>
      </c>
      <c r="AB430" s="36" t="s">
        <v>16</v>
      </c>
      <c r="AC430" s="181">
        <f t="shared" si="89"/>
        <v>1</v>
      </c>
      <c r="AD430" s="181">
        <f t="shared" si="88"/>
        <v>2500</v>
      </c>
      <c r="AE430" s="181">
        <v>3</v>
      </c>
      <c r="AF430" s="181">
        <v>3</v>
      </c>
      <c r="AG430" s="101" t="str">
        <f t="shared" si="90"/>
        <v/>
      </c>
      <c r="AH430" s="191">
        <f>1</f>
        <v>1</v>
      </c>
      <c r="AI430" s="69">
        <f t="shared" si="83"/>
        <v>1</v>
      </c>
      <c r="AL430" s="69">
        <v>0</v>
      </c>
    </row>
    <row r="431" spans="1:38" s="69" customFormat="1" ht="49.5" customHeight="1" x14ac:dyDescent="0.3">
      <c r="A431" s="55" t="s">
        <v>1111</v>
      </c>
      <c r="B431" s="138" t="s">
        <v>3122</v>
      </c>
      <c r="C431" s="54" t="s">
        <v>325</v>
      </c>
      <c r="D431" s="75">
        <v>4</v>
      </c>
      <c r="E431" s="75"/>
      <c r="F431" s="75"/>
      <c r="G431" s="75"/>
      <c r="H431" s="75"/>
      <c r="I431" s="75">
        <v>3000</v>
      </c>
      <c r="J431" s="75">
        <v>12000</v>
      </c>
      <c r="K431" s="91" t="s">
        <v>1113</v>
      </c>
      <c r="L431" s="73"/>
      <c r="M431" s="46">
        <v>0</v>
      </c>
      <c r="N431" s="46">
        <v>0</v>
      </c>
      <c r="O431" s="46">
        <v>0</v>
      </c>
      <c r="P431" s="98"/>
      <c r="Q431" s="23" t="s">
        <v>1391</v>
      </c>
      <c r="R431" s="24" t="s">
        <v>1112</v>
      </c>
      <c r="S431" s="25" t="s">
        <v>325</v>
      </c>
      <c r="T431" s="26">
        <v>4</v>
      </c>
      <c r="U431" s="26">
        <v>4</v>
      </c>
      <c r="V431" s="26">
        <v>3000</v>
      </c>
      <c r="W431" s="243">
        <f t="shared" si="85"/>
        <v>2</v>
      </c>
      <c r="X431" s="26">
        <f t="shared" si="78"/>
        <v>2</v>
      </c>
      <c r="Y431" s="26">
        <f t="shared" si="86"/>
        <v>6000</v>
      </c>
      <c r="Z431" s="26">
        <f t="shared" si="87"/>
        <v>6000</v>
      </c>
      <c r="AA431" s="33" t="s">
        <v>15</v>
      </c>
      <c r="AB431" s="36" t="s">
        <v>16</v>
      </c>
      <c r="AC431" s="181">
        <f t="shared" si="89"/>
        <v>4</v>
      </c>
      <c r="AD431" s="181">
        <f t="shared" si="88"/>
        <v>12000</v>
      </c>
      <c r="AE431" s="181">
        <v>3</v>
      </c>
      <c r="AF431" s="181">
        <v>3</v>
      </c>
      <c r="AG431" s="101" t="str">
        <f t="shared" si="90"/>
        <v/>
      </c>
      <c r="AH431" s="191">
        <f>2</f>
        <v>2</v>
      </c>
      <c r="AI431" s="69">
        <f t="shared" si="83"/>
        <v>4</v>
      </c>
      <c r="AL431" s="69">
        <v>0</v>
      </c>
    </row>
    <row r="432" spans="1:38" s="69" customFormat="1" ht="66" customHeight="1" x14ac:dyDescent="0.3">
      <c r="A432" s="130" t="s">
        <v>1114</v>
      </c>
      <c r="B432" s="240" t="s">
        <v>3123</v>
      </c>
      <c r="C432" s="132" t="s">
        <v>325</v>
      </c>
      <c r="D432" s="133">
        <v>2</v>
      </c>
      <c r="E432" s="75"/>
      <c r="F432" s="75"/>
      <c r="G432" s="75"/>
      <c r="H432" s="75"/>
      <c r="I432" s="75">
        <v>20000</v>
      </c>
      <c r="J432" s="75">
        <v>40000</v>
      </c>
      <c r="K432" s="91" t="s">
        <v>1116</v>
      </c>
      <c r="L432" s="73"/>
      <c r="M432" s="46">
        <v>0</v>
      </c>
      <c r="N432" s="46">
        <v>0</v>
      </c>
      <c r="O432" s="46">
        <v>0</v>
      </c>
      <c r="P432" s="98"/>
      <c r="Q432" s="23" t="s">
        <v>1436</v>
      </c>
      <c r="R432" s="24" t="s">
        <v>1115</v>
      </c>
      <c r="S432" s="25" t="s">
        <v>325</v>
      </c>
      <c r="T432" s="26">
        <v>2</v>
      </c>
      <c r="U432" s="26">
        <v>2</v>
      </c>
      <c r="V432" s="26">
        <v>20000</v>
      </c>
      <c r="W432" s="243">
        <f t="shared" si="85"/>
        <v>2</v>
      </c>
      <c r="X432" s="127">
        <f t="shared" si="78"/>
        <v>2</v>
      </c>
      <c r="Y432" s="127">
        <f t="shared" si="86"/>
        <v>40000</v>
      </c>
      <c r="Z432" s="127">
        <f t="shared" si="87"/>
        <v>40000</v>
      </c>
      <c r="AA432" s="33" t="s">
        <v>15</v>
      </c>
      <c r="AB432" s="36" t="s">
        <v>16</v>
      </c>
      <c r="AC432" s="181">
        <f t="shared" si="89"/>
        <v>2</v>
      </c>
      <c r="AD432" s="181">
        <f t="shared" si="88"/>
        <v>40000</v>
      </c>
      <c r="AE432" s="181">
        <v>3</v>
      </c>
      <c r="AF432" s="181">
        <v>3</v>
      </c>
      <c r="AG432" s="101" t="str">
        <f t="shared" si="90"/>
        <v/>
      </c>
      <c r="AH432" s="191">
        <f>2</f>
        <v>2</v>
      </c>
      <c r="AI432" s="69">
        <f t="shared" si="83"/>
        <v>2</v>
      </c>
      <c r="AL432" s="69">
        <v>0</v>
      </c>
    </row>
    <row r="433" spans="1:38" s="69" customFormat="1" ht="49.5" customHeight="1" x14ac:dyDescent="0.3">
      <c r="A433" s="55" t="s">
        <v>1117</v>
      </c>
      <c r="B433" s="138" t="s">
        <v>1118</v>
      </c>
      <c r="C433" s="54" t="s">
        <v>66</v>
      </c>
      <c r="D433" s="75">
        <v>1</v>
      </c>
      <c r="E433" s="75"/>
      <c r="F433" s="75"/>
      <c r="G433" s="75"/>
      <c r="H433" s="75"/>
      <c r="I433" s="75">
        <v>15000</v>
      </c>
      <c r="J433" s="75">
        <v>15000</v>
      </c>
      <c r="K433" s="91" t="s">
        <v>1119</v>
      </c>
      <c r="L433" s="73"/>
      <c r="M433" s="46">
        <v>0</v>
      </c>
      <c r="N433" s="46">
        <v>0</v>
      </c>
      <c r="O433" s="46">
        <v>0</v>
      </c>
      <c r="P433" s="98"/>
      <c r="Q433" s="23" t="s">
        <v>1374</v>
      </c>
      <c r="R433" s="24" t="s">
        <v>1118</v>
      </c>
      <c r="S433" s="25" t="s">
        <v>66</v>
      </c>
      <c r="T433" s="26">
        <v>1</v>
      </c>
      <c r="U433" s="26">
        <v>1</v>
      </c>
      <c r="V433" s="26">
        <v>15000</v>
      </c>
      <c r="W433" s="26">
        <f t="shared" si="85"/>
        <v>0</v>
      </c>
      <c r="X433" s="26">
        <f t="shared" si="78"/>
        <v>0</v>
      </c>
      <c r="Y433" s="26">
        <f t="shared" si="86"/>
        <v>0</v>
      </c>
      <c r="Z433" s="26">
        <f t="shared" si="87"/>
        <v>0</v>
      </c>
      <c r="AA433" s="33" t="s">
        <v>15</v>
      </c>
      <c r="AB433" s="36" t="s">
        <v>16</v>
      </c>
      <c r="AC433" s="181">
        <f t="shared" si="89"/>
        <v>1</v>
      </c>
      <c r="AD433" s="181">
        <f t="shared" si="88"/>
        <v>15000</v>
      </c>
      <c r="AE433" s="181">
        <v>3</v>
      </c>
      <c r="AF433" s="181">
        <v>3</v>
      </c>
      <c r="AG433" s="101" t="str">
        <f t="shared" si="90"/>
        <v/>
      </c>
      <c r="AH433" s="190">
        <v>0</v>
      </c>
      <c r="AI433" s="69">
        <f t="shared" si="83"/>
        <v>1</v>
      </c>
      <c r="AL433" s="69">
        <v>0</v>
      </c>
    </row>
    <row r="434" spans="1:38" s="69" customFormat="1" ht="49.5" customHeight="1" x14ac:dyDescent="0.3">
      <c r="A434" s="55" t="s">
        <v>1120</v>
      </c>
      <c r="B434" s="138" t="s">
        <v>1121</v>
      </c>
      <c r="C434" s="54" t="s">
        <v>1122</v>
      </c>
      <c r="D434" s="75">
        <v>3</v>
      </c>
      <c r="E434" s="75"/>
      <c r="F434" s="75"/>
      <c r="G434" s="75"/>
      <c r="H434" s="75"/>
      <c r="I434" s="75">
        <v>1300</v>
      </c>
      <c r="J434" s="75">
        <v>3900</v>
      </c>
      <c r="K434" s="91" t="s">
        <v>1123</v>
      </c>
      <c r="L434" s="73"/>
      <c r="M434" s="46">
        <v>0</v>
      </c>
      <c r="N434" s="46">
        <v>0</v>
      </c>
      <c r="O434" s="46">
        <v>0</v>
      </c>
      <c r="P434" s="98"/>
      <c r="Q434" s="23" t="s">
        <v>1376</v>
      </c>
      <c r="R434" s="24" t="s">
        <v>1121</v>
      </c>
      <c r="S434" s="25" t="s">
        <v>1122</v>
      </c>
      <c r="T434" s="26">
        <v>3</v>
      </c>
      <c r="U434" s="26">
        <v>3</v>
      </c>
      <c r="V434" s="26">
        <v>1300</v>
      </c>
      <c r="W434" s="26">
        <f t="shared" si="85"/>
        <v>0</v>
      </c>
      <c r="X434" s="26">
        <f t="shared" si="78"/>
        <v>0</v>
      </c>
      <c r="Y434" s="26">
        <f t="shared" si="86"/>
        <v>0</v>
      </c>
      <c r="Z434" s="26">
        <f t="shared" si="87"/>
        <v>0</v>
      </c>
      <c r="AA434" s="33" t="s">
        <v>15</v>
      </c>
      <c r="AB434" s="36" t="s">
        <v>16</v>
      </c>
      <c r="AC434" s="181">
        <f t="shared" si="89"/>
        <v>3</v>
      </c>
      <c r="AD434" s="181">
        <f t="shared" si="88"/>
        <v>3900</v>
      </c>
      <c r="AE434" s="181">
        <v>3</v>
      </c>
      <c r="AF434" s="181">
        <v>3</v>
      </c>
      <c r="AG434" s="101" t="str">
        <f t="shared" si="90"/>
        <v/>
      </c>
      <c r="AH434" s="190">
        <v>0</v>
      </c>
      <c r="AI434" s="69">
        <f t="shared" si="83"/>
        <v>3</v>
      </c>
      <c r="AL434" s="69">
        <v>0</v>
      </c>
    </row>
    <row r="435" spans="1:38" s="69" customFormat="1" ht="33" customHeight="1" x14ac:dyDescent="0.3">
      <c r="A435" s="55" t="s">
        <v>1124</v>
      </c>
      <c r="B435" s="138" t="s">
        <v>3124</v>
      </c>
      <c r="C435" s="54" t="s">
        <v>1122</v>
      </c>
      <c r="D435" s="75">
        <v>6</v>
      </c>
      <c r="E435" s="75"/>
      <c r="F435" s="75"/>
      <c r="G435" s="75"/>
      <c r="H435" s="75"/>
      <c r="I435" s="75">
        <v>1000</v>
      </c>
      <c r="J435" s="75">
        <v>6000</v>
      </c>
      <c r="K435" s="91" t="s">
        <v>1126</v>
      </c>
      <c r="L435" s="73"/>
      <c r="M435" s="46">
        <v>0</v>
      </c>
      <c r="N435" s="46">
        <v>0</v>
      </c>
      <c r="O435" s="46">
        <v>0</v>
      </c>
      <c r="P435" s="98"/>
      <c r="Q435" s="23" t="s">
        <v>1378</v>
      </c>
      <c r="R435" s="24" t="s">
        <v>1125</v>
      </c>
      <c r="S435" s="25" t="s">
        <v>1122</v>
      </c>
      <c r="T435" s="26">
        <v>6</v>
      </c>
      <c r="U435" s="26">
        <v>6</v>
      </c>
      <c r="V435" s="26">
        <v>1000</v>
      </c>
      <c r="W435" s="26">
        <f t="shared" si="85"/>
        <v>0</v>
      </c>
      <c r="X435" s="26">
        <f t="shared" si="78"/>
        <v>0</v>
      </c>
      <c r="Y435" s="26">
        <f t="shared" si="86"/>
        <v>0</v>
      </c>
      <c r="Z435" s="26">
        <f t="shared" si="87"/>
        <v>0</v>
      </c>
      <c r="AA435" s="33" t="s">
        <v>15</v>
      </c>
      <c r="AB435" s="36" t="s">
        <v>16</v>
      </c>
      <c r="AC435" s="181">
        <f t="shared" si="89"/>
        <v>6</v>
      </c>
      <c r="AD435" s="181">
        <f t="shared" si="88"/>
        <v>6000</v>
      </c>
      <c r="AE435" s="181">
        <v>3</v>
      </c>
      <c r="AF435" s="181">
        <v>3</v>
      </c>
      <c r="AG435" s="101" t="str">
        <f t="shared" si="90"/>
        <v/>
      </c>
      <c r="AH435" s="190">
        <v>0</v>
      </c>
      <c r="AI435" s="69">
        <f t="shared" si="83"/>
        <v>6</v>
      </c>
      <c r="AL435" s="69">
        <v>0</v>
      </c>
    </row>
    <row r="436" spans="1:38" s="69" customFormat="1" ht="33" customHeight="1" x14ac:dyDescent="0.3">
      <c r="A436" s="55" t="s">
        <v>1127</v>
      </c>
      <c r="B436" s="138" t="s">
        <v>1128</v>
      </c>
      <c r="C436" s="54" t="s">
        <v>325</v>
      </c>
      <c r="D436" s="75">
        <v>2</v>
      </c>
      <c r="E436" s="75"/>
      <c r="F436" s="75"/>
      <c r="G436" s="75"/>
      <c r="H436" s="75"/>
      <c r="I436" s="75">
        <v>9000</v>
      </c>
      <c r="J436" s="75">
        <v>18000</v>
      </c>
      <c r="K436" s="91" t="s">
        <v>1129</v>
      </c>
      <c r="L436" s="73"/>
      <c r="M436" s="46">
        <v>0</v>
      </c>
      <c r="N436" s="46">
        <v>0</v>
      </c>
      <c r="O436" s="46">
        <v>0</v>
      </c>
      <c r="P436" s="98"/>
      <c r="Q436" s="23" t="s">
        <v>1438</v>
      </c>
      <c r="R436" s="24" t="s">
        <v>1128</v>
      </c>
      <c r="S436" s="25" t="s">
        <v>325</v>
      </c>
      <c r="T436" s="26">
        <v>2</v>
      </c>
      <c r="U436" s="26">
        <v>2</v>
      </c>
      <c r="V436" s="26">
        <v>9000</v>
      </c>
      <c r="W436" s="26">
        <f t="shared" si="85"/>
        <v>0</v>
      </c>
      <c r="X436" s="26">
        <f t="shared" si="78"/>
        <v>0</v>
      </c>
      <c r="Y436" s="26">
        <f t="shared" si="86"/>
        <v>0</v>
      </c>
      <c r="Z436" s="26">
        <f t="shared" si="87"/>
        <v>0</v>
      </c>
      <c r="AA436" s="33" t="s">
        <v>15</v>
      </c>
      <c r="AB436" s="36" t="s">
        <v>16</v>
      </c>
      <c r="AC436" s="181">
        <f t="shared" si="89"/>
        <v>2</v>
      </c>
      <c r="AD436" s="181">
        <f t="shared" si="88"/>
        <v>18000</v>
      </c>
      <c r="AE436" s="181">
        <v>3</v>
      </c>
      <c r="AF436" s="181">
        <v>3</v>
      </c>
      <c r="AG436" s="101" t="str">
        <f t="shared" si="90"/>
        <v/>
      </c>
      <c r="AH436" s="190">
        <v>0</v>
      </c>
      <c r="AI436" s="69">
        <f t="shared" si="83"/>
        <v>2</v>
      </c>
      <c r="AL436" s="69">
        <v>0</v>
      </c>
    </row>
    <row r="437" spans="1:38" s="69" customFormat="1" ht="49.5" customHeight="1" x14ac:dyDescent="0.3">
      <c r="A437" s="55" t="s">
        <v>1130</v>
      </c>
      <c r="B437" s="138" t="s">
        <v>3127</v>
      </c>
      <c r="C437" s="54" t="s">
        <v>325</v>
      </c>
      <c r="D437" s="75">
        <v>3</v>
      </c>
      <c r="E437" s="75"/>
      <c r="F437" s="75"/>
      <c r="G437" s="75"/>
      <c r="H437" s="75"/>
      <c r="I437" s="75">
        <v>4200</v>
      </c>
      <c r="J437" s="75">
        <v>12600</v>
      </c>
      <c r="K437" s="91" t="s">
        <v>1132</v>
      </c>
      <c r="L437" s="73"/>
      <c r="M437" s="46">
        <v>0</v>
      </c>
      <c r="N437" s="46">
        <v>0</v>
      </c>
      <c r="O437" s="46">
        <v>0</v>
      </c>
      <c r="P437" s="98"/>
      <c r="Q437" s="23" t="s">
        <v>1439</v>
      </c>
      <c r="R437" s="24" t="s">
        <v>1131</v>
      </c>
      <c r="S437" s="25" t="s">
        <v>325</v>
      </c>
      <c r="T437" s="26">
        <v>3</v>
      </c>
      <c r="U437" s="26">
        <v>3</v>
      </c>
      <c r="V437" s="26">
        <v>4200</v>
      </c>
      <c r="W437" s="243">
        <f t="shared" si="85"/>
        <v>2</v>
      </c>
      <c r="X437" s="26">
        <f t="shared" si="78"/>
        <v>2</v>
      </c>
      <c r="Y437" s="26">
        <f t="shared" si="86"/>
        <v>8400</v>
      </c>
      <c r="Z437" s="26">
        <f t="shared" si="87"/>
        <v>8400</v>
      </c>
      <c r="AA437" s="33" t="s">
        <v>15</v>
      </c>
      <c r="AB437" s="36" t="s">
        <v>16</v>
      </c>
      <c r="AC437" s="181">
        <f t="shared" si="89"/>
        <v>3</v>
      </c>
      <c r="AD437" s="181">
        <f t="shared" si="88"/>
        <v>12600</v>
      </c>
      <c r="AE437" s="181">
        <v>3</v>
      </c>
      <c r="AF437" s="181">
        <v>3</v>
      </c>
      <c r="AG437" s="101" t="str">
        <f t="shared" si="90"/>
        <v/>
      </c>
      <c r="AH437" s="191">
        <f>2</f>
        <v>2</v>
      </c>
      <c r="AI437" s="69">
        <f t="shared" si="83"/>
        <v>3</v>
      </c>
    </row>
    <row r="438" spans="1:38" s="69" customFormat="1" ht="49.5" customHeight="1" x14ac:dyDescent="0.3">
      <c r="A438" s="130" t="s">
        <v>1133</v>
      </c>
      <c r="B438" s="240" t="s">
        <v>3126</v>
      </c>
      <c r="C438" s="132" t="s">
        <v>66</v>
      </c>
      <c r="D438" s="133">
        <v>4</v>
      </c>
      <c r="E438" s="75"/>
      <c r="F438" s="75"/>
      <c r="G438" s="75"/>
      <c r="H438" s="75"/>
      <c r="I438" s="75">
        <v>1000</v>
      </c>
      <c r="J438" s="75">
        <v>4000</v>
      </c>
      <c r="K438" s="91" t="s">
        <v>1135</v>
      </c>
      <c r="L438" s="73"/>
      <c r="M438" s="46">
        <v>0</v>
      </c>
      <c r="N438" s="46">
        <v>0</v>
      </c>
      <c r="O438" s="46">
        <v>0</v>
      </c>
      <c r="P438" s="98"/>
      <c r="Q438" s="23" t="s">
        <v>1440</v>
      </c>
      <c r="R438" s="24" t="s">
        <v>1134</v>
      </c>
      <c r="S438" s="25" t="s">
        <v>66</v>
      </c>
      <c r="T438" s="26">
        <v>4</v>
      </c>
      <c r="U438" s="26">
        <v>4</v>
      </c>
      <c r="V438" s="26">
        <v>1000</v>
      </c>
      <c r="W438" s="243">
        <f t="shared" si="85"/>
        <v>4</v>
      </c>
      <c r="X438" s="127">
        <f t="shared" si="78"/>
        <v>4</v>
      </c>
      <c r="Y438" s="127">
        <f t="shared" si="86"/>
        <v>4000</v>
      </c>
      <c r="Z438" s="127">
        <f t="shared" si="87"/>
        <v>4000</v>
      </c>
      <c r="AA438" s="33" t="s">
        <v>15</v>
      </c>
      <c r="AB438" s="36" t="s">
        <v>16</v>
      </c>
      <c r="AC438" s="181">
        <f t="shared" si="89"/>
        <v>4</v>
      </c>
      <c r="AD438" s="181">
        <f t="shared" si="88"/>
        <v>4000</v>
      </c>
      <c r="AE438" s="181">
        <v>3</v>
      </c>
      <c r="AF438" s="181">
        <v>3</v>
      </c>
      <c r="AG438" s="101" t="str">
        <f t="shared" si="90"/>
        <v/>
      </c>
      <c r="AH438" s="191">
        <f>4</f>
        <v>4</v>
      </c>
      <c r="AI438" s="69">
        <f t="shared" si="83"/>
        <v>4</v>
      </c>
    </row>
    <row r="439" spans="1:38" s="69" customFormat="1" ht="49.5" customHeight="1" x14ac:dyDescent="0.3">
      <c r="A439" s="55" t="s">
        <v>1136</v>
      </c>
      <c r="B439" s="138" t="s">
        <v>3125</v>
      </c>
      <c r="C439" s="54" t="s">
        <v>325</v>
      </c>
      <c r="D439" s="75">
        <v>15</v>
      </c>
      <c r="E439" s="75"/>
      <c r="F439" s="75"/>
      <c r="G439" s="75"/>
      <c r="H439" s="75"/>
      <c r="I439" s="75">
        <v>4500</v>
      </c>
      <c r="J439" s="75">
        <v>67500</v>
      </c>
      <c r="K439" s="91" t="s">
        <v>1138</v>
      </c>
      <c r="L439" s="73"/>
      <c r="M439" s="46">
        <v>0</v>
      </c>
      <c r="N439" s="46">
        <v>0</v>
      </c>
      <c r="O439" s="46">
        <v>0</v>
      </c>
      <c r="P439" s="98"/>
      <c r="Q439" s="23" t="s">
        <v>1441</v>
      </c>
      <c r="R439" s="24" t="s">
        <v>1137</v>
      </c>
      <c r="S439" s="25" t="s">
        <v>325</v>
      </c>
      <c r="T439" s="26">
        <v>15</v>
      </c>
      <c r="U439" s="26">
        <v>15</v>
      </c>
      <c r="V439" s="26">
        <v>4500</v>
      </c>
      <c r="W439" s="243">
        <f t="shared" si="85"/>
        <v>9</v>
      </c>
      <c r="X439" s="26">
        <f t="shared" si="78"/>
        <v>9</v>
      </c>
      <c r="Y439" s="26">
        <f t="shared" si="86"/>
        <v>40500</v>
      </c>
      <c r="Z439" s="26">
        <f t="shared" si="87"/>
        <v>40500</v>
      </c>
      <c r="AA439" s="33" t="s">
        <v>15</v>
      </c>
      <c r="AB439" s="36" t="s">
        <v>16</v>
      </c>
      <c r="AC439" s="181">
        <f t="shared" si="89"/>
        <v>15</v>
      </c>
      <c r="AD439" s="181">
        <f t="shared" si="88"/>
        <v>67500</v>
      </c>
      <c r="AE439" s="181">
        <v>3</v>
      </c>
      <c r="AF439" s="181">
        <v>3</v>
      </c>
      <c r="AG439" s="101" t="str">
        <f t="shared" si="90"/>
        <v/>
      </c>
      <c r="AH439" s="191">
        <f>9</f>
        <v>9</v>
      </c>
      <c r="AI439" s="69">
        <f t="shared" si="83"/>
        <v>15</v>
      </c>
    </row>
    <row r="440" spans="1:38" s="69" customFormat="1" ht="33" customHeight="1" x14ac:dyDescent="0.3">
      <c r="A440" s="55" t="s">
        <v>1139</v>
      </c>
      <c r="B440" s="138" t="s">
        <v>3128</v>
      </c>
      <c r="C440" s="54" t="s">
        <v>325</v>
      </c>
      <c r="D440" s="75">
        <v>2</v>
      </c>
      <c r="E440" s="75"/>
      <c r="F440" s="75"/>
      <c r="G440" s="75"/>
      <c r="H440" s="75"/>
      <c r="I440" s="75">
        <v>636300</v>
      </c>
      <c r="J440" s="75">
        <v>1272600</v>
      </c>
      <c r="K440" s="91" t="s">
        <v>1141</v>
      </c>
      <c r="L440" s="73"/>
      <c r="M440" s="46">
        <v>1</v>
      </c>
      <c r="N440" s="46">
        <v>0</v>
      </c>
      <c r="O440" s="46">
        <v>636300</v>
      </c>
      <c r="P440" s="98"/>
      <c r="Q440" s="23" t="s">
        <v>1442</v>
      </c>
      <c r="R440" s="24" t="s">
        <v>1140</v>
      </c>
      <c r="S440" s="25" t="s">
        <v>325</v>
      </c>
      <c r="T440" s="26">
        <v>2</v>
      </c>
      <c r="U440" s="26">
        <v>2</v>
      </c>
      <c r="V440" s="26">
        <v>636300</v>
      </c>
      <c r="W440" s="26">
        <f t="shared" si="85"/>
        <v>0</v>
      </c>
      <c r="X440" s="26">
        <f t="shared" si="78"/>
        <v>1</v>
      </c>
      <c r="Y440" s="26">
        <f t="shared" si="86"/>
        <v>0</v>
      </c>
      <c r="Z440" s="26">
        <f t="shared" si="87"/>
        <v>636300</v>
      </c>
      <c r="AA440" s="33" t="s">
        <v>15</v>
      </c>
      <c r="AB440" s="36" t="s">
        <v>16</v>
      </c>
      <c r="AC440" s="181">
        <f t="shared" si="89"/>
        <v>2</v>
      </c>
      <c r="AD440" s="181">
        <f t="shared" si="88"/>
        <v>1272600</v>
      </c>
      <c r="AE440" s="181">
        <v>3</v>
      </c>
      <c r="AF440" s="181">
        <v>3</v>
      </c>
      <c r="AG440" s="101" t="str">
        <f t="shared" si="90"/>
        <v/>
      </c>
      <c r="AH440" s="190">
        <v>1</v>
      </c>
      <c r="AI440" s="69">
        <f t="shared" si="83"/>
        <v>2</v>
      </c>
    </row>
    <row r="441" spans="1:38" s="69" customFormat="1" ht="49.5" customHeight="1" x14ac:dyDescent="0.3">
      <c r="A441" s="130" t="s">
        <v>1142</v>
      </c>
      <c r="B441" s="240" t="s">
        <v>3131</v>
      </c>
      <c r="C441" s="132" t="s">
        <v>1144</v>
      </c>
      <c r="D441" s="133">
        <v>4</v>
      </c>
      <c r="E441" s="75"/>
      <c r="F441" s="75"/>
      <c r="G441" s="75"/>
      <c r="H441" s="76"/>
      <c r="I441" s="75">
        <v>2000</v>
      </c>
      <c r="J441" s="75">
        <v>8000</v>
      </c>
      <c r="K441" s="91" t="s">
        <v>1145</v>
      </c>
      <c r="L441" s="73"/>
      <c r="M441" s="46">
        <v>0</v>
      </c>
      <c r="N441" s="46">
        <v>0</v>
      </c>
      <c r="O441" s="46">
        <v>0</v>
      </c>
      <c r="P441" s="98"/>
      <c r="Q441" s="23" t="s">
        <v>1443</v>
      </c>
      <c r="R441" s="24" t="s">
        <v>1143</v>
      </c>
      <c r="S441" s="25" t="s">
        <v>1144</v>
      </c>
      <c r="T441" s="26">
        <v>4</v>
      </c>
      <c r="U441" s="26">
        <v>4</v>
      </c>
      <c r="V441" s="26">
        <v>2000</v>
      </c>
      <c r="W441" s="243">
        <f t="shared" si="85"/>
        <v>4</v>
      </c>
      <c r="X441" s="127">
        <f t="shared" si="78"/>
        <v>4</v>
      </c>
      <c r="Y441" s="127">
        <f t="shared" si="86"/>
        <v>8000</v>
      </c>
      <c r="Z441" s="127">
        <f t="shared" si="87"/>
        <v>8000</v>
      </c>
      <c r="AA441" s="33" t="s">
        <v>15</v>
      </c>
      <c r="AB441" s="36" t="s">
        <v>16</v>
      </c>
      <c r="AC441" s="181">
        <f t="shared" si="89"/>
        <v>4</v>
      </c>
      <c r="AD441" s="181">
        <f t="shared" si="88"/>
        <v>8000</v>
      </c>
      <c r="AE441" s="181">
        <v>3</v>
      </c>
      <c r="AF441" s="181">
        <v>3</v>
      </c>
      <c r="AG441" s="101" t="str">
        <f t="shared" si="90"/>
        <v/>
      </c>
      <c r="AH441" s="191">
        <f>4</f>
        <v>4</v>
      </c>
      <c r="AI441" s="69">
        <f t="shared" si="83"/>
        <v>4</v>
      </c>
    </row>
    <row r="442" spans="1:38" s="69" customFormat="1" ht="33" x14ac:dyDescent="0.3">
      <c r="A442" s="134">
        <v>3.35</v>
      </c>
      <c r="B442" s="135" t="s">
        <v>1346</v>
      </c>
      <c r="C442" s="204" t="s">
        <v>325</v>
      </c>
      <c r="D442" s="133"/>
      <c r="E442" s="59">
        <v>1</v>
      </c>
      <c r="F442" s="77"/>
      <c r="G442" s="226"/>
      <c r="H442" s="230"/>
      <c r="I442" s="178">
        <v>119161.05</v>
      </c>
      <c r="J442" s="59">
        <v>119161.05</v>
      </c>
      <c r="K442" s="92"/>
      <c r="L442" s="73"/>
      <c r="M442" s="46">
        <v>1</v>
      </c>
      <c r="N442" s="46">
        <v>0</v>
      </c>
      <c r="O442" s="46">
        <v>119161.05</v>
      </c>
      <c r="P442" s="98"/>
      <c r="Q442" s="23" t="s">
        <v>1444</v>
      </c>
      <c r="R442" s="24" t="s">
        <v>1501</v>
      </c>
      <c r="S442" s="25" t="s">
        <v>325</v>
      </c>
      <c r="T442" s="26">
        <v>0</v>
      </c>
      <c r="U442" s="26">
        <v>1</v>
      </c>
      <c r="V442" s="26">
        <v>119161.05</v>
      </c>
      <c r="W442" s="127">
        <f t="shared" si="85"/>
        <v>0</v>
      </c>
      <c r="X442" s="127">
        <f t="shared" si="78"/>
        <v>1</v>
      </c>
      <c r="Y442" s="127">
        <f t="shared" si="86"/>
        <v>0</v>
      </c>
      <c r="Z442" s="127">
        <f t="shared" si="87"/>
        <v>119161.05</v>
      </c>
      <c r="AA442" s="27"/>
      <c r="AB442" s="36" t="s">
        <v>16</v>
      </c>
      <c r="AC442" s="181">
        <f t="shared" si="89"/>
        <v>1</v>
      </c>
      <c r="AD442" s="181">
        <f t="shared" si="88"/>
        <v>119161.05</v>
      </c>
      <c r="AE442" s="181">
        <v>3</v>
      </c>
      <c r="AF442" s="181">
        <v>3</v>
      </c>
      <c r="AG442" s="101" t="str">
        <f t="shared" si="90"/>
        <v/>
      </c>
      <c r="AH442" s="190">
        <v>1</v>
      </c>
      <c r="AI442" s="69">
        <f t="shared" si="83"/>
        <v>1</v>
      </c>
    </row>
    <row r="443" spans="1:38" ht="39" x14ac:dyDescent="0.3">
      <c r="A443" s="134" t="s">
        <v>1347</v>
      </c>
      <c r="B443" s="135" t="s">
        <v>1348</v>
      </c>
      <c r="C443" s="204" t="s">
        <v>325</v>
      </c>
      <c r="D443" s="133"/>
      <c r="E443" s="78"/>
      <c r="F443" s="62">
        <v>1</v>
      </c>
      <c r="G443" s="163"/>
      <c r="H443" s="62"/>
      <c r="I443" s="167">
        <v>74988.5</v>
      </c>
      <c r="J443" s="62">
        <v>74988.5</v>
      </c>
      <c r="K443" s="93"/>
      <c r="M443" s="46">
        <v>1</v>
      </c>
      <c r="N443" s="46">
        <v>0</v>
      </c>
      <c r="O443" s="46">
        <v>74988.5</v>
      </c>
      <c r="P443" s="98"/>
      <c r="Q443" s="23" t="s">
        <v>1408</v>
      </c>
      <c r="R443" s="24" t="s">
        <v>1348</v>
      </c>
      <c r="S443" s="25" t="s">
        <v>325</v>
      </c>
      <c r="T443" s="26">
        <v>0</v>
      </c>
      <c r="U443" s="26">
        <v>1</v>
      </c>
      <c r="V443" s="26">
        <v>74988.5</v>
      </c>
      <c r="W443" s="127">
        <f t="shared" si="85"/>
        <v>0</v>
      </c>
      <c r="X443" s="127">
        <f t="shared" si="78"/>
        <v>1</v>
      </c>
      <c r="Y443" s="127">
        <f t="shared" si="86"/>
        <v>0</v>
      </c>
      <c r="Z443" s="127">
        <f t="shared" si="87"/>
        <v>74988.5</v>
      </c>
      <c r="AA443" s="27"/>
      <c r="AB443" s="36" t="s">
        <v>16</v>
      </c>
      <c r="AC443" s="181">
        <f t="shared" si="89"/>
        <v>1</v>
      </c>
      <c r="AD443" s="181">
        <f t="shared" si="88"/>
        <v>74988.5</v>
      </c>
      <c r="AE443" s="181">
        <v>3</v>
      </c>
      <c r="AF443" s="181">
        <v>3</v>
      </c>
      <c r="AG443" s="101" t="str">
        <f t="shared" si="90"/>
        <v/>
      </c>
      <c r="AH443" s="190">
        <v>1</v>
      </c>
      <c r="AI443" s="69">
        <f t="shared" si="83"/>
        <v>1</v>
      </c>
    </row>
    <row r="444" spans="1:38" ht="66" x14ac:dyDescent="0.3">
      <c r="A444" s="134" t="s">
        <v>1349</v>
      </c>
      <c r="B444" s="139" t="s">
        <v>3132</v>
      </c>
      <c r="C444" s="204" t="s">
        <v>325</v>
      </c>
      <c r="D444" s="133"/>
      <c r="E444" s="78"/>
      <c r="F444" s="62">
        <v>2</v>
      </c>
      <c r="G444" s="163"/>
      <c r="H444" s="62"/>
      <c r="I444" s="167">
        <v>83493.929999999993</v>
      </c>
      <c r="J444" s="62">
        <v>166987.85999999999</v>
      </c>
      <c r="K444" s="93"/>
      <c r="M444" s="46">
        <v>2</v>
      </c>
      <c r="N444" s="46">
        <v>0</v>
      </c>
      <c r="O444" s="46">
        <v>166987.85999999999</v>
      </c>
      <c r="P444" s="98"/>
      <c r="Q444" s="23" t="s">
        <v>1409</v>
      </c>
      <c r="R444" s="24" t="s">
        <v>1350</v>
      </c>
      <c r="S444" s="25" t="s">
        <v>325</v>
      </c>
      <c r="T444" s="26">
        <v>0</v>
      </c>
      <c r="U444" s="26">
        <v>2</v>
      </c>
      <c r="V444" s="26">
        <v>83493.929999999993</v>
      </c>
      <c r="W444" s="127">
        <f t="shared" si="85"/>
        <v>0</v>
      </c>
      <c r="X444" s="127">
        <f t="shared" si="78"/>
        <v>2</v>
      </c>
      <c r="Y444" s="127">
        <f t="shared" si="86"/>
        <v>0</v>
      </c>
      <c r="Z444" s="127">
        <f t="shared" si="87"/>
        <v>166987.85999999999</v>
      </c>
      <c r="AA444" s="27"/>
      <c r="AB444" s="36" t="s">
        <v>16</v>
      </c>
      <c r="AC444" s="181">
        <f t="shared" si="89"/>
        <v>2</v>
      </c>
      <c r="AD444" s="181">
        <f t="shared" si="88"/>
        <v>166987.85999999999</v>
      </c>
      <c r="AE444" s="181">
        <v>3</v>
      </c>
      <c r="AF444" s="181">
        <v>3</v>
      </c>
      <c r="AG444" s="101" t="str">
        <f t="shared" si="90"/>
        <v/>
      </c>
      <c r="AH444" s="190">
        <v>2</v>
      </c>
      <c r="AI444" s="69">
        <f t="shared" si="83"/>
        <v>2</v>
      </c>
    </row>
    <row r="445" spans="1:38" ht="49.5" x14ac:dyDescent="0.3">
      <c r="A445" s="134" t="s">
        <v>1351</v>
      </c>
      <c r="B445" s="139" t="s">
        <v>3133</v>
      </c>
      <c r="C445" s="204" t="s">
        <v>325</v>
      </c>
      <c r="D445" s="133"/>
      <c r="E445" s="78"/>
      <c r="F445" s="62">
        <v>2</v>
      </c>
      <c r="G445" s="163"/>
      <c r="H445" s="62"/>
      <c r="I445" s="167">
        <v>76194.460000000006</v>
      </c>
      <c r="J445" s="62">
        <v>152388.92000000001</v>
      </c>
      <c r="K445" s="93"/>
      <c r="M445" s="46">
        <v>2</v>
      </c>
      <c r="N445" s="46">
        <v>0</v>
      </c>
      <c r="O445" s="46">
        <v>152388.92000000001</v>
      </c>
      <c r="P445" s="98"/>
      <c r="Q445" s="23" t="s">
        <v>1410</v>
      </c>
      <c r="R445" s="24" t="s">
        <v>1352</v>
      </c>
      <c r="S445" s="25" t="s">
        <v>325</v>
      </c>
      <c r="T445" s="26">
        <v>0</v>
      </c>
      <c r="U445" s="26">
        <v>2</v>
      </c>
      <c r="V445" s="26">
        <v>76194.460000000006</v>
      </c>
      <c r="W445" s="127">
        <f t="shared" si="85"/>
        <v>0</v>
      </c>
      <c r="X445" s="127">
        <f t="shared" si="78"/>
        <v>2</v>
      </c>
      <c r="Y445" s="127">
        <f t="shared" si="86"/>
        <v>0</v>
      </c>
      <c r="Z445" s="127">
        <f t="shared" si="87"/>
        <v>152388.92000000001</v>
      </c>
      <c r="AA445" s="27"/>
      <c r="AB445" s="36" t="s">
        <v>16</v>
      </c>
      <c r="AC445" s="181">
        <f t="shared" si="89"/>
        <v>2</v>
      </c>
      <c r="AD445" s="181">
        <f t="shared" si="88"/>
        <v>152388.92000000001</v>
      </c>
      <c r="AE445" s="181">
        <v>3</v>
      </c>
      <c r="AF445" s="181">
        <v>3</v>
      </c>
      <c r="AG445" s="101" t="str">
        <f t="shared" si="90"/>
        <v/>
      </c>
      <c r="AH445" s="190">
        <v>2</v>
      </c>
      <c r="AI445" s="69">
        <f t="shared" si="83"/>
        <v>2</v>
      </c>
    </row>
    <row r="446" spans="1:38" ht="49.5" x14ac:dyDescent="0.3">
      <c r="A446" s="134" t="s">
        <v>1353</v>
      </c>
      <c r="B446" s="139" t="s">
        <v>3134</v>
      </c>
      <c r="C446" s="204" t="s">
        <v>325</v>
      </c>
      <c r="D446" s="133"/>
      <c r="E446" s="78"/>
      <c r="F446" s="62">
        <v>2</v>
      </c>
      <c r="G446" s="163"/>
      <c r="H446" s="62"/>
      <c r="I446" s="167">
        <v>17998.689999999999</v>
      </c>
      <c r="J446" s="62">
        <v>35997.379999999997</v>
      </c>
      <c r="K446" s="93"/>
      <c r="M446" s="46">
        <v>2</v>
      </c>
      <c r="N446" s="46">
        <v>0</v>
      </c>
      <c r="O446" s="46">
        <v>35997.379999999997</v>
      </c>
      <c r="P446" s="98"/>
      <c r="Q446" s="23" t="s">
        <v>1411</v>
      </c>
      <c r="R446" s="24" t="s">
        <v>1354</v>
      </c>
      <c r="S446" s="25" t="s">
        <v>325</v>
      </c>
      <c r="T446" s="26">
        <v>0</v>
      </c>
      <c r="U446" s="26">
        <v>2</v>
      </c>
      <c r="V446" s="26">
        <v>17998.689999999999</v>
      </c>
      <c r="W446" s="127">
        <f t="shared" si="85"/>
        <v>0</v>
      </c>
      <c r="X446" s="127">
        <f t="shared" si="78"/>
        <v>2</v>
      </c>
      <c r="Y446" s="127">
        <f t="shared" si="86"/>
        <v>0</v>
      </c>
      <c r="Z446" s="127">
        <f t="shared" si="87"/>
        <v>35997.379999999997</v>
      </c>
      <c r="AA446" s="27"/>
      <c r="AB446" s="36" t="s">
        <v>16</v>
      </c>
      <c r="AC446" s="181">
        <f t="shared" si="89"/>
        <v>2</v>
      </c>
      <c r="AD446" s="181">
        <f t="shared" si="88"/>
        <v>35997.379999999997</v>
      </c>
      <c r="AE446" s="181">
        <v>3</v>
      </c>
      <c r="AF446" s="181">
        <v>3</v>
      </c>
      <c r="AG446" s="101" t="str">
        <f t="shared" si="90"/>
        <v/>
      </c>
      <c r="AH446" s="190">
        <v>2</v>
      </c>
      <c r="AI446" s="69">
        <f t="shared" si="83"/>
        <v>2</v>
      </c>
    </row>
    <row r="447" spans="1:38" s="69" customFormat="1" ht="33" customHeight="1" x14ac:dyDescent="0.3">
      <c r="A447" s="85" t="s">
        <v>1146</v>
      </c>
      <c r="B447" s="86" t="s">
        <v>1147</v>
      </c>
      <c r="C447" s="87" t="s">
        <v>14</v>
      </c>
      <c r="D447" s="88">
        <v>1</v>
      </c>
      <c r="E447" s="88"/>
      <c r="F447" s="88"/>
      <c r="G447" s="236"/>
      <c r="H447" s="238"/>
      <c r="I447" s="237"/>
      <c r="J447" s="88">
        <v>2798664.24</v>
      </c>
      <c r="K447" s="95" t="s">
        <v>15</v>
      </c>
      <c r="L447" s="73"/>
      <c r="M447" s="42">
        <v>1</v>
      </c>
      <c r="N447" s="42">
        <v>146168.54000000004</v>
      </c>
      <c r="O447" s="42">
        <v>1398612.84</v>
      </c>
      <c r="P447" s="98"/>
      <c r="Q447" s="13" t="s">
        <v>1412</v>
      </c>
      <c r="R447" s="14" t="s">
        <v>1147</v>
      </c>
      <c r="S447" s="15" t="s">
        <v>14</v>
      </c>
      <c r="T447" s="16">
        <v>1</v>
      </c>
      <c r="U447" s="16"/>
      <c r="V447" s="16">
        <f>SUMIFS(AD:AD,AE:AE,AE447)</f>
        <v>2798664.24</v>
      </c>
      <c r="W447" s="16">
        <f t="shared" ref="W447:X447" si="91">IF(Y447=0,0,1)</f>
        <v>1</v>
      </c>
      <c r="X447" s="16">
        <f t="shared" si="91"/>
        <v>1</v>
      </c>
      <c r="Y447" s="16">
        <f>SUMIFS(Y:Y,AF:AF,AE447)</f>
        <v>90507.139999999898</v>
      </c>
      <c r="Z447" s="16">
        <f>SUMIFS(Z:Z,AF:AF,AE447)</f>
        <v>1489119.98</v>
      </c>
      <c r="AA447" s="17" t="s">
        <v>15</v>
      </c>
      <c r="AB447" s="40" t="s">
        <v>16</v>
      </c>
      <c r="AC447" s="181">
        <f t="shared" si="89"/>
        <v>1</v>
      </c>
      <c r="AD447" s="183"/>
      <c r="AE447" s="183">
        <v>4</v>
      </c>
      <c r="AF447" s="183"/>
      <c r="AG447" s="101" t="str">
        <f t="shared" si="90"/>
        <v/>
      </c>
      <c r="AH447" s="190">
        <v>1</v>
      </c>
      <c r="AI447" s="69">
        <f t="shared" si="83"/>
        <v>1</v>
      </c>
    </row>
    <row r="448" spans="1:38" s="69" customFormat="1" ht="49.5" customHeight="1" x14ac:dyDescent="0.3">
      <c r="A448" s="55" t="s">
        <v>1148</v>
      </c>
      <c r="B448" s="53" t="s">
        <v>1149</v>
      </c>
      <c r="C448" s="54" t="s">
        <v>1150</v>
      </c>
      <c r="D448" s="75">
        <v>48</v>
      </c>
      <c r="E448" s="75"/>
      <c r="F448" s="75"/>
      <c r="G448" s="75"/>
      <c r="H448" s="229"/>
      <c r="I448" s="75">
        <v>13068.13</v>
      </c>
      <c r="J448" s="75">
        <v>627270.24</v>
      </c>
      <c r="K448" s="91" t="s">
        <v>1151</v>
      </c>
      <c r="L448" s="73"/>
      <c r="M448" s="46">
        <v>36</v>
      </c>
      <c r="N448" s="46">
        <v>26136.260000000009</v>
      </c>
      <c r="O448" s="46">
        <v>470452.68</v>
      </c>
      <c r="P448" s="98"/>
      <c r="Q448" s="23" t="s">
        <v>1421</v>
      </c>
      <c r="R448" s="24" t="s">
        <v>1149</v>
      </c>
      <c r="S448" s="25" t="s">
        <v>1150</v>
      </c>
      <c r="T448" s="26">
        <v>48</v>
      </c>
      <c r="U448" s="26">
        <v>48</v>
      </c>
      <c r="V448" s="26">
        <v>13068.13</v>
      </c>
      <c r="W448" s="250">
        <f t="shared" ref="W448:W450" si="92">AH448-M448</f>
        <v>2</v>
      </c>
      <c r="X448" s="26">
        <f t="shared" si="78"/>
        <v>38</v>
      </c>
      <c r="Y448" s="26">
        <f>Z448-O448</f>
        <v>26136.260000000009</v>
      </c>
      <c r="Z448" s="26">
        <f t="shared" ref="Z448:Z450" si="93">ROUND(V448*X448,2)</f>
        <v>496588.94</v>
      </c>
      <c r="AA448" s="33" t="s">
        <v>15</v>
      </c>
      <c r="AB448" s="36" t="s">
        <v>16</v>
      </c>
      <c r="AC448" s="181">
        <f t="shared" si="89"/>
        <v>48</v>
      </c>
      <c r="AD448" s="181">
        <f t="shared" ref="AD448:AD450" si="94">ROUND(V448*AC448,2)</f>
        <v>627270.24</v>
      </c>
      <c r="AE448" s="181">
        <v>4</v>
      </c>
      <c r="AF448" s="181">
        <v>4</v>
      </c>
      <c r="AG448" s="101" t="str">
        <f t="shared" si="90"/>
        <v/>
      </c>
      <c r="AH448" s="191">
        <f>32+2+2+2</f>
        <v>38</v>
      </c>
      <c r="AI448" s="69">
        <f t="shared" si="83"/>
        <v>48</v>
      </c>
    </row>
    <row r="449" spans="1:35" s="69" customFormat="1" ht="66" customHeight="1" x14ac:dyDescent="0.3">
      <c r="A449" s="55" t="s">
        <v>1152</v>
      </c>
      <c r="B449" s="53" t="s">
        <v>1153</v>
      </c>
      <c r="C449" s="54" t="s">
        <v>998</v>
      </c>
      <c r="D449" s="75">
        <v>6720</v>
      </c>
      <c r="E449" s="75"/>
      <c r="F449" s="75"/>
      <c r="G449" s="76"/>
      <c r="H449" s="75"/>
      <c r="I449" s="75">
        <v>54.57</v>
      </c>
      <c r="J449" s="75">
        <v>366710.4</v>
      </c>
      <c r="K449" s="91" t="s">
        <v>1154</v>
      </c>
      <c r="L449" s="73"/>
      <c r="M449" s="46">
        <v>3380</v>
      </c>
      <c r="N449" s="46">
        <v>55661.400000000009</v>
      </c>
      <c r="O449" s="46">
        <v>184446.6</v>
      </c>
      <c r="P449" s="98"/>
      <c r="Q449" s="23" t="s">
        <v>1426</v>
      </c>
      <c r="R449" s="24" t="s">
        <v>1153</v>
      </c>
      <c r="S449" s="25" t="s">
        <v>998</v>
      </c>
      <c r="T449" s="26">
        <v>6720</v>
      </c>
      <c r="U449" s="26">
        <v>6720</v>
      </c>
      <c r="V449" s="26">
        <v>54.57</v>
      </c>
      <c r="W449" s="250">
        <f t="shared" si="92"/>
        <v>0</v>
      </c>
      <c r="X449" s="26">
        <f t="shared" si="78"/>
        <v>3380</v>
      </c>
      <c r="Y449" s="26">
        <f>Z449-O449</f>
        <v>0</v>
      </c>
      <c r="Z449" s="26">
        <f t="shared" si="93"/>
        <v>184446.6</v>
      </c>
      <c r="AA449" s="33" t="s">
        <v>15</v>
      </c>
      <c r="AB449" s="36" t="s">
        <v>16</v>
      </c>
      <c r="AC449" s="181">
        <f t="shared" si="89"/>
        <v>6720</v>
      </c>
      <c r="AD449" s="181">
        <f t="shared" si="94"/>
        <v>366710.4</v>
      </c>
      <c r="AE449" s="181">
        <v>4</v>
      </c>
      <c r="AF449" s="181">
        <v>4</v>
      </c>
      <c r="AG449" s="101" t="str">
        <f t="shared" si="90"/>
        <v/>
      </c>
      <c r="AH449" s="191">
        <f>2360+1020</f>
        <v>3380</v>
      </c>
      <c r="AI449" s="69">
        <f t="shared" si="83"/>
        <v>6720</v>
      </c>
    </row>
    <row r="450" spans="1:35" s="69" customFormat="1" ht="33" x14ac:dyDescent="0.3">
      <c r="A450" s="66">
        <v>4.3</v>
      </c>
      <c r="B450" s="57" t="s">
        <v>1355</v>
      </c>
      <c r="C450" s="58" t="s">
        <v>1360</v>
      </c>
      <c r="D450" s="77"/>
      <c r="E450" s="117">
        <v>1570</v>
      </c>
      <c r="F450" s="59"/>
      <c r="G450" s="59"/>
      <c r="H450" s="142"/>
      <c r="I450" s="77">
        <v>1149.48</v>
      </c>
      <c r="J450" s="59">
        <v>1804683.6</v>
      </c>
      <c r="K450" s="92"/>
      <c r="L450" s="73"/>
      <c r="M450" s="46">
        <v>647</v>
      </c>
      <c r="N450" s="46">
        <v>64370.880000000005</v>
      </c>
      <c r="O450" s="46">
        <v>743713.56</v>
      </c>
      <c r="P450" s="98"/>
      <c r="Q450" s="23" t="s">
        <v>1402</v>
      </c>
      <c r="R450" s="24" t="s">
        <v>1502</v>
      </c>
      <c r="S450" s="25" t="s">
        <v>1360</v>
      </c>
      <c r="T450" s="26">
        <v>0</v>
      </c>
      <c r="U450" s="26">
        <v>1570</v>
      </c>
      <c r="V450" s="26">
        <v>1149.48</v>
      </c>
      <c r="W450" s="250">
        <f t="shared" si="92"/>
        <v>56</v>
      </c>
      <c r="X450" s="26">
        <f t="shared" si="78"/>
        <v>703</v>
      </c>
      <c r="Y450" s="26">
        <f>Z450-O450</f>
        <v>64370.879999999888</v>
      </c>
      <c r="Z450" s="26">
        <f t="shared" si="93"/>
        <v>808084.44</v>
      </c>
      <c r="AA450" s="27"/>
      <c r="AB450" s="36" t="s">
        <v>16</v>
      </c>
      <c r="AC450" s="181">
        <f t="shared" si="89"/>
        <v>1570</v>
      </c>
      <c r="AD450" s="181">
        <f t="shared" si="94"/>
        <v>1804683.6</v>
      </c>
      <c r="AE450" s="181">
        <v>4</v>
      </c>
      <c r="AF450" s="181">
        <v>4</v>
      </c>
      <c r="AG450" s="101" t="str">
        <f t="shared" si="90"/>
        <v/>
      </c>
      <c r="AH450" s="191">
        <f>591+56+56</f>
        <v>703</v>
      </c>
      <c r="AI450" s="69">
        <f t="shared" si="83"/>
        <v>1570</v>
      </c>
    </row>
    <row r="451" spans="1:35" s="69" customFormat="1" ht="33" customHeight="1" x14ac:dyDescent="0.3">
      <c r="A451" s="85" t="s">
        <v>1155</v>
      </c>
      <c r="B451" s="86" t="s">
        <v>1156</v>
      </c>
      <c r="C451" s="87" t="s">
        <v>14</v>
      </c>
      <c r="D451" s="88">
        <v>1</v>
      </c>
      <c r="E451" s="88"/>
      <c r="F451" s="88"/>
      <c r="G451" s="153"/>
      <c r="H451" s="88"/>
      <c r="I451" s="88"/>
      <c r="J451" s="88">
        <v>10715306.710000001</v>
      </c>
      <c r="K451" s="95" t="s">
        <v>15</v>
      </c>
      <c r="L451" s="73"/>
      <c r="M451" s="42">
        <v>1</v>
      </c>
      <c r="N451" s="42">
        <v>110758.85999999999</v>
      </c>
      <c r="O451" s="42">
        <v>9883309.9199999999</v>
      </c>
      <c r="P451" s="98"/>
      <c r="Q451" s="13" t="s">
        <v>1413</v>
      </c>
      <c r="R451" s="14" t="s">
        <v>1156</v>
      </c>
      <c r="S451" s="15" t="s">
        <v>14</v>
      </c>
      <c r="T451" s="16">
        <v>1</v>
      </c>
      <c r="U451" s="16"/>
      <c r="V451" s="16">
        <f>SUMIFS(AD:AD,AE:AE,AE451)</f>
        <v>10715306.709999999</v>
      </c>
      <c r="W451" s="16">
        <f t="shared" ref="W451:X451" si="95">IF(Y451=0,0,1)</f>
        <v>1</v>
      </c>
      <c r="X451" s="16">
        <f t="shared" si="95"/>
        <v>1</v>
      </c>
      <c r="Y451" s="16">
        <f>SUMIFS(Y:Y,AF:AF,AE451)</f>
        <v>60894.420000000042</v>
      </c>
      <c r="Z451" s="16">
        <f>SUMIFS(Z:Z,AF:AF,AE451)</f>
        <v>9944204.3399999999</v>
      </c>
      <c r="AA451" s="17" t="s">
        <v>15</v>
      </c>
      <c r="AB451" s="40" t="s">
        <v>16</v>
      </c>
      <c r="AC451" s="181">
        <f t="shared" si="89"/>
        <v>1</v>
      </c>
      <c r="AD451" s="183"/>
      <c r="AE451" s="183">
        <v>5</v>
      </c>
      <c r="AF451" s="183"/>
      <c r="AG451" s="101" t="str">
        <f t="shared" si="90"/>
        <v/>
      </c>
      <c r="AH451" s="190">
        <v>1</v>
      </c>
      <c r="AI451" s="69">
        <f t="shared" si="83"/>
        <v>1</v>
      </c>
    </row>
    <row r="452" spans="1:35" s="69" customFormat="1" ht="49.5" customHeight="1" x14ac:dyDescent="0.3">
      <c r="A452" s="130" t="s">
        <v>1157</v>
      </c>
      <c r="B452" s="240" t="s">
        <v>1158</v>
      </c>
      <c r="C452" s="132" t="s">
        <v>30</v>
      </c>
      <c r="D452" s="133">
        <v>1698.29</v>
      </c>
      <c r="E452" s="75"/>
      <c r="F452" s="75"/>
      <c r="G452" s="75"/>
      <c r="H452" s="75"/>
      <c r="I452" s="75">
        <v>3662.23</v>
      </c>
      <c r="J452" s="75">
        <v>6219528.5899999999</v>
      </c>
      <c r="K452" s="91" t="s">
        <v>1159</v>
      </c>
      <c r="L452" s="73"/>
      <c r="M452" s="46">
        <v>1698.29</v>
      </c>
      <c r="N452" s="46">
        <v>0</v>
      </c>
      <c r="O452" s="46">
        <v>6219528.5899999999</v>
      </c>
      <c r="P452" s="98"/>
      <c r="Q452" s="23" t="s">
        <v>1421</v>
      </c>
      <c r="R452" s="24" t="s">
        <v>1158</v>
      </c>
      <c r="S452" s="25" t="s">
        <v>30</v>
      </c>
      <c r="T452" s="26">
        <v>1698.29</v>
      </c>
      <c r="U452" s="26">
        <v>1698.29</v>
      </c>
      <c r="V452" s="26">
        <v>3662.23</v>
      </c>
      <c r="W452" s="127">
        <f t="shared" ref="W452:W471" si="96">AH452-M452</f>
        <v>0</v>
      </c>
      <c r="X452" s="127">
        <f t="shared" si="78"/>
        <v>1698.29</v>
      </c>
      <c r="Y452" s="127">
        <f t="shared" ref="Y452:Y471" si="97">Z452-O452</f>
        <v>0</v>
      </c>
      <c r="Z452" s="127">
        <f t="shared" ref="Z452:Z471" si="98">ROUND(V452*X452,2)</f>
        <v>6219528.5899999999</v>
      </c>
      <c r="AA452" s="33" t="s">
        <v>15</v>
      </c>
      <c r="AB452" s="36" t="s">
        <v>16</v>
      </c>
      <c r="AC452" s="181">
        <f t="shared" si="89"/>
        <v>1698.29</v>
      </c>
      <c r="AD452" s="181">
        <f t="shared" ref="AD452:AD471" si="99">ROUND(V452*AC452,2)</f>
        <v>6219528.5899999999</v>
      </c>
      <c r="AE452" s="181">
        <v>5</v>
      </c>
      <c r="AF452" s="181">
        <v>5</v>
      </c>
      <c r="AG452" s="101" t="str">
        <f t="shared" si="90"/>
        <v/>
      </c>
      <c r="AH452" s="190">
        <v>1698.29</v>
      </c>
      <c r="AI452" s="69">
        <f t="shared" si="83"/>
        <v>1698.29</v>
      </c>
    </row>
    <row r="453" spans="1:35" s="69" customFormat="1" ht="49.5" x14ac:dyDescent="0.3">
      <c r="A453" s="130" t="s">
        <v>1160</v>
      </c>
      <c r="B453" s="240" t="s">
        <v>1161</v>
      </c>
      <c r="C453" s="132" t="s">
        <v>50</v>
      </c>
      <c r="D453" s="133">
        <v>2123.4</v>
      </c>
      <c r="E453" s="75"/>
      <c r="F453" s="75"/>
      <c r="G453" s="75"/>
      <c r="H453" s="75"/>
      <c r="I453" s="75">
        <v>353</v>
      </c>
      <c r="J453" s="75">
        <v>749560.2</v>
      </c>
      <c r="K453" s="91" t="s">
        <v>1162</v>
      </c>
      <c r="L453" s="73"/>
      <c r="M453" s="46">
        <v>2123.4</v>
      </c>
      <c r="N453" s="46">
        <v>0</v>
      </c>
      <c r="O453" s="46">
        <v>749560.2</v>
      </c>
      <c r="P453" s="98"/>
      <c r="Q453" s="23" t="s">
        <v>1426</v>
      </c>
      <c r="R453" s="24" t="s">
        <v>1161</v>
      </c>
      <c r="S453" s="25" t="s">
        <v>50</v>
      </c>
      <c r="T453" s="26">
        <v>2123.4</v>
      </c>
      <c r="U453" s="26">
        <v>2123.4</v>
      </c>
      <c r="V453" s="26">
        <v>353</v>
      </c>
      <c r="W453" s="127">
        <f t="shared" si="96"/>
        <v>0</v>
      </c>
      <c r="X453" s="127">
        <v>2123.4</v>
      </c>
      <c r="Y453" s="127">
        <f t="shared" si="97"/>
        <v>0</v>
      </c>
      <c r="Z453" s="127">
        <f t="shared" si="98"/>
        <v>749560.2</v>
      </c>
      <c r="AA453" s="33" t="s">
        <v>15</v>
      </c>
      <c r="AB453" s="36" t="s">
        <v>16</v>
      </c>
      <c r="AC453" s="181">
        <f t="shared" si="89"/>
        <v>2123.4</v>
      </c>
      <c r="AD453" s="181">
        <f t="shared" si="99"/>
        <v>749560.2</v>
      </c>
      <c r="AE453" s="181">
        <v>5</v>
      </c>
      <c r="AF453" s="181">
        <v>5</v>
      </c>
      <c r="AG453" s="101" t="str">
        <f t="shared" si="90"/>
        <v/>
      </c>
      <c r="AH453" s="190">
        <v>2123.4</v>
      </c>
      <c r="AI453" s="69">
        <f t="shared" si="83"/>
        <v>2123.4</v>
      </c>
    </row>
    <row r="454" spans="1:35" s="69" customFormat="1" ht="42" customHeight="1" x14ac:dyDescent="0.3">
      <c r="A454" s="130" t="s">
        <v>1163</v>
      </c>
      <c r="B454" s="240" t="s">
        <v>1164</v>
      </c>
      <c r="C454" s="132" t="s">
        <v>162</v>
      </c>
      <c r="D454" s="133">
        <v>59</v>
      </c>
      <c r="E454" s="75"/>
      <c r="F454" s="75"/>
      <c r="G454" s="75"/>
      <c r="H454" s="75"/>
      <c r="I454" s="75">
        <v>217.02</v>
      </c>
      <c r="J454" s="75">
        <v>12804.18</v>
      </c>
      <c r="K454" s="91" t="s">
        <v>1165</v>
      </c>
      <c r="L454" s="73"/>
      <c r="M454" s="46">
        <v>59</v>
      </c>
      <c r="N454" s="46">
        <v>0</v>
      </c>
      <c r="O454" s="46">
        <v>12804.18</v>
      </c>
      <c r="P454" s="98"/>
      <c r="Q454" s="23" t="s">
        <v>1402</v>
      </c>
      <c r="R454" s="24" t="s">
        <v>1164</v>
      </c>
      <c r="S454" s="25" t="s">
        <v>162</v>
      </c>
      <c r="T454" s="26">
        <v>59</v>
      </c>
      <c r="U454" s="26">
        <v>59</v>
      </c>
      <c r="V454" s="26">
        <v>217.02</v>
      </c>
      <c r="W454" s="127">
        <f t="shared" si="96"/>
        <v>0</v>
      </c>
      <c r="X454" s="127">
        <f t="shared" si="78"/>
        <v>59</v>
      </c>
      <c r="Y454" s="127">
        <f t="shared" si="97"/>
        <v>0</v>
      </c>
      <c r="Z454" s="127">
        <f t="shared" si="98"/>
        <v>12804.18</v>
      </c>
      <c r="AA454" s="33" t="s">
        <v>15</v>
      </c>
      <c r="AB454" s="36" t="s">
        <v>16</v>
      </c>
      <c r="AC454" s="181">
        <f t="shared" si="89"/>
        <v>59</v>
      </c>
      <c r="AD454" s="181">
        <f t="shared" si="99"/>
        <v>12804.18</v>
      </c>
      <c r="AE454" s="181">
        <v>5</v>
      </c>
      <c r="AF454" s="181">
        <v>5</v>
      </c>
      <c r="AG454" s="101" t="str">
        <f t="shared" si="90"/>
        <v/>
      </c>
      <c r="AH454" s="194">
        <v>59</v>
      </c>
      <c r="AI454" s="69">
        <f t="shared" si="83"/>
        <v>59</v>
      </c>
    </row>
    <row r="455" spans="1:35" s="69" customFormat="1" ht="26.1" customHeight="1" x14ac:dyDescent="0.3">
      <c r="A455" s="130" t="s">
        <v>1166</v>
      </c>
      <c r="B455" s="131" t="s">
        <v>1167</v>
      </c>
      <c r="C455" s="132" t="s">
        <v>559</v>
      </c>
      <c r="D455" s="133">
        <v>30</v>
      </c>
      <c r="E455" s="75"/>
      <c r="F455" s="75"/>
      <c r="G455" s="75"/>
      <c r="H455" s="75"/>
      <c r="I455" s="75">
        <v>50</v>
      </c>
      <c r="J455" s="75">
        <v>1500</v>
      </c>
      <c r="K455" s="91" t="s">
        <v>1168</v>
      </c>
      <c r="L455" s="73"/>
      <c r="M455" s="46">
        <v>30</v>
      </c>
      <c r="N455" s="46">
        <v>0</v>
      </c>
      <c r="O455" s="46">
        <v>1500</v>
      </c>
      <c r="P455" s="98"/>
      <c r="Q455" s="23" t="s">
        <v>1373</v>
      </c>
      <c r="R455" s="24" t="s">
        <v>1167</v>
      </c>
      <c r="S455" s="25" t="s">
        <v>559</v>
      </c>
      <c r="T455" s="26">
        <v>30</v>
      </c>
      <c r="U455" s="26">
        <v>30</v>
      </c>
      <c r="V455" s="26">
        <v>50</v>
      </c>
      <c r="W455" s="127">
        <f t="shared" si="96"/>
        <v>0</v>
      </c>
      <c r="X455" s="127">
        <f t="shared" si="78"/>
        <v>30</v>
      </c>
      <c r="Y455" s="127">
        <f t="shared" si="97"/>
        <v>0</v>
      </c>
      <c r="Z455" s="127">
        <f t="shared" si="98"/>
        <v>1500</v>
      </c>
      <c r="AA455" s="33" t="s">
        <v>15</v>
      </c>
      <c r="AB455" s="36" t="s">
        <v>16</v>
      </c>
      <c r="AC455" s="181">
        <f t="shared" si="89"/>
        <v>30</v>
      </c>
      <c r="AD455" s="181">
        <f t="shared" si="99"/>
        <v>1500</v>
      </c>
      <c r="AE455" s="181">
        <v>5</v>
      </c>
      <c r="AF455" s="181">
        <v>5</v>
      </c>
      <c r="AG455" s="101" t="str">
        <f t="shared" si="90"/>
        <v/>
      </c>
      <c r="AH455" s="194">
        <v>30</v>
      </c>
      <c r="AI455" s="69">
        <f t="shared" si="83"/>
        <v>30</v>
      </c>
    </row>
    <row r="456" spans="1:35" s="69" customFormat="1" ht="26.1" customHeight="1" x14ac:dyDescent="0.3">
      <c r="A456" s="130" t="s">
        <v>1169</v>
      </c>
      <c r="B456" s="131" t="s">
        <v>1170</v>
      </c>
      <c r="C456" s="132" t="s">
        <v>81</v>
      </c>
      <c r="D456" s="133">
        <v>9</v>
      </c>
      <c r="E456" s="75"/>
      <c r="F456" s="75"/>
      <c r="G456" s="75"/>
      <c r="H456" s="75"/>
      <c r="I456" s="75">
        <v>1900.97</v>
      </c>
      <c r="J456" s="75">
        <v>17108.73</v>
      </c>
      <c r="K456" s="91" t="s">
        <v>1171</v>
      </c>
      <c r="L456" s="73"/>
      <c r="M456" s="46">
        <v>9</v>
      </c>
      <c r="N456" s="46">
        <v>0</v>
      </c>
      <c r="O456" s="46">
        <v>17108.73</v>
      </c>
      <c r="P456" s="98"/>
      <c r="Q456" s="23" t="s">
        <v>1393</v>
      </c>
      <c r="R456" s="24" t="s">
        <v>1170</v>
      </c>
      <c r="S456" s="25" t="s">
        <v>81</v>
      </c>
      <c r="T456" s="26">
        <v>9</v>
      </c>
      <c r="U456" s="26">
        <v>9</v>
      </c>
      <c r="V456" s="26">
        <v>1900.97</v>
      </c>
      <c r="W456" s="127">
        <f t="shared" si="96"/>
        <v>0</v>
      </c>
      <c r="X456" s="127">
        <f t="shared" si="78"/>
        <v>9</v>
      </c>
      <c r="Y456" s="127">
        <f t="shared" si="97"/>
        <v>0</v>
      </c>
      <c r="Z456" s="127">
        <f t="shared" si="98"/>
        <v>17108.73</v>
      </c>
      <c r="AA456" s="33" t="s">
        <v>15</v>
      </c>
      <c r="AB456" s="36" t="s">
        <v>16</v>
      </c>
      <c r="AC456" s="181">
        <f t="shared" si="89"/>
        <v>9</v>
      </c>
      <c r="AD456" s="181">
        <f t="shared" si="99"/>
        <v>17108.73</v>
      </c>
      <c r="AE456" s="181">
        <v>5</v>
      </c>
      <c r="AF456" s="181">
        <v>5</v>
      </c>
      <c r="AG456" s="101" t="str">
        <f t="shared" si="90"/>
        <v/>
      </c>
      <c r="AH456" s="190">
        <v>9</v>
      </c>
      <c r="AI456" s="69">
        <f t="shared" si="83"/>
        <v>9</v>
      </c>
    </row>
    <row r="457" spans="1:35" s="69" customFormat="1" ht="26.1" customHeight="1" x14ac:dyDescent="0.3">
      <c r="A457" s="130" t="s">
        <v>1172</v>
      </c>
      <c r="B457" s="131" t="s">
        <v>1173</v>
      </c>
      <c r="C457" s="132" t="s">
        <v>81</v>
      </c>
      <c r="D457" s="133">
        <v>5</v>
      </c>
      <c r="E457" s="75"/>
      <c r="F457" s="75"/>
      <c r="G457" s="75"/>
      <c r="H457" s="75"/>
      <c r="I457" s="75">
        <v>1230.75</v>
      </c>
      <c r="J457" s="75">
        <v>6153.75</v>
      </c>
      <c r="K457" s="91" t="s">
        <v>1174</v>
      </c>
      <c r="L457" s="73"/>
      <c r="M457" s="46">
        <v>5</v>
      </c>
      <c r="N457" s="46">
        <v>0</v>
      </c>
      <c r="O457" s="46">
        <v>6153.75</v>
      </c>
      <c r="P457" s="98"/>
      <c r="Q457" s="23" t="s">
        <v>1403</v>
      </c>
      <c r="R457" s="24" t="s">
        <v>1173</v>
      </c>
      <c r="S457" s="25" t="s">
        <v>81</v>
      </c>
      <c r="T457" s="26">
        <v>5</v>
      </c>
      <c r="U457" s="26">
        <v>5</v>
      </c>
      <c r="V457" s="26">
        <v>1230.75</v>
      </c>
      <c r="W457" s="127">
        <f t="shared" si="96"/>
        <v>0</v>
      </c>
      <c r="X457" s="127">
        <f t="shared" si="78"/>
        <v>5</v>
      </c>
      <c r="Y457" s="127">
        <f t="shared" si="97"/>
        <v>0</v>
      </c>
      <c r="Z457" s="127">
        <f t="shared" si="98"/>
        <v>6153.75</v>
      </c>
      <c r="AA457" s="33" t="s">
        <v>15</v>
      </c>
      <c r="AB457" s="36" t="s">
        <v>16</v>
      </c>
      <c r="AC457" s="181">
        <f t="shared" si="89"/>
        <v>5</v>
      </c>
      <c r="AD457" s="181">
        <f t="shared" si="99"/>
        <v>6153.75</v>
      </c>
      <c r="AE457" s="181">
        <v>5</v>
      </c>
      <c r="AF457" s="181">
        <v>5</v>
      </c>
      <c r="AG457" s="101" t="str">
        <f t="shared" si="90"/>
        <v/>
      </c>
      <c r="AH457" s="190">
        <v>5</v>
      </c>
      <c r="AI457" s="69">
        <f t="shared" si="83"/>
        <v>5</v>
      </c>
    </row>
    <row r="458" spans="1:35" s="69" customFormat="1" ht="33" x14ac:dyDescent="0.3">
      <c r="A458" s="55" t="s">
        <v>1175</v>
      </c>
      <c r="B458" s="53" t="s">
        <v>1176</v>
      </c>
      <c r="C458" s="54" t="s">
        <v>81</v>
      </c>
      <c r="D458" s="75">
        <v>756</v>
      </c>
      <c r="E458" s="75"/>
      <c r="F458" s="75"/>
      <c r="G458" s="75"/>
      <c r="H458" s="75"/>
      <c r="I458" s="75">
        <v>1666.11</v>
      </c>
      <c r="J458" s="75">
        <v>1259579.1599999999</v>
      </c>
      <c r="K458" s="91" t="s">
        <v>1177</v>
      </c>
      <c r="L458" s="73"/>
      <c r="M458" s="46">
        <v>549</v>
      </c>
      <c r="N458" s="46">
        <v>43318.859999999986</v>
      </c>
      <c r="O458" s="46">
        <v>914694.39</v>
      </c>
      <c r="P458" s="98"/>
      <c r="Q458" s="23" t="s">
        <v>1427</v>
      </c>
      <c r="R458" s="24" t="s">
        <v>1176</v>
      </c>
      <c r="S458" s="25" t="s">
        <v>81</v>
      </c>
      <c r="T458" s="26">
        <v>756</v>
      </c>
      <c r="U458" s="26">
        <v>756</v>
      </c>
      <c r="V458" s="26">
        <v>1666.11</v>
      </c>
      <c r="W458" s="243">
        <f t="shared" si="96"/>
        <v>22</v>
      </c>
      <c r="X458" s="26">
        <f t="shared" si="78"/>
        <v>571</v>
      </c>
      <c r="Y458" s="26">
        <f t="shared" si="97"/>
        <v>36654.420000000042</v>
      </c>
      <c r="Z458" s="26">
        <f t="shared" si="98"/>
        <v>951348.81</v>
      </c>
      <c r="AA458" s="33" t="s">
        <v>15</v>
      </c>
      <c r="AB458" s="36" t="s">
        <v>16</v>
      </c>
      <c r="AC458" s="181">
        <f t="shared" si="89"/>
        <v>756</v>
      </c>
      <c r="AD458" s="181">
        <f t="shared" si="99"/>
        <v>1259579.1599999999</v>
      </c>
      <c r="AE458" s="181">
        <v>5</v>
      </c>
      <c r="AF458" s="181">
        <v>5</v>
      </c>
      <c r="AG458" s="101" t="str">
        <f t="shared" si="90"/>
        <v/>
      </c>
      <c r="AH458" s="191">
        <f>471+52+26+22</f>
        <v>571</v>
      </c>
      <c r="AI458" s="69">
        <f t="shared" si="83"/>
        <v>756</v>
      </c>
    </row>
    <row r="459" spans="1:35" s="69" customFormat="1" ht="49.5" customHeight="1" x14ac:dyDescent="0.3">
      <c r="A459" s="130" t="s">
        <v>1178</v>
      </c>
      <c r="B459" s="240" t="s">
        <v>1179</v>
      </c>
      <c r="C459" s="132" t="s">
        <v>81</v>
      </c>
      <c r="D459" s="133">
        <v>2</v>
      </c>
      <c r="E459" s="75"/>
      <c r="F459" s="75"/>
      <c r="G459" s="75"/>
      <c r="H459" s="75"/>
      <c r="I459" s="75">
        <v>48513</v>
      </c>
      <c r="J459" s="75">
        <v>97026</v>
      </c>
      <c r="K459" s="91" t="s">
        <v>1180</v>
      </c>
      <c r="L459" s="73"/>
      <c r="M459" s="46">
        <v>2</v>
      </c>
      <c r="N459" s="46">
        <v>0</v>
      </c>
      <c r="O459" s="46">
        <v>97026</v>
      </c>
      <c r="P459" s="98"/>
      <c r="Q459" s="23" t="s">
        <v>1428</v>
      </c>
      <c r="R459" s="24" t="s">
        <v>1179</v>
      </c>
      <c r="S459" s="25" t="s">
        <v>81</v>
      </c>
      <c r="T459" s="26">
        <v>2</v>
      </c>
      <c r="U459" s="26">
        <v>2</v>
      </c>
      <c r="V459" s="26">
        <v>48513</v>
      </c>
      <c r="W459" s="127">
        <f t="shared" si="96"/>
        <v>0</v>
      </c>
      <c r="X459" s="127">
        <v>2</v>
      </c>
      <c r="Y459" s="127">
        <f t="shared" si="97"/>
        <v>0</v>
      </c>
      <c r="Z459" s="127">
        <f t="shared" si="98"/>
        <v>97026</v>
      </c>
      <c r="AA459" s="33" t="s">
        <v>15</v>
      </c>
      <c r="AB459" s="36" t="s">
        <v>16</v>
      </c>
      <c r="AC459" s="181">
        <f t="shared" si="89"/>
        <v>2</v>
      </c>
      <c r="AD459" s="181">
        <f t="shared" si="99"/>
        <v>97026</v>
      </c>
      <c r="AE459" s="181">
        <v>5</v>
      </c>
      <c r="AF459" s="181">
        <v>5</v>
      </c>
      <c r="AG459" s="101" t="str">
        <f t="shared" si="90"/>
        <v/>
      </c>
      <c r="AH459" s="190">
        <v>2</v>
      </c>
      <c r="AI459" s="69">
        <f t="shared" si="83"/>
        <v>2</v>
      </c>
    </row>
    <row r="460" spans="1:35" s="69" customFormat="1" ht="41.25" x14ac:dyDescent="0.3">
      <c r="A460" s="130" t="s">
        <v>1181</v>
      </c>
      <c r="B460" s="131" t="s">
        <v>1182</v>
      </c>
      <c r="C460" s="132" t="s">
        <v>1183</v>
      </c>
      <c r="D460" s="133">
        <v>18</v>
      </c>
      <c r="E460" s="75">
        <v>38</v>
      </c>
      <c r="F460" s="75"/>
      <c r="G460" s="75"/>
      <c r="H460" s="75"/>
      <c r="I460" s="75">
        <v>587.1</v>
      </c>
      <c r="J460" s="75">
        <v>22309.8</v>
      </c>
      <c r="K460" s="91" t="s">
        <v>1184</v>
      </c>
      <c r="L460" s="73"/>
      <c r="M460" s="46">
        <v>38</v>
      </c>
      <c r="N460" s="46">
        <v>0</v>
      </c>
      <c r="O460" s="46">
        <v>22309.8</v>
      </c>
      <c r="P460" s="98"/>
      <c r="Q460" s="23" t="s">
        <v>1387</v>
      </c>
      <c r="R460" s="24" t="s">
        <v>1182</v>
      </c>
      <c r="S460" s="25" t="s">
        <v>1183</v>
      </c>
      <c r="T460" s="26">
        <v>18</v>
      </c>
      <c r="U460" s="26">
        <v>38</v>
      </c>
      <c r="V460" s="26">
        <v>587.1</v>
      </c>
      <c r="W460" s="127">
        <f t="shared" si="96"/>
        <v>0</v>
      </c>
      <c r="X460" s="127">
        <f t="shared" ref="X460:X494" si="100">W460+M460</f>
        <v>38</v>
      </c>
      <c r="Y460" s="127">
        <f t="shared" si="97"/>
        <v>0</v>
      </c>
      <c r="Z460" s="127">
        <f t="shared" si="98"/>
        <v>22309.8</v>
      </c>
      <c r="AA460" s="27" t="s">
        <v>15</v>
      </c>
      <c r="AB460" s="36" t="s">
        <v>16</v>
      </c>
      <c r="AC460" s="181">
        <f t="shared" si="89"/>
        <v>38</v>
      </c>
      <c r="AD460" s="181">
        <f t="shared" si="99"/>
        <v>22309.8</v>
      </c>
      <c r="AE460" s="181">
        <v>5</v>
      </c>
      <c r="AF460" s="181">
        <v>5</v>
      </c>
      <c r="AG460" s="101" t="str">
        <f t="shared" si="90"/>
        <v/>
      </c>
      <c r="AH460" s="194">
        <v>38</v>
      </c>
      <c r="AI460" s="69">
        <f t="shared" ref="AI460:AI503" si="101">IF(G460=0,IF(F460=0,IF(E460=0,D460,E460),F460),G460)</f>
        <v>38</v>
      </c>
    </row>
    <row r="461" spans="1:35" s="69" customFormat="1" ht="49.5" customHeight="1" x14ac:dyDescent="0.3">
      <c r="A461" s="55" t="s">
        <v>1185</v>
      </c>
      <c r="B461" s="53" t="s">
        <v>1186</v>
      </c>
      <c r="C461" s="54" t="s">
        <v>162</v>
      </c>
      <c r="D461" s="75">
        <v>9</v>
      </c>
      <c r="E461" s="75"/>
      <c r="F461" s="75"/>
      <c r="G461" s="75"/>
      <c r="H461" s="75"/>
      <c r="I461" s="75">
        <v>664.14</v>
      </c>
      <c r="J461" s="75">
        <v>5977.26</v>
      </c>
      <c r="K461" s="91" t="s">
        <v>1187</v>
      </c>
      <c r="L461" s="73"/>
      <c r="M461" s="46">
        <v>0</v>
      </c>
      <c r="N461" s="46">
        <v>0</v>
      </c>
      <c r="O461" s="46">
        <v>0</v>
      </c>
      <c r="P461" s="98"/>
      <c r="Q461" s="23" t="s">
        <v>1405</v>
      </c>
      <c r="R461" s="24" t="s">
        <v>1186</v>
      </c>
      <c r="S461" s="25" t="s">
        <v>162</v>
      </c>
      <c r="T461" s="26">
        <v>9</v>
      </c>
      <c r="U461" s="26">
        <v>9</v>
      </c>
      <c r="V461" s="26">
        <v>664.14</v>
      </c>
      <c r="W461" s="26">
        <f t="shared" si="96"/>
        <v>0</v>
      </c>
      <c r="X461" s="26">
        <f t="shared" si="100"/>
        <v>0</v>
      </c>
      <c r="Y461" s="26">
        <f t="shared" si="97"/>
        <v>0</v>
      </c>
      <c r="Z461" s="26">
        <f t="shared" si="98"/>
        <v>0</v>
      </c>
      <c r="AA461" s="33" t="s">
        <v>15</v>
      </c>
      <c r="AB461" s="36" t="s">
        <v>16</v>
      </c>
      <c r="AC461" s="181">
        <f t="shared" si="89"/>
        <v>9</v>
      </c>
      <c r="AD461" s="181">
        <f t="shared" si="99"/>
        <v>5977.26</v>
      </c>
      <c r="AE461" s="181">
        <v>5</v>
      </c>
      <c r="AF461" s="181">
        <v>5</v>
      </c>
      <c r="AG461" s="101" t="str">
        <f t="shared" si="90"/>
        <v/>
      </c>
      <c r="AH461" s="190">
        <v>0</v>
      </c>
      <c r="AI461" s="69">
        <f t="shared" si="101"/>
        <v>9</v>
      </c>
    </row>
    <row r="462" spans="1:35" s="69" customFormat="1" ht="39" x14ac:dyDescent="0.3">
      <c r="A462" s="55" t="s">
        <v>1188</v>
      </c>
      <c r="B462" s="53" t="s">
        <v>1189</v>
      </c>
      <c r="C462" s="54" t="s">
        <v>81</v>
      </c>
      <c r="D462" s="75">
        <v>68</v>
      </c>
      <c r="E462" s="75"/>
      <c r="F462" s="75"/>
      <c r="G462" s="75"/>
      <c r="H462" s="75"/>
      <c r="I462" s="75">
        <v>847.07</v>
      </c>
      <c r="J462" s="75">
        <v>57600.76</v>
      </c>
      <c r="K462" s="91" t="s">
        <v>1190</v>
      </c>
      <c r="L462" s="73"/>
      <c r="M462" s="46">
        <v>40</v>
      </c>
      <c r="N462" s="46">
        <v>0</v>
      </c>
      <c r="O462" s="46">
        <v>33882.800000000003</v>
      </c>
      <c r="P462" s="98"/>
      <c r="Q462" s="23" t="s">
        <v>1406</v>
      </c>
      <c r="R462" s="24" t="s">
        <v>1189</v>
      </c>
      <c r="S462" s="25" t="s">
        <v>81</v>
      </c>
      <c r="T462" s="26">
        <v>68</v>
      </c>
      <c r="U462" s="26">
        <v>68</v>
      </c>
      <c r="V462" s="26">
        <v>847.07</v>
      </c>
      <c r="W462" s="128">
        <f t="shared" si="96"/>
        <v>0</v>
      </c>
      <c r="X462" s="26">
        <f t="shared" si="100"/>
        <v>40</v>
      </c>
      <c r="Y462" s="26">
        <f t="shared" si="97"/>
        <v>0</v>
      </c>
      <c r="Z462" s="26">
        <f t="shared" si="98"/>
        <v>33882.800000000003</v>
      </c>
      <c r="AA462" s="33" t="s">
        <v>15</v>
      </c>
      <c r="AB462" s="36" t="s">
        <v>16</v>
      </c>
      <c r="AC462" s="181">
        <f t="shared" si="89"/>
        <v>68</v>
      </c>
      <c r="AD462" s="181">
        <f t="shared" si="99"/>
        <v>57600.76</v>
      </c>
      <c r="AE462" s="181">
        <v>5</v>
      </c>
      <c r="AF462" s="181">
        <v>5</v>
      </c>
      <c r="AG462" s="101" t="str">
        <f t="shared" si="90"/>
        <v/>
      </c>
      <c r="AH462" s="190">
        <v>40</v>
      </c>
      <c r="AI462" s="69">
        <f t="shared" si="101"/>
        <v>68</v>
      </c>
    </row>
    <row r="463" spans="1:35" s="69" customFormat="1" ht="41.25" x14ac:dyDescent="0.3">
      <c r="A463" s="130" t="s">
        <v>1191</v>
      </c>
      <c r="B463" s="131" t="s">
        <v>1192</v>
      </c>
      <c r="C463" s="132" t="s">
        <v>30</v>
      </c>
      <c r="D463" s="133">
        <v>27.54</v>
      </c>
      <c r="E463" s="75"/>
      <c r="F463" s="75">
        <v>87.54</v>
      </c>
      <c r="G463" s="75"/>
      <c r="H463" s="75"/>
      <c r="I463" s="75">
        <v>293.74</v>
      </c>
      <c r="J463" s="75">
        <v>25714</v>
      </c>
      <c r="K463" s="91" t="s">
        <v>1193</v>
      </c>
      <c r="L463" s="73"/>
      <c r="M463" s="46">
        <v>87.54</v>
      </c>
      <c r="N463" s="46">
        <v>0</v>
      </c>
      <c r="O463" s="46">
        <v>25714</v>
      </c>
      <c r="P463" s="98"/>
      <c r="Q463" s="23" t="s">
        <v>1414</v>
      </c>
      <c r="R463" s="24" t="s">
        <v>1192</v>
      </c>
      <c r="S463" s="25" t="s">
        <v>30</v>
      </c>
      <c r="T463" s="26">
        <v>27.54</v>
      </c>
      <c r="U463" s="26">
        <v>87.54</v>
      </c>
      <c r="V463" s="26">
        <v>293.74</v>
      </c>
      <c r="W463" s="127">
        <f t="shared" si="96"/>
        <v>0</v>
      </c>
      <c r="X463" s="127">
        <f t="shared" si="100"/>
        <v>87.54</v>
      </c>
      <c r="Y463" s="127">
        <f t="shared" si="97"/>
        <v>0</v>
      </c>
      <c r="Z463" s="127">
        <f t="shared" si="98"/>
        <v>25714</v>
      </c>
      <c r="AA463" s="27" t="s">
        <v>15</v>
      </c>
      <c r="AB463" s="36" t="s">
        <v>16</v>
      </c>
      <c r="AC463" s="181">
        <f t="shared" si="89"/>
        <v>87.54</v>
      </c>
      <c r="AD463" s="181">
        <f t="shared" si="99"/>
        <v>25714</v>
      </c>
      <c r="AE463" s="181">
        <v>5</v>
      </c>
      <c r="AF463" s="181">
        <v>5</v>
      </c>
      <c r="AG463" s="101" t="str">
        <f t="shared" si="90"/>
        <v/>
      </c>
      <c r="AH463" s="190">
        <v>87.54</v>
      </c>
      <c r="AI463" s="69">
        <f t="shared" si="101"/>
        <v>87.54</v>
      </c>
    </row>
    <row r="464" spans="1:35" s="69" customFormat="1" ht="33" customHeight="1" x14ac:dyDescent="0.3">
      <c r="A464" s="130" t="s">
        <v>1194</v>
      </c>
      <c r="B464" s="131" t="s">
        <v>1195</v>
      </c>
      <c r="C464" s="132" t="s">
        <v>1196</v>
      </c>
      <c r="D464" s="133">
        <v>2</v>
      </c>
      <c r="E464" s="75"/>
      <c r="F464" s="75"/>
      <c r="G464" s="75"/>
      <c r="H464" s="75"/>
      <c r="I464" s="75">
        <v>10000</v>
      </c>
      <c r="J464" s="75">
        <v>20000</v>
      </c>
      <c r="K464" s="91" t="s">
        <v>1197</v>
      </c>
      <c r="L464" s="73"/>
      <c r="M464" s="46">
        <v>2</v>
      </c>
      <c r="N464" s="46">
        <v>0</v>
      </c>
      <c r="O464" s="46">
        <v>20000</v>
      </c>
      <c r="P464" s="98"/>
      <c r="Q464" s="23" t="s">
        <v>1429</v>
      </c>
      <c r="R464" s="24" t="s">
        <v>1195</v>
      </c>
      <c r="S464" s="25" t="s">
        <v>1196</v>
      </c>
      <c r="T464" s="26">
        <v>2</v>
      </c>
      <c r="U464" s="26">
        <v>2</v>
      </c>
      <c r="V464" s="26">
        <v>10000</v>
      </c>
      <c r="W464" s="127">
        <f t="shared" si="96"/>
        <v>0</v>
      </c>
      <c r="X464" s="127">
        <f t="shared" si="100"/>
        <v>2</v>
      </c>
      <c r="Y464" s="127">
        <f t="shared" si="97"/>
        <v>0</v>
      </c>
      <c r="Z464" s="127">
        <f t="shared" si="98"/>
        <v>20000</v>
      </c>
      <c r="AA464" s="33" t="s">
        <v>15</v>
      </c>
      <c r="AB464" s="36" t="s">
        <v>16</v>
      </c>
      <c r="AC464" s="181">
        <f t="shared" si="89"/>
        <v>2</v>
      </c>
      <c r="AD464" s="181">
        <f t="shared" si="99"/>
        <v>20000</v>
      </c>
      <c r="AE464" s="181">
        <v>5</v>
      </c>
      <c r="AF464" s="181">
        <v>5</v>
      </c>
      <c r="AG464" s="101" t="str">
        <f t="shared" si="90"/>
        <v/>
      </c>
      <c r="AH464" s="190">
        <v>2</v>
      </c>
      <c r="AI464" s="69">
        <f t="shared" si="101"/>
        <v>2</v>
      </c>
    </row>
    <row r="465" spans="1:35" s="69" customFormat="1" ht="33" customHeight="1" x14ac:dyDescent="0.3">
      <c r="A465" s="55" t="s">
        <v>1198</v>
      </c>
      <c r="B465" s="53" t="s">
        <v>1199</v>
      </c>
      <c r="C465" s="54" t="s">
        <v>30</v>
      </c>
      <c r="D465" s="75">
        <v>1064.31</v>
      </c>
      <c r="E465" s="75"/>
      <c r="F465" s="75"/>
      <c r="G465" s="75"/>
      <c r="H465" s="75"/>
      <c r="I465" s="75">
        <v>210</v>
      </c>
      <c r="J465" s="75">
        <v>223505.1</v>
      </c>
      <c r="K465" s="91" t="s">
        <v>1200</v>
      </c>
      <c r="L465" s="73"/>
      <c r="M465" s="46">
        <v>955</v>
      </c>
      <c r="N465" s="46">
        <v>0</v>
      </c>
      <c r="O465" s="46">
        <v>200550</v>
      </c>
      <c r="P465" s="98"/>
      <c r="Q465" s="23" t="s">
        <v>1430</v>
      </c>
      <c r="R465" s="24" t="s">
        <v>1199</v>
      </c>
      <c r="S465" s="25" t="s">
        <v>30</v>
      </c>
      <c r="T465" s="26">
        <v>1064.31</v>
      </c>
      <c r="U465" s="26">
        <v>1064.31</v>
      </c>
      <c r="V465" s="26">
        <v>210</v>
      </c>
      <c r="W465" s="128">
        <f t="shared" si="96"/>
        <v>0</v>
      </c>
      <c r="X465" s="26">
        <f t="shared" si="100"/>
        <v>955</v>
      </c>
      <c r="Y465" s="26">
        <f t="shared" si="97"/>
        <v>0</v>
      </c>
      <c r="Z465" s="26">
        <f t="shared" si="98"/>
        <v>200550</v>
      </c>
      <c r="AA465" s="33" t="s">
        <v>15</v>
      </c>
      <c r="AB465" s="36" t="s">
        <v>16</v>
      </c>
      <c r="AC465" s="181">
        <f t="shared" si="89"/>
        <v>1064.31</v>
      </c>
      <c r="AD465" s="181">
        <f t="shared" si="99"/>
        <v>223505.1</v>
      </c>
      <c r="AE465" s="181">
        <v>5</v>
      </c>
      <c r="AF465" s="181">
        <v>5</v>
      </c>
      <c r="AG465" s="101" t="str">
        <f t="shared" si="90"/>
        <v/>
      </c>
      <c r="AH465" s="191">
        <f>845+110</f>
        <v>955</v>
      </c>
      <c r="AI465" s="69">
        <f t="shared" si="101"/>
        <v>1064.31</v>
      </c>
    </row>
    <row r="466" spans="1:35" s="69" customFormat="1" ht="33" x14ac:dyDescent="0.3">
      <c r="A466" s="55" t="s">
        <v>1201</v>
      </c>
      <c r="B466" s="53" t="s">
        <v>1202</v>
      </c>
      <c r="C466" s="54" t="s">
        <v>30</v>
      </c>
      <c r="D466" s="75">
        <v>1910.54</v>
      </c>
      <c r="E466" s="75"/>
      <c r="F466" s="75"/>
      <c r="G466" s="75"/>
      <c r="H466" s="75"/>
      <c r="I466" s="75">
        <v>300</v>
      </c>
      <c r="J466" s="75">
        <v>573162</v>
      </c>
      <c r="K466" s="91" t="s">
        <v>1203</v>
      </c>
      <c r="L466" s="73"/>
      <c r="M466" s="46">
        <v>1242</v>
      </c>
      <c r="N466" s="46">
        <v>0</v>
      </c>
      <c r="O466" s="46">
        <v>372600</v>
      </c>
      <c r="P466" s="98"/>
      <c r="Q466" s="23" t="s">
        <v>1431</v>
      </c>
      <c r="R466" s="24" t="s">
        <v>1202</v>
      </c>
      <c r="S466" s="25" t="s">
        <v>30</v>
      </c>
      <c r="T466" s="26">
        <v>1910.54</v>
      </c>
      <c r="U466" s="26">
        <v>1910.54</v>
      </c>
      <c r="V466" s="26">
        <v>300</v>
      </c>
      <c r="W466" s="128">
        <f t="shared" si="96"/>
        <v>0</v>
      </c>
      <c r="X466" s="26">
        <f t="shared" si="100"/>
        <v>1242</v>
      </c>
      <c r="Y466" s="26">
        <f t="shared" si="97"/>
        <v>0</v>
      </c>
      <c r="Z466" s="26">
        <f t="shared" si="98"/>
        <v>372600</v>
      </c>
      <c r="AA466" s="33" t="s">
        <v>15</v>
      </c>
      <c r="AB466" s="36" t="s">
        <v>16</v>
      </c>
      <c r="AC466" s="181">
        <f t="shared" si="89"/>
        <v>1910.54</v>
      </c>
      <c r="AD466" s="181">
        <f t="shared" si="99"/>
        <v>573162</v>
      </c>
      <c r="AE466" s="181">
        <v>5</v>
      </c>
      <c r="AF466" s="181">
        <v>5</v>
      </c>
      <c r="AG466" s="101" t="str">
        <f t="shared" si="90"/>
        <v/>
      </c>
      <c r="AH466" s="191">
        <f>1106+136</f>
        <v>1242</v>
      </c>
      <c r="AI466" s="69">
        <f t="shared" si="101"/>
        <v>1910.54</v>
      </c>
    </row>
    <row r="467" spans="1:35" s="69" customFormat="1" ht="33" x14ac:dyDescent="0.3">
      <c r="A467" s="55" t="s">
        <v>1204</v>
      </c>
      <c r="B467" s="53" t="s">
        <v>1205</v>
      </c>
      <c r="C467" s="54" t="s">
        <v>30</v>
      </c>
      <c r="D467" s="75">
        <v>2738.45</v>
      </c>
      <c r="E467" s="75"/>
      <c r="F467" s="75"/>
      <c r="G467" s="75"/>
      <c r="H467" s="75"/>
      <c r="I467" s="75">
        <v>200</v>
      </c>
      <c r="J467" s="75">
        <v>547690</v>
      </c>
      <c r="K467" s="91" t="s">
        <v>1206</v>
      </c>
      <c r="L467" s="73"/>
      <c r="M467" s="46">
        <v>1785.5</v>
      </c>
      <c r="N467" s="46">
        <v>67440</v>
      </c>
      <c r="O467" s="46">
        <v>357100</v>
      </c>
      <c r="P467" s="98"/>
      <c r="Q467" s="23" t="s">
        <v>1395</v>
      </c>
      <c r="R467" s="24" t="s">
        <v>1205</v>
      </c>
      <c r="S467" s="25" t="s">
        <v>30</v>
      </c>
      <c r="T467" s="26">
        <v>2738.45</v>
      </c>
      <c r="U467" s="26">
        <v>2738.45</v>
      </c>
      <c r="V467" s="26">
        <v>200</v>
      </c>
      <c r="W467" s="243">
        <f t="shared" si="96"/>
        <v>121.20000000000005</v>
      </c>
      <c r="X467" s="26">
        <f t="shared" si="100"/>
        <v>1906.7</v>
      </c>
      <c r="Y467" s="26">
        <f t="shared" si="97"/>
        <v>24240</v>
      </c>
      <c r="Z467" s="26">
        <f t="shared" si="98"/>
        <v>381340</v>
      </c>
      <c r="AA467" s="33" t="s">
        <v>15</v>
      </c>
      <c r="AB467" s="36" t="s">
        <v>16</v>
      </c>
      <c r="AC467" s="181">
        <f t="shared" si="89"/>
        <v>2738.45</v>
      </c>
      <c r="AD467" s="181">
        <f t="shared" si="99"/>
        <v>547690</v>
      </c>
      <c r="AE467" s="181">
        <v>5</v>
      </c>
      <c r="AF467" s="181">
        <v>5</v>
      </c>
      <c r="AG467" s="101" t="str">
        <f t="shared" si="90"/>
        <v/>
      </c>
      <c r="AH467" s="191">
        <f>1256.3+192+337.2+121.2</f>
        <v>1906.7</v>
      </c>
      <c r="AI467" s="69">
        <f t="shared" si="101"/>
        <v>2738.45</v>
      </c>
    </row>
    <row r="468" spans="1:35" s="69" customFormat="1" ht="33" customHeight="1" x14ac:dyDescent="0.3">
      <c r="A468" s="55" t="s">
        <v>1207</v>
      </c>
      <c r="B468" s="53" t="s">
        <v>1208</v>
      </c>
      <c r="C468" s="54" t="s">
        <v>14</v>
      </c>
      <c r="D468" s="75">
        <v>1</v>
      </c>
      <c r="E468" s="75"/>
      <c r="F468" s="76"/>
      <c r="G468" s="76"/>
      <c r="H468" s="76"/>
      <c r="I468" s="75">
        <v>21460.9</v>
      </c>
      <c r="J468" s="75">
        <v>21460.9</v>
      </c>
      <c r="K468" s="91" t="s">
        <v>1209</v>
      </c>
      <c r="L468" s="73"/>
      <c r="M468" s="46">
        <v>0</v>
      </c>
      <c r="N468" s="46">
        <v>0</v>
      </c>
      <c r="O468" s="46">
        <v>0</v>
      </c>
      <c r="P468" s="98"/>
      <c r="Q468" s="23" t="s">
        <v>1432</v>
      </c>
      <c r="R468" s="24" t="s">
        <v>1208</v>
      </c>
      <c r="S468" s="25" t="s">
        <v>14</v>
      </c>
      <c r="T468" s="26">
        <v>1</v>
      </c>
      <c r="U468" s="26">
        <v>1</v>
      </c>
      <c r="V468" s="26">
        <v>21460.9</v>
      </c>
      <c r="W468" s="26">
        <f t="shared" si="96"/>
        <v>0</v>
      </c>
      <c r="X468" s="26">
        <f t="shared" si="100"/>
        <v>0</v>
      </c>
      <c r="Y468" s="136">
        <f t="shared" si="97"/>
        <v>0</v>
      </c>
      <c r="Z468" s="26">
        <f t="shared" si="98"/>
        <v>0</v>
      </c>
      <c r="AA468" s="33" t="s">
        <v>15</v>
      </c>
      <c r="AB468" s="36" t="s">
        <v>16</v>
      </c>
      <c r="AC468" s="181">
        <f t="shared" si="89"/>
        <v>1</v>
      </c>
      <c r="AD468" s="181">
        <f t="shared" si="99"/>
        <v>21460.9</v>
      </c>
      <c r="AE468" s="181">
        <v>5</v>
      </c>
      <c r="AF468" s="181">
        <v>5</v>
      </c>
      <c r="AG468" s="101" t="str">
        <f t="shared" si="90"/>
        <v/>
      </c>
      <c r="AH468" s="190">
        <v>0</v>
      </c>
      <c r="AI468" s="69">
        <f t="shared" si="101"/>
        <v>1</v>
      </c>
    </row>
    <row r="469" spans="1:35" s="69" customFormat="1" ht="39" x14ac:dyDescent="0.3">
      <c r="A469" s="251">
        <v>5.18</v>
      </c>
      <c r="B469" s="252" t="s">
        <v>1356</v>
      </c>
      <c r="C469" s="157" t="s">
        <v>97</v>
      </c>
      <c r="D469" s="253"/>
      <c r="E469" s="59">
        <v>720</v>
      </c>
      <c r="F469" s="180"/>
      <c r="G469" s="180"/>
      <c r="H469" s="180"/>
      <c r="I469" s="178">
        <v>273.11</v>
      </c>
      <c r="J469" s="59">
        <v>196639.2</v>
      </c>
      <c r="K469" s="92"/>
      <c r="L469" s="73"/>
      <c r="M469" s="46">
        <v>640</v>
      </c>
      <c r="N469" s="46">
        <v>0</v>
      </c>
      <c r="O469" s="46">
        <v>174790.39999999999</v>
      </c>
      <c r="P469" s="98"/>
      <c r="Q469" s="23" t="s">
        <v>1433</v>
      </c>
      <c r="R469" s="24" t="s">
        <v>1503</v>
      </c>
      <c r="S469" s="25" t="s">
        <v>97</v>
      </c>
      <c r="T469" s="26">
        <v>0</v>
      </c>
      <c r="U469" s="26">
        <v>720</v>
      </c>
      <c r="V469" s="26">
        <v>273.11</v>
      </c>
      <c r="W469" s="128">
        <f t="shared" si="96"/>
        <v>0</v>
      </c>
      <c r="X469" s="26">
        <f t="shared" si="100"/>
        <v>640</v>
      </c>
      <c r="Y469" s="26">
        <f t="shared" si="97"/>
        <v>0</v>
      </c>
      <c r="Z469" s="26">
        <f t="shared" si="98"/>
        <v>174790.39999999999</v>
      </c>
      <c r="AA469" s="27"/>
      <c r="AB469" s="36" t="s">
        <v>16</v>
      </c>
      <c r="AC469" s="181">
        <f t="shared" si="89"/>
        <v>720</v>
      </c>
      <c r="AD469" s="181">
        <f t="shared" si="99"/>
        <v>196639.2</v>
      </c>
      <c r="AE469" s="181">
        <v>5</v>
      </c>
      <c r="AF469" s="181">
        <v>5</v>
      </c>
      <c r="AG469" s="101" t="str">
        <f t="shared" si="90"/>
        <v/>
      </c>
      <c r="AH469" s="191">
        <v>640</v>
      </c>
      <c r="AI469" s="69">
        <f t="shared" si="101"/>
        <v>720</v>
      </c>
    </row>
    <row r="470" spans="1:35" s="69" customFormat="1" ht="39" x14ac:dyDescent="0.3">
      <c r="A470" s="144">
        <v>5.19</v>
      </c>
      <c r="B470" s="145" t="s">
        <v>1357</v>
      </c>
      <c r="C470" s="206" t="s">
        <v>30</v>
      </c>
      <c r="D470" s="221"/>
      <c r="E470" s="175">
        <v>212</v>
      </c>
      <c r="F470" s="180"/>
      <c r="G470" s="180"/>
      <c r="H470" s="180"/>
      <c r="I470" s="179">
        <v>1859.87</v>
      </c>
      <c r="J470" s="175">
        <v>394292.44</v>
      </c>
      <c r="K470" s="176"/>
      <c r="L470" s="73"/>
      <c r="M470" s="46">
        <v>212</v>
      </c>
      <c r="N470" s="46">
        <v>0</v>
      </c>
      <c r="O470" s="46">
        <v>394292.44</v>
      </c>
      <c r="P470" s="98"/>
      <c r="Q470" s="23" t="s">
        <v>1382</v>
      </c>
      <c r="R470" s="24" t="s">
        <v>1504</v>
      </c>
      <c r="S470" s="25" t="s">
        <v>30</v>
      </c>
      <c r="T470" s="26">
        <v>0</v>
      </c>
      <c r="U470" s="26">
        <v>212</v>
      </c>
      <c r="V470" s="26">
        <v>1859.87</v>
      </c>
      <c r="W470" s="127">
        <f t="shared" si="96"/>
        <v>0</v>
      </c>
      <c r="X470" s="127">
        <f t="shared" si="100"/>
        <v>212</v>
      </c>
      <c r="Y470" s="127">
        <f t="shared" si="97"/>
        <v>0</v>
      </c>
      <c r="Z470" s="127">
        <f t="shared" si="98"/>
        <v>394292.44</v>
      </c>
      <c r="AA470" s="27"/>
      <c r="AB470" s="36" t="s">
        <v>16</v>
      </c>
      <c r="AC470" s="181">
        <f t="shared" si="89"/>
        <v>212</v>
      </c>
      <c r="AD470" s="181">
        <f t="shared" si="99"/>
        <v>394292.44</v>
      </c>
      <c r="AE470" s="181">
        <v>5</v>
      </c>
      <c r="AF470" s="181">
        <v>5</v>
      </c>
      <c r="AG470" s="101" t="str">
        <f t="shared" si="90"/>
        <v/>
      </c>
      <c r="AH470" s="190">
        <v>212</v>
      </c>
      <c r="AI470" s="69">
        <f t="shared" si="101"/>
        <v>212</v>
      </c>
    </row>
    <row r="471" spans="1:35" s="69" customFormat="1" ht="39" x14ac:dyDescent="0.3">
      <c r="A471" s="210" t="s">
        <v>3106</v>
      </c>
      <c r="B471" s="208" t="s">
        <v>3107</v>
      </c>
      <c r="C471" s="204" t="s">
        <v>14</v>
      </c>
      <c r="D471" s="208"/>
      <c r="E471" s="159"/>
      <c r="F471" s="156"/>
      <c r="G471" s="156">
        <v>1</v>
      </c>
      <c r="H471" s="156"/>
      <c r="I471" s="158"/>
      <c r="J471" s="159">
        <v>263694.64</v>
      </c>
      <c r="K471" s="160"/>
      <c r="L471" s="73"/>
      <c r="M471" s="46">
        <v>1</v>
      </c>
      <c r="N471" s="46">
        <v>0</v>
      </c>
      <c r="O471" s="46">
        <v>263694.64</v>
      </c>
      <c r="P471" s="98"/>
      <c r="Q471" s="23" t="s">
        <v>3108</v>
      </c>
      <c r="R471" s="24" t="s">
        <v>3107</v>
      </c>
      <c r="S471" s="25" t="s">
        <v>14</v>
      </c>
      <c r="T471" s="26"/>
      <c r="U471" s="26">
        <v>1</v>
      </c>
      <c r="V471" s="26">
        <v>263694.64</v>
      </c>
      <c r="W471" s="127">
        <f t="shared" si="96"/>
        <v>0</v>
      </c>
      <c r="X471" s="127">
        <f t="shared" si="100"/>
        <v>1</v>
      </c>
      <c r="Y471" s="127">
        <f t="shared" si="97"/>
        <v>0</v>
      </c>
      <c r="Z471" s="127">
        <f t="shared" si="98"/>
        <v>263694.64</v>
      </c>
      <c r="AA471" s="27"/>
      <c r="AB471" s="36"/>
      <c r="AC471" s="181">
        <f t="shared" si="89"/>
        <v>1</v>
      </c>
      <c r="AD471" s="181">
        <f t="shared" si="99"/>
        <v>263694.64</v>
      </c>
      <c r="AE471" s="181">
        <v>5</v>
      </c>
      <c r="AF471" s="181">
        <v>5</v>
      </c>
      <c r="AG471" s="101"/>
      <c r="AH471" s="193">
        <v>1</v>
      </c>
      <c r="AI471" s="69">
        <f t="shared" si="101"/>
        <v>1</v>
      </c>
    </row>
    <row r="472" spans="1:35" s="69" customFormat="1" ht="33" x14ac:dyDescent="0.3">
      <c r="A472" s="150" t="s">
        <v>1210</v>
      </c>
      <c r="B472" s="151" t="s">
        <v>1211</v>
      </c>
      <c r="C472" s="152" t="s">
        <v>14</v>
      </c>
      <c r="D472" s="153">
        <v>1</v>
      </c>
      <c r="E472" s="153"/>
      <c r="F472" s="153"/>
      <c r="G472" s="153"/>
      <c r="H472" s="153"/>
      <c r="I472" s="153"/>
      <c r="J472" s="153">
        <v>3143726.96</v>
      </c>
      <c r="K472" s="154" t="s">
        <v>15</v>
      </c>
      <c r="L472" s="73"/>
      <c r="M472" s="42">
        <v>1</v>
      </c>
      <c r="N472" s="42">
        <v>94936</v>
      </c>
      <c r="O472" s="42">
        <v>2687065.37</v>
      </c>
      <c r="P472" s="98"/>
      <c r="Q472" s="13" t="s">
        <v>1415</v>
      </c>
      <c r="R472" s="14" t="s">
        <v>1211</v>
      </c>
      <c r="S472" s="15" t="s">
        <v>14</v>
      </c>
      <c r="T472" s="16">
        <v>1</v>
      </c>
      <c r="U472" s="16"/>
      <c r="V472" s="16">
        <f>SUMIFS(AD:AD,AE:AE,AE472)</f>
        <v>3143726.9600000004</v>
      </c>
      <c r="W472" s="16">
        <f t="shared" ref="W472:X472" si="102">IF(Y472=0,0,1)</f>
        <v>1</v>
      </c>
      <c r="X472" s="16">
        <f t="shared" si="102"/>
        <v>1</v>
      </c>
      <c r="Y472" s="16">
        <f>SUMIFS(Y:Y,AF:AF,AE472)</f>
        <v>133432.79999999999</v>
      </c>
      <c r="Z472" s="16">
        <f>SUMIFS(Z:Z,AF:AF,AE472)</f>
        <v>2820498.1700000004</v>
      </c>
      <c r="AA472" s="17" t="s">
        <v>15</v>
      </c>
      <c r="AB472" s="40" t="s">
        <v>16</v>
      </c>
      <c r="AC472" s="181">
        <f t="shared" si="89"/>
        <v>1</v>
      </c>
      <c r="AD472" s="183"/>
      <c r="AE472" s="183">
        <v>6</v>
      </c>
      <c r="AF472" s="183"/>
      <c r="AG472" s="101" t="str">
        <f t="shared" si="90"/>
        <v/>
      </c>
      <c r="AH472" s="190">
        <v>1</v>
      </c>
      <c r="AI472" s="69">
        <f t="shared" si="101"/>
        <v>1</v>
      </c>
    </row>
    <row r="473" spans="1:35" s="69" customFormat="1" ht="33" customHeight="1" x14ac:dyDescent="0.3">
      <c r="A473" s="130" t="s">
        <v>1212</v>
      </c>
      <c r="B473" s="131" t="s">
        <v>1213</v>
      </c>
      <c r="C473" s="132" t="s">
        <v>1014</v>
      </c>
      <c r="D473" s="133">
        <v>10</v>
      </c>
      <c r="E473" s="75"/>
      <c r="F473" s="75"/>
      <c r="G473" s="75"/>
      <c r="H473" s="75"/>
      <c r="I473" s="75">
        <v>770</v>
      </c>
      <c r="J473" s="75">
        <v>7700</v>
      </c>
      <c r="K473" s="91" t="s">
        <v>1214</v>
      </c>
      <c r="L473" s="73"/>
      <c r="M473" s="46">
        <v>10</v>
      </c>
      <c r="N473" s="46">
        <v>0</v>
      </c>
      <c r="O473" s="46">
        <v>7700</v>
      </c>
      <c r="P473" s="98"/>
      <c r="Q473" s="23" t="s">
        <v>1421</v>
      </c>
      <c r="R473" s="24" t="s">
        <v>1213</v>
      </c>
      <c r="S473" s="25" t="s">
        <v>1014</v>
      </c>
      <c r="T473" s="26">
        <v>10</v>
      </c>
      <c r="U473" s="26">
        <v>10</v>
      </c>
      <c r="V473" s="26">
        <v>770</v>
      </c>
      <c r="W473" s="127">
        <f t="shared" ref="W473:W491" si="103">AH473-M473</f>
        <v>0</v>
      </c>
      <c r="X473" s="127">
        <f t="shared" si="100"/>
        <v>10</v>
      </c>
      <c r="Y473" s="127">
        <f t="shared" ref="Y473:Y491" si="104">Z473-O473</f>
        <v>0</v>
      </c>
      <c r="Z473" s="127">
        <f t="shared" ref="Z473:Z490" si="105">ROUND(V473*X473,2)</f>
        <v>7700</v>
      </c>
      <c r="AA473" s="33" t="s">
        <v>15</v>
      </c>
      <c r="AB473" s="36" t="s">
        <v>16</v>
      </c>
      <c r="AC473" s="181">
        <f t="shared" si="89"/>
        <v>10</v>
      </c>
      <c r="AD473" s="181">
        <f t="shared" ref="AD473:AD491" si="106">ROUND(V473*AC473,2)</f>
        <v>7700</v>
      </c>
      <c r="AE473" s="181">
        <v>6</v>
      </c>
      <c r="AF473" s="181">
        <v>6</v>
      </c>
      <c r="AG473" s="101" t="str">
        <f t="shared" si="90"/>
        <v/>
      </c>
      <c r="AH473" s="190">
        <v>10</v>
      </c>
      <c r="AI473" s="69">
        <f t="shared" si="101"/>
        <v>10</v>
      </c>
    </row>
    <row r="474" spans="1:35" s="69" customFormat="1" ht="33" customHeight="1" x14ac:dyDescent="0.3">
      <c r="A474" s="130" t="s">
        <v>1215</v>
      </c>
      <c r="B474" s="131" t="s">
        <v>1216</v>
      </c>
      <c r="C474" s="132" t="s">
        <v>1217</v>
      </c>
      <c r="D474" s="133">
        <v>100</v>
      </c>
      <c r="E474" s="75"/>
      <c r="F474" s="75"/>
      <c r="G474" s="75"/>
      <c r="H474" s="75"/>
      <c r="I474" s="75">
        <v>201</v>
      </c>
      <c r="J474" s="75">
        <v>20100</v>
      </c>
      <c r="K474" s="91" t="s">
        <v>1218</v>
      </c>
      <c r="L474" s="73"/>
      <c r="M474" s="46">
        <v>100</v>
      </c>
      <c r="N474" s="46">
        <v>0</v>
      </c>
      <c r="O474" s="46">
        <v>20100</v>
      </c>
      <c r="P474" s="98"/>
      <c r="Q474" s="23" t="s">
        <v>1426</v>
      </c>
      <c r="R474" s="24" t="s">
        <v>1216</v>
      </c>
      <c r="S474" s="25" t="s">
        <v>1217</v>
      </c>
      <c r="T474" s="26">
        <v>100</v>
      </c>
      <c r="U474" s="26">
        <v>100</v>
      </c>
      <c r="V474" s="26">
        <v>201</v>
      </c>
      <c r="W474" s="127">
        <f t="shared" si="103"/>
        <v>0</v>
      </c>
      <c r="X474" s="127">
        <f t="shared" si="100"/>
        <v>100</v>
      </c>
      <c r="Y474" s="127">
        <f t="shared" si="104"/>
        <v>0</v>
      </c>
      <c r="Z474" s="127">
        <f t="shared" si="105"/>
        <v>20100</v>
      </c>
      <c r="AA474" s="33" t="s">
        <v>15</v>
      </c>
      <c r="AB474" s="36" t="s">
        <v>16</v>
      </c>
      <c r="AC474" s="181">
        <f t="shared" si="89"/>
        <v>100</v>
      </c>
      <c r="AD474" s="181">
        <f t="shared" si="106"/>
        <v>20100</v>
      </c>
      <c r="AE474" s="181">
        <v>6</v>
      </c>
      <c r="AF474" s="181">
        <v>6</v>
      </c>
      <c r="AG474" s="101" t="str">
        <f t="shared" si="90"/>
        <v/>
      </c>
      <c r="AH474" s="190">
        <v>100</v>
      </c>
      <c r="AI474" s="69">
        <f t="shared" si="101"/>
        <v>100</v>
      </c>
    </row>
    <row r="475" spans="1:35" s="69" customFormat="1" ht="39" x14ac:dyDescent="0.3">
      <c r="A475" s="130" t="s">
        <v>1219</v>
      </c>
      <c r="B475" s="131" t="s">
        <v>1220</v>
      </c>
      <c r="C475" s="132" t="s">
        <v>1221</v>
      </c>
      <c r="D475" s="133">
        <v>50</v>
      </c>
      <c r="E475" s="75"/>
      <c r="F475" s="75"/>
      <c r="G475" s="75"/>
      <c r="H475" s="75"/>
      <c r="I475" s="75">
        <v>300</v>
      </c>
      <c r="J475" s="75">
        <v>15000</v>
      </c>
      <c r="K475" s="91" t="s">
        <v>1222</v>
      </c>
      <c r="L475" s="73"/>
      <c r="M475" s="46">
        <v>50</v>
      </c>
      <c r="N475" s="46">
        <v>0</v>
      </c>
      <c r="O475" s="46">
        <v>15000</v>
      </c>
      <c r="P475" s="98"/>
      <c r="Q475" s="23" t="s">
        <v>1402</v>
      </c>
      <c r="R475" s="24" t="s">
        <v>1220</v>
      </c>
      <c r="S475" s="25" t="s">
        <v>1221</v>
      </c>
      <c r="T475" s="26">
        <v>50</v>
      </c>
      <c r="U475" s="26">
        <v>50</v>
      </c>
      <c r="V475" s="26">
        <v>300</v>
      </c>
      <c r="W475" s="127">
        <f t="shared" si="103"/>
        <v>0</v>
      </c>
      <c r="X475" s="127">
        <f t="shared" si="100"/>
        <v>50</v>
      </c>
      <c r="Y475" s="127">
        <f t="shared" si="104"/>
        <v>0</v>
      </c>
      <c r="Z475" s="127">
        <f t="shared" si="105"/>
        <v>15000</v>
      </c>
      <c r="AA475" s="33" t="s">
        <v>15</v>
      </c>
      <c r="AB475" s="36" t="s">
        <v>16</v>
      </c>
      <c r="AC475" s="181">
        <f t="shared" si="89"/>
        <v>50</v>
      </c>
      <c r="AD475" s="181">
        <f t="shared" si="106"/>
        <v>15000</v>
      </c>
      <c r="AE475" s="181">
        <v>6</v>
      </c>
      <c r="AF475" s="181">
        <v>6</v>
      </c>
      <c r="AG475" s="101" t="str">
        <f t="shared" si="90"/>
        <v/>
      </c>
      <c r="AH475" s="190">
        <v>50</v>
      </c>
      <c r="AI475" s="69">
        <f t="shared" si="101"/>
        <v>50</v>
      </c>
    </row>
    <row r="476" spans="1:35" s="69" customFormat="1" ht="33" customHeight="1" x14ac:dyDescent="0.3">
      <c r="A476" s="130" t="s">
        <v>1223</v>
      </c>
      <c r="B476" s="131" t="s">
        <v>1224</v>
      </c>
      <c r="C476" s="132" t="s">
        <v>325</v>
      </c>
      <c r="D476" s="133">
        <v>75</v>
      </c>
      <c r="E476" s="75"/>
      <c r="F476" s="75"/>
      <c r="G476" s="75"/>
      <c r="H476" s="75"/>
      <c r="I476" s="75">
        <v>650</v>
      </c>
      <c r="J476" s="75">
        <v>48750</v>
      </c>
      <c r="K476" s="91" t="s">
        <v>1225</v>
      </c>
      <c r="L476" s="73"/>
      <c r="M476" s="46">
        <v>75</v>
      </c>
      <c r="N476" s="46">
        <v>0</v>
      </c>
      <c r="O476" s="46">
        <v>48750</v>
      </c>
      <c r="P476" s="98"/>
      <c r="Q476" s="23" t="s">
        <v>1373</v>
      </c>
      <c r="R476" s="24" t="s">
        <v>1224</v>
      </c>
      <c r="S476" s="25" t="s">
        <v>325</v>
      </c>
      <c r="T476" s="26">
        <v>75</v>
      </c>
      <c r="U476" s="26">
        <v>75</v>
      </c>
      <c r="V476" s="26">
        <v>650</v>
      </c>
      <c r="W476" s="127">
        <f t="shared" si="103"/>
        <v>0</v>
      </c>
      <c r="X476" s="127">
        <f t="shared" si="100"/>
        <v>75</v>
      </c>
      <c r="Y476" s="127">
        <f t="shared" si="104"/>
        <v>0</v>
      </c>
      <c r="Z476" s="127">
        <f t="shared" si="105"/>
        <v>48750</v>
      </c>
      <c r="AA476" s="33" t="s">
        <v>15</v>
      </c>
      <c r="AB476" s="36" t="s">
        <v>16</v>
      </c>
      <c r="AC476" s="181">
        <f t="shared" si="89"/>
        <v>75</v>
      </c>
      <c r="AD476" s="181">
        <f t="shared" si="106"/>
        <v>48750</v>
      </c>
      <c r="AE476" s="181">
        <v>6</v>
      </c>
      <c r="AF476" s="181">
        <v>6</v>
      </c>
      <c r="AG476" s="101" t="str">
        <f t="shared" si="90"/>
        <v/>
      </c>
      <c r="AH476" s="190">
        <v>75</v>
      </c>
      <c r="AI476" s="69">
        <f t="shared" si="101"/>
        <v>75</v>
      </c>
    </row>
    <row r="477" spans="1:35" s="69" customFormat="1" ht="33" customHeight="1" x14ac:dyDescent="0.3">
      <c r="A477" s="130" t="s">
        <v>1226</v>
      </c>
      <c r="B477" s="131" t="s">
        <v>1227</v>
      </c>
      <c r="C477" s="132" t="s">
        <v>1228</v>
      </c>
      <c r="D477" s="133">
        <v>200</v>
      </c>
      <c r="E477" s="75"/>
      <c r="F477" s="75"/>
      <c r="G477" s="75"/>
      <c r="H477" s="75"/>
      <c r="I477" s="75">
        <v>28</v>
      </c>
      <c r="J477" s="75">
        <v>5600</v>
      </c>
      <c r="K477" s="91" t="s">
        <v>1229</v>
      </c>
      <c r="L477" s="73"/>
      <c r="M477" s="46">
        <v>200</v>
      </c>
      <c r="N477" s="46">
        <v>0</v>
      </c>
      <c r="O477" s="46">
        <v>5600</v>
      </c>
      <c r="P477" s="98"/>
      <c r="Q477" s="23" t="s">
        <v>1393</v>
      </c>
      <c r="R477" s="24" t="s">
        <v>1227</v>
      </c>
      <c r="S477" s="25" t="s">
        <v>1228</v>
      </c>
      <c r="T477" s="26">
        <v>200</v>
      </c>
      <c r="U477" s="26">
        <v>200</v>
      </c>
      <c r="V477" s="26">
        <v>28</v>
      </c>
      <c r="W477" s="127">
        <f t="shared" si="103"/>
        <v>0</v>
      </c>
      <c r="X477" s="127">
        <f t="shared" si="100"/>
        <v>200</v>
      </c>
      <c r="Y477" s="127">
        <f t="shared" si="104"/>
        <v>0</v>
      </c>
      <c r="Z477" s="127">
        <f t="shared" si="105"/>
        <v>5600</v>
      </c>
      <c r="AA477" s="33" t="s">
        <v>15</v>
      </c>
      <c r="AB477" s="36" t="s">
        <v>16</v>
      </c>
      <c r="AC477" s="181">
        <f t="shared" si="89"/>
        <v>200</v>
      </c>
      <c r="AD477" s="181">
        <f t="shared" si="106"/>
        <v>5600</v>
      </c>
      <c r="AE477" s="181">
        <v>6</v>
      </c>
      <c r="AF477" s="181">
        <v>6</v>
      </c>
      <c r="AG477" s="101" t="str">
        <f t="shared" si="90"/>
        <v/>
      </c>
      <c r="AH477" s="190">
        <v>200</v>
      </c>
      <c r="AI477" s="69">
        <f t="shared" si="101"/>
        <v>200</v>
      </c>
    </row>
    <row r="478" spans="1:35" s="69" customFormat="1" ht="33" customHeight="1" x14ac:dyDescent="0.3">
      <c r="A478" s="55" t="s">
        <v>1230</v>
      </c>
      <c r="B478" s="53" t="s">
        <v>1231</v>
      </c>
      <c r="C478" s="54" t="s">
        <v>1228</v>
      </c>
      <c r="D478" s="75">
        <v>100</v>
      </c>
      <c r="E478" s="75"/>
      <c r="F478" s="75"/>
      <c r="G478" s="75"/>
      <c r="H478" s="75"/>
      <c r="I478" s="75">
        <v>500</v>
      </c>
      <c r="J478" s="75">
        <v>50000</v>
      </c>
      <c r="K478" s="91" t="s">
        <v>1232</v>
      </c>
      <c r="L478" s="73"/>
      <c r="M478" s="46">
        <v>62</v>
      </c>
      <c r="N478" s="46">
        <v>0</v>
      </c>
      <c r="O478" s="46">
        <v>31000</v>
      </c>
      <c r="P478" s="98"/>
      <c r="Q478" s="23" t="s">
        <v>1403</v>
      </c>
      <c r="R478" s="24" t="s">
        <v>1231</v>
      </c>
      <c r="S478" s="25" t="s">
        <v>1228</v>
      </c>
      <c r="T478" s="26">
        <v>100</v>
      </c>
      <c r="U478" s="26">
        <v>100</v>
      </c>
      <c r="V478" s="26">
        <v>500</v>
      </c>
      <c r="W478" s="128">
        <f t="shared" si="103"/>
        <v>0</v>
      </c>
      <c r="X478" s="26">
        <f t="shared" si="100"/>
        <v>62</v>
      </c>
      <c r="Y478" s="26">
        <f t="shared" si="104"/>
        <v>0</v>
      </c>
      <c r="Z478" s="26">
        <f t="shared" si="105"/>
        <v>31000</v>
      </c>
      <c r="AA478" s="33" t="s">
        <v>15</v>
      </c>
      <c r="AB478" s="36" t="s">
        <v>16</v>
      </c>
      <c r="AC478" s="181">
        <f t="shared" ref="AC478:AC499" si="107">IF(U478="",T478,U478)</f>
        <v>100</v>
      </c>
      <c r="AD478" s="181">
        <f t="shared" si="106"/>
        <v>50000</v>
      </c>
      <c r="AE478" s="181">
        <v>6</v>
      </c>
      <c r="AF478" s="181">
        <v>6</v>
      </c>
      <c r="AG478" s="101" t="str">
        <f t="shared" ref="AG478:AG503" si="108">IF(X478&gt;AI478,"超估","")</f>
        <v/>
      </c>
      <c r="AH478" s="191">
        <v>62</v>
      </c>
      <c r="AI478" s="69">
        <f t="shared" si="101"/>
        <v>100</v>
      </c>
    </row>
    <row r="479" spans="1:35" s="69" customFormat="1" ht="33" customHeight="1" x14ac:dyDescent="0.3">
      <c r="A479" s="55" t="s">
        <v>1233</v>
      </c>
      <c r="B479" s="53" t="s">
        <v>1234</v>
      </c>
      <c r="C479" s="54" t="s">
        <v>1235</v>
      </c>
      <c r="D479" s="75">
        <v>75</v>
      </c>
      <c r="E479" s="75"/>
      <c r="F479" s="75"/>
      <c r="G479" s="75"/>
      <c r="H479" s="75"/>
      <c r="I479" s="75">
        <v>280</v>
      </c>
      <c r="J479" s="75">
        <v>21000</v>
      </c>
      <c r="K479" s="91" t="s">
        <v>1236</v>
      </c>
      <c r="L479" s="73"/>
      <c r="M479" s="46">
        <v>38</v>
      </c>
      <c r="N479" s="46">
        <v>0</v>
      </c>
      <c r="O479" s="46">
        <v>10640</v>
      </c>
      <c r="P479" s="98"/>
      <c r="Q479" s="23" t="s">
        <v>1427</v>
      </c>
      <c r="R479" s="24" t="s">
        <v>1234</v>
      </c>
      <c r="S479" s="25" t="s">
        <v>1235</v>
      </c>
      <c r="T479" s="26">
        <v>75</v>
      </c>
      <c r="U479" s="26">
        <v>75</v>
      </c>
      <c r="V479" s="26">
        <v>280</v>
      </c>
      <c r="W479" s="128">
        <f t="shared" si="103"/>
        <v>0</v>
      </c>
      <c r="X479" s="26">
        <f t="shared" si="100"/>
        <v>38</v>
      </c>
      <c r="Y479" s="26">
        <f t="shared" si="104"/>
        <v>0</v>
      </c>
      <c r="Z479" s="26">
        <f t="shared" si="105"/>
        <v>10640</v>
      </c>
      <c r="AA479" s="33" t="s">
        <v>15</v>
      </c>
      <c r="AB479" s="36" t="s">
        <v>16</v>
      </c>
      <c r="AC479" s="181">
        <f t="shared" si="107"/>
        <v>75</v>
      </c>
      <c r="AD479" s="181">
        <f t="shared" si="106"/>
        <v>21000</v>
      </c>
      <c r="AE479" s="181">
        <v>6</v>
      </c>
      <c r="AF479" s="181">
        <v>6</v>
      </c>
      <c r="AG479" s="101" t="str">
        <f t="shared" si="108"/>
        <v/>
      </c>
      <c r="AH479" s="191">
        <v>38</v>
      </c>
      <c r="AI479" s="69">
        <f t="shared" si="101"/>
        <v>75</v>
      </c>
    </row>
    <row r="480" spans="1:35" s="69" customFormat="1" ht="49.5" x14ac:dyDescent="0.3">
      <c r="A480" s="130" t="s">
        <v>1237</v>
      </c>
      <c r="B480" s="240" t="s">
        <v>1238</v>
      </c>
      <c r="C480" s="132" t="s">
        <v>1235</v>
      </c>
      <c r="D480" s="133">
        <v>50</v>
      </c>
      <c r="E480" s="75"/>
      <c r="F480" s="75"/>
      <c r="G480" s="75"/>
      <c r="H480" s="75"/>
      <c r="I480" s="75">
        <v>350</v>
      </c>
      <c r="J480" s="75">
        <v>17500</v>
      </c>
      <c r="K480" s="91" t="s">
        <v>1239</v>
      </c>
      <c r="L480" s="73"/>
      <c r="M480" s="46">
        <v>50</v>
      </c>
      <c r="N480" s="46">
        <v>0</v>
      </c>
      <c r="O480" s="46">
        <v>17500</v>
      </c>
      <c r="P480" s="98"/>
      <c r="Q480" s="23" t="s">
        <v>1428</v>
      </c>
      <c r="R480" s="24" t="s">
        <v>1238</v>
      </c>
      <c r="S480" s="25" t="s">
        <v>1235</v>
      </c>
      <c r="T480" s="26">
        <v>50</v>
      </c>
      <c r="U480" s="26">
        <v>50</v>
      </c>
      <c r="V480" s="26">
        <v>350</v>
      </c>
      <c r="W480" s="127">
        <f t="shared" si="103"/>
        <v>0</v>
      </c>
      <c r="X480" s="127">
        <f t="shared" si="100"/>
        <v>50</v>
      </c>
      <c r="Y480" s="127">
        <f t="shared" si="104"/>
        <v>0</v>
      </c>
      <c r="Z480" s="127">
        <f t="shared" si="105"/>
        <v>17500</v>
      </c>
      <c r="AA480" s="33" t="s">
        <v>15</v>
      </c>
      <c r="AB480" s="36" t="s">
        <v>16</v>
      </c>
      <c r="AC480" s="181">
        <f t="shared" si="107"/>
        <v>50</v>
      </c>
      <c r="AD480" s="181">
        <f t="shared" si="106"/>
        <v>17500</v>
      </c>
      <c r="AE480" s="181">
        <v>6</v>
      </c>
      <c r="AF480" s="181">
        <v>6</v>
      </c>
      <c r="AG480" s="101" t="str">
        <f t="shared" si="108"/>
        <v/>
      </c>
      <c r="AH480" s="190">
        <v>50</v>
      </c>
      <c r="AI480" s="69">
        <f t="shared" si="101"/>
        <v>50</v>
      </c>
    </row>
    <row r="481" spans="1:38" s="69" customFormat="1" ht="33" customHeight="1" x14ac:dyDescent="0.3">
      <c r="A481" s="130" t="s">
        <v>1240</v>
      </c>
      <c r="B481" s="131" t="s">
        <v>1241</v>
      </c>
      <c r="C481" s="132" t="s">
        <v>325</v>
      </c>
      <c r="D481" s="133">
        <v>10</v>
      </c>
      <c r="E481" s="75"/>
      <c r="F481" s="75"/>
      <c r="G481" s="75"/>
      <c r="H481" s="75"/>
      <c r="I481" s="75">
        <v>560</v>
      </c>
      <c r="J481" s="75">
        <v>5600</v>
      </c>
      <c r="K481" s="91" t="s">
        <v>1242</v>
      </c>
      <c r="L481" s="73"/>
      <c r="M481" s="46">
        <v>10</v>
      </c>
      <c r="N481" s="46">
        <v>0</v>
      </c>
      <c r="O481" s="46">
        <v>5600</v>
      </c>
      <c r="P481" s="98"/>
      <c r="Q481" s="23" t="s">
        <v>1387</v>
      </c>
      <c r="R481" s="24" t="s">
        <v>1241</v>
      </c>
      <c r="S481" s="25" t="s">
        <v>325</v>
      </c>
      <c r="T481" s="26">
        <v>10</v>
      </c>
      <c r="U481" s="26">
        <v>10</v>
      </c>
      <c r="V481" s="26">
        <v>560</v>
      </c>
      <c r="W481" s="127">
        <f t="shared" si="103"/>
        <v>0</v>
      </c>
      <c r="X481" s="127">
        <f t="shared" si="100"/>
        <v>10</v>
      </c>
      <c r="Y481" s="127">
        <f t="shared" si="104"/>
        <v>0</v>
      </c>
      <c r="Z481" s="127">
        <f t="shared" si="105"/>
        <v>5600</v>
      </c>
      <c r="AA481" s="33" t="s">
        <v>15</v>
      </c>
      <c r="AB481" s="36" t="s">
        <v>16</v>
      </c>
      <c r="AC481" s="181">
        <f t="shared" si="107"/>
        <v>10</v>
      </c>
      <c r="AD481" s="181">
        <f t="shared" si="106"/>
        <v>5600</v>
      </c>
      <c r="AE481" s="181">
        <v>6</v>
      </c>
      <c r="AF481" s="181">
        <v>6</v>
      </c>
      <c r="AG481" s="101" t="str">
        <f t="shared" si="108"/>
        <v/>
      </c>
      <c r="AH481" s="191">
        <v>10</v>
      </c>
      <c r="AI481" s="69">
        <f t="shared" si="101"/>
        <v>10</v>
      </c>
    </row>
    <row r="482" spans="1:38" s="69" customFormat="1" ht="33" customHeight="1" x14ac:dyDescent="0.3">
      <c r="A482" s="130" t="s">
        <v>1243</v>
      </c>
      <c r="B482" s="131" t="s">
        <v>1244</v>
      </c>
      <c r="C482" s="132" t="s">
        <v>162</v>
      </c>
      <c r="D482" s="133">
        <v>4</v>
      </c>
      <c r="E482" s="75"/>
      <c r="F482" s="75"/>
      <c r="G482" s="75"/>
      <c r="H482" s="75"/>
      <c r="I482" s="75">
        <v>250</v>
      </c>
      <c r="J482" s="75">
        <v>1000</v>
      </c>
      <c r="K482" s="91" t="s">
        <v>1245</v>
      </c>
      <c r="L482" s="73"/>
      <c r="M482" s="46">
        <v>4</v>
      </c>
      <c r="N482" s="46">
        <v>0</v>
      </c>
      <c r="O482" s="46">
        <v>1000</v>
      </c>
      <c r="P482" s="98"/>
      <c r="Q482" s="23" t="s">
        <v>1405</v>
      </c>
      <c r="R482" s="24" t="s">
        <v>1244</v>
      </c>
      <c r="S482" s="25" t="s">
        <v>162</v>
      </c>
      <c r="T482" s="26">
        <v>4</v>
      </c>
      <c r="U482" s="26">
        <v>4</v>
      </c>
      <c r="V482" s="26">
        <v>250</v>
      </c>
      <c r="W482" s="127">
        <f t="shared" si="103"/>
        <v>0</v>
      </c>
      <c r="X482" s="127">
        <f t="shared" si="100"/>
        <v>4</v>
      </c>
      <c r="Y482" s="127">
        <f t="shared" si="104"/>
        <v>0</v>
      </c>
      <c r="Z482" s="127">
        <f t="shared" si="105"/>
        <v>1000</v>
      </c>
      <c r="AA482" s="33" t="s">
        <v>15</v>
      </c>
      <c r="AB482" s="36" t="s">
        <v>16</v>
      </c>
      <c r="AC482" s="181">
        <f t="shared" si="107"/>
        <v>4</v>
      </c>
      <c r="AD482" s="181">
        <f t="shared" si="106"/>
        <v>1000</v>
      </c>
      <c r="AE482" s="181">
        <v>6</v>
      </c>
      <c r="AF482" s="181">
        <v>6</v>
      </c>
      <c r="AG482" s="101" t="str">
        <f t="shared" si="108"/>
        <v/>
      </c>
      <c r="AH482" s="190">
        <v>4</v>
      </c>
      <c r="AI482" s="69">
        <f t="shared" si="101"/>
        <v>4</v>
      </c>
    </row>
    <row r="483" spans="1:38" s="69" customFormat="1" ht="49.5" customHeight="1" x14ac:dyDescent="0.3">
      <c r="A483" s="130" t="s">
        <v>1246</v>
      </c>
      <c r="B483" s="240" t="s">
        <v>1247</v>
      </c>
      <c r="C483" s="132" t="s">
        <v>325</v>
      </c>
      <c r="D483" s="133">
        <v>5</v>
      </c>
      <c r="E483" s="75"/>
      <c r="F483" s="75"/>
      <c r="G483" s="75"/>
      <c r="H483" s="75"/>
      <c r="I483" s="75">
        <v>8300</v>
      </c>
      <c r="J483" s="75">
        <v>41500</v>
      </c>
      <c r="K483" s="91" t="s">
        <v>1248</v>
      </c>
      <c r="L483" s="73"/>
      <c r="M483" s="46">
        <v>5</v>
      </c>
      <c r="N483" s="46">
        <v>0</v>
      </c>
      <c r="O483" s="46">
        <v>41500</v>
      </c>
      <c r="P483" s="98"/>
      <c r="Q483" s="23" t="s">
        <v>1406</v>
      </c>
      <c r="R483" s="24" t="s">
        <v>1247</v>
      </c>
      <c r="S483" s="25" t="s">
        <v>325</v>
      </c>
      <c r="T483" s="26">
        <v>5</v>
      </c>
      <c r="U483" s="26">
        <v>5</v>
      </c>
      <c r="V483" s="26">
        <v>8300</v>
      </c>
      <c r="W483" s="127">
        <f t="shared" si="103"/>
        <v>0</v>
      </c>
      <c r="X483" s="127">
        <f t="shared" si="100"/>
        <v>5</v>
      </c>
      <c r="Y483" s="127">
        <f t="shared" si="104"/>
        <v>0</v>
      </c>
      <c r="Z483" s="127">
        <f t="shared" si="105"/>
        <v>41500</v>
      </c>
      <c r="AA483" s="33" t="s">
        <v>15</v>
      </c>
      <c r="AB483" s="36" t="s">
        <v>16</v>
      </c>
      <c r="AC483" s="181">
        <f t="shared" si="107"/>
        <v>5</v>
      </c>
      <c r="AD483" s="181">
        <f t="shared" si="106"/>
        <v>41500</v>
      </c>
      <c r="AE483" s="181">
        <v>6</v>
      </c>
      <c r="AF483" s="181">
        <v>6</v>
      </c>
      <c r="AG483" s="101" t="str">
        <f t="shared" si="108"/>
        <v/>
      </c>
      <c r="AH483" s="190">
        <v>5</v>
      </c>
      <c r="AI483" s="69">
        <f t="shared" si="101"/>
        <v>5</v>
      </c>
    </row>
    <row r="484" spans="1:38" s="69" customFormat="1" ht="33" customHeight="1" x14ac:dyDescent="0.3">
      <c r="A484" s="130" t="s">
        <v>1249</v>
      </c>
      <c r="B484" s="131" t="s">
        <v>1250</v>
      </c>
      <c r="C484" s="132" t="s">
        <v>325</v>
      </c>
      <c r="D484" s="133">
        <v>5</v>
      </c>
      <c r="E484" s="75"/>
      <c r="F484" s="75"/>
      <c r="G484" s="75"/>
      <c r="H484" s="75"/>
      <c r="I484" s="75">
        <v>1160</v>
      </c>
      <c r="J484" s="75">
        <v>5800</v>
      </c>
      <c r="K484" s="91" t="s">
        <v>1251</v>
      </c>
      <c r="L484" s="73"/>
      <c r="M484" s="46">
        <v>5</v>
      </c>
      <c r="N484" s="46">
        <v>0</v>
      </c>
      <c r="O484" s="46">
        <v>5800</v>
      </c>
      <c r="P484" s="98"/>
      <c r="Q484" s="23" t="s">
        <v>1414</v>
      </c>
      <c r="R484" s="24" t="s">
        <v>1250</v>
      </c>
      <c r="S484" s="25" t="s">
        <v>325</v>
      </c>
      <c r="T484" s="26">
        <v>5</v>
      </c>
      <c r="U484" s="26">
        <v>5</v>
      </c>
      <c r="V484" s="26">
        <v>1160</v>
      </c>
      <c r="W484" s="127">
        <f t="shared" si="103"/>
        <v>0</v>
      </c>
      <c r="X484" s="127">
        <f t="shared" si="100"/>
        <v>5</v>
      </c>
      <c r="Y484" s="127">
        <f t="shared" si="104"/>
        <v>0</v>
      </c>
      <c r="Z484" s="127">
        <f t="shared" si="105"/>
        <v>5800</v>
      </c>
      <c r="AA484" s="33" t="s">
        <v>15</v>
      </c>
      <c r="AB484" s="36" t="s">
        <v>16</v>
      </c>
      <c r="AC484" s="181">
        <f t="shared" si="107"/>
        <v>5</v>
      </c>
      <c r="AD484" s="181">
        <f t="shared" si="106"/>
        <v>5800</v>
      </c>
      <c r="AE484" s="181">
        <v>6</v>
      </c>
      <c r="AF484" s="181">
        <v>6</v>
      </c>
      <c r="AG484" s="101" t="str">
        <f t="shared" si="108"/>
        <v/>
      </c>
      <c r="AH484" s="190">
        <v>5</v>
      </c>
      <c r="AI484" s="69">
        <f t="shared" si="101"/>
        <v>5</v>
      </c>
    </row>
    <row r="485" spans="1:38" s="69" customFormat="1" ht="49.5" x14ac:dyDescent="0.3">
      <c r="A485" s="130" t="s">
        <v>1252</v>
      </c>
      <c r="B485" s="240" t="s">
        <v>1253</v>
      </c>
      <c r="C485" s="132" t="s">
        <v>325</v>
      </c>
      <c r="D485" s="133">
        <v>5</v>
      </c>
      <c r="E485" s="75"/>
      <c r="F485" s="75"/>
      <c r="G485" s="75"/>
      <c r="H485" s="75"/>
      <c r="I485" s="75">
        <v>600</v>
      </c>
      <c r="J485" s="75">
        <v>3000</v>
      </c>
      <c r="K485" s="91" t="s">
        <v>1254</v>
      </c>
      <c r="L485" s="73"/>
      <c r="M485" s="46">
        <v>5</v>
      </c>
      <c r="N485" s="46">
        <v>0</v>
      </c>
      <c r="O485" s="46">
        <v>3000</v>
      </c>
      <c r="P485" s="98"/>
      <c r="Q485" s="23" t="s">
        <v>1429</v>
      </c>
      <c r="R485" s="24" t="s">
        <v>1253</v>
      </c>
      <c r="S485" s="25" t="s">
        <v>325</v>
      </c>
      <c r="T485" s="26">
        <v>5</v>
      </c>
      <c r="U485" s="26">
        <v>5</v>
      </c>
      <c r="V485" s="26">
        <v>600</v>
      </c>
      <c r="W485" s="127">
        <f t="shared" si="103"/>
        <v>0</v>
      </c>
      <c r="X485" s="127">
        <f t="shared" si="100"/>
        <v>5</v>
      </c>
      <c r="Y485" s="127">
        <f t="shared" si="104"/>
        <v>0</v>
      </c>
      <c r="Z485" s="127">
        <f t="shared" si="105"/>
        <v>3000</v>
      </c>
      <c r="AA485" s="33" t="s">
        <v>15</v>
      </c>
      <c r="AB485" s="36" t="s">
        <v>16</v>
      </c>
      <c r="AC485" s="181">
        <f t="shared" si="107"/>
        <v>5</v>
      </c>
      <c r="AD485" s="181">
        <f t="shared" si="106"/>
        <v>3000</v>
      </c>
      <c r="AE485" s="181">
        <v>6</v>
      </c>
      <c r="AF485" s="181">
        <v>6</v>
      </c>
      <c r="AG485" s="101" t="str">
        <f t="shared" si="108"/>
        <v/>
      </c>
      <c r="AH485" s="190">
        <v>5</v>
      </c>
      <c r="AI485" s="69">
        <f t="shared" si="101"/>
        <v>5</v>
      </c>
    </row>
    <row r="486" spans="1:38" s="69" customFormat="1" ht="49.5" customHeight="1" x14ac:dyDescent="0.3">
      <c r="A486" s="130" t="s">
        <v>1255</v>
      </c>
      <c r="B486" s="240" t="s">
        <v>1256</v>
      </c>
      <c r="C486" s="132" t="s">
        <v>325</v>
      </c>
      <c r="D486" s="133">
        <v>5</v>
      </c>
      <c r="E486" s="75"/>
      <c r="F486" s="75"/>
      <c r="G486" s="75"/>
      <c r="H486" s="75"/>
      <c r="I486" s="75">
        <v>1800</v>
      </c>
      <c r="J486" s="75">
        <v>9000</v>
      </c>
      <c r="K486" s="91" t="s">
        <v>1257</v>
      </c>
      <c r="L486" s="73"/>
      <c r="M486" s="46">
        <v>5</v>
      </c>
      <c r="N486" s="46">
        <v>0</v>
      </c>
      <c r="O486" s="46">
        <v>9000</v>
      </c>
      <c r="P486" s="98"/>
      <c r="Q486" s="23" t="s">
        <v>1430</v>
      </c>
      <c r="R486" s="24" t="s">
        <v>1256</v>
      </c>
      <c r="S486" s="25" t="s">
        <v>325</v>
      </c>
      <c r="T486" s="26">
        <v>5</v>
      </c>
      <c r="U486" s="26">
        <v>5</v>
      </c>
      <c r="V486" s="26">
        <v>1800</v>
      </c>
      <c r="W486" s="127">
        <f t="shared" si="103"/>
        <v>0</v>
      </c>
      <c r="X486" s="127">
        <f t="shared" si="100"/>
        <v>5</v>
      </c>
      <c r="Y486" s="127">
        <f t="shared" si="104"/>
        <v>0</v>
      </c>
      <c r="Z486" s="127">
        <f t="shared" si="105"/>
        <v>9000</v>
      </c>
      <c r="AA486" s="33" t="s">
        <v>15</v>
      </c>
      <c r="AB486" s="36" t="s">
        <v>16</v>
      </c>
      <c r="AC486" s="181">
        <f t="shared" si="107"/>
        <v>5</v>
      </c>
      <c r="AD486" s="181">
        <f t="shared" si="106"/>
        <v>9000</v>
      </c>
      <c r="AE486" s="181">
        <v>6</v>
      </c>
      <c r="AF486" s="181">
        <v>6</v>
      </c>
      <c r="AG486" s="101" t="str">
        <f t="shared" si="108"/>
        <v/>
      </c>
      <c r="AH486" s="190">
        <v>5</v>
      </c>
      <c r="AI486" s="69">
        <f t="shared" si="101"/>
        <v>5</v>
      </c>
    </row>
    <row r="487" spans="1:38" s="69" customFormat="1" ht="39" x14ac:dyDescent="0.3">
      <c r="A487" s="55" t="s">
        <v>1258</v>
      </c>
      <c r="B487" s="53" t="s">
        <v>1259</v>
      </c>
      <c r="C487" s="54" t="s">
        <v>325</v>
      </c>
      <c r="D487" s="75">
        <v>80</v>
      </c>
      <c r="E487" s="75"/>
      <c r="F487" s="75"/>
      <c r="G487" s="75"/>
      <c r="H487" s="75"/>
      <c r="I487" s="75">
        <v>2200</v>
      </c>
      <c r="J487" s="75">
        <v>176000</v>
      </c>
      <c r="K487" s="91" t="s">
        <v>1260</v>
      </c>
      <c r="L487" s="73"/>
      <c r="M487" s="46">
        <v>65</v>
      </c>
      <c r="N487" s="46">
        <v>0</v>
      </c>
      <c r="O487" s="46">
        <v>143000</v>
      </c>
      <c r="P487" s="98"/>
      <c r="Q487" s="23" t="s">
        <v>1431</v>
      </c>
      <c r="R487" s="24" t="s">
        <v>1259</v>
      </c>
      <c r="S487" s="25" t="s">
        <v>325</v>
      </c>
      <c r="T487" s="26">
        <v>80</v>
      </c>
      <c r="U487" s="26">
        <v>80</v>
      </c>
      <c r="V487" s="26">
        <v>2200</v>
      </c>
      <c r="W487" s="128">
        <f t="shared" si="103"/>
        <v>0</v>
      </c>
      <c r="X487" s="26">
        <f t="shared" si="100"/>
        <v>65</v>
      </c>
      <c r="Y487" s="26">
        <f t="shared" si="104"/>
        <v>0</v>
      </c>
      <c r="Z487" s="26">
        <f t="shared" si="105"/>
        <v>143000</v>
      </c>
      <c r="AA487" s="33" t="s">
        <v>15</v>
      </c>
      <c r="AB487" s="36" t="s">
        <v>16</v>
      </c>
      <c r="AC487" s="181">
        <f t="shared" si="107"/>
        <v>80</v>
      </c>
      <c r="AD487" s="181">
        <f t="shared" si="106"/>
        <v>176000</v>
      </c>
      <c r="AE487" s="181">
        <v>6</v>
      </c>
      <c r="AF487" s="181">
        <v>6</v>
      </c>
      <c r="AG487" s="101" t="str">
        <f t="shared" si="108"/>
        <v/>
      </c>
      <c r="AH487" s="191">
        <v>65</v>
      </c>
      <c r="AI487" s="69">
        <f t="shared" si="101"/>
        <v>80</v>
      </c>
    </row>
    <row r="488" spans="1:38" s="69" customFormat="1" ht="42" x14ac:dyDescent="0.3">
      <c r="A488" s="130" t="s">
        <v>1261</v>
      </c>
      <c r="B488" s="131" t="s">
        <v>1262</v>
      </c>
      <c r="C488" s="132" t="s">
        <v>14</v>
      </c>
      <c r="D488" s="133">
        <v>1</v>
      </c>
      <c r="E488" s="75"/>
      <c r="F488" s="75"/>
      <c r="G488" s="75"/>
      <c r="H488" s="75"/>
      <c r="I488" s="75">
        <v>261478.99</v>
      </c>
      <c r="J488" s="75">
        <v>261478.99</v>
      </c>
      <c r="K488" s="91" t="s">
        <v>1263</v>
      </c>
      <c r="L488" s="73"/>
      <c r="M488" s="46">
        <v>1</v>
      </c>
      <c r="N488" s="46">
        <v>0</v>
      </c>
      <c r="O488" s="46">
        <v>261478.99</v>
      </c>
      <c r="P488" s="98"/>
      <c r="Q488" s="23" t="s">
        <v>1395</v>
      </c>
      <c r="R488" s="24" t="s">
        <v>1262</v>
      </c>
      <c r="S488" s="25" t="s">
        <v>14</v>
      </c>
      <c r="T488" s="26">
        <v>1</v>
      </c>
      <c r="U488" s="26">
        <v>1</v>
      </c>
      <c r="V488" s="26">
        <v>261478.99</v>
      </c>
      <c r="W488" s="127">
        <f t="shared" si="103"/>
        <v>0</v>
      </c>
      <c r="X488" s="127">
        <f t="shared" si="100"/>
        <v>1</v>
      </c>
      <c r="Y488" s="127">
        <f t="shared" si="104"/>
        <v>0</v>
      </c>
      <c r="Z488" s="127">
        <f t="shared" si="105"/>
        <v>261478.99</v>
      </c>
      <c r="AA488" s="33" t="s">
        <v>1499</v>
      </c>
      <c r="AB488" s="36" t="s">
        <v>16</v>
      </c>
      <c r="AC488" s="181">
        <f t="shared" si="107"/>
        <v>1</v>
      </c>
      <c r="AD488" s="181">
        <f t="shared" si="106"/>
        <v>261478.99</v>
      </c>
      <c r="AE488" s="181">
        <v>6</v>
      </c>
      <c r="AF488" s="181">
        <v>6</v>
      </c>
      <c r="AG488" s="101" t="str">
        <f t="shared" si="108"/>
        <v/>
      </c>
      <c r="AH488" s="190">
        <v>1</v>
      </c>
      <c r="AI488" s="69">
        <f t="shared" si="101"/>
        <v>1</v>
      </c>
    </row>
    <row r="489" spans="1:38" s="69" customFormat="1" ht="39" x14ac:dyDescent="0.3">
      <c r="A489" s="55" t="s">
        <v>1264</v>
      </c>
      <c r="B489" s="53" t="s">
        <v>1265</v>
      </c>
      <c r="C489" s="54" t="s">
        <v>30</v>
      </c>
      <c r="D489" s="75">
        <v>5000</v>
      </c>
      <c r="E489" s="75"/>
      <c r="F489" s="75"/>
      <c r="G489" s="75"/>
      <c r="H489" s="75"/>
      <c r="I489" s="75">
        <v>13</v>
      </c>
      <c r="J489" s="75">
        <v>65000</v>
      </c>
      <c r="K489" s="91" t="s">
        <v>1266</v>
      </c>
      <c r="L489" s="73"/>
      <c r="M489" s="46">
        <v>0</v>
      </c>
      <c r="N489" s="46">
        <v>0</v>
      </c>
      <c r="O489" s="46">
        <v>0</v>
      </c>
      <c r="P489" s="98"/>
      <c r="Q489" s="23" t="s">
        <v>1432</v>
      </c>
      <c r="R489" s="24" t="s">
        <v>1265</v>
      </c>
      <c r="S489" s="25" t="s">
        <v>30</v>
      </c>
      <c r="T489" s="26">
        <v>5000</v>
      </c>
      <c r="U489" s="26">
        <v>5000</v>
      </c>
      <c r="V489" s="26">
        <v>13</v>
      </c>
      <c r="W489" s="243">
        <f t="shared" si="103"/>
        <v>1250</v>
      </c>
      <c r="X489" s="26">
        <f t="shared" si="100"/>
        <v>1250</v>
      </c>
      <c r="Y489" s="26">
        <f t="shared" si="104"/>
        <v>16250</v>
      </c>
      <c r="Z489" s="26">
        <f t="shared" si="105"/>
        <v>16250</v>
      </c>
      <c r="AA489" s="33" t="s">
        <v>15</v>
      </c>
      <c r="AB489" s="36" t="s">
        <v>16</v>
      </c>
      <c r="AC489" s="181">
        <f t="shared" si="107"/>
        <v>5000</v>
      </c>
      <c r="AD489" s="181">
        <f t="shared" si="106"/>
        <v>65000</v>
      </c>
      <c r="AE489" s="181">
        <v>6</v>
      </c>
      <c r="AF489" s="181">
        <v>6</v>
      </c>
      <c r="AG489" s="101" t="str">
        <f t="shared" si="108"/>
        <v/>
      </c>
      <c r="AH489" s="191">
        <f>1250</f>
        <v>1250</v>
      </c>
      <c r="AI489" s="69">
        <f t="shared" si="101"/>
        <v>5000</v>
      </c>
    </row>
    <row r="490" spans="1:38" s="69" customFormat="1" ht="39" x14ac:dyDescent="0.3">
      <c r="A490" s="55" t="s">
        <v>1267</v>
      </c>
      <c r="B490" s="53" t="s">
        <v>1268</v>
      </c>
      <c r="C490" s="54" t="s">
        <v>1269</v>
      </c>
      <c r="D490" s="75">
        <v>48</v>
      </c>
      <c r="E490" s="75"/>
      <c r="F490" s="75"/>
      <c r="G490" s="75"/>
      <c r="H490" s="75"/>
      <c r="I490" s="75">
        <v>47468</v>
      </c>
      <c r="J490" s="75">
        <v>2278464</v>
      </c>
      <c r="K490" s="91" t="s">
        <v>1270</v>
      </c>
      <c r="L490" s="73"/>
      <c r="M490" s="46">
        <v>42</v>
      </c>
      <c r="N490" s="46">
        <v>94936</v>
      </c>
      <c r="O490" s="46">
        <v>1993656</v>
      </c>
      <c r="P490" s="98"/>
      <c r="Q490" s="23" t="s">
        <v>1433</v>
      </c>
      <c r="R490" s="24" t="s">
        <v>1268</v>
      </c>
      <c r="S490" s="25" t="s">
        <v>1269</v>
      </c>
      <c r="T490" s="26">
        <v>48</v>
      </c>
      <c r="U490" s="26">
        <v>48</v>
      </c>
      <c r="V490" s="26">
        <v>47468</v>
      </c>
      <c r="W490" s="250">
        <f t="shared" si="103"/>
        <v>2</v>
      </c>
      <c r="X490" s="26">
        <f t="shared" si="100"/>
        <v>44</v>
      </c>
      <c r="Y490" s="26">
        <f>Z490-O490</f>
        <v>94936</v>
      </c>
      <c r="Z490" s="26">
        <f t="shared" si="105"/>
        <v>2088592</v>
      </c>
      <c r="AA490" s="33" t="s">
        <v>15</v>
      </c>
      <c r="AB490" s="36" t="s">
        <v>16</v>
      </c>
      <c r="AC490" s="181">
        <f t="shared" si="107"/>
        <v>48</v>
      </c>
      <c r="AD490" s="181">
        <f t="shared" si="106"/>
        <v>2278464</v>
      </c>
      <c r="AE490" s="181">
        <v>6</v>
      </c>
      <c r="AF490" s="181">
        <v>6</v>
      </c>
      <c r="AG490" s="101" t="str">
        <f t="shared" si="108"/>
        <v/>
      </c>
      <c r="AH490" s="191">
        <f>39+1+2+2</f>
        <v>44</v>
      </c>
      <c r="AI490" s="69">
        <f t="shared" si="101"/>
        <v>48</v>
      </c>
    </row>
    <row r="491" spans="1:38" s="69" customFormat="1" ht="39" x14ac:dyDescent="0.3">
      <c r="A491" s="55" t="s">
        <v>1271</v>
      </c>
      <c r="B491" s="53" t="s">
        <v>1272</v>
      </c>
      <c r="C491" s="54" t="s">
        <v>14</v>
      </c>
      <c r="D491" s="75">
        <v>1</v>
      </c>
      <c r="E491" s="75"/>
      <c r="F491" s="75"/>
      <c r="G491" s="75"/>
      <c r="H491" s="75"/>
      <c r="I491" s="75">
        <v>111233.97</v>
      </c>
      <c r="J491" s="75">
        <v>111233.97</v>
      </c>
      <c r="K491" s="91" t="s">
        <v>1273</v>
      </c>
      <c r="L491" s="73"/>
      <c r="M491" s="46">
        <v>0.59999998201988114</v>
      </c>
      <c r="N491" s="46">
        <v>0</v>
      </c>
      <c r="O491" s="46">
        <v>66740.38</v>
      </c>
      <c r="P491" s="98"/>
      <c r="Q491" s="23" t="s">
        <v>1382</v>
      </c>
      <c r="R491" s="24" t="s">
        <v>1272</v>
      </c>
      <c r="S491" s="25" t="s">
        <v>14</v>
      </c>
      <c r="T491" s="26">
        <v>1</v>
      </c>
      <c r="U491" s="26">
        <v>1</v>
      </c>
      <c r="V491" s="26">
        <v>111233.97</v>
      </c>
      <c r="W491" s="243">
        <f t="shared" si="103"/>
        <v>0.2000000179801189</v>
      </c>
      <c r="X491" s="26">
        <f t="shared" si="100"/>
        <v>0.8</v>
      </c>
      <c r="Y491" s="136">
        <f t="shared" si="104"/>
        <v>22246.799999999988</v>
      </c>
      <c r="Z491" s="26">
        <f>ROUND(V491*X491,2)</f>
        <v>88987.18</v>
      </c>
      <c r="AA491" s="33" t="s">
        <v>15</v>
      </c>
      <c r="AB491" s="36" t="s">
        <v>16</v>
      </c>
      <c r="AC491" s="181">
        <f t="shared" si="107"/>
        <v>1</v>
      </c>
      <c r="AD491" s="181">
        <f t="shared" si="106"/>
        <v>111233.97</v>
      </c>
      <c r="AE491" s="181">
        <v>6</v>
      </c>
      <c r="AF491" s="181">
        <v>6</v>
      </c>
      <c r="AG491" s="101" t="str">
        <f t="shared" si="108"/>
        <v/>
      </c>
      <c r="AH491" s="191">
        <v>0.8</v>
      </c>
      <c r="AI491" s="69">
        <f t="shared" si="101"/>
        <v>1</v>
      </c>
      <c r="AL491" s="69">
        <f>O491/Z491</f>
        <v>0.7499999438121312</v>
      </c>
    </row>
    <row r="492" spans="1:38" s="69" customFormat="1" ht="33" x14ac:dyDescent="0.3">
      <c r="A492" s="85" t="s">
        <v>1274</v>
      </c>
      <c r="B492" s="86" t="s">
        <v>1275</v>
      </c>
      <c r="C492" s="87" t="s">
        <v>14</v>
      </c>
      <c r="D492" s="88">
        <v>1</v>
      </c>
      <c r="E492" s="88"/>
      <c r="F492" s="88"/>
      <c r="G492" s="88"/>
      <c r="H492" s="88"/>
      <c r="I492" s="88"/>
      <c r="J492" s="88">
        <v>2884379.96</v>
      </c>
      <c r="K492" s="95" t="s">
        <v>15</v>
      </c>
      <c r="L492" s="73"/>
      <c r="M492" s="42">
        <v>1</v>
      </c>
      <c r="N492" s="42">
        <v>94936</v>
      </c>
      <c r="O492" s="42">
        <v>2417797.17</v>
      </c>
      <c r="P492" s="98"/>
      <c r="Q492" s="13" t="s">
        <v>1416</v>
      </c>
      <c r="R492" s="14" t="s">
        <v>1275</v>
      </c>
      <c r="S492" s="15" t="s">
        <v>14</v>
      </c>
      <c r="T492" s="16">
        <v>1</v>
      </c>
      <c r="U492" s="16"/>
      <c r="V492" s="16">
        <f>SUMIFS(AD:AD,AE:AE,AE492)</f>
        <v>2884379.96</v>
      </c>
      <c r="W492" s="16">
        <f t="shared" ref="W492:X492" si="109">IF(Y492=0,0,1)</f>
        <v>1</v>
      </c>
      <c r="X492" s="16">
        <f t="shared" si="109"/>
        <v>1</v>
      </c>
      <c r="Y492" s="16">
        <f>SUMIFS(Y:Y,AF:AF,AE492)</f>
        <v>155527.60000000003</v>
      </c>
      <c r="Z492" s="16">
        <f>SUMIFS(Z:Z,AF:AF,AE492)</f>
        <v>2573324.77</v>
      </c>
      <c r="AA492" s="17" t="s">
        <v>15</v>
      </c>
      <c r="AB492" s="40" t="s">
        <v>16</v>
      </c>
      <c r="AC492" s="181">
        <f t="shared" si="107"/>
        <v>1</v>
      </c>
      <c r="AD492" s="183"/>
      <c r="AE492" s="183">
        <v>7</v>
      </c>
      <c r="AF492" s="183"/>
      <c r="AG492" s="101" t="str">
        <f t="shared" si="108"/>
        <v/>
      </c>
      <c r="AH492" s="190">
        <v>1</v>
      </c>
      <c r="AI492" s="69">
        <f t="shared" si="101"/>
        <v>1</v>
      </c>
    </row>
    <row r="493" spans="1:38" s="69" customFormat="1" ht="39" x14ac:dyDescent="0.3">
      <c r="A493" s="55" t="s">
        <v>1276</v>
      </c>
      <c r="B493" s="53" t="s">
        <v>1277</v>
      </c>
      <c r="C493" s="54" t="s">
        <v>1269</v>
      </c>
      <c r="D493" s="75">
        <v>48</v>
      </c>
      <c r="E493" s="75"/>
      <c r="F493" s="75"/>
      <c r="G493" s="75"/>
      <c r="H493" s="75"/>
      <c r="I493" s="75">
        <v>47468</v>
      </c>
      <c r="J493" s="75">
        <v>2278464</v>
      </c>
      <c r="K493" s="91" t="s">
        <v>1278</v>
      </c>
      <c r="L493" s="73"/>
      <c r="M493" s="46">
        <v>42</v>
      </c>
      <c r="N493" s="46">
        <v>94936</v>
      </c>
      <c r="O493" s="46">
        <v>1993656</v>
      </c>
      <c r="P493" s="98"/>
      <c r="Q493" s="23" t="s">
        <v>1421</v>
      </c>
      <c r="R493" s="24" t="s">
        <v>1277</v>
      </c>
      <c r="S493" s="25" t="s">
        <v>1269</v>
      </c>
      <c r="T493" s="26">
        <v>48</v>
      </c>
      <c r="U493" s="26">
        <v>48</v>
      </c>
      <c r="V493" s="26">
        <v>47468</v>
      </c>
      <c r="W493" s="102">
        <f t="shared" ref="W493:W494" si="110">AH493-M493</f>
        <v>2</v>
      </c>
      <c r="X493" s="26">
        <f t="shared" si="100"/>
        <v>44</v>
      </c>
      <c r="Y493" s="26">
        <f>Z493-O493</f>
        <v>94936</v>
      </c>
      <c r="Z493" s="26">
        <f t="shared" ref="Z493:Z494" si="111">ROUND(V493*X493,2)</f>
        <v>2088592</v>
      </c>
      <c r="AA493" s="33" t="s">
        <v>15</v>
      </c>
      <c r="AB493" s="36" t="s">
        <v>16</v>
      </c>
      <c r="AC493" s="181">
        <f t="shared" si="107"/>
        <v>48</v>
      </c>
      <c r="AD493" s="181">
        <f t="shared" ref="AD493:AD494" si="112">ROUND(V493*AC493,2)</f>
        <v>2278464</v>
      </c>
      <c r="AE493" s="181">
        <v>7</v>
      </c>
      <c r="AF493" s="181">
        <v>7</v>
      </c>
      <c r="AG493" s="101" t="str">
        <f t="shared" si="108"/>
        <v/>
      </c>
      <c r="AH493" s="191">
        <f>39+1+2+2</f>
        <v>44</v>
      </c>
      <c r="AI493" s="69">
        <f t="shared" si="101"/>
        <v>48</v>
      </c>
    </row>
    <row r="494" spans="1:38" s="69" customFormat="1" ht="33" x14ac:dyDescent="0.3">
      <c r="A494" s="55" t="s">
        <v>1279</v>
      </c>
      <c r="B494" s="53" t="s">
        <v>1280</v>
      </c>
      <c r="C494" s="54" t="s">
        <v>14</v>
      </c>
      <c r="D494" s="75">
        <v>1</v>
      </c>
      <c r="E494" s="75"/>
      <c r="F494" s="75"/>
      <c r="G494" s="75"/>
      <c r="H494" s="75"/>
      <c r="I494" s="75">
        <v>605915.96</v>
      </c>
      <c r="J494" s="75">
        <v>605915.96</v>
      </c>
      <c r="K494" s="91" t="s">
        <v>1281</v>
      </c>
      <c r="L494" s="73"/>
      <c r="M494" s="46">
        <v>0.6999999966992122</v>
      </c>
      <c r="N494" s="46">
        <v>0</v>
      </c>
      <c r="O494" s="46">
        <v>424141.17</v>
      </c>
      <c r="P494" s="98"/>
      <c r="Q494" s="23" t="s">
        <v>1426</v>
      </c>
      <c r="R494" s="24" t="s">
        <v>1280</v>
      </c>
      <c r="S494" s="25" t="s">
        <v>14</v>
      </c>
      <c r="T494" s="26">
        <v>1</v>
      </c>
      <c r="U494" s="26">
        <v>1</v>
      </c>
      <c r="V494" s="26">
        <v>605915.96</v>
      </c>
      <c r="W494" s="128">
        <f t="shared" si="110"/>
        <v>0.10000000330078784</v>
      </c>
      <c r="X494" s="26">
        <f t="shared" si="100"/>
        <v>0.8</v>
      </c>
      <c r="Y494" s="136">
        <f>Z494-O494</f>
        <v>60591.600000000035</v>
      </c>
      <c r="Z494" s="26">
        <f t="shared" si="111"/>
        <v>484732.77</v>
      </c>
      <c r="AA494" s="33" t="s">
        <v>15</v>
      </c>
      <c r="AB494" s="36" t="s">
        <v>16</v>
      </c>
      <c r="AC494" s="181">
        <f t="shared" si="107"/>
        <v>1</v>
      </c>
      <c r="AD494" s="181">
        <f t="shared" si="112"/>
        <v>605915.96</v>
      </c>
      <c r="AE494" s="181">
        <v>7</v>
      </c>
      <c r="AF494" s="181">
        <v>7</v>
      </c>
      <c r="AG494" s="101" t="str">
        <f t="shared" si="108"/>
        <v/>
      </c>
      <c r="AH494" s="191">
        <v>0.8</v>
      </c>
      <c r="AI494" s="69">
        <f t="shared" si="101"/>
        <v>1</v>
      </c>
      <c r="AL494" s="69">
        <f>O494/Z494</f>
        <v>0.87499999226377856</v>
      </c>
    </row>
    <row r="495" spans="1:38" s="69" customFormat="1" ht="63" x14ac:dyDescent="0.3">
      <c r="A495" s="85" t="s">
        <v>1282</v>
      </c>
      <c r="B495" s="86" t="s">
        <v>1283</v>
      </c>
      <c r="C495" s="87" t="s">
        <v>14</v>
      </c>
      <c r="D495" s="88">
        <v>1</v>
      </c>
      <c r="E495" s="88"/>
      <c r="F495" s="88"/>
      <c r="G495" s="88"/>
      <c r="H495" s="88"/>
      <c r="I495" s="88"/>
      <c r="J495" s="88">
        <v>37525596.329999998</v>
      </c>
      <c r="K495" s="95" t="s">
        <v>1284</v>
      </c>
      <c r="L495" s="73"/>
      <c r="M495" s="42">
        <v>1</v>
      </c>
      <c r="N495" s="42">
        <v>720527.28000000119</v>
      </c>
      <c r="O495" s="42">
        <v>29551835.389999978</v>
      </c>
      <c r="P495" s="98"/>
      <c r="Q495" s="28" t="s">
        <v>1417</v>
      </c>
      <c r="R495" s="29" t="s">
        <v>1283</v>
      </c>
      <c r="S495" s="30" t="s">
        <v>14</v>
      </c>
      <c r="T495" s="31">
        <v>1</v>
      </c>
      <c r="U495" s="31"/>
      <c r="V495" s="31">
        <v>37525596.329999998</v>
      </c>
      <c r="W495" s="31">
        <f t="shared" ref="W495:X496" si="113">IF(Y495=0,0,1)</f>
        <v>1</v>
      </c>
      <c r="X495" s="31">
        <f t="shared" si="113"/>
        <v>1</v>
      </c>
      <c r="Y495" s="31">
        <f>Z495-O495</f>
        <v>869200.47999997437</v>
      </c>
      <c r="Z495" s="31">
        <f>Z7-Z8-Z377-Z407-Z447-Z451-Z472-Z492-Z496-Z498</f>
        <v>30421035.869999953</v>
      </c>
      <c r="AA495" s="32" t="s">
        <v>1418</v>
      </c>
      <c r="AB495" s="40" t="s">
        <v>16</v>
      </c>
      <c r="AC495" s="181">
        <f t="shared" si="107"/>
        <v>1</v>
      </c>
      <c r="AD495" s="183"/>
      <c r="AE495" s="183">
        <v>8</v>
      </c>
      <c r="AF495" s="183"/>
      <c r="AG495" s="101" t="str">
        <f t="shared" si="108"/>
        <v/>
      </c>
      <c r="AH495" s="190">
        <v>1</v>
      </c>
      <c r="AI495" s="69">
        <f t="shared" si="101"/>
        <v>1</v>
      </c>
    </row>
    <row r="496" spans="1:38" s="69" customFormat="1" ht="157.5" x14ac:dyDescent="0.3">
      <c r="A496" s="85" t="s">
        <v>1285</v>
      </c>
      <c r="B496" s="86" t="s">
        <v>1286</v>
      </c>
      <c r="C496" s="87" t="s">
        <v>14</v>
      </c>
      <c r="D496" s="88">
        <v>1</v>
      </c>
      <c r="E496" s="88"/>
      <c r="F496" s="88"/>
      <c r="G496" s="88"/>
      <c r="H496" s="88"/>
      <c r="I496" s="88"/>
      <c r="J496" s="88">
        <v>3336000</v>
      </c>
      <c r="K496" s="95" t="s">
        <v>1287</v>
      </c>
      <c r="L496" s="73"/>
      <c r="M496" s="42">
        <v>1</v>
      </c>
      <c r="N496" s="42">
        <v>471600</v>
      </c>
      <c r="O496" s="42">
        <v>3335100</v>
      </c>
      <c r="P496" s="98"/>
      <c r="Q496" s="13" t="s">
        <v>1419</v>
      </c>
      <c r="R496" s="14" t="s">
        <v>1286</v>
      </c>
      <c r="S496" s="15" t="s">
        <v>14</v>
      </c>
      <c r="T496" s="16">
        <v>1</v>
      </c>
      <c r="U496" s="16"/>
      <c r="V496" s="16">
        <f>SUMIFS(AD:AD,AE:AE,AE496)</f>
        <v>3336000</v>
      </c>
      <c r="W496" s="16">
        <f t="shared" si="113"/>
        <v>0</v>
      </c>
      <c r="X496" s="16">
        <f t="shared" si="113"/>
        <v>1</v>
      </c>
      <c r="Y496" s="16">
        <f>SUMIFS(Y:Y,AF:AF,AE496)</f>
        <v>0</v>
      </c>
      <c r="Z496" s="16">
        <f>SUMIFS(Z:Z,AF:AF,AE496)</f>
        <v>3335100</v>
      </c>
      <c r="AA496" s="17" t="s">
        <v>1287</v>
      </c>
      <c r="AB496" s="40" t="s">
        <v>16</v>
      </c>
      <c r="AC496" s="181">
        <f t="shared" si="107"/>
        <v>1</v>
      </c>
      <c r="AD496" s="183"/>
      <c r="AE496" s="183">
        <v>9</v>
      </c>
      <c r="AF496" s="183"/>
      <c r="AG496" s="101" t="str">
        <f t="shared" si="108"/>
        <v/>
      </c>
      <c r="AH496" s="190">
        <v>1</v>
      </c>
      <c r="AI496" s="69">
        <f t="shared" si="101"/>
        <v>1</v>
      </c>
    </row>
    <row r="497" spans="1:35" s="69" customFormat="1" ht="33" x14ac:dyDescent="0.3">
      <c r="A497" s="55" t="s">
        <v>1288</v>
      </c>
      <c r="B497" s="53" t="s">
        <v>1286</v>
      </c>
      <c r="C497" s="54" t="s">
        <v>23</v>
      </c>
      <c r="D497" s="75">
        <v>22240</v>
      </c>
      <c r="E497" s="75"/>
      <c r="F497" s="75"/>
      <c r="G497" s="75"/>
      <c r="H497" s="75"/>
      <c r="I497" s="75">
        <v>150</v>
      </c>
      <c r="J497" s="75">
        <v>3336000</v>
      </c>
      <c r="K497" s="91" t="s">
        <v>1289</v>
      </c>
      <c r="L497" s="73"/>
      <c r="M497" s="46">
        <v>22234</v>
      </c>
      <c r="N497" s="46">
        <v>471600</v>
      </c>
      <c r="O497" s="46">
        <v>3335100</v>
      </c>
      <c r="P497" s="98"/>
      <c r="Q497" s="23" t="s">
        <v>1421</v>
      </c>
      <c r="R497" s="24" t="s">
        <v>1286</v>
      </c>
      <c r="S497" s="25" t="s">
        <v>23</v>
      </c>
      <c r="T497" s="26">
        <v>22240</v>
      </c>
      <c r="U497" s="26">
        <v>22240</v>
      </c>
      <c r="V497" s="26">
        <v>150</v>
      </c>
      <c r="W497" s="103">
        <f t="shared" ref="W497" si="114">AH497-M497</f>
        <v>0</v>
      </c>
      <c r="X497" s="26">
        <f t="shared" ref="X497" si="115">W497+M497</f>
        <v>22234</v>
      </c>
      <c r="Y497" s="26">
        <f>Z497-O497</f>
        <v>0</v>
      </c>
      <c r="Z497" s="26">
        <f>ROUND(V497*X497,2)</f>
        <v>3335100</v>
      </c>
      <c r="AA497" s="33" t="s">
        <v>15</v>
      </c>
      <c r="AB497" s="36" t="s">
        <v>16</v>
      </c>
      <c r="AC497" s="181">
        <f t="shared" si="107"/>
        <v>22240</v>
      </c>
      <c r="AD497" s="181">
        <f t="shared" ref="AD497" si="116">ROUND(V497*AC497,2)</f>
        <v>3336000</v>
      </c>
      <c r="AE497" s="181">
        <v>9</v>
      </c>
      <c r="AF497" s="181">
        <v>9</v>
      </c>
      <c r="AG497" s="101" t="str">
        <f t="shared" si="108"/>
        <v/>
      </c>
      <c r="AH497" s="190">
        <f>AH16+3144</f>
        <v>22234</v>
      </c>
      <c r="AI497" s="69">
        <f t="shared" si="101"/>
        <v>22240</v>
      </c>
    </row>
    <row r="498" spans="1:35" s="69" customFormat="1" ht="178.5" x14ac:dyDescent="0.3">
      <c r="A498" s="85" t="s">
        <v>1290</v>
      </c>
      <c r="B498" s="86" t="s">
        <v>1291</v>
      </c>
      <c r="C498" s="87" t="s">
        <v>14</v>
      </c>
      <c r="D498" s="88">
        <v>1</v>
      </c>
      <c r="E498" s="88"/>
      <c r="F498" s="88"/>
      <c r="G498" s="88"/>
      <c r="H498" s="88"/>
      <c r="I498" s="88"/>
      <c r="J498" s="88">
        <v>212800</v>
      </c>
      <c r="K498" s="95" t="s">
        <v>1292</v>
      </c>
      <c r="L498" s="73"/>
      <c r="M498" s="42">
        <v>1</v>
      </c>
      <c r="N498" s="42">
        <v>0</v>
      </c>
      <c r="O498" s="42">
        <v>212800</v>
      </c>
      <c r="P498" s="98"/>
      <c r="Q498" s="13" t="s">
        <v>1420</v>
      </c>
      <c r="R498" s="14" t="s">
        <v>1291</v>
      </c>
      <c r="S498" s="15" t="s">
        <v>14</v>
      </c>
      <c r="T498" s="16">
        <v>1</v>
      </c>
      <c r="U498" s="16"/>
      <c r="V498" s="16">
        <f>SUMIFS(AD:AD,AE:AE,AE498)</f>
        <v>212800</v>
      </c>
      <c r="W498" s="16">
        <f t="shared" ref="W498:X498" si="117">IF(Y498=0,0,1)</f>
        <v>0</v>
      </c>
      <c r="X498" s="16">
        <f t="shared" si="117"/>
        <v>1</v>
      </c>
      <c r="Y498" s="16">
        <f>SUMIFS(Y:Y,AF:AF,AE498)</f>
        <v>0</v>
      </c>
      <c r="Z498" s="16">
        <f>SUMIFS(Z:Z,AF:AF,AE498)</f>
        <v>212800</v>
      </c>
      <c r="AA498" s="17" t="s">
        <v>1292</v>
      </c>
      <c r="AB498" s="40" t="s">
        <v>16</v>
      </c>
      <c r="AC498" s="181">
        <f t="shared" si="107"/>
        <v>1</v>
      </c>
      <c r="AD498" s="183"/>
      <c r="AE498" s="183">
        <v>10</v>
      </c>
      <c r="AF498" s="183"/>
      <c r="AG498" s="101" t="str">
        <f t="shared" si="108"/>
        <v/>
      </c>
      <c r="AH498" s="190">
        <v>1</v>
      </c>
      <c r="AI498" s="69">
        <f t="shared" si="101"/>
        <v>1</v>
      </c>
    </row>
    <row r="499" spans="1:35" s="69" customFormat="1" ht="33" x14ac:dyDescent="0.3">
      <c r="A499" s="55" t="s">
        <v>1293</v>
      </c>
      <c r="B499" s="53" t="s">
        <v>1294</v>
      </c>
      <c r="C499" s="54" t="s">
        <v>50</v>
      </c>
      <c r="D499" s="75">
        <v>3800</v>
      </c>
      <c r="E499" s="75"/>
      <c r="F499" s="75"/>
      <c r="G499" s="75"/>
      <c r="H499" s="75"/>
      <c r="I499" s="75">
        <v>56</v>
      </c>
      <c r="J499" s="75">
        <v>212800</v>
      </c>
      <c r="K499" s="91" t="s">
        <v>1295</v>
      </c>
      <c r="L499" s="73"/>
      <c r="M499" s="46">
        <v>3800</v>
      </c>
      <c r="N499" s="46">
        <v>0</v>
      </c>
      <c r="O499" s="46">
        <v>212800</v>
      </c>
      <c r="P499" s="98"/>
      <c r="Q499" s="23" t="s">
        <v>1421</v>
      </c>
      <c r="R499" s="24" t="s">
        <v>1294</v>
      </c>
      <c r="S499" s="25" t="s">
        <v>50</v>
      </c>
      <c r="T499" s="26">
        <v>3800</v>
      </c>
      <c r="U499" s="26">
        <v>3800</v>
      </c>
      <c r="V499" s="26">
        <v>56</v>
      </c>
      <c r="W499" s="26">
        <f t="shared" ref="W499" si="118">AH499-M499</f>
        <v>0</v>
      </c>
      <c r="X499" s="26">
        <f t="shared" ref="X499" si="119">W499+M499</f>
        <v>3800</v>
      </c>
      <c r="Y499" s="26">
        <v>0</v>
      </c>
      <c r="Z499" s="26">
        <f t="shared" ref="Z499" si="120">ROUND(V499*X499,2)</f>
        <v>212800</v>
      </c>
      <c r="AA499" s="33" t="s">
        <v>15</v>
      </c>
      <c r="AB499" s="36" t="s">
        <v>16</v>
      </c>
      <c r="AC499" s="181">
        <f t="shared" si="107"/>
        <v>3800</v>
      </c>
      <c r="AD499" s="181">
        <f t="shared" ref="AD499" si="121">ROUND(V499*AC499,2)</f>
        <v>212800</v>
      </c>
      <c r="AE499" s="181">
        <v>10</v>
      </c>
      <c r="AF499" s="181">
        <v>10</v>
      </c>
      <c r="AG499" s="101" t="str">
        <f t="shared" si="108"/>
        <v/>
      </c>
      <c r="AH499" s="190">
        <v>3800</v>
      </c>
      <c r="AI499" s="69">
        <f t="shared" si="101"/>
        <v>3800</v>
      </c>
    </row>
    <row r="500" spans="1:35" s="69" customFormat="1" ht="33" x14ac:dyDescent="0.3">
      <c r="A500" s="52"/>
      <c r="B500" s="53" t="s">
        <v>1296</v>
      </c>
      <c r="C500" s="54"/>
      <c r="D500" s="75"/>
      <c r="E500" s="75"/>
      <c r="F500" s="75"/>
      <c r="G500" s="75"/>
      <c r="H500" s="75"/>
      <c r="I500" s="75"/>
      <c r="J500" s="75"/>
      <c r="K500" s="91"/>
      <c r="L500" s="73"/>
      <c r="M500" s="46"/>
      <c r="N500" s="46">
        <v>9355400</v>
      </c>
      <c r="O500" s="46">
        <v>284759600</v>
      </c>
      <c r="P500" s="98"/>
      <c r="Q500" s="23" t="s">
        <v>1421</v>
      </c>
      <c r="R500" s="24" t="s">
        <v>1422</v>
      </c>
      <c r="S500" s="25"/>
      <c r="T500" s="26"/>
      <c r="U500" s="26"/>
      <c r="V500" s="26"/>
      <c r="W500" s="26"/>
      <c r="X500" s="26"/>
      <c r="Y500" s="26">
        <f>Y8+Y377+Y407+Y447+Y451+Y472+Y492+Y495+Y496+Y498</f>
        <v>8807399.9999999721</v>
      </c>
      <c r="Z500" s="26">
        <f>ROUNDDOWN((Z8+Z377+Z407+Z447+Z451+Z472+Z492+Z496+Z498+(Z8+Z377+Z407+Z447+Z451+Z472+Z492)*0.1095000004)/1000,1)*1000</f>
        <v>311787400</v>
      </c>
      <c r="AA500" s="33"/>
      <c r="AB500" s="36" t="s">
        <v>16</v>
      </c>
      <c r="AC500" s="181"/>
      <c r="AD500" s="181"/>
      <c r="AE500" s="181"/>
      <c r="AF500" s="181"/>
      <c r="AG500" s="101" t="str">
        <f t="shared" si="108"/>
        <v/>
      </c>
      <c r="AH500" s="190"/>
      <c r="AI500" s="69">
        <f t="shared" si="101"/>
        <v>0</v>
      </c>
    </row>
    <row r="501" spans="1:35" s="69" customFormat="1" ht="33" x14ac:dyDescent="0.3">
      <c r="A501" s="52"/>
      <c r="B501" s="53" t="s">
        <v>1297</v>
      </c>
      <c r="C501" s="54"/>
      <c r="D501" s="75"/>
      <c r="E501" s="75"/>
      <c r="F501" s="75"/>
      <c r="G501" s="75"/>
      <c r="H501" s="75"/>
      <c r="I501" s="75"/>
      <c r="J501" s="75"/>
      <c r="K501" s="91"/>
      <c r="L501" s="73"/>
      <c r="M501" s="39"/>
      <c r="N501" s="39">
        <v>9675</v>
      </c>
      <c r="O501" s="39">
        <v>19291</v>
      </c>
      <c r="P501" s="98"/>
      <c r="Q501" s="8" t="s">
        <v>1505</v>
      </c>
      <c r="R501" s="9" t="s">
        <v>1506</v>
      </c>
      <c r="S501" s="10" t="s">
        <v>14</v>
      </c>
      <c r="T501" s="11"/>
      <c r="U501" s="11"/>
      <c r="V501" s="11"/>
      <c r="W501" s="11"/>
      <c r="X501" s="11"/>
      <c r="Y501" s="11">
        <v>9675</v>
      </c>
      <c r="Z501" s="11">
        <v>19291</v>
      </c>
      <c r="AA501" s="12" t="s">
        <v>15</v>
      </c>
      <c r="AB501" s="37" t="s">
        <v>16</v>
      </c>
      <c r="AC501" s="182"/>
      <c r="AD501" s="182">
        <v>295040.74</v>
      </c>
      <c r="AE501" s="182">
        <v>12929586.060000001</v>
      </c>
      <c r="AF501" s="182"/>
      <c r="AG501" s="101" t="str">
        <f t="shared" si="108"/>
        <v/>
      </c>
      <c r="AH501" s="190"/>
      <c r="AI501" s="69">
        <f t="shared" si="101"/>
        <v>0</v>
      </c>
    </row>
    <row r="502" spans="1:35" s="69" customFormat="1" ht="33" x14ac:dyDescent="0.3">
      <c r="A502" s="382" t="s">
        <v>1298</v>
      </c>
      <c r="B502" s="383"/>
      <c r="C502" s="383"/>
      <c r="D502" s="383"/>
      <c r="E502" s="383"/>
      <c r="F502" s="383"/>
      <c r="G502" s="383"/>
      <c r="H502" s="383"/>
      <c r="I502" s="383"/>
      <c r="J502" s="383"/>
      <c r="K502" s="384"/>
      <c r="L502" s="89"/>
      <c r="M502" s="46"/>
      <c r="N502" s="46">
        <v>2999475</v>
      </c>
      <c r="O502" s="46">
        <v>131240691</v>
      </c>
      <c r="P502" s="98"/>
      <c r="Q502" s="23" t="s">
        <v>1421</v>
      </c>
      <c r="R502" s="24" t="s">
        <v>1507</v>
      </c>
      <c r="S502" s="25"/>
      <c r="T502" s="26"/>
      <c r="U502" s="26"/>
      <c r="V502" s="26"/>
      <c r="W502" s="26"/>
      <c r="X502" s="26"/>
      <c r="Y502" s="26">
        <v>2999475</v>
      </c>
      <c r="Z502" s="26">
        <v>131240691</v>
      </c>
      <c r="AA502" s="33"/>
      <c r="AB502" s="36" t="s">
        <v>16</v>
      </c>
      <c r="AC502" s="181"/>
      <c r="AD502" s="181"/>
      <c r="AE502" s="181"/>
      <c r="AF502" s="181"/>
      <c r="AG502" s="101" t="str">
        <f t="shared" si="108"/>
        <v/>
      </c>
      <c r="AH502" s="190"/>
      <c r="AI502" s="69">
        <f t="shared" si="101"/>
        <v>0</v>
      </c>
    </row>
    <row r="503" spans="1:35" s="69" customFormat="1" ht="153" customHeight="1" x14ac:dyDescent="0.3">
      <c r="A503" s="390" t="s">
        <v>1299</v>
      </c>
      <c r="B503" s="391"/>
      <c r="C503" s="391"/>
      <c r="D503" s="391"/>
      <c r="E503" s="391"/>
      <c r="F503" s="391"/>
      <c r="G503" s="391"/>
      <c r="H503" s="391"/>
      <c r="I503" s="391"/>
      <c r="J503" s="391"/>
      <c r="K503" s="392"/>
      <c r="L503" s="90"/>
      <c r="M503" s="39"/>
      <c r="N503" s="39">
        <v>0</v>
      </c>
      <c r="O503" s="39">
        <v>737520</v>
      </c>
      <c r="P503" s="98"/>
      <c r="Q503" s="8" t="s">
        <v>1508</v>
      </c>
      <c r="R503" s="9" t="s">
        <v>1509</v>
      </c>
      <c r="S503" s="10" t="s">
        <v>14</v>
      </c>
      <c r="T503" s="11"/>
      <c r="U503" s="11"/>
      <c r="V503" s="11"/>
      <c r="W503" s="11"/>
      <c r="X503" s="11"/>
      <c r="Y503" s="11">
        <v>0</v>
      </c>
      <c r="Z503" s="11">
        <f>SUM(Z504:Z506)</f>
        <v>737520</v>
      </c>
      <c r="AA503" s="12" t="s">
        <v>15</v>
      </c>
      <c r="AB503" s="37" t="s">
        <v>16</v>
      </c>
      <c r="AC503" s="182"/>
      <c r="AD503" s="182"/>
      <c r="AE503" s="182"/>
      <c r="AF503" s="182"/>
      <c r="AG503" s="101" t="str">
        <f t="shared" si="108"/>
        <v/>
      </c>
      <c r="AH503" s="190"/>
      <c r="AI503" s="69">
        <f t="shared" si="101"/>
        <v>0</v>
      </c>
    </row>
    <row r="504" spans="1:35" ht="33" x14ac:dyDescent="0.3">
      <c r="M504" s="46">
        <v>519.42999999999995</v>
      </c>
      <c r="N504" s="46">
        <v>0</v>
      </c>
      <c r="O504" s="46">
        <v>298672</v>
      </c>
      <c r="P504" s="98"/>
      <c r="Q504" s="23" t="s">
        <v>1421</v>
      </c>
      <c r="R504" s="24" t="s">
        <v>1510</v>
      </c>
      <c r="S504" s="25" t="s">
        <v>23</v>
      </c>
      <c r="T504" s="26"/>
      <c r="U504" s="26"/>
      <c r="V504" s="26">
        <v>575</v>
      </c>
      <c r="W504" s="26">
        <f>X504-M504</f>
        <v>0</v>
      </c>
      <c r="X504" s="26">
        <v>519.42999999999995</v>
      </c>
      <c r="Y504" s="26">
        <f>Z504-O504</f>
        <v>0</v>
      </c>
      <c r="Z504" s="26">
        <f>ROUNDDOWN(V504*X504,0)</f>
        <v>298672</v>
      </c>
      <c r="AA504" s="33" t="s">
        <v>15</v>
      </c>
      <c r="AB504" s="36" t="s">
        <v>16</v>
      </c>
      <c r="AG504" s="101"/>
      <c r="AH504" s="185">
        <v>519.42999999999995</v>
      </c>
      <c r="AI504" s="69"/>
    </row>
    <row r="505" spans="1:35" ht="33" x14ac:dyDescent="0.3">
      <c r="M505" s="46">
        <v>0</v>
      </c>
      <c r="N505" s="46">
        <v>0</v>
      </c>
      <c r="O505" s="46">
        <v>0</v>
      </c>
      <c r="P505" s="98"/>
      <c r="Q505" s="23" t="s">
        <v>1426</v>
      </c>
      <c r="R505" s="24" t="s">
        <v>1511</v>
      </c>
      <c r="S505" s="25" t="s">
        <v>110</v>
      </c>
      <c r="T505" s="26"/>
      <c r="U505" s="26"/>
      <c r="V505" s="26">
        <v>20</v>
      </c>
      <c r="W505" s="26">
        <f>X505-M505</f>
        <v>0</v>
      </c>
      <c r="X505" s="26">
        <v>0</v>
      </c>
      <c r="Y505" s="26">
        <f>Z505-O505</f>
        <v>0</v>
      </c>
      <c r="Z505" s="26">
        <f>ROUNDDOWN(V505*X505,0)</f>
        <v>0</v>
      </c>
      <c r="AA505" s="33" t="s">
        <v>15</v>
      </c>
      <c r="AB505" s="36" t="s">
        <v>16</v>
      </c>
      <c r="AG505" s="101"/>
      <c r="AH505" s="185">
        <v>0</v>
      </c>
      <c r="AI505" s="69"/>
    </row>
    <row r="506" spans="1:35" ht="33" x14ac:dyDescent="0.3">
      <c r="M506" s="46">
        <v>54856</v>
      </c>
      <c r="N506" s="46">
        <v>0</v>
      </c>
      <c r="O506" s="46">
        <v>438848</v>
      </c>
      <c r="P506" s="98"/>
      <c r="Q506" s="23" t="s">
        <v>1402</v>
      </c>
      <c r="R506" s="24" t="s">
        <v>1512</v>
      </c>
      <c r="S506" s="25" t="s">
        <v>110</v>
      </c>
      <c r="T506" s="26"/>
      <c r="U506" s="26"/>
      <c r="V506" s="26">
        <v>8</v>
      </c>
      <c r="W506" s="26">
        <f>X506-M506</f>
        <v>0</v>
      </c>
      <c r="X506" s="26">
        <v>54856</v>
      </c>
      <c r="Y506" s="26">
        <f>Z506-O506</f>
        <v>0</v>
      </c>
      <c r="Z506" s="26">
        <f>ROUNDDOWN(V506*X506,0)</f>
        <v>438848</v>
      </c>
      <c r="AA506" s="33" t="s">
        <v>15</v>
      </c>
      <c r="AB506" s="36" t="s">
        <v>16</v>
      </c>
      <c r="AG506" s="101"/>
      <c r="AH506" s="185">
        <v>54856</v>
      </c>
      <c r="AI506" s="69"/>
    </row>
  </sheetData>
  <autoFilter ref="A6:K503" xr:uid="{745AA45A-1115-4D12-8076-1F56B440D015}"/>
  <mergeCells count="13">
    <mergeCell ref="Z5:AA5"/>
    <mergeCell ref="A502:K502"/>
    <mergeCell ref="A1:K1"/>
    <mergeCell ref="A2:K2"/>
    <mergeCell ref="A3:K3"/>
    <mergeCell ref="Q3:AA3"/>
    <mergeCell ref="A4:K4"/>
    <mergeCell ref="Q4:AA4"/>
    <mergeCell ref="A503:K503"/>
    <mergeCell ref="A5:I5"/>
    <mergeCell ref="J5:K5"/>
    <mergeCell ref="M5:O5"/>
    <mergeCell ref="Q5:X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691F-72A2-4150-B457-6F494642F191}">
  <sheetPr>
    <tabColor theme="8" tint="0.39997558519241921"/>
  </sheetPr>
  <dimension ref="A1:AL506"/>
  <sheetViews>
    <sheetView view="pageBreakPreview" zoomScale="80" zoomScaleNormal="80" zoomScaleSheetLayoutView="80" workbookViewId="0">
      <pane ySplit="1470" topLeftCell="A430" activePane="bottomLeft"/>
      <selection activeCell="H6" sqref="H1:H1048576"/>
      <selection pane="bottomLeft" activeCell="H351" sqref="H351"/>
    </sheetView>
  </sheetViews>
  <sheetFormatPr defaultColWidth="8.5" defaultRowHeight="19.5" x14ac:dyDescent="0.3"/>
  <cols>
    <col min="1" max="1" width="5.25" style="72" customWidth="1"/>
    <col min="2" max="2" width="26.25" style="73" customWidth="1"/>
    <col min="3" max="3" width="5.5" style="73" customWidth="1"/>
    <col min="4" max="4" width="12.75" style="73" customWidth="1"/>
    <col min="5" max="5" width="14" style="73" customWidth="1"/>
    <col min="6" max="6" width="14.375" style="73" customWidth="1"/>
    <col min="7" max="7" width="10.75" style="73" customWidth="1"/>
    <col min="8" max="8" width="15.375" style="73" customWidth="1"/>
    <col min="9" max="9" width="14.75" style="73" customWidth="1"/>
    <col min="10" max="10" width="23" style="73" customWidth="1"/>
    <col min="11" max="11" width="10.875" style="73" customWidth="1"/>
    <col min="12" max="12" width="1.5" style="73" customWidth="1"/>
    <col min="13" max="15" width="11.5" style="2" customWidth="1"/>
    <col min="16" max="16" width="1.25" style="96" customWidth="1"/>
    <col min="17" max="17" width="4.25" style="3" hidden="1" customWidth="1"/>
    <col min="18" max="18" width="35.25" hidden="1" customWidth="1"/>
    <col min="19" max="19" width="5.75" hidden="1" customWidth="1"/>
    <col min="20" max="20" width="9" hidden="1" customWidth="1"/>
    <col min="21" max="21" width="9.375" hidden="1" customWidth="1"/>
    <col min="22" max="22" width="12" hidden="1" customWidth="1"/>
    <col min="23" max="23" width="11.375" customWidth="1"/>
    <col min="24" max="24" width="11.75" customWidth="1"/>
    <col min="25" max="25" width="12.875" customWidth="1"/>
    <col min="26" max="26" width="12" customWidth="1"/>
    <col min="27" max="27" width="5.25" style="34" customWidth="1"/>
    <col min="28" max="28" width="1.125" customWidth="1"/>
    <col min="29" max="32" width="1.125" style="181" customWidth="1"/>
    <col min="33" max="33" width="1.125" style="71" customWidth="1"/>
    <col min="34" max="34" width="16.5" style="185" customWidth="1"/>
    <col min="35" max="35" width="15.375" style="70" customWidth="1"/>
    <col min="36" max="36" width="8.375" style="70" customWidth="1"/>
    <col min="37" max="37" width="1.625" style="70" customWidth="1"/>
    <col min="38" max="38" width="16.375" style="70" bestFit="1" customWidth="1"/>
    <col min="39" max="224" width="8.5" style="70"/>
    <col min="225" max="225" width="5.25" style="70" customWidth="1"/>
    <col min="226" max="226" width="26.25" style="70" customWidth="1"/>
    <col min="227" max="227" width="5.5" style="70" customWidth="1"/>
    <col min="228" max="228" width="8.5" style="70"/>
    <col min="229" max="230" width="10.875" style="70" customWidth="1"/>
    <col min="231" max="231" width="15.25" style="70" customWidth="1"/>
    <col min="232" max="232" width="0.75" style="70" customWidth="1"/>
    <col min="233" max="235" width="0.625" style="70" customWidth="1"/>
    <col min="236" max="480" width="8.5" style="70"/>
    <col min="481" max="481" width="5.25" style="70" customWidth="1"/>
    <col min="482" max="482" width="26.25" style="70" customWidth="1"/>
    <col min="483" max="483" width="5.5" style="70" customWidth="1"/>
    <col min="484" max="484" width="8.5" style="70"/>
    <col min="485" max="486" width="10.875" style="70" customWidth="1"/>
    <col min="487" max="487" width="15.25" style="70" customWidth="1"/>
    <col min="488" max="488" width="0.75" style="70" customWidth="1"/>
    <col min="489" max="491" width="0.625" style="70" customWidth="1"/>
    <col min="492" max="736" width="8.5" style="70"/>
    <col min="737" max="737" width="5.25" style="70" customWidth="1"/>
    <col min="738" max="738" width="26.25" style="70" customWidth="1"/>
    <col min="739" max="739" width="5.5" style="70" customWidth="1"/>
    <col min="740" max="740" width="8.5" style="70"/>
    <col min="741" max="742" width="10.875" style="70" customWidth="1"/>
    <col min="743" max="743" width="15.25" style="70" customWidth="1"/>
    <col min="744" max="744" width="0.75" style="70" customWidth="1"/>
    <col min="745" max="747" width="0.625" style="70" customWidth="1"/>
    <col min="748" max="992" width="8.5" style="70"/>
    <col min="993" max="993" width="5.25" style="70" customWidth="1"/>
    <col min="994" max="994" width="26.25" style="70" customWidth="1"/>
    <col min="995" max="995" width="5.5" style="70" customWidth="1"/>
    <col min="996" max="996" width="8.5" style="70"/>
    <col min="997" max="998" width="10.875" style="70" customWidth="1"/>
    <col min="999" max="999" width="15.25" style="70" customWidth="1"/>
    <col min="1000" max="1000" width="0.75" style="70" customWidth="1"/>
    <col min="1001" max="1003" width="0.625" style="70" customWidth="1"/>
    <col min="1004" max="1248" width="8.5" style="70"/>
    <col min="1249" max="1249" width="5.25" style="70" customWidth="1"/>
    <col min="1250" max="1250" width="26.25" style="70" customWidth="1"/>
    <col min="1251" max="1251" width="5.5" style="70" customWidth="1"/>
    <col min="1252" max="1252" width="8.5" style="70"/>
    <col min="1253" max="1254" width="10.875" style="70" customWidth="1"/>
    <col min="1255" max="1255" width="15.25" style="70" customWidth="1"/>
    <col min="1256" max="1256" width="0.75" style="70" customWidth="1"/>
    <col min="1257" max="1259" width="0.625" style="70" customWidth="1"/>
    <col min="1260" max="1504" width="8.5" style="70"/>
    <col min="1505" max="1505" width="5.25" style="70" customWidth="1"/>
    <col min="1506" max="1506" width="26.25" style="70" customWidth="1"/>
    <col min="1507" max="1507" width="5.5" style="70" customWidth="1"/>
    <col min="1508" max="1508" width="8.5" style="70"/>
    <col min="1509" max="1510" width="10.875" style="70" customWidth="1"/>
    <col min="1511" max="1511" width="15.25" style="70" customWidth="1"/>
    <col min="1512" max="1512" width="0.75" style="70" customWidth="1"/>
    <col min="1513" max="1515" width="0.625" style="70" customWidth="1"/>
    <col min="1516" max="1760" width="8.5" style="70"/>
    <col min="1761" max="1761" width="5.25" style="70" customWidth="1"/>
    <col min="1762" max="1762" width="26.25" style="70" customWidth="1"/>
    <col min="1763" max="1763" width="5.5" style="70" customWidth="1"/>
    <col min="1764" max="1764" width="8.5" style="70"/>
    <col min="1765" max="1766" width="10.875" style="70" customWidth="1"/>
    <col min="1767" max="1767" width="15.25" style="70" customWidth="1"/>
    <col min="1768" max="1768" width="0.75" style="70" customWidth="1"/>
    <col min="1769" max="1771" width="0.625" style="70" customWidth="1"/>
    <col min="1772" max="2016" width="8.5" style="70"/>
    <col min="2017" max="2017" width="5.25" style="70" customWidth="1"/>
    <col min="2018" max="2018" width="26.25" style="70" customWidth="1"/>
    <col min="2019" max="2019" width="5.5" style="70" customWidth="1"/>
    <col min="2020" max="2020" width="8.5" style="70"/>
    <col min="2021" max="2022" width="10.875" style="70" customWidth="1"/>
    <col min="2023" max="2023" width="15.25" style="70" customWidth="1"/>
    <col min="2024" max="2024" width="0.75" style="70" customWidth="1"/>
    <col min="2025" max="2027" width="0.625" style="70" customWidth="1"/>
    <col min="2028" max="2272" width="8.5" style="70"/>
    <col min="2273" max="2273" width="5.25" style="70" customWidth="1"/>
    <col min="2274" max="2274" width="26.25" style="70" customWidth="1"/>
    <col min="2275" max="2275" width="5.5" style="70" customWidth="1"/>
    <col min="2276" max="2276" width="8.5" style="70"/>
    <col min="2277" max="2278" width="10.875" style="70" customWidth="1"/>
    <col min="2279" max="2279" width="15.25" style="70" customWidth="1"/>
    <col min="2280" max="2280" width="0.75" style="70" customWidth="1"/>
    <col min="2281" max="2283" width="0.625" style="70" customWidth="1"/>
    <col min="2284" max="2528" width="8.5" style="70"/>
    <col min="2529" max="2529" width="5.25" style="70" customWidth="1"/>
    <col min="2530" max="2530" width="26.25" style="70" customWidth="1"/>
    <col min="2531" max="2531" width="5.5" style="70" customWidth="1"/>
    <col min="2532" max="2532" width="8.5" style="70"/>
    <col min="2533" max="2534" width="10.875" style="70" customWidth="1"/>
    <col min="2535" max="2535" width="15.25" style="70" customWidth="1"/>
    <col min="2536" max="2536" width="0.75" style="70" customWidth="1"/>
    <col min="2537" max="2539" width="0.625" style="70" customWidth="1"/>
    <col min="2540" max="2784" width="8.5" style="70"/>
    <col min="2785" max="2785" width="5.25" style="70" customWidth="1"/>
    <col min="2786" max="2786" width="26.25" style="70" customWidth="1"/>
    <col min="2787" max="2787" width="5.5" style="70" customWidth="1"/>
    <col min="2788" max="2788" width="8.5" style="70"/>
    <col min="2789" max="2790" width="10.875" style="70" customWidth="1"/>
    <col min="2791" max="2791" width="15.25" style="70" customWidth="1"/>
    <col min="2792" max="2792" width="0.75" style="70" customWidth="1"/>
    <col min="2793" max="2795" width="0.625" style="70" customWidth="1"/>
    <col min="2796" max="3040" width="8.5" style="70"/>
    <col min="3041" max="3041" width="5.25" style="70" customWidth="1"/>
    <col min="3042" max="3042" width="26.25" style="70" customWidth="1"/>
    <col min="3043" max="3043" width="5.5" style="70" customWidth="1"/>
    <col min="3044" max="3044" width="8.5" style="70"/>
    <col min="3045" max="3046" width="10.875" style="70" customWidth="1"/>
    <col min="3047" max="3047" width="15.25" style="70" customWidth="1"/>
    <col min="3048" max="3048" width="0.75" style="70" customWidth="1"/>
    <col min="3049" max="3051" width="0.625" style="70" customWidth="1"/>
    <col min="3052" max="3296" width="8.5" style="70"/>
    <col min="3297" max="3297" width="5.25" style="70" customWidth="1"/>
    <col min="3298" max="3298" width="26.25" style="70" customWidth="1"/>
    <col min="3299" max="3299" width="5.5" style="70" customWidth="1"/>
    <col min="3300" max="3300" width="8.5" style="70"/>
    <col min="3301" max="3302" width="10.875" style="70" customWidth="1"/>
    <col min="3303" max="3303" width="15.25" style="70" customWidth="1"/>
    <col min="3304" max="3304" width="0.75" style="70" customWidth="1"/>
    <col min="3305" max="3307" width="0.625" style="70" customWidth="1"/>
    <col min="3308" max="3552" width="8.5" style="70"/>
    <col min="3553" max="3553" width="5.25" style="70" customWidth="1"/>
    <col min="3554" max="3554" width="26.25" style="70" customWidth="1"/>
    <col min="3555" max="3555" width="5.5" style="70" customWidth="1"/>
    <col min="3556" max="3556" width="8.5" style="70"/>
    <col min="3557" max="3558" width="10.875" style="70" customWidth="1"/>
    <col min="3559" max="3559" width="15.25" style="70" customWidth="1"/>
    <col min="3560" max="3560" width="0.75" style="70" customWidth="1"/>
    <col min="3561" max="3563" width="0.625" style="70" customWidth="1"/>
    <col min="3564" max="3808" width="8.5" style="70"/>
    <col min="3809" max="3809" width="5.25" style="70" customWidth="1"/>
    <col min="3810" max="3810" width="26.25" style="70" customWidth="1"/>
    <col min="3811" max="3811" width="5.5" style="70" customWidth="1"/>
    <col min="3812" max="3812" width="8.5" style="70"/>
    <col min="3813" max="3814" width="10.875" style="70" customWidth="1"/>
    <col min="3815" max="3815" width="15.25" style="70" customWidth="1"/>
    <col min="3816" max="3816" width="0.75" style="70" customWidth="1"/>
    <col min="3817" max="3819" width="0.625" style="70" customWidth="1"/>
    <col min="3820" max="4064" width="8.5" style="70"/>
    <col min="4065" max="4065" width="5.25" style="70" customWidth="1"/>
    <col min="4066" max="4066" width="26.25" style="70" customWidth="1"/>
    <col min="4067" max="4067" width="5.5" style="70" customWidth="1"/>
    <col min="4068" max="4068" width="8.5" style="70"/>
    <col min="4069" max="4070" width="10.875" style="70" customWidth="1"/>
    <col min="4071" max="4071" width="15.25" style="70" customWidth="1"/>
    <col min="4072" max="4072" width="0.75" style="70" customWidth="1"/>
    <col min="4073" max="4075" width="0.625" style="70" customWidth="1"/>
    <col min="4076" max="4320" width="8.5" style="70"/>
    <col min="4321" max="4321" width="5.25" style="70" customWidth="1"/>
    <col min="4322" max="4322" width="26.25" style="70" customWidth="1"/>
    <col min="4323" max="4323" width="5.5" style="70" customWidth="1"/>
    <col min="4324" max="4324" width="8.5" style="70"/>
    <col min="4325" max="4326" width="10.875" style="70" customWidth="1"/>
    <col min="4327" max="4327" width="15.25" style="70" customWidth="1"/>
    <col min="4328" max="4328" width="0.75" style="70" customWidth="1"/>
    <col min="4329" max="4331" width="0.625" style="70" customWidth="1"/>
    <col min="4332" max="4576" width="8.5" style="70"/>
    <col min="4577" max="4577" width="5.25" style="70" customWidth="1"/>
    <col min="4578" max="4578" width="26.25" style="70" customWidth="1"/>
    <col min="4579" max="4579" width="5.5" style="70" customWidth="1"/>
    <col min="4580" max="4580" width="8.5" style="70"/>
    <col min="4581" max="4582" width="10.875" style="70" customWidth="1"/>
    <col min="4583" max="4583" width="15.25" style="70" customWidth="1"/>
    <col min="4584" max="4584" width="0.75" style="70" customWidth="1"/>
    <col min="4585" max="4587" width="0.625" style="70" customWidth="1"/>
    <col min="4588" max="4832" width="8.5" style="70"/>
    <col min="4833" max="4833" width="5.25" style="70" customWidth="1"/>
    <col min="4834" max="4834" width="26.25" style="70" customWidth="1"/>
    <col min="4835" max="4835" width="5.5" style="70" customWidth="1"/>
    <col min="4836" max="4836" width="8.5" style="70"/>
    <col min="4837" max="4838" width="10.875" style="70" customWidth="1"/>
    <col min="4839" max="4839" width="15.25" style="70" customWidth="1"/>
    <col min="4840" max="4840" width="0.75" style="70" customWidth="1"/>
    <col min="4841" max="4843" width="0.625" style="70" customWidth="1"/>
    <col min="4844" max="5088" width="8.5" style="70"/>
    <col min="5089" max="5089" width="5.25" style="70" customWidth="1"/>
    <col min="5090" max="5090" width="26.25" style="70" customWidth="1"/>
    <col min="5091" max="5091" width="5.5" style="70" customWidth="1"/>
    <col min="5092" max="5092" width="8.5" style="70"/>
    <col min="5093" max="5094" width="10.875" style="70" customWidth="1"/>
    <col min="5095" max="5095" width="15.25" style="70" customWidth="1"/>
    <col min="5096" max="5096" width="0.75" style="70" customWidth="1"/>
    <col min="5097" max="5099" width="0.625" style="70" customWidth="1"/>
    <col min="5100" max="5344" width="8.5" style="70"/>
    <col min="5345" max="5345" width="5.25" style="70" customWidth="1"/>
    <col min="5346" max="5346" width="26.25" style="70" customWidth="1"/>
    <col min="5347" max="5347" width="5.5" style="70" customWidth="1"/>
    <col min="5348" max="5348" width="8.5" style="70"/>
    <col min="5349" max="5350" width="10.875" style="70" customWidth="1"/>
    <col min="5351" max="5351" width="15.25" style="70" customWidth="1"/>
    <col min="5352" max="5352" width="0.75" style="70" customWidth="1"/>
    <col min="5353" max="5355" width="0.625" style="70" customWidth="1"/>
    <col min="5356" max="5600" width="8.5" style="70"/>
    <col min="5601" max="5601" width="5.25" style="70" customWidth="1"/>
    <col min="5602" max="5602" width="26.25" style="70" customWidth="1"/>
    <col min="5603" max="5603" width="5.5" style="70" customWidth="1"/>
    <col min="5604" max="5604" width="8.5" style="70"/>
    <col min="5605" max="5606" width="10.875" style="70" customWidth="1"/>
    <col min="5607" max="5607" width="15.25" style="70" customWidth="1"/>
    <col min="5608" max="5608" width="0.75" style="70" customWidth="1"/>
    <col min="5609" max="5611" width="0.625" style="70" customWidth="1"/>
    <col min="5612" max="5856" width="8.5" style="70"/>
    <col min="5857" max="5857" width="5.25" style="70" customWidth="1"/>
    <col min="5858" max="5858" width="26.25" style="70" customWidth="1"/>
    <col min="5859" max="5859" width="5.5" style="70" customWidth="1"/>
    <col min="5860" max="5860" width="8.5" style="70"/>
    <col min="5861" max="5862" width="10.875" style="70" customWidth="1"/>
    <col min="5863" max="5863" width="15.25" style="70" customWidth="1"/>
    <col min="5864" max="5864" width="0.75" style="70" customWidth="1"/>
    <col min="5865" max="5867" width="0.625" style="70" customWidth="1"/>
    <col min="5868" max="6112" width="8.5" style="70"/>
    <col min="6113" max="6113" width="5.25" style="70" customWidth="1"/>
    <col min="6114" max="6114" width="26.25" style="70" customWidth="1"/>
    <col min="6115" max="6115" width="5.5" style="70" customWidth="1"/>
    <col min="6116" max="6116" width="8.5" style="70"/>
    <col min="6117" max="6118" width="10.875" style="70" customWidth="1"/>
    <col min="6119" max="6119" width="15.25" style="70" customWidth="1"/>
    <col min="6120" max="6120" width="0.75" style="70" customWidth="1"/>
    <col min="6121" max="6123" width="0.625" style="70" customWidth="1"/>
    <col min="6124" max="6368" width="8.5" style="70"/>
    <col min="6369" max="6369" width="5.25" style="70" customWidth="1"/>
    <col min="6370" max="6370" width="26.25" style="70" customWidth="1"/>
    <col min="6371" max="6371" width="5.5" style="70" customWidth="1"/>
    <col min="6372" max="6372" width="8.5" style="70"/>
    <col min="6373" max="6374" width="10.875" style="70" customWidth="1"/>
    <col min="6375" max="6375" width="15.25" style="70" customWidth="1"/>
    <col min="6376" max="6376" width="0.75" style="70" customWidth="1"/>
    <col min="6377" max="6379" width="0.625" style="70" customWidth="1"/>
    <col min="6380" max="6624" width="8.5" style="70"/>
    <col min="6625" max="6625" width="5.25" style="70" customWidth="1"/>
    <col min="6626" max="6626" width="26.25" style="70" customWidth="1"/>
    <col min="6627" max="6627" width="5.5" style="70" customWidth="1"/>
    <col min="6628" max="6628" width="8.5" style="70"/>
    <col min="6629" max="6630" width="10.875" style="70" customWidth="1"/>
    <col min="6631" max="6631" width="15.25" style="70" customWidth="1"/>
    <col min="6632" max="6632" width="0.75" style="70" customWidth="1"/>
    <col min="6633" max="6635" width="0.625" style="70" customWidth="1"/>
    <col min="6636" max="6880" width="8.5" style="70"/>
    <col min="6881" max="6881" width="5.25" style="70" customWidth="1"/>
    <col min="6882" max="6882" width="26.25" style="70" customWidth="1"/>
    <col min="6883" max="6883" width="5.5" style="70" customWidth="1"/>
    <col min="6884" max="6884" width="8.5" style="70"/>
    <col min="6885" max="6886" width="10.875" style="70" customWidth="1"/>
    <col min="6887" max="6887" width="15.25" style="70" customWidth="1"/>
    <col min="6888" max="6888" width="0.75" style="70" customWidth="1"/>
    <col min="6889" max="6891" width="0.625" style="70" customWidth="1"/>
    <col min="6892" max="7136" width="8.5" style="70"/>
    <col min="7137" max="7137" width="5.25" style="70" customWidth="1"/>
    <col min="7138" max="7138" width="26.25" style="70" customWidth="1"/>
    <col min="7139" max="7139" width="5.5" style="70" customWidth="1"/>
    <col min="7140" max="7140" width="8.5" style="70"/>
    <col min="7141" max="7142" width="10.875" style="70" customWidth="1"/>
    <col min="7143" max="7143" width="15.25" style="70" customWidth="1"/>
    <col min="7144" max="7144" width="0.75" style="70" customWidth="1"/>
    <col min="7145" max="7147" width="0.625" style="70" customWidth="1"/>
    <col min="7148" max="7392" width="8.5" style="70"/>
    <col min="7393" max="7393" width="5.25" style="70" customWidth="1"/>
    <col min="7394" max="7394" width="26.25" style="70" customWidth="1"/>
    <col min="7395" max="7395" width="5.5" style="70" customWidth="1"/>
    <col min="7396" max="7396" width="8.5" style="70"/>
    <col min="7397" max="7398" width="10.875" style="70" customWidth="1"/>
    <col min="7399" max="7399" width="15.25" style="70" customWidth="1"/>
    <col min="7400" max="7400" width="0.75" style="70" customWidth="1"/>
    <col min="7401" max="7403" width="0.625" style="70" customWidth="1"/>
    <col min="7404" max="7648" width="8.5" style="70"/>
    <col min="7649" max="7649" width="5.25" style="70" customWidth="1"/>
    <col min="7650" max="7650" width="26.25" style="70" customWidth="1"/>
    <col min="7651" max="7651" width="5.5" style="70" customWidth="1"/>
    <col min="7652" max="7652" width="8.5" style="70"/>
    <col min="7653" max="7654" width="10.875" style="70" customWidth="1"/>
    <col min="7655" max="7655" width="15.25" style="70" customWidth="1"/>
    <col min="7656" max="7656" width="0.75" style="70" customWidth="1"/>
    <col min="7657" max="7659" width="0.625" style="70" customWidth="1"/>
    <col min="7660" max="7904" width="8.5" style="70"/>
    <col min="7905" max="7905" width="5.25" style="70" customWidth="1"/>
    <col min="7906" max="7906" width="26.25" style="70" customWidth="1"/>
    <col min="7907" max="7907" width="5.5" style="70" customWidth="1"/>
    <col min="7908" max="7908" width="8.5" style="70"/>
    <col min="7909" max="7910" width="10.875" style="70" customWidth="1"/>
    <col min="7911" max="7911" width="15.25" style="70" customWidth="1"/>
    <col min="7912" max="7912" width="0.75" style="70" customWidth="1"/>
    <col min="7913" max="7915" width="0.625" style="70" customWidth="1"/>
    <col min="7916" max="8160" width="8.5" style="70"/>
    <col min="8161" max="8161" width="5.25" style="70" customWidth="1"/>
    <col min="8162" max="8162" width="26.25" style="70" customWidth="1"/>
    <col min="8163" max="8163" width="5.5" style="70" customWidth="1"/>
    <col min="8164" max="8164" width="8.5" style="70"/>
    <col min="8165" max="8166" width="10.875" style="70" customWidth="1"/>
    <col min="8167" max="8167" width="15.25" style="70" customWidth="1"/>
    <col min="8168" max="8168" width="0.75" style="70" customWidth="1"/>
    <col min="8169" max="8171" width="0.625" style="70" customWidth="1"/>
    <col min="8172" max="8416" width="8.5" style="70"/>
    <col min="8417" max="8417" width="5.25" style="70" customWidth="1"/>
    <col min="8418" max="8418" width="26.25" style="70" customWidth="1"/>
    <col min="8419" max="8419" width="5.5" style="70" customWidth="1"/>
    <col min="8420" max="8420" width="8.5" style="70"/>
    <col min="8421" max="8422" width="10.875" style="70" customWidth="1"/>
    <col min="8423" max="8423" width="15.25" style="70" customWidth="1"/>
    <col min="8424" max="8424" width="0.75" style="70" customWidth="1"/>
    <col min="8425" max="8427" width="0.625" style="70" customWidth="1"/>
    <col min="8428" max="8672" width="8.5" style="70"/>
    <col min="8673" max="8673" width="5.25" style="70" customWidth="1"/>
    <col min="8674" max="8674" width="26.25" style="70" customWidth="1"/>
    <col min="8675" max="8675" width="5.5" style="70" customWidth="1"/>
    <col min="8676" max="8676" width="8.5" style="70"/>
    <col min="8677" max="8678" width="10.875" style="70" customWidth="1"/>
    <col min="8679" max="8679" width="15.25" style="70" customWidth="1"/>
    <col min="8680" max="8680" width="0.75" style="70" customWidth="1"/>
    <col min="8681" max="8683" width="0.625" style="70" customWidth="1"/>
    <col min="8684" max="8928" width="8.5" style="70"/>
    <col min="8929" max="8929" width="5.25" style="70" customWidth="1"/>
    <col min="8930" max="8930" width="26.25" style="70" customWidth="1"/>
    <col min="8931" max="8931" width="5.5" style="70" customWidth="1"/>
    <col min="8932" max="8932" width="8.5" style="70"/>
    <col min="8933" max="8934" width="10.875" style="70" customWidth="1"/>
    <col min="8935" max="8935" width="15.25" style="70" customWidth="1"/>
    <col min="8936" max="8936" width="0.75" style="70" customWidth="1"/>
    <col min="8937" max="8939" width="0.625" style="70" customWidth="1"/>
    <col min="8940" max="9184" width="8.5" style="70"/>
    <col min="9185" max="9185" width="5.25" style="70" customWidth="1"/>
    <col min="9186" max="9186" width="26.25" style="70" customWidth="1"/>
    <col min="9187" max="9187" width="5.5" style="70" customWidth="1"/>
    <col min="9188" max="9188" width="8.5" style="70"/>
    <col min="9189" max="9190" width="10.875" style="70" customWidth="1"/>
    <col min="9191" max="9191" width="15.25" style="70" customWidth="1"/>
    <col min="9192" max="9192" width="0.75" style="70" customWidth="1"/>
    <col min="9193" max="9195" width="0.625" style="70" customWidth="1"/>
    <col min="9196" max="9440" width="8.5" style="70"/>
    <col min="9441" max="9441" width="5.25" style="70" customWidth="1"/>
    <col min="9442" max="9442" width="26.25" style="70" customWidth="1"/>
    <col min="9443" max="9443" width="5.5" style="70" customWidth="1"/>
    <col min="9444" max="9444" width="8.5" style="70"/>
    <col min="9445" max="9446" width="10.875" style="70" customWidth="1"/>
    <col min="9447" max="9447" width="15.25" style="70" customWidth="1"/>
    <col min="9448" max="9448" width="0.75" style="70" customWidth="1"/>
    <col min="9449" max="9451" width="0.625" style="70" customWidth="1"/>
    <col min="9452" max="9696" width="8.5" style="70"/>
    <col min="9697" max="9697" width="5.25" style="70" customWidth="1"/>
    <col min="9698" max="9698" width="26.25" style="70" customWidth="1"/>
    <col min="9699" max="9699" width="5.5" style="70" customWidth="1"/>
    <col min="9700" max="9700" width="8.5" style="70"/>
    <col min="9701" max="9702" width="10.875" style="70" customWidth="1"/>
    <col min="9703" max="9703" width="15.25" style="70" customWidth="1"/>
    <col min="9704" max="9704" width="0.75" style="70" customWidth="1"/>
    <col min="9705" max="9707" width="0.625" style="70" customWidth="1"/>
    <col min="9708" max="9952" width="8.5" style="70"/>
    <col min="9953" max="9953" width="5.25" style="70" customWidth="1"/>
    <col min="9954" max="9954" width="26.25" style="70" customWidth="1"/>
    <col min="9955" max="9955" width="5.5" style="70" customWidth="1"/>
    <col min="9956" max="9956" width="8.5" style="70"/>
    <col min="9957" max="9958" width="10.875" style="70" customWidth="1"/>
    <col min="9959" max="9959" width="15.25" style="70" customWidth="1"/>
    <col min="9960" max="9960" width="0.75" style="70" customWidth="1"/>
    <col min="9961" max="9963" width="0.625" style="70" customWidth="1"/>
    <col min="9964" max="10208" width="8.5" style="70"/>
    <col min="10209" max="10209" width="5.25" style="70" customWidth="1"/>
    <col min="10210" max="10210" width="26.25" style="70" customWidth="1"/>
    <col min="10211" max="10211" width="5.5" style="70" customWidth="1"/>
    <col min="10212" max="10212" width="8.5" style="70"/>
    <col min="10213" max="10214" width="10.875" style="70" customWidth="1"/>
    <col min="10215" max="10215" width="15.25" style="70" customWidth="1"/>
    <col min="10216" max="10216" width="0.75" style="70" customWidth="1"/>
    <col min="10217" max="10219" width="0.625" style="70" customWidth="1"/>
    <col min="10220" max="10464" width="8.5" style="70"/>
    <col min="10465" max="10465" width="5.25" style="70" customWidth="1"/>
    <col min="10466" max="10466" width="26.25" style="70" customWidth="1"/>
    <col min="10467" max="10467" width="5.5" style="70" customWidth="1"/>
    <col min="10468" max="10468" width="8.5" style="70"/>
    <col min="10469" max="10470" width="10.875" style="70" customWidth="1"/>
    <col min="10471" max="10471" width="15.25" style="70" customWidth="1"/>
    <col min="10472" max="10472" width="0.75" style="70" customWidth="1"/>
    <col min="10473" max="10475" width="0.625" style="70" customWidth="1"/>
    <col min="10476" max="10720" width="8.5" style="70"/>
    <col min="10721" max="10721" width="5.25" style="70" customWidth="1"/>
    <col min="10722" max="10722" width="26.25" style="70" customWidth="1"/>
    <col min="10723" max="10723" width="5.5" style="70" customWidth="1"/>
    <col min="10724" max="10724" width="8.5" style="70"/>
    <col min="10725" max="10726" width="10.875" style="70" customWidth="1"/>
    <col min="10727" max="10727" width="15.25" style="70" customWidth="1"/>
    <col min="10728" max="10728" width="0.75" style="70" customWidth="1"/>
    <col min="10729" max="10731" width="0.625" style="70" customWidth="1"/>
    <col min="10732" max="10976" width="8.5" style="70"/>
    <col min="10977" max="10977" width="5.25" style="70" customWidth="1"/>
    <col min="10978" max="10978" width="26.25" style="70" customWidth="1"/>
    <col min="10979" max="10979" width="5.5" style="70" customWidth="1"/>
    <col min="10980" max="10980" width="8.5" style="70"/>
    <col min="10981" max="10982" width="10.875" style="70" customWidth="1"/>
    <col min="10983" max="10983" width="15.25" style="70" customWidth="1"/>
    <col min="10984" max="10984" width="0.75" style="70" customWidth="1"/>
    <col min="10985" max="10987" width="0.625" style="70" customWidth="1"/>
    <col min="10988" max="11232" width="8.5" style="70"/>
    <col min="11233" max="11233" width="5.25" style="70" customWidth="1"/>
    <col min="11234" max="11234" width="26.25" style="70" customWidth="1"/>
    <col min="11235" max="11235" width="5.5" style="70" customWidth="1"/>
    <col min="11236" max="11236" width="8.5" style="70"/>
    <col min="11237" max="11238" width="10.875" style="70" customWidth="1"/>
    <col min="11239" max="11239" width="15.25" style="70" customWidth="1"/>
    <col min="11240" max="11240" width="0.75" style="70" customWidth="1"/>
    <col min="11241" max="11243" width="0.625" style="70" customWidth="1"/>
    <col min="11244" max="11488" width="8.5" style="70"/>
    <col min="11489" max="11489" width="5.25" style="70" customWidth="1"/>
    <col min="11490" max="11490" width="26.25" style="70" customWidth="1"/>
    <col min="11491" max="11491" width="5.5" style="70" customWidth="1"/>
    <col min="11492" max="11492" width="8.5" style="70"/>
    <col min="11493" max="11494" width="10.875" style="70" customWidth="1"/>
    <col min="11495" max="11495" width="15.25" style="70" customWidth="1"/>
    <col min="11496" max="11496" width="0.75" style="70" customWidth="1"/>
    <col min="11497" max="11499" width="0.625" style="70" customWidth="1"/>
    <col min="11500" max="11744" width="8.5" style="70"/>
    <col min="11745" max="11745" width="5.25" style="70" customWidth="1"/>
    <col min="11746" max="11746" width="26.25" style="70" customWidth="1"/>
    <col min="11747" max="11747" width="5.5" style="70" customWidth="1"/>
    <col min="11748" max="11748" width="8.5" style="70"/>
    <col min="11749" max="11750" width="10.875" style="70" customWidth="1"/>
    <col min="11751" max="11751" width="15.25" style="70" customWidth="1"/>
    <col min="11752" max="11752" width="0.75" style="70" customWidth="1"/>
    <col min="11753" max="11755" width="0.625" style="70" customWidth="1"/>
    <col min="11756" max="12000" width="8.5" style="70"/>
    <col min="12001" max="12001" width="5.25" style="70" customWidth="1"/>
    <col min="12002" max="12002" width="26.25" style="70" customWidth="1"/>
    <col min="12003" max="12003" width="5.5" style="70" customWidth="1"/>
    <col min="12004" max="12004" width="8.5" style="70"/>
    <col min="12005" max="12006" width="10.875" style="70" customWidth="1"/>
    <col min="12007" max="12007" width="15.25" style="70" customWidth="1"/>
    <col min="12008" max="12008" width="0.75" style="70" customWidth="1"/>
    <col min="12009" max="12011" width="0.625" style="70" customWidth="1"/>
    <col min="12012" max="12256" width="8.5" style="70"/>
    <col min="12257" max="12257" width="5.25" style="70" customWidth="1"/>
    <col min="12258" max="12258" width="26.25" style="70" customWidth="1"/>
    <col min="12259" max="12259" width="5.5" style="70" customWidth="1"/>
    <col min="12260" max="12260" width="8.5" style="70"/>
    <col min="12261" max="12262" width="10.875" style="70" customWidth="1"/>
    <col min="12263" max="12263" width="15.25" style="70" customWidth="1"/>
    <col min="12264" max="12264" width="0.75" style="70" customWidth="1"/>
    <col min="12265" max="12267" width="0.625" style="70" customWidth="1"/>
    <col min="12268" max="12512" width="8.5" style="70"/>
    <col min="12513" max="12513" width="5.25" style="70" customWidth="1"/>
    <col min="12514" max="12514" width="26.25" style="70" customWidth="1"/>
    <col min="12515" max="12515" width="5.5" style="70" customWidth="1"/>
    <col min="12516" max="12516" width="8.5" style="70"/>
    <col min="12517" max="12518" width="10.875" style="70" customWidth="1"/>
    <col min="12519" max="12519" width="15.25" style="70" customWidth="1"/>
    <col min="12520" max="12520" width="0.75" style="70" customWidth="1"/>
    <col min="12521" max="12523" width="0.625" style="70" customWidth="1"/>
    <col min="12524" max="12768" width="8.5" style="70"/>
    <col min="12769" max="12769" width="5.25" style="70" customWidth="1"/>
    <col min="12770" max="12770" width="26.25" style="70" customWidth="1"/>
    <col min="12771" max="12771" width="5.5" style="70" customWidth="1"/>
    <col min="12772" max="12772" width="8.5" style="70"/>
    <col min="12773" max="12774" width="10.875" style="70" customWidth="1"/>
    <col min="12775" max="12775" width="15.25" style="70" customWidth="1"/>
    <col min="12776" max="12776" width="0.75" style="70" customWidth="1"/>
    <col min="12777" max="12779" width="0.625" style="70" customWidth="1"/>
    <col min="12780" max="13024" width="8.5" style="70"/>
    <col min="13025" max="13025" width="5.25" style="70" customWidth="1"/>
    <col min="13026" max="13026" width="26.25" style="70" customWidth="1"/>
    <col min="13027" max="13027" width="5.5" style="70" customWidth="1"/>
    <col min="13028" max="13028" width="8.5" style="70"/>
    <col min="13029" max="13030" width="10.875" style="70" customWidth="1"/>
    <col min="13031" max="13031" width="15.25" style="70" customWidth="1"/>
    <col min="13032" max="13032" width="0.75" style="70" customWidth="1"/>
    <col min="13033" max="13035" width="0.625" style="70" customWidth="1"/>
    <col min="13036" max="13280" width="8.5" style="70"/>
    <col min="13281" max="13281" width="5.25" style="70" customWidth="1"/>
    <col min="13282" max="13282" width="26.25" style="70" customWidth="1"/>
    <col min="13283" max="13283" width="5.5" style="70" customWidth="1"/>
    <col min="13284" max="13284" width="8.5" style="70"/>
    <col min="13285" max="13286" width="10.875" style="70" customWidth="1"/>
    <col min="13287" max="13287" width="15.25" style="70" customWidth="1"/>
    <col min="13288" max="13288" width="0.75" style="70" customWidth="1"/>
    <col min="13289" max="13291" width="0.625" style="70" customWidth="1"/>
    <col min="13292" max="13536" width="8.5" style="70"/>
    <col min="13537" max="13537" width="5.25" style="70" customWidth="1"/>
    <col min="13538" max="13538" width="26.25" style="70" customWidth="1"/>
    <col min="13539" max="13539" width="5.5" style="70" customWidth="1"/>
    <col min="13540" max="13540" width="8.5" style="70"/>
    <col min="13541" max="13542" width="10.875" style="70" customWidth="1"/>
    <col min="13543" max="13543" width="15.25" style="70" customWidth="1"/>
    <col min="13544" max="13544" width="0.75" style="70" customWidth="1"/>
    <col min="13545" max="13547" width="0.625" style="70" customWidth="1"/>
    <col min="13548" max="13792" width="8.5" style="70"/>
    <col min="13793" max="13793" width="5.25" style="70" customWidth="1"/>
    <col min="13794" max="13794" width="26.25" style="70" customWidth="1"/>
    <col min="13795" max="13795" width="5.5" style="70" customWidth="1"/>
    <col min="13796" max="13796" width="8.5" style="70"/>
    <col min="13797" max="13798" width="10.875" style="70" customWidth="1"/>
    <col min="13799" max="13799" width="15.25" style="70" customWidth="1"/>
    <col min="13800" max="13800" width="0.75" style="70" customWidth="1"/>
    <col min="13801" max="13803" width="0.625" style="70" customWidth="1"/>
    <col min="13804" max="14048" width="8.5" style="70"/>
    <col min="14049" max="14049" width="5.25" style="70" customWidth="1"/>
    <col min="14050" max="14050" width="26.25" style="70" customWidth="1"/>
    <col min="14051" max="14051" width="5.5" style="70" customWidth="1"/>
    <col min="14052" max="14052" width="8.5" style="70"/>
    <col min="14053" max="14054" width="10.875" style="70" customWidth="1"/>
    <col min="14055" max="14055" width="15.25" style="70" customWidth="1"/>
    <col min="14056" max="14056" width="0.75" style="70" customWidth="1"/>
    <col min="14057" max="14059" width="0.625" style="70" customWidth="1"/>
    <col min="14060" max="14304" width="8.5" style="70"/>
    <col min="14305" max="14305" width="5.25" style="70" customWidth="1"/>
    <col min="14306" max="14306" width="26.25" style="70" customWidth="1"/>
    <col min="14307" max="14307" width="5.5" style="70" customWidth="1"/>
    <col min="14308" max="14308" width="8.5" style="70"/>
    <col min="14309" max="14310" width="10.875" style="70" customWidth="1"/>
    <col min="14311" max="14311" width="15.25" style="70" customWidth="1"/>
    <col min="14312" max="14312" width="0.75" style="70" customWidth="1"/>
    <col min="14313" max="14315" width="0.625" style="70" customWidth="1"/>
    <col min="14316" max="14560" width="8.5" style="70"/>
    <col min="14561" max="14561" width="5.25" style="70" customWidth="1"/>
    <col min="14562" max="14562" width="26.25" style="70" customWidth="1"/>
    <col min="14563" max="14563" width="5.5" style="70" customWidth="1"/>
    <col min="14564" max="14564" width="8.5" style="70"/>
    <col min="14565" max="14566" width="10.875" style="70" customWidth="1"/>
    <col min="14567" max="14567" width="15.25" style="70" customWidth="1"/>
    <col min="14568" max="14568" width="0.75" style="70" customWidth="1"/>
    <col min="14569" max="14571" width="0.625" style="70" customWidth="1"/>
    <col min="14572" max="14816" width="8.5" style="70"/>
    <col min="14817" max="14817" width="5.25" style="70" customWidth="1"/>
    <col min="14818" max="14818" width="26.25" style="70" customWidth="1"/>
    <col min="14819" max="14819" width="5.5" style="70" customWidth="1"/>
    <col min="14820" max="14820" width="8.5" style="70"/>
    <col min="14821" max="14822" width="10.875" style="70" customWidth="1"/>
    <col min="14823" max="14823" width="15.25" style="70" customWidth="1"/>
    <col min="14824" max="14824" width="0.75" style="70" customWidth="1"/>
    <col min="14825" max="14827" width="0.625" style="70" customWidth="1"/>
    <col min="14828" max="15072" width="8.5" style="70"/>
    <col min="15073" max="15073" width="5.25" style="70" customWidth="1"/>
    <col min="15074" max="15074" width="26.25" style="70" customWidth="1"/>
    <col min="15075" max="15075" width="5.5" style="70" customWidth="1"/>
    <col min="15076" max="15076" width="8.5" style="70"/>
    <col min="15077" max="15078" width="10.875" style="70" customWidth="1"/>
    <col min="15079" max="15079" width="15.25" style="70" customWidth="1"/>
    <col min="15080" max="15080" width="0.75" style="70" customWidth="1"/>
    <col min="15081" max="15083" width="0.625" style="70" customWidth="1"/>
    <col min="15084" max="15328" width="8.5" style="70"/>
    <col min="15329" max="15329" width="5.25" style="70" customWidth="1"/>
    <col min="15330" max="15330" width="26.25" style="70" customWidth="1"/>
    <col min="15331" max="15331" width="5.5" style="70" customWidth="1"/>
    <col min="15332" max="15332" width="8.5" style="70"/>
    <col min="15333" max="15334" width="10.875" style="70" customWidth="1"/>
    <col min="15335" max="15335" width="15.25" style="70" customWidth="1"/>
    <col min="15336" max="15336" width="0.75" style="70" customWidth="1"/>
    <col min="15337" max="15339" width="0.625" style="70" customWidth="1"/>
    <col min="15340" max="15584" width="8.5" style="70"/>
    <col min="15585" max="15585" width="5.25" style="70" customWidth="1"/>
    <col min="15586" max="15586" width="26.25" style="70" customWidth="1"/>
    <col min="15587" max="15587" width="5.5" style="70" customWidth="1"/>
    <col min="15588" max="15588" width="8.5" style="70"/>
    <col min="15589" max="15590" width="10.875" style="70" customWidth="1"/>
    <col min="15591" max="15591" width="15.25" style="70" customWidth="1"/>
    <col min="15592" max="15592" width="0.75" style="70" customWidth="1"/>
    <col min="15593" max="15595" width="0.625" style="70" customWidth="1"/>
    <col min="15596" max="15840" width="8.5" style="70"/>
    <col min="15841" max="15841" width="5.25" style="70" customWidth="1"/>
    <col min="15842" max="15842" width="26.25" style="70" customWidth="1"/>
    <col min="15843" max="15843" width="5.5" style="70" customWidth="1"/>
    <col min="15844" max="15844" width="8.5" style="70"/>
    <col min="15845" max="15846" width="10.875" style="70" customWidth="1"/>
    <col min="15847" max="15847" width="15.25" style="70" customWidth="1"/>
    <col min="15848" max="15848" width="0.75" style="70" customWidth="1"/>
    <col min="15849" max="15851" width="0.625" style="70" customWidth="1"/>
    <col min="15852" max="16096" width="8.5" style="70"/>
    <col min="16097" max="16097" width="5.25" style="70" customWidth="1"/>
    <col min="16098" max="16098" width="26.25" style="70" customWidth="1"/>
    <col min="16099" max="16099" width="5.5" style="70" customWidth="1"/>
    <col min="16100" max="16100" width="8.5" style="70"/>
    <col min="16101" max="16102" width="10.875" style="70" customWidth="1"/>
    <col min="16103" max="16103" width="15.25" style="70" customWidth="1"/>
    <col min="16104" max="16104" width="0.75" style="70" customWidth="1"/>
    <col min="16105" max="16107" width="0.625" style="70" customWidth="1"/>
    <col min="16108" max="16384" width="8.5" style="70"/>
  </cols>
  <sheetData>
    <row r="1" spans="1:38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47"/>
      <c r="W1" s="99"/>
      <c r="X1" s="99"/>
      <c r="Y1" s="99"/>
      <c r="Z1" s="99"/>
      <c r="AA1" s="100"/>
    </row>
    <row r="2" spans="1:38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47"/>
    </row>
    <row r="3" spans="1:38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47"/>
      <c r="Q3" s="386" t="s">
        <v>0</v>
      </c>
      <c r="R3" s="387"/>
      <c r="S3" s="387"/>
      <c r="T3" s="387"/>
      <c r="U3" s="387"/>
      <c r="V3" s="387"/>
      <c r="W3" s="387"/>
      <c r="X3" s="387"/>
      <c r="Y3" s="387"/>
      <c r="Z3" s="387"/>
      <c r="AA3" s="387"/>
    </row>
    <row r="4" spans="1:38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48"/>
      <c r="Q4" s="389">
        <v>25</v>
      </c>
      <c r="R4" s="387"/>
      <c r="S4" s="387"/>
      <c r="T4" s="387"/>
      <c r="U4" s="387"/>
      <c r="V4" s="387"/>
      <c r="W4" s="387"/>
      <c r="X4" s="387"/>
      <c r="Y4" s="387"/>
      <c r="Z4" s="387"/>
      <c r="AA4" s="387"/>
    </row>
    <row r="5" spans="1:38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93" t="s">
        <v>4</v>
      </c>
      <c r="K5" s="393"/>
      <c r="L5" s="74"/>
      <c r="M5" s="394" t="s">
        <v>3155</v>
      </c>
      <c r="N5" s="394"/>
      <c r="O5" s="394"/>
      <c r="P5" s="96"/>
      <c r="Q5" s="395" t="s">
        <v>2</v>
      </c>
      <c r="R5" s="396"/>
      <c r="S5" s="396"/>
      <c r="T5" s="396"/>
      <c r="U5" s="396"/>
      <c r="V5" s="396"/>
      <c r="W5" s="396"/>
      <c r="X5" s="396"/>
      <c r="Y5" s="4" t="s">
        <v>1361</v>
      </c>
      <c r="Z5" s="380">
        <v>45930</v>
      </c>
      <c r="AA5" s="381"/>
      <c r="AB5"/>
      <c r="AC5" s="181"/>
      <c r="AD5" s="181"/>
      <c r="AE5" s="181"/>
      <c r="AF5" s="181"/>
    </row>
    <row r="6" spans="1:38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1" t="s">
        <v>9</v>
      </c>
      <c r="J6" s="51" t="s">
        <v>3068</v>
      </c>
      <c r="K6" s="50" t="s">
        <v>11</v>
      </c>
      <c r="L6" s="47"/>
      <c r="M6" s="1" t="s">
        <v>1423</v>
      </c>
      <c r="N6" s="1" t="s">
        <v>1424</v>
      </c>
      <c r="O6" s="1" t="s">
        <v>1425</v>
      </c>
      <c r="P6" s="97"/>
      <c r="Q6" s="5" t="s">
        <v>5</v>
      </c>
      <c r="R6" s="6" t="s">
        <v>1362</v>
      </c>
      <c r="S6" s="6" t="s">
        <v>7</v>
      </c>
      <c r="T6" s="6" t="s">
        <v>1363</v>
      </c>
      <c r="U6" s="6" t="s">
        <v>1364</v>
      </c>
      <c r="V6" s="6" t="s">
        <v>1365</v>
      </c>
      <c r="W6" s="6" t="s">
        <v>1366</v>
      </c>
      <c r="X6" s="214" t="s">
        <v>1367</v>
      </c>
      <c r="Y6" s="214" t="s">
        <v>1368</v>
      </c>
      <c r="Z6" s="214" t="s">
        <v>1369</v>
      </c>
      <c r="AA6" s="7" t="s">
        <v>1370</v>
      </c>
      <c r="AB6" s="36"/>
      <c r="AH6" s="222">
        <f>AJ7</f>
        <v>0.85101300000000002</v>
      </c>
      <c r="AI6" s="104">
        <f>AJ9</f>
        <v>3.8588345194609769E-2</v>
      </c>
      <c r="AJ6" s="197" t="s">
        <v>1513</v>
      </c>
      <c r="AL6" s="68" t="s">
        <v>3110</v>
      </c>
    </row>
    <row r="7" spans="1:38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>
        <v>383773907</v>
      </c>
      <c r="K7" s="53" t="s">
        <v>15</v>
      </c>
      <c r="L7" s="73"/>
      <c r="M7" s="39">
        <v>1</v>
      </c>
      <c r="N7" s="39">
        <v>8807399.9999999721</v>
      </c>
      <c r="O7" s="39">
        <v>311787400</v>
      </c>
      <c r="P7" s="98"/>
      <c r="Q7" s="8" t="s">
        <v>12</v>
      </c>
      <c r="R7" s="9" t="s">
        <v>13</v>
      </c>
      <c r="S7" s="10" t="s">
        <v>14</v>
      </c>
      <c r="T7" s="11">
        <v>1</v>
      </c>
      <c r="U7" s="11"/>
      <c r="V7" s="11">
        <f>V8+V377+V407+V447+V451+V472+V492+V495+V496+V498</f>
        <v>383773907</v>
      </c>
      <c r="W7" s="11">
        <f>IF(Y7=0,0,1)</f>
        <v>1</v>
      </c>
      <c r="X7" s="11">
        <f>IF(Z7=0,0,1)</f>
        <v>1</v>
      </c>
      <c r="Y7" s="11">
        <f>Y8+Y377+Y407+Y447+Y451+Y472+Y492+Y495+Y496+Y498</f>
        <v>14809200.000000067</v>
      </c>
      <c r="Z7" s="11">
        <f>ROUNDDOWN((Z8+Z377+Z407+Z447+Z451+Z472+Z492+Z496+Z498+(Z8+Z377+Z407+Z447+Z451+Z472+Z492)*0.1095000004)/1000,1)*1000</f>
        <v>326596600</v>
      </c>
      <c r="AA7" s="12" t="s">
        <v>15</v>
      </c>
      <c r="AB7" s="232"/>
      <c r="AC7" s="182"/>
      <c r="AD7" s="182"/>
      <c r="AE7" s="182"/>
      <c r="AF7" s="182"/>
      <c r="AG7" s="101"/>
      <c r="AH7" s="187"/>
      <c r="AI7" s="126">
        <f>V7</f>
        <v>383773907</v>
      </c>
      <c r="AJ7" s="201">
        <f>ROUND(Z7/AI7,6)</f>
        <v>0.85101300000000002</v>
      </c>
    </row>
    <row r="8" spans="1:38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>
        <v>291889770.98000002</v>
      </c>
      <c r="K8" s="86" t="s">
        <v>15</v>
      </c>
      <c r="L8" s="73"/>
      <c r="M8" s="42">
        <v>1</v>
      </c>
      <c r="N8" s="42">
        <v>6673329.5599999987</v>
      </c>
      <c r="O8" s="42">
        <v>234218253.86000004</v>
      </c>
      <c r="P8" s="98"/>
      <c r="Q8" s="13" t="s">
        <v>1371</v>
      </c>
      <c r="R8" s="14" t="s">
        <v>18</v>
      </c>
      <c r="S8" s="15" t="s">
        <v>14</v>
      </c>
      <c r="T8" s="16">
        <v>1</v>
      </c>
      <c r="U8" s="16"/>
      <c r="V8" s="16">
        <f>V9+V38+V133+V177+V202+V220+V237+V327+V369</f>
        <v>291889770.98000008</v>
      </c>
      <c r="W8" s="16">
        <f t="shared" ref="W8:X9" si="0">IF(Y8=0,0,1)</f>
        <v>1</v>
      </c>
      <c r="X8" s="16">
        <f t="shared" si="0"/>
        <v>1</v>
      </c>
      <c r="Y8" s="16">
        <f>Y9+Y38+Y133+Y177+Y202+Y220+Y237+Y327+Y369</f>
        <v>12250192.640000001</v>
      </c>
      <c r="Z8" s="16">
        <f>Z9+Z38+Z133+Z177+Z202+Z220+Z237+Z327+Z369</f>
        <v>246468446.49999997</v>
      </c>
      <c r="AA8" s="17" t="s">
        <v>15</v>
      </c>
      <c r="AB8" s="40" t="s">
        <v>16</v>
      </c>
      <c r="AC8" s="183"/>
      <c r="AD8" s="183"/>
      <c r="AE8" s="183"/>
      <c r="AF8" s="183"/>
      <c r="AG8" s="101"/>
      <c r="AH8" s="188"/>
      <c r="AJ8" s="124" t="s">
        <v>1514</v>
      </c>
    </row>
    <row r="9" spans="1:38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>
        <v>90137193.75</v>
      </c>
      <c r="K9" s="80" t="s">
        <v>15</v>
      </c>
      <c r="L9" s="73"/>
      <c r="M9" s="45">
        <v>1</v>
      </c>
      <c r="N9" s="45">
        <v>767318.18999999983</v>
      </c>
      <c r="O9" s="45">
        <v>76469239.710000008</v>
      </c>
      <c r="P9" s="98"/>
      <c r="Q9" s="18" t="s">
        <v>1372</v>
      </c>
      <c r="R9" s="19" t="s">
        <v>20</v>
      </c>
      <c r="S9" s="20" t="s">
        <v>14</v>
      </c>
      <c r="T9" s="21">
        <v>1</v>
      </c>
      <c r="U9" s="21"/>
      <c r="V9" s="21">
        <f>SUMIFS(AD:AD,AE:AE,AE9)</f>
        <v>90137193.75000003</v>
      </c>
      <c r="W9" s="21">
        <f t="shared" si="0"/>
        <v>1</v>
      </c>
      <c r="X9" s="21">
        <f t="shared" si="0"/>
        <v>1</v>
      </c>
      <c r="Y9" s="21">
        <f>SUMIFS(Y:Y,AF:AF,AE9)</f>
        <v>2260174.2999999993</v>
      </c>
      <c r="Z9" s="21">
        <f>SUMIFS(Z:Z,AF:AF,AE9)</f>
        <v>78729414.010000005</v>
      </c>
      <c r="AA9" s="22" t="s">
        <v>15</v>
      </c>
      <c r="AB9" s="43" t="s">
        <v>16</v>
      </c>
      <c r="AC9" s="184">
        <f>IF(U9=0,T9,U9)</f>
        <v>1</v>
      </c>
      <c r="AD9" s="184"/>
      <c r="AE9" s="181">
        <v>1.1000000000000001</v>
      </c>
      <c r="AF9" s="181"/>
      <c r="AG9" s="101"/>
      <c r="AH9" s="189" t="s">
        <v>3061</v>
      </c>
      <c r="AJ9" s="125">
        <f>Y7/AI7</f>
        <v>3.8588345194609769E-2</v>
      </c>
      <c r="AL9" s="101" t="s">
        <v>3062</v>
      </c>
    </row>
    <row r="10" spans="1:38" s="69" customFormat="1" ht="39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 t="s">
        <v>15</v>
      </c>
      <c r="I10" s="75">
        <v>193.12</v>
      </c>
      <c r="J10" s="75">
        <v>105184.74</v>
      </c>
      <c r="K10" s="91" t="s">
        <v>24</v>
      </c>
      <c r="L10" s="73"/>
      <c r="M10" s="46">
        <v>408.7</v>
      </c>
      <c r="N10" s="46">
        <v>0</v>
      </c>
      <c r="O10" s="46">
        <v>78928.14</v>
      </c>
      <c r="P10" s="98"/>
      <c r="Q10" s="23" t="s">
        <v>1421</v>
      </c>
      <c r="R10" s="24" t="s">
        <v>22</v>
      </c>
      <c r="S10" s="25" t="s">
        <v>23</v>
      </c>
      <c r="T10" s="26">
        <v>544.66</v>
      </c>
      <c r="U10" s="26">
        <v>544.66</v>
      </c>
      <c r="V10" s="26">
        <v>193.12</v>
      </c>
      <c r="W10" s="127">
        <f>AH10-M10</f>
        <v>0</v>
      </c>
      <c r="X10" s="127">
        <f>W10+M10</f>
        <v>408.7</v>
      </c>
      <c r="Y10" s="127">
        <f t="shared" ref="Y10:Y37" si="1">Z10-O10</f>
        <v>0</v>
      </c>
      <c r="Z10" s="127">
        <f>ROUND(V10*X10,2)</f>
        <v>78928.14</v>
      </c>
      <c r="AA10" s="33" t="s">
        <v>15</v>
      </c>
      <c r="AB10" s="36" t="s">
        <v>16</v>
      </c>
      <c r="AC10" s="181">
        <f>IF(U10="",T10,U10)</f>
        <v>544.66</v>
      </c>
      <c r="AD10" s="181">
        <f t="shared" ref="AD10:AD37" si="2">ROUND(V10*AC10,2)</f>
        <v>105184.74</v>
      </c>
      <c r="AE10" s="181">
        <v>1.1000000000000001</v>
      </c>
      <c r="AF10" s="181">
        <v>1.1000000000000001</v>
      </c>
      <c r="AG10" s="101" t="str">
        <f>IF(X10&gt;AI10,"超估","")</f>
        <v/>
      </c>
      <c r="AH10" s="192">
        <v>408.7</v>
      </c>
      <c r="AI10" s="69">
        <f>IF(G10=0,IF(F10=0,IF(E10=0,D10,E10),F10),G10)</f>
        <v>544.66</v>
      </c>
    </row>
    <row r="11" spans="1:38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 t="s">
        <v>15</v>
      </c>
      <c r="I11" s="75">
        <v>1046.22</v>
      </c>
      <c r="J11" s="75">
        <v>7417092.9900000002</v>
      </c>
      <c r="K11" s="91" t="s">
        <v>27</v>
      </c>
      <c r="L11" s="73"/>
      <c r="M11" s="46">
        <v>6798.3099999999995</v>
      </c>
      <c r="N11" s="46">
        <v>242409.1799999997</v>
      </c>
      <c r="O11" s="46">
        <v>7112527.8899999997</v>
      </c>
      <c r="P11" s="98"/>
      <c r="Q11" s="23" t="s">
        <v>1426</v>
      </c>
      <c r="R11" s="24" t="s">
        <v>26</v>
      </c>
      <c r="S11" s="25" t="s">
        <v>23</v>
      </c>
      <c r="T11" s="26">
        <v>7089.42</v>
      </c>
      <c r="U11" s="26">
        <v>7089.42</v>
      </c>
      <c r="V11" s="26">
        <v>1046.22</v>
      </c>
      <c r="W11" s="243">
        <f>AH11-M11</f>
        <v>0</v>
      </c>
      <c r="X11" s="26">
        <f t="shared" ref="X11:X74" si="3">W11+M11</f>
        <v>6798.3099999999995</v>
      </c>
      <c r="Y11" s="26">
        <f t="shared" si="1"/>
        <v>0</v>
      </c>
      <c r="Z11" s="26">
        <f t="shared" ref="Z11:Z74" si="4">ROUND(V11*X11,2)</f>
        <v>7112527.8899999997</v>
      </c>
      <c r="AA11" s="33" t="s">
        <v>15</v>
      </c>
      <c r="AB11" s="36" t="s">
        <v>16</v>
      </c>
      <c r="AC11" s="181">
        <f t="shared" ref="AC11:AC74" si="5">IF(U11="",T11,U11)</f>
        <v>7089.42</v>
      </c>
      <c r="AD11" s="181">
        <f t="shared" si="2"/>
        <v>7417092.9900000002</v>
      </c>
      <c r="AE11" s="181">
        <v>1.1000000000000001</v>
      </c>
      <c r="AF11" s="181">
        <v>1.1000000000000001</v>
      </c>
      <c r="AG11" s="101" t="str">
        <f t="shared" ref="AG11:AG74" si="6">IF(X11&gt;AI11,"超估","")</f>
        <v/>
      </c>
      <c r="AH11" s="191">
        <f>6531.11+35.5+231.7</f>
        <v>6798.3099999999995</v>
      </c>
      <c r="AI11" s="69">
        <f t="shared" ref="AI11:AI74" si="7">IF(G11=0,IF(F11=0,IF(E11=0,D11,E11),F11),G11)</f>
        <v>7089.42</v>
      </c>
    </row>
    <row r="12" spans="1:38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 t="s">
        <v>15</v>
      </c>
      <c r="I12" s="75">
        <v>6200</v>
      </c>
      <c r="J12" s="75">
        <v>28619200</v>
      </c>
      <c r="K12" s="91" t="s">
        <v>31</v>
      </c>
      <c r="L12" s="73"/>
      <c r="M12" s="46">
        <v>4610.7</v>
      </c>
      <c r="N12" s="46">
        <v>0</v>
      </c>
      <c r="O12" s="46">
        <v>28586340</v>
      </c>
      <c r="P12" s="98"/>
      <c r="Q12" s="23" t="s">
        <v>1402</v>
      </c>
      <c r="R12" s="24" t="s">
        <v>29</v>
      </c>
      <c r="S12" s="25" t="s">
        <v>30</v>
      </c>
      <c r="T12" s="26">
        <v>4616</v>
      </c>
      <c r="U12" s="26">
        <v>4616</v>
      </c>
      <c r="V12" s="26">
        <v>6200</v>
      </c>
      <c r="W12" s="127">
        <f t="shared" ref="W12:W75" si="8">AH12-M12</f>
        <v>0</v>
      </c>
      <c r="X12" s="127">
        <f t="shared" si="3"/>
        <v>4610.7</v>
      </c>
      <c r="Y12" s="127">
        <f t="shared" si="1"/>
        <v>0</v>
      </c>
      <c r="Z12" s="127">
        <f t="shared" si="4"/>
        <v>28586340</v>
      </c>
      <c r="AA12" s="33" t="s">
        <v>15</v>
      </c>
      <c r="AB12" s="36" t="s">
        <v>16</v>
      </c>
      <c r="AC12" s="181">
        <f t="shared" si="5"/>
        <v>4616</v>
      </c>
      <c r="AD12" s="181">
        <f t="shared" si="2"/>
        <v>28619200</v>
      </c>
      <c r="AE12" s="181">
        <v>1.1000000000000001</v>
      </c>
      <c r="AF12" s="181">
        <v>1.1000000000000001</v>
      </c>
      <c r="AG12" s="101" t="str">
        <f t="shared" si="6"/>
        <v/>
      </c>
      <c r="AH12" s="192">
        <v>4610.7</v>
      </c>
      <c r="AI12" s="69">
        <f t="shared" si="7"/>
        <v>4616</v>
      </c>
    </row>
    <row r="13" spans="1:38" s="69" customFormat="1" ht="58.5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 t="s">
        <v>15</v>
      </c>
      <c r="I13" s="75">
        <v>48.28</v>
      </c>
      <c r="J13" s="75">
        <v>1533324.52</v>
      </c>
      <c r="K13" s="91" t="s">
        <v>35</v>
      </c>
      <c r="L13" s="73"/>
      <c r="M13" s="46">
        <v>29358.399999999998</v>
      </c>
      <c r="N13" s="46">
        <v>20065.170000000158</v>
      </c>
      <c r="O13" s="46">
        <v>1417423.55</v>
      </c>
      <c r="P13" s="98"/>
      <c r="Q13" s="23" t="s">
        <v>1373</v>
      </c>
      <c r="R13" s="24" t="s">
        <v>33</v>
      </c>
      <c r="S13" s="25" t="s">
        <v>34</v>
      </c>
      <c r="T13" s="26">
        <v>29759</v>
      </c>
      <c r="U13" s="26">
        <v>31759</v>
      </c>
      <c r="V13" s="26">
        <v>48.28</v>
      </c>
      <c r="W13" s="243">
        <f>AH13-M13</f>
        <v>325.59999999999854</v>
      </c>
      <c r="X13" s="127">
        <f>W13+M13</f>
        <v>29683.999999999996</v>
      </c>
      <c r="Y13" s="127">
        <f t="shared" si="1"/>
        <v>15719.969999999972</v>
      </c>
      <c r="Z13" s="127">
        <f t="shared" si="4"/>
        <v>1433143.52</v>
      </c>
      <c r="AA13" s="27" t="s">
        <v>15</v>
      </c>
      <c r="AB13" s="36" t="s">
        <v>16</v>
      </c>
      <c r="AC13" s="181">
        <f t="shared" si="5"/>
        <v>31759</v>
      </c>
      <c r="AD13" s="181">
        <f t="shared" si="2"/>
        <v>1533324.52</v>
      </c>
      <c r="AE13" s="181">
        <v>1.1000000000000001</v>
      </c>
      <c r="AF13" s="181">
        <v>1.1000000000000001</v>
      </c>
      <c r="AG13" s="101" t="str">
        <f t="shared" si="6"/>
        <v/>
      </c>
      <c r="AH13" s="191">
        <f>28942.8+415.6+325.6</f>
        <v>29683.999999999996</v>
      </c>
      <c r="AI13" s="69">
        <f t="shared" si="7"/>
        <v>31759</v>
      </c>
    </row>
    <row r="14" spans="1:38" s="69" customFormat="1" ht="39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 t="s">
        <v>15</v>
      </c>
      <c r="I14" s="75">
        <v>599.75</v>
      </c>
      <c r="J14" s="75">
        <v>438681.14</v>
      </c>
      <c r="K14" s="91" t="s">
        <v>38</v>
      </c>
      <c r="L14" s="73"/>
      <c r="M14" s="46">
        <v>731.43999999999994</v>
      </c>
      <c r="N14" s="46">
        <v>0</v>
      </c>
      <c r="O14" s="46">
        <v>438681.14</v>
      </c>
      <c r="P14" s="98"/>
      <c r="Q14" s="23" t="s">
        <v>1393</v>
      </c>
      <c r="R14" s="24" t="s">
        <v>37</v>
      </c>
      <c r="S14" s="25" t="s">
        <v>23</v>
      </c>
      <c r="T14" s="26">
        <v>731.44</v>
      </c>
      <c r="U14" s="26">
        <v>731.44</v>
      </c>
      <c r="V14" s="26">
        <v>599.75</v>
      </c>
      <c r="W14" s="209">
        <f t="shared" si="8"/>
        <v>0</v>
      </c>
      <c r="X14" s="127">
        <f t="shared" si="3"/>
        <v>731.43999999999994</v>
      </c>
      <c r="Y14" s="127">
        <f t="shared" si="1"/>
        <v>0</v>
      </c>
      <c r="Z14" s="127">
        <f t="shared" si="4"/>
        <v>438681.14</v>
      </c>
      <c r="AA14" s="33" t="s">
        <v>15</v>
      </c>
      <c r="AB14" s="36" t="s">
        <v>16</v>
      </c>
      <c r="AC14" s="181">
        <f t="shared" si="5"/>
        <v>731.44</v>
      </c>
      <c r="AD14" s="181">
        <f t="shared" si="2"/>
        <v>438681.14</v>
      </c>
      <c r="AE14" s="181">
        <v>1.1000000000000001</v>
      </c>
      <c r="AF14" s="181">
        <v>1.1000000000000001</v>
      </c>
      <c r="AG14" s="101" t="str">
        <f t="shared" si="6"/>
        <v/>
      </c>
      <c r="AH14" s="191">
        <f>519.43+212.01</f>
        <v>731.43999999999994</v>
      </c>
      <c r="AI14" s="69">
        <f t="shared" si="7"/>
        <v>731.44</v>
      </c>
    </row>
    <row r="15" spans="1:38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 t="s">
        <v>15</v>
      </c>
      <c r="I15" s="75">
        <v>104.64</v>
      </c>
      <c r="J15" s="75">
        <v>786788.16</v>
      </c>
      <c r="K15" s="91" t="s">
        <v>41</v>
      </c>
      <c r="L15" s="73"/>
      <c r="M15" s="46">
        <v>2471.6</v>
      </c>
      <c r="N15" s="46">
        <v>26432.059999999998</v>
      </c>
      <c r="O15" s="46">
        <v>258628.22</v>
      </c>
      <c r="P15" s="98"/>
      <c r="Q15" s="23" t="s">
        <v>1403</v>
      </c>
      <c r="R15" s="24" t="s">
        <v>40</v>
      </c>
      <c r="S15" s="25" t="s">
        <v>23</v>
      </c>
      <c r="T15" s="26">
        <v>7519</v>
      </c>
      <c r="U15" s="26">
        <v>7519</v>
      </c>
      <c r="V15" s="26">
        <v>104.64</v>
      </c>
      <c r="W15" s="243">
        <f t="shared" si="8"/>
        <v>0</v>
      </c>
      <c r="X15" s="127">
        <f t="shared" si="3"/>
        <v>2471.6</v>
      </c>
      <c r="Y15" s="127">
        <f t="shared" si="1"/>
        <v>0</v>
      </c>
      <c r="Z15" s="127">
        <f t="shared" si="4"/>
        <v>258628.22</v>
      </c>
      <c r="AA15" s="33" t="s">
        <v>15</v>
      </c>
      <c r="AB15" s="36" t="s">
        <v>16</v>
      </c>
      <c r="AC15" s="181">
        <f t="shared" si="5"/>
        <v>7519</v>
      </c>
      <c r="AD15" s="181">
        <f t="shared" si="2"/>
        <v>786788.16</v>
      </c>
      <c r="AE15" s="181">
        <v>1.1000000000000001</v>
      </c>
      <c r="AF15" s="181">
        <v>1.1000000000000001</v>
      </c>
      <c r="AG15" s="101" t="str">
        <f t="shared" si="6"/>
        <v/>
      </c>
      <c r="AH15" s="191">
        <f>2219+252.6</f>
        <v>2471.6</v>
      </c>
      <c r="AI15" s="69">
        <f t="shared" si="7"/>
        <v>7519</v>
      </c>
    </row>
    <row r="16" spans="1:38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 t="s">
        <v>15</v>
      </c>
      <c r="I16" s="75">
        <v>1027.43</v>
      </c>
      <c r="J16" s="75">
        <v>22850043.199999999</v>
      </c>
      <c r="K16" s="91" t="s">
        <v>44</v>
      </c>
      <c r="L16" s="73"/>
      <c r="M16" s="46">
        <v>19090</v>
      </c>
      <c r="N16" s="46">
        <v>0</v>
      </c>
      <c r="O16" s="46">
        <v>19613638.699999999</v>
      </c>
      <c r="P16" s="98"/>
      <c r="Q16" s="23" t="s">
        <v>1427</v>
      </c>
      <c r="R16" s="24" t="s">
        <v>43</v>
      </c>
      <c r="S16" s="25" t="s">
        <v>34</v>
      </c>
      <c r="T16" s="26">
        <v>22240</v>
      </c>
      <c r="U16" s="26">
        <v>22240</v>
      </c>
      <c r="V16" s="26">
        <v>1027.43</v>
      </c>
      <c r="W16" s="243">
        <f t="shared" si="8"/>
        <v>1152</v>
      </c>
      <c r="X16" s="121">
        <f t="shared" si="3"/>
        <v>20242</v>
      </c>
      <c r="Y16" s="127">
        <f t="shared" si="1"/>
        <v>1183599.3599999994</v>
      </c>
      <c r="Z16" s="127">
        <f t="shared" si="4"/>
        <v>20797238.059999999</v>
      </c>
      <c r="AA16" s="33" t="s">
        <v>15</v>
      </c>
      <c r="AB16" s="36" t="s">
        <v>16</v>
      </c>
      <c r="AC16" s="181">
        <f t="shared" si="5"/>
        <v>22240</v>
      </c>
      <c r="AD16" s="181">
        <f t="shared" si="2"/>
        <v>22850043.199999999</v>
      </c>
      <c r="AE16" s="181">
        <v>1.1000000000000001</v>
      </c>
      <c r="AF16" s="181">
        <v>1.1000000000000001</v>
      </c>
      <c r="AG16" s="101" t="str">
        <f t="shared" si="6"/>
        <v/>
      </c>
      <c r="AH16" s="193">
        <f>19090+12*96</f>
        <v>20242</v>
      </c>
      <c r="AI16" s="69">
        <f t="shared" si="7"/>
        <v>22240</v>
      </c>
    </row>
    <row r="17" spans="1:35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 t="s">
        <v>15</v>
      </c>
      <c r="I17" s="75">
        <v>1085.04</v>
      </c>
      <c r="J17" s="75">
        <v>7302774.9199999999</v>
      </c>
      <c r="K17" s="91" t="s">
        <v>47</v>
      </c>
      <c r="L17" s="73"/>
      <c r="M17" s="46">
        <v>4956</v>
      </c>
      <c r="N17" s="46">
        <v>0</v>
      </c>
      <c r="O17" s="46">
        <v>5377458.2400000002</v>
      </c>
      <c r="P17" s="98"/>
      <c r="Q17" s="23" t="s">
        <v>1428</v>
      </c>
      <c r="R17" s="24" t="s">
        <v>46</v>
      </c>
      <c r="S17" s="25" t="s">
        <v>23</v>
      </c>
      <c r="T17" s="26">
        <v>6730.42</v>
      </c>
      <c r="U17" s="26">
        <v>6730.42</v>
      </c>
      <c r="V17" s="26">
        <v>1085.04</v>
      </c>
      <c r="W17" s="127">
        <f t="shared" si="8"/>
        <v>0</v>
      </c>
      <c r="X17" s="121">
        <f t="shared" si="3"/>
        <v>4956</v>
      </c>
      <c r="Y17" s="127">
        <f t="shared" si="1"/>
        <v>0</v>
      </c>
      <c r="Z17" s="127">
        <f t="shared" si="4"/>
        <v>5377458.2400000002</v>
      </c>
      <c r="AA17" s="33" t="s">
        <v>15</v>
      </c>
      <c r="AB17" s="36" t="s">
        <v>16</v>
      </c>
      <c r="AC17" s="181">
        <f t="shared" si="5"/>
        <v>6730.42</v>
      </c>
      <c r="AD17" s="181">
        <f t="shared" si="2"/>
        <v>7302774.9199999999</v>
      </c>
      <c r="AE17" s="181">
        <v>1.1000000000000001</v>
      </c>
      <c r="AF17" s="181">
        <v>1.1000000000000001</v>
      </c>
      <c r="AG17" s="101" t="str">
        <f t="shared" si="6"/>
        <v/>
      </c>
      <c r="AH17" s="190">
        <v>4956</v>
      </c>
      <c r="AI17" s="69">
        <f t="shared" si="7"/>
        <v>6730.42</v>
      </c>
    </row>
    <row r="18" spans="1:35" s="69" customFormat="1" ht="78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 t="s">
        <v>15</v>
      </c>
      <c r="I18" s="75">
        <v>30.45</v>
      </c>
      <c r="J18" s="75">
        <v>113745.98</v>
      </c>
      <c r="K18" s="91" t="s">
        <v>51</v>
      </c>
      <c r="L18" s="73"/>
      <c r="M18" s="46">
        <v>2100</v>
      </c>
      <c r="N18" s="46">
        <v>0</v>
      </c>
      <c r="O18" s="46">
        <v>63945</v>
      </c>
      <c r="P18" s="98"/>
      <c r="Q18" s="23" t="s">
        <v>1387</v>
      </c>
      <c r="R18" s="24" t="s">
        <v>49</v>
      </c>
      <c r="S18" s="25" t="s">
        <v>50</v>
      </c>
      <c r="T18" s="26">
        <v>3735.5</v>
      </c>
      <c r="U18" s="26">
        <v>3735.5</v>
      </c>
      <c r="V18" s="26">
        <v>30.45</v>
      </c>
      <c r="W18" s="243">
        <f t="shared" si="8"/>
        <v>1623.1999999999998</v>
      </c>
      <c r="X18" s="127">
        <f t="shared" si="3"/>
        <v>3723.2</v>
      </c>
      <c r="Y18" s="127">
        <f t="shared" si="1"/>
        <v>49426.44</v>
      </c>
      <c r="Z18" s="127">
        <f t="shared" si="4"/>
        <v>113371.44</v>
      </c>
      <c r="AA18" s="33" t="s">
        <v>15</v>
      </c>
      <c r="AB18" s="36" t="s">
        <v>16</v>
      </c>
      <c r="AC18" s="181">
        <f t="shared" si="5"/>
        <v>3735.5</v>
      </c>
      <c r="AD18" s="181">
        <f t="shared" si="2"/>
        <v>113745.98</v>
      </c>
      <c r="AE18" s="181">
        <v>1.1000000000000001</v>
      </c>
      <c r="AF18" s="181">
        <v>1.1000000000000001</v>
      </c>
      <c r="AG18" s="101" t="str">
        <f t="shared" si="6"/>
        <v/>
      </c>
      <c r="AH18" s="191">
        <f>2100+1623.2</f>
        <v>3723.2</v>
      </c>
      <c r="AI18" s="69">
        <f t="shared" si="7"/>
        <v>3735.5</v>
      </c>
    </row>
    <row r="19" spans="1:35" s="69" customFormat="1" ht="58.5" x14ac:dyDescent="0.3">
      <c r="A19" s="55" t="s">
        <v>52</v>
      </c>
      <c r="B19" s="53" t="s">
        <v>53</v>
      </c>
      <c r="C19" s="54" t="s">
        <v>50</v>
      </c>
      <c r="D19" s="75">
        <v>10205</v>
      </c>
      <c r="E19" s="75"/>
      <c r="F19" s="75"/>
      <c r="G19" s="75"/>
      <c r="H19" s="75" t="s">
        <v>15</v>
      </c>
      <c r="I19" s="75">
        <v>28.48</v>
      </c>
      <c r="J19" s="75">
        <v>290638.40000000002</v>
      </c>
      <c r="K19" s="91" t="s">
        <v>54</v>
      </c>
      <c r="L19" s="73"/>
      <c r="M19" s="46">
        <v>3535</v>
      </c>
      <c r="N19" s="46">
        <v>24811.78</v>
      </c>
      <c r="O19" s="46">
        <v>100676.8</v>
      </c>
      <c r="P19" s="255"/>
      <c r="Q19" s="23" t="s">
        <v>1405</v>
      </c>
      <c r="R19" s="24" t="s">
        <v>53</v>
      </c>
      <c r="S19" s="25" t="s">
        <v>50</v>
      </c>
      <c r="T19" s="26">
        <v>10205</v>
      </c>
      <c r="U19" s="26">
        <v>10205</v>
      </c>
      <c r="V19" s="26">
        <v>28.48</v>
      </c>
      <c r="W19" s="199">
        <f t="shared" si="8"/>
        <v>4389.7999999999993</v>
      </c>
      <c r="X19" s="26">
        <f t="shared" si="3"/>
        <v>7924.7999999999993</v>
      </c>
      <c r="Y19" s="26">
        <f t="shared" si="1"/>
        <v>125021.49999999999</v>
      </c>
      <c r="Z19" s="26">
        <f t="shared" si="4"/>
        <v>225698.3</v>
      </c>
      <c r="AA19" s="33" t="s">
        <v>15</v>
      </c>
      <c r="AB19" s="36" t="s">
        <v>16</v>
      </c>
      <c r="AC19" s="181">
        <f t="shared" si="5"/>
        <v>10205</v>
      </c>
      <c r="AD19" s="181">
        <f t="shared" si="2"/>
        <v>290638.40000000002</v>
      </c>
      <c r="AE19" s="181">
        <v>1.1000000000000001</v>
      </c>
      <c r="AF19" s="181">
        <v>1.1000000000000001</v>
      </c>
      <c r="AG19" s="101" t="str">
        <f t="shared" si="6"/>
        <v/>
      </c>
      <c r="AH19" s="191">
        <f>300+2363.8+198*2.2*2+128*2.2*2+3826.6</f>
        <v>7924.7999999999993</v>
      </c>
      <c r="AI19" s="69">
        <f t="shared" si="7"/>
        <v>10205</v>
      </c>
    </row>
    <row r="20" spans="1:35" s="69" customFormat="1" ht="58.5" x14ac:dyDescent="0.3">
      <c r="A20" s="130" t="s">
        <v>55</v>
      </c>
      <c r="B20" s="131" t="s">
        <v>56</v>
      </c>
      <c r="C20" s="132" t="s">
        <v>30</v>
      </c>
      <c r="D20" s="133">
        <v>142.6</v>
      </c>
      <c r="E20" s="75"/>
      <c r="F20" s="75"/>
      <c r="G20" s="75"/>
      <c r="H20" s="75" t="s">
        <v>15</v>
      </c>
      <c r="I20" s="75">
        <v>65.400000000000006</v>
      </c>
      <c r="J20" s="75">
        <v>9326.0400000000009</v>
      </c>
      <c r="K20" s="91" t="s">
        <v>57</v>
      </c>
      <c r="L20" s="73"/>
      <c r="M20" s="46">
        <v>142.19999999999999</v>
      </c>
      <c r="N20" s="46">
        <v>0</v>
      </c>
      <c r="O20" s="46">
        <v>9299.8799999999992</v>
      </c>
      <c r="P20" s="98"/>
      <c r="Q20" s="23" t="s">
        <v>1406</v>
      </c>
      <c r="R20" s="24" t="s">
        <v>56</v>
      </c>
      <c r="S20" s="25" t="s">
        <v>30</v>
      </c>
      <c r="T20" s="26">
        <v>142.6</v>
      </c>
      <c r="U20" s="26">
        <v>142.6</v>
      </c>
      <c r="V20" s="26">
        <v>65.400000000000006</v>
      </c>
      <c r="W20" s="209">
        <f t="shared" si="8"/>
        <v>0</v>
      </c>
      <c r="X20" s="127">
        <f t="shared" si="3"/>
        <v>142.19999999999999</v>
      </c>
      <c r="Y20" s="127">
        <f t="shared" si="1"/>
        <v>0</v>
      </c>
      <c r="Z20" s="127">
        <f t="shared" si="4"/>
        <v>9299.8799999999992</v>
      </c>
      <c r="AA20" s="33" t="s">
        <v>15</v>
      </c>
      <c r="AB20" s="36" t="s">
        <v>16</v>
      </c>
      <c r="AC20" s="181">
        <f t="shared" si="5"/>
        <v>142.6</v>
      </c>
      <c r="AD20" s="181">
        <f t="shared" si="2"/>
        <v>9326.0400000000009</v>
      </c>
      <c r="AE20" s="181">
        <v>1.1000000000000001</v>
      </c>
      <c r="AF20" s="181">
        <v>1.1000000000000001</v>
      </c>
      <c r="AG20" s="101" t="str">
        <f t="shared" si="6"/>
        <v/>
      </c>
      <c r="AH20" s="192">
        <f>73+69.2</f>
        <v>142.19999999999999</v>
      </c>
      <c r="AI20" s="69">
        <f t="shared" si="7"/>
        <v>142.6</v>
      </c>
    </row>
    <row r="21" spans="1:35" s="69" customFormat="1" ht="39" x14ac:dyDescent="0.3">
      <c r="A21" s="55" t="s">
        <v>58</v>
      </c>
      <c r="B21" s="53" t="s">
        <v>59</v>
      </c>
      <c r="C21" s="54" t="s">
        <v>50</v>
      </c>
      <c r="D21" s="75">
        <v>8459.2999999999993</v>
      </c>
      <c r="E21" s="75"/>
      <c r="F21" s="75"/>
      <c r="G21" s="75"/>
      <c r="H21" s="75" t="s">
        <v>15</v>
      </c>
      <c r="I21" s="75">
        <v>20.190000000000001</v>
      </c>
      <c r="J21" s="75">
        <v>170793.27</v>
      </c>
      <c r="K21" s="91" t="s">
        <v>60</v>
      </c>
      <c r="L21" s="73"/>
      <c r="M21" s="46">
        <v>7834</v>
      </c>
      <c r="N21" s="46">
        <v>0</v>
      </c>
      <c r="O21" s="46">
        <v>158168.46</v>
      </c>
      <c r="P21" s="98"/>
      <c r="Q21" s="23" t="s">
        <v>1414</v>
      </c>
      <c r="R21" s="24" t="s">
        <v>59</v>
      </c>
      <c r="S21" s="25" t="s">
        <v>50</v>
      </c>
      <c r="T21" s="26">
        <v>8459.2999999999993</v>
      </c>
      <c r="U21" s="26">
        <v>8459.2999999999993</v>
      </c>
      <c r="V21" s="26">
        <v>20.190000000000001</v>
      </c>
      <c r="W21" s="128">
        <f t="shared" si="8"/>
        <v>0</v>
      </c>
      <c r="X21" s="26">
        <f t="shared" si="3"/>
        <v>7834</v>
      </c>
      <c r="Y21" s="26">
        <f t="shared" si="1"/>
        <v>0</v>
      </c>
      <c r="Z21" s="26">
        <f t="shared" si="4"/>
        <v>158168.46</v>
      </c>
      <c r="AA21" s="33" t="s">
        <v>15</v>
      </c>
      <c r="AB21" s="36" t="s">
        <v>16</v>
      </c>
      <c r="AC21" s="181">
        <f t="shared" si="5"/>
        <v>8459.2999999999993</v>
      </c>
      <c r="AD21" s="181">
        <f t="shared" si="2"/>
        <v>170793.27</v>
      </c>
      <c r="AE21" s="181">
        <v>1.1000000000000001</v>
      </c>
      <c r="AF21" s="181">
        <v>1.1000000000000001</v>
      </c>
      <c r="AG21" s="101" t="str">
        <f t="shared" si="6"/>
        <v/>
      </c>
      <c r="AH21" s="194">
        <v>7834</v>
      </c>
      <c r="AI21" s="69">
        <f t="shared" si="7"/>
        <v>8459.2999999999993</v>
      </c>
    </row>
    <row r="22" spans="1:35" s="69" customFormat="1" ht="39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 t="s">
        <v>15</v>
      </c>
      <c r="I22" s="75">
        <v>2492.81</v>
      </c>
      <c r="J22" s="75">
        <v>3163126.61</v>
      </c>
      <c r="K22" s="91" t="s">
        <v>63</v>
      </c>
      <c r="L22" s="73"/>
      <c r="M22" s="46">
        <v>369</v>
      </c>
      <c r="N22" s="46">
        <v>0</v>
      </c>
      <c r="O22" s="46">
        <v>919846.89</v>
      </c>
      <c r="P22" s="98"/>
      <c r="Q22" s="23" t="s">
        <v>1429</v>
      </c>
      <c r="R22" s="24" t="s">
        <v>62</v>
      </c>
      <c r="S22" s="25" t="s">
        <v>23</v>
      </c>
      <c r="T22" s="26">
        <v>1268.9000000000001</v>
      </c>
      <c r="U22" s="26">
        <v>1268.9000000000001</v>
      </c>
      <c r="V22" s="26">
        <v>2492.81</v>
      </c>
      <c r="W22" s="243">
        <f t="shared" si="8"/>
        <v>63</v>
      </c>
      <c r="X22" s="121">
        <f t="shared" si="3"/>
        <v>432</v>
      </c>
      <c r="Y22" s="26">
        <f t="shared" si="1"/>
        <v>157047.02999999991</v>
      </c>
      <c r="Z22" s="26">
        <f t="shared" si="4"/>
        <v>1076893.92</v>
      </c>
      <c r="AA22" s="33" t="s">
        <v>15</v>
      </c>
      <c r="AB22" s="36" t="s">
        <v>16</v>
      </c>
      <c r="AC22" s="181">
        <f t="shared" si="5"/>
        <v>1268.9000000000001</v>
      </c>
      <c r="AD22" s="181">
        <f t="shared" si="2"/>
        <v>3163126.61</v>
      </c>
      <c r="AE22" s="181">
        <v>1.1000000000000001</v>
      </c>
      <c r="AF22" s="181">
        <v>1.1000000000000001</v>
      </c>
      <c r="AG22" s="101" t="str">
        <f t="shared" si="6"/>
        <v/>
      </c>
      <c r="AH22" s="191">
        <f>369+63</f>
        <v>432</v>
      </c>
      <c r="AI22" s="69">
        <f t="shared" si="7"/>
        <v>1268.9000000000001</v>
      </c>
    </row>
    <row r="23" spans="1:35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 t="s">
        <v>15</v>
      </c>
      <c r="I23" s="75">
        <v>521.17999999999995</v>
      </c>
      <c r="J23" s="75">
        <v>343457.62</v>
      </c>
      <c r="K23" s="91" t="s">
        <v>67</v>
      </c>
      <c r="L23" s="73"/>
      <c r="M23" s="46">
        <v>659</v>
      </c>
      <c r="N23" s="46">
        <v>0</v>
      </c>
      <c r="O23" s="46">
        <v>343457.62</v>
      </c>
      <c r="P23" s="98"/>
      <c r="Q23" s="23" t="s">
        <v>1430</v>
      </c>
      <c r="R23" s="24" t="s">
        <v>65</v>
      </c>
      <c r="S23" s="25" t="s">
        <v>66</v>
      </c>
      <c r="T23" s="26">
        <v>659</v>
      </c>
      <c r="U23" s="26">
        <v>659</v>
      </c>
      <c r="V23" s="26">
        <v>521.17999999999995</v>
      </c>
      <c r="W23" s="127">
        <f t="shared" si="8"/>
        <v>0</v>
      </c>
      <c r="X23" s="127">
        <f t="shared" si="3"/>
        <v>659</v>
      </c>
      <c r="Y23" s="127">
        <f t="shared" si="1"/>
        <v>0</v>
      </c>
      <c r="Z23" s="127">
        <f t="shared" si="4"/>
        <v>343457.62</v>
      </c>
      <c r="AA23" s="33" t="s">
        <v>15</v>
      </c>
      <c r="AB23" s="36" t="s">
        <v>16</v>
      </c>
      <c r="AC23" s="181">
        <f t="shared" si="5"/>
        <v>659</v>
      </c>
      <c r="AD23" s="181">
        <f t="shared" si="2"/>
        <v>343457.62</v>
      </c>
      <c r="AE23" s="181">
        <v>1.1000000000000001</v>
      </c>
      <c r="AF23" s="181">
        <v>1.1000000000000001</v>
      </c>
      <c r="AG23" s="101" t="str">
        <f t="shared" si="6"/>
        <v/>
      </c>
      <c r="AH23" s="192">
        <v>659</v>
      </c>
      <c r="AI23" s="69">
        <f t="shared" si="7"/>
        <v>659</v>
      </c>
    </row>
    <row r="24" spans="1:35" s="69" customFormat="1" ht="39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 t="s">
        <v>15</v>
      </c>
      <c r="I24" s="75">
        <v>289.69</v>
      </c>
      <c r="J24" s="75">
        <v>73378.48</v>
      </c>
      <c r="K24" s="91" t="s">
        <v>70</v>
      </c>
      <c r="L24" s="73"/>
      <c r="M24" s="46">
        <v>250</v>
      </c>
      <c r="N24" s="46">
        <v>0</v>
      </c>
      <c r="O24" s="46">
        <v>72422.5</v>
      </c>
      <c r="P24" s="98"/>
      <c r="Q24" s="23" t="s">
        <v>1431</v>
      </c>
      <c r="R24" s="24" t="s">
        <v>69</v>
      </c>
      <c r="S24" s="25" t="s">
        <v>30</v>
      </c>
      <c r="T24" s="26">
        <v>253.3</v>
      </c>
      <c r="U24" s="26">
        <v>253.3</v>
      </c>
      <c r="V24" s="26">
        <v>289.69</v>
      </c>
      <c r="W24" s="127">
        <f t="shared" si="8"/>
        <v>0</v>
      </c>
      <c r="X24" s="127">
        <f t="shared" si="3"/>
        <v>250</v>
      </c>
      <c r="Y24" s="127">
        <f t="shared" si="1"/>
        <v>0</v>
      </c>
      <c r="Z24" s="127">
        <f t="shared" si="4"/>
        <v>72422.5</v>
      </c>
      <c r="AA24" s="33" t="s">
        <v>15</v>
      </c>
      <c r="AB24" s="36" t="s">
        <v>16</v>
      </c>
      <c r="AC24" s="181">
        <f t="shared" si="5"/>
        <v>253.3</v>
      </c>
      <c r="AD24" s="181">
        <f t="shared" si="2"/>
        <v>73378.48</v>
      </c>
      <c r="AE24" s="181">
        <v>1.1000000000000001</v>
      </c>
      <c r="AF24" s="181">
        <v>1.1000000000000001</v>
      </c>
      <c r="AG24" s="101" t="str">
        <f t="shared" si="6"/>
        <v/>
      </c>
      <c r="AH24" s="190">
        <v>250</v>
      </c>
      <c r="AI24" s="69">
        <f t="shared" si="7"/>
        <v>253.3</v>
      </c>
    </row>
    <row r="25" spans="1:35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 t="s">
        <v>15</v>
      </c>
      <c r="I25" s="75">
        <v>3311.45</v>
      </c>
      <c r="J25" s="75">
        <v>264916</v>
      </c>
      <c r="K25" s="91" t="s">
        <v>74</v>
      </c>
      <c r="L25" s="73"/>
      <c r="M25" s="46">
        <v>0</v>
      </c>
      <c r="N25" s="46">
        <v>0</v>
      </c>
      <c r="O25" s="46">
        <v>0</v>
      </c>
      <c r="P25" s="98"/>
      <c r="Q25" s="23" t="s">
        <v>1395</v>
      </c>
      <c r="R25" s="24" t="s">
        <v>72</v>
      </c>
      <c r="S25" s="25" t="s">
        <v>73</v>
      </c>
      <c r="T25" s="26">
        <v>80</v>
      </c>
      <c r="U25" s="26">
        <v>80</v>
      </c>
      <c r="V25" s="26">
        <v>3311.45</v>
      </c>
      <c r="W25" s="26">
        <f t="shared" si="8"/>
        <v>0</v>
      </c>
      <c r="X25" s="26">
        <f t="shared" si="3"/>
        <v>0</v>
      </c>
      <c r="Y25" s="26">
        <f t="shared" si="1"/>
        <v>0</v>
      </c>
      <c r="Z25" s="26">
        <f t="shared" si="4"/>
        <v>0</v>
      </c>
      <c r="AA25" s="33" t="s">
        <v>15</v>
      </c>
      <c r="AB25" s="36" t="s">
        <v>16</v>
      </c>
      <c r="AC25" s="181">
        <f t="shared" si="5"/>
        <v>80</v>
      </c>
      <c r="AD25" s="181">
        <f t="shared" si="2"/>
        <v>264916</v>
      </c>
      <c r="AE25" s="181">
        <v>1.1000000000000001</v>
      </c>
      <c r="AF25" s="181">
        <v>1.1000000000000001</v>
      </c>
      <c r="AG25" s="101" t="str">
        <f t="shared" si="6"/>
        <v/>
      </c>
      <c r="AH25" s="190">
        <v>0</v>
      </c>
      <c r="AI25" s="69">
        <f t="shared" si="7"/>
        <v>80</v>
      </c>
    </row>
    <row r="26" spans="1:35" s="69" customFormat="1" ht="33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 t="s">
        <v>15</v>
      </c>
      <c r="I26" s="75">
        <v>3082.28</v>
      </c>
      <c r="J26" s="75">
        <v>3939153.84</v>
      </c>
      <c r="K26" s="91" t="s">
        <v>78</v>
      </c>
      <c r="L26" s="73"/>
      <c r="M26" s="46">
        <v>1153</v>
      </c>
      <c r="N26" s="46">
        <v>0</v>
      </c>
      <c r="O26" s="46">
        <v>3553868.84</v>
      </c>
      <c r="P26" s="98"/>
      <c r="Q26" s="23" t="s">
        <v>1432</v>
      </c>
      <c r="R26" s="24" t="s">
        <v>76</v>
      </c>
      <c r="S26" s="25" t="s">
        <v>77</v>
      </c>
      <c r="T26" s="26">
        <v>1278</v>
      </c>
      <c r="U26" s="26">
        <v>1278</v>
      </c>
      <c r="V26" s="26">
        <v>3082.28</v>
      </c>
      <c r="W26" s="128">
        <f t="shared" si="8"/>
        <v>0</v>
      </c>
      <c r="X26" s="121">
        <f t="shared" si="3"/>
        <v>1153</v>
      </c>
      <c r="Y26" s="26">
        <f t="shared" si="1"/>
        <v>0</v>
      </c>
      <c r="Z26" s="26">
        <f t="shared" si="4"/>
        <v>3553868.84</v>
      </c>
      <c r="AA26" s="33" t="s">
        <v>15</v>
      </c>
      <c r="AB26" s="36" t="s">
        <v>16</v>
      </c>
      <c r="AC26" s="181">
        <f t="shared" si="5"/>
        <v>1278</v>
      </c>
      <c r="AD26" s="181">
        <f t="shared" si="2"/>
        <v>3939153.84</v>
      </c>
      <c r="AE26" s="181">
        <v>1.1000000000000001</v>
      </c>
      <c r="AF26" s="181">
        <v>1.1000000000000001</v>
      </c>
      <c r="AG26" s="101" t="str">
        <f t="shared" si="6"/>
        <v/>
      </c>
      <c r="AH26" s="192">
        <v>1153</v>
      </c>
      <c r="AI26" s="69">
        <f t="shared" si="7"/>
        <v>1278</v>
      </c>
    </row>
    <row r="27" spans="1:35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 t="s">
        <v>15</v>
      </c>
      <c r="I27" s="75">
        <v>1200</v>
      </c>
      <c r="J27" s="75">
        <v>36000</v>
      </c>
      <c r="K27" s="91" t="s">
        <v>82</v>
      </c>
      <c r="L27" s="73"/>
      <c r="M27" s="46">
        <v>0</v>
      </c>
      <c r="N27" s="46">
        <v>0</v>
      </c>
      <c r="O27" s="46">
        <v>0</v>
      </c>
      <c r="P27" s="98"/>
      <c r="Q27" s="23" t="s">
        <v>1433</v>
      </c>
      <c r="R27" s="24" t="s">
        <v>80</v>
      </c>
      <c r="S27" s="25" t="s">
        <v>81</v>
      </c>
      <c r="T27" s="26">
        <v>30</v>
      </c>
      <c r="U27" s="26">
        <v>30</v>
      </c>
      <c r="V27" s="26">
        <v>1200</v>
      </c>
      <c r="W27" s="26">
        <f t="shared" si="8"/>
        <v>0</v>
      </c>
      <c r="X27" s="26">
        <f t="shared" si="3"/>
        <v>0</v>
      </c>
      <c r="Y27" s="26">
        <f t="shared" si="1"/>
        <v>0</v>
      </c>
      <c r="Z27" s="26">
        <f t="shared" si="4"/>
        <v>0</v>
      </c>
      <c r="AA27" s="33" t="s">
        <v>15</v>
      </c>
      <c r="AB27" s="36" t="s">
        <v>16</v>
      </c>
      <c r="AC27" s="181">
        <f t="shared" si="5"/>
        <v>30</v>
      </c>
      <c r="AD27" s="181">
        <f t="shared" si="2"/>
        <v>36000</v>
      </c>
      <c r="AE27" s="181">
        <v>1.1000000000000001</v>
      </c>
      <c r="AF27" s="181">
        <v>1.1000000000000001</v>
      </c>
      <c r="AG27" s="101" t="str">
        <f t="shared" si="6"/>
        <v/>
      </c>
      <c r="AH27" s="192">
        <v>0</v>
      </c>
      <c r="AI27" s="69">
        <f t="shared" si="7"/>
        <v>30</v>
      </c>
    </row>
    <row r="28" spans="1:35" s="69" customFormat="1" ht="33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 t="s">
        <v>15</v>
      </c>
      <c r="I28" s="75">
        <v>3000</v>
      </c>
      <c r="J28" s="75">
        <v>36000</v>
      </c>
      <c r="K28" s="91" t="s">
        <v>85</v>
      </c>
      <c r="L28" s="73"/>
      <c r="M28" s="46">
        <v>12</v>
      </c>
      <c r="N28" s="46">
        <v>0</v>
      </c>
      <c r="O28" s="46">
        <v>36000</v>
      </c>
      <c r="P28" s="98"/>
      <c r="Q28" s="23" t="s">
        <v>1382</v>
      </c>
      <c r="R28" s="24" t="s">
        <v>84</v>
      </c>
      <c r="S28" s="25" t="s">
        <v>81</v>
      </c>
      <c r="T28" s="26">
        <v>12</v>
      </c>
      <c r="U28" s="26">
        <v>12</v>
      </c>
      <c r="V28" s="26">
        <v>3000</v>
      </c>
      <c r="W28" s="127">
        <f t="shared" si="8"/>
        <v>0</v>
      </c>
      <c r="X28" s="127">
        <f t="shared" si="3"/>
        <v>12</v>
      </c>
      <c r="Y28" s="127">
        <f t="shared" si="1"/>
        <v>0</v>
      </c>
      <c r="Z28" s="127">
        <f t="shared" si="4"/>
        <v>36000</v>
      </c>
      <c r="AA28" s="33" t="s">
        <v>15</v>
      </c>
      <c r="AB28" s="36" t="s">
        <v>16</v>
      </c>
      <c r="AC28" s="181">
        <f t="shared" si="5"/>
        <v>12</v>
      </c>
      <c r="AD28" s="181">
        <f t="shared" si="2"/>
        <v>36000</v>
      </c>
      <c r="AE28" s="181">
        <v>1.1000000000000001</v>
      </c>
      <c r="AF28" s="181">
        <v>1.1000000000000001</v>
      </c>
      <c r="AG28" s="101" t="str">
        <f t="shared" si="6"/>
        <v/>
      </c>
      <c r="AH28" s="192">
        <v>12</v>
      </c>
      <c r="AI28" s="69">
        <f t="shared" si="7"/>
        <v>12</v>
      </c>
    </row>
    <row r="29" spans="1:35" s="69" customFormat="1" ht="33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 t="s">
        <v>15</v>
      </c>
      <c r="I29" s="75">
        <v>3000</v>
      </c>
      <c r="J29" s="75">
        <v>60000</v>
      </c>
      <c r="K29" s="91" t="s">
        <v>88</v>
      </c>
      <c r="L29" s="73"/>
      <c r="M29" s="46">
        <v>20</v>
      </c>
      <c r="N29" s="46">
        <v>0</v>
      </c>
      <c r="O29" s="46">
        <v>60000</v>
      </c>
      <c r="P29" s="98"/>
      <c r="Q29" s="23" t="s">
        <v>1434</v>
      </c>
      <c r="R29" s="24" t="s">
        <v>87</v>
      </c>
      <c r="S29" s="25" t="s">
        <v>81</v>
      </c>
      <c r="T29" s="26">
        <v>20</v>
      </c>
      <c r="U29" s="26">
        <v>20</v>
      </c>
      <c r="V29" s="26">
        <v>3000</v>
      </c>
      <c r="W29" s="127">
        <f t="shared" si="8"/>
        <v>0</v>
      </c>
      <c r="X29" s="127">
        <f t="shared" si="3"/>
        <v>20</v>
      </c>
      <c r="Y29" s="127">
        <f t="shared" si="1"/>
        <v>0</v>
      </c>
      <c r="Z29" s="127">
        <f t="shared" si="4"/>
        <v>60000</v>
      </c>
      <c r="AA29" s="33" t="s">
        <v>15</v>
      </c>
      <c r="AB29" s="36" t="s">
        <v>16</v>
      </c>
      <c r="AC29" s="181">
        <f t="shared" si="5"/>
        <v>20</v>
      </c>
      <c r="AD29" s="181">
        <f t="shared" si="2"/>
        <v>60000</v>
      </c>
      <c r="AE29" s="181">
        <v>1.1000000000000001</v>
      </c>
      <c r="AF29" s="181">
        <v>1.1000000000000001</v>
      </c>
      <c r="AG29" s="101" t="str">
        <f t="shared" si="6"/>
        <v/>
      </c>
      <c r="AH29" s="192">
        <v>20</v>
      </c>
      <c r="AI29" s="69">
        <f t="shared" si="7"/>
        <v>20</v>
      </c>
    </row>
    <row r="30" spans="1:35" s="69" customFormat="1" ht="33" x14ac:dyDescent="0.3">
      <c r="A30" s="130" t="s">
        <v>89</v>
      </c>
      <c r="B30" s="131" t="s">
        <v>90</v>
      </c>
      <c r="C30" s="132" t="s">
        <v>81</v>
      </c>
      <c r="D30" s="133">
        <v>19</v>
      </c>
      <c r="E30" s="75"/>
      <c r="F30" s="75"/>
      <c r="G30" s="75"/>
      <c r="H30" s="75" t="s">
        <v>15</v>
      </c>
      <c r="I30" s="75">
        <v>3000</v>
      </c>
      <c r="J30" s="75">
        <v>57000</v>
      </c>
      <c r="K30" s="91" t="s">
        <v>91</v>
      </c>
      <c r="L30" s="73"/>
      <c r="M30" s="46">
        <v>16</v>
      </c>
      <c r="N30" s="46">
        <v>0</v>
      </c>
      <c r="O30" s="46">
        <v>48000</v>
      </c>
      <c r="P30" s="98"/>
      <c r="Q30" s="23" t="s">
        <v>1388</v>
      </c>
      <c r="R30" s="24" t="s">
        <v>90</v>
      </c>
      <c r="S30" s="25" t="s">
        <v>81</v>
      </c>
      <c r="T30" s="26">
        <v>19</v>
      </c>
      <c r="U30" s="26">
        <v>19</v>
      </c>
      <c r="V30" s="26">
        <v>3000</v>
      </c>
      <c r="W30" s="127">
        <f t="shared" si="8"/>
        <v>0</v>
      </c>
      <c r="X30" s="127">
        <f t="shared" si="3"/>
        <v>16</v>
      </c>
      <c r="Y30" s="127">
        <f t="shared" si="1"/>
        <v>0</v>
      </c>
      <c r="Z30" s="127">
        <f t="shared" si="4"/>
        <v>48000</v>
      </c>
      <c r="AA30" s="33" t="s">
        <v>15</v>
      </c>
      <c r="AB30" s="36" t="s">
        <v>16</v>
      </c>
      <c r="AC30" s="181">
        <f t="shared" si="5"/>
        <v>19</v>
      </c>
      <c r="AD30" s="181">
        <f t="shared" si="2"/>
        <v>57000</v>
      </c>
      <c r="AE30" s="181">
        <v>1.1000000000000001</v>
      </c>
      <c r="AF30" s="181">
        <v>1.1000000000000001</v>
      </c>
      <c r="AG30" s="101" t="str">
        <f t="shared" si="6"/>
        <v/>
      </c>
      <c r="AH30" s="194">
        <v>16</v>
      </c>
      <c r="AI30" s="69">
        <f t="shared" si="7"/>
        <v>19</v>
      </c>
    </row>
    <row r="31" spans="1:35" s="69" customFormat="1" ht="39" x14ac:dyDescent="0.3">
      <c r="A31" s="130" t="s">
        <v>92</v>
      </c>
      <c r="B31" s="131" t="s">
        <v>93</v>
      </c>
      <c r="C31" s="132" t="s">
        <v>14</v>
      </c>
      <c r="D31" s="133">
        <v>1</v>
      </c>
      <c r="E31" s="75"/>
      <c r="F31" s="75"/>
      <c r="G31" s="75"/>
      <c r="H31" s="75" t="s">
        <v>15</v>
      </c>
      <c r="I31" s="75">
        <v>400000</v>
      </c>
      <c r="J31" s="75">
        <v>400000</v>
      </c>
      <c r="K31" s="91" t="s">
        <v>94</v>
      </c>
      <c r="L31" s="73"/>
      <c r="M31" s="46">
        <v>1</v>
      </c>
      <c r="N31" s="46">
        <v>0</v>
      </c>
      <c r="O31" s="46">
        <v>400000</v>
      </c>
      <c r="P31" s="98"/>
      <c r="Q31" s="23" t="s">
        <v>1389</v>
      </c>
      <c r="R31" s="24" t="s">
        <v>93</v>
      </c>
      <c r="S31" s="25" t="s">
        <v>14</v>
      </c>
      <c r="T31" s="26">
        <v>1</v>
      </c>
      <c r="U31" s="26">
        <v>1</v>
      </c>
      <c r="V31" s="26">
        <v>400000</v>
      </c>
      <c r="W31" s="127">
        <f t="shared" si="8"/>
        <v>0</v>
      </c>
      <c r="X31" s="127">
        <f t="shared" si="3"/>
        <v>1</v>
      </c>
      <c r="Y31" s="127">
        <f t="shared" si="1"/>
        <v>0</v>
      </c>
      <c r="Z31" s="127">
        <f t="shared" si="4"/>
        <v>400000</v>
      </c>
      <c r="AA31" s="33" t="s">
        <v>15</v>
      </c>
      <c r="AB31" s="36" t="s">
        <v>16</v>
      </c>
      <c r="AC31" s="181">
        <f t="shared" si="5"/>
        <v>1</v>
      </c>
      <c r="AD31" s="181">
        <f t="shared" si="2"/>
        <v>400000</v>
      </c>
      <c r="AE31" s="181">
        <v>1.1000000000000001</v>
      </c>
      <c r="AF31" s="181">
        <v>1.1000000000000001</v>
      </c>
      <c r="AG31" s="101" t="str">
        <f t="shared" si="6"/>
        <v/>
      </c>
      <c r="AH31" s="192">
        <f>0.5+0.5</f>
        <v>1</v>
      </c>
      <c r="AI31" s="69">
        <f t="shared" si="7"/>
        <v>1</v>
      </c>
    </row>
    <row r="32" spans="1:35" s="69" customFormat="1" ht="58.5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6" t="s">
        <v>15</v>
      </c>
      <c r="I32" s="75">
        <v>280</v>
      </c>
      <c r="J32" s="75">
        <v>8624000</v>
      </c>
      <c r="K32" s="91" t="s">
        <v>98</v>
      </c>
      <c r="L32" s="73"/>
      <c r="M32" s="46">
        <v>17062</v>
      </c>
      <c r="N32" s="46">
        <v>453600</v>
      </c>
      <c r="O32" s="46">
        <v>4777360</v>
      </c>
      <c r="P32" s="98"/>
      <c r="Q32" s="23" t="s">
        <v>1390</v>
      </c>
      <c r="R32" s="24" t="s">
        <v>96</v>
      </c>
      <c r="S32" s="25" t="s">
        <v>97</v>
      </c>
      <c r="T32" s="26">
        <v>30800</v>
      </c>
      <c r="U32" s="26">
        <v>30800</v>
      </c>
      <c r="V32" s="26">
        <v>280</v>
      </c>
      <c r="W32" s="243">
        <f t="shared" si="8"/>
        <v>1962</v>
      </c>
      <c r="X32" s="26">
        <f t="shared" si="3"/>
        <v>19024</v>
      </c>
      <c r="Y32" s="26">
        <f t="shared" si="1"/>
        <v>549360</v>
      </c>
      <c r="Z32" s="26">
        <f t="shared" si="4"/>
        <v>5326720</v>
      </c>
      <c r="AA32" s="33" t="s">
        <v>15</v>
      </c>
      <c r="AB32" s="36" t="s">
        <v>16</v>
      </c>
      <c r="AC32" s="181">
        <f t="shared" si="5"/>
        <v>30800</v>
      </c>
      <c r="AD32" s="181">
        <f t="shared" si="2"/>
        <v>8624000</v>
      </c>
      <c r="AE32" s="181">
        <v>1.1000000000000001</v>
      </c>
      <c r="AF32" s="181">
        <v>1.1000000000000001</v>
      </c>
      <c r="AG32" s="101" t="str">
        <f t="shared" si="6"/>
        <v/>
      </c>
      <c r="AH32" s="191">
        <f>13162+1120+1160+1620+1962</f>
        <v>19024</v>
      </c>
      <c r="AI32" s="69">
        <f t="shared" si="7"/>
        <v>30800</v>
      </c>
    </row>
    <row r="33" spans="1:35" s="69" customFormat="1" ht="39" x14ac:dyDescent="0.3">
      <c r="A33" s="134" t="s">
        <v>1302</v>
      </c>
      <c r="B33" s="135" t="s">
        <v>1303</v>
      </c>
      <c r="C33" s="204" t="s">
        <v>50</v>
      </c>
      <c r="D33" s="216"/>
      <c r="E33" s="59">
        <v>2405</v>
      </c>
      <c r="F33" s="59"/>
      <c r="G33" s="59"/>
      <c r="H33" s="59" t="s">
        <v>15</v>
      </c>
      <c r="I33" s="58">
        <v>70.23</v>
      </c>
      <c r="J33" s="59">
        <v>168903.15</v>
      </c>
      <c r="K33" s="92"/>
      <c r="L33" s="73"/>
      <c r="M33" s="46">
        <v>2405</v>
      </c>
      <c r="N33" s="46">
        <v>0</v>
      </c>
      <c r="O33" s="46">
        <v>168903.15</v>
      </c>
      <c r="P33" s="98"/>
      <c r="Q33" s="23" t="s">
        <v>1391</v>
      </c>
      <c r="R33" s="24" t="s">
        <v>1435</v>
      </c>
      <c r="S33" s="25" t="s">
        <v>50</v>
      </c>
      <c r="T33" s="26">
        <v>0</v>
      </c>
      <c r="U33" s="26">
        <v>2405</v>
      </c>
      <c r="V33" s="26">
        <v>70.23</v>
      </c>
      <c r="W33" s="127">
        <f t="shared" si="8"/>
        <v>0</v>
      </c>
      <c r="X33" s="127">
        <f t="shared" si="3"/>
        <v>2405</v>
      </c>
      <c r="Y33" s="127">
        <f t="shared" si="1"/>
        <v>0</v>
      </c>
      <c r="Z33" s="127">
        <f t="shared" si="4"/>
        <v>168903.15</v>
      </c>
      <c r="AA33" s="27" t="s">
        <v>15</v>
      </c>
      <c r="AB33" s="36" t="s">
        <v>16</v>
      </c>
      <c r="AC33" s="181">
        <f t="shared" si="5"/>
        <v>2405</v>
      </c>
      <c r="AD33" s="181">
        <f t="shared" si="2"/>
        <v>168903.15</v>
      </c>
      <c r="AE33" s="181">
        <v>1.1000000000000001</v>
      </c>
      <c r="AF33" s="181">
        <v>1.1000000000000001</v>
      </c>
      <c r="AG33" s="101" t="str">
        <f t="shared" si="6"/>
        <v/>
      </c>
      <c r="AH33" s="190">
        <v>2405</v>
      </c>
      <c r="AI33" s="69">
        <f t="shared" si="7"/>
        <v>2405</v>
      </c>
    </row>
    <row r="34" spans="1:35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 t="s">
        <v>15</v>
      </c>
      <c r="I34" s="61">
        <v>20000</v>
      </c>
      <c r="J34" s="62">
        <v>3000000</v>
      </c>
      <c r="K34" s="93"/>
      <c r="M34" s="46">
        <v>127</v>
      </c>
      <c r="N34" s="46">
        <v>0</v>
      </c>
      <c r="O34" s="46">
        <v>2540000</v>
      </c>
      <c r="P34" s="98"/>
      <c r="Q34" s="23" t="s">
        <v>1436</v>
      </c>
      <c r="R34" s="24" t="s">
        <v>1437</v>
      </c>
      <c r="S34" s="25" t="s">
        <v>1358</v>
      </c>
      <c r="T34" s="26">
        <v>0</v>
      </c>
      <c r="U34" s="26">
        <v>150</v>
      </c>
      <c r="V34" s="26">
        <v>20000</v>
      </c>
      <c r="W34" s="243">
        <f t="shared" si="8"/>
        <v>9</v>
      </c>
      <c r="X34" s="26">
        <f t="shared" si="3"/>
        <v>136</v>
      </c>
      <c r="Y34" s="26">
        <f t="shared" si="1"/>
        <v>180000</v>
      </c>
      <c r="Z34" s="26">
        <f t="shared" si="4"/>
        <v>2720000</v>
      </c>
      <c r="AA34" s="27"/>
      <c r="AB34" s="36" t="s">
        <v>16</v>
      </c>
      <c r="AC34" s="181">
        <f t="shared" si="5"/>
        <v>150</v>
      </c>
      <c r="AD34" s="181">
        <f t="shared" si="2"/>
        <v>3000000</v>
      </c>
      <c r="AE34" s="181">
        <v>1.1000000000000001</v>
      </c>
      <c r="AF34" s="181">
        <v>1.1000000000000001</v>
      </c>
      <c r="AG34" s="101" t="str">
        <f t="shared" si="6"/>
        <v/>
      </c>
      <c r="AH34" s="191">
        <f>127+9</f>
        <v>136</v>
      </c>
      <c r="AI34" s="69">
        <f t="shared" si="7"/>
        <v>150</v>
      </c>
    </row>
    <row r="35" spans="1:35" ht="42" customHeight="1" x14ac:dyDescent="0.3">
      <c r="A35" s="134" t="s">
        <v>1306</v>
      </c>
      <c r="B35" s="217" t="s">
        <v>1307</v>
      </c>
      <c r="C35" s="204" t="s">
        <v>50</v>
      </c>
      <c r="D35" s="216"/>
      <c r="E35" s="63"/>
      <c r="F35" s="62">
        <v>138.05000000000001</v>
      </c>
      <c r="G35" s="62"/>
      <c r="H35" s="62" t="s">
        <v>15</v>
      </c>
      <c r="I35" s="61">
        <v>165.22</v>
      </c>
      <c r="J35" s="62">
        <v>22808.62</v>
      </c>
      <c r="K35" s="93"/>
      <c r="M35" s="46">
        <v>138.05000000000001</v>
      </c>
      <c r="N35" s="46">
        <v>0</v>
      </c>
      <c r="O35" s="46">
        <v>22808.62</v>
      </c>
      <c r="P35" s="98"/>
      <c r="Q35" s="23" t="s">
        <v>1374</v>
      </c>
      <c r="R35" s="24" t="s">
        <v>1375</v>
      </c>
      <c r="S35" s="25" t="s">
        <v>50</v>
      </c>
      <c r="T35" s="26">
        <v>0</v>
      </c>
      <c r="U35" s="26">
        <v>138.05000000000001</v>
      </c>
      <c r="V35" s="26">
        <v>165.22</v>
      </c>
      <c r="W35" s="127">
        <f t="shared" si="8"/>
        <v>0</v>
      </c>
      <c r="X35" s="127">
        <f t="shared" si="3"/>
        <v>138.05000000000001</v>
      </c>
      <c r="Y35" s="127">
        <f t="shared" si="1"/>
        <v>0</v>
      </c>
      <c r="Z35" s="127">
        <f t="shared" si="4"/>
        <v>22808.62</v>
      </c>
      <c r="AA35" s="27"/>
      <c r="AB35" s="36" t="s">
        <v>16</v>
      </c>
      <c r="AC35" s="181">
        <f t="shared" si="5"/>
        <v>138.05000000000001</v>
      </c>
      <c r="AD35" s="181">
        <f t="shared" si="2"/>
        <v>22808.62</v>
      </c>
      <c r="AE35" s="181">
        <v>1.1000000000000001</v>
      </c>
      <c r="AF35" s="181">
        <v>1.1000000000000001</v>
      </c>
      <c r="AG35" s="101" t="str">
        <f t="shared" si="6"/>
        <v/>
      </c>
      <c r="AH35" s="190">
        <v>138.05000000000001</v>
      </c>
      <c r="AI35" s="69">
        <f t="shared" si="7"/>
        <v>138.05000000000001</v>
      </c>
    </row>
    <row r="36" spans="1:35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62">
        <v>2000</v>
      </c>
      <c r="G36" s="62"/>
      <c r="H36" s="62" t="s">
        <v>15</v>
      </c>
      <c r="I36" s="61">
        <v>100</v>
      </c>
      <c r="J36" s="62">
        <v>200000</v>
      </c>
      <c r="K36" s="93"/>
      <c r="M36" s="46">
        <v>2000</v>
      </c>
      <c r="N36" s="46">
        <v>0</v>
      </c>
      <c r="O36" s="46">
        <v>200000</v>
      </c>
      <c r="P36" s="98"/>
      <c r="Q36" s="23" t="s">
        <v>1376</v>
      </c>
      <c r="R36" s="24" t="s">
        <v>1377</v>
      </c>
      <c r="S36" s="25" t="s">
        <v>34</v>
      </c>
      <c r="T36" s="26">
        <v>0</v>
      </c>
      <c r="U36" s="26">
        <v>2000</v>
      </c>
      <c r="V36" s="26">
        <v>100</v>
      </c>
      <c r="W36" s="127">
        <f t="shared" si="8"/>
        <v>0</v>
      </c>
      <c r="X36" s="127">
        <f t="shared" si="3"/>
        <v>2000</v>
      </c>
      <c r="Y36" s="127">
        <f t="shared" si="1"/>
        <v>0</v>
      </c>
      <c r="Z36" s="127">
        <f t="shared" si="4"/>
        <v>200000</v>
      </c>
      <c r="AA36" s="27"/>
      <c r="AB36" s="36" t="s">
        <v>16</v>
      </c>
      <c r="AC36" s="181">
        <f t="shared" si="5"/>
        <v>2000</v>
      </c>
      <c r="AD36" s="181">
        <f t="shared" si="2"/>
        <v>200000</v>
      </c>
      <c r="AE36" s="181">
        <v>1.1000000000000001</v>
      </c>
      <c r="AF36" s="181">
        <v>1.1000000000000001</v>
      </c>
      <c r="AG36" s="101" t="str">
        <f t="shared" si="6"/>
        <v/>
      </c>
      <c r="AH36" s="190">
        <v>2000</v>
      </c>
      <c r="AI36" s="69">
        <f t="shared" si="7"/>
        <v>2000</v>
      </c>
    </row>
    <row r="37" spans="1:35" ht="33" x14ac:dyDescent="0.3">
      <c r="A37" s="134" t="s">
        <v>1310</v>
      </c>
      <c r="B37" s="217" t="s">
        <v>1311</v>
      </c>
      <c r="C37" s="204" t="s">
        <v>50</v>
      </c>
      <c r="D37" s="216"/>
      <c r="E37" s="63"/>
      <c r="F37" s="62">
        <v>3324.02</v>
      </c>
      <c r="G37" s="62"/>
      <c r="H37" s="62" t="s">
        <v>15</v>
      </c>
      <c r="I37" s="61">
        <v>33.35</v>
      </c>
      <c r="J37" s="62">
        <v>110856.07</v>
      </c>
      <c r="K37" s="93"/>
      <c r="M37" s="46">
        <v>3324.02</v>
      </c>
      <c r="N37" s="46">
        <v>0</v>
      </c>
      <c r="O37" s="46">
        <v>110856.07</v>
      </c>
      <c r="P37" s="98"/>
      <c r="Q37" s="23" t="s">
        <v>1378</v>
      </c>
      <c r="R37" s="24" t="s">
        <v>1379</v>
      </c>
      <c r="S37" s="25" t="s">
        <v>50</v>
      </c>
      <c r="T37" s="26">
        <v>0</v>
      </c>
      <c r="U37" s="26">
        <v>3324.02</v>
      </c>
      <c r="V37" s="26">
        <v>33.35</v>
      </c>
      <c r="W37" s="127">
        <f t="shared" si="8"/>
        <v>0</v>
      </c>
      <c r="X37" s="127">
        <f t="shared" si="3"/>
        <v>3324.02</v>
      </c>
      <c r="Y37" s="127">
        <f t="shared" si="1"/>
        <v>0</v>
      </c>
      <c r="Z37" s="127">
        <f t="shared" si="4"/>
        <v>110856.07</v>
      </c>
      <c r="AA37" s="27"/>
      <c r="AB37" s="36" t="s">
        <v>16</v>
      </c>
      <c r="AC37" s="181">
        <f t="shared" si="5"/>
        <v>3324.02</v>
      </c>
      <c r="AD37" s="181">
        <f t="shared" si="2"/>
        <v>110856.07</v>
      </c>
      <c r="AE37" s="181">
        <v>1.1000000000000001</v>
      </c>
      <c r="AF37" s="181">
        <v>1.1000000000000001</v>
      </c>
      <c r="AG37" s="101" t="str">
        <f t="shared" si="6"/>
        <v/>
      </c>
      <c r="AH37" s="190">
        <v>3324.02</v>
      </c>
      <c r="AI37" s="69">
        <f t="shared" si="7"/>
        <v>3324.02</v>
      </c>
    </row>
    <row r="38" spans="1:35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4" t="s">
        <v>15</v>
      </c>
      <c r="I38" s="82"/>
      <c r="J38" s="82">
        <v>42752872.340000004</v>
      </c>
      <c r="K38" s="94" t="s">
        <v>15</v>
      </c>
      <c r="L38" s="73"/>
      <c r="M38" s="45">
        <v>1</v>
      </c>
      <c r="N38" s="45">
        <v>4621937.3899999997</v>
      </c>
      <c r="O38" s="45">
        <v>23835760.540000007</v>
      </c>
      <c r="P38" s="98"/>
      <c r="Q38" s="18" t="s">
        <v>1380</v>
      </c>
      <c r="R38" s="19" t="s">
        <v>100</v>
      </c>
      <c r="S38" s="20" t="s">
        <v>14</v>
      </c>
      <c r="T38" s="21">
        <v>1</v>
      </c>
      <c r="U38" s="21"/>
      <c r="V38" s="21">
        <f>SUMIFS(AD:AD,AE:AE,AE38)</f>
        <v>42752872.340000033</v>
      </c>
      <c r="W38" s="21">
        <f t="shared" ref="W38:X38" si="9">IF(Y38=0,0,1)</f>
        <v>1</v>
      </c>
      <c r="X38" s="21">
        <f t="shared" si="9"/>
        <v>1</v>
      </c>
      <c r="Y38" s="21">
        <f>SUMIFS(Y:Y,AF:AF,AE38)</f>
        <v>3410269.1800000006</v>
      </c>
      <c r="Z38" s="21">
        <f>SUMIFS(Z:Z,AF:AF,AE38)</f>
        <v>27246029.720000003</v>
      </c>
      <c r="AA38" s="22" t="s">
        <v>15</v>
      </c>
      <c r="AB38" s="43" t="s">
        <v>16</v>
      </c>
      <c r="AC38" s="181">
        <f t="shared" si="5"/>
        <v>1</v>
      </c>
      <c r="AD38" s="184"/>
      <c r="AE38" s="181">
        <v>1.2</v>
      </c>
      <c r="AF38" s="181"/>
      <c r="AG38" s="101" t="str">
        <f t="shared" si="6"/>
        <v/>
      </c>
      <c r="AH38" s="190">
        <v>1</v>
      </c>
      <c r="AI38" s="69">
        <f t="shared" si="7"/>
        <v>1</v>
      </c>
    </row>
    <row r="39" spans="1:35" s="69" customFormat="1" ht="39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 t="s">
        <v>15</v>
      </c>
      <c r="I39" s="75">
        <v>320.74</v>
      </c>
      <c r="J39" s="75">
        <v>753030.16</v>
      </c>
      <c r="K39" s="91" t="s">
        <v>104</v>
      </c>
      <c r="L39" s="73"/>
      <c r="M39" s="46">
        <v>1318.33</v>
      </c>
      <c r="N39" s="46">
        <v>122115.33999999997</v>
      </c>
      <c r="O39" s="46">
        <v>422841.16</v>
      </c>
      <c r="P39" s="98"/>
      <c r="Q39" s="23" t="s">
        <v>1421</v>
      </c>
      <c r="R39" s="24" t="s">
        <v>102</v>
      </c>
      <c r="S39" s="25" t="s">
        <v>103</v>
      </c>
      <c r="T39" s="26">
        <v>2347.79</v>
      </c>
      <c r="U39" s="26">
        <v>2347.79</v>
      </c>
      <c r="V39" s="26">
        <f t="shared" ref="V39:V102" si="10">I39</f>
        <v>320.74</v>
      </c>
      <c r="W39" s="243">
        <f t="shared" si="8"/>
        <v>236.29999999999995</v>
      </c>
      <c r="X39" s="26">
        <f t="shared" si="3"/>
        <v>1554.6299999999999</v>
      </c>
      <c r="Y39" s="26">
        <f t="shared" ref="Y39:Y102" si="11">Z39-O39</f>
        <v>75790.870000000054</v>
      </c>
      <c r="Z39" s="26">
        <f t="shared" si="4"/>
        <v>498632.03</v>
      </c>
      <c r="AA39" s="33" t="s">
        <v>15</v>
      </c>
      <c r="AB39" s="36" t="s">
        <v>16</v>
      </c>
      <c r="AC39" s="181">
        <f t="shared" si="5"/>
        <v>2347.79</v>
      </c>
      <c r="AD39" s="181">
        <f>ROUND(V39*AC39,2)</f>
        <v>753030.16</v>
      </c>
      <c r="AE39" s="181">
        <v>1.2</v>
      </c>
      <c r="AF39" s="181">
        <v>1.2</v>
      </c>
      <c r="AG39" s="101" t="str">
        <f t="shared" si="6"/>
        <v/>
      </c>
      <c r="AH39" s="191">
        <f>822+115.6+380.73+236.3</f>
        <v>1554.6299999999999</v>
      </c>
      <c r="AI39" s="69">
        <f t="shared" si="7"/>
        <v>2347.79</v>
      </c>
    </row>
    <row r="40" spans="1:35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 t="s">
        <v>15</v>
      </c>
      <c r="I40" s="75">
        <v>346.08</v>
      </c>
      <c r="J40" s="75">
        <v>261553.42</v>
      </c>
      <c r="K40" s="91" t="s">
        <v>107</v>
      </c>
      <c r="L40" s="73"/>
      <c r="M40" s="46">
        <v>23</v>
      </c>
      <c r="N40" s="46">
        <v>7959.84</v>
      </c>
      <c r="O40" s="46">
        <v>7959.84</v>
      </c>
      <c r="P40" s="98"/>
      <c r="Q40" s="23" t="s">
        <v>1426</v>
      </c>
      <c r="R40" s="24" t="s">
        <v>106</v>
      </c>
      <c r="S40" s="25" t="s">
        <v>103</v>
      </c>
      <c r="T40" s="26">
        <v>755.76</v>
      </c>
      <c r="U40" s="26">
        <v>755.76</v>
      </c>
      <c r="V40" s="26">
        <f t="shared" si="10"/>
        <v>346.08</v>
      </c>
      <c r="W40" s="243">
        <f t="shared" si="8"/>
        <v>62.8</v>
      </c>
      <c r="X40" s="26">
        <f t="shared" si="3"/>
        <v>85.8</v>
      </c>
      <c r="Y40" s="26">
        <f t="shared" si="11"/>
        <v>21733.82</v>
      </c>
      <c r="Z40" s="26">
        <f t="shared" si="4"/>
        <v>29693.66</v>
      </c>
      <c r="AA40" s="33" t="s">
        <v>15</v>
      </c>
      <c r="AB40" s="36" t="s">
        <v>16</v>
      </c>
      <c r="AC40" s="181">
        <f t="shared" si="5"/>
        <v>755.76</v>
      </c>
      <c r="AD40" s="181">
        <f t="shared" ref="AD40:AD103" si="12">ROUND(V40*AC40,2)</f>
        <v>261553.42</v>
      </c>
      <c r="AE40" s="181">
        <v>1.2</v>
      </c>
      <c r="AF40" s="181">
        <v>1.2</v>
      </c>
      <c r="AG40" s="101" t="str">
        <f t="shared" si="6"/>
        <v/>
      </c>
      <c r="AH40" s="191">
        <f>23+62.8</f>
        <v>85.8</v>
      </c>
      <c r="AI40" s="69">
        <f t="shared" si="7"/>
        <v>755.76</v>
      </c>
    </row>
    <row r="41" spans="1:35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 t="s">
        <v>15</v>
      </c>
      <c r="I41" s="75">
        <v>36.4</v>
      </c>
      <c r="J41" s="75">
        <v>1355298.67</v>
      </c>
      <c r="K41" s="91" t="s">
        <v>111</v>
      </c>
      <c r="L41" s="73"/>
      <c r="M41" s="46">
        <v>21761.1</v>
      </c>
      <c r="N41" s="46">
        <v>0</v>
      </c>
      <c r="O41" s="46">
        <v>792104.04</v>
      </c>
      <c r="P41" s="98"/>
      <c r="Q41" s="23" t="s">
        <v>1402</v>
      </c>
      <c r="R41" s="24" t="s">
        <v>109</v>
      </c>
      <c r="S41" s="25" t="s">
        <v>110</v>
      </c>
      <c r="T41" s="26">
        <v>37233.480000000003</v>
      </c>
      <c r="U41" s="26">
        <v>37233.480000000003</v>
      </c>
      <c r="V41" s="26">
        <f t="shared" si="10"/>
        <v>36.4</v>
      </c>
      <c r="W41" s="243">
        <f t="shared" si="8"/>
        <v>2325.2000000000007</v>
      </c>
      <c r="X41" s="26">
        <f t="shared" si="3"/>
        <v>24086.3</v>
      </c>
      <c r="Y41" s="26">
        <f t="shared" si="11"/>
        <v>84637.279999999912</v>
      </c>
      <c r="Z41" s="26">
        <f t="shared" si="4"/>
        <v>876741.32</v>
      </c>
      <c r="AA41" s="33" t="s">
        <v>15</v>
      </c>
      <c r="AB41" s="36" t="s">
        <v>16</v>
      </c>
      <c r="AC41" s="181">
        <f t="shared" si="5"/>
        <v>37233.480000000003</v>
      </c>
      <c r="AD41" s="181">
        <f t="shared" si="12"/>
        <v>1355298.67</v>
      </c>
      <c r="AE41" s="181">
        <v>1.2</v>
      </c>
      <c r="AF41" s="181">
        <v>1.2</v>
      </c>
      <c r="AG41" s="101" t="str">
        <f t="shared" si="6"/>
        <v/>
      </c>
      <c r="AH41" s="191">
        <f>4011.3+10712+7037.8+2325.2</f>
        <v>24086.3</v>
      </c>
      <c r="AI41" s="69">
        <f t="shared" si="7"/>
        <v>37233.480000000003</v>
      </c>
    </row>
    <row r="42" spans="1:35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 t="s">
        <v>15</v>
      </c>
      <c r="I42" s="75">
        <v>3115.13</v>
      </c>
      <c r="J42" s="75">
        <v>918901.05</v>
      </c>
      <c r="K42" s="91" t="s">
        <v>114</v>
      </c>
      <c r="L42" s="73"/>
      <c r="M42" s="46">
        <v>211.71000000000004</v>
      </c>
      <c r="N42" s="46">
        <v>348925.71</v>
      </c>
      <c r="O42" s="46">
        <v>659504.17000000004</v>
      </c>
      <c r="P42" s="98"/>
      <c r="Q42" s="23" t="s">
        <v>1373</v>
      </c>
      <c r="R42" s="24" t="s">
        <v>392</v>
      </c>
      <c r="S42" s="25" t="s">
        <v>23</v>
      </c>
      <c r="T42" s="26">
        <v>294.98</v>
      </c>
      <c r="U42" s="26">
        <v>294.98</v>
      </c>
      <c r="V42" s="26">
        <f t="shared" si="10"/>
        <v>3115.13</v>
      </c>
      <c r="W42" s="243">
        <f t="shared" si="8"/>
        <v>5.6999999999999886</v>
      </c>
      <c r="X42" s="26">
        <f t="shared" si="3"/>
        <v>217.41000000000003</v>
      </c>
      <c r="Y42" s="26">
        <f t="shared" si="11"/>
        <v>17756.239999999991</v>
      </c>
      <c r="Z42" s="26">
        <f t="shared" si="4"/>
        <v>677260.41</v>
      </c>
      <c r="AA42" s="33" t="s">
        <v>15</v>
      </c>
      <c r="AB42" s="36" t="s">
        <v>16</v>
      </c>
      <c r="AC42" s="181">
        <f t="shared" si="5"/>
        <v>294.98</v>
      </c>
      <c r="AD42" s="181">
        <f t="shared" si="12"/>
        <v>918901.05</v>
      </c>
      <c r="AE42" s="181">
        <v>1.2</v>
      </c>
      <c r="AF42" s="181">
        <v>1.2</v>
      </c>
      <c r="AG42" s="101" t="str">
        <f t="shared" si="6"/>
        <v/>
      </c>
      <c r="AH42" s="191">
        <f>36.6+39.2+23.9+112.01+5.7</f>
        <v>217.41000000000003</v>
      </c>
      <c r="AI42" s="69">
        <f t="shared" si="7"/>
        <v>294.98</v>
      </c>
    </row>
    <row r="43" spans="1:35" s="69" customFormat="1" ht="39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 t="s">
        <v>15</v>
      </c>
      <c r="I43" s="75">
        <v>3321.13</v>
      </c>
      <c r="J43" s="75">
        <v>2811934.35</v>
      </c>
      <c r="K43" s="91" t="s">
        <v>117</v>
      </c>
      <c r="L43" s="73"/>
      <c r="M43" s="46">
        <v>571.09999999999991</v>
      </c>
      <c r="N43" s="46">
        <v>0</v>
      </c>
      <c r="O43" s="46">
        <v>1896697.34</v>
      </c>
      <c r="P43" s="98"/>
      <c r="Q43" s="23" t="s">
        <v>1393</v>
      </c>
      <c r="R43" s="24" t="s">
        <v>116</v>
      </c>
      <c r="S43" s="25" t="s">
        <v>23</v>
      </c>
      <c r="T43" s="26">
        <v>846.68</v>
      </c>
      <c r="U43" s="26">
        <v>846.68</v>
      </c>
      <c r="V43" s="26">
        <f t="shared" si="10"/>
        <v>3321.13</v>
      </c>
      <c r="W43" s="243">
        <f t="shared" si="8"/>
        <v>92.299999999999955</v>
      </c>
      <c r="X43" s="26">
        <f t="shared" si="3"/>
        <v>663.39999999999986</v>
      </c>
      <c r="Y43" s="26">
        <f t="shared" si="11"/>
        <v>306540.30000000005</v>
      </c>
      <c r="Z43" s="26">
        <f t="shared" si="4"/>
        <v>2203237.64</v>
      </c>
      <c r="AA43" s="33" t="s">
        <v>15</v>
      </c>
      <c r="AB43" s="36" t="s">
        <v>16</v>
      </c>
      <c r="AC43" s="181">
        <f t="shared" si="5"/>
        <v>846.68</v>
      </c>
      <c r="AD43" s="181">
        <f t="shared" si="12"/>
        <v>2811934.35</v>
      </c>
      <c r="AE43" s="181">
        <v>1.2</v>
      </c>
      <c r="AF43" s="181">
        <v>1.2</v>
      </c>
      <c r="AG43" s="101" t="str">
        <f t="shared" si="6"/>
        <v/>
      </c>
      <c r="AH43" s="191">
        <f>282.3+157.6+131.2+92.3</f>
        <v>663.39999999999986</v>
      </c>
      <c r="AI43" s="69">
        <f t="shared" si="7"/>
        <v>846.68</v>
      </c>
    </row>
    <row r="44" spans="1:35" s="69" customFormat="1" ht="26.1" customHeight="1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 t="s">
        <v>15</v>
      </c>
      <c r="I44" s="75">
        <v>533.64</v>
      </c>
      <c r="J44" s="75">
        <v>1273974.78</v>
      </c>
      <c r="K44" s="91" t="s">
        <v>120</v>
      </c>
      <c r="L44" s="73"/>
      <c r="M44" s="46">
        <v>1926.34</v>
      </c>
      <c r="N44" s="46">
        <v>348488.2699999999</v>
      </c>
      <c r="O44" s="46">
        <v>1027972.08</v>
      </c>
      <c r="P44" s="98"/>
      <c r="Q44" s="23" t="s">
        <v>1403</v>
      </c>
      <c r="R44" s="24" t="s">
        <v>119</v>
      </c>
      <c r="S44" s="25" t="s">
        <v>50</v>
      </c>
      <c r="T44" s="26">
        <v>2387.33</v>
      </c>
      <c r="U44" s="26">
        <v>2387.33</v>
      </c>
      <c r="V44" s="26">
        <f t="shared" si="10"/>
        <v>533.64</v>
      </c>
      <c r="W44" s="243">
        <f t="shared" si="8"/>
        <v>121.20000000000005</v>
      </c>
      <c r="X44" s="26">
        <f t="shared" si="3"/>
        <v>2047.54</v>
      </c>
      <c r="Y44" s="26">
        <f t="shared" si="11"/>
        <v>64677.170000000042</v>
      </c>
      <c r="Z44" s="26">
        <f t="shared" si="4"/>
        <v>1092649.25</v>
      </c>
      <c r="AA44" s="33" t="s">
        <v>15</v>
      </c>
      <c r="AB44" s="36" t="s">
        <v>16</v>
      </c>
      <c r="AC44" s="181">
        <f t="shared" si="5"/>
        <v>2387.33</v>
      </c>
      <c r="AD44" s="181">
        <f t="shared" si="12"/>
        <v>1273974.78</v>
      </c>
      <c r="AE44" s="181">
        <v>1.2</v>
      </c>
      <c r="AF44" s="181">
        <v>1.2</v>
      </c>
      <c r="AG44" s="101" t="str">
        <f t="shared" si="6"/>
        <v/>
      </c>
      <c r="AH44" s="191">
        <f>815.4+226.8+231.1+653.04+121.2</f>
        <v>2047.54</v>
      </c>
      <c r="AI44" s="69">
        <f t="shared" si="7"/>
        <v>2387.33</v>
      </c>
    </row>
    <row r="45" spans="1:35" s="69" customFormat="1" ht="26.1" customHeight="1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 t="s">
        <v>15</v>
      </c>
      <c r="I45" s="75">
        <v>1299.8900000000001</v>
      </c>
      <c r="J45" s="75">
        <v>1770710.16</v>
      </c>
      <c r="K45" s="91" t="s">
        <v>123</v>
      </c>
      <c r="L45" s="73"/>
      <c r="M45" s="46">
        <v>343.5</v>
      </c>
      <c r="N45" s="46">
        <v>0</v>
      </c>
      <c r="O45" s="46">
        <v>446512.22</v>
      </c>
      <c r="P45" s="98"/>
      <c r="Q45" s="23" t="s">
        <v>1427</v>
      </c>
      <c r="R45" s="24" t="s">
        <v>122</v>
      </c>
      <c r="S45" s="25" t="s">
        <v>50</v>
      </c>
      <c r="T45" s="26">
        <v>1362.2</v>
      </c>
      <c r="U45" s="26">
        <v>1362.2</v>
      </c>
      <c r="V45" s="26">
        <f t="shared" si="10"/>
        <v>1299.8900000000001</v>
      </c>
      <c r="W45" s="243">
        <f t="shared" si="8"/>
        <v>296.5</v>
      </c>
      <c r="X45" s="26">
        <f t="shared" si="3"/>
        <v>640</v>
      </c>
      <c r="Y45" s="26">
        <f t="shared" si="11"/>
        <v>385417.38</v>
      </c>
      <c r="Z45" s="26">
        <f t="shared" si="4"/>
        <v>831929.6</v>
      </c>
      <c r="AA45" s="33" t="s">
        <v>15</v>
      </c>
      <c r="AB45" s="36" t="s">
        <v>16</v>
      </c>
      <c r="AC45" s="181">
        <f t="shared" si="5"/>
        <v>1362.2</v>
      </c>
      <c r="AD45" s="181">
        <f t="shared" si="12"/>
        <v>1770710.16</v>
      </c>
      <c r="AE45" s="181">
        <v>1.2</v>
      </c>
      <c r="AF45" s="181">
        <v>1.2</v>
      </c>
      <c r="AG45" s="101" t="str">
        <f t="shared" si="6"/>
        <v/>
      </c>
      <c r="AH45" s="191">
        <f>165+139.2+39.3+296.5</f>
        <v>640</v>
      </c>
      <c r="AI45" s="69">
        <f t="shared" si="7"/>
        <v>1362.2</v>
      </c>
    </row>
    <row r="46" spans="1:35" s="69" customFormat="1" ht="26.1" customHeight="1" x14ac:dyDescent="0.3">
      <c r="A46" s="130" t="s">
        <v>124</v>
      </c>
      <c r="B46" s="131" t="s">
        <v>125</v>
      </c>
      <c r="C46" s="132" t="s">
        <v>110</v>
      </c>
      <c r="D46" s="133">
        <v>4781.5600000000004</v>
      </c>
      <c r="E46" s="75"/>
      <c r="F46" s="75"/>
      <c r="G46" s="75"/>
      <c r="H46" s="75" t="s">
        <v>15</v>
      </c>
      <c r="I46" s="75">
        <v>60</v>
      </c>
      <c r="J46" s="75">
        <v>286893.59999999998</v>
      </c>
      <c r="K46" s="91" t="s">
        <v>126</v>
      </c>
      <c r="L46" s="73"/>
      <c r="M46" s="46">
        <v>4781.5</v>
      </c>
      <c r="N46" s="46">
        <v>0</v>
      </c>
      <c r="O46" s="46">
        <v>286890</v>
      </c>
      <c r="P46" s="98"/>
      <c r="Q46" s="23" t="s">
        <v>1428</v>
      </c>
      <c r="R46" s="24" t="s">
        <v>125</v>
      </c>
      <c r="S46" s="25" t="s">
        <v>110</v>
      </c>
      <c r="T46" s="26">
        <v>4781.5600000000004</v>
      </c>
      <c r="U46" s="26">
        <v>4781.5600000000004</v>
      </c>
      <c r="V46" s="26">
        <f t="shared" si="10"/>
        <v>60</v>
      </c>
      <c r="W46" s="209">
        <f t="shared" si="8"/>
        <v>0</v>
      </c>
      <c r="X46" s="127">
        <f t="shared" si="3"/>
        <v>4781.5</v>
      </c>
      <c r="Y46" s="127">
        <f t="shared" si="11"/>
        <v>0</v>
      </c>
      <c r="Z46" s="127">
        <f t="shared" si="4"/>
        <v>286890</v>
      </c>
      <c r="AA46" s="33" t="s">
        <v>15</v>
      </c>
      <c r="AB46" s="36" t="s">
        <v>16</v>
      </c>
      <c r="AC46" s="181">
        <f t="shared" si="5"/>
        <v>4781.5600000000004</v>
      </c>
      <c r="AD46" s="181">
        <f t="shared" si="12"/>
        <v>286893.59999999998</v>
      </c>
      <c r="AE46" s="181">
        <v>1.2</v>
      </c>
      <c r="AF46" s="181">
        <v>1.2</v>
      </c>
      <c r="AG46" s="101" t="str">
        <f t="shared" si="6"/>
        <v/>
      </c>
      <c r="AH46" s="191">
        <f>3546.4+1235.1</f>
        <v>4781.5</v>
      </c>
      <c r="AI46" s="69">
        <f t="shared" si="7"/>
        <v>4781.5600000000004</v>
      </c>
    </row>
    <row r="47" spans="1:35" s="69" customFormat="1" ht="39" x14ac:dyDescent="0.3">
      <c r="A47" s="130" t="s">
        <v>127</v>
      </c>
      <c r="B47" s="131" t="s">
        <v>128</v>
      </c>
      <c r="C47" s="132" t="s">
        <v>110</v>
      </c>
      <c r="D47" s="133">
        <v>4781.5600000000004</v>
      </c>
      <c r="E47" s="75"/>
      <c r="F47" s="75"/>
      <c r="G47" s="75"/>
      <c r="H47" s="75" t="s">
        <v>15</v>
      </c>
      <c r="I47" s="75">
        <v>31.9</v>
      </c>
      <c r="J47" s="75">
        <v>152531.76</v>
      </c>
      <c r="K47" s="91" t="s">
        <v>129</v>
      </c>
      <c r="L47" s="73"/>
      <c r="M47" s="46">
        <v>4781.5</v>
      </c>
      <c r="N47" s="46">
        <v>0</v>
      </c>
      <c r="O47" s="46">
        <v>152529.85</v>
      </c>
      <c r="P47" s="98"/>
      <c r="Q47" s="23" t="s">
        <v>1387</v>
      </c>
      <c r="R47" s="24" t="s">
        <v>128</v>
      </c>
      <c r="S47" s="25" t="s">
        <v>110</v>
      </c>
      <c r="T47" s="26">
        <v>4781.5600000000004</v>
      </c>
      <c r="U47" s="26">
        <v>4781.5600000000004</v>
      </c>
      <c r="V47" s="26">
        <f t="shared" si="10"/>
        <v>31.9</v>
      </c>
      <c r="W47" s="209">
        <f t="shared" si="8"/>
        <v>0</v>
      </c>
      <c r="X47" s="127">
        <f t="shared" si="3"/>
        <v>4781.5</v>
      </c>
      <c r="Y47" s="127">
        <f t="shared" si="11"/>
        <v>0</v>
      </c>
      <c r="Z47" s="127">
        <f t="shared" si="4"/>
        <v>152529.85</v>
      </c>
      <c r="AA47" s="33" t="s">
        <v>15</v>
      </c>
      <c r="AB47" s="36" t="s">
        <v>16</v>
      </c>
      <c r="AC47" s="181">
        <f t="shared" si="5"/>
        <v>4781.5600000000004</v>
      </c>
      <c r="AD47" s="181">
        <f t="shared" si="12"/>
        <v>152531.76</v>
      </c>
      <c r="AE47" s="181">
        <v>1.2</v>
      </c>
      <c r="AF47" s="181">
        <v>1.2</v>
      </c>
      <c r="AG47" s="101" t="str">
        <f t="shared" si="6"/>
        <v/>
      </c>
      <c r="AH47" s="191">
        <f>AH46</f>
        <v>4781.5</v>
      </c>
      <c r="AI47" s="69">
        <f t="shared" si="7"/>
        <v>4781.5600000000004</v>
      </c>
    </row>
    <row r="48" spans="1:35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 t="s">
        <v>15</v>
      </c>
      <c r="I48" s="75">
        <v>107.31</v>
      </c>
      <c r="J48" s="75">
        <v>246905.29</v>
      </c>
      <c r="K48" s="91" t="s">
        <v>132</v>
      </c>
      <c r="L48" s="73"/>
      <c r="M48" s="46">
        <v>1855</v>
      </c>
      <c r="N48" s="46">
        <v>0</v>
      </c>
      <c r="O48" s="46">
        <v>199060.05</v>
      </c>
      <c r="P48" s="98"/>
      <c r="Q48" s="23" t="s">
        <v>1405</v>
      </c>
      <c r="R48" s="24" t="s">
        <v>131</v>
      </c>
      <c r="S48" s="25" t="s">
        <v>110</v>
      </c>
      <c r="T48" s="26">
        <v>2300.86</v>
      </c>
      <c r="U48" s="26">
        <v>2300.86</v>
      </c>
      <c r="V48" s="26">
        <f t="shared" si="10"/>
        <v>107.31</v>
      </c>
      <c r="W48" s="128">
        <f t="shared" si="8"/>
        <v>0</v>
      </c>
      <c r="X48" s="26">
        <f t="shared" si="3"/>
        <v>1855</v>
      </c>
      <c r="Y48" s="26">
        <f t="shared" si="11"/>
        <v>0</v>
      </c>
      <c r="Z48" s="26">
        <f t="shared" si="4"/>
        <v>199060.05</v>
      </c>
      <c r="AA48" s="33" t="s">
        <v>15</v>
      </c>
      <c r="AB48" s="36" t="s">
        <v>16</v>
      </c>
      <c r="AC48" s="181">
        <f t="shared" si="5"/>
        <v>2300.86</v>
      </c>
      <c r="AD48" s="181">
        <f t="shared" si="12"/>
        <v>246905.29</v>
      </c>
      <c r="AE48" s="181">
        <v>1.2</v>
      </c>
      <c r="AF48" s="181">
        <v>1.2</v>
      </c>
      <c r="AG48" s="101" t="str">
        <f t="shared" si="6"/>
        <v/>
      </c>
      <c r="AH48" s="191">
        <v>1855</v>
      </c>
      <c r="AI48" s="69">
        <f t="shared" si="7"/>
        <v>2300.86</v>
      </c>
    </row>
    <row r="49" spans="1:35" s="69" customFormat="1" ht="33" x14ac:dyDescent="0.3">
      <c r="A49" s="55" t="s">
        <v>133</v>
      </c>
      <c r="B49" s="215" t="s">
        <v>134</v>
      </c>
      <c r="C49" s="54" t="s">
        <v>50</v>
      </c>
      <c r="D49" s="75">
        <v>5207.01</v>
      </c>
      <c r="E49" s="75"/>
      <c r="F49" s="75"/>
      <c r="G49" s="75"/>
      <c r="H49" s="75" t="s">
        <v>15</v>
      </c>
      <c r="I49" s="75">
        <v>2964</v>
      </c>
      <c r="J49" s="75">
        <v>15433577.640000001</v>
      </c>
      <c r="K49" s="137" t="s">
        <v>135</v>
      </c>
      <c r="L49" s="73"/>
      <c r="M49" s="46">
        <v>2834.99</v>
      </c>
      <c r="N49" s="46">
        <v>1934869.5599999996</v>
      </c>
      <c r="O49" s="46">
        <v>8402910.3599999994</v>
      </c>
      <c r="P49" s="98"/>
      <c r="Q49" s="23" t="s">
        <v>1406</v>
      </c>
      <c r="R49" s="24" t="s">
        <v>134</v>
      </c>
      <c r="S49" s="25" t="s">
        <v>50</v>
      </c>
      <c r="T49" s="26">
        <v>5207.01</v>
      </c>
      <c r="U49" s="26">
        <v>5207.01</v>
      </c>
      <c r="V49" s="26">
        <f t="shared" si="10"/>
        <v>2964</v>
      </c>
      <c r="W49" s="243">
        <f t="shared" si="8"/>
        <v>539.19999999999982</v>
      </c>
      <c r="X49" s="26">
        <f t="shared" si="3"/>
        <v>3374.1899999999996</v>
      </c>
      <c r="Y49" s="26">
        <f t="shared" si="11"/>
        <v>1598188.8000000007</v>
      </c>
      <c r="Z49" s="26">
        <f t="shared" si="4"/>
        <v>10001099.16</v>
      </c>
      <c r="AA49" s="33" t="s">
        <v>15</v>
      </c>
      <c r="AB49" s="36" t="s">
        <v>16</v>
      </c>
      <c r="AC49" s="181">
        <f t="shared" si="5"/>
        <v>5207.01</v>
      </c>
      <c r="AD49" s="181">
        <f t="shared" si="12"/>
        <v>15433577.640000001</v>
      </c>
      <c r="AE49" s="181">
        <v>1.2</v>
      </c>
      <c r="AF49" s="181">
        <v>1.2</v>
      </c>
      <c r="AG49" s="101" t="str">
        <f t="shared" si="6"/>
        <v/>
      </c>
      <c r="AH49" s="191">
        <f>1759.3+212.2+210.7+652.79+539.2</f>
        <v>3374.1899999999996</v>
      </c>
      <c r="AI49" s="69">
        <f t="shared" si="7"/>
        <v>5207.01</v>
      </c>
    </row>
    <row r="50" spans="1:35" s="69" customFormat="1" ht="39" x14ac:dyDescent="0.3">
      <c r="A50" s="55" t="s">
        <v>136</v>
      </c>
      <c r="B50" s="53" t="s">
        <v>3138</v>
      </c>
      <c r="C50" s="54" t="s">
        <v>50</v>
      </c>
      <c r="D50" s="75">
        <v>693.8</v>
      </c>
      <c r="E50" s="75"/>
      <c r="F50" s="75"/>
      <c r="G50" s="75"/>
      <c r="H50" s="75" t="s">
        <v>15</v>
      </c>
      <c r="I50" s="75">
        <v>3961.57</v>
      </c>
      <c r="J50" s="75">
        <v>2748537.27</v>
      </c>
      <c r="K50" s="137" t="s">
        <v>138</v>
      </c>
      <c r="L50" s="73"/>
      <c r="M50" s="46">
        <v>519.79999999999995</v>
      </c>
      <c r="N50" s="46">
        <v>0</v>
      </c>
      <c r="O50" s="46">
        <v>2059224.09</v>
      </c>
      <c r="P50" s="98"/>
      <c r="Q50" s="23" t="s">
        <v>1414</v>
      </c>
      <c r="R50" s="24" t="s">
        <v>137</v>
      </c>
      <c r="S50" s="25" t="s">
        <v>50</v>
      </c>
      <c r="T50" s="26">
        <v>693.8</v>
      </c>
      <c r="U50" s="26">
        <v>693.8</v>
      </c>
      <c r="V50" s="26">
        <f t="shared" si="10"/>
        <v>3961.57</v>
      </c>
      <c r="W50" s="243">
        <f>AH50-M50</f>
        <v>0</v>
      </c>
      <c r="X50" s="26">
        <f t="shared" si="3"/>
        <v>519.79999999999995</v>
      </c>
      <c r="Y50" s="26">
        <f t="shared" si="11"/>
        <v>0</v>
      </c>
      <c r="Z50" s="26">
        <f t="shared" si="4"/>
        <v>2059224.09</v>
      </c>
      <c r="AA50" s="33" t="s">
        <v>15</v>
      </c>
      <c r="AB50" s="36" t="s">
        <v>16</v>
      </c>
      <c r="AC50" s="181">
        <f t="shared" si="5"/>
        <v>693.8</v>
      </c>
      <c r="AD50" s="181">
        <f t="shared" si="12"/>
        <v>2748537.27</v>
      </c>
      <c r="AE50" s="181">
        <v>1.2</v>
      </c>
      <c r="AF50" s="181">
        <v>1.2</v>
      </c>
      <c r="AG50" s="101" t="str">
        <f t="shared" si="6"/>
        <v/>
      </c>
      <c r="AH50" s="191">
        <f>286.8+233</f>
        <v>519.79999999999995</v>
      </c>
      <c r="AI50" s="69">
        <f t="shared" si="7"/>
        <v>693.8</v>
      </c>
    </row>
    <row r="51" spans="1:35" s="69" customFormat="1" ht="26.1" customHeight="1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 t="s">
        <v>15</v>
      </c>
      <c r="I51" s="75">
        <v>3965.81</v>
      </c>
      <c r="J51" s="75">
        <v>1488090.89</v>
      </c>
      <c r="K51" s="137" t="s">
        <v>141</v>
      </c>
      <c r="L51" s="73"/>
      <c r="M51" s="46">
        <v>0</v>
      </c>
      <c r="N51" s="46">
        <v>0</v>
      </c>
      <c r="O51" s="46">
        <v>0</v>
      </c>
      <c r="P51" s="98"/>
      <c r="Q51" s="23" t="s">
        <v>1429</v>
      </c>
      <c r="R51" s="24" t="s">
        <v>140</v>
      </c>
      <c r="S51" s="25" t="s">
        <v>50</v>
      </c>
      <c r="T51" s="26">
        <v>375.23</v>
      </c>
      <c r="U51" s="26">
        <v>375.23</v>
      </c>
      <c r="V51" s="26">
        <f t="shared" si="10"/>
        <v>3965.81</v>
      </c>
      <c r="W51" s="26">
        <f t="shared" si="8"/>
        <v>0</v>
      </c>
      <c r="X51" s="26">
        <f t="shared" si="3"/>
        <v>0</v>
      </c>
      <c r="Y51" s="26">
        <f t="shared" si="11"/>
        <v>0</v>
      </c>
      <c r="Z51" s="26">
        <f t="shared" si="4"/>
        <v>0</v>
      </c>
      <c r="AA51" s="33" t="s">
        <v>15</v>
      </c>
      <c r="AB51" s="36" t="s">
        <v>16</v>
      </c>
      <c r="AC51" s="181">
        <f t="shared" si="5"/>
        <v>375.23</v>
      </c>
      <c r="AD51" s="181">
        <f t="shared" si="12"/>
        <v>1488090.89</v>
      </c>
      <c r="AE51" s="181">
        <v>1.2</v>
      </c>
      <c r="AF51" s="181">
        <v>1.2</v>
      </c>
      <c r="AG51" s="101" t="str">
        <f t="shared" si="6"/>
        <v/>
      </c>
      <c r="AH51" s="190">
        <v>0</v>
      </c>
      <c r="AI51" s="69">
        <f t="shared" si="7"/>
        <v>375.23</v>
      </c>
    </row>
    <row r="52" spans="1:35" s="69" customFormat="1" ht="26.1" customHeight="1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 t="s">
        <v>15</v>
      </c>
      <c r="I52" s="75">
        <v>773.88</v>
      </c>
      <c r="J52" s="75">
        <v>26931.02</v>
      </c>
      <c r="K52" s="91" t="s">
        <v>144</v>
      </c>
      <c r="L52" s="73"/>
      <c r="M52" s="46">
        <v>0</v>
      </c>
      <c r="N52" s="46">
        <v>0</v>
      </c>
      <c r="O52" s="46">
        <v>0</v>
      </c>
      <c r="P52" s="98"/>
      <c r="Q52" s="23" t="s">
        <v>1430</v>
      </c>
      <c r="R52" s="24" t="s">
        <v>143</v>
      </c>
      <c r="S52" s="25" t="s">
        <v>50</v>
      </c>
      <c r="T52" s="26">
        <v>34.799999999999997</v>
      </c>
      <c r="U52" s="26">
        <v>34.799999999999997</v>
      </c>
      <c r="V52" s="26">
        <f t="shared" si="10"/>
        <v>773.88</v>
      </c>
      <c r="W52" s="26">
        <f t="shared" si="8"/>
        <v>0</v>
      </c>
      <c r="X52" s="26">
        <f t="shared" si="3"/>
        <v>0</v>
      </c>
      <c r="Y52" s="26">
        <f t="shared" si="11"/>
        <v>0</v>
      </c>
      <c r="Z52" s="26">
        <f t="shared" si="4"/>
        <v>0</v>
      </c>
      <c r="AA52" s="33" t="s">
        <v>15</v>
      </c>
      <c r="AB52" s="36" t="s">
        <v>16</v>
      </c>
      <c r="AC52" s="181">
        <f t="shared" si="5"/>
        <v>34.799999999999997</v>
      </c>
      <c r="AD52" s="181">
        <f t="shared" si="12"/>
        <v>26931.02</v>
      </c>
      <c r="AE52" s="181">
        <v>1.2</v>
      </c>
      <c r="AF52" s="181">
        <v>1.2</v>
      </c>
      <c r="AG52" s="101" t="str">
        <f t="shared" si="6"/>
        <v/>
      </c>
      <c r="AH52" s="190">
        <v>0</v>
      </c>
      <c r="AI52" s="69">
        <f t="shared" si="7"/>
        <v>34.799999999999997</v>
      </c>
    </row>
    <row r="53" spans="1:35" s="69" customFormat="1" ht="26.1" customHeight="1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 t="s">
        <v>15</v>
      </c>
      <c r="I53" s="75">
        <v>948.4</v>
      </c>
      <c r="J53" s="75">
        <v>11361.83</v>
      </c>
      <c r="K53" s="91" t="s">
        <v>147</v>
      </c>
      <c r="L53" s="73"/>
      <c r="M53" s="46">
        <v>0</v>
      </c>
      <c r="N53" s="46">
        <v>0</v>
      </c>
      <c r="O53" s="46">
        <v>0</v>
      </c>
      <c r="P53" s="98"/>
      <c r="Q53" s="23" t="s">
        <v>1431</v>
      </c>
      <c r="R53" s="24" t="s">
        <v>146</v>
      </c>
      <c r="S53" s="25" t="s">
        <v>50</v>
      </c>
      <c r="T53" s="26">
        <v>11.98</v>
      </c>
      <c r="U53" s="26">
        <v>11.98</v>
      </c>
      <c r="V53" s="26">
        <f t="shared" si="10"/>
        <v>948.4</v>
      </c>
      <c r="W53" s="26">
        <f t="shared" si="8"/>
        <v>0</v>
      </c>
      <c r="X53" s="26">
        <f t="shared" si="3"/>
        <v>0</v>
      </c>
      <c r="Y53" s="26">
        <f t="shared" si="11"/>
        <v>0</v>
      </c>
      <c r="Z53" s="26">
        <f t="shared" si="4"/>
        <v>0</v>
      </c>
      <c r="AA53" s="33" t="s">
        <v>15</v>
      </c>
      <c r="AB53" s="36" t="s">
        <v>16</v>
      </c>
      <c r="AC53" s="181">
        <f t="shared" si="5"/>
        <v>11.98</v>
      </c>
      <c r="AD53" s="181">
        <f t="shared" si="12"/>
        <v>11361.83</v>
      </c>
      <c r="AE53" s="181">
        <v>1.2</v>
      </c>
      <c r="AF53" s="181">
        <v>1.2</v>
      </c>
      <c r="AG53" s="101" t="str">
        <f t="shared" si="6"/>
        <v/>
      </c>
      <c r="AH53" s="190">
        <v>0</v>
      </c>
      <c r="AI53" s="69">
        <f t="shared" si="7"/>
        <v>11.98</v>
      </c>
    </row>
    <row r="54" spans="1:35" s="69" customFormat="1" ht="26.1" customHeight="1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 t="s">
        <v>15</v>
      </c>
      <c r="I54" s="75">
        <v>6163.46</v>
      </c>
      <c r="J54" s="75">
        <v>870650.36</v>
      </c>
      <c r="K54" s="91" t="s">
        <v>150</v>
      </c>
      <c r="L54" s="73"/>
      <c r="M54" s="46">
        <v>12</v>
      </c>
      <c r="N54" s="46">
        <v>0</v>
      </c>
      <c r="O54" s="46">
        <v>73961.52</v>
      </c>
      <c r="P54" s="98"/>
      <c r="Q54" s="23" t="s">
        <v>1395</v>
      </c>
      <c r="R54" s="24" t="s">
        <v>149</v>
      </c>
      <c r="S54" s="25" t="s">
        <v>50</v>
      </c>
      <c r="T54" s="26">
        <v>141.26</v>
      </c>
      <c r="U54" s="26">
        <v>141.26</v>
      </c>
      <c r="V54" s="26">
        <f t="shared" si="10"/>
        <v>6163.46</v>
      </c>
      <c r="W54" s="128">
        <f t="shared" si="8"/>
        <v>0</v>
      </c>
      <c r="X54" s="26">
        <f t="shared" si="3"/>
        <v>12</v>
      </c>
      <c r="Y54" s="26">
        <f t="shared" si="11"/>
        <v>0</v>
      </c>
      <c r="Z54" s="26">
        <f t="shared" si="4"/>
        <v>73961.52</v>
      </c>
      <c r="AA54" s="33" t="s">
        <v>15</v>
      </c>
      <c r="AB54" s="36" t="s">
        <v>16</v>
      </c>
      <c r="AC54" s="181">
        <f t="shared" si="5"/>
        <v>141.26</v>
      </c>
      <c r="AD54" s="181">
        <f t="shared" si="12"/>
        <v>870650.36</v>
      </c>
      <c r="AE54" s="181">
        <v>1.2</v>
      </c>
      <c r="AF54" s="181">
        <v>1.2</v>
      </c>
      <c r="AG54" s="101" t="str">
        <f t="shared" si="6"/>
        <v/>
      </c>
      <c r="AH54" s="191">
        <f>12</f>
        <v>12</v>
      </c>
      <c r="AI54" s="69">
        <f t="shared" si="7"/>
        <v>141.26</v>
      </c>
    </row>
    <row r="55" spans="1:35" s="69" customFormat="1" ht="26.1" customHeight="1" x14ac:dyDescent="0.3">
      <c r="A55" s="130" t="s">
        <v>151</v>
      </c>
      <c r="B55" s="131" t="s">
        <v>152</v>
      </c>
      <c r="C55" s="132" t="s">
        <v>81</v>
      </c>
      <c r="D55" s="133">
        <v>1</v>
      </c>
      <c r="E55" s="75"/>
      <c r="F55" s="75"/>
      <c r="G55" s="75"/>
      <c r="H55" s="75" t="s">
        <v>15</v>
      </c>
      <c r="I55" s="75">
        <v>169519.61</v>
      </c>
      <c r="J55" s="75">
        <v>169519.61</v>
      </c>
      <c r="K55" s="91" t="s">
        <v>153</v>
      </c>
      <c r="L55" s="73"/>
      <c r="M55" s="46">
        <v>0</v>
      </c>
      <c r="N55" s="46">
        <v>0</v>
      </c>
      <c r="O55" s="46">
        <v>0</v>
      </c>
      <c r="P55" s="98"/>
      <c r="Q55" s="23" t="s">
        <v>1432</v>
      </c>
      <c r="R55" s="24" t="s">
        <v>152</v>
      </c>
      <c r="S55" s="25" t="s">
        <v>81</v>
      </c>
      <c r="T55" s="26">
        <v>1</v>
      </c>
      <c r="U55" s="26">
        <v>1</v>
      </c>
      <c r="V55" s="26">
        <f t="shared" si="10"/>
        <v>169519.61</v>
      </c>
      <c r="W55" s="199">
        <f t="shared" si="8"/>
        <v>1</v>
      </c>
      <c r="X55" s="127">
        <f t="shared" si="3"/>
        <v>1</v>
      </c>
      <c r="Y55" s="127">
        <f t="shared" si="11"/>
        <v>169519.61</v>
      </c>
      <c r="Z55" s="127">
        <f t="shared" si="4"/>
        <v>169519.61</v>
      </c>
      <c r="AA55" s="33" t="s">
        <v>15</v>
      </c>
      <c r="AB55" s="36" t="s">
        <v>16</v>
      </c>
      <c r="AC55" s="181">
        <f t="shared" si="5"/>
        <v>1</v>
      </c>
      <c r="AD55" s="181">
        <f t="shared" si="12"/>
        <v>169519.61</v>
      </c>
      <c r="AE55" s="181">
        <v>1.2</v>
      </c>
      <c r="AF55" s="181">
        <v>1.2</v>
      </c>
      <c r="AG55" s="101" t="str">
        <f t="shared" si="6"/>
        <v/>
      </c>
      <c r="AH55" s="191">
        <f>1</f>
        <v>1</v>
      </c>
      <c r="AI55" s="69">
        <f t="shared" si="7"/>
        <v>1</v>
      </c>
    </row>
    <row r="56" spans="1:35" s="69" customFormat="1" ht="26.1" customHeight="1" x14ac:dyDescent="0.3">
      <c r="A56" s="130" t="s">
        <v>154</v>
      </c>
      <c r="B56" s="131" t="s">
        <v>155</v>
      </c>
      <c r="C56" s="132" t="s">
        <v>81</v>
      </c>
      <c r="D56" s="133">
        <v>1</v>
      </c>
      <c r="E56" s="75"/>
      <c r="F56" s="75"/>
      <c r="G56" s="75"/>
      <c r="H56" s="75" t="s">
        <v>15</v>
      </c>
      <c r="I56" s="75">
        <v>350211.64</v>
      </c>
      <c r="J56" s="75">
        <v>350211.64</v>
      </c>
      <c r="K56" s="91" t="s">
        <v>156</v>
      </c>
      <c r="L56" s="73"/>
      <c r="M56" s="46">
        <v>1</v>
      </c>
      <c r="N56" s="46">
        <v>0</v>
      </c>
      <c r="O56" s="46">
        <v>350211.64</v>
      </c>
      <c r="P56" s="98"/>
      <c r="Q56" s="23" t="s">
        <v>1433</v>
      </c>
      <c r="R56" s="24" t="s">
        <v>155</v>
      </c>
      <c r="S56" s="25" t="s">
        <v>81</v>
      </c>
      <c r="T56" s="26">
        <v>1</v>
      </c>
      <c r="U56" s="26">
        <v>1</v>
      </c>
      <c r="V56" s="26">
        <f t="shared" si="10"/>
        <v>350211.64</v>
      </c>
      <c r="W56" s="209">
        <f t="shared" si="8"/>
        <v>0</v>
      </c>
      <c r="X56" s="127">
        <f t="shared" si="3"/>
        <v>1</v>
      </c>
      <c r="Y56" s="127">
        <f t="shared" si="11"/>
        <v>0</v>
      </c>
      <c r="Z56" s="127">
        <f t="shared" si="4"/>
        <v>350211.64</v>
      </c>
      <c r="AA56" s="33" t="s">
        <v>15</v>
      </c>
      <c r="AB56" s="36" t="s">
        <v>16</v>
      </c>
      <c r="AC56" s="181">
        <f t="shared" si="5"/>
        <v>1</v>
      </c>
      <c r="AD56" s="181">
        <f t="shared" si="12"/>
        <v>350211.64</v>
      </c>
      <c r="AE56" s="181">
        <v>1.2</v>
      </c>
      <c r="AF56" s="181">
        <v>1.2</v>
      </c>
      <c r="AG56" s="101" t="str">
        <f t="shared" si="6"/>
        <v/>
      </c>
      <c r="AH56" s="191">
        <f>1</f>
        <v>1</v>
      </c>
      <c r="AI56" s="69">
        <f t="shared" si="7"/>
        <v>1</v>
      </c>
    </row>
    <row r="57" spans="1:35" s="69" customFormat="1" ht="26.1" customHeight="1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 t="s">
        <v>15</v>
      </c>
      <c r="I57" s="75">
        <v>309726.87</v>
      </c>
      <c r="J57" s="75">
        <v>309726.87</v>
      </c>
      <c r="K57" s="91" t="s">
        <v>159</v>
      </c>
      <c r="L57" s="73"/>
      <c r="M57" s="46">
        <v>0</v>
      </c>
      <c r="N57" s="46">
        <v>0</v>
      </c>
      <c r="O57" s="46">
        <v>0</v>
      </c>
      <c r="P57" s="98"/>
      <c r="Q57" s="23" t="s">
        <v>1382</v>
      </c>
      <c r="R57" s="24" t="s">
        <v>158</v>
      </c>
      <c r="S57" s="25" t="s">
        <v>81</v>
      </c>
      <c r="T57" s="26">
        <v>1</v>
      </c>
      <c r="U57" s="26">
        <v>1</v>
      </c>
      <c r="V57" s="26">
        <f t="shared" si="10"/>
        <v>309726.87</v>
      </c>
      <c r="W57" s="26">
        <f t="shared" si="8"/>
        <v>0</v>
      </c>
      <c r="X57" s="26">
        <f t="shared" si="3"/>
        <v>0</v>
      </c>
      <c r="Y57" s="26">
        <f t="shared" si="11"/>
        <v>0</v>
      </c>
      <c r="Z57" s="26">
        <f t="shared" si="4"/>
        <v>0</v>
      </c>
      <c r="AA57" s="33" t="s">
        <v>15</v>
      </c>
      <c r="AB57" s="36" t="s">
        <v>16</v>
      </c>
      <c r="AC57" s="181">
        <f t="shared" si="5"/>
        <v>1</v>
      </c>
      <c r="AD57" s="181">
        <f t="shared" si="12"/>
        <v>309726.87</v>
      </c>
      <c r="AE57" s="181">
        <v>1.2</v>
      </c>
      <c r="AF57" s="181">
        <v>1.2</v>
      </c>
      <c r="AG57" s="101" t="str">
        <f t="shared" si="6"/>
        <v/>
      </c>
      <c r="AH57" s="190">
        <v>0</v>
      </c>
      <c r="AI57" s="69">
        <f t="shared" si="7"/>
        <v>1</v>
      </c>
    </row>
    <row r="58" spans="1:35" s="69" customFormat="1" ht="26.1" customHeight="1" x14ac:dyDescent="0.3">
      <c r="A58" s="55" t="s">
        <v>160</v>
      </c>
      <c r="B58" s="53" t="s">
        <v>161</v>
      </c>
      <c r="C58" s="54" t="s">
        <v>162</v>
      </c>
      <c r="D58" s="75">
        <v>19</v>
      </c>
      <c r="E58" s="75"/>
      <c r="F58" s="75"/>
      <c r="G58" s="75"/>
      <c r="H58" s="75" t="s">
        <v>15</v>
      </c>
      <c r="I58" s="75">
        <v>1134.56</v>
      </c>
      <c r="J58" s="75">
        <v>21556.639999999999</v>
      </c>
      <c r="K58" s="91" t="s">
        <v>163</v>
      </c>
      <c r="L58" s="73"/>
      <c r="M58" s="46">
        <v>14</v>
      </c>
      <c r="N58" s="46">
        <v>15883.84</v>
      </c>
      <c r="O58" s="46">
        <v>15883.84</v>
      </c>
      <c r="P58" s="98"/>
      <c r="Q58" s="23" t="s">
        <v>1434</v>
      </c>
      <c r="R58" s="24" t="s">
        <v>161</v>
      </c>
      <c r="S58" s="25" t="s">
        <v>162</v>
      </c>
      <c r="T58" s="26">
        <v>19</v>
      </c>
      <c r="U58" s="26">
        <v>19</v>
      </c>
      <c r="V58" s="26">
        <f t="shared" si="10"/>
        <v>1134.56</v>
      </c>
      <c r="W58" s="243">
        <f t="shared" si="8"/>
        <v>5</v>
      </c>
      <c r="X58" s="127">
        <f t="shared" si="3"/>
        <v>19</v>
      </c>
      <c r="Y58" s="127">
        <f t="shared" si="11"/>
        <v>5672.7999999999993</v>
      </c>
      <c r="Z58" s="127">
        <f t="shared" si="4"/>
        <v>21556.639999999999</v>
      </c>
      <c r="AA58" s="33" t="s">
        <v>15</v>
      </c>
      <c r="AB58" s="36" t="s">
        <v>16</v>
      </c>
      <c r="AC58" s="181">
        <f t="shared" si="5"/>
        <v>19</v>
      </c>
      <c r="AD58" s="181">
        <f t="shared" si="12"/>
        <v>21556.639999999999</v>
      </c>
      <c r="AE58" s="181">
        <v>1.2</v>
      </c>
      <c r="AF58" s="181">
        <v>1.2</v>
      </c>
      <c r="AG58" s="101" t="str">
        <f t="shared" si="6"/>
        <v/>
      </c>
      <c r="AH58" s="191">
        <f>14+5</f>
        <v>19</v>
      </c>
      <c r="AI58" s="69">
        <f t="shared" si="7"/>
        <v>19</v>
      </c>
    </row>
    <row r="59" spans="1:35" s="69" customFormat="1" ht="26.1" customHeight="1" x14ac:dyDescent="0.3">
      <c r="A59" s="55" t="s">
        <v>164</v>
      </c>
      <c r="B59" s="118" t="s">
        <v>165</v>
      </c>
      <c r="C59" s="54" t="s">
        <v>103</v>
      </c>
      <c r="D59" s="75">
        <v>179.11</v>
      </c>
      <c r="E59" s="75"/>
      <c r="F59" s="75"/>
      <c r="G59" s="75"/>
      <c r="H59" s="75" t="s">
        <v>15</v>
      </c>
      <c r="I59" s="120">
        <v>145.21</v>
      </c>
      <c r="J59" s="75">
        <v>26008.560000000001</v>
      </c>
      <c r="K59" s="91" t="s">
        <v>166</v>
      </c>
      <c r="L59" s="73"/>
      <c r="M59" s="46">
        <v>0</v>
      </c>
      <c r="N59" s="46">
        <v>0</v>
      </c>
      <c r="O59" s="46">
        <v>0</v>
      </c>
      <c r="P59" s="98"/>
      <c r="Q59" s="23" t="s">
        <v>1388</v>
      </c>
      <c r="R59" s="24" t="s">
        <v>165</v>
      </c>
      <c r="S59" s="25" t="s">
        <v>103</v>
      </c>
      <c r="T59" s="26">
        <v>179.11</v>
      </c>
      <c r="U59" s="26">
        <v>179.11</v>
      </c>
      <c r="V59" s="26">
        <f t="shared" si="10"/>
        <v>145.21</v>
      </c>
      <c r="W59" s="26">
        <f t="shared" si="8"/>
        <v>0</v>
      </c>
      <c r="X59" s="26">
        <f t="shared" si="3"/>
        <v>0</v>
      </c>
      <c r="Y59" s="26">
        <f t="shared" si="11"/>
        <v>0</v>
      </c>
      <c r="Z59" s="26">
        <f t="shared" si="4"/>
        <v>0</v>
      </c>
      <c r="AA59" s="33" t="s">
        <v>15</v>
      </c>
      <c r="AB59" s="36" t="s">
        <v>16</v>
      </c>
      <c r="AC59" s="181">
        <f t="shared" si="5"/>
        <v>179.11</v>
      </c>
      <c r="AD59" s="181">
        <f t="shared" si="12"/>
        <v>26008.560000000001</v>
      </c>
      <c r="AE59" s="181">
        <v>1.2</v>
      </c>
      <c r="AF59" s="181">
        <v>1.2</v>
      </c>
      <c r="AG59" s="101" t="str">
        <f t="shared" si="6"/>
        <v/>
      </c>
      <c r="AH59" s="190">
        <v>0</v>
      </c>
      <c r="AI59" s="69">
        <f t="shared" si="7"/>
        <v>179.11</v>
      </c>
    </row>
    <row r="60" spans="1:35" s="69" customFormat="1" ht="26.1" customHeight="1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 t="s">
        <v>15</v>
      </c>
      <c r="I60" s="75">
        <v>2755.97</v>
      </c>
      <c r="J60" s="75">
        <v>2176665.11</v>
      </c>
      <c r="K60" s="91" t="s">
        <v>169</v>
      </c>
      <c r="L60" s="73"/>
      <c r="M60" s="46">
        <v>569</v>
      </c>
      <c r="N60" s="46">
        <v>0</v>
      </c>
      <c r="O60" s="46">
        <v>1568146.93</v>
      </c>
      <c r="P60" s="98"/>
      <c r="Q60" s="23" t="s">
        <v>1389</v>
      </c>
      <c r="R60" s="24" t="s">
        <v>168</v>
      </c>
      <c r="S60" s="25" t="s">
        <v>30</v>
      </c>
      <c r="T60" s="26">
        <v>789.8</v>
      </c>
      <c r="U60" s="26">
        <v>789.8</v>
      </c>
      <c r="V60" s="26">
        <f t="shared" si="10"/>
        <v>2755.97</v>
      </c>
      <c r="W60" s="243">
        <f t="shared" si="8"/>
        <v>0</v>
      </c>
      <c r="X60" s="26">
        <f t="shared" si="3"/>
        <v>569</v>
      </c>
      <c r="Y60" s="26">
        <f t="shared" si="11"/>
        <v>0</v>
      </c>
      <c r="Z60" s="26">
        <f t="shared" si="4"/>
        <v>1568146.93</v>
      </c>
      <c r="AA60" s="33" t="s">
        <v>15</v>
      </c>
      <c r="AB60" s="36" t="s">
        <v>16</v>
      </c>
      <c r="AC60" s="181">
        <f t="shared" si="5"/>
        <v>789.8</v>
      </c>
      <c r="AD60" s="181">
        <f t="shared" si="12"/>
        <v>2176665.11</v>
      </c>
      <c r="AE60" s="181">
        <v>1.2</v>
      </c>
      <c r="AF60" s="181">
        <v>1.2</v>
      </c>
      <c r="AG60" s="101" t="str">
        <f t="shared" si="6"/>
        <v/>
      </c>
      <c r="AH60" s="191">
        <f>164+313.8+91.2</f>
        <v>569</v>
      </c>
      <c r="AI60" s="69">
        <f t="shared" si="7"/>
        <v>789.8</v>
      </c>
    </row>
    <row r="61" spans="1:35" s="69" customFormat="1" ht="26.1" customHeight="1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 t="s">
        <v>15</v>
      </c>
      <c r="I61" s="75">
        <v>576.79999999999995</v>
      </c>
      <c r="J61" s="75">
        <v>18053.84</v>
      </c>
      <c r="K61" s="91" t="s">
        <v>172</v>
      </c>
      <c r="L61" s="73"/>
      <c r="M61" s="46">
        <v>0</v>
      </c>
      <c r="N61" s="46">
        <v>0</v>
      </c>
      <c r="O61" s="46">
        <v>0</v>
      </c>
      <c r="P61" s="98"/>
      <c r="Q61" s="23" t="s">
        <v>1390</v>
      </c>
      <c r="R61" s="24" t="s">
        <v>171</v>
      </c>
      <c r="S61" s="25" t="s">
        <v>30</v>
      </c>
      <c r="T61" s="26">
        <v>31.3</v>
      </c>
      <c r="U61" s="26">
        <v>31.3</v>
      </c>
      <c r="V61" s="26">
        <f t="shared" si="10"/>
        <v>576.79999999999995</v>
      </c>
      <c r="W61" s="26">
        <f t="shared" si="8"/>
        <v>0</v>
      </c>
      <c r="X61" s="26">
        <f t="shared" si="3"/>
        <v>0</v>
      </c>
      <c r="Y61" s="26">
        <f t="shared" si="11"/>
        <v>0</v>
      </c>
      <c r="Z61" s="26">
        <f t="shared" si="4"/>
        <v>0</v>
      </c>
      <c r="AA61" s="33" t="s">
        <v>15</v>
      </c>
      <c r="AB61" s="36" t="s">
        <v>16</v>
      </c>
      <c r="AC61" s="181">
        <f t="shared" si="5"/>
        <v>31.3</v>
      </c>
      <c r="AD61" s="181">
        <f t="shared" si="12"/>
        <v>18053.84</v>
      </c>
      <c r="AE61" s="181">
        <v>1.2</v>
      </c>
      <c r="AF61" s="181">
        <v>1.2</v>
      </c>
      <c r="AG61" s="101" t="str">
        <f t="shared" si="6"/>
        <v/>
      </c>
      <c r="AH61" s="190">
        <v>0</v>
      </c>
      <c r="AI61" s="69">
        <f t="shared" si="7"/>
        <v>31.3</v>
      </c>
    </row>
    <row r="62" spans="1:35" s="69" customFormat="1" ht="26.1" customHeight="1" x14ac:dyDescent="0.3">
      <c r="A62" s="55" t="s">
        <v>173</v>
      </c>
      <c r="B62" s="215" t="s">
        <v>174</v>
      </c>
      <c r="C62" s="54" t="s">
        <v>30</v>
      </c>
      <c r="D62" s="75">
        <v>360.35</v>
      </c>
      <c r="E62" s="75"/>
      <c r="F62" s="75"/>
      <c r="G62" s="75"/>
      <c r="H62" s="75" t="s">
        <v>15</v>
      </c>
      <c r="I62" s="75">
        <v>615.34</v>
      </c>
      <c r="J62" s="75">
        <v>221737.77</v>
      </c>
      <c r="K62" s="91" t="s">
        <v>175</v>
      </c>
      <c r="L62" s="73"/>
      <c r="M62" s="46">
        <v>230</v>
      </c>
      <c r="N62" s="46">
        <v>60303.320000000007</v>
      </c>
      <c r="O62" s="46">
        <v>141528.20000000001</v>
      </c>
      <c r="P62" s="98"/>
      <c r="Q62" s="23" t="s">
        <v>1391</v>
      </c>
      <c r="R62" s="24" t="s">
        <v>174</v>
      </c>
      <c r="S62" s="25" t="s">
        <v>30</v>
      </c>
      <c r="T62" s="26">
        <v>360.35</v>
      </c>
      <c r="U62" s="26">
        <v>360.35</v>
      </c>
      <c r="V62" s="26">
        <f t="shared" si="10"/>
        <v>615.34</v>
      </c>
      <c r="W62" s="243">
        <f t="shared" si="8"/>
        <v>0</v>
      </c>
      <c r="X62" s="26">
        <f t="shared" si="3"/>
        <v>230</v>
      </c>
      <c r="Y62" s="26">
        <f t="shared" si="11"/>
        <v>0</v>
      </c>
      <c r="Z62" s="26">
        <f t="shared" si="4"/>
        <v>141528.20000000001</v>
      </c>
      <c r="AA62" s="33" t="s">
        <v>15</v>
      </c>
      <c r="AB62" s="36" t="s">
        <v>16</v>
      </c>
      <c r="AC62" s="181">
        <f t="shared" si="5"/>
        <v>360.35</v>
      </c>
      <c r="AD62" s="181">
        <f t="shared" si="12"/>
        <v>221737.77</v>
      </c>
      <c r="AE62" s="181">
        <v>1.2</v>
      </c>
      <c r="AF62" s="181">
        <v>1.2</v>
      </c>
      <c r="AG62" s="101" t="str">
        <f t="shared" si="6"/>
        <v/>
      </c>
      <c r="AH62" s="191">
        <f>132+98</f>
        <v>230</v>
      </c>
      <c r="AI62" s="69">
        <f t="shared" si="7"/>
        <v>360.35</v>
      </c>
    </row>
    <row r="63" spans="1:35" s="69" customFormat="1" ht="26.1" customHeight="1" x14ac:dyDescent="0.3">
      <c r="A63" s="55" t="s">
        <v>176</v>
      </c>
      <c r="B63" s="215" t="s">
        <v>177</v>
      </c>
      <c r="C63" s="54" t="s">
        <v>30</v>
      </c>
      <c r="D63" s="75">
        <v>691.14</v>
      </c>
      <c r="E63" s="75"/>
      <c r="F63" s="75"/>
      <c r="G63" s="75"/>
      <c r="H63" s="75" t="s">
        <v>15</v>
      </c>
      <c r="I63" s="75">
        <v>685.3</v>
      </c>
      <c r="J63" s="75">
        <v>473638.24</v>
      </c>
      <c r="K63" s="91" t="s">
        <v>178</v>
      </c>
      <c r="L63" s="73"/>
      <c r="M63" s="46">
        <v>560.70000000000005</v>
      </c>
      <c r="N63" s="46">
        <v>95736.410000000033</v>
      </c>
      <c r="O63" s="46">
        <v>384247.71</v>
      </c>
      <c r="P63" s="98"/>
      <c r="Q63" s="23" t="s">
        <v>1436</v>
      </c>
      <c r="R63" s="24" t="s">
        <v>177</v>
      </c>
      <c r="S63" s="25" t="s">
        <v>30</v>
      </c>
      <c r="T63" s="26">
        <v>691.14</v>
      </c>
      <c r="U63" s="26">
        <v>691.14</v>
      </c>
      <c r="V63" s="26">
        <f t="shared" si="10"/>
        <v>685.3</v>
      </c>
      <c r="W63" s="243">
        <f t="shared" si="8"/>
        <v>0</v>
      </c>
      <c r="X63" s="26">
        <f t="shared" si="3"/>
        <v>560.70000000000005</v>
      </c>
      <c r="Y63" s="26">
        <f t="shared" si="11"/>
        <v>0</v>
      </c>
      <c r="Z63" s="26">
        <f t="shared" si="4"/>
        <v>384247.71</v>
      </c>
      <c r="AA63" s="33" t="s">
        <v>15</v>
      </c>
      <c r="AB63" s="36" t="s">
        <v>16</v>
      </c>
      <c r="AC63" s="181">
        <f t="shared" si="5"/>
        <v>691.14</v>
      </c>
      <c r="AD63" s="181">
        <f t="shared" si="12"/>
        <v>473638.24</v>
      </c>
      <c r="AE63" s="181">
        <v>1.2</v>
      </c>
      <c r="AF63" s="181">
        <v>1.2</v>
      </c>
      <c r="AG63" s="101" t="str">
        <f t="shared" si="6"/>
        <v/>
      </c>
      <c r="AH63" s="191">
        <f>421+139.7</f>
        <v>560.70000000000005</v>
      </c>
      <c r="AI63" s="69">
        <f t="shared" si="7"/>
        <v>691.14</v>
      </c>
    </row>
    <row r="64" spans="1:35" s="69" customFormat="1" ht="26.1" customHeight="1" x14ac:dyDescent="0.3">
      <c r="A64" s="55" t="s">
        <v>179</v>
      </c>
      <c r="B64" s="215" t="s">
        <v>180</v>
      </c>
      <c r="C64" s="54" t="s">
        <v>30</v>
      </c>
      <c r="D64" s="75">
        <v>890.62</v>
      </c>
      <c r="E64" s="75"/>
      <c r="F64" s="75"/>
      <c r="G64" s="75"/>
      <c r="H64" s="75" t="s">
        <v>15</v>
      </c>
      <c r="I64" s="75">
        <v>699.72</v>
      </c>
      <c r="J64" s="75">
        <v>623184.63</v>
      </c>
      <c r="K64" s="91" t="s">
        <v>181</v>
      </c>
      <c r="L64" s="73"/>
      <c r="M64" s="46">
        <v>814.5</v>
      </c>
      <c r="N64" s="46">
        <v>79348.249999999942</v>
      </c>
      <c r="O64" s="46">
        <v>569921.93999999994</v>
      </c>
      <c r="P64" s="98"/>
      <c r="Q64" s="23" t="s">
        <v>1374</v>
      </c>
      <c r="R64" s="24" t="s">
        <v>180</v>
      </c>
      <c r="S64" s="25" t="s">
        <v>30</v>
      </c>
      <c r="T64" s="26">
        <v>890.62</v>
      </c>
      <c r="U64" s="26">
        <v>890.62</v>
      </c>
      <c r="V64" s="26">
        <f t="shared" si="10"/>
        <v>699.72</v>
      </c>
      <c r="W64" s="243">
        <f t="shared" si="8"/>
        <v>62</v>
      </c>
      <c r="X64" s="26">
        <f t="shared" si="3"/>
        <v>876.5</v>
      </c>
      <c r="Y64" s="26">
        <f t="shared" si="11"/>
        <v>43382.640000000014</v>
      </c>
      <c r="Z64" s="26">
        <f t="shared" si="4"/>
        <v>613304.57999999996</v>
      </c>
      <c r="AA64" s="33" t="s">
        <v>15</v>
      </c>
      <c r="AB64" s="36" t="s">
        <v>16</v>
      </c>
      <c r="AC64" s="181">
        <f t="shared" si="5"/>
        <v>890.62</v>
      </c>
      <c r="AD64" s="181">
        <f t="shared" si="12"/>
        <v>623184.63</v>
      </c>
      <c r="AE64" s="181">
        <v>1.2</v>
      </c>
      <c r="AF64" s="181">
        <v>1.2</v>
      </c>
      <c r="AG64" s="101" t="str">
        <f t="shared" si="6"/>
        <v/>
      </c>
      <c r="AH64" s="191">
        <f>457+192+52.1+113.4+62</f>
        <v>876.5</v>
      </c>
      <c r="AI64" s="69">
        <f t="shared" si="7"/>
        <v>890.62</v>
      </c>
    </row>
    <row r="65" spans="1:35" s="69" customFormat="1" ht="26.1" customHeight="1" x14ac:dyDescent="0.3">
      <c r="A65" s="55" t="s">
        <v>182</v>
      </c>
      <c r="B65" s="215" t="s">
        <v>183</v>
      </c>
      <c r="C65" s="54" t="s">
        <v>30</v>
      </c>
      <c r="D65" s="75">
        <v>85.77</v>
      </c>
      <c r="E65" s="75"/>
      <c r="F65" s="75"/>
      <c r="G65" s="75"/>
      <c r="H65" s="75" t="s">
        <v>15</v>
      </c>
      <c r="I65" s="75">
        <v>1199.33</v>
      </c>
      <c r="J65" s="75">
        <v>102866.53</v>
      </c>
      <c r="K65" s="91" t="s">
        <v>184</v>
      </c>
      <c r="L65" s="73"/>
      <c r="M65" s="46">
        <v>38.5</v>
      </c>
      <c r="N65" s="46">
        <v>31782.25</v>
      </c>
      <c r="O65" s="46">
        <v>46174.21</v>
      </c>
      <c r="P65" s="98"/>
      <c r="Q65" s="23" t="s">
        <v>1376</v>
      </c>
      <c r="R65" s="24" t="s">
        <v>183</v>
      </c>
      <c r="S65" s="25" t="s">
        <v>30</v>
      </c>
      <c r="T65" s="26">
        <v>85.77</v>
      </c>
      <c r="U65" s="26">
        <v>85.77</v>
      </c>
      <c r="V65" s="26">
        <f t="shared" si="10"/>
        <v>1199.33</v>
      </c>
      <c r="W65" s="243">
        <f t="shared" si="8"/>
        <v>42</v>
      </c>
      <c r="X65" s="26">
        <f t="shared" si="3"/>
        <v>80.5</v>
      </c>
      <c r="Y65" s="26">
        <f t="shared" si="11"/>
        <v>50371.860000000008</v>
      </c>
      <c r="Z65" s="26">
        <f t="shared" si="4"/>
        <v>96546.07</v>
      </c>
      <c r="AA65" s="33" t="s">
        <v>15</v>
      </c>
      <c r="AB65" s="36" t="s">
        <v>16</v>
      </c>
      <c r="AC65" s="181">
        <f t="shared" si="5"/>
        <v>85.77</v>
      </c>
      <c r="AD65" s="181">
        <f t="shared" si="12"/>
        <v>102866.53</v>
      </c>
      <c r="AE65" s="181">
        <v>1.2</v>
      </c>
      <c r="AF65" s="181">
        <v>1.2</v>
      </c>
      <c r="AG65" s="101" t="str">
        <f t="shared" si="6"/>
        <v/>
      </c>
      <c r="AH65" s="191">
        <f>12+26.5+42</f>
        <v>80.5</v>
      </c>
      <c r="AI65" s="69">
        <f t="shared" si="7"/>
        <v>85.77</v>
      </c>
    </row>
    <row r="66" spans="1:35" s="69" customFormat="1" ht="26.1" customHeight="1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 t="s">
        <v>15</v>
      </c>
      <c r="I66" s="75">
        <v>57.68</v>
      </c>
      <c r="J66" s="75">
        <v>10833.46</v>
      </c>
      <c r="K66" s="91" t="s">
        <v>187</v>
      </c>
      <c r="L66" s="73"/>
      <c r="M66" s="46">
        <v>132.6</v>
      </c>
      <c r="N66" s="46">
        <v>7648.37</v>
      </c>
      <c r="O66" s="46">
        <v>7648.37</v>
      </c>
      <c r="P66" s="98"/>
      <c r="Q66" s="23" t="s">
        <v>1378</v>
      </c>
      <c r="R66" s="24" t="s">
        <v>186</v>
      </c>
      <c r="S66" s="25" t="s">
        <v>30</v>
      </c>
      <c r="T66" s="26">
        <v>187.82</v>
      </c>
      <c r="U66" s="26">
        <v>187.82</v>
      </c>
      <c r="V66" s="26">
        <f t="shared" si="10"/>
        <v>57.68</v>
      </c>
      <c r="W66" s="243">
        <f t="shared" si="8"/>
        <v>49.200000000000017</v>
      </c>
      <c r="X66" s="26">
        <f t="shared" si="3"/>
        <v>181.8</v>
      </c>
      <c r="Y66" s="26">
        <f t="shared" si="11"/>
        <v>2837.8499999999995</v>
      </c>
      <c r="Z66" s="26">
        <f t="shared" si="4"/>
        <v>10486.22</v>
      </c>
      <c r="AA66" s="33" t="s">
        <v>15</v>
      </c>
      <c r="AB66" s="36" t="s">
        <v>16</v>
      </c>
      <c r="AC66" s="181">
        <f t="shared" si="5"/>
        <v>187.82</v>
      </c>
      <c r="AD66" s="181">
        <f t="shared" si="12"/>
        <v>10833.46</v>
      </c>
      <c r="AE66" s="181">
        <v>1.2</v>
      </c>
      <c r="AF66" s="181">
        <v>1.2</v>
      </c>
      <c r="AG66" s="101" t="str">
        <f t="shared" si="6"/>
        <v/>
      </c>
      <c r="AH66" s="191">
        <f>132.6+49.2</f>
        <v>181.8</v>
      </c>
      <c r="AI66" s="69">
        <f t="shared" si="7"/>
        <v>187.82</v>
      </c>
    </row>
    <row r="67" spans="1:35" s="69" customFormat="1" ht="26.1" customHeight="1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 t="s">
        <v>15</v>
      </c>
      <c r="I67" s="75">
        <v>138.84</v>
      </c>
      <c r="J67" s="75">
        <v>2611.58</v>
      </c>
      <c r="K67" s="91" t="s">
        <v>190</v>
      </c>
      <c r="L67" s="73"/>
      <c r="M67" s="46">
        <v>0</v>
      </c>
      <c r="N67" s="46">
        <v>0</v>
      </c>
      <c r="O67" s="46">
        <v>0</v>
      </c>
      <c r="P67" s="98"/>
      <c r="Q67" s="23" t="s">
        <v>1438</v>
      </c>
      <c r="R67" s="24" t="s">
        <v>189</v>
      </c>
      <c r="S67" s="25" t="s">
        <v>30</v>
      </c>
      <c r="T67" s="26">
        <v>18.809999999999999</v>
      </c>
      <c r="U67" s="26">
        <v>18.809999999999999</v>
      </c>
      <c r="V67" s="26">
        <f t="shared" si="10"/>
        <v>138.84</v>
      </c>
      <c r="W67" s="26">
        <f t="shared" si="8"/>
        <v>0</v>
      </c>
      <c r="X67" s="26">
        <f t="shared" si="3"/>
        <v>0</v>
      </c>
      <c r="Y67" s="26">
        <f t="shared" si="11"/>
        <v>0</v>
      </c>
      <c r="Z67" s="26">
        <f t="shared" si="4"/>
        <v>0</v>
      </c>
      <c r="AA67" s="33" t="s">
        <v>15</v>
      </c>
      <c r="AB67" s="36" t="s">
        <v>16</v>
      </c>
      <c r="AC67" s="181">
        <f t="shared" si="5"/>
        <v>18.809999999999999</v>
      </c>
      <c r="AD67" s="181">
        <f t="shared" si="12"/>
        <v>2611.58</v>
      </c>
      <c r="AE67" s="181">
        <v>1.2</v>
      </c>
      <c r="AF67" s="181">
        <v>1.2</v>
      </c>
      <c r="AG67" s="101" t="str">
        <f t="shared" si="6"/>
        <v/>
      </c>
      <c r="AH67" s="190">
        <v>0</v>
      </c>
      <c r="AI67" s="69">
        <f t="shared" si="7"/>
        <v>18.809999999999999</v>
      </c>
    </row>
    <row r="68" spans="1:35" s="69" customFormat="1" ht="26.1" customHeight="1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 t="s">
        <v>15</v>
      </c>
      <c r="I68" s="75">
        <v>2145.42</v>
      </c>
      <c r="J68" s="75">
        <v>43938.2</v>
      </c>
      <c r="K68" s="91" t="s">
        <v>193</v>
      </c>
      <c r="L68" s="73"/>
      <c r="M68" s="46">
        <v>15.2</v>
      </c>
      <c r="N68" s="46">
        <v>32610.38</v>
      </c>
      <c r="O68" s="46">
        <v>32610.38</v>
      </c>
      <c r="P68" s="98"/>
      <c r="Q68" s="23" t="s">
        <v>1439</v>
      </c>
      <c r="R68" s="24" t="s">
        <v>192</v>
      </c>
      <c r="S68" s="25" t="s">
        <v>50</v>
      </c>
      <c r="T68" s="26">
        <v>20.48</v>
      </c>
      <c r="U68" s="26">
        <v>20.48</v>
      </c>
      <c r="V68" s="26">
        <f t="shared" si="10"/>
        <v>2145.42</v>
      </c>
      <c r="W68" s="243">
        <f t="shared" si="8"/>
        <v>4.3000000000000007</v>
      </c>
      <c r="X68" s="26">
        <f t="shared" si="3"/>
        <v>19.5</v>
      </c>
      <c r="Y68" s="26">
        <f t="shared" si="11"/>
        <v>9225.3100000000013</v>
      </c>
      <c r="Z68" s="26">
        <f t="shared" si="4"/>
        <v>41835.69</v>
      </c>
      <c r="AA68" s="33" t="s">
        <v>15</v>
      </c>
      <c r="AB68" s="36" t="s">
        <v>16</v>
      </c>
      <c r="AC68" s="181">
        <f t="shared" si="5"/>
        <v>20.48</v>
      </c>
      <c r="AD68" s="181">
        <f t="shared" si="12"/>
        <v>43938.2</v>
      </c>
      <c r="AE68" s="181">
        <v>1.2</v>
      </c>
      <c r="AF68" s="181">
        <v>1.2</v>
      </c>
      <c r="AG68" s="101" t="str">
        <f t="shared" si="6"/>
        <v/>
      </c>
      <c r="AH68" s="191">
        <f>15.2+4.3</f>
        <v>19.5</v>
      </c>
      <c r="AI68" s="69">
        <f t="shared" si="7"/>
        <v>20.48</v>
      </c>
    </row>
    <row r="69" spans="1:35" s="69" customFormat="1" ht="26.1" customHeight="1" x14ac:dyDescent="0.3">
      <c r="A69" s="55" t="s">
        <v>194</v>
      </c>
      <c r="B69" s="215" t="s">
        <v>195</v>
      </c>
      <c r="C69" s="54" t="s">
        <v>30</v>
      </c>
      <c r="D69" s="75">
        <v>354.7</v>
      </c>
      <c r="E69" s="75"/>
      <c r="F69" s="75"/>
      <c r="G69" s="75"/>
      <c r="H69" s="75" t="s">
        <v>15</v>
      </c>
      <c r="I69" s="75">
        <v>511.4</v>
      </c>
      <c r="J69" s="75">
        <v>181393.58</v>
      </c>
      <c r="K69" s="91" t="s">
        <v>3143</v>
      </c>
      <c r="L69" s="73"/>
      <c r="M69" s="46">
        <v>178.2</v>
      </c>
      <c r="N69" s="46">
        <v>26183.679999999993</v>
      </c>
      <c r="O69" s="46">
        <v>91131.48</v>
      </c>
      <c r="P69" s="98"/>
      <c r="Q69" s="23" t="s">
        <v>1440</v>
      </c>
      <c r="R69" s="24" t="s">
        <v>195</v>
      </c>
      <c r="S69" s="25" t="s">
        <v>30</v>
      </c>
      <c r="T69" s="26">
        <v>354.7</v>
      </c>
      <c r="U69" s="26">
        <v>354.7</v>
      </c>
      <c r="V69" s="26">
        <f t="shared" si="10"/>
        <v>511.4</v>
      </c>
      <c r="W69" s="243">
        <f t="shared" si="8"/>
        <v>0</v>
      </c>
      <c r="X69" s="26">
        <f t="shared" si="3"/>
        <v>178.2</v>
      </c>
      <c r="Y69" s="26">
        <f t="shared" si="11"/>
        <v>0</v>
      </c>
      <c r="Z69" s="26">
        <f t="shared" si="4"/>
        <v>91131.48</v>
      </c>
      <c r="AA69" s="33" t="s">
        <v>15</v>
      </c>
      <c r="AB69" s="36" t="s">
        <v>16</v>
      </c>
      <c r="AC69" s="181">
        <f t="shared" si="5"/>
        <v>354.7</v>
      </c>
      <c r="AD69" s="181">
        <f t="shared" si="12"/>
        <v>181393.58</v>
      </c>
      <c r="AE69" s="181">
        <v>1.2</v>
      </c>
      <c r="AF69" s="181">
        <v>1.2</v>
      </c>
      <c r="AG69" s="101" t="str">
        <f t="shared" si="6"/>
        <v/>
      </c>
      <c r="AH69" s="191">
        <f>127+51.2</f>
        <v>178.2</v>
      </c>
      <c r="AI69" s="69">
        <f t="shared" si="7"/>
        <v>354.7</v>
      </c>
    </row>
    <row r="70" spans="1:35" s="69" customFormat="1" ht="26.1" customHeight="1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 t="s">
        <v>15</v>
      </c>
      <c r="I70" s="75">
        <v>578.86</v>
      </c>
      <c r="J70" s="75">
        <v>25875.040000000001</v>
      </c>
      <c r="K70" s="91" t="s">
        <v>199</v>
      </c>
      <c r="L70" s="73"/>
      <c r="M70" s="46">
        <v>0</v>
      </c>
      <c r="N70" s="46">
        <v>0</v>
      </c>
      <c r="O70" s="46">
        <v>0</v>
      </c>
      <c r="P70" s="98"/>
      <c r="Q70" s="23" t="s">
        <v>1441</v>
      </c>
      <c r="R70" s="24" t="s">
        <v>198</v>
      </c>
      <c r="S70" s="25" t="s">
        <v>30</v>
      </c>
      <c r="T70" s="26">
        <v>44.7</v>
      </c>
      <c r="U70" s="26">
        <v>44.7</v>
      </c>
      <c r="V70" s="26">
        <f t="shared" si="10"/>
        <v>578.86</v>
      </c>
      <c r="W70" s="26">
        <f t="shared" si="8"/>
        <v>0</v>
      </c>
      <c r="X70" s="26">
        <f t="shared" si="3"/>
        <v>0</v>
      </c>
      <c r="Y70" s="26">
        <f t="shared" si="11"/>
        <v>0</v>
      </c>
      <c r="Z70" s="26">
        <f t="shared" si="4"/>
        <v>0</v>
      </c>
      <c r="AA70" s="33" t="s">
        <v>15</v>
      </c>
      <c r="AB70" s="36" t="s">
        <v>16</v>
      </c>
      <c r="AC70" s="181">
        <f t="shared" si="5"/>
        <v>44.7</v>
      </c>
      <c r="AD70" s="181">
        <f t="shared" si="12"/>
        <v>25875.040000000001</v>
      </c>
      <c r="AE70" s="181">
        <v>1.2</v>
      </c>
      <c r="AF70" s="181">
        <v>1.2</v>
      </c>
      <c r="AG70" s="101" t="str">
        <f t="shared" si="6"/>
        <v/>
      </c>
      <c r="AH70" s="190">
        <v>0</v>
      </c>
      <c r="AI70" s="69">
        <f t="shared" si="7"/>
        <v>44.7</v>
      </c>
    </row>
    <row r="71" spans="1:35" s="69" customFormat="1" ht="26.1" customHeight="1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 t="s">
        <v>15</v>
      </c>
      <c r="I71" s="75">
        <v>723.06</v>
      </c>
      <c r="J71" s="75">
        <v>22414.86</v>
      </c>
      <c r="K71" s="91" t="s">
        <v>202</v>
      </c>
      <c r="L71" s="73"/>
      <c r="M71" s="46">
        <v>0</v>
      </c>
      <c r="N71" s="46">
        <v>0</v>
      </c>
      <c r="O71" s="46">
        <v>0</v>
      </c>
      <c r="P71" s="98"/>
      <c r="Q71" s="23" t="s">
        <v>1442</v>
      </c>
      <c r="R71" s="24" t="s">
        <v>201</v>
      </c>
      <c r="S71" s="25" t="s">
        <v>30</v>
      </c>
      <c r="T71" s="26">
        <v>31</v>
      </c>
      <c r="U71" s="26">
        <v>31</v>
      </c>
      <c r="V71" s="26">
        <f t="shared" si="10"/>
        <v>723.06</v>
      </c>
      <c r="W71" s="26">
        <f t="shared" si="8"/>
        <v>0</v>
      </c>
      <c r="X71" s="26">
        <f t="shared" si="3"/>
        <v>0</v>
      </c>
      <c r="Y71" s="26">
        <f t="shared" si="11"/>
        <v>0</v>
      </c>
      <c r="Z71" s="26">
        <f t="shared" si="4"/>
        <v>0</v>
      </c>
      <c r="AA71" s="33" t="s">
        <v>15</v>
      </c>
      <c r="AB71" s="36" t="s">
        <v>16</v>
      </c>
      <c r="AC71" s="181">
        <f t="shared" si="5"/>
        <v>31</v>
      </c>
      <c r="AD71" s="181">
        <f t="shared" si="12"/>
        <v>22414.86</v>
      </c>
      <c r="AE71" s="181">
        <v>1.2</v>
      </c>
      <c r="AF71" s="181">
        <v>1.2</v>
      </c>
      <c r="AG71" s="101" t="str">
        <f t="shared" si="6"/>
        <v/>
      </c>
      <c r="AH71" s="190">
        <v>0</v>
      </c>
      <c r="AI71" s="69">
        <f t="shared" si="7"/>
        <v>31</v>
      </c>
    </row>
    <row r="72" spans="1:35" s="69" customFormat="1" ht="26.1" customHeight="1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 t="s">
        <v>15</v>
      </c>
      <c r="I72" s="75">
        <v>829.15</v>
      </c>
      <c r="J72" s="75">
        <v>15007.62</v>
      </c>
      <c r="K72" s="91" t="s">
        <v>205</v>
      </c>
      <c r="L72" s="73"/>
      <c r="M72" s="46">
        <v>0</v>
      </c>
      <c r="N72" s="46">
        <v>0</v>
      </c>
      <c r="O72" s="46">
        <v>0</v>
      </c>
      <c r="P72" s="98"/>
      <c r="Q72" s="23" t="s">
        <v>1443</v>
      </c>
      <c r="R72" s="24" t="s">
        <v>204</v>
      </c>
      <c r="S72" s="25" t="s">
        <v>30</v>
      </c>
      <c r="T72" s="26">
        <v>18.100000000000001</v>
      </c>
      <c r="U72" s="26">
        <v>18.100000000000001</v>
      </c>
      <c r="V72" s="26">
        <f t="shared" si="10"/>
        <v>829.15</v>
      </c>
      <c r="W72" s="26">
        <f t="shared" si="8"/>
        <v>0</v>
      </c>
      <c r="X72" s="26">
        <f t="shared" si="3"/>
        <v>0</v>
      </c>
      <c r="Y72" s="26">
        <f t="shared" si="11"/>
        <v>0</v>
      </c>
      <c r="Z72" s="26">
        <f t="shared" si="4"/>
        <v>0</v>
      </c>
      <c r="AA72" s="33" t="s">
        <v>15</v>
      </c>
      <c r="AB72" s="36" t="s">
        <v>16</v>
      </c>
      <c r="AC72" s="181">
        <f t="shared" si="5"/>
        <v>18.100000000000001</v>
      </c>
      <c r="AD72" s="181">
        <f t="shared" si="12"/>
        <v>15007.62</v>
      </c>
      <c r="AE72" s="181">
        <v>1.2</v>
      </c>
      <c r="AF72" s="181">
        <v>1.2</v>
      </c>
      <c r="AG72" s="101" t="str">
        <f t="shared" si="6"/>
        <v/>
      </c>
      <c r="AH72" s="190">
        <v>0</v>
      </c>
      <c r="AI72" s="69">
        <f t="shared" si="7"/>
        <v>18.100000000000001</v>
      </c>
    </row>
    <row r="73" spans="1:35" s="69" customFormat="1" ht="26.1" customHeight="1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 t="s">
        <v>15</v>
      </c>
      <c r="I73" s="75">
        <v>443.93</v>
      </c>
      <c r="J73" s="75">
        <v>80084.97</v>
      </c>
      <c r="K73" s="91" t="s">
        <v>208</v>
      </c>
      <c r="L73" s="73"/>
      <c r="M73" s="46">
        <v>0</v>
      </c>
      <c r="N73" s="46">
        <v>0</v>
      </c>
      <c r="O73" s="46">
        <v>0</v>
      </c>
      <c r="P73" s="98"/>
      <c r="Q73" s="23" t="s">
        <v>1444</v>
      </c>
      <c r="R73" s="24" t="s">
        <v>207</v>
      </c>
      <c r="S73" s="25" t="s">
        <v>30</v>
      </c>
      <c r="T73" s="26">
        <v>180.4</v>
      </c>
      <c r="U73" s="26">
        <v>180.4</v>
      </c>
      <c r="V73" s="26">
        <f t="shared" si="10"/>
        <v>443.93</v>
      </c>
      <c r="W73" s="26">
        <f t="shared" si="8"/>
        <v>0</v>
      </c>
      <c r="X73" s="26">
        <f t="shared" si="3"/>
        <v>0</v>
      </c>
      <c r="Y73" s="26">
        <f t="shared" si="11"/>
        <v>0</v>
      </c>
      <c r="Z73" s="26">
        <f t="shared" si="4"/>
        <v>0</v>
      </c>
      <c r="AA73" s="33" t="s">
        <v>15</v>
      </c>
      <c r="AB73" s="36" t="s">
        <v>16</v>
      </c>
      <c r="AC73" s="181">
        <f t="shared" si="5"/>
        <v>180.4</v>
      </c>
      <c r="AD73" s="181">
        <f t="shared" si="12"/>
        <v>80084.97</v>
      </c>
      <c r="AE73" s="181">
        <v>1.2</v>
      </c>
      <c r="AF73" s="181">
        <v>1.2</v>
      </c>
      <c r="AG73" s="101" t="str">
        <f t="shared" si="6"/>
        <v/>
      </c>
      <c r="AH73" s="190">
        <v>0</v>
      </c>
      <c r="AI73" s="69">
        <f t="shared" si="7"/>
        <v>180.4</v>
      </c>
    </row>
    <row r="74" spans="1:35" s="69" customFormat="1" ht="26.1" customHeight="1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 t="s">
        <v>15</v>
      </c>
      <c r="I74" s="75">
        <v>578.86</v>
      </c>
      <c r="J74" s="75">
        <v>14818.82</v>
      </c>
      <c r="K74" s="91" t="s">
        <v>211</v>
      </c>
      <c r="L74" s="73"/>
      <c r="M74" s="46">
        <v>0</v>
      </c>
      <c r="N74" s="46">
        <v>0</v>
      </c>
      <c r="O74" s="46">
        <v>0</v>
      </c>
      <c r="P74" s="98"/>
      <c r="Q74" s="23" t="s">
        <v>1408</v>
      </c>
      <c r="R74" s="24" t="s">
        <v>210</v>
      </c>
      <c r="S74" s="25" t="s">
        <v>30</v>
      </c>
      <c r="T74" s="26">
        <v>25.6</v>
      </c>
      <c r="U74" s="26">
        <v>25.6</v>
      </c>
      <c r="V74" s="26">
        <f t="shared" si="10"/>
        <v>578.86</v>
      </c>
      <c r="W74" s="26">
        <f t="shared" si="8"/>
        <v>0</v>
      </c>
      <c r="X74" s="26">
        <f t="shared" si="3"/>
        <v>0</v>
      </c>
      <c r="Y74" s="26">
        <f t="shared" si="11"/>
        <v>0</v>
      </c>
      <c r="Z74" s="26">
        <f t="shared" si="4"/>
        <v>0</v>
      </c>
      <c r="AA74" s="33" t="s">
        <v>15</v>
      </c>
      <c r="AB74" s="36" t="s">
        <v>16</v>
      </c>
      <c r="AC74" s="181">
        <f t="shared" si="5"/>
        <v>25.6</v>
      </c>
      <c r="AD74" s="181">
        <f t="shared" si="12"/>
        <v>14818.82</v>
      </c>
      <c r="AE74" s="181">
        <v>1.2</v>
      </c>
      <c r="AF74" s="181">
        <v>1.2</v>
      </c>
      <c r="AG74" s="101" t="str">
        <f t="shared" si="6"/>
        <v/>
      </c>
      <c r="AH74" s="190">
        <v>0</v>
      </c>
      <c r="AI74" s="69">
        <f t="shared" si="7"/>
        <v>25.6</v>
      </c>
    </row>
    <row r="75" spans="1:35" s="69" customFormat="1" ht="26.1" customHeight="1" x14ac:dyDescent="0.3">
      <c r="A75" s="55" t="s">
        <v>212</v>
      </c>
      <c r="B75" s="215" t="s">
        <v>213</v>
      </c>
      <c r="C75" s="54" t="s">
        <v>81</v>
      </c>
      <c r="D75" s="75">
        <v>7</v>
      </c>
      <c r="E75" s="75"/>
      <c r="F75" s="75"/>
      <c r="G75" s="75"/>
      <c r="H75" s="75" t="s">
        <v>15</v>
      </c>
      <c r="I75" s="75">
        <v>17307.09</v>
      </c>
      <c r="J75" s="75">
        <v>121149.63</v>
      </c>
      <c r="K75" s="91" t="s">
        <v>214</v>
      </c>
      <c r="L75" s="73"/>
      <c r="M75" s="46">
        <v>3</v>
      </c>
      <c r="N75" s="46">
        <v>51921.27</v>
      </c>
      <c r="O75" s="46">
        <v>51921.27</v>
      </c>
      <c r="P75" s="98"/>
      <c r="Q75" s="23" t="s">
        <v>1409</v>
      </c>
      <c r="R75" s="24" t="s">
        <v>213</v>
      </c>
      <c r="S75" s="25" t="s">
        <v>81</v>
      </c>
      <c r="T75" s="26">
        <v>7</v>
      </c>
      <c r="U75" s="26">
        <v>7</v>
      </c>
      <c r="V75" s="26">
        <f t="shared" si="10"/>
        <v>17307.09</v>
      </c>
      <c r="W75" s="243">
        <f t="shared" si="8"/>
        <v>0</v>
      </c>
      <c r="X75" s="26">
        <f t="shared" ref="X75:X132" si="13">W75+M75</f>
        <v>3</v>
      </c>
      <c r="Y75" s="26">
        <f t="shared" si="11"/>
        <v>0</v>
      </c>
      <c r="Z75" s="26">
        <f t="shared" ref="Z75:Z138" si="14">ROUND(V75*X75,2)</f>
        <v>51921.27</v>
      </c>
      <c r="AA75" s="33" t="s">
        <v>15</v>
      </c>
      <c r="AB75" s="36" t="s">
        <v>16</v>
      </c>
      <c r="AC75" s="181">
        <f t="shared" ref="AC75:AC138" si="15">IF(U75="",T75,U75)</f>
        <v>7</v>
      </c>
      <c r="AD75" s="181">
        <f t="shared" si="12"/>
        <v>121149.63</v>
      </c>
      <c r="AE75" s="181">
        <v>1.2</v>
      </c>
      <c r="AF75" s="181">
        <v>1.2</v>
      </c>
      <c r="AG75" s="101" t="str">
        <f t="shared" ref="AG75:AG138" si="16">IF(X75&gt;AI75,"超估","")</f>
        <v/>
      </c>
      <c r="AH75" s="191">
        <f>3</f>
        <v>3</v>
      </c>
      <c r="AI75" s="69">
        <f t="shared" ref="AI75:AI138" si="17">IF(G75=0,IF(F75=0,IF(E75=0,D75,E75),F75),G75)</f>
        <v>7</v>
      </c>
    </row>
    <row r="76" spans="1:35" s="69" customFormat="1" ht="26.1" customHeight="1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 t="s">
        <v>15</v>
      </c>
      <c r="I76" s="75">
        <v>443.93</v>
      </c>
      <c r="J76" s="75">
        <v>3462.65</v>
      </c>
      <c r="K76" s="91" t="s">
        <v>217</v>
      </c>
      <c r="L76" s="73"/>
      <c r="M76" s="46">
        <v>0</v>
      </c>
      <c r="N76" s="46">
        <v>0</v>
      </c>
      <c r="O76" s="46">
        <v>0</v>
      </c>
      <c r="P76" s="98"/>
      <c r="Q76" s="23" t="s">
        <v>1410</v>
      </c>
      <c r="R76" s="24" t="s">
        <v>216</v>
      </c>
      <c r="S76" s="25" t="s">
        <v>30</v>
      </c>
      <c r="T76" s="26">
        <v>7.8</v>
      </c>
      <c r="U76" s="26">
        <v>7.8</v>
      </c>
      <c r="V76" s="26">
        <f t="shared" si="10"/>
        <v>443.93</v>
      </c>
      <c r="W76" s="26">
        <f t="shared" ref="W76:W132" si="18">AH76-M76</f>
        <v>0</v>
      </c>
      <c r="X76" s="26">
        <f t="shared" si="13"/>
        <v>0</v>
      </c>
      <c r="Y76" s="26">
        <f t="shared" si="11"/>
        <v>0</v>
      </c>
      <c r="Z76" s="26">
        <f t="shared" si="14"/>
        <v>0</v>
      </c>
      <c r="AA76" s="33" t="s">
        <v>15</v>
      </c>
      <c r="AB76" s="36" t="s">
        <v>16</v>
      </c>
      <c r="AC76" s="181">
        <f t="shared" si="15"/>
        <v>7.8</v>
      </c>
      <c r="AD76" s="181">
        <f t="shared" si="12"/>
        <v>3462.65</v>
      </c>
      <c r="AE76" s="181">
        <v>1.2</v>
      </c>
      <c r="AF76" s="181">
        <v>1.2</v>
      </c>
      <c r="AG76" s="101" t="str">
        <f t="shared" si="16"/>
        <v/>
      </c>
      <c r="AH76" s="190">
        <v>0</v>
      </c>
      <c r="AI76" s="69">
        <f t="shared" si="17"/>
        <v>7.8</v>
      </c>
    </row>
    <row r="77" spans="1:35" s="69" customFormat="1" ht="26.1" customHeight="1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 t="s">
        <v>15</v>
      </c>
      <c r="I77" s="75">
        <v>13705.7</v>
      </c>
      <c r="J77" s="75">
        <v>27411.4</v>
      </c>
      <c r="K77" s="91" t="s">
        <v>220</v>
      </c>
      <c r="L77" s="73"/>
      <c r="M77" s="46">
        <v>0</v>
      </c>
      <c r="N77" s="46">
        <v>0</v>
      </c>
      <c r="O77" s="46">
        <v>0</v>
      </c>
      <c r="P77" s="98"/>
      <c r="Q77" s="23" t="s">
        <v>1411</v>
      </c>
      <c r="R77" s="24" t="s">
        <v>219</v>
      </c>
      <c r="S77" s="25" t="s">
        <v>81</v>
      </c>
      <c r="T77" s="26">
        <v>2</v>
      </c>
      <c r="U77" s="26">
        <v>2</v>
      </c>
      <c r="V77" s="26">
        <f t="shared" si="10"/>
        <v>13705.7</v>
      </c>
      <c r="W77" s="26">
        <f t="shared" si="18"/>
        <v>0</v>
      </c>
      <c r="X77" s="26">
        <f t="shared" si="13"/>
        <v>0</v>
      </c>
      <c r="Y77" s="26">
        <f t="shared" si="11"/>
        <v>0</v>
      </c>
      <c r="Z77" s="26">
        <f t="shared" si="14"/>
        <v>0</v>
      </c>
      <c r="AA77" s="33" t="s">
        <v>15</v>
      </c>
      <c r="AB77" s="36" t="s">
        <v>16</v>
      </c>
      <c r="AC77" s="181">
        <f t="shared" si="15"/>
        <v>2</v>
      </c>
      <c r="AD77" s="181">
        <f t="shared" si="12"/>
        <v>27411.4</v>
      </c>
      <c r="AE77" s="181">
        <v>1.2</v>
      </c>
      <c r="AF77" s="181">
        <v>1.2</v>
      </c>
      <c r="AG77" s="101" t="str">
        <f t="shared" si="16"/>
        <v/>
      </c>
      <c r="AH77" s="190">
        <v>0</v>
      </c>
      <c r="AI77" s="69">
        <f t="shared" si="17"/>
        <v>2</v>
      </c>
    </row>
    <row r="78" spans="1:35" s="69" customFormat="1" ht="26.1" customHeight="1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 t="s">
        <v>15</v>
      </c>
      <c r="I78" s="75">
        <v>25126.95</v>
      </c>
      <c r="J78" s="75">
        <v>75380.850000000006</v>
      </c>
      <c r="K78" s="91" t="s">
        <v>223</v>
      </c>
      <c r="L78" s="73"/>
      <c r="M78" s="46">
        <v>0</v>
      </c>
      <c r="N78" s="46">
        <v>0</v>
      </c>
      <c r="O78" s="46">
        <v>0</v>
      </c>
      <c r="P78" s="98"/>
      <c r="Q78" s="23" t="s">
        <v>1445</v>
      </c>
      <c r="R78" s="24" t="s">
        <v>222</v>
      </c>
      <c r="S78" s="25" t="s">
        <v>81</v>
      </c>
      <c r="T78" s="26">
        <v>3</v>
      </c>
      <c r="U78" s="26">
        <v>3</v>
      </c>
      <c r="V78" s="26">
        <f t="shared" si="10"/>
        <v>25126.95</v>
      </c>
      <c r="W78" s="26">
        <f t="shared" si="18"/>
        <v>0</v>
      </c>
      <c r="X78" s="26">
        <f t="shared" si="13"/>
        <v>0</v>
      </c>
      <c r="Y78" s="26">
        <f t="shared" si="11"/>
        <v>0</v>
      </c>
      <c r="Z78" s="26">
        <f t="shared" si="14"/>
        <v>0</v>
      </c>
      <c r="AA78" s="33" t="s">
        <v>15</v>
      </c>
      <c r="AB78" s="36" t="s">
        <v>16</v>
      </c>
      <c r="AC78" s="181">
        <f t="shared" si="15"/>
        <v>3</v>
      </c>
      <c r="AD78" s="181">
        <f t="shared" si="12"/>
        <v>75380.850000000006</v>
      </c>
      <c r="AE78" s="181">
        <v>1.2</v>
      </c>
      <c r="AF78" s="181">
        <v>1.2</v>
      </c>
      <c r="AG78" s="101" t="str">
        <f t="shared" si="16"/>
        <v/>
      </c>
      <c r="AH78" s="190">
        <v>0</v>
      </c>
      <c r="AI78" s="69">
        <f t="shared" si="17"/>
        <v>3</v>
      </c>
    </row>
    <row r="79" spans="1:35" s="69" customFormat="1" ht="26.1" customHeight="1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 t="s">
        <v>15</v>
      </c>
      <c r="I79" s="75">
        <v>2901.57</v>
      </c>
      <c r="J79" s="75">
        <v>52228.26</v>
      </c>
      <c r="K79" s="91" t="s">
        <v>226</v>
      </c>
      <c r="L79" s="73"/>
      <c r="M79" s="46">
        <v>0</v>
      </c>
      <c r="N79" s="46">
        <v>0</v>
      </c>
      <c r="O79" s="46">
        <v>0</v>
      </c>
      <c r="P79" s="98"/>
      <c r="Q79" s="23" t="s">
        <v>1383</v>
      </c>
      <c r="R79" s="24" t="s">
        <v>225</v>
      </c>
      <c r="S79" s="25" t="s">
        <v>30</v>
      </c>
      <c r="T79" s="26">
        <v>18</v>
      </c>
      <c r="U79" s="26">
        <v>18</v>
      </c>
      <c r="V79" s="26">
        <f t="shared" si="10"/>
        <v>2901.57</v>
      </c>
      <c r="W79" s="26">
        <f t="shared" si="18"/>
        <v>0</v>
      </c>
      <c r="X79" s="26">
        <f t="shared" si="13"/>
        <v>0</v>
      </c>
      <c r="Y79" s="26">
        <f t="shared" si="11"/>
        <v>0</v>
      </c>
      <c r="Z79" s="26">
        <f t="shared" si="14"/>
        <v>0</v>
      </c>
      <c r="AA79" s="33" t="s">
        <v>15</v>
      </c>
      <c r="AB79" s="36" t="s">
        <v>16</v>
      </c>
      <c r="AC79" s="181">
        <f t="shared" si="15"/>
        <v>18</v>
      </c>
      <c r="AD79" s="181">
        <f t="shared" si="12"/>
        <v>52228.26</v>
      </c>
      <c r="AE79" s="181">
        <v>1.2</v>
      </c>
      <c r="AF79" s="181">
        <v>1.2</v>
      </c>
      <c r="AG79" s="101" t="str">
        <f t="shared" si="16"/>
        <v/>
      </c>
      <c r="AH79" s="190">
        <v>0</v>
      </c>
      <c r="AI79" s="69">
        <f t="shared" si="17"/>
        <v>18</v>
      </c>
    </row>
    <row r="80" spans="1:35" s="69" customFormat="1" ht="26.1" customHeight="1" x14ac:dyDescent="0.3">
      <c r="A80" s="130" t="s">
        <v>227</v>
      </c>
      <c r="B80" s="131" t="s">
        <v>228</v>
      </c>
      <c r="C80" s="132" t="s">
        <v>30</v>
      </c>
      <c r="D80" s="133">
        <v>17.100000000000001</v>
      </c>
      <c r="E80" s="75"/>
      <c r="F80" s="75"/>
      <c r="G80" s="75"/>
      <c r="H80" s="75" t="s">
        <v>15</v>
      </c>
      <c r="I80" s="75">
        <v>1762.96</v>
      </c>
      <c r="J80" s="75">
        <v>30146.62</v>
      </c>
      <c r="K80" s="91" t="s">
        <v>229</v>
      </c>
      <c r="L80" s="73"/>
      <c r="M80" s="46">
        <v>17.100000000000001</v>
      </c>
      <c r="N80" s="46">
        <v>0</v>
      </c>
      <c r="O80" s="46">
        <v>30146.62</v>
      </c>
      <c r="P80" s="98"/>
      <c r="Q80" s="23" t="s">
        <v>1384</v>
      </c>
      <c r="R80" s="24" t="s">
        <v>228</v>
      </c>
      <c r="S80" s="25" t="s">
        <v>30</v>
      </c>
      <c r="T80" s="26">
        <v>17.100000000000001</v>
      </c>
      <c r="U80" s="26">
        <v>17.100000000000001</v>
      </c>
      <c r="V80" s="26">
        <f t="shared" si="10"/>
        <v>1762.96</v>
      </c>
      <c r="W80" s="127">
        <f t="shared" si="18"/>
        <v>0</v>
      </c>
      <c r="X80" s="127">
        <f t="shared" si="13"/>
        <v>17.100000000000001</v>
      </c>
      <c r="Y80" s="127">
        <f t="shared" si="11"/>
        <v>0</v>
      </c>
      <c r="Z80" s="127">
        <f t="shared" si="14"/>
        <v>30146.62</v>
      </c>
      <c r="AA80" s="33" t="s">
        <v>15</v>
      </c>
      <c r="AB80" s="36" t="s">
        <v>16</v>
      </c>
      <c r="AC80" s="181">
        <f t="shared" si="15"/>
        <v>17.100000000000001</v>
      </c>
      <c r="AD80" s="181">
        <f t="shared" si="12"/>
        <v>30146.62</v>
      </c>
      <c r="AE80" s="181">
        <v>1.2</v>
      </c>
      <c r="AF80" s="181">
        <v>1.2</v>
      </c>
      <c r="AG80" s="101" t="str">
        <f t="shared" si="16"/>
        <v/>
      </c>
      <c r="AH80" s="191">
        <v>17.100000000000001</v>
      </c>
      <c r="AI80" s="69">
        <f t="shared" si="17"/>
        <v>17.100000000000001</v>
      </c>
    </row>
    <row r="81" spans="1:35" s="69" customFormat="1" ht="26.1" customHeight="1" x14ac:dyDescent="0.3">
      <c r="A81" s="130" t="s">
        <v>230</v>
      </c>
      <c r="B81" s="131" t="s">
        <v>231</v>
      </c>
      <c r="C81" s="132" t="s">
        <v>30</v>
      </c>
      <c r="D81" s="133">
        <v>77.400000000000006</v>
      </c>
      <c r="E81" s="75"/>
      <c r="F81" s="75"/>
      <c r="G81" s="75"/>
      <c r="H81" s="75" t="s">
        <v>15</v>
      </c>
      <c r="I81" s="75">
        <v>1224.3</v>
      </c>
      <c r="J81" s="75">
        <v>94760.82</v>
      </c>
      <c r="K81" s="91" t="s">
        <v>232</v>
      </c>
      <c r="L81" s="73"/>
      <c r="M81" s="46">
        <v>56</v>
      </c>
      <c r="N81" s="46">
        <v>0</v>
      </c>
      <c r="O81" s="46">
        <v>68560.800000000003</v>
      </c>
      <c r="P81" s="98"/>
      <c r="Q81" s="23" t="s">
        <v>1385</v>
      </c>
      <c r="R81" s="24" t="s">
        <v>231</v>
      </c>
      <c r="S81" s="25" t="s">
        <v>30</v>
      </c>
      <c r="T81" s="26">
        <v>77.400000000000006</v>
      </c>
      <c r="U81" s="26">
        <v>77.400000000000006</v>
      </c>
      <c r="V81" s="26">
        <f t="shared" si="10"/>
        <v>1224.3</v>
      </c>
      <c r="W81" s="127">
        <f t="shared" si="18"/>
        <v>0</v>
      </c>
      <c r="X81" s="127">
        <f t="shared" si="13"/>
        <v>56</v>
      </c>
      <c r="Y81" s="127">
        <f t="shared" si="11"/>
        <v>0</v>
      </c>
      <c r="Z81" s="127">
        <f t="shared" si="14"/>
        <v>68560.800000000003</v>
      </c>
      <c r="AA81" s="33" t="s">
        <v>15</v>
      </c>
      <c r="AB81" s="36" t="s">
        <v>16</v>
      </c>
      <c r="AC81" s="181">
        <f t="shared" si="15"/>
        <v>77.400000000000006</v>
      </c>
      <c r="AD81" s="181">
        <f t="shared" si="12"/>
        <v>94760.82</v>
      </c>
      <c r="AE81" s="181">
        <v>1.2</v>
      </c>
      <c r="AF81" s="181">
        <v>1.2</v>
      </c>
      <c r="AG81" s="101" t="str">
        <f t="shared" si="16"/>
        <v/>
      </c>
      <c r="AH81" s="191">
        <v>56</v>
      </c>
      <c r="AI81" s="69">
        <f t="shared" si="17"/>
        <v>77.400000000000006</v>
      </c>
    </row>
    <row r="82" spans="1:35" s="69" customFormat="1" ht="26.1" customHeight="1" x14ac:dyDescent="0.3">
      <c r="A82" s="55" t="s">
        <v>233</v>
      </c>
      <c r="B82" s="215" t="s">
        <v>234</v>
      </c>
      <c r="C82" s="54" t="s">
        <v>30</v>
      </c>
      <c r="D82" s="75">
        <v>32.5</v>
      </c>
      <c r="E82" s="75"/>
      <c r="F82" s="75"/>
      <c r="G82" s="75"/>
      <c r="H82" s="75" t="s">
        <v>15</v>
      </c>
      <c r="I82" s="75">
        <v>1148.7</v>
      </c>
      <c r="J82" s="75">
        <v>37332.75</v>
      </c>
      <c r="K82" s="91" t="s">
        <v>235</v>
      </c>
      <c r="L82" s="73"/>
      <c r="M82" s="46">
        <v>0</v>
      </c>
      <c r="N82" s="46">
        <v>0</v>
      </c>
      <c r="O82" s="46">
        <v>0</v>
      </c>
      <c r="P82" s="98"/>
      <c r="Q82" s="23" t="s">
        <v>1446</v>
      </c>
      <c r="R82" s="24" t="s">
        <v>234</v>
      </c>
      <c r="S82" s="25" t="s">
        <v>30</v>
      </c>
      <c r="T82" s="26">
        <v>32.5</v>
      </c>
      <c r="U82" s="26">
        <v>32.5</v>
      </c>
      <c r="V82" s="26">
        <f t="shared" si="10"/>
        <v>1148.7</v>
      </c>
      <c r="W82" s="26">
        <f t="shared" si="18"/>
        <v>0</v>
      </c>
      <c r="X82" s="26">
        <f t="shared" si="13"/>
        <v>0</v>
      </c>
      <c r="Y82" s="26">
        <f t="shared" si="11"/>
        <v>0</v>
      </c>
      <c r="Z82" s="26">
        <f t="shared" si="14"/>
        <v>0</v>
      </c>
      <c r="AA82" s="33" t="s">
        <v>15</v>
      </c>
      <c r="AB82" s="36" t="s">
        <v>16</v>
      </c>
      <c r="AC82" s="181">
        <f t="shared" si="15"/>
        <v>32.5</v>
      </c>
      <c r="AD82" s="181">
        <f t="shared" si="12"/>
        <v>37332.75</v>
      </c>
      <c r="AE82" s="181">
        <v>1.2</v>
      </c>
      <c r="AF82" s="181">
        <v>1.2</v>
      </c>
      <c r="AG82" s="101" t="str">
        <f t="shared" si="16"/>
        <v/>
      </c>
      <c r="AH82" s="190">
        <v>0</v>
      </c>
      <c r="AI82" s="69">
        <f t="shared" si="17"/>
        <v>32.5</v>
      </c>
    </row>
    <row r="83" spans="1:35" s="69" customFormat="1" ht="26.1" customHeight="1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 t="s">
        <v>15</v>
      </c>
      <c r="I83" s="75">
        <v>19780.169999999998</v>
      </c>
      <c r="J83" s="75">
        <v>19780.169999999998</v>
      </c>
      <c r="K83" s="91" t="s">
        <v>238</v>
      </c>
      <c r="L83" s="73"/>
      <c r="M83" s="46">
        <v>0</v>
      </c>
      <c r="N83" s="46">
        <v>0</v>
      </c>
      <c r="O83" s="46">
        <v>0</v>
      </c>
      <c r="P83" s="98"/>
      <c r="Q83" s="23" t="s">
        <v>1447</v>
      </c>
      <c r="R83" s="24" t="s">
        <v>237</v>
      </c>
      <c r="S83" s="25" t="s">
        <v>81</v>
      </c>
      <c r="T83" s="26">
        <v>1</v>
      </c>
      <c r="U83" s="26">
        <v>1</v>
      </c>
      <c r="V83" s="26">
        <f t="shared" si="10"/>
        <v>19780.169999999998</v>
      </c>
      <c r="W83" s="26">
        <f t="shared" si="18"/>
        <v>0</v>
      </c>
      <c r="X83" s="26">
        <f t="shared" si="13"/>
        <v>0</v>
      </c>
      <c r="Y83" s="26">
        <f t="shared" si="11"/>
        <v>0</v>
      </c>
      <c r="Z83" s="26">
        <f t="shared" si="14"/>
        <v>0</v>
      </c>
      <c r="AA83" s="33" t="s">
        <v>15</v>
      </c>
      <c r="AB83" s="36" t="s">
        <v>16</v>
      </c>
      <c r="AC83" s="181">
        <f t="shared" si="15"/>
        <v>1</v>
      </c>
      <c r="AD83" s="181">
        <f t="shared" si="12"/>
        <v>19780.169999999998</v>
      </c>
      <c r="AE83" s="181">
        <v>1.2</v>
      </c>
      <c r="AF83" s="181">
        <v>1.2</v>
      </c>
      <c r="AG83" s="101" t="str">
        <f t="shared" si="16"/>
        <v/>
      </c>
      <c r="AH83" s="190">
        <v>0</v>
      </c>
      <c r="AI83" s="69">
        <f t="shared" si="17"/>
        <v>1</v>
      </c>
    </row>
    <row r="84" spans="1:35" s="69" customFormat="1" ht="26.1" customHeight="1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 t="s">
        <v>15</v>
      </c>
      <c r="I84" s="75">
        <v>1218.03</v>
      </c>
      <c r="J84" s="75">
        <v>1218.03</v>
      </c>
      <c r="K84" s="91" t="s">
        <v>241</v>
      </c>
      <c r="L84" s="73"/>
      <c r="M84" s="46">
        <v>0</v>
      </c>
      <c r="N84" s="46">
        <v>0</v>
      </c>
      <c r="O84" s="46">
        <v>0</v>
      </c>
      <c r="P84" s="98"/>
      <c r="Q84" s="23" t="s">
        <v>1448</v>
      </c>
      <c r="R84" s="24" t="s">
        <v>240</v>
      </c>
      <c r="S84" s="25" t="s">
        <v>81</v>
      </c>
      <c r="T84" s="26">
        <v>1</v>
      </c>
      <c r="U84" s="26">
        <v>1</v>
      </c>
      <c r="V84" s="26">
        <f t="shared" si="10"/>
        <v>1218.03</v>
      </c>
      <c r="W84" s="26">
        <f t="shared" si="18"/>
        <v>0</v>
      </c>
      <c r="X84" s="26">
        <f t="shared" si="13"/>
        <v>0</v>
      </c>
      <c r="Y84" s="26">
        <f t="shared" si="11"/>
        <v>0</v>
      </c>
      <c r="Z84" s="26">
        <f t="shared" si="14"/>
        <v>0</v>
      </c>
      <c r="AA84" s="33" t="s">
        <v>15</v>
      </c>
      <c r="AB84" s="36" t="s">
        <v>16</v>
      </c>
      <c r="AC84" s="181">
        <f t="shared" si="15"/>
        <v>1</v>
      </c>
      <c r="AD84" s="181">
        <f t="shared" si="12"/>
        <v>1218.03</v>
      </c>
      <c r="AE84" s="181">
        <v>1.2</v>
      </c>
      <c r="AF84" s="181">
        <v>1.2</v>
      </c>
      <c r="AG84" s="101" t="str">
        <f t="shared" si="16"/>
        <v/>
      </c>
      <c r="AH84" s="190">
        <v>0</v>
      </c>
      <c r="AI84" s="69">
        <f t="shared" si="17"/>
        <v>1</v>
      </c>
    </row>
    <row r="85" spans="1:35" s="69" customFormat="1" ht="26.1" customHeight="1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 t="s">
        <v>15</v>
      </c>
      <c r="I85" s="75">
        <v>3110.7</v>
      </c>
      <c r="J85" s="75">
        <v>3110.7</v>
      </c>
      <c r="K85" s="91" t="s">
        <v>244</v>
      </c>
      <c r="L85" s="73"/>
      <c r="M85" s="46">
        <v>0</v>
      </c>
      <c r="N85" s="46">
        <v>0</v>
      </c>
      <c r="O85" s="46">
        <v>0</v>
      </c>
      <c r="P85" s="98"/>
      <c r="Q85" s="23" t="s">
        <v>1449</v>
      </c>
      <c r="R85" s="24" t="s">
        <v>243</v>
      </c>
      <c r="S85" s="25" t="s">
        <v>81</v>
      </c>
      <c r="T85" s="26">
        <v>1</v>
      </c>
      <c r="U85" s="26">
        <v>1</v>
      </c>
      <c r="V85" s="26">
        <f t="shared" si="10"/>
        <v>3110.7</v>
      </c>
      <c r="W85" s="26">
        <f t="shared" si="18"/>
        <v>0</v>
      </c>
      <c r="X85" s="26">
        <f t="shared" si="13"/>
        <v>0</v>
      </c>
      <c r="Y85" s="26">
        <f t="shared" si="11"/>
        <v>0</v>
      </c>
      <c r="Z85" s="26">
        <f t="shared" si="14"/>
        <v>0</v>
      </c>
      <c r="AA85" s="33" t="s">
        <v>15</v>
      </c>
      <c r="AB85" s="36" t="s">
        <v>16</v>
      </c>
      <c r="AC85" s="181">
        <f t="shared" si="15"/>
        <v>1</v>
      </c>
      <c r="AD85" s="181">
        <f t="shared" si="12"/>
        <v>3110.7</v>
      </c>
      <c r="AE85" s="181">
        <v>1.2</v>
      </c>
      <c r="AF85" s="181">
        <v>1.2</v>
      </c>
      <c r="AG85" s="101" t="str">
        <f t="shared" si="16"/>
        <v/>
      </c>
      <c r="AH85" s="190">
        <v>0</v>
      </c>
      <c r="AI85" s="69">
        <f t="shared" si="17"/>
        <v>1</v>
      </c>
    </row>
    <row r="86" spans="1:35" s="69" customFormat="1" ht="26.1" customHeight="1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 t="s">
        <v>15</v>
      </c>
      <c r="I86" s="75">
        <v>1251.0999999999999</v>
      </c>
      <c r="J86" s="75">
        <v>1251.0999999999999</v>
      </c>
      <c r="K86" s="91" t="s">
        <v>247</v>
      </c>
      <c r="L86" s="73"/>
      <c r="M86" s="46">
        <v>0</v>
      </c>
      <c r="N86" s="46">
        <v>0</v>
      </c>
      <c r="O86" s="46">
        <v>0</v>
      </c>
      <c r="P86" s="98"/>
      <c r="Q86" s="23" t="s">
        <v>1450</v>
      </c>
      <c r="R86" s="24" t="s">
        <v>246</v>
      </c>
      <c r="S86" s="25" t="s">
        <v>81</v>
      </c>
      <c r="T86" s="26">
        <v>1</v>
      </c>
      <c r="U86" s="26">
        <v>1</v>
      </c>
      <c r="V86" s="26">
        <f t="shared" si="10"/>
        <v>1251.0999999999999</v>
      </c>
      <c r="W86" s="26">
        <f t="shared" si="18"/>
        <v>0</v>
      </c>
      <c r="X86" s="26">
        <f t="shared" si="13"/>
        <v>0</v>
      </c>
      <c r="Y86" s="26">
        <f t="shared" si="11"/>
        <v>0</v>
      </c>
      <c r="Z86" s="26">
        <f t="shared" si="14"/>
        <v>0</v>
      </c>
      <c r="AA86" s="33" t="s">
        <v>15</v>
      </c>
      <c r="AB86" s="36" t="s">
        <v>16</v>
      </c>
      <c r="AC86" s="181">
        <f t="shared" si="15"/>
        <v>1</v>
      </c>
      <c r="AD86" s="181">
        <f t="shared" si="12"/>
        <v>1251.0999999999999</v>
      </c>
      <c r="AE86" s="181">
        <v>1.2</v>
      </c>
      <c r="AF86" s="181">
        <v>1.2</v>
      </c>
      <c r="AG86" s="101" t="str">
        <f t="shared" si="16"/>
        <v/>
      </c>
      <c r="AH86" s="190">
        <v>0</v>
      </c>
      <c r="AI86" s="69">
        <f t="shared" si="17"/>
        <v>1</v>
      </c>
    </row>
    <row r="87" spans="1:35" s="69" customFormat="1" ht="26.1" customHeight="1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 t="s">
        <v>15</v>
      </c>
      <c r="I87" s="75">
        <v>9500.58</v>
      </c>
      <c r="J87" s="75">
        <v>9500.58</v>
      </c>
      <c r="K87" s="91" t="s">
        <v>250</v>
      </c>
      <c r="L87" s="73"/>
      <c r="M87" s="46">
        <v>0</v>
      </c>
      <c r="N87" s="46">
        <v>0</v>
      </c>
      <c r="O87" s="46">
        <v>0</v>
      </c>
      <c r="P87" s="98"/>
      <c r="Q87" s="23" t="s">
        <v>1451</v>
      </c>
      <c r="R87" s="24" t="s">
        <v>249</v>
      </c>
      <c r="S87" s="25" t="s">
        <v>81</v>
      </c>
      <c r="T87" s="26">
        <v>1</v>
      </c>
      <c r="U87" s="26">
        <v>1</v>
      </c>
      <c r="V87" s="26">
        <f t="shared" si="10"/>
        <v>9500.58</v>
      </c>
      <c r="W87" s="26">
        <f t="shared" si="18"/>
        <v>0</v>
      </c>
      <c r="X87" s="26">
        <f t="shared" si="13"/>
        <v>0</v>
      </c>
      <c r="Y87" s="26">
        <f t="shared" si="11"/>
        <v>0</v>
      </c>
      <c r="Z87" s="26">
        <f t="shared" si="14"/>
        <v>0</v>
      </c>
      <c r="AA87" s="33" t="s">
        <v>15</v>
      </c>
      <c r="AB87" s="36" t="s">
        <v>16</v>
      </c>
      <c r="AC87" s="181">
        <f t="shared" si="15"/>
        <v>1</v>
      </c>
      <c r="AD87" s="181">
        <f t="shared" si="12"/>
        <v>9500.58</v>
      </c>
      <c r="AE87" s="181">
        <v>1.2</v>
      </c>
      <c r="AF87" s="181">
        <v>1.2</v>
      </c>
      <c r="AG87" s="101" t="str">
        <f t="shared" si="16"/>
        <v/>
      </c>
      <c r="AH87" s="190">
        <v>0</v>
      </c>
      <c r="AI87" s="69">
        <f t="shared" si="17"/>
        <v>1</v>
      </c>
    </row>
    <row r="88" spans="1:35" s="69" customFormat="1" ht="26.1" customHeight="1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 t="s">
        <v>15</v>
      </c>
      <c r="I88" s="75">
        <v>3871.43</v>
      </c>
      <c r="J88" s="75">
        <v>3871.43</v>
      </c>
      <c r="K88" s="91" t="s">
        <v>253</v>
      </c>
      <c r="L88" s="73"/>
      <c r="M88" s="46">
        <v>0</v>
      </c>
      <c r="N88" s="46">
        <v>0</v>
      </c>
      <c r="O88" s="46">
        <v>0</v>
      </c>
      <c r="P88" s="98"/>
      <c r="Q88" s="23" t="s">
        <v>1452</v>
      </c>
      <c r="R88" s="24" t="s">
        <v>252</v>
      </c>
      <c r="S88" s="25" t="s">
        <v>81</v>
      </c>
      <c r="T88" s="26">
        <v>1</v>
      </c>
      <c r="U88" s="26">
        <v>1</v>
      </c>
      <c r="V88" s="26">
        <f t="shared" si="10"/>
        <v>3871.43</v>
      </c>
      <c r="W88" s="26">
        <f t="shared" si="18"/>
        <v>0</v>
      </c>
      <c r="X88" s="26">
        <f t="shared" si="13"/>
        <v>0</v>
      </c>
      <c r="Y88" s="26">
        <f t="shared" si="11"/>
        <v>0</v>
      </c>
      <c r="Z88" s="26">
        <f t="shared" si="14"/>
        <v>0</v>
      </c>
      <c r="AA88" s="33" t="s">
        <v>15</v>
      </c>
      <c r="AB88" s="36" t="s">
        <v>16</v>
      </c>
      <c r="AC88" s="181">
        <f t="shared" si="15"/>
        <v>1</v>
      </c>
      <c r="AD88" s="181">
        <f t="shared" si="12"/>
        <v>3871.43</v>
      </c>
      <c r="AE88" s="181">
        <v>1.2</v>
      </c>
      <c r="AF88" s="181">
        <v>1.2</v>
      </c>
      <c r="AG88" s="101" t="str">
        <f t="shared" si="16"/>
        <v/>
      </c>
      <c r="AH88" s="190">
        <v>0</v>
      </c>
      <c r="AI88" s="69">
        <f t="shared" si="17"/>
        <v>1</v>
      </c>
    </row>
    <row r="89" spans="1:35" s="69" customFormat="1" ht="26.1" customHeight="1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 t="s">
        <v>15</v>
      </c>
      <c r="I89" s="75">
        <v>25380.34</v>
      </c>
      <c r="J89" s="75">
        <v>25380.34</v>
      </c>
      <c r="K89" s="91" t="s">
        <v>256</v>
      </c>
      <c r="L89" s="73"/>
      <c r="M89" s="46">
        <v>0</v>
      </c>
      <c r="N89" s="46">
        <v>0</v>
      </c>
      <c r="O89" s="46">
        <v>0</v>
      </c>
      <c r="P89" s="98"/>
      <c r="Q89" s="23" t="s">
        <v>1453</v>
      </c>
      <c r="R89" s="24" t="s">
        <v>255</v>
      </c>
      <c r="S89" s="25" t="s">
        <v>81</v>
      </c>
      <c r="T89" s="26">
        <v>1</v>
      </c>
      <c r="U89" s="26">
        <v>1</v>
      </c>
      <c r="V89" s="26">
        <f t="shared" si="10"/>
        <v>25380.34</v>
      </c>
      <c r="W89" s="26">
        <f t="shared" si="18"/>
        <v>0</v>
      </c>
      <c r="X89" s="26">
        <f t="shared" si="13"/>
        <v>0</v>
      </c>
      <c r="Y89" s="26">
        <f t="shared" si="11"/>
        <v>0</v>
      </c>
      <c r="Z89" s="26">
        <f t="shared" si="14"/>
        <v>0</v>
      </c>
      <c r="AA89" s="33" t="s">
        <v>15</v>
      </c>
      <c r="AB89" s="36" t="s">
        <v>16</v>
      </c>
      <c r="AC89" s="181">
        <f t="shared" si="15"/>
        <v>1</v>
      </c>
      <c r="AD89" s="181">
        <f t="shared" si="12"/>
        <v>25380.34</v>
      </c>
      <c r="AE89" s="181">
        <v>1.2</v>
      </c>
      <c r="AF89" s="181">
        <v>1.2</v>
      </c>
      <c r="AG89" s="101" t="str">
        <f t="shared" si="16"/>
        <v/>
      </c>
      <c r="AH89" s="190">
        <v>0</v>
      </c>
      <c r="AI89" s="69">
        <f t="shared" si="17"/>
        <v>1</v>
      </c>
    </row>
    <row r="90" spans="1:35" s="69" customFormat="1" ht="26.1" customHeight="1" x14ac:dyDescent="0.3">
      <c r="A90" s="55" t="s">
        <v>257</v>
      </c>
      <c r="B90" s="53" t="s">
        <v>258</v>
      </c>
      <c r="C90" s="54" t="s">
        <v>30</v>
      </c>
      <c r="D90" s="75">
        <v>13.9</v>
      </c>
      <c r="E90" s="75"/>
      <c r="F90" s="75"/>
      <c r="G90" s="75"/>
      <c r="H90" s="75" t="s">
        <v>15</v>
      </c>
      <c r="I90" s="75">
        <v>1285.31</v>
      </c>
      <c r="J90" s="75">
        <v>17865.810000000001</v>
      </c>
      <c r="K90" s="91" t="s">
        <v>259</v>
      </c>
      <c r="L90" s="73"/>
      <c r="M90" s="46">
        <v>13.9</v>
      </c>
      <c r="N90" s="46">
        <v>17865.810000000001</v>
      </c>
      <c r="O90" s="46">
        <v>17865.810000000001</v>
      </c>
      <c r="P90" s="98"/>
      <c r="Q90" s="23" t="s">
        <v>1454</v>
      </c>
      <c r="R90" s="24" t="s">
        <v>258</v>
      </c>
      <c r="S90" s="25" t="s">
        <v>30</v>
      </c>
      <c r="T90" s="26">
        <v>13.9</v>
      </c>
      <c r="U90" s="26">
        <v>13.9</v>
      </c>
      <c r="V90" s="26">
        <f t="shared" si="10"/>
        <v>1285.31</v>
      </c>
      <c r="W90" s="243">
        <f t="shared" si="18"/>
        <v>0</v>
      </c>
      <c r="X90" s="26">
        <f t="shared" si="13"/>
        <v>13.9</v>
      </c>
      <c r="Y90" s="26">
        <f t="shared" si="11"/>
        <v>0</v>
      </c>
      <c r="Z90" s="26">
        <f t="shared" si="14"/>
        <v>17865.810000000001</v>
      </c>
      <c r="AA90" s="33" t="s">
        <v>15</v>
      </c>
      <c r="AB90" s="36" t="s">
        <v>16</v>
      </c>
      <c r="AC90" s="181">
        <f t="shared" si="15"/>
        <v>13.9</v>
      </c>
      <c r="AD90" s="181">
        <f t="shared" si="12"/>
        <v>17865.810000000001</v>
      </c>
      <c r="AE90" s="181">
        <v>1.2</v>
      </c>
      <c r="AF90" s="181">
        <v>1.2</v>
      </c>
      <c r="AG90" s="101" t="str">
        <f t="shared" si="16"/>
        <v/>
      </c>
      <c r="AH90" s="191">
        <f>13.9</f>
        <v>13.9</v>
      </c>
      <c r="AI90" s="69">
        <f t="shared" si="17"/>
        <v>13.9</v>
      </c>
    </row>
    <row r="91" spans="1:35" s="69" customFormat="1" ht="26.1" customHeight="1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 t="s">
        <v>15</v>
      </c>
      <c r="I91" s="75">
        <v>1976.06</v>
      </c>
      <c r="J91" s="75">
        <v>186046.05</v>
      </c>
      <c r="K91" s="91" t="s">
        <v>262</v>
      </c>
      <c r="L91" s="73"/>
      <c r="M91" s="46">
        <v>26.7</v>
      </c>
      <c r="N91" s="46">
        <v>52760.800000000003</v>
      </c>
      <c r="O91" s="46">
        <v>52760.800000000003</v>
      </c>
      <c r="P91" s="98"/>
      <c r="Q91" s="23" t="s">
        <v>1455</v>
      </c>
      <c r="R91" s="24" t="s">
        <v>261</v>
      </c>
      <c r="S91" s="25" t="s">
        <v>30</v>
      </c>
      <c r="T91" s="26">
        <v>94.15</v>
      </c>
      <c r="U91" s="26">
        <v>94.15</v>
      </c>
      <c r="V91" s="26">
        <f t="shared" si="10"/>
        <v>1976.06</v>
      </c>
      <c r="W91" s="243">
        <f t="shared" si="18"/>
        <v>0</v>
      </c>
      <c r="X91" s="26">
        <f t="shared" si="13"/>
        <v>26.7</v>
      </c>
      <c r="Y91" s="26">
        <f t="shared" si="11"/>
        <v>0</v>
      </c>
      <c r="Z91" s="26">
        <f t="shared" si="14"/>
        <v>52760.800000000003</v>
      </c>
      <c r="AA91" s="33" t="s">
        <v>15</v>
      </c>
      <c r="AB91" s="36" t="s">
        <v>16</v>
      </c>
      <c r="AC91" s="181">
        <f t="shared" si="15"/>
        <v>94.15</v>
      </c>
      <c r="AD91" s="181">
        <f t="shared" si="12"/>
        <v>186046.05</v>
      </c>
      <c r="AE91" s="181">
        <v>1.2</v>
      </c>
      <c r="AF91" s="181">
        <v>1.2</v>
      </c>
      <c r="AG91" s="101" t="str">
        <f t="shared" si="16"/>
        <v/>
      </c>
      <c r="AH91" s="191">
        <f>26.7</f>
        <v>26.7</v>
      </c>
      <c r="AI91" s="69">
        <f t="shared" si="17"/>
        <v>94.15</v>
      </c>
    </row>
    <row r="92" spans="1:35" s="69" customFormat="1" ht="26.1" customHeight="1" x14ac:dyDescent="0.3">
      <c r="A92" s="130" t="s">
        <v>263</v>
      </c>
      <c r="B92" s="131" t="s">
        <v>264</v>
      </c>
      <c r="C92" s="132" t="s">
        <v>30</v>
      </c>
      <c r="D92" s="133">
        <v>13.5</v>
      </c>
      <c r="E92" s="75"/>
      <c r="F92" s="75"/>
      <c r="G92" s="75"/>
      <c r="H92" s="75" t="s">
        <v>15</v>
      </c>
      <c r="I92" s="75">
        <v>1889.54</v>
      </c>
      <c r="J92" s="75">
        <v>25508.79</v>
      </c>
      <c r="K92" s="91" t="s">
        <v>265</v>
      </c>
      <c r="L92" s="73"/>
      <c r="M92" s="46">
        <v>11.5</v>
      </c>
      <c r="N92" s="46">
        <v>0</v>
      </c>
      <c r="O92" s="46">
        <v>21729.71</v>
      </c>
      <c r="P92" s="98"/>
      <c r="Q92" s="23" t="s">
        <v>1456</v>
      </c>
      <c r="R92" s="24" t="s">
        <v>264</v>
      </c>
      <c r="S92" s="25" t="s">
        <v>30</v>
      </c>
      <c r="T92" s="26">
        <v>13.5</v>
      </c>
      <c r="U92" s="26">
        <v>13.5</v>
      </c>
      <c r="V92" s="26">
        <f t="shared" si="10"/>
        <v>1889.54</v>
      </c>
      <c r="W92" s="243">
        <f t="shared" si="18"/>
        <v>0</v>
      </c>
      <c r="X92" s="26">
        <f t="shared" si="13"/>
        <v>11.5</v>
      </c>
      <c r="Y92" s="26">
        <f t="shared" si="11"/>
        <v>0</v>
      </c>
      <c r="Z92" s="26">
        <f t="shared" si="14"/>
        <v>21729.71</v>
      </c>
      <c r="AA92" s="33" t="s">
        <v>15</v>
      </c>
      <c r="AB92" s="36" t="s">
        <v>16</v>
      </c>
      <c r="AC92" s="181">
        <f t="shared" si="15"/>
        <v>13.5</v>
      </c>
      <c r="AD92" s="181">
        <f t="shared" si="12"/>
        <v>25508.79</v>
      </c>
      <c r="AE92" s="181">
        <v>1.2</v>
      </c>
      <c r="AF92" s="181">
        <v>1.2</v>
      </c>
      <c r="AG92" s="101" t="str">
        <f t="shared" si="16"/>
        <v/>
      </c>
      <c r="AH92" s="191">
        <f>11.5</f>
        <v>11.5</v>
      </c>
      <c r="AI92" s="69">
        <f t="shared" si="17"/>
        <v>13.5</v>
      </c>
    </row>
    <row r="93" spans="1:35" s="69" customFormat="1" ht="33" x14ac:dyDescent="0.3">
      <c r="A93" s="130" t="s">
        <v>266</v>
      </c>
      <c r="B93" s="131" t="s">
        <v>267</v>
      </c>
      <c r="C93" s="132" t="s">
        <v>30</v>
      </c>
      <c r="D93" s="133">
        <v>13.7</v>
      </c>
      <c r="E93" s="75"/>
      <c r="F93" s="75"/>
      <c r="G93" s="75"/>
      <c r="H93" s="75" t="s">
        <v>15</v>
      </c>
      <c r="I93" s="75">
        <v>1778.66</v>
      </c>
      <c r="J93" s="75">
        <v>24367.64</v>
      </c>
      <c r="K93" s="91" t="s">
        <v>268</v>
      </c>
      <c r="L93" s="73"/>
      <c r="M93" s="46">
        <v>13.7</v>
      </c>
      <c r="N93" s="46">
        <v>0</v>
      </c>
      <c r="O93" s="46">
        <v>24367.64</v>
      </c>
      <c r="P93" s="98"/>
      <c r="Q93" s="23" t="s">
        <v>1457</v>
      </c>
      <c r="R93" s="24" t="s">
        <v>267</v>
      </c>
      <c r="S93" s="25" t="s">
        <v>30</v>
      </c>
      <c r="T93" s="26">
        <v>13.7</v>
      </c>
      <c r="U93" s="26">
        <v>13.7</v>
      </c>
      <c r="V93" s="26">
        <f t="shared" si="10"/>
        <v>1778.66</v>
      </c>
      <c r="W93" s="199">
        <f t="shared" si="18"/>
        <v>0</v>
      </c>
      <c r="X93" s="127">
        <f t="shared" si="13"/>
        <v>13.7</v>
      </c>
      <c r="Y93" s="127">
        <f t="shared" si="11"/>
        <v>0</v>
      </c>
      <c r="Z93" s="127">
        <f t="shared" si="14"/>
        <v>24367.64</v>
      </c>
      <c r="AA93" s="33" t="s">
        <v>15</v>
      </c>
      <c r="AB93" s="36" t="s">
        <v>16</v>
      </c>
      <c r="AC93" s="181">
        <f t="shared" si="15"/>
        <v>13.7</v>
      </c>
      <c r="AD93" s="181">
        <f t="shared" si="12"/>
        <v>24367.64</v>
      </c>
      <c r="AE93" s="181">
        <v>1.2</v>
      </c>
      <c r="AF93" s="181">
        <v>1.2</v>
      </c>
      <c r="AG93" s="101" t="str">
        <f t="shared" si="16"/>
        <v/>
      </c>
      <c r="AH93" s="191">
        <f>13.7</f>
        <v>13.7</v>
      </c>
      <c r="AI93" s="69">
        <f t="shared" si="17"/>
        <v>13.7</v>
      </c>
    </row>
    <row r="94" spans="1:35" s="69" customFormat="1" ht="26.1" customHeight="1" x14ac:dyDescent="0.3">
      <c r="A94" s="130" t="s">
        <v>269</v>
      </c>
      <c r="B94" s="131" t="s">
        <v>270</v>
      </c>
      <c r="C94" s="132" t="s">
        <v>30</v>
      </c>
      <c r="D94" s="133">
        <v>17.920000000000002</v>
      </c>
      <c r="E94" s="75"/>
      <c r="F94" s="75"/>
      <c r="G94" s="75"/>
      <c r="H94" s="75" t="s">
        <v>15</v>
      </c>
      <c r="I94" s="75">
        <v>2939.14</v>
      </c>
      <c r="J94" s="75">
        <v>52669.39</v>
      </c>
      <c r="K94" s="91" t="s">
        <v>271</v>
      </c>
      <c r="L94" s="73"/>
      <c r="M94" s="46">
        <v>16.8</v>
      </c>
      <c r="N94" s="46">
        <v>49377.55</v>
      </c>
      <c r="O94" s="46">
        <v>49377.55</v>
      </c>
      <c r="P94" s="98"/>
      <c r="Q94" s="23" t="s">
        <v>1458</v>
      </c>
      <c r="R94" s="24" t="s">
        <v>270</v>
      </c>
      <c r="S94" s="25" t="s">
        <v>30</v>
      </c>
      <c r="T94" s="26">
        <v>17.920000000000002</v>
      </c>
      <c r="U94" s="26">
        <v>17.920000000000002</v>
      </c>
      <c r="V94" s="26">
        <f t="shared" si="10"/>
        <v>2939.14</v>
      </c>
      <c r="W94" s="243">
        <f t="shared" si="18"/>
        <v>0</v>
      </c>
      <c r="X94" s="127">
        <f t="shared" si="13"/>
        <v>16.8</v>
      </c>
      <c r="Y94" s="127">
        <f t="shared" si="11"/>
        <v>0</v>
      </c>
      <c r="Z94" s="127">
        <f t="shared" si="14"/>
        <v>49377.55</v>
      </c>
      <c r="AA94" s="33" t="s">
        <v>15</v>
      </c>
      <c r="AB94" s="36" t="s">
        <v>16</v>
      </c>
      <c r="AC94" s="181">
        <f t="shared" si="15"/>
        <v>17.920000000000002</v>
      </c>
      <c r="AD94" s="181">
        <f t="shared" si="12"/>
        <v>52669.39</v>
      </c>
      <c r="AE94" s="181">
        <v>1.2</v>
      </c>
      <c r="AF94" s="181">
        <v>1.2</v>
      </c>
      <c r="AG94" s="101" t="str">
        <f t="shared" si="16"/>
        <v/>
      </c>
      <c r="AH94" s="191">
        <f>16.8</f>
        <v>16.8</v>
      </c>
      <c r="AI94" s="69">
        <f t="shared" si="17"/>
        <v>17.920000000000002</v>
      </c>
    </row>
    <row r="95" spans="1:35" s="69" customFormat="1" ht="26.1" customHeight="1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 t="s">
        <v>15</v>
      </c>
      <c r="I95" s="75">
        <v>23030.799999999999</v>
      </c>
      <c r="J95" s="75">
        <v>23030.799999999999</v>
      </c>
      <c r="K95" s="91" t="s">
        <v>274</v>
      </c>
      <c r="L95" s="73"/>
      <c r="M95" s="46">
        <v>0</v>
      </c>
      <c r="N95" s="46">
        <v>0</v>
      </c>
      <c r="O95" s="46">
        <v>0</v>
      </c>
      <c r="P95" s="98"/>
      <c r="Q95" s="23" t="s">
        <v>1459</v>
      </c>
      <c r="R95" s="24" t="s">
        <v>273</v>
      </c>
      <c r="S95" s="25" t="s">
        <v>81</v>
      </c>
      <c r="T95" s="26">
        <v>1</v>
      </c>
      <c r="U95" s="26">
        <v>1</v>
      </c>
      <c r="V95" s="26">
        <f t="shared" si="10"/>
        <v>23030.799999999999</v>
      </c>
      <c r="W95" s="26">
        <f t="shared" si="18"/>
        <v>0</v>
      </c>
      <c r="X95" s="26">
        <f t="shared" si="13"/>
        <v>0</v>
      </c>
      <c r="Y95" s="26">
        <f t="shared" si="11"/>
        <v>0</v>
      </c>
      <c r="Z95" s="26">
        <f t="shared" si="14"/>
        <v>0</v>
      </c>
      <c r="AA95" s="33" t="s">
        <v>15</v>
      </c>
      <c r="AB95" s="36" t="s">
        <v>16</v>
      </c>
      <c r="AC95" s="181">
        <f t="shared" si="15"/>
        <v>1</v>
      </c>
      <c r="AD95" s="181">
        <f t="shared" si="12"/>
        <v>23030.799999999999</v>
      </c>
      <c r="AE95" s="181">
        <v>1.2</v>
      </c>
      <c r="AF95" s="181">
        <v>1.2</v>
      </c>
      <c r="AG95" s="101" t="str">
        <f t="shared" si="16"/>
        <v/>
      </c>
      <c r="AH95" s="190">
        <v>0</v>
      </c>
      <c r="AI95" s="69">
        <f t="shared" si="17"/>
        <v>1</v>
      </c>
    </row>
    <row r="96" spans="1:35" s="69" customFormat="1" ht="26.1" customHeight="1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 t="s">
        <v>15</v>
      </c>
      <c r="I96" s="75">
        <v>18605.919999999998</v>
      </c>
      <c r="J96" s="75">
        <v>37211.839999999997</v>
      </c>
      <c r="K96" s="91" t="s">
        <v>277</v>
      </c>
      <c r="L96" s="73"/>
      <c r="M96" s="46">
        <v>0</v>
      </c>
      <c r="N96" s="46">
        <v>0</v>
      </c>
      <c r="O96" s="46">
        <v>0</v>
      </c>
      <c r="P96" s="98"/>
      <c r="Q96" s="23" t="s">
        <v>1460</v>
      </c>
      <c r="R96" s="24" t="s">
        <v>276</v>
      </c>
      <c r="S96" s="25" t="s">
        <v>81</v>
      </c>
      <c r="T96" s="26">
        <v>2</v>
      </c>
      <c r="U96" s="26">
        <v>2</v>
      </c>
      <c r="V96" s="26">
        <f t="shared" si="10"/>
        <v>18605.919999999998</v>
      </c>
      <c r="W96" s="26">
        <f t="shared" si="18"/>
        <v>0</v>
      </c>
      <c r="X96" s="26">
        <f t="shared" si="13"/>
        <v>0</v>
      </c>
      <c r="Y96" s="26">
        <f t="shared" si="11"/>
        <v>0</v>
      </c>
      <c r="Z96" s="26">
        <f t="shared" si="14"/>
        <v>0</v>
      </c>
      <c r="AA96" s="33" t="s">
        <v>15</v>
      </c>
      <c r="AB96" s="36" t="s">
        <v>16</v>
      </c>
      <c r="AC96" s="181">
        <f t="shared" si="15"/>
        <v>2</v>
      </c>
      <c r="AD96" s="181">
        <f t="shared" si="12"/>
        <v>37211.839999999997</v>
      </c>
      <c r="AE96" s="181">
        <v>1.2</v>
      </c>
      <c r="AF96" s="181">
        <v>1.2</v>
      </c>
      <c r="AG96" s="101" t="str">
        <f t="shared" si="16"/>
        <v/>
      </c>
      <c r="AH96" s="190">
        <v>0</v>
      </c>
      <c r="AI96" s="69">
        <f t="shared" si="17"/>
        <v>2</v>
      </c>
    </row>
    <row r="97" spans="1:35" s="69" customFormat="1" ht="26.1" customHeight="1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 t="s">
        <v>15</v>
      </c>
      <c r="I97" s="75">
        <v>18605.919999999998</v>
      </c>
      <c r="J97" s="75">
        <v>18605.919999999998</v>
      </c>
      <c r="K97" s="91" t="s">
        <v>280</v>
      </c>
      <c r="L97" s="73"/>
      <c r="M97" s="46">
        <v>0</v>
      </c>
      <c r="N97" s="46">
        <v>0</v>
      </c>
      <c r="O97" s="46">
        <v>0</v>
      </c>
      <c r="P97" s="98"/>
      <c r="Q97" s="23" t="s">
        <v>1461</v>
      </c>
      <c r="R97" s="24" t="s">
        <v>279</v>
      </c>
      <c r="S97" s="25" t="s">
        <v>81</v>
      </c>
      <c r="T97" s="26">
        <v>1</v>
      </c>
      <c r="U97" s="26">
        <v>1</v>
      </c>
      <c r="V97" s="26">
        <f t="shared" si="10"/>
        <v>18605.919999999998</v>
      </c>
      <c r="W97" s="26">
        <f t="shared" si="18"/>
        <v>0</v>
      </c>
      <c r="X97" s="26">
        <f t="shared" si="13"/>
        <v>0</v>
      </c>
      <c r="Y97" s="26">
        <f t="shared" si="11"/>
        <v>0</v>
      </c>
      <c r="Z97" s="26">
        <f t="shared" si="14"/>
        <v>0</v>
      </c>
      <c r="AA97" s="33" t="s">
        <v>15</v>
      </c>
      <c r="AB97" s="36" t="s">
        <v>16</v>
      </c>
      <c r="AC97" s="181">
        <f t="shared" si="15"/>
        <v>1</v>
      </c>
      <c r="AD97" s="181">
        <f t="shared" si="12"/>
        <v>18605.919999999998</v>
      </c>
      <c r="AE97" s="181">
        <v>1.2</v>
      </c>
      <c r="AF97" s="181">
        <v>1.2</v>
      </c>
      <c r="AG97" s="101" t="str">
        <f t="shared" si="16"/>
        <v/>
      </c>
      <c r="AH97" s="190">
        <v>0</v>
      </c>
      <c r="AI97" s="69">
        <f t="shared" si="17"/>
        <v>1</v>
      </c>
    </row>
    <row r="98" spans="1:35" s="69" customFormat="1" ht="26.1" customHeight="1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 t="s">
        <v>15</v>
      </c>
      <c r="I98" s="75">
        <v>11655.48</v>
      </c>
      <c r="J98" s="75">
        <v>34966.44</v>
      </c>
      <c r="K98" s="91" t="s">
        <v>283</v>
      </c>
      <c r="L98" s="73"/>
      <c r="M98" s="46">
        <v>0</v>
      </c>
      <c r="N98" s="46">
        <v>0</v>
      </c>
      <c r="O98" s="46">
        <v>0</v>
      </c>
      <c r="P98" s="98"/>
      <c r="Q98" s="23" t="s">
        <v>1462</v>
      </c>
      <c r="R98" s="24" t="s">
        <v>282</v>
      </c>
      <c r="S98" s="25" t="s">
        <v>81</v>
      </c>
      <c r="T98" s="26">
        <v>3</v>
      </c>
      <c r="U98" s="26">
        <v>3</v>
      </c>
      <c r="V98" s="26">
        <f t="shared" si="10"/>
        <v>11655.48</v>
      </c>
      <c r="W98" s="26">
        <f t="shared" si="18"/>
        <v>0</v>
      </c>
      <c r="X98" s="26">
        <f t="shared" si="13"/>
        <v>0</v>
      </c>
      <c r="Y98" s="26">
        <f t="shared" si="11"/>
        <v>0</v>
      </c>
      <c r="Z98" s="26">
        <f t="shared" si="14"/>
        <v>0</v>
      </c>
      <c r="AA98" s="33" t="s">
        <v>15</v>
      </c>
      <c r="AB98" s="36" t="s">
        <v>16</v>
      </c>
      <c r="AC98" s="181">
        <f t="shared" si="15"/>
        <v>3</v>
      </c>
      <c r="AD98" s="181">
        <f t="shared" si="12"/>
        <v>34966.44</v>
      </c>
      <c r="AE98" s="181">
        <v>1.2</v>
      </c>
      <c r="AF98" s="181">
        <v>1.2</v>
      </c>
      <c r="AG98" s="101" t="str">
        <f t="shared" si="16"/>
        <v/>
      </c>
      <c r="AH98" s="190">
        <v>0</v>
      </c>
      <c r="AI98" s="69">
        <f t="shared" si="17"/>
        <v>3</v>
      </c>
    </row>
    <row r="99" spans="1:35" s="69" customFormat="1" ht="26.1" customHeight="1" x14ac:dyDescent="0.3">
      <c r="A99" s="246" t="s">
        <v>284</v>
      </c>
      <c r="B99" s="247" t="s">
        <v>285</v>
      </c>
      <c r="C99" s="248" t="s">
        <v>81</v>
      </c>
      <c r="D99" s="249">
        <v>4</v>
      </c>
      <c r="E99" s="75"/>
      <c r="F99" s="75"/>
      <c r="G99" s="75"/>
      <c r="H99" s="75" t="s">
        <v>15</v>
      </c>
      <c r="I99" s="75">
        <v>25108.91</v>
      </c>
      <c r="J99" s="75">
        <v>100435.64</v>
      </c>
      <c r="K99" s="91" t="s">
        <v>286</v>
      </c>
      <c r="L99" s="73"/>
      <c r="M99" s="46">
        <v>0</v>
      </c>
      <c r="N99" s="46">
        <v>0</v>
      </c>
      <c r="O99" s="46">
        <v>0</v>
      </c>
      <c r="P99" s="98"/>
      <c r="Q99" s="23" t="s">
        <v>1463</v>
      </c>
      <c r="R99" s="24" t="s">
        <v>285</v>
      </c>
      <c r="S99" s="25" t="s">
        <v>81</v>
      </c>
      <c r="T99" s="26">
        <v>4</v>
      </c>
      <c r="U99" s="26">
        <v>4</v>
      </c>
      <c r="V99" s="26">
        <f t="shared" si="10"/>
        <v>25108.91</v>
      </c>
      <c r="W99" s="26">
        <f t="shared" si="18"/>
        <v>0</v>
      </c>
      <c r="X99" s="26">
        <f t="shared" si="13"/>
        <v>0</v>
      </c>
      <c r="Y99" s="26">
        <f t="shared" si="11"/>
        <v>0</v>
      </c>
      <c r="Z99" s="26">
        <f t="shared" si="14"/>
        <v>0</v>
      </c>
      <c r="AA99" s="33" t="s">
        <v>15</v>
      </c>
      <c r="AB99" s="36" t="s">
        <v>16</v>
      </c>
      <c r="AC99" s="181">
        <f t="shared" si="15"/>
        <v>4</v>
      </c>
      <c r="AD99" s="181">
        <f t="shared" si="12"/>
        <v>100435.64</v>
      </c>
      <c r="AE99" s="181">
        <v>1.2</v>
      </c>
      <c r="AF99" s="181">
        <v>1.2</v>
      </c>
      <c r="AG99" s="101" t="str">
        <f t="shared" si="16"/>
        <v/>
      </c>
      <c r="AH99" s="190">
        <v>0</v>
      </c>
      <c r="AI99" s="69">
        <f t="shared" si="17"/>
        <v>4</v>
      </c>
    </row>
    <row r="100" spans="1:35" s="69" customFormat="1" ht="26.1" customHeight="1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 t="s">
        <v>15</v>
      </c>
      <c r="I100" s="75">
        <v>22416.92</v>
      </c>
      <c r="J100" s="75">
        <v>112084.6</v>
      </c>
      <c r="K100" s="91" t="s">
        <v>289</v>
      </c>
      <c r="L100" s="73"/>
      <c r="M100" s="46">
        <v>0</v>
      </c>
      <c r="N100" s="46">
        <v>0</v>
      </c>
      <c r="O100" s="46">
        <v>0</v>
      </c>
      <c r="P100" s="98"/>
      <c r="Q100" s="23" t="s">
        <v>1464</v>
      </c>
      <c r="R100" s="24" t="s">
        <v>288</v>
      </c>
      <c r="S100" s="25" t="s">
        <v>81</v>
      </c>
      <c r="T100" s="26">
        <v>5</v>
      </c>
      <c r="U100" s="26">
        <v>5</v>
      </c>
      <c r="V100" s="26">
        <f t="shared" si="10"/>
        <v>22416.92</v>
      </c>
      <c r="W100" s="26">
        <f t="shared" si="18"/>
        <v>0</v>
      </c>
      <c r="X100" s="26">
        <f t="shared" si="13"/>
        <v>0</v>
      </c>
      <c r="Y100" s="26">
        <f t="shared" si="11"/>
        <v>0</v>
      </c>
      <c r="Z100" s="26">
        <f t="shared" si="14"/>
        <v>0</v>
      </c>
      <c r="AA100" s="33" t="s">
        <v>15</v>
      </c>
      <c r="AB100" s="36" t="s">
        <v>16</v>
      </c>
      <c r="AC100" s="181">
        <f t="shared" si="15"/>
        <v>5</v>
      </c>
      <c r="AD100" s="181">
        <f t="shared" si="12"/>
        <v>112084.6</v>
      </c>
      <c r="AE100" s="181">
        <v>1.2</v>
      </c>
      <c r="AF100" s="181">
        <v>1.2</v>
      </c>
      <c r="AG100" s="101" t="str">
        <f t="shared" si="16"/>
        <v/>
      </c>
      <c r="AH100" s="190">
        <v>0</v>
      </c>
      <c r="AI100" s="69">
        <f t="shared" si="17"/>
        <v>5</v>
      </c>
    </row>
    <row r="101" spans="1:35" s="69" customFormat="1" ht="26.1" customHeight="1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 t="s">
        <v>15</v>
      </c>
      <c r="I101" s="75">
        <v>21724.76</v>
      </c>
      <c r="J101" s="75">
        <v>21724.76</v>
      </c>
      <c r="K101" s="91" t="s">
        <v>292</v>
      </c>
      <c r="L101" s="73"/>
      <c r="M101" s="46">
        <v>0</v>
      </c>
      <c r="N101" s="46">
        <v>0</v>
      </c>
      <c r="O101" s="46">
        <v>0</v>
      </c>
      <c r="P101" s="98"/>
      <c r="Q101" s="23" t="s">
        <v>1465</v>
      </c>
      <c r="R101" s="24" t="s">
        <v>291</v>
      </c>
      <c r="S101" s="25" t="s">
        <v>81</v>
      </c>
      <c r="T101" s="26">
        <v>1</v>
      </c>
      <c r="U101" s="26">
        <v>1</v>
      </c>
      <c r="V101" s="26">
        <f t="shared" si="10"/>
        <v>21724.76</v>
      </c>
      <c r="W101" s="26">
        <f t="shared" si="18"/>
        <v>0</v>
      </c>
      <c r="X101" s="26">
        <f t="shared" si="13"/>
        <v>0</v>
      </c>
      <c r="Y101" s="26">
        <f t="shared" si="11"/>
        <v>0</v>
      </c>
      <c r="Z101" s="26">
        <f t="shared" si="14"/>
        <v>0</v>
      </c>
      <c r="AA101" s="33" t="s">
        <v>15</v>
      </c>
      <c r="AB101" s="36" t="s">
        <v>16</v>
      </c>
      <c r="AC101" s="181">
        <f t="shared" si="15"/>
        <v>1</v>
      </c>
      <c r="AD101" s="181">
        <f t="shared" si="12"/>
        <v>21724.76</v>
      </c>
      <c r="AE101" s="181">
        <v>1.2</v>
      </c>
      <c r="AF101" s="181">
        <v>1.2</v>
      </c>
      <c r="AG101" s="101" t="str">
        <f t="shared" si="16"/>
        <v/>
      </c>
      <c r="AH101" s="190">
        <v>0</v>
      </c>
      <c r="AI101" s="69">
        <f t="shared" si="17"/>
        <v>1</v>
      </c>
    </row>
    <row r="102" spans="1:35" s="69" customFormat="1" ht="26.1" customHeight="1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 t="s">
        <v>15</v>
      </c>
      <c r="I102" s="75">
        <v>17341.04</v>
      </c>
      <c r="J102" s="75">
        <v>34682.080000000002</v>
      </c>
      <c r="K102" s="91" t="s">
        <v>295</v>
      </c>
      <c r="L102" s="73"/>
      <c r="M102" s="46">
        <v>0</v>
      </c>
      <c r="N102" s="46">
        <v>0</v>
      </c>
      <c r="O102" s="46">
        <v>0</v>
      </c>
      <c r="P102" s="98"/>
      <c r="Q102" s="23" t="s">
        <v>1466</v>
      </c>
      <c r="R102" s="24" t="s">
        <v>294</v>
      </c>
      <c r="S102" s="25" t="s">
        <v>81</v>
      </c>
      <c r="T102" s="26">
        <v>2</v>
      </c>
      <c r="U102" s="26">
        <v>2</v>
      </c>
      <c r="V102" s="26">
        <f t="shared" si="10"/>
        <v>17341.04</v>
      </c>
      <c r="W102" s="26">
        <f t="shared" si="18"/>
        <v>0</v>
      </c>
      <c r="X102" s="26">
        <f t="shared" si="13"/>
        <v>0</v>
      </c>
      <c r="Y102" s="26">
        <f t="shared" si="11"/>
        <v>0</v>
      </c>
      <c r="Z102" s="26">
        <f t="shared" si="14"/>
        <v>0</v>
      </c>
      <c r="AA102" s="33" t="s">
        <v>15</v>
      </c>
      <c r="AB102" s="36" t="s">
        <v>16</v>
      </c>
      <c r="AC102" s="181">
        <f t="shared" si="15"/>
        <v>2</v>
      </c>
      <c r="AD102" s="181">
        <f t="shared" si="12"/>
        <v>34682.080000000002</v>
      </c>
      <c r="AE102" s="181">
        <v>1.2</v>
      </c>
      <c r="AF102" s="181">
        <v>1.2</v>
      </c>
      <c r="AG102" s="101" t="str">
        <f t="shared" si="16"/>
        <v/>
      </c>
      <c r="AH102" s="190">
        <v>0</v>
      </c>
      <c r="AI102" s="69">
        <f t="shared" si="17"/>
        <v>2</v>
      </c>
    </row>
    <row r="103" spans="1:35" s="69" customFormat="1" ht="26.1" customHeight="1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 t="s">
        <v>15</v>
      </c>
      <c r="I103" s="75">
        <v>17341.04</v>
      </c>
      <c r="J103" s="75">
        <v>17341.04</v>
      </c>
      <c r="K103" s="91" t="s">
        <v>298</v>
      </c>
      <c r="L103" s="73"/>
      <c r="M103" s="46">
        <v>0</v>
      </c>
      <c r="N103" s="46">
        <v>0</v>
      </c>
      <c r="O103" s="46">
        <v>0</v>
      </c>
      <c r="P103" s="98"/>
      <c r="Q103" s="23" t="s">
        <v>1467</v>
      </c>
      <c r="R103" s="24" t="s">
        <v>297</v>
      </c>
      <c r="S103" s="25" t="s">
        <v>81</v>
      </c>
      <c r="T103" s="26">
        <v>1</v>
      </c>
      <c r="U103" s="26">
        <v>1</v>
      </c>
      <c r="V103" s="26">
        <f t="shared" ref="V103:V166" si="19">I103</f>
        <v>17341.04</v>
      </c>
      <c r="W103" s="26">
        <f t="shared" si="18"/>
        <v>0</v>
      </c>
      <c r="X103" s="26">
        <f t="shared" si="13"/>
        <v>0</v>
      </c>
      <c r="Y103" s="26">
        <f t="shared" ref="Y103:Y132" si="20">Z103-O103</f>
        <v>0</v>
      </c>
      <c r="Z103" s="26">
        <f t="shared" si="14"/>
        <v>0</v>
      </c>
      <c r="AA103" s="33" t="s">
        <v>15</v>
      </c>
      <c r="AB103" s="36" t="s">
        <v>16</v>
      </c>
      <c r="AC103" s="181">
        <f t="shared" si="15"/>
        <v>1</v>
      </c>
      <c r="AD103" s="181">
        <f t="shared" si="12"/>
        <v>17341.04</v>
      </c>
      <c r="AE103" s="181">
        <v>1.2</v>
      </c>
      <c r="AF103" s="181">
        <v>1.2</v>
      </c>
      <c r="AG103" s="101" t="str">
        <f t="shared" si="16"/>
        <v/>
      </c>
      <c r="AH103" s="190">
        <v>0</v>
      </c>
      <c r="AI103" s="69">
        <f t="shared" si="17"/>
        <v>1</v>
      </c>
    </row>
    <row r="104" spans="1:35" s="69" customFormat="1" ht="26.1" customHeight="1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 t="s">
        <v>15</v>
      </c>
      <c r="I104" s="75">
        <v>17341.04</v>
      </c>
      <c r="J104" s="75">
        <v>104046.24</v>
      </c>
      <c r="K104" s="91" t="s">
        <v>301</v>
      </c>
      <c r="L104" s="73"/>
      <c r="M104" s="46">
        <v>0</v>
      </c>
      <c r="N104" s="46">
        <v>0</v>
      </c>
      <c r="O104" s="46">
        <v>0</v>
      </c>
      <c r="P104" s="98"/>
      <c r="Q104" s="23" t="s">
        <v>1468</v>
      </c>
      <c r="R104" s="24" t="s">
        <v>300</v>
      </c>
      <c r="S104" s="25" t="s">
        <v>81</v>
      </c>
      <c r="T104" s="26">
        <v>6</v>
      </c>
      <c r="U104" s="26">
        <v>6</v>
      </c>
      <c r="V104" s="26">
        <f t="shared" si="19"/>
        <v>17341.04</v>
      </c>
      <c r="W104" s="26">
        <f t="shared" si="18"/>
        <v>0</v>
      </c>
      <c r="X104" s="26">
        <f t="shared" si="13"/>
        <v>0</v>
      </c>
      <c r="Y104" s="26">
        <f t="shared" si="20"/>
        <v>0</v>
      </c>
      <c r="Z104" s="26">
        <f t="shared" si="14"/>
        <v>0</v>
      </c>
      <c r="AA104" s="33" t="s">
        <v>15</v>
      </c>
      <c r="AB104" s="36" t="s">
        <v>16</v>
      </c>
      <c r="AC104" s="181">
        <f t="shared" si="15"/>
        <v>6</v>
      </c>
      <c r="AD104" s="181">
        <f t="shared" ref="AD104:AD132" si="21">ROUND(V104*AC104,2)</f>
        <v>104046.24</v>
      </c>
      <c r="AE104" s="181">
        <v>1.2</v>
      </c>
      <c r="AF104" s="181">
        <v>1.2</v>
      </c>
      <c r="AG104" s="101" t="str">
        <f t="shared" si="16"/>
        <v/>
      </c>
      <c r="AH104" s="190">
        <v>0</v>
      </c>
      <c r="AI104" s="69">
        <f t="shared" si="17"/>
        <v>6</v>
      </c>
    </row>
    <row r="105" spans="1:35" s="69" customFormat="1" ht="26.1" customHeight="1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 t="s">
        <v>15</v>
      </c>
      <c r="I105" s="75">
        <v>17497.64</v>
      </c>
      <c r="J105" s="75">
        <v>34995.279999999999</v>
      </c>
      <c r="K105" s="91" t="s">
        <v>304</v>
      </c>
      <c r="L105" s="73"/>
      <c r="M105" s="46">
        <v>0</v>
      </c>
      <c r="N105" s="46">
        <v>0</v>
      </c>
      <c r="O105" s="46">
        <v>0</v>
      </c>
      <c r="P105" s="98"/>
      <c r="Q105" s="23" t="s">
        <v>1469</v>
      </c>
      <c r="R105" s="24" t="s">
        <v>303</v>
      </c>
      <c r="S105" s="25" t="s">
        <v>81</v>
      </c>
      <c r="T105" s="26">
        <v>2</v>
      </c>
      <c r="U105" s="26">
        <v>2</v>
      </c>
      <c r="V105" s="26">
        <f t="shared" si="19"/>
        <v>17497.64</v>
      </c>
      <c r="W105" s="26">
        <f t="shared" si="18"/>
        <v>0</v>
      </c>
      <c r="X105" s="26">
        <f t="shared" si="13"/>
        <v>0</v>
      </c>
      <c r="Y105" s="26">
        <f t="shared" si="20"/>
        <v>0</v>
      </c>
      <c r="Z105" s="26">
        <f t="shared" si="14"/>
        <v>0</v>
      </c>
      <c r="AA105" s="33" t="s">
        <v>15</v>
      </c>
      <c r="AB105" s="36" t="s">
        <v>16</v>
      </c>
      <c r="AC105" s="181">
        <f t="shared" si="15"/>
        <v>2</v>
      </c>
      <c r="AD105" s="181">
        <f t="shared" si="21"/>
        <v>34995.279999999999</v>
      </c>
      <c r="AE105" s="181">
        <v>1.2</v>
      </c>
      <c r="AF105" s="181">
        <v>1.2</v>
      </c>
      <c r="AG105" s="101" t="str">
        <f t="shared" si="16"/>
        <v/>
      </c>
      <c r="AH105" s="190">
        <v>0</v>
      </c>
      <c r="AI105" s="69">
        <f t="shared" si="17"/>
        <v>2</v>
      </c>
    </row>
    <row r="106" spans="1:35" s="69" customFormat="1" ht="26.1" customHeight="1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 t="s">
        <v>15</v>
      </c>
      <c r="I106" s="75">
        <v>1501.74</v>
      </c>
      <c r="J106" s="75">
        <v>3003.48</v>
      </c>
      <c r="K106" s="91" t="s">
        <v>307</v>
      </c>
      <c r="L106" s="73"/>
      <c r="M106" s="46">
        <v>0</v>
      </c>
      <c r="N106" s="46">
        <v>0</v>
      </c>
      <c r="O106" s="46">
        <v>0</v>
      </c>
      <c r="P106" s="98"/>
      <c r="Q106" s="23" t="s">
        <v>1470</v>
      </c>
      <c r="R106" s="24" t="s">
        <v>306</v>
      </c>
      <c r="S106" s="25" t="s">
        <v>81</v>
      </c>
      <c r="T106" s="26">
        <v>2</v>
      </c>
      <c r="U106" s="26">
        <v>2</v>
      </c>
      <c r="V106" s="26">
        <f t="shared" si="19"/>
        <v>1501.74</v>
      </c>
      <c r="W106" s="26">
        <f t="shared" si="18"/>
        <v>0</v>
      </c>
      <c r="X106" s="26">
        <f t="shared" si="13"/>
        <v>0</v>
      </c>
      <c r="Y106" s="26">
        <f t="shared" si="20"/>
        <v>0</v>
      </c>
      <c r="Z106" s="26">
        <f t="shared" si="14"/>
        <v>0</v>
      </c>
      <c r="AA106" s="33" t="s">
        <v>15</v>
      </c>
      <c r="AB106" s="36" t="s">
        <v>16</v>
      </c>
      <c r="AC106" s="181">
        <f t="shared" si="15"/>
        <v>2</v>
      </c>
      <c r="AD106" s="181">
        <f t="shared" si="21"/>
        <v>3003.48</v>
      </c>
      <c r="AE106" s="181">
        <v>1.2</v>
      </c>
      <c r="AF106" s="181">
        <v>1.2</v>
      </c>
      <c r="AG106" s="101" t="str">
        <f t="shared" si="16"/>
        <v/>
      </c>
      <c r="AH106" s="190">
        <v>0</v>
      </c>
      <c r="AI106" s="69">
        <f t="shared" si="17"/>
        <v>2</v>
      </c>
    </row>
    <row r="107" spans="1:35" s="69" customFormat="1" ht="26.1" customHeight="1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 t="s">
        <v>15</v>
      </c>
      <c r="I107" s="75">
        <v>994.98</v>
      </c>
      <c r="J107" s="75">
        <v>994.98</v>
      </c>
      <c r="K107" s="91" t="s">
        <v>310</v>
      </c>
      <c r="L107" s="73"/>
      <c r="M107" s="46">
        <v>0</v>
      </c>
      <c r="N107" s="46">
        <v>0</v>
      </c>
      <c r="O107" s="46">
        <v>0</v>
      </c>
      <c r="P107" s="98"/>
      <c r="Q107" s="23" t="s">
        <v>1471</v>
      </c>
      <c r="R107" s="24" t="s">
        <v>309</v>
      </c>
      <c r="S107" s="25" t="s">
        <v>81</v>
      </c>
      <c r="T107" s="26">
        <v>1</v>
      </c>
      <c r="U107" s="26">
        <v>1</v>
      </c>
      <c r="V107" s="26">
        <f t="shared" si="19"/>
        <v>994.98</v>
      </c>
      <c r="W107" s="26">
        <f t="shared" si="18"/>
        <v>0</v>
      </c>
      <c r="X107" s="26">
        <f t="shared" si="13"/>
        <v>0</v>
      </c>
      <c r="Y107" s="26">
        <f t="shared" si="20"/>
        <v>0</v>
      </c>
      <c r="Z107" s="26">
        <f t="shared" si="14"/>
        <v>0</v>
      </c>
      <c r="AA107" s="33" t="s">
        <v>15</v>
      </c>
      <c r="AB107" s="36" t="s">
        <v>16</v>
      </c>
      <c r="AC107" s="181">
        <f t="shared" si="15"/>
        <v>1</v>
      </c>
      <c r="AD107" s="181">
        <f t="shared" si="21"/>
        <v>994.98</v>
      </c>
      <c r="AE107" s="181">
        <v>1.2</v>
      </c>
      <c r="AF107" s="181">
        <v>1.2</v>
      </c>
      <c r="AG107" s="101" t="str">
        <f t="shared" si="16"/>
        <v/>
      </c>
      <c r="AH107" s="190">
        <v>0</v>
      </c>
      <c r="AI107" s="69">
        <f t="shared" si="17"/>
        <v>1</v>
      </c>
    </row>
    <row r="108" spans="1:35" s="69" customFormat="1" ht="26.1" customHeight="1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 t="s">
        <v>15</v>
      </c>
      <c r="I108" s="75">
        <v>331.66</v>
      </c>
      <c r="J108" s="75">
        <v>3979.92</v>
      </c>
      <c r="K108" s="91" t="s">
        <v>313</v>
      </c>
      <c r="L108" s="73"/>
      <c r="M108" s="46">
        <v>0</v>
      </c>
      <c r="N108" s="46">
        <v>0</v>
      </c>
      <c r="O108" s="46">
        <v>0</v>
      </c>
      <c r="P108" s="98"/>
      <c r="Q108" s="23" t="s">
        <v>1472</v>
      </c>
      <c r="R108" s="24" t="s">
        <v>312</v>
      </c>
      <c r="S108" s="25" t="s">
        <v>81</v>
      </c>
      <c r="T108" s="26">
        <v>12</v>
      </c>
      <c r="U108" s="26">
        <v>12</v>
      </c>
      <c r="V108" s="26">
        <f t="shared" si="19"/>
        <v>331.66</v>
      </c>
      <c r="W108" s="26">
        <f t="shared" si="18"/>
        <v>0</v>
      </c>
      <c r="X108" s="26">
        <f t="shared" si="13"/>
        <v>0</v>
      </c>
      <c r="Y108" s="26">
        <f t="shared" si="20"/>
        <v>0</v>
      </c>
      <c r="Z108" s="26">
        <f t="shared" si="14"/>
        <v>0</v>
      </c>
      <c r="AA108" s="33" t="s">
        <v>15</v>
      </c>
      <c r="AB108" s="36" t="s">
        <v>16</v>
      </c>
      <c r="AC108" s="181">
        <f t="shared" si="15"/>
        <v>12</v>
      </c>
      <c r="AD108" s="181">
        <f t="shared" si="21"/>
        <v>3979.92</v>
      </c>
      <c r="AE108" s="181">
        <v>1.2</v>
      </c>
      <c r="AF108" s="181">
        <v>1.2</v>
      </c>
      <c r="AG108" s="101" t="str">
        <f t="shared" si="16"/>
        <v/>
      </c>
      <c r="AH108" s="190">
        <v>0</v>
      </c>
      <c r="AI108" s="69">
        <f t="shared" si="17"/>
        <v>12</v>
      </c>
    </row>
    <row r="109" spans="1:35" s="69" customFormat="1" ht="26.1" customHeight="1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 t="s">
        <v>15</v>
      </c>
      <c r="I109" s="75">
        <v>1096.44</v>
      </c>
      <c r="J109" s="75">
        <v>2192.88</v>
      </c>
      <c r="K109" s="91" t="s">
        <v>316</v>
      </c>
      <c r="L109" s="73"/>
      <c r="M109" s="46">
        <v>0</v>
      </c>
      <c r="N109" s="46">
        <v>0</v>
      </c>
      <c r="O109" s="46">
        <v>0</v>
      </c>
      <c r="P109" s="98"/>
      <c r="Q109" s="23" t="s">
        <v>1473</v>
      </c>
      <c r="R109" s="24" t="s">
        <v>315</v>
      </c>
      <c r="S109" s="25" t="s">
        <v>81</v>
      </c>
      <c r="T109" s="26">
        <v>2</v>
      </c>
      <c r="U109" s="26">
        <v>2</v>
      </c>
      <c r="V109" s="26">
        <f t="shared" si="19"/>
        <v>1096.44</v>
      </c>
      <c r="W109" s="26">
        <f t="shared" si="18"/>
        <v>0</v>
      </c>
      <c r="X109" s="26">
        <f t="shared" si="13"/>
        <v>0</v>
      </c>
      <c r="Y109" s="26">
        <f t="shared" si="20"/>
        <v>0</v>
      </c>
      <c r="Z109" s="26">
        <f t="shared" si="14"/>
        <v>0</v>
      </c>
      <c r="AA109" s="33" t="s">
        <v>15</v>
      </c>
      <c r="AB109" s="36" t="s">
        <v>16</v>
      </c>
      <c r="AC109" s="181">
        <f t="shared" si="15"/>
        <v>2</v>
      </c>
      <c r="AD109" s="181">
        <f t="shared" si="21"/>
        <v>2192.88</v>
      </c>
      <c r="AE109" s="181">
        <v>1.2</v>
      </c>
      <c r="AF109" s="181">
        <v>1.2</v>
      </c>
      <c r="AG109" s="101" t="str">
        <f t="shared" si="16"/>
        <v/>
      </c>
      <c r="AH109" s="190">
        <v>0</v>
      </c>
      <c r="AI109" s="69">
        <f t="shared" si="17"/>
        <v>2</v>
      </c>
    </row>
    <row r="110" spans="1:35" s="69" customFormat="1" ht="26.1" customHeight="1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 t="s">
        <v>15</v>
      </c>
      <c r="I110" s="75">
        <v>952.24</v>
      </c>
      <c r="J110" s="75">
        <v>3808.96</v>
      </c>
      <c r="K110" s="91" t="s">
        <v>319</v>
      </c>
      <c r="L110" s="73"/>
      <c r="M110" s="46">
        <v>0</v>
      </c>
      <c r="N110" s="46">
        <v>0</v>
      </c>
      <c r="O110" s="46">
        <v>0</v>
      </c>
      <c r="P110" s="98"/>
      <c r="Q110" s="23" t="s">
        <v>1474</v>
      </c>
      <c r="R110" s="24" t="s">
        <v>318</v>
      </c>
      <c r="S110" s="25" t="s">
        <v>81</v>
      </c>
      <c r="T110" s="26">
        <v>4</v>
      </c>
      <c r="U110" s="26">
        <v>4</v>
      </c>
      <c r="V110" s="26">
        <f t="shared" si="19"/>
        <v>952.24</v>
      </c>
      <c r="W110" s="26">
        <f t="shared" si="18"/>
        <v>0</v>
      </c>
      <c r="X110" s="26">
        <f t="shared" si="13"/>
        <v>0</v>
      </c>
      <c r="Y110" s="26">
        <f t="shared" si="20"/>
        <v>0</v>
      </c>
      <c r="Z110" s="26">
        <f t="shared" si="14"/>
        <v>0</v>
      </c>
      <c r="AA110" s="33" t="s">
        <v>15</v>
      </c>
      <c r="AB110" s="36" t="s">
        <v>16</v>
      </c>
      <c r="AC110" s="181">
        <f t="shared" si="15"/>
        <v>4</v>
      </c>
      <c r="AD110" s="181">
        <f t="shared" si="21"/>
        <v>3808.96</v>
      </c>
      <c r="AE110" s="181">
        <v>1.2</v>
      </c>
      <c r="AF110" s="181">
        <v>1.2</v>
      </c>
      <c r="AG110" s="101" t="str">
        <f t="shared" si="16"/>
        <v/>
      </c>
      <c r="AH110" s="190">
        <v>0</v>
      </c>
      <c r="AI110" s="69">
        <f t="shared" si="17"/>
        <v>4</v>
      </c>
    </row>
    <row r="111" spans="1:35" s="69" customFormat="1" ht="49.5" x14ac:dyDescent="0.3">
      <c r="A111" s="130" t="s">
        <v>320</v>
      </c>
      <c r="B111" s="240" t="s">
        <v>321</v>
      </c>
      <c r="C111" s="132" t="s">
        <v>50</v>
      </c>
      <c r="D111" s="133">
        <v>676.98</v>
      </c>
      <c r="E111" s="75">
        <v>773.78</v>
      </c>
      <c r="F111" s="75"/>
      <c r="G111" s="75"/>
      <c r="H111" s="75" t="s">
        <v>15</v>
      </c>
      <c r="I111" s="75">
        <v>647.70000000000005</v>
      </c>
      <c r="J111" s="75">
        <v>501177.31</v>
      </c>
      <c r="K111" s="91" t="s">
        <v>322</v>
      </c>
      <c r="L111" s="73"/>
      <c r="M111" s="46">
        <v>354.83</v>
      </c>
      <c r="N111" s="46">
        <v>0</v>
      </c>
      <c r="O111" s="46">
        <v>229823.39</v>
      </c>
      <c r="P111" s="98"/>
      <c r="Q111" s="23" t="s">
        <v>1475</v>
      </c>
      <c r="R111" s="24" t="s">
        <v>321</v>
      </c>
      <c r="S111" s="25" t="s">
        <v>50</v>
      </c>
      <c r="T111" s="26">
        <v>676.98</v>
      </c>
      <c r="U111" s="26">
        <v>773.78</v>
      </c>
      <c r="V111" s="26">
        <f t="shared" si="19"/>
        <v>647.70000000000005</v>
      </c>
      <c r="W111" s="128">
        <f t="shared" si="18"/>
        <v>231.09999999999997</v>
      </c>
      <c r="X111" s="127">
        <f t="shared" si="13"/>
        <v>585.92999999999995</v>
      </c>
      <c r="Y111" s="127">
        <f t="shared" si="20"/>
        <v>149683.46999999997</v>
      </c>
      <c r="Z111" s="127">
        <f t="shared" si="14"/>
        <v>379506.86</v>
      </c>
      <c r="AA111" s="27" t="s">
        <v>15</v>
      </c>
      <c r="AB111" s="36" t="s">
        <v>16</v>
      </c>
      <c r="AC111" s="181">
        <f t="shared" si="15"/>
        <v>773.78</v>
      </c>
      <c r="AD111" s="181">
        <f t="shared" si="21"/>
        <v>501177.31</v>
      </c>
      <c r="AE111" s="181">
        <v>1.2</v>
      </c>
      <c r="AF111" s="181">
        <v>1.2</v>
      </c>
      <c r="AG111" s="101" t="str">
        <f t="shared" si="16"/>
        <v/>
      </c>
      <c r="AH111" s="191">
        <f>354.83+231.1</f>
        <v>585.92999999999995</v>
      </c>
      <c r="AI111" s="69">
        <f t="shared" si="17"/>
        <v>773.78</v>
      </c>
    </row>
    <row r="112" spans="1:35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 t="s">
        <v>15</v>
      </c>
      <c r="I112" s="75">
        <v>10413.299999999999</v>
      </c>
      <c r="J112" s="75">
        <v>20826.599999999999</v>
      </c>
      <c r="K112" s="91" t="s">
        <v>326</v>
      </c>
      <c r="L112" s="73"/>
      <c r="M112" s="46">
        <v>0</v>
      </c>
      <c r="N112" s="46">
        <v>0</v>
      </c>
      <c r="O112" s="46">
        <v>0</v>
      </c>
      <c r="P112" s="98"/>
      <c r="Q112" s="23" t="s">
        <v>1476</v>
      </c>
      <c r="R112" s="24" t="s">
        <v>324</v>
      </c>
      <c r="S112" s="25" t="s">
        <v>325</v>
      </c>
      <c r="T112" s="26">
        <v>2</v>
      </c>
      <c r="U112" s="26">
        <v>2</v>
      </c>
      <c r="V112" s="26">
        <f t="shared" si="19"/>
        <v>10413.299999999999</v>
      </c>
      <c r="W112" s="26">
        <f t="shared" si="18"/>
        <v>0</v>
      </c>
      <c r="X112" s="26">
        <f t="shared" si="13"/>
        <v>0</v>
      </c>
      <c r="Y112" s="26">
        <f t="shared" si="20"/>
        <v>0</v>
      </c>
      <c r="Z112" s="26">
        <f t="shared" si="14"/>
        <v>0</v>
      </c>
      <c r="AA112" s="33" t="s">
        <v>15</v>
      </c>
      <c r="AB112" s="36" t="s">
        <v>16</v>
      </c>
      <c r="AC112" s="181">
        <f t="shared" si="15"/>
        <v>2</v>
      </c>
      <c r="AD112" s="181">
        <f t="shared" si="21"/>
        <v>20826.599999999999</v>
      </c>
      <c r="AE112" s="181">
        <v>1.2</v>
      </c>
      <c r="AF112" s="181">
        <v>1.2</v>
      </c>
      <c r="AG112" s="101" t="str">
        <f t="shared" si="16"/>
        <v/>
      </c>
      <c r="AH112" s="190">
        <v>0</v>
      </c>
      <c r="AI112" s="69">
        <f t="shared" si="17"/>
        <v>2</v>
      </c>
    </row>
    <row r="113" spans="1:35" s="69" customFormat="1" ht="33" x14ac:dyDescent="0.3">
      <c r="A113" s="130" t="s">
        <v>327</v>
      </c>
      <c r="B113" s="131" t="s">
        <v>328</v>
      </c>
      <c r="C113" s="132" t="s">
        <v>81</v>
      </c>
      <c r="D113" s="133">
        <v>1</v>
      </c>
      <c r="E113" s="75"/>
      <c r="F113" s="75"/>
      <c r="G113" s="75"/>
      <c r="H113" s="75" t="s">
        <v>15</v>
      </c>
      <c r="I113" s="75">
        <v>101421.35</v>
      </c>
      <c r="J113" s="75">
        <v>101421.35</v>
      </c>
      <c r="K113" s="91" t="s">
        <v>329</v>
      </c>
      <c r="L113" s="73"/>
      <c r="M113" s="46">
        <v>1</v>
      </c>
      <c r="N113" s="46">
        <v>0</v>
      </c>
      <c r="O113" s="46">
        <v>101421.35</v>
      </c>
      <c r="P113" s="98"/>
      <c r="Q113" s="23" t="s">
        <v>1477</v>
      </c>
      <c r="R113" s="24" t="s">
        <v>328</v>
      </c>
      <c r="S113" s="25" t="s">
        <v>81</v>
      </c>
      <c r="T113" s="26">
        <v>1</v>
      </c>
      <c r="U113" s="26">
        <v>1</v>
      </c>
      <c r="V113" s="26">
        <f t="shared" si="19"/>
        <v>101421.35</v>
      </c>
      <c r="W113" s="127">
        <f t="shared" si="18"/>
        <v>0</v>
      </c>
      <c r="X113" s="127">
        <f t="shared" si="13"/>
        <v>1</v>
      </c>
      <c r="Y113" s="127">
        <f t="shared" si="20"/>
        <v>0</v>
      </c>
      <c r="Z113" s="127">
        <f t="shared" si="14"/>
        <v>101421.35</v>
      </c>
      <c r="AA113" s="33" t="s">
        <v>15</v>
      </c>
      <c r="AB113" s="36" t="s">
        <v>16</v>
      </c>
      <c r="AC113" s="181">
        <f t="shared" si="15"/>
        <v>1</v>
      </c>
      <c r="AD113" s="181">
        <f t="shared" si="21"/>
        <v>101421.35</v>
      </c>
      <c r="AE113" s="181">
        <v>1.2</v>
      </c>
      <c r="AF113" s="181">
        <v>1.2</v>
      </c>
      <c r="AG113" s="101" t="str">
        <f t="shared" si="16"/>
        <v/>
      </c>
      <c r="AH113" s="190">
        <v>1</v>
      </c>
      <c r="AI113" s="69">
        <f t="shared" si="17"/>
        <v>1</v>
      </c>
    </row>
    <row r="114" spans="1:35" s="69" customFormat="1" ht="33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 t="s">
        <v>15</v>
      </c>
      <c r="I114" s="75">
        <v>4575.26</v>
      </c>
      <c r="J114" s="75">
        <v>13725.78</v>
      </c>
      <c r="K114" s="91" t="s">
        <v>332</v>
      </c>
      <c r="L114" s="73"/>
      <c r="M114" s="46">
        <v>0</v>
      </c>
      <c r="N114" s="46">
        <v>0</v>
      </c>
      <c r="O114" s="46">
        <v>0</v>
      </c>
      <c r="P114" s="98"/>
      <c r="Q114" s="23" t="s">
        <v>1478</v>
      </c>
      <c r="R114" s="24" t="s">
        <v>331</v>
      </c>
      <c r="S114" s="25" t="s">
        <v>325</v>
      </c>
      <c r="T114" s="26">
        <v>3</v>
      </c>
      <c r="U114" s="26">
        <v>3</v>
      </c>
      <c r="V114" s="26">
        <f t="shared" si="19"/>
        <v>4575.26</v>
      </c>
      <c r="W114" s="26">
        <f t="shared" si="18"/>
        <v>0</v>
      </c>
      <c r="X114" s="26">
        <f t="shared" si="13"/>
        <v>0</v>
      </c>
      <c r="Y114" s="26">
        <f t="shared" si="20"/>
        <v>0</v>
      </c>
      <c r="Z114" s="26">
        <f t="shared" si="14"/>
        <v>0</v>
      </c>
      <c r="AA114" s="33" t="s">
        <v>15</v>
      </c>
      <c r="AB114" s="36" t="s">
        <v>16</v>
      </c>
      <c r="AC114" s="181">
        <f t="shared" si="15"/>
        <v>3</v>
      </c>
      <c r="AD114" s="181">
        <f t="shared" si="21"/>
        <v>13725.78</v>
      </c>
      <c r="AE114" s="181">
        <v>1.2</v>
      </c>
      <c r="AF114" s="181">
        <v>1.2</v>
      </c>
      <c r="AG114" s="101" t="str">
        <f t="shared" si="16"/>
        <v/>
      </c>
      <c r="AH114" s="190">
        <v>0</v>
      </c>
      <c r="AI114" s="69">
        <f t="shared" si="17"/>
        <v>3</v>
      </c>
    </row>
    <row r="115" spans="1:35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 t="s">
        <v>15</v>
      </c>
      <c r="I115" s="75">
        <v>12634.43</v>
      </c>
      <c r="J115" s="75">
        <v>12634.43</v>
      </c>
      <c r="K115" s="91" t="s">
        <v>335</v>
      </c>
      <c r="L115" s="73"/>
      <c r="M115" s="46">
        <v>0</v>
      </c>
      <c r="N115" s="46">
        <v>0</v>
      </c>
      <c r="O115" s="46">
        <v>0</v>
      </c>
      <c r="P115" s="98"/>
      <c r="Q115" s="23" t="s">
        <v>1479</v>
      </c>
      <c r="R115" s="24" t="s">
        <v>334</v>
      </c>
      <c r="S115" s="25" t="s">
        <v>81</v>
      </c>
      <c r="T115" s="26">
        <v>1</v>
      </c>
      <c r="U115" s="26">
        <v>1</v>
      </c>
      <c r="V115" s="26">
        <f t="shared" si="19"/>
        <v>12634.43</v>
      </c>
      <c r="W115" s="26">
        <f t="shared" si="18"/>
        <v>0</v>
      </c>
      <c r="X115" s="26">
        <f t="shared" si="13"/>
        <v>0</v>
      </c>
      <c r="Y115" s="26">
        <f t="shared" si="20"/>
        <v>0</v>
      </c>
      <c r="Z115" s="26">
        <f t="shared" si="14"/>
        <v>0</v>
      </c>
      <c r="AA115" s="33" t="s">
        <v>15</v>
      </c>
      <c r="AB115" s="36" t="s">
        <v>16</v>
      </c>
      <c r="AC115" s="181">
        <f t="shared" si="15"/>
        <v>1</v>
      </c>
      <c r="AD115" s="181">
        <f t="shared" si="21"/>
        <v>12634.43</v>
      </c>
      <c r="AE115" s="181">
        <v>1.2</v>
      </c>
      <c r="AF115" s="181">
        <v>1.2</v>
      </c>
      <c r="AG115" s="101" t="str">
        <f t="shared" si="16"/>
        <v/>
      </c>
      <c r="AH115" s="190">
        <v>0</v>
      </c>
      <c r="AI115" s="69">
        <f t="shared" si="17"/>
        <v>1</v>
      </c>
    </row>
    <row r="116" spans="1:35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 t="s">
        <v>15</v>
      </c>
      <c r="I116" s="75">
        <v>15300</v>
      </c>
      <c r="J116" s="75">
        <v>974304</v>
      </c>
      <c r="K116" s="91" t="s">
        <v>339</v>
      </c>
      <c r="L116" s="73"/>
      <c r="M116" s="46">
        <v>57.5</v>
      </c>
      <c r="N116" s="46">
        <v>0</v>
      </c>
      <c r="O116" s="46">
        <v>879750</v>
      </c>
      <c r="P116" s="98"/>
      <c r="Q116" s="23" t="s">
        <v>1480</v>
      </c>
      <c r="R116" s="24" t="s">
        <v>337</v>
      </c>
      <c r="S116" s="25" t="s">
        <v>338</v>
      </c>
      <c r="T116" s="26">
        <v>63.68</v>
      </c>
      <c r="U116" s="26">
        <v>63.68</v>
      </c>
      <c r="V116" s="26">
        <f t="shared" si="19"/>
        <v>15300</v>
      </c>
      <c r="W116" s="243">
        <f t="shared" si="18"/>
        <v>0</v>
      </c>
      <c r="X116" s="26">
        <f t="shared" si="13"/>
        <v>57.5</v>
      </c>
      <c r="Y116" s="26">
        <f t="shared" si="20"/>
        <v>0</v>
      </c>
      <c r="Z116" s="26">
        <f t="shared" si="14"/>
        <v>879750</v>
      </c>
      <c r="AA116" s="33" t="s">
        <v>15</v>
      </c>
      <c r="AB116" s="36" t="s">
        <v>16</v>
      </c>
      <c r="AC116" s="181">
        <f t="shared" si="15"/>
        <v>63.68</v>
      </c>
      <c r="AD116" s="181">
        <f t="shared" si="21"/>
        <v>974304</v>
      </c>
      <c r="AE116" s="181">
        <v>1.2</v>
      </c>
      <c r="AF116" s="181">
        <v>1.2</v>
      </c>
      <c r="AG116" s="101" t="str">
        <f t="shared" si="16"/>
        <v/>
      </c>
      <c r="AH116" s="191">
        <f>35.7+21.8</f>
        <v>57.5</v>
      </c>
      <c r="AI116" s="69">
        <f t="shared" si="17"/>
        <v>63.68</v>
      </c>
    </row>
    <row r="117" spans="1:35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 t="s">
        <v>15</v>
      </c>
      <c r="I117" s="75">
        <v>4498.58</v>
      </c>
      <c r="J117" s="75">
        <v>278911.96000000002</v>
      </c>
      <c r="K117" s="91" t="s">
        <v>342</v>
      </c>
      <c r="L117" s="73"/>
      <c r="M117" s="46">
        <v>19</v>
      </c>
      <c r="N117" s="46">
        <v>0</v>
      </c>
      <c r="O117" s="46">
        <v>85473.02</v>
      </c>
      <c r="P117" s="98"/>
      <c r="Q117" s="23" t="s">
        <v>1481</v>
      </c>
      <c r="R117" s="24" t="s">
        <v>341</v>
      </c>
      <c r="S117" s="25" t="s">
        <v>81</v>
      </c>
      <c r="T117" s="26">
        <v>62</v>
      </c>
      <c r="U117" s="26">
        <v>62</v>
      </c>
      <c r="V117" s="26">
        <f t="shared" si="19"/>
        <v>4498.58</v>
      </c>
      <c r="W117" s="243">
        <f t="shared" si="18"/>
        <v>0</v>
      </c>
      <c r="X117" s="26">
        <f t="shared" si="13"/>
        <v>19</v>
      </c>
      <c r="Y117" s="26">
        <f t="shared" si="20"/>
        <v>0</v>
      </c>
      <c r="Z117" s="26">
        <f t="shared" si="14"/>
        <v>85473.02</v>
      </c>
      <c r="AA117" s="33" t="s">
        <v>15</v>
      </c>
      <c r="AB117" s="36" t="s">
        <v>16</v>
      </c>
      <c r="AC117" s="181">
        <f t="shared" si="15"/>
        <v>62</v>
      </c>
      <c r="AD117" s="181">
        <f t="shared" si="21"/>
        <v>278911.96000000002</v>
      </c>
      <c r="AE117" s="181">
        <v>1.2</v>
      </c>
      <c r="AF117" s="181">
        <v>1.2</v>
      </c>
      <c r="AG117" s="101" t="str">
        <f t="shared" si="16"/>
        <v/>
      </c>
      <c r="AH117" s="191">
        <f>16+3</f>
        <v>19</v>
      </c>
      <c r="AI117" s="69">
        <f t="shared" si="17"/>
        <v>62</v>
      </c>
    </row>
    <row r="118" spans="1:35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 t="s">
        <v>15</v>
      </c>
      <c r="I118" s="75">
        <v>3353.68</v>
      </c>
      <c r="J118" s="75">
        <v>50305.2</v>
      </c>
      <c r="K118" s="91" t="s">
        <v>345</v>
      </c>
      <c r="L118" s="73"/>
      <c r="M118" s="46">
        <v>8</v>
      </c>
      <c r="N118" s="46">
        <v>0</v>
      </c>
      <c r="O118" s="46">
        <v>26829.439999999999</v>
      </c>
      <c r="P118" s="98"/>
      <c r="Q118" s="23" t="s">
        <v>1482</v>
      </c>
      <c r="R118" s="24" t="s">
        <v>344</v>
      </c>
      <c r="S118" s="25" t="s">
        <v>81</v>
      </c>
      <c r="T118" s="26">
        <v>15</v>
      </c>
      <c r="U118" s="26">
        <v>15</v>
      </c>
      <c r="V118" s="26">
        <f t="shared" si="19"/>
        <v>3353.68</v>
      </c>
      <c r="W118" s="243">
        <f t="shared" si="18"/>
        <v>0</v>
      </c>
      <c r="X118" s="26">
        <f t="shared" si="13"/>
        <v>8</v>
      </c>
      <c r="Y118" s="26">
        <f t="shared" si="20"/>
        <v>0</v>
      </c>
      <c r="Z118" s="26">
        <f t="shared" si="14"/>
        <v>26829.439999999999</v>
      </c>
      <c r="AA118" s="33" t="s">
        <v>15</v>
      </c>
      <c r="AB118" s="36" t="s">
        <v>16</v>
      </c>
      <c r="AC118" s="181">
        <f t="shared" si="15"/>
        <v>15</v>
      </c>
      <c r="AD118" s="181">
        <f t="shared" si="21"/>
        <v>50305.2</v>
      </c>
      <c r="AE118" s="181">
        <v>1.2</v>
      </c>
      <c r="AF118" s="181">
        <v>1.2</v>
      </c>
      <c r="AG118" s="101" t="str">
        <f t="shared" si="16"/>
        <v/>
      </c>
      <c r="AH118" s="191">
        <f>2+6</f>
        <v>8</v>
      </c>
      <c r="AI118" s="69">
        <f t="shared" si="17"/>
        <v>15</v>
      </c>
    </row>
    <row r="119" spans="1:35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 t="s">
        <v>15</v>
      </c>
      <c r="I119" s="75">
        <v>9874.4</v>
      </c>
      <c r="J119" s="75">
        <v>128367.2</v>
      </c>
      <c r="K119" s="91" t="s">
        <v>348</v>
      </c>
      <c r="L119" s="73"/>
      <c r="M119" s="46">
        <v>0</v>
      </c>
      <c r="N119" s="46">
        <v>0</v>
      </c>
      <c r="O119" s="46">
        <v>0</v>
      </c>
      <c r="P119" s="98"/>
      <c r="Q119" s="23" t="s">
        <v>1483</v>
      </c>
      <c r="R119" s="24" t="s">
        <v>347</v>
      </c>
      <c r="S119" s="25" t="s">
        <v>30</v>
      </c>
      <c r="T119" s="26">
        <v>13</v>
      </c>
      <c r="U119" s="26">
        <v>13</v>
      </c>
      <c r="V119" s="26">
        <f t="shared" si="19"/>
        <v>9874.4</v>
      </c>
      <c r="W119" s="243">
        <f t="shared" si="18"/>
        <v>0</v>
      </c>
      <c r="X119" s="26">
        <f t="shared" si="13"/>
        <v>0</v>
      </c>
      <c r="Y119" s="26">
        <f t="shared" si="20"/>
        <v>0</v>
      </c>
      <c r="Z119" s="26">
        <f t="shared" si="14"/>
        <v>0</v>
      </c>
      <c r="AA119" s="33" t="s">
        <v>15</v>
      </c>
      <c r="AB119" s="36" t="s">
        <v>16</v>
      </c>
      <c r="AC119" s="181">
        <f t="shared" si="15"/>
        <v>13</v>
      </c>
      <c r="AD119" s="181">
        <f t="shared" si="21"/>
        <v>128367.2</v>
      </c>
      <c r="AE119" s="181">
        <v>1.2</v>
      </c>
      <c r="AF119" s="181">
        <v>1.2</v>
      </c>
      <c r="AG119" s="101" t="str">
        <f t="shared" si="16"/>
        <v/>
      </c>
      <c r="AH119" s="191">
        <v>0</v>
      </c>
      <c r="AI119" s="69">
        <f t="shared" si="17"/>
        <v>13</v>
      </c>
    </row>
    <row r="120" spans="1:35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 t="s">
        <v>15</v>
      </c>
      <c r="I120" s="75">
        <v>6554.37</v>
      </c>
      <c r="J120" s="75">
        <v>273317.23</v>
      </c>
      <c r="K120" s="91" t="s">
        <v>351</v>
      </c>
      <c r="L120" s="73"/>
      <c r="M120" s="46">
        <v>0</v>
      </c>
      <c r="N120" s="46">
        <v>0</v>
      </c>
      <c r="O120" s="46">
        <v>0</v>
      </c>
      <c r="P120" s="98"/>
      <c r="Q120" s="23" t="s">
        <v>1484</v>
      </c>
      <c r="R120" s="24" t="s">
        <v>350</v>
      </c>
      <c r="S120" s="25" t="s">
        <v>30</v>
      </c>
      <c r="T120" s="26">
        <v>41.7</v>
      </c>
      <c r="U120" s="26">
        <v>41.7</v>
      </c>
      <c r="V120" s="26">
        <f t="shared" si="19"/>
        <v>6554.37</v>
      </c>
      <c r="W120" s="243">
        <f t="shared" si="18"/>
        <v>8.6</v>
      </c>
      <c r="X120" s="26">
        <f t="shared" si="13"/>
        <v>8.6</v>
      </c>
      <c r="Y120" s="26">
        <f t="shared" si="20"/>
        <v>56367.58</v>
      </c>
      <c r="Z120" s="26">
        <f t="shared" si="14"/>
        <v>56367.58</v>
      </c>
      <c r="AA120" s="33" t="s">
        <v>15</v>
      </c>
      <c r="AB120" s="36" t="s">
        <v>16</v>
      </c>
      <c r="AC120" s="181">
        <f t="shared" si="15"/>
        <v>41.7</v>
      </c>
      <c r="AD120" s="181">
        <f t="shared" si="21"/>
        <v>273317.23</v>
      </c>
      <c r="AE120" s="181">
        <v>1.2</v>
      </c>
      <c r="AF120" s="181">
        <v>1.2</v>
      </c>
      <c r="AG120" s="101" t="str">
        <f t="shared" si="16"/>
        <v/>
      </c>
      <c r="AH120" s="191">
        <f>8.6</f>
        <v>8.6</v>
      </c>
      <c r="AI120" s="69">
        <f t="shared" si="17"/>
        <v>41.7</v>
      </c>
    </row>
    <row r="121" spans="1:35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 t="s">
        <v>15</v>
      </c>
      <c r="I121" s="75">
        <v>8390.73</v>
      </c>
      <c r="J121" s="75">
        <v>10907.95</v>
      </c>
      <c r="K121" s="91" t="s">
        <v>354</v>
      </c>
      <c r="L121" s="73"/>
      <c r="M121" s="46">
        <v>0</v>
      </c>
      <c r="N121" s="46">
        <v>0</v>
      </c>
      <c r="O121" s="46">
        <v>0</v>
      </c>
      <c r="P121" s="98"/>
      <c r="Q121" s="23" t="s">
        <v>1485</v>
      </c>
      <c r="R121" s="24" t="s">
        <v>353</v>
      </c>
      <c r="S121" s="25" t="s">
        <v>30</v>
      </c>
      <c r="T121" s="26">
        <v>1.3</v>
      </c>
      <c r="U121" s="26">
        <v>1.3</v>
      </c>
      <c r="V121" s="26">
        <f t="shared" si="19"/>
        <v>8390.73</v>
      </c>
      <c r="W121" s="26">
        <f t="shared" si="18"/>
        <v>0</v>
      </c>
      <c r="X121" s="26">
        <f t="shared" si="13"/>
        <v>0</v>
      </c>
      <c r="Y121" s="26">
        <f t="shared" si="20"/>
        <v>0</v>
      </c>
      <c r="Z121" s="26">
        <f t="shared" si="14"/>
        <v>0</v>
      </c>
      <c r="AA121" s="33" t="s">
        <v>15</v>
      </c>
      <c r="AB121" s="36" t="s">
        <v>16</v>
      </c>
      <c r="AC121" s="181">
        <f t="shared" si="15"/>
        <v>1.3</v>
      </c>
      <c r="AD121" s="181">
        <f t="shared" si="21"/>
        <v>10907.95</v>
      </c>
      <c r="AE121" s="181">
        <v>1.2</v>
      </c>
      <c r="AF121" s="181">
        <v>1.2</v>
      </c>
      <c r="AG121" s="101" t="str">
        <f t="shared" si="16"/>
        <v/>
      </c>
      <c r="AH121" s="190">
        <v>0</v>
      </c>
      <c r="AI121" s="69">
        <f t="shared" si="17"/>
        <v>1.3</v>
      </c>
    </row>
    <row r="122" spans="1:35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 t="s">
        <v>15</v>
      </c>
      <c r="I122" s="75">
        <v>671.99</v>
      </c>
      <c r="J122" s="75">
        <v>82184.38</v>
      </c>
      <c r="K122" s="91" t="s">
        <v>357</v>
      </c>
      <c r="L122" s="73"/>
      <c r="M122" s="46">
        <v>0</v>
      </c>
      <c r="N122" s="46">
        <v>0</v>
      </c>
      <c r="O122" s="46">
        <v>0</v>
      </c>
      <c r="P122" s="98"/>
      <c r="Q122" s="23" t="s">
        <v>1486</v>
      </c>
      <c r="R122" s="24" t="s">
        <v>356</v>
      </c>
      <c r="S122" s="25" t="s">
        <v>30</v>
      </c>
      <c r="T122" s="26">
        <v>122.3</v>
      </c>
      <c r="U122" s="26">
        <v>122.3</v>
      </c>
      <c r="V122" s="26">
        <f t="shared" si="19"/>
        <v>671.99</v>
      </c>
      <c r="W122" s="26">
        <f t="shared" si="18"/>
        <v>0</v>
      </c>
      <c r="X122" s="26">
        <f t="shared" si="13"/>
        <v>0</v>
      </c>
      <c r="Y122" s="26">
        <f t="shared" si="20"/>
        <v>0</v>
      </c>
      <c r="Z122" s="26">
        <f t="shared" si="14"/>
        <v>0</v>
      </c>
      <c r="AA122" s="33" t="s">
        <v>15</v>
      </c>
      <c r="AB122" s="36" t="s">
        <v>16</v>
      </c>
      <c r="AC122" s="181">
        <f t="shared" si="15"/>
        <v>122.3</v>
      </c>
      <c r="AD122" s="181">
        <f t="shared" si="21"/>
        <v>82184.38</v>
      </c>
      <c r="AE122" s="181">
        <v>1.2</v>
      </c>
      <c r="AF122" s="181">
        <v>1.2</v>
      </c>
      <c r="AG122" s="101" t="str">
        <f t="shared" si="16"/>
        <v/>
      </c>
      <c r="AH122" s="190">
        <v>0</v>
      </c>
      <c r="AI122" s="69">
        <f t="shared" si="17"/>
        <v>122.3</v>
      </c>
    </row>
    <row r="123" spans="1:35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 t="s">
        <v>15</v>
      </c>
      <c r="I123" s="75">
        <v>935.67</v>
      </c>
      <c r="J123" s="75">
        <v>94512.03</v>
      </c>
      <c r="K123" s="91" t="s">
        <v>360</v>
      </c>
      <c r="L123" s="73"/>
      <c r="M123" s="46">
        <v>0</v>
      </c>
      <c r="N123" s="46">
        <v>0</v>
      </c>
      <c r="O123" s="46">
        <v>0</v>
      </c>
      <c r="P123" s="98"/>
      <c r="Q123" s="23" t="s">
        <v>1487</v>
      </c>
      <c r="R123" s="24" t="s">
        <v>359</v>
      </c>
      <c r="S123" s="25" t="s">
        <v>30</v>
      </c>
      <c r="T123" s="26">
        <v>101.01</v>
      </c>
      <c r="U123" s="26">
        <v>101.01</v>
      </c>
      <c r="V123" s="26">
        <f t="shared" si="19"/>
        <v>935.67</v>
      </c>
      <c r="W123" s="26">
        <f t="shared" si="18"/>
        <v>0</v>
      </c>
      <c r="X123" s="26">
        <f t="shared" si="13"/>
        <v>0</v>
      </c>
      <c r="Y123" s="26">
        <f t="shared" si="20"/>
        <v>0</v>
      </c>
      <c r="Z123" s="26">
        <f t="shared" si="14"/>
        <v>0</v>
      </c>
      <c r="AA123" s="33" t="s">
        <v>15</v>
      </c>
      <c r="AB123" s="36" t="s">
        <v>16</v>
      </c>
      <c r="AC123" s="181">
        <f t="shared" si="15"/>
        <v>101.01</v>
      </c>
      <c r="AD123" s="181">
        <f t="shared" si="21"/>
        <v>94512.03</v>
      </c>
      <c r="AE123" s="181">
        <v>1.2</v>
      </c>
      <c r="AF123" s="181">
        <v>1.2</v>
      </c>
      <c r="AG123" s="101" t="str">
        <f t="shared" si="16"/>
        <v/>
      </c>
      <c r="AH123" s="190">
        <v>0</v>
      </c>
      <c r="AI123" s="69">
        <f t="shared" si="17"/>
        <v>101.01</v>
      </c>
    </row>
    <row r="124" spans="1:35" s="69" customFormat="1" ht="33" x14ac:dyDescent="0.3">
      <c r="A124" s="55" t="s">
        <v>361</v>
      </c>
      <c r="B124" s="211" t="s">
        <v>362</v>
      </c>
      <c r="C124" s="54" t="s">
        <v>30</v>
      </c>
      <c r="D124" s="75">
        <v>489</v>
      </c>
      <c r="E124" s="75"/>
      <c r="F124" s="75"/>
      <c r="G124" s="75"/>
      <c r="H124" s="75" t="s">
        <v>15</v>
      </c>
      <c r="I124" s="75">
        <v>658.31</v>
      </c>
      <c r="J124" s="75">
        <v>321913.59000000003</v>
      </c>
      <c r="K124" s="91" t="s">
        <v>363</v>
      </c>
      <c r="L124" s="73"/>
      <c r="M124" s="46">
        <v>277.7</v>
      </c>
      <c r="N124" s="46">
        <v>0</v>
      </c>
      <c r="O124" s="46">
        <v>182812.69</v>
      </c>
      <c r="P124" s="98"/>
      <c r="Q124" s="23" t="s">
        <v>1488</v>
      </c>
      <c r="R124" s="24" t="s">
        <v>362</v>
      </c>
      <c r="S124" s="25" t="s">
        <v>30</v>
      </c>
      <c r="T124" s="26">
        <v>489</v>
      </c>
      <c r="U124" s="26">
        <v>489</v>
      </c>
      <c r="V124" s="26">
        <f t="shared" si="19"/>
        <v>658.31</v>
      </c>
      <c r="W124" s="243">
        <f t="shared" si="18"/>
        <v>0</v>
      </c>
      <c r="X124" s="26">
        <f t="shared" si="13"/>
        <v>277.7</v>
      </c>
      <c r="Y124" s="26">
        <f t="shared" si="20"/>
        <v>0</v>
      </c>
      <c r="Z124" s="26">
        <f t="shared" si="14"/>
        <v>182812.69</v>
      </c>
      <c r="AA124" s="33" t="s">
        <v>15</v>
      </c>
      <c r="AB124" s="36" t="s">
        <v>16</v>
      </c>
      <c r="AC124" s="181">
        <f t="shared" si="15"/>
        <v>489</v>
      </c>
      <c r="AD124" s="181">
        <f t="shared" si="21"/>
        <v>321913.59000000003</v>
      </c>
      <c r="AE124" s="181">
        <v>1.2</v>
      </c>
      <c r="AF124" s="181">
        <v>1.2</v>
      </c>
      <c r="AG124" s="101" t="str">
        <f t="shared" si="16"/>
        <v/>
      </c>
      <c r="AH124" s="191">
        <v>277.7</v>
      </c>
      <c r="AI124" s="69">
        <f t="shared" si="17"/>
        <v>489</v>
      </c>
    </row>
    <row r="125" spans="1:35" s="69" customFormat="1" ht="33" x14ac:dyDescent="0.3">
      <c r="A125" s="55" t="s">
        <v>364</v>
      </c>
      <c r="B125" s="211" t="s">
        <v>3111</v>
      </c>
      <c r="C125" s="54" t="s">
        <v>30</v>
      </c>
      <c r="D125" s="75">
        <v>216</v>
      </c>
      <c r="E125" s="75"/>
      <c r="F125" s="75"/>
      <c r="G125" s="75"/>
      <c r="H125" s="75" t="s">
        <v>15</v>
      </c>
      <c r="I125" s="75">
        <v>730.41</v>
      </c>
      <c r="J125" s="75">
        <v>157768.56</v>
      </c>
      <c r="K125" s="91" t="s">
        <v>366</v>
      </c>
      <c r="L125" s="73"/>
      <c r="M125" s="46">
        <v>120</v>
      </c>
      <c r="N125" s="46">
        <v>0</v>
      </c>
      <c r="O125" s="46">
        <v>87649.2</v>
      </c>
      <c r="P125" s="98"/>
      <c r="Q125" s="23" t="s">
        <v>1489</v>
      </c>
      <c r="R125" s="24" t="s">
        <v>365</v>
      </c>
      <c r="S125" s="25" t="s">
        <v>30</v>
      </c>
      <c r="T125" s="26">
        <v>216</v>
      </c>
      <c r="U125" s="26">
        <v>216</v>
      </c>
      <c r="V125" s="26">
        <f t="shared" si="19"/>
        <v>730.41</v>
      </c>
      <c r="W125" s="243">
        <f t="shared" si="18"/>
        <v>0</v>
      </c>
      <c r="X125" s="26">
        <f t="shared" si="13"/>
        <v>120</v>
      </c>
      <c r="Y125" s="26">
        <f t="shared" si="20"/>
        <v>0</v>
      </c>
      <c r="Z125" s="26">
        <f t="shared" si="14"/>
        <v>87649.2</v>
      </c>
      <c r="AA125" s="33" t="s">
        <v>15</v>
      </c>
      <c r="AB125" s="36" t="s">
        <v>16</v>
      </c>
      <c r="AC125" s="181">
        <f t="shared" si="15"/>
        <v>216</v>
      </c>
      <c r="AD125" s="181">
        <f t="shared" si="21"/>
        <v>157768.56</v>
      </c>
      <c r="AE125" s="181">
        <v>1.2</v>
      </c>
      <c r="AF125" s="181">
        <v>1.2</v>
      </c>
      <c r="AG125" s="101" t="str">
        <f t="shared" si="16"/>
        <v/>
      </c>
      <c r="AH125" s="191">
        <v>120</v>
      </c>
      <c r="AI125" s="69">
        <f t="shared" si="17"/>
        <v>216</v>
      </c>
    </row>
    <row r="126" spans="1:35" s="69" customFormat="1" ht="33" x14ac:dyDescent="0.3">
      <c r="A126" s="55" t="s">
        <v>367</v>
      </c>
      <c r="B126" s="53" t="s">
        <v>368</v>
      </c>
      <c r="C126" s="54" t="s">
        <v>30</v>
      </c>
      <c r="D126" s="75">
        <v>45.16</v>
      </c>
      <c r="E126" s="75"/>
      <c r="F126" s="75"/>
      <c r="G126" s="75"/>
      <c r="H126" s="75" t="s">
        <v>15</v>
      </c>
      <c r="I126" s="75">
        <v>406.4</v>
      </c>
      <c r="J126" s="75">
        <v>18353.02</v>
      </c>
      <c r="K126" s="91" t="s">
        <v>369</v>
      </c>
      <c r="L126" s="73"/>
      <c r="M126" s="46">
        <v>0</v>
      </c>
      <c r="N126" s="46">
        <v>0</v>
      </c>
      <c r="O126" s="46">
        <v>0</v>
      </c>
      <c r="P126" s="98"/>
      <c r="Q126" s="23" t="s">
        <v>1398</v>
      </c>
      <c r="R126" s="24" t="s">
        <v>368</v>
      </c>
      <c r="S126" s="25" t="s">
        <v>30</v>
      </c>
      <c r="T126" s="26">
        <v>45.16</v>
      </c>
      <c r="U126" s="26">
        <v>45.16</v>
      </c>
      <c r="V126" s="26">
        <f t="shared" si="19"/>
        <v>406.4</v>
      </c>
      <c r="W126" s="243">
        <f t="shared" si="18"/>
        <v>45.1</v>
      </c>
      <c r="X126" s="127">
        <f t="shared" si="13"/>
        <v>45.1</v>
      </c>
      <c r="Y126" s="127">
        <f t="shared" si="20"/>
        <v>18328.64</v>
      </c>
      <c r="Z126" s="127">
        <f t="shared" si="14"/>
        <v>18328.64</v>
      </c>
      <c r="AA126" s="33" t="s">
        <v>15</v>
      </c>
      <c r="AB126" s="36" t="s">
        <v>16</v>
      </c>
      <c r="AC126" s="181">
        <f t="shared" si="15"/>
        <v>45.16</v>
      </c>
      <c r="AD126" s="181">
        <f t="shared" si="21"/>
        <v>18353.02</v>
      </c>
      <c r="AE126" s="181">
        <v>1.2</v>
      </c>
      <c r="AF126" s="181">
        <v>1.2</v>
      </c>
      <c r="AG126" s="101" t="str">
        <f t="shared" si="16"/>
        <v/>
      </c>
      <c r="AH126" s="191">
        <f>45.1</f>
        <v>45.1</v>
      </c>
      <c r="AI126" s="69">
        <f t="shared" si="17"/>
        <v>45.16</v>
      </c>
    </row>
    <row r="127" spans="1:35" s="69" customFormat="1" ht="33" x14ac:dyDescent="0.3">
      <c r="A127" s="55" t="s">
        <v>370</v>
      </c>
      <c r="B127" s="211" t="s">
        <v>371</v>
      </c>
      <c r="C127" s="54" t="s">
        <v>30</v>
      </c>
      <c r="D127" s="75">
        <v>116.8</v>
      </c>
      <c r="E127" s="75"/>
      <c r="F127" s="75"/>
      <c r="G127" s="75"/>
      <c r="H127" s="75" t="s">
        <v>15</v>
      </c>
      <c r="I127" s="75">
        <v>457.9</v>
      </c>
      <c r="J127" s="75">
        <v>53482.720000000001</v>
      </c>
      <c r="K127" s="91" t="s">
        <v>372</v>
      </c>
      <c r="L127" s="73"/>
      <c r="M127" s="46">
        <v>83.2</v>
      </c>
      <c r="N127" s="46">
        <v>0</v>
      </c>
      <c r="O127" s="46">
        <v>38097.279999999999</v>
      </c>
      <c r="P127" s="98"/>
      <c r="Q127" s="23" t="s">
        <v>1399</v>
      </c>
      <c r="R127" s="24" t="s">
        <v>371</v>
      </c>
      <c r="S127" s="25" t="s">
        <v>30</v>
      </c>
      <c r="T127" s="26">
        <v>116.8</v>
      </c>
      <c r="U127" s="26">
        <v>116.8</v>
      </c>
      <c r="V127" s="26">
        <f t="shared" si="19"/>
        <v>457.9</v>
      </c>
      <c r="W127" s="243">
        <f t="shared" si="18"/>
        <v>0</v>
      </c>
      <c r="X127" s="26">
        <f t="shared" si="13"/>
        <v>83.2</v>
      </c>
      <c r="Y127" s="26">
        <f t="shared" si="20"/>
        <v>0</v>
      </c>
      <c r="Z127" s="26">
        <f t="shared" si="14"/>
        <v>38097.279999999999</v>
      </c>
      <c r="AA127" s="33" t="s">
        <v>15</v>
      </c>
      <c r="AB127" s="36" t="s">
        <v>16</v>
      </c>
      <c r="AC127" s="181">
        <f t="shared" si="15"/>
        <v>116.8</v>
      </c>
      <c r="AD127" s="181">
        <f t="shared" si="21"/>
        <v>53482.720000000001</v>
      </c>
      <c r="AE127" s="181">
        <v>1.2</v>
      </c>
      <c r="AF127" s="181">
        <v>1.2</v>
      </c>
      <c r="AG127" s="101" t="str">
        <f t="shared" si="16"/>
        <v/>
      </c>
      <c r="AH127" s="191">
        <f>52+31.2</f>
        <v>83.2</v>
      </c>
      <c r="AI127" s="69">
        <f t="shared" si="17"/>
        <v>116.8</v>
      </c>
    </row>
    <row r="128" spans="1:35" s="69" customFormat="1" ht="39" x14ac:dyDescent="0.3">
      <c r="A128" s="55" t="s">
        <v>373</v>
      </c>
      <c r="B128" s="53" t="s">
        <v>374</v>
      </c>
      <c r="C128" s="54" t="s">
        <v>30</v>
      </c>
      <c r="D128" s="75">
        <v>25.8</v>
      </c>
      <c r="E128" s="75"/>
      <c r="F128" s="75"/>
      <c r="G128" s="75"/>
      <c r="H128" s="75" t="s">
        <v>15</v>
      </c>
      <c r="I128" s="75">
        <v>499.1</v>
      </c>
      <c r="J128" s="75">
        <v>12876.78</v>
      </c>
      <c r="K128" s="91" t="s">
        <v>375</v>
      </c>
      <c r="L128" s="73"/>
      <c r="M128" s="46">
        <v>0</v>
      </c>
      <c r="N128" s="46">
        <v>0</v>
      </c>
      <c r="O128" s="46">
        <v>0</v>
      </c>
      <c r="P128" s="98"/>
      <c r="Q128" s="23" t="s">
        <v>1490</v>
      </c>
      <c r="R128" s="24" t="s">
        <v>374</v>
      </c>
      <c r="S128" s="25" t="s">
        <v>30</v>
      </c>
      <c r="T128" s="26">
        <v>25.8</v>
      </c>
      <c r="U128" s="26">
        <v>25.8</v>
      </c>
      <c r="V128" s="26">
        <f t="shared" si="19"/>
        <v>499.1</v>
      </c>
      <c r="W128" s="26">
        <f t="shared" si="18"/>
        <v>0</v>
      </c>
      <c r="X128" s="26">
        <f t="shared" si="13"/>
        <v>0</v>
      </c>
      <c r="Y128" s="26">
        <f t="shared" si="20"/>
        <v>0</v>
      </c>
      <c r="Z128" s="26">
        <f t="shared" si="14"/>
        <v>0</v>
      </c>
      <c r="AA128" s="33" t="s">
        <v>15</v>
      </c>
      <c r="AB128" s="36" t="s">
        <v>16</v>
      </c>
      <c r="AC128" s="181">
        <f t="shared" si="15"/>
        <v>25.8</v>
      </c>
      <c r="AD128" s="181">
        <f t="shared" si="21"/>
        <v>12876.78</v>
      </c>
      <c r="AE128" s="181">
        <v>1.2</v>
      </c>
      <c r="AF128" s="181">
        <v>1.2</v>
      </c>
      <c r="AG128" s="101" t="str">
        <f t="shared" si="16"/>
        <v/>
      </c>
      <c r="AH128" s="190">
        <v>0</v>
      </c>
      <c r="AI128" s="69">
        <f t="shared" si="17"/>
        <v>25.8</v>
      </c>
    </row>
    <row r="129" spans="1:38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 t="s">
        <v>15</v>
      </c>
      <c r="I129" s="75">
        <v>545.85</v>
      </c>
      <c r="J129" s="75">
        <v>29415.86</v>
      </c>
      <c r="K129" s="91" t="s">
        <v>378</v>
      </c>
      <c r="L129" s="73"/>
      <c r="M129" s="46">
        <v>0</v>
      </c>
      <c r="N129" s="46">
        <v>0</v>
      </c>
      <c r="O129" s="46">
        <v>0</v>
      </c>
      <c r="P129" s="98"/>
      <c r="Q129" s="23" t="s">
        <v>1491</v>
      </c>
      <c r="R129" s="24" t="s">
        <v>377</v>
      </c>
      <c r="S129" s="25" t="s">
        <v>30</v>
      </c>
      <c r="T129" s="26">
        <v>53.89</v>
      </c>
      <c r="U129" s="26">
        <v>53.89</v>
      </c>
      <c r="V129" s="26">
        <f t="shared" si="19"/>
        <v>545.85</v>
      </c>
      <c r="W129" s="26">
        <f t="shared" si="18"/>
        <v>0</v>
      </c>
      <c r="X129" s="26">
        <f t="shared" si="13"/>
        <v>0</v>
      </c>
      <c r="Y129" s="26">
        <f t="shared" si="20"/>
        <v>0</v>
      </c>
      <c r="Z129" s="26">
        <f t="shared" si="14"/>
        <v>0</v>
      </c>
      <c r="AA129" s="33" t="s">
        <v>15</v>
      </c>
      <c r="AB129" s="36" t="s">
        <v>16</v>
      </c>
      <c r="AC129" s="181">
        <f t="shared" si="15"/>
        <v>53.89</v>
      </c>
      <c r="AD129" s="181">
        <f t="shared" si="21"/>
        <v>29415.86</v>
      </c>
      <c r="AE129" s="181">
        <v>1.2</v>
      </c>
      <c r="AF129" s="181">
        <v>1.2</v>
      </c>
      <c r="AG129" s="101" t="str">
        <f t="shared" si="16"/>
        <v/>
      </c>
      <c r="AH129" s="190">
        <v>0</v>
      </c>
      <c r="AI129" s="69">
        <f t="shared" si="17"/>
        <v>53.89</v>
      </c>
    </row>
    <row r="130" spans="1:38" s="69" customFormat="1" ht="33" x14ac:dyDescent="0.3">
      <c r="A130" s="55" t="s">
        <v>379</v>
      </c>
      <c r="B130" s="53" t="s">
        <v>3156</v>
      </c>
      <c r="C130" s="54" t="s">
        <v>30</v>
      </c>
      <c r="D130" s="75">
        <v>21</v>
      </c>
      <c r="E130" s="75"/>
      <c r="F130" s="75"/>
      <c r="G130" s="75"/>
      <c r="H130" s="75" t="s">
        <v>15</v>
      </c>
      <c r="I130" s="75">
        <v>644.09</v>
      </c>
      <c r="J130" s="75">
        <v>13525.89</v>
      </c>
      <c r="K130" s="91" t="s">
        <v>381</v>
      </c>
      <c r="L130" s="73"/>
      <c r="M130" s="46">
        <v>0</v>
      </c>
      <c r="N130" s="46">
        <v>0</v>
      </c>
      <c r="O130" s="46">
        <v>0</v>
      </c>
      <c r="P130" s="98"/>
      <c r="Q130" s="23" t="s">
        <v>1492</v>
      </c>
      <c r="R130" s="24" t="s">
        <v>380</v>
      </c>
      <c r="S130" s="25" t="s">
        <v>30</v>
      </c>
      <c r="T130" s="26">
        <v>21</v>
      </c>
      <c r="U130" s="26">
        <v>21</v>
      </c>
      <c r="V130" s="26">
        <f t="shared" si="19"/>
        <v>644.09</v>
      </c>
      <c r="W130" s="26">
        <f t="shared" si="18"/>
        <v>0</v>
      </c>
      <c r="X130" s="26">
        <f t="shared" si="13"/>
        <v>0</v>
      </c>
      <c r="Y130" s="26">
        <f t="shared" si="20"/>
        <v>0</v>
      </c>
      <c r="Z130" s="26">
        <f t="shared" si="14"/>
        <v>0</v>
      </c>
      <c r="AA130" s="33" t="s">
        <v>15</v>
      </c>
      <c r="AB130" s="36" t="s">
        <v>16</v>
      </c>
      <c r="AC130" s="181">
        <f t="shared" si="15"/>
        <v>21</v>
      </c>
      <c r="AD130" s="181">
        <f t="shared" si="21"/>
        <v>13525.89</v>
      </c>
      <c r="AE130" s="181">
        <v>1.2</v>
      </c>
      <c r="AF130" s="181">
        <v>1.2</v>
      </c>
      <c r="AG130" s="101" t="str">
        <f t="shared" si="16"/>
        <v/>
      </c>
      <c r="AH130" s="190">
        <v>0</v>
      </c>
      <c r="AI130" s="69">
        <f t="shared" si="17"/>
        <v>21</v>
      </c>
    </row>
    <row r="131" spans="1:38" s="69" customFormat="1" ht="33" x14ac:dyDescent="0.3">
      <c r="A131" s="55" t="s">
        <v>382</v>
      </c>
      <c r="B131" s="53" t="s">
        <v>383</v>
      </c>
      <c r="C131" s="54" t="s">
        <v>30</v>
      </c>
      <c r="D131" s="75">
        <v>275.60000000000002</v>
      </c>
      <c r="E131" s="75"/>
      <c r="F131" s="75"/>
      <c r="G131" s="75"/>
      <c r="H131" s="75" t="s">
        <v>15</v>
      </c>
      <c r="I131" s="75">
        <v>7340.41</v>
      </c>
      <c r="J131" s="75">
        <v>2023017</v>
      </c>
      <c r="K131" s="91" t="s">
        <v>384</v>
      </c>
      <c r="L131" s="73"/>
      <c r="M131" s="46">
        <v>182.3</v>
      </c>
      <c r="N131" s="46">
        <v>1338156.74</v>
      </c>
      <c r="O131" s="46">
        <v>1338156.74</v>
      </c>
      <c r="P131" s="98"/>
      <c r="Q131" s="23" t="s">
        <v>1493</v>
      </c>
      <c r="R131" s="24" t="s">
        <v>383</v>
      </c>
      <c r="S131" s="25" t="s">
        <v>30</v>
      </c>
      <c r="T131" s="26">
        <v>275.60000000000002</v>
      </c>
      <c r="U131" s="26">
        <v>275.60000000000002</v>
      </c>
      <c r="V131" s="26">
        <f t="shared" si="19"/>
        <v>7340.41</v>
      </c>
      <c r="W131" s="243">
        <f t="shared" si="18"/>
        <v>47.699999999999989</v>
      </c>
      <c r="X131" s="26">
        <f t="shared" si="13"/>
        <v>230</v>
      </c>
      <c r="Y131" s="26">
        <f t="shared" si="20"/>
        <v>350137.56000000006</v>
      </c>
      <c r="Z131" s="26">
        <f t="shared" si="14"/>
        <v>1688294.3</v>
      </c>
      <c r="AA131" s="33" t="s">
        <v>15</v>
      </c>
      <c r="AB131" s="36" t="s">
        <v>16</v>
      </c>
      <c r="AC131" s="181">
        <f t="shared" si="15"/>
        <v>275.60000000000002</v>
      </c>
      <c r="AD131" s="181">
        <f t="shared" si="21"/>
        <v>2023017</v>
      </c>
      <c r="AE131" s="181">
        <v>1.2</v>
      </c>
      <c r="AF131" s="181">
        <v>1.2</v>
      </c>
      <c r="AG131" s="101" t="str">
        <f t="shared" si="16"/>
        <v/>
      </c>
      <c r="AH131" s="191">
        <f>182.3+47.7</f>
        <v>230</v>
      </c>
      <c r="AI131" s="69">
        <f t="shared" si="17"/>
        <v>275.60000000000002</v>
      </c>
    </row>
    <row r="132" spans="1:38" s="69" customFormat="1" ht="33" x14ac:dyDescent="0.3">
      <c r="A132" s="130" t="s">
        <v>385</v>
      </c>
      <c r="B132" s="131" t="s">
        <v>386</v>
      </c>
      <c r="C132" s="132" t="s">
        <v>81</v>
      </c>
      <c r="D132" s="133">
        <v>1</v>
      </c>
      <c r="E132" s="75"/>
      <c r="F132" s="75"/>
      <c r="G132" s="75"/>
      <c r="H132" s="75" t="s">
        <v>15</v>
      </c>
      <c r="I132" s="75">
        <v>913345.81</v>
      </c>
      <c r="J132" s="75">
        <v>913345.81</v>
      </c>
      <c r="K132" s="91" t="s">
        <v>387</v>
      </c>
      <c r="L132" s="73"/>
      <c r="M132" s="46">
        <v>1</v>
      </c>
      <c r="N132" s="46">
        <v>0</v>
      </c>
      <c r="O132" s="46">
        <v>913345.81</v>
      </c>
      <c r="P132" s="98"/>
      <c r="Q132" s="23" t="s">
        <v>1494</v>
      </c>
      <c r="R132" s="24" t="s">
        <v>386</v>
      </c>
      <c r="S132" s="25" t="s">
        <v>81</v>
      </c>
      <c r="T132" s="26">
        <v>1</v>
      </c>
      <c r="U132" s="26">
        <v>1</v>
      </c>
      <c r="V132" s="26">
        <f t="shared" si="19"/>
        <v>913345.81</v>
      </c>
      <c r="W132" s="127">
        <f t="shared" si="18"/>
        <v>0</v>
      </c>
      <c r="X132" s="127">
        <f t="shared" si="13"/>
        <v>1</v>
      </c>
      <c r="Y132" s="127">
        <f t="shared" si="20"/>
        <v>0</v>
      </c>
      <c r="Z132" s="127">
        <f t="shared" si="14"/>
        <v>913345.81</v>
      </c>
      <c r="AA132" s="33" t="s">
        <v>15</v>
      </c>
      <c r="AB132" s="36" t="s">
        <v>16</v>
      </c>
      <c r="AC132" s="181">
        <f t="shared" si="15"/>
        <v>1</v>
      </c>
      <c r="AD132" s="181">
        <f t="shared" si="21"/>
        <v>913345.81</v>
      </c>
      <c r="AE132" s="181">
        <v>1.2</v>
      </c>
      <c r="AF132" s="181">
        <v>1.2</v>
      </c>
      <c r="AG132" s="101" t="str">
        <f t="shared" si="16"/>
        <v/>
      </c>
      <c r="AH132" s="194">
        <v>1</v>
      </c>
      <c r="AI132" s="69">
        <f t="shared" si="17"/>
        <v>1</v>
      </c>
    </row>
    <row r="133" spans="1:38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 t="s">
        <v>15</v>
      </c>
      <c r="I133" s="82"/>
      <c r="J133" s="82">
        <v>62087911.219999999</v>
      </c>
      <c r="K133" s="94" t="s">
        <v>15</v>
      </c>
      <c r="L133" s="73"/>
      <c r="M133" s="45">
        <v>1</v>
      </c>
      <c r="N133" s="45">
        <v>827150.6</v>
      </c>
      <c r="O133" s="45">
        <v>58782414.020000018</v>
      </c>
      <c r="P133" s="98"/>
      <c r="Q133" s="18" t="s">
        <v>1381</v>
      </c>
      <c r="R133" s="19" t="s">
        <v>389</v>
      </c>
      <c r="S133" s="20" t="s">
        <v>14</v>
      </c>
      <c r="T133" s="21">
        <v>1</v>
      </c>
      <c r="U133" s="21"/>
      <c r="V133" s="21">
        <f>SUMIFS(AD:AD,AE:AE,AE133)</f>
        <v>62087911.219999999</v>
      </c>
      <c r="W133" s="21">
        <f t="shared" ref="W133:X133" si="22">IF(Y133=0,0,1)</f>
        <v>1</v>
      </c>
      <c r="X133" s="21">
        <f t="shared" si="22"/>
        <v>1</v>
      </c>
      <c r="Y133" s="21">
        <f>SUMIFS(Y:Y,AF:AF,AE133)</f>
        <v>940475.31</v>
      </c>
      <c r="Z133" s="21">
        <f>SUMIFS(Z:Z,AF:AF,AE133)</f>
        <v>59722889.330000013</v>
      </c>
      <c r="AA133" s="22" t="s">
        <v>15</v>
      </c>
      <c r="AB133" s="43" t="s">
        <v>16</v>
      </c>
      <c r="AC133" s="181">
        <f t="shared" si="15"/>
        <v>1</v>
      </c>
      <c r="AD133" s="184"/>
      <c r="AE133" s="184">
        <v>1.3</v>
      </c>
      <c r="AF133" s="184"/>
      <c r="AG133" s="101" t="str">
        <f t="shared" si="16"/>
        <v/>
      </c>
      <c r="AH133" s="190">
        <v>1</v>
      </c>
      <c r="AI133" s="69">
        <f t="shared" si="17"/>
        <v>1</v>
      </c>
    </row>
    <row r="134" spans="1:38" s="69" customFormat="1" ht="39" x14ac:dyDescent="0.3">
      <c r="A134" s="130" t="s">
        <v>390</v>
      </c>
      <c r="B134" s="131" t="s">
        <v>102</v>
      </c>
      <c r="C134" s="132" t="s">
        <v>103</v>
      </c>
      <c r="D134" s="133">
        <v>274.45</v>
      </c>
      <c r="E134" s="75"/>
      <c r="F134" s="75"/>
      <c r="G134" s="75"/>
      <c r="H134" s="75" t="s">
        <v>15</v>
      </c>
      <c r="I134" s="75">
        <v>320.74</v>
      </c>
      <c r="J134" s="75">
        <v>88027.09</v>
      </c>
      <c r="K134" s="91" t="s">
        <v>104</v>
      </c>
      <c r="L134" s="73"/>
      <c r="M134" s="46">
        <v>225</v>
      </c>
      <c r="N134" s="46">
        <v>0</v>
      </c>
      <c r="O134" s="46">
        <v>72166.5</v>
      </c>
      <c r="P134" s="98"/>
      <c r="Q134" s="23" t="s">
        <v>1421</v>
      </c>
      <c r="R134" s="24" t="s">
        <v>102</v>
      </c>
      <c r="S134" s="25" t="s">
        <v>103</v>
      </c>
      <c r="T134" s="26">
        <v>274.45</v>
      </c>
      <c r="U134" s="26">
        <v>274.45</v>
      </c>
      <c r="V134" s="26">
        <f t="shared" si="19"/>
        <v>320.74</v>
      </c>
      <c r="W134" s="127">
        <f t="shared" ref="W134:W176" si="23">AH134-M134</f>
        <v>0</v>
      </c>
      <c r="X134" s="127">
        <f t="shared" ref="X134:X176" si="24">W134+M134</f>
        <v>225</v>
      </c>
      <c r="Y134" s="127">
        <f t="shared" ref="Y134:Y176" si="25">Z134-O134</f>
        <v>0</v>
      </c>
      <c r="Z134" s="127">
        <f t="shared" si="14"/>
        <v>72166.5</v>
      </c>
      <c r="AA134" s="33" t="s">
        <v>15</v>
      </c>
      <c r="AB134" s="36" t="s">
        <v>16</v>
      </c>
      <c r="AC134" s="181">
        <f t="shared" si="15"/>
        <v>274.45</v>
      </c>
      <c r="AD134" s="181">
        <f t="shared" ref="AD134:AD176" si="26">ROUND(V134*AC134,2)</f>
        <v>88027.09</v>
      </c>
      <c r="AE134" s="181">
        <v>1.3</v>
      </c>
      <c r="AF134" s="181">
        <v>1.3</v>
      </c>
      <c r="AG134" s="101" t="str">
        <f t="shared" si="16"/>
        <v/>
      </c>
      <c r="AH134" s="190">
        <v>225</v>
      </c>
      <c r="AI134" s="69">
        <f t="shared" si="17"/>
        <v>274.45</v>
      </c>
    </row>
    <row r="135" spans="1:38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 t="s">
        <v>15</v>
      </c>
      <c r="I135" s="75">
        <v>3115.13</v>
      </c>
      <c r="J135" s="75">
        <v>137751.04999999999</v>
      </c>
      <c r="K135" s="91" t="s">
        <v>114</v>
      </c>
      <c r="L135" s="73"/>
      <c r="M135" s="46">
        <v>16.79</v>
      </c>
      <c r="N135" s="46">
        <v>0</v>
      </c>
      <c r="O135" s="46">
        <v>52303.03</v>
      </c>
      <c r="P135" s="98"/>
      <c r="Q135" s="23" t="s">
        <v>1426</v>
      </c>
      <c r="R135" s="24" t="s">
        <v>392</v>
      </c>
      <c r="S135" s="25" t="s">
        <v>23</v>
      </c>
      <c r="T135" s="26">
        <v>44.22</v>
      </c>
      <c r="U135" s="26">
        <v>44.22</v>
      </c>
      <c r="V135" s="26">
        <f t="shared" si="19"/>
        <v>3115.13</v>
      </c>
      <c r="W135" s="243">
        <f t="shared" si="23"/>
        <v>5.8000000000000007</v>
      </c>
      <c r="X135" s="26">
        <f t="shared" si="24"/>
        <v>22.59</v>
      </c>
      <c r="Y135" s="26">
        <f t="shared" si="25"/>
        <v>18067.759999999995</v>
      </c>
      <c r="Z135" s="26">
        <f t="shared" si="14"/>
        <v>70370.789999999994</v>
      </c>
      <c r="AA135" s="33" t="s">
        <v>15</v>
      </c>
      <c r="AB135" s="36" t="s">
        <v>16</v>
      </c>
      <c r="AC135" s="181">
        <f t="shared" si="15"/>
        <v>44.22</v>
      </c>
      <c r="AD135" s="181">
        <f t="shared" si="26"/>
        <v>137751.04999999999</v>
      </c>
      <c r="AE135" s="181">
        <v>1.3</v>
      </c>
      <c r="AF135" s="181">
        <v>1.3</v>
      </c>
      <c r="AG135" s="101" t="str">
        <f t="shared" si="16"/>
        <v/>
      </c>
      <c r="AH135" s="191">
        <f>16.79+5.8</f>
        <v>22.59</v>
      </c>
      <c r="AI135" s="69">
        <f t="shared" si="17"/>
        <v>44.22</v>
      </c>
    </row>
    <row r="136" spans="1:38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 t="s">
        <v>15</v>
      </c>
      <c r="I136" s="75">
        <v>3321.13</v>
      </c>
      <c r="J136" s="75">
        <v>318728.84999999998</v>
      </c>
      <c r="K136" s="91" t="s">
        <v>117</v>
      </c>
      <c r="L136" s="73"/>
      <c r="M136" s="46">
        <v>26.5</v>
      </c>
      <c r="N136" s="46">
        <v>0</v>
      </c>
      <c r="O136" s="46">
        <v>88009.95</v>
      </c>
      <c r="P136" s="98"/>
      <c r="Q136" s="23" t="s">
        <v>1402</v>
      </c>
      <c r="R136" s="24" t="s">
        <v>116</v>
      </c>
      <c r="S136" s="25" t="s">
        <v>23</v>
      </c>
      <c r="T136" s="26">
        <v>95.97</v>
      </c>
      <c r="U136" s="26">
        <v>95.97</v>
      </c>
      <c r="V136" s="26">
        <f t="shared" si="19"/>
        <v>3321.13</v>
      </c>
      <c r="W136" s="243">
        <f t="shared" si="23"/>
        <v>25.9</v>
      </c>
      <c r="X136" s="26">
        <f t="shared" si="24"/>
        <v>52.4</v>
      </c>
      <c r="Y136" s="26">
        <f t="shared" si="25"/>
        <v>86017.26</v>
      </c>
      <c r="Z136" s="26">
        <f t="shared" si="14"/>
        <v>174027.21</v>
      </c>
      <c r="AA136" s="33" t="s">
        <v>15</v>
      </c>
      <c r="AB136" s="36" t="s">
        <v>16</v>
      </c>
      <c r="AC136" s="181">
        <f t="shared" si="15"/>
        <v>95.97</v>
      </c>
      <c r="AD136" s="181">
        <f t="shared" si="26"/>
        <v>318728.84999999998</v>
      </c>
      <c r="AE136" s="181">
        <v>1.3</v>
      </c>
      <c r="AF136" s="181">
        <v>1.3</v>
      </c>
      <c r="AG136" s="101" t="str">
        <f t="shared" si="16"/>
        <v/>
      </c>
      <c r="AH136" s="191">
        <f>26.5+25.9</f>
        <v>52.4</v>
      </c>
      <c r="AI136" s="69">
        <f t="shared" si="17"/>
        <v>95.97</v>
      </c>
    </row>
    <row r="137" spans="1:38" s="69" customFormat="1" ht="39" x14ac:dyDescent="0.3">
      <c r="A137" s="130" t="s">
        <v>394</v>
      </c>
      <c r="B137" s="131" t="s">
        <v>395</v>
      </c>
      <c r="C137" s="132" t="s">
        <v>23</v>
      </c>
      <c r="D137" s="133">
        <v>1216.8</v>
      </c>
      <c r="E137" s="75"/>
      <c r="F137" s="75"/>
      <c r="G137" s="75"/>
      <c r="H137" s="133">
        <v>709.04</v>
      </c>
      <c r="I137" s="75">
        <v>3643.73</v>
      </c>
      <c r="J137" s="75">
        <v>2583550.3199999998</v>
      </c>
      <c r="K137" s="91" t="s">
        <v>396</v>
      </c>
      <c r="L137" s="73"/>
      <c r="M137" s="46">
        <v>645.58000000000004</v>
      </c>
      <c r="N137" s="46">
        <v>0</v>
      </c>
      <c r="O137" s="46">
        <v>2352319.21</v>
      </c>
      <c r="P137" s="98"/>
      <c r="Q137" s="23" t="s">
        <v>1373</v>
      </c>
      <c r="R137" s="24" t="s">
        <v>395</v>
      </c>
      <c r="S137" s="25" t="s">
        <v>23</v>
      </c>
      <c r="T137" s="26">
        <v>1216.8</v>
      </c>
      <c r="U137" s="26">
        <v>709.04</v>
      </c>
      <c r="V137" s="26">
        <f t="shared" si="19"/>
        <v>3643.73</v>
      </c>
      <c r="W137" s="128">
        <f t="shared" si="23"/>
        <v>0</v>
      </c>
      <c r="X137" s="127">
        <f t="shared" si="24"/>
        <v>645.58000000000004</v>
      </c>
      <c r="Y137" s="127">
        <f t="shared" si="25"/>
        <v>0</v>
      </c>
      <c r="Z137" s="127">
        <f t="shared" si="14"/>
        <v>2352319.21</v>
      </c>
      <c r="AA137" s="33" t="s">
        <v>15</v>
      </c>
      <c r="AB137" s="36" t="s">
        <v>16</v>
      </c>
      <c r="AC137" s="181">
        <f t="shared" si="15"/>
        <v>709.04</v>
      </c>
      <c r="AD137" s="181">
        <f t="shared" si="26"/>
        <v>2583550.3199999998</v>
      </c>
      <c r="AE137" s="181">
        <v>1.3</v>
      </c>
      <c r="AF137" s="181">
        <v>1.3</v>
      </c>
      <c r="AG137" s="101" t="str">
        <f t="shared" si="16"/>
        <v/>
      </c>
      <c r="AH137" s="192">
        <v>645.58000000000004</v>
      </c>
      <c r="AI137" s="69">
        <f t="shared" si="17"/>
        <v>1216.8</v>
      </c>
      <c r="AL137" s="195">
        <v>388.56</v>
      </c>
    </row>
    <row r="138" spans="1:38" s="69" customFormat="1" ht="33" x14ac:dyDescent="0.3">
      <c r="A138" s="130" t="s">
        <v>397</v>
      </c>
      <c r="B138" s="122" t="s">
        <v>109</v>
      </c>
      <c r="C138" s="132" t="s">
        <v>110</v>
      </c>
      <c r="D138" s="133">
        <v>4788.7700000000004</v>
      </c>
      <c r="E138" s="75"/>
      <c r="F138" s="75"/>
      <c r="G138" s="75"/>
      <c r="H138" s="75" t="s">
        <v>15</v>
      </c>
      <c r="I138" s="75">
        <v>36.4</v>
      </c>
      <c r="J138" s="75">
        <v>174311.23</v>
      </c>
      <c r="K138" s="91" t="s">
        <v>111</v>
      </c>
      <c r="L138" s="73"/>
      <c r="M138" s="46">
        <v>4778</v>
      </c>
      <c r="N138" s="46">
        <v>0</v>
      </c>
      <c r="O138" s="46">
        <v>173919.2</v>
      </c>
      <c r="P138" s="98"/>
      <c r="Q138" s="23" t="s">
        <v>1393</v>
      </c>
      <c r="R138" s="24" t="s">
        <v>109</v>
      </c>
      <c r="S138" s="25" t="s">
        <v>110</v>
      </c>
      <c r="T138" s="26">
        <v>4788.7700000000004</v>
      </c>
      <c r="U138" s="26">
        <v>4788.7700000000004</v>
      </c>
      <c r="V138" s="26">
        <f t="shared" si="19"/>
        <v>36.4</v>
      </c>
      <c r="W138" s="127">
        <f t="shared" si="23"/>
        <v>0</v>
      </c>
      <c r="X138" s="127">
        <f t="shared" si="24"/>
        <v>4778</v>
      </c>
      <c r="Y138" s="127">
        <f t="shared" si="25"/>
        <v>0</v>
      </c>
      <c r="Z138" s="127">
        <f t="shared" si="14"/>
        <v>173919.2</v>
      </c>
      <c r="AA138" s="33" t="s">
        <v>15</v>
      </c>
      <c r="AB138" s="36" t="s">
        <v>16</v>
      </c>
      <c r="AC138" s="181">
        <f t="shared" si="15"/>
        <v>4788.7700000000004</v>
      </c>
      <c r="AD138" s="181">
        <f t="shared" si="26"/>
        <v>174311.23</v>
      </c>
      <c r="AE138" s="181">
        <v>1.3</v>
      </c>
      <c r="AF138" s="181">
        <v>1.3</v>
      </c>
      <c r="AG138" s="101" t="str">
        <f t="shared" si="16"/>
        <v/>
      </c>
      <c r="AH138" s="192">
        <v>4778</v>
      </c>
      <c r="AI138" s="69">
        <f t="shared" si="17"/>
        <v>4788.7700000000004</v>
      </c>
      <c r="AL138" s="195">
        <v>4788.7700000000004</v>
      </c>
    </row>
    <row r="139" spans="1:38" s="69" customFormat="1" ht="33" x14ac:dyDescent="0.3">
      <c r="A139" s="130" t="s">
        <v>398</v>
      </c>
      <c r="B139" s="122" t="s">
        <v>399</v>
      </c>
      <c r="C139" s="132" t="s">
        <v>110</v>
      </c>
      <c r="D139" s="133">
        <v>205535.32</v>
      </c>
      <c r="E139" s="75"/>
      <c r="F139" s="75"/>
      <c r="G139" s="75"/>
      <c r="H139" s="75" t="s">
        <v>15</v>
      </c>
      <c r="I139" s="75">
        <v>38.71</v>
      </c>
      <c r="J139" s="75">
        <v>7956272.2400000002</v>
      </c>
      <c r="K139" s="91" t="s">
        <v>400</v>
      </c>
      <c r="L139" s="73"/>
      <c r="M139" s="46">
        <v>202264.52</v>
      </c>
      <c r="N139" s="46">
        <v>0</v>
      </c>
      <c r="O139" s="46">
        <v>7829659.5700000003</v>
      </c>
      <c r="P139" s="98"/>
      <c r="Q139" s="23" t="s">
        <v>1403</v>
      </c>
      <c r="R139" s="24" t="s">
        <v>399</v>
      </c>
      <c r="S139" s="25" t="s">
        <v>110</v>
      </c>
      <c r="T139" s="26">
        <v>205535.32</v>
      </c>
      <c r="U139" s="26">
        <v>205535.32</v>
      </c>
      <c r="V139" s="26">
        <f t="shared" si="19"/>
        <v>38.71</v>
      </c>
      <c r="W139" s="128">
        <f t="shared" si="23"/>
        <v>0</v>
      </c>
      <c r="X139" s="127">
        <f t="shared" si="24"/>
        <v>202264.52</v>
      </c>
      <c r="Y139" s="127">
        <f t="shared" si="25"/>
        <v>0</v>
      </c>
      <c r="Z139" s="127">
        <f t="shared" ref="Z139:Z203" si="27">ROUND(V139*X139,2)</f>
        <v>7829659.5700000003</v>
      </c>
      <c r="AA139" s="33" t="s">
        <v>15</v>
      </c>
      <c r="AB139" s="36" t="s">
        <v>16</v>
      </c>
      <c r="AC139" s="181">
        <f t="shared" ref="AC139:AC202" si="28">IF(U139="",T139,U139)</f>
        <v>205535.32</v>
      </c>
      <c r="AD139" s="181">
        <f t="shared" si="26"/>
        <v>7956272.2400000002</v>
      </c>
      <c r="AE139" s="181">
        <v>1.3</v>
      </c>
      <c r="AF139" s="181">
        <v>1.3</v>
      </c>
      <c r="AG139" s="101" t="str">
        <f t="shared" ref="AG139:AG202" si="29">IF(X139&gt;AI139,"超估","")</f>
        <v/>
      </c>
      <c r="AH139" s="190">
        <v>202264.52</v>
      </c>
      <c r="AI139" s="69">
        <f t="shared" ref="AI139:AI202" si="30">IF(G139=0,IF(F139=0,IF(E139=0,D139,E139),F139),G139)</f>
        <v>205535.32</v>
      </c>
      <c r="AL139" s="195">
        <v>72641</v>
      </c>
    </row>
    <row r="140" spans="1:38" s="69" customFormat="1" ht="33" x14ac:dyDescent="0.3">
      <c r="A140" s="130" t="s">
        <v>401</v>
      </c>
      <c r="B140" s="131" t="s">
        <v>402</v>
      </c>
      <c r="C140" s="132" t="s">
        <v>50</v>
      </c>
      <c r="D140" s="133">
        <v>320.89999999999998</v>
      </c>
      <c r="E140" s="75"/>
      <c r="F140" s="75"/>
      <c r="G140" s="75"/>
      <c r="H140" s="133">
        <v>351.33</v>
      </c>
      <c r="I140" s="75">
        <v>1154.98</v>
      </c>
      <c r="J140" s="75">
        <v>405779.12</v>
      </c>
      <c r="K140" s="91" t="s">
        <v>403</v>
      </c>
      <c r="L140" s="73"/>
      <c r="M140" s="46">
        <v>320.08999999999997</v>
      </c>
      <c r="N140" s="46">
        <v>0</v>
      </c>
      <c r="O140" s="46">
        <v>369697.55</v>
      </c>
      <c r="P140" s="98"/>
      <c r="Q140" s="23" t="s">
        <v>1427</v>
      </c>
      <c r="R140" s="24" t="s">
        <v>402</v>
      </c>
      <c r="S140" s="25" t="s">
        <v>50</v>
      </c>
      <c r="T140" s="26">
        <v>320.89999999999998</v>
      </c>
      <c r="U140" s="26">
        <v>351.33</v>
      </c>
      <c r="V140" s="26">
        <f t="shared" si="19"/>
        <v>1154.98</v>
      </c>
      <c r="W140" s="128">
        <f t="shared" si="23"/>
        <v>0</v>
      </c>
      <c r="X140" s="127">
        <f t="shared" si="24"/>
        <v>320.08999999999997</v>
      </c>
      <c r="Y140" s="127">
        <f t="shared" si="25"/>
        <v>0</v>
      </c>
      <c r="Z140" s="127">
        <f t="shared" si="27"/>
        <v>369697.55</v>
      </c>
      <c r="AA140" s="33" t="s">
        <v>15</v>
      </c>
      <c r="AB140" s="36" t="s">
        <v>16</v>
      </c>
      <c r="AC140" s="181">
        <f t="shared" si="28"/>
        <v>351.33</v>
      </c>
      <c r="AD140" s="181">
        <f t="shared" si="26"/>
        <v>405779.12</v>
      </c>
      <c r="AE140" s="181">
        <v>1.3</v>
      </c>
      <c r="AF140" s="181">
        <v>1.3</v>
      </c>
      <c r="AG140" s="101" t="str">
        <f t="shared" si="29"/>
        <v/>
      </c>
      <c r="AH140" s="191">
        <v>320.08999999999997</v>
      </c>
      <c r="AI140" s="69">
        <f t="shared" si="30"/>
        <v>320.89999999999998</v>
      </c>
      <c r="AL140" s="195">
        <v>351.34</v>
      </c>
    </row>
    <row r="141" spans="1:38" s="69" customFormat="1" ht="57.75" x14ac:dyDescent="0.3">
      <c r="A141" s="130" t="s">
        <v>404</v>
      </c>
      <c r="B141" s="131" t="s">
        <v>405</v>
      </c>
      <c r="C141" s="132" t="s">
        <v>50</v>
      </c>
      <c r="D141" s="133">
        <v>493.85</v>
      </c>
      <c r="E141" s="203"/>
      <c r="F141" s="203"/>
      <c r="G141" s="203"/>
      <c r="H141" s="133">
        <v>574.89</v>
      </c>
      <c r="I141" s="75">
        <v>982.98</v>
      </c>
      <c r="J141" s="75">
        <v>565105.37</v>
      </c>
      <c r="K141" s="91" t="s">
        <v>406</v>
      </c>
      <c r="L141" s="73"/>
      <c r="M141" s="46">
        <v>493.85</v>
      </c>
      <c r="N141" s="46">
        <v>0</v>
      </c>
      <c r="O141" s="46">
        <v>485444.67</v>
      </c>
      <c r="P141" s="98"/>
      <c r="Q141" s="23" t="s">
        <v>1428</v>
      </c>
      <c r="R141" s="24" t="s">
        <v>405</v>
      </c>
      <c r="S141" s="25" t="s">
        <v>50</v>
      </c>
      <c r="T141" s="26">
        <v>493.85</v>
      </c>
      <c r="U141" s="26">
        <v>574.89</v>
      </c>
      <c r="V141" s="26">
        <f t="shared" si="19"/>
        <v>982.98</v>
      </c>
      <c r="W141" s="128">
        <f t="shared" si="23"/>
        <v>0</v>
      </c>
      <c r="X141" s="127">
        <f t="shared" si="24"/>
        <v>493.85</v>
      </c>
      <c r="Y141" s="127">
        <f t="shared" si="25"/>
        <v>0</v>
      </c>
      <c r="Z141" s="127">
        <f t="shared" si="27"/>
        <v>485444.67</v>
      </c>
      <c r="AA141" s="33" t="s">
        <v>15</v>
      </c>
      <c r="AB141" s="36" t="s">
        <v>16</v>
      </c>
      <c r="AC141" s="181">
        <f t="shared" si="28"/>
        <v>574.89</v>
      </c>
      <c r="AD141" s="181">
        <f t="shared" si="26"/>
        <v>565105.37</v>
      </c>
      <c r="AE141" s="181">
        <v>1.3</v>
      </c>
      <c r="AF141" s="181">
        <v>1.3</v>
      </c>
      <c r="AG141" s="101" t="str">
        <f t="shared" si="29"/>
        <v/>
      </c>
      <c r="AH141" s="192">
        <v>493.85</v>
      </c>
      <c r="AI141" s="69">
        <f t="shared" si="30"/>
        <v>493.85</v>
      </c>
      <c r="AL141" s="195">
        <v>574.89200000000017</v>
      </c>
    </row>
    <row r="142" spans="1:38" s="69" customFormat="1" ht="41.25" x14ac:dyDescent="0.3">
      <c r="A142" s="130" t="s">
        <v>407</v>
      </c>
      <c r="B142" s="131" t="s">
        <v>408</v>
      </c>
      <c r="C142" s="132" t="s">
        <v>50</v>
      </c>
      <c r="D142" s="133">
        <v>126.48</v>
      </c>
      <c r="E142" s="203"/>
      <c r="F142" s="203"/>
      <c r="G142" s="203"/>
      <c r="H142" s="133">
        <v>138</v>
      </c>
      <c r="I142" s="75">
        <v>804.79</v>
      </c>
      <c r="J142" s="75">
        <v>111061.02</v>
      </c>
      <c r="K142" s="91" t="s">
        <v>409</v>
      </c>
      <c r="L142" s="73"/>
      <c r="M142" s="46">
        <v>126.48</v>
      </c>
      <c r="N142" s="46">
        <v>0</v>
      </c>
      <c r="O142" s="46">
        <v>101789.84</v>
      </c>
      <c r="P142" s="98"/>
      <c r="Q142" s="23" t="s">
        <v>1387</v>
      </c>
      <c r="R142" s="24" t="s">
        <v>408</v>
      </c>
      <c r="S142" s="25" t="s">
        <v>50</v>
      </c>
      <c r="T142" s="26">
        <v>126.48</v>
      </c>
      <c r="U142" s="26">
        <v>138</v>
      </c>
      <c r="V142" s="26">
        <f t="shared" si="19"/>
        <v>804.79</v>
      </c>
      <c r="W142" s="128">
        <f t="shared" si="23"/>
        <v>0</v>
      </c>
      <c r="X142" s="127">
        <f t="shared" si="24"/>
        <v>126.48</v>
      </c>
      <c r="Y142" s="127">
        <f t="shared" si="25"/>
        <v>0</v>
      </c>
      <c r="Z142" s="127">
        <f t="shared" si="27"/>
        <v>101789.84</v>
      </c>
      <c r="AA142" s="33" t="s">
        <v>15</v>
      </c>
      <c r="AB142" s="36" t="s">
        <v>16</v>
      </c>
      <c r="AC142" s="181">
        <f t="shared" si="28"/>
        <v>138</v>
      </c>
      <c r="AD142" s="181">
        <f t="shared" si="26"/>
        <v>111061.02</v>
      </c>
      <c r="AE142" s="181">
        <v>1.3</v>
      </c>
      <c r="AF142" s="181">
        <v>1.3</v>
      </c>
      <c r="AG142" s="101" t="str">
        <f t="shared" si="29"/>
        <v/>
      </c>
      <c r="AH142" s="192">
        <v>126.48</v>
      </c>
      <c r="AI142" s="69">
        <f t="shared" si="30"/>
        <v>126.48</v>
      </c>
      <c r="AL142" s="195">
        <v>120</v>
      </c>
    </row>
    <row r="143" spans="1:38" s="69" customFormat="1" ht="33" x14ac:dyDescent="0.3">
      <c r="A143" s="256" t="s">
        <v>410</v>
      </c>
      <c r="B143" s="53" t="s">
        <v>411</v>
      </c>
      <c r="C143" s="54" t="s">
        <v>412</v>
      </c>
      <c r="D143" s="75">
        <v>12205</v>
      </c>
      <c r="E143" s="75"/>
      <c r="F143" s="75"/>
      <c r="G143" s="75"/>
      <c r="H143" s="75" t="s">
        <v>15</v>
      </c>
      <c r="I143" s="75">
        <v>75</v>
      </c>
      <c r="J143" s="75">
        <v>915375</v>
      </c>
      <c r="K143" s="91" t="s">
        <v>413</v>
      </c>
      <c r="L143" s="73"/>
      <c r="M143" s="46">
        <v>6752.2</v>
      </c>
      <c r="N143" s="46">
        <v>506415</v>
      </c>
      <c r="O143" s="46">
        <v>506415</v>
      </c>
      <c r="P143" s="98"/>
      <c r="Q143" s="23" t="s">
        <v>1405</v>
      </c>
      <c r="R143" s="24" t="s">
        <v>411</v>
      </c>
      <c r="S143" s="25" t="s">
        <v>412</v>
      </c>
      <c r="T143" s="26">
        <v>12205</v>
      </c>
      <c r="U143" s="26">
        <v>12205</v>
      </c>
      <c r="V143" s="26">
        <f t="shared" si="19"/>
        <v>75</v>
      </c>
      <c r="W143" s="243">
        <f t="shared" si="23"/>
        <v>4233.8999999999987</v>
      </c>
      <c r="X143" s="26">
        <f t="shared" si="24"/>
        <v>10986.099999999999</v>
      </c>
      <c r="Y143" s="26">
        <f t="shared" si="25"/>
        <v>317542.5</v>
      </c>
      <c r="Z143" s="26">
        <f t="shared" si="27"/>
        <v>823957.5</v>
      </c>
      <c r="AA143" s="33" t="s">
        <v>15</v>
      </c>
      <c r="AB143" s="36" t="s">
        <v>16</v>
      </c>
      <c r="AC143" s="181">
        <f t="shared" si="28"/>
        <v>12205</v>
      </c>
      <c r="AD143" s="181">
        <f t="shared" si="26"/>
        <v>915375</v>
      </c>
      <c r="AE143" s="181">
        <v>1.3</v>
      </c>
      <c r="AF143" s="181">
        <v>1.3</v>
      </c>
      <c r="AG143" s="101" t="str">
        <f t="shared" si="29"/>
        <v/>
      </c>
      <c r="AH143" s="191">
        <f>6752.2+4233.9</f>
        <v>10986.099999999999</v>
      </c>
      <c r="AI143" s="69">
        <f t="shared" si="30"/>
        <v>12205</v>
      </c>
    </row>
    <row r="144" spans="1:38" s="69" customFormat="1" ht="33" x14ac:dyDescent="0.3">
      <c r="A144" s="256" t="s">
        <v>414</v>
      </c>
      <c r="B144" s="53" t="s">
        <v>125</v>
      </c>
      <c r="C144" s="54" t="s">
        <v>110</v>
      </c>
      <c r="D144" s="75">
        <v>8317</v>
      </c>
      <c r="E144" s="75"/>
      <c r="F144" s="75"/>
      <c r="G144" s="75"/>
      <c r="H144" s="75" t="s">
        <v>15</v>
      </c>
      <c r="I144" s="75">
        <v>60</v>
      </c>
      <c r="J144" s="75">
        <v>499020</v>
      </c>
      <c r="K144" s="91" t="s">
        <v>126</v>
      </c>
      <c r="L144" s="73"/>
      <c r="M144" s="46">
        <v>5520</v>
      </c>
      <c r="N144" s="46">
        <v>0</v>
      </c>
      <c r="O144" s="46">
        <v>331200</v>
      </c>
      <c r="P144" s="98"/>
      <c r="Q144" s="23" t="s">
        <v>1406</v>
      </c>
      <c r="R144" s="24" t="s">
        <v>125</v>
      </c>
      <c r="S144" s="25" t="s">
        <v>110</v>
      </c>
      <c r="T144" s="26">
        <v>8317</v>
      </c>
      <c r="U144" s="26">
        <v>8317</v>
      </c>
      <c r="V144" s="26">
        <f t="shared" si="19"/>
        <v>60</v>
      </c>
      <c r="W144" s="243">
        <f t="shared" si="23"/>
        <v>2390.1999999999998</v>
      </c>
      <c r="X144" s="26">
        <f t="shared" si="24"/>
        <v>7910.2</v>
      </c>
      <c r="Y144" s="26">
        <f t="shared" si="25"/>
        <v>143412</v>
      </c>
      <c r="Z144" s="26">
        <f t="shared" si="27"/>
        <v>474612</v>
      </c>
      <c r="AA144" s="33" t="s">
        <v>15</v>
      </c>
      <c r="AB144" s="36" t="s">
        <v>16</v>
      </c>
      <c r="AC144" s="181">
        <f t="shared" si="28"/>
        <v>8317</v>
      </c>
      <c r="AD144" s="181">
        <f t="shared" si="26"/>
        <v>499020</v>
      </c>
      <c r="AE144" s="181">
        <v>1.3</v>
      </c>
      <c r="AF144" s="181">
        <v>1.3</v>
      </c>
      <c r="AG144" s="101" t="str">
        <f t="shared" si="29"/>
        <v/>
      </c>
      <c r="AH144" s="191">
        <f>5520+2390.2</f>
        <v>7910.2</v>
      </c>
      <c r="AI144" s="69">
        <f t="shared" si="30"/>
        <v>8317</v>
      </c>
    </row>
    <row r="145" spans="1:35" s="69" customFormat="1" ht="39" x14ac:dyDescent="0.3">
      <c r="A145" s="256" t="s">
        <v>415</v>
      </c>
      <c r="B145" s="53" t="s">
        <v>3147</v>
      </c>
      <c r="C145" s="54" t="s">
        <v>110</v>
      </c>
      <c r="D145" s="75">
        <v>8317</v>
      </c>
      <c r="E145" s="75"/>
      <c r="F145" s="75"/>
      <c r="G145" s="75"/>
      <c r="H145" s="75" t="s">
        <v>15</v>
      </c>
      <c r="I145" s="75">
        <v>31.9</v>
      </c>
      <c r="J145" s="75">
        <v>265312.3</v>
      </c>
      <c r="K145" s="91" t="s">
        <v>3148</v>
      </c>
      <c r="L145" s="73"/>
      <c r="M145" s="46">
        <v>5520</v>
      </c>
      <c r="N145" s="46">
        <v>0</v>
      </c>
      <c r="O145" s="46">
        <v>176088</v>
      </c>
      <c r="P145" s="98"/>
      <c r="Q145" s="23" t="s">
        <v>1414</v>
      </c>
      <c r="R145" s="24" t="s">
        <v>128</v>
      </c>
      <c r="S145" s="25" t="s">
        <v>110</v>
      </c>
      <c r="T145" s="26">
        <v>8317</v>
      </c>
      <c r="U145" s="26">
        <v>8317</v>
      </c>
      <c r="V145" s="26">
        <f t="shared" si="19"/>
        <v>31.9</v>
      </c>
      <c r="W145" s="243">
        <f t="shared" si="23"/>
        <v>2390.1999999999998</v>
      </c>
      <c r="X145" s="26">
        <f t="shared" si="24"/>
        <v>7910.2</v>
      </c>
      <c r="Y145" s="26">
        <f t="shared" si="25"/>
        <v>76247.38</v>
      </c>
      <c r="Z145" s="26">
        <f t="shared" si="27"/>
        <v>252335.38</v>
      </c>
      <c r="AA145" s="33" t="s">
        <v>15</v>
      </c>
      <c r="AB145" s="36" t="s">
        <v>16</v>
      </c>
      <c r="AC145" s="181">
        <f t="shared" si="28"/>
        <v>8317</v>
      </c>
      <c r="AD145" s="181">
        <f t="shared" si="26"/>
        <v>265312.3</v>
      </c>
      <c r="AE145" s="181">
        <v>1.3</v>
      </c>
      <c r="AF145" s="181">
        <v>1.3</v>
      </c>
      <c r="AG145" s="101" t="str">
        <f t="shared" si="29"/>
        <v/>
      </c>
      <c r="AH145" s="191">
        <f>AH144</f>
        <v>7910.2</v>
      </c>
      <c r="AI145" s="69">
        <f t="shared" si="30"/>
        <v>8317</v>
      </c>
    </row>
    <row r="146" spans="1:35" s="69" customFormat="1" ht="39" x14ac:dyDescent="0.3">
      <c r="A146" s="256" t="s">
        <v>416</v>
      </c>
      <c r="B146" s="53" t="s">
        <v>417</v>
      </c>
      <c r="C146" s="54" t="s">
        <v>110</v>
      </c>
      <c r="D146" s="75">
        <v>1087</v>
      </c>
      <c r="E146" s="75"/>
      <c r="F146" s="75"/>
      <c r="G146" s="75"/>
      <c r="H146" s="75" t="s">
        <v>15</v>
      </c>
      <c r="I146" s="75">
        <v>278.10000000000002</v>
      </c>
      <c r="J146" s="75">
        <v>302294.7</v>
      </c>
      <c r="K146" s="91" t="s">
        <v>418</v>
      </c>
      <c r="L146" s="73"/>
      <c r="M146" s="46">
        <v>0</v>
      </c>
      <c r="N146" s="46">
        <v>0</v>
      </c>
      <c r="O146" s="46">
        <v>0</v>
      </c>
      <c r="P146" s="98"/>
      <c r="Q146" s="23" t="s">
        <v>1429</v>
      </c>
      <c r="R146" s="24" t="s">
        <v>417</v>
      </c>
      <c r="S146" s="25" t="s">
        <v>110</v>
      </c>
      <c r="T146" s="26">
        <v>1087</v>
      </c>
      <c r="U146" s="26">
        <v>1087</v>
      </c>
      <c r="V146" s="26">
        <f t="shared" si="19"/>
        <v>278.10000000000002</v>
      </c>
      <c r="W146" s="243">
        <f t="shared" si="23"/>
        <v>526.1</v>
      </c>
      <c r="X146" s="26">
        <f t="shared" si="24"/>
        <v>526.1</v>
      </c>
      <c r="Y146" s="26">
        <f t="shared" si="25"/>
        <v>146308.41</v>
      </c>
      <c r="Z146" s="26">
        <f t="shared" si="27"/>
        <v>146308.41</v>
      </c>
      <c r="AA146" s="33" t="s">
        <v>15</v>
      </c>
      <c r="AB146" s="36" t="s">
        <v>16</v>
      </c>
      <c r="AC146" s="181">
        <f t="shared" si="28"/>
        <v>1087</v>
      </c>
      <c r="AD146" s="181">
        <f t="shared" si="26"/>
        <v>302294.7</v>
      </c>
      <c r="AE146" s="181">
        <v>1.3</v>
      </c>
      <c r="AF146" s="181">
        <v>1.3</v>
      </c>
      <c r="AG146" s="101" t="str">
        <f t="shared" si="29"/>
        <v/>
      </c>
      <c r="AH146" s="191">
        <f>526.1</f>
        <v>526.1</v>
      </c>
      <c r="AI146" s="69">
        <f t="shared" si="30"/>
        <v>1087</v>
      </c>
    </row>
    <row r="147" spans="1:35" s="69" customFormat="1" ht="58.5" x14ac:dyDescent="0.3">
      <c r="A147" s="256" t="s">
        <v>419</v>
      </c>
      <c r="B147" s="53" t="s">
        <v>420</v>
      </c>
      <c r="C147" s="54" t="s">
        <v>50</v>
      </c>
      <c r="D147" s="75">
        <v>172</v>
      </c>
      <c r="E147" s="75"/>
      <c r="F147" s="75"/>
      <c r="G147" s="75"/>
      <c r="H147" s="75" t="s">
        <v>15</v>
      </c>
      <c r="I147" s="75">
        <v>1400</v>
      </c>
      <c r="J147" s="75">
        <v>240800</v>
      </c>
      <c r="K147" s="91" t="s">
        <v>421</v>
      </c>
      <c r="L147" s="73"/>
      <c r="M147" s="46">
        <v>0</v>
      </c>
      <c r="N147" s="46">
        <v>0</v>
      </c>
      <c r="O147" s="46">
        <v>0</v>
      </c>
      <c r="P147" s="98"/>
      <c r="Q147" s="23" t="s">
        <v>1430</v>
      </c>
      <c r="R147" s="24" t="s">
        <v>420</v>
      </c>
      <c r="S147" s="25" t="s">
        <v>50</v>
      </c>
      <c r="T147" s="26">
        <v>172</v>
      </c>
      <c r="U147" s="26">
        <v>172</v>
      </c>
      <c r="V147" s="26">
        <f t="shared" si="19"/>
        <v>1400</v>
      </c>
      <c r="W147" s="243">
        <f t="shared" si="23"/>
        <v>69.599999999999994</v>
      </c>
      <c r="X147" s="26">
        <f t="shared" si="24"/>
        <v>69.599999999999994</v>
      </c>
      <c r="Y147" s="26">
        <f t="shared" si="25"/>
        <v>97440</v>
      </c>
      <c r="Z147" s="26">
        <f t="shared" si="27"/>
        <v>97440</v>
      </c>
      <c r="AA147" s="33" t="s">
        <v>15</v>
      </c>
      <c r="AB147" s="36" t="s">
        <v>16</v>
      </c>
      <c r="AC147" s="181">
        <f t="shared" si="28"/>
        <v>172</v>
      </c>
      <c r="AD147" s="181">
        <f t="shared" si="26"/>
        <v>240800</v>
      </c>
      <c r="AE147" s="181">
        <v>1.3</v>
      </c>
      <c r="AF147" s="181">
        <v>1.3</v>
      </c>
      <c r="AG147" s="101" t="str">
        <f t="shared" si="29"/>
        <v/>
      </c>
      <c r="AH147" s="191">
        <f>69.6</f>
        <v>69.599999999999994</v>
      </c>
      <c r="AI147" s="69">
        <f t="shared" si="30"/>
        <v>172</v>
      </c>
    </row>
    <row r="148" spans="1:35" s="69" customFormat="1" ht="97.5" x14ac:dyDescent="0.3">
      <c r="A148" s="130" t="s">
        <v>422</v>
      </c>
      <c r="B148" s="131" t="s">
        <v>3070</v>
      </c>
      <c r="C148" s="132" t="s">
        <v>110</v>
      </c>
      <c r="D148" s="133">
        <v>150400</v>
      </c>
      <c r="E148" s="75"/>
      <c r="F148" s="75"/>
      <c r="G148" s="75"/>
      <c r="H148" s="75">
        <v>154935.98000000001</v>
      </c>
      <c r="I148" s="75">
        <v>107.31</v>
      </c>
      <c r="J148" s="75">
        <v>16626180.01</v>
      </c>
      <c r="K148" s="91" t="s">
        <v>132</v>
      </c>
      <c r="L148" s="73"/>
      <c r="M148" s="46">
        <v>150350.57999999999</v>
      </c>
      <c r="N148" s="46">
        <v>0</v>
      </c>
      <c r="O148" s="46">
        <v>16134120.74</v>
      </c>
      <c r="P148" s="98"/>
      <c r="Q148" s="23" t="s">
        <v>1431</v>
      </c>
      <c r="R148" s="24" t="s">
        <v>131</v>
      </c>
      <c r="S148" s="25" t="s">
        <v>110</v>
      </c>
      <c r="T148" s="26">
        <v>150400</v>
      </c>
      <c r="U148" s="26">
        <v>154935.98000000001</v>
      </c>
      <c r="V148" s="26">
        <f t="shared" si="19"/>
        <v>107.31</v>
      </c>
      <c r="W148" s="127">
        <f t="shared" si="23"/>
        <v>0</v>
      </c>
      <c r="X148" s="127">
        <f t="shared" si="24"/>
        <v>150350.57999999999</v>
      </c>
      <c r="Y148" s="127">
        <f t="shared" si="25"/>
        <v>0</v>
      </c>
      <c r="Z148" s="127">
        <f t="shared" si="27"/>
        <v>16134120.74</v>
      </c>
      <c r="AA148" s="33" t="s">
        <v>15</v>
      </c>
      <c r="AB148" s="36" t="s">
        <v>16</v>
      </c>
      <c r="AC148" s="181">
        <f t="shared" si="28"/>
        <v>154935.98000000001</v>
      </c>
      <c r="AD148" s="181">
        <f t="shared" si="26"/>
        <v>16626180.01</v>
      </c>
      <c r="AE148" s="181">
        <v>1.3</v>
      </c>
      <c r="AF148" s="181">
        <v>1.3</v>
      </c>
      <c r="AG148" s="101" t="str">
        <f t="shared" si="29"/>
        <v/>
      </c>
      <c r="AH148" s="191">
        <v>150350.57999999999</v>
      </c>
      <c r="AI148" s="69">
        <f t="shared" si="30"/>
        <v>150400</v>
      </c>
    </row>
    <row r="149" spans="1:35" s="69" customFormat="1" ht="39" x14ac:dyDescent="0.3">
      <c r="A149" s="130" t="s">
        <v>423</v>
      </c>
      <c r="B149" s="131" t="s">
        <v>424</v>
      </c>
      <c r="C149" s="132" t="s">
        <v>50</v>
      </c>
      <c r="D149" s="133">
        <v>1140.1600000000001</v>
      </c>
      <c r="E149" s="75"/>
      <c r="F149" s="75"/>
      <c r="G149" s="75"/>
      <c r="H149" s="75" t="s">
        <v>15</v>
      </c>
      <c r="I149" s="75">
        <v>692.16</v>
      </c>
      <c r="J149" s="75">
        <v>789173.15</v>
      </c>
      <c r="K149" s="91" t="s">
        <v>425</v>
      </c>
      <c r="L149" s="73"/>
      <c r="M149" s="46">
        <v>1139.5999999999999</v>
      </c>
      <c r="N149" s="46">
        <v>0</v>
      </c>
      <c r="O149" s="46">
        <v>788785.54</v>
      </c>
      <c r="P149" s="98"/>
      <c r="Q149" s="23" t="s">
        <v>1395</v>
      </c>
      <c r="R149" s="24" t="s">
        <v>424</v>
      </c>
      <c r="S149" s="25" t="s">
        <v>50</v>
      </c>
      <c r="T149" s="26">
        <v>1140.1600000000001</v>
      </c>
      <c r="U149" s="26">
        <v>1140.1600000000001</v>
      </c>
      <c r="V149" s="26">
        <f t="shared" si="19"/>
        <v>692.16</v>
      </c>
      <c r="W149" s="127">
        <f t="shared" si="23"/>
        <v>0</v>
      </c>
      <c r="X149" s="127">
        <f t="shared" si="24"/>
        <v>1139.5999999999999</v>
      </c>
      <c r="Y149" s="127">
        <f t="shared" si="25"/>
        <v>0</v>
      </c>
      <c r="Z149" s="127">
        <f t="shared" si="27"/>
        <v>788785.54</v>
      </c>
      <c r="AA149" s="33" t="s">
        <v>15</v>
      </c>
      <c r="AB149" s="36" t="s">
        <v>16</v>
      </c>
      <c r="AC149" s="181">
        <f t="shared" si="28"/>
        <v>1140.1600000000001</v>
      </c>
      <c r="AD149" s="181">
        <f t="shared" si="26"/>
        <v>789173.15</v>
      </c>
      <c r="AE149" s="181">
        <v>1.3</v>
      </c>
      <c r="AF149" s="181">
        <v>1.3</v>
      </c>
      <c r="AG149" s="101" t="str">
        <f t="shared" si="29"/>
        <v/>
      </c>
      <c r="AH149" s="191">
        <v>1139.5999999999999</v>
      </c>
      <c r="AI149" s="69">
        <f t="shared" si="30"/>
        <v>1140.1600000000001</v>
      </c>
    </row>
    <row r="150" spans="1:35" s="69" customFormat="1" ht="58.5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203"/>
      <c r="F150" s="203"/>
      <c r="G150" s="203"/>
      <c r="H150" s="203" t="s">
        <v>15</v>
      </c>
      <c r="I150" s="75">
        <v>48.28</v>
      </c>
      <c r="J150" s="75">
        <v>25472.05</v>
      </c>
      <c r="K150" s="91" t="s">
        <v>35</v>
      </c>
      <c r="L150" s="73"/>
      <c r="M150" s="46">
        <v>527.59</v>
      </c>
      <c r="N150" s="46">
        <v>0</v>
      </c>
      <c r="O150" s="46">
        <v>25472.05</v>
      </c>
      <c r="P150" s="98"/>
      <c r="Q150" s="23" t="s">
        <v>1432</v>
      </c>
      <c r="R150" s="24" t="s">
        <v>33</v>
      </c>
      <c r="S150" s="25" t="s">
        <v>34</v>
      </c>
      <c r="T150" s="26">
        <v>527.59</v>
      </c>
      <c r="U150" s="26">
        <v>527.59</v>
      </c>
      <c r="V150" s="26">
        <f t="shared" si="19"/>
        <v>48.28</v>
      </c>
      <c r="W150" s="127">
        <f t="shared" si="23"/>
        <v>0</v>
      </c>
      <c r="X150" s="127">
        <f t="shared" si="24"/>
        <v>527.59</v>
      </c>
      <c r="Y150" s="127">
        <f t="shared" si="25"/>
        <v>0</v>
      </c>
      <c r="Z150" s="127">
        <f t="shared" si="27"/>
        <v>25472.05</v>
      </c>
      <c r="AA150" s="33" t="s">
        <v>15</v>
      </c>
      <c r="AB150" s="36" t="s">
        <v>16</v>
      </c>
      <c r="AC150" s="181">
        <f t="shared" si="28"/>
        <v>527.59</v>
      </c>
      <c r="AD150" s="181">
        <f t="shared" si="26"/>
        <v>25472.05</v>
      </c>
      <c r="AE150" s="181">
        <v>1.3</v>
      </c>
      <c r="AF150" s="181">
        <v>1.3</v>
      </c>
      <c r="AG150" s="101" t="str">
        <f t="shared" si="29"/>
        <v/>
      </c>
      <c r="AH150" s="190">
        <v>527.59</v>
      </c>
      <c r="AI150" s="69">
        <f t="shared" si="30"/>
        <v>527.59</v>
      </c>
    </row>
    <row r="151" spans="1:35" s="69" customFormat="1" ht="58.5" x14ac:dyDescent="0.3">
      <c r="A151" s="130" t="s">
        <v>427</v>
      </c>
      <c r="B151" s="131" t="s">
        <v>428</v>
      </c>
      <c r="C151" s="132" t="s">
        <v>34</v>
      </c>
      <c r="D151" s="133">
        <v>355.42</v>
      </c>
      <c r="E151" s="203"/>
      <c r="F151" s="203"/>
      <c r="G151" s="203"/>
      <c r="H151" s="203" t="s">
        <v>15</v>
      </c>
      <c r="I151" s="75">
        <v>721.06</v>
      </c>
      <c r="J151" s="75">
        <v>256279.15</v>
      </c>
      <c r="K151" s="91" t="s">
        <v>429</v>
      </c>
      <c r="L151" s="73"/>
      <c r="M151" s="46">
        <v>0</v>
      </c>
      <c r="N151" s="46">
        <v>0</v>
      </c>
      <c r="O151" s="46">
        <v>0</v>
      </c>
      <c r="P151" s="98"/>
      <c r="Q151" s="23" t="s">
        <v>1433</v>
      </c>
      <c r="R151" s="24" t="s">
        <v>428</v>
      </c>
      <c r="S151" s="25" t="s">
        <v>34</v>
      </c>
      <c r="T151" s="26">
        <v>355.42</v>
      </c>
      <c r="U151" s="26">
        <v>355.42</v>
      </c>
      <c r="V151" s="26">
        <f t="shared" si="19"/>
        <v>721.06</v>
      </c>
      <c r="W151" s="127">
        <f t="shared" si="23"/>
        <v>0</v>
      </c>
      <c r="X151" s="127">
        <f t="shared" si="24"/>
        <v>0</v>
      </c>
      <c r="Y151" s="127">
        <f t="shared" si="25"/>
        <v>0</v>
      </c>
      <c r="Z151" s="127">
        <f t="shared" si="27"/>
        <v>0</v>
      </c>
      <c r="AA151" s="33" t="s">
        <v>15</v>
      </c>
      <c r="AB151" s="36" t="s">
        <v>16</v>
      </c>
      <c r="AC151" s="181">
        <f t="shared" si="28"/>
        <v>355.42</v>
      </c>
      <c r="AD151" s="181">
        <f t="shared" si="26"/>
        <v>256279.15</v>
      </c>
      <c r="AE151" s="181">
        <v>1.3</v>
      </c>
      <c r="AF151" s="181">
        <v>1.3</v>
      </c>
      <c r="AG151" s="101" t="str">
        <f t="shared" si="29"/>
        <v/>
      </c>
      <c r="AH151" s="190">
        <v>0</v>
      </c>
      <c r="AI151" s="69">
        <f t="shared" si="30"/>
        <v>355.42</v>
      </c>
    </row>
    <row r="152" spans="1:35" s="69" customFormat="1" ht="33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203" t="s">
        <v>15</v>
      </c>
      <c r="I152" s="75">
        <v>28</v>
      </c>
      <c r="J152" s="75">
        <v>914900</v>
      </c>
      <c r="K152" s="91" t="s">
        <v>432</v>
      </c>
      <c r="L152" s="73"/>
      <c r="M152" s="46">
        <v>25429</v>
      </c>
      <c r="N152" s="46">
        <v>53984</v>
      </c>
      <c r="O152" s="46">
        <v>712012</v>
      </c>
      <c r="P152" s="98"/>
      <c r="Q152" s="23" t="s">
        <v>1382</v>
      </c>
      <c r="R152" s="24" t="s">
        <v>431</v>
      </c>
      <c r="S152" s="25" t="s">
        <v>50</v>
      </c>
      <c r="T152" s="26">
        <v>272</v>
      </c>
      <c r="U152" s="26">
        <v>32675</v>
      </c>
      <c r="V152" s="26">
        <f t="shared" si="19"/>
        <v>28</v>
      </c>
      <c r="W152" s="243">
        <f t="shared" si="23"/>
        <v>1980</v>
      </c>
      <c r="X152" s="26">
        <f t="shared" si="24"/>
        <v>27409</v>
      </c>
      <c r="Y152" s="26">
        <f t="shared" si="25"/>
        <v>55440</v>
      </c>
      <c r="Z152" s="26">
        <f t="shared" si="27"/>
        <v>767452</v>
      </c>
      <c r="AA152" s="27" t="s">
        <v>15</v>
      </c>
      <c r="AB152" s="36" t="s">
        <v>16</v>
      </c>
      <c r="AC152" s="181">
        <f t="shared" si="28"/>
        <v>32675</v>
      </c>
      <c r="AD152" s="181">
        <f t="shared" si="26"/>
        <v>914900</v>
      </c>
      <c r="AE152" s="181">
        <v>1.3</v>
      </c>
      <c r="AF152" s="181">
        <v>1.3</v>
      </c>
      <c r="AG152" s="101" t="str">
        <f t="shared" si="29"/>
        <v/>
      </c>
      <c r="AH152" s="191">
        <f>22573+928+1928+1980</f>
        <v>27409</v>
      </c>
      <c r="AI152" s="69">
        <f t="shared" si="30"/>
        <v>32675</v>
      </c>
    </row>
    <row r="153" spans="1:35" s="69" customFormat="1" ht="39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203"/>
      <c r="F153" s="203"/>
      <c r="G153" s="203"/>
      <c r="H153" s="203" t="s">
        <v>15</v>
      </c>
      <c r="I153" s="75">
        <v>19012.060000000001</v>
      </c>
      <c r="J153" s="75">
        <v>14144972.640000001</v>
      </c>
      <c r="K153" s="91" t="s">
        <v>435</v>
      </c>
      <c r="L153" s="73"/>
      <c r="M153" s="46">
        <v>744</v>
      </c>
      <c r="N153" s="46">
        <v>0</v>
      </c>
      <c r="O153" s="46">
        <v>14144972.640000001</v>
      </c>
      <c r="P153" s="98"/>
      <c r="Q153" s="23" t="s">
        <v>1434</v>
      </c>
      <c r="R153" s="24" t="s">
        <v>434</v>
      </c>
      <c r="S153" s="25" t="s">
        <v>30</v>
      </c>
      <c r="T153" s="26">
        <v>744</v>
      </c>
      <c r="U153" s="26">
        <v>744</v>
      </c>
      <c r="V153" s="26">
        <f t="shared" si="19"/>
        <v>19012.060000000001</v>
      </c>
      <c r="W153" s="127">
        <f t="shared" si="23"/>
        <v>0</v>
      </c>
      <c r="X153" s="127">
        <f t="shared" si="24"/>
        <v>744</v>
      </c>
      <c r="Y153" s="127">
        <f t="shared" si="25"/>
        <v>0</v>
      </c>
      <c r="Z153" s="127">
        <f t="shared" si="27"/>
        <v>14144972.640000001</v>
      </c>
      <c r="AA153" s="33" t="s">
        <v>15</v>
      </c>
      <c r="AB153" s="36" t="s">
        <v>16</v>
      </c>
      <c r="AC153" s="181">
        <f t="shared" si="28"/>
        <v>744</v>
      </c>
      <c r="AD153" s="181">
        <f t="shared" si="26"/>
        <v>14144972.640000001</v>
      </c>
      <c r="AE153" s="181">
        <v>1.3</v>
      </c>
      <c r="AF153" s="181">
        <v>1.3</v>
      </c>
      <c r="AG153" s="101" t="str">
        <f t="shared" si="29"/>
        <v/>
      </c>
      <c r="AH153" s="190">
        <v>744</v>
      </c>
      <c r="AI153" s="69">
        <f t="shared" si="30"/>
        <v>744</v>
      </c>
    </row>
    <row r="154" spans="1:35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 t="s">
        <v>15</v>
      </c>
      <c r="I154" s="75">
        <v>373.1</v>
      </c>
      <c r="J154" s="75">
        <v>50741.599999999999</v>
      </c>
      <c r="K154" s="91" t="s">
        <v>438</v>
      </c>
      <c r="L154" s="73"/>
      <c r="M154" s="46">
        <v>112</v>
      </c>
      <c r="N154" s="46">
        <v>0</v>
      </c>
      <c r="O154" s="46">
        <v>41787.199999999997</v>
      </c>
      <c r="P154" s="98"/>
      <c r="Q154" s="23" t="s">
        <v>1388</v>
      </c>
      <c r="R154" s="24" t="s">
        <v>437</v>
      </c>
      <c r="S154" s="25" t="s">
        <v>50</v>
      </c>
      <c r="T154" s="26">
        <v>136</v>
      </c>
      <c r="U154" s="26">
        <v>136</v>
      </c>
      <c r="V154" s="26">
        <f t="shared" si="19"/>
        <v>373.1</v>
      </c>
      <c r="W154" s="128">
        <f t="shared" si="23"/>
        <v>0</v>
      </c>
      <c r="X154" s="26">
        <f t="shared" si="24"/>
        <v>112</v>
      </c>
      <c r="Y154" s="26">
        <f t="shared" si="25"/>
        <v>0</v>
      </c>
      <c r="Z154" s="26">
        <f t="shared" si="27"/>
        <v>41787.199999999997</v>
      </c>
      <c r="AA154" s="33" t="s">
        <v>15</v>
      </c>
      <c r="AB154" s="36" t="s">
        <v>16</v>
      </c>
      <c r="AC154" s="181">
        <f t="shared" si="28"/>
        <v>136</v>
      </c>
      <c r="AD154" s="181">
        <f t="shared" si="26"/>
        <v>50741.599999999999</v>
      </c>
      <c r="AE154" s="181">
        <v>1.3</v>
      </c>
      <c r="AF154" s="181">
        <v>1.3</v>
      </c>
      <c r="AG154" s="101" t="str">
        <f t="shared" si="29"/>
        <v/>
      </c>
      <c r="AH154" s="191">
        <v>112</v>
      </c>
      <c r="AI154" s="69">
        <f t="shared" si="30"/>
        <v>136</v>
      </c>
    </row>
    <row r="155" spans="1:35" s="69" customFormat="1" ht="39" x14ac:dyDescent="0.3">
      <c r="A155" s="130" t="s">
        <v>439</v>
      </c>
      <c r="B155" s="131" t="s">
        <v>440</v>
      </c>
      <c r="C155" s="132" t="s">
        <v>50</v>
      </c>
      <c r="D155" s="133">
        <v>136</v>
      </c>
      <c r="E155" s="75"/>
      <c r="F155" s="75"/>
      <c r="G155" s="75"/>
      <c r="H155" s="75" t="s">
        <v>15</v>
      </c>
      <c r="I155" s="75">
        <v>616.53</v>
      </c>
      <c r="J155" s="75">
        <v>83848.08</v>
      </c>
      <c r="K155" s="91" t="s">
        <v>441</v>
      </c>
      <c r="L155" s="73"/>
      <c r="M155" s="46">
        <v>122.8</v>
      </c>
      <c r="N155" s="46">
        <v>75709.88</v>
      </c>
      <c r="O155" s="46">
        <v>75709.88</v>
      </c>
      <c r="P155" s="98"/>
      <c r="Q155" s="23" t="s">
        <v>1389</v>
      </c>
      <c r="R155" s="24" t="s">
        <v>440</v>
      </c>
      <c r="S155" s="25" t="s">
        <v>50</v>
      </c>
      <c r="T155" s="26">
        <v>136</v>
      </c>
      <c r="U155" s="26">
        <v>136</v>
      </c>
      <c r="V155" s="26">
        <f t="shared" si="19"/>
        <v>616.53</v>
      </c>
      <c r="W155" s="243">
        <f t="shared" si="23"/>
        <v>0</v>
      </c>
      <c r="X155" s="127">
        <f t="shared" si="24"/>
        <v>122.8</v>
      </c>
      <c r="Y155" s="127">
        <f t="shared" si="25"/>
        <v>0</v>
      </c>
      <c r="Z155" s="127">
        <f t="shared" si="27"/>
        <v>75709.88</v>
      </c>
      <c r="AA155" s="33" t="s">
        <v>15</v>
      </c>
      <c r="AB155" s="36" t="s">
        <v>16</v>
      </c>
      <c r="AC155" s="181">
        <f t="shared" si="28"/>
        <v>136</v>
      </c>
      <c r="AD155" s="181">
        <f t="shared" si="26"/>
        <v>83848.08</v>
      </c>
      <c r="AE155" s="181">
        <v>1.3</v>
      </c>
      <c r="AF155" s="181">
        <v>1.3</v>
      </c>
      <c r="AG155" s="101" t="str">
        <f t="shared" si="29"/>
        <v/>
      </c>
      <c r="AH155" s="191">
        <f>122.8</f>
        <v>122.8</v>
      </c>
      <c r="AI155" s="69">
        <f t="shared" si="30"/>
        <v>136</v>
      </c>
    </row>
    <row r="156" spans="1:35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 t="s">
        <v>15</v>
      </c>
      <c r="I156" s="75">
        <v>2664.06</v>
      </c>
      <c r="J156" s="75">
        <v>9590.6200000000008</v>
      </c>
      <c r="K156" s="91" t="s">
        <v>444</v>
      </c>
      <c r="L156" s="73"/>
      <c r="M156" s="46">
        <v>0</v>
      </c>
      <c r="N156" s="46">
        <v>0</v>
      </c>
      <c r="O156" s="46">
        <v>0</v>
      </c>
      <c r="P156" s="98"/>
      <c r="Q156" s="23" t="s">
        <v>1390</v>
      </c>
      <c r="R156" s="24" t="s">
        <v>443</v>
      </c>
      <c r="S156" s="25" t="s">
        <v>50</v>
      </c>
      <c r="T156" s="26">
        <v>3.6</v>
      </c>
      <c r="U156" s="26">
        <v>3.6</v>
      </c>
      <c r="V156" s="26">
        <f t="shared" si="19"/>
        <v>2664.06</v>
      </c>
      <c r="W156" s="26">
        <f t="shared" si="23"/>
        <v>0</v>
      </c>
      <c r="X156" s="26">
        <f t="shared" si="24"/>
        <v>0</v>
      </c>
      <c r="Y156" s="26">
        <f t="shared" si="25"/>
        <v>0</v>
      </c>
      <c r="Z156" s="26">
        <f t="shared" si="27"/>
        <v>0</v>
      </c>
      <c r="AA156" s="33" t="s">
        <v>15</v>
      </c>
      <c r="AB156" s="36" t="s">
        <v>16</v>
      </c>
      <c r="AC156" s="181">
        <f t="shared" si="28"/>
        <v>3.6</v>
      </c>
      <c r="AD156" s="181">
        <f t="shared" si="26"/>
        <v>9590.6200000000008</v>
      </c>
      <c r="AE156" s="181">
        <v>1.3</v>
      </c>
      <c r="AF156" s="181">
        <v>1.3</v>
      </c>
      <c r="AG156" s="101" t="str">
        <f t="shared" si="29"/>
        <v/>
      </c>
      <c r="AH156" s="190">
        <v>0</v>
      </c>
      <c r="AI156" s="69">
        <f t="shared" si="30"/>
        <v>3.6</v>
      </c>
    </row>
    <row r="157" spans="1:35" s="69" customFormat="1" ht="39" x14ac:dyDescent="0.3">
      <c r="A157" s="130" t="s">
        <v>445</v>
      </c>
      <c r="B157" s="131" t="s">
        <v>446</v>
      </c>
      <c r="C157" s="132" t="s">
        <v>30</v>
      </c>
      <c r="D157" s="133">
        <v>44</v>
      </c>
      <c r="E157" s="75"/>
      <c r="F157" s="75"/>
      <c r="G157" s="75"/>
      <c r="H157" s="75" t="s">
        <v>15</v>
      </c>
      <c r="I157" s="75">
        <v>5183.22</v>
      </c>
      <c r="J157" s="75">
        <v>228061.68</v>
      </c>
      <c r="K157" s="137" t="s">
        <v>447</v>
      </c>
      <c r="L157" s="73"/>
      <c r="M157" s="46">
        <v>43.7</v>
      </c>
      <c r="N157" s="46">
        <v>45094.00999999998</v>
      </c>
      <c r="O157" s="46">
        <v>226506.71</v>
      </c>
      <c r="P157" s="98"/>
      <c r="Q157" s="23" t="s">
        <v>1391</v>
      </c>
      <c r="R157" s="24" t="s">
        <v>446</v>
      </c>
      <c r="S157" s="25" t="s">
        <v>30</v>
      </c>
      <c r="T157" s="26">
        <v>44</v>
      </c>
      <c r="U157" s="26">
        <v>44</v>
      </c>
      <c r="V157" s="26">
        <f t="shared" si="19"/>
        <v>5183.22</v>
      </c>
      <c r="W157" s="127">
        <f t="shared" si="23"/>
        <v>0</v>
      </c>
      <c r="X157" s="127">
        <f t="shared" si="24"/>
        <v>43.7</v>
      </c>
      <c r="Y157" s="127">
        <f t="shared" si="25"/>
        <v>0</v>
      </c>
      <c r="Z157" s="127">
        <f t="shared" si="27"/>
        <v>226506.71</v>
      </c>
      <c r="AA157" s="33" t="s">
        <v>15</v>
      </c>
      <c r="AB157" s="36" t="s">
        <v>16</v>
      </c>
      <c r="AC157" s="181">
        <f t="shared" si="28"/>
        <v>44</v>
      </c>
      <c r="AD157" s="181">
        <f t="shared" si="26"/>
        <v>228061.68</v>
      </c>
      <c r="AE157" s="181">
        <v>1.3</v>
      </c>
      <c r="AF157" s="181">
        <v>1.3</v>
      </c>
      <c r="AG157" s="101" t="str">
        <f t="shared" si="29"/>
        <v/>
      </c>
      <c r="AH157" s="194">
        <f>AH160</f>
        <v>43.7</v>
      </c>
      <c r="AI157" s="69">
        <f t="shared" si="30"/>
        <v>44</v>
      </c>
    </row>
    <row r="158" spans="1:35" s="69" customFormat="1" ht="39" x14ac:dyDescent="0.3">
      <c r="A158" s="130" t="s">
        <v>448</v>
      </c>
      <c r="B158" s="131" t="s">
        <v>449</v>
      </c>
      <c r="C158" s="132" t="s">
        <v>30</v>
      </c>
      <c r="D158" s="133">
        <v>94.14</v>
      </c>
      <c r="E158" s="75"/>
      <c r="F158" s="75"/>
      <c r="G158" s="75"/>
      <c r="H158" s="75" t="s">
        <v>15</v>
      </c>
      <c r="I158" s="75">
        <v>9392.57</v>
      </c>
      <c r="J158" s="75">
        <v>884216.54</v>
      </c>
      <c r="K158" s="137" t="s">
        <v>450</v>
      </c>
      <c r="L158" s="73"/>
      <c r="M158" s="46">
        <v>93.1</v>
      </c>
      <c r="N158" s="46">
        <v>170005.52000000002</v>
      </c>
      <c r="O158" s="46">
        <v>874448.27</v>
      </c>
      <c r="P158" s="98"/>
      <c r="Q158" s="23" t="s">
        <v>1436</v>
      </c>
      <c r="R158" s="24" t="s">
        <v>449</v>
      </c>
      <c r="S158" s="25" t="s">
        <v>30</v>
      </c>
      <c r="T158" s="26">
        <v>94.14</v>
      </c>
      <c r="U158" s="26">
        <v>94.14</v>
      </c>
      <c r="V158" s="26">
        <f t="shared" si="19"/>
        <v>9392.57</v>
      </c>
      <c r="W158" s="127">
        <f t="shared" si="23"/>
        <v>0</v>
      </c>
      <c r="X158" s="127">
        <f t="shared" si="24"/>
        <v>93.1</v>
      </c>
      <c r="Y158" s="127">
        <f t="shared" si="25"/>
        <v>0</v>
      </c>
      <c r="Z158" s="127">
        <f t="shared" si="27"/>
        <v>874448.27</v>
      </c>
      <c r="AA158" s="33" t="s">
        <v>15</v>
      </c>
      <c r="AB158" s="36" t="s">
        <v>16</v>
      </c>
      <c r="AC158" s="181">
        <f t="shared" si="28"/>
        <v>94.14</v>
      </c>
      <c r="AD158" s="181">
        <f t="shared" si="26"/>
        <v>884216.54</v>
      </c>
      <c r="AE158" s="181">
        <v>1.3</v>
      </c>
      <c r="AF158" s="181">
        <v>1.3</v>
      </c>
      <c r="AG158" s="101" t="str">
        <f t="shared" si="29"/>
        <v/>
      </c>
      <c r="AH158" s="194">
        <f>75+18.1</f>
        <v>93.1</v>
      </c>
      <c r="AI158" s="69">
        <f t="shared" si="30"/>
        <v>94.14</v>
      </c>
    </row>
    <row r="159" spans="1:35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 t="s">
        <v>15</v>
      </c>
      <c r="I159" s="75">
        <v>2388.5700000000002</v>
      </c>
      <c r="J159" s="75">
        <v>272296.98</v>
      </c>
      <c r="K159" s="137" t="s">
        <v>453</v>
      </c>
      <c r="L159" s="73"/>
      <c r="M159" s="46">
        <v>68</v>
      </c>
      <c r="N159" s="46">
        <v>0</v>
      </c>
      <c r="O159" s="46">
        <v>162422.76</v>
      </c>
      <c r="P159" s="98"/>
      <c r="Q159" s="23" t="s">
        <v>1374</v>
      </c>
      <c r="R159" s="24" t="s">
        <v>452</v>
      </c>
      <c r="S159" s="25" t="s">
        <v>30</v>
      </c>
      <c r="T159" s="26">
        <v>114</v>
      </c>
      <c r="U159" s="26">
        <v>114</v>
      </c>
      <c r="V159" s="26">
        <f t="shared" si="19"/>
        <v>2388.5700000000002</v>
      </c>
      <c r="W159" s="243">
        <f t="shared" si="23"/>
        <v>0</v>
      </c>
      <c r="X159" s="26">
        <f t="shared" si="24"/>
        <v>68</v>
      </c>
      <c r="Y159" s="26">
        <f t="shared" si="25"/>
        <v>0</v>
      </c>
      <c r="Z159" s="26">
        <f t="shared" si="27"/>
        <v>162422.76</v>
      </c>
      <c r="AA159" s="33" t="s">
        <v>15</v>
      </c>
      <c r="AB159" s="36" t="s">
        <v>16</v>
      </c>
      <c r="AC159" s="181">
        <f t="shared" si="28"/>
        <v>114</v>
      </c>
      <c r="AD159" s="181">
        <f t="shared" si="26"/>
        <v>272296.98</v>
      </c>
      <c r="AE159" s="181">
        <v>1.3</v>
      </c>
      <c r="AF159" s="181">
        <v>1.3</v>
      </c>
      <c r="AG159" s="101" t="str">
        <f t="shared" si="29"/>
        <v/>
      </c>
      <c r="AH159" s="191">
        <f>68</f>
        <v>68</v>
      </c>
      <c r="AI159" s="69">
        <f t="shared" si="30"/>
        <v>114</v>
      </c>
    </row>
    <row r="160" spans="1:35" s="69" customFormat="1" ht="39" x14ac:dyDescent="0.3">
      <c r="A160" s="130" t="s">
        <v>454</v>
      </c>
      <c r="B160" s="131" t="s">
        <v>455</v>
      </c>
      <c r="C160" s="132" t="s">
        <v>30</v>
      </c>
      <c r="D160" s="133">
        <v>44</v>
      </c>
      <c r="E160" s="75"/>
      <c r="F160" s="75"/>
      <c r="G160" s="75"/>
      <c r="H160" s="75" t="s">
        <v>15</v>
      </c>
      <c r="I160" s="75">
        <v>80192.710000000006</v>
      </c>
      <c r="J160" s="75">
        <v>3528479.24</v>
      </c>
      <c r="K160" s="137" t="s">
        <v>456</v>
      </c>
      <c r="L160" s="73"/>
      <c r="M160" s="46">
        <v>43.7</v>
      </c>
      <c r="N160" s="46">
        <v>-24057.810000000056</v>
      </c>
      <c r="O160" s="46">
        <v>3504421.43</v>
      </c>
      <c r="P160" s="98"/>
      <c r="Q160" s="23" t="s">
        <v>1376</v>
      </c>
      <c r="R160" s="24" t="s">
        <v>455</v>
      </c>
      <c r="S160" s="25" t="s">
        <v>30</v>
      </c>
      <c r="T160" s="26">
        <v>44</v>
      </c>
      <c r="U160" s="26">
        <v>44</v>
      </c>
      <c r="V160" s="26">
        <f t="shared" si="19"/>
        <v>80192.710000000006</v>
      </c>
      <c r="W160" s="127">
        <f t="shared" si="23"/>
        <v>0</v>
      </c>
      <c r="X160" s="127">
        <f t="shared" si="24"/>
        <v>43.7</v>
      </c>
      <c r="Y160" s="127">
        <f t="shared" si="25"/>
        <v>0</v>
      </c>
      <c r="Z160" s="127">
        <f t="shared" si="27"/>
        <v>3504421.43</v>
      </c>
      <c r="AA160" s="33" t="s">
        <v>15</v>
      </c>
      <c r="AB160" s="36" t="s">
        <v>16</v>
      </c>
      <c r="AC160" s="181">
        <f t="shared" si="28"/>
        <v>44</v>
      </c>
      <c r="AD160" s="181">
        <f t="shared" si="26"/>
        <v>3528479.24</v>
      </c>
      <c r="AE160" s="181">
        <v>1.3</v>
      </c>
      <c r="AF160" s="181">
        <v>1.3</v>
      </c>
      <c r="AG160" s="101" t="str">
        <f t="shared" si="29"/>
        <v/>
      </c>
      <c r="AH160" s="194">
        <f>35+9-0.3</f>
        <v>43.7</v>
      </c>
      <c r="AI160" s="69">
        <f t="shared" si="30"/>
        <v>44</v>
      </c>
    </row>
    <row r="161" spans="1:35" s="69" customFormat="1" ht="58.5" x14ac:dyDescent="0.3">
      <c r="A161" s="130" t="s">
        <v>457</v>
      </c>
      <c r="B161" s="131" t="s">
        <v>458</v>
      </c>
      <c r="C161" s="132" t="s">
        <v>30</v>
      </c>
      <c r="D161" s="133">
        <v>90</v>
      </c>
      <c r="E161" s="75"/>
      <c r="F161" s="75"/>
      <c r="G161" s="75"/>
      <c r="H161" s="75" t="s">
        <v>15</v>
      </c>
      <c r="I161" s="75">
        <v>9257.1299999999992</v>
      </c>
      <c r="J161" s="75">
        <v>833141.7</v>
      </c>
      <c r="K161" s="137" t="s">
        <v>459</v>
      </c>
      <c r="L161" s="73"/>
      <c r="M161" s="46">
        <v>90</v>
      </c>
      <c r="N161" s="46">
        <v>0</v>
      </c>
      <c r="O161" s="46">
        <v>833141.7</v>
      </c>
      <c r="P161" s="98"/>
      <c r="Q161" s="23" t="s">
        <v>1378</v>
      </c>
      <c r="R161" s="24" t="s">
        <v>458</v>
      </c>
      <c r="S161" s="25" t="s">
        <v>30</v>
      </c>
      <c r="T161" s="26">
        <v>90</v>
      </c>
      <c r="U161" s="26">
        <v>90</v>
      </c>
      <c r="V161" s="26">
        <f t="shared" si="19"/>
        <v>9257.1299999999992</v>
      </c>
      <c r="W161" s="127">
        <f t="shared" si="23"/>
        <v>0</v>
      </c>
      <c r="X161" s="127">
        <f t="shared" si="24"/>
        <v>90</v>
      </c>
      <c r="Y161" s="127">
        <f t="shared" si="25"/>
        <v>0</v>
      </c>
      <c r="Z161" s="127">
        <f t="shared" si="27"/>
        <v>833141.7</v>
      </c>
      <c r="AA161" s="33" t="s">
        <v>15</v>
      </c>
      <c r="AB161" s="36" t="s">
        <v>16</v>
      </c>
      <c r="AC161" s="181">
        <f t="shared" si="28"/>
        <v>90</v>
      </c>
      <c r="AD161" s="181">
        <f t="shared" si="26"/>
        <v>833141.7</v>
      </c>
      <c r="AE161" s="181">
        <v>1.3</v>
      </c>
      <c r="AF161" s="181">
        <v>1.3</v>
      </c>
      <c r="AG161" s="101" t="str">
        <f t="shared" si="29"/>
        <v/>
      </c>
      <c r="AH161" s="194">
        <f>70+20</f>
        <v>90</v>
      </c>
      <c r="AI161" s="69">
        <f t="shared" si="30"/>
        <v>90</v>
      </c>
    </row>
    <row r="162" spans="1:35" s="69" customFormat="1" ht="33" x14ac:dyDescent="0.3">
      <c r="A162" s="130" t="s">
        <v>460</v>
      </c>
      <c r="B162" s="131" t="s">
        <v>461</v>
      </c>
      <c r="C162" s="132" t="s">
        <v>81</v>
      </c>
      <c r="D162" s="133">
        <v>1</v>
      </c>
      <c r="E162" s="75"/>
      <c r="F162" s="75"/>
      <c r="G162" s="75"/>
      <c r="H162" s="75" t="s">
        <v>15</v>
      </c>
      <c r="I162" s="75">
        <v>58649</v>
      </c>
      <c r="J162" s="75">
        <v>58649</v>
      </c>
      <c r="K162" s="137" t="s">
        <v>462</v>
      </c>
      <c r="L162" s="73"/>
      <c r="M162" s="46">
        <v>1</v>
      </c>
      <c r="N162" s="46">
        <v>0</v>
      </c>
      <c r="O162" s="46">
        <v>58649</v>
      </c>
      <c r="P162" s="98"/>
      <c r="Q162" s="23" t="s">
        <v>1438</v>
      </c>
      <c r="R162" s="24" t="s">
        <v>461</v>
      </c>
      <c r="S162" s="25" t="s">
        <v>81</v>
      </c>
      <c r="T162" s="26">
        <v>1</v>
      </c>
      <c r="U162" s="26">
        <v>1</v>
      </c>
      <c r="V162" s="26">
        <f t="shared" si="19"/>
        <v>58649</v>
      </c>
      <c r="W162" s="127">
        <f t="shared" si="23"/>
        <v>0</v>
      </c>
      <c r="X162" s="127">
        <f t="shared" si="24"/>
        <v>1</v>
      </c>
      <c r="Y162" s="127">
        <f t="shared" si="25"/>
        <v>0</v>
      </c>
      <c r="Z162" s="127">
        <f t="shared" si="27"/>
        <v>58649</v>
      </c>
      <c r="AA162" s="33" t="s">
        <v>15</v>
      </c>
      <c r="AB162" s="36" t="s">
        <v>16</v>
      </c>
      <c r="AC162" s="181">
        <f t="shared" si="28"/>
        <v>1</v>
      </c>
      <c r="AD162" s="181">
        <f t="shared" si="26"/>
        <v>58649</v>
      </c>
      <c r="AE162" s="181">
        <v>1.3</v>
      </c>
      <c r="AF162" s="181">
        <v>1.3</v>
      </c>
      <c r="AG162" s="101" t="str">
        <f t="shared" si="29"/>
        <v/>
      </c>
      <c r="AH162" s="194">
        <f>1</f>
        <v>1</v>
      </c>
      <c r="AI162" s="69">
        <f t="shared" si="30"/>
        <v>1</v>
      </c>
    </row>
    <row r="163" spans="1:35" s="69" customFormat="1" ht="33" x14ac:dyDescent="0.3">
      <c r="A163" s="130" t="s">
        <v>463</v>
      </c>
      <c r="B163" s="131" t="s">
        <v>464</v>
      </c>
      <c r="C163" s="132" t="s">
        <v>81</v>
      </c>
      <c r="D163" s="133">
        <v>1</v>
      </c>
      <c r="E163" s="75"/>
      <c r="F163" s="75"/>
      <c r="G163" s="75"/>
      <c r="H163" s="75" t="s">
        <v>15</v>
      </c>
      <c r="I163" s="75">
        <v>107614.5</v>
      </c>
      <c r="J163" s="75">
        <v>107614.5</v>
      </c>
      <c r="K163" s="137" t="s">
        <v>465</v>
      </c>
      <c r="L163" s="73"/>
      <c r="M163" s="46">
        <v>0.8</v>
      </c>
      <c r="N163" s="46">
        <v>0</v>
      </c>
      <c r="O163" s="46">
        <v>86091.6</v>
      </c>
      <c r="P163" s="98"/>
      <c r="Q163" s="23" t="s">
        <v>1439</v>
      </c>
      <c r="R163" s="24" t="s">
        <v>464</v>
      </c>
      <c r="S163" s="25" t="s">
        <v>81</v>
      </c>
      <c r="T163" s="26">
        <v>1</v>
      </c>
      <c r="U163" s="26">
        <v>1</v>
      </c>
      <c r="V163" s="26">
        <f t="shared" si="19"/>
        <v>107614.5</v>
      </c>
      <c r="W163" s="128">
        <f t="shared" si="23"/>
        <v>0</v>
      </c>
      <c r="X163" s="26">
        <f t="shared" si="24"/>
        <v>0.8</v>
      </c>
      <c r="Y163" s="26">
        <f t="shared" si="25"/>
        <v>0</v>
      </c>
      <c r="Z163" s="26">
        <f t="shared" si="27"/>
        <v>86091.6</v>
      </c>
      <c r="AA163" s="33" t="s">
        <v>15</v>
      </c>
      <c r="AB163" s="36" t="s">
        <v>16</v>
      </c>
      <c r="AC163" s="181">
        <f t="shared" si="28"/>
        <v>1</v>
      </c>
      <c r="AD163" s="181">
        <f t="shared" si="26"/>
        <v>107614.5</v>
      </c>
      <c r="AE163" s="181">
        <v>1.3</v>
      </c>
      <c r="AF163" s="181">
        <v>1.3</v>
      </c>
      <c r="AG163" s="101" t="str">
        <f t="shared" si="29"/>
        <v/>
      </c>
      <c r="AH163" s="191">
        <v>0.8</v>
      </c>
      <c r="AI163" s="69">
        <f t="shared" si="30"/>
        <v>1</v>
      </c>
    </row>
    <row r="164" spans="1:35" s="69" customFormat="1" ht="33" x14ac:dyDescent="0.3">
      <c r="A164" s="55" t="s">
        <v>466</v>
      </c>
      <c r="B164" s="53" t="s">
        <v>467</v>
      </c>
      <c r="C164" s="54" t="s">
        <v>30</v>
      </c>
      <c r="D164" s="75">
        <v>13.2</v>
      </c>
      <c r="E164" s="75"/>
      <c r="F164" s="75"/>
      <c r="G164" s="75"/>
      <c r="H164" s="75" t="s">
        <v>15</v>
      </c>
      <c r="I164" s="75">
        <v>2809.33</v>
      </c>
      <c r="J164" s="75">
        <v>37083.160000000003</v>
      </c>
      <c r="K164" s="137" t="s">
        <v>468</v>
      </c>
      <c r="L164" s="73"/>
      <c r="M164" s="46">
        <v>0</v>
      </c>
      <c r="N164" s="46">
        <v>0</v>
      </c>
      <c r="O164" s="46">
        <v>0</v>
      </c>
      <c r="P164" s="98"/>
      <c r="Q164" s="23" t="s">
        <v>1440</v>
      </c>
      <c r="R164" s="24" t="s">
        <v>467</v>
      </c>
      <c r="S164" s="25" t="s">
        <v>30</v>
      </c>
      <c r="T164" s="26">
        <v>13.2</v>
      </c>
      <c r="U164" s="26">
        <v>13.2</v>
      </c>
      <c r="V164" s="26">
        <f t="shared" si="19"/>
        <v>2809.33</v>
      </c>
      <c r="W164" s="26">
        <f t="shared" si="23"/>
        <v>0</v>
      </c>
      <c r="X164" s="26">
        <f t="shared" si="24"/>
        <v>0</v>
      </c>
      <c r="Y164" s="26">
        <f t="shared" si="25"/>
        <v>0</v>
      </c>
      <c r="Z164" s="26">
        <f t="shared" si="27"/>
        <v>0</v>
      </c>
      <c r="AA164" s="33" t="s">
        <v>15</v>
      </c>
      <c r="AB164" s="36" t="s">
        <v>16</v>
      </c>
      <c r="AC164" s="181">
        <f t="shared" si="28"/>
        <v>13.2</v>
      </c>
      <c r="AD164" s="181">
        <f t="shared" si="26"/>
        <v>37083.160000000003</v>
      </c>
      <c r="AE164" s="181">
        <v>1.3</v>
      </c>
      <c r="AF164" s="181">
        <v>1.3</v>
      </c>
      <c r="AG164" s="101" t="str">
        <f t="shared" si="29"/>
        <v/>
      </c>
      <c r="AH164" s="190">
        <v>0</v>
      </c>
      <c r="AI164" s="69">
        <f t="shared" si="30"/>
        <v>13.2</v>
      </c>
    </row>
    <row r="165" spans="1:35" s="69" customFormat="1" ht="39" x14ac:dyDescent="0.3">
      <c r="A165" s="55" t="s">
        <v>469</v>
      </c>
      <c r="B165" s="53" t="s">
        <v>470</v>
      </c>
      <c r="C165" s="54" t="s">
        <v>30</v>
      </c>
      <c r="D165" s="75">
        <v>3</v>
      </c>
      <c r="E165" s="75"/>
      <c r="F165" s="75"/>
      <c r="G165" s="75"/>
      <c r="H165" s="75" t="s">
        <v>15</v>
      </c>
      <c r="I165" s="75">
        <v>2433.89</v>
      </c>
      <c r="J165" s="75">
        <v>7301.67</v>
      </c>
      <c r="K165" s="137" t="s">
        <v>471</v>
      </c>
      <c r="L165" s="73"/>
      <c r="M165" s="46">
        <v>0</v>
      </c>
      <c r="N165" s="46">
        <v>0</v>
      </c>
      <c r="O165" s="46">
        <v>0</v>
      </c>
      <c r="P165" s="98"/>
      <c r="Q165" s="23" t="s">
        <v>1441</v>
      </c>
      <c r="R165" s="24" t="s">
        <v>470</v>
      </c>
      <c r="S165" s="25" t="s">
        <v>30</v>
      </c>
      <c r="T165" s="26">
        <v>3</v>
      </c>
      <c r="U165" s="26">
        <v>3</v>
      </c>
      <c r="V165" s="26">
        <f t="shared" si="19"/>
        <v>2433.89</v>
      </c>
      <c r="W165" s="26">
        <f t="shared" si="23"/>
        <v>0</v>
      </c>
      <c r="X165" s="26">
        <f t="shared" si="24"/>
        <v>0</v>
      </c>
      <c r="Y165" s="26">
        <f t="shared" si="25"/>
        <v>0</v>
      </c>
      <c r="Z165" s="26">
        <f t="shared" si="27"/>
        <v>0</v>
      </c>
      <c r="AA165" s="33" t="s">
        <v>15</v>
      </c>
      <c r="AB165" s="36" t="s">
        <v>16</v>
      </c>
      <c r="AC165" s="181">
        <f t="shared" si="28"/>
        <v>3</v>
      </c>
      <c r="AD165" s="181">
        <f t="shared" si="26"/>
        <v>7301.67</v>
      </c>
      <c r="AE165" s="181">
        <v>1.3</v>
      </c>
      <c r="AF165" s="181">
        <v>1.3</v>
      </c>
      <c r="AG165" s="101" t="str">
        <f t="shared" si="29"/>
        <v/>
      </c>
      <c r="AH165" s="190">
        <v>0</v>
      </c>
      <c r="AI165" s="69">
        <f t="shared" si="30"/>
        <v>3</v>
      </c>
    </row>
    <row r="166" spans="1:35" s="69" customFormat="1" ht="39" x14ac:dyDescent="0.3">
      <c r="A166" s="55" t="s">
        <v>472</v>
      </c>
      <c r="B166" s="53" t="s">
        <v>473</v>
      </c>
      <c r="C166" s="54" t="s">
        <v>30</v>
      </c>
      <c r="D166" s="75">
        <v>6</v>
      </c>
      <c r="E166" s="75"/>
      <c r="F166" s="75"/>
      <c r="G166" s="75"/>
      <c r="H166" s="75" t="s">
        <v>15</v>
      </c>
      <c r="I166" s="75">
        <v>2888.64</v>
      </c>
      <c r="J166" s="75">
        <v>17331.84</v>
      </c>
      <c r="K166" s="137" t="s">
        <v>474</v>
      </c>
      <c r="L166" s="73"/>
      <c r="M166" s="46">
        <v>0</v>
      </c>
      <c r="N166" s="46">
        <v>0</v>
      </c>
      <c r="O166" s="46">
        <v>0</v>
      </c>
      <c r="P166" s="98"/>
      <c r="Q166" s="23" t="s">
        <v>1442</v>
      </c>
      <c r="R166" s="24" t="s">
        <v>473</v>
      </c>
      <c r="S166" s="25" t="s">
        <v>30</v>
      </c>
      <c r="T166" s="26">
        <v>6</v>
      </c>
      <c r="U166" s="26">
        <v>6</v>
      </c>
      <c r="V166" s="26">
        <f t="shared" si="19"/>
        <v>2888.64</v>
      </c>
      <c r="W166" s="26">
        <f t="shared" si="23"/>
        <v>0</v>
      </c>
      <c r="X166" s="26">
        <f t="shared" si="24"/>
        <v>0</v>
      </c>
      <c r="Y166" s="26">
        <f t="shared" si="25"/>
        <v>0</v>
      </c>
      <c r="Z166" s="26">
        <f t="shared" si="27"/>
        <v>0</v>
      </c>
      <c r="AA166" s="33" t="s">
        <v>15</v>
      </c>
      <c r="AB166" s="36" t="s">
        <v>16</v>
      </c>
      <c r="AC166" s="181">
        <f t="shared" si="28"/>
        <v>6</v>
      </c>
      <c r="AD166" s="181">
        <f t="shared" si="26"/>
        <v>17331.84</v>
      </c>
      <c r="AE166" s="181">
        <v>1.3</v>
      </c>
      <c r="AF166" s="181">
        <v>1.3</v>
      </c>
      <c r="AG166" s="101" t="str">
        <f t="shared" si="29"/>
        <v/>
      </c>
      <c r="AH166" s="190">
        <v>0</v>
      </c>
      <c r="AI166" s="69">
        <f t="shared" si="30"/>
        <v>6</v>
      </c>
    </row>
    <row r="167" spans="1:35" s="69" customFormat="1" ht="58.5" x14ac:dyDescent="0.3">
      <c r="A167" s="130" t="s">
        <v>475</v>
      </c>
      <c r="B167" s="131" t="s">
        <v>476</v>
      </c>
      <c r="C167" s="132" t="s">
        <v>14</v>
      </c>
      <c r="D167" s="133">
        <v>1</v>
      </c>
      <c r="E167" s="75"/>
      <c r="F167" s="75"/>
      <c r="G167" s="75"/>
      <c r="H167" s="75" t="s">
        <v>15</v>
      </c>
      <c r="I167" s="75">
        <v>430876.81</v>
      </c>
      <c r="J167" s="75">
        <v>430876.81</v>
      </c>
      <c r="K167" s="137" t="s">
        <v>477</v>
      </c>
      <c r="L167" s="73"/>
      <c r="M167" s="46">
        <v>1</v>
      </c>
      <c r="N167" s="46">
        <v>0</v>
      </c>
      <c r="O167" s="46">
        <v>430876.81</v>
      </c>
      <c r="P167" s="98"/>
      <c r="Q167" s="23" t="s">
        <v>1443</v>
      </c>
      <c r="R167" s="24" t="s">
        <v>476</v>
      </c>
      <c r="S167" s="25" t="s">
        <v>14</v>
      </c>
      <c r="T167" s="26">
        <v>1</v>
      </c>
      <c r="U167" s="26">
        <v>1</v>
      </c>
      <c r="V167" s="26">
        <f t="shared" ref="V167:V176" si="31">I167</f>
        <v>430876.81</v>
      </c>
      <c r="W167" s="127">
        <f t="shared" si="23"/>
        <v>0</v>
      </c>
      <c r="X167" s="127">
        <f t="shared" si="24"/>
        <v>1</v>
      </c>
      <c r="Y167" s="127">
        <f t="shared" si="25"/>
        <v>0</v>
      </c>
      <c r="Z167" s="127">
        <f t="shared" si="27"/>
        <v>430876.81</v>
      </c>
      <c r="AA167" s="33" t="s">
        <v>15</v>
      </c>
      <c r="AB167" s="36" t="s">
        <v>16</v>
      </c>
      <c r="AC167" s="181">
        <f t="shared" si="28"/>
        <v>1</v>
      </c>
      <c r="AD167" s="181">
        <f t="shared" si="26"/>
        <v>430876.81</v>
      </c>
      <c r="AE167" s="181">
        <v>1.3</v>
      </c>
      <c r="AF167" s="181">
        <v>1.3</v>
      </c>
      <c r="AG167" s="101" t="str">
        <f t="shared" si="29"/>
        <v/>
      </c>
      <c r="AH167" s="194">
        <v>1</v>
      </c>
      <c r="AI167" s="69">
        <f t="shared" si="30"/>
        <v>1</v>
      </c>
    </row>
    <row r="168" spans="1:35" s="69" customFormat="1" ht="39" x14ac:dyDescent="0.3">
      <c r="A168" s="130" t="s">
        <v>478</v>
      </c>
      <c r="B168" s="131" t="s">
        <v>479</v>
      </c>
      <c r="C168" s="132" t="s">
        <v>81</v>
      </c>
      <c r="D168" s="133">
        <v>1</v>
      </c>
      <c r="E168" s="75"/>
      <c r="F168" s="75"/>
      <c r="G168" s="75"/>
      <c r="H168" s="75" t="s">
        <v>15</v>
      </c>
      <c r="I168" s="75">
        <v>29563.21</v>
      </c>
      <c r="J168" s="75">
        <v>29563.21</v>
      </c>
      <c r="K168" s="137" t="s">
        <v>480</v>
      </c>
      <c r="L168" s="73"/>
      <c r="M168" s="46">
        <v>1</v>
      </c>
      <c r="N168" s="46">
        <v>0</v>
      </c>
      <c r="O168" s="46">
        <v>29563.21</v>
      </c>
      <c r="P168" s="98"/>
      <c r="Q168" s="23" t="s">
        <v>1444</v>
      </c>
      <c r="R168" s="24" t="s">
        <v>479</v>
      </c>
      <c r="S168" s="25" t="s">
        <v>81</v>
      </c>
      <c r="T168" s="26">
        <v>1</v>
      </c>
      <c r="U168" s="26">
        <v>1</v>
      </c>
      <c r="V168" s="26">
        <f t="shared" si="31"/>
        <v>29563.21</v>
      </c>
      <c r="W168" s="127">
        <f t="shared" si="23"/>
        <v>0</v>
      </c>
      <c r="X168" s="127">
        <f t="shared" si="24"/>
        <v>1</v>
      </c>
      <c r="Y168" s="127">
        <f t="shared" si="25"/>
        <v>0</v>
      </c>
      <c r="Z168" s="127">
        <f t="shared" si="27"/>
        <v>29563.21</v>
      </c>
      <c r="AA168" s="33" t="s">
        <v>15</v>
      </c>
      <c r="AB168" s="36" t="s">
        <v>16</v>
      </c>
      <c r="AC168" s="181">
        <f t="shared" si="28"/>
        <v>1</v>
      </c>
      <c r="AD168" s="181">
        <f t="shared" si="26"/>
        <v>29563.21</v>
      </c>
      <c r="AE168" s="181">
        <v>1.3</v>
      </c>
      <c r="AF168" s="181">
        <v>1.3</v>
      </c>
      <c r="AG168" s="101" t="str">
        <f t="shared" si="29"/>
        <v/>
      </c>
      <c r="AH168" s="194">
        <v>1</v>
      </c>
      <c r="AI168" s="69">
        <f t="shared" si="30"/>
        <v>1</v>
      </c>
    </row>
    <row r="169" spans="1:35" s="69" customFormat="1" ht="33" x14ac:dyDescent="0.3">
      <c r="A169" s="130" t="s">
        <v>481</v>
      </c>
      <c r="B169" s="131" t="s">
        <v>482</v>
      </c>
      <c r="C169" s="132" t="s">
        <v>81</v>
      </c>
      <c r="D169" s="133">
        <v>1</v>
      </c>
      <c r="E169" s="75"/>
      <c r="F169" s="75"/>
      <c r="G169" s="75"/>
      <c r="H169" s="75" t="s">
        <v>15</v>
      </c>
      <c r="I169" s="75">
        <v>1061152.75</v>
      </c>
      <c r="J169" s="75">
        <v>1061152.75</v>
      </c>
      <c r="K169" s="137" t="s">
        <v>483</v>
      </c>
      <c r="L169" s="73"/>
      <c r="M169" s="46">
        <v>1</v>
      </c>
      <c r="N169" s="46">
        <v>0</v>
      </c>
      <c r="O169" s="46">
        <v>1061152.75</v>
      </c>
      <c r="P169" s="98"/>
      <c r="Q169" s="23" t="s">
        <v>1408</v>
      </c>
      <c r="R169" s="24" t="s">
        <v>482</v>
      </c>
      <c r="S169" s="25" t="s">
        <v>81</v>
      </c>
      <c r="T169" s="26">
        <v>1</v>
      </c>
      <c r="U169" s="26">
        <v>1</v>
      </c>
      <c r="V169" s="26">
        <f t="shared" si="31"/>
        <v>1061152.75</v>
      </c>
      <c r="W169" s="127">
        <f t="shared" si="23"/>
        <v>0</v>
      </c>
      <c r="X169" s="127">
        <f t="shared" si="24"/>
        <v>1</v>
      </c>
      <c r="Y169" s="127">
        <f t="shared" si="25"/>
        <v>0</v>
      </c>
      <c r="Z169" s="127">
        <f t="shared" si="27"/>
        <v>1061152.75</v>
      </c>
      <c r="AA169" s="33" t="s">
        <v>15</v>
      </c>
      <c r="AB169" s="36" t="s">
        <v>16</v>
      </c>
      <c r="AC169" s="181">
        <f t="shared" si="28"/>
        <v>1</v>
      </c>
      <c r="AD169" s="181">
        <f t="shared" si="26"/>
        <v>1061152.75</v>
      </c>
      <c r="AE169" s="181">
        <v>1.3</v>
      </c>
      <c r="AF169" s="181">
        <v>1.3</v>
      </c>
      <c r="AG169" s="101" t="str">
        <f t="shared" si="29"/>
        <v/>
      </c>
      <c r="AH169" s="194">
        <v>1</v>
      </c>
      <c r="AI169" s="69">
        <f t="shared" si="30"/>
        <v>1</v>
      </c>
    </row>
    <row r="170" spans="1:35" s="69" customFormat="1" ht="33" x14ac:dyDescent="0.3">
      <c r="A170" s="130" t="s">
        <v>484</v>
      </c>
      <c r="B170" s="131" t="s">
        <v>485</v>
      </c>
      <c r="C170" s="132" t="s">
        <v>81</v>
      </c>
      <c r="D170" s="133">
        <v>1</v>
      </c>
      <c r="E170" s="75"/>
      <c r="F170" s="75"/>
      <c r="G170" s="75"/>
      <c r="H170" s="75" t="s">
        <v>15</v>
      </c>
      <c r="I170" s="75">
        <v>2431046.88</v>
      </c>
      <c r="J170" s="75">
        <v>2431046.88</v>
      </c>
      <c r="K170" s="137" t="s">
        <v>486</v>
      </c>
      <c r="L170" s="73"/>
      <c r="M170" s="46">
        <v>1</v>
      </c>
      <c r="N170" s="46">
        <v>0</v>
      </c>
      <c r="O170" s="46">
        <v>2431046.88</v>
      </c>
      <c r="P170" s="98"/>
      <c r="Q170" s="23" t="s">
        <v>1409</v>
      </c>
      <c r="R170" s="24" t="s">
        <v>485</v>
      </c>
      <c r="S170" s="25" t="s">
        <v>81</v>
      </c>
      <c r="T170" s="26">
        <v>1</v>
      </c>
      <c r="U170" s="26">
        <v>1</v>
      </c>
      <c r="V170" s="26">
        <f t="shared" si="31"/>
        <v>2431046.88</v>
      </c>
      <c r="W170" s="127">
        <f t="shared" si="23"/>
        <v>0</v>
      </c>
      <c r="X170" s="127">
        <f t="shared" si="24"/>
        <v>1</v>
      </c>
      <c r="Y170" s="127">
        <f t="shared" si="25"/>
        <v>0</v>
      </c>
      <c r="Z170" s="127">
        <f t="shared" si="27"/>
        <v>2431046.88</v>
      </c>
      <c r="AA170" s="33" t="s">
        <v>15</v>
      </c>
      <c r="AB170" s="36" t="s">
        <v>16</v>
      </c>
      <c r="AC170" s="181">
        <f t="shared" si="28"/>
        <v>1</v>
      </c>
      <c r="AD170" s="181">
        <f t="shared" si="26"/>
        <v>2431046.88</v>
      </c>
      <c r="AE170" s="181">
        <v>1.3</v>
      </c>
      <c r="AF170" s="181">
        <v>1.3</v>
      </c>
      <c r="AG170" s="101" t="str">
        <f t="shared" si="29"/>
        <v/>
      </c>
      <c r="AH170" s="194">
        <v>1</v>
      </c>
      <c r="AI170" s="69">
        <f t="shared" si="30"/>
        <v>1</v>
      </c>
    </row>
    <row r="171" spans="1:35" s="69" customFormat="1" ht="33" x14ac:dyDescent="0.3">
      <c r="A171" s="134" t="s">
        <v>1312</v>
      </c>
      <c r="B171" s="135" t="s">
        <v>1313</v>
      </c>
      <c r="C171" s="204" t="s">
        <v>14</v>
      </c>
      <c r="D171" s="133"/>
      <c r="E171" s="59">
        <v>1</v>
      </c>
      <c r="F171" s="77"/>
      <c r="G171" s="77"/>
      <c r="H171" s="77" t="s">
        <v>15</v>
      </c>
      <c r="I171" s="77">
        <v>87950.62</v>
      </c>
      <c r="J171" s="59">
        <v>87950.62</v>
      </c>
      <c r="K171" s="92"/>
      <c r="L171" s="73"/>
      <c r="M171" s="46">
        <v>1</v>
      </c>
      <c r="N171" s="46">
        <v>0</v>
      </c>
      <c r="O171" s="46">
        <v>87950.62</v>
      </c>
      <c r="P171" s="98"/>
      <c r="Q171" s="23" t="s">
        <v>1410</v>
      </c>
      <c r="R171" s="24" t="s">
        <v>1495</v>
      </c>
      <c r="S171" s="25" t="s">
        <v>14</v>
      </c>
      <c r="T171" s="26">
        <v>0</v>
      </c>
      <c r="U171" s="26">
        <v>1</v>
      </c>
      <c r="V171" s="26">
        <f t="shared" si="31"/>
        <v>87950.62</v>
      </c>
      <c r="W171" s="127">
        <f t="shared" si="23"/>
        <v>0</v>
      </c>
      <c r="X171" s="127">
        <f t="shared" si="24"/>
        <v>1</v>
      </c>
      <c r="Y171" s="127">
        <f t="shared" si="25"/>
        <v>0</v>
      </c>
      <c r="Z171" s="127">
        <f t="shared" si="27"/>
        <v>87950.62</v>
      </c>
      <c r="AA171" s="27"/>
      <c r="AB171" s="36" t="s">
        <v>16</v>
      </c>
      <c r="AC171" s="181">
        <f t="shared" si="28"/>
        <v>1</v>
      </c>
      <c r="AD171" s="181">
        <f t="shared" si="26"/>
        <v>87950.62</v>
      </c>
      <c r="AE171" s="181">
        <v>1.3</v>
      </c>
      <c r="AF171" s="181">
        <v>1.3</v>
      </c>
      <c r="AG171" s="101" t="str">
        <f t="shared" si="29"/>
        <v/>
      </c>
      <c r="AH171" s="190">
        <v>1</v>
      </c>
      <c r="AI171" s="69">
        <f t="shared" si="30"/>
        <v>1</v>
      </c>
    </row>
    <row r="172" spans="1:35" s="69" customFormat="1" ht="33" x14ac:dyDescent="0.3">
      <c r="A172" s="134" t="s">
        <v>1314</v>
      </c>
      <c r="B172" s="135" t="s">
        <v>1315</v>
      </c>
      <c r="C172" s="204" t="s">
        <v>30</v>
      </c>
      <c r="D172" s="133"/>
      <c r="E172" s="59">
        <v>24</v>
      </c>
      <c r="F172" s="77"/>
      <c r="G172" s="77"/>
      <c r="H172" s="77" t="s">
        <v>15</v>
      </c>
      <c r="I172" s="77">
        <v>4257.93</v>
      </c>
      <c r="J172" s="59">
        <v>102190.32</v>
      </c>
      <c r="K172" s="92"/>
      <c r="L172" s="73"/>
      <c r="M172" s="46">
        <v>24</v>
      </c>
      <c r="N172" s="46">
        <v>0</v>
      </c>
      <c r="O172" s="46">
        <v>102190.32</v>
      </c>
      <c r="P172" s="98"/>
      <c r="Q172" s="23" t="s">
        <v>1411</v>
      </c>
      <c r="R172" s="24" t="s">
        <v>1496</v>
      </c>
      <c r="S172" s="25" t="s">
        <v>30</v>
      </c>
      <c r="T172" s="26">
        <v>0</v>
      </c>
      <c r="U172" s="26">
        <v>24</v>
      </c>
      <c r="V172" s="26">
        <f t="shared" si="31"/>
        <v>4257.93</v>
      </c>
      <c r="W172" s="127">
        <f t="shared" si="23"/>
        <v>0</v>
      </c>
      <c r="X172" s="127">
        <f t="shared" si="24"/>
        <v>24</v>
      </c>
      <c r="Y172" s="127">
        <f t="shared" si="25"/>
        <v>0</v>
      </c>
      <c r="Z172" s="127">
        <f t="shared" si="27"/>
        <v>102190.32</v>
      </c>
      <c r="AA172" s="27"/>
      <c r="AB172" s="36" t="s">
        <v>16</v>
      </c>
      <c r="AC172" s="181">
        <f t="shared" si="28"/>
        <v>24</v>
      </c>
      <c r="AD172" s="181">
        <f t="shared" si="26"/>
        <v>102190.32</v>
      </c>
      <c r="AE172" s="181">
        <v>1.3</v>
      </c>
      <c r="AF172" s="181">
        <v>1.3</v>
      </c>
      <c r="AG172" s="101" t="str">
        <f t="shared" si="29"/>
        <v/>
      </c>
      <c r="AH172" s="190">
        <v>24</v>
      </c>
      <c r="AI172" s="69">
        <f t="shared" si="30"/>
        <v>24</v>
      </c>
    </row>
    <row r="173" spans="1:35" s="69" customFormat="1" ht="33" x14ac:dyDescent="0.3">
      <c r="A173" s="134" t="s">
        <v>1316</v>
      </c>
      <c r="B173" s="135" t="s">
        <v>1317</v>
      </c>
      <c r="C173" s="204" t="s">
        <v>513</v>
      </c>
      <c r="D173" s="133"/>
      <c r="E173" s="59">
        <v>1</v>
      </c>
      <c r="F173" s="77"/>
      <c r="G173" s="205"/>
      <c r="H173" s="205" t="s">
        <v>15</v>
      </c>
      <c r="I173" s="77">
        <v>200835.11</v>
      </c>
      <c r="J173" s="59">
        <v>200835.11</v>
      </c>
      <c r="K173" s="92"/>
      <c r="L173" s="73"/>
      <c r="M173" s="46">
        <v>1</v>
      </c>
      <c r="N173" s="46">
        <v>0</v>
      </c>
      <c r="O173" s="46">
        <v>200835.11</v>
      </c>
      <c r="P173" s="98"/>
      <c r="Q173" s="23" t="s">
        <v>1445</v>
      </c>
      <c r="R173" s="24" t="s">
        <v>1497</v>
      </c>
      <c r="S173" s="25" t="s">
        <v>513</v>
      </c>
      <c r="T173" s="26">
        <v>0</v>
      </c>
      <c r="U173" s="26">
        <v>1</v>
      </c>
      <c r="V173" s="26">
        <f t="shared" si="31"/>
        <v>200835.11</v>
      </c>
      <c r="W173" s="127">
        <f t="shared" si="23"/>
        <v>0</v>
      </c>
      <c r="X173" s="127">
        <f t="shared" si="24"/>
        <v>1</v>
      </c>
      <c r="Y173" s="127">
        <f t="shared" si="25"/>
        <v>0</v>
      </c>
      <c r="Z173" s="127">
        <f t="shared" si="27"/>
        <v>200835.11</v>
      </c>
      <c r="AA173" s="27"/>
      <c r="AB173" s="36" t="s">
        <v>16</v>
      </c>
      <c r="AC173" s="181">
        <f t="shared" si="28"/>
        <v>1</v>
      </c>
      <c r="AD173" s="181">
        <f t="shared" si="26"/>
        <v>200835.11</v>
      </c>
      <c r="AE173" s="181">
        <v>1.3</v>
      </c>
      <c r="AF173" s="181">
        <v>1.3</v>
      </c>
      <c r="AG173" s="101" t="str">
        <f t="shared" si="29"/>
        <v/>
      </c>
      <c r="AH173" s="190">
        <v>1</v>
      </c>
      <c r="AI173" s="69">
        <f t="shared" si="30"/>
        <v>1</v>
      </c>
    </row>
    <row r="174" spans="1:35" ht="33" x14ac:dyDescent="0.3">
      <c r="A174" s="134" t="s">
        <v>1318</v>
      </c>
      <c r="B174" s="135" t="s">
        <v>1319</v>
      </c>
      <c r="C174" s="204" t="s">
        <v>412</v>
      </c>
      <c r="D174" s="133"/>
      <c r="E174" s="78"/>
      <c r="F174" s="116">
        <v>150400</v>
      </c>
      <c r="G174" s="116"/>
      <c r="H174" s="116">
        <v>154935.98000000001</v>
      </c>
      <c r="I174" s="167">
        <v>16.21</v>
      </c>
      <c r="J174" s="62">
        <v>2511512.2400000002</v>
      </c>
      <c r="K174" s="93"/>
      <c r="M174" s="46">
        <v>150350.57999999999</v>
      </c>
      <c r="N174" s="46">
        <v>0</v>
      </c>
      <c r="O174" s="46">
        <v>2437182.9</v>
      </c>
      <c r="P174" s="98"/>
      <c r="Q174" s="23" t="s">
        <v>1383</v>
      </c>
      <c r="R174" s="24" t="s">
        <v>1319</v>
      </c>
      <c r="S174" s="25" t="s">
        <v>412</v>
      </c>
      <c r="T174" s="26">
        <v>0</v>
      </c>
      <c r="U174" s="26">
        <v>154935.98000000001</v>
      </c>
      <c r="V174" s="26">
        <f t="shared" si="31"/>
        <v>16.21</v>
      </c>
      <c r="W174" s="127">
        <f t="shared" si="23"/>
        <v>0</v>
      </c>
      <c r="X174" s="127">
        <f t="shared" si="24"/>
        <v>150350.57999999999</v>
      </c>
      <c r="Y174" s="127">
        <f t="shared" si="25"/>
        <v>0</v>
      </c>
      <c r="Z174" s="127">
        <f t="shared" si="27"/>
        <v>2437182.9</v>
      </c>
      <c r="AA174" s="27"/>
      <c r="AB174" s="36" t="s">
        <v>16</v>
      </c>
      <c r="AC174" s="181">
        <f t="shared" si="28"/>
        <v>154935.98000000001</v>
      </c>
      <c r="AD174" s="181">
        <f t="shared" si="26"/>
        <v>2511512.2400000002</v>
      </c>
      <c r="AE174" s="181">
        <v>1.3</v>
      </c>
      <c r="AF174" s="181">
        <v>1.3</v>
      </c>
      <c r="AG174" s="101" t="str">
        <f t="shared" si="29"/>
        <v/>
      </c>
      <c r="AH174" s="194">
        <v>150350.57999999999</v>
      </c>
      <c r="AI174" s="69">
        <f t="shared" si="30"/>
        <v>150400</v>
      </c>
    </row>
    <row r="175" spans="1:35" ht="33" x14ac:dyDescent="0.3">
      <c r="A175" s="134" t="s">
        <v>1320</v>
      </c>
      <c r="B175" s="135" t="s">
        <v>1321</v>
      </c>
      <c r="C175" s="204" t="s">
        <v>325</v>
      </c>
      <c r="D175" s="133"/>
      <c r="E175" s="78"/>
      <c r="F175" s="62">
        <v>18</v>
      </c>
      <c r="G175" s="62"/>
      <c r="H175" s="62" t="s">
        <v>15</v>
      </c>
      <c r="I175" s="167">
        <v>79588.210000000006</v>
      </c>
      <c r="J175" s="62">
        <v>1432587.78</v>
      </c>
      <c r="K175" s="93"/>
      <c r="M175" s="46">
        <v>18</v>
      </c>
      <c r="N175" s="46">
        <v>0</v>
      </c>
      <c r="O175" s="46">
        <v>1432587.78</v>
      </c>
      <c r="P175" s="98"/>
      <c r="Q175" s="23" t="s">
        <v>1384</v>
      </c>
      <c r="R175" s="24" t="s">
        <v>1321</v>
      </c>
      <c r="S175" s="25" t="s">
        <v>325</v>
      </c>
      <c r="T175" s="26">
        <v>0</v>
      </c>
      <c r="U175" s="26">
        <v>18</v>
      </c>
      <c r="V175" s="26">
        <f t="shared" si="31"/>
        <v>79588.210000000006</v>
      </c>
      <c r="W175" s="127">
        <f t="shared" si="23"/>
        <v>0</v>
      </c>
      <c r="X175" s="127">
        <f t="shared" si="24"/>
        <v>18</v>
      </c>
      <c r="Y175" s="127">
        <f t="shared" si="25"/>
        <v>0</v>
      </c>
      <c r="Z175" s="127">
        <f t="shared" si="27"/>
        <v>1432587.78</v>
      </c>
      <c r="AA175" s="27"/>
      <c r="AB175" s="36" t="s">
        <v>16</v>
      </c>
      <c r="AC175" s="181">
        <f t="shared" si="28"/>
        <v>18</v>
      </c>
      <c r="AD175" s="181">
        <f t="shared" si="26"/>
        <v>1432587.78</v>
      </c>
      <c r="AE175" s="181">
        <v>1.3</v>
      </c>
      <c r="AF175" s="181">
        <v>1.3</v>
      </c>
      <c r="AG175" s="101" t="str">
        <f t="shared" si="29"/>
        <v/>
      </c>
      <c r="AH175" s="194">
        <v>18</v>
      </c>
      <c r="AI175" s="69">
        <f t="shared" si="30"/>
        <v>18</v>
      </c>
    </row>
    <row r="176" spans="1:35" ht="39" x14ac:dyDescent="0.3">
      <c r="A176" s="134" t="s">
        <v>1322</v>
      </c>
      <c r="B176" s="135" t="s">
        <v>1323</v>
      </c>
      <c r="C176" s="204" t="s">
        <v>325</v>
      </c>
      <c r="D176" s="133"/>
      <c r="E176" s="78"/>
      <c r="F176" s="62">
        <v>2</v>
      </c>
      <c r="G176" s="62"/>
      <c r="H176" s="62">
        <v>3</v>
      </c>
      <c r="I176" s="167">
        <v>120491.2</v>
      </c>
      <c r="J176" s="62">
        <v>361473.6</v>
      </c>
      <c r="K176" s="93"/>
      <c r="M176" s="46">
        <v>3</v>
      </c>
      <c r="N176" s="46">
        <v>0</v>
      </c>
      <c r="O176" s="46">
        <v>361473.6</v>
      </c>
      <c r="P176" s="98"/>
      <c r="Q176" s="23" t="s">
        <v>1385</v>
      </c>
      <c r="R176" s="24" t="s">
        <v>1323</v>
      </c>
      <c r="S176" s="25" t="s">
        <v>325</v>
      </c>
      <c r="T176" s="26">
        <v>0</v>
      </c>
      <c r="U176" s="26">
        <v>3</v>
      </c>
      <c r="V176" s="26">
        <f t="shared" si="31"/>
        <v>120491.2</v>
      </c>
      <c r="W176" s="127">
        <f t="shared" si="23"/>
        <v>0</v>
      </c>
      <c r="X176" s="127">
        <f t="shared" si="24"/>
        <v>3</v>
      </c>
      <c r="Y176" s="127">
        <f t="shared" si="25"/>
        <v>0</v>
      </c>
      <c r="Z176" s="127">
        <f t="shared" si="27"/>
        <v>361473.6</v>
      </c>
      <c r="AA176" s="27"/>
      <c r="AB176" s="36" t="s">
        <v>16</v>
      </c>
      <c r="AC176" s="181">
        <f t="shared" si="28"/>
        <v>3</v>
      </c>
      <c r="AD176" s="181">
        <f t="shared" si="26"/>
        <v>361473.6</v>
      </c>
      <c r="AE176" s="181">
        <v>1.3</v>
      </c>
      <c r="AF176" s="181">
        <v>1.3</v>
      </c>
      <c r="AG176" s="101" t="str">
        <f t="shared" si="29"/>
        <v>超估</v>
      </c>
      <c r="AH176" s="194">
        <v>3</v>
      </c>
      <c r="AI176" s="69">
        <f t="shared" si="30"/>
        <v>2</v>
      </c>
    </row>
    <row r="177" spans="1:35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4"/>
      <c r="H177" s="84" t="s">
        <v>15</v>
      </c>
      <c r="I177" s="82"/>
      <c r="J177" s="82">
        <v>25916103.719999999</v>
      </c>
      <c r="K177" s="94" t="s">
        <v>15</v>
      </c>
      <c r="L177" s="73"/>
      <c r="M177" s="45">
        <v>1</v>
      </c>
      <c r="N177" s="45">
        <v>0</v>
      </c>
      <c r="O177" s="45">
        <v>22861804.32</v>
      </c>
      <c r="P177" s="98"/>
      <c r="Q177" s="18" t="s">
        <v>1386</v>
      </c>
      <c r="R177" s="19" t="s">
        <v>488</v>
      </c>
      <c r="S177" s="20" t="s">
        <v>14</v>
      </c>
      <c r="T177" s="21">
        <v>1</v>
      </c>
      <c r="U177" s="21"/>
      <c r="V177" s="21">
        <f>SUMIFS(AD:AD,AE:AE,AE177)</f>
        <v>25916103.719999999</v>
      </c>
      <c r="W177" s="21">
        <f t="shared" ref="W177:X177" si="32">IF(Y177=0,0,1)</f>
        <v>0</v>
      </c>
      <c r="X177" s="21">
        <f t="shared" si="32"/>
        <v>1</v>
      </c>
      <c r="Y177" s="21">
        <f>SUMIFS(Y:Y,AF:AF,AE177)</f>
        <v>0</v>
      </c>
      <c r="Z177" s="21">
        <f>SUMIFS(Z:Z,AF:AF,AE177)</f>
        <v>22861804.32</v>
      </c>
      <c r="AA177" s="22" t="s">
        <v>15</v>
      </c>
      <c r="AB177" s="43" t="s">
        <v>16</v>
      </c>
      <c r="AC177" s="181">
        <f t="shared" si="28"/>
        <v>1</v>
      </c>
      <c r="AD177" s="184"/>
      <c r="AE177" s="184">
        <v>1.4</v>
      </c>
      <c r="AF177" s="184"/>
      <c r="AG177" s="101" t="str">
        <f t="shared" si="29"/>
        <v/>
      </c>
      <c r="AH177" s="190">
        <v>1</v>
      </c>
      <c r="AI177" s="69">
        <f t="shared" si="30"/>
        <v>1</v>
      </c>
    </row>
    <row r="178" spans="1:35" s="69" customFormat="1" ht="39" x14ac:dyDescent="0.3">
      <c r="A178" s="130" t="s">
        <v>489</v>
      </c>
      <c r="B178" s="131" t="s">
        <v>392</v>
      </c>
      <c r="C178" s="132" t="s">
        <v>23</v>
      </c>
      <c r="D178" s="133">
        <v>20</v>
      </c>
      <c r="E178" s="75"/>
      <c r="F178" s="75"/>
      <c r="G178" s="75"/>
      <c r="H178" s="75" t="s">
        <v>15</v>
      </c>
      <c r="I178" s="75">
        <v>3115.13</v>
      </c>
      <c r="J178" s="75">
        <v>62302.6</v>
      </c>
      <c r="K178" s="91" t="s">
        <v>114</v>
      </c>
      <c r="L178" s="73"/>
      <c r="M178" s="46">
        <v>19.45</v>
      </c>
      <c r="N178" s="46">
        <v>0</v>
      </c>
      <c r="O178" s="46">
        <v>60589.279999999999</v>
      </c>
      <c r="P178" s="98"/>
      <c r="Q178" s="23" t="s">
        <v>1421</v>
      </c>
      <c r="R178" s="24" t="s">
        <v>392</v>
      </c>
      <c r="S178" s="25" t="s">
        <v>23</v>
      </c>
      <c r="T178" s="26">
        <v>20</v>
      </c>
      <c r="U178" s="26">
        <v>20</v>
      </c>
      <c r="V178" s="26">
        <f t="shared" ref="V178:V201" si="33">I178</f>
        <v>3115.13</v>
      </c>
      <c r="W178" s="127">
        <f t="shared" ref="W178:W201" si="34">AH178-M178</f>
        <v>0</v>
      </c>
      <c r="X178" s="127">
        <f t="shared" ref="X178:X241" si="35">W178+M178</f>
        <v>19.45</v>
      </c>
      <c r="Y178" s="127">
        <f t="shared" ref="Y178:Y201" si="36">Z178-O178</f>
        <v>0</v>
      </c>
      <c r="Z178" s="127">
        <f t="shared" si="27"/>
        <v>60589.279999999999</v>
      </c>
      <c r="AA178" s="33" t="s">
        <v>15</v>
      </c>
      <c r="AB178" s="36" t="s">
        <v>16</v>
      </c>
      <c r="AC178" s="181">
        <f t="shared" si="28"/>
        <v>20</v>
      </c>
      <c r="AD178" s="181">
        <f t="shared" ref="AD178:AD219" si="37">ROUND(V178*AC178,2)</f>
        <v>62302.6</v>
      </c>
      <c r="AE178" s="181">
        <v>1.4</v>
      </c>
      <c r="AF178" s="181">
        <v>1.4</v>
      </c>
      <c r="AG178" s="101" t="str">
        <f t="shared" si="29"/>
        <v/>
      </c>
      <c r="AH178" s="194">
        <v>19.45</v>
      </c>
      <c r="AI178" s="69">
        <f t="shared" si="30"/>
        <v>20</v>
      </c>
    </row>
    <row r="179" spans="1:35" s="69" customFormat="1" ht="39" x14ac:dyDescent="0.3">
      <c r="A179" s="130" t="s">
        <v>490</v>
      </c>
      <c r="B179" s="131" t="s">
        <v>116</v>
      </c>
      <c r="C179" s="132" t="s">
        <v>23</v>
      </c>
      <c r="D179" s="133">
        <v>354</v>
      </c>
      <c r="E179" s="75"/>
      <c r="F179" s="75"/>
      <c r="G179" s="75"/>
      <c r="H179" s="75" t="s">
        <v>15</v>
      </c>
      <c r="I179" s="75">
        <v>3321.13</v>
      </c>
      <c r="J179" s="75">
        <v>1175680.02</v>
      </c>
      <c r="K179" s="91" t="s">
        <v>117</v>
      </c>
      <c r="L179" s="73"/>
      <c r="M179" s="46">
        <v>326.60000000000002</v>
      </c>
      <c r="N179" s="46">
        <v>0</v>
      </c>
      <c r="O179" s="46">
        <v>1084681.06</v>
      </c>
      <c r="P179" s="98"/>
      <c r="Q179" s="23" t="s">
        <v>1426</v>
      </c>
      <c r="R179" s="24" t="s">
        <v>116</v>
      </c>
      <c r="S179" s="25" t="s">
        <v>23</v>
      </c>
      <c r="T179" s="26">
        <v>354</v>
      </c>
      <c r="U179" s="26">
        <v>354</v>
      </c>
      <c r="V179" s="26">
        <f t="shared" si="33"/>
        <v>3321.13</v>
      </c>
      <c r="W179" s="26">
        <f t="shared" si="34"/>
        <v>0</v>
      </c>
      <c r="X179" s="127">
        <f t="shared" si="35"/>
        <v>326.60000000000002</v>
      </c>
      <c r="Y179" s="127">
        <f t="shared" si="36"/>
        <v>0</v>
      </c>
      <c r="Z179" s="127">
        <f t="shared" si="27"/>
        <v>1084681.06</v>
      </c>
      <c r="AA179" s="33" t="s">
        <v>15</v>
      </c>
      <c r="AB179" s="36" t="s">
        <v>16</v>
      </c>
      <c r="AC179" s="181">
        <f t="shared" si="28"/>
        <v>354</v>
      </c>
      <c r="AD179" s="181">
        <f t="shared" si="37"/>
        <v>1175680.02</v>
      </c>
      <c r="AE179" s="181">
        <v>1.4</v>
      </c>
      <c r="AF179" s="181">
        <v>1.4</v>
      </c>
      <c r="AG179" s="101" t="str">
        <f t="shared" si="29"/>
        <v/>
      </c>
      <c r="AH179" s="194">
        <v>326.60000000000002</v>
      </c>
      <c r="AI179" s="69">
        <f t="shared" si="30"/>
        <v>354</v>
      </c>
    </row>
    <row r="180" spans="1:35" s="69" customFormat="1" ht="39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203"/>
      <c r="F180" s="203"/>
      <c r="G180" s="203"/>
      <c r="H180" s="203" t="s">
        <v>15</v>
      </c>
      <c r="I180" s="75">
        <v>3643.73</v>
      </c>
      <c r="J180" s="75">
        <v>0</v>
      </c>
      <c r="K180" s="91" t="s">
        <v>396</v>
      </c>
      <c r="L180" s="73"/>
      <c r="M180" s="46">
        <v>0</v>
      </c>
      <c r="N180" s="46">
        <v>0</v>
      </c>
      <c r="O180" s="46">
        <v>0</v>
      </c>
      <c r="P180" s="98"/>
      <c r="Q180" s="23" t="s">
        <v>1402</v>
      </c>
      <c r="R180" s="24" t="s">
        <v>395</v>
      </c>
      <c r="S180" s="25" t="s">
        <v>23</v>
      </c>
      <c r="T180" s="26">
        <v>690</v>
      </c>
      <c r="U180" s="26">
        <v>0</v>
      </c>
      <c r="V180" s="26">
        <f t="shared" si="33"/>
        <v>3643.73</v>
      </c>
      <c r="W180" s="127">
        <f t="shared" si="34"/>
        <v>0</v>
      </c>
      <c r="X180" s="127">
        <f t="shared" si="35"/>
        <v>0</v>
      </c>
      <c r="Y180" s="127">
        <f t="shared" si="36"/>
        <v>0</v>
      </c>
      <c r="Z180" s="127">
        <f t="shared" si="27"/>
        <v>0</v>
      </c>
      <c r="AA180" s="33" t="s">
        <v>15</v>
      </c>
      <c r="AB180" s="36" t="s">
        <v>16</v>
      </c>
      <c r="AC180" s="181">
        <f t="shared" si="28"/>
        <v>0</v>
      </c>
      <c r="AD180" s="181">
        <f t="shared" si="37"/>
        <v>0</v>
      </c>
      <c r="AE180" s="181">
        <v>1.4</v>
      </c>
      <c r="AF180" s="181">
        <v>1.4</v>
      </c>
      <c r="AG180" s="101" t="str">
        <f t="shared" si="29"/>
        <v/>
      </c>
      <c r="AH180" s="194">
        <v>0</v>
      </c>
      <c r="AI180" s="69">
        <f t="shared" si="30"/>
        <v>690</v>
      </c>
    </row>
    <row r="181" spans="1:35" s="69" customFormat="1" ht="33" customHeight="1" x14ac:dyDescent="0.3">
      <c r="A181" s="130" t="s">
        <v>492</v>
      </c>
      <c r="B181" s="131" t="s">
        <v>493</v>
      </c>
      <c r="C181" s="132" t="s">
        <v>23</v>
      </c>
      <c r="D181" s="133">
        <v>1065</v>
      </c>
      <c r="E181" s="203"/>
      <c r="F181" s="203"/>
      <c r="G181" s="203"/>
      <c r="H181" s="203">
        <v>1900.83</v>
      </c>
      <c r="I181" s="75">
        <v>200</v>
      </c>
      <c r="J181" s="75">
        <v>380166</v>
      </c>
      <c r="K181" s="91" t="s">
        <v>494</v>
      </c>
      <c r="L181" s="73"/>
      <c r="M181" s="46">
        <v>1815.71</v>
      </c>
      <c r="N181" s="46">
        <v>0</v>
      </c>
      <c r="O181" s="46">
        <v>363142</v>
      </c>
      <c r="P181" s="98"/>
      <c r="Q181" s="23" t="s">
        <v>1373</v>
      </c>
      <c r="R181" s="24" t="s">
        <v>493</v>
      </c>
      <c r="S181" s="25" t="s">
        <v>23</v>
      </c>
      <c r="T181" s="26">
        <v>1065</v>
      </c>
      <c r="U181" s="26">
        <v>1900.83</v>
      </c>
      <c r="V181" s="26">
        <f t="shared" si="33"/>
        <v>200</v>
      </c>
      <c r="W181" s="26">
        <f>AH181-M181</f>
        <v>0</v>
      </c>
      <c r="X181" s="127">
        <f t="shared" si="35"/>
        <v>1815.71</v>
      </c>
      <c r="Y181" s="127">
        <f t="shared" si="36"/>
        <v>0</v>
      </c>
      <c r="Z181" s="127">
        <f t="shared" si="27"/>
        <v>363142</v>
      </c>
      <c r="AA181" s="33" t="s">
        <v>15</v>
      </c>
      <c r="AB181" s="36" t="s">
        <v>16</v>
      </c>
      <c r="AC181" s="181">
        <f t="shared" si="28"/>
        <v>1900.83</v>
      </c>
      <c r="AD181" s="181">
        <f t="shared" si="37"/>
        <v>380166</v>
      </c>
      <c r="AE181" s="181">
        <v>1.4</v>
      </c>
      <c r="AF181" s="181">
        <v>1.4</v>
      </c>
      <c r="AG181" s="101" t="str">
        <f t="shared" si="29"/>
        <v>超估</v>
      </c>
      <c r="AH181" s="194">
        <v>1815.71</v>
      </c>
      <c r="AI181" s="69">
        <f t="shared" si="30"/>
        <v>1065</v>
      </c>
    </row>
    <row r="182" spans="1:35" s="69" customFormat="1" ht="57.75" x14ac:dyDescent="0.3">
      <c r="A182" s="55" t="s">
        <v>495</v>
      </c>
      <c r="B182" s="53" t="s">
        <v>405</v>
      </c>
      <c r="C182" s="54" t="s">
        <v>50</v>
      </c>
      <c r="D182" s="75">
        <v>1229</v>
      </c>
      <c r="E182" s="203"/>
      <c r="F182" s="203"/>
      <c r="G182" s="203"/>
      <c r="H182" s="203">
        <v>1437.49</v>
      </c>
      <c r="I182" s="75">
        <v>982.98</v>
      </c>
      <c r="J182" s="75">
        <v>1413023.92</v>
      </c>
      <c r="K182" s="91" t="s">
        <v>406</v>
      </c>
      <c r="L182" s="73"/>
      <c r="M182" s="46">
        <v>1349</v>
      </c>
      <c r="N182" s="46">
        <v>0</v>
      </c>
      <c r="O182" s="46">
        <v>1326040.02</v>
      </c>
      <c r="P182" s="98"/>
      <c r="Q182" s="23" t="s">
        <v>1393</v>
      </c>
      <c r="R182" s="24" t="s">
        <v>405</v>
      </c>
      <c r="S182" s="25" t="s">
        <v>50</v>
      </c>
      <c r="T182" s="26">
        <v>1229</v>
      </c>
      <c r="U182" s="26">
        <v>1437.49</v>
      </c>
      <c r="V182" s="26">
        <f t="shared" si="33"/>
        <v>982.98</v>
      </c>
      <c r="W182" s="128">
        <f t="shared" si="34"/>
        <v>0</v>
      </c>
      <c r="X182" s="26">
        <f t="shared" si="35"/>
        <v>1349</v>
      </c>
      <c r="Y182" s="26">
        <f t="shared" si="36"/>
        <v>0</v>
      </c>
      <c r="Z182" s="26">
        <f t="shared" si="27"/>
        <v>1326040.02</v>
      </c>
      <c r="AA182" s="33" t="s">
        <v>15</v>
      </c>
      <c r="AB182" s="36" t="s">
        <v>16</v>
      </c>
      <c r="AC182" s="181">
        <f t="shared" si="28"/>
        <v>1437.49</v>
      </c>
      <c r="AD182" s="181">
        <f t="shared" si="37"/>
        <v>1413023.92</v>
      </c>
      <c r="AE182" s="181">
        <v>1.4</v>
      </c>
      <c r="AF182" s="181">
        <v>1.4</v>
      </c>
      <c r="AG182" s="101" t="str">
        <f t="shared" si="29"/>
        <v>超估</v>
      </c>
      <c r="AH182" s="191">
        <v>1349</v>
      </c>
      <c r="AI182" s="69">
        <f t="shared" si="30"/>
        <v>1229</v>
      </c>
    </row>
    <row r="183" spans="1:35" s="69" customFormat="1" ht="41.25" x14ac:dyDescent="0.3">
      <c r="A183" s="55" t="s">
        <v>496</v>
      </c>
      <c r="B183" s="53" t="s">
        <v>408</v>
      </c>
      <c r="C183" s="54" t="s">
        <v>50</v>
      </c>
      <c r="D183" s="75">
        <v>285</v>
      </c>
      <c r="E183" s="203"/>
      <c r="F183" s="203"/>
      <c r="G183" s="203"/>
      <c r="H183" s="203">
        <v>685.45</v>
      </c>
      <c r="I183" s="75">
        <v>804.79</v>
      </c>
      <c r="J183" s="75">
        <v>551643.31000000006</v>
      </c>
      <c r="K183" s="91" t="s">
        <v>409</v>
      </c>
      <c r="L183" s="73"/>
      <c r="M183" s="46">
        <v>551</v>
      </c>
      <c r="N183" s="46">
        <v>0</v>
      </c>
      <c r="O183" s="46">
        <v>443439.29</v>
      </c>
      <c r="P183" s="98"/>
      <c r="Q183" s="23" t="s">
        <v>1403</v>
      </c>
      <c r="R183" s="24" t="s">
        <v>408</v>
      </c>
      <c r="S183" s="25" t="s">
        <v>50</v>
      </c>
      <c r="T183" s="26">
        <v>285</v>
      </c>
      <c r="U183" s="26">
        <v>685.45</v>
      </c>
      <c r="V183" s="26">
        <f t="shared" si="33"/>
        <v>804.79</v>
      </c>
      <c r="W183" s="243">
        <f t="shared" si="34"/>
        <v>0</v>
      </c>
      <c r="X183" s="199">
        <f t="shared" si="35"/>
        <v>551</v>
      </c>
      <c r="Y183" s="26">
        <f t="shared" si="36"/>
        <v>0</v>
      </c>
      <c r="Z183" s="26">
        <f t="shared" si="27"/>
        <v>443439.29</v>
      </c>
      <c r="AA183" s="33" t="s">
        <v>15</v>
      </c>
      <c r="AB183" s="36" t="s">
        <v>16</v>
      </c>
      <c r="AC183" s="181">
        <f t="shared" si="28"/>
        <v>685.45</v>
      </c>
      <c r="AD183" s="181">
        <f t="shared" si="37"/>
        <v>551643.31000000006</v>
      </c>
      <c r="AE183" s="181">
        <v>1.4</v>
      </c>
      <c r="AF183" s="181">
        <v>1.4</v>
      </c>
      <c r="AG183" s="101" t="str">
        <f t="shared" si="29"/>
        <v>超估</v>
      </c>
      <c r="AH183" s="191">
        <v>551</v>
      </c>
      <c r="AI183" s="69">
        <f t="shared" si="30"/>
        <v>285</v>
      </c>
    </row>
    <row r="184" spans="1:35" s="69" customFormat="1" ht="33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203"/>
      <c r="F184" s="203"/>
      <c r="G184" s="203"/>
      <c r="H184" s="203">
        <v>18482.54</v>
      </c>
      <c r="I184" s="75">
        <v>36.4</v>
      </c>
      <c r="J184" s="75">
        <v>672764.46</v>
      </c>
      <c r="K184" s="91" t="s">
        <v>111</v>
      </c>
      <c r="L184" s="73"/>
      <c r="M184" s="46">
        <v>13110.94</v>
      </c>
      <c r="N184" s="46">
        <v>0</v>
      </c>
      <c r="O184" s="46">
        <v>477238.22</v>
      </c>
      <c r="P184" s="98"/>
      <c r="Q184" s="23" t="s">
        <v>1427</v>
      </c>
      <c r="R184" s="24" t="s">
        <v>109</v>
      </c>
      <c r="S184" s="25" t="s">
        <v>110</v>
      </c>
      <c r="T184" s="26">
        <v>13716</v>
      </c>
      <c r="U184" s="26">
        <v>18482.54</v>
      </c>
      <c r="V184" s="26">
        <f t="shared" si="33"/>
        <v>36.4</v>
      </c>
      <c r="W184" s="26">
        <f t="shared" si="34"/>
        <v>0</v>
      </c>
      <c r="X184" s="127">
        <f t="shared" si="35"/>
        <v>13110.94</v>
      </c>
      <c r="Y184" s="127">
        <f t="shared" si="36"/>
        <v>0</v>
      </c>
      <c r="Z184" s="127">
        <f t="shared" si="27"/>
        <v>477238.22</v>
      </c>
      <c r="AA184" s="33" t="s">
        <v>15</v>
      </c>
      <c r="AB184" s="36" t="s">
        <v>16</v>
      </c>
      <c r="AC184" s="181">
        <f t="shared" si="28"/>
        <v>18482.54</v>
      </c>
      <c r="AD184" s="181">
        <f t="shared" si="37"/>
        <v>672764.46</v>
      </c>
      <c r="AE184" s="181">
        <v>1.4</v>
      </c>
      <c r="AF184" s="181">
        <v>1.4</v>
      </c>
      <c r="AG184" s="101" t="str">
        <f t="shared" si="29"/>
        <v/>
      </c>
      <c r="AH184" s="194">
        <v>13110.94</v>
      </c>
      <c r="AI184" s="69">
        <f t="shared" si="30"/>
        <v>13716</v>
      </c>
    </row>
    <row r="185" spans="1:35" s="69" customFormat="1" ht="39" x14ac:dyDescent="0.3">
      <c r="A185" s="55" t="s">
        <v>498</v>
      </c>
      <c r="B185" s="53" t="s">
        <v>399</v>
      </c>
      <c r="C185" s="54" t="s">
        <v>110</v>
      </c>
      <c r="D185" s="75">
        <v>13810</v>
      </c>
      <c r="E185" s="203"/>
      <c r="F185" s="203"/>
      <c r="G185" s="203"/>
      <c r="H185" s="203">
        <v>36577.19</v>
      </c>
      <c r="I185" s="75">
        <v>38.71</v>
      </c>
      <c r="J185" s="75">
        <v>1415903.02</v>
      </c>
      <c r="K185" s="91" t="s">
        <v>400</v>
      </c>
      <c r="L185" s="73"/>
      <c r="M185" s="46">
        <v>28173</v>
      </c>
      <c r="N185" s="46">
        <v>0</v>
      </c>
      <c r="O185" s="46">
        <v>1090576.83</v>
      </c>
      <c r="P185" s="98"/>
      <c r="Q185" s="23" t="s">
        <v>1428</v>
      </c>
      <c r="R185" s="24" t="s">
        <v>399</v>
      </c>
      <c r="S185" s="25" t="s">
        <v>110</v>
      </c>
      <c r="T185" s="26">
        <v>13810</v>
      </c>
      <c r="U185" s="26">
        <v>36577.19</v>
      </c>
      <c r="V185" s="26">
        <f t="shared" si="33"/>
        <v>38.71</v>
      </c>
      <c r="W185" s="128">
        <f t="shared" si="34"/>
        <v>0</v>
      </c>
      <c r="X185" s="26">
        <f t="shared" si="35"/>
        <v>28173</v>
      </c>
      <c r="Y185" s="26">
        <f t="shared" si="36"/>
        <v>0</v>
      </c>
      <c r="Z185" s="26">
        <f t="shared" si="27"/>
        <v>1090576.83</v>
      </c>
      <c r="AA185" s="33" t="s">
        <v>15</v>
      </c>
      <c r="AB185" s="36" t="s">
        <v>16</v>
      </c>
      <c r="AC185" s="181">
        <f t="shared" si="28"/>
        <v>36577.19</v>
      </c>
      <c r="AD185" s="181">
        <f t="shared" si="37"/>
        <v>1415903.02</v>
      </c>
      <c r="AE185" s="181">
        <v>1.4</v>
      </c>
      <c r="AF185" s="181">
        <v>1.4</v>
      </c>
      <c r="AG185" s="101" t="str">
        <f t="shared" si="29"/>
        <v>超估</v>
      </c>
      <c r="AH185" s="191">
        <v>28173</v>
      </c>
      <c r="AI185" s="69">
        <f t="shared" si="30"/>
        <v>13810</v>
      </c>
    </row>
    <row r="186" spans="1:35" s="69" customFormat="1" ht="33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203"/>
      <c r="F186" s="203">
        <v>754.47</v>
      </c>
      <c r="G186" s="203"/>
      <c r="H186" s="203">
        <v>762.55</v>
      </c>
      <c r="I186" s="75">
        <v>2510.79</v>
      </c>
      <c r="J186" s="75">
        <v>1914602.91</v>
      </c>
      <c r="K186" s="91" t="s">
        <v>501</v>
      </c>
      <c r="L186" s="73"/>
      <c r="M186" s="46">
        <v>754.3</v>
      </c>
      <c r="N186" s="46">
        <v>0</v>
      </c>
      <c r="O186" s="46">
        <v>1893888.9</v>
      </c>
      <c r="P186" s="98"/>
      <c r="Q186" s="23" t="s">
        <v>1387</v>
      </c>
      <c r="R186" s="24" t="s">
        <v>500</v>
      </c>
      <c r="S186" s="25" t="s">
        <v>50</v>
      </c>
      <c r="T186" s="26">
        <v>699</v>
      </c>
      <c r="U186" s="26">
        <v>762.55</v>
      </c>
      <c r="V186" s="26">
        <f t="shared" si="33"/>
        <v>2510.79</v>
      </c>
      <c r="W186" s="26">
        <f t="shared" si="34"/>
        <v>0</v>
      </c>
      <c r="X186" s="127">
        <f t="shared" si="35"/>
        <v>754.3</v>
      </c>
      <c r="Y186" s="127">
        <f t="shared" si="36"/>
        <v>0</v>
      </c>
      <c r="Z186" s="127">
        <f t="shared" si="27"/>
        <v>1893888.9</v>
      </c>
      <c r="AA186" s="27"/>
      <c r="AB186" s="36" t="s">
        <v>16</v>
      </c>
      <c r="AC186" s="181">
        <f t="shared" si="28"/>
        <v>762.55</v>
      </c>
      <c r="AD186" s="181">
        <f t="shared" si="37"/>
        <v>1914602.91</v>
      </c>
      <c r="AE186" s="181">
        <v>1.4</v>
      </c>
      <c r="AF186" s="181">
        <v>1.4</v>
      </c>
      <c r="AG186" s="101" t="str">
        <f t="shared" si="29"/>
        <v/>
      </c>
      <c r="AH186" s="194">
        <v>754.3</v>
      </c>
      <c r="AI186" s="69">
        <f t="shared" si="30"/>
        <v>754.47</v>
      </c>
    </row>
    <row r="187" spans="1:35" s="69" customFormat="1" ht="39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203"/>
      <c r="F187" s="203"/>
      <c r="G187" s="203"/>
      <c r="H187" s="203">
        <v>318.56</v>
      </c>
      <c r="I187" s="75">
        <v>3298.06</v>
      </c>
      <c r="J187" s="75">
        <v>1050629.99</v>
      </c>
      <c r="K187" s="91" t="s">
        <v>504</v>
      </c>
      <c r="L187" s="73"/>
      <c r="M187" s="46">
        <v>304.60000000000002</v>
      </c>
      <c r="N187" s="46">
        <v>0</v>
      </c>
      <c r="O187" s="46">
        <v>1004589.08</v>
      </c>
      <c r="P187" s="98"/>
      <c r="Q187" s="23" t="s">
        <v>1405</v>
      </c>
      <c r="R187" s="24" t="s">
        <v>503</v>
      </c>
      <c r="S187" s="25" t="s">
        <v>103</v>
      </c>
      <c r="T187" s="26">
        <v>275</v>
      </c>
      <c r="U187" s="26">
        <v>318.56</v>
      </c>
      <c r="V187" s="26">
        <f t="shared" si="33"/>
        <v>3298.06</v>
      </c>
      <c r="W187" s="26">
        <f t="shared" si="34"/>
        <v>0</v>
      </c>
      <c r="X187" s="127">
        <f t="shared" si="35"/>
        <v>304.60000000000002</v>
      </c>
      <c r="Y187" s="127">
        <f t="shared" si="36"/>
        <v>0</v>
      </c>
      <c r="Z187" s="127">
        <f t="shared" si="27"/>
        <v>1004589.08</v>
      </c>
      <c r="AA187" s="33"/>
      <c r="AB187" s="36" t="s">
        <v>16</v>
      </c>
      <c r="AC187" s="181">
        <f t="shared" si="28"/>
        <v>318.56</v>
      </c>
      <c r="AD187" s="181">
        <f t="shared" si="37"/>
        <v>1050629.99</v>
      </c>
      <c r="AE187" s="181">
        <v>1.4</v>
      </c>
      <c r="AF187" s="181">
        <v>1.4</v>
      </c>
      <c r="AG187" s="101" t="str">
        <f t="shared" si="29"/>
        <v>超估</v>
      </c>
      <c r="AH187" s="194">
        <v>304.60000000000002</v>
      </c>
      <c r="AI187" s="69">
        <f t="shared" si="30"/>
        <v>275</v>
      </c>
    </row>
    <row r="188" spans="1:35" s="69" customFormat="1" ht="39" x14ac:dyDescent="0.3">
      <c r="A188" s="130" t="s">
        <v>505</v>
      </c>
      <c r="B188" s="131" t="s">
        <v>506</v>
      </c>
      <c r="C188" s="132" t="s">
        <v>50</v>
      </c>
      <c r="D188" s="133">
        <v>203</v>
      </c>
      <c r="E188" s="75"/>
      <c r="F188" s="75"/>
      <c r="G188" s="75"/>
      <c r="H188" s="75">
        <v>418.05</v>
      </c>
      <c r="I188" s="75">
        <v>2952.19</v>
      </c>
      <c r="J188" s="75">
        <v>1234163.03</v>
      </c>
      <c r="K188" s="91" t="s">
        <v>507</v>
      </c>
      <c r="L188" s="73"/>
      <c r="M188" s="46">
        <v>392.5</v>
      </c>
      <c r="N188" s="46">
        <v>0</v>
      </c>
      <c r="O188" s="46">
        <v>1158734.58</v>
      </c>
      <c r="P188" s="98"/>
      <c r="Q188" s="23" t="s">
        <v>1406</v>
      </c>
      <c r="R188" s="24" t="s">
        <v>506</v>
      </c>
      <c r="S188" s="25" t="s">
        <v>50</v>
      </c>
      <c r="T188" s="26">
        <v>203</v>
      </c>
      <c r="U188" s="26">
        <v>418.05</v>
      </c>
      <c r="V188" s="26">
        <f t="shared" si="33"/>
        <v>2952.19</v>
      </c>
      <c r="W188" s="26">
        <f t="shared" si="34"/>
        <v>0</v>
      </c>
      <c r="X188" s="127">
        <f t="shared" si="35"/>
        <v>392.5</v>
      </c>
      <c r="Y188" s="127">
        <f t="shared" si="36"/>
        <v>0</v>
      </c>
      <c r="Z188" s="127">
        <f t="shared" si="27"/>
        <v>1158734.58</v>
      </c>
      <c r="AA188" s="33" t="s">
        <v>15</v>
      </c>
      <c r="AB188" s="36" t="s">
        <v>16</v>
      </c>
      <c r="AC188" s="181">
        <f t="shared" si="28"/>
        <v>418.05</v>
      </c>
      <c r="AD188" s="181">
        <f t="shared" si="37"/>
        <v>1234163.03</v>
      </c>
      <c r="AE188" s="181">
        <v>1.4</v>
      </c>
      <c r="AF188" s="181">
        <v>1.4</v>
      </c>
      <c r="AG188" s="101" t="str">
        <f t="shared" si="29"/>
        <v>超估</v>
      </c>
      <c r="AH188" s="194">
        <v>392.5</v>
      </c>
      <c r="AI188" s="69">
        <f t="shared" si="30"/>
        <v>203</v>
      </c>
    </row>
    <row r="189" spans="1:35" s="69" customFormat="1" ht="33" x14ac:dyDescent="0.3">
      <c r="A189" s="130" t="s">
        <v>508</v>
      </c>
      <c r="B189" s="131" t="s">
        <v>509</v>
      </c>
      <c r="C189" s="132" t="s">
        <v>50</v>
      </c>
      <c r="D189" s="133">
        <v>405</v>
      </c>
      <c r="E189" s="75"/>
      <c r="F189" s="75"/>
      <c r="G189" s="75"/>
      <c r="H189" s="75" t="s">
        <v>15</v>
      </c>
      <c r="I189" s="75">
        <v>1454.57</v>
      </c>
      <c r="J189" s="75">
        <v>589100.85</v>
      </c>
      <c r="K189" s="91" t="s">
        <v>510</v>
      </c>
      <c r="L189" s="73"/>
      <c r="M189" s="46">
        <v>405</v>
      </c>
      <c r="N189" s="46">
        <v>0</v>
      </c>
      <c r="O189" s="46">
        <v>589100.85</v>
      </c>
      <c r="P189" s="98"/>
      <c r="Q189" s="23" t="s">
        <v>1414</v>
      </c>
      <c r="R189" s="24" t="s">
        <v>509</v>
      </c>
      <c r="S189" s="25" t="s">
        <v>50</v>
      </c>
      <c r="T189" s="26">
        <v>405</v>
      </c>
      <c r="U189" s="26">
        <v>405</v>
      </c>
      <c r="V189" s="26">
        <f t="shared" si="33"/>
        <v>1454.57</v>
      </c>
      <c r="W189" s="127">
        <f t="shared" si="34"/>
        <v>0</v>
      </c>
      <c r="X189" s="127">
        <f t="shared" si="35"/>
        <v>405</v>
      </c>
      <c r="Y189" s="127">
        <f t="shared" si="36"/>
        <v>0</v>
      </c>
      <c r="Z189" s="127">
        <f t="shared" si="27"/>
        <v>589100.85</v>
      </c>
      <c r="AA189" s="33" t="s">
        <v>15</v>
      </c>
      <c r="AB189" s="36" t="s">
        <v>16</v>
      </c>
      <c r="AC189" s="181">
        <f t="shared" si="28"/>
        <v>405</v>
      </c>
      <c r="AD189" s="181">
        <f t="shared" si="37"/>
        <v>589100.85</v>
      </c>
      <c r="AE189" s="181">
        <v>1.4</v>
      </c>
      <c r="AF189" s="181">
        <v>1.4</v>
      </c>
      <c r="AG189" s="101" t="str">
        <f t="shared" si="29"/>
        <v/>
      </c>
      <c r="AH189" s="194">
        <v>405</v>
      </c>
      <c r="AI189" s="69">
        <f t="shared" si="30"/>
        <v>405</v>
      </c>
    </row>
    <row r="190" spans="1:35" s="69" customFormat="1" ht="58.5" x14ac:dyDescent="0.3">
      <c r="A190" s="130" t="s">
        <v>511</v>
      </c>
      <c r="B190" s="131" t="s">
        <v>512</v>
      </c>
      <c r="C190" s="132" t="s">
        <v>513</v>
      </c>
      <c r="D190" s="133">
        <v>372</v>
      </c>
      <c r="E190" s="75"/>
      <c r="F190" s="75"/>
      <c r="G190" s="75"/>
      <c r="H190" s="75" t="s">
        <v>15</v>
      </c>
      <c r="I190" s="75">
        <v>435</v>
      </c>
      <c r="J190" s="75">
        <v>161820</v>
      </c>
      <c r="K190" s="91" t="s">
        <v>514</v>
      </c>
      <c r="L190" s="73"/>
      <c r="M190" s="46">
        <v>292</v>
      </c>
      <c r="N190" s="46">
        <v>0</v>
      </c>
      <c r="O190" s="46">
        <v>127020</v>
      </c>
      <c r="P190" s="98"/>
      <c r="Q190" s="23" t="s">
        <v>1429</v>
      </c>
      <c r="R190" s="24" t="s">
        <v>512</v>
      </c>
      <c r="S190" s="25" t="s">
        <v>513</v>
      </c>
      <c r="T190" s="26">
        <v>372</v>
      </c>
      <c r="U190" s="26">
        <v>372</v>
      </c>
      <c r="V190" s="26">
        <f t="shared" si="33"/>
        <v>435</v>
      </c>
      <c r="W190" s="127">
        <f t="shared" si="34"/>
        <v>0</v>
      </c>
      <c r="X190" s="127">
        <f t="shared" si="35"/>
        <v>292</v>
      </c>
      <c r="Y190" s="127">
        <f t="shared" si="36"/>
        <v>0</v>
      </c>
      <c r="Z190" s="127">
        <f t="shared" si="27"/>
        <v>127020</v>
      </c>
      <c r="AA190" s="33" t="s">
        <v>15</v>
      </c>
      <c r="AB190" s="36" t="s">
        <v>16</v>
      </c>
      <c r="AC190" s="181">
        <f t="shared" si="28"/>
        <v>372</v>
      </c>
      <c r="AD190" s="181">
        <f t="shared" si="37"/>
        <v>161820</v>
      </c>
      <c r="AE190" s="181">
        <v>1.4</v>
      </c>
      <c r="AF190" s="181">
        <v>1.4</v>
      </c>
      <c r="AG190" s="101" t="str">
        <f t="shared" si="29"/>
        <v/>
      </c>
      <c r="AH190" s="194">
        <v>292</v>
      </c>
      <c r="AI190" s="69">
        <f t="shared" si="30"/>
        <v>372</v>
      </c>
    </row>
    <row r="191" spans="1:35" s="69" customFormat="1" ht="33" x14ac:dyDescent="0.3">
      <c r="A191" s="130" t="s">
        <v>515</v>
      </c>
      <c r="B191" s="131" t="s">
        <v>516</v>
      </c>
      <c r="C191" s="132" t="s">
        <v>50</v>
      </c>
      <c r="D191" s="133">
        <v>1984</v>
      </c>
      <c r="E191" s="75"/>
      <c r="F191" s="75"/>
      <c r="G191" s="75"/>
      <c r="H191" s="75" t="s">
        <v>15</v>
      </c>
      <c r="I191" s="75">
        <v>885.8</v>
      </c>
      <c r="J191" s="75">
        <v>1757427.2</v>
      </c>
      <c r="K191" s="91" t="s">
        <v>517</v>
      </c>
      <c r="L191" s="73"/>
      <c r="M191" s="46">
        <v>1796.5</v>
      </c>
      <c r="N191" s="46">
        <v>0</v>
      </c>
      <c r="O191" s="46">
        <v>1591339.7</v>
      </c>
      <c r="P191" s="98"/>
      <c r="Q191" s="23" t="s">
        <v>1430</v>
      </c>
      <c r="R191" s="24" t="s">
        <v>516</v>
      </c>
      <c r="S191" s="25" t="s">
        <v>50</v>
      </c>
      <c r="T191" s="26">
        <v>1984</v>
      </c>
      <c r="U191" s="26">
        <v>1984</v>
      </c>
      <c r="V191" s="26">
        <f t="shared" si="33"/>
        <v>885.8</v>
      </c>
      <c r="W191" s="127">
        <f t="shared" si="34"/>
        <v>0</v>
      </c>
      <c r="X191" s="127">
        <f t="shared" si="35"/>
        <v>1796.5</v>
      </c>
      <c r="Y191" s="127">
        <f t="shared" si="36"/>
        <v>0</v>
      </c>
      <c r="Z191" s="127">
        <f t="shared" si="27"/>
        <v>1591339.7</v>
      </c>
      <c r="AA191" s="33" t="s">
        <v>15</v>
      </c>
      <c r="AB191" s="36" t="s">
        <v>16</v>
      </c>
      <c r="AC191" s="181">
        <f t="shared" si="28"/>
        <v>1984</v>
      </c>
      <c r="AD191" s="181">
        <f t="shared" si="37"/>
        <v>1757427.2</v>
      </c>
      <c r="AE191" s="181">
        <v>1.4</v>
      </c>
      <c r="AF191" s="181">
        <v>1.4</v>
      </c>
      <c r="AG191" s="101" t="str">
        <f t="shared" si="29"/>
        <v/>
      </c>
      <c r="AH191" s="190">
        <v>1796.5</v>
      </c>
      <c r="AI191" s="69">
        <f t="shared" si="30"/>
        <v>1984</v>
      </c>
    </row>
    <row r="192" spans="1:35" s="69" customFormat="1" ht="33" x14ac:dyDescent="0.3">
      <c r="A192" s="130" t="s">
        <v>518</v>
      </c>
      <c r="B192" s="131" t="s">
        <v>189</v>
      </c>
      <c r="C192" s="132" t="s">
        <v>30</v>
      </c>
      <c r="D192" s="133">
        <v>45</v>
      </c>
      <c r="E192" s="75"/>
      <c r="F192" s="75"/>
      <c r="G192" s="75"/>
      <c r="H192" s="75" t="s">
        <v>15</v>
      </c>
      <c r="I192" s="75">
        <v>138.84</v>
      </c>
      <c r="J192" s="75">
        <v>6247.8</v>
      </c>
      <c r="K192" s="91" t="s">
        <v>190</v>
      </c>
      <c r="L192" s="73"/>
      <c r="M192" s="46">
        <v>36.96</v>
      </c>
      <c r="N192" s="46">
        <v>0</v>
      </c>
      <c r="O192" s="46">
        <v>5131.53</v>
      </c>
      <c r="P192" s="98"/>
      <c r="Q192" s="23" t="s">
        <v>1431</v>
      </c>
      <c r="R192" s="24" t="s">
        <v>189</v>
      </c>
      <c r="S192" s="25" t="s">
        <v>30</v>
      </c>
      <c r="T192" s="26">
        <v>45</v>
      </c>
      <c r="U192" s="26">
        <v>45</v>
      </c>
      <c r="V192" s="26">
        <f t="shared" si="33"/>
        <v>138.84</v>
      </c>
      <c r="W192" s="127">
        <f t="shared" si="34"/>
        <v>0</v>
      </c>
      <c r="X192" s="127">
        <f t="shared" si="35"/>
        <v>36.96</v>
      </c>
      <c r="Y192" s="127">
        <f t="shared" si="36"/>
        <v>0</v>
      </c>
      <c r="Z192" s="127">
        <f t="shared" si="27"/>
        <v>5131.53</v>
      </c>
      <c r="AA192" s="33" t="s">
        <v>15</v>
      </c>
      <c r="AB192" s="36" t="s">
        <v>16</v>
      </c>
      <c r="AC192" s="181">
        <f t="shared" si="28"/>
        <v>45</v>
      </c>
      <c r="AD192" s="181">
        <f t="shared" si="37"/>
        <v>6247.8</v>
      </c>
      <c r="AE192" s="181">
        <v>1.4</v>
      </c>
      <c r="AF192" s="181">
        <v>1.4</v>
      </c>
      <c r="AG192" s="101" t="str">
        <f t="shared" si="29"/>
        <v/>
      </c>
      <c r="AH192" s="194">
        <v>36.96</v>
      </c>
      <c r="AI192" s="69">
        <f t="shared" si="30"/>
        <v>45</v>
      </c>
    </row>
    <row r="193" spans="1:38" s="69" customFormat="1" ht="33" x14ac:dyDescent="0.3">
      <c r="A193" s="130" t="s">
        <v>519</v>
      </c>
      <c r="B193" s="131" t="s">
        <v>520</v>
      </c>
      <c r="C193" s="132" t="s">
        <v>30</v>
      </c>
      <c r="D193" s="133">
        <v>62</v>
      </c>
      <c r="E193" s="75"/>
      <c r="F193" s="75"/>
      <c r="G193" s="75"/>
      <c r="H193" s="76" t="s">
        <v>15</v>
      </c>
      <c r="I193" s="75">
        <v>326.3</v>
      </c>
      <c r="J193" s="75">
        <v>20230.599999999999</v>
      </c>
      <c r="K193" s="91" t="s">
        <v>521</v>
      </c>
      <c r="L193" s="73"/>
      <c r="M193" s="46">
        <v>59</v>
      </c>
      <c r="N193" s="46">
        <v>0</v>
      </c>
      <c r="O193" s="46">
        <v>19251.7</v>
      </c>
      <c r="P193" s="98"/>
      <c r="Q193" s="23" t="s">
        <v>1395</v>
      </c>
      <c r="R193" s="24" t="s">
        <v>520</v>
      </c>
      <c r="S193" s="25" t="s">
        <v>30</v>
      </c>
      <c r="T193" s="26">
        <v>62</v>
      </c>
      <c r="U193" s="26">
        <v>62</v>
      </c>
      <c r="V193" s="26">
        <f t="shared" si="33"/>
        <v>326.3</v>
      </c>
      <c r="W193" s="127">
        <f t="shared" si="34"/>
        <v>0</v>
      </c>
      <c r="X193" s="127">
        <f t="shared" si="35"/>
        <v>59</v>
      </c>
      <c r="Y193" s="127">
        <f t="shared" si="36"/>
        <v>0</v>
      </c>
      <c r="Z193" s="127">
        <f t="shared" si="27"/>
        <v>19251.7</v>
      </c>
      <c r="AA193" s="33" t="s">
        <v>15</v>
      </c>
      <c r="AB193" s="36" t="s">
        <v>16</v>
      </c>
      <c r="AC193" s="181">
        <f t="shared" si="28"/>
        <v>62</v>
      </c>
      <c r="AD193" s="181">
        <f t="shared" si="37"/>
        <v>20230.599999999999</v>
      </c>
      <c r="AE193" s="181">
        <v>1.4</v>
      </c>
      <c r="AF193" s="181">
        <v>1.4</v>
      </c>
      <c r="AG193" s="101" t="str">
        <f t="shared" si="29"/>
        <v/>
      </c>
      <c r="AH193" s="194">
        <v>59</v>
      </c>
      <c r="AI193" s="69">
        <f t="shared" si="30"/>
        <v>62</v>
      </c>
    </row>
    <row r="194" spans="1:38" s="69" customFormat="1" ht="39" x14ac:dyDescent="0.3">
      <c r="A194" s="55" t="s">
        <v>522</v>
      </c>
      <c r="B194" s="53" t="s">
        <v>424</v>
      </c>
      <c r="C194" s="54" t="s">
        <v>50</v>
      </c>
      <c r="D194" s="75">
        <v>275</v>
      </c>
      <c r="E194" s="75"/>
      <c r="F194" s="75"/>
      <c r="G194" s="161"/>
      <c r="H194" s="158">
        <v>2016.9</v>
      </c>
      <c r="I194" s="166">
        <v>692.16</v>
      </c>
      <c r="J194" s="75">
        <v>1396017.5</v>
      </c>
      <c r="K194" s="91" t="s">
        <v>425</v>
      </c>
      <c r="L194" s="73"/>
      <c r="M194" s="46">
        <v>275</v>
      </c>
      <c r="N194" s="46">
        <v>0</v>
      </c>
      <c r="O194" s="46">
        <v>190344</v>
      </c>
      <c r="P194" s="98"/>
      <c r="Q194" s="23" t="s">
        <v>1432</v>
      </c>
      <c r="R194" s="24" t="s">
        <v>424</v>
      </c>
      <c r="S194" s="25" t="s">
        <v>50</v>
      </c>
      <c r="T194" s="26">
        <v>275</v>
      </c>
      <c r="U194" s="26">
        <v>2016.9</v>
      </c>
      <c r="V194" s="26">
        <f t="shared" si="33"/>
        <v>692.16</v>
      </c>
      <c r="W194" s="128">
        <f t="shared" si="34"/>
        <v>0</v>
      </c>
      <c r="X194" s="26">
        <f t="shared" si="35"/>
        <v>275</v>
      </c>
      <c r="Y194" s="26">
        <f t="shared" si="36"/>
        <v>0</v>
      </c>
      <c r="Z194" s="26">
        <f t="shared" si="27"/>
        <v>190344</v>
      </c>
      <c r="AA194" s="33" t="s">
        <v>15</v>
      </c>
      <c r="AB194" s="36" t="s">
        <v>16</v>
      </c>
      <c r="AC194" s="181">
        <f t="shared" si="28"/>
        <v>2016.9</v>
      </c>
      <c r="AD194" s="181">
        <f t="shared" si="37"/>
        <v>1396017.5</v>
      </c>
      <c r="AE194" s="181">
        <v>1.4</v>
      </c>
      <c r="AF194" s="181">
        <v>1.4</v>
      </c>
      <c r="AG194" s="101" t="str">
        <f t="shared" si="29"/>
        <v/>
      </c>
      <c r="AH194" s="191">
        <v>275</v>
      </c>
      <c r="AI194" s="69">
        <f t="shared" si="30"/>
        <v>275</v>
      </c>
    </row>
    <row r="195" spans="1:38" s="69" customFormat="1" ht="41.25" x14ac:dyDescent="0.3">
      <c r="A195" s="130" t="s">
        <v>523</v>
      </c>
      <c r="B195" s="131" t="s">
        <v>524</v>
      </c>
      <c r="C195" s="132" t="s">
        <v>30</v>
      </c>
      <c r="D195" s="133">
        <v>429</v>
      </c>
      <c r="E195" s="75"/>
      <c r="F195" s="75"/>
      <c r="G195" s="161"/>
      <c r="H195" s="158" t="s">
        <v>15</v>
      </c>
      <c r="I195" s="166">
        <v>1707.13</v>
      </c>
      <c r="J195" s="75">
        <v>0</v>
      </c>
      <c r="K195" s="91" t="s">
        <v>525</v>
      </c>
      <c r="L195" s="73"/>
      <c r="M195" s="46">
        <v>0</v>
      </c>
      <c r="N195" s="46">
        <v>0</v>
      </c>
      <c r="O195" s="46">
        <v>0</v>
      </c>
      <c r="P195" s="98"/>
      <c r="Q195" s="23" t="s">
        <v>1433</v>
      </c>
      <c r="R195" s="24" t="s">
        <v>524</v>
      </c>
      <c r="S195" s="25" t="s">
        <v>30</v>
      </c>
      <c r="T195" s="26">
        <v>429</v>
      </c>
      <c r="U195" s="26">
        <v>0</v>
      </c>
      <c r="V195" s="26">
        <f t="shared" si="33"/>
        <v>1707.13</v>
      </c>
      <c r="W195" s="127">
        <f t="shared" si="34"/>
        <v>0</v>
      </c>
      <c r="X195" s="127">
        <f t="shared" si="35"/>
        <v>0</v>
      </c>
      <c r="Y195" s="127">
        <f t="shared" si="36"/>
        <v>0</v>
      </c>
      <c r="Z195" s="127">
        <f t="shared" si="27"/>
        <v>0</v>
      </c>
      <c r="AA195" s="33" t="s">
        <v>15</v>
      </c>
      <c r="AB195" s="36" t="s">
        <v>16</v>
      </c>
      <c r="AC195" s="181">
        <f t="shared" si="28"/>
        <v>0</v>
      </c>
      <c r="AD195" s="181">
        <f t="shared" si="37"/>
        <v>0</v>
      </c>
      <c r="AE195" s="181">
        <v>1.4</v>
      </c>
      <c r="AF195" s="181">
        <v>1.4</v>
      </c>
      <c r="AG195" s="101" t="str">
        <f t="shared" si="29"/>
        <v/>
      </c>
      <c r="AH195" s="190">
        <v>0</v>
      </c>
      <c r="AI195" s="69">
        <f t="shared" si="30"/>
        <v>429</v>
      </c>
    </row>
    <row r="196" spans="1:38" s="69" customFormat="1" ht="39" x14ac:dyDescent="0.3">
      <c r="A196" s="55" t="s">
        <v>526</v>
      </c>
      <c r="B196" s="53" t="s">
        <v>527</v>
      </c>
      <c r="C196" s="54" t="s">
        <v>34</v>
      </c>
      <c r="D196" s="75">
        <v>1597.5</v>
      </c>
      <c r="E196" s="75"/>
      <c r="F196" s="75"/>
      <c r="G196" s="161"/>
      <c r="H196" s="158">
        <v>2059.1999999999998</v>
      </c>
      <c r="I196" s="166">
        <v>49</v>
      </c>
      <c r="J196" s="75">
        <v>100900.8</v>
      </c>
      <c r="K196" s="91" t="s">
        <v>528</v>
      </c>
      <c r="L196" s="73"/>
      <c r="M196" s="46">
        <v>1530</v>
      </c>
      <c r="N196" s="46">
        <v>0</v>
      </c>
      <c r="O196" s="46">
        <v>74970</v>
      </c>
      <c r="P196" s="98"/>
      <c r="Q196" s="23" t="s">
        <v>1382</v>
      </c>
      <c r="R196" s="24" t="s">
        <v>527</v>
      </c>
      <c r="S196" s="25" t="s">
        <v>34</v>
      </c>
      <c r="T196" s="26">
        <v>1597.5</v>
      </c>
      <c r="U196" s="26">
        <v>2059.1999999999998</v>
      </c>
      <c r="V196" s="26">
        <f t="shared" si="33"/>
        <v>49</v>
      </c>
      <c r="W196" s="128">
        <f t="shared" si="34"/>
        <v>0</v>
      </c>
      <c r="X196" s="26">
        <f t="shared" si="35"/>
        <v>1530</v>
      </c>
      <c r="Y196" s="26">
        <f t="shared" si="36"/>
        <v>0</v>
      </c>
      <c r="Z196" s="26">
        <f t="shared" si="27"/>
        <v>74970</v>
      </c>
      <c r="AA196" s="33" t="s">
        <v>15</v>
      </c>
      <c r="AB196" s="36" t="s">
        <v>16</v>
      </c>
      <c r="AC196" s="181">
        <f t="shared" si="28"/>
        <v>2059.1999999999998</v>
      </c>
      <c r="AD196" s="181">
        <f t="shared" si="37"/>
        <v>100900.8</v>
      </c>
      <c r="AE196" s="181">
        <v>1.4</v>
      </c>
      <c r="AF196" s="181">
        <v>1.4</v>
      </c>
      <c r="AG196" s="101" t="str">
        <f t="shared" si="29"/>
        <v/>
      </c>
      <c r="AH196" s="191">
        <v>1530</v>
      </c>
      <c r="AI196" s="69">
        <f t="shared" si="30"/>
        <v>1597.5</v>
      </c>
    </row>
    <row r="197" spans="1:38" s="69" customFormat="1" ht="39" x14ac:dyDescent="0.3">
      <c r="A197" s="134" t="s">
        <v>1324</v>
      </c>
      <c r="B197" s="135" t="s">
        <v>1325</v>
      </c>
      <c r="C197" s="204" t="s">
        <v>23</v>
      </c>
      <c r="D197" s="216"/>
      <c r="E197" s="117">
        <v>1362.5</v>
      </c>
      <c r="F197" s="77"/>
      <c r="G197" s="226"/>
      <c r="H197" s="230" t="s">
        <v>15</v>
      </c>
      <c r="I197" s="178">
        <v>926.62</v>
      </c>
      <c r="J197" s="59">
        <v>1262519.75</v>
      </c>
      <c r="K197" s="92"/>
      <c r="L197" s="73"/>
      <c r="M197" s="46">
        <v>1345</v>
      </c>
      <c r="N197" s="46">
        <v>0</v>
      </c>
      <c r="O197" s="46">
        <v>1246303.8999999999</v>
      </c>
      <c r="P197" s="98"/>
      <c r="Q197" s="23" t="s">
        <v>1434</v>
      </c>
      <c r="R197" s="24" t="s">
        <v>1498</v>
      </c>
      <c r="S197" s="25" t="s">
        <v>23</v>
      </c>
      <c r="T197" s="26">
        <v>0</v>
      </c>
      <c r="U197" s="26">
        <v>1362.5</v>
      </c>
      <c r="V197" s="26">
        <f t="shared" si="33"/>
        <v>926.62</v>
      </c>
      <c r="W197" s="127">
        <f t="shared" si="34"/>
        <v>0</v>
      </c>
      <c r="X197" s="127">
        <f t="shared" si="35"/>
        <v>1345</v>
      </c>
      <c r="Y197" s="127">
        <f t="shared" si="36"/>
        <v>0</v>
      </c>
      <c r="Z197" s="127">
        <f t="shared" si="27"/>
        <v>1246303.8999999999</v>
      </c>
      <c r="AA197" s="27"/>
      <c r="AB197" s="36" t="s">
        <v>16</v>
      </c>
      <c r="AC197" s="181">
        <f t="shared" si="28"/>
        <v>1362.5</v>
      </c>
      <c r="AD197" s="181">
        <f t="shared" si="37"/>
        <v>1262519.75</v>
      </c>
      <c r="AE197" s="181">
        <v>1.4</v>
      </c>
      <c r="AF197" s="181">
        <v>1.4</v>
      </c>
      <c r="AG197" s="101" t="str">
        <f t="shared" si="29"/>
        <v/>
      </c>
      <c r="AH197" s="194">
        <v>1345</v>
      </c>
      <c r="AI197" s="69">
        <f t="shared" si="30"/>
        <v>1362.5</v>
      </c>
    </row>
    <row r="198" spans="1:38" ht="39" x14ac:dyDescent="0.3">
      <c r="A198" s="134" t="s">
        <v>1326</v>
      </c>
      <c r="B198" s="135" t="s">
        <v>3136</v>
      </c>
      <c r="C198" s="204" t="s">
        <v>50</v>
      </c>
      <c r="D198" s="216"/>
      <c r="E198" s="78"/>
      <c r="F198" s="62">
        <v>548.70000000000005</v>
      </c>
      <c r="G198" s="163"/>
      <c r="H198" s="62">
        <v>805.73</v>
      </c>
      <c r="I198" s="167">
        <v>3120.78</v>
      </c>
      <c r="J198" s="62">
        <v>2514506.0699999998</v>
      </c>
      <c r="K198" s="93"/>
      <c r="M198" s="46">
        <v>672.3</v>
      </c>
      <c r="N198" s="46">
        <v>0</v>
      </c>
      <c r="O198" s="46">
        <v>2098100.39</v>
      </c>
      <c r="P198" s="98"/>
      <c r="Q198" s="23" t="s">
        <v>1388</v>
      </c>
      <c r="R198" s="24" t="s">
        <v>1327</v>
      </c>
      <c r="S198" s="25" t="s">
        <v>50</v>
      </c>
      <c r="T198" s="26">
        <v>0</v>
      </c>
      <c r="U198" s="26">
        <v>805.73</v>
      </c>
      <c r="V198" s="26">
        <f t="shared" si="33"/>
        <v>3120.78</v>
      </c>
      <c r="W198" s="128">
        <f t="shared" si="34"/>
        <v>0</v>
      </c>
      <c r="X198" s="127">
        <f t="shared" si="35"/>
        <v>672.3</v>
      </c>
      <c r="Y198" s="127">
        <f t="shared" si="36"/>
        <v>0</v>
      </c>
      <c r="Z198" s="127">
        <f>ROUND(V198*X198,2)</f>
        <v>2098100.39</v>
      </c>
      <c r="AA198" s="27"/>
      <c r="AB198" s="36" t="s">
        <v>16</v>
      </c>
      <c r="AC198" s="181">
        <f t="shared" si="28"/>
        <v>805.73</v>
      </c>
      <c r="AD198" s="181">
        <f t="shared" si="37"/>
        <v>2514506.0699999998</v>
      </c>
      <c r="AE198" s="181">
        <v>1.4</v>
      </c>
      <c r="AF198" s="181">
        <v>1.4</v>
      </c>
      <c r="AG198" s="101" t="str">
        <f t="shared" si="29"/>
        <v>超估</v>
      </c>
      <c r="AH198" s="191">
        <v>672.3</v>
      </c>
      <c r="AI198" s="69">
        <f t="shared" si="30"/>
        <v>548.70000000000005</v>
      </c>
    </row>
    <row r="199" spans="1:38" ht="49.5" x14ac:dyDescent="0.3">
      <c r="A199" s="134" t="s">
        <v>1328</v>
      </c>
      <c r="B199" s="139" t="s">
        <v>1329</v>
      </c>
      <c r="C199" s="204" t="s">
        <v>30</v>
      </c>
      <c r="D199" s="216"/>
      <c r="E199" s="78"/>
      <c r="F199" s="62">
        <v>410</v>
      </c>
      <c r="G199" s="163"/>
      <c r="H199" s="62" t="s">
        <v>15</v>
      </c>
      <c r="I199" s="167">
        <v>5733.63</v>
      </c>
      <c r="J199" s="62">
        <v>2350788.2999999998</v>
      </c>
      <c r="K199" s="93"/>
      <c r="M199" s="46">
        <v>410</v>
      </c>
      <c r="N199" s="46">
        <v>0</v>
      </c>
      <c r="O199" s="46">
        <v>2350788.2999999998</v>
      </c>
      <c r="P199" s="98"/>
      <c r="Q199" s="23" t="s">
        <v>1389</v>
      </c>
      <c r="R199" s="24" t="s">
        <v>1329</v>
      </c>
      <c r="S199" s="25" t="s">
        <v>30</v>
      </c>
      <c r="T199" s="26">
        <v>0</v>
      </c>
      <c r="U199" s="26">
        <v>410</v>
      </c>
      <c r="V199" s="26">
        <f t="shared" si="33"/>
        <v>5733.63</v>
      </c>
      <c r="W199" s="127">
        <f t="shared" si="34"/>
        <v>0</v>
      </c>
      <c r="X199" s="127">
        <f t="shared" si="35"/>
        <v>410</v>
      </c>
      <c r="Y199" s="127">
        <f t="shared" si="36"/>
        <v>0</v>
      </c>
      <c r="Z199" s="127">
        <f t="shared" si="27"/>
        <v>2350788.2999999998</v>
      </c>
      <c r="AA199" s="27"/>
      <c r="AB199" s="36" t="s">
        <v>16</v>
      </c>
      <c r="AC199" s="181">
        <f t="shared" si="28"/>
        <v>410</v>
      </c>
      <c r="AD199" s="181">
        <f t="shared" si="37"/>
        <v>2350788.2999999998</v>
      </c>
      <c r="AE199" s="181">
        <v>1.4</v>
      </c>
      <c r="AF199" s="181">
        <v>1.4</v>
      </c>
      <c r="AG199" s="101" t="str">
        <f t="shared" si="29"/>
        <v/>
      </c>
      <c r="AH199" s="190">
        <v>410</v>
      </c>
      <c r="AI199" s="69">
        <f t="shared" si="30"/>
        <v>410</v>
      </c>
    </row>
    <row r="200" spans="1:38" ht="58.5" x14ac:dyDescent="0.3">
      <c r="A200" s="134" t="s">
        <v>1330</v>
      </c>
      <c r="B200" s="135" t="s">
        <v>3135</v>
      </c>
      <c r="C200" s="204" t="s">
        <v>23</v>
      </c>
      <c r="D200" s="216"/>
      <c r="E200" s="78"/>
      <c r="F200" s="62">
        <v>690</v>
      </c>
      <c r="G200" s="163"/>
      <c r="H200" s="62">
        <v>1526.83</v>
      </c>
      <c r="I200" s="167">
        <v>3832.97</v>
      </c>
      <c r="J200" s="62">
        <v>5852293.5899999999</v>
      </c>
      <c r="K200" s="93"/>
      <c r="M200" s="46">
        <v>1469.66</v>
      </c>
      <c r="N200" s="46">
        <v>0</v>
      </c>
      <c r="O200" s="46">
        <v>5633162.6900000004</v>
      </c>
      <c r="P200" s="98"/>
      <c r="Q200" s="23" t="s">
        <v>1390</v>
      </c>
      <c r="R200" s="24" t="s">
        <v>1331</v>
      </c>
      <c r="S200" s="25" t="s">
        <v>23</v>
      </c>
      <c r="T200" s="26">
        <v>0</v>
      </c>
      <c r="U200" s="26">
        <v>1526.83</v>
      </c>
      <c r="V200" s="26">
        <f t="shared" si="33"/>
        <v>3832.97</v>
      </c>
      <c r="W200" s="128">
        <f t="shared" si="34"/>
        <v>0</v>
      </c>
      <c r="X200" s="127">
        <f t="shared" si="35"/>
        <v>1469.66</v>
      </c>
      <c r="Y200" s="127">
        <f t="shared" si="36"/>
        <v>0</v>
      </c>
      <c r="Z200" s="127">
        <f t="shared" si="27"/>
        <v>5633162.6900000004</v>
      </c>
      <c r="AA200" s="27"/>
      <c r="AB200" s="36" t="s">
        <v>16</v>
      </c>
      <c r="AC200" s="181">
        <f t="shared" si="28"/>
        <v>1526.83</v>
      </c>
      <c r="AD200" s="181">
        <f t="shared" si="37"/>
        <v>5852293.5899999999</v>
      </c>
      <c r="AE200" s="181">
        <v>1.4</v>
      </c>
      <c r="AF200" s="181">
        <v>1.4</v>
      </c>
      <c r="AG200" s="101" t="str">
        <f t="shared" si="29"/>
        <v>超估</v>
      </c>
      <c r="AH200" s="191">
        <v>1469.66</v>
      </c>
      <c r="AI200" s="69">
        <f t="shared" si="30"/>
        <v>690</v>
      </c>
    </row>
    <row r="201" spans="1:38" ht="33" x14ac:dyDescent="0.3">
      <c r="A201" s="134" t="s">
        <v>1332</v>
      </c>
      <c r="B201" s="135" t="s">
        <v>1333</v>
      </c>
      <c r="C201" s="204" t="s">
        <v>50</v>
      </c>
      <c r="D201" s="216"/>
      <c r="E201" s="78"/>
      <c r="F201" s="62">
        <v>48</v>
      </c>
      <c r="G201" s="163"/>
      <c r="H201" s="62" t="s">
        <v>15</v>
      </c>
      <c r="I201" s="167">
        <v>695.25</v>
      </c>
      <c r="J201" s="62">
        <v>33372</v>
      </c>
      <c r="K201" s="93"/>
      <c r="M201" s="46">
        <v>48</v>
      </c>
      <c r="N201" s="46">
        <v>0</v>
      </c>
      <c r="O201" s="46">
        <v>33372</v>
      </c>
      <c r="P201" s="98"/>
      <c r="Q201" s="23" t="s">
        <v>1391</v>
      </c>
      <c r="R201" s="24" t="s">
        <v>1333</v>
      </c>
      <c r="S201" s="25" t="s">
        <v>50</v>
      </c>
      <c r="T201" s="26">
        <v>0</v>
      </c>
      <c r="U201" s="26">
        <v>48</v>
      </c>
      <c r="V201" s="26">
        <f t="shared" si="33"/>
        <v>695.25</v>
      </c>
      <c r="W201" s="127">
        <f t="shared" si="34"/>
        <v>0</v>
      </c>
      <c r="X201" s="127">
        <f t="shared" si="35"/>
        <v>48</v>
      </c>
      <c r="Y201" s="127">
        <f t="shared" si="36"/>
        <v>0</v>
      </c>
      <c r="Z201" s="127">
        <f t="shared" si="27"/>
        <v>33372</v>
      </c>
      <c r="AA201" s="27"/>
      <c r="AB201" s="36" t="s">
        <v>16</v>
      </c>
      <c r="AC201" s="181">
        <f t="shared" si="28"/>
        <v>48</v>
      </c>
      <c r="AD201" s="181">
        <f t="shared" si="37"/>
        <v>33372</v>
      </c>
      <c r="AE201" s="181">
        <v>1.4</v>
      </c>
      <c r="AF201" s="181">
        <v>1.4</v>
      </c>
      <c r="AG201" s="101" t="str">
        <f t="shared" si="29"/>
        <v/>
      </c>
      <c r="AH201" s="190">
        <v>48</v>
      </c>
      <c r="AI201" s="69">
        <f t="shared" si="30"/>
        <v>48</v>
      </c>
    </row>
    <row r="202" spans="1:38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227"/>
      <c r="H202" s="231" t="s">
        <v>15</v>
      </c>
      <c r="I202" s="228"/>
      <c r="J202" s="82">
        <v>33543936.84</v>
      </c>
      <c r="K202" s="94" t="s">
        <v>15</v>
      </c>
      <c r="L202" s="73"/>
      <c r="M202" s="45">
        <v>1</v>
      </c>
      <c r="N202" s="45">
        <v>0</v>
      </c>
      <c r="O202" s="45">
        <v>32526947.079999998</v>
      </c>
      <c r="P202" s="98"/>
      <c r="Q202" s="18" t="s">
        <v>1392</v>
      </c>
      <c r="R202" s="19" t="s">
        <v>530</v>
      </c>
      <c r="S202" s="20" t="s">
        <v>14</v>
      </c>
      <c r="T202" s="21">
        <v>1</v>
      </c>
      <c r="U202" s="21"/>
      <c r="V202" s="21">
        <f>SUMIFS(AD:AD,AE:AE,AE202)</f>
        <v>33543936.840000004</v>
      </c>
      <c r="W202" s="21">
        <f t="shared" ref="W202:X202" si="38">IF(Y202=0,0,1)</f>
        <v>0</v>
      </c>
      <c r="X202" s="21">
        <f t="shared" si="38"/>
        <v>1</v>
      </c>
      <c r="Y202" s="21">
        <f>SUMIFS(Y:Y,AF:AF,AE202)</f>
        <v>0</v>
      </c>
      <c r="Z202" s="21">
        <f>SUMIFS(Z:Z,AF:AF,AE202)</f>
        <v>32526947.079999998</v>
      </c>
      <c r="AA202" s="22" t="s">
        <v>15</v>
      </c>
      <c r="AB202" s="43" t="s">
        <v>16</v>
      </c>
      <c r="AC202" s="181">
        <f t="shared" si="28"/>
        <v>1</v>
      </c>
      <c r="AD202" s="181"/>
      <c r="AE202" s="184">
        <v>1.5</v>
      </c>
      <c r="AF202" s="184"/>
      <c r="AG202" s="101" t="str">
        <f t="shared" si="29"/>
        <v/>
      </c>
      <c r="AH202" s="190">
        <v>1</v>
      </c>
      <c r="AI202" s="69">
        <f t="shared" si="30"/>
        <v>1</v>
      </c>
    </row>
    <row r="203" spans="1:38" s="69" customFormat="1" ht="49.5" customHeight="1" x14ac:dyDescent="0.3">
      <c r="A203" s="130" t="s">
        <v>531</v>
      </c>
      <c r="B203" s="131" t="s">
        <v>392</v>
      </c>
      <c r="C203" s="132" t="s">
        <v>23</v>
      </c>
      <c r="D203" s="133">
        <v>250</v>
      </c>
      <c r="E203" s="75"/>
      <c r="F203" s="75"/>
      <c r="G203" s="75"/>
      <c r="H203" s="239">
        <v>11.7</v>
      </c>
      <c r="I203" s="75">
        <v>3115.13</v>
      </c>
      <c r="J203" s="75">
        <v>36447.019999999997</v>
      </c>
      <c r="K203" s="91" t="s">
        <v>114</v>
      </c>
      <c r="L203" s="73"/>
      <c r="M203" s="46">
        <v>11.7</v>
      </c>
      <c r="N203" s="46">
        <v>0</v>
      </c>
      <c r="O203" s="46">
        <v>36447.019999999997</v>
      </c>
      <c r="P203" s="98"/>
      <c r="Q203" s="23" t="s">
        <v>1421</v>
      </c>
      <c r="R203" s="24" t="s">
        <v>392</v>
      </c>
      <c r="S203" s="25" t="s">
        <v>23</v>
      </c>
      <c r="T203" s="26">
        <v>250</v>
      </c>
      <c r="U203" s="26">
        <v>11.7</v>
      </c>
      <c r="V203" s="26">
        <v>3115.13</v>
      </c>
      <c r="W203" s="127">
        <f t="shared" ref="W203:W219" si="39">AH203-M203</f>
        <v>0</v>
      </c>
      <c r="X203" s="127">
        <f t="shared" si="35"/>
        <v>11.7</v>
      </c>
      <c r="Y203" s="127">
        <f t="shared" ref="Y203:Y219" si="40">Z203-O203</f>
        <v>0</v>
      </c>
      <c r="Z203" s="127">
        <f t="shared" si="27"/>
        <v>36447.019999999997</v>
      </c>
      <c r="AA203" s="33" t="s">
        <v>15</v>
      </c>
      <c r="AB203" s="36" t="s">
        <v>16</v>
      </c>
      <c r="AC203" s="181">
        <f t="shared" ref="AC203:AC266" si="41">IF(U203="",T203,U203)</f>
        <v>11.7</v>
      </c>
      <c r="AD203" s="181">
        <f t="shared" si="37"/>
        <v>36447.019999999997</v>
      </c>
      <c r="AE203" s="181">
        <v>1.5</v>
      </c>
      <c r="AF203" s="181">
        <v>1.5</v>
      </c>
      <c r="AG203" s="101" t="str">
        <f t="shared" ref="AG203:AG266" si="42">IF(X203&gt;AI203,"超估","")</f>
        <v/>
      </c>
      <c r="AH203" s="190">
        <v>11.7</v>
      </c>
      <c r="AI203" s="69">
        <f t="shared" ref="AI203:AI266" si="43">IF(G203=0,IF(F203=0,IF(E203=0,D203,E203),F203),G203)</f>
        <v>250</v>
      </c>
    </row>
    <row r="204" spans="1:38" s="69" customFormat="1" ht="49.5" customHeight="1" x14ac:dyDescent="0.3">
      <c r="A204" s="130" t="s">
        <v>532</v>
      </c>
      <c r="B204" s="131" t="s">
        <v>116</v>
      </c>
      <c r="C204" s="132" t="s">
        <v>23</v>
      </c>
      <c r="D204" s="133">
        <v>2474</v>
      </c>
      <c r="E204" s="75"/>
      <c r="F204" s="75"/>
      <c r="G204" s="75"/>
      <c r="H204" s="75">
        <v>2593.6999999999998</v>
      </c>
      <c r="I204" s="75">
        <v>3321.13</v>
      </c>
      <c r="J204" s="75">
        <v>8614014.8800000008</v>
      </c>
      <c r="K204" s="91" t="s">
        <v>117</v>
      </c>
      <c r="L204" s="73"/>
      <c r="M204" s="46">
        <v>2473.35</v>
      </c>
      <c r="N204" s="46">
        <v>0</v>
      </c>
      <c r="O204" s="46">
        <v>8214316.8899999997</v>
      </c>
      <c r="P204" s="98"/>
      <c r="Q204" s="23" t="s">
        <v>1426</v>
      </c>
      <c r="R204" s="24" t="s">
        <v>116</v>
      </c>
      <c r="S204" s="25" t="s">
        <v>23</v>
      </c>
      <c r="T204" s="26">
        <v>2474</v>
      </c>
      <c r="U204" s="26">
        <v>2593.6999999999998</v>
      </c>
      <c r="V204" s="26">
        <v>3321.13</v>
      </c>
      <c r="W204" s="127">
        <f t="shared" si="39"/>
        <v>0</v>
      </c>
      <c r="X204" s="127">
        <f t="shared" si="35"/>
        <v>2473.35</v>
      </c>
      <c r="Y204" s="127">
        <f t="shared" si="40"/>
        <v>0</v>
      </c>
      <c r="Z204" s="127">
        <f t="shared" ref="Z204:Z267" si="44">ROUND(V204*X204,2)</f>
        <v>8214316.8899999997</v>
      </c>
      <c r="AA204" s="33" t="s">
        <v>15</v>
      </c>
      <c r="AB204" s="36" t="s">
        <v>16</v>
      </c>
      <c r="AC204" s="181">
        <f t="shared" si="41"/>
        <v>2593.6999999999998</v>
      </c>
      <c r="AD204" s="181">
        <f t="shared" si="37"/>
        <v>8614014.8800000008</v>
      </c>
      <c r="AE204" s="181">
        <v>1.5</v>
      </c>
      <c r="AF204" s="181">
        <v>1.5</v>
      </c>
      <c r="AG204" s="101" t="str">
        <f t="shared" si="42"/>
        <v/>
      </c>
      <c r="AH204" s="194">
        <v>2473.35</v>
      </c>
      <c r="AI204" s="69">
        <f t="shared" si="43"/>
        <v>2474</v>
      </c>
      <c r="AL204" s="196">
        <v>2782.2855</v>
      </c>
    </row>
    <row r="205" spans="1:38" s="69" customFormat="1" ht="49.5" customHeight="1" x14ac:dyDescent="0.3">
      <c r="A205" s="130" t="s">
        <v>533</v>
      </c>
      <c r="B205" s="131" t="s">
        <v>534</v>
      </c>
      <c r="C205" s="132" t="s">
        <v>23</v>
      </c>
      <c r="D205" s="133">
        <v>1187</v>
      </c>
      <c r="E205" s="75"/>
      <c r="F205" s="75"/>
      <c r="G205" s="75"/>
      <c r="H205" s="75">
        <v>1256.1500000000001</v>
      </c>
      <c r="I205" s="75">
        <v>1749.25</v>
      </c>
      <c r="J205" s="75">
        <v>2197320.39</v>
      </c>
      <c r="K205" s="91" t="s">
        <v>535</v>
      </c>
      <c r="L205" s="73"/>
      <c r="M205" s="46">
        <v>1187</v>
      </c>
      <c r="N205" s="46">
        <v>0</v>
      </c>
      <c r="O205" s="46">
        <v>2076359.75</v>
      </c>
      <c r="P205" s="98"/>
      <c r="Q205" s="23" t="s">
        <v>1402</v>
      </c>
      <c r="R205" s="24" t="s">
        <v>534</v>
      </c>
      <c r="S205" s="25" t="s">
        <v>23</v>
      </c>
      <c r="T205" s="26">
        <v>1187</v>
      </c>
      <c r="U205" s="26">
        <v>1256.1500000000001</v>
      </c>
      <c r="V205" s="26">
        <v>1749.25</v>
      </c>
      <c r="W205" s="127">
        <f t="shared" si="39"/>
        <v>0</v>
      </c>
      <c r="X205" s="127">
        <f t="shared" si="35"/>
        <v>1187</v>
      </c>
      <c r="Y205" s="127">
        <f t="shared" si="40"/>
        <v>0</v>
      </c>
      <c r="Z205" s="127">
        <f t="shared" si="44"/>
        <v>2076359.75</v>
      </c>
      <c r="AA205" s="33" t="s">
        <v>15</v>
      </c>
      <c r="AB205" s="36" t="s">
        <v>16</v>
      </c>
      <c r="AC205" s="181">
        <f t="shared" si="41"/>
        <v>1256.1500000000001</v>
      </c>
      <c r="AD205" s="181">
        <f t="shared" si="37"/>
        <v>2197320.39</v>
      </c>
      <c r="AE205" s="181">
        <v>1.5</v>
      </c>
      <c r="AF205" s="181">
        <v>1.5</v>
      </c>
      <c r="AG205" s="101" t="str">
        <f t="shared" si="42"/>
        <v/>
      </c>
      <c r="AH205" s="194">
        <v>1187</v>
      </c>
      <c r="AI205" s="69">
        <f t="shared" si="43"/>
        <v>1187</v>
      </c>
      <c r="AL205" s="195">
        <v>1161.5828000000001</v>
      </c>
    </row>
    <row r="206" spans="1:38" s="69" customFormat="1" ht="39" x14ac:dyDescent="0.3">
      <c r="A206" s="130" t="s">
        <v>536</v>
      </c>
      <c r="B206" s="131" t="s">
        <v>493</v>
      </c>
      <c r="C206" s="132" t="s">
        <v>23</v>
      </c>
      <c r="D206" s="133">
        <v>3911</v>
      </c>
      <c r="E206" s="75"/>
      <c r="F206" s="75"/>
      <c r="G206" s="75"/>
      <c r="H206" s="75" t="s">
        <v>15</v>
      </c>
      <c r="I206" s="75">
        <v>200</v>
      </c>
      <c r="J206" s="75">
        <v>782200</v>
      </c>
      <c r="K206" s="91" t="s">
        <v>494</v>
      </c>
      <c r="L206" s="73"/>
      <c r="M206" s="46">
        <v>3672.05</v>
      </c>
      <c r="N206" s="46">
        <v>0</v>
      </c>
      <c r="O206" s="46">
        <v>734410</v>
      </c>
      <c r="P206" s="98"/>
      <c r="Q206" s="23" t="s">
        <v>1373</v>
      </c>
      <c r="R206" s="24" t="s">
        <v>493</v>
      </c>
      <c r="S206" s="25" t="s">
        <v>23</v>
      </c>
      <c r="T206" s="26">
        <v>3911</v>
      </c>
      <c r="U206" s="26">
        <v>3911</v>
      </c>
      <c r="V206" s="26">
        <v>200</v>
      </c>
      <c r="W206" s="127">
        <f t="shared" si="39"/>
        <v>0</v>
      </c>
      <c r="X206" s="127">
        <f t="shared" si="35"/>
        <v>3672.05</v>
      </c>
      <c r="Y206" s="127">
        <f t="shared" si="40"/>
        <v>0</v>
      </c>
      <c r="Z206" s="127">
        <f t="shared" si="44"/>
        <v>734410</v>
      </c>
      <c r="AA206" s="33" t="s">
        <v>15</v>
      </c>
      <c r="AB206" s="36" t="s">
        <v>16</v>
      </c>
      <c r="AC206" s="181">
        <f t="shared" si="41"/>
        <v>3911</v>
      </c>
      <c r="AD206" s="181">
        <f t="shared" si="37"/>
        <v>782200</v>
      </c>
      <c r="AE206" s="181">
        <v>1.5</v>
      </c>
      <c r="AF206" s="181">
        <v>1.5</v>
      </c>
      <c r="AG206" s="101" t="str">
        <f t="shared" si="42"/>
        <v/>
      </c>
      <c r="AH206" s="194">
        <v>3672.05</v>
      </c>
      <c r="AI206" s="69">
        <f t="shared" si="43"/>
        <v>3911</v>
      </c>
      <c r="AL206" s="198">
        <f>AL203+AL204+AL205</f>
        <v>3943.8683000000001</v>
      </c>
    </row>
    <row r="207" spans="1:38" s="69" customFormat="1" ht="57.75" x14ac:dyDescent="0.3">
      <c r="A207" s="130" t="s">
        <v>537</v>
      </c>
      <c r="B207" s="131" t="s">
        <v>405</v>
      </c>
      <c r="C207" s="132" t="s">
        <v>50</v>
      </c>
      <c r="D207" s="133">
        <v>3820</v>
      </c>
      <c r="E207" s="75"/>
      <c r="F207" s="75">
        <v>4730</v>
      </c>
      <c r="G207" s="75"/>
      <c r="H207" s="75">
        <v>5411.06</v>
      </c>
      <c r="I207" s="75">
        <v>982.98</v>
      </c>
      <c r="J207" s="75">
        <v>5318963.76</v>
      </c>
      <c r="K207" s="91" t="s">
        <v>406</v>
      </c>
      <c r="L207" s="73"/>
      <c r="M207" s="46">
        <v>5409.2</v>
      </c>
      <c r="N207" s="46">
        <v>0</v>
      </c>
      <c r="O207" s="46">
        <v>5317135.42</v>
      </c>
      <c r="P207" s="98"/>
      <c r="Q207" s="23" t="s">
        <v>1393</v>
      </c>
      <c r="R207" s="24" t="s">
        <v>405</v>
      </c>
      <c r="S207" s="25" t="s">
        <v>50</v>
      </c>
      <c r="T207" s="26">
        <v>3820</v>
      </c>
      <c r="U207" s="26">
        <v>5411.06</v>
      </c>
      <c r="V207" s="26">
        <v>982.98</v>
      </c>
      <c r="W207" s="127">
        <f t="shared" si="39"/>
        <v>0</v>
      </c>
      <c r="X207" s="127">
        <f t="shared" si="35"/>
        <v>5409.2</v>
      </c>
      <c r="Y207" s="127">
        <f t="shared" si="40"/>
        <v>0</v>
      </c>
      <c r="Z207" s="127">
        <f t="shared" si="44"/>
        <v>5317135.42</v>
      </c>
      <c r="AA207" s="27" t="s">
        <v>15</v>
      </c>
      <c r="AB207" s="36" t="s">
        <v>16</v>
      </c>
      <c r="AC207" s="181">
        <f t="shared" si="41"/>
        <v>5411.06</v>
      </c>
      <c r="AD207" s="181">
        <f t="shared" si="37"/>
        <v>5318963.76</v>
      </c>
      <c r="AE207" s="181">
        <v>1.5</v>
      </c>
      <c r="AF207" s="181">
        <v>1.5</v>
      </c>
      <c r="AG207" s="101" t="str">
        <f t="shared" si="42"/>
        <v>超估</v>
      </c>
      <c r="AH207" s="191">
        <v>5409.2</v>
      </c>
      <c r="AI207" s="69">
        <f t="shared" si="43"/>
        <v>4730</v>
      </c>
      <c r="AL207" s="195">
        <v>5411.06</v>
      </c>
    </row>
    <row r="208" spans="1:38" s="69" customFormat="1" ht="41.25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203"/>
      <c r="F208" s="203"/>
      <c r="G208" s="203"/>
      <c r="H208" s="203">
        <v>1811.33</v>
      </c>
      <c r="I208" s="75">
        <v>804.79</v>
      </c>
      <c r="J208" s="75">
        <v>1457740.27</v>
      </c>
      <c r="K208" s="91" t="s">
        <v>409</v>
      </c>
      <c r="L208" s="73"/>
      <c r="M208" s="46">
        <v>1796.3</v>
      </c>
      <c r="N208" s="46">
        <v>0</v>
      </c>
      <c r="O208" s="46">
        <v>1445644.28</v>
      </c>
      <c r="P208" s="98"/>
      <c r="Q208" s="23" t="s">
        <v>1403</v>
      </c>
      <c r="R208" s="24" t="s">
        <v>408</v>
      </c>
      <c r="S208" s="25" t="s">
        <v>50</v>
      </c>
      <c r="T208" s="26">
        <v>800</v>
      </c>
      <c r="U208" s="26">
        <v>1811.33</v>
      </c>
      <c r="V208" s="26">
        <v>804.79</v>
      </c>
      <c r="W208" s="127">
        <f t="shared" si="39"/>
        <v>0</v>
      </c>
      <c r="X208" s="127">
        <f t="shared" si="35"/>
        <v>1796.3</v>
      </c>
      <c r="Y208" s="127">
        <f t="shared" si="40"/>
        <v>0</v>
      </c>
      <c r="Z208" s="127">
        <f t="shared" si="44"/>
        <v>1445644.28</v>
      </c>
      <c r="AA208" s="33" t="s">
        <v>15</v>
      </c>
      <c r="AB208" s="36" t="s">
        <v>16</v>
      </c>
      <c r="AC208" s="181">
        <f t="shared" si="41"/>
        <v>1811.33</v>
      </c>
      <c r="AD208" s="181">
        <f t="shared" si="37"/>
        <v>1457740.27</v>
      </c>
      <c r="AE208" s="181">
        <v>1.5</v>
      </c>
      <c r="AF208" s="181">
        <v>1.5</v>
      </c>
      <c r="AG208" s="101" t="str">
        <f t="shared" si="42"/>
        <v>超估</v>
      </c>
      <c r="AH208" s="191">
        <v>1796.3</v>
      </c>
      <c r="AI208" s="69">
        <f t="shared" si="43"/>
        <v>800</v>
      </c>
    </row>
    <row r="209" spans="1:35" s="69" customFormat="1" ht="41.25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203"/>
      <c r="F209" s="203"/>
      <c r="G209" s="203"/>
      <c r="H209" s="203">
        <v>1210.32</v>
      </c>
      <c r="I209" s="75">
        <v>533.64</v>
      </c>
      <c r="J209" s="75">
        <v>645875.16</v>
      </c>
      <c r="K209" s="91" t="s">
        <v>120</v>
      </c>
      <c r="L209" s="73"/>
      <c r="M209" s="46">
        <v>1121.2</v>
      </c>
      <c r="N209" s="46">
        <v>0</v>
      </c>
      <c r="O209" s="46">
        <v>598317.17000000004</v>
      </c>
      <c r="P209" s="98"/>
      <c r="Q209" s="23" t="s">
        <v>1427</v>
      </c>
      <c r="R209" s="24" t="s">
        <v>119</v>
      </c>
      <c r="S209" s="25" t="s">
        <v>50</v>
      </c>
      <c r="T209" s="26">
        <v>258</v>
      </c>
      <c r="U209" s="26">
        <v>1210.32</v>
      </c>
      <c r="V209" s="26">
        <v>533.64</v>
      </c>
      <c r="W209" s="127">
        <f t="shared" si="39"/>
        <v>0</v>
      </c>
      <c r="X209" s="127">
        <f t="shared" si="35"/>
        <v>1121.2</v>
      </c>
      <c r="Y209" s="127">
        <f t="shared" si="40"/>
        <v>0</v>
      </c>
      <c r="Z209" s="127">
        <f t="shared" si="44"/>
        <v>598317.17000000004</v>
      </c>
      <c r="AA209" s="33" t="s">
        <v>15</v>
      </c>
      <c r="AB209" s="36" t="s">
        <v>16</v>
      </c>
      <c r="AC209" s="181">
        <f t="shared" si="41"/>
        <v>1210.32</v>
      </c>
      <c r="AD209" s="181">
        <f t="shared" si="37"/>
        <v>645875.16</v>
      </c>
      <c r="AE209" s="181">
        <v>1.5</v>
      </c>
      <c r="AF209" s="181">
        <v>1.5</v>
      </c>
      <c r="AG209" s="101" t="str">
        <f t="shared" si="42"/>
        <v>超估</v>
      </c>
      <c r="AH209" s="191">
        <v>1121.2</v>
      </c>
      <c r="AI209" s="69">
        <f t="shared" si="43"/>
        <v>258</v>
      </c>
    </row>
    <row r="210" spans="1:35" s="69" customFormat="1" ht="39" x14ac:dyDescent="0.3">
      <c r="A210" s="130" t="s">
        <v>540</v>
      </c>
      <c r="B210" s="131" t="s">
        <v>109</v>
      </c>
      <c r="C210" s="132" t="s">
        <v>110</v>
      </c>
      <c r="D210" s="133">
        <v>133401</v>
      </c>
      <c r="E210" s="203"/>
      <c r="F210" s="203"/>
      <c r="G210" s="203"/>
      <c r="H210" s="203">
        <v>153939.46</v>
      </c>
      <c r="I210" s="75">
        <v>36.4</v>
      </c>
      <c r="J210" s="75">
        <v>5603396.3399999999</v>
      </c>
      <c r="K210" s="91" t="s">
        <v>111</v>
      </c>
      <c r="L210" s="73"/>
      <c r="M210" s="46">
        <v>153669.92000000001</v>
      </c>
      <c r="N210" s="46">
        <v>0</v>
      </c>
      <c r="O210" s="46">
        <v>5593585.0899999999</v>
      </c>
      <c r="P210" s="98"/>
      <c r="Q210" s="23" t="s">
        <v>1428</v>
      </c>
      <c r="R210" s="24" t="s">
        <v>109</v>
      </c>
      <c r="S210" s="25" t="s">
        <v>110</v>
      </c>
      <c r="T210" s="26">
        <v>133401</v>
      </c>
      <c r="U210" s="26">
        <v>153939.46</v>
      </c>
      <c r="V210" s="26">
        <v>36.4</v>
      </c>
      <c r="W210" s="127">
        <f t="shared" si="39"/>
        <v>0</v>
      </c>
      <c r="X210" s="127">
        <f t="shared" si="35"/>
        <v>153669.92000000001</v>
      </c>
      <c r="Y210" s="127">
        <f t="shared" si="40"/>
        <v>0</v>
      </c>
      <c r="Z210" s="127">
        <f t="shared" si="44"/>
        <v>5593585.0899999999</v>
      </c>
      <c r="AA210" s="33" t="s">
        <v>15</v>
      </c>
      <c r="AB210" s="36" t="s">
        <v>16</v>
      </c>
      <c r="AC210" s="181">
        <f t="shared" si="41"/>
        <v>153939.46</v>
      </c>
      <c r="AD210" s="181">
        <f t="shared" si="37"/>
        <v>5603396.3399999999</v>
      </c>
      <c r="AE210" s="181">
        <v>1.5</v>
      </c>
      <c r="AF210" s="181">
        <v>1.5</v>
      </c>
      <c r="AG210" s="101" t="str">
        <f t="shared" si="42"/>
        <v>超估</v>
      </c>
      <c r="AH210" s="191">
        <v>153669.92000000001</v>
      </c>
      <c r="AI210" s="69">
        <f t="shared" si="43"/>
        <v>133401</v>
      </c>
    </row>
    <row r="211" spans="1:35" s="69" customFormat="1" ht="39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203"/>
      <c r="F211" s="203"/>
      <c r="G211" s="203"/>
      <c r="H211" s="203">
        <v>185226.6</v>
      </c>
      <c r="I211" s="75">
        <v>38.71</v>
      </c>
      <c r="J211" s="75">
        <v>7170121.6900000004</v>
      </c>
      <c r="K211" s="91" t="s">
        <v>400</v>
      </c>
      <c r="L211" s="73"/>
      <c r="M211" s="46">
        <v>185029</v>
      </c>
      <c r="N211" s="46">
        <v>0</v>
      </c>
      <c r="O211" s="46">
        <v>7162472.5899999999</v>
      </c>
      <c r="P211" s="98"/>
      <c r="Q211" s="23" t="s">
        <v>1387</v>
      </c>
      <c r="R211" s="24" t="s">
        <v>399</v>
      </c>
      <c r="S211" s="25" t="s">
        <v>110</v>
      </c>
      <c r="T211" s="26">
        <v>118802</v>
      </c>
      <c r="U211" s="26">
        <v>185226.6</v>
      </c>
      <c r="V211" s="26">
        <v>38.71</v>
      </c>
      <c r="W211" s="127">
        <f t="shared" si="39"/>
        <v>0</v>
      </c>
      <c r="X211" s="127">
        <f t="shared" si="35"/>
        <v>185029</v>
      </c>
      <c r="Y211" s="127">
        <f t="shared" si="40"/>
        <v>0</v>
      </c>
      <c r="Z211" s="127">
        <f t="shared" si="44"/>
        <v>7162472.5899999999</v>
      </c>
      <c r="AA211" s="33" t="s">
        <v>15</v>
      </c>
      <c r="AB211" s="36" t="s">
        <v>16</v>
      </c>
      <c r="AC211" s="181">
        <f t="shared" si="41"/>
        <v>185226.6</v>
      </c>
      <c r="AD211" s="181">
        <f t="shared" si="37"/>
        <v>7170121.6900000004</v>
      </c>
      <c r="AE211" s="181">
        <v>1.5</v>
      </c>
      <c r="AF211" s="181">
        <v>1.5</v>
      </c>
      <c r="AG211" s="101" t="str">
        <f t="shared" si="42"/>
        <v>超估</v>
      </c>
      <c r="AH211" s="191">
        <v>185029</v>
      </c>
      <c r="AI211" s="69">
        <f t="shared" si="43"/>
        <v>118802</v>
      </c>
    </row>
    <row r="212" spans="1:35" s="69" customFormat="1" ht="58.5" x14ac:dyDescent="0.3">
      <c r="A212" s="130" t="s">
        <v>542</v>
      </c>
      <c r="B212" s="131" t="s">
        <v>543</v>
      </c>
      <c r="C212" s="132" t="s">
        <v>30</v>
      </c>
      <c r="D212" s="133">
        <v>129</v>
      </c>
      <c r="E212" s="75"/>
      <c r="F212" s="75"/>
      <c r="G212" s="75"/>
      <c r="H212" s="75" t="s">
        <v>15</v>
      </c>
      <c r="I212" s="75">
        <v>2865.95</v>
      </c>
      <c r="J212" s="75">
        <v>369707.55</v>
      </c>
      <c r="K212" s="91" t="s">
        <v>544</v>
      </c>
      <c r="L212" s="73"/>
      <c r="M212" s="46">
        <v>78</v>
      </c>
      <c r="N212" s="46">
        <v>0</v>
      </c>
      <c r="O212" s="46">
        <v>223544.1</v>
      </c>
      <c r="P212" s="98"/>
      <c r="Q212" s="23" t="s">
        <v>1405</v>
      </c>
      <c r="R212" s="24" t="s">
        <v>543</v>
      </c>
      <c r="S212" s="25" t="s">
        <v>30</v>
      </c>
      <c r="T212" s="26">
        <v>129</v>
      </c>
      <c r="U212" s="26">
        <v>129</v>
      </c>
      <c r="V212" s="26">
        <v>2865.95</v>
      </c>
      <c r="W212" s="209">
        <f t="shared" si="39"/>
        <v>0</v>
      </c>
      <c r="X212" s="127">
        <f t="shared" si="35"/>
        <v>78</v>
      </c>
      <c r="Y212" s="127">
        <f t="shared" si="40"/>
        <v>0</v>
      </c>
      <c r="Z212" s="127">
        <f t="shared" si="44"/>
        <v>223544.1</v>
      </c>
      <c r="AA212" s="33" t="s">
        <v>15</v>
      </c>
      <c r="AB212" s="36" t="s">
        <v>16</v>
      </c>
      <c r="AC212" s="181">
        <f t="shared" si="41"/>
        <v>129</v>
      </c>
      <c r="AD212" s="181">
        <f t="shared" si="37"/>
        <v>369707.55</v>
      </c>
      <c r="AE212" s="181">
        <v>1.5</v>
      </c>
      <c r="AF212" s="181">
        <v>1.5</v>
      </c>
      <c r="AG212" s="101" t="str">
        <f t="shared" si="42"/>
        <v/>
      </c>
      <c r="AH212" s="191">
        <f>36+42</f>
        <v>78</v>
      </c>
      <c r="AI212" s="69">
        <f t="shared" si="43"/>
        <v>129</v>
      </c>
    </row>
    <row r="213" spans="1:35" s="69" customFormat="1" ht="58.5" x14ac:dyDescent="0.3">
      <c r="A213" s="130" t="s">
        <v>545</v>
      </c>
      <c r="B213" s="131" t="s">
        <v>546</v>
      </c>
      <c r="C213" s="132" t="s">
        <v>81</v>
      </c>
      <c r="D213" s="133">
        <v>54</v>
      </c>
      <c r="E213" s="75"/>
      <c r="F213" s="75"/>
      <c r="G213" s="75"/>
      <c r="H213" s="75" t="s">
        <v>15</v>
      </c>
      <c r="I213" s="75">
        <v>1478.05</v>
      </c>
      <c r="J213" s="75">
        <v>79814.7</v>
      </c>
      <c r="K213" s="91" t="s">
        <v>547</v>
      </c>
      <c r="L213" s="73"/>
      <c r="M213" s="46">
        <v>33</v>
      </c>
      <c r="N213" s="46">
        <v>0</v>
      </c>
      <c r="O213" s="46">
        <v>48775.65</v>
      </c>
      <c r="P213" s="98"/>
      <c r="Q213" s="23" t="s">
        <v>1406</v>
      </c>
      <c r="R213" s="24" t="s">
        <v>546</v>
      </c>
      <c r="S213" s="25" t="s">
        <v>81</v>
      </c>
      <c r="T213" s="26">
        <v>54</v>
      </c>
      <c r="U213" s="26">
        <v>54</v>
      </c>
      <c r="V213" s="26">
        <v>1478.05</v>
      </c>
      <c r="W213" s="209">
        <f t="shared" si="39"/>
        <v>0</v>
      </c>
      <c r="X213" s="127">
        <f t="shared" si="35"/>
        <v>33</v>
      </c>
      <c r="Y213" s="127">
        <f t="shared" si="40"/>
        <v>0</v>
      </c>
      <c r="Z213" s="127">
        <f t="shared" si="44"/>
        <v>48775.65</v>
      </c>
      <c r="AA213" s="33" t="s">
        <v>15</v>
      </c>
      <c r="AB213" s="36" t="s">
        <v>16</v>
      </c>
      <c r="AC213" s="181">
        <f t="shared" si="41"/>
        <v>54</v>
      </c>
      <c r="AD213" s="181">
        <f t="shared" si="37"/>
        <v>79814.7</v>
      </c>
      <c r="AE213" s="181">
        <v>1.5</v>
      </c>
      <c r="AF213" s="181">
        <v>1.5</v>
      </c>
      <c r="AG213" s="101" t="str">
        <f t="shared" si="42"/>
        <v/>
      </c>
      <c r="AH213" s="191">
        <f>18+15</f>
        <v>33</v>
      </c>
      <c r="AI213" s="69">
        <f t="shared" si="43"/>
        <v>54</v>
      </c>
    </row>
    <row r="214" spans="1:35" s="69" customFormat="1" ht="49.5" x14ac:dyDescent="0.3">
      <c r="A214" s="130" t="s">
        <v>548</v>
      </c>
      <c r="B214" s="240" t="s">
        <v>549</v>
      </c>
      <c r="C214" s="132" t="s">
        <v>30</v>
      </c>
      <c r="D214" s="133">
        <v>170</v>
      </c>
      <c r="E214" s="75"/>
      <c r="F214" s="75"/>
      <c r="G214" s="75"/>
      <c r="H214" s="75" t="s">
        <v>15</v>
      </c>
      <c r="I214" s="75">
        <v>151.72</v>
      </c>
      <c r="J214" s="75">
        <v>25792.400000000001</v>
      </c>
      <c r="K214" s="91" t="s">
        <v>550</v>
      </c>
      <c r="L214" s="73"/>
      <c r="M214" s="46">
        <v>91</v>
      </c>
      <c r="N214" s="46">
        <v>0</v>
      </c>
      <c r="O214" s="46">
        <v>13806.52</v>
      </c>
      <c r="P214" s="98"/>
      <c r="Q214" s="23" t="s">
        <v>1414</v>
      </c>
      <c r="R214" s="24" t="s">
        <v>549</v>
      </c>
      <c r="S214" s="25" t="s">
        <v>30</v>
      </c>
      <c r="T214" s="26">
        <v>170</v>
      </c>
      <c r="U214" s="26">
        <v>170</v>
      </c>
      <c r="V214" s="26">
        <v>151.72</v>
      </c>
      <c r="W214" s="209">
        <f t="shared" si="39"/>
        <v>0</v>
      </c>
      <c r="X214" s="127">
        <f t="shared" si="35"/>
        <v>91</v>
      </c>
      <c r="Y214" s="127">
        <f t="shared" si="40"/>
        <v>0</v>
      </c>
      <c r="Z214" s="127">
        <f t="shared" si="44"/>
        <v>13806.52</v>
      </c>
      <c r="AA214" s="33" t="s">
        <v>15</v>
      </c>
      <c r="AB214" s="36" t="s">
        <v>16</v>
      </c>
      <c r="AC214" s="181">
        <f t="shared" si="41"/>
        <v>170</v>
      </c>
      <c r="AD214" s="181">
        <f t="shared" si="37"/>
        <v>25792.400000000001</v>
      </c>
      <c r="AE214" s="181">
        <v>1.5</v>
      </c>
      <c r="AF214" s="181">
        <v>1.5</v>
      </c>
      <c r="AG214" s="101" t="str">
        <f t="shared" si="42"/>
        <v/>
      </c>
      <c r="AH214" s="191">
        <f>36+55</f>
        <v>91</v>
      </c>
      <c r="AI214" s="69">
        <f t="shared" si="43"/>
        <v>170</v>
      </c>
    </row>
    <row r="215" spans="1:35" s="69" customFormat="1" ht="33" x14ac:dyDescent="0.3">
      <c r="A215" s="55" t="s">
        <v>551</v>
      </c>
      <c r="B215" s="138" t="s">
        <v>552</v>
      </c>
      <c r="C215" s="54" t="s">
        <v>325</v>
      </c>
      <c r="D215" s="75">
        <v>4</v>
      </c>
      <c r="E215" s="75"/>
      <c r="F215" s="75"/>
      <c r="G215" s="75"/>
      <c r="H215" s="75">
        <v>6</v>
      </c>
      <c r="I215" s="75">
        <v>15779.6</v>
      </c>
      <c r="J215" s="75">
        <v>94677.6</v>
      </c>
      <c r="K215" s="91" t="s">
        <v>553</v>
      </c>
      <c r="L215" s="73"/>
      <c r="M215" s="46">
        <v>4</v>
      </c>
      <c r="N215" s="46">
        <v>0</v>
      </c>
      <c r="O215" s="46">
        <v>63118.400000000001</v>
      </c>
      <c r="P215" s="98"/>
      <c r="Q215" s="23" t="s">
        <v>1429</v>
      </c>
      <c r="R215" s="24" t="s">
        <v>552</v>
      </c>
      <c r="S215" s="25" t="s">
        <v>325</v>
      </c>
      <c r="T215" s="26">
        <v>4</v>
      </c>
      <c r="U215" s="26">
        <v>6</v>
      </c>
      <c r="V215" s="26">
        <v>15779.6</v>
      </c>
      <c r="W215" s="243">
        <f t="shared" si="39"/>
        <v>0</v>
      </c>
      <c r="X215" s="26">
        <f t="shared" si="35"/>
        <v>4</v>
      </c>
      <c r="Y215" s="26">
        <f t="shared" si="40"/>
        <v>0</v>
      </c>
      <c r="Z215" s="26">
        <f t="shared" si="44"/>
        <v>63118.400000000001</v>
      </c>
      <c r="AA215" s="33" t="s">
        <v>15</v>
      </c>
      <c r="AB215" s="36" t="s">
        <v>16</v>
      </c>
      <c r="AC215" s="181">
        <f t="shared" si="41"/>
        <v>6</v>
      </c>
      <c r="AD215" s="181">
        <f t="shared" si="37"/>
        <v>94677.6</v>
      </c>
      <c r="AE215" s="181">
        <v>1.5</v>
      </c>
      <c r="AF215" s="181">
        <v>1.5</v>
      </c>
      <c r="AG215" s="101" t="str">
        <f t="shared" si="42"/>
        <v/>
      </c>
      <c r="AH215" s="191">
        <f>2+2</f>
        <v>4</v>
      </c>
      <c r="AI215" s="69">
        <f t="shared" si="43"/>
        <v>4</v>
      </c>
    </row>
    <row r="216" spans="1:35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 t="s">
        <v>15</v>
      </c>
      <c r="I216" s="75">
        <v>138.84</v>
      </c>
      <c r="J216" s="75">
        <v>62894.52</v>
      </c>
      <c r="K216" s="91" t="s">
        <v>190</v>
      </c>
      <c r="L216" s="73"/>
      <c r="M216" s="46">
        <v>376</v>
      </c>
      <c r="N216" s="46">
        <v>0</v>
      </c>
      <c r="O216" s="46">
        <v>52203.839999999997</v>
      </c>
      <c r="P216" s="98"/>
      <c r="Q216" s="23" t="s">
        <v>1430</v>
      </c>
      <c r="R216" s="24" t="s">
        <v>189</v>
      </c>
      <c r="S216" s="25" t="s">
        <v>30</v>
      </c>
      <c r="T216" s="26">
        <v>453</v>
      </c>
      <c r="U216" s="26">
        <v>453</v>
      </c>
      <c r="V216" s="26">
        <v>138.84</v>
      </c>
      <c r="W216" s="243">
        <f t="shared" si="39"/>
        <v>0</v>
      </c>
      <c r="X216" s="26">
        <f t="shared" si="35"/>
        <v>376</v>
      </c>
      <c r="Y216" s="26">
        <f t="shared" si="40"/>
        <v>0</v>
      </c>
      <c r="Z216" s="26">
        <f t="shared" si="44"/>
        <v>52203.839999999997</v>
      </c>
      <c r="AA216" s="33" t="s">
        <v>15</v>
      </c>
      <c r="AB216" s="36" t="s">
        <v>16</v>
      </c>
      <c r="AC216" s="181">
        <f t="shared" si="41"/>
        <v>453</v>
      </c>
      <c r="AD216" s="181">
        <f t="shared" si="37"/>
        <v>62894.52</v>
      </c>
      <c r="AE216" s="181">
        <v>1.5</v>
      </c>
      <c r="AF216" s="181">
        <v>1.5</v>
      </c>
      <c r="AG216" s="101" t="str">
        <f t="shared" si="42"/>
        <v/>
      </c>
      <c r="AH216" s="191">
        <f>285+91</f>
        <v>376</v>
      </c>
      <c r="AI216" s="69">
        <f t="shared" si="43"/>
        <v>453</v>
      </c>
    </row>
    <row r="217" spans="1:35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 t="s">
        <v>15</v>
      </c>
      <c r="I217" s="75">
        <v>326.3</v>
      </c>
      <c r="J217" s="75">
        <v>548184</v>
      </c>
      <c r="K217" s="91" t="s">
        <v>521</v>
      </c>
      <c r="L217" s="73"/>
      <c r="M217" s="46">
        <v>1298</v>
      </c>
      <c r="N217" s="46">
        <v>0</v>
      </c>
      <c r="O217" s="46">
        <v>423537.4</v>
      </c>
      <c r="P217" s="98"/>
      <c r="Q217" s="23" t="s">
        <v>1431</v>
      </c>
      <c r="R217" s="24" t="s">
        <v>520</v>
      </c>
      <c r="S217" s="25" t="s">
        <v>30</v>
      </c>
      <c r="T217" s="26">
        <v>1680</v>
      </c>
      <c r="U217" s="26">
        <v>1680</v>
      </c>
      <c r="V217" s="26">
        <v>326.3</v>
      </c>
      <c r="W217" s="243">
        <f t="shared" si="39"/>
        <v>0</v>
      </c>
      <c r="X217" s="26">
        <f t="shared" si="35"/>
        <v>1298</v>
      </c>
      <c r="Y217" s="26">
        <f t="shared" si="40"/>
        <v>0</v>
      </c>
      <c r="Z217" s="26">
        <f t="shared" si="44"/>
        <v>423537.4</v>
      </c>
      <c r="AA217" s="33" t="s">
        <v>15</v>
      </c>
      <c r="AB217" s="36" t="s">
        <v>16</v>
      </c>
      <c r="AC217" s="181">
        <f t="shared" si="41"/>
        <v>1680</v>
      </c>
      <c r="AD217" s="181">
        <f t="shared" si="37"/>
        <v>548184</v>
      </c>
      <c r="AE217" s="181">
        <v>1.5</v>
      </c>
      <c r="AF217" s="181">
        <v>1.5</v>
      </c>
      <c r="AG217" s="101" t="str">
        <f t="shared" si="42"/>
        <v/>
      </c>
      <c r="AH217" s="191">
        <f>936+362</f>
        <v>1298</v>
      </c>
      <c r="AI217" s="69">
        <f t="shared" si="43"/>
        <v>1680</v>
      </c>
    </row>
    <row r="218" spans="1:35" s="69" customFormat="1" ht="39" x14ac:dyDescent="0.3">
      <c r="A218" s="130" t="s">
        <v>556</v>
      </c>
      <c r="B218" s="131" t="s">
        <v>424</v>
      </c>
      <c r="C218" s="132" t="s">
        <v>50</v>
      </c>
      <c r="D218" s="133">
        <v>756</v>
      </c>
      <c r="E218" s="75"/>
      <c r="F218" s="75"/>
      <c r="G218" s="75"/>
      <c r="H218" s="75" t="s">
        <v>15</v>
      </c>
      <c r="I218" s="75">
        <v>692.16</v>
      </c>
      <c r="J218" s="75">
        <v>523272.96000000002</v>
      </c>
      <c r="K218" s="91" t="s">
        <v>425</v>
      </c>
      <c r="L218" s="73"/>
      <c r="M218" s="46">
        <v>756</v>
      </c>
      <c r="N218" s="46">
        <v>0</v>
      </c>
      <c r="O218" s="46">
        <v>523272.96000000002</v>
      </c>
      <c r="P218" s="98"/>
      <c r="Q218" s="23" t="s">
        <v>1395</v>
      </c>
      <c r="R218" s="24" t="s">
        <v>424</v>
      </c>
      <c r="S218" s="25" t="s">
        <v>50</v>
      </c>
      <c r="T218" s="26">
        <v>756</v>
      </c>
      <c r="U218" s="26">
        <v>756</v>
      </c>
      <c r="V218" s="26">
        <v>692.16</v>
      </c>
      <c r="W218" s="127">
        <f t="shared" si="39"/>
        <v>0</v>
      </c>
      <c r="X218" s="127">
        <f t="shared" si="35"/>
        <v>756</v>
      </c>
      <c r="Y218" s="127">
        <f t="shared" si="40"/>
        <v>0</v>
      </c>
      <c r="Z218" s="127">
        <f t="shared" si="44"/>
        <v>523272.96000000002</v>
      </c>
      <c r="AA218" s="33" t="s">
        <v>15</v>
      </c>
      <c r="AB218" s="36" t="s">
        <v>16</v>
      </c>
      <c r="AC218" s="181">
        <f t="shared" si="41"/>
        <v>756</v>
      </c>
      <c r="AD218" s="181">
        <f t="shared" si="37"/>
        <v>523272.96000000002</v>
      </c>
      <c r="AE218" s="181">
        <v>1.5</v>
      </c>
      <c r="AF218" s="181">
        <v>1.5</v>
      </c>
      <c r="AG218" s="101" t="str">
        <f t="shared" si="42"/>
        <v/>
      </c>
      <c r="AH218" s="191">
        <v>756</v>
      </c>
      <c r="AI218" s="69">
        <f t="shared" si="43"/>
        <v>756</v>
      </c>
    </row>
    <row r="219" spans="1:35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 t="s">
        <v>15</v>
      </c>
      <c r="I219" s="75">
        <v>422.3</v>
      </c>
      <c r="J219" s="75">
        <v>13513.6</v>
      </c>
      <c r="K219" s="91" t="s">
        <v>560</v>
      </c>
      <c r="L219" s="73"/>
      <c r="M219" s="46">
        <v>0</v>
      </c>
      <c r="N219" s="46">
        <v>0</v>
      </c>
      <c r="O219" s="46">
        <v>0</v>
      </c>
      <c r="P219" s="98"/>
      <c r="Q219" s="23" t="s">
        <v>1432</v>
      </c>
      <c r="R219" s="24" t="s">
        <v>558</v>
      </c>
      <c r="S219" s="25" t="s">
        <v>559</v>
      </c>
      <c r="T219" s="26">
        <v>32</v>
      </c>
      <c r="U219" s="26">
        <v>32</v>
      </c>
      <c r="V219" s="26">
        <v>422.3</v>
      </c>
      <c r="W219" s="26">
        <f t="shared" si="39"/>
        <v>0</v>
      </c>
      <c r="X219" s="26">
        <f t="shared" si="35"/>
        <v>0</v>
      </c>
      <c r="Y219" s="26">
        <f t="shared" si="40"/>
        <v>0</v>
      </c>
      <c r="Z219" s="26">
        <f t="shared" si="44"/>
        <v>0</v>
      </c>
      <c r="AA219" s="33" t="s">
        <v>15</v>
      </c>
      <c r="AB219" s="36" t="s">
        <v>16</v>
      </c>
      <c r="AC219" s="181">
        <f t="shared" si="41"/>
        <v>32</v>
      </c>
      <c r="AD219" s="181">
        <f t="shared" si="37"/>
        <v>13513.6</v>
      </c>
      <c r="AE219" s="181">
        <v>1.5</v>
      </c>
      <c r="AF219" s="181">
        <v>1.5</v>
      </c>
      <c r="AG219" s="101" t="str">
        <f t="shared" si="42"/>
        <v/>
      </c>
      <c r="AH219" s="190">
        <v>0</v>
      </c>
      <c r="AI219" s="69">
        <f t="shared" si="43"/>
        <v>32</v>
      </c>
    </row>
    <row r="220" spans="1:35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 t="s">
        <v>15</v>
      </c>
      <c r="I220" s="82"/>
      <c r="J220" s="82">
        <v>13861675.58</v>
      </c>
      <c r="K220" s="94" t="s">
        <v>15</v>
      </c>
      <c r="L220" s="73"/>
      <c r="M220" s="45">
        <v>1</v>
      </c>
      <c r="N220" s="45">
        <v>0</v>
      </c>
      <c r="O220" s="45">
        <v>7982143.0199999986</v>
      </c>
      <c r="P220" s="98"/>
      <c r="Q220" s="18" t="s">
        <v>1394</v>
      </c>
      <c r="R220" s="19" t="s">
        <v>562</v>
      </c>
      <c r="S220" s="20" t="s">
        <v>14</v>
      </c>
      <c r="T220" s="21">
        <v>1</v>
      </c>
      <c r="U220" s="21"/>
      <c r="V220" s="21">
        <f>SUMIFS(AD:AD,AE:AE,AE220)</f>
        <v>13861675.579999998</v>
      </c>
      <c r="W220" s="21">
        <f t="shared" ref="W220:X220" si="45">IF(Y220=0,0,1)</f>
        <v>1</v>
      </c>
      <c r="X220" s="21">
        <f t="shared" si="45"/>
        <v>1</v>
      </c>
      <c r="Y220" s="21">
        <f>SUMIFS(Y:Y,AF:AF,AE220)</f>
        <v>3891151.8100000005</v>
      </c>
      <c r="Z220" s="21">
        <f>SUMIFS(Z:Z,AF:AF,AE220)</f>
        <v>11873294.829999998</v>
      </c>
      <c r="AA220" s="22" t="s">
        <v>15</v>
      </c>
      <c r="AB220" s="43" t="s">
        <v>16</v>
      </c>
      <c r="AC220" s="181">
        <f t="shared" si="41"/>
        <v>1</v>
      </c>
      <c r="AD220" s="184"/>
      <c r="AE220" s="184">
        <v>1.6</v>
      </c>
      <c r="AF220" s="184"/>
      <c r="AG220" s="101" t="str">
        <f t="shared" si="42"/>
        <v/>
      </c>
      <c r="AH220" s="190">
        <v>1</v>
      </c>
      <c r="AI220" s="69">
        <f t="shared" si="43"/>
        <v>1</v>
      </c>
    </row>
    <row r="221" spans="1:35" s="69" customFormat="1" ht="58.5" x14ac:dyDescent="0.3">
      <c r="A221" s="130" t="s">
        <v>563</v>
      </c>
      <c r="B221" s="131" t="s">
        <v>564</v>
      </c>
      <c r="C221" s="132" t="s">
        <v>23</v>
      </c>
      <c r="D221" s="133">
        <v>256</v>
      </c>
      <c r="E221" s="75"/>
      <c r="F221" s="75"/>
      <c r="G221" s="75"/>
      <c r="H221" s="75">
        <v>380.68</v>
      </c>
      <c r="I221" s="75">
        <v>7517.56</v>
      </c>
      <c r="J221" s="75">
        <v>2861784.74</v>
      </c>
      <c r="K221" s="91" t="s">
        <v>565</v>
      </c>
      <c r="L221" s="73"/>
      <c r="M221" s="46">
        <v>144.1</v>
      </c>
      <c r="N221" s="46">
        <v>0</v>
      </c>
      <c r="O221" s="46">
        <v>1083280.3999999999</v>
      </c>
      <c r="P221" s="98"/>
      <c r="Q221" s="23" t="s">
        <v>1421</v>
      </c>
      <c r="R221" s="24" t="s">
        <v>564</v>
      </c>
      <c r="S221" s="25" t="s">
        <v>23</v>
      </c>
      <c r="T221" s="26">
        <v>256</v>
      </c>
      <c r="U221" s="26">
        <v>380.68</v>
      </c>
      <c r="V221" s="26">
        <v>7517.56</v>
      </c>
      <c r="W221" s="257">
        <f t="shared" ref="W221:W236" si="46">AH221-M221</f>
        <v>236.58</v>
      </c>
      <c r="X221" s="127">
        <f t="shared" si="35"/>
        <v>380.68</v>
      </c>
      <c r="Y221" s="127">
        <f t="shared" ref="Y221:Y236" si="47">Z221-O221</f>
        <v>1778504.3400000003</v>
      </c>
      <c r="Z221" s="127">
        <f t="shared" si="44"/>
        <v>2861784.74</v>
      </c>
      <c r="AA221" s="33" t="s">
        <v>15</v>
      </c>
      <c r="AB221" s="36" t="s">
        <v>16</v>
      </c>
      <c r="AC221" s="181">
        <f t="shared" si="41"/>
        <v>380.68</v>
      </c>
      <c r="AD221" s="181">
        <f t="shared" ref="AD221:AD236" si="48">ROUND(V221*AC221,2)</f>
        <v>2861784.74</v>
      </c>
      <c r="AE221" s="181">
        <v>1.6</v>
      </c>
      <c r="AF221" s="181">
        <v>1.6</v>
      </c>
      <c r="AG221" s="101" t="str">
        <f t="shared" si="42"/>
        <v>超估</v>
      </c>
      <c r="AH221" s="191">
        <f>380.68</f>
        <v>380.68</v>
      </c>
      <c r="AI221" s="69">
        <f t="shared" si="43"/>
        <v>256</v>
      </c>
    </row>
    <row r="222" spans="1:35" s="69" customFormat="1" ht="58.5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917.25</v>
      </c>
      <c r="I222" s="75">
        <v>7496.96</v>
      </c>
      <c r="J222" s="75">
        <v>6876586.5599999996</v>
      </c>
      <c r="K222" s="91" t="s">
        <v>568</v>
      </c>
      <c r="L222" s="73"/>
      <c r="M222" s="46">
        <v>437.3</v>
      </c>
      <c r="N222" s="46">
        <v>0</v>
      </c>
      <c r="O222" s="46">
        <v>3278420.61</v>
      </c>
      <c r="P222" s="98"/>
      <c r="Q222" s="23" t="s">
        <v>1426</v>
      </c>
      <c r="R222" s="24" t="s">
        <v>567</v>
      </c>
      <c r="S222" s="25" t="s">
        <v>23</v>
      </c>
      <c r="T222" s="26">
        <v>766</v>
      </c>
      <c r="U222" s="26">
        <v>917.25</v>
      </c>
      <c r="V222" s="26">
        <v>7496.96</v>
      </c>
      <c r="W222" s="257">
        <f t="shared" si="46"/>
        <v>250.8</v>
      </c>
      <c r="X222" s="26">
        <f t="shared" si="35"/>
        <v>688.1</v>
      </c>
      <c r="Y222" s="26">
        <f t="shared" si="47"/>
        <v>1880237.5699999998</v>
      </c>
      <c r="Z222" s="26">
        <f t="shared" si="44"/>
        <v>5158658.18</v>
      </c>
      <c r="AA222" s="33" t="s">
        <v>15</v>
      </c>
      <c r="AB222" s="36" t="s">
        <v>16</v>
      </c>
      <c r="AC222" s="181">
        <f t="shared" si="41"/>
        <v>917.25</v>
      </c>
      <c r="AD222" s="181">
        <f t="shared" si="48"/>
        <v>6876586.5599999996</v>
      </c>
      <c r="AE222" s="181">
        <v>1.6</v>
      </c>
      <c r="AF222" s="181">
        <v>1.6</v>
      </c>
      <c r="AG222" s="101" t="str">
        <f t="shared" si="42"/>
        <v/>
      </c>
      <c r="AH222" s="191">
        <f>437.3+1672*0.15</f>
        <v>688.1</v>
      </c>
      <c r="AI222" s="69">
        <f t="shared" si="43"/>
        <v>766</v>
      </c>
    </row>
    <row r="223" spans="1:35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 t="s">
        <v>15</v>
      </c>
      <c r="I223" s="75">
        <v>11.6</v>
      </c>
      <c r="J223" s="75">
        <v>59194.8</v>
      </c>
      <c r="K223" s="91" t="s">
        <v>571</v>
      </c>
      <c r="L223" s="73"/>
      <c r="M223" s="46">
        <v>798</v>
      </c>
      <c r="N223" s="46">
        <v>0</v>
      </c>
      <c r="O223" s="46">
        <v>9256.7999999999993</v>
      </c>
      <c r="P223" s="98"/>
      <c r="Q223" s="23" t="s">
        <v>1402</v>
      </c>
      <c r="R223" s="24" t="s">
        <v>570</v>
      </c>
      <c r="S223" s="25" t="s">
        <v>50</v>
      </c>
      <c r="T223" s="26">
        <v>5103</v>
      </c>
      <c r="U223" s="26">
        <v>5103</v>
      </c>
      <c r="V223" s="26">
        <v>11.6</v>
      </c>
      <c r="W223" s="257">
        <f t="shared" si="46"/>
        <v>1836</v>
      </c>
      <c r="X223" s="26">
        <f t="shared" si="35"/>
        <v>2634</v>
      </c>
      <c r="Y223" s="26">
        <f t="shared" si="47"/>
        <v>21297.600000000002</v>
      </c>
      <c r="Z223" s="26">
        <f t="shared" si="44"/>
        <v>30554.400000000001</v>
      </c>
      <c r="AA223" s="33" t="s">
        <v>15</v>
      </c>
      <c r="AB223" s="36" t="s">
        <v>16</v>
      </c>
      <c r="AC223" s="181">
        <f t="shared" si="41"/>
        <v>5103</v>
      </c>
      <c r="AD223" s="181">
        <f t="shared" si="48"/>
        <v>59194.8</v>
      </c>
      <c r="AE223" s="181">
        <v>1.6</v>
      </c>
      <c r="AF223" s="181">
        <v>1.6</v>
      </c>
      <c r="AG223" s="101" t="str">
        <f t="shared" si="42"/>
        <v/>
      </c>
      <c r="AH223" s="191">
        <f>798+1836</f>
        <v>2634</v>
      </c>
      <c r="AI223" s="69">
        <f t="shared" si="43"/>
        <v>5103</v>
      </c>
    </row>
    <row r="224" spans="1:35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6734.4</v>
      </c>
      <c r="I224" s="75">
        <v>42.46</v>
      </c>
      <c r="J224" s="75">
        <v>285942.62</v>
      </c>
      <c r="K224" s="91" t="s">
        <v>574</v>
      </c>
      <c r="L224" s="73"/>
      <c r="M224" s="46">
        <v>2381</v>
      </c>
      <c r="N224" s="46">
        <v>0</v>
      </c>
      <c r="O224" s="46">
        <v>101097.26</v>
      </c>
      <c r="P224" s="98"/>
      <c r="Q224" s="23" t="s">
        <v>1373</v>
      </c>
      <c r="R224" s="24" t="s">
        <v>573</v>
      </c>
      <c r="S224" s="25" t="s">
        <v>50</v>
      </c>
      <c r="T224" s="26">
        <v>5103</v>
      </c>
      <c r="U224" s="26">
        <v>6734.4</v>
      </c>
      <c r="V224" s="26">
        <v>42.46</v>
      </c>
      <c r="W224" s="257">
        <f t="shared" si="46"/>
        <v>1925</v>
      </c>
      <c r="X224" s="26">
        <f t="shared" si="35"/>
        <v>4306</v>
      </c>
      <c r="Y224" s="26">
        <f t="shared" si="47"/>
        <v>81735.500000000015</v>
      </c>
      <c r="Z224" s="26">
        <f t="shared" si="44"/>
        <v>182832.76</v>
      </c>
      <c r="AA224" s="33" t="s">
        <v>15</v>
      </c>
      <c r="AB224" s="36" t="s">
        <v>16</v>
      </c>
      <c r="AC224" s="181">
        <f t="shared" si="41"/>
        <v>6734.4</v>
      </c>
      <c r="AD224" s="181">
        <f t="shared" si="48"/>
        <v>285942.62</v>
      </c>
      <c r="AE224" s="181">
        <v>1.6</v>
      </c>
      <c r="AF224" s="181">
        <v>1.6</v>
      </c>
      <c r="AG224" s="101" t="str">
        <f t="shared" si="42"/>
        <v/>
      </c>
      <c r="AH224" s="191">
        <f>2381+1925</f>
        <v>4306</v>
      </c>
      <c r="AI224" s="69">
        <f t="shared" si="43"/>
        <v>5103</v>
      </c>
    </row>
    <row r="225" spans="1:35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19027.2</v>
      </c>
      <c r="I225" s="75">
        <v>15.96</v>
      </c>
      <c r="J225" s="75">
        <v>303674.11</v>
      </c>
      <c r="K225" s="91" t="s">
        <v>577</v>
      </c>
      <c r="L225" s="73"/>
      <c r="M225" s="46">
        <v>7986</v>
      </c>
      <c r="N225" s="46">
        <v>0</v>
      </c>
      <c r="O225" s="46">
        <v>127456.56</v>
      </c>
      <c r="P225" s="98"/>
      <c r="Q225" s="23" t="s">
        <v>1393</v>
      </c>
      <c r="R225" s="24" t="s">
        <v>576</v>
      </c>
      <c r="S225" s="25" t="s">
        <v>50</v>
      </c>
      <c r="T225" s="26">
        <v>15307</v>
      </c>
      <c r="U225" s="26">
        <v>19027.2</v>
      </c>
      <c r="V225" s="26">
        <v>15.96</v>
      </c>
      <c r="W225" s="257">
        <f t="shared" si="46"/>
        <v>7132</v>
      </c>
      <c r="X225" s="26">
        <f t="shared" si="35"/>
        <v>15118</v>
      </c>
      <c r="Y225" s="26">
        <f t="shared" si="47"/>
        <v>113826.72</v>
      </c>
      <c r="Z225" s="26">
        <f t="shared" si="44"/>
        <v>241283.28</v>
      </c>
      <c r="AA225" s="33" t="s">
        <v>15</v>
      </c>
      <c r="AB225" s="36" t="s">
        <v>16</v>
      </c>
      <c r="AC225" s="181">
        <f t="shared" si="41"/>
        <v>19027.2</v>
      </c>
      <c r="AD225" s="181">
        <f t="shared" si="48"/>
        <v>303674.11</v>
      </c>
      <c r="AE225" s="181">
        <v>1.6</v>
      </c>
      <c r="AF225" s="181">
        <v>1.6</v>
      </c>
      <c r="AG225" s="101" t="str">
        <f t="shared" si="42"/>
        <v/>
      </c>
      <c r="AH225" s="191">
        <f>7986+1500+5632</f>
        <v>15118</v>
      </c>
      <c r="AI225" s="69">
        <f t="shared" si="43"/>
        <v>15307</v>
      </c>
    </row>
    <row r="226" spans="1:35" s="69" customFormat="1" ht="39" x14ac:dyDescent="0.3">
      <c r="A226" s="130" t="s">
        <v>578</v>
      </c>
      <c r="B226" s="131" t="s">
        <v>392</v>
      </c>
      <c r="C226" s="132" t="s">
        <v>23</v>
      </c>
      <c r="D226" s="133">
        <v>24</v>
      </c>
      <c r="E226" s="75"/>
      <c r="F226" s="75"/>
      <c r="G226" s="75"/>
      <c r="H226" s="75" t="s">
        <v>15</v>
      </c>
      <c r="I226" s="75">
        <v>3115.13</v>
      </c>
      <c r="J226" s="75">
        <v>74763.12</v>
      </c>
      <c r="K226" s="91" t="s">
        <v>114</v>
      </c>
      <c r="L226" s="73"/>
      <c r="M226" s="46">
        <v>24</v>
      </c>
      <c r="N226" s="46">
        <v>0</v>
      </c>
      <c r="O226" s="46">
        <v>74763.12</v>
      </c>
      <c r="P226" s="98"/>
      <c r="Q226" s="23" t="s">
        <v>1403</v>
      </c>
      <c r="R226" s="24" t="s">
        <v>392</v>
      </c>
      <c r="S226" s="25" t="s">
        <v>23</v>
      </c>
      <c r="T226" s="26">
        <v>24</v>
      </c>
      <c r="U226" s="26">
        <v>24</v>
      </c>
      <c r="V226" s="26">
        <v>3115.13</v>
      </c>
      <c r="W226" s="127">
        <f t="shared" si="46"/>
        <v>0</v>
      </c>
      <c r="X226" s="127">
        <f t="shared" si="35"/>
        <v>24</v>
      </c>
      <c r="Y226" s="127">
        <f t="shared" si="47"/>
        <v>0</v>
      </c>
      <c r="Z226" s="127">
        <f t="shared" si="44"/>
        <v>74763.12</v>
      </c>
      <c r="AA226" s="33" t="s">
        <v>15</v>
      </c>
      <c r="AB226" s="36" t="s">
        <v>16</v>
      </c>
      <c r="AC226" s="181">
        <f t="shared" si="41"/>
        <v>24</v>
      </c>
      <c r="AD226" s="181">
        <f t="shared" si="48"/>
        <v>74763.12</v>
      </c>
      <c r="AE226" s="181">
        <v>1.6</v>
      </c>
      <c r="AF226" s="181">
        <v>1.6</v>
      </c>
      <c r="AG226" s="101" t="str">
        <f t="shared" si="42"/>
        <v/>
      </c>
      <c r="AH226" s="191">
        <f>5+19</f>
        <v>24</v>
      </c>
      <c r="AI226" s="69">
        <f t="shared" si="43"/>
        <v>24</v>
      </c>
    </row>
    <row r="227" spans="1:35" s="69" customFormat="1" ht="39" x14ac:dyDescent="0.3">
      <c r="A227" s="130" t="s">
        <v>579</v>
      </c>
      <c r="B227" s="131" t="s">
        <v>116</v>
      </c>
      <c r="C227" s="132" t="s">
        <v>23</v>
      </c>
      <c r="D227" s="133">
        <v>237</v>
      </c>
      <c r="E227" s="75"/>
      <c r="F227" s="75"/>
      <c r="G227" s="75"/>
      <c r="H227" s="75" t="s">
        <v>15</v>
      </c>
      <c r="I227" s="75">
        <v>3321.13</v>
      </c>
      <c r="J227" s="75">
        <v>787107.81</v>
      </c>
      <c r="K227" s="91" t="s">
        <v>117</v>
      </c>
      <c r="L227" s="73"/>
      <c r="M227" s="46">
        <v>237</v>
      </c>
      <c r="N227" s="46">
        <v>0</v>
      </c>
      <c r="O227" s="46">
        <v>787107.81</v>
      </c>
      <c r="P227" s="98"/>
      <c r="Q227" s="23" t="s">
        <v>1427</v>
      </c>
      <c r="R227" s="24" t="s">
        <v>116</v>
      </c>
      <c r="S227" s="25" t="s">
        <v>23</v>
      </c>
      <c r="T227" s="26">
        <v>237</v>
      </c>
      <c r="U227" s="26">
        <v>237</v>
      </c>
      <c r="V227" s="26">
        <v>3321.13</v>
      </c>
      <c r="W227" s="127">
        <f t="shared" si="46"/>
        <v>0</v>
      </c>
      <c r="X227" s="127">
        <f t="shared" si="35"/>
        <v>237</v>
      </c>
      <c r="Y227" s="127">
        <f t="shared" si="47"/>
        <v>0</v>
      </c>
      <c r="Z227" s="127">
        <f t="shared" si="44"/>
        <v>787107.81</v>
      </c>
      <c r="AA227" s="33" t="s">
        <v>15</v>
      </c>
      <c r="AB227" s="36" t="s">
        <v>16</v>
      </c>
      <c r="AC227" s="181">
        <f t="shared" si="41"/>
        <v>237</v>
      </c>
      <c r="AD227" s="181">
        <f t="shared" si="48"/>
        <v>787107.81</v>
      </c>
      <c r="AE227" s="181">
        <v>1.6</v>
      </c>
      <c r="AF227" s="181">
        <v>1.6</v>
      </c>
      <c r="AG227" s="101" t="str">
        <f t="shared" si="42"/>
        <v/>
      </c>
      <c r="AH227" s="191">
        <f>120.35+103.6+13.05</f>
        <v>237</v>
      </c>
      <c r="AI227" s="69">
        <f t="shared" si="43"/>
        <v>237</v>
      </c>
    </row>
    <row r="228" spans="1:35" s="69" customFormat="1" ht="39" x14ac:dyDescent="0.3">
      <c r="A228" s="130" t="s">
        <v>580</v>
      </c>
      <c r="B228" s="131" t="s">
        <v>493</v>
      </c>
      <c r="C228" s="132" t="s">
        <v>23</v>
      </c>
      <c r="D228" s="133">
        <v>261</v>
      </c>
      <c r="E228" s="75"/>
      <c r="F228" s="75"/>
      <c r="G228" s="75"/>
      <c r="H228" s="75" t="s">
        <v>15</v>
      </c>
      <c r="I228" s="75">
        <v>200</v>
      </c>
      <c r="J228" s="75">
        <v>52200</v>
      </c>
      <c r="K228" s="91" t="s">
        <v>494</v>
      </c>
      <c r="L228" s="73"/>
      <c r="M228" s="46">
        <v>261</v>
      </c>
      <c r="N228" s="46">
        <v>0</v>
      </c>
      <c r="O228" s="46">
        <v>52200</v>
      </c>
      <c r="P228" s="98"/>
      <c r="Q228" s="23" t="s">
        <v>1428</v>
      </c>
      <c r="R228" s="24" t="s">
        <v>493</v>
      </c>
      <c r="S228" s="25" t="s">
        <v>23</v>
      </c>
      <c r="T228" s="26">
        <v>261</v>
      </c>
      <c r="U228" s="26">
        <v>261</v>
      </c>
      <c r="V228" s="26">
        <v>200</v>
      </c>
      <c r="W228" s="127">
        <f t="shared" si="46"/>
        <v>0</v>
      </c>
      <c r="X228" s="127">
        <f t="shared" si="35"/>
        <v>261</v>
      </c>
      <c r="Y228" s="127">
        <f t="shared" si="47"/>
        <v>0</v>
      </c>
      <c r="Z228" s="127">
        <f t="shared" si="44"/>
        <v>52200</v>
      </c>
      <c r="AA228" s="33" t="s">
        <v>15</v>
      </c>
      <c r="AB228" s="36" t="s">
        <v>16</v>
      </c>
      <c r="AC228" s="181">
        <f t="shared" si="41"/>
        <v>261</v>
      </c>
      <c r="AD228" s="181">
        <f t="shared" si="48"/>
        <v>52200</v>
      </c>
      <c r="AE228" s="181">
        <v>1.6</v>
      </c>
      <c r="AF228" s="181">
        <v>1.6</v>
      </c>
      <c r="AG228" s="101" t="str">
        <f t="shared" si="42"/>
        <v/>
      </c>
      <c r="AH228" s="191">
        <f>AH226+AH227</f>
        <v>261</v>
      </c>
      <c r="AI228" s="69">
        <f t="shared" si="43"/>
        <v>261</v>
      </c>
    </row>
    <row r="229" spans="1:35" s="69" customFormat="1" ht="33" x14ac:dyDescent="0.3">
      <c r="A229" s="130" t="s">
        <v>581</v>
      </c>
      <c r="B229" s="131" t="s">
        <v>582</v>
      </c>
      <c r="C229" s="132" t="s">
        <v>50</v>
      </c>
      <c r="D229" s="133">
        <v>745</v>
      </c>
      <c r="E229" s="75"/>
      <c r="F229" s="75"/>
      <c r="G229" s="75"/>
      <c r="H229" s="75" t="s">
        <v>15</v>
      </c>
      <c r="I229" s="75">
        <v>698.31</v>
      </c>
      <c r="J229" s="75">
        <v>520240.95</v>
      </c>
      <c r="K229" s="91" t="s">
        <v>583</v>
      </c>
      <c r="L229" s="73"/>
      <c r="M229" s="46">
        <v>745</v>
      </c>
      <c r="N229" s="46">
        <v>0</v>
      </c>
      <c r="O229" s="46">
        <v>520240.95</v>
      </c>
      <c r="P229" s="98"/>
      <c r="Q229" s="23" t="s">
        <v>1387</v>
      </c>
      <c r="R229" s="24" t="s">
        <v>582</v>
      </c>
      <c r="S229" s="25" t="s">
        <v>50</v>
      </c>
      <c r="T229" s="26">
        <v>745</v>
      </c>
      <c r="U229" s="26">
        <v>745</v>
      </c>
      <c r="V229" s="26">
        <v>698.31</v>
      </c>
      <c r="W229" s="127">
        <f t="shared" si="46"/>
        <v>0</v>
      </c>
      <c r="X229" s="127">
        <f t="shared" si="35"/>
        <v>745</v>
      </c>
      <c r="Y229" s="127">
        <f t="shared" si="47"/>
        <v>0</v>
      </c>
      <c r="Z229" s="127">
        <f t="shared" si="44"/>
        <v>520240.95</v>
      </c>
      <c r="AA229" s="33" t="s">
        <v>15</v>
      </c>
      <c r="AB229" s="36" t="s">
        <v>16</v>
      </c>
      <c r="AC229" s="181">
        <f t="shared" si="41"/>
        <v>745</v>
      </c>
      <c r="AD229" s="181">
        <f t="shared" si="48"/>
        <v>520240.95</v>
      </c>
      <c r="AE229" s="181">
        <v>1.6</v>
      </c>
      <c r="AF229" s="181">
        <v>1.6</v>
      </c>
      <c r="AG229" s="101" t="str">
        <f t="shared" si="42"/>
        <v/>
      </c>
      <c r="AH229" s="191">
        <f>256+312+177</f>
        <v>745</v>
      </c>
      <c r="AI229" s="69">
        <f t="shared" si="43"/>
        <v>745</v>
      </c>
    </row>
    <row r="230" spans="1:35" s="69" customFormat="1" ht="41.25" x14ac:dyDescent="0.3">
      <c r="A230" s="130" t="s">
        <v>584</v>
      </c>
      <c r="B230" s="131" t="s">
        <v>119</v>
      </c>
      <c r="C230" s="132" t="s">
        <v>50</v>
      </c>
      <c r="D230" s="133">
        <v>915</v>
      </c>
      <c r="E230" s="75"/>
      <c r="F230" s="75"/>
      <c r="G230" s="75"/>
      <c r="H230" s="75" t="s">
        <v>15</v>
      </c>
      <c r="I230" s="75">
        <v>533.64</v>
      </c>
      <c r="J230" s="75">
        <v>488280.6</v>
      </c>
      <c r="K230" s="91" t="s">
        <v>120</v>
      </c>
      <c r="L230" s="73"/>
      <c r="M230" s="46">
        <v>915</v>
      </c>
      <c r="N230" s="46">
        <v>0</v>
      </c>
      <c r="O230" s="46">
        <v>488280.6</v>
      </c>
      <c r="P230" s="98"/>
      <c r="Q230" s="23" t="s">
        <v>1405</v>
      </c>
      <c r="R230" s="24" t="s">
        <v>119</v>
      </c>
      <c r="S230" s="25" t="s">
        <v>50</v>
      </c>
      <c r="T230" s="26">
        <v>915</v>
      </c>
      <c r="U230" s="26">
        <v>915</v>
      </c>
      <c r="V230" s="26">
        <v>533.64</v>
      </c>
      <c r="W230" s="127">
        <f t="shared" si="46"/>
        <v>0</v>
      </c>
      <c r="X230" s="127">
        <f t="shared" si="35"/>
        <v>915</v>
      </c>
      <c r="Y230" s="127">
        <f t="shared" si="47"/>
        <v>0</v>
      </c>
      <c r="Z230" s="127">
        <f t="shared" si="44"/>
        <v>488280.6</v>
      </c>
      <c r="AA230" s="33" t="s">
        <v>15</v>
      </c>
      <c r="AB230" s="36" t="s">
        <v>16</v>
      </c>
      <c r="AC230" s="181">
        <f t="shared" si="41"/>
        <v>915</v>
      </c>
      <c r="AD230" s="181">
        <f t="shared" si="48"/>
        <v>488280.6</v>
      </c>
      <c r="AE230" s="181">
        <v>1.6</v>
      </c>
      <c r="AF230" s="181">
        <v>1.6</v>
      </c>
      <c r="AG230" s="101" t="str">
        <f t="shared" si="42"/>
        <v/>
      </c>
      <c r="AH230" s="191">
        <f>254.5+622+38.5</f>
        <v>915</v>
      </c>
      <c r="AI230" s="69">
        <f t="shared" si="43"/>
        <v>915</v>
      </c>
    </row>
    <row r="231" spans="1:35" s="69" customFormat="1" ht="33" x14ac:dyDescent="0.3">
      <c r="A231" s="130" t="s">
        <v>585</v>
      </c>
      <c r="B231" s="131" t="s">
        <v>109</v>
      </c>
      <c r="C231" s="132" t="s">
        <v>110</v>
      </c>
      <c r="D231" s="133">
        <v>9227</v>
      </c>
      <c r="E231" s="75"/>
      <c r="F231" s="75"/>
      <c r="G231" s="75"/>
      <c r="H231" s="75" t="s">
        <v>15</v>
      </c>
      <c r="I231" s="75">
        <v>36.4</v>
      </c>
      <c r="J231" s="75">
        <v>335862.8</v>
      </c>
      <c r="K231" s="91" t="s">
        <v>111</v>
      </c>
      <c r="L231" s="73"/>
      <c r="M231" s="46">
        <v>9227</v>
      </c>
      <c r="N231" s="46">
        <v>0</v>
      </c>
      <c r="O231" s="46">
        <v>335862.8</v>
      </c>
      <c r="P231" s="98"/>
      <c r="Q231" s="23" t="s">
        <v>1406</v>
      </c>
      <c r="R231" s="24" t="s">
        <v>109</v>
      </c>
      <c r="S231" s="25" t="s">
        <v>110</v>
      </c>
      <c r="T231" s="26">
        <v>9227</v>
      </c>
      <c r="U231" s="26">
        <v>9227</v>
      </c>
      <c r="V231" s="26">
        <v>36.4</v>
      </c>
      <c r="W231" s="127">
        <f t="shared" si="46"/>
        <v>0</v>
      </c>
      <c r="X231" s="127">
        <f t="shared" si="35"/>
        <v>9227</v>
      </c>
      <c r="Y231" s="127">
        <f t="shared" si="47"/>
        <v>0</v>
      </c>
      <c r="Z231" s="127">
        <f t="shared" si="44"/>
        <v>335862.8</v>
      </c>
      <c r="AA231" s="33" t="s">
        <v>15</v>
      </c>
      <c r="AB231" s="36" t="s">
        <v>16</v>
      </c>
      <c r="AC231" s="181">
        <f t="shared" si="41"/>
        <v>9227</v>
      </c>
      <c r="AD231" s="181">
        <f t="shared" si="48"/>
        <v>335862.8</v>
      </c>
      <c r="AE231" s="181">
        <v>1.6</v>
      </c>
      <c r="AF231" s="181">
        <v>1.6</v>
      </c>
      <c r="AG231" s="101" t="str">
        <f t="shared" si="42"/>
        <v/>
      </c>
      <c r="AH231" s="191">
        <v>9227</v>
      </c>
      <c r="AI231" s="69">
        <f t="shared" si="43"/>
        <v>9227</v>
      </c>
    </row>
    <row r="232" spans="1:35" s="69" customFormat="1" ht="58.5" x14ac:dyDescent="0.3">
      <c r="A232" s="130" t="s">
        <v>586</v>
      </c>
      <c r="B232" s="131" t="s">
        <v>587</v>
      </c>
      <c r="C232" s="132" t="s">
        <v>513</v>
      </c>
      <c r="D232" s="133">
        <v>189</v>
      </c>
      <c r="E232" s="75"/>
      <c r="F232" s="75"/>
      <c r="G232" s="75"/>
      <c r="H232" s="75" t="s">
        <v>15</v>
      </c>
      <c r="I232" s="75">
        <v>40</v>
      </c>
      <c r="J232" s="75">
        <v>7560</v>
      </c>
      <c r="K232" s="91" t="s">
        <v>588</v>
      </c>
      <c r="L232" s="73"/>
      <c r="M232" s="46">
        <v>0</v>
      </c>
      <c r="N232" s="46">
        <v>0</v>
      </c>
      <c r="O232" s="46">
        <v>0</v>
      </c>
      <c r="P232" s="98"/>
      <c r="Q232" s="23" t="s">
        <v>1414</v>
      </c>
      <c r="R232" s="24" t="s">
        <v>587</v>
      </c>
      <c r="S232" s="25" t="s">
        <v>513</v>
      </c>
      <c r="T232" s="26">
        <v>189</v>
      </c>
      <c r="U232" s="26">
        <v>189</v>
      </c>
      <c r="V232" s="26">
        <v>40</v>
      </c>
      <c r="W232" s="127">
        <f t="shared" si="46"/>
        <v>0</v>
      </c>
      <c r="X232" s="127">
        <f t="shared" si="35"/>
        <v>0</v>
      </c>
      <c r="Y232" s="127">
        <f t="shared" si="47"/>
        <v>0</v>
      </c>
      <c r="Z232" s="127">
        <f t="shared" si="44"/>
        <v>0</v>
      </c>
      <c r="AA232" s="33" t="s">
        <v>15</v>
      </c>
      <c r="AB232" s="36" t="s">
        <v>16</v>
      </c>
      <c r="AC232" s="181">
        <f t="shared" si="41"/>
        <v>189</v>
      </c>
      <c r="AD232" s="181">
        <f t="shared" si="48"/>
        <v>7560</v>
      </c>
      <c r="AE232" s="181">
        <v>1.6</v>
      </c>
      <c r="AF232" s="181">
        <v>1.6</v>
      </c>
      <c r="AG232" s="101" t="str">
        <f t="shared" si="42"/>
        <v/>
      </c>
      <c r="AH232" s="190">
        <v>0</v>
      </c>
      <c r="AI232" s="69">
        <f t="shared" si="43"/>
        <v>189</v>
      </c>
    </row>
    <row r="233" spans="1:35" s="69" customFormat="1" ht="58.5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 t="s">
        <v>15</v>
      </c>
      <c r="I233" s="75">
        <v>3615.3</v>
      </c>
      <c r="J233" s="75">
        <v>426605.4</v>
      </c>
      <c r="K233" s="91" t="s">
        <v>591</v>
      </c>
      <c r="L233" s="73"/>
      <c r="M233" s="46">
        <v>108</v>
      </c>
      <c r="N233" s="46">
        <v>0</v>
      </c>
      <c r="O233" s="46">
        <v>390452.4</v>
      </c>
      <c r="P233" s="98"/>
      <c r="Q233" s="23" t="s">
        <v>1429</v>
      </c>
      <c r="R233" s="24" t="s">
        <v>590</v>
      </c>
      <c r="S233" s="25" t="s">
        <v>325</v>
      </c>
      <c r="T233" s="26">
        <v>118</v>
      </c>
      <c r="U233" s="26">
        <v>118</v>
      </c>
      <c r="V233" s="26">
        <v>3615.3</v>
      </c>
      <c r="W233" s="243">
        <f t="shared" si="46"/>
        <v>0</v>
      </c>
      <c r="X233" s="26">
        <f t="shared" si="35"/>
        <v>108</v>
      </c>
      <c r="Y233" s="26">
        <f t="shared" si="47"/>
        <v>0</v>
      </c>
      <c r="Z233" s="26">
        <f t="shared" si="44"/>
        <v>390452.4</v>
      </c>
      <c r="AA233" s="33" t="s">
        <v>15</v>
      </c>
      <c r="AB233" s="36" t="s">
        <v>16</v>
      </c>
      <c r="AC233" s="181">
        <f t="shared" si="41"/>
        <v>118</v>
      </c>
      <c r="AD233" s="181">
        <f t="shared" si="48"/>
        <v>426605.4</v>
      </c>
      <c r="AE233" s="181">
        <v>1.6</v>
      </c>
      <c r="AF233" s="181">
        <v>1.6</v>
      </c>
      <c r="AG233" s="101" t="str">
        <f t="shared" si="42"/>
        <v/>
      </c>
      <c r="AH233" s="191">
        <f>40+42+26</f>
        <v>108</v>
      </c>
      <c r="AI233" s="69">
        <f t="shared" si="43"/>
        <v>118</v>
      </c>
    </row>
    <row r="234" spans="1:35" s="69" customFormat="1" ht="58.5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 t="s">
        <v>15</v>
      </c>
      <c r="I234" s="75">
        <v>113.98</v>
      </c>
      <c r="J234" s="75">
        <v>316066.53999999998</v>
      </c>
      <c r="K234" s="91" t="s">
        <v>594</v>
      </c>
      <c r="L234" s="73"/>
      <c r="M234" s="46">
        <v>2487</v>
      </c>
      <c r="N234" s="46">
        <v>0</v>
      </c>
      <c r="O234" s="46">
        <v>283468.26</v>
      </c>
      <c r="P234" s="98"/>
      <c r="Q234" s="23" t="s">
        <v>1430</v>
      </c>
      <c r="R234" s="24" t="s">
        <v>593</v>
      </c>
      <c r="S234" s="25" t="s">
        <v>110</v>
      </c>
      <c r="T234" s="26">
        <v>2773</v>
      </c>
      <c r="U234" s="26">
        <v>2773</v>
      </c>
      <c r="V234" s="26">
        <v>113.98</v>
      </c>
      <c r="W234" s="243">
        <f t="shared" si="46"/>
        <v>0</v>
      </c>
      <c r="X234" s="26">
        <f t="shared" si="35"/>
        <v>2487</v>
      </c>
      <c r="Y234" s="26">
        <f t="shared" si="47"/>
        <v>0</v>
      </c>
      <c r="Z234" s="26">
        <f t="shared" si="44"/>
        <v>283468.26</v>
      </c>
      <c r="AA234" s="33" t="s">
        <v>15</v>
      </c>
      <c r="AB234" s="36" t="s">
        <v>16</v>
      </c>
      <c r="AC234" s="181">
        <f t="shared" si="41"/>
        <v>2773</v>
      </c>
      <c r="AD234" s="181">
        <f t="shared" si="48"/>
        <v>316066.53999999998</v>
      </c>
      <c r="AE234" s="181">
        <v>1.6</v>
      </c>
      <c r="AF234" s="181">
        <v>1.6</v>
      </c>
      <c r="AG234" s="101" t="str">
        <f t="shared" si="42"/>
        <v/>
      </c>
      <c r="AH234" s="191">
        <f>940+962+585</f>
        <v>2487</v>
      </c>
      <c r="AI234" s="69">
        <f t="shared" si="43"/>
        <v>2773</v>
      </c>
    </row>
    <row r="235" spans="1:35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6" t="s">
        <v>15</v>
      </c>
      <c r="I235" s="75">
        <v>138.84</v>
      </c>
      <c r="J235" s="75">
        <v>15550.08</v>
      </c>
      <c r="K235" s="91" t="s">
        <v>190</v>
      </c>
      <c r="L235" s="73"/>
      <c r="M235" s="46">
        <v>0</v>
      </c>
      <c r="N235" s="46">
        <v>0</v>
      </c>
      <c r="O235" s="46">
        <v>0</v>
      </c>
      <c r="P235" s="98"/>
      <c r="Q235" s="23" t="s">
        <v>1431</v>
      </c>
      <c r="R235" s="24" t="s">
        <v>189</v>
      </c>
      <c r="S235" s="25" t="s">
        <v>30</v>
      </c>
      <c r="T235" s="26">
        <v>112</v>
      </c>
      <c r="U235" s="26">
        <v>112</v>
      </c>
      <c r="V235" s="26">
        <v>138.84</v>
      </c>
      <c r="W235" s="243">
        <f t="shared" si="46"/>
        <v>112</v>
      </c>
      <c r="X235" s="127">
        <f t="shared" si="35"/>
        <v>112</v>
      </c>
      <c r="Y235" s="127">
        <f t="shared" si="47"/>
        <v>15550.08</v>
      </c>
      <c r="Z235" s="127">
        <f t="shared" si="44"/>
        <v>15550.08</v>
      </c>
      <c r="AA235" s="33" t="s">
        <v>15</v>
      </c>
      <c r="AB235" s="36" t="s">
        <v>16</v>
      </c>
      <c r="AC235" s="181">
        <f t="shared" si="41"/>
        <v>112</v>
      </c>
      <c r="AD235" s="181">
        <f t="shared" si="48"/>
        <v>15550.08</v>
      </c>
      <c r="AE235" s="181">
        <v>1.6</v>
      </c>
      <c r="AF235" s="181">
        <v>1.6</v>
      </c>
      <c r="AG235" s="101" t="str">
        <f t="shared" si="42"/>
        <v/>
      </c>
      <c r="AH235" s="191">
        <f>112</f>
        <v>112</v>
      </c>
      <c r="AI235" s="69">
        <f t="shared" si="43"/>
        <v>112</v>
      </c>
    </row>
    <row r="236" spans="1:35" ht="39" x14ac:dyDescent="0.3">
      <c r="A236" s="134" t="s">
        <v>1334</v>
      </c>
      <c r="B236" s="135" t="s">
        <v>1335</v>
      </c>
      <c r="C236" s="204" t="s">
        <v>50</v>
      </c>
      <c r="D236" s="133"/>
      <c r="E236" s="78"/>
      <c r="F236" s="62">
        <v>518.22</v>
      </c>
      <c r="G236" s="140"/>
      <c r="H236" s="62" t="s">
        <v>15</v>
      </c>
      <c r="I236" s="167">
        <v>868.85</v>
      </c>
      <c r="J236" s="62">
        <v>450255.45</v>
      </c>
      <c r="K236" s="93"/>
      <c r="M236" s="46">
        <v>518.22</v>
      </c>
      <c r="N236" s="46">
        <v>0</v>
      </c>
      <c r="O236" s="46">
        <v>450255.45</v>
      </c>
      <c r="P236" s="98"/>
      <c r="Q236" s="23" t="s">
        <v>1395</v>
      </c>
      <c r="R236" s="24" t="s">
        <v>1396</v>
      </c>
      <c r="S236" s="25" t="s">
        <v>50</v>
      </c>
      <c r="T236" s="26">
        <v>0</v>
      </c>
      <c r="U236" s="26">
        <v>518.22</v>
      </c>
      <c r="V236" s="26">
        <v>868.85</v>
      </c>
      <c r="W236" s="209">
        <f t="shared" si="46"/>
        <v>0</v>
      </c>
      <c r="X236" s="127">
        <f t="shared" si="35"/>
        <v>518.22</v>
      </c>
      <c r="Y236" s="127">
        <f t="shared" si="47"/>
        <v>0</v>
      </c>
      <c r="Z236" s="127">
        <f t="shared" si="44"/>
        <v>450255.45</v>
      </c>
      <c r="AA236" s="27"/>
      <c r="AB236" s="36" t="s">
        <v>16</v>
      </c>
      <c r="AC236" s="181">
        <f t="shared" si="41"/>
        <v>518.22</v>
      </c>
      <c r="AD236" s="181">
        <f t="shared" si="48"/>
        <v>450255.45</v>
      </c>
      <c r="AE236" s="181">
        <v>1.6</v>
      </c>
      <c r="AF236" s="181">
        <v>1.6</v>
      </c>
      <c r="AG236" s="101" t="str">
        <f t="shared" si="42"/>
        <v/>
      </c>
      <c r="AH236" s="191">
        <f>143.5+296.2+78.52</f>
        <v>518.22</v>
      </c>
      <c r="AI236" s="69">
        <f t="shared" si="43"/>
        <v>518.22</v>
      </c>
    </row>
    <row r="237" spans="1:35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4" t="s">
        <v>15</v>
      </c>
      <c r="I237" s="82"/>
      <c r="J237" s="82">
        <v>7859013.9699999997</v>
      </c>
      <c r="K237" s="94" t="s">
        <v>15</v>
      </c>
      <c r="L237" s="73"/>
      <c r="M237" s="45">
        <v>1</v>
      </c>
      <c r="N237" s="45">
        <v>0</v>
      </c>
      <c r="O237" s="45">
        <v>3078299.32</v>
      </c>
      <c r="P237" s="98"/>
      <c r="Q237" s="18" t="s">
        <v>1397</v>
      </c>
      <c r="R237" s="19" t="s">
        <v>597</v>
      </c>
      <c r="S237" s="20" t="s">
        <v>14</v>
      </c>
      <c r="T237" s="21">
        <v>1</v>
      </c>
      <c r="U237" s="21"/>
      <c r="V237" s="21">
        <f>SUMIFS(AD:AD,AE:AE,AE237)</f>
        <v>7859013.9699999997</v>
      </c>
      <c r="W237" s="21">
        <f t="shared" ref="W237:X237" si="49">IF(Y237=0,0,1)</f>
        <v>1</v>
      </c>
      <c r="X237" s="21">
        <f t="shared" si="49"/>
        <v>1</v>
      </c>
      <c r="Y237" s="21">
        <f>SUMIFS(Y:Y,AF:AF,AE237)</f>
        <v>344615.33999999997</v>
      </c>
      <c r="Z237" s="21">
        <f>SUMIFS(Z:Z,AF:AF,AE237)</f>
        <v>3422914.66</v>
      </c>
      <c r="AA237" s="22" t="s">
        <v>15</v>
      </c>
      <c r="AB237" s="43" t="s">
        <v>16</v>
      </c>
      <c r="AC237" s="181">
        <f t="shared" si="41"/>
        <v>1</v>
      </c>
      <c r="AD237" s="184"/>
      <c r="AE237" s="184">
        <v>1.7</v>
      </c>
      <c r="AF237" s="184"/>
      <c r="AG237" s="101" t="str">
        <f t="shared" si="42"/>
        <v/>
      </c>
      <c r="AH237" s="190">
        <v>1</v>
      </c>
      <c r="AI237" s="69">
        <f t="shared" si="43"/>
        <v>1</v>
      </c>
    </row>
    <row r="238" spans="1:35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 t="s">
        <v>15</v>
      </c>
      <c r="I238" s="75">
        <v>704.52</v>
      </c>
      <c r="J238" s="75">
        <v>1829427.08</v>
      </c>
      <c r="K238" s="91" t="s">
        <v>600</v>
      </c>
      <c r="L238" s="73"/>
      <c r="M238" s="46">
        <v>881</v>
      </c>
      <c r="N238" s="46">
        <v>0</v>
      </c>
      <c r="O238" s="46">
        <v>620682.12</v>
      </c>
      <c r="P238" s="98"/>
      <c r="Q238" s="23" t="s">
        <v>1421</v>
      </c>
      <c r="R238" s="24" t="s">
        <v>599</v>
      </c>
      <c r="S238" s="25" t="s">
        <v>103</v>
      </c>
      <c r="T238" s="26">
        <v>2596.6999999999998</v>
      </c>
      <c r="U238" s="26">
        <v>2596.6999999999998</v>
      </c>
      <c r="V238" s="26">
        <v>704.52</v>
      </c>
      <c r="W238" s="243">
        <f t="shared" ref="W238:W301" si="50">AH238-M238</f>
        <v>392</v>
      </c>
      <c r="X238" s="26">
        <f t="shared" si="35"/>
        <v>1273</v>
      </c>
      <c r="Y238" s="26">
        <f t="shared" ref="Y238:Y301" si="51">Z238-O238</f>
        <v>276171.83999999997</v>
      </c>
      <c r="Z238" s="26">
        <f t="shared" si="44"/>
        <v>896853.96</v>
      </c>
      <c r="AA238" s="33" t="s">
        <v>15</v>
      </c>
      <c r="AB238" s="36" t="s">
        <v>16</v>
      </c>
      <c r="AC238" s="181">
        <f t="shared" si="41"/>
        <v>2596.6999999999998</v>
      </c>
      <c r="AD238" s="181">
        <f t="shared" ref="AD238:AD301" si="52">ROUND(V238*AC238,2)</f>
        <v>1829427.08</v>
      </c>
      <c r="AE238" s="181">
        <v>1.7</v>
      </c>
      <c r="AF238" s="181">
        <v>1.7</v>
      </c>
      <c r="AG238" s="101" t="str">
        <f t="shared" si="42"/>
        <v/>
      </c>
      <c r="AH238" s="191">
        <f>316+565+392</f>
        <v>1273</v>
      </c>
      <c r="AI238" s="69">
        <f t="shared" si="43"/>
        <v>2596.6999999999998</v>
      </c>
    </row>
    <row r="239" spans="1:35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 t="s">
        <v>15</v>
      </c>
      <c r="I239" s="75">
        <v>400</v>
      </c>
      <c r="J239" s="75">
        <v>50400</v>
      </c>
      <c r="K239" s="91" t="s">
        <v>603</v>
      </c>
      <c r="L239" s="73"/>
      <c r="M239" s="46">
        <v>0</v>
      </c>
      <c r="N239" s="46">
        <v>0</v>
      </c>
      <c r="O239" s="46">
        <v>0</v>
      </c>
      <c r="P239" s="98"/>
      <c r="Q239" s="23" t="s">
        <v>1426</v>
      </c>
      <c r="R239" s="24" t="s">
        <v>602</v>
      </c>
      <c r="S239" s="25" t="s">
        <v>559</v>
      </c>
      <c r="T239" s="26">
        <v>126</v>
      </c>
      <c r="U239" s="26">
        <v>126</v>
      </c>
      <c r="V239" s="26">
        <v>400</v>
      </c>
      <c r="W239" s="26">
        <f t="shared" si="50"/>
        <v>0</v>
      </c>
      <c r="X239" s="26">
        <f t="shared" si="35"/>
        <v>0</v>
      </c>
      <c r="Y239" s="26">
        <f t="shared" si="51"/>
        <v>0</v>
      </c>
      <c r="Z239" s="26">
        <f t="shared" si="44"/>
        <v>0</v>
      </c>
      <c r="AA239" s="33" t="s">
        <v>15</v>
      </c>
      <c r="AB239" s="36" t="s">
        <v>16</v>
      </c>
      <c r="AC239" s="181">
        <f t="shared" si="41"/>
        <v>126</v>
      </c>
      <c r="AD239" s="181">
        <f t="shared" si="52"/>
        <v>50400</v>
      </c>
      <c r="AE239" s="181">
        <v>1.7</v>
      </c>
      <c r="AF239" s="181">
        <v>1.7</v>
      </c>
      <c r="AG239" s="101" t="str">
        <f t="shared" si="42"/>
        <v/>
      </c>
      <c r="AH239" s="190">
        <v>0</v>
      </c>
      <c r="AI239" s="69">
        <f t="shared" si="43"/>
        <v>126</v>
      </c>
    </row>
    <row r="240" spans="1:35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 t="s">
        <v>15</v>
      </c>
      <c r="I240" s="75">
        <v>3569.95</v>
      </c>
      <c r="J240" s="75">
        <v>42839.4</v>
      </c>
      <c r="K240" s="91" t="s">
        <v>607</v>
      </c>
      <c r="L240" s="73"/>
      <c r="M240" s="46">
        <v>0</v>
      </c>
      <c r="N240" s="46">
        <v>0</v>
      </c>
      <c r="O240" s="46">
        <v>0</v>
      </c>
      <c r="P240" s="98"/>
      <c r="Q240" s="23" t="s">
        <v>1402</v>
      </c>
      <c r="R240" s="24" t="s">
        <v>605</v>
      </c>
      <c r="S240" s="25" t="s">
        <v>606</v>
      </c>
      <c r="T240" s="26">
        <v>12</v>
      </c>
      <c r="U240" s="26">
        <v>12</v>
      </c>
      <c r="V240" s="26">
        <v>3569.95</v>
      </c>
      <c r="W240" s="26">
        <f t="shared" si="50"/>
        <v>0</v>
      </c>
      <c r="X240" s="26">
        <f t="shared" si="35"/>
        <v>0</v>
      </c>
      <c r="Y240" s="26">
        <f t="shared" si="51"/>
        <v>0</v>
      </c>
      <c r="Z240" s="26">
        <f t="shared" si="44"/>
        <v>0</v>
      </c>
      <c r="AA240" s="33" t="s">
        <v>15</v>
      </c>
      <c r="AB240" s="36" t="s">
        <v>16</v>
      </c>
      <c r="AC240" s="181">
        <f t="shared" si="41"/>
        <v>12</v>
      </c>
      <c r="AD240" s="181">
        <f t="shared" si="52"/>
        <v>42839.4</v>
      </c>
      <c r="AE240" s="181">
        <v>1.7</v>
      </c>
      <c r="AF240" s="181">
        <v>1.7</v>
      </c>
      <c r="AG240" s="101" t="str">
        <f t="shared" si="42"/>
        <v/>
      </c>
      <c r="AH240" s="190">
        <v>0</v>
      </c>
      <c r="AI240" s="69">
        <f t="shared" si="43"/>
        <v>12</v>
      </c>
    </row>
    <row r="241" spans="1:35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 t="s">
        <v>15</v>
      </c>
      <c r="I241" s="75">
        <v>4083.1</v>
      </c>
      <c r="J241" s="75">
        <v>73495.8</v>
      </c>
      <c r="K241" s="91" t="s">
        <v>610</v>
      </c>
      <c r="L241" s="73"/>
      <c r="M241" s="46">
        <v>5</v>
      </c>
      <c r="N241" s="46">
        <v>0</v>
      </c>
      <c r="O241" s="46">
        <v>20415.5</v>
      </c>
      <c r="P241" s="98"/>
      <c r="Q241" s="23" t="s">
        <v>1373</v>
      </c>
      <c r="R241" s="24" t="s">
        <v>609</v>
      </c>
      <c r="S241" s="25" t="s">
        <v>606</v>
      </c>
      <c r="T241" s="26">
        <v>18</v>
      </c>
      <c r="U241" s="26">
        <v>18</v>
      </c>
      <c r="V241" s="26">
        <v>4083.1</v>
      </c>
      <c r="W241" s="26">
        <f t="shared" si="50"/>
        <v>0</v>
      </c>
      <c r="X241" s="26">
        <f t="shared" si="35"/>
        <v>5</v>
      </c>
      <c r="Y241" s="26">
        <f t="shared" si="51"/>
        <v>0</v>
      </c>
      <c r="Z241" s="26">
        <f t="shared" si="44"/>
        <v>20415.5</v>
      </c>
      <c r="AA241" s="33" t="s">
        <v>15</v>
      </c>
      <c r="AB241" s="36" t="s">
        <v>16</v>
      </c>
      <c r="AC241" s="181">
        <f t="shared" si="41"/>
        <v>18</v>
      </c>
      <c r="AD241" s="181">
        <f t="shared" si="52"/>
        <v>73495.8</v>
      </c>
      <c r="AE241" s="181">
        <v>1.7</v>
      </c>
      <c r="AF241" s="181">
        <v>1.7</v>
      </c>
      <c r="AG241" s="101" t="str">
        <f t="shared" si="42"/>
        <v/>
      </c>
      <c r="AH241" s="190">
        <v>5</v>
      </c>
      <c r="AI241" s="69">
        <f t="shared" si="43"/>
        <v>18</v>
      </c>
    </row>
    <row r="242" spans="1:35" s="69" customFormat="1" ht="39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203"/>
      <c r="F242" s="203"/>
      <c r="G242" s="203"/>
      <c r="H242" s="203" t="s">
        <v>15</v>
      </c>
      <c r="I242" s="75">
        <v>7408.5</v>
      </c>
      <c r="J242" s="75">
        <v>37042.5</v>
      </c>
      <c r="K242" s="91" t="s">
        <v>613</v>
      </c>
      <c r="L242" s="73"/>
      <c r="M242" s="46">
        <v>5</v>
      </c>
      <c r="N242" s="46">
        <v>0</v>
      </c>
      <c r="O242" s="46">
        <v>37042.5</v>
      </c>
      <c r="P242" s="98"/>
      <c r="Q242" s="23" t="s">
        <v>1393</v>
      </c>
      <c r="R242" s="24" t="s">
        <v>612</v>
      </c>
      <c r="S242" s="25" t="s">
        <v>606</v>
      </c>
      <c r="T242" s="26">
        <v>5</v>
      </c>
      <c r="U242" s="26">
        <v>5</v>
      </c>
      <c r="V242" s="26">
        <v>7408.5</v>
      </c>
      <c r="W242" s="127">
        <f t="shared" si="50"/>
        <v>0</v>
      </c>
      <c r="X242" s="127">
        <f t="shared" ref="X242:X305" si="53">W242+M242</f>
        <v>5</v>
      </c>
      <c r="Y242" s="127">
        <f t="shared" si="51"/>
        <v>0</v>
      </c>
      <c r="Z242" s="127">
        <f t="shared" si="44"/>
        <v>37042.5</v>
      </c>
      <c r="AA242" s="33" t="s">
        <v>15</v>
      </c>
      <c r="AB242" s="36" t="s">
        <v>16</v>
      </c>
      <c r="AC242" s="181">
        <f t="shared" si="41"/>
        <v>5</v>
      </c>
      <c r="AD242" s="181">
        <f t="shared" si="52"/>
        <v>37042.5</v>
      </c>
      <c r="AE242" s="181">
        <v>1.7</v>
      </c>
      <c r="AF242" s="181">
        <v>1.7</v>
      </c>
      <c r="AG242" s="101" t="str">
        <f t="shared" si="42"/>
        <v/>
      </c>
      <c r="AH242" s="190">
        <v>5</v>
      </c>
      <c r="AI242" s="69">
        <f t="shared" si="43"/>
        <v>5</v>
      </c>
    </row>
    <row r="243" spans="1:35" s="69" customFormat="1" ht="39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203"/>
      <c r="F243" s="203"/>
      <c r="G243" s="203"/>
      <c r="H243" s="203" t="s">
        <v>15</v>
      </c>
      <c r="I243" s="75">
        <v>10319.280000000001</v>
      </c>
      <c r="J243" s="75">
        <v>51596.4</v>
      </c>
      <c r="K243" s="91" t="s">
        <v>616</v>
      </c>
      <c r="L243" s="73"/>
      <c r="M243" s="46">
        <v>5</v>
      </c>
      <c r="N243" s="46">
        <v>0</v>
      </c>
      <c r="O243" s="46">
        <v>51596.4</v>
      </c>
      <c r="P243" s="98"/>
      <c r="Q243" s="23" t="s">
        <v>1403</v>
      </c>
      <c r="R243" s="24" t="s">
        <v>615</v>
      </c>
      <c r="S243" s="25" t="s">
        <v>606</v>
      </c>
      <c r="T243" s="26">
        <v>5</v>
      </c>
      <c r="U243" s="26">
        <v>5</v>
      </c>
      <c r="V243" s="26">
        <v>10319.280000000001</v>
      </c>
      <c r="W243" s="127">
        <f t="shared" si="50"/>
        <v>0</v>
      </c>
      <c r="X243" s="127">
        <f t="shared" si="53"/>
        <v>5</v>
      </c>
      <c r="Y243" s="127">
        <f t="shared" si="51"/>
        <v>0</v>
      </c>
      <c r="Z243" s="127">
        <f t="shared" si="44"/>
        <v>51596.4</v>
      </c>
      <c r="AA243" s="33" t="s">
        <v>15</v>
      </c>
      <c r="AB243" s="36" t="s">
        <v>16</v>
      </c>
      <c r="AC243" s="181">
        <f t="shared" si="41"/>
        <v>5</v>
      </c>
      <c r="AD243" s="181">
        <f t="shared" si="52"/>
        <v>51596.4</v>
      </c>
      <c r="AE243" s="181">
        <v>1.7</v>
      </c>
      <c r="AF243" s="181">
        <v>1.7</v>
      </c>
      <c r="AG243" s="101" t="str">
        <f t="shared" si="42"/>
        <v/>
      </c>
      <c r="AH243" s="190">
        <v>5</v>
      </c>
      <c r="AI243" s="69">
        <f t="shared" si="43"/>
        <v>5</v>
      </c>
    </row>
    <row r="244" spans="1:35" s="69" customFormat="1" ht="39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203"/>
      <c r="F244" s="203"/>
      <c r="G244" s="203"/>
      <c r="H244" s="203" t="s">
        <v>15</v>
      </c>
      <c r="I244" s="75">
        <v>15164.14</v>
      </c>
      <c r="J244" s="75">
        <v>30328.28</v>
      </c>
      <c r="K244" s="91" t="s">
        <v>619</v>
      </c>
      <c r="L244" s="73"/>
      <c r="M244" s="46">
        <v>2</v>
      </c>
      <c r="N244" s="46">
        <v>0</v>
      </c>
      <c r="O244" s="46">
        <v>30328.28</v>
      </c>
      <c r="P244" s="98"/>
      <c r="Q244" s="23" t="s">
        <v>1427</v>
      </c>
      <c r="R244" s="24" t="s">
        <v>618</v>
      </c>
      <c r="S244" s="25" t="s">
        <v>606</v>
      </c>
      <c r="T244" s="26">
        <v>2</v>
      </c>
      <c r="U244" s="26">
        <v>2</v>
      </c>
      <c r="V244" s="26">
        <v>15164.14</v>
      </c>
      <c r="W244" s="127">
        <f t="shared" si="50"/>
        <v>0</v>
      </c>
      <c r="X244" s="127">
        <f t="shared" si="53"/>
        <v>2</v>
      </c>
      <c r="Y244" s="127">
        <f t="shared" si="51"/>
        <v>0</v>
      </c>
      <c r="Z244" s="127">
        <f t="shared" si="44"/>
        <v>30328.28</v>
      </c>
      <c r="AA244" s="33" t="s">
        <v>15</v>
      </c>
      <c r="AB244" s="36" t="s">
        <v>16</v>
      </c>
      <c r="AC244" s="181">
        <f t="shared" si="41"/>
        <v>2</v>
      </c>
      <c r="AD244" s="181">
        <f t="shared" si="52"/>
        <v>30328.28</v>
      </c>
      <c r="AE244" s="181">
        <v>1.7</v>
      </c>
      <c r="AF244" s="181">
        <v>1.7</v>
      </c>
      <c r="AG244" s="101" t="str">
        <f t="shared" si="42"/>
        <v/>
      </c>
      <c r="AH244" s="190">
        <v>2</v>
      </c>
      <c r="AI244" s="69">
        <f t="shared" si="43"/>
        <v>2</v>
      </c>
    </row>
    <row r="245" spans="1:35" s="69" customFormat="1" ht="39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203"/>
      <c r="F245" s="203"/>
      <c r="G245" s="203"/>
      <c r="H245" s="203" t="s">
        <v>15</v>
      </c>
      <c r="I245" s="75">
        <v>21803.06</v>
      </c>
      <c r="J245" s="75">
        <v>130818.36</v>
      </c>
      <c r="K245" s="91" t="s">
        <v>622</v>
      </c>
      <c r="L245" s="73"/>
      <c r="M245" s="46">
        <v>6</v>
      </c>
      <c r="N245" s="46">
        <v>0</v>
      </c>
      <c r="O245" s="46">
        <v>130818.36</v>
      </c>
      <c r="P245" s="98"/>
      <c r="Q245" s="23" t="s">
        <v>1428</v>
      </c>
      <c r="R245" s="24" t="s">
        <v>621</v>
      </c>
      <c r="S245" s="25" t="s">
        <v>606</v>
      </c>
      <c r="T245" s="26">
        <v>6</v>
      </c>
      <c r="U245" s="26">
        <v>6</v>
      </c>
      <c r="V245" s="26">
        <v>21803.06</v>
      </c>
      <c r="W245" s="127">
        <f t="shared" si="50"/>
        <v>0</v>
      </c>
      <c r="X245" s="127">
        <f t="shared" si="53"/>
        <v>6</v>
      </c>
      <c r="Y245" s="127">
        <f t="shared" si="51"/>
        <v>0</v>
      </c>
      <c r="Z245" s="127">
        <f t="shared" si="44"/>
        <v>130818.36</v>
      </c>
      <c r="AA245" s="33" t="s">
        <v>15</v>
      </c>
      <c r="AB245" s="36" t="s">
        <v>16</v>
      </c>
      <c r="AC245" s="181">
        <f t="shared" si="41"/>
        <v>6</v>
      </c>
      <c r="AD245" s="181">
        <f t="shared" si="52"/>
        <v>130818.36</v>
      </c>
      <c r="AE245" s="181">
        <v>1.7</v>
      </c>
      <c r="AF245" s="181">
        <v>1.7</v>
      </c>
      <c r="AG245" s="101" t="str">
        <f t="shared" si="42"/>
        <v/>
      </c>
      <c r="AH245" s="190">
        <v>6</v>
      </c>
      <c r="AI245" s="69">
        <f t="shared" si="43"/>
        <v>6</v>
      </c>
    </row>
    <row r="246" spans="1:35" s="69" customFormat="1" ht="39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203"/>
      <c r="F246" s="203"/>
      <c r="G246" s="203"/>
      <c r="H246" s="203" t="s">
        <v>15</v>
      </c>
      <c r="I246" s="75">
        <v>26196.51</v>
      </c>
      <c r="J246" s="75">
        <v>78589.53</v>
      </c>
      <c r="K246" s="91" t="s">
        <v>625</v>
      </c>
      <c r="L246" s="73"/>
      <c r="M246" s="46">
        <v>3</v>
      </c>
      <c r="N246" s="46">
        <v>0</v>
      </c>
      <c r="O246" s="46">
        <v>78589.53</v>
      </c>
      <c r="P246" s="98"/>
      <c r="Q246" s="23" t="s">
        <v>1387</v>
      </c>
      <c r="R246" s="24" t="s">
        <v>624</v>
      </c>
      <c r="S246" s="25" t="s">
        <v>606</v>
      </c>
      <c r="T246" s="26">
        <v>3</v>
      </c>
      <c r="U246" s="26">
        <v>3</v>
      </c>
      <c r="V246" s="26">
        <v>26196.51</v>
      </c>
      <c r="W246" s="127">
        <f t="shared" si="50"/>
        <v>0</v>
      </c>
      <c r="X246" s="127">
        <f t="shared" si="53"/>
        <v>3</v>
      </c>
      <c r="Y246" s="127">
        <f t="shared" si="51"/>
        <v>0</v>
      </c>
      <c r="Z246" s="127">
        <f t="shared" si="44"/>
        <v>78589.53</v>
      </c>
      <c r="AA246" s="33" t="s">
        <v>15</v>
      </c>
      <c r="AB246" s="36" t="s">
        <v>16</v>
      </c>
      <c r="AC246" s="181">
        <f t="shared" si="41"/>
        <v>3</v>
      </c>
      <c r="AD246" s="181">
        <f t="shared" si="52"/>
        <v>78589.53</v>
      </c>
      <c r="AE246" s="181">
        <v>1.7</v>
      </c>
      <c r="AF246" s="181">
        <v>1.7</v>
      </c>
      <c r="AG246" s="101" t="str">
        <f t="shared" si="42"/>
        <v/>
      </c>
      <c r="AH246" s="190">
        <v>3</v>
      </c>
      <c r="AI246" s="69">
        <f t="shared" si="43"/>
        <v>3</v>
      </c>
    </row>
    <row r="247" spans="1:35" s="69" customFormat="1" ht="39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203"/>
      <c r="F247" s="203"/>
      <c r="G247" s="203"/>
      <c r="H247" s="203" t="s">
        <v>15</v>
      </c>
      <c r="I247" s="75">
        <v>29984.85</v>
      </c>
      <c r="J247" s="75">
        <v>59969.7</v>
      </c>
      <c r="K247" s="91" t="s">
        <v>628</v>
      </c>
      <c r="L247" s="73"/>
      <c r="M247" s="46">
        <v>2</v>
      </c>
      <c r="N247" s="46">
        <v>0</v>
      </c>
      <c r="O247" s="46">
        <v>59969.7</v>
      </c>
      <c r="P247" s="98"/>
      <c r="Q247" s="23" t="s">
        <v>1405</v>
      </c>
      <c r="R247" s="24" t="s">
        <v>627</v>
      </c>
      <c r="S247" s="25" t="s">
        <v>606</v>
      </c>
      <c r="T247" s="26">
        <v>2</v>
      </c>
      <c r="U247" s="26">
        <v>2</v>
      </c>
      <c r="V247" s="26">
        <v>29984.85</v>
      </c>
      <c r="W247" s="127">
        <f t="shared" si="50"/>
        <v>0</v>
      </c>
      <c r="X247" s="127">
        <f t="shared" si="53"/>
        <v>2</v>
      </c>
      <c r="Y247" s="127">
        <f t="shared" si="51"/>
        <v>0</v>
      </c>
      <c r="Z247" s="127">
        <f t="shared" si="44"/>
        <v>59969.7</v>
      </c>
      <c r="AA247" s="33" t="s">
        <v>15</v>
      </c>
      <c r="AB247" s="36" t="s">
        <v>16</v>
      </c>
      <c r="AC247" s="181">
        <f t="shared" si="41"/>
        <v>2</v>
      </c>
      <c r="AD247" s="181">
        <f t="shared" si="52"/>
        <v>59969.7</v>
      </c>
      <c r="AE247" s="181">
        <v>1.7</v>
      </c>
      <c r="AF247" s="181">
        <v>1.7</v>
      </c>
      <c r="AG247" s="101" t="str">
        <f t="shared" si="42"/>
        <v/>
      </c>
      <c r="AH247" s="190">
        <v>2</v>
      </c>
      <c r="AI247" s="69">
        <f t="shared" si="43"/>
        <v>2</v>
      </c>
    </row>
    <row r="248" spans="1:35" s="69" customFormat="1" ht="39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203"/>
      <c r="F248" s="203"/>
      <c r="G248" s="203"/>
      <c r="H248" s="203" t="s">
        <v>15</v>
      </c>
      <c r="I248" s="75">
        <v>38914.949999999997</v>
      </c>
      <c r="J248" s="75">
        <v>116744.85</v>
      </c>
      <c r="K248" s="91" t="s">
        <v>631</v>
      </c>
      <c r="L248" s="73"/>
      <c r="M248" s="46">
        <v>3</v>
      </c>
      <c r="N248" s="46">
        <v>0</v>
      </c>
      <c r="O248" s="46">
        <v>116744.85</v>
      </c>
      <c r="P248" s="98"/>
      <c r="Q248" s="23" t="s">
        <v>1406</v>
      </c>
      <c r="R248" s="24" t="s">
        <v>630</v>
      </c>
      <c r="S248" s="25" t="s">
        <v>606</v>
      </c>
      <c r="T248" s="26">
        <v>3</v>
      </c>
      <c r="U248" s="26">
        <v>3</v>
      </c>
      <c r="V248" s="26">
        <v>38914.949999999997</v>
      </c>
      <c r="W248" s="127">
        <f t="shared" si="50"/>
        <v>0</v>
      </c>
      <c r="X248" s="127">
        <f t="shared" si="53"/>
        <v>3</v>
      </c>
      <c r="Y248" s="127">
        <f t="shared" si="51"/>
        <v>0</v>
      </c>
      <c r="Z248" s="127">
        <f t="shared" si="44"/>
        <v>116744.85</v>
      </c>
      <c r="AA248" s="33" t="s">
        <v>15</v>
      </c>
      <c r="AB248" s="36" t="s">
        <v>16</v>
      </c>
      <c r="AC248" s="181">
        <f t="shared" si="41"/>
        <v>3</v>
      </c>
      <c r="AD248" s="181">
        <f t="shared" si="52"/>
        <v>116744.85</v>
      </c>
      <c r="AE248" s="181">
        <v>1.7</v>
      </c>
      <c r="AF248" s="181">
        <v>1.7</v>
      </c>
      <c r="AG248" s="101" t="str">
        <f t="shared" si="42"/>
        <v/>
      </c>
      <c r="AH248" s="190">
        <v>3</v>
      </c>
      <c r="AI248" s="69">
        <f t="shared" si="43"/>
        <v>3</v>
      </c>
    </row>
    <row r="249" spans="1:35" s="69" customFormat="1" ht="39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203"/>
      <c r="F249" s="203"/>
      <c r="G249" s="203"/>
      <c r="H249" s="203" t="s">
        <v>15</v>
      </c>
      <c r="I249" s="75">
        <v>43624.88</v>
      </c>
      <c r="J249" s="75">
        <v>130874.64</v>
      </c>
      <c r="K249" s="91" t="s">
        <v>634</v>
      </c>
      <c r="L249" s="73"/>
      <c r="M249" s="46">
        <v>3</v>
      </c>
      <c r="N249" s="46">
        <v>0</v>
      </c>
      <c r="O249" s="46">
        <v>130874.64</v>
      </c>
      <c r="P249" s="98"/>
      <c r="Q249" s="23" t="s">
        <v>1414</v>
      </c>
      <c r="R249" s="24" t="s">
        <v>633</v>
      </c>
      <c r="S249" s="25" t="s">
        <v>606</v>
      </c>
      <c r="T249" s="26">
        <v>3</v>
      </c>
      <c r="U249" s="26">
        <v>3</v>
      </c>
      <c r="V249" s="26">
        <v>43624.88</v>
      </c>
      <c r="W249" s="127">
        <f t="shared" si="50"/>
        <v>0</v>
      </c>
      <c r="X249" s="127">
        <f t="shared" si="53"/>
        <v>3</v>
      </c>
      <c r="Y249" s="127">
        <f t="shared" si="51"/>
        <v>0</v>
      </c>
      <c r="Z249" s="127">
        <f t="shared" si="44"/>
        <v>130874.64</v>
      </c>
      <c r="AA249" s="33" t="s">
        <v>15</v>
      </c>
      <c r="AB249" s="36" t="s">
        <v>16</v>
      </c>
      <c r="AC249" s="181">
        <f t="shared" si="41"/>
        <v>3</v>
      </c>
      <c r="AD249" s="181">
        <f t="shared" si="52"/>
        <v>130874.64</v>
      </c>
      <c r="AE249" s="181">
        <v>1.7</v>
      </c>
      <c r="AF249" s="181">
        <v>1.7</v>
      </c>
      <c r="AG249" s="101" t="str">
        <f t="shared" si="42"/>
        <v/>
      </c>
      <c r="AH249" s="190">
        <v>3</v>
      </c>
      <c r="AI249" s="69">
        <f t="shared" si="43"/>
        <v>3</v>
      </c>
    </row>
    <row r="250" spans="1:35" s="69" customFormat="1" ht="39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203"/>
      <c r="F250" s="203"/>
      <c r="G250" s="203"/>
      <c r="H250" s="203" t="s">
        <v>15</v>
      </c>
      <c r="I250" s="75">
        <v>73088.800000000003</v>
      </c>
      <c r="J250" s="75">
        <v>73088.800000000003</v>
      </c>
      <c r="K250" s="91" t="s">
        <v>637</v>
      </c>
      <c r="L250" s="73"/>
      <c r="M250" s="46">
        <v>1</v>
      </c>
      <c r="N250" s="46">
        <v>0</v>
      </c>
      <c r="O250" s="46">
        <v>73088.800000000003</v>
      </c>
      <c r="P250" s="98"/>
      <c r="Q250" s="23" t="s">
        <v>1429</v>
      </c>
      <c r="R250" s="24" t="s">
        <v>636</v>
      </c>
      <c r="S250" s="25" t="s">
        <v>606</v>
      </c>
      <c r="T250" s="26">
        <v>1</v>
      </c>
      <c r="U250" s="26">
        <v>1</v>
      </c>
      <c r="V250" s="26">
        <v>73088.800000000003</v>
      </c>
      <c r="W250" s="127">
        <f t="shared" si="50"/>
        <v>0</v>
      </c>
      <c r="X250" s="127">
        <f t="shared" si="53"/>
        <v>1</v>
      </c>
      <c r="Y250" s="127">
        <f t="shared" si="51"/>
        <v>0</v>
      </c>
      <c r="Z250" s="127">
        <f t="shared" si="44"/>
        <v>73088.800000000003</v>
      </c>
      <c r="AA250" s="33" t="s">
        <v>15</v>
      </c>
      <c r="AB250" s="36" t="s">
        <v>16</v>
      </c>
      <c r="AC250" s="181">
        <f t="shared" si="41"/>
        <v>1</v>
      </c>
      <c r="AD250" s="181">
        <f t="shared" si="52"/>
        <v>73088.800000000003</v>
      </c>
      <c r="AE250" s="181">
        <v>1.7</v>
      </c>
      <c r="AF250" s="181">
        <v>1.7</v>
      </c>
      <c r="AG250" s="101" t="str">
        <f t="shared" si="42"/>
        <v/>
      </c>
      <c r="AH250" s="190">
        <v>1</v>
      </c>
      <c r="AI250" s="69">
        <f t="shared" si="43"/>
        <v>1</v>
      </c>
    </row>
    <row r="251" spans="1:35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 t="s">
        <v>15</v>
      </c>
      <c r="I251" s="75">
        <v>22814.5</v>
      </c>
      <c r="J251" s="75">
        <v>136887</v>
      </c>
      <c r="K251" s="91" t="s">
        <v>640</v>
      </c>
      <c r="L251" s="73"/>
      <c r="M251" s="46">
        <v>0</v>
      </c>
      <c r="N251" s="46">
        <v>0</v>
      </c>
      <c r="O251" s="46">
        <v>0</v>
      </c>
      <c r="P251" s="98"/>
      <c r="Q251" s="23" t="s">
        <v>1430</v>
      </c>
      <c r="R251" s="24" t="s">
        <v>639</v>
      </c>
      <c r="S251" s="25" t="s">
        <v>606</v>
      </c>
      <c r="T251" s="26">
        <v>6</v>
      </c>
      <c r="U251" s="26">
        <v>6</v>
      </c>
      <c r="V251" s="26">
        <v>22814.5</v>
      </c>
      <c r="W251" s="243">
        <f t="shared" si="50"/>
        <v>3</v>
      </c>
      <c r="X251" s="26">
        <f t="shared" si="53"/>
        <v>3</v>
      </c>
      <c r="Y251" s="26">
        <f t="shared" si="51"/>
        <v>68443.5</v>
      </c>
      <c r="Z251" s="26">
        <f t="shared" si="44"/>
        <v>68443.5</v>
      </c>
      <c r="AA251" s="33" t="s">
        <v>15</v>
      </c>
      <c r="AB251" s="36" t="s">
        <v>16</v>
      </c>
      <c r="AC251" s="181">
        <f t="shared" si="41"/>
        <v>6</v>
      </c>
      <c r="AD251" s="181">
        <f t="shared" si="52"/>
        <v>136887</v>
      </c>
      <c r="AE251" s="181">
        <v>1.7</v>
      </c>
      <c r="AF251" s="181">
        <v>1.7</v>
      </c>
      <c r="AG251" s="101" t="str">
        <f t="shared" si="42"/>
        <v/>
      </c>
      <c r="AH251" s="191">
        <f>3</f>
        <v>3</v>
      </c>
      <c r="AI251" s="69">
        <f t="shared" si="43"/>
        <v>6</v>
      </c>
    </row>
    <row r="252" spans="1:35" s="69" customFormat="1" ht="58.5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203"/>
      <c r="F252" s="203"/>
      <c r="G252" s="203"/>
      <c r="H252" s="203">
        <v>8</v>
      </c>
      <c r="I252" s="75">
        <v>1963.3</v>
      </c>
      <c r="J252" s="75">
        <v>15706.4</v>
      </c>
      <c r="K252" s="91" t="s">
        <v>643</v>
      </c>
      <c r="L252" s="73"/>
      <c r="M252" s="46">
        <v>3</v>
      </c>
      <c r="N252" s="46">
        <v>0</v>
      </c>
      <c r="O252" s="46">
        <v>5889.9</v>
      </c>
      <c r="P252" s="98"/>
      <c r="Q252" s="23" t="s">
        <v>1431</v>
      </c>
      <c r="R252" s="24" t="s">
        <v>642</v>
      </c>
      <c r="S252" s="25" t="s">
        <v>606</v>
      </c>
      <c r="T252" s="26">
        <v>3</v>
      </c>
      <c r="U252" s="26">
        <v>8</v>
      </c>
      <c r="V252" s="26">
        <v>1963.3</v>
      </c>
      <c r="W252" s="127">
        <f t="shared" si="50"/>
        <v>0</v>
      </c>
      <c r="X252" s="127">
        <f t="shared" si="53"/>
        <v>3</v>
      </c>
      <c r="Y252" s="127">
        <f t="shared" si="51"/>
        <v>0</v>
      </c>
      <c r="Z252" s="127">
        <f t="shared" si="44"/>
        <v>5889.9</v>
      </c>
      <c r="AA252" s="33" t="s">
        <v>15</v>
      </c>
      <c r="AB252" s="36" t="s">
        <v>16</v>
      </c>
      <c r="AC252" s="181">
        <f t="shared" si="41"/>
        <v>8</v>
      </c>
      <c r="AD252" s="181">
        <f t="shared" si="52"/>
        <v>15706.4</v>
      </c>
      <c r="AE252" s="181">
        <v>1.7</v>
      </c>
      <c r="AF252" s="181">
        <v>1.7</v>
      </c>
      <c r="AG252" s="101" t="str">
        <f t="shared" si="42"/>
        <v/>
      </c>
      <c r="AH252" s="190">
        <v>3</v>
      </c>
      <c r="AI252" s="69">
        <f t="shared" si="43"/>
        <v>3</v>
      </c>
    </row>
    <row r="253" spans="1:35" s="69" customFormat="1" ht="58.5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203"/>
      <c r="F253" s="203"/>
      <c r="G253" s="203"/>
      <c r="H253" s="203">
        <v>10</v>
      </c>
      <c r="I253" s="75">
        <v>2216.6</v>
      </c>
      <c r="J253" s="75">
        <v>22166</v>
      </c>
      <c r="K253" s="91" t="s">
        <v>646</v>
      </c>
      <c r="L253" s="73"/>
      <c r="M253" s="46">
        <v>5</v>
      </c>
      <c r="N253" s="46">
        <v>0</v>
      </c>
      <c r="O253" s="46">
        <v>11083</v>
      </c>
      <c r="P253" s="98"/>
      <c r="Q253" s="23" t="s">
        <v>1395</v>
      </c>
      <c r="R253" s="24" t="s">
        <v>645</v>
      </c>
      <c r="S253" s="25" t="s">
        <v>606</v>
      </c>
      <c r="T253" s="26">
        <v>5</v>
      </c>
      <c r="U253" s="26">
        <v>10</v>
      </c>
      <c r="V253" s="26">
        <v>2216.6</v>
      </c>
      <c r="W253" s="127">
        <f t="shared" si="50"/>
        <v>0</v>
      </c>
      <c r="X253" s="127">
        <f t="shared" si="53"/>
        <v>5</v>
      </c>
      <c r="Y253" s="127">
        <f t="shared" si="51"/>
        <v>0</v>
      </c>
      <c r="Z253" s="127">
        <f t="shared" si="44"/>
        <v>11083</v>
      </c>
      <c r="AA253" s="33" t="s">
        <v>15</v>
      </c>
      <c r="AB253" s="36" t="s">
        <v>16</v>
      </c>
      <c r="AC253" s="181">
        <f t="shared" si="41"/>
        <v>10</v>
      </c>
      <c r="AD253" s="181">
        <f t="shared" si="52"/>
        <v>22166</v>
      </c>
      <c r="AE253" s="181">
        <v>1.7</v>
      </c>
      <c r="AF253" s="181">
        <v>1.7</v>
      </c>
      <c r="AG253" s="101" t="str">
        <f t="shared" si="42"/>
        <v/>
      </c>
      <c r="AH253" s="190">
        <v>5</v>
      </c>
      <c r="AI253" s="69">
        <f t="shared" si="43"/>
        <v>5</v>
      </c>
    </row>
    <row r="254" spans="1:35" s="69" customFormat="1" ht="58.5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203" t="s">
        <v>15</v>
      </c>
      <c r="I254" s="75">
        <v>2999.02</v>
      </c>
      <c r="J254" s="75">
        <v>50983.34</v>
      </c>
      <c r="K254" s="91" t="s">
        <v>649</v>
      </c>
      <c r="L254" s="73"/>
      <c r="M254" s="46">
        <v>7</v>
      </c>
      <c r="N254" s="46">
        <v>0</v>
      </c>
      <c r="O254" s="46">
        <v>20993.14</v>
      </c>
      <c r="P254" s="98"/>
      <c r="Q254" s="23" t="s">
        <v>1432</v>
      </c>
      <c r="R254" s="24" t="s">
        <v>648</v>
      </c>
      <c r="S254" s="25" t="s">
        <v>606</v>
      </c>
      <c r="T254" s="26">
        <v>7</v>
      </c>
      <c r="U254" s="26">
        <v>17</v>
      </c>
      <c r="V254" s="26">
        <v>2999.02</v>
      </c>
      <c r="W254" s="26">
        <f t="shared" si="50"/>
        <v>0</v>
      </c>
      <c r="X254" s="26">
        <f t="shared" si="53"/>
        <v>7</v>
      </c>
      <c r="Y254" s="26">
        <f t="shared" si="51"/>
        <v>0</v>
      </c>
      <c r="Z254" s="26">
        <f t="shared" si="44"/>
        <v>20993.14</v>
      </c>
      <c r="AA254" s="27" t="s">
        <v>15</v>
      </c>
      <c r="AB254" s="36" t="s">
        <v>16</v>
      </c>
      <c r="AC254" s="181">
        <f t="shared" si="41"/>
        <v>17</v>
      </c>
      <c r="AD254" s="181">
        <f t="shared" si="52"/>
        <v>50983.34</v>
      </c>
      <c r="AE254" s="181">
        <v>1.7</v>
      </c>
      <c r="AF254" s="181">
        <v>1.7</v>
      </c>
      <c r="AG254" s="101" t="str">
        <f t="shared" si="42"/>
        <v/>
      </c>
      <c r="AH254" s="190">
        <v>7</v>
      </c>
      <c r="AI254" s="69">
        <f t="shared" si="43"/>
        <v>17</v>
      </c>
    </row>
    <row r="255" spans="1:35" s="69" customFormat="1" ht="58.5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203"/>
      <c r="F255" s="203"/>
      <c r="G255" s="203"/>
      <c r="H255" s="203" t="s">
        <v>15</v>
      </c>
      <c r="I255" s="75">
        <v>4720.5600000000004</v>
      </c>
      <c r="J255" s="75">
        <v>14161.68</v>
      </c>
      <c r="K255" s="91" t="s">
        <v>652</v>
      </c>
      <c r="L255" s="73"/>
      <c r="M255" s="46">
        <v>3</v>
      </c>
      <c r="N255" s="46">
        <v>0</v>
      </c>
      <c r="O255" s="46">
        <v>14161.68</v>
      </c>
      <c r="P255" s="98"/>
      <c r="Q255" s="23" t="s">
        <v>1433</v>
      </c>
      <c r="R255" s="24" t="s">
        <v>651</v>
      </c>
      <c r="S255" s="25" t="s">
        <v>606</v>
      </c>
      <c r="T255" s="26">
        <v>3</v>
      </c>
      <c r="U255" s="26">
        <v>3</v>
      </c>
      <c r="V255" s="26">
        <v>4720.5600000000004</v>
      </c>
      <c r="W255" s="127">
        <f t="shared" si="50"/>
        <v>0</v>
      </c>
      <c r="X255" s="127">
        <f t="shared" si="53"/>
        <v>3</v>
      </c>
      <c r="Y255" s="127">
        <f t="shared" si="51"/>
        <v>0</v>
      </c>
      <c r="Z255" s="127">
        <f t="shared" si="44"/>
        <v>14161.68</v>
      </c>
      <c r="AA255" s="33" t="s">
        <v>15</v>
      </c>
      <c r="AB255" s="36" t="s">
        <v>16</v>
      </c>
      <c r="AC255" s="181">
        <f t="shared" si="41"/>
        <v>3</v>
      </c>
      <c r="AD255" s="181">
        <f t="shared" si="52"/>
        <v>14161.68</v>
      </c>
      <c r="AE255" s="181">
        <v>1.7</v>
      </c>
      <c r="AF255" s="181">
        <v>1.7</v>
      </c>
      <c r="AG255" s="101" t="str">
        <f t="shared" si="42"/>
        <v/>
      </c>
      <c r="AH255" s="190">
        <v>3</v>
      </c>
      <c r="AI255" s="69">
        <f t="shared" si="43"/>
        <v>3</v>
      </c>
    </row>
    <row r="256" spans="1:35" s="69" customFormat="1" ht="58.5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203"/>
      <c r="F256" s="203"/>
      <c r="G256" s="203"/>
      <c r="H256" s="203">
        <v>5</v>
      </c>
      <c r="I256" s="75">
        <v>5897.9</v>
      </c>
      <c r="J256" s="75">
        <v>29489.5</v>
      </c>
      <c r="K256" s="91" t="s">
        <v>655</v>
      </c>
      <c r="L256" s="73"/>
      <c r="M256" s="46">
        <v>4</v>
      </c>
      <c r="N256" s="46">
        <v>0</v>
      </c>
      <c r="O256" s="46">
        <v>23591.599999999999</v>
      </c>
      <c r="P256" s="98"/>
      <c r="Q256" s="23" t="s">
        <v>1382</v>
      </c>
      <c r="R256" s="24" t="s">
        <v>654</v>
      </c>
      <c r="S256" s="25" t="s">
        <v>606</v>
      </c>
      <c r="T256" s="26">
        <v>4</v>
      </c>
      <c r="U256" s="26">
        <v>5</v>
      </c>
      <c r="V256" s="26">
        <v>5897.9</v>
      </c>
      <c r="W256" s="127">
        <f t="shared" si="50"/>
        <v>0</v>
      </c>
      <c r="X256" s="127">
        <f t="shared" si="53"/>
        <v>4</v>
      </c>
      <c r="Y256" s="127">
        <f t="shared" si="51"/>
        <v>0</v>
      </c>
      <c r="Z256" s="127">
        <f t="shared" si="44"/>
        <v>23591.599999999999</v>
      </c>
      <c r="AA256" s="33" t="s">
        <v>15</v>
      </c>
      <c r="AB256" s="36" t="s">
        <v>16</v>
      </c>
      <c r="AC256" s="181">
        <f t="shared" si="41"/>
        <v>5</v>
      </c>
      <c r="AD256" s="181">
        <f t="shared" si="52"/>
        <v>29489.5</v>
      </c>
      <c r="AE256" s="181">
        <v>1.7</v>
      </c>
      <c r="AF256" s="181">
        <v>1.7</v>
      </c>
      <c r="AG256" s="101" t="str">
        <f t="shared" si="42"/>
        <v/>
      </c>
      <c r="AH256" s="190">
        <v>4</v>
      </c>
      <c r="AI256" s="69">
        <f t="shared" si="43"/>
        <v>4</v>
      </c>
    </row>
    <row r="257" spans="1:35" s="69" customFormat="1" ht="58.5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203"/>
      <c r="F257" s="203"/>
      <c r="G257" s="203"/>
      <c r="H257" s="203" t="s">
        <v>15</v>
      </c>
      <c r="I257" s="75">
        <v>9356.16</v>
      </c>
      <c r="J257" s="75">
        <v>9356.16</v>
      </c>
      <c r="K257" s="91" t="s">
        <v>658</v>
      </c>
      <c r="L257" s="73"/>
      <c r="M257" s="46">
        <v>1</v>
      </c>
      <c r="N257" s="46">
        <v>0</v>
      </c>
      <c r="O257" s="46">
        <v>9356.16</v>
      </c>
      <c r="P257" s="98"/>
      <c r="Q257" s="23" t="s">
        <v>1434</v>
      </c>
      <c r="R257" s="24" t="s">
        <v>657</v>
      </c>
      <c r="S257" s="25" t="s">
        <v>606</v>
      </c>
      <c r="T257" s="26">
        <v>1</v>
      </c>
      <c r="U257" s="26">
        <v>1</v>
      </c>
      <c r="V257" s="26">
        <v>9356.16</v>
      </c>
      <c r="W257" s="127">
        <f t="shared" si="50"/>
        <v>0</v>
      </c>
      <c r="X257" s="127">
        <f t="shared" si="53"/>
        <v>1</v>
      </c>
      <c r="Y257" s="127">
        <f t="shared" si="51"/>
        <v>0</v>
      </c>
      <c r="Z257" s="127">
        <f t="shared" si="44"/>
        <v>9356.16</v>
      </c>
      <c r="AA257" s="33" t="s">
        <v>15</v>
      </c>
      <c r="AB257" s="36" t="s">
        <v>16</v>
      </c>
      <c r="AC257" s="181">
        <f t="shared" si="41"/>
        <v>1</v>
      </c>
      <c r="AD257" s="181">
        <f t="shared" si="52"/>
        <v>9356.16</v>
      </c>
      <c r="AE257" s="181">
        <v>1.7</v>
      </c>
      <c r="AF257" s="181">
        <v>1.7</v>
      </c>
      <c r="AG257" s="101" t="str">
        <f t="shared" si="42"/>
        <v/>
      </c>
      <c r="AH257" s="190">
        <v>1</v>
      </c>
      <c r="AI257" s="69">
        <f t="shared" si="43"/>
        <v>1</v>
      </c>
    </row>
    <row r="258" spans="1:35" s="69" customFormat="1" ht="58.5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203"/>
      <c r="F258" s="203"/>
      <c r="G258" s="203"/>
      <c r="H258" s="203" t="s">
        <v>15</v>
      </c>
      <c r="I258" s="75">
        <v>13184.01</v>
      </c>
      <c r="J258" s="75">
        <v>13184.01</v>
      </c>
      <c r="K258" s="91" t="s">
        <v>661</v>
      </c>
      <c r="L258" s="73"/>
      <c r="M258" s="46">
        <v>1</v>
      </c>
      <c r="N258" s="46">
        <v>0</v>
      </c>
      <c r="O258" s="46">
        <v>13184.01</v>
      </c>
      <c r="P258" s="98"/>
      <c r="Q258" s="23" t="s">
        <v>1388</v>
      </c>
      <c r="R258" s="24" t="s">
        <v>660</v>
      </c>
      <c r="S258" s="25" t="s">
        <v>606</v>
      </c>
      <c r="T258" s="26">
        <v>1</v>
      </c>
      <c r="U258" s="26">
        <v>1</v>
      </c>
      <c r="V258" s="26">
        <v>13184.01</v>
      </c>
      <c r="W258" s="127">
        <f t="shared" si="50"/>
        <v>0</v>
      </c>
      <c r="X258" s="127">
        <f t="shared" si="53"/>
        <v>1</v>
      </c>
      <c r="Y258" s="127">
        <f t="shared" si="51"/>
        <v>0</v>
      </c>
      <c r="Z258" s="127">
        <f t="shared" si="44"/>
        <v>13184.01</v>
      </c>
      <c r="AA258" s="33" t="s">
        <v>15</v>
      </c>
      <c r="AB258" s="36" t="s">
        <v>16</v>
      </c>
      <c r="AC258" s="181">
        <f t="shared" si="41"/>
        <v>1</v>
      </c>
      <c r="AD258" s="181">
        <f t="shared" si="52"/>
        <v>13184.01</v>
      </c>
      <c r="AE258" s="181">
        <v>1.7</v>
      </c>
      <c r="AF258" s="181">
        <v>1.7</v>
      </c>
      <c r="AG258" s="101" t="str">
        <f t="shared" si="42"/>
        <v/>
      </c>
      <c r="AH258" s="190">
        <v>1</v>
      </c>
      <c r="AI258" s="69">
        <f t="shared" si="43"/>
        <v>1</v>
      </c>
    </row>
    <row r="259" spans="1:35" s="69" customFormat="1" ht="39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203"/>
      <c r="F259" s="203"/>
      <c r="G259" s="203"/>
      <c r="H259" s="203" t="s">
        <v>15</v>
      </c>
      <c r="I259" s="75">
        <v>1859.87</v>
      </c>
      <c r="J259" s="75">
        <v>87432.49</v>
      </c>
      <c r="K259" s="91" t="s">
        <v>664</v>
      </c>
      <c r="L259" s="73"/>
      <c r="M259" s="46">
        <v>47.01</v>
      </c>
      <c r="N259" s="46">
        <v>0</v>
      </c>
      <c r="O259" s="46">
        <v>87432.49</v>
      </c>
      <c r="P259" s="98"/>
      <c r="Q259" s="23" t="s">
        <v>1389</v>
      </c>
      <c r="R259" s="24" t="s">
        <v>663</v>
      </c>
      <c r="S259" s="25" t="s">
        <v>30</v>
      </c>
      <c r="T259" s="26">
        <v>47.01</v>
      </c>
      <c r="U259" s="26">
        <v>47.01</v>
      </c>
      <c r="V259" s="26">
        <v>1859.87</v>
      </c>
      <c r="W259" s="127">
        <f t="shared" si="50"/>
        <v>0</v>
      </c>
      <c r="X259" s="127">
        <f t="shared" si="53"/>
        <v>47.01</v>
      </c>
      <c r="Y259" s="127">
        <f t="shared" si="51"/>
        <v>0</v>
      </c>
      <c r="Z259" s="127">
        <f t="shared" si="44"/>
        <v>87432.49</v>
      </c>
      <c r="AA259" s="33" t="s">
        <v>15</v>
      </c>
      <c r="AB259" s="36" t="s">
        <v>16</v>
      </c>
      <c r="AC259" s="181">
        <f t="shared" si="41"/>
        <v>47.01</v>
      </c>
      <c r="AD259" s="181">
        <f t="shared" si="52"/>
        <v>87432.49</v>
      </c>
      <c r="AE259" s="181">
        <v>1.7</v>
      </c>
      <c r="AF259" s="181">
        <v>1.7</v>
      </c>
      <c r="AG259" s="101" t="str">
        <f t="shared" si="42"/>
        <v/>
      </c>
      <c r="AH259" s="190">
        <v>47.01</v>
      </c>
      <c r="AI259" s="69">
        <f t="shared" si="43"/>
        <v>47.01</v>
      </c>
    </row>
    <row r="260" spans="1:35" s="69" customFormat="1" ht="58.5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203"/>
      <c r="F260" s="203"/>
      <c r="G260" s="203"/>
      <c r="H260" s="203" t="s">
        <v>15</v>
      </c>
      <c r="I260" s="75">
        <v>40</v>
      </c>
      <c r="J260" s="75">
        <v>2520</v>
      </c>
      <c r="K260" s="91" t="s">
        <v>667</v>
      </c>
      <c r="L260" s="73"/>
      <c r="M260" s="46">
        <v>63</v>
      </c>
      <c r="N260" s="46">
        <v>0</v>
      </c>
      <c r="O260" s="46">
        <v>2520</v>
      </c>
      <c r="P260" s="98"/>
      <c r="Q260" s="23" t="s">
        <v>1390</v>
      </c>
      <c r="R260" s="24" t="s">
        <v>666</v>
      </c>
      <c r="S260" s="25" t="s">
        <v>325</v>
      </c>
      <c r="T260" s="26">
        <v>63</v>
      </c>
      <c r="U260" s="26">
        <v>63</v>
      </c>
      <c r="V260" s="26">
        <v>40</v>
      </c>
      <c r="W260" s="127">
        <f t="shared" si="50"/>
        <v>0</v>
      </c>
      <c r="X260" s="127">
        <f t="shared" si="53"/>
        <v>63</v>
      </c>
      <c r="Y260" s="127">
        <f t="shared" si="51"/>
        <v>0</v>
      </c>
      <c r="Z260" s="127">
        <f t="shared" si="44"/>
        <v>2520</v>
      </c>
      <c r="AA260" s="33" t="s">
        <v>15</v>
      </c>
      <c r="AB260" s="36" t="s">
        <v>16</v>
      </c>
      <c r="AC260" s="181">
        <f t="shared" si="41"/>
        <v>63</v>
      </c>
      <c r="AD260" s="181">
        <f t="shared" si="52"/>
        <v>2520</v>
      </c>
      <c r="AE260" s="181">
        <v>1.7</v>
      </c>
      <c r="AF260" s="181">
        <v>1.7</v>
      </c>
      <c r="AG260" s="101" t="str">
        <f t="shared" si="42"/>
        <v/>
      </c>
      <c r="AH260" s="190">
        <v>63</v>
      </c>
      <c r="AI260" s="69">
        <f t="shared" si="43"/>
        <v>63</v>
      </c>
    </row>
    <row r="261" spans="1:35" s="69" customFormat="1" ht="58.5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203"/>
      <c r="F261" s="203"/>
      <c r="G261" s="203"/>
      <c r="H261" s="203" t="s">
        <v>15</v>
      </c>
      <c r="I261" s="75">
        <v>35</v>
      </c>
      <c r="J261" s="75">
        <v>11025</v>
      </c>
      <c r="K261" s="91" t="s">
        <v>670</v>
      </c>
      <c r="L261" s="73"/>
      <c r="M261" s="46">
        <v>315</v>
      </c>
      <c r="N261" s="46">
        <v>0</v>
      </c>
      <c r="O261" s="46">
        <v>11025</v>
      </c>
      <c r="P261" s="98"/>
      <c r="Q261" s="23" t="s">
        <v>1391</v>
      </c>
      <c r="R261" s="24" t="s">
        <v>669</v>
      </c>
      <c r="S261" s="25" t="s">
        <v>162</v>
      </c>
      <c r="T261" s="26">
        <v>315</v>
      </c>
      <c r="U261" s="26">
        <v>315</v>
      </c>
      <c r="V261" s="26">
        <v>35</v>
      </c>
      <c r="W261" s="127">
        <f t="shared" si="50"/>
        <v>0</v>
      </c>
      <c r="X261" s="127">
        <f t="shared" si="53"/>
        <v>315</v>
      </c>
      <c r="Y261" s="127">
        <f t="shared" si="51"/>
        <v>0</v>
      </c>
      <c r="Z261" s="127">
        <f t="shared" si="44"/>
        <v>11025</v>
      </c>
      <c r="AA261" s="33" t="s">
        <v>15</v>
      </c>
      <c r="AB261" s="36" t="s">
        <v>16</v>
      </c>
      <c r="AC261" s="181">
        <f t="shared" si="41"/>
        <v>315</v>
      </c>
      <c r="AD261" s="181">
        <f t="shared" si="52"/>
        <v>11025</v>
      </c>
      <c r="AE261" s="181">
        <v>1.7</v>
      </c>
      <c r="AF261" s="181">
        <v>1.7</v>
      </c>
      <c r="AG261" s="101" t="str">
        <f t="shared" si="42"/>
        <v/>
      </c>
      <c r="AH261" s="190">
        <v>315</v>
      </c>
      <c r="AI261" s="69">
        <f t="shared" si="43"/>
        <v>315</v>
      </c>
    </row>
    <row r="262" spans="1:35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 t="s">
        <v>15</v>
      </c>
      <c r="I262" s="75">
        <v>10</v>
      </c>
      <c r="J262" s="75">
        <v>12000</v>
      </c>
      <c r="K262" s="91" t="s">
        <v>673</v>
      </c>
      <c r="L262" s="73"/>
      <c r="M262" s="46">
        <v>0</v>
      </c>
      <c r="N262" s="46">
        <v>0</v>
      </c>
      <c r="O262" s="46">
        <v>0</v>
      </c>
      <c r="P262" s="98"/>
      <c r="Q262" s="23" t="s">
        <v>1436</v>
      </c>
      <c r="R262" s="24" t="s">
        <v>672</v>
      </c>
      <c r="S262" s="25" t="s">
        <v>30</v>
      </c>
      <c r="T262" s="26">
        <v>1200</v>
      </c>
      <c r="U262" s="26">
        <v>1200</v>
      </c>
      <c r="V262" s="26">
        <v>10</v>
      </c>
      <c r="W262" s="26">
        <f t="shared" si="50"/>
        <v>0</v>
      </c>
      <c r="X262" s="26">
        <f t="shared" si="53"/>
        <v>0</v>
      </c>
      <c r="Y262" s="26">
        <f t="shared" si="51"/>
        <v>0</v>
      </c>
      <c r="Z262" s="26">
        <f t="shared" si="44"/>
        <v>0</v>
      </c>
      <c r="AA262" s="33" t="s">
        <v>15</v>
      </c>
      <c r="AB262" s="36" t="s">
        <v>16</v>
      </c>
      <c r="AC262" s="181">
        <f t="shared" si="41"/>
        <v>1200</v>
      </c>
      <c r="AD262" s="181">
        <f t="shared" si="52"/>
        <v>12000</v>
      </c>
      <c r="AE262" s="181">
        <v>1.7</v>
      </c>
      <c r="AF262" s="181">
        <v>1.7</v>
      </c>
      <c r="AG262" s="101" t="str">
        <f t="shared" si="42"/>
        <v/>
      </c>
      <c r="AH262" s="190">
        <v>0</v>
      </c>
      <c r="AI262" s="69">
        <f t="shared" si="43"/>
        <v>1200</v>
      </c>
    </row>
    <row r="263" spans="1:35" s="69" customFormat="1" ht="33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203"/>
      <c r="F263" s="203"/>
      <c r="G263" s="203"/>
      <c r="H263" s="203" t="s">
        <v>15</v>
      </c>
      <c r="I263" s="75">
        <v>531</v>
      </c>
      <c r="J263" s="75">
        <v>16381.35</v>
      </c>
      <c r="K263" s="91" t="s">
        <v>676</v>
      </c>
      <c r="L263" s="73"/>
      <c r="M263" s="46">
        <v>30.85</v>
      </c>
      <c r="N263" s="46">
        <v>0</v>
      </c>
      <c r="O263" s="46">
        <v>16381.35</v>
      </c>
      <c r="P263" s="98"/>
      <c r="Q263" s="23" t="s">
        <v>1374</v>
      </c>
      <c r="R263" s="24" t="s">
        <v>675</v>
      </c>
      <c r="S263" s="25" t="s">
        <v>50</v>
      </c>
      <c r="T263" s="26">
        <v>30.85</v>
      </c>
      <c r="U263" s="26">
        <v>30.85</v>
      </c>
      <c r="V263" s="26">
        <v>531</v>
      </c>
      <c r="W263" s="127">
        <f t="shared" si="50"/>
        <v>0</v>
      </c>
      <c r="X263" s="127">
        <f t="shared" si="53"/>
        <v>30.85</v>
      </c>
      <c r="Y263" s="127">
        <f t="shared" si="51"/>
        <v>0</v>
      </c>
      <c r="Z263" s="127">
        <f t="shared" si="44"/>
        <v>16381.35</v>
      </c>
      <c r="AA263" s="33" t="s">
        <v>15</v>
      </c>
      <c r="AB263" s="36" t="s">
        <v>16</v>
      </c>
      <c r="AC263" s="181">
        <f t="shared" si="41"/>
        <v>30.85</v>
      </c>
      <c r="AD263" s="181">
        <f t="shared" si="52"/>
        <v>16381.35</v>
      </c>
      <c r="AE263" s="181">
        <v>1.7</v>
      </c>
      <c r="AF263" s="181">
        <v>1.7</v>
      </c>
      <c r="AG263" s="101" t="str">
        <f t="shared" si="42"/>
        <v/>
      </c>
      <c r="AH263" s="190">
        <v>30.85</v>
      </c>
      <c r="AI263" s="69">
        <f t="shared" si="43"/>
        <v>30.85</v>
      </c>
    </row>
    <row r="264" spans="1:35" s="69" customFormat="1" ht="33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203"/>
      <c r="F264" s="203"/>
      <c r="G264" s="203"/>
      <c r="H264" s="225" t="s">
        <v>15</v>
      </c>
      <c r="I264" s="75">
        <v>3386.57</v>
      </c>
      <c r="J264" s="75">
        <v>12530.31</v>
      </c>
      <c r="K264" s="91" t="s">
        <v>679</v>
      </c>
      <c r="L264" s="73"/>
      <c r="M264" s="46">
        <v>3.7</v>
      </c>
      <c r="N264" s="46">
        <v>0</v>
      </c>
      <c r="O264" s="46">
        <v>12530.31</v>
      </c>
      <c r="P264" s="98"/>
      <c r="Q264" s="23" t="s">
        <v>1376</v>
      </c>
      <c r="R264" s="24" t="s">
        <v>678</v>
      </c>
      <c r="S264" s="25" t="s">
        <v>23</v>
      </c>
      <c r="T264" s="26">
        <v>3.7</v>
      </c>
      <c r="U264" s="26">
        <v>3.7</v>
      </c>
      <c r="V264" s="26">
        <v>3386.57</v>
      </c>
      <c r="W264" s="127">
        <f t="shared" si="50"/>
        <v>0</v>
      </c>
      <c r="X264" s="127">
        <f t="shared" si="53"/>
        <v>3.7</v>
      </c>
      <c r="Y264" s="127">
        <f t="shared" si="51"/>
        <v>0</v>
      </c>
      <c r="Z264" s="127">
        <f t="shared" si="44"/>
        <v>12530.31</v>
      </c>
      <c r="AA264" s="33" t="s">
        <v>15</v>
      </c>
      <c r="AB264" s="36" t="s">
        <v>16</v>
      </c>
      <c r="AC264" s="181">
        <f t="shared" si="41"/>
        <v>3.7</v>
      </c>
      <c r="AD264" s="181">
        <f t="shared" si="52"/>
        <v>12530.31</v>
      </c>
      <c r="AE264" s="181">
        <v>1.7</v>
      </c>
      <c r="AF264" s="181">
        <v>1.7</v>
      </c>
      <c r="AG264" s="101" t="str">
        <f t="shared" si="42"/>
        <v/>
      </c>
      <c r="AH264" s="190">
        <v>3.7</v>
      </c>
      <c r="AI264" s="69">
        <f t="shared" si="43"/>
        <v>3.7</v>
      </c>
    </row>
    <row r="265" spans="1:35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161"/>
      <c r="H265" s="158" t="s">
        <v>15</v>
      </c>
      <c r="I265" s="166">
        <v>108000</v>
      </c>
      <c r="J265" s="75">
        <v>108000</v>
      </c>
      <c r="K265" s="91" t="s">
        <v>682</v>
      </c>
      <c r="L265" s="73"/>
      <c r="M265" s="46">
        <v>0</v>
      </c>
      <c r="N265" s="46">
        <v>0</v>
      </c>
      <c r="O265" s="46">
        <v>0</v>
      </c>
      <c r="P265" s="98"/>
      <c r="Q265" s="23" t="s">
        <v>1378</v>
      </c>
      <c r="R265" s="24" t="s">
        <v>681</v>
      </c>
      <c r="S265" s="25" t="s">
        <v>14</v>
      </c>
      <c r="T265" s="26">
        <v>1</v>
      </c>
      <c r="U265" s="26">
        <v>1</v>
      </c>
      <c r="V265" s="26">
        <v>108000</v>
      </c>
      <c r="W265" s="26">
        <f t="shared" si="50"/>
        <v>0</v>
      </c>
      <c r="X265" s="26">
        <f t="shared" si="53"/>
        <v>0</v>
      </c>
      <c r="Y265" s="26">
        <f t="shared" si="51"/>
        <v>0</v>
      </c>
      <c r="Z265" s="26">
        <f t="shared" si="44"/>
        <v>0</v>
      </c>
      <c r="AA265" s="33" t="s">
        <v>15</v>
      </c>
      <c r="AB265" s="36" t="s">
        <v>16</v>
      </c>
      <c r="AC265" s="181">
        <f t="shared" si="41"/>
        <v>1</v>
      </c>
      <c r="AD265" s="181">
        <f t="shared" si="52"/>
        <v>108000</v>
      </c>
      <c r="AE265" s="181">
        <v>1.7</v>
      </c>
      <c r="AF265" s="181">
        <v>1.7</v>
      </c>
      <c r="AG265" s="101" t="str">
        <f t="shared" si="42"/>
        <v/>
      </c>
      <c r="AH265" s="190">
        <v>0</v>
      </c>
      <c r="AI265" s="69">
        <f t="shared" si="43"/>
        <v>1</v>
      </c>
    </row>
    <row r="266" spans="1:35" s="69" customFormat="1" ht="39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161"/>
      <c r="H266" s="158" t="s">
        <v>15</v>
      </c>
      <c r="I266" s="166">
        <v>500</v>
      </c>
      <c r="J266" s="75">
        <v>724160</v>
      </c>
      <c r="K266" s="91" t="s">
        <v>685</v>
      </c>
      <c r="L266" s="73"/>
      <c r="M266" s="46">
        <v>0</v>
      </c>
      <c r="N266" s="46">
        <v>0</v>
      </c>
      <c r="O266" s="46">
        <v>0</v>
      </c>
      <c r="P266" s="98"/>
      <c r="Q266" s="23" t="s">
        <v>1438</v>
      </c>
      <c r="R266" s="24" t="s">
        <v>684</v>
      </c>
      <c r="S266" s="25" t="s">
        <v>50</v>
      </c>
      <c r="T266" s="26">
        <v>1448.32</v>
      </c>
      <c r="U266" s="26">
        <v>1448.32</v>
      </c>
      <c r="V266" s="26">
        <v>500</v>
      </c>
      <c r="W266" s="26">
        <f t="shared" si="50"/>
        <v>0</v>
      </c>
      <c r="X266" s="26">
        <f t="shared" si="53"/>
        <v>0</v>
      </c>
      <c r="Y266" s="26">
        <f t="shared" si="51"/>
        <v>0</v>
      </c>
      <c r="Z266" s="26">
        <f t="shared" si="44"/>
        <v>0</v>
      </c>
      <c r="AA266" s="33" t="s">
        <v>15</v>
      </c>
      <c r="AB266" s="36" t="s">
        <v>16</v>
      </c>
      <c r="AC266" s="181">
        <f t="shared" si="41"/>
        <v>1448.32</v>
      </c>
      <c r="AD266" s="181">
        <f t="shared" si="52"/>
        <v>724160</v>
      </c>
      <c r="AE266" s="181">
        <v>1.7</v>
      </c>
      <c r="AF266" s="181">
        <v>1.7</v>
      </c>
      <c r="AG266" s="101" t="str">
        <f t="shared" si="42"/>
        <v/>
      </c>
      <c r="AH266" s="190">
        <v>0</v>
      </c>
      <c r="AI266" s="69">
        <f t="shared" si="43"/>
        <v>1448.32</v>
      </c>
    </row>
    <row r="267" spans="1:35" s="69" customFormat="1" ht="78" hidden="1" x14ac:dyDescent="0.3">
      <c r="A267" s="55" t="s">
        <v>686</v>
      </c>
      <c r="B267" s="53" t="s">
        <v>687</v>
      </c>
      <c r="C267" s="54" t="s">
        <v>606</v>
      </c>
      <c r="D267" s="75">
        <v>42</v>
      </c>
      <c r="E267" s="75"/>
      <c r="F267" s="75"/>
      <c r="G267" s="161"/>
      <c r="H267" s="158" t="s">
        <v>15</v>
      </c>
      <c r="I267" s="166">
        <v>10176.969999999999</v>
      </c>
      <c r="J267" s="75">
        <v>427432.74</v>
      </c>
      <c r="K267" s="91" t="s">
        <v>688</v>
      </c>
      <c r="L267" s="73"/>
      <c r="M267" s="46">
        <v>0</v>
      </c>
      <c r="N267" s="46">
        <v>0</v>
      </c>
      <c r="O267" s="46">
        <v>0</v>
      </c>
      <c r="P267" s="98"/>
      <c r="Q267" s="23" t="s">
        <v>1439</v>
      </c>
      <c r="R267" s="24" t="s">
        <v>687</v>
      </c>
      <c r="S267" s="25" t="s">
        <v>606</v>
      </c>
      <c r="T267" s="26">
        <v>42</v>
      </c>
      <c r="U267" s="26">
        <v>42</v>
      </c>
      <c r="V267" s="26">
        <v>10176.969999999999</v>
      </c>
      <c r="W267" s="26">
        <f t="shared" si="50"/>
        <v>0</v>
      </c>
      <c r="X267" s="26">
        <f t="shared" si="53"/>
        <v>0</v>
      </c>
      <c r="Y267" s="26">
        <f t="shared" si="51"/>
        <v>0</v>
      </c>
      <c r="Z267" s="26">
        <f t="shared" si="44"/>
        <v>0</v>
      </c>
      <c r="AA267" s="33" t="s">
        <v>15</v>
      </c>
      <c r="AB267" s="36" t="s">
        <v>16</v>
      </c>
      <c r="AC267" s="181">
        <f t="shared" ref="AC267:AC330" si="54">IF(U267="",T267,U267)</f>
        <v>42</v>
      </c>
      <c r="AD267" s="181">
        <f t="shared" si="52"/>
        <v>427432.74</v>
      </c>
      <c r="AE267" s="181">
        <v>1.7</v>
      </c>
      <c r="AF267" s="181">
        <v>1.7</v>
      </c>
      <c r="AG267" s="101" t="str">
        <f t="shared" ref="AG267:AG330" si="55">IF(X267&gt;AI267,"超估","")</f>
        <v/>
      </c>
      <c r="AH267" s="190">
        <v>0</v>
      </c>
      <c r="AI267" s="69">
        <f t="shared" ref="AI267:AI330" si="56">IF(G267=0,IF(F267=0,IF(E267=0,D267,E267),F267),G267)</f>
        <v>42</v>
      </c>
    </row>
    <row r="268" spans="1:35" s="69" customFormat="1" ht="78" hidden="1" x14ac:dyDescent="0.3">
      <c r="A268" s="55" t="s">
        <v>689</v>
      </c>
      <c r="B268" s="53" t="s">
        <v>690</v>
      </c>
      <c r="C268" s="54" t="s">
        <v>606</v>
      </c>
      <c r="D268" s="75">
        <v>19</v>
      </c>
      <c r="E268" s="75"/>
      <c r="F268" s="75"/>
      <c r="G268" s="161"/>
      <c r="H268" s="158" t="s">
        <v>15</v>
      </c>
      <c r="I268" s="166">
        <v>13526.18</v>
      </c>
      <c r="J268" s="75">
        <v>256997.42</v>
      </c>
      <c r="K268" s="91" t="s">
        <v>691</v>
      </c>
      <c r="L268" s="73"/>
      <c r="M268" s="46">
        <v>0</v>
      </c>
      <c r="N268" s="46">
        <v>0</v>
      </c>
      <c r="O268" s="46">
        <v>0</v>
      </c>
      <c r="P268" s="98"/>
      <c r="Q268" s="23" t="s">
        <v>1440</v>
      </c>
      <c r="R268" s="24" t="s">
        <v>690</v>
      </c>
      <c r="S268" s="25" t="s">
        <v>606</v>
      </c>
      <c r="T268" s="26">
        <v>19</v>
      </c>
      <c r="U268" s="26">
        <v>19</v>
      </c>
      <c r="V268" s="26">
        <v>13526.18</v>
      </c>
      <c r="W268" s="26">
        <f t="shared" si="50"/>
        <v>0</v>
      </c>
      <c r="X268" s="26">
        <f t="shared" si="53"/>
        <v>0</v>
      </c>
      <c r="Y268" s="26">
        <f t="shared" si="51"/>
        <v>0</v>
      </c>
      <c r="Z268" s="26">
        <f t="shared" ref="Z268:Z331" si="57">ROUND(V268*X268,2)</f>
        <v>0</v>
      </c>
      <c r="AA268" s="33" t="s">
        <v>15</v>
      </c>
      <c r="AB268" s="36" t="s">
        <v>16</v>
      </c>
      <c r="AC268" s="181">
        <f t="shared" si="54"/>
        <v>19</v>
      </c>
      <c r="AD268" s="181">
        <f t="shared" si="52"/>
        <v>256997.42</v>
      </c>
      <c r="AE268" s="181">
        <v>1.7</v>
      </c>
      <c r="AF268" s="181">
        <v>1.7</v>
      </c>
      <c r="AG268" s="101" t="str">
        <f t="shared" si="55"/>
        <v/>
      </c>
      <c r="AH268" s="190">
        <v>0</v>
      </c>
      <c r="AI268" s="69">
        <f t="shared" si="56"/>
        <v>19</v>
      </c>
    </row>
    <row r="269" spans="1:35" s="69" customFormat="1" ht="78" hidden="1" x14ac:dyDescent="0.3">
      <c r="A269" s="55" t="s">
        <v>692</v>
      </c>
      <c r="B269" s="53" t="s">
        <v>693</v>
      </c>
      <c r="C269" s="54" t="s">
        <v>606</v>
      </c>
      <c r="D269" s="75">
        <v>8</v>
      </c>
      <c r="E269" s="75"/>
      <c r="F269" s="75"/>
      <c r="G269" s="161"/>
      <c r="H269" s="158" t="s">
        <v>15</v>
      </c>
      <c r="I269" s="166">
        <v>8660.64</v>
      </c>
      <c r="J269" s="75">
        <v>69285.119999999995</v>
      </c>
      <c r="K269" s="91" t="s">
        <v>694</v>
      </c>
      <c r="L269" s="73"/>
      <c r="M269" s="46">
        <v>0</v>
      </c>
      <c r="N269" s="46">
        <v>0</v>
      </c>
      <c r="O269" s="46">
        <v>0</v>
      </c>
      <c r="P269" s="98"/>
      <c r="Q269" s="23" t="s">
        <v>1441</v>
      </c>
      <c r="R269" s="24" t="s">
        <v>693</v>
      </c>
      <c r="S269" s="25" t="s">
        <v>606</v>
      </c>
      <c r="T269" s="26">
        <v>8</v>
      </c>
      <c r="U269" s="26">
        <v>8</v>
      </c>
      <c r="V269" s="26">
        <v>8660.64</v>
      </c>
      <c r="W269" s="26">
        <f t="shared" si="50"/>
        <v>0</v>
      </c>
      <c r="X269" s="26">
        <f t="shared" si="53"/>
        <v>0</v>
      </c>
      <c r="Y269" s="26">
        <f t="shared" si="51"/>
        <v>0</v>
      </c>
      <c r="Z269" s="26">
        <f t="shared" si="57"/>
        <v>0</v>
      </c>
      <c r="AA269" s="33" t="s">
        <v>15</v>
      </c>
      <c r="AB269" s="36" t="s">
        <v>16</v>
      </c>
      <c r="AC269" s="181">
        <f t="shared" si="54"/>
        <v>8</v>
      </c>
      <c r="AD269" s="181">
        <f t="shared" si="52"/>
        <v>69285.119999999995</v>
      </c>
      <c r="AE269" s="181">
        <v>1.7</v>
      </c>
      <c r="AF269" s="181">
        <v>1.7</v>
      </c>
      <c r="AG269" s="101" t="str">
        <f t="shared" si="55"/>
        <v/>
      </c>
      <c r="AH269" s="190">
        <v>0</v>
      </c>
      <c r="AI269" s="69">
        <f t="shared" si="56"/>
        <v>8</v>
      </c>
    </row>
    <row r="270" spans="1:35" s="69" customFormat="1" ht="78" hidden="1" x14ac:dyDescent="0.3">
      <c r="A270" s="55" t="s">
        <v>695</v>
      </c>
      <c r="B270" s="53" t="s">
        <v>696</v>
      </c>
      <c r="C270" s="54" t="s">
        <v>606</v>
      </c>
      <c r="D270" s="75">
        <v>8</v>
      </c>
      <c r="E270" s="75"/>
      <c r="F270" s="75"/>
      <c r="G270" s="161"/>
      <c r="H270" s="158" t="s">
        <v>15</v>
      </c>
      <c r="I270" s="166">
        <v>17930.64</v>
      </c>
      <c r="J270" s="75">
        <v>143445.12</v>
      </c>
      <c r="K270" s="91" t="s">
        <v>697</v>
      </c>
      <c r="L270" s="73"/>
      <c r="M270" s="46">
        <v>0</v>
      </c>
      <c r="N270" s="46">
        <v>0</v>
      </c>
      <c r="O270" s="46">
        <v>0</v>
      </c>
      <c r="P270" s="98"/>
      <c r="Q270" s="23" t="s">
        <v>1442</v>
      </c>
      <c r="R270" s="24" t="s">
        <v>696</v>
      </c>
      <c r="S270" s="25" t="s">
        <v>606</v>
      </c>
      <c r="T270" s="26">
        <v>8</v>
      </c>
      <c r="U270" s="26">
        <v>8</v>
      </c>
      <c r="V270" s="26">
        <v>17930.64</v>
      </c>
      <c r="W270" s="26">
        <f t="shared" si="50"/>
        <v>0</v>
      </c>
      <c r="X270" s="26">
        <f t="shared" si="53"/>
        <v>0</v>
      </c>
      <c r="Y270" s="26">
        <f t="shared" si="51"/>
        <v>0</v>
      </c>
      <c r="Z270" s="26">
        <f t="shared" si="57"/>
        <v>0</v>
      </c>
      <c r="AA270" s="33" t="s">
        <v>15</v>
      </c>
      <c r="AB270" s="36" t="s">
        <v>16</v>
      </c>
      <c r="AC270" s="181">
        <f t="shared" si="54"/>
        <v>8</v>
      </c>
      <c r="AD270" s="181">
        <f t="shared" si="52"/>
        <v>143445.12</v>
      </c>
      <c r="AE270" s="181">
        <v>1.7</v>
      </c>
      <c r="AF270" s="181">
        <v>1.7</v>
      </c>
      <c r="AG270" s="101" t="str">
        <f t="shared" si="55"/>
        <v/>
      </c>
      <c r="AH270" s="190">
        <v>0</v>
      </c>
      <c r="AI270" s="69">
        <f t="shared" si="56"/>
        <v>8</v>
      </c>
    </row>
    <row r="271" spans="1:35" s="69" customFormat="1" ht="78" hidden="1" x14ac:dyDescent="0.3">
      <c r="A271" s="55" t="s">
        <v>698</v>
      </c>
      <c r="B271" s="53" t="s">
        <v>699</v>
      </c>
      <c r="C271" s="54" t="s">
        <v>606</v>
      </c>
      <c r="D271" s="75">
        <v>14</v>
      </c>
      <c r="E271" s="75"/>
      <c r="F271" s="75"/>
      <c r="G271" s="161"/>
      <c r="H271" s="158" t="s">
        <v>15</v>
      </c>
      <c r="I271" s="166">
        <v>5272.95</v>
      </c>
      <c r="J271" s="75">
        <v>73821.3</v>
      </c>
      <c r="K271" s="91" t="s">
        <v>700</v>
      </c>
      <c r="L271" s="73"/>
      <c r="M271" s="46">
        <v>0</v>
      </c>
      <c r="N271" s="46">
        <v>0</v>
      </c>
      <c r="O271" s="46">
        <v>0</v>
      </c>
      <c r="P271" s="98"/>
      <c r="Q271" s="23" t="s">
        <v>1443</v>
      </c>
      <c r="R271" s="24" t="s">
        <v>699</v>
      </c>
      <c r="S271" s="25" t="s">
        <v>606</v>
      </c>
      <c r="T271" s="26">
        <v>14</v>
      </c>
      <c r="U271" s="26">
        <v>14</v>
      </c>
      <c r="V271" s="26">
        <v>5272.95</v>
      </c>
      <c r="W271" s="26">
        <f t="shared" si="50"/>
        <v>0</v>
      </c>
      <c r="X271" s="26">
        <f t="shared" si="53"/>
        <v>0</v>
      </c>
      <c r="Y271" s="26">
        <f t="shared" si="51"/>
        <v>0</v>
      </c>
      <c r="Z271" s="26">
        <f t="shared" si="57"/>
        <v>0</v>
      </c>
      <c r="AA271" s="33" t="s">
        <v>15</v>
      </c>
      <c r="AB271" s="36" t="s">
        <v>16</v>
      </c>
      <c r="AC271" s="181">
        <f t="shared" si="54"/>
        <v>14</v>
      </c>
      <c r="AD271" s="181">
        <f t="shared" si="52"/>
        <v>73821.3</v>
      </c>
      <c r="AE271" s="181">
        <v>1.7</v>
      </c>
      <c r="AF271" s="181">
        <v>1.7</v>
      </c>
      <c r="AG271" s="101" t="str">
        <f t="shared" si="55"/>
        <v/>
      </c>
      <c r="AH271" s="190">
        <v>0</v>
      </c>
      <c r="AI271" s="69">
        <f t="shared" si="56"/>
        <v>14</v>
      </c>
    </row>
    <row r="272" spans="1:35" s="69" customFormat="1" ht="78" hidden="1" x14ac:dyDescent="0.3">
      <c r="A272" s="55" t="s">
        <v>701</v>
      </c>
      <c r="B272" s="53" t="s">
        <v>702</v>
      </c>
      <c r="C272" s="54" t="s">
        <v>606</v>
      </c>
      <c r="D272" s="75">
        <v>15</v>
      </c>
      <c r="E272" s="75"/>
      <c r="F272" s="75"/>
      <c r="G272" s="161"/>
      <c r="H272" s="158" t="s">
        <v>15</v>
      </c>
      <c r="I272" s="166">
        <v>5272.95</v>
      </c>
      <c r="J272" s="75">
        <v>79094.25</v>
      </c>
      <c r="K272" s="91" t="s">
        <v>703</v>
      </c>
      <c r="L272" s="73"/>
      <c r="M272" s="46">
        <v>0</v>
      </c>
      <c r="N272" s="46">
        <v>0</v>
      </c>
      <c r="O272" s="46">
        <v>0</v>
      </c>
      <c r="P272" s="98"/>
      <c r="Q272" s="23" t="s">
        <v>1444</v>
      </c>
      <c r="R272" s="24" t="s">
        <v>702</v>
      </c>
      <c r="S272" s="25" t="s">
        <v>606</v>
      </c>
      <c r="T272" s="26">
        <v>15</v>
      </c>
      <c r="U272" s="26">
        <v>15</v>
      </c>
      <c r="V272" s="26">
        <v>5272.95</v>
      </c>
      <c r="W272" s="26">
        <f t="shared" si="50"/>
        <v>0</v>
      </c>
      <c r="X272" s="26">
        <f t="shared" si="53"/>
        <v>0</v>
      </c>
      <c r="Y272" s="26">
        <f t="shared" si="51"/>
        <v>0</v>
      </c>
      <c r="Z272" s="26">
        <f t="shared" si="57"/>
        <v>0</v>
      </c>
      <c r="AA272" s="33" t="s">
        <v>15</v>
      </c>
      <c r="AB272" s="36" t="s">
        <v>16</v>
      </c>
      <c r="AC272" s="181">
        <f t="shared" si="54"/>
        <v>15</v>
      </c>
      <c r="AD272" s="181">
        <f t="shared" si="52"/>
        <v>79094.25</v>
      </c>
      <c r="AE272" s="181">
        <v>1.7</v>
      </c>
      <c r="AF272" s="181">
        <v>1.7</v>
      </c>
      <c r="AG272" s="101" t="str">
        <f t="shared" si="55"/>
        <v/>
      </c>
      <c r="AH272" s="190">
        <v>0</v>
      </c>
      <c r="AI272" s="69">
        <f t="shared" si="56"/>
        <v>15</v>
      </c>
    </row>
    <row r="273" spans="1:35" s="69" customFormat="1" ht="78" hidden="1" x14ac:dyDescent="0.3">
      <c r="A273" s="55" t="s">
        <v>704</v>
      </c>
      <c r="B273" s="53" t="s">
        <v>705</v>
      </c>
      <c r="C273" s="54" t="s">
        <v>606</v>
      </c>
      <c r="D273" s="75">
        <v>1</v>
      </c>
      <c r="E273" s="75"/>
      <c r="F273" s="75"/>
      <c r="G273" s="161"/>
      <c r="H273" s="158" t="s">
        <v>15</v>
      </c>
      <c r="I273" s="166">
        <v>7859.47</v>
      </c>
      <c r="J273" s="75">
        <v>7859.47</v>
      </c>
      <c r="K273" s="91" t="s">
        <v>706</v>
      </c>
      <c r="L273" s="73"/>
      <c r="M273" s="46">
        <v>0</v>
      </c>
      <c r="N273" s="46">
        <v>0</v>
      </c>
      <c r="O273" s="46">
        <v>0</v>
      </c>
      <c r="P273" s="98"/>
      <c r="Q273" s="23" t="s">
        <v>1408</v>
      </c>
      <c r="R273" s="24" t="s">
        <v>705</v>
      </c>
      <c r="S273" s="25" t="s">
        <v>606</v>
      </c>
      <c r="T273" s="26">
        <v>1</v>
      </c>
      <c r="U273" s="26">
        <v>1</v>
      </c>
      <c r="V273" s="26">
        <v>7859.47</v>
      </c>
      <c r="W273" s="26">
        <f t="shared" si="50"/>
        <v>0</v>
      </c>
      <c r="X273" s="26">
        <f t="shared" si="53"/>
        <v>0</v>
      </c>
      <c r="Y273" s="26">
        <f t="shared" si="51"/>
        <v>0</v>
      </c>
      <c r="Z273" s="26">
        <f t="shared" si="57"/>
        <v>0</v>
      </c>
      <c r="AA273" s="33" t="s">
        <v>15</v>
      </c>
      <c r="AB273" s="36" t="s">
        <v>16</v>
      </c>
      <c r="AC273" s="181">
        <f t="shared" si="54"/>
        <v>1</v>
      </c>
      <c r="AD273" s="181">
        <f t="shared" si="52"/>
        <v>7859.47</v>
      </c>
      <c r="AE273" s="181">
        <v>1.7</v>
      </c>
      <c r="AF273" s="181">
        <v>1.7</v>
      </c>
      <c r="AG273" s="101" t="str">
        <f t="shared" si="55"/>
        <v/>
      </c>
      <c r="AH273" s="190">
        <v>0</v>
      </c>
      <c r="AI273" s="69">
        <f t="shared" si="56"/>
        <v>1</v>
      </c>
    </row>
    <row r="274" spans="1:35" s="69" customFormat="1" ht="78" hidden="1" x14ac:dyDescent="0.3">
      <c r="A274" s="55" t="s">
        <v>707</v>
      </c>
      <c r="B274" s="53" t="s">
        <v>708</v>
      </c>
      <c r="C274" s="54" t="s">
        <v>606</v>
      </c>
      <c r="D274" s="75">
        <v>1</v>
      </c>
      <c r="E274" s="75"/>
      <c r="F274" s="75"/>
      <c r="G274" s="161"/>
      <c r="H274" s="158" t="s">
        <v>15</v>
      </c>
      <c r="I274" s="166">
        <v>5839.45</v>
      </c>
      <c r="J274" s="75">
        <v>5839.45</v>
      </c>
      <c r="K274" s="91" t="s">
        <v>709</v>
      </c>
      <c r="L274" s="73"/>
      <c r="M274" s="46">
        <v>0</v>
      </c>
      <c r="N274" s="46">
        <v>0</v>
      </c>
      <c r="O274" s="46">
        <v>0</v>
      </c>
      <c r="P274" s="98"/>
      <c r="Q274" s="23" t="s">
        <v>1409</v>
      </c>
      <c r="R274" s="24" t="s">
        <v>708</v>
      </c>
      <c r="S274" s="25" t="s">
        <v>606</v>
      </c>
      <c r="T274" s="26">
        <v>1</v>
      </c>
      <c r="U274" s="26">
        <v>1</v>
      </c>
      <c r="V274" s="26">
        <v>5839.45</v>
      </c>
      <c r="W274" s="26">
        <f t="shared" si="50"/>
        <v>0</v>
      </c>
      <c r="X274" s="26">
        <f t="shared" si="53"/>
        <v>0</v>
      </c>
      <c r="Y274" s="26">
        <f t="shared" si="51"/>
        <v>0</v>
      </c>
      <c r="Z274" s="26">
        <f t="shared" si="57"/>
        <v>0</v>
      </c>
      <c r="AA274" s="33" t="s">
        <v>15</v>
      </c>
      <c r="AB274" s="36" t="s">
        <v>16</v>
      </c>
      <c r="AC274" s="181">
        <f t="shared" si="54"/>
        <v>1</v>
      </c>
      <c r="AD274" s="181">
        <f t="shared" si="52"/>
        <v>5839.45</v>
      </c>
      <c r="AE274" s="181">
        <v>1.7</v>
      </c>
      <c r="AF274" s="181">
        <v>1.7</v>
      </c>
      <c r="AG274" s="101" t="str">
        <f t="shared" si="55"/>
        <v/>
      </c>
      <c r="AH274" s="190">
        <v>0</v>
      </c>
      <c r="AI274" s="69">
        <f t="shared" si="56"/>
        <v>1</v>
      </c>
    </row>
    <row r="275" spans="1:35" s="69" customFormat="1" ht="78" hidden="1" x14ac:dyDescent="0.3">
      <c r="A275" s="55" t="s">
        <v>710</v>
      </c>
      <c r="B275" s="53" t="s">
        <v>711</v>
      </c>
      <c r="C275" s="54" t="s">
        <v>606</v>
      </c>
      <c r="D275" s="75">
        <v>1</v>
      </c>
      <c r="E275" s="75"/>
      <c r="F275" s="75"/>
      <c r="G275" s="161"/>
      <c r="H275" s="158" t="s">
        <v>15</v>
      </c>
      <c r="I275" s="166">
        <v>7189.97</v>
      </c>
      <c r="J275" s="75">
        <v>7189.97</v>
      </c>
      <c r="K275" s="91" t="s">
        <v>712</v>
      </c>
      <c r="L275" s="73"/>
      <c r="M275" s="46">
        <v>0</v>
      </c>
      <c r="N275" s="46">
        <v>0</v>
      </c>
      <c r="O275" s="46">
        <v>0</v>
      </c>
      <c r="P275" s="98"/>
      <c r="Q275" s="23" t="s">
        <v>1410</v>
      </c>
      <c r="R275" s="24" t="s">
        <v>711</v>
      </c>
      <c r="S275" s="25" t="s">
        <v>606</v>
      </c>
      <c r="T275" s="26">
        <v>1</v>
      </c>
      <c r="U275" s="26">
        <v>1</v>
      </c>
      <c r="V275" s="26">
        <v>7189.97</v>
      </c>
      <c r="W275" s="26">
        <f t="shared" si="50"/>
        <v>0</v>
      </c>
      <c r="X275" s="26">
        <f t="shared" si="53"/>
        <v>0</v>
      </c>
      <c r="Y275" s="26">
        <f t="shared" si="51"/>
        <v>0</v>
      </c>
      <c r="Z275" s="26">
        <f t="shared" si="57"/>
        <v>0</v>
      </c>
      <c r="AA275" s="33" t="s">
        <v>15</v>
      </c>
      <c r="AB275" s="36" t="s">
        <v>16</v>
      </c>
      <c r="AC275" s="181">
        <f t="shared" si="54"/>
        <v>1</v>
      </c>
      <c r="AD275" s="181">
        <f t="shared" si="52"/>
        <v>7189.97</v>
      </c>
      <c r="AE275" s="181">
        <v>1.7</v>
      </c>
      <c r="AF275" s="181">
        <v>1.7</v>
      </c>
      <c r="AG275" s="101" t="str">
        <f t="shared" si="55"/>
        <v/>
      </c>
      <c r="AH275" s="190">
        <v>0</v>
      </c>
      <c r="AI275" s="69">
        <f t="shared" si="56"/>
        <v>1</v>
      </c>
    </row>
    <row r="276" spans="1:35" s="69" customFormat="1" ht="78" hidden="1" x14ac:dyDescent="0.3">
      <c r="A276" s="55" t="s">
        <v>713</v>
      </c>
      <c r="B276" s="53" t="s">
        <v>714</v>
      </c>
      <c r="C276" s="54" t="s">
        <v>606</v>
      </c>
      <c r="D276" s="75">
        <v>4</v>
      </c>
      <c r="E276" s="75"/>
      <c r="F276" s="75"/>
      <c r="G276" s="161"/>
      <c r="H276" s="158" t="s">
        <v>15</v>
      </c>
      <c r="I276" s="166">
        <v>4860.95</v>
      </c>
      <c r="J276" s="75">
        <v>19443.8</v>
      </c>
      <c r="K276" s="91" t="s">
        <v>715</v>
      </c>
      <c r="L276" s="73"/>
      <c r="M276" s="46">
        <v>0</v>
      </c>
      <c r="N276" s="46">
        <v>0</v>
      </c>
      <c r="O276" s="46">
        <v>0</v>
      </c>
      <c r="P276" s="98"/>
      <c r="Q276" s="23" t="s">
        <v>1411</v>
      </c>
      <c r="R276" s="24" t="s">
        <v>714</v>
      </c>
      <c r="S276" s="25" t="s">
        <v>606</v>
      </c>
      <c r="T276" s="26">
        <v>4</v>
      </c>
      <c r="U276" s="26">
        <v>4</v>
      </c>
      <c r="V276" s="26">
        <v>4860.95</v>
      </c>
      <c r="W276" s="26">
        <f t="shared" si="50"/>
        <v>0</v>
      </c>
      <c r="X276" s="26">
        <f t="shared" si="53"/>
        <v>0</v>
      </c>
      <c r="Y276" s="26">
        <f t="shared" si="51"/>
        <v>0</v>
      </c>
      <c r="Z276" s="26">
        <f t="shared" si="57"/>
        <v>0</v>
      </c>
      <c r="AA276" s="33" t="s">
        <v>15</v>
      </c>
      <c r="AB276" s="36" t="s">
        <v>16</v>
      </c>
      <c r="AC276" s="181">
        <f t="shared" si="54"/>
        <v>4</v>
      </c>
      <c r="AD276" s="181">
        <f t="shared" si="52"/>
        <v>19443.8</v>
      </c>
      <c r="AE276" s="181">
        <v>1.7</v>
      </c>
      <c r="AF276" s="181">
        <v>1.7</v>
      </c>
      <c r="AG276" s="101" t="str">
        <f t="shared" si="55"/>
        <v/>
      </c>
      <c r="AH276" s="190">
        <v>0</v>
      </c>
      <c r="AI276" s="69">
        <f t="shared" si="56"/>
        <v>4</v>
      </c>
    </row>
    <row r="277" spans="1:35" s="69" customFormat="1" ht="78" hidden="1" x14ac:dyDescent="0.3">
      <c r="A277" s="55" t="s">
        <v>716</v>
      </c>
      <c r="B277" s="53" t="s">
        <v>717</v>
      </c>
      <c r="C277" s="54" t="s">
        <v>606</v>
      </c>
      <c r="D277" s="75">
        <v>1</v>
      </c>
      <c r="E277" s="75"/>
      <c r="F277" s="75"/>
      <c r="G277" s="161"/>
      <c r="H277" s="158" t="s">
        <v>15</v>
      </c>
      <c r="I277" s="166">
        <v>14800.45</v>
      </c>
      <c r="J277" s="75">
        <v>14800.45</v>
      </c>
      <c r="K277" s="91" t="s">
        <v>718</v>
      </c>
      <c r="L277" s="73"/>
      <c r="M277" s="46">
        <v>0</v>
      </c>
      <c r="N277" s="46">
        <v>0</v>
      </c>
      <c r="O277" s="46">
        <v>0</v>
      </c>
      <c r="P277" s="98"/>
      <c r="Q277" s="23" t="s">
        <v>1445</v>
      </c>
      <c r="R277" s="24" t="s">
        <v>717</v>
      </c>
      <c r="S277" s="25" t="s">
        <v>606</v>
      </c>
      <c r="T277" s="26">
        <v>1</v>
      </c>
      <c r="U277" s="26">
        <v>1</v>
      </c>
      <c r="V277" s="26">
        <v>14800.45</v>
      </c>
      <c r="W277" s="26">
        <f t="shared" si="50"/>
        <v>0</v>
      </c>
      <c r="X277" s="26">
        <f t="shared" si="53"/>
        <v>0</v>
      </c>
      <c r="Y277" s="26">
        <f t="shared" si="51"/>
        <v>0</v>
      </c>
      <c r="Z277" s="26">
        <f t="shared" si="57"/>
        <v>0</v>
      </c>
      <c r="AA277" s="33" t="s">
        <v>15</v>
      </c>
      <c r="AB277" s="36" t="s">
        <v>16</v>
      </c>
      <c r="AC277" s="181">
        <f t="shared" si="54"/>
        <v>1</v>
      </c>
      <c r="AD277" s="181">
        <f t="shared" si="52"/>
        <v>14800.45</v>
      </c>
      <c r="AE277" s="181">
        <v>1.7</v>
      </c>
      <c r="AF277" s="181">
        <v>1.7</v>
      </c>
      <c r="AG277" s="101" t="str">
        <f t="shared" si="55"/>
        <v/>
      </c>
      <c r="AH277" s="190">
        <v>0</v>
      </c>
      <c r="AI277" s="69">
        <f t="shared" si="56"/>
        <v>1</v>
      </c>
    </row>
    <row r="278" spans="1:35" s="69" customFormat="1" ht="78" hidden="1" x14ac:dyDescent="0.3">
      <c r="A278" s="55" t="s">
        <v>719</v>
      </c>
      <c r="B278" s="53" t="s">
        <v>720</v>
      </c>
      <c r="C278" s="54" t="s">
        <v>606</v>
      </c>
      <c r="D278" s="75">
        <v>1</v>
      </c>
      <c r="E278" s="75"/>
      <c r="F278" s="75"/>
      <c r="G278" s="161"/>
      <c r="H278" s="158" t="s">
        <v>15</v>
      </c>
      <c r="I278" s="166">
        <v>6661.47</v>
      </c>
      <c r="J278" s="75">
        <v>6661.47</v>
      </c>
      <c r="K278" s="91" t="s">
        <v>721</v>
      </c>
      <c r="L278" s="73"/>
      <c r="M278" s="46">
        <v>0</v>
      </c>
      <c r="N278" s="46">
        <v>0</v>
      </c>
      <c r="O278" s="46">
        <v>0</v>
      </c>
      <c r="P278" s="98"/>
      <c r="Q278" s="23" t="s">
        <v>1383</v>
      </c>
      <c r="R278" s="24" t="s">
        <v>720</v>
      </c>
      <c r="S278" s="25" t="s">
        <v>606</v>
      </c>
      <c r="T278" s="26">
        <v>1</v>
      </c>
      <c r="U278" s="26">
        <v>1</v>
      </c>
      <c r="V278" s="26">
        <v>6661.47</v>
      </c>
      <c r="W278" s="26">
        <f t="shared" si="50"/>
        <v>0</v>
      </c>
      <c r="X278" s="26">
        <f t="shared" si="53"/>
        <v>0</v>
      </c>
      <c r="Y278" s="26">
        <f t="shared" si="51"/>
        <v>0</v>
      </c>
      <c r="Z278" s="26">
        <f t="shared" si="57"/>
        <v>0</v>
      </c>
      <c r="AA278" s="33" t="s">
        <v>15</v>
      </c>
      <c r="AB278" s="36" t="s">
        <v>16</v>
      </c>
      <c r="AC278" s="181">
        <f t="shared" si="54"/>
        <v>1</v>
      </c>
      <c r="AD278" s="181">
        <f t="shared" si="52"/>
        <v>6661.47</v>
      </c>
      <c r="AE278" s="181">
        <v>1.7</v>
      </c>
      <c r="AF278" s="181">
        <v>1.7</v>
      </c>
      <c r="AG278" s="101" t="str">
        <f t="shared" si="55"/>
        <v/>
      </c>
      <c r="AH278" s="190">
        <v>0</v>
      </c>
      <c r="AI278" s="69">
        <f t="shared" si="56"/>
        <v>1</v>
      </c>
    </row>
    <row r="279" spans="1:35" s="69" customFormat="1" ht="78" hidden="1" x14ac:dyDescent="0.3">
      <c r="A279" s="55" t="s">
        <v>722</v>
      </c>
      <c r="B279" s="53" t="s">
        <v>723</v>
      </c>
      <c r="C279" s="54" t="s">
        <v>606</v>
      </c>
      <c r="D279" s="75">
        <v>1</v>
      </c>
      <c r="E279" s="75"/>
      <c r="F279" s="75"/>
      <c r="G279" s="161"/>
      <c r="H279" s="158" t="s">
        <v>15</v>
      </c>
      <c r="I279" s="166">
        <v>15584.47</v>
      </c>
      <c r="J279" s="75">
        <v>15584.47</v>
      </c>
      <c r="K279" s="91" t="s">
        <v>724</v>
      </c>
      <c r="L279" s="73"/>
      <c r="M279" s="46">
        <v>0</v>
      </c>
      <c r="N279" s="46">
        <v>0</v>
      </c>
      <c r="O279" s="46">
        <v>0</v>
      </c>
      <c r="P279" s="98"/>
      <c r="Q279" s="23" t="s">
        <v>1384</v>
      </c>
      <c r="R279" s="24" t="s">
        <v>723</v>
      </c>
      <c r="S279" s="25" t="s">
        <v>606</v>
      </c>
      <c r="T279" s="26">
        <v>1</v>
      </c>
      <c r="U279" s="26">
        <v>1</v>
      </c>
      <c r="V279" s="26">
        <v>15584.47</v>
      </c>
      <c r="W279" s="26">
        <f t="shared" si="50"/>
        <v>0</v>
      </c>
      <c r="X279" s="26">
        <f t="shared" si="53"/>
        <v>0</v>
      </c>
      <c r="Y279" s="26">
        <f t="shared" si="51"/>
        <v>0</v>
      </c>
      <c r="Z279" s="26">
        <f t="shared" si="57"/>
        <v>0</v>
      </c>
      <c r="AA279" s="33" t="s">
        <v>15</v>
      </c>
      <c r="AB279" s="36" t="s">
        <v>16</v>
      </c>
      <c r="AC279" s="181">
        <f t="shared" si="54"/>
        <v>1</v>
      </c>
      <c r="AD279" s="181">
        <f t="shared" si="52"/>
        <v>15584.47</v>
      </c>
      <c r="AE279" s="181">
        <v>1.7</v>
      </c>
      <c r="AF279" s="181">
        <v>1.7</v>
      </c>
      <c r="AG279" s="101" t="str">
        <f t="shared" si="55"/>
        <v/>
      </c>
      <c r="AH279" s="190">
        <v>0</v>
      </c>
      <c r="AI279" s="69">
        <f t="shared" si="56"/>
        <v>1</v>
      </c>
    </row>
    <row r="280" spans="1:35" s="69" customFormat="1" ht="78" hidden="1" x14ac:dyDescent="0.3">
      <c r="A280" s="55" t="s">
        <v>725</v>
      </c>
      <c r="B280" s="53" t="s">
        <v>726</v>
      </c>
      <c r="C280" s="54" t="s">
        <v>606</v>
      </c>
      <c r="D280" s="75">
        <v>4</v>
      </c>
      <c r="E280" s="75"/>
      <c r="F280" s="75"/>
      <c r="G280" s="161"/>
      <c r="H280" s="158" t="s">
        <v>15</v>
      </c>
      <c r="I280" s="166">
        <v>3949.4</v>
      </c>
      <c r="J280" s="75">
        <v>15797.6</v>
      </c>
      <c r="K280" s="91" t="s">
        <v>727</v>
      </c>
      <c r="L280" s="73"/>
      <c r="M280" s="46">
        <v>0</v>
      </c>
      <c r="N280" s="46">
        <v>0</v>
      </c>
      <c r="O280" s="46">
        <v>0</v>
      </c>
      <c r="P280" s="98"/>
      <c r="Q280" s="23" t="s">
        <v>1385</v>
      </c>
      <c r="R280" s="24" t="s">
        <v>726</v>
      </c>
      <c r="S280" s="25" t="s">
        <v>606</v>
      </c>
      <c r="T280" s="26">
        <v>4</v>
      </c>
      <c r="U280" s="26">
        <v>4</v>
      </c>
      <c r="V280" s="26">
        <v>3949.4</v>
      </c>
      <c r="W280" s="26">
        <f t="shared" si="50"/>
        <v>0</v>
      </c>
      <c r="X280" s="26">
        <f t="shared" si="53"/>
        <v>0</v>
      </c>
      <c r="Y280" s="26">
        <f t="shared" si="51"/>
        <v>0</v>
      </c>
      <c r="Z280" s="26">
        <f t="shared" si="57"/>
        <v>0</v>
      </c>
      <c r="AA280" s="33" t="s">
        <v>15</v>
      </c>
      <c r="AB280" s="36" t="s">
        <v>16</v>
      </c>
      <c r="AC280" s="181">
        <f t="shared" si="54"/>
        <v>4</v>
      </c>
      <c r="AD280" s="181">
        <f t="shared" si="52"/>
        <v>15797.6</v>
      </c>
      <c r="AE280" s="181">
        <v>1.7</v>
      </c>
      <c r="AF280" s="181">
        <v>1.7</v>
      </c>
      <c r="AG280" s="101" t="str">
        <f t="shared" si="55"/>
        <v/>
      </c>
      <c r="AH280" s="190">
        <v>0</v>
      </c>
      <c r="AI280" s="69">
        <f t="shared" si="56"/>
        <v>4</v>
      </c>
    </row>
    <row r="281" spans="1:35" s="69" customFormat="1" ht="58.5" hidden="1" x14ac:dyDescent="0.3">
      <c r="A281" s="55" t="s">
        <v>728</v>
      </c>
      <c r="B281" s="53" t="s">
        <v>729</v>
      </c>
      <c r="C281" s="54" t="s">
        <v>606</v>
      </c>
      <c r="D281" s="75">
        <v>1</v>
      </c>
      <c r="E281" s="75"/>
      <c r="F281" s="75"/>
      <c r="G281" s="161"/>
      <c r="H281" s="158" t="s">
        <v>15</v>
      </c>
      <c r="I281" s="166">
        <v>227.07</v>
      </c>
      <c r="J281" s="75">
        <v>227.07</v>
      </c>
      <c r="K281" s="91" t="s">
        <v>730</v>
      </c>
      <c r="L281" s="73"/>
      <c r="M281" s="46">
        <v>0</v>
      </c>
      <c r="N281" s="46">
        <v>0</v>
      </c>
      <c r="O281" s="46">
        <v>0</v>
      </c>
      <c r="P281" s="98"/>
      <c r="Q281" s="23" t="s">
        <v>1446</v>
      </c>
      <c r="R281" s="24" t="s">
        <v>729</v>
      </c>
      <c r="S281" s="25" t="s">
        <v>606</v>
      </c>
      <c r="T281" s="26">
        <v>1</v>
      </c>
      <c r="U281" s="26">
        <v>1</v>
      </c>
      <c r="V281" s="26">
        <v>227.07</v>
      </c>
      <c r="W281" s="26">
        <f t="shared" si="50"/>
        <v>0</v>
      </c>
      <c r="X281" s="26">
        <f t="shared" si="53"/>
        <v>0</v>
      </c>
      <c r="Y281" s="26">
        <f t="shared" si="51"/>
        <v>0</v>
      </c>
      <c r="Z281" s="26">
        <f t="shared" si="57"/>
        <v>0</v>
      </c>
      <c r="AA281" s="33" t="s">
        <v>15</v>
      </c>
      <c r="AB281" s="36" t="s">
        <v>16</v>
      </c>
      <c r="AC281" s="181">
        <f t="shared" si="54"/>
        <v>1</v>
      </c>
      <c r="AD281" s="181">
        <f t="shared" si="52"/>
        <v>227.07</v>
      </c>
      <c r="AE281" s="181">
        <v>1.7</v>
      </c>
      <c r="AF281" s="181">
        <v>1.7</v>
      </c>
      <c r="AG281" s="101" t="str">
        <f t="shared" si="55"/>
        <v/>
      </c>
      <c r="AH281" s="190">
        <v>0</v>
      </c>
      <c r="AI281" s="69">
        <f t="shared" si="56"/>
        <v>1</v>
      </c>
    </row>
    <row r="282" spans="1:35" s="69" customFormat="1" ht="39" hidden="1" x14ac:dyDescent="0.3">
      <c r="A282" s="55" t="s">
        <v>731</v>
      </c>
      <c r="B282" s="53" t="s">
        <v>732</v>
      </c>
      <c r="C282" s="54" t="s">
        <v>606</v>
      </c>
      <c r="D282" s="75">
        <v>1</v>
      </c>
      <c r="E282" s="75"/>
      <c r="F282" s="75"/>
      <c r="G282" s="161"/>
      <c r="H282" s="158" t="s">
        <v>15</v>
      </c>
      <c r="I282" s="166">
        <v>277.02999999999997</v>
      </c>
      <c r="J282" s="75">
        <v>277.02999999999997</v>
      </c>
      <c r="K282" s="91" t="s">
        <v>733</v>
      </c>
      <c r="L282" s="73"/>
      <c r="M282" s="46">
        <v>0</v>
      </c>
      <c r="N282" s="46">
        <v>0</v>
      </c>
      <c r="O282" s="46">
        <v>0</v>
      </c>
      <c r="P282" s="98"/>
      <c r="Q282" s="23" t="s">
        <v>1447</v>
      </c>
      <c r="R282" s="24" t="s">
        <v>732</v>
      </c>
      <c r="S282" s="25" t="s">
        <v>606</v>
      </c>
      <c r="T282" s="26">
        <v>1</v>
      </c>
      <c r="U282" s="26">
        <v>1</v>
      </c>
      <c r="V282" s="26">
        <v>277.02999999999997</v>
      </c>
      <c r="W282" s="26">
        <f t="shared" si="50"/>
        <v>0</v>
      </c>
      <c r="X282" s="26">
        <f t="shared" si="53"/>
        <v>0</v>
      </c>
      <c r="Y282" s="26">
        <f t="shared" si="51"/>
        <v>0</v>
      </c>
      <c r="Z282" s="26">
        <f t="shared" si="57"/>
        <v>0</v>
      </c>
      <c r="AA282" s="33" t="s">
        <v>15</v>
      </c>
      <c r="AB282" s="36" t="s">
        <v>16</v>
      </c>
      <c r="AC282" s="181">
        <f t="shared" si="54"/>
        <v>1</v>
      </c>
      <c r="AD282" s="181">
        <f t="shared" si="52"/>
        <v>277.02999999999997</v>
      </c>
      <c r="AE282" s="181">
        <v>1.7</v>
      </c>
      <c r="AF282" s="181">
        <v>1.7</v>
      </c>
      <c r="AG282" s="101" t="str">
        <f t="shared" si="55"/>
        <v/>
      </c>
      <c r="AH282" s="190">
        <v>0</v>
      </c>
      <c r="AI282" s="69">
        <f t="shared" si="56"/>
        <v>1</v>
      </c>
    </row>
    <row r="283" spans="1:35" s="69" customFormat="1" ht="39" hidden="1" x14ac:dyDescent="0.3">
      <c r="A283" s="55" t="s">
        <v>734</v>
      </c>
      <c r="B283" s="53" t="s">
        <v>735</v>
      </c>
      <c r="C283" s="54" t="s">
        <v>606</v>
      </c>
      <c r="D283" s="75">
        <v>1</v>
      </c>
      <c r="E283" s="75"/>
      <c r="F283" s="75"/>
      <c r="G283" s="161"/>
      <c r="H283" s="158" t="s">
        <v>15</v>
      </c>
      <c r="I283" s="166">
        <v>286.3</v>
      </c>
      <c r="J283" s="75">
        <v>286.3</v>
      </c>
      <c r="K283" s="91" t="s">
        <v>736</v>
      </c>
      <c r="L283" s="73"/>
      <c r="M283" s="46">
        <v>0</v>
      </c>
      <c r="N283" s="46">
        <v>0</v>
      </c>
      <c r="O283" s="46">
        <v>0</v>
      </c>
      <c r="P283" s="98"/>
      <c r="Q283" s="23" t="s">
        <v>1448</v>
      </c>
      <c r="R283" s="24" t="s">
        <v>735</v>
      </c>
      <c r="S283" s="25" t="s">
        <v>606</v>
      </c>
      <c r="T283" s="26">
        <v>1</v>
      </c>
      <c r="U283" s="26">
        <v>1</v>
      </c>
      <c r="V283" s="26">
        <v>286.3</v>
      </c>
      <c r="W283" s="26">
        <f t="shared" si="50"/>
        <v>0</v>
      </c>
      <c r="X283" s="26">
        <f t="shared" si="53"/>
        <v>0</v>
      </c>
      <c r="Y283" s="26">
        <f t="shared" si="51"/>
        <v>0</v>
      </c>
      <c r="Z283" s="26">
        <f t="shared" si="57"/>
        <v>0</v>
      </c>
      <c r="AA283" s="33" t="s">
        <v>15</v>
      </c>
      <c r="AB283" s="36" t="s">
        <v>16</v>
      </c>
      <c r="AC283" s="181">
        <f t="shared" si="54"/>
        <v>1</v>
      </c>
      <c r="AD283" s="181">
        <f t="shared" si="52"/>
        <v>286.3</v>
      </c>
      <c r="AE283" s="181">
        <v>1.7</v>
      </c>
      <c r="AF283" s="181">
        <v>1.7</v>
      </c>
      <c r="AG283" s="101" t="str">
        <f t="shared" si="55"/>
        <v/>
      </c>
      <c r="AH283" s="190">
        <v>0</v>
      </c>
      <c r="AI283" s="69">
        <f t="shared" si="56"/>
        <v>1</v>
      </c>
    </row>
    <row r="284" spans="1:35" s="69" customFormat="1" ht="39" hidden="1" x14ac:dyDescent="0.3">
      <c r="A284" s="55" t="s">
        <v>737</v>
      </c>
      <c r="B284" s="53" t="s">
        <v>738</v>
      </c>
      <c r="C284" s="54" t="s">
        <v>606</v>
      </c>
      <c r="D284" s="75">
        <v>1</v>
      </c>
      <c r="E284" s="75"/>
      <c r="F284" s="75"/>
      <c r="G284" s="161"/>
      <c r="H284" s="158" t="s">
        <v>15</v>
      </c>
      <c r="I284" s="166">
        <v>134.37</v>
      </c>
      <c r="J284" s="75">
        <v>134.37</v>
      </c>
      <c r="K284" s="91" t="s">
        <v>739</v>
      </c>
      <c r="L284" s="73"/>
      <c r="M284" s="46">
        <v>0</v>
      </c>
      <c r="N284" s="46">
        <v>0</v>
      </c>
      <c r="O284" s="46">
        <v>0</v>
      </c>
      <c r="P284" s="98"/>
      <c r="Q284" s="23" t="s">
        <v>1449</v>
      </c>
      <c r="R284" s="24" t="s">
        <v>738</v>
      </c>
      <c r="S284" s="25" t="s">
        <v>606</v>
      </c>
      <c r="T284" s="26">
        <v>1</v>
      </c>
      <c r="U284" s="26">
        <v>1</v>
      </c>
      <c r="V284" s="26">
        <v>134.37</v>
      </c>
      <c r="W284" s="26">
        <f t="shared" si="50"/>
        <v>0</v>
      </c>
      <c r="X284" s="26">
        <f t="shared" si="53"/>
        <v>0</v>
      </c>
      <c r="Y284" s="26">
        <f t="shared" si="51"/>
        <v>0</v>
      </c>
      <c r="Z284" s="26">
        <f t="shared" si="57"/>
        <v>0</v>
      </c>
      <c r="AA284" s="33" t="s">
        <v>15</v>
      </c>
      <c r="AB284" s="36" t="s">
        <v>16</v>
      </c>
      <c r="AC284" s="181">
        <f t="shared" si="54"/>
        <v>1</v>
      </c>
      <c r="AD284" s="181">
        <f t="shared" si="52"/>
        <v>134.37</v>
      </c>
      <c r="AE284" s="181">
        <v>1.7</v>
      </c>
      <c r="AF284" s="181">
        <v>1.7</v>
      </c>
      <c r="AG284" s="101" t="str">
        <f t="shared" si="55"/>
        <v/>
      </c>
      <c r="AH284" s="190">
        <v>0</v>
      </c>
      <c r="AI284" s="69">
        <f t="shared" si="56"/>
        <v>1</v>
      </c>
    </row>
    <row r="285" spans="1:35" s="69" customFormat="1" ht="39" hidden="1" x14ac:dyDescent="0.3">
      <c r="A285" s="55" t="s">
        <v>740</v>
      </c>
      <c r="B285" s="53" t="s">
        <v>741</v>
      </c>
      <c r="C285" s="54" t="s">
        <v>606</v>
      </c>
      <c r="D285" s="75">
        <v>1</v>
      </c>
      <c r="E285" s="75"/>
      <c r="F285" s="75"/>
      <c r="G285" s="161"/>
      <c r="H285" s="158" t="s">
        <v>15</v>
      </c>
      <c r="I285" s="166">
        <v>142.1</v>
      </c>
      <c r="J285" s="75">
        <v>142.1</v>
      </c>
      <c r="K285" s="91" t="s">
        <v>742</v>
      </c>
      <c r="L285" s="73"/>
      <c r="M285" s="46">
        <v>0</v>
      </c>
      <c r="N285" s="46">
        <v>0</v>
      </c>
      <c r="O285" s="46">
        <v>0</v>
      </c>
      <c r="P285" s="98"/>
      <c r="Q285" s="23" t="s">
        <v>1450</v>
      </c>
      <c r="R285" s="24" t="s">
        <v>741</v>
      </c>
      <c r="S285" s="25" t="s">
        <v>606</v>
      </c>
      <c r="T285" s="26">
        <v>1</v>
      </c>
      <c r="U285" s="26">
        <v>1</v>
      </c>
      <c r="V285" s="26">
        <v>142.1</v>
      </c>
      <c r="W285" s="26">
        <f t="shared" si="50"/>
        <v>0</v>
      </c>
      <c r="X285" s="26">
        <f t="shared" si="53"/>
        <v>0</v>
      </c>
      <c r="Y285" s="26">
        <f t="shared" si="51"/>
        <v>0</v>
      </c>
      <c r="Z285" s="26">
        <f t="shared" si="57"/>
        <v>0</v>
      </c>
      <c r="AA285" s="33" t="s">
        <v>15</v>
      </c>
      <c r="AB285" s="36" t="s">
        <v>16</v>
      </c>
      <c r="AC285" s="181">
        <f t="shared" si="54"/>
        <v>1</v>
      </c>
      <c r="AD285" s="181">
        <f t="shared" si="52"/>
        <v>142.1</v>
      </c>
      <c r="AE285" s="181">
        <v>1.7</v>
      </c>
      <c r="AF285" s="181">
        <v>1.7</v>
      </c>
      <c r="AG285" s="101" t="str">
        <f t="shared" si="55"/>
        <v/>
      </c>
      <c r="AH285" s="190">
        <v>0</v>
      </c>
      <c r="AI285" s="69">
        <f t="shared" si="56"/>
        <v>1</v>
      </c>
    </row>
    <row r="286" spans="1:35" s="69" customFormat="1" ht="39" hidden="1" x14ac:dyDescent="0.3">
      <c r="A286" s="55" t="s">
        <v>743</v>
      </c>
      <c r="B286" s="53" t="s">
        <v>744</v>
      </c>
      <c r="C286" s="54" t="s">
        <v>606</v>
      </c>
      <c r="D286" s="75">
        <v>1</v>
      </c>
      <c r="E286" s="75"/>
      <c r="F286" s="75"/>
      <c r="G286" s="161"/>
      <c r="H286" s="158" t="s">
        <v>15</v>
      </c>
      <c r="I286" s="166">
        <v>90.32</v>
      </c>
      <c r="J286" s="75">
        <v>90.32</v>
      </c>
      <c r="K286" s="91" t="s">
        <v>745</v>
      </c>
      <c r="L286" s="73"/>
      <c r="M286" s="46">
        <v>0</v>
      </c>
      <c r="N286" s="46">
        <v>0</v>
      </c>
      <c r="O286" s="46">
        <v>0</v>
      </c>
      <c r="P286" s="98"/>
      <c r="Q286" s="23" t="s">
        <v>1451</v>
      </c>
      <c r="R286" s="24" t="s">
        <v>744</v>
      </c>
      <c r="S286" s="25" t="s">
        <v>606</v>
      </c>
      <c r="T286" s="26">
        <v>1</v>
      </c>
      <c r="U286" s="26">
        <v>1</v>
      </c>
      <c r="V286" s="26">
        <v>90.32</v>
      </c>
      <c r="W286" s="26">
        <f t="shared" si="50"/>
        <v>0</v>
      </c>
      <c r="X286" s="26">
        <f t="shared" si="53"/>
        <v>0</v>
      </c>
      <c r="Y286" s="26">
        <f t="shared" si="51"/>
        <v>0</v>
      </c>
      <c r="Z286" s="26">
        <f t="shared" si="57"/>
        <v>0</v>
      </c>
      <c r="AA286" s="33" t="s">
        <v>15</v>
      </c>
      <c r="AB286" s="36" t="s">
        <v>16</v>
      </c>
      <c r="AC286" s="181">
        <f t="shared" si="54"/>
        <v>1</v>
      </c>
      <c r="AD286" s="181">
        <f t="shared" si="52"/>
        <v>90.32</v>
      </c>
      <c r="AE286" s="181">
        <v>1.7</v>
      </c>
      <c r="AF286" s="181">
        <v>1.7</v>
      </c>
      <c r="AG286" s="101" t="str">
        <f t="shared" si="55"/>
        <v/>
      </c>
      <c r="AH286" s="190">
        <v>0</v>
      </c>
      <c r="AI286" s="69">
        <f t="shared" si="56"/>
        <v>1</v>
      </c>
    </row>
    <row r="287" spans="1:35" s="69" customFormat="1" ht="58.5" hidden="1" x14ac:dyDescent="0.3">
      <c r="A287" s="55" t="s">
        <v>746</v>
      </c>
      <c r="B287" s="53" t="s">
        <v>747</v>
      </c>
      <c r="C287" s="54" t="s">
        <v>606</v>
      </c>
      <c r="D287" s="75">
        <v>1</v>
      </c>
      <c r="E287" s="75"/>
      <c r="F287" s="75"/>
      <c r="G287" s="161"/>
      <c r="H287" s="158" t="s">
        <v>15</v>
      </c>
      <c r="I287" s="166">
        <v>125.1</v>
      </c>
      <c r="J287" s="75">
        <v>125.1</v>
      </c>
      <c r="K287" s="91" t="s">
        <v>748</v>
      </c>
      <c r="L287" s="73"/>
      <c r="M287" s="46">
        <v>0</v>
      </c>
      <c r="N287" s="46">
        <v>0</v>
      </c>
      <c r="O287" s="46">
        <v>0</v>
      </c>
      <c r="P287" s="98"/>
      <c r="Q287" s="23" t="s">
        <v>1452</v>
      </c>
      <c r="R287" s="24" t="s">
        <v>747</v>
      </c>
      <c r="S287" s="25" t="s">
        <v>606</v>
      </c>
      <c r="T287" s="26">
        <v>1</v>
      </c>
      <c r="U287" s="26">
        <v>1</v>
      </c>
      <c r="V287" s="26">
        <v>125.1</v>
      </c>
      <c r="W287" s="26">
        <f t="shared" si="50"/>
        <v>0</v>
      </c>
      <c r="X287" s="26">
        <f t="shared" si="53"/>
        <v>0</v>
      </c>
      <c r="Y287" s="26">
        <f t="shared" si="51"/>
        <v>0</v>
      </c>
      <c r="Z287" s="26">
        <f t="shared" si="57"/>
        <v>0</v>
      </c>
      <c r="AA287" s="33" t="s">
        <v>15</v>
      </c>
      <c r="AB287" s="36" t="s">
        <v>16</v>
      </c>
      <c r="AC287" s="181">
        <f t="shared" si="54"/>
        <v>1</v>
      </c>
      <c r="AD287" s="181">
        <f t="shared" si="52"/>
        <v>125.1</v>
      </c>
      <c r="AE287" s="181">
        <v>1.7</v>
      </c>
      <c r="AF287" s="181">
        <v>1.7</v>
      </c>
      <c r="AG287" s="101" t="str">
        <f t="shared" si="55"/>
        <v/>
      </c>
      <c r="AH287" s="190">
        <v>0</v>
      </c>
      <c r="AI287" s="69">
        <f t="shared" si="56"/>
        <v>1</v>
      </c>
    </row>
    <row r="288" spans="1:35" s="69" customFormat="1" ht="58.5" hidden="1" x14ac:dyDescent="0.3">
      <c r="A288" s="55" t="s">
        <v>749</v>
      </c>
      <c r="B288" s="53" t="s">
        <v>750</v>
      </c>
      <c r="C288" s="54" t="s">
        <v>606</v>
      </c>
      <c r="D288" s="75">
        <v>1</v>
      </c>
      <c r="E288" s="75"/>
      <c r="F288" s="75"/>
      <c r="G288" s="161"/>
      <c r="H288" s="158" t="s">
        <v>15</v>
      </c>
      <c r="I288" s="166">
        <v>137.04</v>
      </c>
      <c r="J288" s="75">
        <v>137.04</v>
      </c>
      <c r="K288" s="91" t="s">
        <v>751</v>
      </c>
      <c r="L288" s="73"/>
      <c r="M288" s="46">
        <v>0</v>
      </c>
      <c r="N288" s="46">
        <v>0</v>
      </c>
      <c r="O288" s="46">
        <v>0</v>
      </c>
      <c r="P288" s="98"/>
      <c r="Q288" s="23" t="s">
        <v>1453</v>
      </c>
      <c r="R288" s="24" t="s">
        <v>750</v>
      </c>
      <c r="S288" s="25" t="s">
        <v>606</v>
      </c>
      <c r="T288" s="26">
        <v>1</v>
      </c>
      <c r="U288" s="26">
        <v>1</v>
      </c>
      <c r="V288" s="26">
        <v>137.04</v>
      </c>
      <c r="W288" s="26">
        <f t="shared" si="50"/>
        <v>0</v>
      </c>
      <c r="X288" s="26">
        <f t="shared" si="53"/>
        <v>0</v>
      </c>
      <c r="Y288" s="26">
        <f t="shared" si="51"/>
        <v>0</v>
      </c>
      <c r="Z288" s="26">
        <f t="shared" si="57"/>
        <v>0</v>
      </c>
      <c r="AA288" s="33" t="s">
        <v>15</v>
      </c>
      <c r="AB288" s="36" t="s">
        <v>16</v>
      </c>
      <c r="AC288" s="181">
        <f t="shared" si="54"/>
        <v>1</v>
      </c>
      <c r="AD288" s="181">
        <f t="shared" si="52"/>
        <v>137.04</v>
      </c>
      <c r="AE288" s="181">
        <v>1.7</v>
      </c>
      <c r="AF288" s="181">
        <v>1.7</v>
      </c>
      <c r="AG288" s="101" t="str">
        <f t="shared" si="55"/>
        <v/>
      </c>
      <c r="AH288" s="190">
        <v>0</v>
      </c>
      <c r="AI288" s="69">
        <f t="shared" si="56"/>
        <v>1</v>
      </c>
    </row>
    <row r="289" spans="1:35" s="69" customFormat="1" ht="39" hidden="1" x14ac:dyDescent="0.3">
      <c r="A289" s="55" t="s">
        <v>752</v>
      </c>
      <c r="B289" s="53" t="s">
        <v>753</v>
      </c>
      <c r="C289" s="54" t="s">
        <v>606</v>
      </c>
      <c r="D289" s="75">
        <v>1</v>
      </c>
      <c r="E289" s="75"/>
      <c r="F289" s="75"/>
      <c r="G289" s="161"/>
      <c r="H289" s="158" t="s">
        <v>15</v>
      </c>
      <c r="I289" s="166">
        <v>107.12</v>
      </c>
      <c r="J289" s="75">
        <v>107.12</v>
      </c>
      <c r="K289" s="91" t="s">
        <v>754</v>
      </c>
      <c r="L289" s="73"/>
      <c r="M289" s="46">
        <v>0</v>
      </c>
      <c r="N289" s="46">
        <v>0</v>
      </c>
      <c r="O289" s="46">
        <v>0</v>
      </c>
      <c r="P289" s="98"/>
      <c r="Q289" s="23" t="s">
        <v>1454</v>
      </c>
      <c r="R289" s="24" t="s">
        <v>753</v>
      </c>
      <c r="S289" s="25" t="s">
        <v>606</v>
      </c>
      <c r="T289" s="26">
        <v>1</v>
      </c>
      <c r="U289" s="26">
        <v>1</v>
      </c>
      <c r="V289" s="26">
        <v>107.12</v>
      </c>
      <c r="W289" s="26">
        <f t="shared" si="50"/>
        <v>0</v>
      </c>
      <c r="X289" s="26">
        <f t="shared" si="53"/>
        <v>0</v>
      </c>
      <c r="Y289" s="26">
        <f t="shared" si="51"/>
        <v>0</v>
      </c>
      <c r="Z289" s="26">
        <f t="shared" si="57"/>
        <v>0</v>
      </c>
      <c r="AA289" s="33" t="s">
        <v>15</v>
      </c>
      <c r="AB289" s="36" t="s">
        <v>16</v>
      </c>
      <c r="AC289" s="181">
        <f t="shared" si="54"/>
        <v>1</v>
      </c>
      <c r="AD289" s="181">
        <f t="shared" si="52"/>
        <v>107.12</v>
      </c>
      <c r="AE289" s="181">
        <v>1.7</v>
      </c>
      <c r="AF289" s="181">
        <v>1.7</v>
      </c>
      <c r="AG289" s="101" t="str">
        <f t="shared" si="55"/>
        <v/>
      </c>
      <c r="AH289" s="190">
        <v>0</v>
      </c>
      <c r="AI289" s="69">
        <f t="shared" si="56"/>
        <v>1</v>
      </c>
    </row>
    <row r="290" spans="1:35" s="69" customFormat="1" ht="39" hidden="1" x14ac:dyDescent="0.3">
      <c r="A290" s="55" t="s">
        <v>755</v>
      </c>
      <c r="B290" s="53" t="s">
        <v>756</v>
      </c>
      <c r="C290" s="54" t="s">
        <v>606</v>
      </c>
      <c r="D290" s="75">
        <v>1</v>
      </c>
      <c r="E290" s="75"/>
      <c r="F290" s="75"/>
      <c r="G290" s="161"/>
      <c r="H290" s="158" t="s">
        <v>15</v>
      </c>
      <c r="I290" s="166">
        <v>124.17</v>
      </c>
      <c r="J290" s="75">
        <v>124.17</v>
      </c>
      <c r="K290" s="91" t="s">
        <v>757</v>
      </c>
      <c r="L290" s="73"/>
      <c r="M290" s="46">
        <v>0</v>
      </c>
      <c r="N290" s="46">
        <v>0</v>
      </c>
      <c r="O290" s="46">
        <v>0</v>
      </c>
      <c r="P290" s="98"/>
      <c r="Q290" s="23" t="s">
        <v>1455</v>
      </c>
      <c r="R290" s="24" t="s">
        <v>756</v>
      </c>
      <c r="S290" s="25" t="s">
        <v>606</v>
      </c>
      <c r="T290" s="26">
        <v>1</v>
      </c>
      <c r="U290" s="26">
        <v>1</v>
      </c>
      <c r="V290" s="26">
        <v>124.17</v>
      </c>
      <c r="W290" s="26">
        <f t="shared" si="50"/>
        <v>0</v>
      </c>
      <c r="X290" s="26">
        <f t="shared" si="53"/>
        <v>0</v>
      </c>
      <c r="Y290" s="26">
        <f t="shared" si="51"/>
        <v>0</v>
      </c>
      <c r="Z290" s="26">
        <f t="shared" si="57"/>
        <v>0</v>
      </c>
      <c r="AA290" s="33" t="s">
        <v>15</v>
      </c>
      <c r="AB290" s="36" t="s">
        <v>16</v>
      </c>
      <c r="AC290" s="181">
        <f t="shared" si="54"/>
        <v>1</v>
      </c>
      <c r="AD290" s="181">
        <f t="shared" si="52"/>
        <v>124.17</v>
      </c>
      <c r="AE290" s="181">
        <v>1.7</v>
      </c>
      <c r="AF290" s="181">
        <v>1.7</v>
      </c>
      <c r="AG290" s="101" t="str">
        <f t="shared" si="55"/>
        <v/>
      </c>
      <c r="AH290" s="190">
        <v>0</v>
      </c>
      <c r="AI290" s="69">
        <f t="shared" si="56"/>
        <v>1</v>
      </c>
    </row>
    <row r="291" spans="1:35" s="69" customFormat="1" ht="39" hidden="1" x14ac:dyDescent="0.3">
      <c r="A291" s="55" t="s">
        <v>758</v>
      </c>
      <c r="B291" s="53" t="s">
        <v>759</v>
      </c>
      <c r="C291" s="54" t="s">
        <v>606</v>
      </c>
      <c r="D291" s="75">
        <v>1</v>
      </c>
      <c r="E291" s="75"/>
      <c r="F291" s="75"/>
      <c r="G291" s="161"/>
      <c r="H291" s="158" t="s">
        <v>15</v>
      </c>
      <c r="I291" s="166">
        <v>121.59</v>
      </c>
      <c r="J291" s="75">
        <v>121.59</v>
      </c>
      <c r="K291" s="91" t="s">
        <v>760</v>
      </c>
      <c r="L291" s="73"/>
      <c r="M291" s="46">
        <v>0</v>
      </c>
      <c r="N291" s="46">
        <v>0</v>
      </c>
      <c r="O291" s="46">
        <v>0</v>
      </c>
      <c r="P291" s="98"/>
      <c r="Q291" s="23" t="s">
        <v>1456</v>
      </c>
      <c r="R291" s="24" t="s">
        <v>759</v>
      </c>
      <c r="S291" s="25" t="s">
        <v>606</v>
      </c>
      <c r="T291" s="26">
        <v>1</v>
      </c>
      <c r="U291" s="26">
        <v>1</v>
      </c>
      <c r="V291" s="26">
        <v>121.59</v>
      </c>
      <c r="W291" s="26">
        <f t="shared" si="50"/>
        <v>0</v>
      </c>
      <c r="X291" s="26">
        <f t="shared" si="53"/>
        <v>0</v>
      </c>
      <c r="Y291" s="26">
        <f t="shared" si="51"/>
        <v>0</v>
      </c>
      <c r="Z291" s="26">
        <f t="shared" si="57"/>
        <v>0</v>
      </c>
      <c r="AA291" s="33" t="s">
        <v>15</v>
      </c>
      <c r="AB291" s="36" t="s">
        <v>16</v>
      </c>
      <c r="AC291" s="181">
        <f t="shared" si="54"/>
        <v>1</v>
      </c>
      <c r="AD291" s="181">
        <f t="shared" si="52"/>
        <v>121.59</v>
      </c>
      <c r="AE291" s="181">
        <v>1.7</v>
      </c>
      <c r="AF291" s="181">
        <v>1.7</v>
      </c>
      <c r="AG291" s="101" t="str">
        <f t="shared" si="55"/>
        <v/>
      </c>
      <c r="AH291" s="190">
        <v>0</v>
      </c>
      <c r="AI291" s="69">
        <f t="shared" si="56"/>
        <v>1</v>
      </c>
    </row>
    <row r="292" spans="1:35" s="69" customFormat="1" ht="39" hidden="1" x14ac:dyDescent="0.3">
      <c r="A292" s="55" t="s">
        <v>761</v>
      </c>
      <c r="B292" s="53" t="s">
        <v>762</v>
      </c>
      <c r="C292" s="54" t="s">
        <v>606</v>
      </c>
      <c r="D292" s="75">
        <v>1</v>
      </c>
      <c r="E292" s="75"/>
      <c r="F292" s="75"/>
      <c r="G292" s="161"/>
      <c r="H292" s="158" t="s">
        <v>15</v>
      </c>
      <c r="I292" s="166">
        <v>154.51</v>
      </c>
      <c r="J292" s="75">
        <v>154.51</v>
      </c>
      <c r="K292" s="91" t="s">
        <v>763</v>
      </c>
      <c r="L292" s="73"/>
      <c r="M292" s="46">
        <v>0</v>
      </c>
      <c r="N292" s="46">
        <v>0</v>
      </c>
      <c r="O292" s="46">
        <v>0</v>
      </c>
      <c r="P292" s="98"/>
      <c r="Q292" s="23" t="s">
        <v>1457</v>
      </c>
      <c r="R292" s="24" t="s">
        <v>762</v>
      </c>
      <c r="S292" s="25" t="s">
        <v>606</v>
      </c>
      <c r="T292" s="26">
        <v>1</v>
      </c>
      <c r="U292" s="26">
        <v>1</v>
      </c>
      <c r="V292" s="26">
        <v>154.51</v>
      </c>
      <c r="W292" s="26">
        <f t="shared" si="50"/>
        <v>0</v>
      </c>
      <c r="X292" s="26">
        <f t="shared" si="53"/>
        <v>0</v>
      </c>
      <c r="Y292" s="26">
        <f t="shared" si="51"/>
        <v>0</v>
      </c>
      <c r="Z292" s="26">
        <f t="shared" si="57"/>
        <v>0</v>
      </c>
      <c r="AA292" s="33" t="s">
        <v>15</v>
      </c>
      <c r="AB292" s="36" t="s">
        <v>16</v>
      </c>
      <c r="AC292" s="181">
        <f t="shared" si="54"/>
        <v>1</v>
      </c>
      <c r="AD292" s="181">
        <f t="shared" si="52"/>
        <v>154.51</v>
      </c>
      <c r="AE292" s="181">
        <v>1.7</v>
      </c>
      <c r="AF292" s="181">
        <v>1.7</v>
      </c>
      <c r="AG292" s="101" t="str">
        <f t="shared" si="55"/>
        <v/>
      </c>
      <c r="AH292" s="190">
        <v>0</v>
      </c>
      <c r="AI292" s="69">
        <f t="shared" si="56"/>
        <v>1</v>
      </c>
    </row>
    <row r="293" spans="1:35" s="69" customFormat="1" ht="58.5" hidden="1" x14ac:dyDescent="0.3">
      <c r="A293" s="55" t="s">
        <v>764</v>
      </c>
      <c r="B293" s="53" t="s">
        <v>765</v>
      </c>
      <c r="C293" s="54" t="s">
        <v>606</v>
      </c>
      <c r="D293" s="75">
        <v>1</v>
      </c>
      <c r="E293" s="75"/>
      <c r="F293" s="75"/>
      <c r="G293" s="161"/>
      <c r="H293" s="158" t="s">
        <v>15</v>
      </c>
      <c r="I293" s="166">
        <v>36.549999999999997</v>
      </c>
      <c r="J293" s="75">
        <v>36.549999999999997</v>
      </c>
      <c r="K293" s="91" t="s">
        <v>766</v>
      </c>
      <c r="L293" s="73"/>
      <c r="M293" s="46">
        <v>0</v>
      </c>
      <c r="N293" s="46">
        <v>0</v>
      </c>
      <c r="O293" s="46">
        <v>0</v>
      </c>
      <c r="P293" s="98"/>
      <c r="Q293" s="23" t="s">
        <v>1458</v>
      </c>
      <c r="R293" s="24" t="s">
        <v>765</v>
      </c>
      <c r="S293" s="25" t="s">
        <v>606</v>
      </c>
      <c r="T293" s="26">
        <v>1</v>
      </c>
      <c r="U293" s="26">
        <v>1</v>
      </c>
      <c r="V293" s="26">
        <v>36.549999999999997</v>
      </c>
      <c r="W293" s="26">
        <f t="shared" si="50"/>
        <v>0</v>
      </c>
      <c r="X293" s="26">
        <f t="shared" si="53"/>
        <v>0</v>
      </c>
      <c r="Y293" s="26">
        <f t="shared" si="51"/>
        <v>0</v>
      </c>
      <c r="Z293" s="26">
        <f t="shared" si="57"/>
        <v>0</v>
      </c>
      <c r="AA293" s="33" t="s">
        <v>15</v>
      </c>
      <c r="AB293" s="36" t="s">
        <v>16</v>
      </c>
      <c r="AC293" s="181">
        <f t="shared" si="54"/>
        <v>1</v>
      </c>
      <c r="AD293" s="181">
        <f t="shared" si="52"/>
        <v>36.549999999999997</v>
      </c>
      <c r="AE293" s="181">
        <v>1.7</v>
      </c>
      <c r="AF293" s="181">
        <v>1.7</v>
      </c>
      <c r="AG293" s="101" t="str">
        <f t="shared" si="55"/>
        <v/>
      </c>
      <c r="AH293" s="190">
        <v>0</v>
      </c>
      <c r="AI293" s="69">
        <f t="shared" si="56"/>
        <v>1</v>
      </c>
    </row>
    <row r="294" spans="1:35" s="69" customFormat="1" ht="39" hidden="1" x14ac:dyDescent="0.3">
      <c r="A294" s="55" t="s">
        <v>767</v>
      </c>
      <c r="B294" s="53" t="s">
        <v>768</v>
      </c>
      <c r="C294" s="54" t="s">
        <v>606</v>
      </c>
      <c r="D294" s="75">
        <v>1</v>
      </c>
      <c r="E294" s="75"/>
      <c r="F294" s="75"/>
      <c r="G294" s="161"/>
      <c r="H294" s="158" t="s">
        <v>15</v>
      </c>
      <c r="I294" s="166">
        <v>27.8</v>
      </c>
      <c r="J294" s="75">
        <v>27.8</v>
      </c>
      <c r="K294" s="91" t="s">
        <v>769</v>
      </c>
      <c r="L294" s="73"/>
      <c r="M294" s="46">
        <v>0</v>
      </c>
      <c r="N294" s="46">
        <v>0</v>
      </c>
      <c r="O294" s="46">
        <v>0</v>
      </c>
      <c r="P294" s="98"/>
      <c r="Q294" s="23" t="s">
        <v>1459</v>
      </c>
      <c r="R294" s="24" t="s">
        <v>768</v>
      </c>
      <c r="S294" s="25" t="s">
        <v>606</v>
      </c>
      <c r="T294" s="26">
        <v>1</v>
      </c>
      <c r="U294" s="26">
        <v>1</v>
      </c>
      <c r="V294" s="26">
        <v>27.8</v>
      </c>
      <c r="W294" s="26">
        <f t="shared" si="50"/>
        <v>0</v>
      </c>
      <c r="X294" s="26">
        <f t="shared" si="53"/>
        <v>0</v>
      </c>
      <c r="Y294" s="26">
        <f t="shared" si="51"/>
        <v>0</v>
      </c>
      <c r="Z294" s="26">
        <f t="shared" si="57"/>
        <v>0</v>
      </c>
      <c r="AA294" s="33" t="s">
        <v>15</v>
      </c>
      <c r="AB294" s="36" t="s">
        <v>16</v>
      </c>
      <c r="AC294" s="181">
        <f t="shared" si="54"/>
        <v>1</v>
      </c>
      <c r="AD294" s="181">
        <f t="shared" si="52"/>
        <v>27.8</v>
      </c>
      <c r="AE294" s="181">
        <v>1.7</v>
      </c>
      <c r="AF294" s="181">
        <v>1.7</v>
      </c>
      <c r="AG294" s="101" t="str">
        <f t="shared" si="55"/>
        <v/>
      </c>
      <c r="AH294" s="190">
        <v>0</v>
      </c>
      <c r="AI294" s="69">
        <f t="shared" si="56"/>
        <v>1</v>
      </c>
    </row>
    <row r="295" spans="1:35" s="69" customFormat="1" ht="39" hidden="1" x14ac:dyDescent="0.3">
      <c r="A295" s="55" t="s">
        <v>770</v>
      </c>
      <c r="B295" s="53" t="s">
        <v>771</v>
      </c>
      <c r="C295" s="54" t="s">
        <v>606</v>
      </c>
      <c r="D295" s="75">
        <v>1</v>
      </c>
      <c r="E295" s="75"/>
      <c r="F295" s="75"/>
      <c r="G295" s="161"/>
      <c r="H295" s="158" t="s">
        <v>15</v>
      </c>
      <c r="I295" s="166">
        <v>105.13</v>
      </c>
      <c r="J295" s="75">
        <v>105.13</v>
      </c>
      <c r="K295" s="91" t="s">
        <v>772</v>
      </c>
      <c r="L295" s="73"/>
      <c r="M295" s="46">
        <v>0</v>
      </c>
      <c r="N295" s="46">
        <v>0</v>
      </c>
      <c r="O295" s="46">
        <v>0</v>
      </c>
      <c r="P295" s="98"/>
      <c r="Q295" s="23" t="s">
        <v>1460</v>
      </c>
      <c r="R295" s="24" t="s">
        <v>771</v>
      </c>
      <c r="S295" s="25" t="s">
        <v>606</v>
      </c>
      <c r="T295" s="26">
        <v>1</v>
      </c>
      <c r="U295" s="26">
        <v>1</v>
      </c>
      <c r="V295" s="26">
        <v>105.13</v>
      </c>
      <c r="W295" s="26">
        <f t="shared" si="50"/>
        <v>0</v>
      </c>
      <c r="X295" s="26">
        <f t="shared" si="53"/>
        <v>0</v>
      </c>
      <c r="Y295" s="26">
        <f t="shared" si="51"/>
        <v>0</v>
      </c>
      <c r="Z295" s="26">
        <f t="shared" si="57"/>
        <v>0</v>
      </c>
      <c r="AA295" s="33" t="s">
        <v>15</v>
      </c>
      <c r="AB295" s="36" t="s">
        <v>16</v>
      </c>
      <c r="AC295" s="181">
        <f t="shared" si="54"/>
        <v>1</v>
      </c>
      <c r="AD295" s="181">
        <f t="shared" si="52"/>
        <v>105.13</v>
      </c>
      <c r="AE295" s="181">
        <v>1.7</v>
      </c>
      <c r="AF295" s="181">
        <v>1.7</v>
      </c>
      <c r="AG295" s="101" t="str">
        <f t="shared" si="55"/>
        <v/>
      </c>
      <c r="AH295" s="190">
        <v>0</v>
      </c>
      <c r="AI295" s="69">
        <f t="shared" si="56"/>
        <v>1</v>
      </c>
    </row>
    <row r="296" spans="1:35" s="69" customFormat="1" ht="39" hidden="1" x14ac:dyDescent="0.3">
      <c r="A296" s="55" t="s">
        <v>773</v>
      </c>
      <c r="B296" s="53" t="s">
        <v>774</v>
      </c>
      <c r="C296" s="54" t="s">
        <v>606</v>
      </c>
      <c r="D296" s="75">
        <v>1</v>
      </c>
      <c r="E296" s="75"/>
      <c r="F296" s="75"/>
      <c r="G296" s="161"/>
      <c r="H296" s="158" t="s">
        <v>15</v>
      </c>
      <c r="I296" s="166">
        <v>53.12</v>
      </c>
      <c r="J296" s="75">
        <v>53.12</v>
      </c>
      <c r="K296" s="91" t="s">
        <v>775</v>
      </c>
      <c r="L296" s="73"/>
      <c r="M296" s="46">
        <v>0</v>
      </c>
      <c r="N296" s="46">
        <v>0</v>
      </c>
      <c r="O296" s="46">
        <v>0</v>
      </c>
      <c r="P296" s="98"/>
      <c r="Q296" s="23" t="s">
        <v>1461</v>
      </c>
      <c r="R296" s="24" t="s">
        <v>774</v>
      </c>
      <c r="S296" s="25" t="s">
        <v>606</v>
      </c>
      <c r="T296" s="26">
        <v>1</v>
      </c>
      <c r="U296" s="26">
        <v>1</v>
      </c>
      <c r="V296" s="26">
        <v>53.12</v>
      </c>
      <c r="W296" s="26">
        <f t="shared" si="50"/>
        <v>0</v>
      </c>
      <c r="X296" s="26">
        <f t="shared" si="53"/>
        <v>0</v>
      </c>
      <c r="Y296" s="26">
        <f t="shared" si="51"/>
        <v>0</v>
      </c>
      <c r="Z296" s="26">
        <f t="shared" si="57"/>
        <v>0</v>
      </c>
      <c r="AA296" s="33" t="s">
        <v>15</v>
      </c>
      <c r="AB296" s="36" t="s">
        <v>16</v>
      </c>
      <c r="AC296" s="181">
        <f t="shared" si="54"/>
        <v>1</v>
      </c>
      <c r="AD296" s="181">
        <f t="shared" si="52"/>
        <v>53.12</v>
      </c>
      <c r="AE296" s="181">
        <v>1.7</v>
      </c>
      <c r="AF296" s="181">
        <v>1.7</v>
      </c>
      <c r="AG296" s="101" t="str">
        <f t="shared" si="55"/>
        <v/>
      </c>
      <c r="AH296" s="190">
        <v>0</v>
      </c>
      <c r="AI296" s="69">
        <f t="shared" si="56"/>
        <v>1</v>
      </c>
    </row>
    <row r="297" spans="1:35" s="69" customFormat="1" ht="58.5" hidden="1" x14ac:dyDescent="0.3">
      <c r="A297" s="55" t="s">
        <v>776</v>
      </c>
      <c r="B297" s="53" t="s">
        <v>777</v>
      </c>
      <c r="C297" s="54" t="s">
        <v>606</v>
      </c>
      <c r="D297" s="75">
        <v>1</v>
      </c>
      <c r="E297" s="75"/>
      <c r="F297" s="75"/>
      <c r="G297" s="161"/>
      <c r="H297" s="158" t="s">
        <v>15</v>
      </c>
      <c r="I297" s="166">
        <v>36.380000000000003</v>
      </c>
      <c r="J297" s="75">
        <v>36.380000000000003</v>
      </c>
      <c r="K297" s="91" t="s">
        <v>778</v>
      </c>
      <c r="L297" s="73"/>
      <c r="M297" s="46">
        <v>0</v>
      </c>
      <c r="N297" s="46">
        <v>0</v>
      </c>
      <c r="O297" s="46">
        <v>0</v>
      </c>
      <c r="P297" s="98"/>
      <c r="Q297" s="23" t="s">
        <v>1462</v>
      </c>
      <c r="R297" s="24" t="s">
        <v>777</v>
      </c>
      <c r="S297" s="25" t="s">
        <v>606</v>
      </c>
      <c r="T297" s="26">
        <v>1</v>
      </c>
      <c r="U297" s="26">
        <v>1</v>
      </c>
      <c r="V297" s="26">
        <v>36.380000000000003</v>
      </c>
      <c r="W297" s="26">
        <f t="shared" si="50"/>
        <v>0</v>
      </c>
      <c r="X297" s="26">
        <f t="shared" si="53"/>
        <v>0</v>
      </c>
      <c r="Y297" s="26">
        <f t="shared" si="51"/>
        <v>0</v>
      </c>
      <c r="Z297" s="26">
        <f t="shared" si="57"/>
        <v>0</v>
      </c>
      <c r="AA297" s="33" t="s">
        <v>15</v>
      </c>
      <c r="AB297" s="36" t="s">
        <v>16</v>
      </c>
      <c r="AC297" s="181">
        <f t="shared" si="54"/>
        <v>1</v>
      </c>
      <c r="AD297" s="181">
        <f t="shared" si="52"/>
        <v>36.380000000000003</v>
      </c>
      <c r="AE297" s="181">
        <v>1.7</v>
      </c>
      <c r="AF297" s="181">
        <v>1.7</v>
      </c>
      <c r="AG297" s="101" t="str">
        <f t="shared" si="55"/>
        <v/>
      </c>
      <c r="AH297" s="190">
        <v>0</v>
      </c>
      <c r="AI297" s="69">
        <f t="shared" si="56"/>
        <v>1</v>
      </c>
    </row>
    <row r="298" spans="1:35" s="69" customFormat="1" ht="58.5" hidden="1" x14ac:dyDescent="0.3">
      <c r="A298" s="55" t="s">
        <v>779</v>
      </c>
      <c r="B298" s="53" t="s">
        <v>780</v>
      </c>
      <c r="C298" s="54" t="s">
        <v>606</v>
      </c>
      <c r="D298" s="75">
        <v>1</v>
      </c>
      <c r="E298" s="75"/>
      <c r="F298" s="75"/>
      <c r="G298" s="161"/>
      <c r="H298" s="158" t="s">
        <v>15</v>
      </c>
      <c r="I298" s="166">
        <v>59.74</v>
      </c>
      <c r="J298" s="75">
        <v>59.74</v>
      </c>
      <c r="K298" s="91" t="s">
        <v>781</v>
      </c>
      <c r="L298" s="73"/>
      <c r="M298" s="46">
        <v>0</v>
      </c>
      <c r="N298" s="46">
        <v>0</v>
      </c>
      <c r="O298" s="46">
        <v>0</v>
      </c>
      <c r="P298" s="98"/>
      <c r="Q298" s="23" t="s">
        <v>1463</v>
      </c>
      <c r="R298" s="24" t="s">
        <v>780</v>
      </c>
      <c r="S298" s="25" t="s">
        <v>606</v>
      </c>
      <c r="T298" s="26">
        <v>1</v>
      </c>
      <c r="U298" s="26">
        <v>1</v>
      </c>
      <c r="V298" s="26">
        <v>59.74</v>
      </c>
      <c r="W298" s="26">
        <f t="shared" si="50"/>
        <v>0</v>
      </c>
      <c r="X298" s="26">
        <f t="shared" si="53"/>
        <v>0</v>
      </c>
      <c r="Y298" s="26">
        <f t="shared" si="51"/>
        <v>0</v>
      </c>
      <c r="Z298" s="26">
        <f t="shared" si="57"/>
        <v>0</v>
      </c>
      <c r="AA298" s="33" t="s">
        <v>15</v>
      </c>
      <c r="AB298" s="36" t="s">
        <v>16</v>
      </c>
      <c r="AC298" s="181">
        <f t="shared" si="54"/>
        <v>1</v>
      </c>
      <c r="AD298" s="181">
        <f t="shared" si="52"/>
        <v>59.74</v>
      </c>
      <c r="AE298" s="181">
        <v>1.7</v>
      </c>
      <c r="AF298" s="181">
        <v>1.7</v>
      </c>
      <c r="AG298" s="101" t="str">
        <f t="shared" si="55"/>
        <v/>
      </c>
      <c r="AH298" s="190">
        <v>0</v>
      </c>
      <c r="AI298" s="69">
        <f t="shared" si="56"/>
        <v>1</v>
      </c>
    </row>
    <row r="299" spans="1:35" s="69" customFormat="1" ht="58.5" hidden="1" x14ac:dyDescent="0.3">
      <c r="A299" s="55" t="s">
        <v>782</v>
      </c>
      <c r="B299" s="53" t="s">
        <v>783</v>
      </c>
      <c r="C299" s="54" t="s">
        <v>606</v>
      </c>
      <c r="D299" s="75">
        <v>1</v>
      </c>
      <c r="E299" s="75"/>
      <c r="F299" s="75"/>
      <c r="G299" s="161"/>
      <c r="H299" s="158" t="s">
        <v>15</v>
      </c>
      <c r="I299" s="166">
        <v>80.41</v>
      </c>
      <c r="J299" s="75">
        <v>80.41</v>
      </c>
      <c r="K299" s="91" t="s">
        <v>784</v>
      </c>
      <c r="L299" s="73"/>
      <c r="M299" s="46">
        <v>0</v>
      </c>
      <c r="N299" s="46">
        <v>0</v>
      </c>
      <c r="O299" s="46">
        <v>0</v>
      </c>
      <c r="P299" s="98"/>
      <c r="Q299" s="23" t="s">
        <v>1464</v>
      </c>
      <c r="R299" s="24" t="s">
        <v>783</v>
      </c>
      <c r="S299" s="25" t="s">
        <v>606</v>
      </c>
      <c r="T299" s="26">
        <v>1</v>
      </c>
      <c r="U299" s="26">
        <v>1</v>
      </c>
      <c r="V299" s="26">
        <v>80.41</v>
      </c>
      <c r="W299" s="26">
        <f t="shared" si="50"/>
        <v>0</v>
      </c>
      <c r="X299" s="26">
        <f t="shared" si="53"/>
        <v>0</v>
      </c>
      <c r="Y299" s="26">
        <f t="shared" si="51"/>
        <v>0</v>
      </c>
      <c r="Z299" s="26">
        <f t="shared" si="57"/>
        <v>0</v>
      </c>
      <c r="AA299" s="33" t="s">
        <v>15</v>
      </c>
      <c r="AB299" s="36" t="s">
        <v>16</v>
      </c>
      <c r="AC299" s="181">
        <f t="shared" si="54"/>
        <v>1</v>
      </c>
      <c r="AD299" s="181">
        <f t="shared" si="52"/>
        <v>80.41</v>
      </c>
      <c r="AE299" s="181">
        <v>1.7</v>
      </c>
      <c r="AF299" s="181">
        <v>1.7</v>
      </c>
      <c r="AG299" s="101" t="str">
        <f t="shared" si="55"/>
        <v/>
      </c>
      <c r="AH299" s="190">
        <v>0</v>
      </c>
      <c r="AI299" s="69">
        <f t="shared" si="56"/>
        <v>1</v>
      </c>
    </row>
    <row r="300" spans="1:35" s="69" customFormat="1" ht="39" hidden="1" x14ac:dyDescent="0.3">
      <c r="A300" s="55" t="s">
        <v>785</v>
      </c>
      <c r="B300" s="53" t="s">
        <v>786</v>
      </c>
      <c r="C300" s="54" t="s">
        <v>606</v>
      </c>
      <c r="D300" s="75">
        <v>1</v>
      </c>
      <c r="E300" s="75"/>
      <c r="F300" s="75"/>
      <c r="G300" s="161"/>
      <c r="H300" s="158" t="s">
        <v>15</v>
      </c>
      <c r="I300" s="166">
        <v>64.959999999999994</v>
      </c>
      <c r="J300" s="75">
        <v>64.959999999999994</v>
      </c>
      <c r="K300" s="91" t="s">
        <v>787</v>
      </c>
      <c r="L300" s="73"/>
      <c r="M300" s="46">
        <v>0</v>
      </c>
      <c r="N300" s="46">
        <v>0</v>
      </c>
      <c r="O300" s="46">
        <v>0</v>
      </c>
      <c r="P300" s="98"/>
      <c r="Q300" s="23" t="s">
        <v>1465</v>
      </c>
      <c r="R300" s="24" t="s">
        <v>786</v>
      </c>
      <c r="S300" s="25" t="s">
        <v>606</v>
      </c>
      <c r="T300" s="26">
        <v>1</v>
      </c>
      <c r="U300" s="26">
        <v>1</v>
      </c>
      <c r="V300" s="26">
        <v>64.959999999999994</v>
      </c>
      <c r="W300" s="26">
        <f t="shared" si="50"/>
        <v>0</v>
      </c>
      <c r="X300" s="26">
        <f t="shared" si="53"/>
        <v>0</v>
      </c>
      <c r="Y300" s="26">
        <f t="shared" si="51"/>
        <v>0</v>
      </c>
      <c r="Z300" s="26">
        <f t="shared" si="57"/>
        <v>0</v>
      </c>
      <c r="AA300" s="33" t="s">
        <v>15</v>
      </c>
      <c r="AB300" s="36" t="s">
        <v>16</v>
      </c>
      <c r="AC300" s="181">
        <f t="shared" si="54"/>
        <v>1</v>
      </c>
      <c r="AD300" s="181">
        <f t="shared" si="52"/>
        <v>64.959999999999994</v>
      </c>
      <c r="AE300" s="181">
        <v>1.7</v>
      </c>
      <c r="AF300" s="181">
        <v>1.7</v>
      </c>
      <c r="AG300" s="101" t="str">
        <f t="shared" si="55"/>
        <v/>
      </c>
      <c r="AH300" s="190">
        <v>0</v>
      </c>
      <c r="AI300" s="69">
        <f t="shared" si="56"/>
        <v>1</v>
      </c>
    </row>
    <row r="301" spans="1:35" s="69" customFormat="1" ht="58.5" hidden="1" x14ac:dyDescent="0.3">
      <c r="A301" s="55" t="s">
        <v>788</v>
      </c>
      <c r="B301" s="53" t="s">
        <v>789</v>
      </c>
      <c r="C301" s="54" t="s">
        <v>606</v>
      </c>
      <c r="D301" s="75">
        <v>1</v>
      </c>
      <c r="E301" s="75"/>
      <c r="F301" s="75"/>
      <c r="G301" s="161"/>
      <c r="H301" s="158" t="s">
        <v>15</v>
      </c>
      <c r="I301" s="166">
        <v>95.86</v>
      </c>
      <c r="J301" s="75">
        <v>95.86</v>
      </c>
      <c r="K301" s="91" t="s">
        <v>790</v>
      </c>
      <c r="L301" s="73"/>
      <c r="M301" s="46">
        <v>0</v>
      </c>
      <c r="N301" s="46">
        <v>0</v>
      </c>
      <c r="O301" s="46">
        <v>0</v>
      </c>
      <c r="P301" s="98"/>
      <c r="Q301" s="23" t="s">
        <v>1466</v>
      </c>
      <c r="R301" s="24" t="s">
        <v>789</v>
      </c>
      <c r="S301" s="25" t="s">
        <v>606</v>
      </c>
      <c r="T301" s="26">
        <v>1</v>
      </c>
      <c r="U301" s="26">
        <v>1</v>
      </c>
      <c r="V301" s="26">
        <v>95.86</v>
      </c>
      <c r="W301" s="26">
        <f t="shared" si="50"/>
        <v>0</v>
      </c>
      <c r="X301" s="26">
        <f t="shared" si="53"/>
        <v>0</v>
      </c>
      <c r="Y301" s="26">
        <f t="shared" si="51"/>
        <v>0</v>
      </c>
      <c r="Z301" s="26">
        <f t="shared" si="57"/>
        <v>0</v>
      </c>
      <c r="AA301" s="33" t="s">
        <v>15</v>
      </c>
      <c r="AB301" s="36" t="s">
        <v>16</v>
      </c>
      <c r="AC301" s="181">
        <f t="shared" si="54"/>
        <v>1</v>
      </c>
      <c r="AD301" s="181">
        <f t="shared" si="52"/>
        <v>95.86</v>
      </c>
      <c r="AE301" s="181">
        <v>1.7</v>
      </c>
      <c r="AF301" s="181">
        <v>1.7</v>
      </c>
      <c r="AG301" s="101" t="str">
        <f t="shared" si="55"/>
        <v/>
      </c>
      <c r="AH301" s="190">
        <v>0</v>
      </c>
      <c r="AI301" s="69">
        <f t="shared" si="56"/>
        <v>1</v>
      </c>
    </row>
    <row r="302" spans="1:35" s="69" customFormat="1" ht="39" hidden="1" x14ac:dyDescent="0.3">
      <c r="A302" s="55" t="s">
        <v>791</v>
      </c>
      <c r="B302" s="53" t="s">
        <v>792</v>
      </c>
      <c r="C302" s="54" t="s">
        <v>606</v>
      </c>
      <c r="D302" s="75">
        <v>1</v>
      </c>
      <c r="E302" s="75"/>
      <c r="F302" s="75"/>
      <c r="G302" s="161"/>
      <c r="H302" s="158" t="s">
        <v>15</v>
      </c>
      <c r="I302" s="166">
        <v>93.29</v>
      </c>
      <c r="J302" s="75">
        <v>93.29</v>
      </c>
      <c r="K302" s="91" t="s">
        <v>793</v>
      </c>
      <c r="L302" s="73"/>
      <c r="M302" s="46">
        <v>0</v>
      </c>
      <c r="N302" s="46">
        <v>0</v>
      </c>
      <c r="O302" s="46">
        <v>0</v>
      </c>
      <c r="P302" s="98"/>
      <c r="Q302" s="23" t="s">
        <v>1467</v>
      </c>
      <c r="R302" s="24" t="s">
        <v>792</v>
      </c>
      <c r="S302" s="25" t="s">
        <v>606</v>
      </c>
      <c r="T302" s="26">
        <v>1</v>
      </c>
      <c r="U302" s="26">
        <v>1</v>
      </c>
      <c r="V302" s="26">
        <v>93.29</v>
      </c>
      <c r="W302" s="26">
        <f t="shared" ref="W302:W326" si="58">AH302-M302</f>
        <v>0</v>
      </c>
      <c r="X302" s="26">
        <f t="shared" si="53"/>
        <v>0</v>
      </c>
      <c r="Y302" s="26">
        <f t="shared" ref="Y302:Y326" si="59">Z302-O302</f>
        <v>0</v>
      </c>
      <c r="Z302" s="26">
        <f t="shared" si="57"/>
        <v>0</v>
      </c>
      <c r="AA302" s="33" t="s">
        <v>15</v>
      </c>
      <c r="AB302" s="36" t="s">
        <v>16</v>
      </c>
      <c r="AC302" s="181">
        <f t="shared" si="54"/>
        <v>1</v>
      </c>
      <c r="AD302" s="181">
        <f t="shared" ref="AD302:AD365" si="60">ROUND(V302*AC302,2)</f>
        <v>93.29</v>
      </c>
      <c r="AE302" s="181">
        <v>1.7</v>
      </c>
      <c r="AF302" s="181">
        <v>1.7</v>
      </c>
      <c r="AG302" s="101" t="str">
        <f t="shared" si="55"/>
        <v/>
      </c>
      <c r="AH302" s="190">
        <v>0</v>
      </c>
      <c r="AI302" s="69">
        <f t="shared" si="56"/>
        <v>1</v>
      </c>
    </row>
    <row r="303" spans="1:35" s="69" customFormat="1" ht="58.5" hidden="1" x14ac:dyDescent="0.3">
      <c r="A303" s="55" t="s">
        <v>794</v>
      </c>
      <c r="B303" s="53" t="s">
        <v>795</v>
      </c>
      <c r="C303" s="54" t="s">
        <v>606</v>
      </c>
      <c r="D303" s="75">
        <v>1</v>
      </c>
      <c r="E303" s="75"/>
      <c r="F303" s="75"/>
      <c r="G303" s="161"/>
      <c r="H303" s="158" t="s">
        <v>15</v>
      </c>
      <c r="I303" s="166">
        <v>93.8</v>
      </c>
      <c r="J303" s="75">
        <v>93.8</v>
      </c>
      <c r="K303" s="91" t="s">
        <v>796</v>
      </c>
      <c r="L303" s="73"/>
      <c r="M303" s="46">
        <v>0</v>
      </c>
      <c r="N303" s="46">
        <v>0</v>
      </c>
      <c r="O303" s="46">
        <v>0</v>
      </c>
      <c r="P303" s="98"/>
      <c r="Q303" s="23" t="s">
        <v>1468</v>
      </c>
      <c r="R303" s="24" t="s">
        <v>795</v>
      </c>
      <c r="S303" s="25" t="s">
        <v>606</v>
      </c>
      <c r="T303" s="26">
        <v>1</v>
      </c>
      <c r="U303" s="26">
        <v>1</v>
      </c>
      <c r="V303" s="26">
        <v>93.8</v>
      </c>
      <c r="W303" s="26">
        <f t="shared" si="58"/>
        <v>0</v>
      </c>
      <c r="X303" s="26">
        <f t="shared" si="53"/>
        <v>0</v>
      </c>
      <c r="Y303" s="26">
        <f t="shared" si="59"/>
        <v>0</v>
      </c>
      <c r="Z303" s="26">
        <f t="shared" si="57"/>
        <v>0</v>
      </c>
      <c r="AA303" s="33" t="s">
        <v>15</v>
      </c>
      <c r="AB303" s="36" t="s">
        <v>16</v>
      </c>
      <c r="AC303" s="181">
        <f t="shared" si="54"/>
        <v>1</v>
      </c>
      <c r="AD303" s="181">
        <f t="shared" si="60"/>
        <v>93.8</v>
      </c>
      <c r="AE303" s="181">
        <v>1.7</v>
      </c>
      <c r="AF303" s="181">
        <v>1.7</v>
      </c>
      <c r="AG303" s="101" t="str">
        <f t="shared" si="55"/>
        <v/>
      </c>
      <c r="AH303" s="190">
        <v>0</v>
      </c>
      <c r="AI303" s="69">
        <f t="shared" si="56"/>
        <v>1</v>
      </c>
    </row>
    <row r="304" spans="1:35" s="69" customFormat="1" ht="39" hidden="1" x14ac:dyDescent="0.3">
      <c r="A304" s="55" t="s">
        <v>797</v>
      </c>
      <c r="B304" s="53" t="s">
        <v>798</v>
      </c>
      <c r="C304" s="54" t="s">
        <v>606</v>
      </c>
      <c r="D304" s="75">
        <v>1</v>
      </c>
      <c r="E304" s="75"/>
      <c r="F304" s="75"/>
      <c r="G304" s="161"/>
      <c r="H304" s="158" t="s">
        <v>15</v>
      </c>
      <c r="I304" s="166">
        <v>63.35</v>
      </c>
      <c r="J304" s="75">
        <v>63.35</v>
      </c>
      <c r="K304" s="91" t="s">
        <v>799</v>
      </c>
      <c r="L304" s="73"/>
      <c r="M304" s="46">
        <v>0</v>
      </c>
      <c r="N304" s="46">
        <v>0</v>
      </c>
      <c r="O304" s="46">
        <v>0</v>
      </c>
      <c r="P304" s="98"/>
      <c r="Q304" s="23" t="s">
        <v>1469</v>
      </c>
      <c r="R304" s="24" t="s">
        <v>798</v>
      </c>
      <c r="S304" s="25" t="s">
        <v>606</v>
      </c>
      <c r="T304" s="26">
        <v>1</v>
      </c>
      <c r="U304" s="26">
        <v>1</v>
      </c>
      <c r="V304" s="26">
        <v>63.35</v>
      </c>
      <c r="W304" s="26">
        <f t="shared" si="58"/>
        <v>0</v>
      </c>
      <c r="X304" s="26">
        <f t="shared" si="53"/>
        <v>0</v>
      </c>
      <c r="Y304" s="26">
        <f t="shared" si="59"/>
        <v>0</v>
      </c>
      <c r="Z304" s="26">
        <f t="shared" si="57"/>
        <v>0</v>
      </c>
      <c r="AA304" s="33" t="s">
        <v>15</v>
      </c>
      <c r="AB304" s="36" t="s">
        <v>16</v>
      </c>
      <c r="AC304" s="181">
        <f t="shared" si="54"/>
        <v>1</v>
      </c>
      <c r="AD304" s="181">
        <f t="shared" si="60"/>
        <v>63.35</v>
      </c>
      <c r="AE304" s="181">
        <v>1.7</v>
      </c>
      <c r="AF304" s="181">
        <v>1.7</v>
      </c>
      <c r="AG304" s="101" t="str">
        <f t="shared" si="55"/>
        <v/>
      </c>
      <c r="AH304" s="190">
        <v>0</v>
      </c>
      <c r="AI304" s="69">
        <f t="shared" si="56"/>
        <v>1</v>
      </c>
    </row>
    <row r="305" spans="1:35" s="69" customFormat="1" ht="39" hidden="1" x14ac:dyDescent="0.3">
      <c r="A305" s="55" t="s">
        <v>800</v>
      </c>
      <c r="B305" s="53" t="s">
        <v>801</v>
      </c>
      <c r="C305" s="54" t="s">
        <v>606</v>
      </c>
      <c r="D305" s="75">
        <v>1</v>
      </c>
      <c r="E305" s="75"/>
      <c r="F305" s="75"/>
      <c r="G305" s="161"/>
      <c r="H305" s="158" t="s">
        <v>15</v>
      </c>
      <c r="I305" s="166">
        <v>156.05000000000001</v>
      </c>
      <c r="J305" s="75">
        <v>156.05000000000001</v>
      </c>
      <c r="K305" s="91" t="s">
        <v>802</v>
      </c>
      <c r="L305" s="73"/>
      <c r="M305" s="46">
        <v>0</v>
      </c>
      <c r="N305" s="46">
        <v>0</v>
      </c>
      <c r="O305" s="46">
        <v>0</v>
      </c>
      <c r="P305" s="98"/>
      <c r="Q305" s="23" t="s">
        <v>1470</v>
      </c>
      <c r="R305" s="24" t="s">
        <v>801</v>
      </c>
      <c r="S305" s="25" t="s">
        <v>606</v>
      </c>
      <c r="T305" s="26">
        <v>1</v>
      </c>
      <c r="U305" s="26">
        <v>1</v>
      </c>
      <c r="V305" s="26">
        <v>156.05000000000001</v>
      </c>
      <c r="W305" s="26">
        <f t="shared" si="58"/>
        <v>0</v>
      </c>
      <c r="X305" s="26">
        <f t="shared" si="53"/>
        <v>0</v>
      </c>
      <c r="Y305" s="26">
        <f t="shared" si="59"/>
        <v>0</v>
      </c>
      <c r="Z305" s="26">
        <f t="shared" si="57"/>
        <v>0</v>
      </c>
      <c r="AA305" s="33" t="s">
        <v>15</v>
      </c>
      <c r="AB305" s="36" t="s">
        <v>16</v>
      </c>
      <c r="AC305" s="181">
        <f t="shared" si="54"/>
        <v>1</v>
      </c>
      <c r="AD305" s="181">
        <f t="shared" si="60"/>
        <v>156.05000000000001</v>
      </c>
      <c r="AE305" s="181">
        <v>1.7</v>
      </c>
      <c r="AF305" s="181">
        <v>1.7</v>
      </c>
      <c r="AG305" s="101" t="str">
        <f t="shared" si="55"/>
        <v/>
      </c>
      <c r="AH305" s="190">
        <v>0</v>
      </c>
      <c r="AI305" s="69">
        <f t="shared" si="56"/>
        <v>1</v>
      </c>
    </row>
    <row r="306" spans="1:35" s="69" customFormat="1" ht="58.5" hidden="1" x14ac:dyDescent="0.3">
      <c r="A306" s="55" t="s">
        <v>803</v>
      </c>
      <c r="B306" s="53" t="s">
        <v>804</v>
      </c>
      <c r="C306" s="54" t="s">
        <v>606</v>
      </c>
      <c r="D306" s="75">
        <v>1</v>
      </c>
      <c r="E306" s="75"/>
      <c r="F306" s="75"/>
      <c r="G306" s="161"/>
      <c r="H306" s="158" t="s">
        <v>15</v>
      </c>
      <c r="I306" s="166">
        <v>69.08</v>
      </c>
      <c r="J306" s="75">
        <v>69.08</v>
      </c>
      <c r="K306" s="91" t="s">
        <v>805</v>
      </c>
      <c r="L306" s="73"/>
      <c r="M306" s="46">
        <v>0</v>
      </c>
      <c r="N306" s="46">
        <v>0</v>
      </c>
      <c r="O306" s="46">
        <v>0</v>
      </c>
      <c r="P306" s="98"/>
      <c r="Q306" s="23" t="s">
        <v>1471</v>
      </c>
      <c r="R306" s="24" t="s">
        <v>804</v>
      </c>
      <c r="S306" s="25" t="s">
        <v>606</v>
      </c>
      <c r="T306" s="26">
        <v>1</v>
      </c>
      <c r="U306" s="26">
        <v>1</v>
      </c>
      <c r="V306" s="26">
        <v>69.08</v>
      </c>
      <c r="W306" s="26">
        <f t="shared" si="58"/>
        <v>0</v>
      </c>
      <c r="X306" s="26">
        <f t="shared" ref="X306:X370" si="61">W306+M306</f>
        <v>0</v>
      </c>
      <c r="Y306" s="26">
        <f t="shared" si="59"/>
        <v>0</v>
      </c>
      <c r="Z306" s="26">
        <f t="shared" si="57"/>
        <v>0</v>
      </c>
      <c r="AA306" s="33" t="s">
        <v>15</v>
      </c>
      <c r="AB306" s="36" t="s">
        <v>16</v>
      </c>
      <c r="AC306" s="181">
        <f t="shared" si="54"/>
        <v>1</v>
      </c>
      <c r="AD306" s="181">
        <f t="shared" si="60"/>
        <v>69.08</v>
      </c>
      <c r="AE306" s="181">
        <v>1.7</v>
      </c>
      <c r="AF306" s="181">
        <v>1.7</v>
      </c>
      <c r="AG306" s="101" t="str">
        <f t="shared" si="55"/>
        <v/>
      </c>
      <c r="AH306" s="190">
        <v>0</v>
      </c>
      <c r="AI306" s="69">
        <f t="shared" si="56"/>
        <v>1</v>
      </c>
    </row>
    <row r="307" spans="1:35" s="69" customFormat="1" ht="39" hidden="1" x14ac:dyDescent="0.3">
      <c r="A307" s="55" t="s">
        <v>806</v>
      </c>
      <c r="B307" s="53" t="s">
        <v>807</v>
      </c>
      <c r="C307" s="54" t="s">
        <v>606</v>
      </c>
      <c r="D307" s="75">
        <v>1</v>
      </c>
      <c r="E307" s="75"/>
      <c r="F307" s="75"/>
      <c r="G307" s="161"/>
      <c r="H307" s="158" t="s">
        <v>15</v>
      </c>
      <c r="I307" s="166">
        <v>55.62</v>
      </c>
      <c r="J307" s="75">
        <v>55.62</v>
      </c>
      <c r="K307" s="91" t="s">
        <v>808</v>
      </c>
      <c r="L307" s="73"/>
      <c r="M307" s="46">
        <v>0</v>
      </c>
      <c r="N307" s="46">
        <v>0</v>
      </c>
      <c r="O307" s="46">
        <v>0</v>
      </c>
      <c r="P307" s="98"/>
      <c r="Q307" s="23" t="s">
        <v>1472</v>
      </c>
      <c r="R307" s="24" t="s">
        <v>807</v>
      </c>
      <c r="S307" s="25" t="s">
        <v>606</v>
      </c>
      <c r="T307" s="26">
        <v>1</v>
      </c>
      <c r="U307" s="26">
        <v>1</v>
      </c>
      <c r="V307" s="26">
        <v>55.62</v>
      </c>
      <c r="W307" s="26">
        <f t="shared" si="58"/>
        <v>0</v>
      </c>
      <c r="X307" s="26">
        <f t="shared" si="61"/>
        <v>0</v>
      </c>
      <c r="Y307" s="26">
        <f t="shared" si="59"/>
        <v>0</v>
      </c>
      <c r="Z307" s="26">
        <f t="shared" si="57"/>
        <v>0</v>
      </c>
      <c r="AA307" s="33" t="s">
        <v>15</v>
      </c>
      <c r="AB307" s="36" t="s">
        <v>16</v>
      </c>
      <c r="AC307" s="181">
        <f t="shared" si="54"/>
        <v>1</v>
      </c>
      <c r="AD307" s="181">
        <f t="shared" si="60"/>
        <v>55.62</v>
      </c>
      <c r="AE307" s="181">
        <v>1.7</v>
      </c>
      <c r="AF307" s="181">
        <v>1.7</v>
      </c>
      <c r="AG307" s="101" t="str">
        <f t="shared" si="55"/>
        <v/>
      </c>
      <c r="AH307" s="190">
        <v>0</v>
      </c>
      <c r="AI307" s="69">
        <f t="shared" si="56"/>
        <v>1</v>
      </c>
    </row>
    <row r="308" spans="1:35" s="69" customFormat="1" ht="39" hidden="1" x14ac:dyDescent="0.3">
      <c r="A308" s="55" t="s">
        <v>809</v>
      </c>
      <c r="B308" s="53" t="s">
        <v>810</v>
      </c>
      <c r="C308" s="54" t="s">
        <v>606</v>
      </c>
      <c r="D308" s="75">
        <v>1</v>
      </c>
      <c r="E308" s="75"/>
      <c r="F308" s="75"/>
      <c r="G308" s="161"/>
      <c r="H308" s="158" t="s">
        <v>15</v>
      </c>
      <c r="I308" s="166">
        <v>91.67</v>
      </c>
      <c r="J308" s="75">
        <v>91.67</v>
      </c>
      <c r="K308" s="91" t="s">
        <v>811</v>
      </c>
      <c r="L308" s="73"/>
      <c r="M308" s="46">
        <v>0</v>
      </c>
      <c r="N308" s="46">
        <v>0</v>
      </c>
      <c r="O308" s="46">
        <v>0</v>
      </c>
      <c r="P308" s="98"/>
      <c r="Q308" s="23" t="s">
        <v>1473</v>
      </c>
      <c r="R308" s="24" t="s">
        <v>810</v>
      </c>
      <c r="S308" s="25" t="s">
        <v>606</v>
      </c>
      <c r="T308" s="26">
        <v>1</v>
      </c>
      <c r="U308" s="26">
        <v>1</v>
      </c>
      <c r="V308" s="26">
        <v>91.67</v>
      </c>
      <c r="W308" s="26">
        <f t="shared" si="58"/>
        <v>0</v>
      </c>
      <c r="X308" s="26">
        <f t="shared" si="61"/>
        <v>0</v>
      </c>
      <c r="Y308" s="26">
        <f t="shared" si="59"/>
        <v>0</v>
      </c>
      <c r="Z308" s="26">
        <f t="shared" si="57"/>
        <v>0</v>
      </c>
      <c r="AA308" s="33" t="s">
        <v>15</v>
      </c>
      <c r="AB308" s="36" t="s">
        <v>16</v>
      </c>
      <c r="AC308" s="181">
        <f t="shared" si="54"/>
        <v>1</v>
      </c>
      <c r="AD308" s="181">
        <f t="shared" si="60"/>
        <v>91.67</v>
      </c>
      <c r="AE308" s="181">
        <v>1.7</v>
      </c>
      <c r="AF308" s="181">
        <v>1.7</v>
      </c>
      <c r="AG308" s="101" t="str">
        <f t="shared" si="55"/>
        <v/>
      </c>
      <c r="AH308" s="190">
        <v>0</v>
      </c>
      <c r="AI308" s="69">
        <f t="shared" si="56"/>
        <v>1</v>
      </c>
    </row>
    <row r="309" spans="1:35" s="69" customFormat="1" ht="39" hidden="1" x14ac:dyDescent="0.3">
      <c r="A309" s="55" t="s">
        <v>812</v>
      </c>
      <c r="B309" s="53" t="s">
        <v>813</v>
      </c>
      <c r="C309" s="54" t="s">
        <v>606</v>
      </c>
      <c r="D309" s="75">
        <v>1</v>
      </c>
      <c r="E309" s="75"/>
      <c r="F309" s="75"/>
      <c r="G309" s="161"/>
      <c r="H309" s="158" t="s">
        <v>15</v>
      </c>
      <c r="I309" s="166">
        <v>68.5</v>
      </c>
      <c r="J309" s="75">
        <v>68.5</v>
      </c>
      <c r="K309" s="91" t="s">
        <v>814</v>
      </c>
      <c r="L309" s="73"/>
      <c r="M309" s="46">
        <v>0</v>
      </c>
      <c r="N309" s="46">
        <v>0</v>
      </c>
      <c r="O309" s="46">
        <v>0</v>
      </c>
      <c r="P309" s="98"/>
      <c r="Q309" s="23" t="s">
        <v>1474</v>
      </c>
      <c r="R309" s="24" t="s">
        <v>813</v>
      </c>
      <c r="S309" s="25" t="s">
        <v>606</v>
      </c>
      <c r="T309" s="26">
        <v>1</v>
      </c>
      <c r="U309" s="26">
        <v>1</v>
      </c>
      <c r="V309" s="26">
        <v>68.5</v>
      </c>
      <c r="W309" s="26">
        <f t="shared" si="58"/>
        <v>0</v>
      </c>
      <c r="X309" s="26">
        <f t="shared" si="61"/>
        <v>0</v>
      </c>
      <c r="Y309" s="26">
        <f t="shared" si="59"/>
        <v>0</v>
      </c>
      <c r="Z309" s="26">
        <f t="shared" si="57"/>
        <v>0</v>
      </c>
      <c r="AA309" s="33" t="s">
        <v>15</v>
      </c>
      <c r="AB309" s="36" t="s">
        <v>16</v>
      </c>
      <c r="AC309" s="181">
        <f t="shared" si="54"/>
        <v>1</v>
      </c>
      <c r="AD309" s="181">
        <f t="shared" si="60"/>
        <v>68.5</v>
      </c>
      <c r="AE309" s="181">
        <v>1.7</v>
      </c>
      <c r="AF309" s="181">
        <v>1.7</v>
      </c>
      <c r="AG309" s="101" t="str">
        <f t="shared" si="55"/>
        <v/>
      </c>
      <c r="AH309" s="190">
        <v>0</v>
      </c>
      <c r="AI309" s="69">
        <f t="shared" si="56"/>
        <v>1</v>
      </c>
    </row>
    <row r="310" spans="1:35" s="69" customFormat="1" ht="39" hidden="1" x14ac:dyDescent="0.3">
      <c r="A310" s="55" t="s">
        <v>815</v>
      </c>
      <c r="B310" s="53" t="s">
        <v>816</v>
      </c>
      <c r="C310" s="54" t="s">
        <v>606</v>
      </c>
      <c r="D310" s="75">
        <v>1</v>
      </c>
      <c r="E310" s="75"/>
      <c r="F310" s="75"/>
      <c r="G310" s="161"/>
      <c r="H310" s="158" t="s">
        <v>15</v>
      </c>
      <c r="I310" s="166">
        <v>58.2</v>
      </c>
      <c r="J310" s="75">
        <v>58.2</v>
      </c>
      <c r="K310" s="91" t="s">
        <v>817</v>
      </c>
      <c r="L310" s="73"/>
      <c r="M310" s="46">
        <v>0</v>
      </c>
      <c r="N310" s="46">
        <v>0</v>
      </c>
      <c r="O310" s="46">
        <v>0</v>
      </c>
      <c r="P310" s="98"/>
      <c r="Q310" s="23" t="s">
        <v>1475</v>
      </c>
      <c r="R310" s="24" t="s">
        <v>816</v>
      </c>
      <c r="S310" s="25" t="s">
        <v>606</v>
      </c>
      <c r="T310" s="26">
        <v>1</v>
      </c>
      <c r="U310" s="26">
        <v>1</v>
      </c>
      <c r="V310" s="26">
        <v>58.2</v>
      </c>
      <c r="W310" s="26">
        <f t="shared" si="58"/>
        <v>0</v>
      </c>
      <c r="X310" s="26">
        <f t="shared" si="61"/>
        <v>0</v>
      </c>
      <c r="Y310" s="26">
        <f t="shared" si="59"/>
        <v>0</v>
      </c>
      <c r="Z310" s="26">
        <f t="shared" si="57"/>
        <v>0</v>
      </c>
      <c r="AA310" s="33" t="s">
        <v>15</v>
      </c>
      <c r="AB310" s="36" t="s">
        <v>16</v>
      </c>
      <c r="AC310" s="181">
        <f t="shared" si="54"/>
        <v>1</v>
      </c>
      <c r="AD310" s="181">
        <f t="shared" si="60"/>
        <v>58.2</v>
      </c>
      <c r="AE310" s="181">
        <v>1.7</v>
      </c>
      <c r="AF310" s="181">
        <v>1.7</v>
      </c>
      <c r="AG310" s="101" t="str">
        <f t="shared" si="55"/>
        <v/>
      </c>
      <c r="AH310" s="190">
        <v>0</v>
      </c>
      <c r="AI310" s="69">
        <f t="shared" si="56"/>
        <v>1</v>
      </c>
    </row>
    <row r="311" spans="1:35" s="69" customFormat="1" ht="39" hidden="1" x14ac:dyDescent="0.3">
      <c r="A311" s="55" t="s">
        <v>818</v>
      </c>
      <c r="B311" s="53" t="s">
        <v>819</v>
      </c>
      <c r="C311" s="54" t="s">
        <v>606</v>
      </c>
      <c r="D311" s="75">
        <v>1</v>
      </c>
      <c r="E311" s="75"/>
      <c r="F311" s="75"/>
      <c r="G311" s="161"/>
      <c r="H311" s="158" t="s">
        <v>15</v>
      </c>
      <c r="I311" s="166">
        <v>70.040000000000006</v>
      </c>
      <c r="J311" s="75">
        <v>70.040000000000006</v>
      </c>
      <c r="K311" s="91" t="s">
        <v>820</v>
      </c>
      <c r="L311" s="73"/>
      <c r="M311" s="46">
        <v>0</v>
      </c>
      <c r="N311" s="46">
        <v>0</v>
      </c>
      <c r="O311" s="46">
        <v>0</v>
      </c>
      <c r="P311" s="98"/>
      <c r="Q311" s="23" t="s">
        <v>1476</v>
      </c>
      <c r="R311" s="24" t="s">
        <v>819</v>
      </c>
      <c r="S311" s="25" t="s">
        <v>606</v>
      </c>
      <c r="T311" s="26">
        <v>1</v>
      </c>
      <c r="U311" s="26">
        <v>1</v>
      </c>
      <c r="V311" s="26">
        <v>70.040000000000006</v>
      </c>
      <c r="W311" s="26">
        <f t="shared" si="58"/>
        <v>0</v>
      </c>
      <c r="X311" s="26">
        <f t="shared" si="61"/>
        <v>0</v>
      </c>
      <c r="Y311" s="26">
        <f t="shared" si="59"/>
        <v>0</v>
      </c>
      <c r="Z311" s="26">
        <f t="shared" si="57"/>
        <v>0</v>
      </c>
      <c r="AA311" s="33" t="s">
        <v>15</v>
      </c>
      <c r="AB311" s="36" t="s">
        <v>16</v>
      </c>
      <c r="AC311" s="181">
        <f t="shared" si="54"/>
        <v>1</v>
      </c>
      <c r="AD311" s="181">
        <f t="shared" si="60"/>
        <v>70.040000000000006</v>
      </c>
      <c r="AE311" s="181">
        <v>1.7</v>
      </c>
      <c r="AF311" s="181">
        <v>1.7</v>
      </c>
      <c r="AG311" s="101" t="str">
        <f t="shared" si="55"/>
        <v/>
      </c>
      <c r="AH311" s="190">
        <v>0</v>
      </c>
      <c r="AI311" s="69">
        <f t="shared" si="56"/>
        <v>1</v>
      </c>
    </row>
    <row r="312" spans="1:35" s="69" customFormat="1" ht="39" hidden="1" x14ac:dyDescent="0.3">
      <c r="A312" s="55" t="s">
        <v>821</v>
      </c>
      <c r="B312" s="53" t="s">
        <v>822</v>
      </c>
      <c r="C312" s="54" t="s">
        <v>606</v>
      </c>
      <c r="D312" s="75">
        <v>1</v>
      </c>
      <c r="E312" s="75"/>
      <c r="F312" s="75"/>
      <c r="G312" s="161"/>
      <c r="H312" s="158" t="s">
        <v>15</v>
      </c>
      <c r="I312" s="166">
        <v>61.29</v>
      </c>
      <c r="J312" s="75">
        <v>61.29</v>
      </c>
      <c r="K312" s="91" t="s">
        <v>823</v>
      </c>
      <c r="L312" s="73"/>
      <c r="M312" s="46">
        <v>0</v>
      </c>
      <c r="N312" s="46">
        <v>0</v>
      </c>
      <c r="O312" s="46">
        <v>0</v>
      </c>
      <c r="P312" s="98"/>
      <c r="Q312" s="23" t="s">
        <v>1477</v>
      </c>
      <c r="R312" s="24" t="s">
        <v>822</v>
      </c>
      <c r="S312" s="25" t="s">
        <v>606</v>
      </c>
      <c r="T312" s="26">
        <v>1</v>
      </c>
      <c r="U312" s="26">
        <v>1</v>
      </c>
      <c r="V312" s="26">
        <v>61.29</v>
      </c>
      <c r="W312" s="26">
        <f t="shared" si="58"/>
        <v>0</v>
      </c>
      <c r="X312" s="26">
        <f t="shared" si="61"/>
        <v>0</v>
      </c>
      <c r="Y312" s="26">
        <f t="shared" si="59"/>
        <v>0</v>
      </c>
      <c r="Z312" s="26">
        <f t="shared" si="57"/>
        <v>0</v>
      </c>
      <c r="AA312" s="33" t="s">
        <v>15</v>
      </c>
      <c r="AB312" s="36" t="s">
        <v>16</v>
      </c>
      <c r="AC312" s="181">
        <f t="shared" si="54"/>
        <v>1</v>
      </c>
      <c r="AD312" s="181">
        <f t="shared" si="60"/>
        <v>61.29</v>
      </c>
      <c r="AE312" s="181">
        <v>1.7</v>
      </c>
      <c r="AF312" s="181">
        <v>1.7</v>
      </c>
      <c r="AG312" s="101" t="str">
        <f t="shared" si="55"/>
        <v/>
      </c>
      <c r="AH312" s="190">
        <v>0</v>
      </c>
      <c r="AI312" s="69">
        <f t="shared" si="56"/>
        <v>1</v>
      </c>
    </row>
    <row r="313" spans="1:35" s="69" customFormat="1" ht="39" hidden="1" x14ac:dyDescent="0.3">
      <c r="A313" s="55" t="s">
        <v>824</v>
      </c>
      <c r="B313" s="53" t="s">
        <v>825</v>
      </c>
      <c r="C313" s="54" t="s">
        <v>606</v>
      </c>
      <c r="D313" s="75">
        <v>1</v>
      </c>
      <c r="E313" s="75"/>
      <c r="F313" s="75"/>
      <c r="G313" s="161"/>
      <c r="H313" s="158" t="s">
        <v>15</v>
      </c>
      <c r="I313" s="166">
        <v>59.74</v>
      </c>
      <c r="J313" s="75">
        <v>59.74</v>
      </c>
      <c r="K313" s="91" t="s">
        <v>826</v>
      </c>
      <c r="L313" s="73"/>
      <c r="M313" s="46">
        <v>0</v>
      </c>
      <c r="N313" s="46">
        <v>0</v>
      </c>
      <c r="O313" s="46">
        <v>0</v>
      </c>
      <c r="P313" s="98"/>
      <c r="Q313" s="23" t="s">
        <v>1478</v>
      </c>
      <c r="R313" s="24" t="s">
        <v>825</v>
      </c>
      <c r="S313" s="25" t="s">
        <v>606</v>
      </c>
      <c r="T313" s="26">
        <v>1</v>
      </c>
      <c r="U313" s="26">
        <v>1</v>
      </c>
      <c r="V313" s="26">
        <v>59.74</v>
      </c>
      <c r="W313" s="26">
        <f t="shared" si="58"/>
        <v>0</v>
      </c>
      <c r="X313" s="26">
        <f t="shared" si="61"/>
        <v>0</v>
      </c>
      <c r="Y313" s="26">
        <f t="shared" si="59"/>
        <v>0</v>
      </c>
      <c r="Z313" s="26">
        <f t="shared" si="57"/>
        <v>0</v>
      </c>
      <c r="AA313" s="33" t="s">
        <v>15</v>
      </c>
      <c r="AB313" s="36" t="s">
        <v>16</v>
      </c>
      <c r="AC313" s="181">
        <f t="shared" si="54"/>
        <v>1</v>
      </c>
      <c r="AD313" s="181">
        <f t="shared" si="60"/>
        <v>59.74</v>
      </c>
      <c r="AE313" s="181">
        <v>1.7</v>
      </c>
      <c r="AF313" s="181">
        <v>1.7</v>
      </c>
      <c r="AG313" s="101" t="str">
        <f t="shared" si="55"/>
        <v/>
      </c>
      <c r="AH313" s="190">
        <v>0</v>
      </c>
      <c r="AI313" s="69">
        <f t="shared" si="56"/>
        <v>1</v>
      </c>
    </row>
    <row r="314" spans="1:35" s="69" customFormat="1" ht="39" hidden="1" x14ac:dyDescent="0.3">
      <c r="A314" s="55" t="s">
        <v>827</v>
      </c>
      <c r="B314" s="53" t="s">
        <v>828</v>
      </c>
      <c r="C314" s="54" t="s">
        <v>606</v>
      </c>
      <c r="D314" s="75">
        <v>1</v>
      </c>
      <c r="E314" s="75"/>
      <c r="F314" s="75"/>
      <c r="G314" s="161"/>
      <c r="H314" s="158" t="s">
        <v>15</v>
      </c>
      <c r="I314" s="166">
        <v>69.58</v>
      </c>
      <c r="J314" s="75">
        <v>69.58</v>
      </c>
      <c r="K314" s="91" t="s">
        <v>829</v>
      </c>
      <c r="L314" s="73"/>
      <c r="M314" s="46">
        <v>0</v>
      </c>
      <c r="N314" s="46">
        <v>0</v>
      </c>
      <c r="O314" s="46">
        <v>0</v>
      </c>
      <c r="P314" s="98"/>
      <c r="Q314" s="23" t="s">
        <v>1479</v>
      </c>
      <c r="R314" s="24" t="s">
        <v>828</v>
      </c>
      <c r="S314" s="25" t="s">
        <v>606</v>
      </c>
      <c r="T314" s="26">
        <v>1</v>
      </c>
      <c r="U314" s="26">
        <v>1</v>
      </c>
      <c r="V314" s="26">
        <v>69.58</v>
      </c>
      <c r="W314" s="26">
        <f t="shared" si="58"/>
        <v>0</v>
      </c>
      <c r="X314" s="26">
        <f t="shared" si="61"/>
        <v>0</v>
      </c>
      <c r="Y314" s="26">
        <f t="shared" si="59"/>
        <v>0</v>
      </c>
      <c r="Z314" s="26">
        <f t="shared" si="57"/>
        <v>0</v>
      </c>
      <c r="AA314" s="33" t="s">
        <v>15</v>
      </c>
      <c r="AB314" s="36" t="s">
        <v>16</v>
      </c>
      <c r="AC314" s="181">
        <f t="shared" si="54"/>
        <v>1</v>
      </c>
      <c r="AD314" s="181">
        <f t="shared" si="60"/>
        <v>69.58</v>
      </c>
      <c r="AE314" s="181">
        <v>1.7</v>
      </c>
      <c r="AF314" s="181">
        <v>1.7</v>
      </c>
      <c r="AG314" s="101" t="str">
        <f t="shared" si="55"/>
        <v/>
      </c>
      <c r="AH314" s="190">
        <v>0</v>
      </c>
      <c r="AI314" s="69">
        <f t="shared" si="56"/>
        <v>1</v>
      </c>
    </row>
    <row r="315" spans="1:35" s="69" customFormat="1" ht="39" hidden="1" x14ac:dyDescent="0.3">
      <c r="A315" s="55" t="s">
        <v>830</v>
      </c>
      <c r="B315" s="53" t="s">
        <v>831</v>
      </c>
      <c r="C315" s="54" t="s">
        <v>606</v>
      </c>
      <c r="D315" s="75">
        <v>1</v>
      </c>
      <c r="E315" s="75"/>
      <c r="F315" s="75"/>
      <c r="G315" s="161"/>
      <c r="H315" s="158" t="s">
        <v>15</v>
      </c>
      <c r="I315" s="166">
        <v>112.84</v>
      </c>
      <c r="J315" s="75">
        <v>112.84</v>
      </c>
      <c r="K315" s="91" t="s">
        <v>832</v>
      </c>
      <c r="L315" s="73"/>
      <c r="M315" s="46">
        <v>0</v>
      </c>
      <c r="N315" s="46">
        <v>0</v>
      </c>
      <c r="O315" s="46">
        <v>0</v>
      </c>
      <c r="P315" s="98"/>
      <c r="Q315" s="23" t="s">
        <v>1480</v>
      </c>
      <c r="R315" s="24" t="s">
        <v>831</v>
      </c>
      <c r="S315" s="25" t="s">
        <v>606</v>
      </c>
      <c r="T315" s="26">
        <v>1</v>
      </c>
      <c r="U315" s="26">
        <v>1</v>
      </c>
      <c r="V315" s="26">
        <v>112.84</v>
      </c>
      <c r="W315" s="26">
        <f t="shared" si="58"/>
        <v>0</v>
      </c>
      <c r="X315" s="26">
        <f t="shared" si="61"/>
        <v>0</v>
      </c>
      <c r="Y315" s="26">
        <f t="shared" si="59"/>
        <v>0</v>
      </c>
      <c r="Z315" s="26">
        <f t="shared" si="57"/>
        <v>0</v>
      </c>
      <c r="AA315" s="33" t="s">
        <v>15</v>
      </c>
      <c r="AB315" s="36" t="s">
        <v>16</v>
      </c>
      <c r="AC315" s="181">
        <f t="shared" si="54"/>
        <v>1</v>
      </c>
      <c r="AD315" s="181">
        <f t="shared" si="60"/>
        <v>112.84</v>
      </c>
      <c r="AE315" s="181">
        <v>1.7</v>
      </c>
      <c r="AF315" s="181">
        <v>1.7</v>
      </c>
      <c r="AG315" s="101" t="str">
        <f t="shared" si="55"/>
        <v/>
      </c>
      <c r="AH315" s="190">
        <v>0</v>
      </c>
      <c r="AI315" s="69">
        <f t="shared" si="56"/>
        <v>1</v>
      </c>
    </row>
    <row r="316" spans="1:35" s="69" customFormat="1" ht="39" hidden="1" x14ac:dyDescent="0.3">
      <c r="A316" s="55" t="s">
        <v>833</v>
      </c>
      <c r="B316" s="53" t="s">
        <v>834</v>
      </c>
      <c r="C316" s="54" t="s">
        <v>606</v>
      </c>
      <c r="D316" s="75">
        <v>1</v>
      </c>
      <c r="E316" s="75"/>
      <c r="F316" s="75"/>
      <c r="G316" s="161"/>
      <c r="H316" s="158" t="s">
        <v>15</v>
      </c>
      <c r="I316" s="166">
        <v>102.54</v>
      </c>
      <c r="J316" s="75">
        <v>102.54</v>
      </c>
      <c r="K316" s="91" t="s">
        <v>835</v>
      </c>
      <c r="L316" s="73"/>
      <c r="M316" s="46">
        <v>0</v>
      </c>
      <c r="N316" s="46">
        <v>0</v>
      </c>
      <c r="O316" s="46">
        <v>0</v>
      </c>
      <c r="P316" s="98"/>
      <c r="Q316" s="23" t="s">
        <v>1481</v>
      </c>
      <c r="R316" s="24" t="s">
        <v>834</v>
      </c>
      <c r="S316" s="25" t="s">
        <v>606</v>
      </c>
      <c r="T316" s="26">
        <v>1</v>
      </c>
      <c r="U316" s="26">
        <v>1</v>
      </c>
      <c r="V316" s="26">
        <v>102.54</v>
      </c>
      <c r="W316" s="26">
        <f t="shared" si="58"/>
        <v>0</v>
      </c>
      <c r="X316" s="26">
        <f t="shared" si="61"/>
        <v>0</v>
      </c>
      <c r="Y316" s="26">
        <f t="shared" si="59"/>
        <v>0</v>
      </c>
      <c r="Z316" s="26">
        <f t="shared" si="57"/>
        <v>0</v>
      </c>
      <c r="AA316" s="33" t="s">
        <v>15</v>
      </c>
      <c r="AB316" s="36" t="s">
        <v>16</v>
      </c>
      <c r="AC316" s="181">
        <f t="shared" si="54"/>
        <v>1</v>
      </c>
      <c r="AD316" s="181">
        <f t="shared" si="60"/>
        <v>102.54</v>
      </c>
      <c r="AE316" s="181">
        <v>1.7</v>
      </c>
      <c r="AF316" s="181">
        <v>1.7</v>
      </c>
      <c r="AG316" s="101" t="str">
        <f t="shared" si="55"/>
        <v/>
      </c>
      <c r="AH316" s="190">
        <v>0</v>
      </c>
      <c r="AI316" s="69">
        <f t="shared" si="56"/>
        <v>1</v>
      </c>
    </row>
    <row r="317" spans="1:35" s="69" customFormat="1" ht="39" hidden="1" x14ac:dyDescent="0.3">
      <c r="A317" s="55" t="s">
        <v>836</v>
      </c>
      <c r="B317" s="53" t="s">
        <v>837</v>
      </c>
      <c r="C317" s="54" t="s">
        <v>606</v>
      </c>
      <c r="D317" s="75">
        <v>1</v>
      </c>
      <c r="E317" s="75"/>
      <c r="F317" s="75"/>
      <c r="G317" s="161"/>
      <c r="H317" s="158" t="s">
        <v>15</v>
      </c>
      <c r="I317" s="166">
        <v>82.99</v>
      </c>
      <c r="J317" s="75">
        <v>82.99</v>
      </c>
      <c r="K317" s="91" t="s">
        <v>838</v>
      </c>
      <c r="L317" s="73"/>
      <c r="M317" s="46">
        <v>0</v>
      </c>
      <c r="N317" s="46">
        <v>0</v>
      </c>
      <c r="O317" s="46">
        <v>0</v>
      </c>
      <c r="P317" s="98"/>
      <c r="Q317" s="23" t="s">
        <v>1482</v>
      </c>
      <c r="R317" s="24" t="s">
        <v>837</v>
      </c>
      <c r="S317" s="25" t="s">
        <v>606</v>
      </c>
      <c r="T317" s="26">
        <v>1</v>
      </c>
      <c r="U317" s="26">
        <v>1</v>
      </c>
      <c r="V317" s="26">
        <v>82.99</v>
      </c>
      <c r="W317" s="26">
        <f t="shared" si="58"/>
        <v>0</v>
      </c>
      <c r="X317" s="26">
        <f t="shared" si="61"/>
        <v>0</v>
      </c>
      <c r="Y317" s="26">
        <f t="shared" si="59"/>
        <v>0</v>
      </c>
      <c r="Z317" s="26">
        <f t="shared" si="57"/>
        <v>0</v>
      </c>
      <c r="AA317" s="33" t="s">
        <v>15</v>
      </c>
      <c r="AB317" s="36" t="s">
        <v>16</v>
      </c>
      <c r="AC317" s="181">
        <f t="shared" si="54"/>
        <v>1</v>
      </c>
      <c r="AD317" s="181">
        <f t="shared" si="60"/>
        <v>82.99</v>
      </c>
      <c r="AE317" s="181">
        <v>1.7</v>
      </c>
      <c r="AF317" s="181">
        <v>1.7</v>
      </c>
      <c r="AG317" s="101" t="str">
        <f t="shared" si="55"/>
        <v/>
      </c>
      <c r="AH317" s="190">
        <v>0</v>
      </c>
      <c r="AI317" s="69">
        <f t="shared" si="56"/>
        <v>1</v>
      </c>
    </row>
    <row r="318" spans="1:35" s="69" customFormat="1" ht="58.5" hidden="1" x14ac:dyDescent="0.3">
      <c r="A318" s="55" t="s">
        <v>839</v>
      </c>
      <c r="B318" s="53" t="s">
        <v>840</v>
      </c>
      <c r="C318" s="54" t="s">
        <v>606</v>
      </c>
      <c r="D318" s="75">
        <v>1</v>
      </c>
      <c r="E318" s="75"/>
      <c r="F318" s="75"/>
      <c r="G318" s="161"/>
      <c r="H318" s="158" t="s">
        <v>15</v>
      </c>
      <c r="I318" s="166">
        <v>80.41</v>
      </c>
      <c r="J318" s="75">
        <v>80.41</v>
      </c>
      <c r="K318" s="91" t="s">
        <v>841</v>
      </c>
      <c r="L318" s="73"/>
      <c r="M318" s="46">
        <v>0</v>
      </c>
      <c r="N318" s="46">
        <v>0</v>
      </c>
      <c r="O318" s="46">
        <v>0</v>
      </c>
      <c r="P318" s="98"/>
      <c r="Q318" s="23" t="s">
        <v>1483</v>
      </c>
      <c r="R318" s="24" t="s">
        <v>840</v>
      </c>
      <c r="S318" s="25" t="s">
        <v>606</v>
      </c>
      <c r="T318" s="26">
        <v>1</v>
      </c>
      <c r="U318" s="26">
        <v>1</v>
      </c>
      <c r="V318" s="26">
        <v>80.41</v>
      </c>
      <c r="W318" s="26">
        <f t="shared" si="58"/>
        <v>0</v>
      </c>
      <c r="X318" s="26">
        <f t="shared" si="61"/>
        <v>0</v>
      </c>
      <c r="Y318" s="26">
        <f t="shared" si="59"/>
        <v>0</v>
      </c>
      <c r="Z318" s="26">
        <f t="shared" si="57"/>
        <v>0</v>
      </c>
      <c r="AA318" s="33" t="s">
        <v>15</v>
      </c>
      <c r="AB318" s="36" t="s">
        <v>16</v>
      </c>
      <c r="AC318" s="181">
        <f t="shared" si="54"/>
        <v>1</v>
      </c>
      <c r="AD318" s="181">
        <f t="shared" si="60"/>
        <v>80.41</v>
      </c>
      <c r="AE318" s="181">
        <v>1.7</v>
      </c>
      <c r="AF318" s="181">
        <v>1.7</v>
      </c>
      <c r="AG318" s="101" t="str">
        <f t="shared" si="55"/>
        <v/>
      </c>
      <c r="AH318" s="190">
        <v>0</v>
      </c>
      <c r="AI318" s="69">
        <f t="shared" si="56"/>
        <v>1</v>
      </c>
    </row>
    <row r="319" spans="1:35" s="69" customFormat="1" ht="39" hidden="1" x14ac:dyDescent="0.3">
      <c r="A319" s="55" t="s">
        <v>842</v>
      </c>
      <c r="B319" s="53" t="s">
        <v>843</v>
      </c>
      <c r="C319" s="54" t="s">
        <v>606</v>
      </c>
      <c r="D319" s="75">
        <v>1</v>
      </c>
      <c r="E319" s="75"/>
      <c r="F319" s="75"/>
      <c r="G319" s="161"/>
      <c r="H319" s="158" t="s">
        <v>15</v>
      </c>
      <c r="I319" s="166">
        <v>101.01</v>
      </c>
      <c r="J319" s="75">
        <v>101.01</v>
      </c>
      <c r="K319" s="91" t="s">
        <v>844</v>
      </c>
      <c r="L319" s="73"/>
      <c r="M319" s="46">
        <v>0</v>
      </c>
      <c r="N319" s="46">
        <v>0</v>
      </c>
      <c r="O319" s="46">
        <v>0</v>
      </c>
      <c r="P319" s="98"/>
      <c r="Q319" s="23" t="s">
        <v>1484</v>
      </c>
      <c r="R319" s="24" t="s">
        <v>843</v>
      </c>
      <c r="S319" s="25" t="s">
        <v>606</v>
      </c>
      <c r="T319" s="26">
        <v>1</v>
      </c>
      <c r="U319" s="26">
        <v>1</v>
      </c>
      <c r="V319" s="26">
        <v>101.01</v>
      </c>
      <c r="W319" s="26">
        <f t="shared" si="58"/>
        <v>0</v>
      </c>
      <c r="X319" s="26">
        <f t="shared" si="61"/>
        <v>0</v>
      </c>
      <c r="Y319" s="26">
        <f t="shared" si="59"/>
        <v>0</v>
      </c>
      <c r="Z319" s="26">
        <f t="shared" si="57"/>
        <v>0</v>
      </c>
      <c r="AA319" s="33" t="s">
        <v>15</v>
      </c>
      <c r="AB319" s="36" t="s">
        <v>16</v>
      </c>
      <c r="AC319" s="181">
        <f t="shared" si="54"/>
        <v>1</v>
      </c>
      <c r="AD319" s="181">
        <f t="shared" si="60"/>
        <v>101.01</v>
      </c>
      <c r="AE319" s="181">
        <v>1.7</v>
      </c>
      <c r="AF319" s="181">
        <v>1.7</v>
      </c>
      <c r="AG319" s="101" t="str">
        <f t="shared" si="55"/>
        <v/>
      </c>
      <c r="AH319" s="190">
        <v>0</v>
      </c>
      <c r="AI319" s="69">
        <f t="shared" si="56"/>
        <v>1</v>
      </c>
    </row>
    <row r="320" spans="1:35" s="69" customFormat="1" ht="58.5" hidden="1" x14ac:dyDescent="0.3">
      <c r="A320" s="55" t="s">
        <v>845</v>
      </c>
      <c r="B320" s="53" t="s">
        <v>846</v>
      </c>
      <c r="C320" s="54" t="s">
        <v>606</v>
      </c>
      <c r="D320" s="75">
        <v>1</v>
      </c>
      <c r="E320" s="75"/>
      <c r="F320" s="75"/>
      <c r="G320" s="161"/>
      <c r="H320" s="158" t="s">
        <v>15</v>
      </c>
      <c r="I320" s="166">
        <v>76.290000000000006</v>
      </c>
      <c r="J320" s="75">
        <v>76.290000000000006</v>
      </c>
      <c r="K320" s="91" t="s">
        <v>847</v>
      </c>
      <c r="L320" s="73"/>
      <c r="M320" s="46">
        <v>0</v>
      </c>
      <c r="N320" s="46">
        <v>0</v>
      </c>
      <c r="O320" s="46">
        <v>0</v>
      </c>
      <c r="P320" s="98"/>
      <c r="Q320" s="23" t="s">
        <v>1485</v>
      </c>
      <c r="R320" s="24" t="s">
        <v>846</v>
      </c>
      <c r="S320" s="25" t="s">
        <v>606</v>
      </c>
      <c r="T320" s="26">
        <v>1</v>
      </c>
      <c r="U320" s="26">
        <v>1</v>
      </c>
      <c r="V320" s="26">
        <v>76.290000000000006</v>
      </c>
      <c r="W320" s="26">
        <f t="shared" si="58"/>
        <v>0</v>
      </c>
      <c r="X320" s="26">
        <f t="shared" si="61"/>
        <v>0</v>
      </c>
      <c r="Y320" s="26">
        <f t="shared" si="59"/>
        <v>0</v>
      </c>
      <c r="Z320" s="26">
        <f t="shared" si="57"/>
        <v>0</v>
      </c>
      <c r="AA320" s="33" t="s">
        <v>15</v>
      </c>
      <c r="AB320" s="36" t="s">
        <v>16</v>
      </c>
      <c r="AC320" s="181">
        <f t="shared" si="54"/>
        <v>1</v>
      </c>
      <c r="AD320" s="181">
        <f t="shared" si="60"/>
        <v>76.290000000000006</v>
      </c>
      <c r="AE320" s="181">
        <v>1.7</v>
      </c>
      <c r="AF320" s="181">
        <v>1.7</v>
      </c>
      <c r="AG320" s="101" t="str">
        <f t="shared" si="55"/>
        <v/>
      </c>
      <c r="AH320" s="190">
        <v>0</v>
      </c>
      <c r="AI320" s="69">
        <f t="shared" si="56"/>
        <v>1</v>
      </c>
    </row>
    <row r="321" spans="1:35" s="69" customFormat="1" ht="39" hidden="1" x14ac:dyDescent="0.3">
      <c r="A321" s="55" t="s">
        <v>848</v>
      </c>
      <c r="B321" s="53" t="s">
        <v>849</v>
      </c>
      <c r="C321" s="54" t="s">
        <v>606</v>
      </c>
      <c r="D321" s="75">
        <v>1</v>
      </c>
      <c r="E321" s="75"/>
      <c r="F321" s="75"/>
      <c r="G321" s="161"/>
      <c r="H321" s="158" t="s">
        <v>15</v>
      </c>
      <c r="I321" s="166">
        <v>73.650000000000006</v>
      </c>
      <c r="J321" s="75">
        <v>73.650000000000006</v>
      </c>
      <c r="K321" s="91" t="s">
        <v>850</v>
      </c>
      <c r="L321" s="73"/>
      <c r="M321" s="46">
        <v>0</v>
      </c>
      <c r="N321" s="46">
        <v>0</v>
      </c>
      <c r="O321" s="46">
        <v>0</v>
      </c>
      <c r="P321" s="98"/>
      <c r="Q321" s="23" t="s">
        <v>1486</v>
      </c>
      <c r="R321" s="24" t="s">
        <v>849</v>
      </c>
      <c r="S321" s="25" t="s">
        <v>606</v>
      </c>
      <c r="T321" s="26">
        <v>1</v>
      </c>
      <c r="U321" s="26">
        <v>1</v>
      </c>
      <c r="V321" s="26">
        <v>73.650000000000006</v>
      </c>
      <c r="W321" s="26">
        <f t="shared" si="58"/>
        <v>0</v>
      </c>
      <c r="X321" s="26">
        <f t="shared" si="61"/>
        <v>0</v>
      </c>
      <c r="Y321" s="26">
        <f t="shared" si="59"/>
        <v>0</v>
      </c>
      <c r="Z321" s="26">
        <f t="shared" si="57"/>
        <v>0</v>
      </c>
      <c r="AA321" s="33" t="s">
        <v>15</v>
      </c>
      <c r="AB321" s="36" t="s">
        <v>16</v>
      </c>
      <c r="AC321" s="181">
        <f t="shared" si="54"/>
        <v>1</v>
      </c>
      <c r="AD321" s="181">
        <f t="shared" si="60"/>
        <v>73.650000000000006</v>
      </c>
      <c r="AE321" s="181">
        <v>1.7</v>
      </c>
      <c r="AF321" s="181">
        <v>1.7</v>
      </c>
      <c r="AG321" s="101" t="str">
        <f t="shared" si="55"/>
        <v/>
      </c>
      <c r="AH321" s="190">
        <v>0</v>
      </c>
      <c r="AI321" s="69">
        <f t="shared" si="56"/>
        <v>1</v>
      </c>
    </row>
    <row r="322" spans="1:35" s="69" customFormat="1" ht="39" hidden="1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161"/>
      <c r="H322" s="158" t="s">
        <v>15</v>
      </c>
      <c r="I322" s="166">
        <v>43.78</v>
      </c>
      <c r="J322" s="75">
        <v>43.78</v>
      </c>
      <c r="K322" s="91" t="s">
        <v>853</v>
      </c>
      <c r="L322" s="73"/>
      <c r="M322" s="46">
        <v>0</v>
      </c>
      <c r="N322" s="46">
        <v>0</v>
      </c>
      <c r="O322" s="46">
        <v>0</v>
      </c>
      <c r="P322" s="98"/>
      <c r="Q322" s="23" t="s">
        <v>1487</v>
      </c>
      <c r="R322" s="24" t="s">
        <v>852</v>
      </c>
      <c r="S322" s="25" t="s">
        <v>50</v>
      </c>
      <c r="T322" s="26">
        <v>1</v>
      </c>
      <c r="U322" s="26">
        <v>1</v>
      </c>
      <c r="V322" s="26">
        <v>43.78</v>
      </c>
      <c r="W322" s="26">
        <f t="shared" si="58"/>
        <v>0</v>
      </c>
      <c r="X322" s="26">
        <f t="shared" si="61"/>
        <v>0</v>
      </c>
      <c r="Y322" s="26">
        <f t="shared" si="59"/>
        <v>0</v>
      </c>
      <c r="Z322" s="26">
        <f t="shared" si="57"/>
        <v>0</v>
      </c>
      <c r="AA322" s="33" t="s">
        <v>15</v>
      </c>
      <c r="AB322" s="36" t="s">
        <v>16</v>
      </c>
      <c r="AC322" s="181">
        <f t="shared" si="54"/>
        <v>1</v>
      </c>
      <c r="AD322" s="181">
        <f t="shared" si="60"/>
        <v>43.78</v>
      </c>
      <c r="AE322" s="181">
        <v>1.7</v>
      </c>
      <c r="AF322" s="181">
        <v>1.7</v>
      </c>
      <c r="AG322" s="101" t="str">
        <f t="shared" si="55"/>
        <v/>
      </c>
      <c r="AH322" s="190">
        <v>0</v>
      </c>
      <c r="AI322" s="69">
        <f t="shared" si="56"/>
        <v>1</v>
      </c>
    </row>
    <row r="323" spans="1:35" s="69" customFormat="1" ht="39" hidden="1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161"/>
      <c r="H323" s="158" t="s">
        <v>15</v>
      </c>
      <c r="I323" s="166">
        <v>28.11</v>
      </c>
      <c r="J323" s="75">
        <v>28.11</v>
      </c>
      <c r="K323" s="91" t="s">
        <v>857</v>
      </c>
      <c r="L323" s="73"/>
      <c r="M323" s="46">
        <v>0</v>
      </c>
      <c r="N323" s="46">
        <v>0</v>
      </c>
      <c r="O323" s="46">
        <v>0</v>
      </c>
      <c r="P323" s="98"/>
      <c r="Q323" s="23" t="s">
        <v>1488</v>
      </c>
      <c r="R323" s="24" t="s">
        <v>855</v>
      </c>
      <c r="S323" s="25" t="s">
        <v>856</v>
      </c>
      <c r="T323" s="26">
        <v>1</v>
      </c>
      <c r="U323" s="26">
        <v>1</v>
      </c>
      <c r="V323" s="26">
        <v>28.11</v>
      </c>
      <c r="W323" s="26">
        <f t="shared" si="58"/>
        <v>0</v>
      </c>
      <c r="X323" s="26">
        <f t="shared" si="61"/>
        <v>0</v>
      </c>
      <c r="Y323" s="26">
        <f t="shared" si="59"/>
        <v>0</v>
      </c>
      <c r="Z323" s="26">
        <f t="shared" si="57"/>
        <v>0</v>
      </c>
      <c r="AA323" s="33" t="s">
        <v>15</v>
      </c>
      <c r="AB323" s="36" t="s">
        <v>16</v>
      </c>
      <c r="AC323" s="181">
        <f t="shared" si="54"/>
        <v>1</v>
      </c>
      <c r="AD323" s="181">
        <f t="shared" si="60"/>
        <v>28.11</v>
      </c>
      <c r="AE323" s="181">
        <v>1.7</v>
      </c>
      <c r="AF323" s="181">
        <v>1.7</v>
      </c>
      <c r="AG323" s="101" t="str">
        <f t="shared" si="55"/>
        <v/>
      </c>
      <c r="AH323" s="190">
        <v>0</v>
      </c>
      <c r="AI323" s="69">
        <f t="shared" si="56"/>
        <v>1</v>
      </c>
    </row>
    <row r="324" spans="1:35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224"/>
      <c r="H324" s="158" t="s">
        <v>15</v>
      </c>
      <c r="I324" s="166">
        <v>245.47</v>
      </c>
      <c r="J324" s="75">
        <v>245.47</v>
      </c>
      <c r="K324" s="91" t="s">
        <v>860</v>
      </c>
      <c r="L324" s="73"/>
      <c r="M324" s="46">
        <v>0</v>
      </c>
      <c r="N324" s="46">
        <v>0</v>
      </c>
      <c r="O324" s="46">
        <v>0</v>
      </c>
      <c r="P324" s="98"/>
      <c r="Q324" s="23" t="s">
        <v>1489</v>
      </c>
      <c r="R324" s="24" t="s">
        <v>859</v>
      </c>
      <c r="S324" s="25" t="s">
        <v>50</v>
      </c>
      <c r="T324" s="26">
        <v>1</v>
      </c>
      <c r="U324" s="26">
        <v>1</v>
      </c>
      <c r="V324" s="26">
        <v>245.47</v>
      </c>
      <c r="W324" s="26">
        <f t="shared" si="58"/>
        <v>0</v>
      </c>
      <c r="X324" s="26">
        <f t="shared" si="61"/>
        <v>0</v>
      </c>
      <c r="Y324" s="26">
        <f t="shared" si="59"/>
        <v>0</v>
      </c>
      <c r="Z324" s="26">
        <f t="shared" si="57"/>
        <v>0</v>
      </c>
      <c r="AA324" s="33" t="s">
        <v>15</v>
      </c>
      <c r="AB324" s="36" t="s">
        <v>16</v>
      </c>
      <c r="AC324" s="181">
        <f t="shared" si="54"/>
        <v>1</v>
      </c>
      <c r="AD324" s="181">
        <f t="shared" si="60"/>
        <v>245.47</v>
      </c>
      <c r="AE324" s="181">
        <v>1.7</v>
      </c>
      <c r="AF324" s="181">
        <v>1.7</v>
      </c>
      <c r="AG324" s="101" t="str">
        <f t="shared" si="55"/>
        <v/>
      </c>
      <c r="AH324" s="190">
        <v>0</v>
      </c>
      <c r="AI324" s="69">
        <f t="shared" si="56"/>
        <v>1</v>
      </c>
    </row>
    <row r="325" spans="1:35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163"/>
      <c r="H325" s="62" t="s">
        <v>15</v>
      </c>
      <c r="I325" s="167">
        <v>839.94</v>
      </c>
      <c r="J325" s="62">
        <v>61718.79</v>
      </c>
      <c r="K325" s="93"/>
      <c r="M325" s="46">
        <v>0</v>
      </c>
      <c r="N325" s="46">
        <v>0</v>
      </c>
      <c r="O325" s="46">
        <v>0</v>
      </c>
      <c r="P325" s="98"/>
      <c r="Q325" s="23" t="s">
        <v>1398</v>
      </c>
      <c r="R325" s="24" t="s">
        <v>1337</v>
      </c>
      <c r="S325" s="25" t="s">
        <v>30</v>
      </c>
      <c r="T325" s="26">
        <v>0</v>
      </c>
      <c r="U325" s="26">
        <v>73.48</v>
      </c>
      <c r="V325" s="26">
        <v>839.94</v>
      </c>
      <c r="W325" s="26">
        <f t="shared" si="58"/>
        <v>0</v>
      </c>
      <c r="X325" s="26">
        <f t="shared" si="61"/>
        <v>0</v>
      </c>
      <c r="Y325" s="26">
        <f t="shared" si="59"/>
        <v>0</v>
      </c>
      <c r="Z325" s="26">
        <f>ROUND(V325*X325,2)</f>
        <v>0</v>
      </c>
      <c r="AA325" s="27"/>
      <c r="AB325" s="36" t="s">
        <v>16</v>
      </c>
      <c r="AC325" s="181">
        <f t="shared" si="54"/>
        <v>73.48</v>
      </c>
      <c r="AD325" s="181">
        <f t="shared" si="60"/>
        <v>61718.79</v>
      </c>
      <c r="AE325" s="181">
        <v>1.7</v>
      </c>
      <c r="AF325" s="181">
        <v>1.7</v>
      </c>
      <c r="AG325" s="101" t="str">
        <f t="shared" si="55"/>
        <v/>
      </c>
      <c r="AH325" s="190">
        <v>0</v>
      </c>
      <c r="AI325" s="69">
        <f t="shared" si="56"/>
        <v>73.48</v>
      </c>
    </row>
    <row r="326" spans="1:35" ht="39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163"/>
      <c r="H326" s="62" t="s">
        <v>15</v>
      </c>
      <c r="I326" s="167">
        <v>150</v>
      </c>
      <c r="J326" s="62">
        <v>2678400</v>
      </c>
      <c r="K326" s="93"/>
      <c r="M326" s="46">
        <v>10000</v>
      </c>
      <c r="N326" s="46">
        <v>0</v>
      </c>
      <c r="O326" s="46">
        <v>1500000</v>
      </c>
      <c r="P326" s="98"/>
      <c r="Q326" s="23" t="s">
        <v>1399</v>
      </c>
      <c r="R326" s="24" t="s">
        <v>1339</v>
      </c>
      <c r="S326" s="25" t="s">
        <v>1359</v>
      </c>
      <c r="T326" s="26">
        <v>0</v>
      </c>
      <c r="U326" s="26">
        <v>17856</v>
      </c>
      <c r="V326" s="26">
        <v>150</v>
      </c>
      <c r="W326" s="26">
        <f t="shared" si="58"/>
        <v>0</v>
      </c>
      <c r="X326" s="26">
        <f t="shared" si="61"/>
        <v>10000</v>
      </c>
      <c r="Y326" s="26">
        <f t="shared" si="59"/>
        <v>0</v>
      </c>
      <c r="Z326" s="26">
        <f t="shared" si="57"/>
        <v>1500000</v>
      </c>
      <c r="AA326" s="27"/>
      <c r="AB326" s="36" t="s">
        <v>16</v>
      </c>
      <c r="AC326" s="181">
        <f t="shared" si="54"/>
        <v>17856</v>
      </c>
      <c r="AD326" s="181">
        <f t="shared" si="60"/>
        <v>2678400</v>
      </c>
      <c r="AE326" s="181">
        <v>1.7</v>
      </c>
      <c r="AF326" s="181">
        <v>1.7</v>
      </c>
      <c r="AG326" s="101" t="str">
        <f t="shared" si="55"/>
        <v/>
      </c>
      <c r="AH326" s="190">
        <v>10000</v>
      </c>
      <c r="AI326" s="69">
        <f t="shared" si="56"/>
        <v>17856</v>
      </c>
    </row>
    <row r="327" spans="1:35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4" t="s">
        <v>15</v>
      </c>
      <c r="I327" s="82"/>
      <c r="J327" s="82">
        <v>5831452.4900000002</v>
      </c>
      <c r="K327" s="94" t="s">
        <v>15</v>
      </c>
      <c r="L327" s="73"/>
      <c r="M327" s="45">
        <v>1</v>
      </c>
      <c r="N327" s="45">
        <v>456923.37999999995</v>
      </c>
      <c r="O327" s="45">
        <v>1750858.08</v>
      </c>
      <c r="P327" s="98"/>
      <c r="Q327" s="18" t="s">
        <v>1400</v>
      </c>
      <c r="R327" s="19" t="s">
        <v>862</v>
      </c>
      <c r="S327" s="20" t="s">
        <v>14</v>
      </c>
      <c r="T327" s="21">
        <v>1</v>
      </c>
      <c r="U327" s="21"/>
      <c r="V327" s="21">
        <f>SUMIFS(AD:AD,AE:AE,AE327)</f>
        <v>5831452.4899999993</v>
      </c>
      <c r="W327" s="21">
        <f t="shared" ref="W327:X327" si="62">IF(Y327=0,0,1)</f>
        <v>1</v>
      </c>
      <c r="X327" s="21">
        <f t="shared" si="62"/>
        <v>1</v>
      </c>
      <c r="Y327" s="21">
        <f>SUMIFS(Y:Y,AF:AF,AE327)</f>
        <v>1274808.1999999997</v>
      </c>
      <c r="Z327" s="21">
        <f>SUMIFS(Z:Z,AF:AF,AE327)</f>
        <v>3025666.2800000007</v>
      </c>
      <c r="AA327" s="22" t="s">
        <v>15</v>
      </c>
      <c r="AB327" s="43" t="s">
        <v>16</v>
      </c>
      <c r="AC327" s="181">
        <f t="shared" si="54"/>
        <v>1</v>
      </c>
      <c r="AD327" s="184"/>
      <c r="AE327" s="184">
        <v>1.8</v>
      </c>
      <c r="AF327" s="184"/>
      <c r="AG327" s="101" t="str">
        <f t="shared" si="55"/>
        <v/>
      </c>
      <c r="AH327" s="190">
        <v>1</v>
      </c>
      <c r="AI327" s="69">
        <f t="shared" si="56"/>
        <v>1</v>
      </c>
    </row>
    <row r="328" spans="1:35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 t="s">
        <v>15</v>
      </c>
      <c r="I328" s="75">
        <v>69458</v>
      </c>
      <c r="J328" s="75">
        <v>69458</v>
      </c>
      <c r="K328" s="91" t="s">
        <v>865</v>
      </c>
      <c r="L328" s="73"/>
      <c r="M328" s="46">
        <v>0</v>
      </c>
      <c r="N328" s="46">
        <v>0</v>
      </c>
      <c r="O328" s="46">
        <v>0</v>
      </c>
      <c r="P328" s="98"/>
      <c r="Q328" s="23" t="s">
        <v>1421</v>
      </c>
      <c r="R328" s="24" t="s">
        <v>864</v>
      </c>
      <c r="S328" s="25" t="s">
        <v>14</v>
      </c>
      <c r="T328" s="26">
        <v>1</v>
      </c>
      <c r="U328" s="26">
        <v>1</v>
      </c>
      <c r="V328" s="26">
        <v>69458</v>
      </c>
      <c r="W328" s="26">
        <f t="shared" ref="W328:W368" si="63">AH328-M328</f>
        <v>0</v>
      </c>
      <c r="X328" s="26">
        <f t="shared" si="61"/>
        <v>0</v>
      </c>
      <c r="Y328" s="26">
        <f t="shared" ref="Y328:Y368" si="64">Z328-O328</f>
        <v>0</v>
      </c>
      <c r="Z328" s="26">
        <f t="shared" si="57"/>
        <v>0</v>
      </c>
      <c r="AA328" s="33" t="s">
        <v>15</v>
      </c>
      <c r="AB328" s="36" t="s">
        <v>16</v>
      </c>
      <c r="AC328" s="181">
        <f t="shared" si="54"/>
        <v>1</v>
      </c>
      <c r="AD328" s="181">
        <f t="shared" si="60"/>
        <v>69458</v>
      </c>
      <c r="AE328" s="181">
        <v>1.8</v>
      </c>
      <c r="AF328" s="181">
        <v>1.8</v>
      </c>
      <c r="AG328" s="101" t="str">
        <f t="shared" si="55"/>
        <v/>
      </c>
      <c r="AH328" s="190">
        <v>0</v>
      </c>
      <c r="AI328" s="69">
        <f t="shared" si="56"/>
        <v>1</v>
      </c>
    </row>
    <row r="329" spans="1:35" s="69" customFormat="1" ht="39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 t="s">
        <v>15</v>
      </c>
      <c r="I329" s="75">
        <v>94852.479999999996</v>
      </c>
      <c r="J329" s="75">
        <v>94852.479999999996</v>
      </c>
      <c r="K329" s="91" t="s">
        <v>868</v>
      </c>
      <c r="L329" s="73"/>
      <c r="M329" s="46">
        <v>0</v>
      </c>
      <c r="N329" s="46">
        <v>0</v>
      </c>
      <c r="O329" s="46">
        <v>0</v>
      </c>
      <c r="P329" s="98"/>
      <c r="Q329" s="23" t="s">
        <v>1426</v>
      </c>
      <c r="R329" s="24" t="s">
        <v>867</v>
      </c>
      <c r="S329" s="25" t="s">
        <v>14</v>
      </c>
      <c r="T329" s="26">
        <v>1</v>
      </c>
      <c r="U329" s="26">
        <v>1</v>
      </c>
      <c r="V329" s="26">
        <v>94852.479999999996</v>
      </c>
      <c r="W329" s="26">
        <f t="shared" si="63"/>
        <v>0</v>
      </c>
      <c r="X329" s="26">
        <f t="shared" si="61"/>
        <v>0</v>
      </c>
      <c r="Y329" s="26">
        <f t="shared" si="64"/>
        <v>0</v>
      </c>
      <c r="Z329" s="26">
        <f t="shared" si="57"/>
        <v>0</v>
      </c>
      <c r="AA329" s="33" t="s">
        <v>15</v>
      </c>
      <c r="AB329" s="36" t="s">
        <v>16</v>
      </c>
      <c r="AC329" s="181">
        <f t="shared" si="54"/>
        <v>1</v>
      </c>
      <c r="AD329" s="181">
        <f t="shared" si="60"/>
        <v>94852.479999999996</v>
      </c>
      <c r="AE329" s="181">
        <v>1.8</v>
      </c>
      <c r="AF329" s="181">
        <v>1.8</v>
      </c>
      <c r="AG329" s="101" t="str">
        <f t="shared" si="55"/>
        <v/>
      </c>
      <c r="AH329" s="190">
        <v>0</v>
      </c>
      <c r="AI329" s="69">
        <f t="shared" si="56"/>
        <v>1</v>
      </c>
    </row>
    <row r="330" spans="1:35" s="69" customFormat="1" ht="39" x14ac:dyDescent="0.3">
      <c r="A330" s="130" t="s">
        <v>869</v>
      </c>
      <c r="B330" s="131" t="s">
        <v>870</v>
      </c>
      <c r="C330" s="132" t="s">
        <v>14</v>
      </c>
      <c r="D330" s="133">
        <v>1</v>
      </c>
      <c r="E330" s="75"/>
      <c r="F330" s="75"/>
      <c r="G330" s="75"/>
      <c r="H330" s="75" t="s">
        <v>15</v>
      </c>
      <c r="I330" s="75">
        <v>251510</v>
      </c>
      <c r="J330" s="75">
        <v>251510</v>
      </c>
      <c r="K330" s="91" t="s">
        <v>871</v>
      </c>
      <c r="L330" s="73"/>
      <c r="M330" s="46">
        <v>0</v>
      </c>
      <c r="N330" s="46">
        <v>0</v>
      </c>
      <c r="O330" s="46">
        <v>0</v>
      </c>
      <c r="P330" s="98"/>
      <c r="Q330" s="23" t="s">
        <v>1402</v>
      </c>
      <c r="R330" s="24" t="s">
        <v>870</v>
      </c>
      <c r="S330" s="25" t="s">
        <v>14</v>
      </c>
      <c r="T330" s="26">
        <v>1</v>
      </c>
      <c r="U330" s="26">
        <v>1</v>
      </c>
      <c r="V330" s="26">
        <v>251510</v>
      </c>
      <c r="W330" s="243">
        <f t="shared" si="63"/>
        <v>1</v>
      </c>
      <c r="X330" s="127">
        <f t="shared" si="61"/>
        <v>1</v>
      </c>
      <c r="Y330" s="127">
        <f t="shared" si="64"/>
        <v>251510</v>
      </c>
      <c r="Z330" s="127">
        <f t="shared" si="57"/>
        <v>251510</v>
      </c>
      <c r="AA330" s="33" t="s">
        <v>15</v>
      </c>
      <c r="AB330" s="36" t="s">
        <v>16</v>
      </c>
      <c r="AC330" s="181">
        <f t="shared" si="54"/>
        <v>1</v>
      </c>
      <c r="AD330" s="181">
        <f t="shared" si="60"/>
        <v>251510</v>
      </c>
      <c r="AE330" s="181">
        <v>1.8</v>
      </c>
      <c r="AF330" s="181">
        <v>1.8</v>
      </c>
      <c r="AG330" s="101" t="str">
        <f t="shared" si="55"/>
        <v/>
      </c>
      <c r="AH330" s="191">
        <v>1</v>
      </c>
      <c r="AI330" s="69">
        <f t="shared" si="56"/>
        <v>1</v>
      </c>
    </row>
    <row r="331" spans="1:35" s="69" customFormat="1" ht="39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 t="s">
        <v>15</v>
      </c>
      <c r="I331" s="75">
        <v>174688.22</v>
      </c>
      <c r="J331" s="75">
        <v>174688.22</v>
      </c>
      <c r="K331" s="91" t="s">
        <v>874</v>
      </c>
      <c r="L331" s="73"/>
      <c r="M331" s="46">
        <v>0</v>
      </c>
      <c r="N331" s="46">
        <v>0</v>
      </c>
      <c r="O331" s="46">
        <v>0</v>
      </c>
      <c r="P331" s="98"/>
      <c r="Q331" s="23" t="s">
        <v>1373</v>
      </c>
      <c r="R331" s="24" t="s">
        <v>873</v>
      </c>
      <c r="S331" s="25" t="s">
        <v>14</v>
      </c>
      <c r="T331" s="26">
        <v>1</v>
      </c>
      <c r="U331" s="26">
        <v>1</v>
      </c>
      <c r="V331" s="26">
        <v>174688.22</v>
      </c>
      <c r="W331" s="26">
        <f t="shared" si="63"/>
        <v>0</v>
      </c>
      <c r="X331" s="26">
        <f t="shared" si="61"/>
        <v>0</v>
      </c>
      <c r="Y331" s="26">
        <f t="shared" si="64"/>
        <v>0</v>
      </c>
      <c r="Z331" s="26">
        <f t="shared" si="57"/>
        <v>0</v>
      </c>
      <c r="AA331" s="33" t="s">
        <v>15</v>
      </c>
      <c r="AB331" s="36" t="s">
        <v>16</v>
      </c>
      <c r="AC331" s="181">
        <f t="shared" ref="AC331:AC412" si="65">IF(U331="",T331,U331)</f>
        <v>1</v>
      </c>
      <c r="AD331" s="181">
        <f t="shared" si="60"/>
        <v>174688.22</v>
      </c>
      <c r="AE331" s="181">
        <v>1.8</v>
      </c>
      <c r="AF331" s="181">
        <v>1.8</v>
      </c>
      <c r="AG331" s="101" t="str">
        <f t="shared" ref="AG331:AG412" si="66">IF(X331&gt;AI331,"超估","")</f>
        <v/>
      </c>
      <c r="AH331" s="190">
        <v>0</v>
      </c>
      <c r="AI331" s="69">
        <f t="shared" ref="AI331:AI394" si="67">IF(G331=0,IF(F331=0,IF(E331=0,D331,E331),F331),G331)</f>
        <v>1</v>
      </c>
    </row>
    <row r="332" spans="1:35" s="69" customFormat="1" ht="39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 t="s">
        <v>15</v>
      </c>
      <c r="I332" s="75">
        <v>21221.84</v>
      </c>
      <c r="J332" s="75">
        <v>21221.84</v>
      </c>
      <c r="K332" s="91" t="s">
        <v>877</v>
      </c>
      <c r="L332" s="73"/>
      <c r="M332" s="46">
        <v>0</v>
      </c>
      <c r="N332" s="46">
        <v>0</v>
      </c>
      <c r="O332" s="46">
        <v>0</v>
      </c>
      <c r="P332" s="98"/>
      <c r="Q332" s="23" t="s">
        <v>1393</v>
      </c>
      <c r="R332" s="24" t="s">
        <v>876</v>
      </c>
      <c r="S332" s="25" t="s">
        <v>14</v>
      </c>
      <c r="T332" s="26">
        <v>1</v>
      </c>
      <c r="U332" s="26">
        <v>1</v>
      </c>
      <c r="V332" s="26">
        <v>21221.84</v>
      </c>
      <c r="W332" s="26">
        <f t="shared" si="63"/>
        <v>0</v>
      </c>
      <c r="X332" s="26">
        <f t="shared" si="61"/>
        <v>0</v>
      </c>
      <c r="Y332" s="26">
        <f t="shared" si="64"/>
        <v>0</v>
      </c>
      <c r="Z332" s="26">
        <f t="shared" ref="Z332:Z368" si="68">ROUND(V332*X332,2)</f>
        <v>0</v>
      </c>
      <c r="AA332" s="33" t="s">
        <v>15</v>
      </c>
      <c r="AB332" s="36" t="s">
        <v>16</v>
      </c>
      <c r="AC332" s="181">
        <f t="shared" si="65"/>
        <v>1</v>
      </c>
      <c r="AD332" s="181">
        <f t="shared" si="60"/>
        <v>21221.84</v>
      </c>
      <c r="AE332" s="181">
        <v>1.8</v>
      </c>
      <c r="AF332" s="181">
        <v>1.8</v>
      </c>
      <c r="AG332" s="101" t="str">
        <f t="shared" si="66"/>
        <v/>
      </c>
      <c r="AH332" s="190">
        <v>0</v>
      </c>
      <c r="AI332" s="69">
        <f t="shared" si="67"/>
        <v>1</v>
      </c>
    </row>
    <row r="333" spans="1:35" s="69" customFormat="1" ht="58.5" x14ac:dyDescent="0.3">
      <c r="A333" s="130" t="s">
        <v>878</v>
      </c>
      <c r="B333" s="131" t="s">
        <v>879</v>
      </c>
      <c r="C333" s="132" t="s">
        <v>3144</v>
      </c>
      <c r="D333" s="133">
        <v>12</v>
      </c>
      <c r="E333" s="75"/>
      <c r="F333" s="75"/>
      <c r="G333" s="75"/>
      <c r="H333" s="75" t="s">
        <v>15</v>
      </c>
      <c r="I333" s="75">
        <v>42800</v>
      </c>
      <c r="J333" s="75">
        <v>513600</v>
      </c>
      <c r="K333" s="91" t="s">
        <v>880</v>
      </c>
      <c r="L333" s="73"/>
      <c r="M333" s="46">
        <v>12</v>
      </c>
      <c r="N333" s="46">
        <v>342400</v>
      </c>
      <c r="O333" s="46">
        <v>513600</v>
      </c>
      <c r="P333" s="98"/>
      <c r="Q333" s="23" t="s">
        <v>1403</v>
      </c>
      <c r="R333" s="24" t="s">
        <v>879</v>
      </c>
      <c r="S333" s="25" t="s">
        <v>81</v>
      </c>
      <c r="T333" s="26">
        <v>12</v>
      </c>
      <c r="U333" s="26">
        <v>12</v>
      </c>
      <c r="V333" s="26">
        <v>42800</v>
      </c>
      <c r="W333" s="209">
        <f t="shared" si="63"/>
        <v>0</v>
      </c>
      <c r="X333" s="127">
        <f t="shared" si="61"/>
        <v>12</v>
      </c>
      <c r="Y333" s="127">
        <f t="shared" si="64"/>
        <v>0</v>
      </c>
      <c r="Z333" s="127">
        <f t="shared" si="68"/>
        <v>513600</v>
      </c>
      <c r="AA333" s="33" t="s">
        <v>15</v>
      </c>
      <c r="AB333" s="36" t="s">
        <v>16</v>
      </c>
      <c r="AC333" s="181">
        <f t="shared" si="65"/>
        <v>12</v>
      </c>
      <c r="AD333" s="181">
        <f t="shared" si="60"/>
        <v>513600</v>
      </c>
      <c r="AE333" s="181">
        <v>1.8</v>
      </c>
      <c r="AF333" s="181">
        <v>1.8</v>
      </c>
      <c r="AG333" s="101" t="str">
        <f t="shared" si="66"/>
        <v/>
      </c>
      <c r="AH333" s="191">
        <f>4+8</f>
        <v>12</v>
      </c>
      <c r="AI333" s="69">
        <f t="shared" si="67"/>
        <v>12</v>
      </c>
    </row>
    <row r="334" spans="1:35" s="69" customFormat="1" ht="58.5" x14ac:dyDescent="0.3">
      <c r="A334" s="130" t="s">
        <v>881</v>
      </c>
      <c r="B334" s="131" t="s">
        <v>882</v>
      </c>
      <c r="C334" s="132" t="s">
        <v>81</v>
      </c>
      <c r="D334" s="133">
        <v>7</v>
      </c>
      <c r="E334" s="75"/>
      <c r="F334" s="75"/>
      <c r="G334" s="75"/>
      <c r="H334" s="75" t="s">
        <v>15</v>
      </c>
      <c r="I334" s="75">
        <v>60400</v>
      </c>
      <c r="J334" s="75">
        <v>422800</v>
      </c>
      <c r="K334" s="91" t="s">
        <v>883</v>
      </c>
      <c r="L334" s="73"/>
      <c r="M334" s="46">
        <v>6</v>
      </c>
      <c r="N334" s="46">
        <v>60400</v>
      </c>
      <c r="O334" s="46">
        <v>362400</v>
      </c>
      <c r="P334" s="98"/>
      <c r="Q334" s="23" t="s">
        <v>1427</v>
      </c>
      <c r="R334" s="24" t="s">
        <v>882</v>
      </c>
      <c r="S334" s="25" t="s">
        <v>81</v>
      </c>
      <c r="T334" s="26">
        <v>7</v>
      </c>
      <c r="U334" s="26">
        <v>7</v>
      </c>
      <c r="V334" s="26">
        <v>60400</v>
      </c>
      <c r="W334" s="128">
        <f t="shared" si="63"/>
        <v>0</v>
      </c>
      <c r="X334" s="127">
        <f t="shared" si="61"/>
        <v>6</v>
      </c>
      <c r="Y334" s="127">
        <f t="shared" si="64"/>
        <v>0</v>
      </c>
      <c r="Z334" s="127">
        <f t="shared" si="68"/>
        <v>362400</v>
      </c>
      <c r="AA334" s="33" t="s">
        <v>15</v>
      </c>
      <c r="AB334" s="36" t="s">
        <v>16</v>
      </c>
      <c r="AC334" s="181">
        <f t="shared" si="65"/>
        <v>7</v>
      </c>
      <c r="AD334" s="181">
        <f t="shared" si="60"/>
        <v>422800</v>
      </c>
      <c r="AE334" s="181">
        <v>1.8</v>
      </c>
      <c r="AF334" s="181">
        <v>1.8</v>
      </c>
      <c r="AG334" s="101" t="str">
        <f t="shared" si="66"/>
        <v/>
      </c>
      <c r="AH334" s="191">
        <f>5+1</f>
        <v>6</v>
      </c>
      <c r="AI334" s="69">
        <f t="shared" si="67"/>
        <v>7</v>
      </c>
    </row>
    <row r="335" spans="1:35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 t="s">
        <v>15</v>
      </c>
      <c r="I335" s="75">
        <v>35000</v>
      </c>
      <c r="J335" s="75">
        <v>455000</v>
      </c>
      <c r="K335" s="91" t="s">
        <v>886</v>
      </c>
      <c r="L335" s="73"/>
      <c r="M335" s="46">
        <v>0</v>
      </c>
      <c r="N335" s="46">
        <v>0</v>
      </c>
      <c r="O335" s="46">
        <v>0</v>
      </c>
      <c r="P335" s="98"/>
      <c r="Q335" s="23" t="s">
        <v>1428</v>
      </c>
      <c r="R335" s="24" t="s">
        <v>885</v>
      </c>
      <c r="S335" s="25" t="s">
        <v>81</v>
      </c>
      <c r="T335" s="26">
        <v>13</v>
      </c>
      <c r="U335" s="26">
        <v>13</v>
      </c>
      <c r="V335" s="26">
        <v>35000</v>
      </c>
      <c r="W335" s="243">
        <f t="shared" si="63"/>
        <v>5</v>
      </c>
      <c r="X335" s="26">
        <f t="shared" si="61"/>
        <v>5</v>
      </c>
      <c r="Y335" s="26">
        <f t="shared" si="64"/>
        <v>175000</v>
      </c>
      <c r="Z335" s="26">
        <f t="shared" si="68"/>
        <v>175000</v>
      </c>
      <c r="AA335" s="33" t="s">
        <v>15</v>
      </c>
      <c r="AB335" s="36" t="s">
        <v>16</v>
      </c>
      <c r="AC335" s="181">
        <f t="shared" si="65"/>
        <v>13</v>
      </c>
      <c r="AD335" s="181">
        <f t="shared" si="60"/>
        <v>455000</v>
      </c>
      <c r="AE335" s="181">
        <v>1.8</v>
      </c>
      <c r="AF335" s="181">
        <v>1.8</v>
      </c>
      <c r="AG335" s="101" t="str">
        <f t="shared" si="66"/>
        <v/>
      </c>
      <c r="AH335" s="191">
        <f>5</f>
        <v>5</v>
      </c>
      <c r="AI335" s="69">
        <f t="shared" si="67"/>
        <v>13</v>
      </c>
    </row>
    <row r="336" spans="1:35" s="69" customFormat="1" ht="58.5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 t="s">
        <v>15</v>
      </c>
      <c r="I336" s="75">
        <v>10000</v>
      </c>
      <c r="J336" s="75">
        <v>130000</v>
      </c>
      <c r="K336" s="91" t="s">
        <v>889</v>
      </c>
      <c r="L336" s="73"/>
      <c r="M336" s="46">
        <v>0</v>
      </c>
      <c r="N336" s="46">
        <v>0</v>
      </c>
      <c r="O336" s="46">
        <v>0</v>
      </c>
      <c r="P336" s="98"/>
      <c r="Q336" s="23" t="s">
        <v>1387</v>
      </c>
      <c r="R336" s="24" t="s">
        <v>888</v>
      </c>
      <c r="S336" s="25" t="s">
        <v>81</v>
      </c>
      <c r="T336" s="26">
        <v>13</v>
      </c>
      <c r="U336" s="26">
        <v>13</v>
      </c>
      <c r="V336" s="26">
        <v>10000</v>
      </c>
      <c r="W336" s="26">
        <f t="shared" si="63"/>
        <v>0</v>
      </c>
      <c r="X336" s="26">
        <f t="shared" si="61"/>
        <v>0</v>
      </c>
      <c r="Y336" s="26">
        <f t="shared" si="64"/>
        <v>0</v>
      </c>
      <c r="Z336" s="26">
        <f t="shared" si="68"/>
        <v>0</v>
      </c>
      <c r="AA336" s="33" t="s">
        <v>15</v>
      </c>
      <c r="AB336" s="36" t="s">
        <v>16</v>
      </c>
      <c r="AC336" s="181">
        <f t="shared" si="65"/>
        <v>13</v>
      </c>
      <c r="AD336" s="181">
        <f t="shared" si="60"/>
        <v>130000</v>
      </c>
      <c r="AE336" s="181">
        <v>1.8</v>
      </c>
      <c r="AF336" s="181">
        <v>1.8</v>
      </c>
      <c r="AG336" s="101" t="str">
        <f t="shared" si="66"/>
        <v/>
      </c>
      <c r="AH336" s="190">
        <v>0</v>
      </c>
      <c r="AI336" s="69">
        <f t="shared" si="67"/>
        <v>13</v>
      </c>
    </row>
    <row r="337" spans="1:35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 t="s">
        <v>15</v>
      </c>
      <c r="I337" s="75">
        <v>1500</v>
      </c>
      <c r="J337" s="75">
        <v>3000</v>
      </c>
      <c r="K337" s="91" t="s">
        <v>892</v>
      </c>
      <c r="L337" s="73"/>
      <c r="M337" s="46">
        <v>0</v>
      </c>
      <c r="N337" s="46">
        <v>0</v>
      </c>
      <c r="O337" s="46">
        <v>0</v>
      </c>
      <c r="P337" s="98"/>
      <c r="Q337" s="23" t="s">
        <v>1405</v>
      </c>
      <c r="R337" s="24" t="s">
        <v>891</v>
      </c>
      <c r="S337" s="25" t="s">
        <v>325</v>
      </c>
      <c r="T337" s="26">
        <v>2</v>
      </c>
      <c r="U337" s="26">
        <v>2</v>
      </c>
      <c r="V337" s="26">
        <v>1500</v>
      </c>
      <c r="W337" s="26">
        <f t="shared" si="63"/>
        <v>0</v>
      </c>
      <c r="X337" s="26">
        <f t="shared" si="61"/>
        <v>0</v>
      </c>
      <c r="Y337" s="26">
        <f t="shared" si="64"/>
        <v>0</v>
      </c>
      <c r="Z337" s="26">
        <f t="shared" si="68"/>
        <v>0</v>
      </c>
      <c r="AA337" s="33" t="s">
        <v>15</v>
      </c>
      <c r="AB337" s="36" t="s">
        <v>16</v>
      </c>
      <c r="AC337" s="181">
        <f t="shared" si="65"/>
        <v>2</v>
      </c>
      <c r="AD337" s="181">
        <f t="shared" si="60"/>
        <v>3000</v>
      </c>
      <c r="AE337" s="181">
        <v>1.8</v>
      </c>
      <c r="AF337" s="181">
        <v>1.8</v>
      </c>
      <c r="AG337" s="101" t="str">
        <f t="shared" si="66"/>
        <v/>
      </c>
      <c r="AH337" s="190">
        <v>0</v>
      </c>
      <c r="AI337" s="69">
        <f t="shared" si="67"/>
        <v>2</v>
      </c>
    </row>
    <row r="338" spans="1:35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 t="s">
        <v>15</v>
      </c>
      <c r="I338" s="75">
        <v>4000</v>
      </c>
      <c r="J338" s="75">
        <v>8000</v>
      </c>
      <c r="K338" s="91" t="s">
        <v>895</v>
      </c>
      <c r="L338" s="73"/>
      <c r="M338" s="46">
        <v>0</v>
      </c>
      <c r="N338" s="46">
        <v>0</v>
      </c>
      <c r="O338" s="46">
        <v>0</v>
      </c>
      <c r="P338" s="98"/>
      <c r="Q338" s="23" t="s">
        <v>1406</v>
      </c>
      <c r="R338" s="24" t="s">
        <v>894</v>
      </c>
      <c r="S338" s="25" t="s">
        <v>325</v>
      </c>
      <c r="T338" s="26">
        <v>2</v>
      </c>
      <c r="U338" s="26">
        <v>2</v>
      </c>
      <c r="V338" s="26">
        <v>4000</v>
      </c>
      <c r="W338" s="26">
        <f t="shared" si="63"/>
        <v>0</v>
      </c>
      <c r="X338" s="26">
        <f t="shared" si="61"/>
        <v>0</v>
      </c>
      <c r="Y338" s="26">
        <f t="shared" si="64"/>
        <v>0</v>
      </c>
      <c r="Z338" s="26">
        <f t="shared" si="68"/>
        <v>0</v>
      </c>
      <c r="AA338" s="33" t="s">
        <v>15</v>
      </c>
      <c r="AB338" s="36" t="s">
        <v>16</v>
      </c>
      <c r="AC338" s="181">
        <f t="shared" si="65"/>
        <v>2</v>
      </c>
      <c r="AD338" s="181">
        <f t="shared" si="60"/>
        <v>8000</v>
      </c>
      <c r="AE338" s="181">
        <v>1.8</v>
      </c>
      <c r="AF338" s="181">
        <v>1.8</v>
      </c>
      <c r="AG338" s="101" t="str">
        <f t="shared" si="66"/>
        <v/>
      </c>
      <c r="AH338" s="190">
        <v>0</v>
      </c>
      <c r="AI338" s="69">
        <f t="shared" si="67"/>
        <v>2</v>
      </c>
    </row>
    <row r="339" spans="1:35" s="69" customFormat="1" ht="33" x14ac:dyDescent="0.3">
      <c r="A339" s="258" t="s">
        <v>896</v>
      </c>
      <c r="B339" s="215" t="s">
        <v>897</v>
      </c>
      <c r="C339" s="259" t="s">
        <v>30</v>
      </c>
      <c r="D339" s="260">
        <v>216.55</v>
      </c>
      <c r="E339" s="75"/>
      <c r="F339" s="75"/>
      <c r="G339" s="75"/>
      <c r="H339" s="75" t="s">
        <v>15</v>
      </c>
      <c r="I339" s="75">
        <v>800</v>
      </c>
      <c r="J339" s="75">
        <v>173240</v>
      </c>
      <c r="K339" s="91" t="s">
        <v>898</v>
      </c>
      <c r="L339" s="73"/>
      <c r="M339" s="46">
        <v>0</v>
      </c>
      <c r="N339" s="46">
        <v>0</v>
      </c>
      <c r="O339" s="46">
        <v>0</v>
      </c>
      <c r="P339" s="98"/>
      <c r="Q339" s="23" t="s">
        <v>1414</v>
      </c>
      <c r="R339" s="24" t="s">
        <v>897</v>
      </c>
      <c r="S339" s="25" t="s">
        <v>30</v>
      </c>
      <c r="T339" s="26">
        <v>216.55</v>
      </c>
      <c r="U339" s="26">
        <v>216.55</v>
      </c>
      <c r="V339" s="26">
        <v>800</v>
      </c>
      <c r="W339" s="243">
        <f t="shared" si="63"/>
        <v>115</v>
      </c>
      <c r="X339" s="26">
        <f t="shared" si="61"/>
        <v>115</v>
      </c>
      <c r="Y339" s="26">
        <f t="shared" si="64"/>
        <v>92000</v>
      </c>
      <c r="Z339" s="26">
        <f t="shared" si="68"/>
        <v>92000</v>
      </c>
      <c r="AA339" s="33" t="s">
        <v>15</v>
      </c>
      <c r="AB339" s="36" t="s">
        <v>16</v>
      </c>
      <c r="AC339" s="181">
        <f t="shared" si="65"/>
        <v>216.55</v>
      </c>
      <c r="AD339" s="181">
        <f t="shared" si="60"/>
        <v>173240</v>
      </c>
      <c r="AE339" s="181">
        <v>1.8</v>
      </c>
      <c r="AF339" s="181">
        <v>1.8</v>
      </c>
      <c r="AG339" s="101" t="str">
        <f t="shared" si="66"/>
        <v/>
      </c>
      <c r="AH339" s="191">
        <f>115</f>
        <v>115</v>
      </c>
      <c r="AI339" s="69">
        <f t="shared" si="67"/>
        <v>216.55</v>
      </c>
    </row>
    <row r="340" spans="1:35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 t="s">
        <v>15</v>
      </c>
      <c r="I340" s="75">
        <v>11300</v>
      </c>
      <c r="J340" s="75">
        <v>56500</v>
      </c>
      <c r="K340" s="91" t="s">
        <v>901</v>
      </c>
      <c r="L340" s="73"/>
      <c r="M340" s="46">
        <v>0</v>
      </c>
      <c r="N340" s="46">
        <v>0</v>
      </c>
      <c r="O340" s="46">
        <v>0</v>
      </c>
      <c r="P340" s="98"/>
      <c r="Q340" s="23" t="s">
        <v>1429</v>
      </c>
      <c r="R340" s="24" t="s">
        <v>900</v>
      </c>
      <c r="S340" s="25" t="s">
        <v>325</v>
      </c>
      <c r="T340" s="26">
        <v>5</v>
      </c>
      <c r="U340" s="26">
        <v>5</v>
      </c>
      <c r="V340" s="26">
        <v>11300</v>
      </c>
      <c r="W340" s="26">
        <f t="shared" si="63"/>
        <v>0</v>
      </c>
      <c r="X340" s="26">
        <f t="shared" si="61"/>
        <v>0</v>
      </c>
      <c r="Y340" s="26">
        <f t="shared" si="64"/>
        <v>0</v>
      </c>
      <c r="Z340" s="26">
        <f t="shared" si="68"/>
        <v>0</v>
      </c>
      <c r="AA340" s="33" t="s">
        <v>15</v>
      </c>
      <c r="AB340" s="36" t="s">
        <v>16</v>
      </c>
      <c r="AC340" s="181">
        <f t="shared" si="65"/>
        <v>5</v>
      </c>
      <c r="AD340" s="181">
        <f t="shared" si="60"/>
        <v>56500</v>
      </c>
      <c r="AE340" s="181">
        <v>1.8</v>
      </c>
      <c r="AF340" s="181">
        <v>1.8</v>
      </c>
      <c r="AG340" s="101" t="str">
        <f t="shared" si="66"/>
        <v/>
      </c>
      <c r="AH340" s="190">
        <v>0</v>
      </c>
      <c r="AI340" s="69">
        <f t="shared" si="67"/>
        <v>5</v>
      </c>
    </row>
    <row r="341" spans="1:35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 t="s">
        <v>15</v>
      </c>
      <c r="I341" s="75">
        <v>13500</v>
      </c>
      <c r="J341" s="75">
        <v>108000</v>
      </c>
      <c r="K341" s="91" t="s">
        <v>904</v>
      </c>
      <c r="L341" s="73"/>
      <c r="M341" s="46">
        <v>0</v>
      </c>
      <c r="N341" s="46">
        <v>0</v>
      </c>
      <c r="O341" s="46">
        <v>0</v>
      </c>
      <c r="P341" s="98"/>
      <c r="Q341" s="23" t="s">
        <v>1430</v>
      </c>
      <c r="R341" s="24" t="s">
        <v>903</v>
      </c>
      <c r="S341" s="25" t="s">
        <v>325</v>
      </c>
      <c r="T341" s="26">
        <v>8</v>
      </c>
      <c r="U341" s="26">
        <v>8</v>
      </c>
      <c r="V341" s="26">
        <v>13500</v>
      </c>
      <c r="W341" s="26">
        <f t="shared" si="63"/>
        <v>0</v>
      </c>
      <c r="X341" s="26">
        <f t="shared" si="61"/>
        <v>0</v>
      </c>
      <c r="Y341" s="26">
        <f t="shared" si="64"/>
        <v>0</v>
      </c>
      <c r="Z341" s="26">
        <f t="shared" si="68"/>
        <v>0</v>
      </c>
      <c r="AA341" s="33" t="s">
        <v>15</v>
      </c>
      <c r="AB341" s="36" t="s">
        <v>16</v>
      </c>
      <c r="AC341" s="181">
        <f t="shared" si="65"/>
        <v>8</v>
      </c>
      <c r="AD341" s="181">
        <f t="shared" si="60"/>
        <v>108000</v>
      </c>
      <c r="AE341" s="181">
        <v>1.8</v>
      </c>
      <c r="AF341" s="181">
        <v>1.8</v>
      </c>
      <c r="AG341" s="101" t="str">
        <f t="shared" si="66"/>
        <v/>
      </c>
      <c r="AH341" s="190">
        <v>0</v>
      </c>
      <c r="AI341" s="69">
        <f t="shared" si="67"/>
        <v>8</v>
      </c>
    </row>
    <row r="342" spans="1:35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 t="s">
        <v>15</v>
      </c>
      <c r="I342" s="75">
        <v>112963.49</v>
      </c>
      <c r="J342" s="75">
        <v>112963.49</v>
      </c>
      <c r="K342" s="91" t="s">
        <v>907</v>
      </c>
      <c r="L342" s="73"/>
      <c r="M342" s="46">
        <v>0</v>
      </c>
      <c r="N342" s="46">
        <v>0</v>
      </c>
      <c r="O342" s="46">
        <v>0</v>
      </c>
      <c r="P342" s="98"/>
      <c r="Q342" s="23" t="s">
        <v>1431</v>
      </c>
      <c r="R342" s="24" t="s">
        <v>906</v>
      </c>
      <c r="S342" s="25" t="s">
        <v>73</v>
      </c>
      <c r="T342" s="26">
        <v>1</v>
      </c>
      <c r="U342" s="26">
        <v>1</v>
      </c>
      <c r="V342" s="26">
        <v>112963.49</v>
      </c>
      <c r="W342" s="26">
        <f t="shared" si="63"/>
        <v>0</v>
      </c>
      <c r="X342" s="26">
        <f t="shared" si="61"/>
        <v>0</v>
      </c>
      <c r="Y342" s="26">
        <f t="shared" si="64"/>
        <v>0</v>
      </c>
      <c r="Z342" s="26">
        <f t="shared" si="68"/>
        <v>0</v>
      </c>
      <c r="AA342" s="33" t="s">
        <v>15</v>
      </c>
      <c r="AB342" s="36" t="s">
        <v>16</v>
      </c>
      <c r="AC342" s="181">
        <f t="shared" si="65"/>
        <v>1</v>
      </c>
      <c r="AD342" s="181">
        <f t="shared" si="60"/>
        <v>112963.49</v>
      </c>
      <c r="AE342" s="181">
        <v>1.8</v>
      </c>
      <c r="AF342" s="181">
        <v>1.8</v>
      </c>
      <c r="AG342" s="101" t="str">
        <f t="shared" si="66"/>
        <v/>
      </c>
      <c r="AH342" s="190">
        <v>0</v>
      </c>
      <c r="AI342" s="69">
        <f t="shared" si="67"/>
        <v>1</v>
      </c>
    </row>
    <row r="343" spans="1:35" s="69" customFormat="1" ht="33" x14ac:dyDescent="0.3">
      <c r="A343" s="246" t="s">
        <v>908</v>
      </c>
      <c r="B343" s="247" t="s">
        <v>909</v>
      </c>
      <c r="C343" s="248" t="s">
        <v>14</v>
      </c>
      <c r="D343" s="249">
        <v>1</v>
      </c>
      <c r="E343" s="75"/>
      <c r="F343" s="75"/>
      <c r="G343" s="75"/>
      <c r="H343" s="75" t="s">
        <v>15</v>
      </c>
      <c r="I343" s="75">
        <v>322500</v>
      </c>
      <c r="J343" s="75">
        <v>322500</v>
      </c>
      <c r="K343" s="91" t="s">
        <v>910</v>
      </c>
      <c r="L343" s="73"/>
      <c r="M343" s="46">
        <v>0</v>
      </c>
      <c r="N343" s="46">
        <v>0</v>
      </c>
      <c r="O343" s="46">
        <v>0</v>
      </c>
      <c r="P343" s="98"/>
      <c r="Q343" s="23" t="s">
        <v>1395</v>
      </c>
      <c r="R343" s="24" t="s">
        <v>909</v>
      </c>
      <c r="S343" s="25" t="s">
        <v>14</v>
      </c>
      <c r="T343" s="26">
        <v>1</v>
      </c>
      <c r="U343" s="26">
        <v>1</v>
      </c>
      <c r="V343" s="26">
        <v>322500</v>
      </c>
      <c r="W343" s="26">
        <f t="shared" si="63"/>
        <v>0</v>
      </c>
      <c r="X343" s="26">
        <f t="shared" si="61"/>
        <v>0</v>
      </c>
      <c r="Y343" s="26">
        <f t="shared" si="64"/>
        <v>0</v>
      </c>
      <c r="Z343" s="26">
        <f t="shared" si="68"/>
        <v>0</v>
      </c>
      <c r="AA343" s="33" t="s">
        <v>15</v>
      </c>
      <c r="AB343" s="36" t="s">
        <v>16</v>
      </c>
      <c r="AC343" s="181">
        <f t="shared" si="65"/>
        <v>1</v>
      </c>
      <c r="AD343" s="181">
        <f t="shared" si="60"/>
        <v>322500</v>
      </c>
      <c r="AE343" s="181">
        <v>1.8</v>
      </c>
      <c r="AF343" s="181">
        <v>1.8</v>
      </c>
      <c r="AG343" s="101" t="str">
        <f t="shared" si="66"/>
        <v/>
      </c>
      <c r="AH343" s="190">
        <v>0</v>
      </c>
      <c r="AI343" s="69">
        <f t="shared" si="67"/>
        <v>1</v>
      </c>
    </row>
    <row r="344" spans="1:35" s="69" customFormat="1" ht="33" x14ac:dyDescent="0.3">
      <c r="A344" s="246" t="s">
        <v>911</v>
      </c>
      <c r="B344" s="247" t="s">
        <v>912</v>
      </c>
      <c r="C344" s="248" t="s">
        <v>325</v>
      </c>
      <c r="D344" s="249">
        <v>7</v>
      </c>
      <c r="E344" s="75"/>
      <c r="F344" s="75"/>
      <c r="G344" s="75"/>
      <c r="H344" s="75" t="s">
        <v>15</v>
      </c>
      <c r="I344" s="75">
        <v>15500</v>
      </c>
      <c r="J344" s="75">
        <v>108500</v>
      </c>
      <c r="K344" s="91" t="s">
        <v>913</v>
      </c>
      <c r="L344" s="73"/>
      <c r="M344" s="46">
        <v>0</v>
      </c>
      <c r="N344" s="46">
        <v>0</v>
      </c>
      <c r="O344" s="46">
        <v>0</v>
      </c>
      <c r="P344" s="98"/>
      <c r="Q344" s="23" t="s">
        <v>1432</v>
      </c>
      <c r="R344" s="24" t="s">
        <v>912</v>
      </c>
      <c r="S344" s="25" t="s">
        <v>325</v>
      </c>
      <c r="T344" s="26">
        <v>7</v>
      </c>
      <c r="U344" s="26">
        <v>7</v>
      </c>
      <c r="V344" s="26">
        <v>15500</v>
      </c>
      <c r="W344" s="26">
        <f t="shared" si="63"/>
        <v>0</v>
      </c>
      <c r="X344" s="26">
        <f t="shared" si="61"/>
        <v>0</v>
      </c>
      <c r="Y344" s="26">
        <f t="shared" si="64"/>
        <v>0</v>
      </c>
      <c r="Z344" s="26">
        <f t="shared" si="68"/>
        <v>0</v>
      </c>
      <c r="AA344" s="33" t="s">
        <v>15</v>
      </c>
      <c r="AB344" s="36" t="s">
        <v>16</v>
      </c>
      <c r="AC344" s="181">
        <f t="shared" si="65"/>
        <v>7</v>
      </c>
      <c r="AD344" s="181">
        <f t="shared" si="60"/>
        <v>108500</v>
      </c>
      <c r="AE344" s="181">
        <v>1.8</v>
      </c>
      <c r="AF344" s="181">
        <v>1.8</v>
      </c>
      <c r="AG344" s="101" t="str">
        <f t="shared" si="66"/>
        <v/>
      </c>
      <c r="AH344" s="190">
        <v>0</v>
      </c>
      <c r="AI344" s="69">
        <f t="shared" si="67"/>
        <v>7</v>
      </c>
    </row>
    <row r="345" spans="1:35" s="69" customFormat="1" ht="33" x14ac:dyDescent="0.3">
      <c r="A345" s="246" t="s">
        <v>914</v>
      </c>
      <c r="B345" s="247" t="s">
        <v>915</v>
      </c>
      <c r="C345" s="248" t="s">
        <v>325</v>
      </c>
      <c r="D345" s="249">
        <v>2</v>
      </c>
      <c r="E345" s="75"/>
      <c r="F345" s="75"/>
      <c r="G345" s="75"/>
      <c r="H345" s="75" t="s">
        <v>15</v>
      </c>
      <c r="I345" s="75">
        <v>113300</v>
      </c>
      <c r="J345" s="75">
        <v>226600</v>
      </c>
      <c r="K345" s="91" t="s">
        <v>916</v>
      </c>
      <c r="L345" s="73"/>
      <c r="M345" s="46">
        <v>0</v>
      </c>
      <c r="N345" s="46">
        <v>0</v>
      </c>
      <c r="O345" s="46">
        <v>0</v>
      </c>
      <c r="P345" s="98"/>
      <c r="Q345" s="23" t="s">
        <v>1433</v>
      </c>
      <c r="R345" s="24" t="s">
        <v>915</v>
      </c>
      <c r="S345" s="25" t="s">
        <v>325</v>
      </c>
      <c r="T345" s="26">
        <v>2</v>
      </c>
      <c r="U345" s="26">
        <v>2</v>
      </c>
      <c r="V345" s="26">
        <v>113300</v>
      </c>
      <c r="W345" s="26">
        <f t="shared" si="63"/>
        <v>0</v>
      </c>
      <c r="X345" s="26">
        <f t="shared" si="61"/>
        <v>0</v>
      </c>
      <c r="Y345" s="26">
        <f t="shared" si="64"/>
        <v>0</v>
      </c>
      <c r="Z345" s="26">
        <f t="shared" si="68"/>
        <v>0</v>
      </c>
      <c r="AA345" s="33" t="s">
        <v>15</v>
      </c>
      <c r="AB345" s="36" t="s">
        <v>16</v>
      </c>
      <c r="AC345" s="181">
        <f t="shared" si="65"/>
        <v>2</v>
      </c>
      <c r="AD345" s="181">
        <f t="shared" si="60"/>
        <v>226600</v>
      </c>
      <c r="AE345" s="181">
        <v>1.8</v>
      </c>
      <c r="AF345" s="181">
        <v>1.8</v>
      </c>
      <c r="AG345" s="101" t="str">
        <f t="shared" si="66"/>
        <v/>
      </c>
      <c r="AH345" s="190">
        <v>0</v>
      </c>
      <c r="AI345" s="69">
        <f t="shared" si="67"/>
        <v>2</v>
      </c>
    </row>
    <row r="346" spans="1:35" s="69" customFormat="1" ht="33" x14ac:dyDescent="0.3">
      <c r="A346" s="130" t="s">
        <v>917</v>
      </c>
      <c r="B346" s="131" t="s">
        <v>918</v>
      </c>
      <c r="C346" s="132" t="s">
        <v>325</v>
      </c>
      <c r="D346" s="133">
        <v>9</v>
      </c>
      <c r="E346" s="75"/>
      <c r="F346" s="75"/>
      <c r="G346" s="75"/>
      <c r="H346" s="75" t="s">
        <v>15</v>
      </c>
      <c r="I346" s="75">
        <v>100000</v>
      </c>
      <c r="J346" s="75">
        <v>900000</v>
      </c>
      <c r="K346" s="91" t="s">
        <v>919</v>
      </c>
      <c r="L346" s="73"/>
      <c r="M346" s="46">
        <v>6</v>
      </c>
      <c r="N346" s="46">
        <v>0</v>
      </c>
      <c r="O346" s="46">
        <v>600000</v>
      </c>
      <c r="P346" s="98"/>
      <c r="Q346" s="23" t="s">
        <v>1382</v>
      </c>
      <c r="R346" s="24" t="s">
        <v>918</v>
      </c>
      <c r="S346" s="25" t="s">
        <v>325</v>
      </c>
      <c r="T346" s="26">
        <v>9</v>
      </c>
      <c r="U346" s="26">
        <v>9</v>
      </c>
      <c r="V346" s="26">
        <v>100000</v>
      </c>
      <c r="W346" s="243">
        <f t="shared" si="63"/>
        <v>3</v>
      </c>
      <c r="X346" s="127">
        <f t="shared" si="61"/>
        <v>9</v>
      </c>
      <c r="Y346" s="127">
        <f t="shared" si="64"/>
        <v>300000</v>
      </c>
      <c r="Z346" s="127">
        <f t="shared" si="68"/>
        <v>900000</v>
      </c>
      <c r="AA346" s="33" t="s">
        <v>15</v>
      </c>
      <c r="AB346" s="36" t="s">
        <v>16</v>
      </c>
      <c r="AC346" s="181">
        <f t="shared" si="65"/>
        <v>9</v>
      </c>
      <c r="AD346" s="181">
        <f t="shared" si="60"/>
        <v>900000</v>
      </c>
      <c r="AE346" s="181">
        <v>1.8</v>
      </c>
      <c r="AF346" s="181">
        <v>1.8</v>
      </c>
      <c r="AG346" s="101" t="str">
        <f t="shared" si="66"/>
        <v/>
      </c>
      <c r="AH346" s="191">
        <f>1+2+3+3</f>
        <v>9</v>
      </c>
      <c r="AI346" s="69">
        <f t="shared" si="67"/>
        <v>9</v>
      </c>
    </row>
    <row r="347" spans="1:35" s="69" customFormat="1" ht="33" x14ac:dyDescent="0.3">
      <c r="A347" s="55" t="s">
        <v>920</v>
      </c>
      <c r="B347" s="53" t="s">
        <v>921</v>
      </c>
      <c r="C347" s="54" t="s">
        <v>81</v>
      </c>
      <c r="D347" s="75">
        <v>2</v>
      </c>
      <c r="E347" s="75"/>
      <c r="F347" s="75"/>
      <c r="G347" s="75"/>
      <c r="H347" s="75" t="s">
        <v>15</v>
      </c>
      <c r="I347" s="75">
        <v>15000</v>
      </c>
      <c r="J347" s="75">
        <v>30000</v>
      </c>
      <c r="K347" s="91" t="s">
        <v>922</v>
      </c>
      <c r="L347" s="73"/>
      <c r="M347" s="46">
        <v>1</v>
      </c>
      <c r="N347" s="46">
        <v>0</v>
      </c>
      <c r="O347" s="46">
        <v>15000</v>
      </c>
      <c r="P347" s="98"/>
      <c r="Q347" s="23" t="s">
        <v>1434</v>
      </c>
      <c r="R347" s="24" t="s">
        <v>921</v>
      </c>
      <c r="S347" s="25" t="s">
        <v>81</v>
      </c>
      <c r="T347" s="26">
        <v>2</v>
      </c>
      <c r="U347" s="26">
        <v>2</v>
      </c>
      <c r="V347" s="26">
        <v>15000</v>
      </c>
      <c r="W347" s="243">
        <f t="shared" si="63"/>
        <v>0</v>
      </c>
      <c r="X347" s="26">
        <f t="shared" si="61"/>
        <v>1</v>
      </c>
      <c r="Y347" s="26">
        <f t="shared" si="64"/>
        <v>0</v>
      </c>
      <c r="Z347" s="26">
        <f t="shared" si="68"/>
        <v>15000</v>
      </c>
      <c r="AA347" s="33" t="s">
        <v>15</v>
      </c>
      <c r="AB347" s="36" t="s">
        <v>16</v>
      </c>
      <c r="AC347" s="181">
        <f t="shared" si="65"/>
        <v>2</v>
      </c>
      <c r="AD347" s="181">
        <f t="shared" si="60"/>
        <v>30000</v>
      </c>
      <c r="AE347" s="181">
        <v>1.8</v>
      </c>
      <c r="AF347" s="181">
        <v>1.8</v>
      </c>
      <c r="AG347" s="101" t="str">
        <f t="shared" si="66"/>
        <v/>
      </c>
      <c r="AH347" s="191">
        <v>1</v>
      </c>
      <c r="AI347" s="69">
        <f t="shared" si="67"/>
        <v>2</v>
      </c>
    </row>
    <row r="348" spans="1:35" s="69" customFormat="1" ht="39" x14ac:dyDescent="0.3">
      <c r="A348" s="55" t="s">
        <v>923</v>
      </c>
      <c r="B348" s="53" t="s">
        <v>3157</v>
      </c>
      <c r="C348" s="54" t="s">
        <v>925</v>
      </c>
      <c r="D348" s="75">
        <v>1</v>
      </c>
      <c r="E348" s="75"/>
      <c r="F348" s="75"/>
      <c r="G348" s="75"/>
      <c r="H348" s="75" t="s">
        <v>15</v>
      </c>
      <c r="I348" s="75">
        <v>15000</v>
      </c>
      <c r="J348" s="75">
        <v>15000</v>
      </c>
      <c r="K348" s="91" t="s">
        <v>926</v>
      </c>
      <c r="L348" s="73"/>
      <c r="M348" s="46">
        <v>0</v>
      </c>
      <c r="N348" s="46">
        <v>0</v>
      </c>
      <c r="O348" s="46">
        <v>0</v>
      </c>
      <c r="P348" s="98"/>
      <c r="Q348" s="23" t="s">
        <v>1388</v>
      </c>
      <c r="R348" s="24" t="s">
        <v>924</v>
      </c>
      <c r="S348" s="25" t="s">
        <v>925</v>
      </c>
      <c r="T348" s="26">
        <v>1</v>
      </c>
      <c r="U348" s="26">
        <v>1</v>
      </c>
      <c r="V348" s="26">
        <v>15000</v>
      </c>
      <c r="W348" s="26">
        <f t="shared" si="63"/>
        <v>0</v>
      </c>
      <c r="X348" s="26">
        <f t="shared" si="61"/>
        <v>0</v>
      </c>
      <c r="Y348" s="26">
        <f t="shared" si="64"/>
        <v>0</v>
      </c>
      <c r="Z348" s="26">
        <f t="shared" si="68"/>
        <v>0</v>
      </c>
      <c r="AA348" s="33" t="s">
        <v>15</v>
      </c>
      <c r="AB348" s="36" t="s">
        <v>16</v>
      </c>
      <c r="AC348" s="181">
        <f t="shared" si="65"/>
        <v>1</v>
      </c>
      <c r="AD348" s="181">
        <f t="shared" si="60"/>
        <v>15000</v>
      </c>
      <c r="AE348" s="181">
        <v>1.8</v>
      </c>
      <c r="AF348" s="181">
        <v>1.8</v>
      </c>
      <c r="AG348" s="101" t="str">
        <f t="shared" si="66"/>
        <v/>
      </c>
      <c r="AH348" s="190">
        <v>0</v>
      </c>
      <c r="AI348" s="69">
        <f t="shared" si="67"/>
        <v>1</v>
      </c>
    </row>
    <row r="349" spans="1:35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 t="s">
        <v>15</v>
      </c>
      <c r="I349" s="75">
        <v>1500</v>
      </c>
      <c r="J349" s="75">
        <v>1500</v>
      </c>
      <c r="K349" s="91" t="s">
        <v>929</v>
      </c>
      <c r="L349" s="73"/>
      <c r="M349" s="46">
        <v>0</v>
      </c>
      <c r="N349" s="46">
        <v>0</v>
      </c>
      <c r="O349" s="46">
        <v>0</v>
      </c>
      <c r="P349" s="98"/>
      <c r="Q349" s="23" t="s">
        <v>1389</v>
      </c>
      <c r="R349" s="24" t="s">
        <v>928</v>
      </c>
      <c r="S349" s="25" t="s">
        <v>325</v>
      </c>
      <c r="T349" s="26">
        <v>1</v>
      </c>
      <c r="U349" s="26">
        <v>1</v>
      </c>
      <c r="V349" s="26">
        <v>1500</v>
      </c>
      <c r="W349" s="26">
        <f t="shared" si="63"/>
        <v>0</v>
      </c>
      <c r="X349" s="26">
        <f t="shared" si="61"/>
        <v>0</v>
      </c>
      <c r="Y349" s="26">
        <f t="shared" si="64"/>
        <v>0</v>
      </c>
      <c r="Z349" s="26">
        <f t="shared" si="68"/>
        <v>0</v>
      </c>
      <c r="AA349" s="33" t="s">
        <v>15</v>
      </c>
      <c r="AB349" s="36" t="s">
        <v>16</v>
      </c>
      <c r="AC349" s="181">
        <f t="shared" si="65"/>
        <v>1</v>
      </c>
      <c r="AD349" s="181">
        <f t="shared" si="60"/>
        <v>1500</v>
      </c>
      <c r="AE349" s="181">
        <v>1.8</v>
      </c>
      <c r="AF349" s="181">
        <v>1.8</v>
      </c>
      <c r="AG349" s="101" t="str">
        <f t="shared" si="66"/>
        <v/>
      </c>
      <c r="AH349" s="190">
        <v>0</v>
      </c>
      <c r="AI349" s="69">
        <f t="shared" si="67"/>
        <v>1</v>
      </c>
    </row>
    <row r="350" spans="1:35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 t="s">
        <v>15</v>
      </c>
      <c r="I350" s="75">
        <v>2600</v>
      </c>
      <c r="J350" s="75">
        <v>7800</v>
      </c>
      <c r="K350" s="91" t="s">
        <v>933</v>
      </c>
      <c r="L350" s="73"/>
      <c r="M350" s="46">
        <v>0</v>
      </c>
      <c r="N350" s="46">
        <v>0</v>
      </c>
      <c r="O350" s="46">
        <v>0</v>
      </c>
      <c r="P350" s="98"/>
      <c r="Q350" s="23" t="s">
        <v>1390</v>
      </c>
      <c r="R350" s="24" t="s">
        <v>931</v>
      </c>
      <c r="S350" s="25" t="s">
        <v>932</v>
      </c>
      <c r="T350" s="26">
        <v>3</v>
      </c>
      <c r="U350" s="26">
        <v>3</v>
      </c>
      <c r="V350" s="26">
        <v>2600</v>
      </c>
      <c r="W350" s="26">
        <f t="shared" si="63"/>
        <v>0</v>
      </c>
      <c r="X350" s="26">
        <f t="shared" si="61"/>
        <v>0</v>
      </c>
      <c r="Y350" s="26">
        <f t="shared" si="64"/>
        <v>0</v>
      </c>
      <c r="Z350" s="26">
        <f t="shared" si="68"/>
        <v>0</v>
      </c>
      <c r="AA350" s="33" t="s">
        <v>15</v>
      </c>
      <c r="AB350" s="36" t="s">
        <v>16</v>
      </c>
      <c r="AC350" s="181">
        <f t="shared" si="65"/>
        <v>3</v>
      </c>
      <c r="AD350" s="181">
        <f t="shared" si="60"/>
        <v>7800</v>
      </c>
      <c r="AE350" s="181">
        <v>1.8</v>
      </c>
      <c r="AF350" s="181">
        <v>1.8</v>
      </c>
      <c r="AG350" s="101" t="str">
        <f t="shared" si="66"/>
        <v/>
      </c>
      <c r="AH350" s="190">
        <v>0</v>
      </c>
      <c r="AI350" s="69">
        <f t="shared" si="67"/>
        <v>3</v>
      </c>
    </row>
    <row r="351" spans="1:35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 t="s">
        <v>15</v>
      </c>
      <c r="I351" s="75">
        <v>4460</v>
      </c>
      <c r="J351" s="75">
        <v>169480</v>
      </c>
      <c r="K351" s="91" t="s">
        <v>936</v>
      </c>
      <c r="L351" s="73"/>
      <c r="M351" s="46">
        <v>0</v>
      </c>
      <c r="N351" s="46">
        <v>0</v>
      </c>
      <c r="O351" s="46">
        <v>0</v>
      </c>
      <c r="P351" s="98"/>
      <c r="Q351" s="23" t="s">
        <v>1391</v>
      </c>
      <c r="R351" s="24" t="s">
        <v>935</v>
      </c>
      <c r="S351" s="25" t="s">
        <v>932</v>
      </c>
      <c r="T351" s="26">
        <v>38</v>
      </c>
      <c r="U351" s="26">
        <v>38</v>
      </c>
      <c r="V351" s="26">
        <v>4460</v>
      </c>
      <c r="W351" s="243">
        <f t="shared" si="63"/>
        <v>31</v>
      </c>
      <c r="X351" s="26">
        <f t="shared" si="61"/>
        <v>31</v>
      </c>
      <c r="Y351" s="26">
        <f t="shared" si="64"/>
        <v>138260</v>
      </c>
      <c r="Z351" s="26">
        <f t="shared" si="68"/>
        <v>138260</v>
      </c>
      <c r="AA351" s="33" t="s">
        <v>15</v>
      </c>
      <c r="AB351" s="36" t="s">
        <v>16</v>
      </c>
      <c r="AC351" s="181">
        <f t="shared" si="65"/>
        <v>38</v>
      </c>
      <c r="AD351" s="181">
        <f t="shared" si="60"/>
        <v>169480</v>
      </c>
      <c r="AE351" s="181">
        <v>1.8</v>
      </c>
      <c r="AF351" s="181">
        <v>1.8</v>
      </c>
      <c r="AG351" s="101" t="str">
        <f t="shared" si="66"/>
        <v/>
      </c>
      <c r="AH351" s="191">
        <f>31</f>
        <v>31</v>
      </c>
      <c r="AI351" s="69">
        <f t="shared" si="67"/>
        <v>38</v>
      </c>
    </row>
    <row r="352" spans="1:35" s="69" customFormat="1" ht="39" x14ac:dyDescent="0.3">
      <c r="A352" s="55" t="s">
        <v>937</v>
      </c>
      <c r="B352" s="118" t="s">
        <v>938</v>
      </c>
      <c r="C352" s="119" t="s">
        <v>30</v>
      </c>
      <c r="D352" s="120">
        <v>1352</v>
      </c>
      <c r="E352" s="75"/>
      <c r="F352" s="75"/>
      <c r="G352" s="75"/>
      <c r="H352" s="75" t="s">
        <v>15</v>
      </c>
      <c r="I352" s="75">
        <v>30.59</v>
      </c>
      <c r="J352" s="75">
        <v>41357.68</v>
      </c>
      <c r="K352" s="91" t="s">
        <v>939</v>
      </c>
      <c r="L352" s="73"/>
      <c r="M352" s="46">
        <v>0</v>
      </c>
      <c r="N352" s="46">
        <v>0</v>
      </c>
      <c r="O352" s="46">
        <v>0</v>
      </c>
      <c r="P352" s="98"/>
      <c r="Q352" s="23" t="s">
        <v>1436</v>
      </c>
      <c r="R352" s="24" t="s">
        <v>938</v>
      </c>
      <c r="S352" s="25" t="s">
        <v>30</v>
      </c>
      <c r="T352" s="26">
        <v>1352</v>
      </c>
      <c r="U352" s="26">
        <v>1352</v>
      </c>
      <c r="V352" s="26">
        <v>30.59</v>
      </c>
      <c r="W352" s="243">
        <f t="shared" si="63"/>
        <v>1083</v>
      </c>
      <c r="X352" s="26">
        <f t="shared" si="61"/>
        <v>1083</v>
      </c>
      <c r="Y352" s="26">
        <f t="shared" si="64"/>
        <v>33128.97</v>
      </c>
      <c r="Z352" s="26">
        <f t="shared" si="68"/>
        <v>33128.97</v>
      </c>
      <c r="AA352" s="33" t="s">
        <v>15</v>
      </c>
      <c r="AB352" s="36" t="s">
        <v>16</v>
      </c>
      <c r="AC352" s="181">
        <f t="shared" si="65"/>
        <v>1352</v>
      </c>
      <c r="AD352" s="181">
        <f t="shared" si="60"/>
        <v>41357.68</v>
      </c>
      <c r="AE352" s="181">
        <v>1.8</v>
      </c>
      <c r="AF352" s="181">
        <v>1.8</v>
      </c>
      <c r="AG352" s="101" t="str">
        <f t="shared" si="66"/>
        <v/>
      </c>
      <c r="AH352" s="191">
        <f>1083</f>
        <v>1083</v>
      </c>
      <c r="AI352" s="69">
        <f t="shared" si="67"/>
        <v>1352</v>
      </c>
    </row>
    <row r="353" spans="1:35" s="69" customFormat="1" ht="58.5" x14ac:dyDescent="0.3">
      <c r="A353" s="55" t="s">
        <v>940</v>
      </c>
      <c r="B353" s="118" t="s">
        <v>941</v>
      </c>
      <c r="C353" s="119" t="s">
        <v>30</v>
      </c>
      <c r="D353" s="120">
        <v>300</v>
      </c>
      <c r="E353" s="75"/>
      <c r="F353" s="75"/>
      <c r="G353" s="75"/>
      <c r="H353" s="75" t="s">
        <v>15</v>
      </c>
      <c r="I353" s="75">
        <v>972.45</v>
      </c>
      <c r="J353" s="75">
        <v>291735</v>
      </c>
      <c r="K353" s="91" t="s">
        <v>942</v>
      </c>
      <c r="L353" s="73"/>
      <c r="M353" s="46">
        <v>0</v>
      </c>
      <c r="N353" s="46">
        <v>0</v>
      </c>
      <c r="O353" s="46">
        <v>0</v>
      </c>
      <c r="P353" s="98"/>
      <c r="Q353" s="23" t="s">
        <v>1374</v>
      </c>
      <c r="R353" s="24" t="s">
        <v>941</v>
      </c>
      <c r="S353" s="25" t="s">
        <v>30</v>
      </c>
      <c r="T353" s="26">
        <v>300</v>
      </c>
      <c r="U353" s="26">
        <v>300</v>
      </c>
      <c r="V353" s="26">
        <v>972.45</v>
      </c>
      <c r="W353" s="26">
        <f t="shared" si="63"/>
        <v>0</v>
      </c>
      <c r="X353" s="26">
        <f t="shared" si="61"/>
        <v>0</v>
      </c>
      <c r="Y353" s="26">
        <f t="shared" si="64"/>
        <v>0</v>
      </c>
      <c r="Z353" s="26">
        <f t="shared" si="68"/>
        <v>0</v>
      </c>
      <c r="AA353" s="33" t="s">
        <v>15</v>
      </c>
      <c r="AB353" s="36" t="s">
        <v>16</v>
      </c>
      <c r="AC353" s="181">
        <f t="shared" si="65"/>
        <v>300</v>
      </c>
      <c r="AD353" s="181">
        <f t="shared" si="60"/>
        <v>291735</v>
      </c>
      <c r="AE353" s="181">
        <v>1.8</v>
      </c>
      <c r="AF353" s="181">
        <v>1.8</v>
      </c>
      <c r="AG353" s="101" t="str">
        <f t="shared" si="66"/>
        <v/>
      </c>
      <c r="AH353" s="190">
        <v>0</v>
      </c>
      <c r="AI353" s="69">
        <f t="shared" si="67"/>
        <v>300</v>
      </c>
    </row>
    <row r="354" spans="1:35" s="69" customFormat="1" ht="58.5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 t="s">
        <v>15</v>
      </c>
      <c r="I354" s="75">
        <v>628.34</v>
      </c>
      <c r="J354" s="75">
        <v>158341.68</v>
      </c>
      <c r="K354" s="91" t="s">
        <v>945</v>
      </c>
      <c r="L354" s="73"/>
      <c r="M354" s="46">
        <v>0</v>
      </c>
      <c r="N354" s="46">
        <v>0</v>
      </c>
      <c r="O354" s="46">
        <v>0</v>
      </c>
      <c r="P354" s="98"/>
      <c r="Q354" s="23" t="s">
        <v>1376</v>
      </c>
      <c r="R354" s="24" t="s">
        <v>944</v>
      </c>
      <c r="S354" s="25" t="s">
        <v>30</v>
      </c>
      <c r="T354" s="26">
        <v>252</v>
      </c>
      <c r="U354" s="26">
        <v>252</v>
      </c>
      <c r="V354" s="26">
        <v>628.34</v>
      </c>
      <c r="W354" s="26">
        <f t="shared" si="63"/>
        <v>0</v>
      </c>
      <c r="X354" s="26">
        <f t="shared" si="61"/>
        <v>0</v>
      </c>
      <c r="Y354" s="26">
        <f t="shared" si="64"/>
        <v>0</v>
      </c>
      <c r="Z354" s="26">
        <f t="shared" si="68"/>
        <v>0</v>
      </c>
      <c r="AA354" s="33" t="s">
        <v>15</v>
      </c>
      <c r="AB354" s="36" t="s">
        <v>16</v>
      </c>
      <c r="AC354" s="181">
        <f t="shared" si="65"/>
        <v>252</v>
      </c>
      <c r="AD354" s="181">
        <f t="shared" si="60"/>
        <v>158341.68</v>
      </c>
      <c r="AE354" s="181">
        <v>1.8</v>
      </c>
      <c r="AF354" s="181">
        <v>1.8</v>
      </c>
      <c r="AG354" s="101" t="str">
        <f t="shared" si="66"/>
        <v/>
      </c>
      <c r="AH354" s="190">
        <v>0</v>
      </c>
      <c r="AI354" s="69">
        <f t="shared" si="67"/>
        <v>252</v>
      </c>
    </row>
    <row r="355" spans="1:35" s="69" customFormat="1" ht="58.5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 t="s">
        <v>15</v>
      </c>
      <c r="I355" s="75">
        <v>497.09</v>
      </c>
      <c r="J355" s="75">
        <v>17895.240000000002</v>
      </c>
      <c r="K355" s="91" t="s">
        <v>948</v>
      </c>
      <c r="L355" s="73"/>
      <c r="M355" s="46">
        <v>0</v>
      </c>
      <c r="N355" s="46">
        <v>0</v>
      </c>
      <c r="O355" s="46">
        <v>0</v>
      </c>
      <c r="P355" s="98"/>
      <c r="Q355" s="23" t="s">
        <v>1378</v>
      </c>
      <c r="R355" s="24" t="s">
        <v>947</v>
      </c>
      <c r="S355" s="25" t="s">
        <v>30</v>
      </c>
      <c r="T355" s="26">
        <v>36</v>
      </c>
      <c r="U355" s="26">
        <v>36</v>
      </c>
      <c r="V355" s="26">
        <v>497.09</v>
      </c>
      <c r="W355" s="26">
        <f t="shared" si="63"/>
        <v>0</v>
      </c>
      <c r="X355" s="26">
        <f t="shared" si="61"/>
        <v>0</v>
      </c>
      <c r="Y355" s="26">
        <f t="shared" si="64"/>
        <v>0</v>
      </c>
      <c r="Z355" s="26">
        <f t="shared" si="68"/>
        <v>0</v>
      </c>
      <c r="AA355" s="33" t="s">
        <v>15</v>
      </c>
      <c r="AB355" s="36" t="s">
        <v>16</v>
      </c>
      <c r="AC355" s="181">
        <f t="shared" si="65"/>
        <v>36</v>
      </c>
      <c r="AD355" s="181">
        <f t="shared" si="60"/>
        <v>17895.240000000002</v>
      </c>
      <c r="AE355" s="181">
        <v>1.8</v>
      </c>
      <c r="AF355" s="181">
        <v>1.8</v>
      </c>
      <c r="AG355" s="101" t="str">
        <f t="shared" si="66"/>
        <v/>
      </c>
      <c r="AH355" s="190">
        <v>0</v>
      </c>
      <c r="AI355" s="69">
        <f t="shared" si="67"/>
        <v>36</v>
      </c>
    </row>
    <row r="356" spans="1:35" s="69" customFormat="1" ht="58.5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 t="s">
        <v>15</v>
      </c>
      <c r="I356" s="75">
        <v>270.2</v>
      </c>
      <c r="J356" s="75">
        <v>42961.8</v>
      </c>
      <c r="K356" s="91" t="s">
        <v>951</v>
      </c>
      <c r="L356" s="73"/>
      <c r="M356" s="46">
        <v>0</v>
      </c>
      <c r="N356" s="46">
        <v>0</v>
      </c>
      <c r="O356" s="46">
        <v>0</v>
      </c>
      <c r="P356" s="98"/>
      <c r="Q356" s="23" t="s">
        <v>1438</v>
      </c>
      <c r="R356" s="24" t="s">
        <v>950</v>
      </c>
      <c r="S356" s="25" t="s">
        <v>30</v>
      </c>
      <c r="T356" s="26">
        <v>159</v>
      </c>
      <c r="U356" s="26">
        <v>159</v>
      </c>
      <c r="V356" s="26">
        <v>270.2</v>
      </c>
      <c r="W356" s="26">
        <f t="shared" si="63"/>
        <v>0</v>
      </c>
      <c r="X356" s="26">
        <f t="shared" si="61"/>
        <v>0</v>
      </c>
      <c r="Y356" s="26">
        <f t="shared" si="64"/>
        <v>0</v>
      </c>
      <c r="Z356" s="26">
        <f t="shared" si="68"/>
        <v>0</v>
      </c>
      <c r="AA356" s="33" t="s">
        <v>15</v>
      </c>
      <c r="AB356" s="36" t="s">
        <v>16</v>
      </c>
      <c r="AC356" s="181">
        <f t="shared" si="65"/>
        <v>159</v>
      </c>
      <c r="AD356" s="181">
        <f t="shared" si="60"/>
        <v>42961.8</v>
      </c>
      <c r="AE356" s="181">
        <v>1.8</v>
      </c>
      <c r="AF356" s="181">
        <v>1.8</v>
      </c>
      <c r="AG356" s="101" t="str">
        <f t="shared" si="66"/>
        <v/>
      </c>
      <c r="AH356" s="190">
        <v>0</v>
      </c>
      <c r="AI356" s="69">
        <f t="shared" si="67"/>
        <v>159</v>
      </c>
    </row>
    <row r="357" spans="1:35" s="69" customFormat="1" ht="58.5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 t="s">
        <v>15</v>
      </c>
      <c r="I357" s="75">
        <v>152.94</v>
      </c>
      <c r="J357" s="75">
        <v>183375.06</v>
      </c>
      <c r="K357" s="91" t="s">
        <v>954</v>
      </c>
      <c r="L357" s="73"/>
      <c r="M357" s="46">
        <v>563.9</v>
      </c>
      <c r="N357" s="46">
        <v>20937.489999999998</v>
      </c>
      <c r="O357" s="46">
        <v>86242.87</v>
      </c>
      <c r="P357" s="98"/>
      <c r="Q357" s="23" t="s">
        <v>1439</v>
      </c>
      <c r="R357" s="24" t="s">
        <v>953</v>
      </c>
      <c r="S357" s="25" t="s">
        <v>30</v>
      </c>
      <c r="T357" s="26">
        <v>1199</v>
      </c>
      <c r="U357" s="26">
        <v>1199</v>
      </c>
      <c r="V357" s="26">
        <v>152.94</v>
      </c>
      <c r="W357" s="243">
        <f t="shared" si="63"/>
        <v>605.1</v>
      </c>
      <c r="X357" s="26">
        <f t="shared" si="61"/>
        <v>1169</v>
      </c>
      <c r="Y357" s="26">
        <f t="shared" si="64"/>
        <v>92543.989999999991</v>
      </c>
      <c r="Z357" s="26">
        <f t="shared" si="68"/>
        <v>178786.86</v>
      </c>
      <c r="AA357" s="33" t="s">
        <v>15</v>
      </c>
      <c r="AB357" s="36" t="s">
        <v>16</v>
      </c>
      <c r="AC357" s="181">
        <f t="shared" si="65"/>
        <v>1199</v>
      </c>
      <c r="AD357" s="181">
        <f t="shared" si="60"/>
        <v>183375.06</v>
      </c>
      <c r="AE357" s="181">
        <v>1.8</v>
      </c>
      <c r="AF357" s="181">
        <v>1.8</v>
      </c>
      <c r="AG357" s="101" t="str">
        <f t="shared" si="66"/>
        <v/>
      </c>
      <c r="AH357" s="191">
        <f>427+136.9+605.1</f>
        <v>1169</v>
      </c>
      <c r="AI357" s="69">
        <f t="shared" si="67"/>
        <v>1199</v>
      </c>
    </row>
    <row r="358" spans="1:35" s="69" customFormat="1" ht="33" x14ac:dyDescent="0.3">
      <c r="A358" s="130" t="s">
        <v>955</v>
      </c>
      <c r="B358" s="240" t="s">
        <v>956</v>
      </c>
      <c r="C358" s="132" t="s">
        <v>30</v>
      </c>
      <c r="D358" s="133">
        <v>144</v>
      </c>
      <c r="E358" s="75"/>
      <c r="F358" s="75"/>
      <c r="G358" s="75"/>
      <c r="H358" s="75" t="s">
        <v>15</v>
      </c>
      <c r="I358" s="75">
        <v>228.14</v>
      </c>
      <c r="J358" s="75">
        <v>32852.160000000003</v>
      </c>
      <c r="K358" s="91" t="s">
        <v>957</v>
      </c>
      <c r="L358" s="73"/>
      <c r="M358" s="46">
        <v>75</v>
      </c>
      <c r="N358" s="46">
        <v>0</v>
      </c>
      <c r="O358" s="46">
        <v>17110.5</v>
      </c>
      <c r="P358" s="98"/>
      <c r="Q358" s="23" t="s">
        <v>1440</v>
      </c>
      <c r="R358" s="24" t="s">
        <v>956</v>
      </c>
      <c r="S358" s="25" t="s">
        <v>30</v>
      </c>
      <c r="T358" s="26">
        <v>144</v>
      </c>
      <c r="U358" s="26">
        <v>144</v>
      </c>
      <c r="V358" s="26">
        <v>228.14</v>
      </c>
      <c r="W358" s="243">
        <f t="shared" si="63"/>
        <v>69</v>
      </c>
      <c r="X358" s="127">
        <f t="shared" si="61"/>
        <v>144</v>
      </c>
      <c r="Y358" s="127">
        <f t="shared" si="64"/>
        <v>15741.660000000003</v>
      </c>
      <c r="Z358" s="127">
        <f t="shared" si="68"/>
        <v>32852.160000000003</v>
      </c>
      <c r="AA358" s="33" t="s">
        <v>15</v>
      </c>
      <c r="AB358" s="36" t="s">
        <v>16</v>
      </c>
      <c r="AC358" s="181">
        <f t="shared" si="65"/>
        <v>144</v>
      </c>
      <c r="AD358" s="181">
        <f t="shared" si="60"/>
        <v>32852.160000000003</v>
      </c>
      <c r="AE358" s="181">
        <v>1.8</v>
      </c>
      <c r="AF358" s="181">
        <v>1.8</v>
      </c>
      <c r="AG358" s="101" t="str">
        <f t="shared" si="66"/>
        <v/>
      </c>
      <c r="AH358" s="191">
        <f>75+69</f>
        <v>144</v>
      </c>
      <c r="AI358" s="69">
        <f t="shared" si="67"/>
        <v>144</v>
      </c>
    </row>
    <row r="359" spans="1:35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 t="s">
        <v>15</v>
      </c>
      <c r="I359" s="75">
        <v>90448.13</v>
      </c>
      <c r="J359" s="75">
        <v>90448.13</v>
      </c>
      <c r="K359" s="91" t="s">
        <v>960</v>
      </c>
      <c r="L359" s="73"/>
      <c r="M359" s="46">
        <v>0</v>
      </c>
      <c r="N359" s="46">
        <v>0</v>
      </c>
      <c r="O359" s="46">
        <v>0</v>
      </c>
      <c r="P359" s="98"/>
      <c r="Q359" s="23" t="s">
        <v>1441</v>
      </c>
      <c r="R359" s="24" t="s">
        <v>959</v>
      </c>
      <c r="S359" s="25" t="s">
        <v>14</v>
      </c>
      <c r="T359" s="26">
        <v>1</v>
      </c>
      <c r="U359" s="26">
        <v>1</v>
      </c>
      <c r="V359" s="26">
        <v>90448.13</v>
      </c>
      <c r="W359" s="26">
        <f t="shared" si="63"/>
        <v>0</v>
      </c>
      <c r="X359" s="26">
        <f t="shared" si="61"/>
        <v>0</v>
      </c>
      <c r="Y359" s="26">
        <f t="shared" si="64"/>
        <v>0</v>
      </c>
      <c r="Z359" s="26">
        <f t="shared" si="68"/>
        <v>0</v>
      </c>
      <c r="AA359" s="33" t="s">
        <v>15</v>
      </c>
      <c r="AB359" s="36" t="s">
        <v>16</v>
      </c>
      <c r="AC359" s="181">
        <f t="shared" si="65"/>
        <v>1</v>
      </c>
      <c r="AD359" s="181">
        <f t="shared" si="60"/>
        <v>90448.13</v>
      </c>
      <c r="AE359" s="181">
        <v>1.8</v>
      </c>
      <c r="AF359" s="181">
        <v>1.8</v>
      </c>
      <c r="AG359" s="101" t="str">
        <f t="shared" si="66"/>
        <v/>
      </c>
      <c r="AH359" s="190">
        <v>0</v>
      </c>
      <c r="AI359" s="69">
        <f t="shared" si="67"/>
        <v>1</v>
      </c>
    </row>
    <row r="360" spans="1:35" s="69" customFormat="1" ht="42.75" x14ac:dyDescent="0.3">
      <c r="A360" s="55" t="s">
        <v>961</v>
      </c>
      <c r="B360" s="254" t="s">
        <v>962</v>
      </c>
      <c r="C360" s="54" t="s">
        <v>30</v>
      </c>
      <c r="D360" s="75">
        <v>2702</v>
      </c>
      <c r="E360" s="75"/>
      <c r="F360" s="75"/>
      <c r="G360" s="75"/>
      <c r="H360" s="75" t="s">
        <v>15</v>
      </c>
      <c r="I360" s="75">
        <v>81.569999999999993</v>
      </c>
      <c r="J360" s="75">
        <v>220402.14</v>
      </c>
      <c r="K360" s="91" t="s">
        <v>963</v>
      </c>
      <c r="L360" s="73"/>
      <c r="M360" s="46">
        <v>1127.8</v>
      </c>
      <c r="N360" s="46">
        <v>22333.869999999995</v>
      </c>
      <c r="O360" s="46">
        <v>91994.65</v>
      </c>
      <c r="P360" s="98"/>
      <c r="Q360" s="23" t="s">
        <v>1442</v>
      </c>
      <c r="R360" s="24" t="s">
        <v>962</v>
      </c>
      <c r="S360" s="25" t="s">
        <v>30</v>
      </c>
      <c r="T360" s="26">
        <v>2702</v>
      </c>
      <c r="U360" s="26">
        <v>2702</v>
      </c>
      <c r="V360" s="26">
        <v>81.569999999999993</v>
      </c>
      <c r="W360" s="243">
        <f t="shared" si="63"/>
        <v>1038.2</v>
      </c>
      <c r="X360" s="26">
        <f t="shared" si="61"/>
        <v>2166</v>
      </c>
      <c r="Y360" s="26">
        <f t="shared" si="64"/>
        <v>84685.97</v>
      </c>
      <c r="Z360" s="26">
        <f t="shared" si="68"/>
        <v>176680.62</v>
      </c>
      <c r="AA360" s="33" t="s">
        <v>15</v>
      </c>
      <c r="AB360" s="36" t="s">
        <v>16</v>
      </c>
      <c r="AC360" s="181">
        <f t="shared" si="65"/>
        <v>2702</v>
      </c>
      <c r="AD360" s="181">
        <f t="shared" si="60"/>
        <v>220402.14</v>
      </c>
      <c r="AE360" s="181">
        <v>1.8</v>
      </c>
      <c r="AF360" s="181">
        <v>1.8</v>
      </c>
      <c r="AG360" s="101" t="str">
        <f t="shared" si="66"/>
        <v/>
      </c>
      <c r="AH360" s="191">
        <f>1127.8+1038.2</f>
        <v>2166</v>
      </c>
      <c r="AI360" s="69">
        <f t="shared" si="67"/>
        <v>2702</v>
      </c>
    </row>
    <row r="361" spans="1:35" s="69" customFormat="1" ht="39" x14ac:dyDescent="0.3">
      <c r="A361" s="130" t="s">
        <v>964</v>
      </c>
      <c r="B361" s="131" t="s">
        <v>965</v>
      </c>
      <c r="C361" s="132" t="s">
        <v>14</v>
      </c>
      <c r="D361" s="133">
        <v>1</v>
      </c>
      <c r="E361" s="75"/>
      <c r="F361" s="75"/>
      <c r="G361" s="75"/>
      <c r="H361" s="75" t="s">
        <v>15</v>
      </c>
      <c r="I361" s="75">
        <v>25939</v>
      </c>
      <c r="J361" s="75">
        <v>25939</v>
      </c>
      <c r="K361" s="91" t="s">
        <v>966</v>
      </c>
      <c r="L361" s="73"/>
      <c r="M361" s="46">
        <v>0</v>
      </c>
      <c r="N361" s="46">
        <v>0</v>
      </c>
      <c r="O361" s="46">
        <v>0</v>
      </c>
      <c r="P361" s="98"/>
      <c r="Q361" s="23" t="s">
        <v>1443</v>
      </c>
      <c r="R361" s="24" t="s">
        <v>965</v>
      </c>
      <c r="S361" s="25" t="s">
        <v>14</v>
      </c>
      <c r="T361" s="26">
        <v>1</v>
      </c>
      <c r="U361" s="26">
        <v>1</v>
      </c>
      <c r="V361" s="26">
        <v>25939</v>
      </c>
      <c r="W361" s="199">
        <f t="shared" si="63"/>
        <v>1</v>
      </c>
      <c r="X361" s="127">
        <f t="shared" si="61"/>
        <v>1</v>
      </c>
      <c r="Y361" s="127">
        <f t="shared" si="64"/>
        <v>25939</v>
      </c>
      <c r="Z361" s="127">
        <f t="shared" si="68"/>
        <v>25939</v>
      </c>
      <c r="AA361" s="33" t="s">
        <v>15</v>
      </c>
      <c r="AB361" s="36" t="s">
        <v>16</v>
      </c>
      <c r="AC361" s="181">
        <f t="shared" si="65"/>
        <v>1</v>
      </c>
      <c r="AD361" s="181">
        <f t="shared" si="60"/>
        <v>25939</v>
      </c>
      <c r="AE361" s="181">
        <v>1.8</v>
      </c>
      <c r="AF361" s="181">
        <v>1.8</v>
      </c>
      <c r="AG361" s="101" t="str">
        <f t="shared" si="66"/>
        <v/>
      </c>
      <c r="AH361" s="191">
        <v>1</v>
      </c>
      <c r="AI361" s="69">
        <f t="shared" si="67"/>
        <v>1</v>
      </c>
    </row>
    <row r="362" spans="1:35" s="69" customFormat="1" ht="58.5" x14ac:dyDescent="0.3">
      <c r="A362" s="55" t="s">
        <v>967</v>
      </c>
      <c r="B362" s="215" t="s">
        <v>968</v>
      </c>
      <c r="C362" s="54" t="s">
        <v>30</v>
      </c>
      <c r="D362" s="75">
        <v>1272</v>
      </c>
      <c r="E362" s="75"/>
      <c r="F362" s="75"/>
      <c r="G362" s="75"/>
      <c r="H362" s="75" t="s">
        <v>15</v>
      </c>
      <c r="I362" s="75">
        <v>36.96</v>
      </c>
      <c r="J362" s="75">
        <v>47013.120000000003</v>
      </c>
      <c r="K362" s="91" t="s">
        <v>969</v>
      </c>
      <c r="L362" s="73"/>
      <c r="M362" s="46">
        <v>427.8</v>
      </c>
      <c r="N362" s="46">
        <v>2302.6100000000006</v>
      </c>
      <c r="O362" s="46">
        <v>15811.49</v>
      </c>
      <c r="P362" s="98"/>
      <c r="Q362" s="23" t="s">
        <v>1444</v>
      </c>
      <c r="R362" s="24" t="s">
        <v>968</v>
      </c>
      <c r="S362" s="25" t="s">
        <v>30</v>
      </c>
      <c r="T362" s="26">
        <v>1272</v>
      </c>
      <c r="U362" s="26">
        <v>1272</v>
      </c>
      <c r="V362" s="26">
        <v>36.96</v>
      </c>
      <c r="W362" s="243">
        <f t="shared" si="63"/>
        <v>0</v>
      </c>
      <c r="X362" s="26">
        <f t="shared" si="61"/>
        <v>427.8</v>
      </c>
      <c r="Y362" s="26">
        <f t="shared" si="64"/>
        <v>0</v>
      </c>
      <c r="Z362" s="26">
        <f t="shared" si="68"/>
        <v>15811.49</v>
      </c>
      <c r="AA362" s="33" t="s">
        <v>15</v>
      </c>
      <c r="AB362" s="36" t="s">
        <v>16</v>
      </c>
      <c r="AC362" s="181">
        <f t="shared" si="65"/>
        <v>1272</v>
      </c>
      <c r="AD362" s="181">
        <f t="shared" si="60"/>
        <v>47013.120000000003</v>
      </c>
      <c r="AE362" s="181">
        <v>1.8</v>
      </c>
      <c r="AF362" s="181">
        <v>1.8</v>
      </c>
      <c r="AG362" s="101" t="str">
        <f t="shared" si="66"/>
        <v/>
      </c>
      <c r="AH362" s="191">
        <f>365.5+62.3</f>
        <v>427.8</v>
      </c>
      <c r="AI362" s="69">
        <f t="shared" si="67"/>
        <v>1272</v>
      </c>
    </row>
    <row r="363" spans="1:35" s="69" customFormat="1" ht="58.5" x14ac:dyDescent="0.3">
      <c r="A363" s="55" t="s">
        <v>970</v>
      </c>
      <c r="B363" s="215" t="s">
        <v>971</v>
      </c>
      <c r="C363" s="54" t="s">
        <v>30</v>
      </c>
      <c r="D363" s="75">
        <v>1470</v>
      </c>
      <c r="E363" s="75"/>
      <c r="F363" s="75"/>
      <c r="G363" s="75"/>
      <c r="H363" s="75" t="s">
        <v>15</v>
      </c>
      <c r="I363" s="75">
        <v>62.45</v>
      </c>
      <c r="J363" s="75">
        <v>91801.5</v>
      </c>
      <c r="K363" s="91" t="s">
        <v>972</v>
      </c>
      <c r="L363" s="73"/>
      <c r="M363" s="46">
        <v>563.9</v>
      </c>
      <c r="N363" s="46">
        <v>8549.4099999999962</v>
      </c>
      <c r="O363" s="46">
        <v>35215.56</v>
      </c>
      <c r="P363" s="98"/>
      <c r="Q363" s="23" t="s">
        <v>1408</v>
      </c>
      <c r="R363" s="24" t="s">
        <v>971</v>
      </c>
      <c r="S363" s="25" t="s">
        <v>30</v>
      </c>
      <c r="T363" s="26">
        <v>1470</v>
      </c>
      <c r="U363" s="26">
        <v>1470</v>
      </c>
      <c r="V363" s="26">
        <v>62.45</v>
      </c>
      <c r="W363" s="243">
        <f t="shared" si="63"/>
        <v>519.1</v>
      </c>
      <c r="X363" s="26">
        <f t="shared" si="61"/>
        <v>1083</v>
      </c>
      <c r="Y363" s="26">
        <f t="shared" si="64"/>
        <v>32417.790000000008</v>
      </c>
      <c r="Z363" s="26">
        <f t="shared" si="68"/>
        <v>67633.350000000006</v>
      </c>
      <c r="AA363" s="33" t="s">
        <v>15</v>
      </c>
      <c r="AB363" s="36" t="s">
        <v>16</v>
      </c>
      <c r="AC363" s="181">
        <f t="shared" si="65"/>
        <v>1470</v>
      </c>
      <c r="AD363" s="181">
        <f t="shared" si="60"/>
        <v>91801.5</v>
      </c>
      <c r="AE363" s="181">
        <v>1.8</v>
      </c>
      <c r="AF363" s="181">
        <v>1.8</v>
      </c>
      <c r="AG363" s="101" t="str">
        <f t="shared" si="66"/>
        <v/>
      </c>
      <c r="AH363" s="191">
        <f>427+136.9+519.1</f>
        <v>1083</v>
      </c>
      <c r="AI363" s="69">
        <f t="shared" si="67"/>
        <v>1470</v>
      </c>
    </row>
    <row r="364" spans="1:35" s="69" customFormat="1" ht="58.5" x14ac:dyDescent="0.3">
      <c r="A364" s="130" t="s">
        <v>973</v>
      </c>
      <c r="B364" s="131" t="s">
        <v>974</v>
      </c>
      <c r="C364" s="132" t="s">
        <v>30</v>
      </c>
      <c r="D364" s="133">
        <v>407</v>
      </c>
      <c r="E364" s="75"/>
      <c r="F364" s="75"/>
      <c r="G364" s="75"/>
      <c r="H364" s="75" t="s">
        <v>15</v>
      </c>
      <c r="I364" s="75">
        <v>90.49</v>
      </c>
      <c r="J364" s="75">
        <v>36829.43</v>
      </c>
      <c r="K364" s="91" t="s">
        <v>975</v>
      </c>
      <c r="L364" s="73"/>
      <c r="M364" s="46">
        <v>149</v>
      </c>
      <c r="N364" s="46">
        <v>0</v>
      </c>
      <c r="O364" s="46">
        <v>13483.01</v>
      </c>
      <c r="P364" s="98"/>
      <c r="Q364" s="23" t="s">
        <v>1409</v>
      </c>
      <c r="R364" s="24" t="s">
        <v>974</v>
      </c>
      <c r="S364" s="25" t="s">
        <v>30</v>
      </c>
      <c r="T364" s="26">
        <v>407</v>
      </c>
      <c r="U364" s="26">
        <v>407</v>
      </c>
      <c r="V364" s="26">
        <v>90.49</v>
      </c>
      <c r="W364" s="243">
        <f t="shared" si="63"/>
        <v>258</v>
      </c>
      <c r="X364" s="127">
        <f t="shared" si="61"/>
        <v>407</v>
      </c>
      <c r="Y364" s="127">
        <f t="shared" si="64"/>
        <v>23346.42</v>
      </c>
      <c r="Z364" s="127">
        <f t="shared" si="68"/>
        <v>36829.43</v>
      </c>
      <c r="AA364" s="33" t="s">
        <v>15</v>
      </c>
      <c r="AB364" s="36" t="s">
        <v>16</v>
      </c>
      <c r="AC364" s="181">
        <f t="shared" si="65"/>
        <v>407</v>
      </c>
      <c r="AD364" s="181">
        <f t="shared" si="60"/>
        <v>36829.43</v>
      </c>
      <c r="AE364" s="181">
        <v>1.8</v>
      </c>
      <c r="AF364" s="181">
        <v>1.8</v>
      </c>
      <c r="AG364" s="101" t="str">
        <f t="shared" si="66"/>
        <v/>
      </c>
      <c r="AH364" s="191">
        <f>149+258</f>
        <v>407</v>
      </c>
      <c r="AI364" s="69">
        <f t="shared" si="67"/>
        <v>407</v>
      </c>
    </row>
    <row r="365" spans="1:35" s="69" customFormat="1" ht="58.5" x14ac:dyDescent="0.3">
      <c r="A365" s="130" t="s">
        <v>976</v>
      </c>
      <c r="B365" s="131" t="s">
        <v>977</v>
      </c>
      <c r="C365" s="132" t="s">
        <v>30</v>
      </c>
      <c r="D365" s="133">
        <v>55</v>
      </c>
      <c r="E365" s="75"/>
      <c r="F365" s="75"/>
      <c r="G365" s="75"/>
      <c r="H365" s="75" t="s">
        <v>15</v>
      </c>
      <c r="I365" s="75">
        <v>186.08</v>
      </c>
      <c r="J365" s="75">
        <v>10234.4</v>
      </c>
      <c r="K365" s="91" t="s">
        <v>978</v>
      </c>
      <c r="L365" s="73"/>
      <c r="M365" s="46">
        <v>0</v>
      </c>
      <c r="N365" s="46">
        <v>0</v>
      </c>
      <c r="O365" s="46">
        <v>0</v>
      </c>
      <c r="P365" s="98"/>
      <c r="Q365" s="23" t="s">
        <v>1410</v>
      </c>
      <c r="R365" s="24" t="s">
        <v>977</v>
      </c>
      <c r="S365" s="25" t="s">
        <v>30</v>
      </c>
      <c r="T365" s="26">
        <v>55</v>
      </c>
      <c r="U365" s="26">
        <v>55</v>
      </c>
      <c r="V365" s="26">
        <v>186.08</v>
      </c>
      <c r="W365" s="243">
        <f t="shared" si="63"/>
        <v>55</v>
      </c>
      <c r="X365" s="127">
        <f t="shared" si="61"/>
        <v>55</v>
      </c>
      <c r="Y365" s="127">
        <f t="shared" si="64"/>
        <v>10234.4</v>
      </c>
      <c r="Z365" s="127">
        <f t="shared" si="68"/>
        <v>10234.4</v>
      </c>
      <c r="AA365" s="33" t="s">
        <v>15</v>
      </c>
      <c r="AB365" s="36" t="s">
        <v>16</v>
      </c>
      <c r="AC365" s="181">
        <f t="shared" si="65"/>
        <v>55</v>
      </c>
      <c r="AD365" s="181">
        <f t="shared" si="60"/>
        <v>10234.4</v>
      </c>
      <c r="AE365" s="181">
        <v>1.8</v>
      </c>
      <c r="AF365" s="181">
        <v>1.8</v>
      </c>
      <c r="AG365" s="101" t="str">
        <f t="shared" si="66"/>
        <v/>
      </c>
      <c r="AH365" s="191">
        <f>55</f>
        <v>55</v>
      </c>
      <c r="AI365" s="69">
        <f t="shared" si="67"/>
        <v>55</v>
      </c>
    </row>
    <row r="366" spans="1:35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 t="s">
        <v>15</v>
      </c>
      <c r="I366" s="75">
        <v>51046</v>
      </c>
      <c r="J366" s="75">
        <v>51046</v>
      </c>
      <c r="K366" s="91" t="s">
        <v>981</v>
      </c>
      <c r="L366" s="73"/>
      <c r="M366" s="46">
        <v>0</v>
      </c>
      <c r="N366" s="46">
        <v>0</v>
      </c>
      <c r="O366" s="46">
        <v>0</v>
      </c>
      <c r="P366" s="98"/>
      <c r="Q366" s="23" t="s">
        <v>1411</v>
      </c>
      <c r="R366" s="24" t="s">
        <v>980</v>
      </c>
      <c r="S366" s="25" t="s">
        <v>14</v>
      </c>
      <c r="T366" s="26">
        <v>1</v>
      </c>
      <c r="U366" s="26">
        <v>1</v>
      </c>
      <c r="V366" s="26">
        <v>51046</v>
      </c>
      <c r="W366" s="26">
        <f t="shared" si="63"/>
        <v>0</v>
      </c>
      <c r="X366" s="26">
        <f t="shared" si="61"/>
        <v>0</v>
      </c>
      <c r="Y366" s="26">
        <f t="shared" si="64"/>
        <v>0</v>
      </c>
      <c r="Z366" s="26">
        <f t="shared" si="68"/>
        <v>0</v>
      </c>
      <c r="AA366" s="33" t="s">
        <v>15</v>
      </c>
      <c r="AB366" s="36" t="s">
        <v>16</v>
      </c>
      <c r="AC366" s="181">
        <f t="shared" si="65"/>
        <v>1</v>
      </c>
      <c r="AD366" s="181">
        <f t="shared" ref="AD366:AD368" si="69">ROUND(V366*AC366,2)</f>
        <v>51046</v>
      </c>
      <c r="AE366" s="181">
        <v>1.8</v>
      </c>
      <c r="AF366" s="181">
        <v>1.8</v>
      </c>
      <c r="AG366" s="101" t="str">
        <f t="shared" si="66"/>
        <v/>
      </c>
      <c r="AH366" s="190">
        <v>0</v>
      </c>
      <c r="AI366" s="69">
        <f t="shared" si="67"/>
        <v>1</v>
      </c>
    </row>
    <row r="367" spans="1:35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 t="s">
        <v>15</v>
      </c>
      <c r="I367" s="75">
        <v>671.66</v>
      </c>
      <c r="J367" s="75">
        <v>88659.12</v>
      </c>
      <c r="K367" s="91" t="s">
        <v>984</v>
      </c>
      <c r="L367" s="73"/>
      <c r="M367" s="46">
        <v>0</v>
      </c>
      <c r="N367" s="46">
        <v>0</v>
      </c>
      <c r="O367" s="46">
        <v>0</v>
      </c>
      <c r="P367" s="98"/>
      <c r="Q367" s="23" t="s">
        <v>1445</v>
      </c>
      <c r="R367" s="24" t="s">
        <v>983</v>
      </c>
      <c r="S367" s="25" t="s">
        <v>30</v>
      </c>
      <c r="T367" s="26">
        <v>132</v>
      </c>
      <c r="U367" s="26">
        <v>132</v>
      </c>
      <c r="V367" s="26">
        <v>671.66</v>
      </c>
      <c r="W367" s="26">
        <f t="shared" si="63"/>
        <v>0</v>
      </c>
      <c r="X367" s="26">
        <f t="shared" si="61"/>
        <v>0</v>
      </c>
      <c r="Y367" s="26">
        <f t="shared" si="64"/>
        <v>0</v>
      </c>
      <c r="Z367" s="26">
        <f t="shared" si="68"/>
        <v>0</v>
      </c>
      <c r="AA367" s="33" t="s">
        <v>15</v>
      </c>
      <c r="AB367" s="36" t="s">
        <v>16</v>
      </c>
      <c r="AC367" s="181">
        <f t="shared" si="65"/>
        <v>132</v>
      </c>
      <c r="AD367" s="181">
        <f t="shared" si="69"/>
        <v>88659.12</v>
      </c>
      <c r="AE367" s="181">
        <v>1.8</v>
      </c>
      <c r="AF367" s="181">
        <v>1.8</v>
      </c>
      <c r="AG367" s="101" t="str">
        <f t="shared" si="66"/>
        <v/>
      </c>
      <c r="AH367" s="190">
        <v>0</v>
      </c>
      <c r="AI367" s="69">
        <f t="shared" si="67"/>
        <v>132</v>
      </c>
    </row>
    <row r="368" spans="1:35" s="69" customFormat="1" ht="39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 t="s">
        <v>15</v>
      </c>
      <c r="I368" s="75">
        <v>24347</v>
      </c>
      <c r="J368" s="75">
        <v>24347</v>
      </c>
      <c r="K368" s="91" t="s">
        <v>987</v>
      </c>
      <c r="L368" s="73"/>
      <c r="M368" s="46">
        <v>0</v>
      </c>
      <c r="N368" s="46">
        <v>0</v>
      </c>
      <c r="O368" s="46">
        <v>0</v>
      </c>
      <c r="P368" s="98"/>
      <c r="Q368" s="23" t="s">
        <v>1383</v>
      </c>
      <c r="R368" s="24" t="s">
        <v>986</v>
      </c>
      <c r="S368" s="25" t="s">
        <v>14</v>
      </c>
      <c r="T368" s="26">
        <v>1</v>
      </c>
      <c r="U368" s="26">
        <v>1</v>
      </c>
      <c r="V368" s="26">
        <v>24347</v>
      </c>
      <c r="W368" s="26">
        <f t="shared" si="63"/>
        <v>0</v>
      </c>
      <c r="X368" s="26">
        <f t="shared" si="61"/>
        <v>0</v>
      </c>
      <c r="Y368" s="26">
        <f t="shared" si="64"/>
        <v>0</v>
      </c>
      <c r="Z368" s="26">
        <f t="shared" si="68"/>
        <v>0</v>
      </c>
      <c r="AA368" s="33" t="s">
        <v>15</v>
      </c>
      <c r="AB368" s="36" t="s">
        <v>16</v>
      </c>
      <c r="AC368" s="181">
        <f t="shared" si="65"/>
        <v>1</v>
      </c>
      <c r="AD368" s="181">
        <f t="shared" si="69"/>
        <v>24347</v>
      </c>
      <c r="AE368" s="181">
        <v>1.8</v>
      </c>
      <c r="AF368" s="181">
        <v>1.8</v>
      </c>
      <c r="AG368" s="101" t="str">
        <f t="shared" si="66"/>
        <v/>
      </c>
      <c r="AH368" s="190">
        <v>0</v>
      </c>
      <c r="AI368" s="69">
        <f t="shared" si="67"/>
        <v>1</v>
      </c>
    </row>
    <row r="369" spans="1:35" s="69" customFormat="1" ht="39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 t="s">
        <v>15</v>
      </c>
      <c r="I369" s="82"/>
      <c r="J369" s="82">
        <v>9899611.0700000003</v>
      </c>
      <c r="K369" s="94" t="s">
        <v>15</v>
      </c>
      <c r="L369" s="73"/>
      <c r="M369" s="45">
        <v>1</v>
      </c>
      <c r="N369" s="45">
        <v>0</v>
      </c>
      <c r="O369" s="45">
        <v>6930787.7699999996</v>
      </c>
      <c r="P369" s="98"/>
      <c r="Q369" s="18" t="s">
        <v>1401</v>
      </c>
      <c r="R369" s="19" t="s">
        <v>989</v>
      </c>
      <c r="S369" s="20" t="s">
        <v>14</v>
      </c>
      <c r="T369" s="21">
        <v>1</v>
      </c>
      <c r="U369" s="21"/>
      <c r="V369" s="21">
        <f>SUMIFS(AD:AD,AE:AE,AE369)</f>
        <v>9899611.0700000003</v>
      </c>
      <c r="W369" s="21">
        <f t="shared" ref="W369:X369" si="70">IF(Y369=0,0,1)</f>
        <v>1</v>
      </c>
      <c r="X369" s="21">
        <f t="shared" si="70"/>
        <v>1</v>
      </c>
      <c r="Y369" s="21">
        <f>SUMIFS(Y:Y,AF:AF,AE369)</f>
        <v>128698.5</v>
      </c>
      <c r="Z369" s="21">
        <f>SUMIFS(Z:Z,AF:AF,AE369)</f>
        <v>7059486.2699999996</v>
      </c>
      <c r="AA369" s="22" t="s">
        <v>15</v>
      </c>
      <c r="AB369" s="43" t="s">
        <v>16</v>
      </c>
      <c r="AC369" s="181">
        <f t="shared" si="65"/>
        <v>1</v>
      </c>
      <c r="AD369" s="184"/>
      <c r="AE369" s="184">
        <v>1.9</v>
      </c>
      <c r="AF369" s="184"/>
      <c r="AG369" s="101" t="str">
        <f t="shared" si="66"/>
        <v/>
      </c>
      <c r="AH369" s="190">
        <v>1</v>
      </c>
      <c r="AI369" s="69">
        <f t="shared" si="67"/>
        <v>1</v>
      </c>
    </row>
    <row r="370" spans="1:35" s="69" customFormat="1" ht="33" x14ac:dyDescent="0.3">
      <c r="A370" s="55" t="s">
        <v>990</v>
      </c>
      <c r="B370" s="138" t="s">
        <v>991</v>
      </c>
      <c r="C370" s="54" t="s">
        <v>30</v>
      </c>
      <c r="D370" s="75">
        <v>1088</v>
      </c>
      <c r="E370" s="75">
        <v>975</v>
      </c>
      <c r="F370" s="75"/>
      <c r="G370" s="75"/>
      <c r="H370" s="75">
        <v>2893</v>
      </c>
      <c r="I370" s="75">
        <v>247.2</v>
      </c>
      <c r="J370" s="75">
        <v>715149.6</v>
      </c>
      <c r="K370" s="91" t="s">
        <v>992</v>
      </c>
      <c r="L370" s="73"/>
      <c r="M370" s="46">
        <v>975</v>
      </c>
      <c r="N370" s="46">
        <v>0</v>
      </c>
      <c r="O370" s="46">
        <v>241020</v>
      </c>
      <c r="P370" s="98"/>
      <c r="Q370" s="23" t="s">
        <v>1421</v>
      </c>
      <c r="R370" s="24" t="s">
        <v>991</v>
      </c>
      <c r="S370" s="25" t="s">
        <v>30</v>
      </c>
      <c r="T370" s="26">
        <v>1088</v>
      </c>
      <c r="U370" s="26">
        <v>2893</v>
      </c>
      <c r="V370" s="26">
        <v>247.2</v>
      </c>
      <c r="W370" s="128">
        <f t="shared" ref="W370:W376" si="71">AH370-M370</f>
        <v>0</v>
      </c>
      <c r="X370" s="26">
        <f t="shared" si="61"/>
        <v>975</v>
      </c>
      <c r="Y370" s="26">
        <f t="shared" ref="Y370:Y376" si="72">Z370-O370</f>
        <v>0</v>
      </c>
      <c r="Z370" s="26">
        <f t="shared" ref="Z370:Z376" si="73">ROUND(V370*X370,2)</f>
        <v>241020</v>
      </c>
      <c r="AA370" s="27" t="s">
        <v>15</v>
      </c>
      <c r="AB370" s="36" t="s">
        <v>16</v>
      </c>
      <c r="AC370" s="181">
        <f t="shared" si="65"/>
        <v>2893</v>
      </c>
      <c r="AD370" s="181">
        <f t="shared" ref="AD370:AD376" si="74">ROUND(V370*AC370,2)</f>
        <v>715149.6</v>
      </c>
      <c r="AE370" s="181">
        <v>1.9</v>
      </c>
      <c r="AF370" s="181">
        <v>1.9</v>
      </c>
      <c r="AG370" s="101" t="str">
        <f t="shared" si="66"/>
        <v/>
      </c>
      <c r="AH370" s="191">
        <v>975</v>
      </c>
      <c r="AI370" s="69">
        <f t="shared" si="67"/>
        <v>975</v>
      </c>
    </row>
    <row r="371" spans="1:35" s="69" customFormat="1" ht="33" x14ac:dyDescent="0.3">
      <c r="A371" s="55" t="s">
        <v>993</v>
      </c>
      <c r="B371" s="138" t="s">
        <v>994</v>
      </c>
      <c r="C371" s="54" t="s">
        <v>30</v>
      </c>
      <c r="D371" s="75">
        <v>1088</v>
      </c>
      <c r="E371" s="75">
        <v>975</v>
      </c>
      <c r="F371" s="75"/>
      <c r="G371" s="75"/>
      <c r="H371" s="75">
        <v>2893</v>
      </c>
      <c r="I371" s="75">
        <v>236.9</v>
      </c>
      <c r="J371" s="75">
        <v>685351.7</v>
      </c>
      <c r="K371" s="91" t="s">
        <v>995</v>
      </c>
      <c r="L371" s="73"/>
      <c r="M371" s="46">
        <v>975</v>
      </c>
      <c r="N371" s="46">
        <v>0</v>
      </c>
      <c r="O371" s="46">
        <v>230977.5</v>
      </c>
      <c r="P371" s="98"/>
      <c r="Q371" s="23" t="s">
        <v>1426</v>
      </c>
      <c r="R371" s="24" t="s">
        <v>994</v>
      </c>
      <c r="S371" s="25" t="s">
        <v>30</v>
      </c>
      <c r="T371" s="26">
        <v>1088</v>
      </c>
      <c r="U371" s="26">
        <v>2893</v>
      </c>
      <c r="V371" s="26">
        <v>236.9</v>
      </c>
      <c r="W371" s="128">
        <f t="shared" si="71"/>
        <v>0</v>
      </c>
      <c r="X371" s="26">
        <f t="shared" ref="X371:X376" si="75">W371+M371</f>
        <v>975</v>
      </c>
      <c r="Y371" s="26">
        <f>Z371-O371</f>
        <v>0</v>
      </c>
      <c r="Z371" s="26">
        <f t="shared" si="73"/>
        <v>230977.5</v>
      </c>
      <c r="AA371" s="27" t="s">
        <v>15</v>
      </c>
      <c r="AB371" s="36" t="s">
        <v>16</v>
      </c>
      <c r="AC371" s="181">
        <f t="shared" si="65"/>
        <v>2893</v>
      </c>
      <c r="AD371" s="181">
        <f t="shared" si="74"/>
        <v>685351.7</v>
      </c>
      <c r="AE371" s="181">
        <v>1.9</v>
      </c>
      <c r="AF371" s="181">
        <v>1.9</v>
      </c>
      <c r="AG371" s="101" t="str">
        <f t="shared" si="66"/>
        <v/>
      </c>
      <c r="AH371" s="191">
        <v>975</v>
      </c>
      <c r="AI371" s="69">
        <f t="shared" si="67"/>
        <v>975</v>
      </c>
    </row>
    <row r="372" spans="1:35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9795.5</v>
      </c>
      <c r="I372" s="75">
        <v>252.35</v>
      </c>
      <c r="J372" s="75">
        <v>2471894.4300000002</v>
      </c>
      <c r="K372" s="91" t="s">
        <v>999</v>
      </c>
      <c r="L372" s="73"/>
      <c r="M372" s="46">
        <v>8464</v>
      </c>
      <c r="N372" s="46">
        <v>0</v>
      </c>
      <c r="O372" s="46">
        <v>2135890.4</v>
      </c>
      <c r="P372" s="98"/>
      <c r="Q372" s="23" t="s">
        <v>1402</v>
      </c>
      <c r="R372" s="24" t="s">
        <v>997</v>
      </c>
      <c r="S372" s="25" t="s">
        <v>998</v>
      </c>
      <c r="T372" s="26">
        <v>6984</v>
      </c>
      <c r="U372" s="26">
        <v>9795.5</v>
      </c>
      <c r="V372" s="26">
        <v>252.35</v>
      </c>
      <c r="W372" s="243">
        <f t="shared" si="71"/>
        <v>510</v>
      </c>
      <c r="X372" s="26">
        <f t="shared" si="75"/>
        <v>8974</v>
      </c>
      <c r="Y372" s="26">
        <f t="shared" si="72"/>
        <v>128698.5</v>
      </c>
      <c r="Z372" s="26">
        <f t="shared" si="73"/>
        <v>2264588.9</v>
      </c>
      <c r="AA372" s="27" t="s">
        <v>15</v>
      </c>
      <c r="AB372" s="36" t="s">
        <v>16</v>
      </c>
      <c r="AC372" s="181">
        <f t="shared" si="65"/>
        <v>9795.5</v>
      </c>
      <c r="AD372" s="181">
        <f t="shared" si="74"/>
        <v>2471894.4300000002</v>
      </c>
      <c r="AE372" s="181">
        <v>1.9</v>
      </c>
      <c r="AF372" s="181">
        <v>1.9</v>
      </c>
      <c r="AG372" s="101" t="str">
        <f t="shared" si="66"/>
        <v>超估</v>
      </c>
      <c r="AH372" s="191">
        <f>7744+360+360+510</f>
        <v>8974</v>
      </c>
      <c r="AI372" s="69">
        <f t="shared" si="67"/>
        <v>8744</v>
      </c>
    </row>
    <row r="373" spans="1:35" s="69" customFormat="1" ht="49.5" x14ac:dyDescent="0.3">
      <c r="A373" s="55" t="s">
        <v>1000</v>
      </c>
      <c r="B373" s="138" t="s">
        <v>1001</v>
      </c>
      <c r="C373" s="54" t="s">
        <v>14</v>
      </c>
      <c r="D373" s="75">
        <v>1</v>
      </c>
      <c r="E373" s="75"/>
      <c r="F373" s="75"/>
      <c r="G373" s="75"/>
      <c r="H373" s="75" t="s">
        <v>15</v>
      </c>
      <c r="I373" s="75">
        <v>350000</v>
      </c>
      <c r="J373" s="75">
        <v>350000</v>
      </c>
      <c r="K373" s="91" t="s">
        <v>1002</v>
      </c>
      <c r="L373" s="73"/>
      <c r="M373" s="46">
        <v>1</v>
      </c>
      <c r="N373" s="46">
        <v>0</v>
      </c>
      <c r="O373" s="46">
        <v>157500</v>
      </c>
      <c r="P373" s="98"/>
      <c r="Q373" s="23" t="s">
        <v>1373</v>
      </c>
      <c r="R373" s="24" t="s">
        <v>1001</v>
      </c>
      <c r="S373" s="25" t="s">
        <v>14</v>
      </c>
      <c r="T373" s="26">
        <v>1</v>
      </c>
      <c r="U373" s="26">
        <v>1</v>
      </c>
      <c r="V373" s="26">
        <v>350000</v>
      </c>
      <c r="W373" s="26">
        <f>IF(Y373=0,0,1)</f>
        <v>0</v>
      </c>
      <c r="X373" s="26">
        <f>IF(Z373=0,0,1)</f>
        <v>1</v>
      </c>
      <c r="Y373" s="26">
        <f t="shared" si="72"/>
        <v>0</v>
      </c>
      <c r="Z373" s="26">
        <v>157500</v>
      </c>
      <c r="AA373" s="123">
        <f>Z373/J373</f>
        <v>0.45</v>
      </c>
      <c r="AB373" s="36" t="s">
        <v>16</v>
      </c>
      <c r="AC373" s="181">
        <f t="shared" si="65"/>
        <v>1</v>
      </c>
      <c r="AD373" s="181">
        <f t="shared" si="74"/>
        <v>350000</v>
      </c>
      <c r="AE373" s="181">
        <v>1.9</v>
      </c>
      <c r="AF373" s="181">
        <v>1.9</v>
      </c>
      <c r="AG373" s="101" t="str">
        <f t="shared" si="66"/>
        <v/>
      </c>
      <c r="AH373" s="190">
        <v>1</v>
      </c>
      <c r="AI373" s="69">
        <f t="shared" si="67"/>
        <v>1</v>
      </c>
    </row>
    <row r="374" spans="1:35" s="69" customFormat="1" ht="33" x14ac:dyDescent="0.3">
      <c r="A374" s="55" t="s">
        <v>1003</v>
      </c>
      <c r="B374" s="138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3149</v>
      </c>
      <c r="I374" s="75">
        <v>931.12</v>
      </c>
      <c r="J374" s="75">
        <v>2932096.88</v>
      </c>
      <c r="K374" s="91" t="s">
        <v>1005</v>
      </c>
      <c r="L374" s="73"/>
      <c r="M374" s="46">
        <v>2060</v>
      </c>
      <c r="N374" s="46">
        <v>0</v>
      </c>
      <c r="O374" s="46">
        <v>1918107.2</v>
      </c>
      <c r="P374" s="98"/>
      <c r="Q374" s="23" t="s">
        <v>1393</v>
      </c>
      <c r="R374" s="24" t="s">
        <v>1004</v>
      </c>
      <c r="S374" s="25" t="s">
        <v>97</v>
      </c>
      <c r="T374" s="26">
        <v>1</v>
      </c>
      <c r="U374" s="26">
        <v>3149</v>
      </c>
      <c r="V374" s="26">
        <v>931.12</v>
      </c>
      <c r="W374" s="128">
        <f t="shared" si="71"/>
        <v>0</v>
      </c>
      <c r="X374" s="26">
        <f t="shared" si="75"/>
        <v>2060</v>
      </c>
      <c r="Y374" s="26">
        <f t="shared" si="72"/>
        <v>0</v>
      </c>
      <c r="Z374" s="26">
        <f t="shared" si="73"/>
        <v>1918107.2</v>
      </c>
      <c r="AA374" s="27" t="s">
        <v>15</v>
      </c>
      <c r="AB374" s="36" t="s">
        <v>16</v>
      </c>
      <c r="AC374" s="181">
        <f t="shared" si="65"/>
        <v>3149</v>
      </c>
      <c r="AD374" s="181">
        <f t="shared" si="74"/>
        <v>2932096.88</v>
      </c>
      <c r="AE374" s="181">
        <v>1.9</v>
      </c>
      <c r="AF374" s="181">
        <v>1.9</v>
      </c>
      <c r="AG374" s="101" t="str">
        <f t="shared" si="66"/>
        <v/>
      </c>
      <c r="AH374" s="191">
        <v>2060</v>
      </c>
      <c r="AI374" s="69">
        <f t="shared" si="67"/>
        <v>2480</v>
      </c>
    </row>
    <row r="375" spans="1:35" s="69" customFormat="1" ht="33" x14ac:dyDescent="0.3">
      <c r="A375" s="55" t="s">
        <v>1006</v>
      </c>
      <c r="B375" s="53" t="s">
        <v>678</v>
      </c>
      <c r="C375" s="54" t="s">
        <v>23</v>
      </c>
      <c r="D375" s="75">
        <v>1</v>
      </c>
      <c r="E375" s="203">
        <v>91</v>
      </c>
      <c r="F375" s="203">
        <v>291</v>
      </c>
      <c r="G375" s="203"/>
      <c r="H375" s="203">
        <v>438</v>
      </c>
      <c r="I375" s="75">
        <v>3386.57</v>
      </c>
      <c r="J375" s="75">
        <v>1483317.66</v>
      </c>
      <c r="K375" s="91" t="s">
        <v>679</v>
      </c>
      <c r="L375" s="73"/>
      <c r="M375" s="46">
        <v>291</v>
      </c>
      <c r="N375" s="46">
        <v>0</v>
      </c>
      <c r="O375" s="46">
        <v>985491.87</v>
      </c>
      <c r="P375" s="98"/>
      <c r="Q375" s="23" t="s">
        <v>1403</v>
      </c>
      <c r="R375" s="24" t="s">
        <v>678</v>
      </c>
      <c r="S375" s="25" t="s">
        <v>23</v>
      </c>
      <c r="T375" s="26">
        <v>1</v>
      </c>
      <c r="U375" s="26">
        <v>438</v>
      </c>
      <c r="V375" s="26">
        <v>3386.57</v>
      </c>
      <c r="W375" s="128">
        <f t="shared" si="71"/>
        <v>0</v>
      </c>
      <c r="X375" s="26">
        <f t="shared" si="75"/>
        <v>291</v>
      </c>
      <c r="Y375" s="26">
        <f t="shared" si="72"/>
        <v>0</v>
      </c>
      <c r="Z375" s="26">
        <f t="shared" si="73"/>
        <v>985491.87</v>
      </c>
      <c r="AA375" s="27" t="s">
        <v>15</v>
      </c>
      <c r="AB375" s="36" t="s">
        <v>16</v>
      </c>
      <c r="AC375" s="181">
        <f t="shared" si="65"/>
        <v>438</v>
      </c>
      <c r="AD375" s="181">
        <f t="shared" si="74"/>
        <v>1483317.66</v>
      </c>
      <c r="AE375" s="181">
        <v>1.9</v>
      </c>
      <c r="AF375" s="181">
        <v>1.9</v>
      </c>
      <c r="AG375" s="101" t="str">
        <f t="shared" si="66"/>
        <v/>
      </c>
      <c r="AH375" s="190">
        <v>291</v>
      </c>
      <c r="AI375" s="69">
        <f t="shared" si="67"/>
        <v>291</v>
      </c>
    </row>
    <row r="376" spans="1:35" s="69" customFormat="1" ht="49.5" x14ac:dyDescent="0.3">
      <c r="A376" s="134" t="s">
        <v>1340</v>
      </c>
      <c r="B376" s="139" t="s">
        <v>3137</v>
      </c>
      <c r="C376" s="204" t="s">
        <v>30</v>
      </c>
      <c r="D376" s="133"/>
      <c r="E376" s="59">
        <v>130</v>
      </c>
      <c r="F376" s="77"/>
      <c r="G376" s="77"/>
      <c r="H376" s="77" t="s">
        <v>15</v>
      </c>
      <c r="I376" s="77">
        <v>9706.16</v>
      </c>
      <c r="J376" s="59">
        <v>1261800.8</v>
      </c>
      <c r="K376" s="92"/>
      <c r="L376" s="73"/>
      <c r="M376" s="46">
        <v>130</v>
      </c>
      <c r="N376" s="46">
        <v>0</v>
      </c>
      <c r="O376" s="46">
        <v>1261800.8</v>
      </c>
      <c r="P376" s="98"/>
      <c r="Q376" s="23" t="s">
        <v>1427</v>
      </c>
      <c r="R376" s="24" t="s">
        <v>1500</v>
      </c>
      <c r="S376" s="25" t="s">
        <v>30</v>
      </c>
      <c r="T376" s="26">
        <v>0</v>
      </c>
      <c r="U376" s="26">
        <v>130</v>
      </c>
      <c r="V376" s="26">
        <v>9706.16</v>
      </c>
      <c r="W376" s="127">
        <f t="shared" si="71"/>
        <v>0</v>
      </c>
      <c r="X376" s="127">
        <f t="shared" si="75"/>
        <v>130</v>
      </c>
      <c r="Y376" s="127">
        <f t="shared" si="72"/>
        <v>0</v>
      </c>
      <c r="Z376" s="127">
        <f t="shared" si="73"/>
        <v>1261800.8</v>
      </c>
      <c r="AA376" s="27"/>
      <c r="AB376" s="36" t="s">
        <v>16</v>
      </c>
      <c r="AC376" s="181">
        <f t="shared" si="65"/>
        <v>130</v>
      </c>
      <c r="AD376" s="181">
        <f t="shared" si="74"/>
        <v>1261800.8</v>
      </c>
      <c r="AE376" s="181">
        <v>1.9</v>
      </c>
      <c r="AF376" s="181">
        <v>1.9</v>
      </c>
      <c r="AG376" s="101" t="str">
        <f t="shared" si="66"/>
        <v/>
      </c>
      <c r="AH376" s="194">
        <v>130</v>
      </c>
      <c r="AI376" s="69">
        <f t="shared" si="67"/>
        <v>130</v>
      </c>
    </row>
    <row r="377" spans="1:35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 t="s">
        <v>15</v>
      </c>
      <c r="I377" s="88"/>
      <c r="J377" s="88">
        <v>27540238.109999999</v>
      </c>
      <c r="K377" s="95" t="s">
        <v>15</v>
      </c>
      <c r="L377" s="73"/>
      <c r="M377" s="42">
        <v>1</v>
      </c>
      <c r="N377" s="42">
        <v>254958</v>
      </c>
      <c r="O377" s="42">
        <v>24164789.300000004</v>
      </c>
      <c r="P377" s="98"/>
      <c r="Q377" s="13" t="s">
        <v>1404</v>
      </c>
      <c r="R377" s="14" t="s">
        <v>1008</v>
      </c>
      <c r="S377" s="15" t="s">
        <v>14</v>
      </c>
      <c r="T377" s="16">
        <v>1</v>
      </c>
      <c r="U377" s="16"/>
      <c r="V377" s="16">
        <f>SUMIFS(AD:AD,AE:AE,AE377)</f>
        <v>27540238.110000003</v>
      </c>
      <c r="W377" s="16">
        <f t="shared" ref="W377:X377" si="76">IF(Y377=0,0,1)</f>
        <v>1</v>
      </c>
      <c r="X377" s="16">
        <f t="shared" si="76"/>
        <v>1</v>
      </c>
      <c r="Y377" s="16">
        <f>SUMIFS(Y:Y,AF:AF,AE377)</f>
        <v>425040</v>
      </c>
      <c r="Z377" s="16">
        <f>SUMIFS(Z:Z,AF:AF,AE377)</f>
        <v>24589829.300000004</v>
      </c>
      <c r="AA377" s="17" t="s">
        <v>15</v>
      </c>
      <c r="AB377" s="40" t="s">
        <v>16</v>
      </c>
      <c r="AC377" s="181">
        <f t="shared" si="65"/>
        <v>1</v>
      </c>
      <c r="AD377" s="183"/>
      <c r="AE377" s="183">
        <v>2</v>
      </c>
      <c r="AF377" s="183"/>
      <c r="AG377" s="101" t="str">
        <f t="shared" si="66"/>
        <v/>
      </c>
      <c r="AH377" s="190">
        <v>1</v>
      </c>
      <c r="AI377" s="69">
        <f t="shared" si="67"/>
        <v>1</v>
      </c>
    </row>
    <row r="378" spans="1:35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 t="s">
        <v>15</v>
      </c>
      <c r="I378" s="75">
        <v>711302</v>
      </c>
      <c r="J378" s="75">
        <v>711302</v>
      </c>
      <c r="K378" s="91" t="s">
        <v>1011</v>
      </c>
      <c r="L378" s="73"/>
      <c r="M378" s="46">
        <v>0</v>
      </c>
      <c r="N378" s="46">
        <v>0</v>
      </c>
      <c r="O378" s="46">
        <v>0</v>
      </c>
      <c r="P378" s="98"/>
      <c r="Q378" s="23" t="s">
        <v>1421</v>
      </c>
      <c r="R378" s="24" t="s">
        <v>1010</v>
      </c>
      <c r="S378" s="25" t="s">
        <v>14</v>
      </c>
      <c r="T378" s="26">
        <v>1</v>
      </c>
      <c r="U378" s="26">
        <v>1</v>
      </c>
      <c r="V378" s="26">
        <v>711302</v>
      </c>
      <c r="W378" s="26">
        <f t="shared" ref="W378:W406" si="77">AH378-M378</f>
        <v>0</v>
      </c>
      <c r="X378" s="26">
        <f t="shared" ref="X378:X458" si="78">W378+M378</f>
        <v>0</v>
      </c>
      <c r="Y378" s="26">
        <f t="shared" ref="Y378:Y406" si="79">Z378-O378</f>
        <v>0</v>
      </c>
      <c r="Z378" s="26">
        <f t="shared" ref="Z378:Z406" si="80">ROUND(V378*X378,2)</f>
        <v>0</v>
      </c>
      <c r="AA378" s="33" t="s">
        <v>15</v>
      </c>
      <c r="AB378" s="36" t="s">
        <v>16</v>
      </c>
      <c r="AC378" s="181">
        <f t="shared" si="65"/>
        <v>1</v>
      </c>
      <c r="AD378" s="181">
        <f t="shared" ref="AD378:AD406" si="81">ROUND(V378*AC378,2)</f>
        <v>711302</v>
      </c>
      <c r="AE378" s="181">
        <v>2</v>
      </c>
      <c r="AF378" s="181">
        <v>2</v>
      </c>
      <c r="AG378" s="101" t="str">
        <f t="shared" si="66"/>
        <v/>
      </c>
      <c r="AH378" s="190">
        <v>0</v>
      </c>
      <c r="AI378" s="69">
        <f t="shared" si="67"/>
        <v>1</v>
      </c>
    </row>
    <row r="379" spans="1:35" s="69" customFormat="1" ht="33" customHeight="1" x14ac:dyDescent="0.3">
      <c r="A379" s="55" t="s">
        <v>1012</v>
      </c>
      <c r="B379" s="53" t="s">
        <v>3153</v>
      </c>
      <c r="C379" s="54" t="s">
        <v>1014</v>
      </c>
      <c r="D379" s="75">
        <v>7</v>
      </c>
      <c r="E379" s="75"/>
      <c r="F379" s="75"/>
      <c r="G379" s="75"/>
      <c r="H379" s="76" t="s">
        <v>15</v>
      </c>
      <c r="I379" s="75">
        <v>50000</v>
      </c>
      <c r="J379" s="75">
        <v>350000</v>
      </c>
      <c r="K379" s="91" t="s">
        <v>1015</v>
      </c>
      <c r="L379" s="73"/>
      <c r="M379" s="46">
        <v>0</v>
      </c>
      <c r="N379" s="46">
        <v>0</v>
      </c>
      <c r="O379" s="46">
        <v>0</v>
      </c>
      <c r="P379" s="98"/>
      <c r="Q379" s="23" t="s">
        <v>1426</v>
      </c>
      <c r="R379" s="24" t="s">
        <v>1013</v>
      </c>
      <c r="S379" s="25" t="s">
        <v>1014</v>
      </c>
      <c r="T379" s="26">
        <v>7</v>
      </c>
      <c r="U379" s="26">
        <v>7</v>
      </c>
      <c r="V379" s="26">
        <v>50000</v>
      </c>
      <c r="W379" s="243">
        <f t="shared" si="77"/>
        <v>1</v>
      </c>
      <c r="X379" s="26">
        <f t="shared" si="78"/>
        <v>1</v>
      </c>
      <c r="Y379" s="26">
        <f t="shared" si="79"/>
        <v>50000</v>
      </c>
      <c r="Z379" s="26">
        <f t="shared" si="80"/>
        <v>50000</v>
      </c>
      <c r="AA379" s="33" t="s">
        <v>15</v>
      </c>
      <c r="AB379" s="36" t="s">
        <v>16</v>
      </c>
      <c r="AC379" s="181">
        <f t="shared" si="65"/>
        <v>7</v>
      </c>
      <c r="AD379" s="181">
        <f t="shared" si="81"/>
        <v>350000</v>
      </c>
      <c r="AE379" s="181">
        <v>2</v>
      </c>
      <c r="AF379" s="181">
        <v>2</v>
      </c>
      <c r="AG379" s="101" t="str">
        <f t="shared" si="66"/>
        <v/>
      </c>
      <c r="AH379" s="191">
        <f>1</f>
        <v>1</v>
      </c>
      <c r="AI379" s="69">
        <f t="shared" si="67"/>
        <v>7</v>
      </c>
    </row>
    <row r="380" spans="1:35" s="69" customFormat="1" ht="33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75"/>
      <c r="F380" s="75">
        <v>400</v>
      </c>
      <c r="G380" s="224"/>
      <c r="H380" s="158" t="s">
        <v>15</v>
      </c>
      <c r="I380" s="166">
        <v>22500</v>
      </c>
      <c r="J380" s="75">
        <v>9000000</v>
      </c>
      <c r="K380" s="91" t="s">
        <v>1018</v>
      </c>
      <c r="L380" s="73"/>
      <c r="M380" s="46">
        <v>400</v>
      </c>
      <c r="N380" s="46">
        <v>0</v>
      </c>
      <c r="O380" s="46">
        <v>9000000</v>
      </c>
      <c r="P380" s="98"/>
      <c r="Q380" s="23" t="s">
        <v>1402</v>
      </c>
      <c r="R380" s="24" t="s">
        <v>1017</v>
      </c>
      <c r="S380" s="25" t="s">
        <v>50</v>
      </c>
      <c r="T380" s="26">
        <v>360</v>
      </c>
      <c r="U380" s="26">
        <v>400</v>
      </c>
      <c r="V380" s="26">
        <v>22500</v>
      </c>
      <c r="W380" s="127">
        <f t="shared" si="77"/>
        <v>0</v>
      </c>
      <c r="X380" s="127">
        <f t="shared" si="78"/>
        <v>400</v>
      </c>
      <c r="Y380" s="127">
        <f t="shared" si="79"/>
        <v>0</v>
      </c>
      <c r="Z380" s="127">
        <f t="shared" si="80"/>
        <v>9000000</v>
      </c>
      <c r="AA380" s="27" t="s">
        <v>15</v>
      </c>
      <c r="AB380" s="36" t="s">
        <v>16</v>
      </c>
      <c r="AC380" s="181">
        <f t="shared" si="65"/>
        <v>400</v>
      </c>
      <c r="AD380" s="181">
        <f t="shared" si="81"/>
        <v>9000000</v>
      </c>
      <c r="AE380" s="181">
        <v>2</v>
      </c>
      <c r="AF380" s="181">
        <v>2</v>
      </c>
      <c r="AG380" s="101" t="str">
        <f t="shared" si="66"/>
        <v/>
      </c>
      <c r="AH380" s="190">
        <v>400</v>
      </c>
      <c r="AI380" s="69">
        <f t="shared" si="67"/>
        <v>400</v>
      </c>
    </row>
    <row r="381" spans="1:35" s="69" customFormat="1" ht="49.5" x14ac:dyDescent="0.3">
      <c r="A381" s="55" t="s">
        <v>1019</v>
      </c>
      <c r="B381" s="138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235"/>
      <c r="H381" s="158" t="s">
        <v>15</v>
      </c>
      <c r="I381" s="166">
        <v>806</v>
      </c>
      <c r="J381" s="75">
        <v>2941900</v>
      </c>
      <c r="K381" s="91" t="s">
        <v>1022</v>
      </c>
      <c r="L381" s="73"/>
      <c r="M381" s="46">
        <v>2256</v>
      </c>
      <c r="N381" s="46">
        <v>74958</v>
      </c>
      <c r="O381" s="46">
        <v>1818336</v>
      </c>
      <c r="P381" s="98"/>
      <c r="Q381" s="23" t="s">
        <v>1373</v>
      </c>
      <c r="R381" s="24" t="s">
        <v>1020</v>
      </c>
      <c r="S381" s="25" t="s">
        <v>1021</v>
      </c>
      <c r="T381" s="26">
        <v>730</v>
      </c>
      <c r="U381" s="26">
        <v>3650</v>
      </c>
      <c r="V381" s="26">
        <v>806</v>
      </c>
      <c r="W381" s="250">
        <f t="shared" si="77"/>
        <v>90</v>
      </c>
      <c r="X381" s="26">
        <f t="shared" si="78"/>
        <v>2346</v>
      </c>
      <c r="Y381" s="26">
        <f t="shared" si="79"/>
        <v>72540</v>
      </c>
      <c r="Z381" s="26">
        <f t="shared" si="80"/>
        <v>1890876</v>
      </c>
      <c r="AA381" s="27" t="s">
        <v>15</v>
      </c>
      <c r="AB381" s="36" t="s">
        <v>16</v>
      </c>
      <c r="AC381" s="181">
        <f t="shared" si="65"/>
        <v>3650</v>
      </c>
      <c r="AD381" s="181">
        <f t="shared" si="81"/>
        <v>2941900</v>
      </c>
      <c r="AE381" s="181">
        <v>2</v>
      </c>
      <c r="AF381" s="181">
        <v>2</v>
      </c>
      <c r="AG381" s="101" t="str">
        <f t="shared" si="66"/>
        <v/>
      </c>
      <c r="AH381" s="191">
        <f>2070+93+93+90</f>
        <v>2346</v>
      </c>
      <c r="AI381" s="69">
        <f t="shared" si="67"/>
        <v>3650</v>
      </c>
    </row>
    <row r="382" spans="1:35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75">
        <v>4</v>
      </c>
      <c r="F382" s="161">
        <v>5</v>
      </c>
      <c r="G382" s="235"/>
      <c r="H382" s="158" t="s">
        <v>15</v>
      </c>
      <c r="I382" s="166">
        <v>50000</v>
      </c>
      <c r="J382" s="75">
        <v>250000</v>
      </c>
      <c r="K382" s="91" t="s">
        <v>1025</v>
      </c>
      <c r="L382" s="73"/>
      <c r="M382" s="46">
        <v>5</v>
      </c>
      <c r="N382" s="46">
        <v>0</v>
      </c>
      <c r="O382" s="46">
        <v>250000</v>
      </c>
      <c r="P382" s="98"/>
      <c r="Q382" s="23" t="s">
        <v>1393</v>
      </c>
      <c r="R382" s="24" t="s">
        <v>1024</v>
      </c>
      <c r="S382" s="25" t="s">
        <v>1014</v>
      </c>
      <c r="T382" s="26">
        <v>2</v>
      </c>
      <c r="U382" s="26">
        <v>5</v>
      </c>
      <c r="V382" s="26">
        <v>50000</v>
      </c>
      <c r="W382" s="127">
        <f t="shared" si="77"/>
        <v>0</v>
      </c>
      <c r="X382" s="127">
        <f t="shared" si="78"/>
        <v>5</v>
      </c>
      <c r="Y382" s="127">
        <f t="shared" si="79"/>
        <v>0</v>
      </c>
      <c r="Z382" s="127">
        <f t="shared" si="80"/>
        <v>250000</v>
      </c>
      <c r="AA382" s="27" t="s">
        <v>15</v>
      </c>
      <c r="AB382" s="36" t="s">
        <v>16</v>
      </c>
      <c r="AC382" s="181">
        <f t="shared" si="65"/>
        <v>5</v>
      </c>
      <c r="AD382" s="181">
        <f t="shared" si="81"/>
        <v>250000</v>
      </c>
      <c r="AE382" s="181">
        <v>2</v>
      </c>
      <c r="AF382" s="181">
        <v>2</v>
      </c>
      <c r="AG382" s="101" t="str">
        <f t="shared" si="66"/>
        <v/>
      </c>
      <c r="AH382" s="190">
        <v>5</v>
      </c>
      <c r="AI382" s="69">
        <f t="shared" si="67"/>
        <v>5</v>
      </c>
    </row>
    <row r="383" spans="1:35" s="69" customFormat="1" ht="36.75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235"/>
      <c r="H383" s="158" t="s">
        <v>15</v>
      </c>
      <c r="I383" s="166">
        <v>180000</v>
      </c>
      <c r="J383" s="75">
        <v>4320000</v>
      </c>
      <c r="K383" s="91" t="s">
        <v>1029</v>
      </c>
      <c r="L383" s="73"/>
      <c r="M383" s="46">
        <v>20</v>
      </c>
      <c r="N383" s="46">
        <v>180000</v>
      </c>
      <c r="O383" s="46">
        <v>3600000</v>
      </c>
      <c r="P383" s="98"/>
      <c r="Q383" s="23" t="s">
        <v>1403</v>
      </c>
      <c r="R383" s="24" t="s">
        <v>1027</v>
      </c>
      <c r="S383" s="25" t="s">
        <v>1028</v>
      </c>
      <c r="T383" s="26">
        <v>24</v>
      </c>
      <c r="U383" s="26">
        <v>24</v>
      </c>
      <c r="V383" s="26">
        <v>180000</v>
      </c>
      <c r="W383" s="250">
        <f t="shared" si="77"/>
        <v>1</v>
      </c>
      <c r="X383" s="26">
        <f t="shared" si="78"/>
        <v>21</v>
      </c>
      <c r="Y383" s="26">
        <f t="shared" si="79"/>
        <v>180000</v>
      </c>
      <c r="Z383" s="26">
        <f t="shared" si="80"/>
        <v>3780000</v>
      </c>
      <c r="AA383" s="33" t="s">
        <v>15</v>
      </c>
      <c r="AB383" s="36" t="s">
        <v>16</v>
      </c>
      <c r="AC383" s="181">
        <f t="shared" si="65"/>
        <v>24</v>
      </c>
      <c r="AD383" s="181">
        <f t="shared" si="81"/>
        <v>4320000</v>
      </c>
      <c r="AE383" s="181">
        <v>2</v>
      </c>
      <c r="AF383" s="181">
        <v>2</v>
      </c>
      <c r="AG383" s="101" t="str">
        <f t="shared" si="66"/>
        <v/>
      </c>
      <c r="AH383" s="191">
        <f>17+1+1+1+1</f>
        <v>21</v>
      </c>
      <c r="AI383" s="69">
        <f t="shared" si="67"/>
        <v>24</v>
      </c>
    </row>
    <row r="384" spans="1:35" s="69" customFormat="1" ht="34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235"/>
      <c r="H384" s="158" t="s">
        <v>15</v>
      </c>
      <c r="I384" s="166">
        <v>205982.81</v>
      </c>
      <c r="J384" s="75">
        <v>205982.81</v>
      </c>
      <c r="K384" s="91" t="s">
        <v>1032</v>
      </c>
      <c r="L384" s="73"/>
      <c r="M384" s="46">
        <v>0</v>
      </c>
      <c r="N384" s="46">
        <v>0</v>
      </c>
      <c r="O384" s="46">
        <v>0</v>
      </c>
      <c r="P384" s="98"/>
      <c r="Q384" s="23" t="s">
        <v>1427</v>
      </c>
      <c r="R384" s="24" t="s">
        <v>1031</v>
      </c>
      <c r="S384" s="25" t="s">
        <v>14</v>
      </c>
      <c r="T384" s="26">
        <v>1</v>
      </c>
      <c r="U384" s="26">
        <v>1</v>
      </c>
      <c r="V384" s="26">
        <v>205982.81</v>
      </c>
      <c r="W384" s="26">
        <f t="shared" si="77"/>
        <v>0</v>
      </c>
      <c r="X384" s="26">
        <f t="shared" si="78"/>
        <v>0</v>
      </c>
      <c r="Y384" s="26">
        <f t="shared" si="79"/>
        <v>0</v>
      </c>
      <c r="Z384" s="26">
        <f t="shared" si="80"/>
        <v>0</v>
      </c>
      <c r="AA384" s="33" t="s">
        <v>15</v>
      </c>
      <c r="AB384" s="36" t="s">
        <v>16</v>
      </c>
      <c r="AC384" s="181">
        <f t="shared" si="65"/>
        <v>1</v>
      </c>
      <c r="AD384" s="181">
        <f t="shared" si="81"/>
        <v>205982.81</v>
      </c>
      <c r="AE384" s="181">
        <v>2</v>
      </c>
      <c r="AF384" s="181">
        <v>2</v>
      </c>
      <c r="AG384" s="101" t="str">
        <f t="shared" si="66"/>
        <v/>
      </c>
      <c r="AH384" s="190">
        <v>0</v>
      </c>
      <c r="AI384" s="69">
        <f t="shared" si="67"/>
        <v>1</v>
      </c>
    </row>
    <row r="385" spans="1:35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75"/>
      <c r="F385" s="161"/>
      <c r="G385" s="235"/>
      <c r="H385" s="158" t="s">
        <v>15</v>
      </c>
      <c r="I385" s="166">
        <v>2425000</v>
      </c>
      <c r="J385" s="75">
        <v>2425000</v>
      </c>
      <c r="K385" s="91" t="s">
        <v>1035</v>
      </c>
      <c r="L385" s="73"/>
      <c r="M385" s="46">
        <v>1</v>
      </c>
      <c r="N385" s="46">
        <v>0</v>
      </c>
      <c r="O385" s="46">
        <v>2425000</v>
      </c>
      <c r="P385" s="98"/>
      <c r="Q385" s="23" t="s">
        <v>1428</v>
      </c>
      <c r="R385" s="24" t="s">
        <v>1034</v>
      </c>
      <c r="S385" s="25" t="s">
        <v>14</v>
      </c>
      <c r="T385" s="26">
        <v>1</v>
      </c>
      <c r="U385" s="26">
        <v>1</v>
      </c>
      <c r="V385" s="26">
        <v>2425000</v>
      </c>
      <c r="W385" s="127">
        <f t="shared" si="77"/>
        <v>0</v>
      </c>
      <c r="X385" s="127">
        <f t="shared" si="78"/>
        <v>1</v>
      </c>
      <c r="Y385" s="127">
        <f t="shared" si="79"/>
        <v>0</v>
      </c>
      <c r="Z385" s="127">
        <f t="shared" si="80"/>
        <v>2425000</v>
      </c>
      <c r="AA385" s="33" t="s">
        <v>1499</v>
      </c>
      <c r="AB385" s="36" t="s">
        <v>16</v>
      </c>
      <c r="AC385" s="181">
        <f t="shared" si="65"/>
        <v>1</v>
      </c>
      <c r="AD385" s="181">
        <f t="shared" si="81"/>
        <v>2425000</v>
      </c>
      <c r="AE385" s="181">
        <v>2</v>
      </c>
      <c r="AF385" s="181">
        <v>2</v>
      </c>
      <c r="AG385" s="101" t="str">
        <f t="shared" si="66"/>
        <v/>
      </c>
      <c r="AH385" s="190">
        <v>1</v>
      </c>
      <c r="AI385" s="69">
        <f t="shared" si="67"/>
        <v>1</v>
      </c>
    </row>
    <row r="386" spans="1:35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235"/>
      <c r="H386" s="158" t="s">
        <v>15</v>
      </c>
      <c r="I386" s="166">
        <v>350000</v>
      </c>
      <c r="J386" s="75">
        <v>350000</v>
      </c>
      <c r="K386" s="91" t="s">
        <v>1038</v>
      </c>
      <c r="L386" s="73"/>
      <c r="M386" s="46">
        <v>0.5</v>
      </c>
      <c r="N386" s="46">
        <v>0</v>
      </c>
      <c r="O386" s="46">
        <v>175000</v>
      </c>
      <c r="P386" s="98"/>
      <c r="Q386" s="23" t="s">
        <v>1387</v>
      </c>
      <c r="R386" s="24" t="s">
        <v>1037</v>
      </c>
      <c r="S386" s="25" t="s">
        <v>14</v>
      </c>
      <c r="T386" s="26">
        <v>1</v>
      </c>
      <c r="U386" s="26">
        <v>1</v>
      </c>
      <c r="V386" s="26">
        <v>350000</v>
      </c>
      <c r="W386" s="243">
        <f t="shared" si="77"/>
        <v>0.35</v>
      </c>
      <c r="X386" s="26">
        <f t="shared" si="78"/>
        <v>0.85</v>
      </c>
      <c r="Y386" s="26">
        <f>Z386-O386</f>
        <v>122500</v>
      </c>
      <c r="Z386" s="26">
        <f>ROUND(V386*X386,2)</f>
        <v>297500</v>
      </c>
      <c r="AA386" s="33" t="s">
        <v>15</v>
      </c>
      <c r="AB386" s="36" t="s">
        <v>16</v>
      </c>
      <c r="AC386" s="181">
        <f t="shared" si="65"/>
        <v>1</v>
      </c>
      <c r="AD386" s="181">
        <f t="shared" si="81"/>
        <v>350000</v>
      </c>
      <c r="AE386" s="181">
        <v>2</v>
      </c>
      <c r="AF386" s="181">
        <v>2</v>
      </c>
      <c r="AG386" s="101" t="str">
        <f t="shared" si="66"/>
        <v/>
      </c>
      <c r="AH386" s="191">
        <f>0.5+0.35</f>
        <v>0.85</v>
      </c>
      <c r="AI386" s="69">
        <f t="shared" si="67"/>
        <v>1</v>
      </c>
    </row>
    <row r="387" spans="1:35" ht="33" x14ac:dyDescent="0.3">
      <c r="A387" s="134" t="s">
        <v>1342</v>
      </c>
      <c r="B387" s="135" t="s">
        <v>1343</v>
      </c>
      <c r="C387" s="204" t="s">
        <v>50</v>
      </c>
      <c r="D387" s="133"/>
      <c r="E387" s="78"/>
      <c r="F387" s="163">
        <v>320</v>
      </c>
      <c r="G387" s="163"/>
      <c r="H387" s="62" t="s">
        <v>15</v>
      </c>
      <c r="I387" s="167">
        <v>10869.24</v>
      </c>
      <c r="J387" s="62">
        <v>3478156.8</v>
      </c>
      <c r="K387" s="93"/>
      <c r="M387" s="46">
        <v>320</v>
      </c>
      <c r="N387" s="46">
        <v>0</v>
      </c>
      <c r="O387" s="46">
        <v>3478156.8</v>
      </c>
      <c r="P387" s="98"/>
      <c r="Q387" s="23" t="s">
        <v>1405</v>
      </c>
      <c r="R387" s="24" t="s">
        <v>1343</v>
      </c>
      <c r="S387" s="25" t="s">
        <v>50</v>
      </c>
      <c r="T387" s="26">
        <v>0</v>
      </c>
      <c r="U387" s="26">
        <v>320</v>
      </c>
      <c r="V387" s="26">
        <v>10869.24</v>
      </c>
      <c r="W387" s="127">
        <f t="shared" si="77"/>
        <v>0</v>
      </c>
      <c r="X387" s="127">
        <f t="shared" si="78"/>
        <v>320</v>
      </c>
      <c r="Y387" s="127">
        <f t="shared" si="79"/>
        <v>0</v>
      </c>
      <c r="Z387" s="127">
        <f t="shared" si="80"/>
        <v>3478156.8</v>
      </c>
      <c r="AA387" s="27"/>
      <c r="AB387" s="36" t="s">
        <v>16</v>
      </c>
      <c r="AC387" s="181">
        <f t="shared" si="65"/>
        <v>320</v>
      </c>
      <c r="AD387" s="181">
        <f t="shared" si="81"/>
        <v>3478156.8</v>
      </c>
      <c r="AE387" s="181">
        <v>2</v>
      </c>
      <c r="AF387" s="181">
        <v>2</v>
      </c>
      <c r="AG387" s="101" t="str">
        <f t="shared" si="66"/>
        <v/>
      </c>
      <c r="AH387" s="194">
        <v>320</v>
      </c>
      <c r="AI387" s="69">
        <f t="shared" si="67"/>
        <v>320</v>
      </c>
    </row>
    <row r="388" spans="1:35" ht="33" x14ac:dyDescent="0.3">
      <c r="A388" s="144" t="s">
        <v>1344</v>
      </c>
      <c r="B388" s="145" t="s">
        <v>1345</v>
      </c>
      <c r="C388" s="206" t="s">
        <v>325</v>
      </c>
      <c r="D388" s="170"/>
      <c r="E388" s="147"/>
      <c r="F388" s="164">
        <v>2</v>
      </c>
      <c r="G388" s="163"/>
      <c r="H388" s="62" t="s">
        <v>15</v>
      </c>
      <c r="I388" s="168">
        <v>60995.57</v>
      </c>
      <c r="J388" s="148">
        <v>121991.14</v>
      </c>
      <c r="K388" s="149"/>
      <c r="M388" s="46">
        <v>2</v>
      </c>
      <c r="N388" s="46">
        <v>0</v>
      </c>
      <c r="O388" s="46">
        <v>121991.14</v>
      </c>
      <c r="P388" s="98"/>
      <c r="Q388" s="23" t="s">
        <v>1406</v>
      </c>
      <c r="R388" s="24" t="s">
        <v>1345</v>
      </c>
      <c r="S388" s="25" t="s">
        <v>325</v>
      </c>
      <c r="T388" s="26">
        <v>0</v>
      </c>
      <c r="U388" s="26">
        <v>2</v>
      </c>
      <c r="V388" s="26">
        <v>60995.57</v>
      </c>
      <c r="W388" s="127">
        <f t="shared" si="77"/>
        <v>0</v>
      </c>
      <c r="X388" s="127">
        <f t="shared" si="78"/>
        <v>2</v>
      </c>
      <c r="Y388" s="127">
        <f t="shared" si="79"/>
        <v>0</v>
      </c>
      <c r="Z388" s="127">
        <f t="shared" si="80"/>
        <v>121991.14</v>
      </c>
      <c r="AA388" s="27"/>
      <c r="AB388" s="36" t="s">
        <v>16</v>
      </c>
      <c r="AC388" s="181">
        <f t="shared" si="65"/>
        <v>2</v>
      </c>
      <c r="AD388" s="181">
        <f t="shared" si="81"/>
        <v>121991.14</v>
      </c>
      <c r="AE388" s="181">
        <v>2</v>
      </c>
      <c r="AF388" s="181">
        <v>2</v>
      </c>
      <c r="AG388" s="101" t="str">
        <f t="shared" si="66"/>
        <v/>
      </c>
      <c r="AH388" s="190">
        <v>2</v>
      </c>
      <c r="AI388" s="69">
        <f t="shared" si="67"/>
        <v>2</v>
      </c>
    </row>
    <row r="389" spans="1:35" ht="39" x14ac:dyDescent="0.3">
      <c r="A389" s="207" t="s">
        <v>3072</v>
      </c>
      <c r="B389" s="208" t="s">
        <v>3073</v>
      </c>
      <c r="C389" s="204" t="s">
        <v>97</v>
      </c>
      <c r="D389" s="171"/>
      <c r="E389" s="158"/>
      <c r="F389" s="165"/>
      <c r="G389" s="159">
        <v>220</v>
      </c>
      <c r="H389" s="223" t="s">
        <v>15</v>
      </c>
      <c r="I389" s="169">
        <v>1159.82</v>
      </c>
      <c r="J389" s="159">
        <v>255160.4</v>
      </c>
      <c r="K389" s="172"/>
      <c r="M389" s="46">
        <v>220</v>
      </c>
      <c r="N389" s="46">
        <v>0</v>
      </c>
      <c r="O389" s="46">
        <v>255160.4</v>
      </c>
      <c r="P389" s="98"/>
      <c r="Q389" s="23" t="s">
        <v>1414</v>
      </c>
      <c r="R389" s="24" t="s">
        <v>3073</v>
      </c>
      <c r="S389" s="25" t="s">
        <v>97</v>
      </c>
      <c r="T389" s="26"/>
      <c r="U389" s="26">
        <v>220</v>
      </c>
      <c r="V389" s="169">
        <v>1159.82</v>
      </c>
      <c r="W389" s="127">
        <f t="shared" si="77"/>
        <v>0</v>
      </c>
      <c r="X389" s="127">
        <f>W389+M389</f>
        <v>220</v>
      </c>
      <c r="Y389" s="127">
        <f t="shared" si="79"/>
        <v>0</v>
      </c>
      <c r="Z389" s="127">
        <f t="shared" si="80"/>
        <v>255160.4</v>
      </c>
      <c r="AA389" s="27"/>
      <c r="AB389" s="36"/>
      <c r="AC389" s="200">
        <v>220</v>
      </c>
      <c r="AD389" s="181">
        <f t="shared" si="81"/>
        <v>255160.4</v>
      </c>
      <c r="AE389" s="181">
        <v>2</v>
      </c>
      <c r="AF389" s="181">
        <v>2</v>
      </c>
      <c r="AG389" s="101"/>
      <c r="AH389" s="190">
        <v>220</v>
      </c>
      <c r="AI389" s="69">
        <f t="shared" si="67"/>
        <v>220</v>
      </c>
    </row>
    <row r="390" spans="1:35" ht="39" x14ac:dyDescent="0.3">
      <c r="A390" s="207" t="s">
        <v>3074</v>
      </c>
      <c r="B390" s="208" t="s">
        <v>3075</v>
      </c>
      <c r="C390" s="204" t="s">
        <v>97</v>
      </c>
      <c r="D390" s="171"/>
      <c r="E390" s="158"/>
      <c r="F390" s="165"/>
      <c r="G390" s="159">
        <v>264.5</v>
      </c>
      <c r="H390" s="223" t="s">
        <v>15</v>
      </c>
      <c r="I390" s="169">
        <v>689.89</v>
      </c>
      <c r="J390" s="159">
        <v>182475.91</v>
      </c>
      <c r="K390" s="172"/>
      <c r="M390" s="46">
        <v>264.5</v>
      </c>
      <c r="N390" s="46">
        <v>0</v>
      </c>
      <c r="O390" s="46">
        <v>182475.91</v>
      </c>
      <c r="P390" s="98"/>
      <c r="Q390" s="23" t="s">
        <v>1429</v>
      </c>
      <c r="R390" s="24" t="s">
        <v>3075</v>
      </c>
      <c r="S390" s="25" t="s">
        <v>97</v>
      </c>
      <c r="T390" s="26"/>
      <c r="U390" s="26">
        <v>264.5</v>
      </c>
      <c r="V390" s="169">
        <v>689.89</v>
      </c>
      <c r="W390" s="127">
        <f t="shared" si="77"/>
        <v>0</v>
      </c>
      <c r="X390" s="127">
        <f t="shared" ref="X390:X406" si="82">W390+M390</f>
        <v>264.5</v>
      </c>
      <c r="Y390" s="127">
        <f t="shared" si="79"/>
        <v>0</v>
      </c>
      <c r="Z390" s="127">
        <f t="shared" si="80"/>
        <v>182475.91</v>
      </c>
      <c r="AA390" s="27"/>
      <c r="AB390" s="36"/>
      <c r="AC390" s="200">
        <v>264.5</v>
      </c>
      <c r="AD390" s="181">
        <f t="shared" si="81"/>
        <v>182475.91</v>
      </c>
      <c r="AE390" s="181">
        <v>2</v>
      </c>
      <c r="AF390" s="181">
        <v>2</v>
      </c>
      <c r="AG390" s="101"/>
      <c r="AH390" s="190">
        <v>264.5</v>
      </c>
      <c r="AI390" s="69">
        <f t="shared" si="67"/>
        <v>264.5</v>
      </c>
    </row>
    <row r="391" spans="1:35" ht="49.5" x14ac:dyDescent="0.3">
      <c r="A391" s="207" t="s">
        <v>3076</v>
      </c>
      <c r="B391" s="241" t="s">
        <v>3077</v>
      </c>
      <c r="C391" s="204" t="s">
        <v>97</v>
      </c>
      <c r="D391" s="171"/>
      <c r="E391" s="158"/>
      <c r="F391" s="165"/>
      <c r="G391" s="159">
        <v>218.5</v>
      </c>
      <c r="H391" s="223" t="s">
        <v>15</v>
      </c>
      <c r="I391" s="169">
        <v>899.86</v>
      </c>
      <c r="J391" s="159">
        <v>196619.41</v>
      </c>
      <c r="K391" s="172"/>
      <c r="M391" s="46">
        <v>218.5</v>
      </c>
      <c r="N391" s="46">
        <v>0</v>
      </c>
      <c r="O391" s="46">
        <v>196619.41</v>
      </c>
      <c r="P391" s="98"/>
      <c r="Q391" s="23" t="s">
        <v>1430</v>
      </c>
      <c r="R391" s="24" t="s">
        <v>3077</v>
      </c>
      <c r="S391" s="25" t="s">
        <v>97</v>
      </c>
      <c r="T391" s="26"/>
      <c r="U391" s="26">
        <v>218.5</v>
      </c>
      <c r="V391" s="169">
        <v>899.86</v>
      </c>
      <c r="W391" s="127">
        <f t="shared" si="77"/>
        <v>0</v>
      </c>
      <c r="X391" s="127">
        <f t="shared" si="82"/>
        <v>218.5</v>
      </c>
      <c r="Y391" s="127">
        <f t="shared" si="79"/>
        <v>0</v>
      </c>
      <c r="Z391" s="127">
        <f t="shared" si="80"/>
        <v>196619.41</v>
      </c>
      <c r="AA391" s="27"/>
      <c r="AB391" s="36"/>
      <c r="AC391" s="200">
        <v>218.5</v>
      </c>
      <c r="AD391" s="181">
        <f t="shared" si="81"/>
        <v>196619.41</v>
      </c>
      <c r="AE391" s="181">
        <v>2</v>
      </c>
      <c r="AF391" s="181">
        <v>2</v>
      </c>
      <c r="AG391" s="101"/>
      <c r="AH391" s="190">
        <v>218.5</v>
      </c>
      <c r="AI391" s="69">
        <f t="shared" si="67"/>
        <v>218.5</v>
      </c>
    </row>
    <row r="392" spans="1:35" ht="39" x14ac:dyDescent="0.3">
      <c r="A392" s="207" t="s">
        <v>3078</v>
      </c>
      <c r="B392" s="208" t="s">
        <v>3079</v>
      </c>
      <c r="C392" s="204" t="s">
        <v>97</v>
      </c>
      <c r="D392" s="171"/>
      <c r="E392" s="158"/>
      <c r="F392" s="165"/>
      <c r="G392" s="159">
        <v>87.5</v>
      </c>
      <c r="H392" s="223" t="s">
        <v>15</v>
      </c>
      <c r="I392" s="169">
        <v>1499.76</v>
      </c>
      <c r="J392" s="159">
        <v>131229</v>
      </c>
      <c r="K392" s="172"/>
      <c r="M392" s="46">
        <v>87.5</v>
      </c>
      <c r="N392" s="46">
        <v>0</v>
      </c>
      <c r="O392" s="46">
        <v>131229</v>
      </c>
      <c r="P392" s="98"/>
      <c r="Q392" s="23" t="s">
        <v>1431</v>
      </c>
      <c r="R392" s="24" t="s">
        <v>3079</v>
      </c>
      <c r="S392" s="25" t="s">
        <v>97</v>
      </c>
      <c r="T392" s="26"/>
      <c r="U392" s="26">
        <v>87.5</v>
      </c>
      <c r="V392" s="169">
        <v>1499.76</v>
      </c>
      <c r="W392" s="127">
        <f t="shared" si="77"/>
        <v>0</v>
      </c>
      <c r="X392" s="127">
        <f t="shared" si="82"/>
        <v>87.5</v>
      </c>
      <c r="Y392" s="127">
        <f t="shared" si="79"/>
        <v>0</v>
      </c>
      <c r="Z392" s="127">
        <f t="shared" si="80"/>
        <v>131229</v>
      </c>
      <c r="AA392" s="27"/>
      <c r="AB392" s="36"/>
      <c r="AC392" s="200">
        <v>87.5</v>
      </c>
      <c r="AD392" s="181">
        <f t="shared" si="81"/>
        <v>131229</v>
      </c>
      <c r="AE392" s="181">
        <v>2</v>
      </c>
      <c r="AF392" s="181">
        <v>2</v>
      </c>
      <c r="AG392" s="101"/>
      <c r="AH392" s="190">
        <v>87.5</v>
      </c>
      <c r="AI392" s="69">
        <f t="shared" si="67"/>
        <v>87.5</v>
      </c>
    </row>
    <row r="393" spans="1:35" ht="39" x14ac:dyDescent="0.3">
      <c r="A393" s="207" t="s">
        <v>3080</v>
      </c>
      <c r="B393" s="208" t="s">
        <v>3081</v>
      </c>
      <c r="C393" s="204" t="s">
        <v>97</v>
      </c>
      <c r="D393" s="171"/>
      <c r="E393" s="158"/>
      <c r="F393" s="159"/>
      <c r="G393" s="159">
        <v>144.5</v>
      </c>
      <c r="H393" s="159" t="s">
        <v>15</v>
      </c>
      <c r="I393" s="158">
        <v>1419.78</v>
      </c>
      <c r="J393" s="159">
        <v>205158.21</v>
      </c>
      <c r="K393" s="172"/>
      <c r="M393" s="46">
        <v>144.5</v>
      </c>
      <c r="N393" s="46">
        <v>0</v>
      </c>
      <c r="O393" s="46">
        <v>205158.21</v>
      </c>
      <c r="P393" s="98"/>
      <c r="Q393" s="23" t="s">
        <v>1395</v>
      </c>
      <c r="R393" s="24" t="s">
        <v>3081</v>
      </c>
      <c r="S393" s="25" t="s">
        <v>97</v>
      </c>
      <c r="T393" s="26"/>
      <c r="U393" s="26">
        <v>144.5</v>
      </c>
      <c r="V393" s="158">
        <v>1419.78</v>
      </c>
      <c r="W393" s="127">
        <f t="shared" si="77"/>
        <v>0</v>
      </c>
      <c r="X393" s="127">
        <f t="shared" si="82"/>
        <v>144.5</v>
      </c>
      <c r="Y393" s="127">
        <f t="shared" si="79"/>
        <v>0</v>
      </c>
      <c r="Z393" s="127">
        <f t="shared" si="80"/>
        <v>205158.21</v>
      </c>
      <c r="AA393" s="27"/>
      <c r="AB393" s="36"/>
      <c r="AC393" s="200">
        <v>144.5</v>
      </c>
      <c r="AD393" s="181">
        <f t="shared" si="81"/>
        <v>205158.21</v>
      </c>
      <c r="AE393" s="181">
        <v>2</v>
      </c>
      <c r="AF393" s="181">
        <v>2</v>
      </c>
      <c r="AG393" s="101"/>
      <c r="AH393" s="190">
        <v>144.5</v>
      </c>
      <c r="AI393" s="69">
        <f t="shared" si="67"/>
        <v>144.5</v>
      </c>
    </row>
    <row r="394" spans="1:35" x14ac:dyDescent="0.3">
      <c r="A394" s="207" t="s">
        <v>3082</v>
      </c>
      <c r="B394" s="208" t="s">
        <v>3083</v>
      </c>
      <c r="C394" s="204" t="s">
        <v>97</v>
      </c>
      <c r="D394" s="171"/>
      <c r="E394" s="158"/>
      <c r="F394" s="159"/>
      <c r="G394" s="159">
        <v>27</v>
      </c>
      <c r="H394" s="159" t="s">
        <v>15</v>
      </c>
      <c r="I394" s="158">
        <v>2999.53</v>
      </c>
      <c r="J394" s="159">
        <v>80987.31</v>
      </c>
      <c r="K394" s="172"/>
      <c r="M394" s="46">
        <v>27</v>
      </c>
      <c r="N394" s="46">
        <v>0</v>
      </c>
      <c r="O394" s="46">
        <v>80987.31</v>
      </c>
      <c r="P394" s="98"/>
      <c r="Q394" s="23" t="s">
        <v>1432</v>
      </c>
      <c r="R394" s="24" t="s">
        <v>3083</v>
      </c>
      <c r="S394" s="25" t="s">
        <v>97</v>
      </c>
      <c r="T394" s="26"/>
      <c r="U394" s="26">
        <v>27</v>
      </c>
      <c r="V394" s="158">
        <v>2999.53</v>
      </c>
      <c r="W394" s="127">
        <f t="shared" si="77"/>
        <v>0</v>
      </c>
      <c r="X394" s="127">
        <f t="shared" si="82"/>
        <v>27</v>
      </c>
      <c r="Y394" s="127">
        <f t="shared" si="79"/>
        <v>0</v>
      </c>
      <c r="Z394" s="127">
        <f t="shared" si="80"/>
        <v>80987.31</v>
      </c>
      <c r="AA394" s="27"/>
      <c r="AB394" s="36"/>
      <c r="AC394" s="200">
        <v>27</v>
      </c>
      <c r="AD394" s="181">
        <f t="shared" si="81"/>
        <v>80987.31</v>
      </c>
      <c r="AE394" s="181">
        <v>2</v>
      </c>
      <c r="AF394" s="181">
        <v>2</v>
      </c>
      <c r="AG394" s="101"/>
      <c r="AH394" s="190">
        <v>27</v>
      </c>
      <c r="AI394" s="69">
        <f t="shared" si="67"/>
        <v>27</v>
      </c>
    </row>
    <row r="395" spans="1:35" x14ac:dyDescent="0.3">
      <c r="A395" s="207" t="s">
        <v>3084</v>
      </c>
      <c r="B395" s="208" t="s">
        <v>3085</v>
      </c>
      <c r="C395" s="204" t="s">
        <v>97</v>
      </c>
      <c r="D395" s="171"/>
      <c r="E395" s="158"/>
      <c r="F395" s="159"/>
      <c r="G395" s="159">
        <v>28</v>
      </c>
      <c r="H395" s="159" t="s">
        <v>15</v>
      </c>
      <c r="I395" s="158">
        <v>1364.78</v>
      </c>
      <c r="J395" s="159">
        <v>38213.839999999997</v>
      </c>
      <c r="K395" s="172"/>
      <c r="M395" s="46">
        <v>28</v>
      </c>
      <c r="N395" s="46">
        <v>0</v>
      </c>
      <c r="O395" s="46">
        <v>38213.839999999997</v>
      </c>
      <c r="P395" s="98"/>
      <c r="Q395" s="23" t="s">
        <v>1433</v>
      </c>
      <c r="R395" s="24" t="s">
        <v>3085</v>
      </c>
      <c r="S395" s="25" t="s">
        <v>97</v>
      </c>
      <c r="T395" s="26"/>
      <c r="U395" s="26">
        <v>28</v>
      </c>
      <c r="V395" s="158">
        <v>1364.78</v>
      </c>
      <c r="W395" s="127">
        <f t="shared" si="77"/>
        <v>0</v>
      </c>
      <c r="X395" s="127">
        <f t="shared" si="82"/>
        <v>28</v>
      </c>
      <c r="Y395" s="127">
        <f t="shared" si="79"/>
        <v>0</v>
      </c>
      <c r="Z395" s="127">
        <f t="shared" si="80"/>
        <v>38213.839999999997</v>
      </c>
      <c r="AA395" s="27"/>
      <c r="AB395" s="36"/>
      <c r="AC395" s="200">
        <v>28</v>
      </c>
      <c r="AD395" s="181">
        <f t="shared" si="81"/>
        <v>38213.839999999997</v>
      </c>
      <c r="AE395" s="181">
        <v>2</v>
      </c>
      <c r="AF395" s="181">
        <v>2</v>
      </c>
      <c r="AG395" s="101"/>
      <c r="AH395" s="190">
        <v>28</v>
      </c>
      <c r="AI395" s="69">
        <f t="shared" ref="AI395:AI459" si="83">IF(G395=0,IF(F395=0,IF(E395=0,D395,E395),F395),G395)</f>
        <v>28</v>
      </c>
    </row>
    <row r="396" spans="1:35" ht="39" x14ac:dyDescent="0.3">
      <c r="A396" s="207" t="s">
        <v>3086</v>
      </c>
      <c r="B396" s="208" t="s">
        <v>3087</v>
      </c>
      <c r="C396" s="204" t="s">
        <v>97</v>
      </c>
      <c r="D396" s="171"/>
      <c r="E396" s="158"/>
      <c r="F396" s="159"/>
      <c r="G396" s="159">
        <v>156</v>
      </c>
      <c r="H396" s="159" t="s">
        <v>15</v>
      </c>
      <c r="I396" s="158">
        <v>771.88</v>
      </c>
      <c r="J396" s="159">
        <v>120413.28</v>
      </c>
      <c r="K396" s="172"/>
      <c r="M396" s="46">
        <v>156</v>
      </c>
      <c r="N396" s="46">
        <v>0</v>
      </c>
      <c r="O396" s="46">
        <v>120413.28</v>
      </c>
      <c r="P396" s="98"/>
      <c r="Q396" s="23" t="s">
        <v>1382</v>
      </c>
      <c r="R396" s="24" t="s">
        <v>3087</v>
      </c>
      <c r="S396" s="25" t="s">
        <v>97</v>
      </c>
      <c r="T396" s="26"/>
      <c r="U396" s="26">
        <v>156</v>
      </c>
      <c r="V396" s="158">
        <v>771.88</v>
      </c>
      <c r="W396" s="127">
        <f t="shared" si="77"/>
        <v>0</v>
      </c>
      <c r="X396" s="127">
        <f t="shared" si="82"/>
        <v>156</v>
      </c>
      <c r="Y396" s="127">
        <f t="shared" si="79"/>
        <v>0</v>
      </c>
      <c r="Z396" s="127">
        <f t="shared" si="80"/>
        <v>120413.28</v>
      </c>
      <c r="AA396" s="27"/>
      <c r="AB396" s="36"/>
      <c r="AC396" s="200">
        <v>156</v>
      </c>
      <c r="AD396" s="181">
        <f t="shared" si="81"/>
        <v>120413.28</v>
      </c>
      <c r="AE396" s="181">
        <v>2</v>
      </c>
      <c r="AF396" s="181">
        <v>2</v>
      </c>
      <c r="AG396" s="101"/>
      <c r="AH396" s="190">
        <v>156</v>
      </c>
      <c r="AI396" s="69">
        <f t="shared" si="83"/>
        <v>156</v>
      </c>
    </row>
    <row r="397" spans="1:35" ht="39" x14ac:dyDescent="0.3">
      <c r="A397" s="207" t="s">
        <v>3088</v>
      </c>
      <c r="B397" s="208" t="s">
        <v>3089</v>
      </c>
      <c r="C397" s="204" t="s">
        <v>97</v>
      </c>
      <c r="D397" s="171"/>
      <c r="E397" s="158"/>
      <c r="F397" s="159"/>
      <c r="G397" s="242">
        <v>1917</v>
      </c>
      <c r="H397" s="219" t="s">
        <v>15</v>
      </c>
      <c r="I397" s="158">
        <v>400.94</v>
      </c>
      <c r="J397" s="159">
        <v>768601.98</v>
      </c>
      <c r="K397" s="172"/>
      <c r="M397" s="46">
        <v>1917</v>
      </c>
      <c r="N397" s="46">
        <v>0</v>
      </c>
      <c r="O397" s="46">
        <v>768601.98</v>
      </c>
      <c r="P397" s="98"/>
      <c r="Q397" s="23" t="s">
        <v>1434</v>
      </c>
      <c r="R397" s="24" t="s">
        <v>3089</v>
      </c>
      <c r="S397" s="25" t="s">
        <v>97</v>
      </c>
      <c r="T397" s="26"/>
      <c r="U397" s="26">
        <v>1917</v>
      </c>
      <c r="V397" s="158">
        <v>400.94</v>
      </c>
      <c r="W397" s="127">
        <f t="shared" si="77"/>
        <v>0</v>
      </c>
      <c r="X397" s="127">
        <f t="shared" si="82"/>
        <v>1917</v>
      </c>
      <c r="Y397" s="127">
        <f t="shared" si="79"/>
        <v>0</v>
      </c>
      <c r="Z397" s="127">
        <f t="shared" si="80"/>
        <v>768601.98</v>
      </c>
      <c r="AA397" s="27"/>
      <c r="AB397" s="36"/>
      <c r="AC397" s="200">
        <v>1917</v>
      </c>
      <c r="AD397" s="181">
        <f t="shared" si="81"/>
        <v>768601.98</v>
      </c>
      <c r="AE397" s="181">
        <v>2</v>
      </c>
      <c r="AF397" s="181">
        <v>2</v>
      </c>
      <c r="AG397" s="101"/>
      <c r="AH397" s="190">
        <v>1917</v>
      </c>
      <c r="AI397" s="69">
        <f t="shared" si="83"/>
        <v>1917</v>
      </c>
    </row>
    <row r="398" spans="1:35" x14ac:dyDescent="0.3">
      <c r="A398" s="207" t="s">
        <v>3090</v>
      </c>
      <c r="B398" s="208" t="s">
        <v>3091</v>
      </c>
      <c r="C398" s="204" t="s">
        <v>97</v>
      </c>
      <c r="D398" s="171"/>
      <c r="E398" s="158"/>
      <c r="F398" s="159"/>
      <c r="G398" s="159">
        <v>380</v>
      </c>
      <c r="H398" s="159" t="s">
        <v>15</v>
      </c>
      <c r="I398" s="158">
        <v>280.95999999999998</v>
      </c>
      <c r="J398" s="159">
        <v>106764.8</v>
      </c>
      <c r="K398" s="172"/>
      <c r="M398" s="46">
        <v>380</v>
      </c>
      <c r="N398" s="46">
        <v>0</v>
      </c>
      <c r="O398" s="46">
        <v>106764.8</v>
      </c>
      <c r="P398" s="98"/>
      <c r="Q398" s="23" t="s">
        <v>1388</v>
      </c>
      <c r="R398" s="24" t="s">
        <v>3091</v>
      </c>
      <c r="S398" s="25" t="s">
        <v>97</v>
      </c>
      <c r="T398" s="26"/>
      <c r="U398" s="26">
        <v>380</v>
      </c>
      <c r="V398" s="158">
        <v>280.95999999999998</v>
      </c>
      <c r="W398" s="127">
        <f t="shared" si="77"/>
        <v>0</v>
      </c>
      <c r="X398" s="127">
        <f t="shared" si="82"/>
        <v>380</v>
      </c>
      <c r="Y398" s="127">
        <f t="shared" si="79"/>
        <v>0</v>
      </c>
      <c r="Z398" s="127">
        <f t="shared" si="80"/>
        <v>106764.8</v>
      </c>
      <c r="AA398" s="27"/>
      <c r="AB398" s="36"/>
      <c r="AC398" s="200">
        <v>380</v>
      </c>
      <c r="AD398" s="181">
        <f t="shared" si="81"/>
        <v>106764.8</v>
      </c>
      <c r="AE398" s="181">
        <v>2</v>
      </c>
      <c r="AF398" s="181">
        <v>2</v>
      </c>
      <c r="AG398" s="101"/>
      <c r="AH398" s="190">
        <v>380</v>
      </c>
      <c r="AI398" s="69">
        <f t="shared" si="83"/>
        <v>380</v>
      </c>
    </row>
    <row r="399" spans="1:35" ht="33" x14ac:dyDescent="0.3">
      <c r="A399" s="207" t="s">
        <v>3092</v>
      </c>
      <c r="B399" s="241" t="s">
        <v>3093</v>
      </c>
      <c r="C399" s="204" t="s">
        <v>97</v>
      </c>
      <c r="D399" s="171"/>
      <c r="E399" s="158"/>
      <c r="F399" s="159"/>
      <c r="G399" s="159">
        <v>660.5</v>
      </c>
      <c r="H399" s="159" t="s">
        <v>15</v>
      </c>
      <c r="I399" s="158">
        <v>800.87</v>
      </c>
      <c r="J399" s="159">
        <v>528974.64</v>
      </c>
      <c r="K399" s="172"/>
      <c r="M399" s="46">
        <v>660.5</v>
      </c>
      <c r="N399" s="46">
        <v>0</v>
      </c>
      <c r="O399" s="46">
        <v>528974.64</v>
      </c>
      <c r="P399" s="98"/>
      <c r="Q399" s="23" t="s">
        <v>1389</v>
      </c>
      <c r="R399" s="24" t="s">
        <v>3093</v>
      </c>
      <c r="S399" s="25" t="s">
        <v>97</v>
      </c>
      <c r="T399" s="26"/>
      <c r="U399" s="26">
        <v>660.5</v>
      </c>
      <c r="V399" s="158">
        <v>800.87</v>
      </c>
      <c r="W399" s="127">
        <f t="shared" si="77"/>
        <v>0</v>
      </c>
      <c r="X399" s="127">
        <f t="shared" si="82"/>
        <v>660.5</v>
      </c>
      <c r="Y399" s="127">
        <f t="shared" si="79"/>
        <v>0</v>
      </c>
      <c r="Z399" s="127">
        <f t="shared" si="80"/>
        <v>528974.64</v>
      </c>
      <c r="AA399" s="27"/>
      <c r="AB399" s="36"/>
      <c r="AC399" s="200">
        <v>660.5</v>
      </c>
      <c r="AD399" s="181">
        <f t="shared" si="81"/>
        <v>528974.64</v>
      </c>
      <c r="AE399" s="181">
        <v>2</v>
      </c>
      <c r="AF399" s="181">
        <v>2</v>
      </c>
      <c r="AG399" s="101"/>
      <c r="AH399" s="190">
        <v>660.5</v>
      </c>
      <c r="AI399" s="69">
        <f t="shared" si="83"/>
        <v>660.5</v>
      </c>
    </row>
    <row r="400" spans="1:35" x14ac:dyDescent="0.3">
      <c r="A400" s="207" t="s">
        <v>3094</v>
      </c>
      <c r="B400" s="208" t="s">
        <v>3095</v>
      </c>
      <c r="C400" s="204" t="s">
        <v>97</v>
      </c>
      <c r="D400" s="171"/>
      <c r="E400" s="158"/>
      <c r="F400" s="159"/>
      <c r="G400" s="159">
        <v>288.5</v>
      </c>
      <c r="H400" s="159" t="s">
        <v>15</v>
      </c>
      <c r="I400" s="158">
        <v>561.91</v>
      </c>
      <c r="J400" s="159">
        <v>162111.04000000001</v>
      </c>
      <c r="K400" s="172"/>
      <c r="M400" s="46">
        <v>288.5</v>
      </c>
      <c r="N400" s="46">
        <v>0</v>
      </c>
      <c r="O400" s="46">
        <v>162111.04000000001</v>
      </c>
      <c r="P400" s="98"/>
      <c r="Q400" s="23" t="s">
        <v>1390</v>
      </c>
      <c r="R400" s="24" t="s">
        <v>3095</v>
      </c>
      <c r="S400" s="25" t="s">
        <v>97</v>
      </c>
      <c r="T400" s="26"/>
      <c r="U400" s="26">
        <v>288.5</v>
      </c>
      <c r="V400" s="158">
        <v>561.91</v>
      </c>
      <c r="W400" s="127">
        <f t="shared" si="77"/>
        <v>0</v>
      </c>
      <c r="X400" s="127">
        <f t="shared" si="82"/>
        <v>288.5</v>
      </c>
      <c r="Y400" s="127">
        <f t="shared" si="79"/>
        <v>0</v>
      </c>
      <c r="Z400" s="127">
        <f t="shared" si="80"/>
        <v>162111.04000000001</v>
      </c>
      <c r="AA400" s="27"/>
      <c r="AB400" s="36"/>
      <c r="AC400" s="200">
        <v>288.5</v>
      </c>
      <c r="AD400" s="181">
        <f t="shared" si="81"/>
        <v>162111.04000000001</v>
      </c>
      <c r="AE400" s="181">
        <v>2</v>
      </c>
      <c r="AF400" s="181">
        <v>2</v>
      </c>
      <c r="AG400" s="101"/>
      <c r="AH400" s="190">
        <v>288.5</v>
      </c>
      <c r="AI400" s="69">
        <f t="shared" si="83"/>
        <v>288.5</v>
      </c>
    </row>
    <row r="401" spans="1:38" ht="39" x14ac:dyDescent="0.3">
      <c r="A401" s="207" t="s">
        <v>3096</v>
      </c>
      <c r="B401" s="208" t="s">
        <v>3097</v>
      </c>
      <c r="C401" s="204" t="s">
        <v>97</v>
      </c>
      <c r="D401" s="171"/>
      <c r="E401" s="158"/>
      <c r="F401" s="159"/>
      <c r="G401" s="159">
        <v>438</v>
      </c>
      <c r="H401" s="159" t="s">
        <v>15</v>
      </c>
      <c r="I401" s="158">
        <v>519.91999999999996</v>
      </c>
      <c r="J401" s="159">
        <v>227724.96</v>
      </c>
      <c r="K401" s="172"/>
      <c r="M401" s="46">
        <v>438</v>
      </c>
      <c r="N401" s="46">
        <v>0</v>
      </c>
      <c r="O401" s="46">
        <v>227724.96</v>
      </c>
      <c r="P401" s="98"/>
      <c r="Q401" s="23" t="s">
        <v>1391</v>
      </c>
      <c r="R401" s="24" t="s">
        <v>3097</v>
      </c>
      <c r="S401" s="25" t="s">
        <v>97</v>
      </c>
      <c r="T401" s="26"/>
      <c r="U401" s="26">
        <v>438</v>
      </c>
      <c r="V401" s="158">
        <v>519.91999999999996</v>
      </c>
      <c r="W401" s="127">
        <f t="shared" si="77"/>
        <v>0</v>
      </c>
      <c r="X401" s="127">
        <f t="shared" si="82"/>
        <v>438</v>
      </c>
      <c r="Y401" s="127">
        <f t="shared" si="79"/>
        <v>0</v>
      </c>
      <c r="Z401" s="127">
        <f t="shared" si="80"/>
        <v>227724.96</v>
      </c>
      <c r="AA401" s="27"/>
      <c r="AB401" s="36"/>
      <c r="AC401" s="200">
        <v>438</v>
      </c>
      <c r="AD401" s="181">
        <f t="shared" si="81"/>
        <v>227724.96</v>
      </c>
      <c r="AE401" s="181">
        <v>2</v>
      </c>
      <c r="AF401" s="181">
        <v>2</v>
      </c>
      <c r="AG401" s="101"/>
      <c r="AH401" s="190">
        <v>438</v>
      </c>
      <c r="AI401" s="69">
        <f t="shared" si="83"/>
        <v>438</v>
      </c>
    </row>
    <row r="402" spans="1:38" ht="39" x14ac:dyDescent="0.3">
      <c r="A402" s="207" t="s">
        <v>3098</v>
      </c>
      <c r="B402" s="208" t="s">
        <v>3099</v>
      </c>
      <c r="C402" s="204" t="s">
        <v>97</v>
      </c>
      <c r="D402" s="171"/>
      <c r="E402" s="158"/>
      <c r="F402" s="159"/>
      <c r="G402" s="159">
        <v>54</v>
      </c>
      <c r="H402" s="159" t="s">
        <v>15</v>
      </c>
      <c r="I402" s="158">
        <v>1579.75</v>
      </c>
      <c r="J402" s="159">
        <v>85306.5</v>
      </c>
      <c r="K402" s="172"/>
      <c r="M402" s="46">
        <v>54</v>
      </c>
      <c r="N402" s="46">
        <v>0</v>
      </c>
      <c r="O402" s="46">
        <v>85306.5</v>
      </c>
      <c r="P402" s="98"/>
      <c r="Q402" s="23" t="s">
        <v>1436</v>
      </c>
      <c r="R402" s="24" t="s">
        <v>3099</v>
      </c>
      <c r="S402" s="25" t="s">
        <v>97</v>
      </c>
      <c r="T402" s="26"/>
      <c r="U402" s="26">
        <v>54</v>
      </c>
      <c r="V402" s="158">
        <v>1579.75</v>
      </c>
      <c r="W402" s="127">
        <f t="shared" si="77"/>
        <v>0</v>
      </c>
      <c r="X402" s="127">
        <f t="shared" si="82"/>
        <v>54</v>
      </c>
      <c r="Y402" s="127">
        <f t="shared" si="79"/>
        <v>0</v>
      </c>
      <c r="Z402" s="127">
        <f t="shared" si="80"/>
        <v>85306.5</v>
      </c>
      <c r="AA402" s="27"/>
      <c r="AB402" s="36"/>
      <c r="AC402" s="200">
        <v>54</v>
      </c>
      <c r="AD402" s="181">
        <f t="shared" si="81"/>
        <v>85306.5</v>
      </c>
      <c r="AE402" s="181">
        <v>2</v>
      </c>
      <c r="AF402" s="181">
        <v>2</v>
      </c>
      <c r="AG402" s="101"/>
      <c r="AH402" s="190">
        <v>54</v>
      </c>
      <c r="AI402" s="69">
        <f t="shared" si="83"/>
        <v>54</v>
      </c>
    </row>
    <row r="403" spans="1:38" ht="39" x14ac:dyDescent="0.3">
      <c r="A403" s="207" t="s">
        <v>3100</v>
      </c>
      <c r="B403" s="208" t="s">
        <v>3101</v>
      </c>
      <c r="C403" s="204" t="s">
        <v>97</v>
      </c>
      <c r="D403" s="171"/>
      <c r="E403" s="158"/>
      <c r="F403" s="159"/>
      <c r="G403" s="159">
        <v>519.5</v>
      </c>
      <c r="H403" s="159" t="s">
        <v>15</v>
      </c>
      <c r="I403" s="158">
        <v>209.97</v>
      </c>
      <c r="J403" s="159">
        <v>109079.42</v>
      </c>
      <c r="K403" s="172"/>
      <c r="M403" s="46">
        <v>519.5</v>
      </c>
      <c r="N403" s="46">
        <v>0</v>
      </c>
      <c r="O403" s="46">
        <v>109079.42</v>
      </c>
      <c r="P403" s="98"/>
      <c r="Q403" s="23" t="s">
        <v>1374</v>
      </c>
      <c r="R403" s="24" t="s">
        <v>3101</v>
      </c>
      <c r="S403" s="25" t="s">
        <v>97</v>
      </c>
      <c r="T403" s="26"/>
      <c r="U403" s="26">
        <v>519.5</v>
      </c>
      <c r="V403" s="158">
        <v>209.97</v>
      </c>
      <c r="W403" s="127">
        <f t="shared" si="77"/>
        <v>0</v>
      </c>
      <c r="X403" s="127">
        <f t="shared" si="82"/>
        <v>519.5</v>
      </c>
      <c r="Y403" s="127">
        <f t="shared" si="79"/>
        <v>0</v>
      </c>
      <c r="Z403" s="127">
        <f t="shared" si="80"/>
        <v>109079.42</v>
      </c>
      <c r="AA403" s="27"/>
      <c r="AB403" s="36"/>
      <c r="AC403" s="200">
        <v>519.5</v>
      </c>
      <c r="AD403" s="181">
        <f t="shared" si="81"/>
        <v>109079.42</v>
      </c>
      <c r="AE403" s="181">
        <v>2</v>
      </c>
      <c r="AF403" s="181">
        <v>2</v>
      </c>
      <c r="AG403" s="101"/>
      <c r="AH403" s="190">
        <v>519.5</v>
      </c>
      <c r="AI403" s="69">
        <f t="shared" si="83"/>
        <v>519.5</v>
      </c>
    </row>
    <row r="404" spans="1:38" ht="49.5" x14ac:dyDescent="0.3">
      <c r="A404" s="207" t="s">
        <v>3102</v>
      </c>
      <c r="B404" s="241" t="s">
        <v>3103</v>
      </c>
      <c r="C404" s="204" t="s">
        <v>66</v>
      </c>
      <c r="D404" s="171"/>
      <c r="E404" s="158"/>
      <c r="F404" s="159"/>
      <c r="G404" s="159">
        <v>5</v>
      </c>
      <c r="H404" s="159" t="s">
        <v>15</v>
      </c>
      <c r="I404" s="158">
        <v>10798.3</v>
      </c>
      <c r="J404" s="159">
        <v>53991.5</v>
      </c>
      <c r="K404" s="172"/>
      <c r="M404" s="46">
        <v>5</v>
      </c>
      <c r="N404" s="46">
        <v>0</v>
      </c>
      <c r="O404" s="46">
        <v>53991.5</v>
      </c>
      <c r="P404" s="98"/>
      <c r="Q404" s="23" t="s">
        <v>1376</v>
      </c>
      <c r="R404" s="24" t="s">
        <v>3103</v>
      </c>
      <c r="S404" s="25" t="s">
        <v>66</v>
      </c>
      <c r="T404" s="26"/>
      <c r="U404" s="26">
        <v>5</v>
      </c>
      <c r="V404" s="158">
        <v>10798.3</v>
      </c>
      <c r="W404" s="127">
        <f t="shared" si="77"/>
        <v>0</v>
      </c>
      <c r="X404" s="127">
        <f t="shared" si="82"/>
        <v>5</v>
      </c>
      <c r="Y404" s="127">
        <f t="shared" si="79"/>
        <v>0</v>
      </c>
      <c r="Z404" s="127">
        <f t="shared" si="80"/>
        <v>53991.5</v>
      </c>
      <c r="AA404" s="27"/>
      <c r="AB404" s="36"/>
      <c r="AC404" s="200">
        <v>5</v>
      </c>
      <c r="AD404" s="181">
        <f t="shared" si="81"/>
        <v>53991.5</v>
      </c>
      <c r="AE404" s="181">
        <v>2</v>
      </c>
      <c r="AF404" s="181">
        <v>2</v>
      </c>
      <c r="AG404" s="101"/>
      <c r="AH404" s="190">
        <v>5</v>
      </c>
      <c r="AI404" s="69">
        <f t="shared" si="83"/>
        <v>5</v>
      </c>
    </row>
    <row r="405" spans="1:38" ht="49.5" x14ac:dyDescent="0.3">
      <c r="A405" s="207" t="s">
        <v>3104</v>
      </c>
      <c r="B405" s="241" t="s">
        <v>3105</v>
      </c>
      <c r="C405" s="204" t="s">
        <v>66</v>
      </c>
      <c r="D405" s="171"/>
      <c r="E405" s="158"/>
      <c r="F405" s="159"/>
      <c r="G405" s="159">
        <v>6</v>
      </c>
      <c r="H405" s="159" t="s">
        <v>15</v>
      </c>
      <c r="I405" s="158">
        <v>7248.86</v>
      </c>
      <c r="J405" s="159">
        <v>43493.16</v>
      </c>
      <c r="K405" s="172"/>
      <c r="M405" s="46">
        <v>6</v>
      </c>
      <c r="N405" s="46">
        <v>0</v>
      </c>
      <c r="O405" s="46">
        <v>43493.16</v>
      </c>
      <c r="P405" s="98"/>
      <c r="Q405" s="23" t="s">
        <v>1378</v>
      </c>
      <c r="R405" s="24" t="s">
        <v>3105</v>
      </c>
      <c r="S405" s="25" t="s">
        <v>66</v>
      </c>
      <c r="T405" s="26"/>
      <c r="U405" s="26">
        <v>6</v>
      </c>
      <c r="V405" s="158">
        <v>7248.86</v>
      </c>
      <c r="W405" s="127">
        <f t="shared" si="77"/>
        <v>0</v>
      </c>
      <c r="X405" s="127">
        <f t="shared" si="82"/>
        <v>6</v>
      </c>
      <c r="Y405" s="127">
        <f t="shared" si="79"/>
        <v>0</v>
      </c>
      <c r="Z405" s="127">
        <f t="shared" si="80"/>
        <v>43493.16</v>
      </c>
      <c r="AA405" s="27"/>
      <c r="AB405" s="36"/>
      <c r="AC405" s="200">
        <v>6</v>
      </c>
      <c r="AD405" s="181">
        <f t="shared" si="81"/>
        <v>43493.16</v>
      </c>
      <c r="AE405" s="181">
        <v>2</v>
      </c>
      <c r="AF405" s="181">
        <v>2</v>
      </c>
      <c r="AG405" s="101"/>
      <c r="AH405" s="190">
        <v>6</v>
      </c>
      <c r="AI405" s="69">
        <f t="shared" si="83"/>
        <v>6</v>
      </c>
    </row>
    <row r="406" spans="1:38" ht="25.5" customHeight="1" x14ac:dyDescent="0.3">
      <c r="A406" s="233">
        <v>2.29</v>
      </c>
      <c r="B406" s="180" t="s">
        <v>1527</v>
      </c>
      <c r="C406" s="58" t="s">
        <v>97</v>
      </c>
      <c r="D406" s="230"/>
      <c r="E406" s="230"/>
      <c r="F406" s="59"/>
      <c r="G406" s="59"/>
      <c r="H406" s="59">
        <v>320</v>
      </c>
      <c r="I406" s="230">
        <v>280</v>
      </c>
      <c r="J406" s="59">
        <v>89600</v>
      </c>
      <c r="K406" s="234"/>
      <c r="M406" s="46">
        <v>0</v>
      </c>
      <c r="N406" s="46">
        <v>0</v>
      </c>
      <c r="O406" s="46">
        <v>0</v>
      </c>
      <c r="P406" s="98"/>
      <c r="Q406" s="23">
        <v>29</v>
      </c>
      <c r="R406" s="24" t="s">
        <v>1527</v>
      </c>
      <c r="S406" s="25" t="s">
        <v>97</v>
      </c>
      <c r="T406" s="26"/>
      <c r="U406" s="26">
        <v>320</v>
      </c>
      <c r="V406" s="158">
        <v>280</v>
      </c>
      <c r="W406" s="26">
        <f t="shared" si="77"/>
        <v>0</v>
      </c>
      <c r="X406" s="26">
        <f t="shared" si="82"/>
        <v>0</v>
      </c>
      <c r="Y406" s="26">
        <f t="shared" si="79"/>
        <v>0</v>
      </c>
      <c r="Z406" s="26">
        <f t="shared" si="80"/>
        <v>0</v>
      </c>
      <c r="AA406" s="27"/>
      <c r="AB406" s="36"/>
      <c r="AC406" s="200">
        <v>320</v>
      </c>
      <c r="AD406" s="181">
        <f t="shared" si="81"/>
        <v>89600</v>
      </c>
      <c r="AE406" s="200">
        <v>2</v>
      </c>
      <c r="AF406" s="200"/>
      <c r="AG406" s="101"/>
      <c r="AH406" s="190">
        <v>0</v>
      </c>
      <c r="AI406" s="69">
        <f t="shared" si="83"/>
        <v>0</v>
      </c>
    </row>
    <row r="407" spans="1:38" s="69" customFormat="1" ht="33" customHeight="1" x14ac:dyDescent="0.3">
      <c r="A407" s="150" t="s">
        <v>1039</v>
      </c>
      <c r="B407" s="151" t="s">
        <v>1040</v>
      </c>
      <c r="C407" s="152" t="s">
        <v>14</v>
      </c>
      <c r="D407" s="153">
        <v>1</v>
      </c>
      <c r="E407" s="153"/>
      <c r="F407" s="153"/>
      <c r="G407" s="153"/>
      <c r="H407" s="153"/>
      <c r="I407" s="153"/>
      <c r="J407" s="153">
        <v>3727423.71</v>
      </c>
      <c r="K407" s="154" t="s">
        <v>15</v>
      </c>
      <c r="L407" s="73"/>
      <c r="M407" s="42">
        <v>1</v>
      </c>
      <c r="N407" s="42">
        <v>569550</v>
      </c>
      <c r="O407" s="42">
        <v>2608273.7099999995</v>
      </c>
      <c r="P407" s="98"/>
      <c r="Q407" s="13" t="s">
        <v>1407</v>
      </c>
      <c r="R407" s="14" t="s">
        <v>1040</v>
      </c>
      <c r="S407" s="15" t="s">
        <v>14</v>
      </c>
      <c r="T407" s="16">
        <v>1</v>
      </c>
      <c r="U407" s="16"/>
      <c r="V407" s="16">
        <f>SUMIFS(AD:AD,AE:AE,AE407)</f>
        <v>3727423.7099999995</v>
      </c>
      <c r="W407" s="16">
        <f t="shared" ref="W407:X407" si="84">IF(Y407=0,0,1)</f>
        <v>0</v>
      </c>
      <c r="X407" s="16">
        <f t="shared" si="84"/>
        <v>1</v>
      </c>
      <c r="Y407" s="16">
        <f>SUMIFS(Y:Y,AF:AF,AE407)</f>
        <v>0</v>
      </c>
      <c r="Z407" s="16">
        <f>SUMIFS(Z:Z,AF:AF,AE407)</f>
        <v>2608273.7099999995</v>
      </c>
      <c r="AA407" s="17" t="s">
        <v>15</v>
      </c>
      <c r="AB407" s="40" t="s">
        <v>16</v>
      </c>
      <c r="AC407" s="181">
        <f t="shared" si="65"/>
        <v>1</v>
      </c>
      <c r="AD407" s="183"/>
      <c r="AE407" s="183">
        <v>3</v>
      </c>
      <c r="AF407" s="183"/>
      <c r="AG407" s="101" t="str">
        <f t="shared" si="66"/>
        <v/>
      </c>
      <c r="AH407" s="190">
        <v>1</v>
      </c>
      <c r="AI407" s="69">
        <f t="shared" si="83"/>
        <v>1</v>
      </c>
    </row>
    <row r="408" spans="1:38" s="69" customFormat="1" ht="66" x14ac:dyDescent="0.3">
      <c r="A408" s="55" t="s">
        <v>1041</v>
      </c>
      <c r="B408" s="138" t="s">
        <v>1042</v>
      </c>
      <c r="C408" s="54" t="s">
        <v>162</v>
      </c>
      <c r="D408" s="75">
        <v>340</v>
      </c>
      <c r="E408" s="75"/>
      <c r="F408" s="75"/>
      <c r="G408" s="75"/>
      <c r="H408" s="75"/>
      <c r="I408" s="75">
        <v>300</v>
      </c>
      <c r="J408" s="75">
        <v>102000</v>
      </c>
      <c r="K408" s="91" t="s">
        <v>1043</v>
      </c>
      <c r="L408" s="73"/>
      <c r="M408" s="46">
        <v>219</v>
      </c>
      <c r="N408" s="46">
        <v>0</v>
      </c>
      <c r="O408" s="46">
        <v>65700</v>
      </c>
      <c r="P408" s="98"/>
      <c r="Q408" s="23" t="s">
        <v>1421</v>
      </c>
      <c r="R408" s="24" t="s">
        <v>1042</v>
      </c>
      <c r="S408" s="25" t="s">
        <v>162</v>
      </c>
      <c r="T408" s="26">
        <v>340</v>
      </c>
      <c r="U408" s="26">
        <v>340</v>
      </c>
      <c r="V408" s="26">
        <v>300</v>
      </c>
      <c r="W408" s="128">
        <f t="shared" ref="W408:W446" si="85">AH408-M408</f>
        <v>0</v>
      </c>
      <c r="X408" s="26">
        <f t="shared" si="78"/>
        <v>219</v>
      </c>
      <c r="Y408" s="26">
        <f t="shared" ref="Y408:Y446" si="86">Z408-O408</f>
        <v>0</v>
      </c>
      <c r="Z408" s="26">
        <f t="shared" ref="Z408:Z446" si="87">ROUND(V408*X408,2)</f>
        <v>65700</v>
      </c>
      <c r="AA408" s="33" t="s">
        <v>15</v>
      </c>
      <c r="AB408" s="36" t="s">
        <v>16</v>
      </c>
      <c r="AC408" s="181">
        <f t="shared" si="65"/>
        <v>340</v>
      </c>
      <c r="AD408" s="181">
        <f t="shared" ref="AD408:AD446" si="88">ROUND(V408*AC408,2)</f>
        <v>102000</v>
      </c>
      <c r="AE408" s="181">
        <v>3</v>
      </c>
      <c r="AF408" s="181">
        <v>3</v>
      </c>
      <c r="AG408" s="101" t="str">
        <f t="shared" si="66"/>
        <v/>
      </c>
      <c r="AH408" s="190">
        <v>219</v>
      </c>
      <c r="AI408" s="69">
        <f t="shared" si="83"/>
        <v>340</v>
      </c>
      <c r="AL408" s="69">
        <v>0</v>
      </c>
    </row>
    <row r="409" spans="1:38" s="69" customFormat="1" ht="49.5" x14ac:dyDescent="0.3">
      <c r="A409" s="55" t="s">
        <v>1044</v>
      </c>
      <c r="B409" s="138" t="s">
        <v>1045</v>
      </c>
      <c r="C409" s="54" t="s">
        <v>325</v>
      </c>
      <c r="D409" s="75">
        <v>68</v>
      </c>
      <c r="E409" s="75"/>
      <c r="F409" s="75"/>
      <c r="G409" s="75"/>
      <c r="H409" s="75"/>
      <c r="I409" s="75">
        <v>3000</v>
      </c>
      <c r="J409" s="75">
        <v>204000</v>
      </c>
      <c r="K409" s="91" t="s">
        <v>1046</v>
      </c>
      <c r="L409" s="73"/>
      <c r="M409" s="46">
        <v>52</v>
      </c>
      <c r="N409" s="46">
        <v>0</v>
      </c>
      <c r="O409" s="46">
        <v>156000</v>
      </c>
      <c r="P409" s="98"/>
      <c r="Q409" s="23" t="s">
        <v>1426</v>
      </c>
      <c r="R409" s="24" t="s">
        <v>1045</v>
      </c>
      <c r="S409" s="25" t="s">
        <v>325</v>
      </c>
      <c r="T409" s="26">
        <v>68</v>
      </c>
      <c r="U409" s="26">
        <v>68</v>
      </c>
      <c r="V409" s="26">
        <v>3000</v>
      </c>
      <c r="W409" s="128">
        <f t="shared" si="85"/>
        <v>0</v>
      </c>
      <c r="X409" s="26">
        <f t="shared" si="78"/>
        <v>52</v>
      </c>
      <c r="Y409" s="26">
        <f t="shared" si="86"/>
        <v>0</v>
      </c>
      <c r="Z409" s="26">
        <f t="shared" si="87"/>
        <v>156000</v>
      </c>
      <c r="AA409" s="33" t="s">
        <v>15</v>
      </c>
      <c r="AB409" s="36" t="s">
        <v>16</v>
      </c>
      <c r="AC409" s="181">
        <f t="shared" si="65"/>
        <v>68</v>
      </c>
      <c r="AD409" s="181">
        <f t="shared" si="88"/>
        <v>204000</v>
      </c>
      <c r="AE409" s="181">
        <v>3</v>
      </c>
      <c r="AF409" s="181">
        <v>3</v>
      </c>
      <c r="AG409" s="101" t="str">
        <f t="shared" si="66"/>
        <v/>
      </c>
      <c r="AH409" s="190">
        <v>52</v>
      </c>
      <c r="AI409" s="69">
        <f t="shared" si="83"/>
        <v>68</v>
      </c>
      <c r="AL409" s="69">
        <v>0</v>
      </c>
    </row>
    <row r="410" spans="1:38" s="69" customFormat="1" ht="33" x14ac:dyDescent="0.3">
      <c r="A410" s="55" t="s">
        <v>1047</v>
      </c>
      <c r="B410" s="138" t="s">
        <v>1048</v>
      </c>
      <c r="C410" s="54" t="s">
        <v>325</v>
      </c>
      <c r="D410" s="75">
        <v>68</v>
      </c>
      <c r="E410" s="75"/>
      <c r="F410" s="75"/>
      <c r="G410" s="75"/>
      <c r="H410" s="75"/>
      <c r="I410" s="75">
        <v>150</v>
      </c>
      <c r="J410" s="75">
        <v>10200</v>
      </c>
      <c r="K410" s="91" t="s">
        <v>1049</v>
      </c>
      <c r="L410" s="73"/>
      <c r="M410" s="46">
        <v>52</v>
      </c>
      <c r="N410" s="46">
        <v>0</v>
      </c>
      <c r="O410" s="46">
        <v>7800</v>
      </c>
      <c r="P410" s="98"/>
      <c r="Q410" s="23" t="s">
        <v>1402</v>
      </c>
      <c r="R410" s="24" t="s">
        <v>1048</v>
      </c>
      <c r="S410" s="25" t="s">
        <v>325</v>
      </c>
      <c r="T410" s="26">
        <v>68</v>
      </c>
      <c r="U410" s="26">
        <v>68</v>
      </c>
      <c r="V410" s="26">
        <v>150</v>
      </c>
      <c r="W410" s="128">
        <f t="shared" si="85"/>
        <v>0</v>
      </c>
      <c r="X410" s="26">
        <f t="shared" si="78"/>
        <v>52</v>
      </c>
      <c r="Y410" s="26">
        <f t="shared" si="86"/>
        <v>0</v>
      </c>
      <c r="Z410" s="26">
        <f t="shared" si="87"/>
        <v>7800</v>
      </c>
      <c r="AA410" s="33" t="s">
        <v>15</v>
      </c>
      <c r="AB410" s="36" t="s">
        <v>16</v>
      </c>
      <c r="AC410" s="181">
        <f t="shared" si="65"/>
        <v>68</v>
      </c>
      <c r="AD410" s="181">
        <f t="shared" si="88"/>
        <v>10200</v>
      </c>
      <c r="AE410" s="181">
        <v>3</v>
      </c>
      <c r="AF410" s="181">
        <v>3</v>
      </c>
      <c r="AG410" s="101" t="str">
        <f t="shared" si="66"/>
        <v/>
      </c>
      <c r="AH410" s="190">
        <v>52</v>
      </c>
      <c r="AI410" s="69">
        <f t="shared" si="83"/>
        <v>68</v>
      </c>
      <c r="AL410" s="69">
        <v>0</v>
      </c>
    </row>
    <row r="411" spans="1:38" s="69" customFormat="1" ht="49.5" x14ac:dyDescent="0.3">
      <c r="A411" s="55" t="s">
        <v>1050</v>
      </c>
      <c r="B411" s="138" t="s">
        <v>1051</v>
      </c>
      <c r="C411" s="54" t="s">
        <v>1052</v>
      </c>
      <c r="D411" s="75">
        <v>9</v>
      </c>
      <c r="E411" s="75"/>
      <c r="F411" s="75"/>
      <c r="G411" s="75"/>
      <c r="H411" s="75"/>
      <c r="I411" s="75">
        <v>1200</v>
      </c>
      <c r="J411" s="75">
        <v>10800</v>
      </c>
      <c r="K411" s="91" t="s">
        <v>1053</v>
      </c>
      <c r="L411" s="73"/>
      <c r="M411" s="46">
        <v>3</v>
      </c>
      <c r="N411" s="46">
        <v>3600</v>
      </c>
      <c r="O411" s="46">
        <v>3600</v>
      </c>
      <c r="P411" s="98"/>
      <c r="Q411" s="23" t="s">
        <v>1373</v>
      </c>
      <c r="R411" s="24" t="s">
        <v>1051</v>
      </c>
      <c r="S411" s="25" t="s">
        <v>1052</v>
      </c>
      <c r="T411" s="26">
        <v>9</v>
      </c>
      <c r="U411" s="26">
        <v>9</v>
      </c>
      <c r="V411" s="26">
        <v>1200</v>
      </c>
      <c r="W411" s="243">
        <f t="shared" si="85"/>
        <v>0</v>
      </c>
      <c r="X411" s="26">
        <f t="shared" si="78"/>
        <v>3</v>
      </c>
      <c r="Y411" s="26">
        <f t="shared" si="86"/>
        <v>0</v>
      </c>
      <c r="Z411" s="26">
        <f t="shared" si="87"/>
        <v>3600</v>
      </c>
      <c r="AA411" s="33" t="s">
        <v>15</v>
      </c>
      <c r="AB411" s="36" t="s">
        <v>16</v>
      </c>
      <c r="AC411" s="181">
        <f t="shared" si="65"/>
        <v>9</v>
      </c>
      <c r="AD411" s="181">
        <f t="shared" si="88"/>
        <v>10800</v>
      </c>
      <c r="AE411" s="181">
        <v>3</v>
      </c>
      <c r="AF411" s="181">
        <v>3</v>
      </c>
      <c r="AG411" s="101" t="str">
        <f t="shared" si="66"/>
        <v/>
      </c>
      <c r="AH411" s="191">
        <f>3</f>
        <v>3</v>
      </c>
      <c r="AI411" s="69">
        <f t="shared" si="83"/>
        <v>9</v>
      </c>
      <c r="AL411" s="69">
        <v>0</v>
      </c>
    </row>
    <row r="412" spans="1:38" s="69" customFormat="1" ht="66" x14ac:dyDescent="0.3">
      <c r="A412" s="55" t="s">
        <v>1054</v>
      </c>
      <c r="B412" s="138" t="s">
        <v>3114</v>
      </c>
      <c r="C412" s="54" t="s">
        <v>325</v>
      </c>
      <c r="D412" s="75">
        <v>38</v>
      </c>
      <c r="E412" s="75"/>
      <c r="F412" s="75"/>
      <c r="G412" s="75"/>
      <c r="H412" s="75"/>
      <c r="I412" s="75">
        <v>650</v>
      </c>
      <c r="J412" s="75">
        <v>24700</v>
      </c>
      <c r="K412" s="91" t="s">
        <v>1056</v>
      </c>
      <c r="L412" s="73"/>
      <c r="M412" s="46">
        <v>25</v>
      </c>
      <c r="N412" s="46">
        <v>8450</v>
      </c>
      <c r="O412" s="46">
        <v>16250</v>
      </c>
      <c r="P412" s="98"/>
      <c r="Q412" s="23" t="s">
        <v>1393</v>
      </c>
      <c r="R412" s="24" t="s">
        <v>1055</v>
      </c>
      <c r="S412" s="25" t="s">
        <v>325</v>
      </c>
      <c r="T412" s="26">
        <v>38</v>
      </c>
      <c r="U412" s="26">
        <v>38</v>
      </c>
      <c r="V412" s="26">
        <v>650</v>
      </c>
      <c r="W412" s="243">
        <f t="shared" si="85"/>
        <v>0</v>
      </c>
      <c r="X412" s="26">
        <f t="shared" si="78"/>
        <v>25</v>
      </c>
      <c r="Y412" s="26">
        <f t="shared" si="86"/>
        <v>0</v>
      </c>
      <c r="Z412" s="26">
        <f t="shared" si="87"/>
        <v>16250</v>
      </c>
      <c r="AA412" s="33" t="s">
        <v>15</v>
      </c>
      <c r="AB412" s="36" t="s">
        <v>16</v>
      </c>
      <c r="AC412" s="181">
        <f t="shared" si="65"/>
        <v>38</v>
      </c>
      <c r="AD412" s="181">
        <f t="shared" si="88"/>
        <v>24700</v>
      </c>
      <c r="AE412" s="181">
        <v>3</v>
      </c>
      <c r="AF412" s="181">
        <v>3</v>
      </c>
      <c r="AG412" s="101" t="str">
        <f t="shared" si="66"/>
        <v/>
      </c>
      <c r="AH412" s="191">
        <f>12+13</f>
        <v>25</v>
      </c>
      <c r="AI412" s="69">
        <f t="shared" si="83"/>
        <v>38</v>
      </c>
      <c r="AL412" s="69">
        <v>0</v>
      </c>
    </row>
    <row r="413" spans="1:38" s="69" customFormat="1" ht="66" customHeight="1" x14ac:dyDescent="0.3">
      <c r="A413" s="55" t="s">
        <v>1057</v>
      </c>
      <c r="B413" s="138" t="s">
        <v>3115</v>
      </c>
      <c r="C413" s="54" t="s">
        <v>325</v>
      </c>
      <c r="D413" s="75">
        <v>38</v>
      </c>
      <c r="E413" s="75"/>
      <c r="F413" s="75"/>
      <c r="G413" s="75"/>
      <c r="H413" s="75"/>
      <c r="I413" s="75">
        <v>1300</v>
      </c>
      <c r="J413" s="75">
        <v>49400</v>
      </c>
      <c r="K413" s="91" t="s">
        <v>1059</v>
      </c>
      <c r="L413" s="73"/>
      <c r="M413" s="46">
        <v>25</v>
      </c>
      <c r="N413" s="46">
        <v>16900</v>
      </c>
      <c r="O413" s="46">
        <v>32500</v>
      </c>
      <c r="P413" s="98"/>
      <c r="Q413" s="23" t="s">
        <v>1403</v>
      </c>
      <c r="R413" s="24" t="s">
        <v>1058</v>
      </c>
      <c r="S413" s="25" t="s">
        <v>325</v>
      </c>
      <c r="T413" s="26">
        <v>38</v>
      </c>
      <c r="U413" s="26">
        <v>38</v>
      </c>
      <c r="V413" s="26">
        <v>1300</v>
      </c>
      <c r="W413" s="243">
        <f t="shared" si="85"/>
        <v>0</v>
      </c>
      <c r="X413" s="26">
        <f t="shared" si="78"/>
        <v>25</v>
      </c>
      <c r="Y413" s="26">
        <f t="shared" si="86"/>
        <v>0</v>
      </c>
      <c r="Z413" s="26">
        <f t="shared" si="87"/>
        <v>32500</v>
      </c>
      <c r="AA413" s="33" t="s">
        <v>15</v>
      </c>
      <c r="AB413" s="36" t="s">
        <v>16</v>
      </c>
      <c r="AC413" s="181">
        <f t="shared" ref="AC413:AC477" si="89">IF(U413="",T413,U413)</f>
        <v>38</v>
      </c>
      <c r="AD413" s="181">
        <f t="shared" si="88"/>
        <v>49400</v>
      </c>
      <c r="AE413" s="181">
        <v>3</v>
      </c>
      <c r="AF413" s="181">
        <v>3</v>
      </c>
      <c r="AG413" s="101" t="str">
        <f t="shared" ref="AG413:AG477" si="90">IF(X413&gt;AI413,"超估","")</f>
        <v/>
      </c>
      <c r="AH413" s="191">
        <f>AH412</f>
        <v>25</v>
      </c>
      <c r="AI413" s="69">
        <f t="shared" si="83"/>
        <v>38</v>
      </c>
      <c r="AL413" s="69">
        <v>0</v>
      </c>
    </row>
    <row r="414" spans="1:38" s="69" customFormat="1" ht="66" customHeight="1" x14ac:dyDescent="0.3">
      <c r="A414" s="55" t="s">
        <v>1060</v>
      </c>
      <c r="B414" s="138" t="s">
        <v>3116</v>
      </c>
      <c r="C414" s="54" t="s">
        <v>325</v>
      </c>
      <c r="D414" s="75">
        <v>7</v>
      </c>
      <c r="E414" s="75"/>
      <c r="F414" s="75"/>
      <c r="G414" s="75"/>
      <c r="H414" s="75"/>
      <c r="I414" s="75">
        <v>3500</v>
      </c>
      <c r="J414" s="75">
        <v>24500</v>
      </c>
      <c r="K414" s="91" t="s">
        <v>1062</v>
      </c>
      <c r="L414" s="73"/>
      <c r="M414" s="46">
        <v>0</v>
      </c>
      <c r="N414" s="46">
        <v>0</v>
      </c>
      <c r="O414" s="46">
        <v>0</v>
      </c>
      <c r="P414" s="98"/>
      <c r="Q414" s="23" t="s">
        <v>1427</v>
      </c>
      <c r="R414" s="24" t="s">
        <v>1061</v>
      </c>
      <c r="S414" s="25" t="s">
        <v>325</v>
      </c>
      <c r="T414" s="26">
        <v>7</v>
      </c>
      <c r="U414" s="26">
        <v>7</v>
      </c>
      <c r="V414" s="26">
        <v>3500</v>
      </c>
      <c r="W414" s="26">
        <f t="shared" si="85"/>
        <v>0</v>
      </c>
      <c r="X414" s="26">
        <f t="shared" si="78"/>
        <v>0</v>
      </c>
      <c r="Y414" s="26">
        <f t="shared" si="86"/>
        <v>0</v>
      </c>
      <c r="Z414" s="26">
        <f t="shared" si="87"/>
        <v>0</v>
      </c>
      <c r="AA414" s="33" t="s">
        <v>15</v>
      </c>
      <c r="AB414" s="36" t="s">
        <v>16</v>
      </c>
      <c r="AC414" s="181">
        <f t="shared" si="89"/>
        <v>7</v>
      </c>
      <c r="AD414" s="181">
        <f t="shared" si="88"/>
        <v>24500</v>
      </c>
      <c r="AE414" s="181">
        <v>3</v>
      </c>
      <c r="AF414" s="181">
        <v>3</v>
      </c>
      <c r="AG414" s="101" t="str">
        <f t="shared" si="90"/>
        <v/>
      </c>
      <c r="AH414" s="190">
        <v>0</v>
      </c>
      <c r="AI414" s="69">
        <f t="shared" si="83"/>
        <v>7</v>
      </c>
      <c r="AL414" s="69">
        <v>0</v>
      </c>
    </row>
    <row r="415" spans="1:38" s="69" customFormat="1" ht="66" customHeight="1" x14ac:dyDescent="0.3">
      <c r="A415" s="55" t="s">
        <v>1063</v>
      </c>
      <c r="B415" s="138" t="s">
        <v>1064</v>
      </c>
      <c r="C415" s="54" t="s">
        <v>325</v>
      </c>
      <c r="D415" s="75">
        <v>5</v>
      </c>
      <c r="E415" s="75"/>
      <c r="F415" s="75"/>
      <c r="G415" s="75"/>
      <c r="H415" s="75"/>
      <c r="I415" s="75">
        <v>700</v>
      </c>
      <c r="J415" s="75">
        <v>3500</v>
      </c>
      <c r="K415" s="91" t="s">
        <v>1065</v>
      </c>
      <c r="L415" s="73"/>
      <c r="M415" s="46">
        <v>0</v>
      </c>
      <c r="N415" s="46">
        <v>0</v>
      </c>
      <c r="O415" s="46">
        <v>0</v>
      </c>
      <c r="P415" s="98"/>
      <c r="Q415" s="23" t="s">
        <v>1428</v>
      </c>
      <c r="R415" s="24" t="s">
        <v>1064</v>
      </c>
      <c r="S415" s="25" t="s">
        <v>325</v>
      </c>
      <c r="T415" s="26">
        <v>5</v>
      </c>
      <c r="U415" s="26">
        <v>5</v>
      </c>
      <c r="V415" s="26">
        <v>700</v>
      </c>
      <c r="W415" s="26">
        <f t="shared" si="85"/>
        <v>0</v>
      </c>
      <c r="X415" s="26">
        <f t="shared" si="78"/>
        <v>0</v>
      </c>
      <c r="Y415" s="26">
        <f t="shared" si="86"/>
        <v>0</v>
      </c>
      <c r="Z415" s="26">
        <f t="shared" si="87"/>
        <v>0</v>
      </c>
      <c r="AA415" s="33" t="s">
        <v>15</v>
      </c>
      <c r="AB415" s="36" t="s">
        <v>16</v>
      </c>
      <c r="AC415" s="181">
        <f t="shared" si="89"/>
        <v>5</v>
      </c>
      <c r="AD415" s="181">
        <f t="shared" si="88"/>
        <v>3500</v>
      </c>
      <c r="AE415" s="181">
        <v>3</v>
      </c>
      <c r="AF415" s="181">
        <v>3</v>
      </c>
      <c r="AG415" s="101" t="str">
        <f t="shared" si="90"/>
        <v/>
      </c>
      <c r="AH415" s="190">
        <v>0</v>
      </c>
      <c r="AI415" s="69">
        <f t="shared" si="83"/>
        <v>5</v>
      </c>
      <c r="AL415" s="69">
        <v>0</v>
      </c>
    </row>
    <row r="416" spans="1:38" s="69" customFormat="1" ht="49.5" customHeight="1" x14ac:dyDescent="0.3">
      <c r="A416" s="55" t="s">
        <v>1066</v>
      </c>
      <c r="B416" s="138" t="s">
        <v>1067</v>
      </c>
      <c r="C416" s="54" t="s">
        <v>66</v>
      </c>
      <c r="D416" s="75">
        <v>1</v>
      </c>
      <c r="E416" s="75"/>
      <c r="F416" s="75"/>
      <c r="G416" s="75"/>
      <c r="H416" s="75"/>
      <c r="I416" s="75">
        <v>15000</v>
      </c>
      <c r="J416" s="75">
        <v>15000</v>
      </c>
      <c r="K416" s="91" t="s">
        <v>1068</v>
      </c>
      <c r="L416" s="73"/>
      <c r="M416" s="46">
        <v>0</v>
      </c>
      <c r="N416" s="46">
        <v>0</v>
      </c>
      <c r="O416" s="46">
        <v>0</v>
      </c>
      <c r="P416" s="98"/>
      <c r="Q416" s="23" t="s">
        <v>1387</v>
      </c>
      <c r="R416" s="24" t="s">
        <v>1067</v>
      </c>
      <c r="S416" s="25" t="s">
        <v>66</v>
      </c>
      <c r="T416" s="26">
        <v>1</v>
      </c>
      <c r="U416" s="26">
        <v>1</v>
      </c>
      <c r="V416" s="26">
        <v>15000</v>
      </c>
      <c r="W416" s="26">
        <f t="shared" si="85"/>
        <v>0</v>
      </c>
      <c r="X416" s="26">
        <f t="shared" si="78"/>
        <v>0</v>
      </c>
      <c r="Y416" s="26">
        <f t="shared" si="86"/>
        <v>0</v>
      </c>
      <c r="Z416" s="26">
        <f t="shared" si="87"/>
        <v>0</v>
      </c>
      <c r="AA416" s="33" t="s">
        <v>15</v>
      </c>
      <c r="AB416" s="36" t="s">
        <v>16</v>
      </c>
      <c r="AC416" s="181">
        <f t="shared" si="89"/>
        <v>1</v>
      </c>
      <c r="AD416" s="181">
        <f t="shared" si="88"/>
        <v>15000</v>
      </c>
      <c r="AE416" s="181">
        <v>3</v>
      </c>
      <c r="AF416" s="181">
        <v>3</v>
      </c>
      <c r="AG416" s="101" t="str">
        <f t="shared" si="90"/>
        <v/>
      </c>
      <c r="AH416" s="190">
        <v>0</v>
      </c>
      <c r="AI416" s="69">
        <f t="shared" si="83"/>
        <v>1</v>
      </c>
      <c r="AL416" s="69">
        <v>0</v>
      </c>
    </row>
    <row r="417" spans="1:38" s="69" customFormat="1" ht="49.5" customHeight="1" x14ac:dyDescent="0.3">
      <c r="A417" s="55" t="s">
        <v>1069</v>
      </c>
      <c r="B417" s="138" t="s">
        <v>1070</v>
      </c>
      <c r="C417" s="54" t="s">
        <v>325</v>
      </c>
      <c r="D417" s="75">
        <v>1</v>
      </c>
      <c r="E417" s="75"/>
      <c r="F417" s="75"/>
      <c r="G417" s="75"/>
      <c r="H417" s="75"/>
      <c r="I417" s="75">
        <v>6000</v>
      </c>
      <c r="J417" s="75">
        <v>6000</v>
      </c>
      <c r="K417" s="91" t="s">
        <v>1071</v>
      </c>
      <c r="L417" s="73"/>
      <c r="M417" s="46">
        <v>0</v>
      </c>
      <c r="N417" s="46">
        <v>0</v>
      </c>
      <c r="O417" s="46">
        <v>0</v>
      </c>
      <c r="P417" s="98"/>
      <c r="Q417" s="23" t="s">
        <v>1405</v>
      </c>
      <c r="R417" s="24" t="s">
        <v>1070</v>
      </c>
      <c r="S417" s="25" t="s">
        <v>325</v>
      </c>
      <c r="T417" s="26">
        <v>1</v>
      </c>
      <c r="U417" s="26">
        <v>1</v>
      </c>
      <c r="V417" s="26">
        <v>6000</v>
      </c>
      <c r="W417" s="26">
        <f t="shared" si="85"/>
        <v>0</v>
      </c>
      <c r="X417" s="26">
        <f t="shared" si="78"/>
        <v>0</v>
      </c>
      <c r="Y417" s="26">
        <f t="shared" si="86"/>
        <v>0</v>
      </c>
      <c r="Z417" s="26">
        <f t="shared" si="87"/>
        <v>0</v>
      </c>
      <c r="AA417" s="33" t="s">
        <v>15</v>
      </c>
      <c r="AB417" s="36" t="s">
        <v>16</v>
      </c>
      <c r="AC417" s="181">
        <f t="shared" si="89"/>
        <v>1</v>
      </c>
      <c r="AD417" s="181">
        <f t="shared" si="88"/>
        <v>6000</v>
      </c>
      <c r="AE417" s="181">
        <v>3</v>
      </c>
      <c r="AF417" s="181">
        <v>3</v>
      </c>
      <c r="AG417" s="101" t="str">
        <f t="shared" si="90"/>
        <v/>
      </c>
      <c r="AH417" s="190">
        <v>0</v>
      </c>
      <c r="AI417" s="69">
        <f t="shared" si="83"/>
        <v>1</v>
      </c>
      <c r="AL417" s="69">
        <v>0</v>
      </c>
    </row>
    <row r="418" spans="1:38" s="69" customFormat="1" ht="92.25" customHeight="1" x14ac:dyDescent="0.3">
      <c r="A418" s="130" t="s">
        <v>1072</v>
      </c>
      <c r="B418" s="240" t="s">
        <v>3141</v>
      </c>
      <c r="C418" s="132" t="s">
        <v>325</v>
      </c>
      <c r="D418" s="133">
        <v>1</v>
      </c>
      <c r="E418" s="75"/>
      <c r="F418" s="75"/>
      <c r="G418" s="75"/>
      <c r="H418" s="75"/>
      <c r="I418" s="75">
        <v>49500</v>
      </c>
      <c r="J418" s="75">
        <v>49500</v>
      </c>
      <c r="K418" s="91" t="s">
        <v>1074</v>
      </c>
      <c r="L418" s="73"/>
      <c r="M418" s="46">
        <v>1</v>
      </c>
      <c r="N418" s="46">
        <v>49500</v>
      </c>
      <c r="O418" s="46">
        <v>49500</v>
      </c>
      <c r="P418" s="98"/>
      <c r="Q418" s="23" t="s">
        <v>1406</v>
      </c>
      <c r="R418" s="24" t="s">
        <v>1073</v>
      </c>
      <c r="S418" s="25" t="s">
        <v>325</v>
      </c>
      <c r="T418" s="26">
        <v>1</v>
      </c>
      <c r="U418" s="26">
        <v>1</v>
      </c>
      <c r="V418" s="26">
        <v>49500</v>
      </c>
      <c r="W418" s="243">
        <f t="shared" si="85"/>
        <v>0</v>
      </c>
      <c r="X418" s="127">
        <f t="shared" si="78"/>
        <v>1</v>
      </c>
      <c r="Y418" s="127">
        <f t="shared" si="86"/>
        <v>0</v>
      </c>
      <c r="Z418" s="127">
        <f t="shared" si="87"/>
        <v>49500</v>
      </c>
      <c r="AA418" s="33" t="s">
        <v>15</v>
      </c>
      <c r="AB418" s="36" t="s">
        <v>16</v>
      </c>
      <c r="AC418" s="181">
        <f t="shared" si="89"/>
        <v>1</v>
      </c>
      <c r="AD418" s="181">
        <f t="shared" si="88"/>
        <v>49500</v>
      </c>
      <c r="AE418" s="181">
        <v>3</v>
      </c>
      <c r="AF418" s="181">
        <v>3</v>
      </c>
      <c r="AG418" s="101" t="str">
        <f t="shared" si="90"/>
        <v/>
      </c>
      <c r="AH418" s="191">
        <v>1</v>
      </c>
      <c r="AI418" s="69">
        <f t="shared" si="83"/>
        <v>1</v>
      </c>
      <c r="AL418" s="69">
        <v>0</v>
      </c>
    </row>
    <row r="419" spans="1:38" s="69" customFormat="1" ht="66" customHeight="1" x14ac:dyDescent="0.3">
      <c r="A419" s="55" t="s">
        <v>1075</v>
      </c>
      <c r="B419" s="138" t="s">
        <v>3118</v>
      </c>
      <c r="C419" s="54" t="s">
        <v>325</v>
      </c>
      <c r="D419" s="75">
        <v>8</v>
      </c>
      <c r="E419" s="75"/>
      <c r="F419" s="75"/>
      <c r="G419" s="75"/>
      <c r="H419" s="75"/>
      <c r="I419" s="75">
        <v>3000</v>
      </c>
      <c r="J419" s="75">
        <v>24000</v>
      </c>
      <c r="K419" s="91" t="s">
        <v>1077</v>
      </c>
      <c r="L419" s="73"/>
      <c r="M419" s="46">
        <v>0</v>
      </c>
      <c r="N419" s="46">
        <v>0</v>
      </c>
      <c r="O419" s="46">
        <v>0</v>
      </c>
      <c r="P419" s="98"/>
      <c r="Q419" s="23" t="s">
        <v>1414</v>
      </c>
      <c r="R419" s="24" t="s">
        <v>1076</v>
      </c>
      <c r="S419" s="25" t="s">
        <v>325</v>
      </c>
      <c r="T419" s="26">
        <v>8</v>
      </c>
      <c r="U419" s="26">
        <v>8</v>
      </c>
      <c r="V419" s="26">
        <v>3000</v>
      </c>
      <c r="W419" s="26">
        <f t="shared" si="85"/>
        <v>0</v>
      </c>
      <c r="X419" s="26">
        <f t="shared" si="78"/>
        <v>0</v>
      </c>
      <c r="Y419" s="26">
        <f t="shared" si="86"/>
        <v>0</v>
      </c>
      <c r="Z419" s="26">
        <f t="shared" si="87"/>
        <v>0</v>
      </c>
      <c r="AA419" s="33" t="s">
        <v>15</v>
      </c>
      <c r="AB419" s="36" t="s">
        <v>16</v>
      </c>
      <c r="AC419" s="181">
        <f t="shared" si="89"/>
        <v>8</v>
      </c>
      <c r="AD419" s="181">
        <f t="shared" si="88"/>
        <v>24000</v>
      </c>
      <c r="AE419" s="181">
        <v>3</v>
      </c>
      <c r="AF419" s="181">
        <v>3</v>
      </c>
      <c r="AG419" s="101" t="str">
        <f t="shared" si="90"/>
        <v/>
      </c>
      <c r="AH419" s="190">
        <v>0</v>
      </c>
      <c r="AI419" s="69">
        <f t="shared" si="83"/>
        <v>8</v>
      </c>
      <c r="AL419" s="69">
        <v>0</v>
      </c>
    </row>
    <row r="420" spans="1:38" s="69" customFormat="1" ht="33" customHeight="1" x14ac:dyDescent="0.3">
      <c r="A420" s="130" t="s">
        <v>1078</v>
      </c>
      <c r="B420" s="240" t="s">
        <v>1079</v>
      </c>
      <c r="C420" s="132" t="s">
        <v>66</v>
      </c>
      <c r="D420" s="133">
        <v>75</v>
      </c>
      <c r="E420" s="75"/>
      <c r="F420" s="75"/>
      <c r="G420" s="75"/>
      <c r="H420" s="75"/>
      <c r="I420" s="75">
        <v>12000</v>
      </c>
      <c r="J420" s="75">
        <v>900000</v>
      </c>
      <c r="K420" s="91" t="s">
        <v>1080</v>
      </c>
      <c r="L420" s="73"/>
      <c r="M420" s="46">
        <v>75</v>
      </c>
      <c r="N420" s="46">
        <v>300000</v>
      </c>
      <c r="O420" s="46">
        <v>900000</v>
      </c>
      <c r="P420" s="98"/>
      <c r="Q420" s="23" t="s">
        <v>1429</v>
      </c>
      <c r="R420" s="24" t="s">
        <v>1079</v>
      </c>
      <c r="S420" s="25" t="s">
        <v>66</v>
      </c>
      <c r="T420" s="26">
        <v>75</v>
      </c>
      <c r="U420" s="26">
        <v>75</v>
      </c>
      <c r="V420" s="26">
        <v>12000</v>
      </c>
      <c r="W420" s="243">
        <f t="shared" si="85"/>
        <v>0</v>
      </c>
      <c r="X420" s="127">
        <f t="shared" si="78"/>
        <v>75</v>
      </c>
      <c r="Y420" s="127">
        <f t="shared" si="86"/>
        <v>0</v>
      </c>
      <c r="Z420" s="127">
        <f t="shared" si="87"/>
        <v>900000</v>
      </c>
      <c r="AA420" s="33" t="s">
        <v>15</v>
      </c>
      <c r="AB420" s="36" t="s">
        <v>16</v>
      </c>
      <c r="AC420" s="181">
        <f t="shared" si="89"/>
        <v>75</v>
      </c>
      <c r="AD420" s="181">
        <f t="shared" si="88"/>
        <v>900000</v>
      </c>
      <c r="AE420" s="181">
        <v>3</v>
      </c>
      <c r="AF420" s="181">
        <v>3</v>
      </c>
      <c r="AG420" s="101" t="str">
        <f t="shared" si="90"/>
        <v/>
      </c>
      <c r="AH420" s="191">
        <f>50+25</f>
        <v>75</v>
      </c>
      <c r="AI420" s="69">
        <f t="shared" si="83"/>
        <v>75</v>
      </c>
      <c r="AL420" s="69">
        <v>0</v>
      </c>
    </row>
    <row r="421" spans="1:38" s="69" customFormat="1" ht="33" customHeight="1" x14ac:dyDescent="0.3">
      <c r="A421" s="130" t="s">
        <v>1081</v>
      </c>
      <c r="B421" s="240" t="s">
        <v>1082</v>
      </c>
      <c r="C421" s="132" t="s">
        <v>1014</v>
      </c>
      <c r="D421" s="133">
        <v>75</v>
      </c>
      <c r="E421" s="75"/>
      <c r="F421" s="75"/>
      <c r="G421" s="75"/>
      <c r="H421" s="75"/>
      <c r="I421" s="75">
        <v>1500</v>
      </c>
      <c r="J421" s="75">
        <v>112500</v>
      </c>
      <c r="K421" s="91" t="s">
        <v>1083</v>
      </c>
      <c r="L421" s="73"/>
      <c r="M421" s="46">
        <v>30</v>
      </c>
      <c r="N421" s="46">
        <v>45000</v>
      </c>
      <c r="O421" s="46">
        <v>45000</v>
      </c>
      <c r="P421" s="98"/>
      <c r="Q421" s="23" t="s">
        <v>1430</v>
      </c>
      <c r="R421" s="24" t="s">
        <v>1082</v>
      </c>
      <c r="S421" s="25" t="s">
        <v>1014</v>
      </c>
      <c r="T421" s="26">
        <v>75</v>
      </c>
      <c r="U421" s="26">
        <v>75</v>
      </c>
      <c r="V421" s="26">
        <v>1500</v>
      </c>
      <c r="W421" s="243">
        <f t="shared" si="85"/>
        <v>0</v>
      </c>
      <c r="X421" s="127">
        <f t="shared" si="78"/>
        <v>30</v>
      </c>
      <c r="Y421" s="127">
        <f t="shared" si="86"/>
        <v>0</v>
      </c>
      <c r="Z421" s="127">
        <f t="shared" si="87"/>
        <v>45000</v>
      </c>
      <c r="AA421" s="33" t="s">
        <v>15</v>
      </c>
      <c r="AB421" s="36" t="s">
        <v>16</v>
      </c>
      <c r="AC421" s="181">
        <f t="shared" si="89"/>
        <v>75</v>
      </c>
      <c r="AD421" s="181">
        <f t="shared" si="88"/>
        <v>112500</v>
      </c>
      <c r="AE421" s="181">
        <v>3</v>
      </c>
      <c r="AF421" s="181">
        <v>3</v>
      </c>
      <c r="AG421" s="101" t="str">
        <f t="shared" si="90"/>
        <v/>
      </c>
      <c r="AH421" s="191">
        <f>30</f>
        <v>30</v>
      </c>
      <c r="AI421" s="69">
        <f t="shared" si="83"/>
        <v>75</v>
      </c>
      <c r="AL421" s="69">
        <v>0</v>
      </c>
    </row>
    <row r="422" spans="1:38" s="69" customFormat="1" ht="66" customHeight="1" x14ac:dyDescent="0.3">
      <c r="A422" s="55" t="s">
        <v>1084</v>
      </c>
      <c r="B422" s="138" t="s">
        <v>1085</v>
      </c>
      <c r="C422" s="54" t="s">
        <v>325</v>
      </c>
      <c r="D422" s="75">
        <v>1</v>
      </c>
      <c r="E422" s="75"/>
      <c r="F422" s="75"/>
      <c r="G422" s="75"/>
      <c r="H422" s="75"/>
      <c r="I422" s="75">
        <v>12000</v>
      </c>
      <c r="J422" s="75">
        <v>12000</v>
      </c>
      <c r="K422" s="91" t="s">
        <v>1086</v>
      </c>
      <c r="L422" s="73"/>
      <c r="M422" s="46">
        <v>0</v>
      </c>
      <c r="N422" s="46">
        <v>0</v>
      </c>
      <c r="O422" s="46">
        <v>0</v>
      </c>
      <c r="P422" s="98"/>
      <c r="Q422" s="23" t="s">
        <v>1431</v>
      </c>
      <c r="R422" s="24" t="s">
        <v>1085</v>
      </c>
      <c r="S422" s="25" t="s">
        <v>325</v>
      </c>
      <c r="T422" s="26">
        <v>1</v>
      </c>
      <c r="U422" s="26">
        <v>1</v>
      </c>
      <c r="V422" s="26">
        <v>12000</v>
      </c>
      <c r="W422" s="26">
        <f t="shared" si="85"/>
        <v>0</v>
      </c>
      <c r="X422" s="26">
        <f t="shared" si="78"/>
        <v>0</v>
      </c>
      <c r="Y422" s="26">
        <f t="shared" si="86"/>
        <v>0</v>
      </c>
      <c r="Z422" s="26">
        <f t="shared" si="87"/>
        <v>0</v>
      </c>
      <c r="AA422" s="33" t="s">
        <v>15</v>
      </c>
      <c r="AB422" s="36" t="s">
        <v>16</v>
      </c>
      <c r="AC422" s="181">
        <f t="shared" si="89"/>
        <v>1</v>
      </c>
      <c r="AD422" s="181">
        <f t="shared" si="88"/>
        <v>12000</v>
      </c>
      <c r="AE422" s="181">
        <v>3</v>
      </c>
      <c r="AF422" s="181">
        <v>3</v>
      </c>
      <c r="AG422" s="101" t="str">
        <f t="shared" si="90"/>
        <v/>
      </c>
      <c r="AH422" s="190">
        <v>0</v>
      </c>
      <c r="AI422" s="69">
        <f t="shared" si="83"/>
        <v>1</v>
      </c>
      <c r="AL422" s="69">
        <v>0</v>
      </c>
    </row>
    <row r="423" spans="1:38" s="69" customFormat="1" ht="49.5" customHeight="1" x14ac:dyDescent="0.3">
      <c r="A423" s="55" t="s">
        <v>1087</v>
      </c>
      <c r="B423" s="138" t="s">
        <v>1088</v>
      </c>
      <c r="C423" s="54" t="s">
        <v>325</v>
      </c>
      <c r="D423" s="75">
        <v>1</v>
      </c>
      <c r="E423" s="75"/>
      <c r="F423" s="75"/>
      <c r="G423" s="75"/>
      <c r="H423" s="75"/>
      <c r="I423" s="75">
        <v>2000</v>
      </c>
      <c r="J423" s="75">
        <v>2000</v>
      </c>
      <c r="K423" s="91" t="s">
        <v>1089</v>
      </c>
      <c r="L423" s="73"/>
      <c r="M423" s="46">
        <v>0</v>
      </c>
      <c r="N423" s="46">
        <v>0</v>
      </c>
      <c r="O423" s="46">
        <v>0</v>
      </c>
      <c r="P423" s="98"/>
      <c r="Q423" s="23" t="s">
        <v>1395</v>
      </c>
      <c r="R423" s="24" t="s">
        <v>1088</v>
      </c>
      <c r="S423" s="25" t="s">
        <v>325</v>
      </c>
      <c r="T423" s="26">
        <v>1</v>
      </c>
      <c r="U423" s="26">
        <v>1</v>
      </c>
      <c r="V423" s="26">
        <v>2000</v>
      </c>
      <c r="W423" s="26">
        <f t="shared" si="85"/>
        <v>0</v>
      </c>
      <c r="X423" s="26">
        <f t="shared" si="78"/>
        <v>0</v>
      </c>
      <c r="Y423" s="26">
        <f t="shared" si="86"/>
        <v>0</v>
      </c>
      <c r="Z423" s="26">
        <f t="shared" si="87"/>
        <v>0</v>
      </c>
      <c r="AA423" s="33" t="s">
        <v>15</v>
      </c>
      <c r="AB423" s="36" t="s">
        <v>16</v>
      </c>
      <c r="AC423" s="181">
        <f t="shared" si="89"/>
        <v>1</v>
      </c>
      <c r="AD423" s="181">
        <f t="shared" si="88"/>
        <v>2000</v>
      </c>
      <c r="AE423" s="181">
        <v>3</v>
      </c>
      <c r="AF423" s="181">
        <v>3</v>
      </c>
      <c r="AG423" s="101" t="str">
        <f t="shared" si="90"/>
        <v/>
      </c>
      <c r="AH423" s="190">
        <v>0</v>
      </c>
      <c r="AI423" s="69">
        <f t="shared" si="83"/>
        <v>1</v>
      </c>
      <c r="AL423" s="69">
        <v>0</v>
      </c>
    </row>
    <row r="424" spans="1:38" s="69" customFormat="1" ht="66" customHeight="1" x14ac:dyDescent="0.3">
      <c r="A424" s="55" t="s">
        <v>1090</v>
      </c>
      <c r="B424" s="138" t="s">
        <v>3119</v>
      </c>
      <c r="C424" s="54" t="s">
        <v>325</v>
      </c>
      <c r="D424" s="75">
        <v>14</v>
      </c>
      <c r="E424" s="75"/>
      <c r="F424" s="75"/>
      <c r="G424" s="75"/>
      <c r="H424" s="75"/>
      <c r="I424" s="75">
        <v>3000</v>
      </c>
      <c r="J424" s="75">
        <v>42000</v>
      </c>
      <c r="K424" s="91" t="s">
        <v>1092</v>
      </c>
      <c r="L424" s="73"/>
      <c r="M424" s="46">
        <v>8</v>
      </c>
      <c r="N424" s="46">
        <v>24000</v>
      </c>
      <c r="O424" s="46">
        <v>24000</v>
      </c>
      <c r="P424" s="98"/>
      <c r="Q424" s="23" t="s">
        <v>1432</v>
      </c>
      <c r="R424" s="24" t="s">
        <v>1091</v>
      </c>
      <c r="S424" s="25" t="s">
        <v>325</v>
      </c>
      <c r="T424" s="26">
        <v>14</v>
      </c>
      <c r="U424" s="26">
        <v>14</v>
      </c>
      <c r="V424" s="26">
        <v>3000</v>
      </c>
      <c r="W424" s="243">
        <f t="shared" si="85"/>
        <v>0</v>
      </c>
      <c r="X424" s="26">
        <f t="shared" si="78"/>
        <v>8</v>
      </c>
      <c r="Y424" s="26">
        <f t="shared" si="86"/>
        <v>0</v>
      </c>
      <c r="Z424" s="26">
        <f t="shared" si="87"/>
        <v>24000</v>
      </c>
      <c r="AA424" s="33" t="s">
        <v>15</v>
      </c>
      <c r="AB424" s="36" t="s">
        <v>16</v>
      </c>
      <c r="AC424" s="181">
        <f t="shared" si="89"/>
        <v>14</v>
      </c>
      <c r="AD424" s="181">
        <f t="shared" si="88"/>
        <v>42000</v>
      </c>
      <c r="AE424" s="181">
        <v>3</v>
      </c>
      <c r="AF424" s="181">
        <v>3</v>
      </c>
      <c r="AG424" s="101" t="str">
        <f t="shared" si="90"/>
        <v/>
      </c>
      <c r="AH424" s="191">
        <f>8</f>
        <v>8</v>
      </c>
      <c r="AI424" s="69">
        <f t="shared" si="83"/>
        <v>14</v>
      </c>
      <c r="AL424" s="69">
        <v>0</v>
      </c>
    </row>
    <row r="425" spans="1:38" s="69" customFormat="1" ht="49.5" customHeight="1" x14ac:dyDescent="0.3">
      <c r="A425" s="130" t="s">
        <v>1093</v>
      </c>
      <c r="B425" s="240" t="s">
        <v>1094</v>
      </c>
      <c r="C425" s="132" t="s">
        <v>325</v>
      </c>
      <c r="D425" s="133">
        <v>3</v>
      </c>
      <c r="E425" s="75"/>
      <c r="F425" s="75"/>
      <c r="G425" s="75"/>
      <c r="H425" s="75"/>
      <c r="I425" s="75">
        <v>1400</v>
      </c>
      <c r="J425" s="75">
        <v>4200</v>
      </c>
      <c r="K425" s="91" t="s">
        <v>1095</v>
      </c>
      <c r="L425" s="73"/>
      <c r="M425" s="46">
        <v>3</v>
      </c>
      <c r="N425" s="46">
        <v>4200</v>
      </c>
      <c r="O425" s="46">
        <v>4200</v>
      </c>
      <c r="P425" s="98"/>
      <c r="Q425" s="23" t="s">
        <v>1433</v>
      </c>
      <c r="R425" s="24" t="s">
        <v>1094</v>
      </c>
      <c r="S425" s="25" t="s">
        <v>325</v>
      </c>
      <c r="T425" s="26">
        <v>3</v>
      </c>
      <c r="U425" s="26">
        <v>3</v>
      </c>
      <c r="V425" s="26">
        <v>1400</v>
      </c>
      <c r="W425" s="243">
        <f t="shared" si="85"/>
        <v>0</v>
      </c>
      <c r="X425" s="127">
        <f t="shared" si="78"/>
        <v>3</v>
      </c>
      <c r="Y425" s="127">
        <f t="shared" si="86"/>
        <v>0</v>
      </c>
      <c r="Z425" s="127">
        <f t="shared" si="87"/>
        <v>4200</v>
      </c>
      <c r="AA425" s="33" t="s">
        <v>15</v>
      </c>
      <c r="AB425" s="36" t="s">
        <v>16</v>
      </c>
      <c r="AC425" s="181">
        <f t="shared" si="89"/>
        <v>3</v>
      </c>
      <c r="AD425" s="181">
        <f t="shared" si="88"/>
        <v>4200</v>
      </c>
      <c r="AE425" s="181">
        <v>3</v>
      </c>
      <c r="AF425" s="181">
        <v>3</v>
      </c>
      <c r="AG425" s="101" t="str">
        <f t="shared" si="90"/>
        <v/>
      </c>
      <c r="AH425" s="191">
        <f>3</f>
        <v>3</v>
      </c>
      <c r="AI425" s="69">
        <f t="shared" si="83"/>
        <v>3</v>
      </c>
      <c r="AL425" s="69">
        <v>0</v>
      </c>
    </row>
    <row r="426" spans="1:38" s="69" customFormat="1" ht="66" customHeight="1" x14ac:dyDescent="0.3">
      <c r="A426" s="55" t="s">
        <v>1096</v>
      </c>
      <c r="B426" s="138" t="s">
        <v>3140</v>
      </c>
      <c r="C426" s="54" t="s">
        <v>66</v>
      </c>
      <c r="D426" s="75">
        <v>5</v>
      </c>
      <c r="E426" s="75"/>
      <c r="F426" s="75"/>
      <c r="G426" s="75"/>
      <c r="H426" s="75"/>
      <c r="I426" s="75">
        <v>18000</v>
      </c>
      <c r="J426" s="75">
        <v>90000</v>
      </c>
      <c r="K426" s="91" t="s">
        <v>1098</v>
      </c>
      <c r="L426" s="73"/>
      <c r="M426" s="46">
        <v>0</v>
      </c>
      <c r="N426" s="46">
        <v>0</v>
      </c>
      <c r="O426" s="46">
        <v>0</v>
      </c>
      <c r="P426" s="98"/>
      <c r="Q426" s="23" t="s">
        <v>1382</v>
      </c>
      <c r="R426" s="24" t="s">
        <v>1097</v>
      </c>
      <c r="S426" s="25" t="s">
        <v>66</v>
      </c>
      <c r="T426" s="26">
        <v>5</v>
      </c>
      <c r="U426" s="26">
        <v>5</v>
      </c>
      <c r="V426" s="26">
        <v>18000</v>
      </c>
      <c r="W426" s="26">
        <f t="shared" si="85"/>
        <v>0</v>
      </c>
      <c r="X426" s="26">
        <f t="shared" si="78"/>
        <v>0</v>
      </c>
      <c r="Y426" s="26">
        <f t="shared" si="86"/>
        <v>0</v>
      </c>
      <c r="Z426" s="26">
        <f t="shared" si="87"/>
        <v>0</v>
      </c>
      <c r="AA426" s="33" t="s">
        <v>15</v>
      </c>
      <c r="AB426" s="36" t="s">
        <v>16</v>
      </c>
      <c r="AC426" s="181">
        <f t="shared" si="89"/>
        <v>5</v>
      </c>
      <c r="AD426" s="181">
        <f t="shared" si="88"/>
        <v>90000</v>
      </c>
      <c r="AE426" s="181">
        <v>3</v>
      </c>
      <c r="AF426" s="181">
        <v>3</v>
      </c>
      <c r="AG426" s="101" t="str">
        <f t="shared" si="90"/>
        <v/>
      </c>
      <c r="AH426" s="190">
        <v>0</v>
      </c>
      <c r="AI426" s="69">
        <f t="shared" si="83"/>
        <v>5</v>
      </c>
      <c r="AL426" s="69">
        <v>0</v>
      </c>
    </row>
    <row r="427" spans="1:38" s="69" customFormat="1" ht="49.5" customHeight="1" x14ac:dyDescent="0.3">
      <c r="A427" s="55" t="s">
        <v>1099</v>
      </c>
      <c r="B427" s="138" t="s">
        <v>1100</v>
      </c>
      <c r="C427" s="54" t="s">
        <v>66</v>
      </c>
      <c r="D427" s="75">
        <v>1</v>
      </c>
      <c r="E427" s="75"/>
      <c r="F427" s="75"/>
      <c r="G427" s="75"/>
      <c r="H427" s="75"/>
      <c r="I427" s="75">
        <v>9000</v>
      </c>
      <c r="J427" s="75">
        <v>9000</v>
      </c>
      <c r="K427" s="91" t="s">
        <v>1101</v>
      </c>
      <c r="L427" s="73"/>
      <c r="M427" s="46">
        <v>0</v>
      </c>
      <c r="N427" s="46">
        <v>0</v>
      </c>
      <c r="O427" s="46">
        <v>0</v>
      </c>
      <c r="P427" s="98"/>
      <c r="Q427" s="23" t="s">
        <v>1434</v>
      </c>
      <c r="R427" s="24" t="s">
        <v>1100</v>
      </c>
      <c r="S427" s="25" t="s">
        <v>66</v>
      </c>
      <c r="T427" s="26">
        <v>1</v>
      </c>
      <c r="U427" s="26">
        <v>1</v>
      </c>
      <c r="V427" s="26">
        <v>9000</v>
      </c>
      <c r="W427" s="26">
        <f t="shared" si="85"/>
        <v>0</v>
      </c>
      <c r="X427" s="26">
        <f t="shared" si="78"/>
        <v>0</v>
      </c>
      <c r="Y427" s="26">
        <f t="shared" si="86"/>
        <v>0</v>
      </c>
      <c r="Z427" s="26">
        <f t="shared" si="87"/>
        <v>0</v>
      </c>
      <c r="AA427" s="33" t="s">
        <v>15</v>
      </c>
      <c r="AB427" s="36" t="s">
        <v>16</v>
      </c>
      <c r="AC427" s="181">
        <f t="shared" si="89"/>
        <v>1</v>
      </c>
      <c r="AD427" s="181">
        <f t="shared" si="88"/>
        <v>9000</v>
      </c>
      <c r="AE427" s="181">
        <v>3</v>
      </c>
      <c r="AF427" s="181">
        <v>3</v>
      </c>
      <c r="AG427" s="101" t="str">
        <f t="shared" si="90"/>
        <v/>
      </c>
      <c r="AH427" s="190">
        <v>0</v>
      </c>
      <c r="AI427" s="69">
        <f t="shared" si="83"/>
        <v>1</v>
      </c>
      <c r="AL427" s="69">
        <v>0</v>
      </c>
    </row>
    <row r="428" spans="1:38" s="69" customFormat="1" ht="49.5" customHeight="1" x14ac:dyDescent="0.3">
      <c r="A428" s="55" t="s">
        <v>1102</v>
      </c>
      <c r="B428" s="138" t="s">
        <v>3120</v>
      </c>
      <c r="C428" s="54" t="s">
        <v>325</v>
      </c>
      <c r="D428" s="75">
        <v>3</v>
      </c>
      <c r="E428" s="75"/>
      <c r="F428" s="75"/>
      <c r="G428" s="75"/>
      <c r="H428" s="75"/>
      <c r="I428" s="75">
        <v>6000</v>
      </c>
      <c r="J428" s="75">
        <v>18000</v>
      </c>
      <c r="K428" s="91" t="s">
        <v>1104</v>
      </c>
      <c r="L428" s="73"/>
      <c r="M428" s="46">
        <v>1</v>
      </c>
      <c r="N428" s="46">
        <v>6000</v>
      </c>
      <c r="O428" s="46">
        <v>6000</v>
      </c>
      <c r="P428" s="98"/>
      <c r="Q428" s="23" t="s">
        <v>1388</v>
      </c>
      <c r="R428" s="24" t="s">
        <v>1103</v>
      </c>
      <c r="S428" s="25" t="s">
        <v>325</v>
      </c>
      <c r="T428" s="26">
        <v>3</v>
      </c>
      <c r="U428" s="26">
        <v>3</v>
      </c>
      <c r="V428" s="26">
        <v>6000</v>
      </c>
      <c r="W428" s="243">
        <f t="shared" si="85"/>
        <v>0</v>
      </c>
      <c r="X428" s="26">
        <f t="shared" si="78"/>
        <v>1</v>
      </c>
      <c r="Y428" s="26">
        <f t="shared" si="86"/>
        <v>0</v>
      </c>
      <c r="Z428" s="26">
        <f t="shared" si="87"/>
        <v>6000</v>
      </c>
      <c r="AA428" s="33" t="s">
        <v>15</v>
      </c>
      <c r="AB428" s="36" t="s">
        <v>16</v>
      </c>
      <c r="AC428" s="181">
        <f t="shared" si="89"/>
        <v>3</v>
      </c>
      <c r="AD428" s="181">
        <f t="shared" si="88"/>
        <v>18000</v>
      </c>
      <c r="AE428" s="181">
        <v>3</v>
      </c>
      <c r="AF428" s="181">
        <v>3</v>
      </c>
      <c r="AG428" s="101" t="str">
        <f t="shared" si="90"/>
        <v/>
      </c>
      <c r="AH428" s="191">
        <f>1</f>
        <v>1</v>
      </c>
      <c r="AI428" s="69">
        <f t="shared" si="83"/>
        <v>3</v>
      </c>
      <c r="AL428" s="69">
        <v>0</v>
      </c>
    </row>
    <row r="429" spans="1:38" s="69" customFormat="1" ht="49.5" customHeight="1" x14ac:dyDescent="0.3">
      <c r="A429" s="130" t="s">
        <v>1105</v>
      </c>
      <c r="B429" s="240" t="s">
        <v>3121</v>
      </c>
      <c r="C429" s="132" t="s">
        <v>66</v>
      </c>
      <c r="D429" s="133">
        <v>1</v>
      </c>
      <c r="E429" s="75"/>
      <c r="F429" s="75"/>
      <c r="G429" s="75"/>
      <c r="H429" s="75"/>
      <c r="I429" s="75">
        <v>2500</v>
      </c>
      <c r="J429" s="75">
        <v>2500</v>
      </c>
      <c r="K429" s="91" t="s">
        <v>1107</v>
      </c>
      <c r="L429" s="73"/>
      <c r="M429" s="46">
        <v>1</v>
      </c>
      <c r="N429" s="46">
        <v>2500</v>
      </c>
      <c r="O429" s="46">
        <v>2500</v>
      </c>
      <c r="P429" s="98"/>
      <c r="Q429" s="23" t="s">
        <v>1389</v>
      </c>
      <c r="R429" s="24" t="s">
        <v>1106</v>
      </c>
      <c r="S429" s="25" t="s">
        <v>66</v>
      </c>
      <c r="T429" s="26">
        <v>1</v>
      </c>
      <c r="U429" s="26">
        <v>1</v>
      </c>
      <c r="V429" s="26">
        <v>2500</v>
      </c>
      <c r="W429" s="243">
        <f t="shared" si="85"/>
        <v>0</v>
      </c>
      <c r="X429" s="127">
        <f t="shared" si="78"/>
        <v>1</v>
      </c>
      <c r="Y429" s="127">
        <f t="shared" si="86"/>
        <v>0</v>
      </c>
      <c r="Z429" s="127">
        <f t="shared" si="87"/>
        <v>2500</v>
      </c>
      <c r="AA429" s="33" t="s">
        <v>15</v>
      </c>
      <c r="AB429" s="36" t="s">
        <v>16</v>
      </c>
      <c r="AC429" s="181">
        <f t="shared" si="89"/>
        <v>1</v>
      </c>
      <c r="AD429" s="181">
        <f t="shared" si="88"/>
        <v>2500</v>
      </c>
      <c r="AE429" s="181">
        <v>3</v>
      </c>
      <c r="AF429" s="181">
        <v>3</v>
      </c>
      <c r="AG429" s="101" t="str">
        <f t="shared" si="90"/>
        <v/>
      </c>
      <c r="AH429" s="191">
        <f>1</f>
        <v>1</v>
      </c>
      <c r="AI429" s="69">
        <f t="shared" si="83"/>
        <v>1</v>
      </c>
      <c r="AL429" s="69">
        <v>0</v>
      </c>
    </row>
    <row r="430" spans="1:38" s="69" customFormat="1" ht="49.5" customHeight="1" x14ac:dyDescent="0.3">
      <c r="A430" s="130" t="s">
        <v>1108</v>
      </c>
      <c r="B430" s="240" t="s">
        <v>1109</v>
      </c>
      <c r="C430" s="132" t="s">
        <v>66</v>
      </c>
      <c r="D430" s="133">
        <v>1</v>
      </c>
      <c r="E430" s="75"/>
      <c r="F430" s="75"/>
      <c r="G430" s="75"/>
      <c r="H430" s="75"/>
      <c r="I430" s="75">
        <v>2500</v>
      </c>
      <c r="J430" s="75">
        <v>2500</v>
      </c>
      <c r="K430" s="91" t="s">
        <v>1110</v>
      </c>
      <c r="L430" s="73"/>
      <c r="M430" s="46">
        <v>1</v>
      </c>
      <c r="N430" s="46">
        <v>2500</v>
      </c>
      <c r="O430" s="46">
        <v>2500</v>
      </c>
      <c r="P430" s="98"/>
      <c r="Q430" s="23" t="s">
        <v>1390</v>
      </c>
      <c r="R430" s="24" t="s">
        <v>1109</v>
      </c>
      <c r="S430" s="25" t="s">
        <v>66</v>
      </c>
      <c r="T430" s="26">
        <v>1</v>
      </c>
      <c r="U430" s="26">
        <v>1</v>
      </c>
      <c r="V430" s="26">
        <v>2500</v>
      </c>
      <c r="W430" s="243">
        <f t="shared" si="85"/>
        <v>0</v>
      </c>
      <c r="X430" s="127">
        <f t="shared" si="78"/>
        <v>1</v>
      </c>
      <c r="Y430" s="127">
        <f t="shared" si="86"/>
        <v>0</v>
      </c>
      <c r="Z430" s="127">
        <f t="shared" si="87"/>
        <v>2500</v>
      </c>
      <c r="AA430" s="33" t="s">
        <v>15</v>
      </c>
      <c r="AB430" s="36" t="s">
        <v>16</v>
      </c>
      <c r="AC430" s="181">
        <f t="shared" si="89"/>
        <v>1</v>
      </c>
      <c r="AD430" s="181">
        <f t="shared" si="88"/>
        <v>2500</v>
      </c>
      <c r="AE430" s="181">
        <v>3</v>
      </c>
      <c r="AF430" s="181">
        <v>3</v>
      </c>
      <c r="AG430" s="101" t="str">
        <f t="shared" si="90"/>
        <v/>
      </c>
      <c r="AH430" s="191">
        <f>1</f>
        <v>1</v>
      </c>
      <c r="AI430" s="69">
        <f t="shared" si="83"/>
        <v>1</v>
      </c>
      <c r="AL430" s="69">
        <v>0</v>
      </c>
    </row>
    <row r="431" spans="1:38" s="69" customFormat="1" ht="49.5" customHeight="1" x14ac:dyDescent="0.3">
      <c r="A431" s="55" t="s">
        <v>1111</v>
      </c>
      <c r="B431" s="138" t="s">
        <v>3122</v>
      </c>
      <c r="C431" s="54" t="s">
        <v>325</v>
      </c>
      <c r="D431" s="75">
        <v>4</v>
      </c>
      <c r="E431" s="75"/>
      <c r="F431" s="75"/>
      <c r="G431" s="75"/>
      <c r="H431" s="75"/>
      <c r="I431" s="75">
        <v>3000</v>
      </c>
      <c r="J431" s="75">
        <v>12000</v>
      </c>
      <c r="K431" s="91" t="s">
        <v>1113</v>
      </c>
      <c r="L431" s="73"/>
      <c r="M431" s="46">
        <v>2</v>
      </c>
      <c r="N431" s="46">
        <v>6000</v>
      </c>
      <c r="O431" s="46">
        <v>6000</v>
      </c>
      <c r="P431" s="98"/>
      <c r="Q431" s="23" t="s">
        <v>1391</v>
      </c>
      <c r="R431" s="24" t="s">
        <v>1112</v>
      </c>
      <c r="S431" s="25" t="s">
        <v>325</v>
      </c>
      <c r="T431" s="26">
        <v>4</v>
      </c>
      <c r="U431" s="26">
        <v>4</v>
      </c>
      <c r="V431" s="26">
        <v>3000</v>
      </c>
      <c r="W431" s="243">
        <f t="shared" si="85"/>
        <v>0</v>
      </c>
      <c r="X431" s="26">
        <f t="shared" si="78"/>
        <v>2</v>
      </c>
      <c r="Y431" s="26">
        <f t="shared" si="86"/>
        <v>0</v>
      </c>
      <c r="Z431" s="26">
        <f t="shared" si="87"/>
        <v>6000</v>
      </c>
      <c r="AA431" s="33" t="s">
        <v>15</v>
      </c>
      <c r="AB431" s="36" t="s">
        <v>16</v>
      </c>
      <c r="AC431" s="181">
        <f t="shared" si="89"/>
        <v>4</v>
      </c>
      <c r="AD431" s="181">
        <f t="shared" si="88"/>
        <v>12000</v>
      </c>
      <c r="AE431" s="181">
        <v>3</v>
      </c>
      <c r="AF431" s="181">
        <v>3</v>
      </c>
      <c r="AG431" s="101" t="str">
        <f t="shared" si="90"/>
        <v/>
      </c>
      <c r="AH431" s="191">
        <f>2</f>
        <v>2</v>
      </c>
      <c r="AI431" s="69">
        <f t="shared" si="83"/>
        <v>4</v>
      </c>
      <c r="AL431" s="69">
        <v>0</v>
      </c>
    </row>
    <row r="432" spans="1:38" s="69" customFormat="1" ht="66" customHeight="1" x14ac:dyDescent="0.3">
      <c r="A432" s="130" t="s">
        <v>1114</v>
      </c>
      <c r="B432" s="240" t="s">
        <v>3123</v>
      </c>
      <c r="C432" s="132" t="s">
        <v>325</v>
      </c>
      <c r="D432" s="133">
        <v>2</v>
      </c>
      <c r="E432" s="75"/>
      <c r="F432" s="75"/>
      <c r="G432" s="75"/>
      <c r="H432" s="75"/>
      <c r="I432" s="75">
        <v>20000</v>
      </c>
      <c r="J432" s="75">
        <v>40000</v>
      </c>
      <c r="K432" s="91" t="s">
        <v>1116</v>
      </c>
      <c r="L432" s="73"/>
      <c r="M432" s="46">
        <v>2</v>
      </c>
      <c r="N432" s="46">
        <v>40000</v>
      </c>
      <c r="O432" s="46">
        <v>40000</v>
      </c>
      <c r="P432" s="98"/>
      <c r="Q432" s="23" t="s">
        <v>1436</v>
      </c>
      <c r="R432" s="24" t="s">
        <v>1115</v>
      </c>
      <c r="S432" s="25" t="s">
        <v>325</v>
      </c>
      <c r="T432" s="26">
        <v>2</v>
      </c>
      <c r="U432" s="26">
        <v>2</v>
      </c>
      <c r="V432" s="26">
        <v>20000</v>
      </c>
      <c r="W432" s="243">
        <f t="shared" si="85"/>
        <v>0</v>
      </c>
      <c r="X432" s="127">
        <f t="shared" si="78"/>
        <v>2</v>
      </c>
      <c r="Y432" s="127">
        <f t="shared" si="86"/>
        <v>0</v>
      </c>
      <c r="Z432" s="127">
        <f t="shared" si="87"/>
        <v>40000</v>
      </c>
      <c r="AA432" s="33" t="s">
        <v>15</v>
      </c>
      <c r="AB432" s="36" t="s">
        <v>16</v>
      </c>
      <c r="AC432" s="181">
        <f t="shared" si="89"/>
        <v>2</v>
      </c>
      <c r="AD432" s="181">
        <f t="shared" si="88"/>
        <v>40000</v>
      </c>
      <c r="AE432" s="181">
        <v>3</v>
      </c>
      <c r="AF432" s="181">
        <v>3</v>
      </c>
      <c r="AG432" s="101" t="str">
        <f t="shared" si="90"/>
        <v/>
      </c>
      <c r="AH432" s="191">
        <f>2</f>
        <v>2</v>
      </c>
      <c r="AI432" s="69">
        <f t="shared" si="83"/>
        <v>2</v>
      </c>
      <c r="AL432" s="69">
        <v>0</v>
      </c>
    </row>
    <row r="433" spans="1:38" s="69" customFormat="1" ht="49.5" customHeight="1" x14ac:dyDescent="0.3">
      <c r="A433" s="55" t="s">
        <v>1117</v>
      </c>
      <c r="B433" s="138" t="s">
        <v>1118</v>
      </c>
      <c r="C433" s="54" t="s">
        <v>66</v>
      </c>
      <c r="D433" s="75">
        <v>1</v>
      </c>
      <c r="E433" s="75"/>
      <c r="F433" s="75"/>
      <c r="G433" s="75"/>
      <c r="H433" s="75"/>
      <c r="I433" s="75">
        <v>15000</v>
      </c>
      <c r="J433" s="75">
        <v>15000</v>
      </c>
      <c r="K433" s="91" t="s">
        <v>1119</v>
      </c>
      <c r="L433" s="73"/>
      <c r="M433" s="46">
        <v>0</v>
      </c>
      <c r="N433" s="46">
        <v>0</v>
      </c>
      <c r="O433" s="46">
        <v>0</v>
      </c>
      <c r="P433" s="98"/>
      <c r="Q433" s="23" t="s">
        <v>1374</v>
      </c>
      <c r="R433" s="24" t="s">
        <v>1118</v>
      </c>
      <c r="S433" s="25" t="s">
        <v>66</v>
      </c>
      <c r="T433" s="26">
        <v>1</v>
      </c>
      <c r="U433" s="26">
        <v>1</v>
      </c>
      <c r="V433" s="26">
        <v>15000</v>
      </c>
      <c r="W433" s="26">
        <f t="shared" si="85"/>
        <v>0</v>
      </c>
      <c r="X433" s="26">
        <f t="shared" si="78"/>
        <v>0</v>
      </c>
      <c r="Y433" s="26">
        <f t="shared" si="86"/>
        <v>0</v>
      </c>
      <c r="Z433" s="26">
        <f t="shared" si="87"/>
        <v>0</v>
      </c>
      <c r="AA433" s="33" t="s">
        <v>15</v>
      </c>
      <c r="AB433" s="36" t="s">
        <v>16</v>
      </c>
      <c r="AC433" s="181">
        <f t="shared" si="89"/>
        <v>1</v>
      </c>
      <c r="AD433" s="181">
        <f t="shared" si="88"/>
        <v>15000</v>
      </c>
      <c r="AE433" s="181">
        <v>3</v>
      </c>
      <c r="AF433" s="181">
        <v>3</v>
      </c>
      <c r="AG433" s="101" t="str">
        <f t="shared" si="90"/>
        <v/>
      </c>
      <c r="AH433" s="190">
        <v>0</v>
      </c>
      <c r="AI433" s="69">
        <f t="shared" si="83"/>
        <v>1</v>
      </c>
      <c r="AL433" s="69">
        <v>0</v>
      </c>
    </row>
    <row r="434" spans="1:38" s="69" customFormat="1" ht="49.5" customHeight="1" x14ac:dyDescent="0.3">
      <c r="A434" s="55" t="s">
        <v>1120</v>
      </c>
      <c r="B434" s="138" t="s">
        <v>1121</v>
      </c>
      <c r="C434" s="54" t="s">
        <v>1122</v>
      </c>
      <c r="D434" s="75">
        <v>3</v>
      </c>
      <c r="E434" s="75"/>
      <c r="F434" s="75"/>
      <c r="G434" s="75"/>
      <c r="H434" s="75"/>
      <c r="I434" s="75">
        <v>1300</v>
      </c>
      <c r="J434" s="75">
        <v>3900</v>
      </c>
      <c r="K434" s="91" t="s">
        <v>1123</v>
      </c>
      <c r="L434" s="73"/>
      <c r="M434" s="46">
        <v>0</v>
      </c>
      <c r="N434" s="46">
        <v>0</v>
      </c>
      <c r="O434" s="46">
        <v>0</v>
      </c>
      <c r="P434" s="98"/>
      <c r="Q434" s="23" t="s">
        <v>1376</v>
      </c>
      <c r="R434" s="24" t="s">
        <v>1121</v>
      </c>
      <c r="S434" s="25" t="s">
        <v>1122</v>
      </c>
      <c r="T434" s="26">
        <v>3</v>
      </c>
      <c r="U434" s="26">
        <v>3</v>
      </c>
      <c r="V434" s="26">
        <v>1300</v>
      </c>
      <c r="W434" s="26">
        <f t="shared" si="85"/>
        <v>0</v>
      </c>
      <c r="X434" s="26">
        <f t="shared" si="78"/>
        <v>0</v>
      </c>
      <c r="Y434" s="26">
        <f t="shared" si="86"/>
        <v>0</v>
      </c>
      <c r="Z434" s="26">
        <f t="shared" si="87"/>
        <v>0</v>
      </c>
      <c r="AA434" s="33" t="s">
        <v>15</v>
      </c>
      <c r="AB434" s="36" t="s">
        <v>16</v>
      </c>
      <c r="AC434" s="181">
        <f t="shared" si="89"/>
        <v>3</v>
      </c>
      <c r="AD434" s="181">
        <f t="shared" si="88"/>
        <v>3900</v>
      </c>
      <c r="AE434" s="181">
        <v>3</v>
      </c>
      <c r="AF434" s="181">
        <v>3</v>
      </c>
      <c r="AG434" s="101" t="str">
        <f t="shared" si="90"/>
        <v/>
      </c>
      <c r="AH434" s="190">
        <v>0</v>
      </c>
      <c r="AI434" s="69">
        <f t="shared" si="83"/>
        <v>3</v>
      </c>
      <c r="AL434" s="69">
        <v>0</v>
      </c>
    </row>
    <row r="435" spans="1:38" s="69" customFormat="1" ht="33" customHeight="1" x14ac:dyDescent="0.3">
      <c r="A435" s="55" t="s">
        <v>1124</v>
      </c>
      <c r="B435" s="138" t="s">
        <v>3124</v>
      </c>
      <c r="C435" s="54" t="s">
        <v>1122</v>
      </c>
      <c r="D435" s="75">
        <v>6</v>
      </c>
      <c r="E435" s="75"/>
      <c r="F435" s="75"/>
      <c r="G435" s="75"/>
      <c r="H435" s="75"/>
      <c r="I435" s="75">
        <v>1000</v>
      </c>
      <c r="J435" s="75">
        <v>6000</v>
      </c>
      <c r="K435" s="91" t="s">
        <v>1126</v>
      </c>
      <c r="L435" s="73"/>
      <c r="M435" s="46">
        <v>0</v>
      </c>
      <c r="N435" s="46">
        <v>0</v>
      </c>
      <c r="O435" s="46">
        <v>0</v>
      </c>
      <c r="P435" s="98"/>
      <c r="Q435" s="23" t="s">
        <v>1378</v>
      </c>
      <c r="R435" s="24" t="s">
        <v>1125</v>
      </c>
      <c r="S435" s="25" t="s">
        <v>1122</v>
      </c>
      <c r="T435" s="26">
        <v>6</v>
      </c>
      <c r="U435" s="26">
        <v>6</v>
      </c>
      <c r="V435" s="26">
        <v>1000</v>
      </c>
      <c r="W435" s="26">
        <f t="shared" si="85"/>
        <v>0</v>
      </c>
      <c r="X435" s="26">
        <f t="shared" si="78"/>
        <v>0</v>
      </c>
      <c r="Y435" s="26">
        <f t="shared" si="86"/>
        <v>0</v>
      </c>
      <c r="Z435" s="26">
        <f t="shared" si="87"/>
        <v>0</v>
      </c>
      <c r="AA435" s="33" t="s">
        <v>15</v>
      </c>
      <c r="AB435" s="36" t="s">
        <v>16</v>
      </c>
      <c r="AC435" s="181">
        <f t="shared" si="89"/>
        <v>6</v>
      </c>
      <c r="AD435" s="181">
        <f t="shared" si="88"/>
        <v>6000</v>
      </c>
      <c r="AE435" s="181">
        <v>3</v>
      </c>
      <c r="AF435" s="181">
        <v>3</v>
      </c>
      <c r="AG435" s="101" t="str">
        <f t="shared" si="90"/>
        <v/>
      </c>
      <c r="AH435" s="190">
        <v>0</v>
      </c>
      <c r="AI435" s="69">
        <f t="shared" si="83"/>
        <v>6</v>
      </c>
      <c r="AL435" s="69">
        <v>0</v>
      </c>
    </row>
    <row r="436" spans="1:38" s="69" customFormat="1" ht="33" customHeight="1" x14ac:dyDescent="0.3">
      <c r="A436" s="55" t="s">
        <v>1127</v>
      </c>
      <c r="B436" s="138" t="s">
        <v>1128</v>
      </c>
      <c r="C436" s="54" t="s">
        <v>325</v>
      </c>
      <c r="D436" s="75">
        <v>2</v>
      </c>
      <c r="E436" s="75"/>
      <c r="F436" s="75"/>
      <c r="G436" s="75"/>
      <c r="H436" s="75"/>
      <c r="I436" s="75">
        <v>9000</v>
      </c>
      <c r="J436" s="75">
        <v>18000</v>
      </c>
      <c r="K436" s="91" t="s">
        <v>1129</v>
      </c>
      <c r="L436" s="73"/>
      <c r="M436" s="46">
        <v>0</v>
      </c>
      <c r="N436" s="46">
        <v>0</v>
      </c>
      <c r="O436" s="46">
        <v>0</v>
      </c>
      <c r="P436" s="98"/>
      <c r="Q436" s="23" t="s">
        <v>1438</v>
      </c>
      <c r="R436" s="24" t="s">
        <v>1128</v>
      </c>
      <c r="S436" s="25" t="s">
        <v>325</v>
      </c>
      <c r="T436" s="26">
        <v>2</v>
      </c>
      <c r="U436" s="26">
        <v>2</v>
      </c>
      <c r="V436" s="26">
        <v>9000</v>
      </c>
      <c r="W436" s="26">
        <f t="shared" si="85"/>
        <v>0</v>
      </c>
      <c r="X436" s="26">
        <f t="shared" si="78"/>
        <v>0</v>
      </c>
      <c r="Y436" s="26">
        <f t="shared" si="86"/>
        <v>0</v>
      </c>
      <c r="Z436" s="26">
        <f t="shared" si="87"/>
        <v>0</v>
      </c>
      <c r="AA436" s="33" t="s">
        <v>15</v>
      </c>
      <c r="AB436" s="36" t="s">
        <v>16</v>
      </c>
      <c r="AC436" s="181">
        <f t="shared" si="89"/>
        <v>2</v>
      </c>
      <c r="AD436" s="181">
        <f t="shared" si="88"/>
        <v>18000</v>
      </c>
      <c r="AE436" s="181">
        <v>3</v>
      </c>
      <c r="AF436" s="181">
        <v>3</v>
      </c>
      <c r="AG436" s="101" t="str">
        <f t="shared" si="90"/>
        <v/>
      </c>
      <c r="AH436" s="190">
        <v>0</v>
      </c>
      <c r="AI436" s="69">
        <f t="shared" si="83"/>
        <v>2</v>
      </c>
      <c r="AL436" s="69">
        <v>0</v>
      </c>
    </row>
    <row r="437" spans="1:38" s="69" customFormat="1" ht="49.5" customHeight="1" x14ac:dyDescent="0.3">
      <c r="A437" s="55" t="s">
        <v>1130</v>
      </c>
      <c r="B437" s="138" t="s">
        <v>3127</v>
      </c>
      <c r="C437" s="54" t="s">
        <v>325</v>
      </c>
      <c r="D437" s="75">
        <v>3</v>
      </c>
      <c r="E437" s="75"/>
      <c r="F437" s="75"/>
      <c r="G437" s="75"/>
      <c r="H437" s="75"/>
      <c r="I437" s="75">
        <v>4200</v>
      </c>
      <c r="J437" s="75">
        <v>12600</v>
      </c>
      <c r="K437" s="91" t="s">
        <v>1132</v>
      </c>
      <c r="L437" s="73"/>
      <c r="M437" s="46">
        <v>2</v>
      </c>
      <c r="N437" s="46">
        <v>8400</v>
      </c>
      <c r="O437" s="46">
        <v>8400</v>
      </c>
      <c r="P437" s="98"/>
      <c r="Q437" s="23" t="s">
        <v>1439</v>
      </c>
      <c r="R437" s="24" t="s">
        <v>1131</v>
      </c>
      <c r="S437" s="25" t="s">
        <v>325</v>
      </c>
      <c r="T437" s="26">
        <v>3</v>
      </c>
      <c r="U437" s="26">
        <v>3</v>
      </c>
      <c r="V437" s="26">
        <v>4200</v>
      </c>
      <c r="W437" s="243">
        <f t="shared" si="85"/>
        <v>0</v>
      </c>
      <c r="X437" s="26">
        <f t="shared" si="78"/>
        <v>2</v>
      </c>
      <c r="Y437" s="26">
        <f t="shared" si="86"/>
        <v>0</v>
      </c>
      <c r="Z437" s="26">
        <f t="shared" si="87"/>
        <v>8400</v>
      </c>
      <c r="AA437" s="33" t="s">
        <v>15</v>
      </c>
      <c r="AB437" s="36" t="s">
        <v>16</v>
      </c>
      <c r="AC437" s="181">
        <f t="shared" si="89"/>
        <v>3</v>
      </c>
      <c r="AD437" s="181">
        <f t="shared" si="88"/>
        <v>12600</v>
      </c>
      <c r="AE437" s="181">
        <v>3</v>
      </c>
      <c r="AF437" s="181">
        <v>3</v>
      </c>
      <c r="AG437" s="101" t="str">
        <f t="shared" si="90"/>
        <v/>
      </c>
      <c r="AH437" s="191">
        <f>2</f>
        <v>2</v>
      </c>
      <c r="AI437" s="69">
        <f t="shared" si="83"/>
        <v>3</v>
      </c>
    </row>
    <row r="438" spans="1:38" s="69" customFormat="1" ht="49.5" customHeight="1" x14ac:dyDescent="0.3">
      <c r="A438" s="130" t="s">
        <v>1133</v>
      </c>
      <c r="B438" s="240" t="s">
        <v>3126</v>
      </c>
      <c r="C438" s="132" t="s">
        <v>66</v>
      </c>
      <c r="D438" s="133">
        <v>4</v>
      </c>
      <c r="E438" s="75"/>
      <c r="F438" s="75"/>
      <c r="G438" s="75"/>
      <c r="H438" s="75"/>
      <c r="I438" s="75">
        <v>1000</v>
      </c>
      <c r="J438" s="75">
        <v>4000</v>
      </c>
      <c r="K438" s="91" t="s">
        <v>1135</v>
      </c>
      <c r="L438" s="73"/>
      <c r="M438" s="46">
        <v>4</v>
      </c>
      <c r="N438" s="46">
        <v>4000</v>
      </c>
      <c r="O438" s="46">
        <v>4000</v>
      </c>
      <c r="P438" s="98"/>
      <c r="Q438" s="23" t="s">
        <v>1440</v>
      </c>
      <c r="R438" s="24" t="s">
        <v>1134</v>
      </c>
      <c r="S438" s="25" t="s">
        <v>66</v>
      </c>
      <c r="T438" s="26">
        <v>4</v>
      </c>
      <c r="U438" s="26">
        <v>4</v>
      </c>
      <c r="V438" s="26">
        <v>1000</v>
      </c>
      <c r="W438" s="243">
        <f t="shared" si="85"/>
        <v>0</v>
      </c>
      <c r="X438" s="127">
        <f t="shared" si="78"/>
        <v>4</v>
      </c>
      <c r="Y438" s="127">
        <f t="shared" si="86"/>
        <v>0</v>
      </c>
      <c r="Z438" s="127">
        <f t="shared" si="87"/>
        <v>4000</v>
      </c>
      <c r="AA438" s="33" t="s">
        <v>15</v>
      </c>
      <c r="AB438" s="36" t="s">
        <v>16</v>
      </c>
      <c r="AC438" s="181">
        <f t="shared" si="89"/>
        <v>4</v>
      </c>
      <c r="AD438" s="181">
        <f t="shared" si="88"/>
        <v>4000</v>
      </c>
      <c r="AE438" s="181">
        <v>3</v>
      </c>
      <c r="AF438" s="181">
        <v>3</v>
      </c>
      <c r="AG438" s="101" t="str">
        <f t="shared" si="90"/>
        <v/>
      </c>
      <c r="AH438" s="191">
        <f>4</f>
        <v>4</v>
      </c>
      <c r="AI438" s="69">
        <f t="shared" si="83"/>
        <v>4</v>
      </c>
    </row>
    <row r="439" spans="1:38" s="69" customFormat="1" ht="49.5" customHeight="1" x14ac:dyDescent="0.3">
      <c r="A439" s="55" t="s">
        <v>1136</v>
      </c>
      <c r="B439" s="138" t="s">
        <v>3125</v>
      </c>
      <c r="C439" s="54" t="s">
        <v>325</v>
      </c>
      <c r="D439" s="75">
        <v>15</v>
      </c>
      <c r="E439" s="75"/>
      <c r="F439" s="75"/>
      <c r="G439" s="75"/>
      <c r="H439" s="75"/>
      <c r="I439" s="75">
        <v>4500</v>
      </c>
      <c r="J439" s="75">
        <v>67500</v>
      </c>
      <c r="K439" s="91" t="s">
        <v>1138</v>
      </c>
      <c r="L439" s="73"/>
      <c r="M439" s="46">
        <v>9</v>
      </c>
      <c r="N439" s="46">
        <v>40500</v>
      </c>
      <c r="O439" s="46">
        <v>40500</v>
      </c>
      <c r="P439" s="98"/>
      <c r="Q439" s="23" t="s">
        <v>1441</v>
      </c>
      <c r="R439" s="24" t="s">
        <v>1137</v>
      </c>
      <c r="S439" s="25" t="s">
        <v>325</v>
      </c>
      <c r="T439" s="26">
        <v>15</v>
      </c>
      <c r="U439" s="26">
        <v>15</v>
      </c>
      <c r="V439" s="26">
        <v>4500</v>
      </c>
      <c r="W439" s="243">
        <f t="shared" si="85"/>
        <v>0</v>
      </c>
      <c r="X439" s="26">
        <f t="shared" si="78"/>
        <v>9</v>
      </c>
      <c r="Y439" s="26">
        <f t="shared" si="86"/>
        <v>0</v>
      </c>
      <c r="Z439" s="26">
        <f t="shared" si="87"/>
        <v>40500</v>
      </c>
      <c r="AA439" s="33" t="s">
        <v>15</v>
      </c>
      <c r="AB439" s="36" t="s">
        <v>16</v>
      </c>
      <c r="AC439" s="181">
        <f t="shared" si="89"/>
        <v>15</v>
      </c>
      <c r="AD439" s="181">
        <f t="shared" si="88"/>
        <v>67500</v>
      </c>
      <c r="AE439" s="181">
        <v>3</v>
      </c>
      <c r="AF439" s="181">
        <v>3</v>
      </c>
      <c r="AG439" s="101" t="str">
        <f t="shared" si="90"/>
        <v/>
      </c>
      <c r="AH439" s="191">
        <f>9</f>
        <v>9</v>
      </c>
      <c r="AI439" s="69">
        <f t="shared" si="83"/>
        <v>15</v>
      </c>
    </row>
    <row r="440" spans="1:38" s="69" customFormat="1" ht="33" customHeight="1" x14ac:dyDescent="0.3">
      <c r="A440" s="55" t="s">
        <v>1139</v>
      </c>
      <c r="B440" s="138" t="s">
        <v>3128</v>
      </c>
      <c r="C440" s="54" t="s">
        <v>325</v>
      </c>
      <c r="D440" s="75">
        <v>2</v>
      </c>
      <c r="E440" s="75"/>
      <c r="F440" s="75"/>
      <c r="G440" s="75"/>
      <c r="H440" s="75"/>
      <c r="I440" s="75">
        <v>636300</v>
      </c>
      <c r="J440" s="75">
        <v>1272600</v>
      </c>
      <c r="K440" s="91" t="s">
        <v>1141</v>
      </c>
      <c r="L440" s="73"/>
      <c r="M440" s="46">
        <v>1</v>
      </c>
      <c r="N440" s="46">
        <v>0</v>
      </c>
      <c r="O440" s="46">
        <v>636300</v>
      </c>
      <c r="P440" s="98"/>
      <c r="Q440" s="23" t="s">
        <v>1442</v>
      </c>
      <c r="R440" s="24" t="s">
        <v>1140</v>
      </c>
      <c r="S440" s="25" t="s">
        <v>325</v>
      </c>
      <c r="T440" s="26">
        <v>2</v>
      </c>
      <c r="U440" s="26">
        <v>2</v>
      </c>
      <c r="V440" s="26">
        <v>636300</v>
      </c>
      <c r="W440" s="26">
        <f t="shared" si="85"/>
        <v>0</v>
      </c>
      <c r="X440" s="26">
        <f t="shared" si="78"/>
        <v>1</v>
      </c>
      <c r="Y440" s="26">
        <f t="shared" si="86"/>
        <v>0</v>
      </c>
      <c r="Z440" s="26">
        <f t="shared" si="87"/>
        <v>636300</v>
      </c>
      <c r="AA440" s="33" t="s">
        <v>15</v>
      </c>
      <c r="AB440" s="36" t="s">
        <v>16</v>
      </c>
      <c r="AC440" s="181">
        <f t="shared" si="89"/>
        <v>2</v>
      </c>
      <c r="AD440" s="181">
        <f t="shared" si="88"/>
        <v>1272600</v>
      </c>
      <c r="AE440" s="181">
        <v>3</v>
      </c>
      <c r="AF440" s="181">
        <v>3</v>
      </c>
      <c r="AG440" s="101" t="str">
        <f t="shared" si="90"/>
        <v/>
      </c>
      <c r="AH440" s="190">
        <v>1</v>
      </c>
      <c r="AI440" s="69">
        <f t="shared" si="83"/>
        <v>2</v>
      </c>
    </row>
    <row r="441" spans="1:38" s="69" customFormat="1" ht="49.5" customHeight="1" x14ac:dyDescent="0.3">
      <c r="A441" s="130" t="s">
        <v>1142</v>
      </c>
      <c r="B441" s="240" t="s">
        <v>3131</v>
      </c>
      <c r="C441" s="132" t="s">
        <v>1144</v>
      </c>
      <c r="D441" s="133">
        <v>4</v>
      </c>
      <c r="E441" s="75"/>
      <c r="F441" s="75"/>
      <c r="G441" s="75"/>
      <c r="H441" s="76"/>
      <c r="I441" s="75">
        <v>2000</v>
      </c>
      <c r="J441" s="75">
        <v>8000</v>
      </c>
      <c r="K441" s="91" t="s">
        <v>1145</v>
      </c>
      <c r="L441" s="73"/>
      <c r="M441" s="46">
        <v>4</v>
      </c>
      <c r="N441" s="46">
        <v>8000</v>
      </c>
      <c r="O441" s="46">
        <v>8000</v>
      </c>
      <c r="P441" s="98"/>
      <c r="Q441" s="23" t="s">
        <v>1443</v>
      </c>
      <c r="R441" s="24" t="s">
        <v>1143</v>
      </c>
      <c r="S441" s="25" t="s">
        <v>1144</v>
      </c>
      <c r="T441" s="26">
        <v>4</v>
      </c>
      <c r="U441" s="26">
        <v>4</v>
      </c>
      <c r="V441" s="26">
        <v>2000</v>
      </c>
      <c r="W441" s="243">
        <f t="shared" si="85"/>
        <v>0</v>
      </c>
      <c r="X441" s="127">
        <f t="shared" si="78"/>
        <v>4</v>
      </c>
      <c r="Y441" s="127">
        <f t="shared" si="86"/>
        <v>0</v>
      </c>
      <c r="Z441" s="127">
        <f t="shared" si="87"/>
        <v>8000</v>
      </c>
      <c r="AA441" s="33" t="s">
        <v>15</v>
      </c>
      <c r="AB441" s="36" t="s">
        <v>16</v>
      </c>
      <c r="AC441" s="181">
        <f t="shared" si="89"/>
        <v>4</v>
      </c>
      <c r="AD441" s="181">
        <f t="shared" si="88"/>
        <v>8000</v>
      </c>
      <c r="AE441" s="181">
        <v>3</v>
      </c>
      <c r="AF441" s="181">
        <v>3</v>
      </c>
      <c r="AG441" s="101" t="str">
        <f t="shared" si="90"/>
        <v/>
      </c>
      <c r="AH441" s="191">
        <f>4</f>
        <v>4</v>
      </c>
      <c r="AI441" s="69">
        <f t="shared" si="83"/>
        <v>4</v>
      </c>
    </row>
    <row r="442" spans="1:38" s="69" customFormat="1" ht="33" x14ac:dyDescent="0.3">
      <c r="A442" s="134">
        <v>3.35</v>
      </c>
      <c r="B442" s="135" t="s">
        <v>1346</v>
      </c>
      <c r="C442" s="204" t="s">
        <v>325</v>
      </c>
      <c r="D442" s="133"/>
      <c r="E442" s="59">
        <v>1</v>
      </c>
      <c r="F442" s="77"/>
      <c r="G442" s="226"/>
      <c r="H442" s="230"/>
      <c r="I442" s="178">
        <v>119161.05</v>
      </c>
      <c r="J442" s="59">
        <v>119161.05</v>
      </c>
      <c r="K442" s="92"/>
      <c r="L442" s="73"/>
      <c r="M442" s="46">
        <v>1</v>
      </c>
      <c r="N442" s="46">
        <v>0</v>
      </c>
      <c r="O442" s="46">
        <v>119161.05</v>
      </c>
      <c r="P442" s="98"/>
      <c r="Q442" s="23" t="s">
        <v>1444</v>
      </c>
      <c r="R442" s="24" t="s">
        <v>1501</v>
      </c>
      <c r="S442" s="25" t="s">
        <v>325</v>
      </c>
      <c r="T442" s="26">
        <v>0</v>
      </c>
      <c r="U442" s="26">
        <v>1</v>
      </c>
      <c r="V442" s="26">
        <v>119161.05</v>
      </c>
      <c r="W442" s="127">
        <f t="shared" si="85"/>
        <v>0</v>
      </c>
      <c r="X442" s="127">
        <f t="shared" si="78"/>
        <v>1</v>
      </c>
      <c r="Y442" s="127">
        <f t="shared" si="86"/>
        <v>0</v>
      </c>
      <c r="Z442" s="127">
        <f t="shared" si="87"/>
        <v>119161.05</v>
      </c>
      <c r="AA442" s="27"/>
      <c r="AB442" s="36" t="s">
        <v>16</v>
      </c>
      <c r="AC442" s="181">
        <f t="shared" si="89"/>
        <v>1</v>
      </c>
      <c r="AD442" s="181">
        <f t="shared" si="88"/>
        <v>119161.05</v>
      </c>
      <c r="AE442" s="181">
        <v>3</v>
      </c>
      <c r="AF442" s="181">
        <v>3</v>
      </c>
      <c r="AG442" s="101" t="str">
        <f t="shared" si="90"/>
        <v/>
      </c>
      <c r="AH442" s="190">
        <v>1</v>
      </c>
      <c r="AI442" s="69">
        <f t="shared" si="83"/>
        <v>1</v>
      </c>
    </row>
    <row r="443" spans="1:38" ht="39" x14ac:dyDescent="0.3">
      <c r="A443" s="134" t="s">
        <v>1347</v>
      </c>
      <c r="B443" s="135" t="s">
        <v>1348</v>
      </c>
      <c r="C443" s="204" t="s">
        <v>325</v>
      </c>
      <c r="D443" s="133"/>
      <c r="E443" s="78"/>
      <c r="F443" s="62">
        <v>1</v>
      </c>
      <c r="G443" s="163"/>
      <c r="H443" s="62"/>
      <c r="I443" s="167">
        <v>74988.5</v>
      </c>
      <c r="J443" s="62">
        <v>74988.5</v>
      </c>
      <c r="K443" s="93"/>
      <c r="M443" s="46">
        <v>1</v>
      </c>
      <c r="N443" s="46">
        <v>0</v>
      </c>
      <c r="O443" s="46">
        <v>74988.5</v>
      </c>
      <c r="P443" s="98"/>
      <c r="Q443" s="23" t="s">
        <v>1408</v>
      </c>
      <c r="R443" s="24" t="s">
        <v>1348</v>
      </c>
      <c r="S443" s="25" t="s">
        <v>325</v>
      </c>
      <c r="T443" s="26">
        <v>0</v>
      </c>
      <c r="U443" s="26">
        <v>1</v>
      </c>
      <c r="V443" s="26">
        <v>74988.5</v>
      </c>
      <c r="W443" s="127">
        <f t="shared" si="85"/>
        <v>0</v>
      </c>
      <c r="X443" s="127">
        <f t="shared" si="78"/>
        <v>1</v>
      </c>
      <c r="Y443" s="127">
        <f t="shared" si="86"/>
        <v>0</v>
      </c>
      <c r="Z443" s="127">
        <f t="shared" si="87"/>
        <v>74988.5</v>
      </c>
      <c r="AA443" s="27"/>
      <c r="AB443" s="36" t="s">
        <v>16</v>
      </c>
      <c r="AC443" s="181">
        <f t="shared" si="89"/>
        <v>1</v>
      </c>
      <c r="AD443" s="181">
        <f t="shared" si="88"/>
        <v>74988.5</v>
      </c>
      <c r="AE443" s="181">
        <v>3</v>
      </c>
      <c r="AF443" s="181">
        <v>3</v>
      </c>
      <c r="AG443" s="101" t="str">
        <f t="shared" si="90"/>
        <v/>
      </c>
      <c r="AH443" s="190">
        <v>1</v>
      </c>
      <c r="AI443" s="69">
        <f t="shared" si="83"/>
        <v>1</v>
      </c>
    </row>
    <row r="444" spans="1:38" ht="66" x14ac:dyDescent="0.3">
      <c r="A444" s="134" t="s">
        <v>1349</v>
      </c>
      <c r="B444" s="139" t="s">
        <v>3132</v>
      </c>
      <c r="C444" s="204" t="s">
        <v>325</v>
      </c>
      <c r="D444" s="133"/>
      <c r="E444" s="78"/>
      <c r="F444" s="62">
        <v>2</v>
      </c>
      <c r="G444" s="163"/>
      <c r="H444" s="62"/>
      <c r="I444" s="167">
        <v>83493.929999999993</v>
      </c>
      <c r="J444" s="62">
        <v>166987.85999999999</v>
      </c>
      <c r="K444" s="93"/>
      <c r="M444" s="46">
        <v>2</v>
      </c>
      <c r="N444" s="46">
        <v>0</v>
      </c>
      <c r="O444" s="46">
        <v>166987.85999999999</v>
      </c>
      <c r="P444" s="98"/>
      <c r="Q444" s="23" t="s">
        <v>1409</v>
      </c>
      <c r="R444" s="24" t="s">
        <v>1350</v>
      </c>
      <c r="S444" s="25" t="s">
        <v>325</v>
      </c>
      <c r="T444" s="26">
        <v>0</v>
      </c>
      <c r="U444" s="26">
        <v>2</v>
      </c>
      <c r="V444" s="26">
        <v>83493.929999999993</v>
      </c>
      <c r="W444" s="127">
        <f t="shared" si="85"/>
        <v>0</v>
      </c>
      <c r="X444" s="127">
        <f t="shared" si="78"/>
        <v>2</v>
      </c>
      <c r="Y444" s="127">
        <f t="shared" si="86"/>
        <v>0</v>
      </c>
      <c r="Z444" s="127">
        <f t="shared" si="87"/>
        <v>166987.85999999999</v>
      </c>
      <c r="AA444" s="27"/>
      <c r="AB444" s="36" t="s">
        <v>16</v>
      </c>
      <c r="AC444" s="181">
        <f t="shared" si="89"/>
        <v>2</v>
      </c>
      <c r="AD444" s="181">
        <f t="shared" si="88"/>
        <v>166987.85999999999</v>
      </c>
      <c r="AE444" s="181">
        <v>3</v>
      </c>
      <c r="AF444" s="181">
        <v>3</v>
      </c>
      <c r="AG444" s="101" t="str">
        <f t="shared" si="90"/>
        <v/>
      </c>
      <c r="AH444" s="190">
        <v>2</v>
      </c>
      <c r="AI444" s="69">
        <f t="shared" si="83"/>
        <v>2</v>
      </c>
    </row>
    <row r="445" spans="1:38" ht="49.5" x14ac:dyDescent="0.3">
      <c r="A445" s="134" t="s">
        <v>1351</v>
      </c>
      <c r="B445" s="139" t="s">
        <v>3133</v>
      </c>
      <c r="C445" s="204" t="s">
        <v>325</v>
      </c>
      <c r="D445" s="133"/>
      <c r="E445" s="78"/>
      <c r="F445" s="62">
        <v>2</v>
      </c>
      <c r="G445" s="163"/>
      <c r="H445" s="62"/>
      <c r="I445" s="167">
        <v>76194.460000000006</v>
      </c>
      <c r="J445" s="62">
        <v>152388.92000000001</v>
      </c>
      <c r="K445" s="93"/>
      <c r="M445" s="46">
        <v>2</v>
      </c>
      <c r="N445" s="46">
        <v>0</v>
      </c>
      <c r="O445" s="46">
        <v>152388.92000000001</v>
      </c>
      <c r="P445" s="98"/>
      <c r="Q445" s="23" t="s">
        <v>1410</v>
      </c>
      <c r="R445" s="24" t="s">
        <v>1352</v>
      </c>
      <c r="S445" s="25" t="s">
        <v>325</v>
      </c>
      <c r="T445" s="26">
        <v>0</v>
      </c>
      <c r="U445" s="26">
        <v>2</v>
      </c>
      <c r="V445" s="26">
        <v>76194.460000000006</v>
      </c>
      <c r="W445" s="127">
        <f t="shared" si="85"/>
        <v>0</v>
      </c>
      <c r="X445" s="127">
        <f t="shared" si="78"/>
        <v>2</v>
      </c>
      <c r="Y445" s="127">
        <f t="shared" si="86"/>
        <v>0</v>
      </c>
      <c r="Z445" s="127">
        <f t="shared" si="87"/>
        <v>152388.92000000001</v>
      </c>
      <c r="AA445" s="27"/>
      <c r="AB445" s="36" t="s">
        <v>16</v>
      </c>
      <c r="AC445" s="181">
        <f t="shared" si="89"/>
        <v>2</v>
      </c>
      <c r="AD445" s="181">
        <f t="shared" si="88"/>
        <v>152388.92000000001</v>
      </c>
      <c r="AE445" s="181">
        <v>3</v>
      </c>
      <c r="AF445" s="181">
        <v>3</v>
      </c>
      <c r="AG445" s="101" t="str">
        <f t="shared" si="90"/>
        <v/>
      </c>
      <c r="AH445" s="190">
        <v>2</v>
      </c>
      <c r="AI445" s="69">
        <f t="shared" si="83"/>
        <v>2</v>
      </c>
    </row>
    <row r="446" spans="1:38" ht="49.5" x14ac:dyDescent="0.3">
      <c r="A446" s="134" t="s">
        <v>1353</v>
      </c>
      <c r="B446" s="139" t="s">
        <v>3134</v>
      </c>
      <c r="C446" s="204" t="s">
        <v>325</v>
      </c>
      <c r="D446" s="133"/>
      <c r="E446" s="78"/>
      <c r="F446" s="62">
        <v>2</v>
      </c>
      <c r="G446" s="163"/>
      <c r="H446" s="62"/>
      <c r="I446" s="167">
        <v>17998.689999999999</v>
      </c>
      <c r="J446" s="62">
        <v>35997.379999999997</v>
      </c>
      <c r="K446" s="93"/>
      <c r="M446" s="46">
        <v>2</v>
      </c>
      <c r="N446" s="46">
        <v>0</v>
      </c>
      <c r="O446" s="46">
        <v>35997.379999999997</v>
      </c>
      <c r="P446" s="98"/>
      <c r="Q446" s="23" t="s">
        <v>1411</v>
      </c>
      <c r="R446" s="24" t="s">
        <v>1354</v>
      </c>
      <c r="S446" s="25" t="s">
        <v>325</v>
      </c>
      <c r="T446" s="26">
        <v>0</v>
      </c>
      <c r="U446" s="26">
        <v>2</v>
      </c>
      <c r="V446" s="26">
        <v>17998.689999999999</v>
      </c>
      <c r="W446" s="127">
        <f t="shared" si="85"/>
        <v>0</v>
      </c>
      <c r="X446" s="127">
        <f t="shared" si="78"/>
        <v>2</v>
      </c>
      <c r="Y446" s="127">
        <f t="shared" si="86"/>
        <v>0</v>
      </c>
      <c r="Z446" s="127">
        <f t="shared" si="87"/>
        <v>35997.379999999997</v>
      </c>
      <c r="AA446" s="27"/>
      <c r="AB446" s="36" t="s">
        <v>16</v>
      </c>
      <c r="AC446" s="181">
        <f t="shared" si="89"/>
        <v>2</v>
      </c>
      <c r="AD446" s="181">
        <f t="shared" si="88"/>
        <v>35997.379999999997</v>
      </c>
      <c r="AE446" s="181">
        <v>3</v>
      </c>
      <c r="AF446" s="181">
        <v>3</v>
      </c>
      <c r="AG446" s="101" t="str">
        <f t="shared" si="90"/>
        <v/>
      </c>
      <c r="AH446" s="190">
        <v>2</v>
      </c>
      <c r="AI446" s="69">
        <f t="shared" si="83"/>
        <v>2</v>
      </c>
    </row>
    <row r="447" spans="1:38" s="69" customFormat="1" ht="33" customHeight="1" x14ac:dyDescent="0.3">
      <c r="A447" s="85" t="s">
        <v>1146</v>
      </c>
      <c r="B447" s="86" t="s">
        <v>1147</v>
      </c>
      <c r="C447" s="87" t="s">
        <v>14</v>
      </c>
      <c r="D447" s="88">
        <v>1</v>
      </c>
      <c r="E447" s="88"/>
      <c r="F447" s="88"/>
      <c r="G447" s="236"/>
      <c r="H447" s="238"/>
      <c r="I447" s="237"/>
      <c r="J447" s="88">
        <v>2798664.24</v>
      </c>
      <c r="K447" s="95" t="s">
        <v>15</v>
      </c>
      <c r="L447" s="73"/>
      <c r="M447" s="42">
        <v>1</v>
      </c>
      <c r="N447" s="42">
        <v>90507.139999999898</v>
      </c>
      <c r="O447" s="42">
        <v>1489119.98</v>
      </c>
      <c r="P447" s="98"/>
      <c r="Q447" s="13" t="s">
        <v>1412</v>
      </c>
      <c r="R447" s="14" t="s">
        <v>1147</v>
      </c>
      <c r="S447" s="15" t="s">
        <v>14</v>
      </c>
      <c r="T447" s="16">
        <v>1</v>
      </c>
      <c r="U447" s="16"/>
      <c r="V447" s="16">
        <f>SUMIFS(AD:AD,AE:AE,AE447)</f>
        <v>2798664.24</v>
      </c>
      <c r="W447" s="16">
        <f t="shared" ref="W447:X447" si="91">IF(Y447=0,0,1)</f>
        <v>1</v>
      </c>
      <c r="X447" s="16">
        <f t="shared" si="91"/>
        <v>1</v>
      </c>
      <c r="Y447" s="16">
        <f>SUMIFS(Y:Y,AF:AF,AE447)</f>
        <v>193204.04000000004</v>
      </c>
      <c r="Z447" s="16">
        <f>SUMIFS(Z:Z,AF:AF,AE447)</f>
        <v>1682324.02</v>
      </c>
      <c r="AA447" s="17" t="s">
        <v>15</v>
      </c>
      <c r="AB447" s="40" t="s">
        <v>16</v>
      </c>
      <c r="AC447" s="181">
        <f t="shared" si="89"/>
        <v>1</v>
      </c>
      <c r="AD447" s="183"/>
      <c r="AE447" s="183">
        <v>4</v>
      </c>
      <c r="AF447" s="183"/>
      <c r="AG447" s="101" t="str">
        <f t="shared" si="90"/>
        <v/>
      </c>
      <c r="AH447" s="190">
        <v>1</v>
      </c>
      <c r="AI447" s="69">
        <f t="shared" si="83"/>
        <v>1</v>
      </c>
    </row>
    <row r="448" spans="1:38" s="69" customFormat="1" ht="49.5" customHeight="1" x14ac:dyDescent="0.3">
      <c r="A448" s="55" t="s">
        <v>1148</v>
      </c>
      <c r="B448" s="53" t="s">
        <v>1149</v>
      </c>
      <c r="C448" s="54" t="s">
        <v>1150</v>
      </c>
      <c r="D448" s="75">
        <v>48</v>
      </c>
      <c r="E448" s="75"/>
      <c r="F448" s="75"/>
      <c r="G448" s="75"/>
      <c r="H448" s="229"/>
      <c r="I448" s="75">
        <v>13068.13</v>
      </c>
      <c r="J448" s="75">
        <v>627270.24</v>
      </c>
      <c r="K448" s="91" t="s">
        <v>1151</v>
      </c>
      <c r="L448" s="73"/>
      <c r="M448" s="46">
        <v>38</v>
      </c>
      <c r="N448" s="46">
        <v>26136.260000000009</v>
      </c>
      <c r="O448" s="46">
        <v>496588.94</v>
      </c>
      <c r="P448" s="98"/>
      <c r="Q448" s="23" t="s">
        <v>1421</v>
      </c>
      <c r="R448" s="24" t="s">
        <v>1149</v>
      </c>
      <c r="S448" s="25" t="s">
        <v>1150</v>
      </c>
      <c r="T448" s="26">
        <v>48</v>
      </c>
      <c r="U448" s="26">
        <v>48</v>
      </c>
      <c r="V448" s="26">
        <v>13068.13</v>
      </c>
      <c r="W448" s="250">
        <f t="shared" ref="W448:W450" si="92">AH448-M448</f>
        <v>2</v>
      </c>
      <c r="X448" s="26">
        <f t="shared" si="78"/>
        <v>40</v>
      </c>
      <c r="Y448" s="26">
        <f>Z448-O448</f>
        <v>26136.260000000009</v>
      </c>
      <c r="Z448" s="26">
        <f t="shared" ref="Z448:Z450" si="93">ROUND(V448*X448,2)</f>
        <v>522725.2</v>
      </c>
      <c r="AA448" s="33" t="s">
        <v>15</v>
      </c>
      <c r="AB448" s="36" t="s">
        <v>16</v>
      </c>
      <c r="AC448" s="181">
        <f t="shared" si="89"/>
        <v>48</v>
      </c>
      <c r="AD448" s="181">
        <f t="shared" ref="AD448:AD450" si="94">ROUND(V448*AC448,2)</f>
        <v>627270.24</v>
      </c>
      <c r="AE448" s="181">
        <v>4</v>
      </c>
      <c r="AF448" s="181">
        <v>4</v>
      </c>
      <c r="AG448" s="101" t="str">
        <f t="shared" si="90"/>
        <v/>
      </c>
      <c r="AH448" s="191">
        <f>32+2+2+2+2</f>
        <v>40</v>
      </c>
      <c r="AI448" s="69">
        <f t="shared" si="83"/>
        <v>48</v>
      </c>
    </row>
    <row r="449" spans="1:35" s="69" customFormat="1" ht="66" customHeight="1" x14ac:dyDescent="0.3">
      <c r="A449" s="55" t="s">
        <v>1152</v>
      </c>
      <c r="B449" s="53" t="s">
        <v>1153</v>
      </c>
      <c r="C449" s="54" t="s">
        <v>998</v>
      </c>
      <c r="D449" s="75">
        <v>6720</v>
      </c>
      <c r="E449" s="75"/>
      <c r="F449" s="75"/>
      <c r="G449" s="76"/>
      <c r="H449" s="75"/>
      <c r="I449" s="75">
        <v>54.57</v>
      </c>
      <c r="J449" s="75">
        <v>366710.4</v>
      </c>
      <c r="K449" s="91" t="s">
        <v>1154</v>
      </c>
      <c r="L449" s="73"/>
      <c r="M449" s="46">
        <v>3380</v>
      </c>
      <c r="N449" s="46">
        <v>0</v>
      </c>
      <c r="O449" s="46">
        <v>184446.6</v>
      </c>
      <c r="P449" s="98"/>
      <c r="Q449" s="23" t="s">
        <v>1426</v>
      </c>
      <c r="R449" s="24" t="s">
        <v>1153</v>
      </c>
      <c r="S449" s="25" t="s">
        <v>998</v>
      </c>
      <c r="T449" s="26">
        <v>6720</v>
      </c>
      <c r="U449" s="26">
        <v>6720</v>
      </c>
      <c r="V449" s="26">
        <v>54.57</v>
      </c>
      <c r="W449" s="250">
        <f t="shared" si="92"/>
        <v>1250</v>
      </c>
      <c r="X449" s="26">
        <f t="shared" si="78"/>
        <v>4630</v>
      </c>
      <c r="Y449" s="26">
        <f>Z449-O449</f>
        <v>68212.5</v>
      </c>
      <c r="Z449" s="26">
        <f t="shared" si="93"/>
        <v>252659.1</v>
      </c>
      <c r="AA449" s="33" t="s">
        <v>15</v>
      </c>
      <c r="AB449" s="36" t="s">
        <v>16</v>
      </c>
      <c r="AC449" s="181">
        <f t="shared" si="89"/>
        <v>6720</v>
      </c>
      <c r="AD449" s="181">
        <f t="shared" si="94"/>
        <v>366710.4</v>
      </c>
      <c r="AE449" s="181">
        <v>4</v>
      </c>
      <c r="AF449" s="181">
        <v>4</v>
      </c>
      <c r="AG449" s="101" t="str">
        <f t="shared" si="90"/>
        <v/>
      </c>
      <c r="AH449" s="191">
        <f>2360+1020+1250</f>
        <v>4630</v>
      </c>
      <c r="AI449" s="69">
        <f t="shared" si="83"/>
        <v>6720</v>
      </c>
    </row>
    <row r="450" spans="1:35" s="69" customFormat="1" ht="33" x14ac:dyDescent="0.3">
      <c r="A450" s="66">
        <v>4.3</v>
      </c>
      <c r="B450" s="57" t="s">
        <v>1355</v>
      </c>
      <c r="C450" s="58" t="s">
        <v>1360</v>
      </c>
      <c r="D450" s="77"/>
      <c r="E450" s="117">
        <v>1570</v>
      </c>
      <c r="F450" s="59"/>
      <c r="G450" s="59"/>
      <c r="H450" s="142"/>
      <c r="I450" s="77">
        <v>1149.48</v>
      </c>
      <c r="J450" s="59">
        <v>1804683.6</v>
      </c>
      <c r="K450" s="92"/>
      <c r="L450" s="73"/>
      <c r="M450" s="46">
        <v>703</v>
      </c>
      <c r="N450" s="46">
        <v>64370.879999999888</v>
      </c>
      <c r="O450" s="46">
        <v>808084.44</v>
      </c>
      <c r="P450" s="98"/>
      <c r="Q450" s="23" t="s">
        <v>1402</v>
      </c>
      <c r="R450" s="24" t="s">
        <v>1502</v>
      </c>
      <c r="S450" s="25" t="s">
        <v>1360</v>
      </c>
      <c r="T450" s="26">
        <v>0</v>
      </c>
      <c r="U450" s="26">
        <v>1570</v>
      </c>
      <c r="V450" s="26">
        <v>1149.48</v>
      </c>
      <c r="W450" s="250">
        <f t="shared" si="92"/>
        <v>86</v>
      </c>
      <c r="X450" s="26">
        <f t="shared" si="78"/>
        <v>789</v>
      </c>
      <c r="Y450" s="26">
        <f>Z450-O450</f>
        <v>98855.280000000028</v>
      </c>
      <c r="Z450" s="26">
        <f t="shared" si="93"/>
        <v>906939.72</v>
      </c>
      <c r="AA450" s="27"/>
      <c r="AB450" s="36" t="s">
        <v>16</v>
      </c>
      <c r="AC450" s="181">
        <f t="shared" si="89"/>
        <v>1570</v>
      </c>
      <c r="AD450" s="181">
        <f t="shared" si="94"/>
        <v>1804683.6</v>
      </c>
      <c r="AE450" s="181">
        <v>4</v>
      </c>
      <c r="AF450" s="181">
        <v>4</v>
      </c>
      <c r="AG450" s="101" t="str">
        <f t="shared" si="90"/>
        <v/>
      </c>
      <c r="AH450" s="191">
        <f>591+56+56+86</f>
        <v>789</v>
      </c>
      <c r="AI450" s="69">
        <f t="shared" si="83"/>
        <v>1570</v>
      </c>
    </row>
    <row r="451" spans="1:35" s="69" customFormat="1" ht="33" customHeight="1" x14ac:dyDescent="0.3">
      <c r="A451" s="85" t="s">
        <v>1155</v>
      </c>
      <c r="B451" s="86" t="s">
        <v>1156</v>
      </c>
      <c r="C451" s="87" t="s">
        <v>14</v>
      </c>
      <c r="D451" s="88">
        <v>1</v>
      </c>
      <c r="E451" s="88"/>
      <c r="F451" s="88"/>
      <c r="G451" s="153"/>
      <c r="H451" s="88"/>
      <c r="I451" s="88"/>
      <c r="J451" s="88">
        <v>10715306.710000001</v>
      </c>
      <c r="K451" s="95" t="s">
        <v>15</v>
      </c>
      <c r="L451" s="73"/>
      <c r="M451" s="42">
        <v>1</v>
      </c>
      <c r="N451" s="42">
        <v>60894.420000000042</v>
      </c>
      <c r="O451" s="42">
        <v>9944204.3399999999</v>
      </c>
      <c r="P451" s="98"/>
      <c r="Q451" s="13" t="s">
        <v>1413</v>
      </c>
      <c r="R451" s="14" t="s">
        <v>1156</v>
      </c>
      <c r="S451" s="15" t="s">
        <v>14</v>
      </c>
      <c r="T451" s="16">
        <v>1</v>
      </c>
      <c r="U451" s="16"/>
      <c r="V451" s="16">
        <f>SUMIFS(AD:AD,AE:AE,AE451)</f>
        <v>10715306.709999999</v>
      </c>
      <c r="W451" s="16">
        <f t="shared" ref="W451:X451" si="95">IF(Y451=0,0,1)</f>
        <v>1</v>
      </c>
      <c r="X451" s="16">
        <f t="shared" si="95"/>
        <v>1</v>
      </c>
      <c r="Y451" s="16">
        <f>SUMIFS(Y:Y,AF:AF,AE451)</f>
        <v>209387.71999999997</v>
      </c>
      <c r="Z451" s="16">
        <f>SUMIFS(Z:Z,AF:AF,AE451)</f>
        <v>10153592.060000001</v>
      </c>
      <c r="AA451" s="17" t="s">
        <v>15</v>
      </c>
      <c r="AB451" s="40" t="s">
        <v>16</v>
      </c>
      <c r="AC451" s="181">
        <f t="shared" si="89"/>
        <v>1</v>
      </c>
      <c r="AD451" s="183"/>
      <c r="AE451" s="183">
        <v>5</v>
      </c>
      <c r="AF451" s="183"/>
      <c r="AG451" s="101" t="str">
        <f t="shared" si="90"/>
        <v/>
      </c>
      <c r="AH451" s="190">
        <v>1</v>
      </c>
      <c r="AI451" s="69">
        <f t="shared" si="83"/>
        <v>1</v>
      </c>
    </row>
    <row r="452" spans="1:35" s="69" customFormat="1" ht="49.5" customHeight="1" x14ac:dyDescent="0.3">
      <c r="A452" s="130" t="s">
        <v>1157</v>
      </c>
      <c r="B452" s="240" t="s">
        <v>1158</v>
      </c>
      <c r="C452" s="132" t="s">
        <v>30</v>
      </c>
      <c r="D452" s="133">
        <v>1698.29</v>
      </c>
      <c r="E452" s="75"/>
      <c r="F452" s="75"/>
      <c r="G452" s="75"/>
      <c r="H452" s="75"/>
      <c r="I452" s="75">
        <v>3662.23</v>
      </c>
      <c r="J452" s="75">
        <v>6219528.5899999999</v>
      </c>
      <c r="K452" s="91" t="s">
        <v>1159</v>
      </c>
      <c r="L452" s="73"/>
      <c r="M452" s="46">
        <v>1698.29</v>
      </c>
      <c r="N452" s="46">
        <v>0</v>
      </c>
      <c r="O452" s="46">
        <v>6219528.5899999999</v>
      </c>
      <c r="P452" s="98"/>
      <c r="Q452" s="23" t="s">
        <v>1421</v>
      </c>
      <c r="R452" s="24" t="s">
        <v>1158</v>
      </c>
      <c r="S452" s="25" t="s">
        <v>30</v>
      </c>
      <c r="T452" s="26">
        <v>1698.29</v>
      </c>
      <c r="U452" s="26">
        <v>1698.29</v>
      </c>
      <c r="V452" s="26">
        <v>3662.23</v>
      </c>
      <c r="W452" s="127">
        <f t="shared" ref="W452:W471" si="96">AH452-M452</f>
        <v>0</v>
      </c>
      <c r="X452" s="127">
        <f t="shared" si="78"/>
        <v>1698.29</v>
      </c>
      <c r="Y452" s="127">
        <f t="shared" ref="Y452:Y471" si="97">Z452-O452</f>
        <v>0</v>
      </c>
      <c r="Z452" s="127">
        <f t="shared" ref="Z452:Z471" si="98">ROUND(V452*X452,2)</f>
        <v>6219528.5899999999</v>
      </c>
      <c r="AA452" s="33" t="s">
        <v>15</v>
      </c>
      <c r="AB452" s="36" t="s">
        <v>16</v>
      </c>
      <c r="AC452" s="181">
        <f t="shared" si="89"/>
        <v>1698.29</v>
      </c>
      <c r="AD452" s="181">
        <f t="shared" ref="AD452:AD471" si="99">ROUND(V452*AC452,2)</f>
        <v>6219528.5899999999</v>
      </c>
      <c r="AE452" s="181">
        <v>5</v>
      </c>
      <c r="AF452" s="181">
        <v>5</v>
      </c>
      <c r="AG452" s="101" t="str">
        <f t="shared" si="90"/>
        <v/>
      </c>
      <c r="AH452" s="190">
        <v>1698.29</v>
      </c>
      <c r="AI452" s="69">
        <f t="shared" si="83"/>
        <v>1698.29</v>
      </c>
    </row>
    <row r="453" spans="1:35" s="69" customFormat="1" ht="49.5" x14ac:dyDescent="0.3">
      <c r="A453" s="130" t="s">
        <v>1160</v>
      </c>
      <c r="B453" s="240" t="s">
        <v>1161</v>
      </c>
      <c r="C453" s="132" t="s">
        <v>50</v>
      </c>
      <c r="D453" s="133">
        <v>2123.4</v>
      </c>
      <c r="E453" s="75"/>
      <c r="F453" s="75"/>
      <c r="G453" s="75"/>
      <c r="H453" s="75"/>
      <c r="I453" s="75">
        <v>353</v>
      </c>
      <c r="J453" s="75">
        <v>749560.2</v>
      </c>
      <c r="K453" s="91" t="s">
        <v>1162</v>
      </c>
      <c r="L453" s="73"/>
      <c r="M453" s="46">
        <v>2123.4</v>
      </c>
      <c r="N453" s="46">
        <v>0</v>
      </c>
      <c r="O453" s="46">
        <v>749560.2</v>
      </c>
      <c r="P453" s="98"/>
      <c r="Q453" s="23" t="s">
        <v>1426</v>
      </c>
      <c r="R453" s="24" t="s">
        <v>1161</v>
      </c>
      <c r="S453" s="25" t="s">
        <v>50</v>
      </c>
      <c r="T453" s="26">
        <v>2123.4</v>
      </c>
      <c r="U453" s="26">
        <v>2123.4</v>
      </c>
      <c r="V453" s="26">
        <v>353</v>
      </c>
      <c r="W453" s="127">
        <f t="shared" si="96"/>
        <v>0</v>
      </c>
      <c r="X453" s="127">
        <v>2123.4</v>
      </c>
      <c r="Y453" s="127">
        <f t="shared" si="97"/>
        <v>0</v>
      </c>
      <c r="Z453" s="127">
        <f t="shared" si="98"/>
        <v>749560.2</v>
      </c>
      <c r="AA453" s="33" t="s">
        <v>15</v>
      </c>
      <c r="AB453" s="36" t="s">
        <v>16</v>
      </c>
      <c r="AC453" s="181">
        <f t="shared" si="89"/>
        <v>2123.4</v>
      </c>
      <c r="AD453" s="181">
        <f t="shared" si="99"/>
        <v>749560.2</v>
      </c>
      <c r="AE453" s="181">
        <v>5</v>
      </c>
      <c r="AF453" s="181">
        <v>5</v>
      </c>
      <c r="AG453" s="101" t="str">
        <f t="shared" si="90"/>
        <v/>
      </c>
      <c r="AH453" s="190">
        <v>2123.4</v>
      </c>
      <c r="AI453" s="69">
        <f t="shared" si="83"/>
        <v>2123.4</v>
      </c>
    </row>
    <row r="454" spans="1:35" s="69" customFormat="1" ht="42" customHeight="1" x14ac:dyDescent="0.3">
      <c r="A454" s="130" t="s">
        <v>1163</v>
      </c>
      <c r="B454" s="240" t="s">
        <v>1164</v>
      </c>
      <c r="C454" s="132" t="s">
        <v>162</v>
      </c>
      <c r="D454" s="133">
        <v>59</v>
      </c>
      <c r="E454" s="75"/>
      <c r="F454" s="75"/>
      <c r="G454" s="75"/>
      <c r="H454" s="75"/>
      <c r="I454" s="75">
        <v>217.02</v>
      </c>
      <c r="J454" s="75">
        <v>12804.18</v>
      </c>
      <c r="K454" s="91" t="s">
        <v>1165</v>
      </c>
      <c r="L454" s="73"/>
      <c r="M454" s="46">
        <v>59</v>
      </c>
      <c r="N454" s="46">
        <v>0</v>
      </c>
      <c r="O454" s="46">
        <v>12804.18</v>
      </c>
      <c r="P454" s="98"/>
      <c r="Q454" s="23" t="s">
        <v>1402</v>
      </c>
      <c r="R454" s="24" t="s">
        <v>1164</v>
      </c>
      <c r="S454" s="25" t="s">
        <v>162</v>
      </c>
      <c r="T454" s="26">
        <v>59</v>
      </c>
      <c r="U454" s="26">
        <v>59</v>
      </c>
      <c r="V454" s="26">
        <v>217.02</v>
      </c>
      <c r="W454" s="127">
        <f t="shared" si="96"/>
        <v>0</v>
      </c>
      <c r="X454" s="127">
        <f t="shared" si="78"/>
        <v>59</v>
      </c>
      <c r="Y454" s="127">
        <f t="shared" si="97"/>
        <v>0</v>
      </c>
      <c r="Z454" s="127">
        <f t="shared" si="98"/>
        <v>12804.18</v>
      </c>
      <c r="AA454" s="33" t="s">
        <v>15</v>
      </c>
      <c r="AB454" s="36" t="s">
        <v>16</v>
      </c>
      <c r="AC454" s="181">
        <f t="shared" si="89"/>
        <v>59</v>
      </c>
      <c r="AD454" s="181">
        <f t="shared" si="99"/>
        <v>12804.18</v>
      </c>
      <c r="AE454" s="181">
        <v>5</v>
      </c>
      <c r="AF454" s="181">
        <v>5</v>
      </c>
      <c r="AG454" s="101" t="str">
        <f t="shared" si="90"/>
        <v/>
      </c>
      <c r="AH454" s="194">
        <v>59</v>
      </c>
      <c r="AI454" s="69">
        <f t="shared" si="83"/>
        <v>59</v>
      </c>
    </row>
    <row r="455" spans="1:35" s="69" customFormat="1" ht="26.1" customHeight="1" x14ac:dyDescent="0.3">
      <c r="A455" s="130" t="s">
        <v>1166</v>
      </c>
      <c r="B455" s="131" t="s">
        <v>1167</v>
      </c>
      <c r="C455" s="132" t="s">
        <v>559</v>
      </c>
      <c r="D455" s="133">
        <v>30</v>
      </c>
      <c r="E455" s="75"/>
      <c r="F455" s="75"/>
      <c r="G455" s="75"/>
      <c r="H455" s="75"/>
      <c r="I455" s="75">
        <v>50</v>
      </c>
      <c r="J455" s="75">
        <v>1500</v>
      </c>
      <c r="K455" s="91" t="s">
        <v>1168</v>
      </c>
      <c r="L455" s="73"/>
      <c r="M455" s="46">
        <v>30</v>
      </c>
      <c r="N455" s="46">
        <v>0</v>
      </c>
      <c r="O455" s="46">
        <v>1500</v>
      </c>
      <c r="P455" s="98"/>
      <c r="Q455" s="23" t="s">
        <v>1373</v>
      </c>
      <c r="R455" s="24" t="s">
        <v>1167</v>
      </c>
      <c r="S455" s="25" t="s">
        <v>559</v>
      </c>
      <c r="T455" s="26">
        <v>30</v>
      </c>
      <c r="U455" s="26">
        <v>30</v>
      </c>
      <c r="V455" s="26">
        <v>50</v>
      </c>
      <c r="W455" s="127">
        <f t="shared" si="96"/>
        <v>0</v>
      </c>
      <c r="X455" s="127">
        <f t="shared" si="78"/>
        <v>30</v>
      </c>
      <c r="Y455" s="127">
        <f t="shared" si="97"/>
        <v>0</v>
      </c>
      <c r="Z455" s="127">
        <f t="shared" si="98"/>
        <v>1500</v>
      </c>
      <c r="AA455" s="33" t="s">
        <v>15</v>
      </c>
      <c r="AB455" s="36" t="s">
        <v>16</v>
      </c>
      <c r="AC455" s="181">
        <f t="shared" si="89"/>
        <v>30</v>
      </c>
      <c r="AD455" s="181">
        <f t="shared" si="99"/>
        <v>1500</v>
      </c>
      <c r="AE455" s="181">
        <v>5</v>
      </c>
      <c r="AF455" s="181">
        <v>5</v>
      </c>
      <c r="AG455" s="101" t="str">
        <f t="shared" si="90"/>
        <v/>
      </c>
      <c r="AH455" s="194">
        <v>30</v>
      </c>
      <c r="AI455" s="69">
        <f t="shared" si="83"/>
        <v>30</v>
      </c>
    </row>
    <row r="456" spans="1:35" s="69" customFormat="1" ht="26.1" customHeight="1" x14ac:dyDescent="0.3">
      <c r="A456" s="130" t="s">
        <v>1169</v>
      </c>
      <c r="B456" s="131" t="s">
        <v>1170</v>
      </c>
      <c r="C456" s="132" t="s">
        <v>81</v>
      </c>
      <c r="D456" s="133">
        <v>9</v>
      </c>
      <c r="E456" s="75"/>
      <c r="F456" s="75"/>
      <c r="G456" s="75"/>
      <c r="H456" s="75"/>
      <c r="I456" s="75">
        <v>1900.97</v>
      </c>
      <c r="J456" s="75">
        <v>17108.73</v>
      </c>
      <c r="K456" s="91" t="s">
        <v>1171</v>
      </c>
      <c r="L456" s="73"/>
      <c r="M456" s="46">
        <v>9</v>
      </c>
      <c r="N456" s="46">
        <v>0</v>
      </c>
      <c r="O456" s="46">
        <v>17108.73</v>
      </c>
      <c r="P456" s="98"/>
      <c r="Q456" s="23" t="s">
        <v>1393</v>
      </c>
      <c r="R456" s="24" t="s">
        <v>1170</v>
      </c>
      <c r="S456" s="25" t="s">
        <v>81</v>
      </c>
      <c r="T456" s="26">
        <v>9</v>
      </c>
      <c r="U456" s="26">
        <v>9</v>
      </c>
      <c r="V456" s="26">
        <v>1900.97</v>
      </c>
      <c r="W456" s="127">
        <f t="shared" si="96"/>
        <v>0</v>
      </c>
      <c r="X456" s="127">
        <f t="shared" si="78"/>
        <v>9</v>
      </c>
      <c r="Y456" s="127">
        <f t="shared" si="97"/>
        <v>0</v>
      </c>
      <c r="Z456" s="127">
        <f t="shared" si="98"/>
        <v>17108.73</v>
      </c>
      <c r="AA456" s="33" t="s">
        <v>15</v>
      </c>
      <c r="AB456" s="36" t="s">
        <v>16</v>
      </c>
      <c r="AC456" s="181">
        <f t="shared" si="89"/>
        <v>9</v>
      </c>
      <c r="AD456" s="181">
        <f t="shared" si="99"/>
        <v>17108.73</v>
      </c>
      <c r="AE456" s="181">
        <v>5</v>
      </c>
      <c r="AF456" s="181">
        <v>5</v>
      </c>
      <c r="AG456" s="101" t="str">
        <f t="shared" si="90"/>
        <v/>
      </c>
      <c r="AH456" s="190">
        <v>9</v>
      </c>
      <c r="AI456" s="69">
        <f t="shared" si="83"/>
        <v>9</v>
      </c>
    </row>
    <row r="457" spans="1:35" s="69" customFormat="1" ht="26.1" customHeight="1" x14ac:dyDescent="0.3">
      <c r="A457" s="130" t="s">
        <v>1172</v>
      </c>
      <c r="B457" s="131" t="s">
        <v>1173</v>
      </c>
      <c r="C457" s="132" t="s">
        <v>81</v>
      </c>
      <c r="D457" s="133">
        <v>5</v>
      </c>
      <c r="E457" s="75"/>
      <c r="F457" s="75"/>
      <c r="G457" s="75"/>
      <c r="H457" s="75"/>
      <c r="I457" s="75">
        <v>1230.75</v>
      </c>
      <c r="J457" s="75">
        <v>6153.75</v>
      </c>
      <c r="K457" s="91" t="s">
        <v>1174</v>
      </c>
      <c r="L457" s="73"/>
      <c r="M457" s="46">
        <v>5</v>
      </c>
      <c r="N457" s="46">
        <v>0</v>
      </c>
      <c r="O457" s="46">
        <v>6153.75</v>
      </c>
      <c r="P457" s="98"/>
      <c r="Q457" s="23" t="s">
        <v>1403</v>
      </c>
      <c r="R457" s="24" t="s">
        <v>1173</v>
      </c>
      <c r="S457" s="25" t="s">
        <v>81</v>
      </c>
      <c r="T457" s="26">
        <v>5</v>
      </c>
      <c r="U457" s="26">
        <v>5</v>
      </c>
      <c r="V457" s="26">
        <v>1230.75</v>
      </c>
      <c r="W457" s="127">
        <f t="shared" si="96"/>
        <v>0</v>
      </c>
      <c r="X457" s="127">
        <f t="shared" si="78"/>
        <v>5</v>
      </c>
      <c r="Y457" s="127">
        <f t="shared" si="97"/>
        <v>0</v>
      </c>
      <c r="Z457" s="127">
        <f t="shared" si="98"/>
        <v>6153.75</v>
      </c>
      <c r="AA457" s="33" t="s">
        <v>15</v>
      </c>
      <c r="AB457" s="36" t="s">
        <v>16</v>
      </c>
      <c r="AC457" s="181">
        <f t="shared" si="89"/>
        <v>5</v>
      </c>
      <c r="AD457" s="181">
        <f t="shared" si="99"/>
        <v>6153.75</v>
      </c>
      <c r="AE457" s="181">
        <v>5</v>
      </c>
      <c r="AF457" s="181">
        <v>5</v>
      </c>
      <c r="AG457" s="101" t="str">
        <f t="shared" si="90"/>
        <v/>
      </c>
      <c r="AH457" s="190">
        <v>5</v>
      </c>
      <c r="AI457" s="69">
        <f t="shared" si="83"/>
        <v>5</v>
      </c>
    </row>
    <row r="458" spans="1:35" s="69" customFormat="1" ht="33" x14ac:dyDescent="0.3">
      <c r="A458" s="55" t="s">
        <v>1175</v>
      </c>
      <c r="B458" s="53" t="s">
        <v>1176</v>
      </c>
      <c r="C458" s="54" t="s">
        <v>81</v>
      </c>
      <c r="D458" s="75">
        <v>756</v>
      </c>
      <c r="E458" s="75"/>
      <c r="F458" s="75"/>
      <c r="G458" s="75"/>
      <c r="H458" s="75"/>
      <c r="I458" s="75">
        <v>1666.11</v>
      </c>
      <c r="J458" s="75">
        <v>1259579.1599999999</v>
      </c>
      <c r="K458" s="91" t="s">
        <v>1177</v>
      </c>
      <c r="L458" s="73"/>
      <c r="M458" s="46">
        <v>571</v>
      </c>
      <c r="N458" s="46">
        <v>36654.420000000042</v>
      </c>
      <c r="O458" s="46">
        <v>951348.81</v>
      </c>
      <c r="P458" s="98"/>
      <c r="Q458" s="23" t="s">
        <v>1427</v>
      </c>
      <c r="R458" s="24" t="s">
        <v>1176</v>
      </c>
      <c r="S458" s="25" t="s">
        <v>81</v>
      </c>
      <c r="T458" s="26">
        <v>756</v>
      </c>
      <c r="U458" s="26">
        <v>756</v>
      </c>
      <c r="V458" s="26">
        <v>1666.11</v>
      </c>
      <c r="W458" s="243">
        <f t="shared" si="96"/>
        <v>52</v>
      </c>
      <c r="X458" s="26">
        <f t="shared" si="78"/>
        <v>623</v>
      </c>
      <c r="Y458" s="26">
        <f t="shared" si="97"/>
        <v>86637.719999999972</v>
      </c>
      <c r="Z458" s="26">
        <f t="shared" si="98"/>
        <v>1037986.53</v>
      </c>
      <c r="AA458" s="33" t="s">
        <v>15</v>
      </c>
      <c r="AB458" s="36" t="s">
        <v>16</v>
      </c>
      <c r="AC458" s="181">
        <f t="shared" si="89"/>
        <v>756</v>
      </c>
      <c r="AD458" s="181">
        <f t="shared" si="99"/>
        <v>1259579.1599999999</v>
      </c>
      <c r="AE458" s="181">
        <v>5</v>
      </c>
      <c r="AF458" s="181">
        <v>5</v>
      </c>
      <c r="AG458" s="101" t="str">
        <f t="shared" si="90"/>
        <v/>
      </c>
      <c r="AH458" s="191">
        <f>471+52+26+22+52</f>
        <v>623</v>
      </c>
      <c r="AI458" s="69">
        <f t="shared" si="83"/>
        <v>756</v>
      </c>
    </row>
    <row r="459" spans="1:35" s="69" customFormat="1" ht="49.5" customHeight="1" x14ac:dyDescent="0.3">
      <c r="A459" s="130" t="s">
        <v>1178</v>
      </c>
      <c r="B459" s="240" t="s">
        <v>1179</v>
      </c>
      <c r="C459" s="132" t="s">
        <v>81</v>
      </c>
      <c r="D459" s="133">
        <v>2</v>
      </c>
      <c r="E459" s="75"/>
      <c r="F459" s="75"/>
      <c r="G459" s="75"/>
      <c r="H459" s="75"/>
      <c r="I459" s="75">
        <v>48513</v>
      </c>
      <c r="J459" s="75">
        <v>97026</v>
      </c>
      <c r="K459" s="91" t="s">
        <v>1180</v>
      </c>
      <c r="L459" s="73"/>
      <c r="M459" s="46">
        <v>2</v>
      </c>
      <c r="N459" s="46">
        <v>0</v>
      </c>
      <c r="O459" s="46">
        <v>97026</v>
      </c>
      <c r="P459" s="98"/>
      <c r="Q459" s="23" t="s">
        <v>1428</v>
      </c>
      <c r="R459" s="24" t="s">
        <v>1179</v>
      </c>
      <c r="S459" s="25" t="s">
        <v>81</v>
      </c>
      <c r="T459" s="26">
        <v>2</v>
      </c>
      <c r="U459" s="26">
        <v>2</v>
      </c>
      <c r="V459" s="26">
        <v>48513</v>
      </c>
      <c r="W459" s="127">
        <f t="shared" si="96"/>
        <v>0</v>
      </c>
      <c r="X459" s="127">
        <v>2</v>
      </c>
      <c r="Y459" s="127">
        <f t="shared" si="97"/>
        <v>0</v>
      </c>
      <c r="Z459" s="127">
        <f t="shared" si="98"/>
        <v>97026</v>
      </c>
      <c r="AA459" s="33" t="s">
        <v>15</v>
      </c>
      <c r="AB459" s="36" t="s">
        <v>16</v>
      </c>
      <c r="AC459" s="181">
        <f t="shared" si="89"/>
        <v>2</v>
      </c>
      <c r="AD459" s="181">
        <f t="shared" si="99"/>
        <v>97026</v>
      </c>
      <c r="AE459" s="181">
        <v>5</v>
      </c>
      <c r="AF459" s="181">
        <v>5</v>
      </c>
      <c r="AG459" s="101" t="str">
        <f t="shared" si="90"/>
        <v/>
      </c>
      <c r="AH459" s="190">
        <v>2</v>
      </c>
      <c r="AI459" s="69">
        <f t="shared" si="83"/>
        <v>2</v>
      </c>
    </row>
    <row r="460" spans="1:35" s="69" customFormat="1" ht="41.25" x14ac:dyDescent="0.3">
      <c r="A460" s="130" t="s">
        <v>1181</v>
      </c>
      <c r="B460" s="131" t="s">
        <v>1182</v>
      </c>
      <c r="C460" s="132" t="s">
        <v>1183</v>
      </c>
      <c r="D460" s="133">
        <v>18</v>
      </c>
      <c r="E460" s="75">
        <v>38</v>
      </c>
      <c r="F460" s="75"/>
      <c r="G460" s="75"/>
      <c r="H460" s="75"/>
      <c r="I460" s="75">
        <v>587.1</v>
      </c>
      <c r="J460" s="75">
        <v>22309.8</v>
      </c>
      <c r="K460" s="91" t="s">
        <v>1184</v>
      </c>
      <c r="L460" s="73"/>
      <c r="M460" s="46">
        <v>38</v>
      </c>
      <c r="N460" s="46">
        <v>0</v>
      </c>
      <c r="O460" s="46">
        <v>22309.8</v>
      </c>
      <c r="P460" s="98"/>
      <c r="Q460" s="23" t="s">
        <v>1387</v>
      </c>
      <c r="R460" s="24" t="s">
        <v>1182</v>
      </c>
      <c r="S460" s="25" t="s">
        <v>1183</v>
      </c>
      <c r="T460" s="26">
        <v>18</v>
      </c>
      <c r="U460" s="26">
        <v>38</v>
      </c>
      <c r="V460" s="26">
        <v>587.1</v>
      </c>
      <c r="W460" s="127">
        <f t="shared" si="96"/>
        <v>0</v>
      </c>
      <c r="X460" s="127">
        <f t="shared" ref="X460:X494" si="100">W460+M460</f>
        <v>38</v>
      </c>
      <c r="Y460" s="127">
        <f t="shared" si="97"/>
        <v>0</v>
      </c>
      <c r="Z460" s="127">
        <f t="shared" si="98"/>
        <v>22309.8</v>
      </c>
      <c r="AA460" s="27" t="s">
        <v>15</v>
      </c>
      <c r="AB460" s="36" t="s">
        <v>16</v>
      </c>
      <c r="AC460" s="181">
        <f t="shared" si="89"/>
        <v>38</v>
      </c>
      <c r="AD460" s="181">
        <f t="shared" si="99"/>
        <v>22309.8</v>
      </c>
      <c r="AE460" s="181">
        <v>5</v>
      </c>
      <c r="AF460" s="181">
        <v>5</v>
      </c>
      <c r="AG460" s="101" t="str">
        <f t="shared" si="90"/>
        <v/>
      </c>
      <c r="AH460" s="194">
        <v>38</v>
      </c>
      <c r="AI460" s="69">
        <f t="shared" ref="AI460:AI503" si="101">IF(G460=0,IF(F460=0,IF(E460=0,D460,E460),F460),G460)</f>
        <v>38</v>
      </c>
    </row>
    <row r="461" spans="1:35" s="69" customFormat="1" ht="49.5" customHeight="1" x14ac:dyDescent="0.3">
      <c r="A461" s="55" t="s">
        <v>1185</v>
      </c>
      <c r="B461" s="53" t="s">
        <v>1186</v>
      </c>
      <c r="C461" s="54" t="s">
        <v>162</v>
      </c>
      <c r="D461" s="75">
        <v>9</v>
      </c>
      <c r="E461" s="75"/>
      <c r="F461" s="75"/>
      <c r="G461" s="75"/>
      <c r="H461" s="75"/>
      <c r="I461" s="75">
        <v>664.14</v>
      </c>
      <c r="J461" s="75">
        <v>5977.26</v>
      </c>
      <c r="K461" s="91" t="s">
        <v>1187</v>
      </c>
      <c r="L461" s="73"/>
      <c r="M461" s="46">
        <v>0</v>
      </c>
      <c r="N461" s="46">
        <v>0</v>
      </c>
      <c r="O461" s="46">
        <v>0</v>
      </c>
      <c r="P461" s="98"/>
      <c r="Q461" s="23" t="s">
        <v>1405</v>
      </c>
      <c r="R461" s="24" t="s">
        <v>1186</v>
      </c>
      <c r="S461" s="25" t="s">
        <v>162</v>
      </c>
      <c r="T461" s="26">
        <v>9</v>
      </c>
      <c r="U461" s="26">
        <v>9</v>
      </c>
      <c r="V461" s="26">
        <v>664.14</v>
      </c>
      <c r="W461" s="26">
        <f t="shared" si="96"/>
        <v>0</v>
      </c>
      <c r="X461" s="26">
        <f t="shared" si="100"/>
        <v>0</v>
      </c>
      <c r="Y461" s="26">
        <f t="shared" si="97"/>
        <v>0</v>
      </c>
      <c r="Z461" s="26">
        <f t="shared" si="98"/>
        <v>0</v>
      </c>
      <c r="AA461" s="33" t="s">
        <v>15</v>
      </c>
      <c r="AB461" s="36" t="s">
        <v>16</v>
      </c>
      <c r="AC461" s="181">
        <f t="shared" si="89"/>
        <v>9</v>
      </c>
      <c r="AD461" s="181">
        <f t="shared" si="99"/>
        <v>5977.26</v>
      </c>
      <c r="AE461" s="181">
        <v>5</v>
      </c>
      <c r="AF461" s="181">
        <v>5</v>
      </c>
      <c r="AG461" s="101" t="str">
        <f t="shared" si="90"/>
        <v/>
      </c>
      <c r="AH461" s="190">
        <v>0</v>
      </c>
      <c r="AI461" s="69">
        <f t="shared" si="101"/>
        <v>9</v>
      </c>
    </row>
    <row r="462" spans="1:35" s="69" customFormat="1" ht="39" x14ac:dyDescent="0.3">
      <c r="A462" s="55" t="s">
        <v>1188</v>
      </c>
      <c r="B462" s="53" t="s">
        <v>1189</v>
      </c>
      <c r="C462" s="54" t="s">
        <v>81</v>
      </c>
      <c r="D462" s="75">
        <v>68</v>
      </c>
      <c r="E462" s="75"/>
      <c r="F462" s="75"/>
      <c r="G462" s="75"/>
      <c r="H462" s="75"/>
      <c r="I462" s="75">
        <v>847.07</v>
      </c>
      <c r="J462" s="75">
        <v>57600.76</v>
      </c>
      <c r="K462" s="91" t="s">
        <v>1190</v>
      </c>
      <c r="L462" s="73"/>
      <c r="M462" s="46">
        <v>40</v>
      </c>
      <c r="N462" s="46">
        <v>0</v>
      </c>
      <c r="O462" s="46">
        <v>33882.800000000003</v>
      </c>
      <c r="P462" s="98"/>
      <c r="Q462" s="23" t="s">
        <v>1406</v>
      </c>
      <c r="R462" s="24" t="s">
        <v>1189</v>
      </c>
      <c r="S462" s="25" t="s">
        <v>81</v>
      </c>
      <c r="T462" s="26">
        <v>68</v>
      </c>
      <c r="U462" s="26">
        <v>68</v>
      </c>
      <c r="V462" s="26">
        <v>847.07</v>
      </c>
      <c r="W462" s="128">
        <f t="shared" si="96"/>
        <v>0</v>
      </c>
      <c r="X462" s="26">
        <f t="shared" si="100"/>
        <v>40</v>
      </c>
      <c r="Y462" s="26">
        <f t="shared" si="97"/>
        <v>0</v>
      </c>
      <c r="Z462" s="26">
        <f t="shared" si="98"/>
        <v>33882.800000000003</v>
      </c>
      <c r="AA462" s="33" t="s">
        <v>15</v>
      </c>
      <c r="AB462" s="36" t="s">
        <v>16</v>
      </c>
      <c r="AC462" s="181">
        <f t="shared" si="89"/>
        <v>68</v>
      </c>
      <c r="AD462" s="181">
        <f t="shared" si="99"/>
        <v>57600.76</v>
      </c>
      <c r="AE462" s="181">
        <v>5</v>
      </c>
      <c r="AF462" s="181">
        <v>5</v>
      </c>
      <c r="AG462" s="101" t="str">
        <f t="shared" si="90"/>
        <v/>
      </c>
      <c r="AH462" s="190">
        <v>40</v>
      </c>
      <c r="AI462" s="69">
        <f t="shared" si="101"/>
        <v>68</v>
      </c>
    </row>
    <row r="463" spans="1:35" s="69" customFormat="1" ht="41.25" x14ac:dyDescent="0.3">
      <c r="A463" s="130" t="s">
        <v>1191</v>
      </c>
      <c r="B463" s="131" t="s">
        <v>1192</v>
      </c>
      <c r="C463" s="132" t="s">
        <v>30</v>
      </c>
      <c r="D463" s="133">
        <v>27.54</v>
      </c>
      <c r="E463" s="75"/>
      <c r="F463" s="75">
        <v>87.54</v>
      </c>
      <c r="G463" s="75"/>
      <c r="H463" s="75"/>
      <c r="I463" s="75">
        <v>293.74</v>
      </c>
      <c r="J463" s="75">
        <v>25714</v>
      </c>
      <c r="K463" s="91" t="s">
        <v>1193</v>
      </c>
      <c r="L463" s="73"/>
      <c r="M463" s="46">
        <v>87.54</v>
      </c>
      <c r="N463" s="46">
        <v>0</v>
      </c>
      <c r="O463" s="46">
        <v>25714</v>
      </c>
      <c r="P463" s="98"/>
      <c r="Q463" s="23" t="s">
        <v>1414</v>
      </c>
      <c r="R463" s="24" t="s">
        <v>1192</v>
      </c>
      <c r="S463" s="25" t="s">
        <v>30</v>
      </c>
      <c r="T463" s="26">
        <v>27.54</v>
      </c>
      <c r="U463" s="26">
        <v>87.54</v>
      </c>
      <c r="V463" s="26">
        <v>293.74</v>
      </c>
      <c r="W463" s="127">
        <f t="shared" si="96"/>
        <v>0</v>
      </c>
      <c r="X463" s="127">
        <f t="shared" si="100"/>
        <v>87.54</v>
      </c>
      <c r="Y463" s="127">
        <f t="shared" si="97"/>
        <v>0</v>
      </c>
      <c r="Z463" s="127">
        <f t="shared" si="98"/>
        <v>25714</v>
      </c>
      <c r="AA463" s="27" t="s">
        <v>15</v>
      </c>
      <c r="AB463" s="36" t="s">
        <v>16</v>
      </c>
      <c r="AC463" s="181">
        <f t="shared" si="89"/>
        <v>87.54</v>
      </c>
      <c r="AD463" s="181">
        <f t="shared" si="99"/>
        <v>25714</v>
      </c>
      <c r="AE463" s="181">
        <v>5</v>
      </c>
      <c r="AF463" s="181">
        <v>5</v>
      </c>
      <c r="AG463" s="101" t="str">
        <f t="shared" si="90"/>
        <v/>
      </c>
      <c r="AH463" s="190">
        <v>87.54</v>
      </c>
      <c r="AI463" s="69">
        <f t="shared" si="101"/>
        <v>87.54</v>
      </c>
    </row>
    <row r="464" spans="1:35" s="69" customFormat="1" ht="33" customHeight="1" x14ac:dyDescent="0.3">
      <c r="A464" s="130" t="s">
        <v>1194</v>
      </c>
      <c r="B464" s="131" t="s">
        <v>1195</v>
      </c>
      <c r="C464" s="132" t="s">
        <v>1196</v>
      </c>
      <c r="D464" s="133">
        <v>2</v>
      </c>
      <c r="E464" s="75"/>
      <c r="F464" s="75"/>
      <c r="G464" s="75"/>
      <c r="H464" s="75"/>
      <c r="I464" s="75">
        <v>10000</v>
      </c>
      <c r="J464" s="75">
        <v>20000</v>
      </c>
      <c r="K464" s="91" t="s">
        <v>1197</v>
      </c>
      <c r="L464" s="73"/>
      <c r="M464" s="46">
        <v>2</v>
      </c>
      <c r="N464" s="46">
        <v>0</v>
      </c>
      <c r="O464" s="46">
        <v>20000</v>
      </c>
      <c r="P464" s="98"/>
      <c r="Q464" s="23" t="s">
        <v>1429</v>
      </c>
      <c r="R464" s="24" t="s">
        <v>1195</v>
      </c>
      <c r="S464" s="25" t="s">
        <v>1196</v>
      </c>
      <c r="T464" s="26">
        <v>2</v>
      </c>
      <c r="U464" s="26">
        <v>2</v>
      </c>
      <c r="V464" s="26">
        <v>10000</v>
      </c>
      <c r="W464" s="127">
        <f t="shared" si="96"/>
        <v>0</v>
      </c>
      <c r="X464" s="127">
        <f t="shared" si="100"/>
        <v>2</v>
      </c>
      <c r="Y464" s="127">
        <f t="shared" si="97"/>
        <v>0</v>
      </c>
      <c r="Z464" s="127">
        <f t="shared" si="98"/>
        <v>20000</v>
      </c>
      <c r="AA464" s="33" t="s">
        <v>15</v>
      </c>
      <c r="AB464" s="36" t="s">
        <v>16</v>
      </c>
      <c r="AC464" s="181">
        <f t="shared" si="89"/>
        <v>2</v>
      </c>
      <c r="AD464" s="181">
        <f t="shared" si="99"/>
        <v>20000</v>
      </c>
      <c r="AE464" s="181">
        <v>5</v>
      </c>
      <c r="AF464" s="181">
        <v>5</v>
      </c>
      <c r="AG464" s="101" t="str">
        <f t="shared" si="90"/>
        <v/>
      </c>
      <c r="AH464" s="190">
        <v>2</v>
      </c>
      <c r="AI464" s="69">
        <f t="shared" si="101"/>
        <v>2</v>
      </c>
    </row>
    <row r="465" spans="1:35" s="69" customFormat="1" ht="33" customHeight="1" x14ac:dyDescent="0.3">
      <c r="A465" s="55" t="s">
        <v>1198</v>
      </c>
      <c r="B465" s="53" t="s">
        <v>1199</v>
      </c>
      <c r="C465" s="54" t="s">
        <v>30</v>
      </c>
      <c r="D465" s="75">
        <v>1064.31</v>
      </c>
      <c r="E465" s="75"/>
      <c r="F465" s="75"/>
      <c r="G465" s="75"/>
      <c r="H465" s="75"/>
      <c r="I465" s="75">
        <v>210</v>
      </c>
      <c r="J465" s="75">
        <v>223505.1</v>
      </c>
      <c r="K465" s="91" t="s">
        <v>1200</v>
      </c>
      <c r="L465" s="73"/>
      <c r="M465" s="46">
        <v>955</v>
      </c>
      <c r="N465" s="46">
        <v>0</v>
      </c>
      <c r="O465" s="46">
        <v>200550</v>
      </c>
      <c r="P465" s="98"/>
      <c r="Q465" s="23" t="s">
        <v>1430</v>
      </c>
      <c r="R465" s="24" t="s">
        <v>1199</v>
      </c>
      <c r="S465" s="25" t="s">
        <v>30</v>
      </c>
      <c r="T465" s="26">
        <v>1064.31</v>
      </c>
      <c r="U465" s="26">
        <v>1064.31</v>
      </c>
      <c r="V465" s="26">
        <v>210</v>
      </c>
      <c r="W465" s="128">
        <f t="shared" si="96"/>
        <v>0</v>
      </c>
      <c r="X465" s="26">
        <f t="shared" si="100"/>
        <v>955</v>
      </c>
      <c r="Y465" s="26">
        <f t="shared" si="97"/>
        <v>0</v>
      </c>
      <c r="Z465" s="26">
        <f t="shared" si="98"/>
        <v>200550</v>
      </c>
      <c r="AA465" s="33" t="s">
        <v>15</v>
      </c>
      <c r="AB465" s="36" t="s">
        <v>16</v>
      </c>
      <c r="AC465" s="181">
        <f t="shared" si="89"/>
        <v>1064.31</v>
      </c>
      <c r="AD465" s="181">
        <f t="shared" si="99"/>
        <v>223505.1</v>
      </c>
      <c r="AE465" s="181">
        <v>5</v>
      </c>
      <c r="AF465" s="181">
        <v>5</v>
      </c>
      <c r="AG465" s="101" t="str">
        <f t="shared" si="90"/>
        <v/>
      </c>
      <c r="AH465" s="191">
        <f>845+110</f>
        <v>955</v>
      </c>
      <c r="AI465" s="69">
        <f t="shared" si="101"/>
        <v>1064.31</v>
      </c>
    </row>
    <row r="466" spans="1:35" s="69" customFormat="1" ht="33" x14ac:dyDescent="0.3">
      <c r="A466" s="55" t="s">
        <v>1201</v>
      </c>
      <c r="B466" s="53" t="s">
        <v>1202</v>
      </c>
      <c r="C466" s="54" t="s">
        <v>30</v>
      </c>
      <c r="D466" s="75">
        <v>1910.54</v>
      </c>
      <c r="E466" s="75"/>
      <c r="F466" s="75"/>
      <c r="G466" s="75"/>
      <c r="H466" s="75"/>
      <c r="I466" s="75">
        <v>300</v>
      </c>
      <c r="J466" s="75">
        <v>573162</v>
      </c>
      <c r="K466" s="91" t="s">
        <v>1203</v>
      </c>
      <c r="L466" s="73"/>
      <c r="M466" s="46">
        <v>1242</v>
      </c>
      <c r="N466" s="46">
        <v>0</v>
      </c>
      <c r="O466" s="46">
        <v>372600</v>
      </c>
      <c r="P466" s="98"/>
      <c r="Q466" s="23" t="s">
        <v>1431</v>
      </c>
      <c r="R466" s="24" t="s">
        <v>1202</v>
      </c>
      <c r="S466" s="25" t="s">
        <v>30</v>
      </c>
      <c r="T466" s="26">
        <v>1910.54</v>
      </c>
      <c r="U466" s="26">
        <v>1910.54</v>
      </c>
      <c r="V466" s="26">
        <v>300</v>
      </c>
      <c r="W466" s="243">
        <f t="shared" si="96"/>
        <v>265.29999999999995</v>
      </c>
      <c r="X466" s="26">
        <f t="shared" si="100"/>
        <v>1507.3</v>
      </c>
      <c r="Y466" s="26">
        <f t="shared" si="97"/>
        <v>79590</v>
      </c>
      <c r="Z466" s="26">
        <f t="shared" si="98"/>
        <v>452190</v>
      </c>
      <c r="AA466" s="33" t="s">
        <v>15</v>
      </c>
      <c r="AB466" s="36" t="s">
        <v>16</v>
      </c>
      <c r="AC466" s="181">
        <f t="shared" si="89"/>
        <v>1910.54</v>
      </c>
      <c r="AD466" s="181">
        <f t="shared" si="99"/>
        <v>573162</v>
      </c>
      <c r="AE466" s="181">
        <v>5</v>
      </c>
      <c r="AF466" s="181">
        <v>5</v>
      </c>
      <c r="AG466" s="101" t="str">
        <f t="shared" si="90"/>
        <v/>
      </c>
      <c r="AH466" s="191">
        <f>1106+136+265.3</f>
        <v>1507.3</v>
      </c>
      <c r="AI466" s="69">
        <f t="shared" si="101"/>
        <v>1910.54</v>
      </c>
    </row>
    <row r="467" spans="1:35" s="69" customFormat="1" ht="33" x14ac:dyDescent="0.3">
      <c r="A467" s="55" t="s">
        <v>1204</v>
      </c>
      <c r="B467" s="53" t="s">
        <v>1205</v>
      </c>
      <c r="C467" s="54" t="s">
        <v>30</v>
      </c>
      <c r="D467" s="75">
        <v>2738.45</v>
      </c>
      <c r="E467" s="75"/>
      <c r="F467" s="75"/>
      <c r="G467" s="75"/>
      <c r="H467" s="75"/>
      <c r="I467" s="75">
        <v>200</v>
      </c>
      <c r="J467" s="75">
        <v>547690</v>
      </c>
      <c r="K467" s="91" t="s">
        <v>1206</v>
      </c>
      <c r="L467" s="73"/>
      <c r="M467" s="46">
        <v>1906.7</v>
      </c>
      <c r="N467" s="46">
        <v>24240</v>
      </c>
      <c r="O467" s="46">
        <v>381340</v>
      </c>
      <c r="P467" s="98"/>
      <c r="Q467" s="23" t="s">
        <v>1395</v>
      </c>
      <c r="R467" s="24" t="s">
        <v>1205</v>
      </c>
      <c r="S467" s="25" t="s">
        <v>30</v>
      </c>
      <c r="T467" s="26">
        <v>2738.45</v>
      </c>
      <c r="U467" s="26">
        <v>2738.45</v>
      </c>
      <c r="V467" s="26">
        <v>200</v>
      </c>
      <c r="W467" s="243">
        <f t="shared" si="96"/>
        <v>215.79999999999995</v>
      </c>
      <c r="X467" s="26">
        <f t="shared" si="100"/>
        <v>2122.5</v>
      </c>
      <c r="Y467" s="26">
        <f t="shared" si="97"/>
        <v>43160</v>
      </c>
      <c r="Z467" s="26">
        <f t="shared" si="98"/>
        <v>424500</v>
      </c>
      <c r="AA467" s="33" t="s">
        <v>15</v>
      </c>
      <c r="AB467" s="36" t="s">
        <v>16</v>
      </c>
      <c r="AC467" s="181">
        <f t="shared" si="89"/>
        <v>2738.45</v>
      </c>
      <c r="AD467" s="181">
        <f t="shared" si="99"/>
        <v>547690</v>
      </c>
      <c r="AE467" s="181">
        <v>5</v>
      </c>
      <c r="AF467" s="181">
        <v>5</v>
      </c>
      <c r="AG467" s="101" t="str">
        <f t="shared" si="90"/>
        <v/>
      </c>
      <c r="AH467" s="191">
        <f>1256.3+192+337.2+121.2+215.8</f>
        <v>2122.5</v>
      </c>
      <c r="AI467" s="69">
        <f t="shared" si="101"/>
        <v>2738.45</v>
      </c>
    </row>
    <row r="468" spans="1:35" s="69" customFormat="1" ht="33" customHeight="1" x14ac:dyDescent="0.3">
      <c r="A468" s="55" t="s">
        <v>1207</v>
      </c>
      <c r="B468" s="53" t="s">
        <v>1208</v>
      </c>
      <c r="C468" s="54" t="s">
        <v>14</v>
      </c>
      <c r="D468" s="75">
        <v>1</v>
      </c>
      <c r="E468" s="75"/>
      <c r="F468" s="76"/>
      <c r="G468" s="76"/>
      <c r="H468" s="76"/>
      <c r="I468" s="75">
        <v>21460.9</v>
      </c>
      <c r="J468" s="75">
        <v>21460.9</v>
      </c>
      <c r="K468" s="91" t="s">
        <v>1209</v>
      </c>
      <c r="L468" s="73"/>
      <c r="M468" s="46">
        <v>0</v>
      </c>
      <c r="N468" s="46">
        <v>0</v>
      </c>
      <c r="O468" s="46">
        <v>0</v>
      </c>
      <c r="P468" s="98"/>
      <c r="Q468" s="23" t="s">
        <v>1432</v>
      </c>
      <c r="R468" s="24" t="s">
        <v>1208</v>
      </c>
      <c r="S468" s="25" t="s">
        <v>14</v>
      </c>
      <c r="T468" s="26">
        <v>1</v>
      </c>
      <c r="U468" s="26">
        <v>1</v>
      </c>
      <c r="V468" s="26">
        <v>21460.9</v>
      </c>
      <c r="W468" s="26">
        <f t="shared" si="96"/>
        <v>0</v>
      </c>
      <c r="X468" s="26">
        <f t="shared" si="100"/>
        <v>0</v>
      </c>
      <c r="Y468" s="136">
        <f t="shared" si="97"/>
        <v>0</v>
      </c>
      <c r="Z468" s="26">
        <f t="shared" si="98"/>
        <v>0</v>
      </c>
      <c r="AA468" s="33" t="s">
        <v>15</v>
      </c>
      <c r="AB468" s="36" t="s">
        <v>16</v>
      </c>
      <c r="AC468" s="181">
        <f t="shared" si="89"/>
        <v>1</v>
      </c>
      <c r="AD468" s="181">
        <f t="shared" si="99"/>
        <v>21460.9</v>
      </c>
      <c r="AE468" s="181">
        <v>5</v>
      </c>
      <c r="AF468" s="181">
        <v>5</v>
      </c>
      <c r="AG468" s="101" t="str">
        <f t="shared" si="90"/>
        <v/>
      </c>
      <c r="AH468" s="190">
        <v>0</v>
      </c>
      <c r="AI468" s="69">
        <f t="shared" si="101"/>
        <v>1</v>
      </c>
    </row>
    <row r="469" spans="1:35" s="69" customFormat="1" ht="39" x14ac:dyDescent="0.3">
      <c r="A469" s="251">
        <v>5.18</v>
      </c>
      <c r="B469" s="252" t="s">
        <v>1356</v>
      </c>
      <c r="C469" s="157" t="s">
        <v>97</v>
      </c>
      <c r="D469" s="253"/>
      <c r="E469" s="59">
        <v>720</v>
      </c>
      <c r="F469" s="180"/>
      <c r="G469" s="180"/>
      <c r="H469" s="180"/>
      <c r="I469" s="178">
        <v>273.11</v>
      </c>
      <c r="J469" s="59">
        <v>196639.2</v>
      </c>
      <c r="K469" s="92"/>
      <c r="L469" s="73"/>
      <c r="M469" s="46">
        <v>640</v>
      </c>
      <c r="N469" s="46">
        <v>0</v>
      </c>
      <c r="O469" s="46">
        <v>174790.39999999999</v>
      </c>
      <c r="P469" s="98"/>
      <c r="Q469" s="23" t="s">
        <v>1433</v>
      </c>
      <c r="R469" s="24" t="s">
        <v>1503</v>
      </c>
      <c r="S469" s="25" t="s">
        <v>97</v>
      </c>
      <c r="T469" s="26">
        <v>0</v>
      </c>
      <c r="U469" s="26">
        <v>720</v>
      </c>
      <c r="V469" s="26">
        <v>273.11</v>
      </c>
      <c r="W469" s="128">
        <f t="shared" si="96"/>
        <v>0</v>
      </c>
      <c r="X469" s="26">
        <f t="shared" si="100"/>
        <v>640</v>
      </c>
      <c r="Y469" s="26">
        <f t="shared" si="97"/>
        <v>0</v>
      </c>
      <c r="Z469" s="26">
        <f t="shared" si="98"/>
        <v>174790.39999999999</v>
      </c>
      <c r="AA469" s="27"/>
      <c r="AB469" s="36" t="s">
        <v>16</v>
      </c>
      <c r="AC469" s="181">
        <f t="shared" si="89"/>
        <v>720</v>
      </c>
      <c r="AD469" s="181">
        <f t="shared" si="99"/>
        <v>196639.2</v>
      </c>
      <c r="AE469" s="181">
        <v>5</v>
      </c>
      <c r="AF469" s="181">
        <v>5</v>
      </c>
      <c r="AG469" s="101" t="str">
        <f t="shared" si="90"/>
        <v/>
      </c>
      <c r="AH469" s="191">
        <v>640</v>
      </c>
      <c r="AI469" s="69">
        <f t="shared" si="101"/>
        <v>720</v>
      </c>
    </row>
    <row r="470" spans="1:35" s="69" customFormat="1" ht="39" x14ac:dyDescent="0.3">
      <c r="A470" s="144">
        <v>5.19</v>
      </c>
      <c r="B470" s="145" t="s">
        <v>1357</v>
      </c>
      <c r="C470" s="206" t="s">
        <v>30</v>
      </c>
      <c r="D470" s="221"/>
      <c r="E470" s="175">
        <v>212</v>
      </c>
      <c r="F470" s="180"/>
      <c r="G470" s="180"/>
      <c r="H470" s="180"/>
      <c r="I470" s="179">
        <v>1859.87</v>
      </c>
      <c r="J470" s="175">
        <v>394292.44</v>
      </c>
      <c r="K470" s="176"/>
      <c r="L470" s="73"/>
      <c r="M470" s="46">
        <v>212</v>
      </c>
      <c r="N470" s="46">
        <v>0</v>
      </c>
      <c r="O470" s="46">
        <v>394292.44</v>
      </c>
      <c r="P470" s="98"/>
      <c r="Q470" s="23" t="s">
        <v>1382</v>
      </c>
      <c r="R470" s="24" t="s">
        <v>1504</v>
      </c>
      <c r="S470" s="25" t="s">
        <v>30</v>
      </c>
      <c r="T470" s="26">
        <v>0</v>
      </c>
      <c r="U470" s="26">
        <v>212</v>
      </c>
      <c r="V470" s="26">
        <v>1859.87</v>
      </c>
      <c r="W470" s="127">
        <f t="shared" si="96"/>
        <v>0</v>
      </c>
      <c r="X470" s="127">
        <f t="shared" si="100"/>
        <v>212</v>
      </c>
      <c r="Y470" s="127">
        <f t="shared" si="97"/>
        <v>0</v>
      </c>
      <c r="Z470" s="127">
        <f t="shared" si="98"/>
        <v>394292.44</v>
      </c>
      <c r="AA470" s="27"/>
      <c r="AB470" s="36" t="s">
        <v>16</v>
      </c>
      <c r="AC470" s="181">
        <f t="shared" si="89"/>
        <v>212</v>
      </c>
      <c r="AD470" s="181">
        <f t="shared" si="99"/>
        <v>394292.44</v>
      </c>
      <c r="AE470" s="181">
        <v>5</v>
      </c>
      <c r="AF470" s="181">
        <v>5</v>
      </c>
      <c r="AG470" s="101" t="str">
        <f t="shared" si="90"/>
        <v/>
      </c>
      <c r="AH470" s="190">
        <v>212</v>
      </c>
      <c r="AI470" s="69">
        <f t="shared" si="101"/>
        <v>212</v>
      </c>
    </row>
    <row r="471" spans="1:35" s="69" customFormat="1" ht="39" x14ac:dyDescent="0.3">
      <c r="A471" s="210" t="s">
        <v>3106</v>
      </c>
      <c r="B471" s="208" t="s">
        <v>3107</v>
      </c>
      <c r="C471" s="204" t="s">
        <v>14</v>
      </c>
      <c r="D471" s="208"/>
      <c r="E471" s="159"/>
      <c r="F471" s="156"/>
      <c r="G471" s="156">
        <v>1</v>
      </c>
      <c r="H471" s="156"/>
      <c r="I471" s="158"/>
      <c r="J471" s="159">
        <v>263694.64</v>
      </c>
      <c r="K471" s="160"/>
      <c r="L471" s="73"/>
      <c r="M471" s="46">
        <v>1</v>
      </c>
      <c r="N471" s="46">
        <v>0</v>
      </c>
      <c r="O471" s="46">
        <v>263694.64</v>
      </c>
      <c r="P471" s="98"/>
      <c r="Q471" s="23" t="s">
        <v>3108</v>
      </c>
      <c r="R471" s="24" t="s">
        <v>3107</v>
      </c>
      <c r="S471" s="25" t="s">
        <v>14</v>
      </c>
      <c r="T471" s="26"/>
      <c r="U471" s="26">
        <v>1</v>
      </c>
      <c r="V471" s="26">
        <v>263694.64</v>
      </c>
      <c r="W471" s="127">
        <f t="shared" si="96"/>
        <v>0</v>
      </c>
      <c r="X471" s="127">
        <f t="shared" si="100"/>
        <v>1</v>
      </c>
      <c r="Y471" s="127">
        <f t="shared" si="97"/>
        <v>0</v>
      </c>
      <c r="Z471" s="127">
        <f t="shared" si="98"/>
        <v>263694.64</v>
      </c>
      <c r="AA471" s="27"/>
      <c r="AB471" s="36"/>
      <c r="AC471" s="181">
        <f t="shared" si="89"/>
        <v>1</v>
      </c>
      <c r="AD471" s="181">
        <f t="shared" si="99"/>
        <v>263694.64</v>
      </c>
      <c r="AE471" s="181">
        <v>5</v>
      </c>
      <c r="AF471" s="181">
        <v>5</v>
      </c>
      <c r="AG471" s="101"/>
      <c r="AH471" s="193">
        <v>1</v>
      </c>
      <c r="AI471" s="69">
        <f t="shared" si="101"/>
        <v>1</v>
      </c>
    </row>
    <row r="472" spans="1:35" s="69" customFormat="1" ht="33" x14ac:dyDescent="0.3">
      <c r="A472" s="150" t="s">
        <v>1210</v>
      </c>
      <c r="B472" s="151" t="s">
        <v>1211</v>
      </c>
      <c r="C472" s="152" t="s">
        <v>14</v>
      </c>
      <c r="D472" s="153">
        <v>1</v>
      </c>
      <c r="E472" s="153"/>
      <c r="F472" s="153"/>
      <c r="G472" s="153"/>
      <c r="H472" s="153"/>
      <c r="I472" s="153"/>
      <c r="J472" s="153">
        <v>3143726.96</v>
      </c>
      <c r="K472" s="154" t="s">
        <v>15</v>
      </c>
      <c r="L472" s="73"/>
      <c r="M472" s="42">
        <v>1</v>
      </c>
      <c r="N472" s="42">
        <v>133432.79999999999</v>
      </c>
      <c r="O472" s="42">
        <v>2820498.1700000004</v>
      </c>
      <c r="P472" s="98"/>
      <c r="Q472" s="13" t="s">
        <v>1415</v>
      </c>
      <c r="R472" s="14" t="s">
        <v>1211</v>
      </c>
      <c r="S472" s="15" t="s">
        <v>14</v>
      </c>
      <c r="T472" s="16">
        <v>1</v>
      </c>
      <c r="U472" s="16"/>
      <c r="V472" s="16">
        <f>SUMIFS(AD:AD,AE:AE,AE472)</f>
        <v>3143726.9600000004</v>
      </c>
      <c r="W472" s="16">
        <f t="shared" ref="W472:X472" si="102">IF(Y472=0,0,1)</f>
        <v>1</v>
      </c>
      <c r="X472" s="16">
        <f t="shared" si="102"/>
        <v>1</v>
      </c>
      <c r="Y472" s="16">
        <f>SUMIFS(Y:Y,AF:AF,AE472)</f>
        <v>144512.69</v>
      </c>
      <c r="Z472" s="16">
        <f>SUMIFS(Z:Z,AF:AF,AE472)</f>
        <v>2965010.8600000003</v>
      </c>
      <c r="AA472" s="17" t="s">
        <v>15</v>
      </c>
      <c r="AB472" s="40" t="s">
        <v>16</v>
      </c>
      <c r="AC472" s="181">
        <f t="shared" si="89"/>
        <v>1</v>
      </c>
      <c r="AD472" s="183"/>
      <c r="AE472" s="183">
        <v>6</v>
      </c>
      <c r="AF472" s="183"/>
      <c r="AG472" s="101" t="str">
        <f t="shared" si="90"/>
        <v/>
      </c>
      <c r="AH472" s="190">
        <v>1</v>
      </c>
      <c r="AI472" s="69">
        <f t="shared" si="101"/>
        <v>1</v>
      </c>
    </row>
    <row r="473" spans="1:35" s="69" customFormat="1" ht="33" customHeight="1" x14ac:dyDescent="0.3">
      <c r="A473" s="130" t="s">
        <v>1212</v>
      </c>
      <c r="B473" s="131" t="s">
        <v>1213</v>
      </c>
      <c r="C473" s="132" t="s">
        <v>1014</v>
      </c>
      <c r="D473" s="133">
        <v>10</v>
      </c>
      <c r="E473" s="75"/>
      <c r="F473" s="75"/>
      <c r="G473" s="75"/>
      <c r="H473" s="75"/>
      <c r="I473" s="75">
        <v>770</v>
      </c>
      <c r="J473" s="75">
        <v>7700</v>
      </c>
      <c r="K473" s="91" t="s">
        <v>1214</v>
      </c>
      <c r="L473" s="73"/>
      <c r="M473" s="46">
        <v>10</v>
      </c>
      <c r="N473" s="46">
        <v>0</v>
      </c>
      <c r="O473" s="46">
        <v>7700</v>
      </c>
      <c r="P473" s="98"/>
      <c r="Q473" s="23" t="s">
        <v>1421</v>
      </c>
      <c r="R473" s="24" t="s">
        <v>1213</v>
      </c>
      <c r="S473" s="25" t="s">
        <v>1014</v>
      </c>
      <c r="T473" s="26">
        <v>10</v>
      </c>
      <c r="U473" s="26">
        <v>10</v>
      </c>
      <c r="V473" s="26">
        <v>770</v>
      </c>
      <c r="W473" s="127">
        <f t="shared" ref="W473:W491" si="103">AH473-M473</f>
        <v>0</v>
      </c>
      <c r="X473" s="127">
        <f t="shared" si="100"/>
        <v>10</v>
      </c>
      <c r="Y473" s="127">
        <f t="shared" ref="Y473:Y489" si="104">Z473-O473</f>
        <v>0</v>
      </c>
      <c r="Z473" s="127">
        <f t="shared" ref="Z473:Z490" si="105">ROUND(V473*X473,2)</f>
        <v>7700</v>
      </c>
      <c r="AA473" s="33" t="s">
        <v>15</v>
      </c>
      <c r="AB473" s="36" t="s">
        <v>16</v>
      </c>
      <c r="AC473" s="181">
        <f t="shared" si="89"/>
        <v>10</v>
      </c>
      <c r="AD473" s="181">
        <f t="shared" ref="AD473:AD491" si="106">ROUND(V473*AC473,2)</f>
        <v>7700</v>
      </c>
      <c r="AE473" s="181">
        <v>6</v>
      </c>
      <c r="AF473" s="181">
        <v>6</v>
      </c>
      <c r="AG473" s="101" t="str">
        <f t="shared" si="90"/>
        <v/>
      </c>
      <c r="AH473" s="190">
        <v>10</v>
      </c>
      <c r="AI473" s="69">
        <f t="shared" si="101"/>
        <v>10</v>
      </c>
    </row>
    <row r="474" spans="1:35" s="69" customFormat="1" ht="33" customHeight="1" x14ac:dyDescent="0.3">
      <c r="A474" s="130" t="s">
        <v>1215</v>
      </c>
      <c r="B474" s="131" t="s">
        <v>1216</v>
      </c>
      <c r="C474" s="132" t="s">
        <v>1217</v>
      </c>
      <c r="D474" s="133">
        <v>100</v>
      </c>
      <c r="E474" s="75"/>
      <c r="F474" s="75"/>
      <c r="G474" s="75"/>
      <c r="H474" s="75"/>
      <c r="I474" s="75">
        <v>201</v>
      </c>
      <c r="J474" s="75">
        <v>20100</v>
      </c>
      <c r="K474" s="91" t="s">
        <v>1218</v>
      </c>
      <c r="L474" s="73"/>
      <c r="M474" s="46">
        <v>100</v>
      </c>
      <c r="N474" s="46">
        <v>0</v>
      </c>
      <c r="O474" s="46">
        <v>20100</v>
      </c>
      <c r="P474" s="98"/>
      <c r="Q474" s="23" t="s">
        <v>1426</v>
      </c>
      <c r="R474" s="24" t="s">
        <v>1216</v>
      </c>
      <c r="S474" s="25" t="s">
        <v>1217</v>
      </c>
      <c r="T474" s="26">
        <v>100</v>
      </c>
      <c r="U474" s="26">
        <v>100</v>
      </c>
      <c r="V474" s="26">
        <v>201</v>
      </c>
      <c r="W474" s="127">
        <f t="shared" si="103"/>
        <v>0</v>
      </c>
      <c r="X474" s="127">
        <f t="shared" si="100"/>
        <v>100</v>
      </c>
      <c r="Y474" s="127">
        <f t="shared" si="104"/>
        <v>0</v>
      </c>
      <c r="Z474" s="127">
        <f t="shared" si="105"/>
        <v>20100</v>
      </c>
      <c r="AA474" s="33" t="s">
        <v>15</v>
      </c>
      <c r="AB474" s="36" t="s">
        <v>16</v>
      </c>
      <c r="AC474" s="181">
        <f t="shared" si="89"/>
        <v>100</v>
      </c>
      <c r="AD474" s="181">
        <f t="shared" si="106"/>
        <v>20100</v>
      </c>
      <c r="AE474" s="181">
        <v>6</v>
      </c>
      <c r="AF474" s="181">
        <v>6</v>
      </c>
      <c r="AG474" s="101" t="str">
        <f t="shared" si="90"/>
        <v/>
      </c>
      <c r="AH474" s="190">
        <v>100</v>
      </c>
      <c r="AI474" s="69">
        <f t="shared" si="101"/>
        <v>100</v>
      </c>
    </row>
    <row r="475" spans="1:35" s="69" customFormat="1" ht="39" x14ac:dyDescent="0.3">
      <c r="A475" s="130" t="s">
        <v>1219</v>
      </c>
      <c r="B475" s="131" t="s">
        <v>1220</v>
      </c>
      <c r="C475" s="132" t="s">
        <v>1221</v>
      </c>
      <c r="D475" s="133">
        <v>50</v>
      </c>
      <c r="E475" s="75"/>
      <c r="F475" s="75"/>
      <c r="G475" s="75"/>
      <c r="H475" s="75"/>
      <c r="I475" s="75">
        <v>300</v>
      </c>
      <c r="J475" s="75">
        <v>15000</v>
      </c>
      <c r="K475" s="91" t="s">
        <v>1222</v>
      </c>
      <c r="L475" s="73"/>
      <c r="M475" s="46">
        <v>50</v>
      </c>
      <c r="N475" s="46">
        <v>0</v>
      </c>
      <c r="O475" s="46">
        <v>15000</v>
      </c>
      <c r="P475" s="98"/>
      <c r="Q475" s="23" t="s">
        <v>1402</v>
      </c>
      <c r="R475" s="24" t="s">
        <v>1220</v>
      </c>
      <c r="S475" s="25" t="s">
        <v>1221</v>
      </c>
      <c r="T475" s="26">
        <v>50</v>
      </c>
      <c r="U475" s="26">
        <v>50</v>
      </c>
      <c r="V475" s="26">
        <v>300</v>
      </c>
      <c r="W475" s="127">
        <f t="shared" si="103"/>
        <v>0</v>
      </c>
      <c r="X475" s="127">
        <f t="shared" si="100"/>
        <v>50</v>
      </c>
      <c r="Y475" s="127">
        <f t="shared" si="104"/>
        <v>0</v>
      </c>
      <c r="Z475" s="127">
        <f t="shared" si="105"/>
        <v>15000</v>
      </c>
      <c r="AA475" s="33" t="s">
        <v>15</v>
      </c>
      <c r="AB475" s="36" t="s">
        <v>16</v>
      </c>
      <c r="AC475" s="181">
        <f t="shared" si="89"/>
        <v>50</v>
      </c>
      <c r="AD475" s="181">
        <f t="shared" si="106"/>
        <v>15000</v>
      </c>
      <c r="AE475" s="181">
        <v>6</v>
      </c>
      <c r="AF475" s="181">
        <v>6</v>
      </c>
      <c r="AG475" s="101" t="str">
        <f t="shared" si="90"/>
        <v/>
      </c>
      <c r="AH475" s="190">
        <v>50</v>
      </c>
      <c r="AI475" s="69">
        <f t="shared" si="101"/>
        <v>50</v>
      </c>
    </row>
    <row r="476" spans="1:35" s="69" customFormat="1" ht="33" customHeight="1" x14ac:dyDescent="0.3">
      <c r="A476" s="130" t="s">
        <v>1223</v>
      </c>
      <c r="B476" s="131" t="s">
        <v>1224</v>
      </c>
      <c r="C476" s="132" t="s">
        <v>325</v>
      </c>
      <c r="D476" s="133">
        <v>75</v>
      </c>
      <c r="E476" s="75"/>
      <c r="F476" s="75"/>
      <c r="G476" s="75"/>
      <c r="H476" s="75"/>
      <c r="I476" s="75">
        <v>650</v>
      </c>
      <c r="J476" s="75">
        <v>48750</v>
      </c>
      <c r="K476" s="91" t="s">
        <v>1225</v>
      </c>
      <c r="L476" s="73"/>
      <c r="M476" s="46">
        <v>75</v>
      </c>
      <c r="N476" s="46">
        <v>0</v>
      </c>
      <c r="O476" s="46">
        <v>48750</v>
      </c>
      <c r="P476" s="98"/>
      <c r="Q476" s="23" t="s">
        <v>1373</v>
      </c>
      <c r="R476" s="24" t="s">
        <v>1224</v>
      </c>
      <c r="S476" s="25" t="s">
        <v>325</v>
      </c>
      <c r="T476" s="26">
        <v>75</v>
      </c>
      <c r="U476" s="26">
        <v>75</v>
      </c>
      <c r="V476" s="26">
        <v>650</v>
      </c>
      <c r="W476" s="127">
        <f t="shared" si="103"/>
        <v>0</v>
      </c>
      <c r="X476" s="127">
        <f t="shared" si="100"/>
        <v>75</v>
      </c>
      <c r="Y476" s="127">
        <f t="shared" si="104"/>
        <v>0</v>
      </c>
      <c r="Z476" s="127">
        <f t="shared" si="105"/>
        <v>48750</v>
      </c>
      <c r="AA476" s="33" t="s">
        <v>15</v>
      </c>
      <c r="AB476" s="36" t="s">
        <v>16</v>
      </c>
      <c r="AC476" s="181">
        <f t="shared" si="89"/>
        <v>75</v>
      </c>
      <c r="AD476" s="181">
        <f t="shared" si="106"/>
        <v>48750</v>
      </c>
      <c r="AE476" s="181">
        <v>6</v>
      </c>
      <c r="AF476" s="181">
        <v>6</v>
      </c>
      <c r="AG476" s="101" t="str">
        <f t="shared" si="90"/>
        <v/>
      </c>
      <c r="AH476" s="190">
        <v>75</v>
      </c>
      <c r="AI476" s="69">
        <f t="shared" si="101"/>
        <v>75</v>
      </c>
    </row>
    <row r="477" spans="1:35" s="69" customFormat="1" ht="33" customHeight="1" x14ac:dyDescent="0.3">
      <c r="A477" s="130" t="s">
        <v>1226</v>
      </c>
      <c r="B477" s="131" t="s">
        <v>1227</v>
      </c>
      <c r="C477" s="132" t="s">
        <v>1228</v>
      </c>
      <c r="D477" s="133">
        <v>200</v>
      </c>
      <c r="E477" s="75"/>
      <c r="F477" s="75"/>
      <c r="G477" s="75"/>
      <c r="H477" s="75"/>
      <c r="I477" s="75">
        <v>28</v>
      </c>
      <c r="J477" s="75">
        <v>5600</v>
      </c>
      <c r="K477" s="91" t="s">
        <v>1229</v>
      </c>
      <c r="L477" s="73"/>
      <c r="M477" s="46">
        <v>200</v>
      </c>
      <c r="N477" s="46">
        <v>0</v>
      </c>
      <c r="O477" s="46">
        <v>5600</v>
      </c>
      <c r="P477" s="98"/>
      <c r="Q477" s="23" t="s">
        <v>1393</v>
      </c>
      <c r="R477" s="24" t="s">
        <v>1227</v>
      </c>
      <c r="S477" s="25" t="s">
        <v>1228</v>
      </c>
      <c r="T477" s="26">
        <v>200</v>
      </c>
      <c r="U477" s="26">
        <v>200</v>
      </c>
      <c r="V477" s="26">
        <v>28</v>
      </c>
      <c r="W477" s="127">
        <f t="shared" si="103"/>
        <v>0</v>
      </c>
      <c r="X477" s="127">
        <f t="shared" si="100"/>
        <v>200</v>
      </c>
      <c r="Y477" s="127">
        <f t="shared" si="104"/>
        <v>0</v>
      </c>
      <c r="Z477" s="127">
        <f t="shared" si="105"/>
        <v>5600</v>
      </c>
      <c r="AA477" s="33" t="s">
        <v>15</v>
      </c>
      <c r="AB477" s="36" t="s">
        <v>16</v>
      </c>
      <c r="AC477" s="181">
        <f t="shared" si="89"/>
        <v>200</v>
      </c>
      <c r="AD477" s="181">
        <f t="shared" si="106"/>
        <v>5600</v>
      </c>
      <c r="AE477" s="181">
        <v>6</v>
      </c>
      <c r="AF477" s="181">
        <v>6</v>
      </c>
      <c r="AG477" s="101" t="str">
        <f t="shared" si="90"/>
        <v/>
      </c>
      <c r="AH477" s="190">
        <v>200</v>
      </c>
      <c r="AI477" s="69">
        <f t="shared" si="101"/>
        <v>200</v>
      </c>
    </row>
    <row r="478" spans="1:35" s="69" customFormat="1" ht="33" customHeight="1" x14ac:dyDescent="0.3">
      <c r="A478" s="55" t="s">
        <v>1230</v>
      </c>
      <c r="B478" s="53" t="s">
        <v>1231</v>
      </c>
      <c r="C478" s="54" t="s">
        <v>1228</v>
      </c>
      <c r="D478" s="75">
        <v>100</v>
      </c>
      <c r="E478" s="75"/>
      <c r="F478" s="75"/>
      <c r="G478" s="75"/>
      <c r="H478" s="75"/>
      <c r="I478" s="75">
        <v>500</v>
      </c>
      <c r="J478" s="75">
        <v>50000</v>
      </c>
      <c r="K478" s="91" t="s">
        <v>1232</v>
      </c>
      <c r="L478" s="73"/>
      <c r="M478" s="46">
        <v>62</v>
      </c>
      <c r="N478" s="46">
        <v>0</v>
      </c>
      <c r="O478" s="46">
        <v>31000</v>
      </c>
      <c r="P478" s="98"/>
      <c r="Q478" s="23" t="s">
        <v>1403</v>
      </c>
      <c r="R478" s="24" t="s">
        <v>1231</v>
      </c>
      <c r="S478" s="25" t="s">
        <v>1228</v>
      </c>
      <c r="T478" s="26">
        <v>100</v>
      </c>
      <c r="U478" s="26">
        <v>100</v>
      </c>
      <c r="V478" s="26">
        <v>500</v>
      </c>
      <c r="W478" s="243">
        <f t="shared" si="103"/>
        <v>25</v>
      </c>
      <c r="X478" s="26">
        <f t="shared" si="100"/>
        <v>87</v>
      </c>
      <c r="Y478" s="26">
        <f t="shared" si="104"/>
        <v>12500</v>
      </c>
      <c r="Z478" s="26">
        <f t="shared" si="105"/>
        <v>43500</v>
      </c>
      <c r="AA478" s="33" t="s">
        <v>15</v>
      </c>
      <c r="AB478" s="36" t="s">
        <v>16</v>
      </c>
      <c r="AC478" s="181">
        <f t="shared" ref="AC478:AC499" si="107">IF(U478="",T478,U478)</f>
        <v>100</v>
      </c>
      <c r="AD478" s="181">
        <f t="shared" si="106"/>
        <v>50000</v>
      </c>
      <c r="AE478" s="181">
        <v>6</v>
      </c>
      <c r="AF478" s="181">
        <v>6</v>
      </c>
      <c r="AG478" s="101" t="str">
        <f t="shared" ref="AG478:AG503" si="108">IF(X478&gt;AI478,"超估","")</f>
        <v/>
      </c>
      <c r="AH478" s="191">
        <f>62+25</f>
        <v>87</v>
      </c>
      <c r="AI478" s="69">
        <f t="shared" si="101"/>
        <v>100</v>
      </c>
    </row>
    <row r="479" spans="1:35" s="69" customFormat="1" ht="33" customHeight="1" x14ac:dyDescent="0.3">
      <c r="A479" s="55" t="s">
        <v>1233</v>
      </c>
      <c r="B479" s="53" t="s">
        <v>1234</v>
      </c>
      <c r="C479" s="54" t="s">
        <v>1235</v>
      </c>
      <c r="D479" s="75">
        <v>75</v>
      </c>
      <c r="E479" s="75"/>
      <c r="F479" s="75"/>
      <c r="G479" s="75"/>
      <c r="H479" s="75"/>
      <c r="I479" s="75">
        <v>280</v>
      </c>
      <c r="J479" s="75">
        <v>21000</v>
      </c>
      <c r="K479" s="91" t="s">
        <v>1236</v>
      </c>
      <c r="L479" s="73"/>
      <c r="M479" s="46">
        <v>38</v>
      </c>
      <c r="N479" s="46">
        <v>0</v>
      </c>
      <c r="O479" s="46">
        <v>10640</v>
      </c>
      <c r="P479" s="98"/>
      <c r="Q479" s="23" t="s">
        <v>1427</v>
      </c>
      <c r="R479" s="24" t="s">
        <v>1234</v>
      </c>
      <c r="S479" s="25" t="s">
        <v>1235</v>
      </c>
      <c r="T479" s="26">
        <v>75</v>
      </c>
      <c r="U479" s="26">
        <v>75</v>
      </c>
      <c r="V479" s="26">
        <v>280</v>
      </c>
      <c r="W479" s="243">
        <f t="shared" si="103"/>
        <v>15</v>
      </c>
      <c r="X479" s="26">
        <f t="shared" si="100"/>
        <v>53</v>
      </c>
      <c r="Y479" s="26">
        <f t="shared" si="104"/>
        <v>4200</v>
      </c>
      <c r="Z479" s="26">
        <f t="shared" si="105"/>
        <v>14840</v>
      </c>
      <c r="AA479" s="33" t="s">
        <v>15</v>
      </c>
      <c r="AB479" s="36" t="s">
        <v>16</v>
      </c>
      <c r="AC479" s="181">
        <f t="shared" si="107"/>
        <v>75</v>
      </c>
      <c r="AD479" s="181">
        <f t="shared" si="106"/>
        <v>21000</v>
      </c>
      <c r="AE479" s="181">
        <v>6</v>
      </c>
      <c r="AF479" s="181">
        <v>6</v>
      </c>
      <c r="AG479" s="101" t="str">
        <f t="shared" si="108"/>
        <v/>
      </c>
      <c r="AH479" s="191">
        <f>38+15</f>
        <v>53</v>
      </c>
      <c r="AI479" s="69">
        <f t="shared" si="101"/>
        <v>75</v>
      </c>
    </row>
    <row r="480" spans="1:35" s="69" customFormat="1" ht="49.5" x14ac:dyDescent="0.3">
      <c r="A480" s="130" t="s">
        <v>1237</v>
      </c>
      <c r="B480" s="240" t="s">
        <v>1238</v>
      </c>
      <c r="C480" s="132" t="s">
        <v>1235</v>
      </c>
      <c r="D480" s="133">
        <v>50</v>
      </c>
      <c r="E480" s="75"/>
      <c r="F480" s="75"/>
      <c r="G480" s="75"/>
      <c r="H480" s="75"/>
      <c r="I480" s="75">
        <v>350</v>
      </c>
      <c r="J480" s="75">
        <v>17500</v>
      </c>
      <c r="K480" s="91" t="s">
        <v>1239</v>
      </c>
      <c r="L480" s="73"/>
      <c r="M480" s="46">
        <v>50</v>
      </c>
      <c r="N480" s="46">
        <v>0</v>
      </c>
      <c r="O480" s="46">
        <v>17500</v>
      </c>
      <c r="P480" s="98"/>
      <c r="Q480" s="23" t="s">
        <v>1428</v>
      </c>
      <c r="R480" s="24" t="s">
        <v>1238</v>
      </c>
      <c r="S480" s="25" t="s">
        <v>1235</v>
      </c>
      <c r="T480" s="26">
        <v>50</v>
      </c>
      <c r="U480" s="26">
        <v>50</v>
      </c>
      <c r="V480" s="26">
        <v>350</v>
      </c>
      <c r="W480" s="127">
        <f t="shared" si="103"/>
        <v>0</v>
      </c>
      <c r="X480" s="127">
        <f t="shared" si="100"/>
        <v>50</v>
      </c>
      <c r="Y480" s="127">
        <f t="shared" si="104"/>
        <v>0</v>
      </c>
      <c r="Z480" s="127">
        <f t="shared" si="105"/>
        <v>17500</v>
      </c>
      <c r="AA480" s="33" t="s">
        <v>15</v>
      </c>
      <c r="AB480" s="36" t="s">
        <v>16</v>
      </c>
      <c r="AC480" s="181">
        <f t="shared" si="107"/>
        <v>50</v>
      </c>
      <c r="AD480" s="181">
        <f t="shared" si="106"/>
        <v>17500</v>
      </c>
      <c r="AE480" s="181">
        <v>6</v>
      </c>
      <c r="AF480" s="181">
        <v>6</v>
      </c>
      <c r="AG480" s="101" t="str">
        <f t="shared" si="108"/>
        <v/>
      </c>
      <c r="AH480" s="190">
        <v>50</v>
      </c>
      <c r="AI480" s="69">
        <f t="shared" si="101"/>
        <v>50</v>
      </c>
    </row>
    <row r="481" spans="1:38" s="69" customFormat="1" ht="33" customHeight="1" x14ac:dyDescent="0.3">
      <c r="A481" s="130" t="s">
        <v>1240</v>
      </c>
      <c r="B481" s="131" t="s">
        <v>1241</v>
      </c>
      <c r="C481" s="132" t="s">
        <v>325</v>
      </c>
      <c r="D481" s="133">
        <v>10</v>
      </c>
      <c r="E481" s="75"/>
      <c r="F481" s="75"/>
      <c r="G481" s="75"/>
      <c r="H481" s="75"/>
      <c r="I481" s="75">
        <v>560</v>
      </c>
      <c r="J481" s="75">
        <v>5600</v>
      </c>
      <c r="K481" s="91" t="s">
        <v>1242</v>
      </c>
      <c r="L481" s="73"/>
      <c r="M481" s="46">
        <v>10</v>
      </c>
      <c r="N481" s="46">
        <v>0</v>
      </c>
      <c r="O481" s="46">
        <v>5600</v>
      </c>
      <c r="P481" s="98"/>
      <c r="Q481" s="23" t="s">
        <v>1387</v>
      </c>
      <c r="R481" s="24" t="s">
        <v>1241</v>
      </c>
      <c r="S481" s="25" t="s">
        <v>325</v>
      </c>
      <c r="T481" s="26">
        <v>10</v>
      </c>
      <c r="U481" s="26">
        <v>10</v>
      </c>
      <c r="V481" s="26">
        <v>560</v>
      </c>
      <c r="W481" s="127">
        <f t="shared" si="103"/>
        <v>0</v>
      </c>
      <c r="X481" s="127">
        <f t="shared" si="100"/>
        <v>10</v>
      </c>
      <c r="Y481" s="127">
        <f t="shared" si="104"/>
        <v>0</v>
      </c>
      <c r="Z481" s="127">
        <f t="shared" si="105"/>
        <v>5600</v>
      </c>
      <c r="AA481" s="33" t="s">
        <v>15</v>
      </c>
      <c r="AB481" s="36" t="s">
        <v>16</v>
      </c>
      <c r="AC481" s="181">
        <f t="shared" si="107"/>
        <v>10</v>
      </c>
      <c r="AD481" s="181">
        <f t="shared" si="106"/>
        <v>5600</v>
      </c>
      <c r="AE481" s="181">
        <v>6</v>
      </c>
      <c r="AF481" s="181">
        <v>6</v>
      </c>
      <c r="AG481" s="101" t="str">
        <f t="shared" si="108"/>
        <v/>
      </c>
      <c r="AH481" s="191">
        <v>10</v>
      </c>
      <c r="AI481" s="69">
        <f t="shared" si="101"/>
        <v>10</v>
      </c>
    </row>
    <row r="482" spans="1:38" s="69" customFormat="1" ht="33" customHeight="1" x14ac:dyDescent="0.3">
      <c r="A482" s="130" t="s">
        <v>1243</v>
      </c>
      <c r="B482" s="131" t="s">
        <v>1244</v>
      </c>
      <c r="C482" s="132" t="s">
        <v>162</v>
      </c>
      <c r="D482" s="133">
        <v>4</v>
      </c>
      <c r="E482" s="75"/>
      <c r="F482" s="75"/>
      <c r="G482" s="75"/>
      <c r="H482" s="75"/>
      <c r="I482" s="75">
        <v>250</v>
      </c>
      <c r="J482" s="75">
        <v>1000</v>
      </c>
      <c r="K482" s="91" t="s">
        <v>1245</v>
      </c>
      <c r="L482" s="73"/>
      <c r="M482" s="46">
        <v>4</v>
      </c>
      <c r="N482" s="46">
        <v>0</v>
      </c>
      <c r="O482" s="46">
        <v>1000</v>
      </c>
      <c r="P482" s="98"/>
      <c r="Q482" s="23" t="s">
        <v>1405</v>
      </c>
      <c r="R482" s="24" t="s">
        <v>1244</v>
      </c>
      <c r="S482" s="25" t="s">
        <v>162</v>
      </c>
      <c r="T482" s="26">
        <v>4</v>
      </c>
      <c r="U482" s="26">
        <v>4</v>
      </c>
      <c r="V482" s="26">
        <v>250</v>
      </c>
      <c r="W482" s="127">
        <f t="shared" si="103"/>
        <v>0</v>
      </c>
      <c r="X482" s="127">
        <f t="shared" si="100"/>
        <v>4</v>
      </c>
      <c r="Y482" s="127">
        <f t="shared" si="104"/>
        <v>0</v>
      </c>
      <c r="Z482" s="127">
        <f t="shared" si="105"/>
        <v>1000</v>
      </c>
      <c r="AA482" s="33" t="s">
        <v>15</v>
      </c>
      <c r="AB482" s="36" t="s">
        <v>16</v>
      </c>
      <c r="AC482" s="181">
        <f t="shared" si="107"/>
        <v>4</v>
      </c>
      <c r="AD482" s="181">
        <f t="shared" si="106"/>
        <v>1000</v>
      </c>
      <c r="AE482" s="181">
        <v>6</v>
      </c>
      <c r="AF482" s="181">
        <v>6</v>
      </c>
      <c r="AG482" s="101" t="str">
        <f t="shared" si="108"/>
        <v/>
      </c>
      <c r="AH482" s="190">
        <v>4</v>
      </c>
      <c r="AI482" s="69">
        <f t="shared" si="101"/>
        <v>4</v>
      </c>
    </row>
    <row r="483" spans="1:38" s="69" customFormat="1" ht="49.5" customHeight="1" x14ac:dyDescent="0.3">
      <c r="A483" s="130" t="s">
        <v>1246</v>
      </c>
      <c r="B483" s="240" t="s">
        <v>1247</v>
      </c>
      <c r="C483" s="132" t="s">
        <v>325</v>
      </c>
      <c r="D483" s="133">
        <v>5</v>
      </c>
      <c r="E483" s="75"/>
      <c r="F483" s="75"/>
      <c r="G483" s="75"/>
      <c r="H483" s="75"/>
      <c r="I483" s="75">
        <v>8300</v>
      </c>
      <c r="J483" s="75">
        <v>41500</v>
      </c>
      <c r="K483" s="91" t="s">
        <v>1248</v>
      </c>
      <c r="L483" s="73"/>
      <c r="M483" s="46">
        <v>5</v>
      </c>
      <c r="N483" s="46">
        <v>0</v>
      </c>
      <c r="O483" s="46">
        <v>41500</v>
      </c>
      <c r="P483" s="98"/>
      <c r="Q483" s="23" t="s">
        <v>1406</v>
      </c>
      <c r="R483" s="24" t="s">
        <v>1247</v>
      </c>
      <c r="S483" s="25" t="s">
        <v>325</v>
      </c>
      <c r="T483" s="26">
        <v>5</v>
      </c>
      <c r="U483" s="26">
        <v>5</v>
      </c>
      <c r="V483" s="26">
        <v>8300</v>
      </c>
      <c r="W483" s="127">
        <f t="shared" si="103"/>
        <v>0</v>
      </c>
      <c r="X483" s="127">
        <f t="shared" si="100"/>
        <v>5</v>
      </c>
      <c r="Y483" s="127">
        <f t="shared" si="104"/>
        <v>0</v>
      </c>
      <c r="Z483" s="127">
        <f t="shared" si="105"/>
        <v>41500</v>
      </c>
      <c r="AA483" s="33" t="s">
        <v>15</v>
      </c>
      <c r="AB483" s="36" t="s">
        <v>16</v>
      </c>
      <c r="AC483" s="181">
        <f t="shared" si="107"/>
        <v>5</v>
      </c>
      <c r="AD483" s="181">
        <f t="shared" si="106"/>
        <v>41500</v>
      </c>
      <c r="AE483" s="181">
        <v>6</v>
      </c>
      <c r="AF483" s="181">
        <v>6</v>
      </c>
      <c r="AG483" s="101" t="str">
        <f t="shared" si="108"/>
        <v/>
      </c>
      <c r="AH483" s="190">
        <v>5</v>
      </c>
      <c r="AI483" s="69">
        <f t="shared" si="101"/>
        <v>5</v>
      </c>
    </row>
    <row r="484" spans="1:38" s="69" customFormat="1" ht="33" customHeight="1" x14ac:dyDescent="0.3">
      <c r="A484" s="130" t="s">
        <v>1249</v>
      </c>
      <c r="B484" s="131" t="s">
        <v>1250</v>
      </c>
      <c r="C484" s="132" t="s">
        <v>325</v>
      </c>
      <c r="D484" s="133">
        <v>5</v>
      </c>
      <c r="E484" s="75"/>
      <c r="F484" s="75"/>
      <c r="G484" s="75"/>
      <c r="H484" s="75"/>
      <c r="I484" s="75">
        <v>1160</v>
      </c>
      <c r="J484" s="75">
        <v>5800</v>
      </c>
      <c r="K484" s="91" t="s">
        <v>1251</v>
      </c>
      <c r="L484" s="73"/>
      <c r="M484" s="46">
        <v>5</v>
      </c>
      <c r="N484" s="46">
        <v>0</v>
      </c>
      <c r="O484" s="46">
        <v>5800</v>
      </c>
      <c r="P484" s="98"/>
      <c r="Q484" s="23" t="s">
        <v>1414</v>
      </c>
      <c r="R484" s="24" t="s">
        <v>1250</v>
      </c>
      <c r="S484" s="25" t="s">
        <v>325</v>
      </c>
      <c r="T484" s="26">
        <v>5</v>
      </c>
      <c r="U484" s="26">
        <v>5</v>
      </c>
      <c r="V484" s="26">
        <v>1160</v>
      </c>
      <c r="W484" s="127">
        <f t="shared" si="103"/>
        <v>0</v>
      </c>
      <c r="X484" s="127">
        <f t="shared" si="100"/>
        <v>5</v>
      </c>
      <c r="Y484" s="127">
        <f t="shared" si="104"/>
        <v>0</v>
      </c>
      <c r="Z484" s="127">
        <f t="shared" si="105"/>
        <v>5800</v>
      </c>
      <c r="AA484" s="33" t="s">
        <v>15</v>
      </c>
      <c r="AB484" s="36" t="s">
        <v>16</v>
      </c>
      <c r="AC484" s="181">
        <f t="shared" si="107"/>
        <v>5</v>
      </c>
      <c r="AD484" s="181">
        <f t="shared" si="106"/>
        <v>5800</v>
      </c>
      <c r="AE484" s="181">
        <v>6</v>
      </c>
      <c r="AF484" s="181">
        <v>6</v>
      </c>
      <c r="AG484" s="101" t="str">
        <f t="shared" si="108"/>
        <v/>
      </c>
      <c r="AH484" s="190">
        <v>5</v>
      </c>
      <c r="AI484" s="69">
        <f t="shared" si="101"/>
        <v>5</v>
      </c>
    </row>
    <row r="485" spans="1:38" s="69" customFormat="1" ht="49.5" x14ac:dyDescent="0.3">
      <c r="A485" s="130" t="s">
        <v>1252</v>
      </c>
      <c r="B485" s="240" t="s">
        <v>1253</v>
      </c>
      <c r="C485" s="132" t="s">
        <v>325</v>
      </c>
      <c r="D485" s="133">
        <v>5</v>
      </c>
      <c r="E485" s="75"/>
      <c r="F485" s="75"/>
      <c r="G485" s="75"/>
      <c r="H485" s="75"/>
      <c r="I485" s="75">
        <v>600</v>
      </c>
      <c r="J485" s="75">
        <v>3000</v>
      </c>
      <c r="K485" s="91" t="s">
        <v>1254</v>
      </c>
      <c r="L485" s="73"/>
      <c r="M485" s="46">
        <v>5</v>
      </c>
      <c r="N485" s="46">
        <v>0</v>
      </c>
      <c r="O485" s="46">
        <v>3000</v>
      </c>
      <c r="P485" s="98"/>
      <c r="Q485" s="23" t="s">
        <v>1429</v>
      </c>
      <c r="R485" s="24" t="s">
        <v>1253</v>
      </c>
      <c r="S485" s="25" t="s">
        <v>325</v>
      </c>
      <c r="T485" s="26">
        <v>5</v>
      </c>
      <c r="U485" s="26">
        <v>5</v>
      </c>
      <c r="V485" s="26">
        <v>600</v>
      </c>
      <c r="W485" s="127">
        <f t="shared" si="103"/>
        <v>0</v>
      </c>
      <c r="X485" s="127">
        <f t="shared" si="100"/>
        <v>5</v>
      </c>
      <c r="Y485" s="127">
        <f t="shared" si="104"/>
        <v>0</v>
      </c>
      <c r="Z485" s="127">
        <f t="shared" si="105"/>
        <v>3000</v>
      </c>
      <c r="AA485" s="33" t="s">
        <v>15</v>
      </c>
      <c r="AB485" s="36" t="s">
        <v>16</v>
      </c>
      <c r="AC485" s="181">
        <f t="shared" si="107"/>
        <v>5</v>
      </c>
      <c r="AD485" s="181">
        <f t="shared" si="106"/>
        <v>3000</v>
      </c>
      <c r="AE485" s="181">
        <v>6</v>
      </c>
      <c r="AF485" s="181">
        <v>6</v>
      </c>
      <c r="AG485" s="101" t="str">
        <f t="shared" si="108"/>
        <v/>
      </c>
      <c r="AH485" s="190">
        <v>5</v>
      </c>
      <c r="AI485" s="69">
        <f t="shared" si="101"/>
        <v>5</v>
      </c>
    </row>
    <row r="486" spans="1:38" s="69" customFormat="1" ht="49.5" customHeight="1" x14ac:dyDescent="0.3">
      <c r="A486" s="130" t="s">
        <v>1255</v>
      </c>
      <c r="B486" s="240" t="s">
        <v>1256</v>
      </c>
      <c r="C486" s="132" t="s">
        <v>325</v>
      </c>
      <c r="D486" s="133">
        <v>5</v>
      </c>
      <c r="E486" s="75"/>
      <c r="F486" s="75"/>
      <c r="G486" s="75"/>
      <c r="H486" s="75"/>
      <c r="I486" s="75">
        <v>1800</v>
      </c>
      <c r="J486" s="75">
        <v>9000</v>
      </c>
      <c r="K486" s="91" t="s">
        <v>1257</v>
      </c>
      <c r="L486" s="73"/>
      <c r="M486" s="46">
        <v>5</v>
      </c>
      <c r="N486" s="46">
        <v>0</v>
      </c>
      <c r="O486" s="46">
        <v>9000</v>
      </c>
      <c r="P486" s="98"/>
      <c r="Q486" s="23" t="s">
        <v>1430</v>
      </c>
      <c r="R486" s="24" t="s">
        <v>1256</v>
      </c>
      <c r="S486" s="25" t="s">
        <v>325</v>
      </c>
      <c r="T486" s="26">
        <v>5</v>
      </c>
      <c r="U486" s="26">
        <v>5</v>
      </c>
      <c r="V486" s="26">
        <v>1800</v>
      </c>
      <c r="W486" s="127">
        <f t="shared" si="103"/>
        <v>0</v>
      </c>
      <c r="X486" s="127">
        <f t="shared" si="100"/>
        <v>5</v>
      </c>
      <c r="Y486" s="127">
        <f t="shared" si="104"/>
        <v>0</v>
      </c>
      <c r="Z486" s="127">
        <f t="shared" si="105"/>
        <v>9000</v>
      </c>
      <c r="AA486" s="33" t="s">
        <v>15</v>
      </c>
      <c r="AB486" s="36" t="s">
        <v>16</v>
      </c>
      <c r="AC486" s="181">
        <f t="shared" si="107"/>
        <v>5</v>
      </c>
      <c r="AD486" s="181">
        <f t="shared" si="106"/>
        <v>9000</v>
      </c>
      <c r="AE486" s="181">
        <v>6</v>
      </c>
      <c r="AF486" s="181">
        <v>6</v>
      </c>
      <c r="AG486" s="101" t="str">
        <f t="shared" si="108"/>
        <v/>
      </c>
      <c r="AH486" s="190">
        <v>5</v>
      </c>
      <c r="AI486" s="69">
        <f t="shared" si="101"/>
        <v>5</v>
      </c>
    </row>
    <row r="487" spans="1:38" s="69" customFormat="1" ht="39" x14ac:dyDescent="0.3">
      <c r="A487" s="55" t="s">
        <v>1258</v>
      </c>
      <c r="B487" s="53" t="s">
        <v>1259</v>
      </c>
      <c r="C487" s="54" t="s">
        <v>325</v>
      </c>
      <c r="D487" s="75">
        <v>80</v>
      </c>
      <c r="E487" s="75"/>
      <c r="F487" s="75"/>
      <c r="G487" s="75"/>
      <c r="H487" s="75"/>
      <c r="I487" s="75">
        <v>2200</v>
      </c>
      <c r="J487" s="75">
        <v>176000</v>
      </c>
      <c r="K487" s="91" t="s">
        <v>1260</v>
      </c>
      <c r="L487" s="73"/>
      <c r="M487" s="46">
        <v>65</v>
      </c>
      <c r="N487" s="46">
        <v>0</v>
      </c>
      <c r="O487" s="46">
        <v>143000</v>
      </c>
      <c r="P487" s="98"/>
      <c r="Q487" s="23" t="s">
        <v>1431</v>
      </c>
      <c r="R487" s="24" t="s">
        <v>1259</v>
      </c>
      <c r="S487" s="25" t="s">
        <v>325</v>
      </c>
      <c r="T487" s="26">
        <v>80</v>
      </c>
      <c r="U487" s="26">
        <v>80</v>
      </c>
      <c r="V487" s="26">
        <v>2200</v>
      </c>
      <c r="W487" s="243">
        <f t="shared" si="103"/>
        <v>5</v>
      </c>
      <c r="X487" s="26">
        <f t="shared" si="100"/>
        <v>70</v>
      </c>
      <c r="Y487" s="26">
        <f t="shared" si="104"/>
        <v>11000</v>
      </c>
      <c r="Z487" s="26">
        <f t="shared" si="105"/>
        <v>154000</v>
      </c>
      <c r="AA487" s="33" t="s">
        <v>15</v>
      </c>
      <c r="AB487" s="36" t="s">
        <v>16</v>
      </c>
      <c r="AC487" s="181">
        <f t="shared" si="107"/>
        <v>80</v>
      </c>
      <c r="AD487" s="181">
        <f t="shared" si="106"/>
        <v>176000</v>
      </c>
      <c r="AE487" s="181">
        <v>6</v>
      </c>
      <c r="AF487" s="181">
        <v>6</v>
      </c>
      <c r="AG487" s="101" t="str">
        <f t="shared" si="108"/>
        <v/>
      </c>
      <c r="AH487" s="191">
        <f>65+5</f>
        <v>70</v>
      </c>
      <c r="AI487" s="69">
        <f t="shared" si="101"/>
        <v>80</v>
      </c>
    </row>
    <row r="488" spans="1:38" s="69" customFormat="1" ht="42" x14ac:dyDescent="0.3">
      <c r="A488" s="130" t="s">
        <v>1261</v>
      </c>
      <c r="B488" s="131" t="s">
        <v>1262</v>
      </c>
      <c r="C488" s="132" t="s">
        <v>14</v>
      </c>
      <c r="D488" s="133">
        <v>1</v>
      </c>
      <c r="E488" s="75"/>
      <c r="F488" s="75"/>
      <c r="G488" s="75"/>
      <c r="H488" s="75"/>
      <c r="I488" s="75">
        <v>261478.99</v>
      </c>
      <c r="J488" s="75">
        <v>261478.99</v>
      </c>
      <c r="K488" s="91" t="s">
        <v>1263</v>
      </c>
      <c r="L488" s="73"/>
      <c r="M488" s="46">
        <v>1</v>
      </c>
      <c r="N488" s="46">
        <v>0</v>
      </c>
      <c r="O488" s="46">
        <v>261478.99</v>
      </c>
      <c r="P488" s="98"/>
      <c r="Q488" s="23" t="s">
        <v>1395</v>
      </c>
      <c r="R488" s="24" t="s">
        <v>1262</v>
      </c>
      <c r="S488" s="25" t="s">
        <v>14</v>
      </c>
      <c r="T488" s="26">
        <v>1</v>
      </c>
      <c r="U488" s="26">
        <v>1</v>
      </c>
      <c r="V488" s="26">
        <v>261478.99</v>
      </c>
      <c r="W488" s="127">
        <f t="shared" si="103"/>
        <v>0</v>
      </c>
      <c r="X488" s="127">
        <f t="shared" si="100"/>
        <v>1</v>
      </c>
      <c r="Y488" s="127">
        <f t="shared" si="104"/>
        <v>0</v>
      </c>
      <c r="Z488" s="127">
        <f t="shared" si="105"/>
        <v>261478.99</v>
      </c>
      <c r="AA488" s="33" t="s">
        <v>1499</v>
      </c>
      <c r="AB488" s="36" t="s">
        <v>16</v>
      </c>
      <c r="AC488" s="181">
        <f t="shared" si="107"/>
        <v>1</v>
      </c>
      <c r="AD488" s="181">
        <f t="shared" si="106"/>
        <v>261478.99</v>
      </c>
      <c r="AE488" s="181">
        <v>6</v>
      </c>
      <c r="AF488" s="181">
        <v>6</v>
      </c>
      <c r="AG488" s="101" t="str">
        <f t="shared" si="108"/>
        <v/>
      </c>
      <c r="AH488" s="190">
        <v>1</v>
      </c>
      <c r="AI488" s="69">
        <f t="shared" si="101"/>
        <v>1</v>
      </c>
    </row>
    <row r="489" spans="1:38" s="69" customFormat="1" ht="39" x14ac:dyDescent="0.3">
      <c r="A489" s="55" t="s">
        <v>1264</v>
      </c>
      <c r="B489" s="53" t="s">
        <v>1265</v>
      </c>
      <c r="C489" s="54" t="s">
        <v>30</v>
      </c>
      <c r="D489" s="75">
        <v>5000</v>
      </c>
      <c r="E489" s="75"/>
      <c r="F489" s="75"/>
      <c r="G489" s="75"/>
      <c r="H489" s="75"/>
      <c r="I489" s="75">
        <v>13</v>
      </c>
      <c r="J489" s="75">
        <v>65000</v>
      </c>
      <c r="K489" s="91" t="s">
        <v>1266</v>
      </c>
      <c r="L489" s="73"/>
      <c r="M489" s="46">
        <v>1250</v>
      </c>
      <c r="N489" s="46">
        <v>16250</v>
      </c>
      <c r="O489" s="46">
        <v>16250</v>
      </c>
      <c r="P489" s="98"/>
      <c r="Q489" s="23" t="s">
        <v>1432</v>
      </c>
      <c r="R489" s="24" t="s">
        <v>1265</v>
      </c>
      <c r="S489" s="25" t="s">
        <v>30</v>
      </c>
      <c r="T489" s="26">
        <v>5000</v>
      </c>
      <c r="U489" s="26">
        <v>5000</v>
      </c>
      <c r="V489" s="26">
        <v>13</v>
      </c>
      <c r="W489" s="243">
        <f t="shared" si="103"/>
        <v>1255</v>
      </c>
      <c r="X489" s="26">
        <f t="shared" si="100"/>
        <v>2505</v>
      </c>
      <c r="Y489" s="26">
        <f t="shared" si="104"/>
        <v>16315</v>
      </c>
      <c r="Z489" s="26">
        <f t="shared" si="105"/>
        <v>32565</v>
      </c>
      <c r="AA489" s="33" t="s">
        <v>15</v>
      </c>
      <c r="AB489" s="36" t="s">
        <v>16</v>
      </c>
      <c r="AC489" s="181">
        <f t="shared" si="107"/>
        <v>5000</v>
      </c>
      <c r="AD489" s="181">
        <f t="shared" si="106"/>
        <v>65000</v>
      </c>
      <c r="AE489" s="181">
        <v>6</v>
      </c>
      <c r="AF489" s="181">
        <v>6</v>
      </c>
      <c r="AG489" s="101" t="str">
        <f t="shared" si="108"/>
        <v/>
      </c>
      <c r="AH489" s="191">
        <f>1250+1255</f>
        <v>2505</v>
      </c>
      <c r="AI489" s="69">
        <f t="shared" si="101"/>
        <v>5000</v>
      </c>
    </row>
    <row r="490" spans="1:38" s="69" customFormat="1" ht="39" x14ac:dyDescent="0.3">
      <c r="A490" s="55" t="s">
        <v>1267</v>
      </c>
      <c r="B490" s="53" t="s">
        <v>1268</v>
      </c>
      <c r="C490" s="54" t="s">
        <v>1269</v>
      </c>
      <c r="D490" s="75">
        <v>48</v>
      </c>
      <c r="E490" s="75"/>
      <c r="F490" s="75"/>
      <c r="G490" s="75"/>
      <c r="H490" s="75"/>
      <c r="I490" s="75">
        <v>47468</v>
      </c>
      <c r="J490" s="75">
        <v>2278464</v>
      </c>
      <c r="K490" s="91" t="s">
        <v>1270</v>
      </c>
      <c r="L490" s="73"/>
      <c r="M490" s="46">
        <v>44</v>
      </c>
      <c r="N490" s="46">
        <v>94936</v>
      </c>
      <c r="O490" s="46">
        <v>2088592</v>
      </c>
      <c r="P490" s="98"/>
      <c r="Q490" s="23" t="s">
        <v>1433</v>
      </c>
      <c r="R490" s="24" t="s">
        <v>1268</v>
      </c>
      <c r="S490" s="25" t="s">
        <v>1269</v>
      </c>
      <c r="T490" s="26">
        <v>48</v>
      </c>
      <c r="U490" s="26">
        <v>48</v>
      </c>
      <c r="V490" s="26">
        <v>47468</v>
      </c>
      <c r="W490" s="250">
        <f t="shared" si="103"/>
        <v>2</v>
      </c>
      <c r="X490" s="26">
        <f t="shared" si="100"/>
        <v>46</v>
      </c>
      <c r="Y490" s="26">
        <f>Z490-O490</f>
        <v>94936</v>
      </c>
      <c r="Z490" s="26">
        <f t="shared" si="105"/>
        <v>2183528</v>
      </c>
      <c r="AA490" s="33" t="s">
        <v>15</v>
      </c>
      <c r="AB490" s="36" t="s">
        <v>16</v>
      </c>
      <c r="AC490" s="181">
        <f t="shared" si="107"/>
        <v>48</v>
      </c>
      <c r="AD490" s="181">
        <f t="shared" si="106"/>
        <v>2278464</v>
      </c>
      <c r="AE490" s="181">
        <v>6</v>
      </c>
      <c r="AF490" s="181">
        <v>6</v>
      </c>
      <c r="AG490" s="101" t="str">
        <f t="shared" si="108"/>
        <v/>
      </c>
      <c r="AH490" s="191">
        <f>39+1+2+2+2</f>
        <v>46</v>
      </c>
      <c r="AI490" s="69">
        <f t="shared" si="101"/>
        <v>48</v>
      </c>
    </row>
    <row r="491" spans="1:38" s="69" customFormat="1" ht="39" x14ac:dyDescent="0.3">
      <c r="A491" s="55" t="s">
        <v>1271</v>
      </c>
      <c r="B491" s="53" t="s">
        <v>1272</v>
      </c>
      <c r="C491" s="54" t="s">
        <v>14</v>
      </c>
      <c r="D491" s="75">
        <v>1</v>
      </c>
      <c r="E491" s="75"/>
      <c r="F491" s="75"/>
      <c r="G491" s="75"/>
      <c r="H491" s="75"/>
      <c r="I491" s="75">
        <v>111233.97</v>
      </c>
      <c r="J491" s="75">
        <v>111233.97</v>
      </c>
      <c r="K491" s="91" t="s">
        <v>1273</v>
      </c>
      <c r="L491" s="73"/>
      <c r="M491" s="46">
        <v>0.8</v>
      </c>
      <c r="N491" s="46">
        <v>22246.799999999988</v>
      </c>
      <c r="O491" s="46">
        <v>88987.18</v>
      </c>
      <c r="P491" s="98"/>
      <c r="Q491" s="23" t="s">
        <v>1382</v>
      </c>
      <c r="R491" s="24" t="s">
        <v>1272</v>
      </c>
      <c r="S491" s="25" t="s">
        <v>14</v>
      </c>
      <c r="T491" s="26">
        <v>1</v>
      </c>
      <c r="U491" s="26">
        <v>1</v>
      </c>
      <c r="V491" s="26">
        <v>111233.97</v>
      </c>
      <c r="W491" s="243">
        <f t="shared" si="103"/>
        <v>5.0000000000000044E-2</v>
      </c>
      <c r="X491" s="26">
        <f t="shared" si="100"/>
        <v>0.85000000000000009</v>
      </c>
      <c r="Y491" s="136">
        <f>Z491-O491</f>
        <v>5561.6900000000023</v>
      </c>
      <c r="Z491" s="26">
        <f>ROUND(V491*X491,2)</f>
        <v>94548.87</v>
      </c>
      <c r="AA491" s="33" t="s">
        <v>15</v>
      </c>
      <c r="AB491" s="36" t="s">
        <v>16</v>
      </c>
      <c r="AC491" s="181">
        <f t="shared" si="107"/>
        <v>1</v>
      </c>
      <c r="AD491" s="181">
        <f t="shared" si="106"/>
        <v>111233.97</v>
      </c>
      <c r="AE491" s="181">
        <v>6</v>
      </c>
      <c r="AF491" s="181">
        <v>6</v>
      </c>
      <c r="AG491" s="101" t="str">
        <f t="shared" si="108"/>
        <v/>
      </c>
      <c r="AH491" s="191">
        <f>0.8+0.05</f>
        <v>0.85000000000000009</v>
      </c>
      <c r="AI491" s="69">
        <f t="shared" si="101"/>
        <v>1</v>
      </c>
      <c r="AL491" s="69">
        <f>O491/Z491</f>
        <v>0.9411765576891612</v>
      </c>
    </row>
    <row r="492" spans="1:38" s="69" customFormat="1" ht="33" x14ac:dyDescent="0.3">
      <c r="A492" s="85" t="s">
        <v>1274</v>
      </c>
      <c r="B492" s="86" t="s">
        <v>1275</v>
      </c>
      <c r="C492" s="87" t="s">
        <v>14</v>
      </c>
      <c r="D492" s="88">
        <v>1</v>
      </c>
      <c r="E492" s="88"/>
      <c r="F492" s="88"/>
      <c r="G492" s="88"/>
      <c r="H492" s="88"/>
      <c r="I492" s="88"/>
      <c r="J492" s="88">
        <v>2884379.96</v>
      </c>
      <c r="K492" s="95" t="s">
        <v>15</v>
      </c>
      <c r="L492" s="73"/>
      <c r="M492" s="42">
        <v>1</v>
      </c>
      <c r="N492" s="42">
        <v>155527.60000000003</v>
      </c>
      <c r="O492" s="42">
        <v>2573324.77</v>
      </c>
      <c r="P492" s="98"/>
      <c r="Q492" s="13" t="s">
        <v>1416</v>
      </c>
      <c r="R492" s="14" t="s">
        <v>1275</v>
      </c>
      <c r="S492" s="15" t="s">
        <v>14</v>
      </c>
      <c r="T492" s="16">
        <v>1</v>
      </c>
      <c r="U492" s="16"/>
      <c r="V492" s="16">
        <f>SUMIFS(AD:AD,AE:AE,AE492)</f>
        <v>2884379.96</v>
      </c>
      <c r="W492" s="16">
        <f t="shared" ref="W492:X492" si="109">IF(Y492=0,0,1)</f>
        <v>1</v>
      </c>
      <c r="X492" s="16">
        <f t="shared" si="109"/>
        <v>1</v>
      </c>
      <c r="Y492" s="16">
        <f>SUMIFS(Y:Y,AF:AF,AE492)</f>
        <v>125231.79999999999</v>
      </c>
      <c r="Z492" s="16">
        <f>SUMIFS(Z:Z,AF:AF,AE492)</f>
        <v>2698556.57</v>
      </c>
      <c r="AA492" s="17" t="s">
        <v>15</v>
      </c>
      <c r="AB492" s="40" t="s">
        <v>16</v>
      </c>
      <c r="AC492" s="181">
        <f t="shared" si="107"/>
        <v>1</v>
      </c>
      <c r="AD492" s="183"/>
      <c r="AE492" s="183">
        <v>7</v>
      </c>
      <c r="AF492" s="183"/>
      <c r="AG492" s="101" t="str">
        <f t="shared" si="108"/>
        <v/>
      </c>
      <c r="AH492" s="190">
        <v>1</v>
      </c>
      <c r="AI492" s="69">
        <f t="shared" si="101"/>
        <v>1</v>
      </c>
    </row>
    <row r="493" spans="1:38" s="69" customFormat="1" ht="39" x14ac:dyDescent="0.3">
      <c r="A493" s="55" t="s">
        <v>1276</v>
      </c>
      <c r="B493" s="53" t="s">
        <v>1277</v>
      </c>
      <c r="C493" s="54" t="s">
        <v>1269</v>
      </c>
      <c r="D493" s="75">
        <v>48</v>
      </c>
      <c r="E493" s="75"/>
      <c r="F493" s="75"/>
      <c r="G493" s="75"/>
      <c r="H493" s="75"/>
      <c r="I493" s="75">
        <v>47468</v>
      </c>
      <c r="J493" s="75">
        <v>2278464</v>
      </c>
      <c r="K493" s="91" t="s">
        <v>1278</v>
      </c>
      <c r="L493" s="73"/>
      <c r="M493" s="46">
        <v>44</v>
      </c>
      <c r="N493" s="46">
        <v>94936</v>
      </c>
      <c r="O493" s="46">
        <v>2088592</v>
      </c>
      <c r="P493" s="98"/>
      <c r="Q493" s="23" t="s">
        <v>1421</v>
      </c>
      <c r="R493" s="24" t="s">
        <v>1277</v>
      </c>
      <c r="S493" s="25" t="s">
        <v>1269</v>
      </c>
      <c r="T493" s="26">
        <v>48</v>
      </c>
      <c r="U493" s="26">
        <v>48</v>
      </c>
      <c r="V493" s="26">
        <v>47468</v>
      </c>
      <c r="W493" s="250">
        <f t="shared" ref="W493:W494" si="110">AH493-M493</f>
        <v>2</v>
      </c>
      <c r="X493" s="26">
        <f t="shared" si="100"/>
        <v>46</v>
      </c>
      <c r="Y493" s="26">
        <f>Z493-O493</f>
        <v>94936</v>
      </c>
      <c r="Z493" s="26">
        <f t="shared" ref="Z493:Z494" si="111">ROUND(V493*X493,2)</f>
        <v>2183528</v>
      </c>
      <c r="AA493" s="33" t="s">
        <v>15</v>
      </c>
      <c r="AB493" s="36" t="s">
        <v>16</v>
      </c>
      <c r="AC493" s="181">
        <f t="shared" si="107"/>
        <v>48</v>
      </c>
      <c r="AD493" s="181">
        <f t="shared" ref="AD493:AD494" si="112">ROUND(V493*AC493,2)</f>
        <v>2278464</v>
      </c>
      <c r="AE493" s="181">
        <v>7</v>
      </c>
      <c r="AF493" s="181">
        <v>7</v>
      </c>
      <c r="AG493" s="101" t="str">
        <f t="shared" si="108"/>
        <v/>
      </c>
      <c r="AH493" s="191">
        <f>39+1+2+2+2</f>
        <v>46</v>
      </c>
      <c r="AI493" s="69">
        <f t="shared" si="101"/>
        <v>48</v>
      </c>
    </row>
    <row r="494" spans="1:38" s="69" customFormat="1" ht="33" x14ac:dyDescent="0.3">
      <c r="A494" s="55" t="s">
        <v>1279</v>
      </c>
      <c r="B494" s="53" t="s">
        <v>1280</v>
      </c>
      <c r="C494" s="54" t="s">
        <v>14</v>
      </c>
      <c r="D494" s="75">
        <v>1</v>
      </c>
      <c r="E494" s="75"/>
      <c r="F494" s="75"/>
      <c r="G494" s="75"/>
      <c r="H494" s="75"/>
      <c r="I494" s="75">
        <v>605915.96</v>
      </c>
      <c r="J494" s="75">
        <v>605915.96</v>
      </c>
      <c r="K494" s="91" t="s">
        <v>1281</v>
      </c>
      <c r="L494" s="73"/>
      <c r="M494" s="46">
        <v>0.8</v>
      </c>
      <c r="N494" s="46">
        <v>60591.600000000035</v>
      </c>
      <c r="O494" s="46">
        <v>484732.77</v>
      </c>
      <c r="P494" s="98"/>
      <c r="Q494" s="23" t="s">
        <v>1426</v>
      </c>
      <c r="R494" s="24" t="s">
        <v>1280</v>
      </c>
      <c r="S494" s="25" t="s">
        <v>14</v>
      </c>
      <c r="T494" s="26">
        <v>1</v>
      </c>
      <c r="U494" s="26">
        <v>1</v>
      </c>
      <c r="V494" s="26">
        <v>605915.96</v>
      </c>
      <c r="W494" s="243">
        <f t="shared" si="110"/>
        <v>5.0000000000000044E-2</v>
      </c>
      <c r="X494" s="26">
        <f t="shared" si="100"/>
        <v>0.85000000000000009</v>
      </c>
      <c r="Y494" s="136">
        <f>Z494-O494</f>
        <v>30295.799999999988</v>
      </c>
      <c r="Z494" s="26">
        <f t="shared" si="111"/>
        <v>515028.57</v>
      </c>
      <c r="AA494" s="33" t="s">
        <v>15</v>
      </c>
      <c r="AB494" s="36" t="s">
        <v>16</v>
      </c>
      <c r="AC494" s="181">
        <f t="shared" si="107"/>
        <v>1</v>
      </c>
      <c r="AD494" s="181">
        <f t="shared" si="112"/>
        <v>605915.96</v>
      </c>
      <c r="AE494" s="181">
        <v>7</v>
      </c>
      <c r="AF494" s="181">
        <v>7</v>
      </c>
      <c r="AG494" s="101" t="str">
        <f t="shared" si="108"/>
        <v/>
      </c>
      <c r="AH494" s="191">
        <f>0.8+0.05</f>
        <v>0.85000000000000009</v>
      </c>
      <c r="AI494" s="69">
        <f t="shared" si="101"/>
        <v>1</v>
      </c>
      <c r="AL494" s="69">
        <f>O494/Z494</f>
        <v>0.94117646716181202</v>
      </c>
    </row>
    <row r="495" spans="1:38" s="69" customFormat="1" ht="63" x14ac:dyDescent="0.3">
      <c r="A495" s="85" t="s">
        <v>1282</v>
      </c>
      <c r="B495" s="86" t="s">
        <v>1283</v>
      </c>
      <c r="C495" s="87" t="s">
        <v>14</v>
      </c>
      <c r="D495" s="88">
        <v>1</v>
      </c>
      <c r="E495" s="88"/>
      <c r="F495" s="88"/>
      <c r="G495" s="88"/>
      <c r="H495" s="88"/>
      <c r="I495" s="88"/>
      <c r="J495" s="88">
        <v>37525596.329999998</v>
      </c>
      <c r="K495" s="95" t="s">
        <v>1284</v>
      </c>
      <c r="L495" s="73"/>
      <c r="M495" s="42">
        <v>1</v>
      </c>
      <c r="N495" s="42">
        <v>869200.47999997437</v>
      </c>
      <c r="O495" s="42">
        <v>30421035.869999953</v>
      </c>
      <c r="P495" s="98"/>
      <c r="Q495" s="28" t="s">
        <v>1417</v>
      </c>
      <c r="R495" s="29" t="s">
        <v>1283</v>
      </c>
      <c r="S495" s="30" t="s">
        <v>14</v>
      </c>
      <c r="T495" s="31">
        <v>1</v>
      </c>
      <c r="U495" s="31"/>
      <c r="V495" s="31">
        <v>37525596.329999998</v>
      </c>
      <c r="W495" s="31">
        <f t="shared" ref="W495:X496" si="113">IF(Y495=0,0,1)</f>
        <v>1</v>
      </c>
      <c r="X495" s="31">
        <f t="shared" si="113"/>
        <v>1</v>
      </c>
      <c r="Y495" s="31">
        <f>Z495-O495</f>
        <v>1461631.1100000665</v>
      </c>
      <c r="Z495" s="31">
        <f>Z7-Z8-Z377-Z407-Z447-Z451-Z472-Z492-Z496-Z498</f>
        <v>31882666.980000019</v>
      </c>
      <c r="AA495" s="32" t="s">
        <v>1418</v>
      </c>
      <c r="AB495" s="40" t="s">
        <v>16</v>
      </c>
      <c r="AC495" s="181">
        <f t="shared" si="107"/>
        <v>1</v>
      </c>
      <c r="AD495" s="183"/>
      <c r="AE495" s="183">
        <v>8</v>
      </c>
      <c r="AF495" s="183"/>
      <c r="AG495" s="101" t="str">
        <f t="shared" si="108"/>
        <v/>
      </c>
      <c r="AH495" s="190">
        <v>1</v>
      </c>
      <c r="AI495" s="69">
        <f t="shared" si="101"/>
        <v>1</v>
      </c>
    </row>
    <row r="496" spans="1:38" s="69" customFormat="1" ht="157.5" x14ac:dyDescent="0.3">
      <c r="A496" s="85" t="s">
        <v>1285</v>
      </c>
      <c r="B496" s="86" t="s">
        <v>1286</v>
      </c>
      <c r="C496" s="87" t="s">
        <v>14</v>
      </c>
      <c r="D496" s="88">
        <v>1</v>
      </c>
      <c r="E496" s="88"/>
      <c r="F496" s="88"/>
      <c r="G496" s="88"/>
      <c r="H496" s="88"/>
      <c r="I496" s="88"/>
      <c r="J496" s="88">
        <v>3336000</v>
      </c>
      <c r="K496" s="95" t="s">
        <v>1287</v>
      </c>
      <c r="L496" s="73"/>
      <c r="M496" s="42">
        <v>1</v>
      </c>
      <c r="N496" s="42">
        <v>471600</v>
      </c>
      <c r="O496" s="42">
        <v>3335100</v>
      </c>
      <c r="P496" s="98"/>
      <c r="Q496" s="13" t="s">
        <v>1419</v>
      </c>
      <c r="R496" s="14" t="s">
        <v>1286</v>
      </c>
      <c r="S496" s="15" t="s">
        <v>14</v>
      </c>
      <c r="T496" s="16">
        <v>1</v>
      </c>
      <c r="U496" s="16"/>
      <c r="V496" s="16">
        <f>SUMIFS(AD:AD,AE:AE,AE496)</f>
        <v>3336000</v>
      </c>
      <c r="W496" s="16">
        <f t="shared" si="113"/>
        <v>0</v>
      </c>
      <c r="X496" s="16">
        <f t="shared" si="113"/>
        <v>1</v>
      </c>
      <c r="Y496" s="16">
        <f>SUMIFS(Y:Y,AF:AF,AE496)</f>
        <v>0</v>
      </c>
      <c r="Z496" s="16">
        <f>SUMIFS(Z:Z,AF:AF,AE496)</f>
        <v>3335100</v>
      </c>
      <c r="AA496" s="17" t="s">
        <v>1287</v>
      </c>
      <c r="AB496" s="40" t="s">
        <v>16</v>
      </c>
      <c r="AC496" s="181">
        <f t="shared" si="107"/>
        <v>1</v>
      </c>
      <c r="AD496" s="183"/>
      <c r="AE496" s="183">
        <v>9</v>
      </c>
      <c r="AF496" s="183"/>
      <c r="AG496" s="101" t="str">
        <f t="shared" si="108"/>
        <v/>
      </c>
      <c r="AH496" s="190">
        <v>1</v>
      </c>
      <c r="AI496" s="69">
        <f t="shared" si="101"/>
        <v>1</v>
      </c>
    </row>
    <row r="497" spans="1:35" s="69" customFormat="1" ht="33" x14ac:dyDescent="0.3">
      <c r="A497" s="55" t="s">
        <v>1288</v>
      </c>
      <c r="B497" s="53" t="s">
        <v>1286</v>
      </c>
      <c r="C497" s="54" t="s">
        <v>23</v>
      </c>
      <c r="D497" s="75">
        <v>22240</v>
      </c>
      <c r="E497" s="75"/>
      <c r="F497" s="75"/>
      <c r="G497" s="75"/>
      <c r="H497" s="75"/>
      <c r="I497" s="75">
        <v>150</v>
      </c>
      <c r="J497" s="75">
        <v>3336000</v>
      </c>
      <c r="K497" s="91" t="s">
        <v>1289</v>
      </c>
      <c r="L497" s="73"/>
      <c r="M497" s="46">
        <v>22234</v>
      </c>
      <c r="N497" s="46">
        <v>471600</v>
      </c>
      <c r="O497" s="46">
        <v>3335100</v>
      </c>
      <c r="P497" s="98"/>
      <c r="Q497" s="23" t="s">
        <v>1421</v>
      </c>
      <c r="R497" s="24" t="s">
        <v>1286</v>
      </c>
      <c r="S497" s="25" t="s">
        <v>23</v>
      </c>
      <c r="T497" s="26">
        <v>22240</v>
      </c>
      <c r="U497" s="26">
        <v>22240</v>
      </c>
      <c r="V497" s="26">
        <v>150</v>
      </c>
      <c r="W497" s="103">
        <f t="shared" ref="W497" si="114">AH497-M497</f>
        <v>0</v>
      </c>
      <c r="X497" s="26">
        <f t="shared" ref="X497" si="115">W497+M497</f>
        <v>22234</v>
      </c>
      <c r="Y497" s="26">
        <f>Z497-O497</f>
        <v>0</v>
      </c>
      <c r="Z497" s="26">
        <f>ROUND(V497*X497,2)</f>
        <v>3335100</v>
      </c>
      <c r="AA497" s="33" t="s">
        <v>15</v>
      </c>
      <c r="AB497" s="36" t="s">
        <v>16</v>
      </c>
      <c r="AC497" s="181">
        <f t="shared" si="107"/>
        <v>22240</v>
      </c>
      <c r="AD497" s="181">
        <f t="shared" ref="AD497" si="116">ROUND(V497*AC497,2)</f>
        <v>3336000</v>
      </c>
      <c r="AE497" s="181">
        <v>9</v>
      </c>
      <c r="AF497" s="181">
        <v>9</v>
      </c>
      <c r="AG497" s="101" t="str">
        <f t="shared" si="108"/>
        <v/>
      </c>
      <c r="AH497" s="190">
        <v>22234</v>
      </c>
      <c r="AI497" s="69">
        <f t="shared" si="101"/>
        <v>22240</v>
      </c>
    </row>
    <row r="498" spans="1:35" s="69" customFormat="1" ht="178.5" x14ac:dyDescent="0.3">
      <c r="A498" s="85" t="s">
        <v>1290</v>
      </c>
      <c r="B498" s="86" t="s">
        <v>1291</v>
      </c>
      <c r="C498" s="87" t="s">
        <v>14</v>
      </c>
      <c r="D498" s="88">
        <v>1</v>
      </c>
      <c r="E498" s="88"/>
      <c r="F498" s="88"/>
      <c r="G498" s="88"/>
      <c r="H498" s="88"/>
      <c r="I498" s="88"/>
      <c r="J498" s="88">
        <v>212800</v>
      </c>
      <c r="K498" s="95" t="s">
        <v>1292</v>
      </c>
      <c r="L498" s="73"/>
      <c r="M498" s="42">
        <v>1</v>
      </c>
      <c r="N498" s="42">
        <v>0</v>
      </c>
      <c r="O498" s="42">
        <v>212800</v>
      </c>
      <c r="P498" s="98"/>
      <c r="Q498" s="13" t="s">
        <v>1420</v>
      </c>
      <c r="R498" s="14" t="s">
        <v>1291</v>
      </c>
      <c r="S498" s="15" t="s">
        <v>14</v>
      </c>
      <c r="T498" s="16">
        <v>1</v>
      </c>
      <c r="U498" s="16"/>
      <c r="V498" s="16">
        <f>SUMIFS(AD:AD,AE:AE,AE498)</f>
        <v>212800</v>
      </c>
      <c r="W498" s="16">
        <f t="shared" ref="W498:X498" si="117">IF(Y498=0,0,1)</f>
        <v>0</v>
      </c>
      <c r="X498" s="16">
        <f t="shared" si="117"/>
        <v>1</v>
      </c>
      <c r="Y498" s="16">
        <f>SUMIFS(Y:Y,AF:AF,AE498)</f>
        <v>0</v>
      </c>
      <c r="Z498" s="16">
        <f>SUMIFS(Z:Z,AF:AF,AE498)</f>
        <v>212800</v>
      </c>
      <c r="AA498" s="17" t="s">
        <v>1292</v>
      </c>
      <c r="AB498" s="40" t="s">
        <v>16</v>
      </c>
      <c r="AC498" s="181">
        <f t="shared" si="107"/>
        <v>1</v>
      </c>
      <c r="AD498" s="183"/>
      <c r="AE498" s="183">
        <v>10</v>
      </c>
      <c r="AF498" s="183"/>
      <c r="AG498" s="101" t="str">
        <f t="shared" si="108"/>
        <v/>
      </c>
      <c r="AH498" s="190">
        <v>1</v>
      </c>
      <c r="AI498" s="69">
        <f t="shared" si="101"/>
        <v>1</v>
      </c>
    </row>
    <row r="499" spans="1:35" s="69" customFormat="1" ht="33" x14ac:dyDescent="0.3">
      <c r="A499" s="55" t="s">
        <v>1293</v>
      </c>
      <c r="B499" s="53" t="s">
        <v>1294</v>
      </c>
      <c r="C499" s="54" t="s">
        <v>50</v>
      </c>
      <c r="D499" s="75">
        <v>3800</v>
      </c>
      <c r="E499" s="75"/>
      <c r="F499" s="75"/>
      <c r="G499" s="75"/>
      <c r="H499" s="75"/>
      <c r="I499" s="75">
        <v>56</v>
      </c>
      <c r="J499" s="75">
        <v>212800</v>
      </c>
      <c r="K499" s="91" t="s">
        <v>1295</v>
      </c>
      <c r="L499" s="73"/>
      <c r="M499" s="46">
        <v>3800</v>
      </c>
      <c r="N499" s="46">
        <v>0</v>
      </c>
      <c r="O499" s="46">
        <v>212800</v>
      </c>
      <c r="P499" s="98"/>
      <c r="Q499" s="23" t="s">
        <v>1421</v>
      </c>
      <c r="R499" s="24" t="s">
        <v>1294</v>
      </c>
      <c r="S499" s="25" t="s">
        <v>50</v>
      </c>
      <c r="T499" s="26">
        <v>3800</v>
      </c>
      <c r="U499" s="26">
        <v>3800</v>
      </c>
      <c r="V499" s="26">
        <v>56</v>
      </c>
      <c r="W499" s="26">
        <f t="shared" ref="W499" si="118">AH499-M499</f>
        <v>0</v>
      </c>
      <c r="X499" s="26">
        <f t="shared" ref="X499" si="119">W499+M499</f>
        <v>3800</v>
      </c>
      <c r="Y499" s="26">
        <v>0</v>
      </c>
      <c r="Z499" s="26">
        <f t="shared" ref="Z499" si="120">ROUND(V499*X499,2)</f>
        <v>212800</v>
      </c>
      <c r="AA499" s="33" t="s">
        <v>15</v>
      </c>
      <c r="AB499" s="36" t="s">
        <v>16</v>
      </c>
      <c r="AC499" s="181">
        <f t="shared" si="107"/>
        <v>3800</v>
      </c>
      <c r="AD499" s="181">
        <f t="shared" ref="AD499" si="121">ROUND(V499*AC499,2)</f>
        <v>212800</v>
      </c>
      <c r="AE499" s="181">
        <v>10</v>
      </c>
      <c r="AF499" s="181">
        <v>10</v>
      </c>
      <c r="AG499" s="101" t="str">
        <f t="shared" si="108"/>
        <v/>
      </c>
      <c r="AH499" s="190">
        <v>3800</v>
      </c>
      <c r="AI499" s="69">
        <f t="shared" si="101"/>
        <v>3800</v>
      </c>
    </row>
    <row r="500" spans="1:35" s="69" customFormat="1" ht="33" x14ac:dyDescent="0.3">
      <c r="A500" s="52"/>
      <c r="B500" s="53" t="s">
        <v>1296</v>
      </c>
      <c r="C500" s="54"/>
      <c r="D500" s="75"/>
      <c r="E500" s="75"/>
      <c r="F500" s="75"/>
      <c r="G500" s="75"/>
      <c r="H500" s="75"/>
      <c r="I500" s="75"/>
      <c r="J500" s="75"/>
      <c r="K500" s="91"/>
      <c r="L500" s="73"/>
      <c r="M500" s="46"/>
      <c r="N500" s="46">
        <v>9355400</v>
      </c>
      <c r="O500" s="46">
        <v>284759600</v>
      </c>
      <c r="P500" s="98"/>
      <c r="Q500" s="23" t="s">
        <v>1421</v>
      </c>
      <c r="R500" s="24" t="s">
        <v>1422</v>
      </c>
      <c r="S500" s="25"/>
      <c r="T500" s="26"/>
      <c r="U500" s="26"/>
      <c r="V500" s="26"/>
      <c r="W500" s="26"/>
      <c r="X500" s="26"/>
      <c r="Y500" s="26">
        <f>Y8+Y377+Y407+Y447+Y451+Y472+Y492+Y495+Y496+Y498</f>
        <v>14809200.000000067</v>
      </c>
      <c r="Z500" s="26">
        <f>ROUNDDOWN((Z8+Z377+Z407+Z447+Z451+Z472+Z492+Z496+Z498+(Z8+Z377+Z407+Z447+Z451+Z472+Z492)*0.1095000004)/1000,1)*1000</f>
        <v>326596600</v>
      </c>
      <c r="AA500" s="33"/>
      <c r="AB500" s="36" t="s">
        <v>16</v>
      </c>
      <c r="AC500" s="181"/>
      <c r="AD500" s="181"/>
      <c r="AE500" s="181"/>
      <c r="AF500" s="181"/>
      <c r="AG500" s="101" t="str">
        <f t="shared" si="108"/>
        <v/>
      </c>
      <c r="AH500" s="190"/>
      <c r="AI500" s="69">
        <f t="shared" si="101"/>
        <v>0</v>
      </c>
    </row>
    <row r="501" spans="1:35" s="69" customFormat="1" ht="33" x14ac:dyDescent="0.3">
      <c r="A501" s="52"/>
      <c r="B501" s="53" t="s">
        <v>1297</v>
      </c>
      <c r="C501" s="54"/>
      <c r="D501" s="75"/>
      <c r="E501" s="75"/>
      <c r="F501" s="75"/>
      <c r="G501" s="75"/>
      <c r="H501" s="75"/>
      <c r="I501" s="75"/>
      <c r="J501" s="75"/>
      <c r="K501" s="91"/>
      <c r="L501" s="73"/>
      <c r="M501" s="39"/>
      <c r="N501" s="39">
        <v>9675</v>
      </c>
      <c r="O501" s="39">
        <v>19291</v>
      </c>
      <c r="P501" s="98"/>
      <c r="Q501" s="8" t="s">
        <v>1505</v>
      </c>
      <c r="R501" s="9" t="s">
        <v>1506</v>
      </c>
      <c r="S501" s="10" t="s">
        <v>14</v>
      </c>
      <c r="T501" s="11"/>
      <c r="U501" s="11"/>
      <c r="V501" s="11"/>
      <c r="W501" s="11"/>
      <c r="X501" s="11"/>
      <c r="Y501" s="11">
        <v>9675</v>
      </c>
      <c r="Z501" s="11">
        <v>19291</v>
      </c>
      <c r="AA501" s="12" t="s">
        <v>15</v>
      </c>
      <c r="AB501" s="37" t="s">
        <v>16</v>
      </c>
      <c r="AC501" s="182"/>
      <c r="AD501" s="182">
        <v>295040.74</v>
      </c>
      <c r="AE501" s="182">
        <v>12929586.060000001</v>
      </c>
      <c r="AF501" s="182"/>
      <c r="AG501" s="101" t="str">
        <f t="shared" si="108"/>
        <v/>
      </c>
      <c r="AH501" s="190"/>
      <c r="AI501" s="69">
        <f t="shared" si="101"/>
        <v>0</v>
      </c>
    </row>
    <row r="502" spans="1:35" s="69" customFormat="1" ht="33" x14ac:dyDescent="0.3">
      <c r="A502" s="382" t="s">
        <v>1298</v>
      </c>
      <c r="B502" s="383"/>
      <c r="C502" s="383"/>
      <c r="D502" s="383"/>
      <c r="E502" s="383"/>
      <c r="F502" s="383"/>
      <c r="G502" s="383"/>
      <c r="H502" s="383"/>
      <c r="I502" s="383"/>
      <c r="J502" s="383"/>
      <c r="K502" s="384"/>
      <c r="L502" s="89"/>
      <c r="M502" s="46"/>
      <c r="N502" s="46">
        <v>2999475</v>
      </c>
      <c r="O502" s="46">
        <v>131240691</v>
      </c>
      <c r="P502" s="98"/>
      <c r="Q502" s="23" t="s">
        <v>1421</v>
      </c>
      <c r="R502" s="24" t="s">
        <v>1507</v>
      </c>
      <c r="S502" s="25"/>
      <c r="T502" s="26"/>
      <c r="U502" s="26"/>
      <c r="V502" s="26"/>
      <c r="W502" s="26"/>
      <c r="X502" s="26"/>
      <c r="Y502" s="26">
        <v>2999475</v>
      </c>
      <c r="Z502" s="26">
        <v>131240691</v>
      </c>
      <c r="AA502" s="33"/>
      <c r="AB502" s="36" t="s">
        <v>16</v>
      </c>
      <c r="AC502" s="181"/>
      <c r="AD502" s="181"/>
      <c r="AE502" s="181"/>
      <c r="AF502" s="181"/>
      <c r="AG502" s="101" t="str">
        <f t="shared" si="108"/>
        <v/>
      </c>
      <c r="AH502" s="190"/>
      <c r="AI502" s="69">
        <f t="shared" si="101"/>
        <v>0</v>
      </c>
    </row>
    <row r="503" spans="1:35" s="69" customFormat="1" ht="153" customHeight="1" x14ac:dyDescent="0.3">
      <c r="A503" s="390" t="s">
        <v>1299</v>
      </c>
      <c r="B503" s="391"/>
      <c r="C503" s="391"/>
      <c r="D503" s="391"/>
      <c r="E503" s="391"/>
      <c r="F503" s="391"/>
      <c r="G503" s="391"/>
      <c r="H503" s="391"/>
      <c r="I503" s="391"/>
      <c r="J503" s="391"/>
      <c r="K503" s="392"/>
      <c r="L503" s="90"/>
      <c r="M503" s="39"/>
      <c r="N503" s="39">
        <v>0</v>
      </c>
      <c r="O503" s="39">
        <v>737520</v>
      </c>
      <c r="P503" s="98"/>
      <c r="Q503" s="8" t="s">
        <v>1508</v>
      </c>
      <c r="R503" s="9" t="s">
        <v>1509</v>
      </c>
      <c r="S503" s="10" t="s">
        <v>14</v>
      </c>
      <c r="T503" s="11"/>
      <c r="U503" s="11"/>
      <c r="V503" s="11"/>
      <c r="W503" s="11"/>
      <c r="X503" s="11"/>
      <c r="Y503" s="11">
        <v>0</v>
      </c>
      <c r="Z503" s="11">
        <f>SUM(Z504:Z506)</f>
        <v>737520</v>
      </c>
      <c r="AA503" s="12" t="s">
        <v>15</v>
      </c>
      <c r="AB503" s="37" t="s">
        <v>16</v>
      </c>
      <c r="AC503" s="182"/>
      <c r="AD503" s="182"/>
      <c r="AE503" s="182"/>
      <c r="AF503" s="182"/>
      <c r="AG503" s="101" t="str">
        <f t="shared" si="108"/>
        <v/>
      </c>
      <c r="AH503" s="190"/>
      <c r="AI503" s="69">
        <f t="shared" si="101"/>
        <v>0</v>
      </c>
    </row>
    <row r="504" spans="1:35" ht="33" x14ac:dyDescent="0.3">
      <c r="M504" s="46">
        <v>519.42999999999995</v>
      </c>
      <c r="N504" s="46">
        <v>0</v>
      </c>
      <c r="O504" s="46">
        <v>298672</v>
      </c>
      <c r="P504" s="98"/>
      <c r="Q504" s="23" t="s">
        <v>1421</v>
      </c>
      <c r="R504" s="24" t="s">
        <v>1510</v>
      </c>
      <c r="S504" s="25" t="s">
        <v>23</v>
      </c>
      <c r="T504" s="26"/>
      <c r="U504" s="26"/>
      <c r="V504" s="26">
        <v>575</v>
      </c>
      <c r="W504" s="26">
        <f>X504-M504</f>
        <v>0</v>
      </c>
      <c r="X504" s="26">
        <v>519.42999999999995</v>
      </c>
      <c r="Y504" s="26">
        <f>Z504-O504</f>
        <v>0</v>
      </c>
      <c r="Z504" s="26">
        <f>ROUNDDOWN(V504*X504,0)</f>
        <v>298672</v>
      </c>
      <c r="AA504" s="33" t="s">
        <v>15</v>
      </c>
      <c r="AB504" s="36" t="s">
        <v>16</v>
      </c>
      <c r="AG504" s="101"/>
      <c r="AH504" s="185">
        <v>519.42999999999995</v>
      </c>
      <c r="AI504" s="69"/>
    </row>
    <row r="505" spans="1:35" ht="33" x14ac:dyDescent="0.3">
      <c r="M505" s="46">
        <v>0</v>
      </c>
      <c r="N505" s="46">
        <v>0</v>
      </c>
      <c r="O505" s="46">
        <v>0</v>
      </c>
      <c r="P505" s="98"/>
      <c r="Q505" s="23" t="s">
        <v>1426</v>
      </c>
      <c r="R505" s="24" t="s">
        <v>1511</v>
      </c>
      <c r="S505" s="25" t="s">
        <v>110</v>
      </c>
      <c r="T505" s="26"/>
      <c r="U505" s="26"/>
      <c r="V505" s="26">
        <v>20</v>
      </c>
      <c r="W505" s="26">
        <f>X505-M505</f>
        <v>0</v>
      </c>
      <c r="X505" s="26">
        <v>0</v>
      </c>
      <c r="Y505" s="26">
        <f>Z505-O505</f>
        <v>0</v>
      </c>
      <c r="Z505" s="26">
        <f>ROUNDDOWN(V505*X505,0)</f>
        <v>0</v>
      </c>
      <c r="AA505" s="33" t="s">
        <v>15</v>
      </c>
      <c r="AB505" s="36" t="s">
        <v>16</v>
      </c>
      <c r="AG505" s="101"/>
      <c r="AH505" s="185">
        <v>0</v>
      </c>
      <c r="AI505" s="69"/>
    </row>
    <row r="506" spans="1:35" ht="33" x14ac:dyDescent="0.3">
      <c r="M506" s="46">
        <v>54856</v>
      </c>
      <c r="N506" s="46">
        <v>0</v>
      </c>
      <c r="O506" s="46">
        <v>438848</v>
      </c>
      <c r="P506" s="98"/>
      <c r="Q506" s="23" t="s">
        <v>1402</v>
      </c>
      <c r="R506" s="24" t="s">
        <v>1512</v>
      </c>
      <c r="S506" s="25" t="s">
        <v>110</v>
      </c>
      <c r="T506" s="26"/>
      <c r="U506" s="26"/>
      <c r="V506" s="26">
        <v>8</v>
      </c>
      <c r="W506" s="26">
        <f>X506-M506</f>
        <v>0</v>
      </c>
      <c r="X506" s="26">
        <v>54856</v>
      </c>
      <c r="Y506" s="26">
        <f>Z506-O506</f>
        <v>0</v>
      </c>
      <c r="Z506" s="26">
        <f>ROUNDDOWN(V506*X506,0)</f>
        <v>438848</v>
      </c>
      <c r="AA506" s="33" t="s">
        <v>15</v>
      </c>
      <c r="AB506" s="36" t="s">
        <v>16</v>
      </c>
      <c r="AG506" s="101"/>
      <c r="AH506" s="185">
        <v>54856</v>
      </c>
      <c r="AI506" s="69"/>
    </row>
  </sheetData>
  <autoFilter ref="A6:K503" xr:uid="{745AA45A-1115-4D12-8076-1F56B440D015}"/>
  <mergeCells count="13">
    <mergeCell ref="A503:K503"/>
    <mergeCell ref="A5:I5"/>
    <mergeCell ref="J5:K5"/>
    <mergeCell ref="M5:O5"/>
    <mergeCell ref="Q5:X5"/>
    <mergeCell ref="Z5:AA5"/>
    <mergeCell ref="A502:K502"/>
    <mergeCell ref="A1:K1"/>
    <mergeCell ref="A2:K2"/>
    <mergeCell ref="A3:K3"/>
    <mergeCell ref="Q3:AA3"/>
    <mergeCell ref="A4:K4"/>
    <mergeCell ref="Q4:AA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FAC9-FDEE-4811-B31B-2D25E6521A90}">
  <dimension ref="A1:O2991"/>
  <sheetViews>
    <sheetView topLeftCell="A212" zoomScale="115" zoomScaleNormal="115" zoomScaleSheetLayoutView="100" workbookViewId="0">
      <selection activeCell="J217" sqref="J217"/>
    </sheetView>
  </sheetViews>
  <sheetFormatPr defaultColWidth="8.5" defaultRowHeight="12.75" customHeight="1" x14ac:dyDescent="0.2"/>
  <cols>
    <col min="1" max="1" width="7.875" style="107" customWidth="1"/>
    <col min="2" max="2" width="24.375" style="107" customWidth="1"/>
    <col min="3" max="3" width="5.5" style="107" customWidth="1"/>
    <col min="4" max="4" width="8.875" style="107" customWidth="1"/>
    <col min="5" max="5" width="9.875" style="107" customWidth="1"/>
    <col min="6" max="6" width="9" style="106" customWidth="1"/>
    <col min="7" max="7" width="14.625" style="106" customWidth="1"/>
    <col min="8" max="8" width="0.75" style="106" customWidth="1"/>
    <col min="9" max="9" width="4.5" style="105" customWidth="1"/>
    <col min="10" max="10" width="21.25" style="105" customWidth="1"/>
    <col min="11" max="16384" width="8.5" style="105"/>
  </cols>
  <sheetData>
    <row r="1" spans="1:8" ht="30.75" customHeight="1" x14ac:dyDescent="0.2">
      <c r="A1" s="398" t="s">
        <v>0</v>
      </c>
      <c r="B1" s="398"/>
      <c r="C1" s="398"/>
      <c r="D1" s="398"/>
      <c r="E1" s="398"/>
      <c r="F1" s="398"/>
      <c r="G1" s="398"/>
    </row>
    <row r="2" spans="1:8" ht="20.25" customHeight="1" x14ac:dyDescent="0.2">
      <c r="A2" s="398" t="s">
        <v>3060</v>
      </c>
      <c r="B2" s="398"/>
      <c r="C2" s="398"/>
      <c r="D2" s="398"/>
      <c r="E2" s="398"/>
      <c r="F2" s="398"/>
      <c r="G2" s="398"/>
    </row>
    <row r="3" spans="1:8" ht="16.5" customHeight="1" x14ac:dyDescent="0.2">
      <c r="A3" s="399"/>
      <c r="B3" s="399"/>
      <c r="C3" s="399"/>
      <c r="D3" s="399"/>
      <c r="E3" s="399"/>
      <c r="F3" s="399"/>
      <c r="G3" s="399"/>
    </row>
    <row r="4" spans="1:8" ht="16.5" customHeight="1" x14ac:dyDescent="0.2">
      <c r="A4" s="397" t="s">
        <v>2</v>
      </c>
      <c r="B4" s="397"/>
      <c r="C4" s="397"/>
      <c r="D4" s="397"/>
      <c r="E4" s="397"/>
      <c r="F4" s="397"/>
      <c r="G4" s="397"/>
    </row>
    <row r="5" spans="1:8" s="115" customFormat="1" ht="17.25" customHeight="1" x14ac:dyDescent="0.25">
      <c r="A5" s="397" t="s">
        <v>3</v>
      </c>
      <c r="B5" s="397"/>
      <c r="C5" s="397"/>
      <c r="D5" s="397"/>
      <c r="E5" s="397"/>
      <c r="F5" s="397"/>
      <c r="G5" s="397"/>
    </row>
    <row r="6" spans="1:8" s="106" customFormat="1" ht="18" customHeight="1" x14ac:dyDescent="0.25">
      <c r="A6" s="114" t="s">
        <v>5</v>
      </c>
      <c r="B6" s="112" t="s">
        <v>6</v>
      </c>
      <c r="C6" s="112" t="s">
        <v>7</v>
      </c>
      <c r="D6" s="112" t="s">
        <v>8</v>
      </c>
      <c r="E6" s="113" t="s">
        <v>9</v>
      </c>
      <c r="F6" s="113" t="s">
        <v>10</v>
      </c>
      <c r="G6" s="112" t="s">
        <v>11</v>
      </c>
      <c r="H6" s="106" t="s">
        <v>3059</v>
      </c>
    </row>
    <row r="7" spans="1:8" ht="33" x14ac:dyDescent="0.2">
      <c r="A7" s="108" t="s">
        <v>3058</v>
      </c>
      <c r="B7" s="108" t="s">
        <v>22</v>
      </c>
      <c r="C7" s="110" t="s">
        <v>23</v>
      </c>
      <c r="D7" s="109">
        <v>100</v>
      </c>
      <c r="E7" s="109">
        <v>193.12</v>
      </c>
      <c r="F7" s="109"/>
      <c r="G7" s="108" t="s">
        <v>3057</v>
      </c>
      <c r="H7" s="111" t="s">
        <v>16</v>
      </c>
    </row>
    <row r="8" spans="1:8" ht="33" x14ac:dyDescent="0.2">
      <c r="A8" s="108">
        <v>1</v>
      </c>
      <c r="B8" s="108" t="s">
        <v>2282</v>
      </c>
      <c r="C8" s="110" t="s">
        <v>97</v>
      </c>
      <c r="D8" s="109">
        <v>7.7</v>
      </c>
      <c r="E8" s="109">
        <v>1500</v>
      </c>
      <c r="F8" s="109">
        <v>11550</v>
      </c>
      <c r="G8" s="108" t="s">
        <v>2281</v>
      </c>
      <c r="H8" s="111" t="s">
        <v>16</v>
      </c>
    </row>
    <row r="9" spans="1:8" ht="33" x14ac:dyDescent="0.2">
      <c r="A9" s="108">
        <v>2</v>
      </c>
      <c r="B9" s="108" t="s">
        <v>2280</v>
      </c>
      <c r="C9" s="110" t="s">
        <v>97</v>
      </c>
      <c r="D9" s="109">
        <v>7.7</v>
      </c>
      <c r="E9" s="109">
        <v>375</v>
      </c>
      <c r="F9" s="109">
        <v>2887.5</v>
      </c>
      <c r="G9" s="108" t="s">
        <v>2279</v>
      </c>
      <c r="H9" s="111" t="s">
        <v>16</v>
      </c>
    </row>
    <row r="10" spans="1:8" ht="33" x14ac:dyDescent="0.2">
      <c r="A10" s="108">
        <v>3</v>
      </c>
      <c r="B10" s="108" t="s">
        <v>1527</v>
      </c>
      <c r="C10" s="110" t="s">
        <v>97</v>
      </c>
      <c r="D10" s="109">
        <v>15.4</v>
      </c>
      <c r="E10" s="109">
        <v>280</v>
      </c>
      <c r="F10" s="109">
        <v>4312</v>
      </c>
      <c r="G10" s="108" t="s">
        <v>1535</v>
      </c>
      <c r="H10" s="111" t="s">
        <v>16</v>
      </c>
    </row>
    <row r="11" spans="1:8" ht="33" x14ac:dyDescent="0.2">
      <c r="A11" s="108">
        <v>4</v>
      </c>
      <c r="B11" s="108" t="s">
        <v>1518</v>
      </c>
      <c r="C11" s="110" t="s">
        <v>14</v>
      </c>
      <c r="D11" s="109">
        <v>1</v>
      </c>
      <c r="E11" s="109">
        <v>562.49</v>
      </c>
      <c r="F11" s="109">
        <v>562.49</v>
      </c>
      <c r="G11" s="108" t="s">
        <v>1517</v>
      </c>
      <c r="H11" s="111" t="s">
        <v>16</v>
      </c>
    </row>
    <row r="12" spans="1:8" ht="33" x14ac:dyDescent="0.2">
      <c r="A12" s="108"/>
      <c r="B12" s="108" t="s">
        <v>1516</v>
      </c>
      <c r="C12" s="110" t="s">
        <v>23</v>
      </c>
      <c r="D12" s="109">
        <v>100</v>
      </c>
      <c r="E12" s="109"/>
      <c r="F12" s="109">
        <v>19311.990000000002</v>
      </c>
      <c r="G12" s="108"/>
      <c r="H12" s="111" t="s">
        <v>16</v>
      </c>
    </row>
    <row r="13" spans="1:8" ht="33" x14ac:dyDescent="0.2">
      <c r="A13" s="108"/>
      <c r="B13" s="108" t="s">
        <v>1515</v>
      </c>
      <c r="C13" s="110" t="s">
        <v>23</v>
      </c>
      <c r="D13" s="109"/>
      <c r="E13" s="109"/>
      <c r="F13" s="109">
        <v>193.12</v>
      </c>
      <c r="G13" s="108"/>
      <c r="H13" s="111" t="s">
        <v>16</v>
      </c>
    </row>
    <row r="14" spans="1:8" ht="16.5" x14ac:dyDescent="0.2">
      <c r="A14" s="108"/>
      <c r="B14" s="108"/>
      <c r="C14" s="110"/>
      <c r="D14" s="109"/>
      <c r="E14" s="109"/>
      <c r="F14" s="109"/>
      <c r="G14" s="108"/>
    </row>
    <row r="15" spans="1:8" ht="33" x14ac:dyDescent="0.2">
      <c r="A15" s="108" t="s">
        <v>3056</v>
      </c>
      <c r="B15" s="108" t="s">
        <v>26</v>
      </c>
      <c r="C15" s="110" t="s">
        <v>23</v>
      </c>
      <c r="D15" s="109">
        <v>100</v>
      </c>
      <c r="E15" s="109">
        <v>1046.22</v>
      </c>
      <c r="F15" s="109"/>
      <c r="G15" s="108" t="s">
        <v>3055</v>
      </c>
      <c r="H15" s="111" t="s">
        <v>16</v>
      </c>
    </row>
    <row r="16" spans="1:8" ht="33" x14ac:dyDescent="0.2">
      <c r="A16" s="108">
        <v>1</v>
      </c>
      <c r="B16" s="108" t="s">
        <v>2994</v>
      </c>
      <c r="C16" s="110" t="s">
        <v>97</v>
      </c>
      <c r="D16" s="109">
        <v>40</v>
      </c>
      <c r="E16" s="109">
        <v>1300</v>
      </c>
      <c r="F16" s="109">
        <v>52000</v>
      </c>
      <c r="G16" s="108" t="s">
        <v>2993</v>
      </c>
      <c r="H16" s="111" t="s">
        <v>16</v>
      </c>
    </row>
    <row r="17" spans="1:8" ht="33" x14ac:dyDescent="0.2">
      <c r="A17" s="108">
        <v>2</v>
      </c>
      <c r="B17" s="108" t="s">
        <v>2282</v>
      </c>
      <c r="C17" s="110" t="s">
        <v>97</v>
      </c>
      <c r="D17" s="109">
        <v>5</v>
      </c>
      <c r="E17" s="109">
        <v>1500</v>
      </c>
      <c r="F17" s="109">
        <v>7500</v>
      </c>
      <c r="G17" s="108" t="s">
        <v>2281</v>
      </c>
      <c r="H17" s="111" t="s">
        <v>16</v>
      </c>
    </row>
    <row r="18" spans="1:8" ht="33" x14ac:dyDescent="0.2">
      <c r="A18" s="108">
        <v>3</v>
      </c>
      <c r="B18" s="108" t="s">
        <v>2280</v>
      </c>
      <c r="C18" s="110" t="s">
        <v>97</v>
      </c>
      <c r="D18" s="109">
        <v>45</v>
      </c>
      <c r="E18" s="109">
        <v>375</v>
      </c>
      <c r="F18" s="109">
        <v>16875</v>
      </c>
      <c r="G18" s="108" t="s">
        <v>2279</v>
      </c>
      <c r="H18" s="111" t="s">
        <v>16</v>
      </c>
    </row>
    <row r="19" spans="1:8" ht="33" x14ac:dyDescent="0.2">
      <c r="A19" s="108">
        <v>4</v>
      </c>
      <c r="B19" s="108" t="s">
        <v>1527</v>
      </c>
      <c r="C19" s="110" t="s">
        <v>97</v>
      </c>
      <c r="D19" s="109">
        <v>90</v>
      </c>
      <c r="E19" s="109">
        <v>280</v>
      </c>
      <c r="F19" s="109">
        <v>25200</v>
      </c>
      <c r="G19" s="108" t="s">
        <v>1535</v>
      </c>
      <c r="H19" s="111" t="s">
        <v>16</v>
      </c>
    </row>
    <row r="20" spans="1:8" ht="33" x14ac:dyDescent="0.2">
      <c r="A20" s="108">
        <v>5</v>
      </c>
      <c r="B20" s="108" t="s">
        <v>1518</v>
      </c>
      <c r="C20" s="110" t="s">
        <v>14</v>
      </c>
      <c r="D20" s="109">
        <v>1</v>
      </c>
      <c r="E20" s="109">
        <v>3047.25</v>
      </c>
      <c r="F20" s="109">
        <v>3047.25</v>
      </c>
      <c r="G20" s="108" t="s">
        <v>1517</v>
      </c>
      <c r="H20" s="111" t="s">
        <v>16</v>
      </c>
    </row>
    <row r="21" spans="1:8" ht="33" x14ac:dyDescent="0.2">
      <c r="A21" s="108"/>
      <c r="B21" s="108" t="s">
        <v>1516</v>
      </c>
      <c r="C21" s="110" t="s">
        <v>23</v>
      </c>
      <c r="D21" s="109">
        <v>100</v>
      </c>
      <c r="E21" s="109"/>
      <c r="F21" s="109">
        <v>104622.25</v>
      </c>
      <c r="G21" s="108"/>
      <c r="H21" s="111" t="s">
        <v>16</v>
      </c>
    </row>
    <row r="22" spans="1:8" ht="33" x14ac:dyDescent="0.2">
      <c r="A22" s="108"/>
      <c r="B22" s="108" t="s">
        <v>1515</v>
      </c>
      <c r="C22" s="110" t="s">
        <v>23</v>
      </c>
      <c r="D22" s="109"/>
      <c r="E22" s="109"/>
      <c r="F22" s="109">
        <v>1046.22</v>
      </c>
      <c r="G22" s="108"/>
      <c r="H22" s="111" t="s">
        <v>16</v>
      </c>
    </row>
    <row r="23" spans="1:8" ht="16.5" x14ac:dyDescent="0.2">
      <c r="A23" s="108"/>
      <c r="B23" s="108"/>
      <c r="C23" s="110"/>
      <c r="D23" s="109"/>
      <c r="E23" s="109"/>
      <c r="F23" s="109"/>
      <c r="G23" s="108"/>
    </row>
    <row r="24" spans="1:8" ht="33" x14ac:dyDescent="0.2">
      <c r="A24" s="108" t="s">
        <v>3054</v>
      </c>
      <c r="B24" s="108" t="s">
        <v>33</v>
      </c>
      <c r="C24" s="110" t="s">
        <v>34</v>
      </c>
      <c r="D24" s="109">
        <v>100</v>
      </c>
      <c r="E24" s="109">
        <v>48.28</v>
      </c>
      <c r="F24" s="109"/>
      <c r="G24" s="108" t="s">
        <v>3053</v>
      </c>
      <c r="H24" s="111" t="s">
        <v>16</v>
      </c>
    </row>
    <row r="25" spans="1:8" ht="33" x14ac:dyDescent="0.2">
      <c r="A25" s="108">
        <v>1</v>
      </c>
      <c r="B25" s="108" t="s">
        <v>2282</v>
      </c>
      <c r="C25" s="110" t="s">
        <v>97</v>
      </c>
      <c r="D25" s="109">
        <v>2.5</v>
      </c>
      <c r="E25" s="109">
        <v>1500</v>
      </c>
      <c r="F25" s="109">
        <v>3750</v>
      </c>
      <c r="G25" s="108" t="s">
        <v>2281</v>
      </c>
      <c r="H25" s="111" t="s">
        <v>16</v>
      </c>
    </row>
    <row r="26" spans="1:8" ht="33" x14ac:dyDescent="0.2">
      <c r="A26" s="108">
        <v>2</v>
      </c>
      <c r="B26" s="108" t="s">
        <v>2280</v>
      </c>
      <c r="C26" s="110" t="s">
        <v>97</v>
      </c>
      <c r="D26" s="109">
        <v>2.5</v>
      </c>
      <c r="E26" s="109">
        <v>375</v>
      </c>
      <c r="F26" s="109">
        <v>937.5</v>
      </c>
      <c r="G26" s="108" t="s">
        <v>2279</v>
      </c>
      <c r="H26" s="111" t="s">
        <v>16</v>
      </c>
    </row>
    <row r="27" spans="1:8" ht="33" x14ac:dyDescent="0.2">
      <c r="A27" s="108">
        <v>3</v>
      </c>
      <c r="B27" s="108" t="s">
        <v>1518</v>
      </c>
      <c r="C27" s="110" t="s">
        <v>14</v>
      </c>
      <c r="D27" s="109">
        <v>1</v>
      </c>
      <c r="E27" s="109">
        <v>140.63</v>
      </c>
      <c r="F27" s="109">
        <v>140.63</v>
      </c>
      <c r="G27" s="108" t="s">
        <v>1517</v>
      </c>
      <c r="H27" s="111" t="s">
        <v>16</v>
      </c>
    </row>
    <row r="28" spans="1:8" ht="33" x14ac:dyDescent="0.2">
      <c r="A28" s="108"/>
      <c r="B28" s="108" t="s">
        <v>1516</v>
      </c>
      <c r="C28" s="110" t="s">
        <v>34</v>
      </c>
      <c r="D28" s="109">
        <v>100</v>
      </c>
      <c r="E28" s="109"/>
      <c r="F28" s="109">
        <v>4828.13</v>
      </c>
      <c r="G28" s="108"/>
      <c r="H28" s="111" t="s">
        <v>16</v>
      </c>
    </row>
    <row r="29" spans="1:8" ht="33" x14ac:dyDescent="0.2">
      <c r="A29" s="108"/>
      <c r="B29" s="108" t="s">
        <v>1515</v>
      </c>
      <c r="C29" s="110" t="s">
        <v>34</v>
      </c>
      <c r="D29" s="109"/>
      <c r="E29" s="109"/>
      <c r="F29" s="109">
        <v>48.28</v>
      </c>
      <c r="G29" s="108"/>
      <c r="H29" s="111" t="s">
        <v>16</v>
      </c>
    </row>
    <row r="30" spans="1:8" ht="16.5" x14ac:dyDescent="0.2">
      <c r="A30" s="108"/>
      <c r="B30" s="108"/>
      <c r="C30" s="110"/>
      <c r="D30" s="109"/>
      <c r="E30" s="109"/>
      <c r="F30" s="109"/>
      <c r="G30" s="108"/>
    </row>
    <row r="31" spans="1:8" ht="33" x14ac:dyDescent="0.2">
      <c r="A31" s="108" t="s">
        <v>3052</v>
      </c>
      <c r="B31" s="108" t="s">
        <v>37</v>
      </c>
      <c r="C31" s="110" t="s">
        <v>23</v>
      </c>
      <c r="D31" s="109">
        <v>100</v>
      </c>
      <c r="E31" s="109">
        <v>599.75</v>
      </c>
      <c r="F31" s="109"/>
      <c r="G31" s="108" t="s">
        <v>3051</v>
      </c>
      <c r="H31" s="111" t="s">
        <v>16</v>
      </c>
    </row>
    <row r="32" spans="1:8" ht="33" x14ac:dyDescent="0.2">
      <c r="A32" s="108">
        <v>1</v>
      </c>
      <c r="B32" s="108" t="s">
        <v>2308</v>
      </c>
      <c r="C32" s="110" t="s">
        <v>97</v>
      </c>
      <c r="D32" s="109">
        <v>36.97</v>
      </c>
      <c r="E32" s="109">
        <v>1200</v>
      </c>
      <c r="F32" s="109">
        <v>44364</v>
      </c>
      <c r="G32" s="108" t="s">
        <v>2307</v>
      </c>
      <c r="H32" s="111" t="s">
        <v>16</v>
      </c>
    </row>
    <row r="33" spans="1:8" ht="33" x14ac:dyDescent="0.2">
      <c r="A33" s="108">
        <v>2</v>
      </c>
      <c r="B33" s="108" t="s">
        <v>1705</v>
      </c>
      <c r="C33" s="110" t="s">
        <v>97</v>
      </c>
      <c r="D33" s="109">
        <v>36.97</v>
      </c>
      <c r="E33" s="109">
        <v>375</v>
      </c>
      <c r="F33" s="109">
        <v>13863.75</v>
      </c>
      <c r="G33" s="108" t="s">
        <v>1704</v>
      </c>
      <c r="H33" s="111" t="s">
        <v>16</v>
      </c>
    </row>
    <row r="34" spans="1:8" ht="33" x14ac:dyDescent="0.2">
      <c r="A34" s="108">
        <v>3</v>
      </c>
      <c r="B34" s="108" t="s">
        <v>1518</v>
      </c>
      <c r="C34" s="110" t="s">
        <v>14</v>
      </c>
      <c r="D34" s="109">
        <v>1</v>
      </c>
      <c r="E34" s="109">
        <v>1746.83</v>
      </c>
      <c r="F34" s="109">
        <v>1746.83</v>
      </c>
      <c r="G34" s="108" t="s">
        <v>1517</v>
      </c>
      <c r="H34" s="111" t="s">
        <v>16</v>
      </c>
    </row>
    <row r="35" spans="1:8" ht="33" x14ac:dyDescent="0.2">
      <c r="A35" s="108"/>
      <c r="B35" s="108" t="s">
        <v>1516</v>
      </c>
      <c r="C35" s="110" t="s">
        <v>23</v>
      </c>
      <c r="D35" s="109">
        <v>100</v>
      </c>
      <c r="E35" s="109"/>
      <c r="F35" s="109">
        <v>59974.58</v>
      </c>
      <c r="G35" s="108"/>
      <c r="H35" s="111" t="s">
        <v>16</v>
      </c>
    </row>
    <row r="36" spans="1:8" ht="33" x14ac:dyDescent="0.2">
      <c r="A36" s="108"/>
      <c r="B36" s="108" t="s">
        <v>1515</v>
      </c>
      <c r="C36" s="110" t="s">
        <v>23</v>
      </c>
      <c r="D36" s="109"/>
      <c r="E36" s="109"/>
      <c r="F36" s="109">
        <v>599.75</v>
      </c>
      <c r="G36" s="108"/>
      <c r="H36" s="111" t="s">
        <v>16</v>
      </c>
    </row>
    <row r="37" spans="1:8" ht="16.5" x14ac:dyDescent="0.2">
      <c r="A37" s="108"/>
      <c r="B37" s="108"/>
      <c r="C37" s="110"/>
      <c r="D37" s="109"/>
      <c r="E37" s="109"/>
      <c r="F37" s="109"/>
      <c r="G37" s="108"/>
    </row>
    <row r="38" spans="1:8" ht="33" x14ac:dyDescent="0.2">
      <c r="A38" s="108" t="s">
        <v>3050</v>
      </c>
      <c r="B38" s="108" t="s">
        <v>40</v>
      </c>
      <c r="C38" s="110" t="s">
        <v>23</v>
      </c>
      <c r="D38" s="109">
        <v>100</v>
      </c>
      <c r="E38" s="109">
        <v>104.64</v>
      </c>
      <c r="F38" s="109"/>
      <c r="G38" s="108" t="s">
        <v>3049</v>
      </c>
      <c r="H38" s="111" t="s">
        <v>16</v>
      </c>
    </row>
    <row r="39" spans="1:8" ht="33" x14ac:dyDescent="0.2">
      <c r="A39" s="108">
        <v>1</v>
      </c>
      <c r="B39" s="108" t="s">
        <v>2282</v>
      </c>
      <c r="C39" s="110" t="s">
        <v>97</v>
      </c>
      <c r="D39" s="109">
        <v>2.5</v>
      </c>
      <c r="E39" s="109">
        <v>1500</v>
      </c>
      <c r="F39" s="109">
        <v>3750</v>
      </c>
      <c r="G39" s="108" t="s">
        <v>2281</v>
      </c>
      <c r="H39" s="111" t="s">
        <v>16</v>
      </c>
    </row>
    <row r="40" spans="1:8" ht="33" x14ac:dyDescent="0.2">
      <c r="A40" s="108">
        <v>2</v>
      </c>
      <c r="B40" s="108" t="s">
        <v>2280</v>
      </c>
      <c r="C40" s="110" t="s">
        <v>97</v>
      </c>
      <c r="D40" s="109">
        <v>2.5</v>
      </c>
      <c r="E40" s="109">
        <v>375</v>
      </c>
      <c r="F40" s="109">
        <v>937.5</v>
      </c>
      <c r="G40" s="108" t="s">
        <v>2279</v>
      </c>
      <c r="H40" s="111" t="s">
        <v>16</v>
      </c>
    </row>
    <row r="41" spans="1:8" ht="33" x14ac:dyDescent="0.2">
      <c r="A41" s="108">
        <v>3</v>
      </c>
      <c r="B41" s="108" t="s">
        <v>2980</v>
      </c>
      <c r="C41" s="110" t="s">
        <v>97</v>
      </c>
      <c r="D41" s="109">
        <v>16</v>
      </c>
      <c r="E41" s="109">
        <v>62</v>
      </c>
      <c r="F41" s="109">
        <v>992</v>
      </c>
      <c r="G41" s="108" t="s">
        <v>2979</v>
      </c>
      <c r="H41" s="111" t="s">
        <v>16</v>
      </c>
    </row>
    <row r="42" spans="1:8" ht="33" x14ac:dyDescent="0.2">
      <c r="A42" s="108">
        <v>4</v>
      </c>
      <c r="B42" s="108" t="s">
        <v>1527</v>
      </c>
      <c r="C42" s="110" t="s">
        <v>97</v>
      </c>
      <c r="D42" s="109">
        <v>16</v>
      </c>
      <c r="E42" s="109">
        <v>280</v>
      </c>
      <c r="F42" s="109">
        <v>4480</v>
      </c>
      <c r="G42" s="108" t="s">
        <v>1535</v>
      </c>
      <c r="H42" s="111" t="s">
        <v>16</v>
      </c>
    </row>
    <row r="43" spans="1:8" ht="33" x14ac:dyDescent="0.2">
      <c r="A43" s="108">
        <v>5</v>
      </c>
      <c r="B43" s="108" t="s">
        <v>1518</v>
      </c>
      <c r="C43" s="110" t="s">
        <v>14</v>
      </c>
      <c r="D43" s="109">
        <v>1</v>
      </c>
      <c r="E43" s="109">
        <v>304.79000000000002</v>
      </c>
      <c r="F43" s="109">
        <v>304.79000000000002</v>
      </c>
      <c r="G43" s="108" t="s">
        <v>1517</v>
      </c>
      <c r="H43" s="111" t="s">
        <v>16</v>
      </c>
    </row>
    <row r="44" spans="1:8" ht="33" x14ac:dyDescent="0.2">
      <c r="A44" s="108"/>
      <c r="B44" s="108" t="s">
        <v>1516</v>
      </c>
      <c r="C44" s="110" t="s">
        <v>23</v>
      </c>
      <c r="D44" s="109">
        <v>100</v>
      </c>
      <c r="E44" s="109"/>
      <c r="F44" s="109">
        <v>10464.290000000001</v>
      </c>
      <c r="G44" s="108"/>
      <c r="H44" s="111" t="s">
        <v>16</v>
      </c>
    </row>
    <row r="45" spans="1:8" ht="33" x14ac:dyDescent="0.2">
      <c r="A45" s="108"/>
      <c r="B45" s="108" t="s">
        <v>1515</v>
      </c>
      <c r="C45" s="110" t="s">
        <v>23</v>
      </c>
      <c r="D45" s="109"/>
      <c r="E45" s="109"/>
      <c r="F45" s="109">
        <v>104.64</v>
      </c>
      <c r="G45" s="108"/>
      <c r="H45" s="111" t="s">
        <v>16</v>
      </c>
    </row>
    <row r="46" spans="1:8" ht="16.5" x14ac:dyDescent="0.2">
      <c r="A46" s="108"/>
      <c r="B46" s="108"/>
      <c r="C46" s="110"/>
      <c r="D46" s="109"/>
      <c r="E46" s="109"/>
      <c r="F46" s="109"/>
      <c r="G46" s="108"/>
    </row>
    <row r="47" spans="1:8" ht="57" x14ac:dyDescent="0.2">
      <c r="A47" s="108" t="s">
        <v>3048</v>
      </c>
      <c r="B47" s="108" t="s">
        <v>43</v>
      </c>
      <c r="C47" s="110" t="s">
        <v>34</v>
      </c>
      <c r="D47" s="109">
        <v>100</v>
      </c>
      <c r="E47" s="109">
        <v>1027.43</v>
      </c>
      <c r="F47" s="109"/>
      <c r="G47" s="108" t="s">
        <v>3047</v>
      </c>
      <c r="H47" s="111" t="s">
        <v>16</v>
      </c>
    </row>
    <row r="48" spans="1:8" ht="33" x14ac:dyDescent="0.2">
      <c r="A48" s="108">
        <v>1</v>
      </c>
      <c r="B48" s="108" t="s">
        <v>2286</v>
      </c>
      <c r="C48" s="110" t="s">
        <v>97</v>
      </c>
      <c r="D48" s="109">
        <v>50</v>
      </c>
      <c r="E48" s="109">
        <v>1620</v>
      </c>
      <c r="F48" s="109">
        <v>81000</v>
      </c>
      <c r="G48" s="108" t="s">
        <v>2285</v>
      </c>
      <c r="H48" s="111" t="s">
        <v>16</v>
      </c>
    </row>
    <row r="49" spans="1:8" ht="33" x14ac:dyDescent="0.2">
      <c r="A49" s="108">
        <v>2</v>
      </c>
      <c r="B49" s="108" t="s">
        <v>2284</v>
      </c>
      <c r="C49" s="110" t="s">
        <v>97</v>
      </c>
      <c r="D49" s="109">
        <v>50</v>
      </c>
      <c r="E49" s="109">
        <v>375</v>
      </c>
      <c r="F49" s="109">
        <v>18750</v>
      </c>
      <c r="G49" s="108" t="s">
        <v>2283</v>
      </c>
      <c r="H49" s="111" t="s">
        <v>16</v>
      </c>
    </row>
    <row r="50" spans="1:8" ht="33" x14ac:dyDescent="0.2">
      <c r="A50" s="108">
        <v>3</v>
      </c>
      <c r="B50" s="108" t="s">
        <v>1518</v>
      </c>
      <c r="C50" s="110" t="s">
        <v>14</v>
      </c>
      <c r="D50" s="109">
        <v>1</v>
      </c>
      <c r="E50" s="109">
        <v>2992.5</v>
      </c>
      <c r="F50" s="109">
        <v>2992.5</v>
      </c>
      <c r="G50" s="108" t="s">
        <v>1517</v>
      </c>
      <c r="H50" s="111" t="s">
        <v>16</v>
      </c>
    </row>
    <row r="51" spans="1:8" ht="33" x14ac:dyDescent="0.2">
      <c r="A51" s="108"/>
      <c r="B51" s="108" t="s">
        <v>1516</v>
      </c>
      <c r="C51" s="110" t="s">
        <v>34</v>
      </c>
      <c r="D51" s="109">
        <v>100</v>
      </c>
      <c r="E51" s="109"/>
      <c r="F51" s="109">
        <v>102742.5</v>
      </c>
      <c r="G51" s="108"/>
      <c r="H51" s="111" t="s">
        <v>16</v>
      </c>
    </row>
    <row r="52" spans="1:8" ht="33" x14ac:dyDescent="0.2">
      <c r="A52" s="108"/>
      <c r="B52" s="108" t="s">
        <v>1515</v>
      </c>
      <c r="C52" s="110" t="s">
        <v>34</v>
      </c>
      <c r="D52" s="109"/>
      <c r="E52" s="109"/>
      <c r="F52" s="109">
        <v>1027.43</v>
      </c>
      <c r="G52" s="108"/>
      <c r="H52" s="111" t="s">
        <v>16</v>
      </c>
    </row>
    <row r="53" spans="1:8" ht="16.5" x14ac:dyDescent="0.2">
      <c r="A53" s="108"/>
      <c r="B53" s="108"/>
      <c r="C53" s="110"/>
      <c r="D53" s="109"/>
      <c r="E53" s="109"/>
      <c r="F53" s="109"/>
      <c r="G53" s="108"/>
    </row>
    <row r="54" spans="1:8" ht="33" x14ac:dyDescent="0.2">
      <c r="A54" s="108" t="s">
        <v>3046</v>
      </c>
      <c r="B54" s="108" t="s">
        <v>46</v>
      </c>
      <c r="C54" s="110" t="s">
        <v>23</v>
      </c>
      <c r="D54" s="109">
        <v>100</v>
      </c>
      <c r="E54" s="109">
        <v>1085.04</v>
      </c>
      <c r="F54" s="109"/>
      <c r="G54" s="108" t="s">
        <v>3045</v>
      </c>
      <c r="H54" s="111" t="s">
        <v>16</v>
      </c>
    </row>
    <row r="55" spans="1:8" ht="33" x14ac:dyDescent="0.2">
      <c r="A55" s="108">
        <v>1</v>
      </c>
      <c r="B55" s="108" t="s">
        <v>2286</v>
      </c>
      <c r="C55" s="110" t="s">
        <v>97</v>
      </c>
      <c r="D55" s="109">
        <v>31.25</v>
      </c>
      <c r="E55" s="109">
        <v>1620</v>
      </c>
      <c r="F55" s="109">
        <v>50625</v>
      </c>
      <c r="G55" s="108" t="s">
        <v>2285</v>
      </c>
      <c r="H55" s="111" t="s">
        <v>16</v>
      </c>
    </row>
    <row r="56" spans="1:8" ht="33" x14ac:dyDescent="0.2">
      <c r="A56" s="108">
        <v>2</v>
      </c>
      <c r="B56" s="108" t="s">
        <v>2284</v>
      </c>
      <c r="C56" s="110" t="s">
        <v>97</v>
      </c>
      <c r="D56" s="109">
        <v>31.25</v>
      </c>
      <c r="E56" s="109">
        <v>375</v>
      </c>
      <c r="F56" s="109">
        <v>11718.75</v>
      </c>
      <c r="G56" s="108" t="s">
        <v>2283</v>
      </c>
      <c r="H56" s="111" t="s">
        <v>16</v>
      </c>
    </row>
    <row r="57" spans="1:8" ht="33" x14ac:dyDescent="0.2">
      <c r="A57" s="108">
        <v>3</v>
      </c>
      <c r="B57" s="108" t="s">
        <v>3044</v>
      </c>
      <c r="C57" s="110" t="s">
        <v>34</v>
      </c>
      <c r="D57" s="109">
        <v>100</v>
      </c>
      <c r="E57" s="109">
        <v>430</v>
      </c>
      <c r="F57" s="109">
        <v>43000</v>
      </c>
      <c r="G57" s="108" t="s">
        <v>3043</v>
      </c>
      <c r="H57" s="111" t="s">
        <v>16</v>
      </c>
    </row>
    <row r="58" spans="1:8" ht="33" x14ac:dyDescent="0.2">
      <c r="A58" s="108">
        <v>4</v>
      </c>
      <c r="B58" s="108" t="s">
        <v>1518</v>
      </c>
      <c r="C58" s="110" t="s">
        <v>14</v>
      </c>
      <c r="D58" s="109">
        <v>1</v>
      </c>
      <c r="E58" s="109">
        <v>3160.31</v>
      </c>
      <c r="F58" s="109">
        <v>3160.31</v>
      </c>
      <c r="G58" s="108" t="s">
        <v>1517</v>
      </c>
      <c r="H58" s="111" t="s">
        <v>16</v>
      </c>
    </row>
    <row r="59" spans="1:8" ht="33" x14ac:dyDescent="0.2">
      <c r="A59" s="108"/>
      <c r="B59" s="108" t="s">
        <v>1516</v>
      </c>
      <c r="C59" s="110" t="s">
        <v>23</v>
      </c>
      <c r="D59" s="109">
        <v>100</v>
      </c>
      <c r="E59" s="109"/>
      <c r="F59" s="109">
        <v>108504.06</v>
      </c>
      <c r="G59" s="108"/>
      <c r="H59" s="111" t="s">
        <v>16</v>
      </c>
    </row>
    <row r="60" spans="1:8" ht="33" x14ac:dyDescent="0.2">
      <c r="A60" s="108"/>
      <c r="B60" s="108" t="s">
        <v>1515</v>
      </c>
      <c r="C60" s="110" t="s">
        <v>23</v>
      </c>
      <c r="D60" s="109"/>
      <c r="E60" s="109"/>
      <c r="F60" s="109">
        <v>1085.04</v>
      </c>
      <c r="G60" s="108"/>
      <c r="H60" s="111" t="s">
        <v>16</v>
      </c>
    </row>
    <row r="61" spans="1:8" ht="16.5" x14ac:dyDescent="0.2">
      <c r="A61" s="108"/>
      <c r="B61" s="108"/>
      <c r="C61" s="110"/>
      <c r="D61" s="109"/>
      <c r="E61" s="109"/>
      <c r="F61" s="109"/>
      <c r="G61" s="108"/>
    </row>
    <row r="62" spans="1:8" ht="42.75" x14ac:dyDescent="0.2">
      <c r="A62" s="108" t="s">
        <v>3042</v>
      </c>
      <c r="B62" s="108" t="s">
        <v>49</v>
      </c>
      <c r="C62" s="110" t="s">
        <v>50</v>
      </c>
      <c r="D62" s="109">
        <v>200</v>
      </c>
      <c r="E62" s="109">
        <v>30.45</v>
      </c>
      <c r="F62" s="109"/>
      <c r="G62" s="108" t="s">
        <v>3041</v>
      </c>
      <c r="H62" s="111" t="s">
        <v>16</v>
      </c>
    </row>
    <row r="63" spans="1:8" ht="33" x14ac:dyDescent="0.2">
      <c r="A63" s="108">
        <v>1</v>
      </c>
      <c r="B63" s="108" t="s">
        <v>3040</v>
      </c>
      <c r="C63" s="110" t="s">
        <v>97</v>
      </c>
      <c r="D63" s="109">
        <v>1</v>
      </c>
      <c r="E63" s="109">
        <v>1020</v>
      </c>
      <c r="F63" s="109">
        <v>1020</v>
      </c>
      <c r="G63" s="108" t="s">
        <v>3039</v>
      </c>
      <c r="H63" s="111" t="s">
        <v>16</v>
      </c>
    </row>
    <row r="64" spans="1:8" ht="33" x14ac:dyDescent="0.2">
      <c r="A64" s="108">
        <v>2</v>
      </c>
      <c r="B64" s="108" t="s">
        <v>3032</v>
      </c>
      <c r="C64" s="110" t="s">
        <v>1864</v>
      </c>
      <c r="D64" s="109">
        <v>6</v>
      </c>
      <c r="E64" s="109">
        <v>120</v>
      </c>
      <c r="F64" s="109">
        <v>720</v>
      </c>
      <c r="G64" s="108" t="s">
        <v>3031</v>
      </c>
      <c r="H64" s="111" t="s">
        <v>16</v>
      </c>
    </row>
    <row r="65" spans="1:8" ht="33" x14ac:dyDescent="0.2">
      <c r="A65" s="108">
        <v>3</v>
      </c>
      <c r="B65" s="108" t="s">
        <v>3030</v>
      </c>
      <c r="C65" s="110" t="s">
        <v>97</v>
      </c>
      <c r="D65" s="109">
        <v>1</v>
      </c>
      <c r="E65" s="109">
        <v>650</v>
      </c>
      <c r="F65" s="109">
        <v>650</v>
      </c>
      <c r="G65" s="108" t="s">
        <v>3029</v>
      </c>
      <c r="H65" s="111" t="s">
        <v>16</v>
      </c>
    </row>
    <row r="66" spans="1:8" ht="33" x14ac:dyDescent="0.2">
      <c r="A66" s="108">
        <v>4</v>
      </c>
      <c r="B66" s="108" t="s">
        <v>3038</v>
      </c>
      <c r="C66" s="110" t="s">
        <v>50</v>
      </c>
      <c r="D66" s="109">
        <v>200</v>
      </c>
      <c r="E66" s="109">
        <v>5</v>
      </c>
      <c r="F66" s="109">
        <v>1000</v>
      </c>
      <c r="G66" s="108" t="s">
        <v>3037</v>
      </c>
      <c r="H66" s="111" t="s">
        <v>16</v>
      </c>
    </row>
    <row r="67" spans="1:8" ht="33" x14ac:dyDescent="0.2">
      <c r="A67" s="108">
        <v>5</v>
      </c>
      <c r="B67" s="108" t="s">
        <v>2372</v>
      </c>
      <c r="C67" s="110" t="s">
        <v>97</v>
      </c>
      <c r="D67" s="109">
        <v>1</v>
      </c>
      <c r="E67" s="109">
        <v>375</v>
      </c>
      <c r="F67" s="109">
        <v>375</v>
      </c>
      <c r="G67" s="108" t="s">
        <v>2371</v>
      </c>
      <c r="H67" s="111" t="s">
        <v>16</v>
      </c>
    </row>
    <row r="68" spans="1:8" ht="33" x14ac:dyDescent="0.2">
      <c r="A68" s="108">
        <v>6</v>
      </c>
      <c r="B68" s="108" t="s">
        <v>3028</v>
      </c>
      <c r="C68" s="110" t="s">
        <v>97</v>
      </c>
      <c r="D68" s="109">
        <v>1</v>
      </c>
      <c r="E68" s="109">
        <v>540</v>
      </c>
      <c r="F68" s="109">
        <v>540</v>
      </c>
      <c r="G68" s="108" t="s">
        <v>3027</v>
      </c>
      <c r="H68" s="111" t="s">
        <v>16</v>
      </c>
    </row>
    <row r="69" spans="1:8" ht="33" x14ac:dyDescent="0.2">
      <c r="A69" s="108">
        <v>7</v>
      </c>
      <c r="B69" s="108" t="s">
        <v>3026</v>
      </c>
      <c r="C69" s="110" t="s">
        <v>97</v>
      </c>
      <c r="D69" s="109">
        <v>1</v>
      </c>
      <c r="E69" s="109">
        <v>375</v>
      </c>
      <c r="F69" s="109">
        <v>375</v>
      </c>
      <c r="G69" s="108" t="s">
        <v>3025</v>
      </c>
      <c r="H69" s="111" t="s">
        <v>16</v>
      </c>
    </row>
    <row r="70" spans="1:8" ht="33" x14ac:dyDescent="0.2">
      <c r="A70" s="108">
        <v>8</v>
      </c>
      <c r="B70" s="108" t="s">
        <v>1527</v>
      </c>
      <c r="C70" s="110" t="s">
        <v>97</v>
      </c>
      <c r="D70" s="109">
        <v>2.2000000000000002</v>
      </c>
      <c r="E70" s="109">
        <v>280</v>
      </c>
      <c r="F70" s="109">
        <v>616</v>
      </c>
      <c r="G70" s="108" t="s">
        <v>1535</v>
      </c>
      <c r="H70" s="111" t="s">
        <v>16</v>
      </c>
    </row>
    <row r="71" spans="1:8" ht="33" x14ac:dyDescent="0.2">
      <c r="A71" s="108">
        <v>9</v>
      </c>
      <c r="B71" s="108" t="s">
        <v>3024</v>
      </c>
      <c r="C71" s="110" t="s">
        <v>97</v>
      </c>
      <c r="D71" s="109">
        <v>2.2000000000000002</v>
      </c>
      <c r="E71" s="109">
        <v>280</v>
      </c>
      <c r="F71" s="109">
        <v>616</v>
      </c>
      <c r="G71" s="108" t="s">
        <v>3023</v>
      </c>
      <c r="H71" s="111" t="s">
        <v>16</v>
      </c>
    </row>
    <row r="72" spans="1:8" ht="33" x14ac:dyDescent="0.2">
      <c r="A72" s="108">
        <v>10</v>
      </c>
      <c r="B72" s="108" t="s">
        <v>1518</v>
      </c>
      <c r="C72" s="110" t="s">
        <v>14</v>
      </c>
      <c r="D72" s="109">
        <v>1</v>
      </c>
      <c r="E72" s="109">
        <v>177.36</v>
      </c>
      <c r="F72" s="109">
        <v>177.36</v>
      </c>
      <c r="G72" s="108" t="s">
        <v>1517</v>
      </c>
      <c r="H72" s="111" t="s">
        <v>16</v>
      </c>
    </row>
    <row r="73" spans="1:8" ht="33" x14ac:dyDescent="0.2">
      <c r="A73" s="108"/>
      <c r="B73" s="108" t="s">
        <v>1516</v>
      </c>
      <c r="C73" s="110" t="s">
        <v>50</v>
      </c>
      <c r="D73" s="109">
        <v>200</v>
      </c>
      <c r="E73" s="109"/>
      <c r="F73" s="109">
        <v>6089.36</v>
      </c>
      <c r="G73" s="108"/>
      <c r="H73" s="111" t="s">
        <v>16</v>
      </c>
    </row>
    <row r="74" spans="1:8" ht="33" x14ac:dyDescent="0.2">
      <c r="A74" s="108"/>
      <c r="B74" s="108" t="s">
        <v>1515</v>
      </c>
      <c r="C74" s="110" t="s">
        <v>50</v>
      </c>
      <c r="D74" s="109"/>
      <c r="E74" s="109"/>
      <c r="F74" s="109">
        <v>30.45</v>
      </c>
      <c r="G74" s="108"/>
      <c r="H74" s="111" t="s">
        <v>16</v>
      </c>
    </row>
    <row r="75" spans="1:8" ht="16.5" x14ac:dyDescent="0.2">
      <c r="A75" s="108"/>
      <c r="B75" s="108"/>
      <c r="C75" s="110"/>
      <c r="D75" s="109"/>
      <c r="E75" s="109"/>
      <c r="F75" s="109"/>
      <c r="G75" s="108"/>
    </row>
    <row r="76" spans="1:8" ht="33" x14ac:dyDescent="0.2">
      <c r="A76" s="108" t="s">
        <v>3036</v>
      </c>
      <c r="B76" s="108" t="s">
        <v>53</v>
      </c>
      <c r="C76" s="110" t="s">
        <v>50</v>
      </c>
      <c r="D76" s="109">
        <v>216</v>
      </c>
      <c r="E76" s="109">
        <v>28.48</v>
      </c>
      <c r="F76" s="109"/>
      <c r="G76" s="108" t="s">
        <v>3035</v>
      </c>
      <c r="H76" s="111" t="s">
        <v>16</v>
      </c>
    </row>
    <row r="77" spans="1:8" ht="33" x14ac:dyDescent="0.2">
      <c r="A77" s="108">
        <v>1</v>
      </c>
      <c r="B77" s="108" t="s">
        <v>3034</v>
      </c>
      <c r="C77" s="110" t="s">
        <v>97</v>
      </c>
      <c r="D77" s="109">
        <v>1</v>
      </c>
      <c r="E77" s="109">
        <v>1400</v>
      </c>
      <c r="F77" s="109">
        <v>1400</v>
      </c>
      <c r="G77" s="108" t="s">
        <v>3033</v>
      </c>
      <c r="H77" s="111" t="s">
        <v>16</v>
      </c>
    </row>
    <row r="78" spans="1:8" ht="33" x14ac:dyDescent="0.2">
      <c r="A78" s="108">
        <v>2</v>
      </c>
      <c r="B78" s="108" t="s">
        <v>3032</v>
      </c>
      <c r="C78" s="110" t="s">
        <v>1864</v>
      </c>
      <c r="D78" s="109">
        <v>12.6</v>
      </c>
      <c r="E78" s="109">
        <v>120</v>
      </c>
      <c r="F78" s="109">
        <v>1512</v>
      </c>
      <c r="G78" s="108" t="s">
        <v>3031</v>
      </c>
      <c r="H78" s="111" t="s">
        <v>16</v>
      </c>
    </row>
    <row r="79" spans="1:8" ht="33" x14ac:dyDescent="0.2">
      <c r="A79" s="108">
        <v>3</v>
      </c>
      <c r="B79" s="108" t="s">
        <v>3030</v>
      </c>
      <c r="C79" s="110" t="s">
        <v>97</v>
      </c>
      <c r="D79" s="109">
        <v>1</v>
      </c>
      <c r="E79" s="109">
        <v>650</v>
      </c>
      <c r="F79" s="109">
        <v>650</v>
      </c>
      <c r="G79" s="108" t="s">
        <v>3029</v>
      </c>
      <c r="H79" s="111" t="s">
        <v>16</v>
      </c>
    </row>
    <row r="80" spans="1:8" ht="33" x14ac:dyDescent="0.2">
      <c r="A80" s="108">
        <v>4</v>
      </c>
      <c r="B80" s="108" t="s">
        <v>2372</v>
      </c>
      <c r="C80" s="110" t="s">
        <v>97</v>
      </c>
      <c r="D80" s="109">
        <v>1</v>
      </c>
      <c r="E80" s="109">
        <v>375</v>
      </c>
      <c r="F80" s="109">
        <v>375</v>
      </c>
      <c r="G80" s="108" t="s">
        <v>2371</v>
      </c>
      <c r="H80" s="111" t="s">
        <v>16</v>
      </c>
    </row>
    <row r="81" spans="1:8" ht="33" x14ac:dyDescent="0.2">
      <c r="A81" s="108">
        <v>5</v>
      </c>
      <c r="B81" s="108" t="s">
        <v>3028</v>
      </c>
      <c r="C81" s="110" t="s">
        <v>97</v>
      </c>
      <c r="D81" s="109">
        <v>1</v>
      </c>
      <c r="E81" s="109">
        <v>540</v>
      </c>
      <c r="F81" s="109">
        <v>540</v>
      </c>
      <c r="G81" s="108" t="s">
        <v>3027</v>
      </c>
      <c r="H81" s="111" t="s">
        <v>16</v>
      </c>
    </row>
    <row r="82" spans="1:8" ht="33" x14ac:dyDescent="0.2">
      <c r="A82" s="108">
        <v>6</v>
      </c>
      <c r="B82" s="108" t="s">
        <v>3026</v>
      </c>
      <c r="C82" s="110" t="s">
        <v>97</v>
      </c>
      <c r="D82" s="109">
        <v>1</v>
      </c>
      <c r="E82" s="109">
        <v>375</v>
      </c>
      <c r="F82" s="109">
        <v>375</v>
      </c>
      <c r="G82" s="108" t="s">
        <v>3025</v>
      </c>
      <c r="H82" s="111" t="s">
        <v>16</v>
      </c>
    </row>
    <row r="83" spans="1:8" ht="33" x14ac:dyDescent="0.2">
      <c r="A83" s="108">
        <v>7</v>
      </c>
      <c r="B83" s="108" t="s">
        <v>1527</v>
      </c>
      <c r="C83" s="110" t="s">
        <v>97</v>
      </c>
      <c r="D83" s="109">
        <v>2</v>
      </c>
      <c r="E83" s="109">
        <v>280</v>
      </c>
      <c r="F83" s="109">
        <v>560</v>
      </c>
      <c r="G83" s="108" t="s">
        <v>1535</v>
      </c>
      <c r="H83" s="111" t="s">
        <v>16</v>
      </c>
    </row>
    <row r="84" spans="1:8" ht="33" x14ac:dyDescent="0.2">
      <c r="A84" s="108">
        <v>8</v>
      </c>
      <c r="B84" s="108" t="s">
        <v>3024</v>
      </c>
      <c r="C84" s="110" t="s">
        <v>97</v>
      </c>
      <c r="D84" s="109">
        <v>2</v>
      </c>
      <c r="E84" s="109">
        <v>280</v>
      </c>
      <c r="F84" s="109">
        <v>560</v>
      </c>
      <c r="G84" s="108" t="s">
        <v>3023</v>
      </c>
      <c r="H84" s="111" t="s">
        <v>16</v>
      </c>
    </row>
    <row r="85" spans="1:8" ht="33" x14ac:dyDescent="0.2">
      <c r="A85" s="108">
        <v>9</v>
      </c>
      <c r="B85" s="108" t="s">
        <v>1518</v>
      </c>
      <c r="C85" s="110" t="s">
        <v>14</v>
      </c>
      <c r="D85" s="109">
        <v>1</v>
      </c>
      <c r="E85" s="109">
        <v>179.16</v>
      </c>
      <c r="F85" s="109">
        <v>179.16</v>
      </c>
      <c r="G85" s="108" t="s">
        <v>1517</v>
      </c>
      <c r="H85" s="111" t="s">
        <v>16</v>
      </c>
    </row>
    <row r="86" spans="1:8" ht="33" x14ac:dyDescent="0.2">
      <c r="A86" s="108"/>
      <c r="B86" s="108" t="s">
        <v>1516</v>
      </c>
      <c r="C86" s="110" t="s">
        <v>50</v>
      </c>
      <c r="D86" s="109">
        <v>216</v>
      </c>
      <c r="E86" s="109"/>
      <c r="F86" s="109">
        <v>6151.16</v>
      </c>
      <c r="G86" s="108"/>
      <c r="H86" s="111" t="s">
        <v>16</v>
      </c>
    </row>
    <row r="87" spans="1:8" ht="33" x14ac:dyDescent="0.2">
      <c r="A87" s="108"/>
      <c r="B87" s="108" t="s">
        <v>1515</v>
      </c>
      <c r="C87" s="110" t="s">
        <v>50</v>
      </c>
      <c r="D87" s="109"/>
      <c r="E87" s="109"/>
      <c r="F87" s="109">
        <v>28.48</v>
      </c>
      <c r="G87" s="108"/>
      <c r="H87" s="111" t="s">
        <v>16</v>
      </c>
    </row>
    <row r="88" spans="1:8" ht="16.5" x14ac:dyDescent="0.2">
      <c r="A88" s="108"/>
      <c r="B88" s="108"/>
      <c r="C88" s="110"/>
      <c r="D88" s="109"/>
      <c r="E88" s="109"/>
      <c r="F88" s="109"/>
      <c r="G88" s="108"/>
    </row>
    <row r="89" spans="1:8" ht="33" x14ac:dyDescent="0.2">
      <c r="A89" s="108" t="s">
        <v>3022</v>
      </c>
      <c r="B89" s="108" t="s">
        <v>56</v>
      </c>
      <c r="C89" s="110" t="s">
        <v>30</v>
      </c>
      <c r="D89" s="109">
        <v>280</v>
      </c>
      <c r="E89" s="109">
        <v>65.400000000000006</v>
      </c>
      <c r="F89" s="109"/>
      <c r="G89" s="108" t="s">
        <v>3021</v>
      </c>
      <c r="H89" s="111" t="s">
        <v>16</v>
      </c>
    </row>
    <row r="90" spans="1:8" ht="33" x14ac:dyDescent="0.2">
      <c r="A90" s="108">
        <v>1</v>
      </c>
      <c r="B90" s="108" t="s">
        <v>3020</v>
      </c>
      <c r="C90" s="110" t="s">
        <v>97</v>
      </c>
      <c r="D90" s="109">
        <v>8</v>
      </c>
      <c r="E90" s="109">
        <v>954.8</v>
      </c>
      <c r="F90" s="109">
        <v>7638.4</v>
      </c>
      <c r="G90" s="108" t="s">
        <v>3019</v>
      </c>
      <c r="H90" s="111" t="s">
        <v>16</v>
      </c>
    </row>
    <row r="91" spans="1:8" ht="33" x14ac:dyDescent="0.2">
      <c r="A91" s="108">
        <v>2</v>
      </c>
      <c r="B91" s="108" t="s">
        <v>3018</v>
      </c>
      <c r="C91" s="110" t="s">
        <v>14</v>
      </c>
      <c r="D91" s="109">
        <v>1</v>
      </c>
      <c r="E91" s="109">
        <v>4500</v>
      </c>
      <c r="F91" s="109">
        <v>4500</v>
      </c>
      <c r="G91" s="108" t="s">
        <v>3017</v>
      </c>
      <c r="H91" s="111" t="s">
        <v>16</v>
      </c>
    </row>
    <row r="92" spans="1:8" ht="33" x14ac:dyDescent="0.2">
      <c r="A92" s="108">
        <v>3</v>
      </c>
      <c r="B92" s="108" t="s">
        <v>3016</v>
      </c>
      <c r="C92" s="110" t="s">
        <v>97</v>
      </c>
      <c r="D92" s="109">
        <v>8</v>
      </c>
      <c r="E92" s="109">
        <v>375</v>
      </c>
      <c r="F92" s="109">
        <v>3000</v>
      </c>
      <c r="G92" s="108" t="s">
        <v>3015</v>
      </c>
      <c r="H92" s="111" t="s">
        <v>16</v>
      </c>
    </row>
    <row r="93" spans="1:8" ht="33" x14ac:dyDescent="0.2">
      <c r="A93" s="108">
        <v>4</v>
      </c>
      <c r="B93" s="108" t="s">
        <v>1527</v>
      </c>
      <c r="C93" s="110" t="s">
        <v>97</v>
      </c>
      <c r="D93" s="109">
        <v>8</v>
      </c>
      <c r="E93" s="109">
        <v>280</v>
      </c>
      <c r="F93" s="109">
        <v>2240</v>
      </c>
      <c r="G93" s="108" t="s">
        <v>1535</v>
      </c>
      <c r="H93" s="111" t="s">
        <v>16</v>
      </c>
    </row>
    <row r="94" spans="1:8" ht="33" x14ac:dyDescent="0.2">
      <c r="A94" s="108">
        <v>5</v>
      </c>
      <c r="B94" s="108" t="s">
        <v>3014</v>
      </c>
      <c r="C94" s="110" t="s">
        <v>14</v>
      </c>
      <c r="D94" s="109">
        <v>1</v>
      </c>
      <c r="E94" s="109">
        <v>400</v>
      </c>
      <c r="F94" s="109">
        <v>400</v>
      </c>
      <c r="G94" s="108" t="s">
        <v>3013</v>
      </c>
      <c r="H94" s="111" t="s">
        <v>16</v>
      </c>
    </row>
    <row r="95" spans="1:8" ht="33" x14ac:dyDescent="0.2">
      <c r="A95" s="108">
        <v>6</v>
      </c>
      <c r="B95" s="108" t="s">
        <v>1543</v>
      </c>
      <c r="C95" s="110" t="s">
        <v>14</v>
      </c>
      <c r="D95" s="109">
        <v>1</v>
      </c>
      <c r="E95" s="109">
        <v>533.35</v>
      </c>
      <c r="F95" s="109">
        <v>533.35</v>
      </c>
      <c r="G95" s="108" t="s">
        <v>1542</v>
      </c>
      <c r="H95" s="111" t="s">
        <v>16</v>
      </c>
    </row>
    <row r="96" spans="1:8" ht="33" x14ac:dyDescent="0.2">
      <c r="A96" s="108"/>
      <c r="B96" s="108" t="s">
        <v>1516</v>
      </c>
      <c r="C96" s="110" t="s">
        <v>30</v>
      </c>
      <c r="D96" s="109">
        <v>280</v>
      </c>
      <c r="E96" s="109"/>
      <c r="F96" s="109">
        <v>18311.75</v>
      </c>
      <c r="G96" s="108"/>
      <c r="H96" s="111" t="s">
        <v>16</v>
      </c>
    </row>
    <row r="97" spans="1:8" ht="33" x14ac:dyDescent="0.2">
      <c r="A97" s="108"/>
      <c r="B97" s="108" t="s">
        <v>1515</v>
      </c>
      <c r="C97" s="110" t="s">
        <v>30</v>
      </c>
      <c r="D97" s="109"/>
      <c r="E97" s="109"/>
      <c r="F97" s="109">
        <v>65.400000000000006</v>
      </c>
      <c r="G97" s="108"/>
      <c r="H97" s="111" t="s">
        <v>16</v>
      </c>
    </row>
    <row r="98" spans="1:8" ht="16.5" x14ac:dyDescent="0.2">
      <c r="A98" s="108"/>
      <c r="B98" s="108"/>
      <c r="C98" s="110"/>
      <c r="D98" s="109"/>
      <c r="E98" s="109"/>
      <c r="F98" s="109"/>
      <c r="G98" s="108"/>
    </row>
    <row r="99" spans="1:8" ht="33" x14ac:dyDescent="0.2">
      <c r="A99" s="108" t="s">
        <v>3012</v>
      </c>
      <c r="B99" s="108" t="s">
        <v>59</v>
      </c>
      <c r="C99" s="110" t="s">
        <v>50</v>
      </c>
      <c r="D99" s="109">
        <v>10</v>
      </c>
      <c r="E99" s="109">
        <v>20.190000000000001</v>
      </c>
      <c r="F99" s="109"/>
      <c r="G99" s="108" t="s">
        <v>3011</v>
      </c>
      <c r="H99" s="111" t="s">
        <v>16</v>
      </c>
    </row>
    <row r="100" spans="1:8" ht="33" x14ac:dyDescent="0.2">
      <c r="A100" s="108">
        <v>1</v>
      </c>
      <c r="B100" s="108" t="s">
        <v>3010</v>
      </c>
      <c r="C100" s="110" t="s">
        <v>97</v>
      </c>
      <c r="D100" s="109">
        <v>0.7</v>
      </c>
      <c r="E100" s="109">
        <v>280</v>
      </c>
      <c r="F100" s="109">
        <v>196</v>
      </c>
      <c r="G100" s="108" t="s">
        <v>3009</v>
      </c>
      <c r="H100" s="111" t="s">
        <v>16</v>
      </c>
    </row>
    <row r="101" spans="1:8" ht="33" x14ac:dyDescent="0.2">
      <c r="A101" s="108">
        <v>2</v>
      </c>
      <c r="B101" s="108" t="s">
        <v>1518</v>
      </c>
      <c r="C101" s="110" t="s">
        <v>14</v>
      </c>
      <c r="D101" s="109">
        <v>1</v>
      </c>
      <c r="E101" s="109">
        <v>5.88</v>
      </c>
      <c r="F101" s="109">
        <v>5.88</v>
      </c>
      <c r="G101" s="108" t="s">
        <v>1517</v>
      </c>
      <c r="H101" s="111" t="s">
        <v>16</v>
      </c>
    </row>
    <row r="102" spans="1:8" ht="33" x14ac:dyDescent="0.2">
      <c r="A102" s="108"/>
      <c r="B102" s="108" t="s">
        <v>1516</v>
      </c>
      <c r="C102" s="110" t="s">
        <v>50</v>
      </c>
      <c r="D102" s="109">
        <v>10</v>
      </c>
      <c r="E102" s="109"/>
      <c r="F102" s="109">
        <v>201.88</v>
      </c>
      <c r="G102" s="108"/>
      <c r="H102" s="111" t="s">
        <v>16</v>
      </c>
    </row>
    <row r="103" spans="1:8" ht="33" x14ac:dyDescent="0.2">
      <c r="A103" s="108"/>
      <c r="B103" s="108" t="s">
        <v>1515</v>
      </c>
      <c r="C103" s="110" t="s">
        <v>50</v>
      </c>
      <c r="D103" s="109"/>
      <c r="E103" s="109"/>
      <c r="F103" s="109">
        <v>20.190000000000001</v>
      </c>
      <c r="G103" s="108"/>
      <c r="H103" s="111" t="s">
        <v>16</v>
      </c>
    </row>
    <row r="104" spans="1:8" ht="16.5" x14ac:dyDescent="0.2">
      <c r="A104" s="108"/>
      <c r="B104" s="108"/>
      <c r="C104" s="110"/>
      <c r="D104" s="109"/>
      <c r="E104" s="109"/>
      <c r="F104" s="109"/>
      <c r="G104" s="108"/>
    </row>
    <row r="105" spans="1:8" ht="33" x14ac:dyDescent="0.2">
      <c r="A105" s="108" t="s">
        <v>3008</v>
      </c>
      <c r="B105" s="108" t="s">
        <v>62</v>
      </c>
      <c r="C105" s="110" t="s">
        <v>23</v>
      </c>
      <c r="D105" s="109">
        <v>100</v>
      </c>
      <c r="E105" s="109">
        <v>2492.81</v>
      </c>
      <c r="F105" s="109"/>
      <c r="G105" s="108" t="s">
        <v>3007</v>
      </c>
      <c r="H105" s="111" t="s">
        <v>16</v>
      </c>
    </row>
    <row r="106" spans="1:8" ht="33" x14ac:dyDescent="0.2">
      <c r="A106" s="108">
        <v>1</v>
      </c>
      <c r="B106" s="108" t="s">
        <v>3006</v>
      </c>
      <c r="C106" s="110" t="s">
        <v>97</v>
      </c>
      <c r="D106" s="109">
        <v>16</v>
      </c>
      <c r="E106" s="109">
        <v>690</v>
      </c>
      <c r="F106" s="109">
        <v>11040</v>
      </c>
      <c r="G106" s="108" t="s">
        <v>3005</v>
      </c>
      <c r="H106" s="111" t="s">
        <v>16</v>
      </c>
    </row>
    <row r="107" spans="1:8" ht="33" x14ac:dyDescent="0.2">
      <c r="A107" s="108">
        <v>2</v>
      </c>
      <c r="B107" s="108" t="s">
        <v>2284</v>
      </c>
      <c r="C107" s="110" t="s">
        <v>97</v>
      </c>
      <c r="D107" s="109">
        <v>16</v>
      </c>
      <c r="E107" s="109">
        <v>375</v>
      </c>
      <c r="F107" s="109">
        <v>6000</v>
      </c>
      <c r="G107" s="108" t="s">
        <v>2283</v>
      </c>
      <c r="H107" s="111" t="s">
        <v>16</v>
      </c>
    </row>
    <row r="108" spans="1:8" ht="33" x14ac:dyDescent="0.2">
      <c r="A108" s="108">
        <v>3</v>
      </c>
      <c r="B108" s="108" t="s">
        <v>1527</v>
      </c>
      <c r="C108" s="110" t="s">
        <v>97</v>
      </c>
      <c r="D108" s="109">
        <v>16</v>
      </c>
      <c r="E108" s="109">
        <v>280</v>
      </c>
      <c r="F108" s="109">
        <v>4480</v>
      </c>
      <c r="G108" s="108" t="s">
        <v>1535</v>
      </c>
      <c r="H108" s="111" t="s">
        <v>16</v>
      </c>
    </row>
    <row r="109" spans="1:8" ht="33" x14ac:dyDescent="0.2">
      <c r="A109" s="108">
        <v>4</v>
      </c>
      <c r="B109" s="108" t="s">
        <v>3004</v>
      </c>
      <c r="C109" s="110" t="s">
        <v>14</v>
      </c>
      <c r="D109" s="109">
        <v>1</v>
      </c>
      <c r="E109" s="109">
        <v>500</v>
      </c>
      <c r="F109" s="109">
        <v>500</v>
      </c>
      <c r="G109" s="108" t="s">
        <v>3003</v>
      </c>
      <c r="H109" s="111" t="s">
        <v>16</v>
      </c>
    </row>
    <row r="110" spans="1:8" ht="33" x14ac:dyDescent="0.2">
      <c r="A110" s="108">
        <v>5</v>
      </c>
      <c r="B110" s="108" t="s">
        <v>3002</v>
      </c>
      <c r="C110" s="110" t="s">
        <v>23</v>
      </c>
      <c r="D110" s="109">
        <v>100</v>
      </c>
      <c r="E110" s="109">
        <v>2200</v>
      </c>
      <c r="F110" s="109">
        <v>220000</v>
      </c>
      <c r="G110" s="108" t="s">
        <v>3001</v>
      </c>
      <c r="H110" s="111" t="s">
        <v>16</v>
      </c>
    </row>
    <row r="111" spans="1:8" ht="33" x14ac:dyDescent="0.2">
      <c r="A111" s="108">
        <v>6</v>
      </c>
      <c r="B111" s="108" t="s">
        <v>1518</v>
      </c>
      <c r="C111" s="110" t="s">
        <v>14</v>
      </c>
      <c r="D111" s="109">
        <v>1</v>
      </c>
      <c r="E111" s="109">
        <v>7260.6</v>
      </c>
      <c r="F111" s="109">
        <v>7260.6</v>
      </c>
      <c r="G111" s="108" t="s">
        <v>1517</v>
      </c>
      <c r="H111" s="111" t="s">
        <v>16</v>
      </c>
    </row>
    <row r="112" spans="1:8" ht="33" x14ac:dyDescent="0.2">
      <c r="A112" s="108"/>
      <c r="B112" s="108" t="s">
        <v>1516</v>
      </c>
      <c r="C112" s="110" t="s">
        <v>23</v>
      </c>
      <c r="D112" s="109">
        <v>100</v>
      </c>
      <c r="E112" s="109"/>
      <c r="F112" s="109">
        <v>249280.6</v>
      </c>
      <c r="G112" s="108"/>
      <c r="H112" s="111" t="s">
        <v>16</v>
      </c>
    </row>
    <row r="113" spans="1:8" ht="33" x14ac:dyDescent="0.2">
      <c r="A113" s="108"/>
      <c r="B113" s="108" t="s">
        <v>1515</v>
      </c>
      <c r="C113" s="110" t="s">
        <v>23</v>
      </c>
      <c r="D113" s="109"/>
      <c r="E113" s="109"/>
      <c r="F113" s="109">
        <v>2492.81</v>
      </c>
      <c r="G113" s="108"/>
      <c r="H113" s="111" t="s">
        <v>16</v>
      </c>
    </row>
    <row r="114" spans="1:8" ht="16.5" x14ac:dyDescent="0.2">
      <c r="A114" s="108"/>
      <c r="B114" s="108"/>
      <c r="C114" s="110"/>
      <c r="D114" s="109"/>
      <c r="E114" s="109"/>
      <c r="F114" s="109"/>
      <c r="G114" s="108"/>
    </row>
    <row r="115" spans="1:8" ht="42.75" x14ac:dyDescent="0.2">
      <c r="A115" s="108" t="s">
        <v>3000</v>
      </c>
      <c r="B115" s="108" t="s">
        <v>65</v>
      </c>
      <c r="C115" s="110" t="s">
        <v>66</v>
      </c>
      <c r="D115" s="109">
        <v>60</v>
      </c>
      <c r="E115" s="109">
        <v>521.17999999999995</v>
      </c>
      <c r="F115" s="109"/>
      <c r="G115" s="108" t="s">
        <v>2999</v>
      </c>
      <c r="H115" s="111" t="s">
        <v>16</v>
      </c>
    </row>
    <row r="116" spans="1:8" ht="33" x14ac:dyDescent="0.2">
      <c r="A116" s="108">
        <v>1</v>
      </c>
      <c r="B116" s="108" t="s">
        <v>2998</v>
      </c>
      <c r="C116" s="110" t="s">
        <v>97</v>
      </c>
      <c r="D116" s="109">
        <v>8</v>
      </c>
      <c r="E116" s="109">
        <v>3000</v>
      </c>
      <c r="F116" s="109">
        <v>24000</v>
      </c>
      <c r="G116" s="108" t="s">
        <v>2997</v>
      </c>
      <c r="H116" s="111" t="s">
        <v>16</v>
      </c>
    </row>
    <row r="117" spans="1:8" ht="33" x14ac:dyDescent="0.2">
      <c r="A117" s="108">
        <v>2</v>
      </c>
      <c r="B117" s="108" t="s">
        <v>1696</v>
      </c>
      <c r="C117" s="110" t="s">
        <v>97</v>
      </c>
      <c r="D117" s="109">
        <v>8</v>
      </c>
      <c r="E117" s="109">
        <v>375</v>
      </c>
      <c r="F117" s="109">
        <v>3000</v>
      </c>
      <c r="G117" s="108" t="s">
        <v>1695</v>
      </c>
      <c r="H117" s="111" t="s">
        <v>16</v>
      </c>
    </row>
    <row r="118" spans="1:8" ht="33" x14ac:dyDescent="0.2">
      <c r="A118" s="108">
        <v>3</v>
      </c>
      <c r="B118" s="108" t="s">
        <v>1527</v>
      </c>
      <c r="C118" s="110" t="s">
        <v>97</v>
      </c>
      <c r="D118" s="109">
        <v>12</v>
      </c>
      <c r="E118" s="109">
        <v>280</v>
      </c>
      <c r="F118" s="109">
        <v>3360</v>
      </c>
      <c r="G118" s="108" t="s">
        <v>1535</v>
      </c>
      <c r="H118" s="111" t="s">
        <v>16</v>
      </c>
    </row>
    <row r="119" spans="1:8" ht="33" x14ac:dyDescent="0.2">
      <c r="A119" s="108">
        <v>4</v>
      </c>
      <c r="B119" s="108" t="s">
        <v>1518</v>
      </c>
      <c r="C119" s="110" t="s">
        <v>14</v>
      </c>
      <c r="D119" s="109">
        <v>1</v>
      </c>
      <c r="E119" s="109">
        <v>910.8</v>
      </c>
      <c r="F119" s="109">
        <v>910.8</v>
      </c>
      <c r="G119" s="108" t="s">
        <v>1517</v>
      </c>
      <c r="H119" s="111" t="s">
        <v>16</v>
      </c>
    </row>
    <row r="120" spans="1:8" ht="33" x14ac:dyDescent="0.2">
      <c r="A120" s="108"/>
      <c r="B120" s="108" t="s">
        <v>1516</v>
      </c>
      <c r="C120" s="110" t="s">
        <v>66</v>
      </c>
      <c r="D120" s="109">
        <v>60</v>
      </c>
      <c r="E120" s="109"/>
      <c r="F120" s="109">
        <v>31270.799999999999</v>
      </c>
      <c r="G120" s="108"/>
      <c r="H120" s="111" t="s">
        <v>16</v>
      </c>
    </row>
    <row r="121" spans="1:8" ht="33" x14ac:dyDescent="0.2">
      <c r="A121" s="108"/>
      <c r="B121" s="108" t="s">
        <v>1515</v>
      </c>
      <c r="C121" s="110" t="s">
        <v>66</v>
      </c>
      <c r="D121" s="109"/>
      <c r="E121" s="109"/>
      <c r="F121" s="109">
        <v>521.17999999999995</v>
      </c>
      <c r="G121" s="108"/>
      <c r="H121" s="111" t="s">
        <v>16</v>
      </c>
    </row>
    <row r="122" spans="1:8" ht="16.5" x14ac:dyDescent="0.2">
      <c r="A122" s="108"/>
      <c r="B122" s="108"/>
      <c r="C122" s="110"/>
      <c r="D122" s="109"/>
      <c r="E122" s="109"/>
      <c r="F122" s="109"/>
      <c r="G122" s="108"/>
    </row>
    <row r="123" spans="1:8" ht="33" x14ac:dyDescent="0.2">
      <c r="A123" s="108" t="s">
        <v>2996</v>
      </c>
      <c r="B123" s="108" t="s">
        <v>69</v>
      </c>
      <c r="C123" s="110" t="s">
        <v>30</v>
      </c>
      <c r="D123" s="109">
        <v>10</v>
      </c>
      <c r="E123" s="109">
        <v>289.69</v>
      </c>
      <c r="F123" s="109"/>
      <c r="G123" s="108" t="s">
        <v>2995</v>
      </c>
      <c r="H123" s="111" t="s">
        <v>16</v>
      </c>
    </row>
    <row r="124" spans="1:8" ht="33" x14ac:dyDescent="0.2">
      <c r="A124" s="108">
        <v>1</v>
      </c>
      <c r="B124" s="108" t="s">
        <v>2994</v>
      </c>
      <c r="C124" s="110" t="s">
        <v>97</v>
      </c>
      <c r="D124" s="109">
        <v>1</v>
      </c>
      <c r="E124" s="109">
        <v>1300</v>
      </c>
      <c r="F124" s="109">
        <v>1300</v>
      </c>
      <c r="G124" s="108" t="s">
        <v>2993</v>
      </c>
      <c r="H124" s="111" t="s">
        <v>16</v>
      </c>
    </row>
    <row r="125" spans="1:8" ht="33" x14ac:dyDescent="0.2">
      <c r="A125" s="108">
        <v>2</v>
      </c>
      <c r="B125" s="108" t="s">
        <v>2992</v>
      </c>
      <c r="C125" s="110" t="s">
        <v>97</v>
      </c>
      <c r="D125" s="109">
        <v>1</v>
      </c>
      <c r="E125" s="109">
        <v>375</v>
      </c>
      <c r="F125" s="109">
        <v>375</v>
      </c>
      <c r="G125" s="108" t="s">
        <v>2991</v>
      </c>
      <c r="H125" s="111" t="s">
        <v>16</v>
      </c>
    </row>
    <row r="126" spans="1:8" ht="33" x14ac:dyDescent="0.2">
      <c r="A126" s="108">
        <v>3</v>
      </c>
      <c r="B126" s="108" t="s">
        <v>2286</v>
      </c>
      <c r="C126" s="110" t="s">
        <v>97</v>
      </c>
      <c r="D126" s="109">
        <v>0.5</v>
      </c>
      <c r="E126" s="109">
        <v>1620</v>
      </c>
      <c r="F126" s="109">
        <v>810</v>
      </c>
      <c r="G126" s="108" t="s">
        <v>2285</v>
      </c>
      <c r="H126" s="111" t="s">
        <v>16</v>
      </c>
    </row>
    <row r="127" spans="1:8" ht="33" x14ac:dyDescent="0.2">
      <c r="A127" s="108">
        <v>4</v>
      </c>
      <c r="B127" s="108" t="s">
        <v>2284</v>
      </c>
      <c r="C127" s="110" t="s">
        <v>97</v>
      </c>
      <c r="D127" s="109">
        <v>0.5</v>
      </c>
      <c r="E127" s="109">
        <v>375</v>
      </c>
      <c r="F127" s="109">
        <v>187.5</v>
      </c>
      <c r="G127" s="108" t="s">
        <v>2283</v>
      </c>
      <c r="H127" s="111" t="s">
        <v>16</v>
      </c>
    </row>
    <row r="128" spans="1:8" ht="33" x14ac:dyDescent="0.2">
      <c r="A128" s="108">
        <v>5</v>
      </c>
      <c r="B128" s="108" t="s">
        <v>1527</v>
      </c>
      <c r="C128" s="110" t="s">
        <v>97</v>
      </c>
      <c r="D128" s="109">
        <v>0.5</v>
      </c>
      <c r="E128" s="109">
        <v>280</v>
      </c>
      <c r="F128" s="109">
        <v>140</v>
      </c>
      <c r="G128" s="108" t="s">
        <v>1535</v>
      </c>
      <c r="H128" s="111" t="s">
        <v>16</v>
      </c>
    </row>
    <row r="129" spans="1:8" ht="33" x14ac:dyDescent="0.2">
      <c r="A129" s="108">
        <v>6</v>
      </c>
      <c r="B129" s="108" t="s">
        <v>1518</v>
      </c>
      <c r="C129" s="110" t="s">
        <v>14</v>
      </c>
      <c r="D129" s="109">
        <v>1</v>
      </c>
      <c r="E129" s="109">
        <v>84.38</v>
      </c>
      <c r="F129" s="109">
        <v>84.38</v>
      </c>
      <c r="G129" s="108" t="s">
        <v>1517</v>
      </c>
      <c r="H129" s="111" t="s">
        <v>16</v>
      </c>
    </row>
    <row r="130" spans="1:8" ht="33" x14ac:dyDescent="0.2">
      <c r="A130" s="108"/>
      <c r="B130" s="108" t="s">
        <v>1516</v>
      </c>
      <c r="C130" s="110" t="s">
        <v>30</v>
      </c>
      <c r="D130" s="109">
        <v>10</v>
      </c>
      <c r="E130" s="109"/>
      <c r="F130" s="109">
        <v>2896.88</v>
      </c>
      <c r="G130" s="108"/>
      <c r="H130" s="111" t="s">
        <v>16</v>
      </c>
    </row>
    <row r="131" spans="1:8" ht="33" x14ac:dyDescent="0.2">
      <c r="A131" s="108"/>
      <c r="B131" s="108" t="s">
        <v>1515</v>
      </c>
      <c r="C131" s="110" t="s">
        <v>30</v>
      </c>
      <c r="D131" s="109"/>
      <c r="E131" s="109"/>
      <c r="F131" s="109">
        <v>289.69</v>
      </c>
      <c r="G131" s="108"/>
      <c r="H131" s="111" t="s">
        <v>16</v>
      </c>
    </row>
    <row r="132" spans="1:8" ht="16.5" x14ac:dyDescent="0.2">
      <c r="A132" s="108"/>
      <c r="B132" s="108"/>
      <c r="C132" s="110"/>
      <c r="D132" s="109"/>
      <c r="E132" s="109"/>
      <c r="F132" s="109"/>
      <c r="G132" s="108"/>
    </row>
    <row r="133" spans="1:8" ht="42.75" x14ac:dyDescent="0.2">
      <c r="A133" s="108" t="s">
        <v>2990</v>
      </c>
      <c r="B133" s="108" t="s">
        <v>72</v>
      </c>
      <c r="C133" s="110" t="s">
        <v>73</v>
      </c>
      <c r="D133" s="109">
        <v>1</v>
      </c>
      <c r="E133" s="109">
        <v>3311.45</v>
      </c>
      <c r="F133" s="109"/>
      <c r="G133" s="108" t="s">
        <v>2989</v>
      </c>
      <c r="H133" s="111" t="s">
        <v>16</v>
      </c>
    </row>
    <row r="134" spans="1:8" ht="42.75" x14ac:dyDescent="0.2">
      <c r="A134" s="108">
        <v>1</v>
      </c>
      <c r="B134" s="108" t="s">
        <v>2988</v>
      </c>
      <c r="C134" s="110" t="s">
        <v>925</v>
      </c>
      <c r="D134" s="109">
        <v>1</v>
      </c>
      <c r="E134" s="109">
        <v>280</v>
      </c>
      <c r="F134" s="109">
        <v>280</v>
      </c>
      <c r="G134" s="108" t="s">
        <v>2987</v>
      </c>
      <c r="H134" s="111" t="s">
        <v>16</v>
      </c>
    </row>
    <row r="135" spans="1:8" ht="33" x14ac:dyDescent="0.2">
      <c r="A135" s="108">
        <v>2</v>
      </c>
      <c r="B135" s="108" t="s">
        <v>2986</v>
      </c>
      <c r="C135" s="110" t="s">
        <v>559</v>
      </c>
      <c r="D135" s="109">
        <v>1</v>
      </c>
      <c r="E135" s="109">
        <v>800</v>
      </c>
      <c r="F135" s="109">
        <v>800</v>
      </c>
      <c r="G135" s="108" t="s">
        <v>2985</v>
      </c>
      <c r="H135" s="111" t="s">
        <v>16</v>
      </c>
    </row>
    <row r="136" spans="1:8" ht="33" x14ac:dyDescent="0.2">
      <c r="A136" s="108">
        <v>3</v>
      </c>
      <c r="B136" s="108" t="s">
        <v>2286</v>
      </c>
      <c r="C136" s="110" t="s">
        <v>97</v>
      </c>
      <c r="D136" s="109">
        <v>1</v>
      </c>
      <c r="E136" s="109">
        <v>1620</v>
      </c>
      <c r="F136" s="109">
        <v>1620</v>
      </c>
      <c r="G136" s="108" t="s">
        <v>2285</v>
      </c>
      <c r="H136" s="111" t="s">
        <v>16</v>
      </c>
    </row>
    <row r="137" spans="1:8" ht="33" x14ac:dyDescent="0.2">
      <c r="A137" s="108">
        <v>4</v>
      </c>
      <c r="B137" s="108" t="s">
        <v>2284</v>
      </c>
      <c r="C137" s="110" t="s">
        <v>97</v>
      </c>
      <c r="D137" s="109">
        <v>1</v>
      </c>
      <c r="E137" s="109">
        <v>375</v>
      </c>
      <c r="F137" s="109">
        <v>375</v>
      </c>
      <c r="G137" s="108" t="s">
        <v>2283</v>
      </c>
      <c r="H137" s="111" t="s">
        <v>16</v>
      </c>
    </row>
    <row r="138" spans="1:8" ht="33" x14ac:dyDescent="0.2">
      <c r="A138" s="108">
        <v>5</v>
      </c>
      <c r="B138" s="108" t="s">
        <v>1527</v>
      </c>
      <c r="C138" s="110" t="s">
        <v>97</v>
      </c>
      <c r="D138" s="109">
        <v>0.5</v>
      </c>
      <c r="E138" s="109">
        <v>280</v>
      </c>
      <c r="F138" s="109">
        <v>140</v>
      </c>
      <c r="G138" s="108" t="s">
        <v>1535</v>
      </c>
      <c r="H138" s="111" t="s">
        <v>16</v>
      </c>
    </row>
    <row r="139" spans="1:8" ht="33" x14ac:dyDescent="0.2">
      <c r="A139" s="108">
        <v>6</v>
      </c>
      <c r="B139" s="108" t="s">
        <v>1518</v>
      </c>
      <c r="C139" s="110" t="s">
        <v>14</v>
      </c>
      <c r="D139" s="109">
        <v>1</v>
      </c>
      <c r="E139" s="109">
        <v>96.45</v>
      </c>
      <c r="F139" s="109">
        <v>96.45</v>
      </c>
      <c r="G139" s="108" t="s">
        <v>1517</v>
      </c>
      <c r="H139" s="111" t="s">
        <v>16</v>
      </c>
    </row>
    <row r="140" spans="1:8" ht="33" x14ac:dyDescent="0.2">
      <c r="A140" s="108"/>
      <c r="B140" s="108" t="s">
        <v>1516</v>
      </c>
      <c r="C140" s="110" t="s">
        <v>73</v>
      </c>
      <c r="D140" s="109">
        <v>1</v>
      </c>
      <c r="E140" s="109"/>
      <c r="F140" s="109">
        <v>3311.45</v>
      </c>
      <c r="G140" s="108"/>
      <c r="H140" s="111" t="s">
        <v>16</v>
      </c>
    </row>
    <row r="141" spans="1:8" ht="33" x14ac:dyDescent="0.2">
      <c r="A141" s="108"/>
      <c r="B141" s="108" t="s">
        <v>1515</v>
      </c>
      <c r="C141" s="110" t="s">
        <v>73</v>
      </c>
      <c r="D141" s="109"/>
      <c r="E141" s="109"/>
      <c r="F141" s="109">
        <v>3311.45</v>
      </c>
      <c r="G141" s="108"/>
      <c r="H141" s="111" t="s">
        <v>16</v>
      </c>
    </row>
    <row r="142" spans="1:8" ht="16.5" x14ac:dyDescent="0.2">
      <c r="A142" s="108"/>
      <c r="B142" s="108"/>
      <c r="C142" s="110"/>
      <c r="D142" s="109"/>
      <c r="E142" s="109"/>
      <c r="F142" s="109"/>
      <c r="G142" s="108"/>
    </row>
    <row r="143" spans="1:8" ht="33" x14ac:dyDescent="0.2">
      <c r="A143" s="108" t="s">
        <v>2984</v>
      </c>
      <c r="B143" s="108" t="s">
        <v>76</v>
      </c>
      <c r="C143" s="110" t="s">
        <v>77</v>
      </c>
      <c r="D143" s="109">
        <v>1</v>
      </c>
      <c r="E143" s="109">
        <v>3082.28</v>
      </c>
      <c r="F143" s="109"/>
      <c r="G143" s="108" t="s">
        <v>2983</v>
      </c>
      <c r="H143" s="111" t="s">
        <v>16</v>
      </c>
    </row>
    <row r="144" spans="1:8" ht="33" x14ac:dyDescent="0.2">
      <c r="A144" s="108">
        <v>1</v>
      </c>
      <c r="B144" s="108" t="s">
        <v>2286</v>
      </c>
      <c r="C144" s="110" t="s">
        <v>97</v>
      </c>
      <c r="D144" s="109">
        <v>1.5</v>
      </c>
      <c r="E144" s="109">
        <v>1620</v>
      </c>
      <c r="F144" s="109">
        <v>2430</v>
      </c>
      <c r="G144" s="108" t="s">
        <v>2285</v>
      </c>
      <c r="H144" s="111" t="s">
        <v>16</v>
      </c>
    </row>
    <row r="145" spans="1:8" ht="33" x14ac:dyDescent="0.2">
      <c r="A145" s="108">
        <v>2</v>
      </c>
      <c r="B145" s="108" t="s">
        <v>2284</v>
      </c>
      <c r="C145" s="110" t="s">
        <v>97</v>
      </c>
      <c r="D145" s="109">
        <v>1.5</v>
      </c>
      <c r="E145" s="109">
        <v>375</v>
      </c>
      <c r="F145" s="109">
        <v>562.5</v>
      </c>
      <c r="G145" s="108" t="s">
        <v>2283</v>
      </c>
      <c r="H145" s="111" t="s">
        <v>16</v>
      </c>
    </row>
    <row r="146" spans="1:8" ht="33" x14ac:dyDescent="0.2">
      <c r="A146" s="108">
        <v>3</v>
      </c>
      <c r="B146" s="108" t="s">
        <v>1518</v>
      </c>
      <c r="C146" s="110" t="s">
        <v>14</v>
      </c>
      <c r="D146" s="109">
        <v>1</v>
      </c>
      <c r="E146" s="109">
        <v>89.78</v>
      </c>
      <c r="F146" s="109">
        <v>89.78</v>
      </c>
      <c r="G146" s="108" t="s">
        <v>1517</v>
      </c>
      <c r="H146" s="111" t="s">
        <v>16</v>
      </c>
    </row>
    <row r="147" spans="1:8" ht="33" x14ac:dyDescent="0.2">
      <c r="A147" s="108"/>
      <c r="B147" s="108" t="s">
        <v>1516</v>
      </c>
      <c r="C147" s="110" t="s">
        <v>77</v>
      </c>
      <c r="D147" s="109">
        <v>1</v>
      </c>
      <c r="E147" s="109"/>
      <c r="F147" s="109">
        <v>3082.28</v>
      </c>
      <c r="G147" s="108"/>
      <c r="H147" s="111" t="s">
        <v>16</v>
      </c>
    </row>
    <row r="148" spans="1:8" ht="33" x14ac:dyDescent="0.2">
      <c r="A148" s="108"/>
      <c r="B148" s="108" t="s">
        <v>1515</v>
      </c>
      <c r="C148" s="110" t="s">
        <v>77</v>
      </c>
      <c r="D148" s="109"/>
      <c r="E148" s="109"/>
      <c r="F148" s="109">
        <v>3082.28</v>
      </c>
      <c r="G148" s="108"/>
      <c r="H148" s="111" t="s">
        <v>16</v>
      </c>
    </row>
    <row r="149" spans="1:8" ht="16.5" x14ac:dyDescent="0.2">
      <c r="A149" s="108"/>
      <c r="B149" s="108"/>
      <c r="C149" s="110"/>
      <c r="D149" s="109"/>
      <c r="E149" s="109"/>
      <c r="F149" s="109"/>
      <c r="G149" s="108"/>
    </row>
    <row r="150" spans="1:8" ht="33" x14ac:dyDescent="0.2">
      <c r="A150" s="108" t="s">
        <v>2982</v>
      </c>
      <c r="B150" s="108" t="s">
        <v>102</v>
      </c>
      <c r="C150" s="110" t="s">
        <v>103</v>
      </c>
      <c r="D150" s="109">
        <v>1</v>
      </c>
      <c r="E150" s="109">
        <v>320.74</v>
      </c>
      <c r="F150" s="109"/>
      <c r="G150" s="108" t="s">
        <v>2981</v>
      </c>
      <c r="H150" s="111" t="s">
        <v>16</v>
      </c>
    </row>
    <row r="151" spans="1:8" ht="33" x14ac:dyDescent="0.2">
      <c r="A151" s="108">
        <v>1</v>
      </c>
      <c r="B151" s="108" t="s">
        <v>1527</v>
      </c>
      <c r="C151" s="110" t="s">
        <v>97</v>
      </c>
      <c r="D151" s="109">
        <v>0.8</v>
      </c>
      <c r="E151" s="109">
        <v>280</v>
      </c>
      <c r="F151" s="109">
        <v>224</v>
      </c>
      <c r="G151" s="108" t="s">
        <v>1535</v>
      </c>
      <c r="H151" s="111" t="s">
        <v>16</v>
      </c>
    </row>
    <row r="152" spans="1:8" ht="33" x14ac:dyDescent="0.2">
      <c r="A152" s="108">
        <v>2</v>
      </c>
      <c r="B152" s="108" t="s">
        <v>2980</v>
      </c>
      <c r="C152" s="110" t="s">
        <v>97</v>
      </c>
      <c r="D152" s="109">
        <v>0.2</v>
      </c>
      <c r="E152" s="109">
        <v>62</v>
      </c>
      <c r="F152" s="109">
        <v>12.4</v>
      </c>
      <c r="G152" s="108" t="s">
        <v>2979</v>
      </c>
      <c r="H152" s="111" t="s">
        <v>16</v>
      </c>
    </row>
    <row r="153" spans="1:8" ht="33" x14ac:dyDescent="0.2">
      <c r="A153" s="108">
        <v>3</v>
      </c>
      <c r="B153" s="108" t="s">
        <v>2978</v>
      </c>
      <c r="C153" s="110" t="s">
        <v>97</v>
      </c>
      <c r="D153" s="109">
        <v>0.2</v>
      </c>
      <c r="E153" s="109">
        <v>375</v>
      </c>
      <c r="F153" s="109">
        <v>75</v>
      </c>
      <c r="G153" s="108" t="s">
        <v>2977</v>
      </c>
      <c r="H153" s="111" t="s">
        <v>16</v>
      </c>
    </row>
    <row r="154" spans="1:8" ht="33" x14ac:dyDescent="0.2">
      <c r="A154" s="108">
        <v>4</v>
      </c>
      <c r="B154" s="108" t="s">
        <v>1518</v>
      </c>
      <c r="C154" s="110" t="s">
        <v>14</v>
      </c>
      <c r="D154" s="109">
        <v>1</v>
      </c>
      <c r="E154" s="109">
        <v>9.34</v>
      </c>
      <c r="F154" s="109">
        <v>9.34</v>
      </c>
      <c r="G154" s="108" t="s">
        <v>1517</v>
      </c>
      <c r="H154" s="111" t="s">
        <v>16</v>
      </c>
    </row>
    <row r="155" spans="1:8" ht="33" x14ac:dyDescent="0.2">
      <c r="A155" s="108"/>
      <c r="B155" s="108" t="s">
        <v>1516</v>
      </c>
      <c r="C155" s="110" t="s">
        <v>103</v>
      </c>
      <c r="D155" s="109">
        <v>1</v>
      </c>
      <c r="E155" s="109"/>
      <c r="F155" s="109">
        <v>320.73999999999995</v>
      </c>
      <c r="G155" s="108"/>
      <c r="H155" s="111" t="s">
        <v>16</v>
      </c>
    </row>
    <row r="156" spans="1:8" ht="33" x14ac:dyDescent="0.2">
      <c r="A156" s="108"/>
      <c r="B156" s="108" t="s">
        <v>1515</v>
      </c>
      <c r="C156" s="110" t="s">
        <v>103</v>
      </c>
      <c r="D156" s="109"/>
      <c r="E156" s="109"/>
      <c r="F156" s="109">
        <v>320.74</v>
      </c>
      <c r="G156" s="108"/>
      <c r="H156" s="111" t="s">
        <v>16</v>
      </c>
    </row>
    <row r="157" spans="1:8" ht="16.5" x14ac:dyDescent="0.2">
      <c r="A157" s="108"/>
      <c r="B157" s="108"/>
      <c r="C157" s="110"/>
      <c r="D157" s="109"/>
      <c r="E157" s="109"/>
      <c r="F157" s="109"/>
      <c r="G157" s="108"/>
    </row>
    <row r="158" spans="1:8" ht="33" x14ac:dyDescent="0.2">
      <c r="A158" s="108" t="s">
        <v>2976</v>
      </c>
      <c r="B158" s="108" t="s">
        <v>106</v>
      </c>
      <c r="C158" s="110" t="s">
        <v>103</v>
      </c>
      <c r="D158" s="109">
        <v>1</v>
      </c>
      <c r="E158" s="109">
        <v>346.08</v>
      </c>
      <c r="F158" s="109"/>
      <c r="G158" s="108" t="s">
        <v>2975</v>
      </c>
      <c r="H158" s="111" t="s">
        <v>16</v>
      </c>
    </row>
    <row r="159" spans="1:8" ht="33" x14ac:dyDescent="0.2">
      <c r="A159" s="108">
        <v>1</v>
      </c>
      <c r="B159" s="108" t="s">
        <v>1527</v>
      </c>
      <c r="C159" s="110" t="s">
        <v>97</v>
      </c>
      <c r="D159" s="109">
        <v>1.2</v>
      </c>
      <c r="E159" s="109">
        <v>280</v>
      </c>
      <c r="F159" s="109">
        <v>336</v>
      </c>
      <c r="G159" s="108" t="s">
        <v>1535</v>
      </c>
      <c r="H159" s="111" t="s">
        <v>16</v>
      </c>
    </row>
    <row r="160" spans="1:8" ht="33" x14ac:dyDescent="0.2">
      <c r="A160" s="108">
        <v>2</v>
      </c>
      <c r="B160" s="108" t="s">
        <v>1543</v>
      </c>
      <c r="C160" s="110" t="s">
        <v>14</v>
      </c>
      <c r="D160" s="109">
        <v>1</v>
      </c>
      <c r="E160" s="109">
        <v>10.08</v>
      </c>
      <c r="F160" s="109">
        <v>10.08</v>
      </c>
      <c r="G160" s="108" t="s">
        <v>1542</v>
      </c>
      <c r="H160" s="111" t="s">
        <v>16</v>
      </c>
    </row>
    <row r="161" spans="1:8" ht="33" x14ac:dyDescent="0.2">
      <c r="A161" s="108"/>
      <c r="B161" s="108" t="s">
        <v>1516</v>
      </c>
      <c r="C161" s="110" t="s">
        <v>103</v>
      </c>
      <c r="D161" s="109">
        <v>1</v>
      </c>
      <c r="E161" s="109"/>
      <c r="F161" s="109">
        <v>346.08</v>
      </c>
      <c r="G161" s="108"/>
      <c r="H161" s="111" t="s">
        <v>16</v>
      </c>
    </row>
    <row r="162" spans="1:8" ht="33" x14ac:dyDescent="0.2">
      <c r="A162" s="108"/>
      <c r="B162" s="108" t="s">
        <v>1515</v>
      </c>
      <c r="C162" s="110" t="s">
        <v>103</v>
      </c>
      <c r="D162" s="109"/>
      <c r="E162" s="109"/>
      <c r="F162" s="109">
        <v>346.08</v>
      </c>
      <c r="G162" s="108"/>
      <c r="H162" s="111" t="s">
        <v>16</v>
      </c>
    </row>
    <row r="163" spans="1:8" ht="16.5" x14ac:dyDescent="0.2">
      <c r="A163" s="108"/>
      <c r="B163" s="108"/>
      <c r="C163" s="110"/>
      <c r="D163" s="109"/>
      <c r="E163" s="109"/>
      <c r="F163" s="109"/>
      <c r="G163" s="108"/>
    </row>
    <row r="164" spans="1:8" ht="42.75" x14ac:dyDescent="0.2">
      <c r="A164" s="108" t="s">
        <v>2974</v>
      </c>
      <c r="B164" s="108" t="s">
        <v>109</v>
      </c>
      <c r="C164" s="110" t="s">
        <v>110</v>
      </c>
      <c r="D164" s="109">
        <v>1000</v>
      </c>
      <c r="E164" s="109">
        <v>36.4</v>
      </c>
      <c r="F164" s="109"/>
      <c r="G164" s="108" t="s">
        <v>2973</v>
      </c>
      <c r="H164" s="111" t="s">
        <v>16</v>
      </c>
    </row>
    <row r="165" spans="1:8" ht="42.75" x14ac:dyDescent="0.2">
      <c r="A165" s="108">
        <v>1</v>
      </c>
      <c r="B165" s="108" t="s">
        <v>2972</v>
      </c>
      <c r="C165" s="110" t="s">
        <v>338</v>
      </c>
      <c r="D165" s="109">
        <v>1.05</v>
      </c>
      <c r="E165" s="109">
        <v>25600</v>
      </c>
      <c r="F165" s="109">
        <v>26880</v>
      </c>
      <c r="G165" s="108" t="s">
        <v>2971</v>
      </c>
      <c r="H165" s="111" t="s">
        <v>16</v>
      </c>
    </row>
    <row r="166" spans="1:8" ht="33" x14ac:dyDescent="0.2">
      <c r="A166" s="108">
        <v>2</v>
      </c>
      <c r="B166" s="108" t="s">
        <v>1716</v>
      </c>
      <c r="C166" s="110" t="s">
        <v>97</v>
      </c>
      <c r="D166" s="109">
        <v>10.4</v>
      </c>
      <c r="E166" s="109">
        <v>400</v>
      </c>
      <c r="F166" s="109">
        <v>4160</v>
      </c>
      <c r="G166" s="108" t="s">
        <v>1715</v>
      </c>
      <c r="H166" s="111" t="s">
        <v>16</v>
      </c>
    </row>
    <row r="167" spans="1:8" ht="33" x14ac:dyDescent="0.2">
      <c r="A167" s="108">
        <v>3</v>
      </c>
      <c r="B167" s="108" t="s">
        <v>1714</v>
      </c>
      <c r="C167" s="110" t="s">
        <v>97</v>
      </c>
      <c r="D167" s="109">
        <v>10.4</v>
      </c>
      <c r="E167" s="109">
        <v>400</v>
      </c>
      <c r="F167" s="109">
        <v>4160</v>
      </c>
      <c r="G167" s="108" t="s">
        <v>1713</v>
      </c>
      <c r="H167" s="111" t="s">
        <v>16</v>
      </c>
    </row>
    <row r="168" spans="1:8" ht="33" x14ac:dyDescent="0.2">
      <c r="A168" s="108">
        <v>4</v>
      </c>
      <c r="B168" s="108" t="s">
        <v>1712</v>
      </c>
      <c r="C168" s="110" t="s">
        <v>110</v>
      </c>
      <c r="D168" s="109">
        <v>4</v>
      </c>
      <c r="E168" s="109">
        <v>36</v>
      </c>
      <c r="F168" s="109">
        <v>144</v>
      </c>
      <c r="G168" s="108" t="s">
        <v>1711</v>
      </c>
      <c r="H168" s="111" t="s">
        <v>16</v>
      </c>
    </row>
    <row r="169" spans="1:8" ht="33" x14ac:dyDescent="0.2">
      <c r="A169" s="108">
        <v>5</v>
      </c>
      <c r="B169" s="108" t="s">
        <v>1518</v>
      </c>
      <c r="C169" s="110" t="s">
        <v>14</v>
      </c>
      <c r="D169" s="109">
        <v>1</v>
      </c>
      <c r="E169" s="109">
        <v>1060.32</v>
      </c>
      <c r="F169" s="109">
        <v>1060.32</v>
      </c>
      <c r="G169" s="108" t="s">
        <v>1517</v>
      </c>
      <c r="H169" s="111" t="s">
        <v>16</v>
      </c>
    </row>
    <row r="170" spans="1:8" ht="33" x14ac:dyDescent="0.2">
      <c r="A170" s="108"/>
      <c r="B170" s="108" t="s">
        <v>1516</v>
      </c>
      <c r="C170" s="110" t="s">
        <v>110</v>
      </c>
      <c r="D170" s="109">
        <v>1000</v>
      </c>
      <c r="E170" s="109"/>
      <c r="F170" s="109">
        <v>36404.32</v>
      </c>
      <c r="G170" s="108"/>
      <c r="H170" s="111" t="s">
        <v>16</v>
      </c>
    </row>
    <row r="171" spans="1:8" ht="33" x14ac:dyDescent="0.2">
      <c r="A171" s="108"/>
      <c r="B171" s="108" t="s">
        <v>1515</v>
      </c>
      <c r="C171" s="110" t="s">
        <v>110</v>
      </c>
      <c r="D171" s="109"/>
      <c r="E171" s="109"/>
      <c r="F171" s="109">
        <v>36.4</v>
      </c>
      <c r="G171" s="108"/>
      <c r="H171" s="111" t="s">
        <v>16</v>
      </c>
    </row>
    <row r="172" spans="1:8" ht="16.5" x14ac:dyDescent="0.2">
      <c r="A172" s="108"/>
      <c r="B172" s="108"/>
      <c r="C172" s="110"/>
      <c r="D172" s="109"/>
      <c r="E172" s="109"/>
      <c r="F172" s="109"/>
      <c r="G172" s="108"/>
    </row>
    <row r="173" spans="1:8" ht="33" x14ac:dyDescent="0.2">
      <c r="A173" s="108" t="s">
        <v>2970</v>
      </c>
      <c r="B173" s="108" t="s">
        <v>392</v>
      </c>
      <c r="C173" s="110" t="s">
        <v>23</v>
      </c>
      <c r="D173" s="109">
        <v>1</v>
      </c>
      <c r="E173" s="109">
        <v>3115.13</v>
      </c>
      <c r="F173" s="109"/>
      <c r="G173" s="108" t="s">
        <v>2969</v>
      </c>
      <c r="H173" s="111" t="s">
        <v>16</v>
      </c>
    </row>
    <row r="174" spans="1:8" ht="33" x14ac:dyDescent="0.2">
      <c r="A174" s="108">
        <v>1</v>
      </c>
      <c r="B174" s="108" t="s">
        <v>2968</v>
      </c>
      <c r="C174" s="110" t="s">
        <v>23</v>
      </c>
      <c r="D174" s="109">
        <v>1</v>
      </c>
      <c r="E174" s="109">
        <v>2750</v>
      </c>
      <c r="F174" s="109">
        <v>2750</v>
      </c>
      <c r="G174" s="108" t="s">
        <v>2967</v>
      </c>
      <c r="H174" s="111" t="s">
        <v>16</v>
      </c>
    </row>
    <row r="175" spans="1:8" ht="33" x14ac:dyDescent="0.2">
      <c r="A175" s="108">
        <v>2</v>
      </c>
      <c r="B175" s="108" t="s">
        <v>1694</v>
      </c>
      <c r="C175" s="110" t="s">
        <v>97</v>
      </c>
      <c r="D175" s="109">
        <v>0.24</v>
      </c>
      <c r="E175" s="109">
        <v>375</v>
      </c>
      <c r="F175" s="109">
        <v>90</v>
      </c>
      <c r="G175" s="108" t="s">
        <v>1693</v>
      </c>
      <c r="H175" s="111" t="s">
        <v>16</v>
      </c>
    </row>
    <row r="176" spans="1:8" ht="33" x14ac:dyDescent="0.2">
      <c r="A176" s="108">
        <v>3</v>
      </c>
      <c r="B176" s="108" t="s">
        <v>1527</v>
      </c>
      <c r="C176" s="110" t="s">
        <v>97</v>
      </c>
      <c r="D176" s="109">
        <v>0.48</v>
      </c>
      <c r="E176" s="109">
        <v>280</v>
      </c>
      <c r="F176" s="109">
        <v>134.4</v>
      </c>
      <c r="G176" s="108" t="s">
        <v>1535</v>
      </c>
      <c r="H176" s="111" t="s">
        <v>16</v>
      </c>
    </row>
    <row r="177" spans="1:8" ht="33" x14ac:dyDescent="0.2">
      <c r="A177" s="108">
        <v>4</v>
      </c>
      <c r="B177" s="108" t="s">
        <v>1692</v>
      </c>
      <c r="C177" s="110" t="s">
        <v>14</v>
      </c>
      <c r="D177" s="109">
        <v>1</v>
      </c>
      <c r="E177" s="109">
        <v>10</v>
      </c>
      <c r="F177" s="109">
        <v>10</v>
      </c>
      <c r="G177" s="108" t="s">
        <v>1691</v>
      </c>
      <c r="H177" s="111" t="s">
        <v>16</v>
      </c>
    </row>
    <row r="178" spans="1:8" ht="33" x14ac:dyDescent="0.2">
      <c r="A178" s="108">
        <v>5</v>
      </c>
      <c r="B178" s="108" t="s">
        <v>2620</v>
      </c>
      <c r="C178" s="110" t="s">
        <v>14</v>
      </c>
      <c r="D178" s="109">
        <v>1</v>
      </c>
      <c r="E178" s="109">
        <v>10</v>
      </c>
      <c r="F178" s="109">
        <v>10</v>
      </c>
      <c r="G178" s="108" t="s">
        <v>2619</v>
      </c>
      <c r="H178" s="111" t="s">
        <v>16</v>
      </c>
    </row>
    <row r="179" spans="1:8" ht="33" x14ac:dyDescent="0.2">
      <c r="A179" s="108">
        <v>6</v>
      </c>
      <c r="B179" s="108" t="s">
        <v>2434</v>
      </c>
      <c r="C179" s="110" t="s">
        <v>14</v>
      </c>
      <c r="D179" s="109">
        <v>1</v>
      </c>
      <c r="E179" s="109">
        <v>30</v>
      </c>
      <c r="F179" s="109">
        <v>30</v>
      </c>
      <c r="G179" s="108" t="s">
        <v>2433</v>
      </c>
      <c r="H179" s="111" t="s">
        <v>16</v>
      </c>
    </row>
    <row r="180" spans="1:8" ht="33" x14ac:dyDescent="0.2">
      <c r="A180" s="108">
        <v>7</v>
      </c>
      <c r="B180" s="108" t="s">
        <v>1518</v>
      </c>
      <c r="C180" s="110" t="s">
        <v>14</v>
      </c>
      <c r="D180" s="109">
        <v>1</v>
      </c>
      <c r="E180" s="109">
        <v>90.73</v>
      </c>
      <c r="F180" s="109">
        <v>90.73</v>
      </c>
      <c r="G180" s="108" t="s">
        <v>1517</v>
      </c>
      <c r="H180" s="111" t="s">
        <v>16</v>
      </c>
    </row>
    <row r="181" spans="1:8" ht="33" x14ac:dyDescent="0.2">
      <c r="A181" s="108"/>
      <c r="B181" s="108" t="s">
        <v>1516</v>
      </c>
      <c r="C181" s="110" t="s">
        <v>23</v>
      </c>
      <c r="D181" s="109">
        <v>1</v>
      </c>
      <c r="E181" s="109"/>
      <c r="F181" s="109">
        <v>3115.13</v>
      </c>
      <c r="G181" s="108"/>
      <c r="H181" s="111" t="s">
        <v>16</v>
      </c>
    </row>
    <row r="182" spans="1:8" ht="33" x14ac:dyDescent="0.2">
      <c r="A182" s="108"/>
      <c r="B182" s="108" t="s">
        <v>1515</v>
      </c>
      <c r="C182" s="110" t="s">
        <v>23</v>
      </c>
      <c r="D182" s="109"/>
      <c r="E182" s="109"/>
      <c r="F182" s="109">
        <v>3115.13</v>
      </c>
      <c r="G182" s="108"/>
      <c r="H182" s="111" t="s">
        <v>16</v>
      </c>
    </row>
    <row r="183" spans="1:8" ht="16.5" x14ac:dyDescent="0.2">
      <c r="A183" s="108"/>
      <c r="B183" s="108"/>
      <c r="C183" s="110"/>
      <c r="D183" s="109"/>
      <c r="E183" s="109"/>
      <c r="F183" s="109"/>
      <c r="G183" s="108"/>
    </row>
    <row r="184" spans="1:8" ht="33" x14ac:dyDescent="0.2">
      <c r="A184" s="108" t="s">
        <v>2966</v>
      </c>
      <c r="B184" s="108" t="s">
        <v>116</v>
      </c>
      <c r="C184" s="110" t="s">
        <v>23</v>
      </c>
      <c r="D184" s="109">
        <v>1</v>
      </c>
      <c r="E184" s="109">
        <v>3321.13</v>
      </c>
      <c r="F184" s="109"/>
      <c r="G184" s="108" t="s">
        <v>2965</v>
      </c>
      <c r="H184" s="111" t="s">
        <v>16</v>
      </c>
    </row>
    <row r="185" spans="1:8" ht="33" x14ac:dyDescent="0.2">
      <c r="A185" s="108">
        <v>1</v>
      </c>
      <c r="B185" s="108" t="s">
        <v>2964</v>
      </c>
      <c r="C185" s="110" t="s">
        <v>23</v>
      </c>
      <c r="D185" s="109">
        <v>1</v>
      </c>
      <c r="E185" s="109">
        <v>2950</v>
      </c>
      <c r="F185" s="109">
        <v>2950</v>
      </c>
      <c r="G185" s="108" t="s">
        <v>2963</v>
      </c>
      <c r="H185" s="111" t="s">
        <v>16</v>
      </c>
    </row>
    <row r="186" spans="1:8" ht="33" x14ac:dyDescent="0.2">
      <c r="A186" s="108">
        <v>2</v>
      </c>
      <c r="B186" s="108" t="s">
        <v>1694</v>
      </c>
      <c r="C186" s="110" t="s">
        <v>97</v>
      </c>
      <c r="D186" s="109">
        <v>0.24</v>
      </c>
      <c r="E186" s="109">
        <v>375</v>
      </c>
      <c r="F186" s="109">
        <v>90</v>
      </c>
      <c r="G186" s="108" t="s">
        <v>1693</v>
      </c>
      <c r="H186" s="111" t="s">
        <v>16</v>
      </c>
    </row>
    <row r="187" spans="1:8" ht="33" x14ac:dyDescent="0.2">
      <c r="A187" s="108">
        <v>3</v>
      </c>
      <c r="B187" s="108" t="s">
        <v>1527</v>
      </c>
      <c r="C187" s="110" t="s">
        <v>97</v>
      </c>
      <c r="D187" s="109">
        <v>0.48</v>
      </c>
      <c r="E187" s="109">
        <v>280</v>
      </c>
      <c r="F187" s="109">
        <v>134.4</v>
      </c>
      <c r="G187" s="108" t="s">
        <v>1535</v>
      </c>
      <c r="H187" s="111" t="s">
        <v>16</v>
      </c>
    </row>
    <row r="188" spans="1:8" ht="33" x14ac:dyDescent="0.2">
      <c r="A188" s="108">
        <v>4</v>
      </c>
      <c r="B188" s="108" t="s">
        <v>1692</v>
      </c>
      <c r="C188" s="110" t="s">
        <v>14</v>
      </c>
      <c r="D188" s="109">
        <v>1</v>
      </c>
      <c r="E188" s="109">
        <v>10</v>
      </c>
      <c r="F188" s="109">
        <v>10</v>
      </c>
      <c r="G188" s="108" t="s">
        <v>1691</v>
      </c>
      <c r="H188" s="111" t="s">
        <v>16</v>
      </c>
    </row>
    <row r="189" spans="1:8" ht="33" x14ac:dyDescent="0.2">
      <c r="A189" s="108">
        <v>5</v>
      </c>
      <c r="B189" s="108" t="s">
        <v>2620</v>
      </c>
      <c r="C189" s="110" t="s">
        <v>14</v>
      </c>
      <c r="D189" s="109">
        <v>1</v>
      </c>
      <c r="E189" s="109">
        <v>10</v>
      </c>
      <c r="F189" s="109">
        <v>10</v>
      </c>
      <c r="G189" s="108" t="s">
        <v>2619</v>
      </c>
      <c r="H189" s="111" t="s">
        <v>16</v>
      </c>
    </row>
    <row r="190" spans="1:8" ht="33" x14ac:dyDescent="0.2">
      <c r="A190" s="108">
        <v>6</v>
      </c>
      <c r="B190" s="108" t="s">
        <v>2434</v>
      </c>
      <c r="C190" s="110" t="s">
        <v>14</v>
      </c>
      <c r="D190" s="109">
        <v>1</v>
      </c>
      <c r="E190" s="109">
        <v>30</v>
      </c>
      <c r="F190" s="109">
        <v>30</v>
      </c>
      <c r="G190" s="108" t="s">
        <v>2433</v>
      </c>
      <c r="H190" s="111" t="s">
        <v>16</v>
      </c>
    </row>
    <row r="191" spans="1:8" ht="33" x14ac:dyDescent="0.2">
      <c r="A191" s="108">
        <v>7</v>
      </c>
      <c r="B191" s="108" t="s">
        <v>1518</v>
      </c>
      <c r="C191" s="110" t="s">
        <v>14</v>
      </c>
      <c r="D191" s="109">
        <v>1</v>
      </c>
      <c r="E191" s="109">
        <v>96.73</v>
      </c>
      <c r="F191" s="109">
        <v>96.73</v>
      </c>
      <c r="G191" s="108" t="s">
        <v>1517</v>
      </c>
      <c r="H191" s="111" t="s">
        <v>16</v>
      </c>
    </row>
    <row r="192" spans="1:8" ht="33" x14ac:dyDescent="0.2">
      <c r="A192" s="108"/>
      <c r="B192" s="108" t="s">
        <v>1516</v>
      </c>
      <c r="C192" s="110" t="s">
        <v>23</v>
      </c>
      <c r="D192" s="109">
        <v>1</v>
      </c>
      <c r="E192" s="109"/>
      <c r="F192" s="109">
        <v>3321.13</v>
      </c>
      <c r="G192" s="108"/>
      <c r="H192" s="111" t="s">
        <v>16</v>
      </c>
    </row>
    <row r="193" spans="1:8" ht="33" x14ac:dyDescent="0.2">
      <c r="A193" s="108"/>
      <c r="B193" s="108" t="s">
        <v>1515</v>
      </c>
      <c r="C193" s="110" t="s">
        <v>23</v>
      </c>
      <c r="D193" s="109"/>
      <c r="E193" s="109"/>
      <c r="F193" s="109">
        <v>3321.13</v>
      </c>
      <c r="G193" s="108"/>
      <c r="H193" s="111" t="s">
        <v>16</v>
      </c>
    </row>
    <row r="194" spans="1:8" ht="16.5" x14ac:dyDescent="0.2">
      <c r="A194" s="108"/>
      <c r="B194" s="108"/>
      <c r="C194" s="110"/>
      <c r="D194" s="109"/>
      <c r="E194" s="109"/>
      <c r="F194" s="109"/>
      <c r="G194" s="108"/>
    </row>
    <row r="195" spans="1:8" ht="71.25" x14ac:dyDescent="0.2">
      <c r="A195" s="108" t="s">
        <v>2962</v>
      </c>
      <c r="B195" s="108" t="s">
        <v>119</v>
      </c>
      <c r="C195" s="110" t="s">
        <v>50</v>
      </c>
      <c r="D195" s="109">
        <v>10</v>
      </c>
      <c r="E195" s="109">
        <v>533.64</v>
      </c>
      <c r="F195" s="109"/>
      <c r="G195" s="108" t="s">
        <v>2961</v>
      </c>
      <c r="H195" s="111" t="s">
        <v>16</v>
      </c>
    </row>
    <row r="196" spans="1:8" ht="71.25" x14ac:dyDescent="0.2">
      <c r="A196" s="108">
        <v>1</v>
      </c>
      <c r="B196" s="108" t="s">
        <v>2366</v>
      </c>
      <c r="C196" s="110" t="s">
        <v>23</v>
      </c>
      <c r="D196" s="109">
        <v>0.02</v>
      </c>
      <c r="E196" s="109">
        <v>21600</v>
      </c>
      <c r="F196" s="109">
        <v>432</v>
      </c>
      <c r="G196" s="108" t="s">
        <v>2608</v>
      </c>
      <c r="H196" s="111" t="s">
        <v>16</v>
      </c>
    </row>
    <row r="197" spans="1:8" ht="42.75" x14ac:dyDescent="0.2">
      <c r="A197" s="108">
        <v>2</v>
      </c>
      <c r="B197" s="108" t="s">
        <v>2364</v>
      </c>
      <c r="C197" s="110" t="s">
        <v>23</v>
      </c>
      <c r="D197" s="109">
        <v>0.01</v>
      </c>
      <c r="E197" s="109">
        <v>23000</v>
      </c>
      <c r="F197" s="109">
        <v>230</v>
      </c>
      <c r="G197" s="108" t="s">
        <v>2607</v>
      </c>
      <c r="H197" s="111" t="s">
        <v>16</v>
      </c>
    </row>
    <row r="198" spans="1:8" ht="33" x14ac:dyDescent="0.2">
      <c r="A198" s="108">
        <v>3</v>
      </c>
      <c r="B198" s="108" t="s">
        <v>2360</v>
      </c>
      <c r="C198" s="110" t="s">
        <v>14</v>
      </c>
      <c r="D198" s="109">
        <v>1</v>
      </c>
      <c r="E198" s="109">
        <v>140</v>
      </c>
      <c r="F198" s="109">
        <v>140</v>
      </c>
      <c r="G198" s="108" t="s">
        <v>2359</v>
      </c>
      <c r="H198" s="111" t="s">
        <v>16</v>
      </c>
    </row>
    <row r="199" spans="1:8" ht="33" x14ac:dyDescent="0.2">
      <c r="A199" s="108">
        <v>4</v>
      </c>
      <c r="B199" s="108" t="s">
        <v>2358</v>
      </c>
      <c r="C199" s="110" t="s">
        <v>97</v>
      </c>
      <c r="D199" s="109">
        <v>5.6</v>
      </c>
      <c r="E199" s="109">
        <v>609.1</v>
      </c>
      <c r="F199" s="109">
        <v>3410.96</v>
      </c>
      <c r="G199" s="108" t="s">
        <v>2357</v>
      </c>
      <c r="H199" s="111" t="s">
        <v>16</v>
      </c>
    </row>
    <row r="200" spans="1:8" ht="33" x14ac:dyDescent="0.2">
      <c r="A200" s="108">
        <v>5</v>
      </c>
      <c r="B200" s="108" t="s">
        <v>1527</v>
      </c>
      <c r="C200" s="110" t="s">
        <v>97</v>
      </c>
      <c r="D200" s="109">
        <v>3.2</v>
      </c>
      <c r="E200" s="109">
        <v>280</v>
      </c>
      <c r="F200" s="109">
        <v>896</v>
      </c>
      <c r="G200" s="108" t="s">
        <v>1535</v>
      </c>
      <c r="H200" s="111" t="s">
        <v>16</v>
      </c>
    </row>
    <row r="201" spans="1:8" ht="33" x14ac:dyDescent="0.2">
      <c r="A201" s="108">
        <v>6</v>
      </c>
      <c r="B201" s="108" t="s">
        <v>2356</v>
      </c>
      <c r="C201" s="110" t="s">
        <v>110</v>
      </c>
      <c r="D201" s="109">
        <v>1</v>
      </c>
      <c r="E201" s="109">
        <v>36</v>
      </c>
      <c r="F201" s="109">
        <v>36</v>
      </c>
      <c r="G201" s="108" t="s">
        <v>2355</v>
      </c>
      <c r="H201" s="111" t="s">
        <v>16</v>
      </c>
    </row>
    <row r="202" spans="1:8" ht="33" x14ac:dyDescent="0.2">
      <c r="A202" s="108">
        <v>7</v>
      </c>
      <c r="B202" s="108" t="s">
        <v>2354</v>
      </c>
      <c r="C202" s="110" t="s">
        <v>110</v>
      </c>
      <c r="D202" s="109">
        <v>1</v>
      </c>
      <c r="E202" s="109">
        <v>36</v>
      </c>
      <c r="F202" s="109">
        <v>36</v>
      </c>
      <c r="G202" s="108" t="s">
        <v>2353</v>
      </c>
      <c r="H202" s="111" t="s">
        <v>16</v>
      </c>
    </row>
    <row r="203" spans="1:8" ht="33" x14ac:dyDescent="0.2">
      <c r="A203" s="108">
        <v>8</v>
      </c>
      <c r="B203" s="108" t="s">
        <v>1518</v>
      </c>
      <c r="C203" s="110" t="s">
        <v>14</v>
      </c>
      <c r="D203" s="109">
        <v>1</v>
      </c>
      <c r="E203" s="109">
        <v>155.43</v>
      </c>
      <c r="F203" s="109">
        <v>155.43</v>
      </c>
      <c r="G203" s="108" t="s">
        <v>1517</v>
      </c>
      <c r="H203" s="111" t="s">
        <v>16</v>
      </c>
    </row>
    <row r="204" spans="1:8" ht="33" x14ac:dyDescent="0.2">
      <c r="A204" s="108"/>
      <c r="B204" s="108" t="s">
        <v>1516</v>
      </c>
      <c r="C204" s="110" t="s">
        <v>50</v>
      </c>
      <c r="D204" s="109">
        <v>10</v>
      </c>
      <c r="E204" s="109"/>
      <c r="F204" s="109">
        <v>5336.39</v>
      </c>
      <c r="G204" s="108"/>
      <c r="H204" s="111" t="s">
        <v>16</v>
      </c>
    </row>
    <row r="205" spans="1:8" ht="33" x14ac:dyDescent="0.2">
      <c r="A205" s="108"/>
      <c r="B205" s="108" t="s">
        <v>1515</v>
      </c>
      <c r="C205" s="110" t="s">
        <v>50</v>
      </c>
      <c r="D205" s="109"/>
      <c r="E205" s="109"/>
      <c r="F205" s="109">
        <v>533.64</v>
      </c>
      <c r="G205" s="108"/>
      <c r="H205" s="111" t="s">
        <v>16</v>
      </c>
    </row>
    <row r="206" spans="1:8" ht="16.5" x14ac:dyDescent="0.2">
      <c r="A206" s="108"/>
      <c r="B206" s="108"/>
      <c r="C206" s="110"/>
      <c r="D206" s="109"/>
      <c r="E206" s="109"/>
      <c r="F206" s="109"/>
      <c r="G206" s="108"/>
    </row>
    <row r="207" spans="1:8" ht="57" x14ac:dyDescent="0.2">
      <c r="A207" s="108" t="s">
        <v>2960</v>
      </c>
      <c r="B207" s="108" t="s">
        <v>122</v>
      </c>
      <c r="C207" s="110" t="s">
        <v>50</v>
      </c>
      <c r="D207" s="109">
        <v>100</v>
      </c>
      <c r="E207" s="109">
        <v>1299.8900000000001</v>
      </c>
      <c r="F207" s="109"/>
      <c r="G207" s="108" t="s">
        <v>2959</v>
      </c>
      <c r="H207" s="111" t="s">
        <v>16</v>
      </c>
    </row>
    <row r="208" spans="1:8" ht="33" x14ac:dyDescent="0.2">
      <c r="A208" s="108">
        <v>1</v>
      </c>
      <c r="B208" s="108" t="s">
        <v>2958</v>
      </c>
      <c r="C208" s="110" t="s">
        <v>50</v>
      </c>
      <c r="D208" s="109">
        <v>3.33</v>
      </c>
      <c r="E208" s="109">
        <v>18000</v>
      </c>
      <c r="F208" s="109">
        <v>59940</v>
      </c>
      <c r="G208" s="108" t="s">
        <v>2957</v>
      </c>
      <c r="H208" s="111" t="s">
        <v>16</v>
      </c>
    </row>
    <row r="209" spans="1:8" ht="57" x14ac:dyDescent="0.2">
      <c r="A209" s="108">
        <v>2</v>
      </c>
      <c r="B209" s="108" t="s">
        <v>2956</v>
      </c>
      <c r="C209" s="110" t="s">
        <v>338</v>
      </c>
      <c r="D209" s="109">
        <v>8.5</v>
      </c>
      <c r="E209" s="109">
        <v>950</v>
      </c>
      <c r="F209" s="109">
        <v>8075</v>
      </c>
      <c r="G209" s="108" t="s">
        <v>2955</v>
      </c>
      <c r="H209" s="111" t="s">
        <v>16</v>
      </c>
    </row>
    <row r="210" spans="1:8" ht="33" x14ac:dyDescent="0.2">
      <c r="A210" s="108">
        <v>3</v>
      </c>
      <c r="B210" s="108" t="s">
        <v>2358</v>
      </c>
      <c r="C210" s="110" t="s">
        <v>97</v>
      </c>
      <c r="D210" s="109">
        <v>80</v>
      </c>
      <c r="E210" s="109">
        <v>609.1</v>
      </c>
      <c r="F210" s="109">
        <v>48728</v>
      </c>
      <c r="G210" s="108" t="s">
        <v>2357</v>
      </c>
      <c r="H210" s="111" t="s">
        <v>16</v>
      </c>
    </row>
    <row r="211" spans="1:8" ht="33" x14ac:dyDescent="0.2">
      <c r="A211" s="108">
        <v>4</v>
      </c>
      <c r="B211" s="108" t="s">
        <v>1527</v>
      </c>
      <c r="C211" s="110" t="s">
        <v>97</v>
      </c>
      <c r="D211" s="109">
        <v>32</v>
      </c>
      <c r="E211" s="109">
        <v>280</v>
      </c>
      <c r="F211" s="109">
        <v>8960</v>
      </c>
      <c r="G211" s="108" t="s">
        <v>1535</v>
      </c>
      <c r="H211" s="111" t="s">
        <v>16</v>
      </c>
    </row>
    <row r="212" spans="1:8" ht="33" x14ac:dyDescent="0.2">
      <c r="A212" s="108">
        <v>5</v>
      </c>
      <c r="B212" s="108" t="s">
        <v>2954</v>
      </c>
      <c r="C212" s="110" t="s">
        <v>14</v>
      </c>
      <c r="D212" s="109">
        <v>1</v>
      </c>
      <c r="E212" s="109">
        <v>500</v>
      </c>
      <c r="F212" s="109">
        <v>500</v>
      </c>
      <c r="G212" s="108" t="s">
        <v>2953</v>
      </c>
      <c r="H212" s="111" t="s">
        <v>16</v>
      </c>
    </row>
    <row r="213" spans="1:8" ht="33" x14ac:dyDescent="0.2">
      <c r="A213" s="108">
        <v>6</v>
      </c>
      <c r="B213" s="108" t="s">
        <v>1518</v>
      </c>
      <c r="C213" s="110" t="s">
        <v>14</v>
      </c>
      <c r="D213" s="109">
        <v>1</v>
      </c>
      <c r="E213" s="109">
        <v>3786.09</v>
      </c>
      <c r="F213" s="109">
        <v>3786.09</v>
      </c>
      <c r="G213" s="108" t="s">
        <v>1517</v>
      </c>
      <c r="H213" s="111" t="s">
        <v>16</v>
      </c>
    </row>
    <row r="214" spans="1:8" ht="33" x14ac:dyDescent="0.2">
      <c r="A214" s="108"/>
      <c r="B214" s="108" t="s">
        <v>1516</v>
      </c>
      <c r="C214" s="110" t="s">
        <v>50</v>
      </c>
      <c r="D214" s="109">
        <v>100</v>
      </c>
      <c r="E214" s="109"/>
      <c r="F214" s="109">
        <v>129989.09</v>
      </c>
      <c r="G214" s="108"/>
      <c r="H214" s="111" t="s">
        <v>16</v>
      </c>
    </row>
    <row r="215" spans="1:8" ht="33" x14ac:dyDescent="0.2">
      <c r="A215" s="108"/>
      <c r="B215" s="108" t="s">
        <v>1515</v>
      </c>
      <c r="C215" s="110" t="s">
        <v>50</v>
      </c>
      <c r="D215" s="109"/>
      <c r="E215" s="109"/>
      <c r="F215" s="109">
        <v>1299.8900000000001</v>
      </c>
      <c r="G215" s="108"/>
      <c r="H215" s="111" t="s">
        <v>16</v>
      </c>
    </row>
    <row r="216" spans="1:8" ht="16.5" x14ac:dyDescent="0.2">
      <c r="A216" s="108"/>
      <c r="B216" s="108"/>
      <c r="C216" s="110"/>
      <c r="D216" s="109"/>
      <c r="E216" s="109"/>
      <c r="F216" s="109"/>
      <c r="G216" s="108"/>
    </row>
    <row r="217" spans="1:8" ht="57" x14ac:dyDescent="0.2">
      <c r="A217" s="108" t="s">
        <v>2952</v>
      </c>
      <c r="B217" s="108" t="s">
        <v>125</v>
      </c>
      <c r="C217" s="110" t="s">
        <v>110</v>
      </c>
      <c r="D217" s="109">
        <v>1000</v>
      </c>
      <c r="E217" s="109">
        <v>60</v>
      </c>
      <c r="F217" s="109"/>
      <c r="G217" s="108" t="s">
        <v>2951</v>
      </c>
      <c r="H217" s="111" t="s">
        <v>16</v>
      </c>
    </row>
    <row r="218" spans="1:8" ht="33" x14ac:dyDescent="0.2">
      <c r="A218" s="108">
        <v>1</v>
      </c>
      <c r="B218" s="108" t="s">
        <v>1589</v>
      </c>
      <c r="C218" s="110" t="s">
        <v>14</v>
      </c>
      <c r="D218" s="109">
        <v>1</v>
      </c>
      <c r="E218" s="109">
        <v>9000</v>
      </c>
      <c r="F218" s="109">
        <v>9000</v>
      </c>
      <c r="G218" s="108" t="s">
        <v>1588</v>
      </c>
      <c r="H218" s="111" t="s">
        <v>16</v>
      </c>
    </row>
    <row r="219" spans="1:8" ht="33" x14ac:dyDescent="0.2">
      <c r="A219" s="108">
        <v>2</v>
      </c>
      <c r="B219" s="108" t="s">
        <v>1587</v>
      </c>
      <c r="C219" s="110" t="s">
        <v>97</v>
      </c>
      <c r="D219" s="109">
        <v>2</v>
      </c>
      <c r="E219" s="109">
        <v>1365</v>
      </c>
      <c r="F219" s="109">
        <v>2730</v>
      </c>
      <c r="G219" s="108" t="s">
        <v>1586</v>
      </c>
      <c r="H219" s="111" t="s">
        <v>16</v>
      </c>
    </row>
    <row r="220" spans="1:8" ht="33" x14ac:dyDescent="0.2">
      <c r="A220" s="108">
        <v>3</v>
      </c>
      <c r="B220" s="108" t="s">
        <v>1585</v>
      </c>
      <c r="C220" s="110" t="s">
        <v>97</v>
      </c>
      <c r="D220" s="109">
        <v>2</v>
      </c>
      <c r="E220" s="109">
        <v>375</v>
      </c>
      <c r="F220" s="109">
        <v>750</v>
      </c>
      <c r="G220" s="108" t="s">
        <v>1584</v>
      </c>
      <c r="H220" s="111" t="s">
        <v>16</v>
      </c>
    </row>
    <row r="221" spans="1:8" ht="57" x14ac:dyDescent="0.2">
      <c r="A221" s="108">
        <v>4</v>
      </c>
      <c r="B221" s="108" t="s">
        <v>1583</v>
      </c>
      <c r="C221" s="110" t="s">
        <v>412</v>
      </c>
      <c r="D221" s="109">
        <v>1000</v>
      </c>
      <c r="E221" s="109">
        <v>45.77</v>
      </c>
      <c r="F221" s="109">
        <v>45770</v>
      </c>
      <c r="G221" s="108" t="s">
        <v>1582</v>
      </c>
      <c r="H221" s="111" t="s">
        <v>16</v>
      </c>
    </row>
    <row r="222" spans="1:8" ht="33" x14ac:dyDescent="0.2">
      <c r="A222" s="108">
        <v>5</v>
      </c>
      <c r="B222" s="108" t="s">
        <v>1518</v>
      </c>
      <c r="C222" s="110" t="s">
        <v>14</v>
      </c>
      <c r="D222" s="109">
        <v>1</v>
      </c>
      <c r="E222" s="109">
        <v>1747.5</v>
      </c>
      <c r="F222" s="109">
        <v>1747.5</v>
      </c>
      <c r="G222" s="108" t="s">
        <v>1517</v>
      </c>
      <c r="H222" s="111" t="s">
        <v>16</v>
      </c>
    </row>
    <row r="223" spans="1:8" ht="33" x14ac:dyDescent="0.2">
      <c r="A223" s="108"/>
      <c r="B223" s="108" t="s">
        <v>1516</v>
      </c>
      <c r="C223" s="110" t="s">
        <v>110</v>
      </c>
      <c r="D223" s="109">
        <v>1000</v>
      </c>
      <c r="E223" s="109"/>
      <c r="F223" s="109">
        <v>59997.5</v>
      </c>
      <c r="G223" s="108"/>
      <c r="H223" s="111" t="s">
        <v>16</v>
      </c>
    </row>
    <row r="224" spans="1:8" ht="33" x14ac:dyDescent="0.2">
      <c r="A224" s="108"/>
      <c r="B224" s="108" t="s">
        <v>1515</v>
      </c>
      <c r="C224" s="110" t="s">
        <v>110</v>
      </c>
      <c r="D224" s="109"/>
      <c r="E224" s="109"/>
      <c r="F224" s="109">
        <v>60</v>
      </c>
      <c r="G224" s="108"/>
      <c r="H224" s="111" t="s">
        <v>16</v>
      </c>
    </row>
    <row r="225" spans="1:8" ht="16.5" x14ac:dyDescent="0.2">
      <c r="A225" s="108"/>
      <c r="B225" s="108"/>
      <c r="C225" s="110"/>
      <c r="D225" s="109"/>
      <c r="E225" s="109"/>
      <c r="F225" s="109"/>
      <c r="G225" s="108"/>
    </row>
    <row r="226" spans="1:8" ht="57" x14ac:dyDescent="0.2">
      <c r="A226" s="108" t="s">
        <v>2950</v>
      </c>
      <c r="B226" s="108" t="s">
        <v>131</v>
      </c>
      <c r="C226" s="110" t="s">
        <v>110</v>
      </c>
      <c r="D226" s="109">
        <v>1000</v>
      </c>
      <c r="E226" s="109">
        <v>107.31</v>
      </c>
      <c r="F226" s="109"/>
      <c r="G226" s="108" t="s">
        <v>2949</v>
      </c>
      <c r="H226" s="111" t="s">
        <v>16</v>
      </c>
    </row>
    <row r="227" spans="1:8" ht="71.25" x14ac:dyDescent="0.2">
      <c r="A227" s="108">
        <v>1</v>
      </c>
      <c r="B227" s="108" t="s">
        <v>125</v>
      </c>
      <c r="C227" s="110" t="s">
        <v>110</v>
      </c>
      <c r="D227" s="109">
        <v>1000</v>
      </c>
      <c r="E227" s="109">
        <v>60</v>
      </c>
      <c r="F227" s="109">
        <v>60000</v>
      </c>
      <c r="G227" s="108" t="s">
        <v>3146</v>
      </c>
      <c r="H227" s="111" t="s">
        <v>16</v>
      </c>
    </row>
    <row r="228" spans="1:8" ht="33" x14ac:dyDescent="0.2">
      <c r="A228" s="108">
        <v>2</v>
      </c>
      <c r="B228" s="108" t="s">
        <v>1587</v>
      </c>
      <c r="C228" s="110" t="s">
        <v>97</v>
      </c>
      <c r="D228" s="109">
        <v>2</v>
      </c>
      <c r="E228" s="109">
        <v>1365</v>
      </c>
      <c r="F228" s="109">
        <v>2730</v>
      </c>
      <c r="G228" s="108" t="s">
        <v>1586</v>
      </c>
      <c r="H228" s="111" t="s">
        <v>16</v>
      </c>
    </row>
    <row r="229" spans="1:8" ht="33" x14ac:dyDescent="0.2">
      <c r="A229" s="108">
        <v>3</v>
      </c>
      <c r="B229" s="108" t="s">
        <v>1585</v>
      </c>
      <c r="C229" s="110" t="s">
        <v>97</v>
      </c>
      <c r="D229" s="109">
        <v>2</v>
      </c>
      <c r="E229" s="109">
        <v>375</v>
      </c>
      <c r="F229" s="109">
        <v>750</v>
      </c>
      <c r="G229" s="108" t="s">
        <v>1584</v>
      </c>
      <c r="H229" s="111" t="s">
        <v>16</v>
      </c>
    </row>
    <row r="230" spans="1:8" ht="33" x14ac:dyDescent="0.2">
      <c r="A230" s="108">
        <v>4</v>
      </c>
      <c r="B230" s="108" t="s">
        <v>128</v>
      </c>
      <c r="C230" s="110" t="s">
        <v>110</v>
      </c>
      <c r="D230" s="109">
        <v>1000</v>
      </c>
      <c r="E230" s="109">
        <v>31.9</v>
      </c>
      <c r="F230" s="109">
        <v>31900</v>
      </c>
      <c r="G230" s="108" t="s">
        <v>129</v>
      </c>
      <c r="H230" s="111" t="s">
        <v>16</v>
      </c>
    </row>
    <row r="231" spans="1:8" ht="33" x14ac:dyDescent="0.2">
      <c r="A231" s="108">
        <v>5</v>
      </c>
      <c r="B231" s="108" t="s">
        <v>2526</v>
      </c>
      <c r="C231" s="110" t="s">
        <v>14</v>
      </c>
      <c r="D231" s="109">
        <v>1</v>
      </c>
      <c r="E231" s="109">
        <v>8000</v>
      </c>
      <c r="F231" s="109">
        <v>8000</v>
      </c>
      <c r="G231" s="108" t="s">
        <v>2525</v>
      </c>
      <c r="H231" s="111" t="s">
        <v>16</v>
      </c>
    </row>
    <row r="232" spans="1:8" ht="33" x14ac:dyDescent="0.2">
      <c r="A232" s="108">
        <v>6</v>
      </c>
      <c r="B232" s="108" t="s">
        <v>2948</v>
      </c>
      <c r="C232" s="110" t="s">
        <v>14</v>
      </c>
      <c r="D232" s="109">
        <v>1</v>
      </c>
      <c r="E232" s="109">
        <v>800</v>
      </c>
      <c r="F232" s="109">
        <v>800</v>
      </c>
      <c r="G232" s="108" t="s">
        <v>2947</v>
      </c>
      <c r="H232" s="111" t="s">
        <v>16</v>
      </c>
    </row>
    <row r="233" spans="1:8" ht="33" x14ac:dyDescent="0.2">
      <c r="A233" s="108">
        <v>7</v>
      </c>
      <c r="B233" s="108" t="s">
        <v>1518</v>
      </c>
      <c r="C233" s="110" t="s">
        <v>14</v>
      </c>
      <c r="D233" s="109">
        <v>1</v>
      </c>
      <c r="E233" s="109">
        <v>3125.4</v>
      </c>
      <c r="F233" s="109">
        <v>3125.4</v>
      </c>
      <c r="G233" s="108" t="s">
        <v>1517</v>
      </c>
      <c r="H233" s="111" t="s">
        <v>16</v>
      </c>
    </row>
    <row r="234" spans="1:8" ht="33" x14ac:dyDescent="0.2">
      <c r="A234" s="108"/>
      <c r="B234" s="108" t="s">
        <v>1516</v>
      </c>
      <c r="C234" s="110" t="s">
        <v>110</v>
      </c>
      <c r="D234" s="109">
        <v>1000</v>
      </c>
      <c r="E234" s="109"/>
      <c r="F234" s="109">
        <v>107305.4</v>
      </c>
      <c r="G234" s="108"/>
      <c r="H234" s="111" t="s">
        <v>16</v>
      </c>
    </row>
    <row r="235" spans="1:8" ht="33" x14ac:dyDescent="0.2">
      <c r="A235" s="108"/>
      <c r="B235" s="108" t="s">
        <v>1515</v>
      </c>
      <c r="C235" s="110" t="s">
        <v>110</v>
      </c>
      <c r="D235" s="109"/>
      <c r="E235" s="109"/>
      <c r="F235" s="109">
        <v>107.31</v>
      </c>
      <c r="G235" s="108"/>
      <c r="H235" s="111" t="s">
        <v>16</v>
      </c>
    </row>
    <row r="236" spans="1:8" ht="16.5" x14ac:dyDescent="0.2">
      <c r="A236" s="108"/>
      <c r="B236" s="108"/>
      <c r="C236" s="110"/>
      <c r="D236" s="109"/>
      <c r="E236" s="109"/>
      <c r="F236" s="109"/>
      <c r="G236" s="108"/>
    </row>
    <row r="237" spans="1:8" ht="33" x14ac:dyDescent="0.2">
      <c r="A237" s="108" t="s">
        <v>2946</v>
      </c>
      <c r="B237" s="108" t="s">
        <v>134</v>
      </c>
      <c r="C237" s="110" t="s">
        <v>50</v>
      </c>
      <c r="D237" s="109">
        <v>1</v>
      </c>
      <c r="E237" s="109">
        <v>2964</v>
      </c>
      <c r="F237" s="109"/>
      <c r="G237" s="108" t="s">
        <v>2945</v>
      </c>
      <c r="H237" s="111" t="s">
        <v>16</v>
      </c>
    </row>
    <row r="238" spans="1:8" ht="42.75" x14ac:dyDescent="0.2">
      <c r="A238" s="108">
        <v>1</v>
      </c>
      <c r="B238" s="108" t="s">
        <v>2874</v>
      </c>
      <c r="C238" s="110" t="s">
        <v>50</v>
      </c>
      <c r="D238" s="109">
        <v>1</v>
      </c>
      <c r="E238" s="109">
        <v>235</v>
      </c>
      <c r="F238" s="109">
        <v>235</v>
      </c>
      <c r="G238" s="108" t="s">
        <v>2873</v>
      </c>
      <c r="H238" s="111" t="s">
        <v>16</v>
      </c>
    </row>
    <row r="239" spans="1:8" ht="33" x14ac:dyDescent="0.2">
      <c r="A239" s="108">
        <v>2</v>
      </c>
      <c r="B239" s="108" t="s">
        <v>1589</v>
      </c>
      <c r="C239" s="110" t="s">
        <v>412</v>
      </c>
      <c r="D239" s="109">
        <v>8.64</v>
      </c>
      <c r="E239" s="109">
        <v>26</v>
      </c>
      <c r="F239" s="109">
        <v>224.64</v>
      </c>
      <c r="G239" s="108" t="s">
        <v>2938</v>
      </c>
      <c r="H239" s="111" t="s">
        <v>16</v>
      </c>
    </row>
    <row r="240" spans="1:8" ht="33" x14ac:dyDescent="0.2">
      <c r="A240" s="108">
        <v>3</v>
      </c>
      <c r="B240" s="108" t="s">
        <v>1779</v>
      </c>
      <c r="C240" s="110" t="s">
        <v>103</v>
      </c>
      <c r="D240" s="109">
        <v>0.23</v>
      </c>
      <c r="E240" s="109">
        <v>1465.18</v>
      </c>
      <c r="F240" s="109">
        <v>336.99</v>
      </c>
      <c r="G240" s="108" t="s">
        <v>2668</v>
      </c>
      <c r="H240" s="111" t="s">
        <v>16</v>
      </c>
    </row>
    <row r="241" spans="1:8" ht="42.75" x14ac:dyDescent="0.2">
      <c r="A241" s="108">
        <v>4</v>
      </c>
      <c r="B241" s="108" t="s">
        <v>2937</v>
      </c>
      <c r="C241" s="110" t="s">
        <v>50</v>
      </c>
      <c r="D241" s="109">
        <v>1</v>
      </c>
      <c r="E241" s="109">
        <v>500</v>
      </c>
      <c r="F241" s="109">
        <v>500</v>
      </c>
      <c r="G241" s="108" t="s">
        <v>2936</v>
      </c>
      <c r="H241" s="111" t="s">
        <v>16</v>
      </c>
    </row>
    <row r="242" spans="1:8" ht="42.75" x14ac:dyDescent="0.2">
      <c r="A242" s="108">
        <v>5</v>
      </c>
      <c r="B242" s="108" t="s">
        <v>2944</v>
      </c>
      <c r="C242" s="110" t="s">
        <v>50</v>
      </c>
      <c r="D242" s="109">
        <v>1</v>
      </c>
      <c r="E242" s="109">
        <v>745</v>
      </c>
      <c r="F242" s="109">
        <v>745</v>
      </c>
      <c r="G242" s="108" t="s">
        <v>2943</v>
      </c>
      <c r="H242" s="111" t="s">
        <v>16</v>
      </c>
    </row>
    <row r="243" spans="1:8" ht="42.75" x14ac:dyDescent="0.2">
      <c r="A243" s="108">
        <v>6</v>
      </c>
      <c r="B243" s="108" t="s">
        <v>2942</v>
      </c>
      <c r="C243" s="110" t="s">
        <v>50</v>
      </c>
      <c r="D243" s="109">
        <v>1</v>
      </c>
      <c r="E243" s="109">
        <v>450</v>
      </c>
      <c r="F243" s="109">
        <v>450</v>
      </c>
      <c r="G243" s="108" t="s">
        <v>2941</v>
      </c>
      <c r="H243" s="111" t="s">
        <v>16</v>
      </c>
    </row>
    <row r="244" spans="1:8" ht="33" x14ac:dyDescent="0.2">
      <c r="A244" s="108">
        <v>7</v>
      </c>
      <c r="B244" s="108" t="s">
        <v>189</v>
      </c>
      <c r="C244" s="110" t="s">
        <v>30</v>
      </c>
      <c r="D244" s="109">
        <v>0.22</v>
      </c>
      <c r="E244" s="109">
        <v>138.84</v>
      </c>
      <c r="F244" s="109">
        <v>30.54</v>
      </c>
      <c r="G244" s="108" t="s">
        <v>2921</v>
      </c>
      <c r="H244" s="111" t="s">
        <v>16</v>
      </c>
    </row>
    <row r="245" spans="1:8" ht="33" x14ac:dyDescent="0.2">
      <c r="A245" s="108">
        <v>8</v>
      </c>
      <c r="B245" s="108" t="s">
        <v>1610</v>
      </c>
      <c r="C245" s="110" t="s">
        <v>97</v>
      </c>
      <c r="D245" s="109">
        <v>0.5</v>
      </c>
      <c r="E245" s="109">
        <v>375</v>
      </c>
      <c r="F245" s="109">
        <v>187.5</v>
      </c>
      <c r="G245" s="108" t="s">
        <v>1609</v>
      </c>
      <c r="H245" s="111" t="s">
        <v>16</v>
      </c>
    </row>
    <row r="246" spans="1:8" ht="33" x14ac:dyDescent="0.2">
      <c r="A246" s="108">
        <v>9</v>
      </c>
      <c r="B246" s="108" t="s">
        <v>1527</v>
      </c>
      <c r="C246" s="110" t="s">
        <v>97</v>
      </c>
      <c r="D246" s="109">
        <v>0.6</v>
      </c>
      <c r="E246" s="109">
        <v>280</v>
      </c>
      <c r="F246" s="109">
        <v>168</v>
      </c>
      <c r="G246" s="108" t="s">
        <v>1535</v>
      </c>
      <c r="H246" s="111" t="s">
        <v>16</v>
      </c>
    </row>
    <row r="247" spans="1:8" ht="33" x14ac:dyDescent="0.2">
      <c r="A247" s="108">
        <v>10</v>
      </c>
      <c r="B247" s="108" t="s">
        <v>1518</v>
      </c>
      <c r="C247" s="110" t="s">
        <v>14</v>
      </c>
      <c r="D247" s="109">
        <v>1</v>
      </c>
      <c r="E247" s="109">
        <v>86.33</v>
      </c>
      <c r="F247" s="109">
        <v>86.33</v>
      </c>
      <c r="G247" s="108" t="s">
        <v>1517</v>
      </c>
      <c r="H247" s="111" t="s">
        <v>16</v>
      </c>
    </row>
    <row r="248" spans="1:8" ht="33" x14ac:dyDescent="0.2">
      <c r="A248" s="108"/>
      <c r="B248" s="108" t="s">
        <v>1516</v>
      </c>
      <c r="C248" s="110" t="s">
        <v>50</v>
      </c>
      <c r="D248" s="109">
        <v>1</v>
      </c>
      <c r="E248" s="109"/>
      <c r="F248" s="109">
        <v>2964</v>
      </c>
      <c r="G248" s="108"/>
      <c r="H248" s="111" t="s">
        <v>16</v>
      </c>
    </row>
    <row r="249" spans="1:8" ht="33" x14ac:dyDescent="0.2">
      <c r="A249" s="108"/>
      <c r="B249" s="108" t="s">
        <v>1515</v>
      </c>
      <c r="C249" s="110" t="s">
        <v>50</v>
      </c>
      <c r="D249" s="109"/>
      <c r="E249" s="109"/>
      <c r="F249" s="109">
        <v>2964</v>
      </c>
      <c r="G249" s="108"/>
      <c r="H249" s="111" t="s">
        <v>16</v>
      </c>
    </row>
    <row r="250" spans="1:8" ht="16.5" x14ac:dyDescent="0.2">
      <c r="A250" s="108"/>
      <c r="B250" s="108"/>
      <c r="C250" s="110"/>
      <c r="D250" s="109"/>
      <c r="E250" s="109"/>
      <c r="F250" s="109"/>
      <c r="G250" s="108"/>
    </row>
    <row r="251" spans="1:8" ht="33" x14ac:dyDescent="0.2">
      <c r="A251" s="108" t="s">
        <v>2940</v>
      </c>
      <c r="B251" s="108" t="s">
        <v>137</v>
      </c>
      <c r="C251" s="110" t="s">
        <v>50</v>
      </c>
      <c r="D251" s="109">
        <v>1</v>
      </c>
      <c r="E251" s="109">
        <v>3961.57</v>
      </c>
      <c r="F251" s="109"/>
      <c r="G251" s="108" t="s">
        <v>2939</v>
      </c>
      <c r="H251" s="111" t="s">
        <v>16</v>
      </c>
    </row>
    <row r="252" spans="1:8" ht="42.75" x14ac:dyDescent="0.2">
      <c r="A252" s="108">
        <v>1</v>
      </c>
      <c r="B252" s="108" t="s">
        <v>2874</v>
      </c>
      <c r="C252" s="110" t="s">
        <v>50</v>
      </c>
      <c r="D252" s="109">
        <v>1</v>
      </c>
      <c r="E252" s="109">
        <v>235</v>
      </c>
      <c r="F252" s="109">
        <v>235</v>
      </c>
      <c r="G252" s="108" t="s">
        <v>2873</v>
      </c>
      <c r="H252" s="111" t="s">
        <v>16</v>
      </c>
    </row>
    <row r="253" spans="1:8" ht="33" x14ac:dyDescent="0.2">
      <c r="A253" s="108">
        <v>2</v>
      </c>
      <c r="B253" s="108" t="s">
        <v>1589</v>
      </c>
      <c r="C253" s="110" t="s">
        <v>412</v>
      </c>
      <c r="D253" s="109">
        <v>8.64</v>
      </c>
      <c r="E253" s="109">
        <v>26</v>
      </c>
      <c r="F253" s="109">
        <v>224.64</v>
      </c>
      <c r="G253" s="108" t="s">
        <v>2938</v>
      </c>
      <c r="H253" s="111" t="s">
        <v>16</v>
      </c>
    </row>
    <row r="254" spans="1:8" ht="42.75" x14ac:dyDescent="0.2">
      <c r="A254" s="108">
        <v>3</v>
      </c>
      <c r="B254" s="108" t="s">
        <v>2937</v>
      </c>
      <c r="C254" s="110" t="s">
        <v>50</v>
      </c>
      <c r="D254" s="109">
        <v>0.03</v>
      </c>
      <c r="E254" s="109">
        <v>500</v>
      </c>
      <c r="F254" s="109">
        <v>15</v>
      </c>
      <c r="G254" s="108" t="s">
        <v>2936</v>
      </c>
      <c r="H254" s="111" t="s">
        <v>16</v>
      </c>
    </row>
    <row r="255" spans="1:8" ht="33" x14ac:dyDescent="0.2">
      <c r="A255" s="108">
        <v>4</v>
      </c>
      <c r="B255" s="108" t="s">
        <v>2935</v>
      </c>
      <c r="C255" s="110" t="s">
        <v>50</v>
      </c>
      <c r="D255" s="109">
        <v>1</v>
      </c>
      <c r="E255" s="109">
        <v>2948</v>
      </c>
      <c r="F255" s="109">
        <v>2948</v>
      </c>
      <c r="G255" s="108" t="s">
        <v>2934</v>
      </c>
      <c r="H255" s="111" t="s">
        <v>16</v>
      </c>
    </row>
    <row r="256" spans="1:8" ht="33" x14ac:dyDescent="0.2">
      <c r="A256" s="108">
        <v>5</v>
      </c>
      <c r="B256" s="108" t="s">
        <v>189</v>
      </c>
      <c r="C256" s="110" t="s">
        <v>30</v>
      </c>
      <c r="D256" s="109">
        <v>0.22</v>
      </c>
      <c r="E256" s="109">
        <v>138.84</v>
      </c>
      <c r="F256" s="109">
        <v>30.54</v>
      </c>
      <c r="G256" s="108" t="s">
        <v>2921</v>
      </c>
      <c r="H256" s="111" t="s">
        <v>16</v>
      </c>
    </row>
    <row r="257" spans="1:8" ht="33" x14ac:dyDescent="0.2">
      <c r="A257" s="108">
        <v>6</v>
      </c>
      <c r="B257" s="108" t="s">
        <v>1610</v>
      </c>
      <c r="C257" s="110" t="s">
        <v>97</v>
      </c>
      <c r="D257" s="109">
        <v>0.6</v>
      </c>
      <c r="E257" s="109">
        <v>375</v>
      </c>
      <c r="F257" s="109">
        <v>225</v>
      </c>
      <c r="G257" s="108" t="s">
        <v>1609</v>
      </c>
      <c r="H257" s="111" t="s">
        <v>16</v>
      </c>
    </row>
    <row r="258" spans="1:8" ht="33" x14ac:dyDescent="0.2">
      <c r="A258" s="108">
        <v>7</v>
      </c>
      <c r="B258" s="108" t="s">
        <v>1527</v>
      </c>
      <c r="C258" s="110" t="s">
        <v>97</v>
      </c>
      <c r="D258" s="109">
        <v>0.6</v>
      </c>
      <c r="E258" s="109">
        <v>280</v>
      </c>
      <c r="F258" s="109">
        <v>168</v>
      </c>
      <c r="G258" s="108" t="s">
        <v>1535</v>
      </c>
      <c r="H258" s="111" t="s">
        <v>16</v>
      </c>
    </row>
    <row r="259" spans="1:8" ht="33" x14ac:dyDescent="0.2">
      <c r="A259" s="108">
        <v>8</v>
      </c>
      <c r="B259" s="108" t="s">
        <v>1518</v>
      </c>
      <c r="C259" s="110" t="s">
        <v>14</v>
      </c>
      <c r="D259" s="109">
        <v>1</v>
      </c>
      <c r="E259" s="109">
        <v>115.39</v>
      </c>
      <c r="F259" s="109">
        <v>115.39</v>
      </c>
      <c r="G259" s="108" t="s">
        <v>1517</v>
      </c>
      <c r="H259" s="111" t="s">
        <v>16</v>
      </c>
    </row>
    <row r="260" spans="1:8" ht="33" x14ac:dyDescent="0.2">
      <c r="A260" s="108"/>
      <c r="B260" s="108" t="s">
        <v>1516</v>
      </c>
      <c r="C260" s="110" t="s">
        <v>50</v>
      </c>
      <c r="D260" s="109">
        <v>1</v>
      </c>
      <c r="E260" s="109"/>
      <c r="F260" s="109">
        <v>3961.5699999999997</v>
      </c>
      <c r="G260" s="108"/>
      <c r="H260" s="111" t="s">
        <v>16</v>
      </c>
    </row>
    <row r="261" spans="1:8" ht="33" x14ac:dyDescent="0.2">
      <c r="A261" s="108"/>
      <c r="B261" s="108" t="s">
        <v>1515</v>
      </c>
      <c r="C261" s="110" t="s">
        <v>50</v>
      </c>
      <c r="D261" s="109"/>
      <c r="E261" s="109"/>
      <c r="F261" s="109">
        <v>3961.57</v>
      </c>
      <c r="G261" s="108"/>
      <c r="H261" s="111" t="s">
        <v>16</v>
      </c>
    </row>
    <row r="262" spans="1:8" ht="16.5" x14ac:dyDescent="0.2">
      <c r="A262" s="108"/>
      <c r="B262" s="108"/>
      <c r="C262" s="110"/>
      <c r="D262" s="109"/>
      <c r="E262" s="109"/>
      <c r="F262" s="109"/>
      <c r="G262" s="108"/>
    </row>
    <row r="263" spans="1:8" ht="33" x14ac:dyDescent="0.2">
      <c r="A263" s="108" t="s">
        <v>2933</v>
      </c>
      <c r="B263" s="108" t="s">
        <v>140</v>
      </c>
      <c r="C263" s="110" t="s">
        <v>50</v>
      </c>
      <c r="D263" s="109">
        <v>1</v>
      </c>
      <c r="E263" s="109">
        <v>3965.81</v>
      </c>
      <c r="F263" s="109"/>
      <c r="G263" s="108" t="s">
        <v>2932</v>
      </c>
      <c r="H263" s="111" t="s">
        <v>16</v>
      </c>
    </row>
    <row r="264" spans="1:8" ht="42.75" x14ac:dyDescent="0.2">
      <c r="A264" s="108">
        <v>1</v>
      </c>
      <c r="B264" s="108" t="s">
        <v>2874</v>
      </c>
      <c r="C264" s="110" t="s">
        <v>50</v>
      </c>
      <c r="D264" s="109">
        <v>1</v>
      </c>
      <c r="E264" s="109">
        <v>235</v>
      </c>
      <c r="F264" s="109">
        <v>235</v>
      </c>
      <c r="G264" s="108" t="s">
        <v>2873</v>
      </c>
      <c r="H264" s="111" t="s">
        <v>16</v>
      </c>
    </row>
    <row r="265" spans="1:8" ht="33" x14ac:dyDescent="0.2">
      <c r="A265" s="108">
        <v>2</v>
      </c>
      <c r="B265" s="108" t="s">
        <v>2931</v>
      </c>
      <c r="C265" s="110" t="s">
        <v>50</v>
      </c>
      <c r="D265" s="109">
        <v>0.03</v>
      </c>
      <c r="E265" s="109">
        <v>126.65</v>
      </c>
      <c r="F265" s="109">
        <v>3.8</v>
      </c>
      <c r="G265" s="108" t="s">
        <v>2930</v>
      </c>
      <c r="H265" s="111" t="s">
        <v>16</v>
      </c>
    </row>
    <row r="266" spans="1:8" ht="42.75" x14ac:dyDescent="0.2">
      <c r="A266" s="108">
        <v>3</v>
      </c>
      <c r="B266" s="108" t="s">
        <v>2929</v>
      </c>
      <c r="C266" s="110" t="s">
        <v>50</v>
      </c>
      <c r="D266" s="109">
        <v>1</v>
      </c>
      <c r="E266" s="109">
        <v>3200</v>
      </c>
      <c r="F266" s="109">
        <v>3200</v>
      </c>
      <c r="G266" s="108" t="s">
        <v>2928</v>
      </c>
      <c r="H266" s="111" t="s">
        <v>16</v>
      </c>
    </row>
    <row r="267" spans="1:8" ht="33" x14ac:dyDescent="0.2">
      <c r="A267" s="108">
        <v>4</v>
      </c>
      <c r="B267" s="108" t="s">
        <v>1610</v>
      </c>
      <c r="C267" s="110" t="s">
        <v>97</v>
      </c>
      <c r="D267" s="109">
        <v>0.5</v>
      </c>
      <c r="E267" s="109">
        <v>375</v>
      </c>
      <c r="F267" s="109">
        <v>187.5</v>
      </c>
      <c r="G267" s="108" t="s">
        <v>1609</v>
      </c>
      <c r="H267" s="111" t="s">
        <v>16</v>
      </c>
    </row>
    <row r="268" spans="1:8" ht="33" x14ac:dyDescent="0.2">
      <c r="A268" s="108">
        <v>5</v>
      </c>
      <c r="B268" s="108" t="s">
        <v>1527</v>
      </c>
      <c r="C268" s="110" t="s">
        <v>97</v>
      </c>
      <c r="D268" s="109">
        <v>0.8</v>
      </c>
      <c r="E268" s="109">
        <v>280</v>
      </c>
      <c r="F268" s="109">
        <v>224</v>
      </c>
      <c r="G268" s="108" t="s">
        <v>1535</v>
      </c>
      <c r="H268" s="111" t="s">
        <v>16</v>
      </c>
    </row>
    <row r="269" spans="1:8" ht="33" x14ac:dyDescent="0.2">
      <c r="A269" s="108">
        <v>6</v>
      </c>
      <c r="B269" s="108" t="s">
        <v>1518</v>
      </c>
      <c r="C269" s="110" t="s">
        <v>14</v>
      </c>
      <c r="D269" s="109">
        <v>1</v>
      </c>
      <c r="E269" s="109">
        <v>115.51</v>
      </c>
      <c r="F269" s="109">
        <v>115.51</v>
      </c>
      <c r="G269" s="108" t="s">
        <v>1517</v>
      </c>
      <c r="H269" s="111" t="s">
        <v>16</v>
      </c>
    </row>
    <row r="270" spans="1:8" ht="33" x14ac:dyDescent="0.2">
      <c r="A270" s="108"/>
      <c r="B270" s="108" t="s">
        <v>1516</v>
      </c>
      <c r="C270" s="110" t="s">
        <v>50</v>
      </c>
      <c r="D270" s="109">
        <v>1</v>
      </c>
      <c r="E270" s="109"/>
      <c r="F270" s="109">
        <v>3965.8100000000004</v>
      </c>
      <c r="G270" s="108"/>
      <c r="H270" s="111" t="s">
        <v>16</v>
      </c>
    </row>
    <row r="271" spans="1:8" ht="33" x14ac:dyDescent="0.2">
      <c r="A271" s="108"/>
      <c r="B271" s="108" t="s">
        <v>1515</v>
      </c>
      <c r="C271" s="110" t="s">
        <v>50</v>
      </c>
      <c r="D271" s="109"/>
      <c r="E271" s="109"/>
      <c r="F271" s="109">
        <v>3965.81</v>
      </c>
      <c r="G271" s="108"/>
      <c r="H271" s="111" t="s">
        <v>16</v>
      </c>
    </row>
    <row r="272" spans="1:8" ht="16.5" x14ac:dyDescent="0.2">
      <c r="A272" s="108"/>
      <c r="B272" s="108"/>
      <c r="C272" s="110"/>
      <c r="D272" s="109"/>
      <c r="E272" s="109"/>
      <c r="F272" s="109"/>
      <c r="G272" s="108"/>
    </row>
    <row r="273" spans="1:8" ht="33" x14ac:dyDescent="0.2">
      <c r="A273" s="108" t="s">
        <v>2927</v>
      </c>
      <c r="B273" s="108" t="s">
        <v>143</v>
      </c>
      <c r="C273" s="110" t="s">
        <v>50</v>
      </c>
      <c r="D273" s="109">
        <v>1</v>
      </c>
      <c r="E273" s="109">
        <v>773.88</v>
      </c>
      <c r="F273" s="109"/>
      <c r="G273" s="108" t="s">
        <v>2926</v>
      </c>
      <c r="H273" s="111" t="s">
        <v>16</v>
      </c>
    </row>
    <row r="274" spans="1:8" ht="42.75" x14ac:dyDescent="0.2">
      <c r="A274" s="108">
        <v>1</v>
      </c>
      <c r="B274" s="108" t="s">
        <v>2874</v>
      </c>
      <c r="C274" s="110" t="s">
        <v>50</v>
      </c>
      <c r="D274" s="109">
        <v>1</v>
      </c>
      <c r="E274" s="109">
        <v>235</v>
      </c>
      <c r="F274" s="109">
        <v>235</v>
      </c>
      <c r="G274" s="108" t="s">
        <v>2873</v>
      </c>
      <c r="H274" s="111" t="s">
        <v>16</v>
      </c>
    </row>
    <row r="275" spans="1:8" ht="33" x14ac:dyDescent="0.2">
      <c r="A275" s="108">
        <v>2</v>
      </c>
      <c r="B275" s="108" t="s">
        <v>2925</v>
      </c>
      <c r="C275" s="110" t="s">
        <v>50</v>
      </c>
      <c r="D275" s="109">
        <v>1</v>
      </c>
      <c r="E275" s="109">
        <v>50</v>
      </c>
      <c r="F275" s="109">
        <v>50</v>
      </c>
      <c r="G275" s="108" t="s">
        <v>2924</v>
      </c>
      <c r="H275" s="111" t="s">
        <v>16</v>
      </c>
    </row>
    <row r="276" spans="1:8" ht="33" x14ac:dyDescent="0.2">
      <c r="A276" s="108">
        <v>3</v>
      </c>
      <c r="B276" s="108" t="s">
        <v>189</v>
      </c>
      <c r="C276" s="110" t="s">
        <v>30</v>
      </c>
      <c r="D276" s="109">
        <v>1</v>
      </c>
      <c r="E276" s="109">
        <v>138.84</v>
      </c>
      <c r="F276" s="109">
        <v>138.84</v>
      </c>
      <c r="G276" s="108" t="s">
        <v>2921</v>
      </c>
      <c r="H276" s="111" t="s">
        <v>16</v>
      </c>
    </row>
    <row r="277" spans="1:8" ht="33" x14ac:dyDescent="0.2">
      <c r="A277" s="108">
        <v>4</v>
      </c>
      <c r="B277" s="108" t="s">
        <v>1610</v>
      </c>
      <c r="C277" s="110" t="s">
        <v>97</v>
      </c>
      <c r="D277" s="109">
        <v>0.5</v>
      </c>
      <c r="E277" s="109">
        <v>375</v>
      </c>
      <c r="F277" s="109">
        <v>187.5</v>
      </c>
      <c r="G277" s="108" t="s">
        <v>1609</v>
      </c>
      <c r="H277" s="111" t="s">
        <v>16</v>
      </c>
    </row>
    <row r="278" spans="1:8" ht="33" x14ac:dyDescent="0.2">
      <c r="A278" s="108">
        <v>5</v>
      </c>
      <c r="B278" s="108" t="s">
        <v>1527</v>
      </c>
      <c r="C278" s="110" t="s">
        <v>97</v>
      </c>
      <c r="D278" s="109">
        <v>0.5</v>
      </c>
      <c r="E278" s="109">
        <v>280</v>
      </c>
      <c r="F278" s="109">
        <v>140</v>
      </c>
      <c r="G278" s="108" t="s">
        <v>1535</v>
      </c>
      <c r="H278" s="111" t="s">
        <v>16</v>
      </c>
    </row>
    <row r="279" spans="1:8" ht="33" x14ac:dyDescent="0.2">
      <c r="A279" s="108">
        <v>6</v>
      </c>
      <c r="B279" s="108" t="s">
        <v>1518</v>
      </c>
      <c r="C279" s="110" t="s">
        <v>14</v>
      </c>
      <c r="D279" s="109">
        <v>1</v>
      </c>
      <c r="E279" s="109">
        <v>22.54</v>
      </c>
      <c r="F279" s="109">
        <v>22.54</v>
      </c>
      <c r="G279" s="108" t="s">
        <v>1517</v>
      </c>
      <c r="H279" s="111" t="s">
        <v>16</v>
      </c>
    </row>
    <row r="280" spans="1:8" ht="33" x14ac:dyDescent="0.2">
      <c r="A280" s="108"/>
      <c r="B280" s="108" t="s">
        <v>1516</v>
      </c>
      <c r="C280" s="110" t="s">
        <v>50</v>
      </c>
      <c r="D280" s="109">
        <v>1</v>
      </c>
      <c r="E280" s="109"/>
      <c r="F280" s="109">
        <v>773.88</v>
      </c>
      <c r="G280" s="108"/>
      <c r="H280" s="111" t="s">
        <v>16</v>
      </c>
    </row>
    <row r="281" spans="1:8" ht="33" x14ac:dyDescent="0.2">
      <c r="A281" s="108"/>
      <c r="B281" s="108" t="s">
        <v>1515</v>
      </c>
      <c r="C281" s="110" t="s">
        <v>50</v>
      </c>
      <c r="D281" s="109"/>
      <c r="E281" s="109"/>
      <c r="F281" s="109">
        <v>773.88</v>
      </c>
      <c r="G281" s="108"/>
      <c r="H281" s="111" t="s">
        <v>16</v>
      </c>
    </row>
    <row r="282" spans="1:8" ht="16.5" x14ac:dyDescent="0.2">
      <c r="A282" s="108"/>
      <c r="B282" s="108"/>
      <c r="C282" s="110"/>
      <c r="D282" s="109"/>
      <c r="E282" s="109"/>
      <c r="F282" s="109"/>
      <c r="G282" s="108"/>
    </row>
    <row r="283" spans="1:8" ht="33" x14ac:dyDescent="0.2">
      <c r="A283" s="108" t="s">
        <v>2923</v>
      </c>
      <c r="B283" s="108" t="s">
        <v>146</v>
      </c>
      <c r="C283" s="110" t="s">
        <v>50</v>
      </c>
      <c r="D283" s="109">
        <v>1</v>
      </c>
      <c r="E283" s="109">
        <v>948.4</v>
      </c>
      <c r="F283" s="109"/>
      <c r="G283" s="108" t="s">
        <v>2922</v>
      </c>
      <c r="H283" s="111" t="s">
        <v>16</v>
      </c>
    </row>
    <row r="284" spans="1:8" ht="42.75" x14ac:dyDescent="0.2">
      <c r="A284" s="108">
        <v>1</v>
      </c>
      <c r="B284" s="108" t="s">
        <v>2874</v>
      </c>
      <c r="C284" s="110" t="s">
        <v>50</v>
      </c>
      <c r="D284" s="109">
        <v>1</v>
      </c>
      <c r="E284" s="109">
        <v>235</v>
      </c>
      <c r="F284" s="109">
        <v>235</v>
      </c>
      <c r="G284" s="108" t="s">
        <v>2873</v>
      </c>
      <c r="H284" s="111" t="s">
        <v>16</v>
      </c>
    </row>
    <row r="285" spans="1:8" ht="33" x14ac:dyDescent="0.2">
      <c r="A285" s="108">
        <v>2</v>
      </c>
      <c r="B285" s="108" t="s">
        <v>1774</v>
      </c>
      <c r="C285" s="110" t="s">
        <v>50</v>
      </c>
      <c r="D285" s="109">
        <v>1</v>
      </c>
      <c r="E285" s="109">
        <v>458.74</v>
      </c>
      <c r="F285" s="109">
        <v>458.74</v>
      </c>
      <c r="G285" s="108" t="s">
        <v>2508</v>
      </c>
      <c r="H285" s="111" t="s">
        <v>16</v>
      </c>
    </row>
    <row r="286" spans="1:8" ht="33" x14ac:dyDescent="0.2">
      <c r="A286" s="108">
        <v>3</v>
      </c>
      <c r="B286" s="108" t="s">
        <v>189</v>
      </c>
      <c r="C286" s="110" t="s">
        <v>30</v>
      </c>
      <c r="D286" s="109">
        <v>0.22</v>
      </c>
      <c r="E286" s="109">
        <v>138.84</v>
      </c>
      <c r="F286" s="109">
        <v>30.54</v>
      </c>
      <c r="G286" s="108" t="s">
        <v>2921</v>
      </c>
      <c r="H286" s="111" t="s">
        <v>16</v>
      </c>
    </row>
    <row r="287" spans="1:8" ht="33" x14ac:dyDescent="0.2">
      <c r="A287" s="108">
        <v>4</v>
      </c>
      <c r="B287" s="108" t="s">
        <v>1610</v>
      </c>
      <c r="C287" s="110" t="s">
        <v>97</v>
      </c>
      <c r="D287" s="109">
        <v>0.3</v>
      </c>
      <c r="E287" s="109">
        <v>375</v>
      </c>
      <c r="F287" s="109">
        <v>112.5</v>
      </c>
      <c r="G287" s="108" t="s">
        <v>1609</v>
      </c>
      <c r="H287" s="111" t="s">
        <v>16</v>
      </c>
    </row>
    <row r="288" spans="1:8" ht="33" x14ac:dyDescent="0.2">
      <c r="A288" s="108">
        <v>5</v>
      </c>
      <c r="B288" s="108" t="s">
        <v>1527</v>
      </c>
      <c r="C288" s="110" t="s">
        <v>97</v>
      </c>
      <c r="D288" s="109">
        <v>0.3</v>
      </c>
      <c r="E288" s="109">
        <v>280</v>
      </c>
      <c r="F288" s="109">
        <v>84</v>
      </c>
      <c r="G288" s="108" t="s">
        <v>1535</v>
      </c>
      <c r="H288" s="111" t="s">
        <v>16</v>
      </c>
    </row>
    <row r="289" spans="1:8" ht="33" x14ac:dyDescent="0.2">
      <c r="A289" s="108">
        <v>6</v>
      </c>
      <c r="B289" s="108" t="s">
        <v>1518</v>
      </c>
      <c r="C289" s="110" t="s">
        <v>14</v>
      </c>
      <c r="D289" s="109">
        <v>1</v>
      </c>
      <c r="E289" s="109">
        <v>27.62</v>
      </c>
      <c r="F289" s="109">
        <v>27.62</v>
      </c>
      <c r="G289" s="108" t="s">
        <v>1517</v>
      </c>
      <c r="H289" s="111" t="s">
        <v>16</v>
      </c>
    </row>
    <row r="290" spans="1:8" ht="33" x14ac:dyDescent="0.2">
      <c r="A290" s="108"/>
      <c r="B290" s="108" t="s">
        <v>1516</v>
      </c>
      <c r="C290" s="110" t="s">
        <v>50</v>
      </c>
      <c r="D290" s="109">
        <v>1</v>
      </c>
      <c r="E290" s="109"/>
      <c r="F290" s="109">
        <v>948.4</v>
      </c>
      <c r="G290" s="108"/>
      <c r="H290" s="111" t="s">
        <v>16</v>
      </c>
    </row>
    <row r="291" spans="1:8" ht="33" x14ac:dyDescent="0.2">
      <c r="A291" s="108"/>
      <c r="B291" s="108" t="s">
        <v>1515</v>
      </c>
      <c r="C291" s="110" t="s">
        <v>50</v>
      </c>
      <c r="D291" s="109"/>
      <c r="E291" s="109"/>
      <c r="F291" s="109">
        <v>948.4</v>
      </c>
      <c r="G291" s="108"/>
      <c r="H291" s="111" t="s">
        <v>16</v>
      </c>
    </row>
    <row r="292" spans="1:8" ht="16.5" x14ac:dyDescent="0.2">
      <c r="A292" s="108"/>
      <c r="B292" s="108"/>
      <c r="C292" s="110"/>
      <c r="D292" s="109"/>
      <c r="E292" s="109"/>
      <c r="F292" s="109"/>
      <c r="G292" s="108"/>
    </row>
    <row r="293" spans="1:8" ht="33" x14ac:dyDescent="0.2">
      <c r="A293" s="108" t="s">
        <v>2920</v>
      </c>
      <c r="B293" s="108" t="s">
        <v>149</v>
      </c>
      <c r="C293" s="110" t="s">
        <v>50</v>
      </c>
      <c r="D293" s="109">
        <v>1</v>
      </c>
      <c r="E293" s="109">
        <v>6163.46</v>
      </c>
      <c r="F293" s="109"/>
      <c r="G293" s="108" t="s">
        <v>2919</v>
      </c>
      <c r="H293" s="111" t="s">
        <v>16</v>
      </c>
    </row>
    <row r="294" spans="1:8" ht="33" x14ac:dyDescent="0.2">
      <c r="A294" s="108">
        <v>1</v>
      </c>
      <c r="B294" s="108" t="s">
        <v>1771</v>
      </c>
      <c r="C294" s="110" t="s">
        <v>23</v>
      </c>
      <c r="D294" s="109">
        <v>1</v>
      </c>
      <c r="E294" s="109">
        <v>5883.98</v>
      </c>
      <c r="F294" s="109">
        <v>5883.98</v>
      </c>
      <c r="G294" s="108" t="s">
        <v>2918</v>
      </c>
      <c r="H294" s="111" t="s">
        <v>16</v>
      </c>
    </row>
    <row r="295" spans="1:8" ht="33" x14ac:dyDescent="0.2">
      <c r="A295" s="108">
        <v>2</v>
      </c>
      <c r="B295" s="108" t="s">
        <v>576</v>
      </c>
      <c r="C295" s="110" t="s">
        <v>50</v>
      </c>
      <c r="D295" s="109">
        <v>1</v>
      </c>
      <c r="E295" s="109">
        <v>15.96</v>
      </c>
      <c r="F295" s="109">
        <v>15.96</v>
      </c>
      <c r="G295" s="108" t="s">
        <v>2502</v>
      </c>
      <c r="H295" s="111" t="s">
        <v>16</v>
      </c>
    </row>
    <row r="296" spans="1:8" ht="33" x14ac:dyDescent="0.2">
      <c r="A296" s="108">
        <v>3</v>
      </c>
      <c r="B296" s="108" t="s">
        <v>1527</v>
      </c>
      <c r="C296" s="110" t="s">
        <v>97</v>
      </c>
      <c r="D296" s="109">
        <v>0.3</v>
      </c>
      <c r="E296" s="109">
        <v>280</v>
      </c>
      <c r="F296" s="109">
        <v>84</v>
      </c>
      <c r="G296" s="108" t="s">
        <v>1535</v>
      </c>
      <c r="H296" s="111" t="s">
        <v>16</v>
      </c>
    </row>
    <row r="297" spans="1:8" ht="33" x14ac:dyDescent="0.2">
      <c r="A297" s="108">
        <v>4</v>
      </c>
      <c r="B297" s="108" t="s">
        <v>1518</v>
      </c>
      <c r="C297" s="110" t="s">
        <v>14</v>
      </c>
      <c r="D297" s="109">
        <v>1</v>
      </c>
      <c r="E297" s="109">
        <v>179.52</v>
      </c>
      <c r="F297" s="109">
        <v>179.52</v>
      </c>
      <c r="G297" s="108" t="s">
        <v>1517</v>
      </c>
      <c r="H297" s="111" t="s">
        <v>16</v>
      </c>
    </row>
    <row r="298" spans="1:8" ht="33" x14ac:dyDescent="0.2">
      <c r="A298" s="108"/>
      <c r="B298" s="108" t="s">
        <v>1516</v>
      </c>
      <c r="C298" s="110" t="s">
        <v>50</v>
      </c>
      <c r="D298" s="109">
        <v>1</v>
      </c>
      <c r="E298" s="109"/>
      <c r="F298" s="109">
        <v>6163.46</v>
      </c>
      <c r="G298" s="108"/>
      <c r="H298" s="111" t="s">
        <v>16</v>
      </c>
    </row>
    <row r="299" spans="1:8" ht="33" x14ac:dyDescent="0.2">
      <c r="A299" s="108"/>
      <c r="B299" s="108" t="s">
        <v>1515</v>
      </c>
      <c r="C299" s="110" t="s">
        <v>50</v>
      </c>
      <c r="D299" s="109"/>
      <c r="E299" s="109"/>
      <c r="F299" s="109">
        <v>6163.46</v>
      </c>
      <c r="G299" s="108"/>
      <c r="H299" s="111" t="s">
        <v>16</v>
      </c>
    </row>
    <row r="300" spans="1:8" ht="16.5" x14ac:dyDescent="0.2">
      <c r="A300" s="108"/>
      <c r="B300" s="108"/>
      <c r="C300" s="110"/>
      <c r="D300" s="109"/>
      <c r="E300" s="109"/>
      <c r="F300" s="109"/>
      <c r="G300" s="108"/>
    </row>
    <row r="301" spans="1:8" ht="33" x14ac:dyDescent="0.2">
      <c r="A301" s="108" t="s">
        <v>2917</v>
      </c>
      <c r="B301" s="108" t="s">
        <v>152</v>
      </c>
      <c r="C301" s="110" t="s">
        <v>81</v>
      </c>
      <c r="D301" s="109">
        <v>1</v>
      </c>
      <c r="E301" s="109">
        <v>169519.61</v>
      </c>
      <c r="F301" s="109"/>
      <c r="G301" s="108" t="s">
        <v>2916</v>
      </c>
      <c r="H301" s="111" t="s">
        <v>16</v>
      </c>
    </row>
    <row r="302" spans="1:8" ht="42.75" x14ac:dyDescent="0.2">
      <c r="A302" s="108">
        <v>1</v>
      </c>
      <c r="B302" s="108" t="s">
        <v>1762</v>
      </c>
      <c r="C302" s="110" t="s">
        <v>50</v>
      </c>
      <c r="D302" s="109">
        <v>37.979999999999997</v>
      </c>
      <c r="E302" s="109">
        <v>3090</v>
      </c>
      <c r="F302" s="109">
        <v>117358.2</v>
      </c>
      <c r="G302" s="108" t="s">
        <v>2915</v>
      </c>
      <c r="H302" s="111" t="s">
        <v>16</v>
      </c>
    </row>
    <row r="303" spans="1:8" ht="33" x14ac:dyDescent="0.2">
      <c r="A303" s="108">
        <v>2</v>
      </c>
      <c r="B303" s="108" t="s">
        <v>1779</v>
      </c>
      <c r="C303" s="110" t="s">
        <v>103</v>
      </c>
      <c r="D303" s="109">
        <v>3.62</v>
      </c>
      <c r="E303" s="109">
        <v>1465.18</v>
      </c>
      <c r="F303" s="109">
        <v>5303.95</v>
      </c>
      <c r="G303" s="108" t="s">
        <v>2668</v>
      </c>
      <c r="H303" s="111" t="s">
        <v>16</v>
      </c>
    </row>
    <row r="304" spans="1:8" ht="33" x14ac:dyDescent="0.2">
      <c r="A304" s="108">
        <v>3</v>
      </c>
      <c r="B304" s="108" t="s">
        <v>1610</v>
      </c>
      <c r="C304" s="110" t="s">
        <v>97</v>
      </c>
      <c r="D304" s="109">
        <v>64</v>
      </c>
      <c r="E304" s="109">
        <v>375</v>
      </c>
      <c r="F304" s="109">
        <v>24000</v>
      </c>
      <c r="G304" s="108" t="s">
        <v>1609</v>
      </c>
      <c r="H304" s="111" t="s">
        <v>16</v>
      </c>
    </row>
    <row r="305" spans="1:8" ht="33" x14ac:dyDescent="0.2">
      <c r="A305" s="108">
        <v>4</v>
      </c>
      <c r="B305" s="108" t="s">
        <v>1527</v>
      </c>
      <c r="C305" s="110" t="s">
        <v>97</v>
      </c>
      <c r="D305" s="109">
        <v>64</v>
      </c>
      <c r="E305" s="109">
        <v>280</v>
      </c>
      <c r="F305" s="109">
        <v>17920</v>
      </c>
      <c r="G305" s="108" t="s">
        <v>1535</v>
      </c>
      <c r="H305" s="111" t="s">
        <v>16</v>
      </c>
    </row>
    <row r="306" spans="1:8" ht="33" x14ac:dyDescent="0.2">
      <c r="A306" s="108">
        <v>5</v>
      </c>
      <c r="B306" s="108" t="s">
        <v>1518</v>
      </c>
      <c r="C306" s="110" t="s">
        <v>14</v>
      </c>
      <c r="D306" s="109">
        <v>1</v>
      </c>
      <c r="E306" s="109">
        <v>4937.46</v>
      </c>
      <c r="F306" s="109">
        <v>4937.46</v>
      </c>
      <c r="G306" s="108" t="s">
        <v>1517</v>
      </c>
      <c r="H306" s="111" t="s">
        <v>16</v>
      </c>
    </row>
    <row r="307" spans="1:8" ht="33" x14ac:dyDescent="0.2">
      <c r="A307" s="108"/>
      <c r="B307" s="108" t="s">
        <v>1516</v>
      </c>
      <c r="C307" s="110" t="s">
        <v>81</v>
      </c>
      <c r="D307" s="109">
        <v>1</v>
      </c>
      <c r="E307" s="109"/>
      <c r="F307" s="109">
        <v>169519.61</v>
      </c>
      <c r="G307" s="108"/>
      <c r="H307" s="111" t="s">
        <v>16</v>
      </c>
    </row>
    <row r="308" spans="1:8" ht="33" x14ac:dyDescent="0.2">
      <c r="A308" s="108"/>
      <c r="B308" s="108" t="s">
        <v>1515</v>
      </c>
      <c r="C308" s="110" t="s">
        <v>81</v>
      </c>
      <c r="D308" s="109"/>
      <c r="E308" s="109"/>
      <c r="F308" s="109">
        <v>169519.61</v>
      </c>
      <c r="G308" s="108"/>
      <c r="H308" s="111" t="s">
        <v>16</v>
      </c>
    </row>
    <row r="309" spans="1:8" ht="16.5" x14ac:dyDescent="0.2">
      <c r="A309" s="108"/>
      <c r="B309" s="108"/>
      <c r="C309" s="110"/>
      <c r="D309" s="109"/>
      <c r="E309" s="109"/>
      <c r="F309" s="109"/>
      <c r="G309" s="108"/>
    </row>
    <row r="310" spans="1:8" ht="33" x14ac:dyDescent="0.2">
      <c r="A310" s="108" t="s">
        <v>2914</v>
      </c>
      <c r="B310" s="108" t="s">
        <v>155</v>
      </c>
      <c r="C310" s="110" t="s">
        <v>81</v>
      </c>
      <c r="D310" s="109">
        <v>1</v>
      </c>
      <c r="E310" s="109">
        <v>350211.64</v>
      </c>
      <c r="F310" s="109"/>
      <c r="G310" s="108" t="s">
        <v>2913</v>
      </c>
      <c r="H310" s="111" t="s">
        <v>16</v>
      </c>
    </row>
    <row r="311" spans="1:8" ht="33" x14ac:dyDescent="0.2">
      <c r="A311" s="108">
        <v>1</v>
      </c>
      <c r="B311" s="108" t="s">
        <v>2742</v>
      </c>
      <c r="C311" s="110" t="s">
        <v>2735</v>
      </c>
      <c r="D311" s="109">
        <v>551.65</v>
      </c>
      <c r="E311" s="109">
        <v>250</v>
      </c>
      <c r="F311" s="109">
        <v>137912.5</v>
      </c>
      <c r="G311" s="108" t="s">
        <v>2741</v>
      </c>
      <c r="H311" s="111" t="s">
        <v>16</v>
      </c>
    </row>
    <row r="312" spans="1:8" ht="33" x14ac:dyDescent="0.2">
      <c r="A312" s="108">
        <v>2</v>
      </c>
      <c r="B312" s="108" t="s">
        <v>2740</v>
      </c>
      <c r="C312" s="110" t="s">
        <v>1522</v>
      </c>
      <c r="D312" s="109">
        <v>21.51</v>
      </c>
      <c r="E312" s="109">
        <v>2000</v>
      </c>
      <c r="F312" s="109">
        <v>43020</v>
      </c>
      <c r="G312" s="108" t="s">
        <v>2739</v>
      </c>
      <c r="H312" s="111" t="s">
        <v>16</v>
      </c>
    </row>
    <row r="313" spans="1:8" ht="33" x14ac:dyDescent="0.2">
      <c r="A313" s="108">
        <v>3</v>
      </c>
      <c r="B313" s="108" t="s">
        <v>2738</v>
      </c>
      <c r="C313" s="110" t="s">
        <v>2735</v>
      </c>
      <c r="D313" s="109">
        <v>551.65</v>
      </c>
      <c r="E313" s="109">
        <v>20</v>
      </c>
      <c r="F313" s="109">
        <v>11033</v>
      </c>
      <c r="G313" s="108" t="s">
        <v>2737</v>
      </c>
      <c r="H313" s="111" t="s">
        <v>16</v>
      </c>
    </row>
    <row r="314" spans="1:8" ht="33" x14ac:dyDescent="0.2">
      <c r="A314" s="108">
        <v>4</v>
      </c>
      <c r="B314" s="108" t="s">
        <v>2736</v>
      </c>
      <c r="C314" s="110" t="s">
        <v>2735</v>
      </c>
      <c r="D314" s="109">
        <v>551.65</v>
      </c>
      <c r="E314" s="109">
        <v>10</v>
      </c>
      <c r="F314" s="109">
        <v>5516.5</v>
      </c>
      <c r="G314" s="108" t="s">
        <v>2734</v>
      </c>
      <c r="H314" s="111" t="s">
        <v>16</v>
      </c>
    </row>
    <row r="315" spans="1:8" ht="33" x14ac:dyDescent="0.2">
      <c r="A315" s="108">
        <v>5</v>
      </c>
      <c r="B315" s="108" t="s">
        <v>2733</v>
      </c>
      <c r="C315" s="110" t="s">
        <v>1522</v>
      </c>
      <c r="D315" s="109">
        <v>3.68</v>
      </c>
      <c r="E315" s="109">
        <v>1500</v>
      </c>
      <c r="F315" s="109">
        <v>5520</v>
      </c>
      <c r="G315" s="108" t="s">
        <v>2732</v>
      </c>
      <c r="H315" s="111" t="s">
        <v>16</v>
      </c>
    </row>
    <row r="316" spans="1:8" ht="33" x14ac:dyDescent="0.2">
      <c r="A316" s="108">
        <v>6</v>
      </c>
      <c r="B316" s="108" t="s">
        <v>2849</v>
      </c>
      <c r="C316" s="110" t="s">
        <v>2735</v>
      </c>
      <c r="D316" s="109">
        <v>1</v>
      </c>
      <c r="E316" s="109">
        <v>8274.7999999999993</v>
      </c>
      <c r="F316" s="109">
        <v>8274.7999999999993</v>
      </c>
      <c r="G316" s="108" t="s">
        <v>2848</v>
      </c>
      <c r="H316" s="111" t="s">
        <v>16</v>
      </c>
    </row>
    <row r="317" spans="1:8" ht="33" x14ac:dyDescent="0.2">
      <c r="A317" s="108">
        <v>7</v>
      </c>
      <c r="B317" s="108" t="s">
        <v>2731</v>
      </c>
      <c r="C317" s="110" t="s">
        <v>97</v>
      </c>
      <c r="D317" s="109">
        <v>172.08</v>
      </c>
      <c r="E317" s="109">
        <v>375</v>
      </c>
      <c r="F317" s="109">
        <v>64530</v>
      </c>
      <c r="G317" s="108" t="s">
        <v>2730</v>
      </c>
      <c r="H317" s="111" t="s">
        <v>16</v>
      </c>
    </row>
    <row r="318" spans="1:8" ht="33" x14ac:dyDescent="0.2">
      <c r="A318" s="108">
        <v>8</v>
      </c>
      <c r="B318" s="108" t="s">
        <v>2729</v>
      </c>
      <c r="C318" s="110" t="s">
        <v>14</v>
      </c>
      <c r="D318" s="109">
        <v>1</v>
      </c>
      <c r="E318" s="109">
        <v>5516.5</v>
      </c>
      <c r="F318" s="109">
        <v>5516.5</v>
      </c>
      <c r="G318" s="108" t="s">
        <v>2728</v>
      </c>
      <c r="H318" s="111" t="s">
        <v>16</v>
      </c>
    </row>
    <row r="319" spans="1:8" ht="33" x14ac:dyDescent="0.2">
      <c r="A319" s="108">
        <v>9</v>
      </c>
      <c r="B319" s="108" t="s">
        <v>1610</v>
      </c>
      <c r="C319" s="110" t="s">
        <v>97</v>
      </c>
      <c r="D319" s="109">
        <v>89.6</v>
      </c>
      <c r="E319" s="109">
        <v>375</v>
      </c>
      <c r="F319" s="109">
        <v>33600</v>
      </c>
      <c r="G319" s="108" t="s">
        <v>1609</v>
      </c>
      <c r="H319" s="111" t="s">
        <v>16</v>
      </c>
    </row>
    <row r="320" spans="1:8" ht="33" x14ac:dyDescent="0.2">
      <c r="A320" s="108">
        <v>10</v>
      </c>
      <c r="B320" s="108" t="s">
        <v>1527</v>
      </c>
      <c r="C320" s="110" t="s">
        <v>97</v>
      </c>
      <c r="D320" s="109">
        <v>89.6</v>
      </c>
      <c r="E320" s="109">
        <v>280</v>
      </c>
      <c r="F320" s="109">
        <v>25088</v>
      </c>
      <c r="G320" s="108" t="s">
        <v>1535</v>
      </c>
      <c r="H320" s="111" t="s">
        <v>16</v>
      </c>
    </row>
    <row r="321" spans="1:8" ht="33" x14ac:dyDescent="0.2">
      <c r="A321" s="108">
        <v>11</v>
      </c>
      <c r="B321" s="108" t="s">
        <v>1518</v>
      </c>
      <c r="C321" s="110" t="s">
        <v>14</v>
      </c>
      <c r="D321" s="109">
        <v>1</v>
      </c>
      <c r="E321" s="109">
        <v>10200.34</v>
      </c>
      <c r="F321" s="109">
        <v>10200.34</v>
      </c>
      <c r="G321" s="108" t="s">
        <v>1517</v>
      </c>
      <c r="H321" s="111" t="s">
        <v>16</v>
      </c>
    </row>
    <row r="322" spans="1:8" ht="33" x14ac:dyDescent="0.2">
      <c r="A322" s="108"/>
      <c r="B322" s="108" t="s">
        <v>1516</v>
      </c>
      <c r="C322" s="110" t="s">
        <v>81</v>
      </c>
      <c r="D322" s="109">
        <v>1</v>
      </c>
      <c r="E322" s="109"/>
      <c r="F322" s="109">
        <v>350211.64</v>
      </c>
      <c r="G322" s="108"/>
      <c r="H322" s="111" t="s">
        <v>16</v>
      </c>
    </row>
    <row r="323" spans="1:8" ht="33" x14ac:dyDescent="0.2">
      <c r="A323" s="108"/>
      <c r="B323" s="108" t="s">
        <v>1515</v>
      </c>
      <c r="C323" s="110" t="s">
        <v>81</v>
      </c>
      <c r="D323" s="109"/>
      <c r="E323" s="109"/>
      <c r="F323" s="109">
        <v>350211.64</v>
      </c>
      <c r="G323" s="108"/>
      <c r="H323" s="111" t="s">
        <v>16</v>
      </c>
    </row>
    <row r="324" spans="1:8" ht="16.5" x14ac:dyDescent="0.2">
      <c r="A324" s="108"/>
      <c r="B324" s="108"/>
      <c r="C324" s="110"/>
      <c r="D324" s="109"/>
      <c r="E324" s="109"/>
      <c r="F324" s="109"/>
      <c r="G324" s="108"/>
    </row>
    <row r="325" spans="1:8" ht="33" x14ac:dyDescent="0.2">
      <c r="A325" s="108" t="s">
        <v>2912</v>
      </c>
      <c r="B325" s="108" t="s">
        <v>158</v>
      </c>
      <c r="C325" s="110" t="s">
        <v>81</v>
      </c>
      <c r="D325" s="109">
        <v>1</v>
      </c>
      <c r="E325" s="109">
        <v>309726.87</v>
      </c>
      <c r="F325" s="109"/>
      <c r="G325" s="108" t="s">
        <v>2911</v>
      </c>
      <c r="H325" s="111" t="s">
        <v>16</v>
      </c>
    </row>
    <row r="326" spans="1:8" ht="33" x14ac:dyDescent="0.2">
      <c r="A326" s="108">
        <v>1</v>
      </c>
      <c r="B326" s="108" t="s">
        <v>2742</v>
      </c>
      <c r="C326" s="110" t="s">
        <v>2735</v>
      </c>
      <c r="D326" s="109">
        <v>494.33</v>
      </c>
      <c r="E326" s="109">
        <v>250</v>
      </c>
      <c r="F326" s="109">
        <v>123582.5</v>
      </c>
      <c r="G326" s="108" t="s">
        <v>2741</v>
      </c>
      <c r="H326" s="111" t="s">
        <v>16</v>
      </c>
    </row>
    <row r="327" spans="1:8" ht="33" x14ac:dyDescent="0.2">
      <c r="A327" s="108">
        <v>2</v>
      </c>
      <c r="B327" s="108" t="s">
        <v>2740</v>
      </c>
      <c r="C327" s="110" t="s">
        <v>1522</v>
      </c>
      <c r="D327" s="109">
        <v>19.28</v>
      </c>
      <c r="E327" s="109">
        <v>2000</v>
      </c>
      <c r="F327" s="109">
        <v>38560</v>
      </c>
      <c r="G327" s="108" t="s">
        <v>2739</v>
      </c>
      <c r="H327" s="111" t="s">
        <v>16</v>
      </c>
    </row>
    <row r="328" spans="1:8" ht="33" x14ac:dyDescent="0.2">
      <c r="A328" s="108">
        <v>3</v>
      </c>
      <c r="B328" s="108" t="s">
        <v>2738</v>
      </c>
      <c r="C328" s="110" t="s">
        <v>2735</v>
      </c>
      <c r="D328" s="109">
        <v>494.33</v>
      </c>
      <c r="E328" s="109">
        <v>20</v>
      </c>
      <c r="F328" s="109">
        <v>9886.6</v>
      </c>
      <c r="G328" s="108" t="s">
        <v>2737</v>
      </c>
      <c r="H328" s="111" t="s">
        <v>16</v>
      </c>
    </row>
    <row r="329" spans="1:8" ht="33" x14ac:dyDescent="0.2">
      <c r="A329" s="108">
        <v>4</v>
      </c>
      <c r="B329" s="108" t="s">
        <v>2736</v>
      </c>
      <c r="C329" s="110" t="s">
        <v>2735</v>
      </c>
      <c r="D329" s="109">
        <v>494.33</v>
      </c>
      <c r="E329" s="109">
        <v>10</v>
      </c>
      <c r="F329" s="109">
        <v>4943.3</v>
      </c>
      <c r="G329" s="108" t="s">
        <v>2734</v>
      </c>
      <c r="H329" s="111" t="s">
        <v>16</v>
      </c>
    </row>
    <row r="330" spans="1:8" ht="33" x14ac:dyDescent="0.2">
      <c r="A330" s="108">
        <v>5</v>
      </c>
      <c r="B330" s="108" t="s">
        <v>2733</v>
      </c>
      <c r="C330" s="110" t="s">
        <v>1522</v>
      </c>
      <c r="D330" s="109">
        <v>3.3</v>
      </c>
      <c r="E330" s="109">
        <v>1500</v>
      </c>
      <c r="F330" s="109">
        <v>4950</v>
      </c>
      <c r="G330" s="108" t="s">
        <v>2732</v>
      </c>
      <c r="H330" s="111" t="s">
        <v>16</v>
      </c>
    </row>
    <row r="331" spans="1:8" ht="33" x14ac:dyDescent="0.2">
      <c r="A331" s="108">
        <v>6</v>
      </c>
      <c r="B331" s="108" t="s">
        <v>2731</v>
      </c>
      <c r="C331" s="110" t="s">
        <v>97</v>
      </c>
      <c r="D331" s="109">
        <v>154.24</v>
      </c>
      <c r="E331" s="109">
        <v>375</v>
      </c>
      <c r="F331" s="109">
        <v>57840</v>
      </c>
      <c r="G331" s="108" t="s">
        <v>2730</v>
      </c>
      <c r="H331" s="111" t="s">
        <v>16</v>
      </c>
    </row>
    <row r="332" spans="1:8" ht="33" x14ac:dyDescent="0.2">
      <c r="A332" s="108">
        <v>7</v>
      </c>
      <c r="B332" s="108" t="s">
        <v>2729</v>
      </c>
      <c r="C332" s="110" t="s">
        <v>14</v>
      </c>
      <c r="D332" s="109">
        <v>1</v>
      </c>
      <c r="E332" s="109">
        <v>4943.3</v>
      </c>
      <c r="F332" s="109">
        <v>4943.3</v>
      </c>
      <c r="G332" s="108" t="s">
        <v>2728</v>
      </c>
      <c r="H332" s="111" t="s">
        <v>16</v>
      </c>
    </row>
    <row r="333" spans="1:8" ht="33" x14ac:dyDescent="0.2">
      <c r="A333" s="108">
        <v>8</v>
      </c>
      <c r="B333" s="108" t="s">
        <v>1610</v>
      </c>
      <c r="C333" s="110" t="s">
        <v>97</v>
      </c>
      <c r="D333" s="109">
        <v>89.6</v>
      </c>
      <c r="E333" s="109">
        <v>375</v>
      </c>
      <c r="F333" s="109">
        <v>33600</v>
      </c>
      <c r="G333" s="108" t="s">
        <v>1609</v>
      </c>
      <c r="H333" s="111" t="s">
        <v>16</v>
      </c>
    </row>
    <row r="334" spans="1:8" ht="33" x14ac:dyDescent="0.2">
      <c r="A334" s="108">
        <v>9</v>
      </c>
      <c r="B334" s="108" t="s">
        <v>1527</v>
      </c>
      <c r="C334" s="110" t="s">
        <v>97</v>
      </c>
      <c r="D334" s="109">
        <v>80</v>
      </c>
      <c r="E334" s="109">
        <v>280</v>
      </c>
      <c r="F334" s="109">
        <v>22400</v>
      </c>
      <c r="G334" s="108" t="s">
        <v>1535</v>
      </c>
      <c r="H334" s="111" t="s">
        <v>16</v>
      </c>
    </row>
    <row r="335" spans="1:8" ht="33" x14ac:dyDescent="0.2">
      <c r="A335" s="108">
        <v>10</v>
      </c>
      <c r="B335" s="108" t="s">
        <v>1518</v>
      </c>
      <c r="C335" s="110" t="s">
        <v>14</v>
      </c>
      <c r="D335" s="109">
        <v>1</v>
      </c>
      <c r="E335" s="109">
        <v>9021.17</v>
      </c>
      <c r="F335" s="109">
        <v>9021.17</v>
      </c>
      <c r="G335" s="108" t="s">
        <v>1517</v>
      </c>
      <c r="H335" s="111" t="s">
        <v>16</v>
      </c>
    </row>
    <row r="336" spans="1:8" ht="33" x14ac:dyDescent="0.2">
      <c r="A336" s="108"/>
      <c r="B336" s="108" t="s">
        <v>1516</v>
      </c>
      <c r="C336" s="110" t="s">
        <v>81</v>
      </c>
      <c r="D336" s="109">
        <v>1</v>
      </c>
      <c r="E336" s="109"/>
      <c r="F336" s="109">
        <v>309726.86999999994</v>
      </c>
      <c r="G336" s="108"/>
      <c r="H336" s="111" t="s">
        <v>16</v>
      </c>
    </row>
    <row r="337" spans="1:8" ht="33" x14ac:dyDescent="0.2">
      <c r="A337" s="108"/>
      <c r="B337" s="108" t="s">
        <v>1515</v>
      </c>
      <c r="C337" s="110" t="s">
        <v>81</v>
      </c>
      <c r="D337" s="109"/>
      <c r="E337" s="109"/>
      <c r="F337" s="109">
        <v>309726.87</v>
      </c>
      <c r="G337" s="108"/>
      <c r="H337" s="111" t="s">
        <v>16</v>
      </c>
    </row>
    <row r="338" spans="1:8" ht="16.5" x14ac:dyDescent="0.2">
      <c r="A338" s="108"/>
      <c r="B338" s="108"/>
      <c r="C338" s="110"/>
      <c r="D338" s="109"/>
      <c r="E338" s="109"/>
      <c r="F338" s="109"/>
      <c r="G338" s="108"/>
    </row>
    <row r="339" spans="1:8" ht="33" x14ac:dyDescent="0.2">
      <c r="A339" s="108" t="s">
        <v>2910</v>
      </c>
      <c r="B339" s="108" t="s">
        <v>161</v>
      </c>
      <c r="C339" s="110" t="s">
        <v>162</v>
      </c>
      <c r="D339" s="109">
        <v>1</v>
      </c>
      <c r="E339" s="109">
        <v>1134.56</v>
      </c>
      <c r="F339" s="109"/>
      <c r="G339" s="108" t="s">
        <v>2909</v>
      </c>
      <c r="H339" s="111" t="s">
        <v>16</v>
      </c>
    </row>
    <row r="340" spans="1:8" ht="42.75" x14ac:dyDescent="0.2">
      <c r="A340" s="108">
        <v>1</v>
      </c>
      <c r="B340" s="108" t="s">
        <v>2874</v>
      </c>
      <c r="C340" s="110" t="s">
        <v>50</v>
      </c>
      <c r="D340" s="109">
        <v>1.1000000000000001</v>
      </c>
      <c r="E340" s="109">
        <v>235</v>
      </c>
      <c r="F340" s="109">
        <v>258.5</v>
      </c>
      <c r="G340" s="108" t="s">
        <v>2873</v>
      </c>
      <c r="H340" s="111" t="s">
        <v>16</v>
      </c>
    </row>
    <row r="341" spans="1:8" ht="33" x14ac:dyDescent="0.2">
      <c r="A341" s="108">
        <v>2</v>
      </c>
      <c r="B341" s="108" t="s">
        <v>1596</v>
      </c>
      <c r="C341" s="110" t="s">
        <v>23</v>
      </c>
      <c r="D341" s="109">
        <v>0.03</v>
      </c>
      <c r="E341" s="109">
        <v>3733.75</v>
      </c>
      <c r="F341" s="109">
        <v>112.01</v>
      </c>
      <c r="G341" s="108" t="s">
        <v>1595</v>
      </c>
      <c r="H341" s="111" t="s">
        <v>16</v>
      </c>
    </row>
    <row r="342" spans="1:8" ht="33" x14ac:dyDescent="0.2">
      <c r="A342" s="108">
        <v>3</v>
      </c>
      <c r="B342" s="108" t="s">
        <v>1610</v>
      </c>
      <c r="C342" s="110" t="s">
        <v>97</v>
      </c>
      <c r="D342" s="109">
        <v>1.8</v>
      </c>
      <c r="E342" s="109">
        <v>375</v>
      </c>
      <c r="F342" s="109">
        <v>675</v>
      </c>
      <c r="G342" s="108" t="s">
        <v>1609</v>
      </c>
      <c r="H342" s="111" t="s">
        <v>16</v>
      </c>
    </row>
    <row r="343" spans="1:8" ht="33" x14ac:dyDescent="0.2">
      <c r="A343" s="108">
        <v>4</v>
      </c>
      <c r="B343" s="108" t="s">
        <v>1527</v>
      </c>
      <c r="C343" s="110" t="s">
        <v>97</v>
      </c>
      <c r="D343" s="109">
        <v>0.2</v>
      </c>
      <c r="E343" s="109">
        <v>280</v>
      </c>
      <c r="F343" s="109">
        <v>56</v>
      </c>
      <c r="G343" s="108" t="s">
        <v>1535</v>
      </c>
      <c r="H343" s="111" t="s">
        <v>16</v>
      </c>
    </row>
    <row r="344" spans="1:8" ht="33" x14ac:dyDescent="0.2">
      <c r="A344" s="108">
        <v>5</v>
      </c>
      <c r="B344" s="108" t="s">
        <v>1518</v>
      </c>
      <c r="C344" s="110" t="s">
        <v>14</v>
      </c>
      <c r="D344" s="109">
        <v>1</v>
      </c>
      <c r="E344" s="109">
        <v>33.049999999999997</v>
      </c>
      <c r="F344" s="109">
        <v>33.049999999999997</v>
      </c>
      <c r="G344" s="108" t="s">
        <v>1517</v>
      </c>
      <c r="H344" s="111" t="s">
        <v>16</v>
      </c>
    </row>
    <row r="345" spans="1:8" ht="33" x14ac:dyDescent="0.2">
      <c r="A345" s="108"/>
      <c r="B345" s="108" t="s">
        <v>1516</v>
      </c>
      <c r="C345" s="110" t="s">
        <v>162</v>
      </c>
      <c r="D345" s="109">
        <v>1</v>
      </c>
      <c r="E345" s="109"/>
      <c r="F345" s="109">
        <v>1134.56</v>
      </c>
      <c r="G345" s="108"/>
      <c r="H345" s="111" t="s">
        <v>16</v>
      </c>
    </row>
    <row r="346" spans="1:8" ht="33" x14ac:dyDescent="0.2">
      <c r="A346" s="108"/>
      <c r="B346" s="108" t="s">
        <v>1515</v>
      </c>
      <c r="C346" s="110" t="s">
        <v>162</v>
      </c>
      <c r="D346" s="109"/>
      <c r="E346" s="109"/>
      <c r="F346" s="109">
        <v>1134.56</v>
      </c>
      <c r="G346" s="108"/>
      <c r="H346" s="111" t="s">
        <v>16</v>
      </c>
    </row>
    <row r="347" spans="1:8" ht="16.5" x14ac:dyDescent="0.2">
      <c r="A347" s="108"/>
      <c r="B347" s="108"/>
      <c r="C347" s="110"/>
      <c r="D347" s="109"/>
      <c r="E347" s="109"/>
      <c r="F347" s="109"/>
      <c r="G347" s="108"/>
    </row>
    <row r="348" spans="1:8" ht="33" x14ac:dyDescent="0.2">
      <c r="A348" s="108" t="s">
        <v>2908</v>
      </c>
      <c r="B348" s="108" t="s">
        <v>165</v>
      </c>
      <c r="C348" s="110" t="s">
        <v>103</v>
      </c>
      <c r="D348" s="109">
        <v>1</v>
      </c>
      <c r="E348" s="109">
        <v>145.21</v>
      </c>
      <c r="F348" s="109"/>
      <c r="G348" s="108" t="s">
        <v>2907</v>
      </c>
      <c r="H348" s="111" t="s">
        <v>16</v>
      </c>
    </row>
    <row r="349" spans="1:8" ht="33" x14ac:dyDescent="0.2">
      <c r="A349" s="108">
        <v>1</v>
      </c>
      <c r="B349" s="108" t="s">
        <v>1779</v>
      </c>
      <c r="C349" s="110" t="s">
        <v>103</v>
      </c>
      <c r="D349" s="109">
        <v>0.08</v>
      </c>
      <c r="E349" s="109">
        <v>1465.18</v>
      </c>
      <c r="F349" s="109">
        <v>117.21</v>
      </c>
      <c r="G349" s="108" t="s">
        <v>2668</v>
      </c>
      <c r="H349" s="111" t="s">
        <v>16</v>
      </c>
    </row>
    <row r="350" spans="1:8" ht="33" x14ac:dyDescent="0.2">
      <c r="A350" s="108">
        <v>2</v>
      </c>
      <c r="B350" s="108" t="s">
        <v>1527</v>
      </c>
      <c r="C350" s="110" t="s">
        <v>97</v>
      </c>
      <c r="D350" s="109">
        <v>0.1</v>
      </c>
      <c r="E350" s="109">
        <v>280</v>
      </c>
      <c r="F350" s="109">
        <v>28</v>
      </c>
      <c r="G350" s="108" t="s">
        <v>1535</v>
      </c>
      <c r="H350" s="111" t="s">
        <v>16</v>
      </c>
    </row>
    <row r="351" spans="1:8" ht="33" x14ac:dyDescent="0.2">
      <c r="A351" s="108"/>
      <c r="B351" s="108" t="s">
        <v>1516</v>
      </c>
      <c r="C351" s="110" t="s">
        <v>103</v>
      </c>
      <c r="D351" s="109">
        <v>1</v>
      </c>
      <c r="E351" s="109"/>
      <c r="F351" s="109">
        <v>145.20999999999998</v>
      </c>
      <c r="G351" s="108"/>
      <c r="H351" s="111" t="s">
        <v>16</v>
      </c>
    </row>
    <row r="352" spans="1:8" ht="33" x14ac:dyDescent="0.2">
      <c r="A352" s="108"/>
      <c r="B352" s="108" t="s">
        <v>1515</v>
      </c>
      <c r="C352" s="110" t="s">
        <v>103</v>
      </c>
      <c r="D352" s="109"/>
      <c r="E352" s="109"/>
      <c r="F352" s="109">
        <v>145.21</v>
      </c>
      <c r="G352" s="108"/>
      <c r="H352" s="111" t="s">
        <v>16</v>
      </c>
    </row>
    <row r="353" spans="1:8" ht="16.5" x14ac:dyDescent="0.2">
      <c r="A353" s="108"/>
      <c r="B353" s="108"/>
      <c r="C353" s="110"/>
      <c r="D353" s="109"/>
      <c r="E353" s="109"/>
      <c r="F353" s="109"/>
      <c r="G353" s="108"/>
    </row>
    <row r="354" spans="1:8" ht="33" x14ac:dyDescent="0.2">
      <c r="A354" s="108" t="s">
        <v>2906</v>
      </c>
      <c r="B354" s="108" t="s">
        <v>168</v>
      </c>
      <c r="C354" s="110" t="s">
        <v>30</v>
      </c>
      <c r="D354" s="109">
        <v>1</v>
      </c>
      <c r="E354" s="109">
        <v>2755.97</v>
      </c>
      <c r="F354" s="109"/>
      <c r="G354" s="108" t="s">
        <v>2905</v>
      </c>
      <c r="H354" s="111" t="s">
        <v>16</v>
      </c>
    </row>
    <row r="355" spans="1:8" ht="33" x14ac:dyDescent="0.2">
      <c r="A355" s="108">
        <v>1</v>
      </c>
      <c r="B355" s="108" t="s">
        <v>417</v>
      </c>
      <c r="C355" s="110" t="s">
        <v>110</v>
      </c>
      <c r="D355" s="109">
        <v>9.42</v>
      </c>
      <c r="E355" s="109">
        <v>278.10000000000002</v>
      </c>
      <c r="F355" s="109">
        <v>2619.6999999999998</v>
      </c>
      <c r="G355" s="108" t="s">
        <v>2723</v>
      </c>
      <c r="H355" s="111" t="s">
        <v>16</v>
      </c>
    </row>
    <row r="356" spans="1:8" ht="33" x14ac:dyDescent="0.2">
      <c r="A356" s="108">
        <v>2</v>
      </c>
      <c r="B356" s="108" t="s">
        <v>1527</v>
      </c>
      <c r="C356" s="110" t="s">
        <v>97</v>
      </c>
      <c r="D356" s="109">
        <v>0.2</v>
      </c>
      <c r="E356" s="109">
        <v>280</v>
      </c>
      <c r="F356" s="109">
        <v>56</v>
      </c>
      <c r="G356" s="108" t="s">
        <v>1535</v>
      </c>
      <c r="H356" s="111" t="s">
        <v>16</v>
      </c>
    </row>
    <row r="357" spans="1:8" ht="33" x14ac:dyDescent="0.2">
      <c r="A357" s="108">
        <v>3</v>
      </c>
      <c r="B357" s="108" t="s">
        <v>1518</v>
      </c>
      <c r="C357" s="110" t="s">
        <v>14</v>
      </c>
      <c r="D357" s="109">
        <v>1</v>
      </c>
      <c r="E357" s="109">
        <v>80.27</v>
      </c>
      <c r="F357" s="109">
        <v>80.27</v>
      </c>
      <c r="G357" s="108" t="s">
        <v>1517</v>
      </c>
      <c r="H357" s="111" t="s">
        <v>16</v>
      </c>
    </row>
    <row r="358" spans="1:8" ht="33" x14ac:dyDescent="0.2">
      <c r="A358" s="108"/>
      <c r="B358" s="108" t="s">
        <v>1516</v>
      </c>
      <c r="C358" s="110" t="s">
        <v>30</v>
      </c>
      <c r="D358" s="109">
        <v>1</v>
      </c>
      <c r="E358" s="109"/>
      <c r="F358" s="109">
        <v>2755.97</v>
      </c>
      <c r="G358" s="108"/>
      <c r="H358" s="111" t="s">
        <v>16</v>
      </c>
    </row>
    <row r="359" spans="1:8" ht="33" x14ac:dyDescent="0.2">
      <c r="A359" s="108"/>
      <c r="B359" s="108" t="s">
        <v>1515</v>
      </c>
      <c r="C359" s="110" t="s">
        <v>30</v>
      </c>
      <c r="D359" s="109"/>
      <c r="E359" s="109"/>
      <c r="F359" s="109">
        <v>2755.97</v>
      </c>
      <c r="G359" s="108"/>
      <c r="H359" s="111" t="s">
        <v>16</v>
      </c>
    </row>
    <row r="360" spans="1:8" ht="16.5" x14ac:dyDescent="0.2">
      <c r="A360" s="108"/>
      <c r="B360" s="108"/>
      <c r="C360" s="110"/>
      <c r="D360" s="109"/>
      <c r="E360" s="109"/>
      <c r="F360" s="109"/>
      <c r="G360" s="108"/>
    </row>
    <row r="361" spans="1:8" ht="33" x14ac:dyDescent="0.2">
      <c r="A361" s="108" t="s">
        <v>2904</v>
      </c>
      <c r="B361" s="108" t="s">
        <v>171</v>
      </c>
      <c r="C361" s="110" t="s">
        <v>30</v>
      </c>
      <c r="D361" s="109">
        <v>1</v>
      </c>
      <c r="E361" s="109">
        <v>576.79999999999995</v>
      </c>
      <c r="F361" s="109"/>
      <c r="G361" s="108" t="s">
        <v>2903</v>
      </c>
      <c r="H361" s="111" t="s">
        <v>16</v>
      </c>
    </row>
    <row r="362" spans="1:8" ht="33" x14ac:dyDescent="0.2">
      <c r="A362" s="108">
        <v>1</v>
      </c>
      <c r="B362" s="108" t="s">
        <v>420</v>
      </c>
      <c r="C362" s="110" t="s">
        <v>50</v>
      </c>
      <c r="D362" s="109">
        <v>0.36</v>
      </c>
      <c r="E362" s="109">
        <v>1400</v>
      </c>
      <c r="F362" s="109">
        <v>504</v>
      </c>
      <c r="G362" s="108" t="s">
        <v>421</v>
      </c>
      <c r="H362" s="111" t="s">
        <v>16</v>
      </c>
    </row>
    <row r="363" spans="1:8" ht="33" x14ac:dyDescent="0.2">
      <c r="A363" s="108">
        <v>2</v>
      </c>
      <c r="B363" s="108" t="s">
        <v>1527</v>
      </c>
      <c r="C363" s="110" t="s">
        <v>97</v>
      </c>
      <c r="D363" s="109">
        <v>0.2</v>
      </c>
      <c r="E363" s="109">
        <v>280</v>
      </c>
      <c r="F363" s="109">
        <v>56</v>
      </c>
      <c r="G363" s="108" t="s">
        <v>1535</v>
      </c>
      <c r="H363" s="111" t="s">
        <v>16</v>
      </c>
    </row>
    <row r="364" spans="1:8" ht="33" x14ac:dyDescent="0.2">
      <c r="A364" s="108">
        <v>3</v>
      </c>
      <c r="B364" s="108" t="s">
        <v>1518</v>
      </c>
      <c r="C364" s="110" t="s">
        <v>14</v>
      </c>
      <c r="D364" s="109">
        <v>1</v>
      </c>
      <c r="E364" s="109">
        <v>16.8</v>
      </c>
      <c r="F364" s="109">
        <v>16.8</v>
      </c>
      <c r="G364" s="108" t="s">
        <v>1517</v>
      </c>
      <c r="H364" s="111" t="s">
        <v>16</v>
      </c>
    </row>
    <row r="365" spans="1:8" ht="33" x14ac:dyDescent="0.2">
      <c r="A365" s="108"/>
      <c r="B365" s="108" t="s">
        <v>1516</v>
      </c>
      <c r="C365" s="110" t="s">
        <v>30</v>
      </c>
      <c r="D365" s="109">
        <v>1</v>
      </c>
      <c r="E365" s="109"/>
      <c r="F365" s="109">
        <v>576.79999999999995</v>
      </c>
      <c r="G365" s="108"/>
      <c r="H365" s="111" t="s">
        <v>16</v>
      </c>
    </row>
    <row r="366" spans="1:8" ht="33" x14ac:dyDescent="0.2">
      <c r="A366" s="108"/>
      <c r="B366" s="108" t="s">
        <v>1515</v>
      </c>
      <c r="C366" s="110" t="s">
        <v>30</v>
      </c>
      <c r="D366" s="109"/>
      <c r="E366" s="109"/>
      <c r="F366" s="109">
        <v>576.79999999999995</v>
      </c>
      <c r="G366" s="108"/>
      <c r="H366" s="111" t="s">
        <v>16</v>
      </c>
    </row>
    <row r="367" spans="1:8" ht="16.5" x14ac:dyDescent="0.2">
      <c r="A367" s="108"/>
      <c r="B367" s="108"/>
      <c r="C367" s="110"/>
      <c r="D367" s="109"/>
      <c r="E367" s="109"/>
      <c r="F367" s="109"/>
      <c r="G367" s="108"/>
    </row>
    <row r="368" spans="1:8" ht="33" x14ac:dyDescent="0.2">
      <c r="A368" s="108" t="s">
        <v>2902</v>
      </c>
      <c r="B368" s="108" t="s">
        <v>174</v>
      </c>
      <c r="C368" s="110" t="s">
        <v>30</v>
      </c>
      <c r="D368" s="109">
        <v>1</v>
      </c>
      <c r="E368" s="109">
        <v>615.34</v>
      </c>
      <c r="F368" s="109"/>
      <c r="G368" s="108" t="s">
        <v>2901</v>
      </c>
      <c r="H368" s="111" t="s">
        <v>16</v>
      </c>
    </row>
    <row r="369" spans="1:8" ht="33" x14ac:dyDescent="0.2">
      <c r="A369" s="108">
        <v>1</v>
      </c>
      <c r="B369" s="108" t="s">
        <v>1596</v>
      </c>
      <c r="C369" s="110" t="s">
        <v>23</v>
      </c>
      <c r="D369" s="109">
        <v>0.01</v>
      </c>
      <c r="E369" s="109">
        <v>3733.75</v>
      </c>
      <c r="F369" s="109">
        <v>37.340000000000003</v>
      </c>
      <c r="G369" s="108" t="s">
        <v>1595</v>
      </c>
      <c r="H369" s="111" t="s">
        <v>16</v>
      </c>
    </row>
    <row r="370" spans="1:8" ht="33" x14ac:dyDescent="0.2">
      <c r="A370" s="108">
        <v>2</v>
      </c>
      <c r="B370" s="108" t="s">
        <v>2900</v>
      </c>
      <c r="C370" s="110" t="s">
        <v>30</v>
      </c>
      <c r="D370" s="109">
        <v>1</v>
      </c>
      <c r="E370" s="109">
        <v>550</v>
      </c>
      <c r="F370" s="109">
        <v>550</v>
      </c>
      <c r="G370" s="108" t="s">
        <v>2899</v>
      </c>
      <c r="H370" s="111" t="s">
        <v>16</v>
      </c>
    </row>
    <row r="371" spans="1:8" ht="33" x14ac:dyDescent="0.2">
      <c r="A371" s="108">
        <v>3</v>
      </c>
      <c r="B371" s="108" t="s">
        <v>1527</v>
      </c>
      <c r="C371" s="110" t="s">
        <v>97</v>
      </c>
      <c r="D371" s="109">
        <v>0.1</v>
      </c>
      <c r="E371" s="109">
        <v>280</v>
      </c>
      <c r="F371" s="109">
        <v>28</v>
      </c>
      <c r="G371" s="108" t="s">
        <v>1535</v>
      </c>
      <c r="H371" s="111" t="s">
        <v>16</v>
      </c>
    </row>
    <row r="372" spans="1:8" ht="33" x14ac:dyDescent="0.2">
      <c r="A372" s="108"/>
      <c r="B372" s="108" t="s">
        <v>1516</v>
      </c>
      <c r="C372" s="110" t="s">
        <v>30</v>
      </c>
      <c r="D372" s="109">
        <v>1</v>
      </c>
      <c r="E372" s="109"/>
      <c r="F372" s="109">
        <v>615.34</v>
      </c>
      <c r="G372" s="108"/>
      <c r="H372" s="111" t="s">
        <v>16</v>
      </c>
    </row>
    <row r="373" spans="1:8" ht="33" x14ac:dyDescent="0.2">
      <c r="A373" s="108"/>
      <c r="B373" s="108" t="s">
        <v>1515</v>
      </c>
      <c r="C373" s="110" t="s">
        <v>30</v>
      </c>
      <c r="D373" s="109"/>
      <c r="E373" s="109"/>
      <c r="F373" s="109">
        <v>615.34</v>
      </c>
      <c r="G373" s="108"/>
      <c r="H373" s="111" t="s">
        <v>16</v>
      </c>
    </row>
    <row r="374" spans="1:8" ht="16.5" x14ac:dyDescent="0.2">
      <c r="A374" s="108"/>
      <c r="B374" s="108"/>
      <c r="C374" s="110"/>
      <c r="D374" s="109"/>
      <c r="E374" s="109"/>
      <c r="F374" s="109"/>
      <c r="G374" s="108"/>
    </row>
    <row r="375" spans="1:8" ht="33" x14ac:dyDescent="0.2">
      <c r="A375" s="108" t="s">
        <v>2898</v>
      </c>
      <c r="B375" s="108" t="s">
        <v>177</v>
      </c>
      <c r="C375" s="110" t="s">
        <v>30</v>
      </c>
      <c r="D375" s="109">
        <v>1</v>
      </c>
      <c r="E375" s="109">
        <v>685.3</v>
      </c>
      <c r="F375" s="109"/>
      <c r="G375" s="108" t="s">
        <v>2897</v>
      </c>
      <c r="H375" s="111" t="s">
        <v>16</v>
      </c>
    </row>
    <row r="376" spans="1:8" ht="33" x14ac:dyDescent="0.2">
      <c r="A376" s="108">
        <v>1</v>
      </c>
      <c r="B376" s="108" t="s">
        <v>1596</v>
      </c>
      <c r="C376" s="110" t="s">
        <v>23</v>
      </c>
      <c r="D376" s="109">
        <v>0.01</v>
      </c>
      <c r="E376" s="109">
        <v>3733.75</v>
      </c>
      <c r="F376" s="109">
        <v>37.340000000000003</v>
      </c>
      <c r="G376" s="108" t="s">
        <v>1595</v>
      </c>
      <c r="H376" s="111" t="s">
        <v>16</v>
      </c>
    </row>
    <row r="377" spans="1:8" ht="33" x14ac:dyDescent="0.2">
      <c r="A377" s="108">
        <v>2</v>
      </c>
      <c r="B377" s="108" t="s">
        <v>2894</v>
      </c>
      <c r="C377" s="110" t="s">
        <v>30</v>
      </c>
      <c r="D377" s="109">
        <v>1</v>
      </c>
      <c r="E377" s="109">
        <v>600</v>
      </c>
      <c r="F377" s="109">
        <v>600</v>
      </c>
      <c r="G377" s="108" t="s">
        <v>2893</v>
      </c>
      <c r="H377" s="111" t="s">
        <v>16</v>
      </c>
    </row>
    <row r="378" spans="1:8" ht="33" x14ac:dyDescent="0.2">
      <c r="A378" s="108">
        <v>3</v>
      </c>
      <c r="B378" s="108" t="s">
        <v>1527</v>
      </c>
      <c r="C378" s="110" t="s">
        <v>97</v>
      </c>
      <c r="D378" s="109">
        <v>0.1</v>
      </c>
      <c r="E378" s="109">
        <v>280</v>
      </c>
      <c r="F378" s="109">
        <v>28</v>
      </c>
      <c r="G378" s="108" t="s">
        <v>1535</v>
      </c>
      <c r="H378" s="111" t="s">
        <v>16</v>
      </c>
    </row>
    <row r="379" spans="1:8" ht="33" x14ac:dyDescent="0.2">
      <c r="A379" s="108">
        <v>4</v>
      </c>
      <c r="B379" s="108" t="s">
        <v>1543</v>
      </c>
      <c r="C379" s="110" t="s">
        <v>14</v>
      </c>
      <c r="D379" s="109">
        <v>1</v>
      </c>
      <c r="E379" s="109">
        <v>19.96</v>
      </c>
      <c r="F379" s="109">
        <v>19.96</v>
      </c>
      <c r="G379" s="108" t="s">
        <v>1542</v>
      </c>
      <c r="H379" s="111" t="s">
        <v>16</v>
      </c>
    </row>
    <row r="380" spans="1:8" ht="33" x14ac:dyDescent="0.2">
      <c r="A380" s="108"/>
      <c r="B380" s="108" t="s">
        <v>1516</v>
      </c>
      <c r="C380" s="110" t="s">
        <v>30</v>
      </c>
      <c r="D380" s="109">
        <v>1</v>
      </c>
      <c r="E380" s="109"/>
      <c r="F380" s="109">
        <v>685.30000000000007</v>
      </c>
      <c r="G380" s="108"/>
      <c r="H380" s="111" t="s">
        <v>16</v>
      </c>
    </row>
    <row r="381" spans="1:8" ht="33" x14ac:dyDescent="0.2">
      <c r="A381" s="108"/>
      <c r="B381" s="108" t="s">
        <v>1515</v>
      </c>
      <c r="C381" s="110" t="s">
        <v>30</v>
      </c>
      <c r="D381" s="109"/>
      <c r="E381" s="109"/>
      <c r="F381" s="109">
        <v>685.3</v>
      </c>
      <c r="G381" s="108"/>
      <c r="H381" s="111" t="s">
        <v>16</v>
      </c>
    </row>
    <row r="382" spans="1:8" ht="16.5" x14ac:dyDescent="0.2">
      <c r="A382" s="108"/>
      <c r="B382" s="108"/>
      <c r="C382" s="110"/>
      <c r="D382" s="109"/>
      <c r="E382" s="109"/>
      <c r="F382" s="109"/>
      <c r="G382" s="108"/>
    </row>
    <row r="383" spans="1:8" ht="33" x14ac:dyDescent="0.2">
      <c r="A383" s="108" t="s">
        <v>2896</v>
      </c>
      <c r="B383" s="108" t="s">
        <v>180</v>
      </c>
      <c r="C383" s="110" t="s">
        <v>30</v>
      </c>
      <c r="D383" s="109">
        <v>1</v>
      </c>
      <c r="E383" s="109">
        <v>699.72</v>
      </c>
      <c r="F383" s="109"/>
      <c r="G383" s="108" t="s">
        <v>2895</v>
      </c>
      <c r="H383" s="111" t="s">
        <v>16</v>
      </c>
    </row>
    <row r="384" spans="1:8" ht="33" x14ac:dyDescent="0.2">
      <c r="A384" s="108">
        <v>1</v>
      </c>
      <c r="B384" s="108" t="s">
        <v>1596</v>
      </c>
      <c r="C384" s="110" t="s">
        <v>23</v>
      </c>
      <c r="D384" s="109">
        <v>0.01</v>
      </c>
      <c r="E384" s="109">
        <v>3733.75</v>
      </c>
      <c r="F384" s="109">
        <v>37.340000000000003</v>
      </c>
      <c r="G384" s="108" t="s">
        <v>1595</v>
      </c>
      <c r="H384" s="111" t="s">
        <v>16</v>
      </c>
    </row>
    <row r="385" spans="1:8" ht="33" x14ac:dyDescent="0.2">
      <c r="A385" s="108">
        <v>2</v>
      </c>
      <c r="B385" s="108" t="s">
        <v>2894</v>
      </c>
      <c r="C385" s="110" t="s">
        <v>30</v>
      </c>
      <c r="D385" s="109">
        <v>1</v>
      </c>
      <c r="E385" s="109">
        <v>600</v>
      </c>
      <c r="F385" s="109">
        <v>600</v>
      </c>
      <c r="G385" s="108" t="s">
        <v>2893</v>
      </c>
      <c r="H385" s="111" t="s">
        <v>16</v>
      </c>
    </row>
    <row r="386" spans="1:8" ht="33" x14ac:dyDescent="0.2">
      <c r="A386" s="108">
        <v>3</v>
      </c>
      <c r="B386" s="108" t="s">
        <v>1527</v>
      </c>
      <c r="C386" s="110" t="s">
        <v>97</v>
      </c>
      <c r="D386" s="109">
        <v>0.15</v>
      </c>
      <c r="E386" s="109">
        <v>280</v>
      </c>
      <c r="F386" s="109">
        <v>42</v>
      </c>
      <c r="G386" s="108" t="s">
        <v>1535</v>
      </c>
      <c r="H386" s="111" t="s">
        <v>16</v>
      </c>
    </row>
    <row r="387" spans="1:8" ht="33" x14ac:dyDescent="0.2">
      <c r="A387" s="108">
        <v>4</v>
      </c>
      <c r="B387" s="108" t="s">
        <v>1543</v>
      </c>
      <c r="C387" s="110" t="s">
        <v>14</v>
      </c>
      <c r="D387" s="109">
        <v>1</v>
      </c>
      <c r="E387" s="109">
        <v>20.38</v>
      </c>
      <c r="F387" s="109">
        <v>20.38</v>
      </c>
      <c r="G387" s="108" t="s">
        <v>1542</v>
      </c>
      <c r="H387" s="111" t="s">
        <v>16</v>
      </c>
    </row>
    <row r="388" spans="1:8" ht="33" x14ac:dyDescent="0.2">
      <c r="A388" s="108"/>
      <c r="B388" s="108" t="s">
        <v>1516</v>
      </c>
      <c r="C388" s="110" t="s">
        <v>30</v>
      </c>
      <c r="D388" s="109">
        <v>1</v>
      </c>
      <c r="E388" s="109"/>
      <c r="F388" s="109">
        <v>699.72</v>
      </c>
      <c r="G388" s="108"/>
      <c r="H388" s="111" t="s">
        <v>16</v>
      </c>
    </row>
    <row r="389" spans="1:8" ht="33" x14ac:dyDescent="0.2">
      <c r="A389" s="108"/>
      <c r="B389" s="108" t="s">
        <v>1515</v>
      </c>
      <c r="C389" s="110" t="s">
        <v>30</v>
      </c>
      <c r="D389" s="109"/>
      <c r="E389" s="109"/>
      <c r="F389" s="109">
        <v>699.72</v>
      </c>
      <c r="G389" s="108"/>
      <c r="H389" s="111" t="s">
        <v>16</v>
      </c>
    </row>
    <row r="390" spans="1:8" ht="16.5" x14ac:dyDescent="0.2">
      <c r="A390" s="108"/>
      <c r="B390" s="108"/>
      <c r="C390" s="110"/>
      <c r="D390" s="109"/>
      <c r="E390" s="109"/>
      <c r="F390" s="109"/>
      <c r="G390" s="108"/>
    </row>
    <row r="391" spans="1:8" ht="33" x14ac:dyDescent="0.2">
      <c r="A391" s="108" t="s">
        <v>2892</v>
      </c>
      <c r="B391" s="108" t="s">
        <v>183</v>
      </c>
      <c r="C391" s="110" t="s">
        <v>30</v>
      </c>
      <c r="D391" s="109">
        <v>1</v>
      </c>
      <c r="E391" s="109">
        <v>1199.33</v>
      </c>
      <c r="F391" s="109"/>
      <c r="G391" s="108" t="s">
        <v>2891</v>
      </c>
      <c r="H391" s="111" t="s">
        <v>16</v>
      </c>
    </row>
    <row r="392" spans="1:8" ht="33" x14ac:dyDescent="0.2">
      <c r="A392" s="108">
        <v>1</v>
      </c>
      <c r="B392" s="108" t="s">
        <v>2890</v>
      </c>
      <c r="C392" s="110" t="s">
        <v>30</v>
      </c>
      <c r="D392" s="109">
        <v>1</v>
      </c>
      <c r="E392" s="109">
        <v>1100</v>
      </c>
      <c r="F392" s="109">
        <v>1100</v>
      </c>
      <c r="G392" s="108" t="s">
        <v>2889</v>
      </c>
      <c r="H392" s="111" t="s">
        <v>16</v>
      </c>
    </row>
    <row r="393" spans="1:8" ht="33" x14ac:dyDescent="0.2">
      <c r="A393" s="108">
        <v>2</v>
      </c>
      <c r="B393" s="108" t="s">
        <v>1527</v>
      </c>
      <c r="C393" s="110" t="s">
        <v>97</v>
      </c>
      <c r="D393" s="109">
        <v>0.23</v>
      </c>
      <c r="E393" s="109">
        <v>280</v>
      </c>
      <c r="F393" s="109">
        <v>64.400000000000006</v>
      </c>
      <c r="G393" s="108" t="s">
        <v>1535</v>
      </c>
      <c r="H393" s="111" t="s">
        <v>16</v>
      </c>
    </row>
    <row r="394" spans="1:8" ht="33" x14ac:dyDescent="0.2">
      <c r="A394" s="108">
        <v>3</v>
      </c>
      <c r="B394" s="108" t="s">
        <v>1543</v>
      </c>
      <c r="C394" s="110" t="s">
        <v>14</v>
      </c>
      <c r="D394" s="109">
        <v>1</v>
      </c>
      <c r="E394" s="109">
        <v>34.93</v>
      </c>
      <c r="F394" s="109">
        <v>34.93</v>
      </c>
      <c r="G394" s="108" t="s">
        <v>1542</v>
      </c>
      <c r="H394" s="111" t="s">
        <v>16</v>
      </c>
    </row>
    <row r="395" spans="1:8" ht="33" x14ac:dyDescent="0.2">
      <c r="A395" s="108"/>
      <c r="B395" s="108" t="s">
        <v>1516</v>
      </c>
      <c r="C395" s="110" t="s">
        <v>30</v>
      </c>
      <c r="D395" s="109">
        <v>1</v>
      </c>
      <c r="E395" s="109"/>
      <c r="F395" s="109">
        <v>1199.3300000000002</v>
      </c>
      <c r="G395" s="108"/>
      <c r="H395" s="111" t="s">
        <v>16</v>
      </c>
    </row>
    <row r="396" spans="1:8" ht="33" x14ac:dyDescent="0.2">
      <c r="A396" s="108"/>
      <c r="B396" s="108" t="s">
        <v>1515</v>
      </c>
      <c r="C396" s="110" t="s">
        <v>30</v>
      </c>
      <c r="D396" s="109"/>
      <c r="E396" s="109"/>
      <c r="F396" s="109">
        <v>1199.33</v>
      </c>
      <c r="G396" s="108"/>
      <c r="H396" s="111" t="s">
        <v>16</v>
      </c>
    </row>
    <row r="397" spans="1:8" ht="16.5" x14ac:dyDescent="0.2">
      <c r="A397" s="108"/>
      <c r="B397" s="108"/>
      <c r="C397" s="110"/>
      <c r="D397" s="109"/>
      <c r="E397" s="109"/>
      <c r="F397" s="109"/>
      <c r="G397" s="108"/>
    </row>
    <row r="398" spans="1:8" ht="33" x14ac:dyDescent="0.2">
      <c r="A398" s="108" t="s">
        <v>2888</v>
      </c>
      <c r="B398" s="108" t="s">
        <v>186</v>
      </c>
      <c r="C398" s="110" t="s">
        <v>30</v>
      </c>
      <c r="D398" s="109">
        <v>1</v>
      </c>
      <c r="E398" s="109">
        <v>57.68</v>
      </c>
      <c r="F398" s="109"/>
      <c r="G398" s="108" t="s">
        <v>2887</v>
      </c>
      <c r="H398" s="111" t="s">
        <v>16</v>
      </c>
    </row>
    <row r="399" spans="1:8" ht="33" x14ac:dyDescent="0.2">
      <c r="A399" s="108">
        <v>1</v>
      </c>
      <c r="B399" s="108" t="s">
        <v>1527</v>
      </c>
      <c r="C399" s="110" t="s">
        <v>97</v>
      </c>
      <c r="D399" s="109">
        <v>0.2</v>
      </c>
      <c r="E399" s="109">
        <v>280</v>
      </c>
      <c r="F399" s="109">
        <v>56</v>
      </c>
      <c r="G399" s="108" t="s">
        <v>1535</v>
      </c>
      <c r="H399" s="111" t="s">
        <v>16</v>
      </c>
    </row>
    <row r="400" spans="1:8" ht="33" x14ac:dyDescent="0.2">
      <c r="A400" s="108">
        <v>2</v>
      </c>
      <c r="B400" s="108" t="s">
        <v>1518</v>
      </c>
      <c r="C400" s="110" t="s">
        <v>14</v>
      </c>
      <c r="D400" s="109">
        <v>1</v>
      </c>
      <c r="E400" s="109">
        <v>1.68</v>
      </c>
      <c r="F400" s="109">
        <v>1.68</v>
      </c>
      <c r="G400" s="108" t="s">
        <v>1517</v>
      </c>
      <c r="H400" s="111" t="s">
        <v>16</v>
      </c>
    </row>
    <row r="401" spans="1:8" ht="33" x14ac:dyDescent="0.2">
      <c r="A401" s="108"/>
      <c r="B401" s="108" t="s">
        <v>1516</v>
      </c>
      <c r="C401" s="110" t="s">
        <v>30</v>
      </c>
      <c r="D401" s="109">
        <v>1</v>
      </c>
      <c r="E401" s="109"/>
      <c r="F401" s="109">
        <v>57.68</v>
      </c>
      <c r="G401" s="108"/>
      <c r="H401" s="111" t="s">
        <v>16</v>
      </c>
    </row>
    <row r="402" spans="1:8" ht="33" x14ac:dyDescent="0.2">
      <c r="A402" s="108"/>
      <c r="B402" s="108" t="s">
        <v>1515</v>
      </c>
      <c r="C402" s="110" t="s">
        <v>30</v>
      </c>
      <c r="D402" s="109"/>
      <c r="E402" s="109"/>
      <c r="F402" s="109">
        <v>57.68</v>
      </c>
      <c r="G402" s="108"/>
      <c r="H402" s="111" t="s">
        <v>16</v>
      </c>
    </row>
    <row r="403" spans="1:8" ht="16.5" x14ac:dyDescent="0.2">
      <c r="A403" s="108"/>
      <c r="B403" s="108"/>
      <c r="C403" s="110"/>
      <c r="D403" s="109"/>
      <c r="E403" s="109"/>
      <c r="F403" s="109"/>
      <c r="G403" s="108"/>
    </row>
    <row r="404" spans="1:8" ht="33" x14ac:dyDescent="0.2">
      <c r="A404" s="108" t="s">
        <v>2886</v>
      </c>
      <c r="B404" s="108" t="s">
        <v>189</v>
      </c>
      <c r="C404" s="110" t="s">
        <v>30</v>
      </c>
      <c r="D404" s="109">
        <v>10</v>
      </c>
      <c r="E404" s="109">
        <v>138.84</v>
      </c>
      <c r="F404" s="109"/>
      <c r="G404" s="108" t="s">
        <v>2885</v>
      </c>
      <c r="H404" s="111" t="s">
        <v>16</v>
      </c>
    </row>
    <row r="405" spans="1:8" ht="33" x14ac:dyDescent="0.2">
      <c r="A405" s="108">
        <v>1</v>
      </c>
      <c r="B405" s="108" t="s">
        <v>2884</v>
      </c>
      <c r="C405" s="110" t="s">
        <v>14</v>
      </c>
      <c r="D405" s="109">
        <v>1</v>
      </c>
      <c r="E405" s="109">
        <v>250</v>
      </c>
      <c r="F405" s="109">
        <v>250</v>
      </c>
      <c r="G405" s="108" t="s">
        <v>2883</v>
      </c>
      <c r="H405" s="111" t="s">
        <v>16</v>
      </c>
    </row>
    <row r="406" spans="1:8" ht="33" x14ac:dyDescent="0.2">
      <c r="A406" s="108">
        <v>2</v>
      </c>
      <c r="B406" s="108" t="s">
        <v>2882</v>
      </c>
      <c r="C406" s="110" t="s">
        <v>14</v>
      </c>
      <c r="D406" s="109">
        <v>1</v>
      </c>
      <c r="E406" s="109">
        <v>200</v>
      </c>
      <c r="F406" s="109">
        <v>200</v>
      </c>
      <c r="G406" s="108" t="s">
        <v>2881</v>
      </c>
      <c r="H406" s="111" t="s">
        <v>16</v>
      </c>
    </row>
    <row r="407" spans="1:8" ht="33" x14ac:dyDescent="0.2">
      <c r="A407" s="108">
        <v>3</v>
      </c>
      <c r="B407" s="108" t="s">
        <v>2880</v>
      </c>
      <c r="C407" s="110" t="s">
        <v>14</v>
      </c>
      <c r="D407" s="109">
        <v>1</v>
      </c>
      <c r="E407" s="109">
        <v>100</v>
      </c>
      <c r="F407" s="109">
        <v>100</v>
      </c>
      <c r="G407" s="108" t="s">
        <v>2879</v>
      </c>
      <c r="H407" s="111" t="s">
        <v>16</v>
      </c>
    </row>
    <row r="408" spans="1:8" ht="33" x14ac:dyDescent="0.2">
      <c r="A408" s="108">
        <v>4</v>
      </c>
      <c r="B408" s="108" t="s">
        <v>2878</v>
      </c>
      <c r="C408" s="110" t="s">
        <v>14</v>
      </c>
      <c r="D408" s="109">
        <v>1</v>
      </c>
      <c r="E408" s="109">
        <v>350</v>
      </c>
      <c r="F408" s="109">
        <v>350</v>
      </c>
      <c r="G408" s="108" t="s">
        <v>2877</v>
      </c>
      <c r="H408" s="111" t="s">
        <v>16</v>
      </c>
    </row>
    <row r="409" spans="1:8" ht="33" x14ac:dyDescent="0.2">
      <c r="A409" s="108">
        <v>5</v>
      </c>
      <c r="B409" s="108" t="s">
        <v>1527</v>
      </c>
      <c r="C409" s="110" t="s">
        <v>97</v>
      </c>
      <c r="D409" s="109">
        <v>1.6</v>
      </c>
      <c r="E409" s="109">
        <v>280</v>
      </c>
      <c r="F409" s="109">
        <v>448</v>
      </c>
      <c r="G409" s="108" t="s">
        <v>1535</v>
      </c>
      <c r="H409" s="111" t="s">
        <v>16</v>
      </c>
    </row>
    <row r="410" spans="1:8" ht="33" x14ac:dyDescent="0.2">
      <c r="A410" s="108">
        <v>6</v>
      </c>
      <c r="B410" s="108" t="s">
        <v>1518</v>
      </c>
      <c r="C410" s="110" t="s">
        <v>14</v>
      </c>
      <c r="D410" s="109">
        <v>1</v>
      </c>
      <c r="E410" s="109">
        <v>40.44</v>
      </c>
      <c r="F410" s="109">
        <v>40.44</v>
      </c>
      <c r="G410" s="108" t="s">
        <v>1517</v>
      </c>
      <c r="H410" s="111" t="s">
        <v>16</v>
      </c>
    </row>
    <row r="411" spans="1:8" ht="33" x14ac:dyDescent="0.2">
      <c r="A411" s="108"/>
      <c r="B411" s="108" t="s">
        <v>1516</v>
      </c>
      <c r="C411" s="110" t="s">
        <v>30</v>
      </c>
      <c r="D411" s="109">
        <v>10</v>
      </c>
      <c r="E411" s="109"/>
      <c r="F411" s="109">
        <v>1388.44</v>
      </c>
      <c r="G411" s="108"/>
      <c r="H411" s="111" t="s">
        <v>16</v>
      </c>
    </row>
    <row r="412" spans="1:8" ht="33" x14ac:dyDescent="0.2">
      <c r="A412" s="108"/>
      <c r="B412" s="108" t="s">
        <v>1515</v>
      </c>
      <c r="C412" s="110" t="s">
        <v>30</v>
      </c>
      <c r="D412" s="109"/>
      <c r="E412" s="109"/>
      <c r="F412" s="109">
        <v>138.84</v>
      </c>
      <c r="G412" s="108"/>
      <c r="H412" s="111" t="s">
        <v>16</v>
      </c>
    </row>
    <row r="413" spans="1:8" ht="16.5" x14ac:dyDescent="0.2">
      <c r="A413" s="108"/>
      <c r="B413" s="108"/>
      <c r="C413" s="110"/>
      <c r="D413" s="109"/>
      <c r="E413" s="109"/>
      <c r="F413" s="109"/>
      <c r="G413" s="108"/>
    </row>
    <row r="414" spans="1:8" ht="33" x14ac:dyDescent="0.2">
      <c r="A414" s="108" t="s">
        <v>2876</v>
      </c>
      <c r="B414" s="108" t="s">
        <v>192</v>
      </c>
      <c r="C414" s="110" t="s">
        <v>50</v>
      </c>
      <c r="D414" s="109">
        <v>1</v>
      </c>
      <c r="E414" s="109">
        <v>2145.42</v>
      </c>
      <c r="F414" s="109"/>
      <c r="G414" s="108" t="s">
        <v>2875</v>
      </c>
      <c r="H414" s="111" t="s">
        <v>16</v>
      </c>
    </row>
    <row r="415" spans="1:8" ht="42.75" x14ac:dyDescent="0.2">
      <c r="A415" s="108">
        <v>1</v>
      </c>
      <c r="B415" s="108" t="s">
        <v>2874</v>
      </c>
      <c r="C415" s="110" t="s">
        <v>50</v>
      </c>
      <c r="D415" s="109">
        <v>1</v>
      </c>
      <c r="E415" s="109">
        <v>235</v>
      </c>
      <c r="F415" s="109">
        <v>235</v>
      </c>
      <c r="G415" s="108" t="s">
        <v>2873</v>
      </c>
      <c r="H415" s="111" t="s">
        <v>16</v>
      </c>
    </row>
    <row r="416" spans="1:8" ht="33" x14ac:dyDescent="0.2">
      <c r="A416" s="108">
        <v>2</v>
      </c>
      <c r="B416" s="108" t="s">
        <v>1596</v>
      </c>
      <c r="C416" s="110" t="s">
        <v>23</v>
      </c>
      <c r="D416" s="109">
        <v>0.03</v>
      </c>
      <c r="E416" s="109">
        <v>3733.75</v>
      </c>
      <c r="F416" s="109">
        <v>112.01</v>
      </c>
      <c r="G416" s="108" t="s">
        <v>1595</v>
      </c>
      <c r="H416" s="111" t="s">
        <v>16</v>
      </c>
    </row>
    <row r="417" spans="1:8" ht="42.75" x14ac:dyDescent="0.2">
      <c r="A417" s="108">
        <v>3</v>
      </c>
      <c r="B417" s="108" t="s">
        <v>1749</v>
      </c>
      <c r="C417" s="110" t="s">
        <v>50</v>
      </c>
      <c r="D417" s="109">
        <v>1</v>
      </c>
      <c r="E417" s="109">
        <v>1604.92</v>
      </c>
      <c r="F417" s="109">
        <v>1604.92</v>
      </c>
      <c r="G417" s="108" t="s">
        <v>2872</v>
      </c>
      <c r="H417" s="111" t="s">
        <v>16</v>
      </c>
    </row>
    <row r="418" spans="1:8" ht="33" x14ac:dyDescent="0.2">
      <c r="A418" s="108">
        <v>4</v>
      </c>
      <c r="B418" s="108" t="s">
        <v>1610</v>
      </c>
      <c r="C418" s="110" t="s">
        <v>97</v>
      </c>
      <c r="D418" s="109">
        <v>0.2</v>
      </c>
      <c r="E418" s="109">
        <v>375</v>
      </c>
      <c r="F418" s="109">
        <v>75</v>
      </c>
      <c r="G418" s="108" t="s">
        <v>1609</v>
      </c>
      <c r="H418" s="111" t="s">
        <v>16</v>
      </c>
    </row>
    <row r="419" spans="1:8" ht="33" x14ac:dyDescent="0.2">
      <c r="A419" s="108">
        <v>5</v>
      </c>
      <c r="B419" s="108" t="s">
        <v>1527</v>
      </c>
      <c r="C419" s="110" t="s">
        <v>97</v>
      </c>
      <c r="D419" s="109">
        <v>0.2</v>
      </c>
      <c r="E419" s="109">
        <v>280</v>
      </c>
      <c r="F419" s="109">
        <v>56</v>
      </c>
      <c r="G419" s="108" t="s">
        <v>1535</v>
      </c>
      <c r="H419" s="111" t="s">
        <v>16</v>
      </c>
    </row>
    <row r="420" spans="1:8" ht="33" x14ac:dyDescent="0.2">
      <c r="A420" s="108">
        <v>6</v>
      </c>
      <c r="B420" s="108" t="s">
        <v>1518</v>
      </c>
      <c r="C420" s="110" t="s">
        <v>14</v>
      </c>
      <c r="D420" s="109">
        <v>1</v>
      </c>
      <c r="E420" s="109">
        <v>62.49</v>
      </c>
      <c r="F420" s="109">
        <v>62.49</v>
      </c>
      <c r="G420" s="108" t="s">
        <v>1517</v>
      </c>
      <c r="H420" s="111" t="s">
        <v>16</v>
      </c>
    </row>
    <row r="421" spans="1:8" ht="33" x14ac:dyDescent="0.2">
      <c r="A421" s="108"/>
      <c r="B421" s="108" t="s">
        <v>1516</v>
      </c>
      <c r="C421" s="110" t="s">
        <v>50</v>
      </c>
      <c r="D421" s="109">
        <v>1</v>
      </c>
      <c r="E421" s="109"/>
      <c r="F421" s="109">
        <v>2145.42</v>
      </c>
      <c r="G421" s="108"/>
      <c r="H421" s="111" t="s">
        <v>16</v>
      </c>
    </row>
    <row r="422" spans="1:8" ht="33" x14ac:dyDescent="0.2">
      <c r="A422" s="108"/>
      <c r="B422" s="108" t="s">
        <v>1515</v>
      </c>
      <c r="C422" s="110" t="s">
        <v>50</v>
      </c>
      <c r="D422" s="109"/>
      <c r="E422" s="109"/>
      <c r="F422" s="109">
        <v>2145.42</v>
      </c>
      <c r="G422" s="108"/>
      <c r="H422" s="111" t="s">
        <v>16</v>
      </c>
    </row>
    <row r="423" spans="1:8" ht="16.5" x14ac:dyDescent="0.2">
      <c r="A423" s="108"/>
      <c r="B423" s="108"/>
      <c r="C423" s="110"/>
      <c r="D423" s="109"/>
      <c r="E423" s="109"/>
      <c r="F423" s="109"/>
      <c r="G423" s="108"/>
    </row>
    <row r="424" spans="1:8" ht="33" x14ac:dyDescent="0.2">
      <c r="A424" s="108" t="s">
        <v>2871</v>
      </c>
      <c r="B424" s="108" t="s">
        <v>195</v>
      </c>
      <c r="C424" s="110" t="s">
        <v>30</v>
      </c>
      <c r="D424" s="109">
        <v>1</v>
      </c>
      <c r="E424" s="109">
        <v>511.4</v>
      </c>
      <c r="F424" s="109"/>
      <c r="G424" s="108" t="s">
        <v>2870</v>
      </c>
      <c r="H424" s="111" t="s">
        <v>16</v>
      </c>
    </row>
    <row r="425" spans="1:8" ht="33" x14ac:dyDescent="0.2">
      <c r="A425" s="108">
        <v>1</v>
      </c>
      <c r="B425" s="108" t="s">
        <v>1610</v>
      </c>
      <c r="C425" s="110" t="s">
        <v>97</v>
      </c>
      <c r="D425" s="109">
        <v>1.1000000000000001</v>
      </c>
      <c r="E425" s="109">
        <v>375</v>
      </c>
      <c r="F425" s="109">
        <v>412.5</v>
      </c>
      <c r="G425" s="108" t="s">
        <v>1609</v>
      </c>
      <c r="H425" s="111" t="s">
        <v>16</v>
      </c>
    </row>
    <row r="426" spans="1:8" ht="33" x14ac:dyDescent="0.2">
      <c r="A426" s="108">
        <v>2</v>
      </c>
      <c r="B426" s="108" t="s">
        <v>1527</v>
      </c>
      <c r="C426" s="110" t="s">
        <v>97</v>
      </c>
      <c r="D426" s="109">
        <v>0.3</v>
      </c>
      <c r="E426" s="109">
        <v>280</v>
      </c>
      <c r="F426" s="109">
        <v>84</v>
      </c>
      <c r="G426" s="108" t="s">
        <v>1535</v>
      </c>
      <c r="H426" s="111" t="s">
        <v>16</v>
      </c>
    </row>
    <row r="427" spans="1:8" ht="33" x14ac:dyDescent="0.2">
      <c r="A427" s="108">
        <v>3</v>
      </c>
      <c r="B427" s="108" t="s">
        <v>1518</v>
      </c>
      <c r="C427" s="110" t="s">
        <v>14</v>
      </c>
      <c r="D427" s="109">
        <v>1</v>
      </c>
      <c r="E427" s="109">
        <v>14.9</v>
      </c>
      <c r="F427" s="109">
        <v>14.9</v>
      </c>
      <c r="G427" s="108" t="s">
        <v>1517</v>
      </c>
      <c r="H427" s="111" t="s">
        <v>16</v>
      </c>
    </row>
    <row r="428" spans="1:8" ht="33" x14ac:dyDescent="0.2">
      <c r="A428" s="108"/>
      <c r="B428" s="108" t="s">
        <v>1516</v>
      </c>
      <c r="C428" s="110" t="s">
        <v>30</v>
      </c>
      <c r="D428" s="109">
        <v>1</v>
      </c>
      <c r="E428" s="109"/>
      <c r="F428" s="109">
        <v>511.4</v>
      </c>
      <c r="G428" s="108"/>
      <c r="H428" s="111" t="s">
        <v>16</v>
      </c>
    </row>
    <row r="429" spans="1:8" ht="33" x14ac:dyDescent="0.2">
      <c r="A429" s="108"/>
      <c r="B429" s="108" t="s">
        <v>1515</v>
      </c>
      <c r="C429" s="110" t="s">
        <v>30</v>
      </c>
      <c r="D429" s="109"/>
      <c r="E429" s="109"/>
      <c r="F429" s="109">
        <v>511.4</v>
      </c>
      <c r="G429" s="108"/>
      <c r="H429" s="111" t="s">
        <v>16</v>
      </c>
    </row>
    <row r="430" spans="1:8" ht="16.5" x14ac:dyDescent="0.2">
      <c r="A430" s="108"/>
      <c r="B430" s="108"/>
      <c r="C430" s="110"/>
      <c r="D430" s="109"/>
      <c r="E430" s="109"/>
      <c r="F430" s="109"/>
      <c r="G430" s="108"/>
    </row>
    <row r="431" spans="1:8" ht="33" x14ac:dyDescent="0.2">
      <c r="A431" s="108" t="s">
        <v>2869</v>
      </c>
      <c r="B431" s="108" t="s">
        <v>198</v>
      </c>
      <c r="C431" s="110" t="s">
        <v>30</v>
      </c>
      <c r="D431" s="109">
        <v>1</v>
      </c>
      <c r="E431" s="109">
        <v>578.86</v>
      </c>
      <c r="F431" s="109"/>
      <c r="G431" s="108" t="s">
        <v>2868</v>
      </c>
      <c r="H431" s="111" t="s">
        <v>16</v>
      </c>
    </row>
    <row r="432" spans="1:8" ht="33" x14ac:dyDescent="0.2">
      <c r="A432" s="108">
        <v>1</v>
      </c>
      <c r="B432" s="108" t="s">
        <v>1610</v>
      </c>
      <c r="C432" s="110" t="s">
        <v>97</v>
      </c>
      <c r="D432" s="109">
        <v>1.2</v>
      </c>
      <c r="E432" s="109">
        <v>375</v>
      </c>
      <c r="F432" s="109">
        <v>450</v>
      </c>
      <c r="G432" s="108" t="s">
        <v>1609</v>
      </c>
      <c r="H432" s="111" t="s">
        <v>16</v>
      </c>
    </row>
    <row r="433" spans="1:8" ht="33" x14ac:dyDescent="0.2">
      <c r="A433" s="108">
        <v>2</v>
      </c>
      <c r="B433" s="108" t="s">
        <v>1527</v>
      </c>
      <c r="C433" s="110" t="s">
        <v>97</v>
      </c>
      <c r="D433" s="109">
        <v>0.4</v>
      </c>
      <c r="E433" s="109">
        <v>280</v>
      </c>
      <c r="F433" s="109">
        <v>112</v>
      </c>
      <c r="G433" s="108" t="s">
        <v>1535</v>
      </c>
      <c r="H433" s="111" t="s">
        <v>16</v>
      </c>
    </row>
    <row r="434" spans="1:8" ht="33" x14ac:dyDescent="0.2">
      <c r="A434" s="108">
        <v>3</v>
      </c>
      <c r="B434" s="108" t="s">
        <v>1518</v>
      </c>
      <c r="C434" s="110" t="s">
        <v>14</v>
      </c>
      <c r="D434" s="109">
        <v>1</v>
      </c>
      <c r="E434" s="109">
        <v>16.86</v>
      </c>
      <c r="F434" s="109">
        <v>16.86</v>
      </c>
      <c r="G434" s="108" t="s">
        <v>1517</v>
      </c>
      <c r="H434" s="111" t="s">
        <v>16</v>
      </c>
    </row>
    <row r="435" spans="1:8" ht="33" x14ac:dyDescent="0.2">
      <c r="A435" s="108"/>
      <c r="B435" s="108" t="s">
        <v>1516</v>
      </c>
      <c r="C435" s="110" t="s">
        <v>30</v>
      </c>
      <c r="D435" s="109">
        <v>1</v>
      </c>
      <c r="E435" s="109"/>
      <c r="F435" s="109">
        <v>578.86</v>
      </c>
      <c r="G435" s="108"/>
      <c r="H435" s="111" t="s">
        <v>16</v>
      </c>
    </row>
    <row r="436" spans="1:8" ht="33" x14ac:dyDescent="0.2">
      <c r="A436" s="108"/>
      <c r="B436" s="108" t="s">
        <v>1515</v>
      </c>
      <c r="C436" s="110" t="s">
        <v>30</v>
      </c>
      <c r="D436" s="109"/>
      <c r="E436" s="109"/>
      <c r="F436" s="109">
        <v>578.86</v>
      </c>
      <c r="G436" s="108"/>
      <c r="H436" s="111" t="s">
        <v>16</v>
      </c>
    </row>
    <row r="437" spans="1:8" ht="16.5" x14ac:dyDescent="0.2">
      <c r="A437" s="108"/>
      <c r="B437" s="108"/>
      <c r="C437" s="110"/>
      <c r="D437" s="109"/>
      <c r="E437" s="109"/>
      <c r="F437" s="109"/>
      <c r="G437" s="108"/>
    </row>
    <row r="438" spans="1:8" ht="33" x14ac:dyDescent="0.2">
      <c r="A438" s="108" t="s">
        <v>2867</v>
      </c>
      <c r="B438" s="108" t="s">
        <v>201</v>
      </c>
      <c r="C438" s="110" t="s">
        <v>30</v>
      </c>
      <c r="D438" s="109">
        <v>1</v>
      </c>
      <c r="E438" s="109">
        <v>723.06</v>
      </c>
      <c r="F438" s="109"/>
      <c r="G438" s="108" t="s">
        <v>2866</v>
      </c>
      <c r="H438" s="111" t="s">
        <v>16</v>
      </c>
    </row>
    <row r="439" spans="1:8" ht="33" x14ac:dyDescent="0.2">
      <c r="A439" s="108">
        <v>1</v>
      </c>
      <c r="B439" s="108" t="s">
        <v>420</v>
      </c>
      <c r="C439" s="110" t="s">
        <v>50</v>
      </c>
      <c r="D439" s="109">
        <v>0.1</v>
      </c>
      <c r="E439" s="109">
        <v>1400</v>
      </c>
      <c r="F439" s="109">
        <v>140</v>
      </c>
      <c r="G439" s="108" t="s">
        <v>421</v>
      </c>
      <c r="H439" s="111" t="s">
        <v>16</v>
      </c>
    </row>
    <row r="440" spans="1:8" ht="33" x14ac:dyDescent="0.2">
      <c r="A440" s="108">
        <v>2</v>
      </c>
      <c r="B440" s="108" t="s">
        <v>1610</v>
      </c>
      <c r="C440" s="110" t="s">
        <v>97</v>
      </c>
      <c r="D440" s="109">
        <v>1.2</v>
      </c>
      <c r="E440" s="109">
        <v>375</v>
      </c>
      <c r="F440" s="109">
        <v>450</v>
      </c>
      <c r="G440" s="108" t="s">
        <v>1609</v>
      </c>
      <c r="H440" s="111" t="s">
        <v>16</v>
      </c>
    </row>
    <row r="441" spans="1:8" ht="33" x14ac:dyDescent="0.2">
      <c r="A441" s="108">
        <v>3</v>
      </c>
      <c r="B441" s="108" t="s">
        <v>1527</v>
      </c>
      <c r="C441" s="110" t="s">
        <v>97</v>
      </c>
      <c r="D441" s="109">
        <v>0.4</v>
      </c>
      <c r="E441" s="109">
        <v>280</v>
      </c>
      <c r="F441" s="109">
        <v>112</v>
      </c>
      <c r="G441" s="108" t="s">
        <v>1535</v>
      </c>
      <c r="H441" s="111" t="s">
        <v>16</v>
      </c>
    </row>
    <row r="442" spans="1:8" ht="33" x14ac:dyDescent="0.2">
      <c r="A442" s="108">
        <v>4</v>
      </c>
      <c r="B442" s="108" t="s">
        <v>1518</v>
      </c>
      <c r="C442" s="110" t="s">
        <v>14</v>
      </c>
      <c r="D442" s="109">
        <v>1</v>
      </c>
      <c r="E442" s="109">
        <v>21.06</v>
      </c>
      <c r="F442" s="109">
        <v>21.06</v>
      </c>
      <c r="G442" s="108" t="s">
        <v>1517</v>
      </c>
      <c r="H442" s="111" t="s">
        <v>16</v>
      </c>
    </row>
    <row r="443" spans="1:8" ht="33" x14ac:dyDescent="0.2">
      <c r="A443" s="108"/>
      <c r="B443" s="108" t="s">
        <v>1516</v>
      </c>
      <c r="C443" s="110" t="s">
        <v>30</v>
      </c>
      <c r="D443" s="109">
        <v>1</v>
      </c>
      <c r="E443" s="109"/>
      <c r="F443" s="109">
        <v>723.06</v>
      </c>
      <c r="G443" s="108"/>
      <c r="H443" s="111" t="s">
        <v>16</v>
      </c>
    </row>
    <row r="444" spans="1:8" ht="33" x14ac:dyDescent="0.2">
      <c r="A444" s="108"/>
      <c r="B444" s="108" t="s">
        <v>1515</v>
      </c>
      <c r="C444" s="110" t="s">
        <v>30</v>
      </c>
      <c r="D444" s="109"/>
      <c r="E444" s="109"/>
      <c r="F444" s="109">
        <v>723.06</v>
      </c>
      <c r="G444" s="108"/>
      <c r="H444" s="111" t="s">
        <v>16</v>
      </c>
    </row>
    <row r="445" spans="1:8" ht="16.5" x14ac:dyDescent="0.2">
      <c r="A445" s="108"/>
      <c r="B445" s="108"/>
      <c r="C445" s="110"/>
      <c r="D445" s="109"/>
      <c r="E445" s="109"/>
      <c r="F445" s="109"/>
      <c r="G445" s="108"/>
    </row>
    <row r="446" spans="1:8" ht="33" x14ac:dyDescent="0.2">
      <c r="A446" s="108" t="s">
        <v>2865</v>
      </c>
      <c r="B446" s="108" t="s">
        <v>204</v>
      </c>
      <c r="C446" s="110" t="s">
        <v>30</v>
      </c>
      <c r="D446" s="109">
        <v>1</v>
      </c>
      <c r="E446" s="109">
        <v>829.15</v>
      </c>
      <c r="F446" s="109"/>
      <c r="G446" s="108" t="s">
        <v>2864</v>
      </c>
      <c r="H446" s="111" t="s">
        <v>16</v>
      </c>
    </row>
    <row r="447" spans="1:8" ht="33" x14ac:dyDescent="0.2">
      <c r="A447" s="108">
        <v>1</v>
      </c>
      <c r="B447" s="108" t="s">
        <v>420</v>
      </c>
      <c r="C447" s="110" t="s">
        <v>50</v>
      </c>
      <c r="D447" s="109">
        <v>0.1</v>
      </c>
      <c r="E447" s="109">
        <v>1400</v>
      </c>
      <c r="F447" s="109">
        <v>140</v>
      </c>
      <c r="G447" s="108" t="s">
        <v>421</v>
      </c>
      <c r="H447" s="111" t="s">
        <v>16</v>
      </c>
    </row>
    <row r="448" spans="1:8" ht="33" x14ac:dyDescent="0.2">
      <c r="A448" s="108">
        <v>2</v>
      </c>
      <c r="B448" s="108" t="s">
        <v>1610</v>
      </c>
      <c r="C448" s="110" t="s">
        <v>97</v>
      </c>
      <c r="D448" s="109">
        <v>1.4</v>
      </c>
      <c r="E448" s="109">
        <v>375</v>
      </c>
      <c r="F448" s="109">
        <v>525</v>
      </c>
      <c r="G448" s="108" t="s">
        <v>1609</v>
      </c>
      <c r="H448" s="111" t="s">
        <v>16</v>
      </c>
    </row>
    <row r="449" spans="1:8" ht="33" x14ac:dyDescent="0.2">
      <c r="A449" s="108">
        <v>3</v>
      </c>
      <c r="B449" s="108" t="s">
        <v>1527</v>
      </c>
      <c r="C449" s="110" t="s">
        <v>97</v>
      </c>
      <c r="D449" s="109">
        <v>0.5</v>
      </c>
      <c r="E449" s="109">
        <v>280</v>
      </c>
      <c r="F449" s="109">
        <v>140</v>
      </c>
      <c r="G449" s="108" t="s">
        <v>1535</v>
      </c>
      <c r="H449" s="111" t="s">
        <v>16</v>
      </c>
    </row>
    <row r="450" spans="1:8" ht="33" x14ac:dyDescent="0.2">
      <c r="A450" s="108">
        <v>4</v>
      </c>
      <c r="B450" s="108" t="s">
        <v>1518</v>
      </c>
      <c r="C450" s="110" t="s">
        <v>14</v>
      </c>
      <c r="D450" s="109">
        <v>1</v>
      </c>
      <c r="E450" s="109">
        <v>24.15</v>
      </c>
      <c r="F450" s="109">
        <v>24.15</v>
      </c>
      <c r="G450" s="108" t="s">
        <v>1517</v>
      </c>
      <c r="H450" s="111" t="s">
        <v>16</v>
      </c>
    </row>
    <row r="451" spans="1:8" ht="33" x14ac:dyDescent="0.2">
      <c r="A451" s="108"/>
      <c r="B451" s="108" t="s">
        <v>1516</v>
      </c>
      <c r="C451" s="110" t="s">
        <v>30</v>
      </c>
      <c r="D451" s="109">
        <v>1</v>
      </c>
      <c r="E451" s="109"/>
      <c r="F451" s="109">
        <v>829.15</v>
      </c>
      <c r="G451" s="108"/>
      <c r="H451" s="111" t="s">
        <v>16</v>
      </c>
    </row>
    <row r="452" spans="1:8" ht="33" x14ac:dyDescent="0.2">
      <c r="A452" s="108"/>
      <c r="B452" s="108" t="s">
        <v>1515</v>
      </c>
      <c r="C452" s="110" t="s">
        <v>30</v>
      </c>
      <c r="D452" s="109"/>
      <c r="E452" s="109"/>
      <c r="F452" s="109">
        <v>829.15</v>
      </c>
      <c r="G452" s="108"/>
      <c r="H452" s="111" t="s">
        <v>16</v>
      </c>
    </row>
    <row r="453" spans="1:8" ht="16.5" x14ac:dyDescent="0.2">
      <c r="A453" s="108"/>
      <c r="B453" s="108"/>
      <c r="C453" s="110"/>
      <c r="D453" s="109"/>
      <c r="E453" s="109"/>
      <c r="F453" s="109"/>
      <c r="G453" s="108"/>
    </row>
    <row r="454" spans="1:8" ht="33" x14ac:dyDescent="0.2">
      <c r="A454" s="108" t="s">
        <v>2863</v>
      </c>
      <c r="B454" s="108" t="s">
        <v>207</v>
      </c>
      <c r="C454" s="110" t="s">
        <v>30</v>
      </c>
      <c r="D454" s="109">
        <v>1</v>
      </c>
      <c r="E454" s="109">
        <v>443.93</v>
      </c>
      <c r="F454" s="109"/>
      <c r="G454" s="108" t="s">
        <v>2862</v>
      </c>
      <c r="H454" s="111" t="s">
        <v>16</v>
      </c>
    </row>
    <row r="455" spans="1:8" ht="33" x14ac:dyDescent="0.2">
      <c r="A455" s="108">
        <v>1</v>
      </c>
      <c r="B455" s="108" t="s">
        <v>1610</v>
      </c>
      <c r="C455" s="110" t="s">
        <v>97</v>
      </c>
      <c r="D455" s="109">
        <v>1</v>
      </c>
      <c r="E455" s="109">
        <v>375</v>
      </c>
      <c r="F455" s="109">
        <v>375</v>
      </c>
      <c r="G455" s="108" t="s">
        <v>1609</v>
      </c>
      <c r="H455" s="111" t="s">
        <v>16</v>
      </c>
    </row>
    <row r="456" spans="1:8" ht="33" x14ac:dyDescent="0.2">
      <c r="A456" s="108">
        <v>2</v>
      </c>
      <c r="B456" s="108" t="s">
        <v>1527</v>
      </c>
      <c r="C456" s="110" t="s">
        <v>97</v>
      </c>
      <c r="D456" s="109">
        <v>0.2</v>
      </c>
      <c r="E456" s="109">
        <v>280</v>
      </c>
      <c r="F456" s="109">
        <v>56</v>
      </c>
      <c r="G456" s="108" t="s">
        <v>1535</v>
      </c>
      <c r="H456" s="111" t="s">
        <v>16</v>
      </c>
    </row>
    <row r="457" spans="1:8" ht="33" x14ac:dyDescent="0.2">
      <c r="A457" s="108">
        <v>3</v>
      </c>
      <c r="B457" s="108" t="s">
        <v>1518</v>
      </c>
      <c r="C457" s="110" t="s">
        <v>14</v>
      </c>
      <c r="D457" s="109">
        <v>1</v>
      </c>
      <c r="E457" s="109">
        <v>12.93</v>
      </c>
      <c r="F457" s="109">
        <v>12.93</v>
      </c>
      <c r="G457" s="108" t="s">
        <v>1517</v>
      </c>
      <c r="H457" s="111" t="s">
        <v>16</v>
      </c>
    </row>
    <row r="458" spans="1:8" ht="33" x14ac:dyDescent="0.2">
      <c r="A458" s="108"/>
      <c r="B458" s="108" t="s">
        <v>1516</v>
      </c>
      <c r="C458" s="110" t="s">
        <v>30</v>
      </c>
      <c r="D458" s="109">
        <v>1</v>
      </c>
      <c r="E458" s="109"/>
      <c r="F458" s="109">
        <v>443.93</v>
      </c>
      <c r="G458" s="108"/>
      <c r="H458" s="111" t="s">
        <v>16</v>
      </c>
    </row>
    <row r="459" spans="1:8" ht="33" x14ac:dyDescent="0.2">
      <c r="A459" s="108"/>
      <c r="B459" s="108" t="s">
        <v>1515</v>
      </c>
      <c r="C459" s="110" t="s">
        <v>30</v>
      </c>
      <c r="D459" s="109"/>
      <c r="E459" s="109"/>
      <c r="F459" s="109">
        <v>443.93</v>
      </c>
      <c r="G459" s="108"/>
      <c r="H459" s="111" t="s">
        <v>16</v>
      </c>
    </row>
    <row r="460" spans="1:8" ht="16.5" x14ac:dyDescent="0.2">
      <c r="A460" s="108"/>
      <c r="B460" s="108"/>
      <c r="C460" s="110"/>
      <c r="D460" s="109"/>
      <c r="E460" s="109"/>
      <c r="F460" s="109"/>
      <c r="G460" s="108"/>
    </row>
    <row r="461" spans="1:8" ht="33" x14ac:dyDescent="0.2">
      <c r="A461" s="108" t="s">
        <v>2861</v>
      </c>
      <c r="B461" s="108" t="s">
        <v>210</v>
      </c>
      <c r="C461" s="110" t="s">
        <v>30</v>
      </c>
      <c r="D461" s="109">
        <v>1</v>
      </c>
      <c r="E461" s="109">
        <v>578.86</v>
      </c>
      <c r="F461" s="109"/>
      <c r="G461" s="108" t="s">
        <v>2860</v>
      </c>
      <c r="H461" s="111" t="s">
        <v>16</v>
      </c>
    </row>
    <row r="462" spans="1:8" ht="33" x14ac:dyDescent="0.2">
      <c r="A462" s="108">
        <v>1</v>
      </c>
      <c r="B462" s="108" t="s">
        <v>1610</v>
      </c>
      <c r="C462" s="110" t="s">
        <v>97</v>
      </c>
      <c r="D462" s="109">
        <v>1.2</v>
      </c>
      <c r="E462" s="109">
        <v>375</v>
      </c>
      <c r="F462" s="109">
        <v>450</v>
      </c>
      <c r="G462" s="108" t="s">
        <v>1609</v>
      </c>
      <c r="H462" s="111" t="s">
        <v>16</v>
      </c>
    </row>
    <row r="463" spans="1:8" ht="33" x14ac:dyDescent="0.2">
      <c r="A463" s="108">
        <v>2</v>
      </c>
      <c r="B463" s="108" t="s">
        <v>1527</v>
      </c>
      <c r="C463" s="110" t="s">
        <v>97</v>
      </c>
      <c r="D463" s="109">
        <v>0.4</v>
      </c>
      <c r="E463" s="109">
        <v>280</v>
      </c>
      <c r="F463" s="109">
        <v>112</v>
      </c>
      <c r="G463" s="108" t="s">
        <v>1535</v>
      </c>
      <c r="H463" s="111" t="s">
        <v>16</v>
      </c>
    </row>
    <row r="464" spans="1:8" ht="33" x14ac:dyDescent="0.2">
      <c r="A464" s="108">
        <v>3</v>
      </c>
      <c r="B464" s="108" t="s">
        <v>1518</v>
      </c>
      <c r="C464" s="110" t="s">
        <v>14</v>
      </c>
      <c r="D464" s="109">
        <v>1</v>
      </c>
      <c r="E464" s="109">
        <v>16.86</v>
      </c>
      <c r="F464" s="109">
        <v>16.86</v>
      </c>
      <c r="G464" s="108" t="s">
        <v>1517</v>
      </c>
      <c r="H464" s="111" t="s">
        <v>16</v>
      </c>
    </row>
    <row r="465" spans="1:8" ht="33" x14ac:dyDescent="0.2">
      <c r="A465" s="108"/>
      <c r="B465" s="108" t="s">
        <v>1516</v>
      </c>
      <c r="C465" s="110" t="s">
        <v>30</v>
      </c>
      <c r="D465" s="109">
        <v>1</v>
      </c>
      <c r="E465" s="109"/>
      <c r="F465" s="109">
        <v>578.86</v>
      </c>
      <c r="G465" s="108"/>
      <c r="H465" s="111" t="s">
        <v>16</v>
      </c>
    </row>
    <row r="466" spans="1:8" ht="33" x14ac:dyDescent="0.2">
      <c r="A466" s="108"/>
      <c r="B466" s="108" t="s">
        <v>1515</v>
      </c>
      <c r="C466" s="110" t="s">
        <v>30</v>
      </c>
      <c r="D466" s="109"/>
      <c r="E466" s="109"/>
      <c r="F466" s="109">
        <v>578.86</v>
      </c>
      <c r="G466" s="108"/>
      <c r="H466" s="111" t="s">
        <v>16</v>
      </c>
    </row>
    <row r="467" spans="1:8" ht="16.5" x14ac:dyDescent="0.2">
      <c r="A467" s="108"/>
      <c r="B467" s="108"/>
      <c r="C467" s="110"/>
      <c r="D467" s="109"/>
      <c r="E467" s="109"/>
      <c r="F467" s="109"/>
      <c r="G467" s="108"/>
    </row>
    <row r="468" spans="1:8" ht="33" x14ac:dyDescent="0.2">
      <c r="A468" s="108" t="s">
        <v>2859</v>
      </c>
      <c r="B468" s="108" t="s">
        <v>213</v>
      </c>
      <c r="C468" s="110" t="s">
        <v>81</v>
      </c>
      <c r="D468" s="109">
        <v>1</v>
      </c>
      <c r="E468" s="109">
        <v>17307.09</v>
      </c>
      <c r="F468" s="109"/>
      <c r="G468" s="108" t="s">
        <v>2858</v>
      </c>
      <c r="H468" s="111" t="s">
        <v>16</v>
      </c>
    </row>
    <row r="469" spans="1:8" ht="33" x14ac:dyDescent="0.2">
      <c r="A469" s="108">
        <v>1</v>
      </c>
      <c r="B469" s="108" t="s">
        <v>420</v>
      </c>
      <c r="C469" s="110" t="s">
        <v>50</v>
      </c>
      <c r="D469" s="109">
        <v>0.27</v>
      </c>
      <c r="E469" s="109">
        <v>1400</v>
      </c>
      <c r="F469" s="109">
        <v>378</v>
      </c>
      <c r="G469" s="108" t="s">
        <v>421</v>
      </c>
      <c r="H469" s="111" t="s">
        <v>16</v>
      </c>
    </row>
    <row r="470" spans="1:8" ht="33" x14ac:dyDescent="0.2">
      <c r="A470" s="108">
        <v>2</v>
      </c>
      <c r="B470" s="108" t="s">
        <v>2742</v>
      </c>
      <c r="C470" s="110" t="s">
        <v>2735</v>
      </c>
      <c r="D470" s="109">
        <v>17</v>
      </c>
      <c r="E470" s="109">
        <v>250</v>
      </c>
      <c r="F470" s="109">
        <v>4250</v>
      </c>
      <c r="G470" s="108" t="s">
        <v>2741</v>
      </c>
      <c r="H470" s="111" t="s">
        <v>16</v>
      </c>
    </row>
    <row r="471" spans="1:8" ht="33" x14ac:dyDescent="0.2">
      <c r="A471" s="108">
        <v>3</v>
      </c>
      <c r="B471" s="108" t="s">
        <v>2740</v>
      </c>
      <c r="C471" s="110" t="s">
        <v>1522</v>
      </c>
      <c r="D471" s="109">
        <v>0.66</v>
      </c>
      <c r="E471" s="109">
        <v>2000</v>
      </c>
      <c r="F471" s="109">
        <v>1320</v>
      </c>
      <c r="G471" s="108" t="s">
        <v>2739</v>
      </c>
      <c r="H471" s="111" t="s">
        <v>16</v>
      </c>
    </row>
    <row r="472" spans="1:8" ht="33" x14ac:dyDescent="0.2">
      <c r="A472" s="108">
        <v>4</v>
      </c>
      <c r="B472" s="108" t="s">
        <v>2738</v>
      </c>
      <c r="C472" s="110" t="s">
        <v>2735</v>
      </c>
      <c r="D472" s="109">
        <v>17</v>
      </c>
      <c r="E472" s="109">
        <v>20</v>
      </c>
      <c r="F472" s="109">
        <v>340</v>
      </c>
      <c r="G472" s="108" t="s">
        <v>2737</v>
      </c>
      <c r="H472" s="111" t="s">
        <v>16</v>
      </c>
    </row>
    <row r="473" spans="1:8" ht="33" x14ac:dyDescent="0.2">
      <c r="A473" s="108">
        <v>5</v>
      </c>
      <c r="B473" s="108" t="s">
        <v>2736</v>
      </c>
      <c r="C473" s="110" t="s">
        <v>2735</v>
      </c>
      <c r="D473" s="109">
        <v>17</v>
      </c>
      <c r="E473" s="109">
        <v>10</v>
      </c>
      <c r="F473" s="109">
        <v>170</v>
      </c>
      <c r="G473" s="108" t="s">
        <v>2734</v>
      </c>
      <c r="H473" s="111" t="s">
        <v>16</v>
      </c>
    </row>
    <row r="474" spans="1:8" ht="33" x14ac:dyDescent="0.2">
      <c r="A474" s="108">
        <v>6</v>
      </c>
      <c r="B474" s="108" t="s">
        <v>2733</v>
      </c>
      <c r="C474" s="110" t="s">
        <v>1522</v>
      </c>
      <c r="D474" s="109">
        <v>0.11</v>
      </c>
      <c r="E474" s="109">
        <v>1500</v>
      </c>
      <c r="F474" s="109">
        <v>165</v>
      </c>
      <c r="G474" s="108" t="s">
        <v>2732</v>
      </c>
      <c r="H474" s="111" t="s">
        <v>16</v>
      </c>
    </row>
    <row r="475" spans="1:8" ht="33" x14ac:dyDescent="0.2">
      <c r="A475" s="108">
        <v>7</v>
      </c>
      <c r="B475" s="108" t="s">
        <v>2731</v>
      </c>
      <c r="C475" s="110" t="s">
        <v>97</v>
      </c>
      <c r="D475" s="109">
        <v>5.28</v>
      </c>
      <c r="E475" s="109">
        <v>375</v>
      </c>
      <c r="F475" s="109">
        <v>1980</v>
      </c>
      <c r="G475" s="108" t="s">
        <v>2730</v>
      </c>
      <c r="H475" s="111" t="s">
        <v>16</v>
      </c>
    </row>
    <row r="476" spans="1:8" ht="33" x14ac:dyDescent="0.2">
      <c r="A476" s="108">
        <v>8</v>
      </c>
      <c r="B476" s="108" t="s">
        <v>2729</v>
      </c>
      <c r="C476" s="110" t="s">
        <v>14</v>
      </c>
      <c r="D476" s="109">
        <v>1</v>
      </c>
      <c r="E476" s="109">
        <v>1500</v>
      </c>
      <c r="F476" s="109">
        <v>1500</v>
      </c>
      <c r="G476" s="108" t="s">
        <v>2728</v>
      </c>
      <c r="H476" s="111" t="s">
        <v>16</v>
      </c>
    </row>
    <row r="477" spans="1:8" ht="33" x14ac:dyDescent="0.2">
      <c r="A477" s="108">
        <v>9</v>
      </c>
      <c r="B477" s="108" t="s">
        <v>2785</v>
      </c>
      <c r="C477" s="110" t="s">
        <v>559</v>
      </c>
      <c r="D477" s="109">
        <v>16</v>
      </c>
      <c r="E477" s="109">
        <v>50</v>
      </c>
      <c r="F477" s="109">
        <v>800</v>
      </c>
      <c r="G477" s="108" t="s">
        <v>2784</v>
      </c>
      <c r="H477" s="111" t="s">
        <v>16</v>
      </c>
    </row>
    <row r="478" spans="1:8" ht="33" x14ac:dyDescent="0.2">
      <c r="A478" s="108">
        <v>10</v>
      </c>
      <c r="B478" s="108" t="s">
        <v>1610</v>
      </c>
      <c r="C478" s="110" t="s">
        <v>97</v>
      </c>
      <c r="D478" s="109">
        <v>9.76</v>
      </c>
      <c r="E478" s="109">
        <v>375</v>
      </c>
      <c r="F478" s="109">
        <v>3660</v>
      </c>
      <c r="G478" s="108" t="s">
        <v>1609</v>
      </c>
      <c r="H478" s="111" t="s">
        <v>16</v>
      </c>
    </row>
    <row r="479" spans="1:8" ht="33" x14ac:dyDescent="0.2">
      <c r="A479" s="108">
        <v>11</v>
      </c>
      <c r="B479" s="108" t="s">
        <v>1527</v>
      </c>
      <c r="C479" s="110" t="s">
        <v>97</v>
      </c>
      <c r="D479" s="109">
        <v>8</v>
      </c>
      <c r="E479" s="109">
        <v>280</v>
      </c>
      <c r="F479" s="109">
        <v>2240</v>
      </c>
      <c r="G479" s="108" t="s">
        <v>1535</v>
      </c>
      <c r="H479" s="111" t="s">
        <v>16</v>
      </c>
    </row>
    <row r="480" spans="1:8" ht="33" x14ac:dyDescent="0.2">
      <c r="A480" s="108">
        <v>12</v>
      </c>
      <c r="B480" s="108" t="s">
        <v>1518</v>
      </c>
      <c r="C480" s="110" t="s">
        <v>14</v>
      </c>
      <c r="D480" s="109">
        <v>1</v>
      </c>
      <c r="E480" s="109">
        <v>504.09</v>
      </c>
      <c r="F480" s="109">
        <v>504.09</v>
      </c>
      <c r="G480" s="108" t="s">
        <v>1517</v>
      </c>
      <c r="H480" s="111" t="s">
        <v>16</v>
      </c>
    </row>
    <row r="481" spans="1:8" ht="33" x14ac:dyDescent="0.2">
      <c r="A481" s="108"/>
      <c r="B481" s="108" t="s">
        <v>1516</v>
      </c>
      <c r="C481" s="110" t="s">
        <v>81</v>
      </c>
      <c r="D481" s="109">
        <v>1</v>
      </c>
      <c r="E481" s="109"/>
      <c r="F481" s="109">
        <v>17307.09</v>
      </c>
      <c r="G481" s="108"/>
      <c r="H481" s="111" t="s">
        <v>16</v>
      </c>
    </row>
    <row r="482" spans="1:8" ht="33" x14ac:dyDescent="0.2">
      <c r="A482" s="108"/>
      <c r="B482" s="108" t="s">
        <v>1515</v>
      </c>
      <c r="C482" s="110" t="s">
        <v>81</v>
      </c>
      <c r="D482" s="109"/>
      <c r="E482" s="109"/>
      <c r="F482" s="109">
        <v>17307.09</v>
      </c>
      <c r="G482" s="108"/>
      <c r="H482" s="111" t="s">
        <v>16</v>
      </c>
    </row>
    <row r="483" spans="1:8" ht="16.5" x14ac:dyDescent="0.2">
      <c r="A483" s="108"/>
      <c r="B483" s="108"/>
      <c r="C483" s="110"/>
      <c r="D483" s="109"/>
      <c r="E483" s="109"/>
      <c r="F483" s="109"/>
      <c r="G483" s="108"/>
    </row>
    <row r="484" spans="1:8" ht="33" x14ac:dyDescent="0.2">
      <c r="A484" s="108" t="s">
        <v>2857</v>
      </c>
      <c r="B484" s="108" t="s">
        <v>216</v>
      </c>
      <c r="C484" s="110" t="s">
        <v>30</v>
      </c>
      <c r="D484" s="109">
        <v>1</v>
      </c>
      <c r="E484" s="109">
        <v>443.93</v>
      </c>
      <c r="F484" s="109"/>
      <c r="G484" s="108" t="s">
        <v>2856</v>
      </c>
      <c r="H484" s="111" t="s">
        <v>16</v>
      </c>
    </row>
    <row r="485" spans="1:8" ht="33" x14ac:dyDescent="0.2">
      <c r="A485" s="108">
        <v>1</v>
      </c>
      <c r="B485" s="108" t="s">
        <v>1610</v>
      </c>
      <c r="C485" s="110" t="s">
        <v>97</v>
      </c>
      <c r="D485" s="109">
        <v>1</v>
      </c>
      <c r="E485" s="109">
        <v>375</v>
      </c>
      <c r="F485" s="109">
        <v>375</v>
      </c>
      <c r="G485" s="108" t="s">
        <v>1609</v>
      </c>
      <c r="H485" s="111" t="s">
        <v>16</v>
      </c>
    </row>
    <row r="486" spans="1:8" ht="33" x14ac:dyDescent="0.2">
      <c r="A486" s="108">
        <v>2</v>
      </c>
      <c r="B486" s="108" t="s">
        <v>1527</v>
      </c>
      <c r="C486" s="110" t="s">
        <v>97</v>
      </c>
      <c r="D486" s="109">
        <v>0.2</v>
      </c>
      <c r="E486" s="109">
        <v>280</v>
      </c>
      <c r="F486" s="109">
        <v>56</v>
      </c>
      <c r="G486" s="108" t="s">
        <v>1535</v>
      </c>
      <c r="H486" s="111" t="s">
        <v>16</v>
      </c>
    </row>
    <row r="487" spans="1:8" ht="33" x14ac:dyDescent="0.2">
      <c r="A487" s="108">
        <v>3</v>
      </c>
      <c r="B487" s="108" t="s">
        <v>1518</v>
      </c>
      <c r="C487" s="110" t="s">
        <v>14</v>
      </c>
      <c r="D487" s="109">
        <v>1</v>
      </c>
      <c r="E487" s="109">
        <v>12.93</v>
      </c>
      <c r="F487" s="109">
        <v>12.93</v>
      </c>
      <c r="G487" s="108" t="s">
        <v>1517</v>
      </c>
      <c r="H487" s="111" t="s">
        <v>16</v>
      </c>
    </row>
    <row r="488" spans="1:8" ht="33" x14ac:dyDescent="0.2">
      <c r="A488" s="108"/>
      <c r="B488" s="108" t="s">
        <v>1516</v>
      </c>
      <c r="C488" s="110" t="s">
        <v>30</v>
      </c>
      <c r="D488" s="109">
        <v>1</v>
      </c>
      <c r="E488" s="109"/>
      <c r="F488" s="109">
        <v>443.93</v>
      </c>
      <c r="G488" s="108"/>
      <c r="H488" s="111" t="s">
        <v>16</v>
      </c>
    </row>
    <row r="489" spans="1:8" ht="33" x14ac:dyDescent="0.2">
      <c r="A489" s="108"/>
      <c r="B489" s="108" t="s">
        <v>1515</v>
      </c>
      <c r="C489" s="110" t="s">
        <v>30</v>
      </c>
      <c r="D489" s="109"/>
      <c r="E489" s="109"/>
      <c r="F489" s="109">
        <v>443.93</v>
      </c>
      <c r="G489" s="108"/>
      <c r="H489" s="111" t="s">
        <v>16</v>
      </c>
    </row>
    <row r="490" spans="1:8" ht="16.5" x14ac:dyDescent="0.2">
      <c r="A490" s="108"/>
      <c r="B490" s="108"/>
      <c r="C490" s="110"/>
      <c r="D490" s="109"/>
      <c r="E490" s="109"/>
      <c r="F490" s="109"/>
      <c r="G490" s="108"/>
    </row>
    <row r="491" spans="1:8" ht="33" x14ac:dyDescent="0.2">
      <c r="A491" s="108" t="s">
        <v>2855</v>
      </c>
      <c r="B491" s="108" t="s">
        <v>219</v>
      </c>
      <c r="C491" s="110" t="s">
        <v>81</v>
      </c>
      <c r="D491" s="109">
        <v>1</v>
      </c>
      <c r="E491" s="109">
        <v>13705.7</v>
      </c>
      <c r="F491" s="109"/>
      <c r="G491" s="108" t="s">
        <v>2854</v>
      </c>
      <c r="H491" s="111" t="s">
        <v>16</v>
      </c>
    </row>
    <row r="492" spans="1:8" ht="33" x14ac:dyDescent="0.2">
      <c r="A492" s="108">
        <v>1</v>
      </c>
      <c r="B492" s="108" t="s">
        <v>420</v>
      </c>
      <c r="C492" s="110" t="s">
        <v>50</v>
      </c>
      <c r="D492" s="109">
        <v>2.39</v>
      </c>
      <c r="E492" s="109">
        <v>1400</v>
      </c>
      <c r="F492" s="109">
        <v>3346</v>
      </c>
      <c r="G492" s="108" t="s">
        <v>421</v>
      </c>
      <c r="H492" s="111" t="s">
        <v>16</v>
      </c>
    </row>
    <row r="493" spans="1:8" ht="33" x14ac:dyDescent="0.2">
      <c r="A493" s="108">
        <v>2</v>
      </c>
      <c r="B493" s="108" t="s">
        <v>2742</v>
      </c>
      <c r="C493" s="110" t="s">
        <v>2735</v>
      </c>
      <c r="D493" s="109">
        <v>8.1</v>
      </c>
      <c r="E493" s="109">
        <v>250</v>
      </c>
      <c r="F493" s="109">
        <v>2025</v>
      </c>
      <c r="G493" s="108" t="s">
        <v>2741</v>
      </c>
      <c r="H493" s="111" t="s">
        <v>16</v>
      </c>
    </row>
    <row r="494" spans="1:8" ht="33" x14ac:dyDescent="0.2">
      <c r="A494" s="108">
        <v>3</v>
      </c>
      <c r="B494" s="108" t="s">
        <v>2740</v>
      </c>
      <c r="C494" s="110" t="s">
        <v>1522</v>
      </c>
      <c r="D494" s="109">
        <v>0.32</v>
      </c>
      <c r="E494" s="109">
        <v>2000</v>
      </c>
      <c r="F494" s="109">
        <v>640</v>
      </c>
      <c r="G494" s="108" t="s">
        <v>2739</v>
      </c>
      <c r="H494" s="111" t="s">
        <v>16</v>
      </c>
    </row>
    <row r="495" spans="1:8" ht="33" x14ac:dyDescent="0.2">
      <c r="A495" s="108">
        <v>4</v>
      </c>
      <c r="B495" s="108" t="s">
        <v>2738</v>
      </c>
      <c r="C495" s="110" t="s">
        <v>2735</v>
      </c>
      <c r="D495" s="109">
        <v>8.1</v>
      </c>
      <c r="E495" s="109">
        <v>20</v>
      </c>
      <c r="F495" s="109">
        <v>162</v>
      </c>
      <c r="G495" s="108" t="s">
        <v>2737</v>
      </c>
      <c r="H495" s="111" t="s">
        <v>16</v>
      </c>
    </row>
    <row r="496" spans="1:8" ht="33" x14ac:dyDescent="0.2">
      <c r="A496" s="108">
        <v>5</v>
      </c>
      <c r="B496" s="108" t="s">
        <v>2736</v>
      </c>
      <c r="C496" s="110" t="s">
        <v>2735</v>
      </c>
      <c r="D496" s="109">
        <v>8.1</v>
      </c>
      <c r="E496" s="109">
        <v>10</v>
      </c>
      <c r="F496" s="109">
        <v>81</v>
      </c>
      <c r="G496" s="108" t="s">
        <v>2734</v>
      </c>
      <c r="H496" s="111" t="s">
        <v>16</v>
      </c>
    </row>
    <row r="497" spans="1:8" ht="33" x14ac:dyDescent="0.2">
      <c r="A497" s="108">
        <v>6</v>
      </c>
      <c r="B497" s="108" t="s">
        <v>2733</v>
      </c>
      <c r="C497" s="110" t="s">
        <v>1522</v>
      </c>
      <c r="D497" s="109">
        <v>0.05</v>
      </c>
      <c r="E497" s="109">
        <v>1500</v>
      </c>
      <c r="F497" s="109">
        <v>75</v>
      </c>
      <c r="G497" s="108" t="s">
        <v>2732</v>
      </c>
      <c r="H497" s="111" t="s">
        <v>16</v>
      </c>
    </row>
    <row r="498" spans="1:8" ht="33" x14ac:dyDescent="0.2">
      <c r="A498" s="108">
        <v>7</v>
      </c>
      <c r="B498" s="108" t="s">
        <v>2731</v>
      </c>
      <c r="C498" s="110" t="s">
        <v>97</v>
      </c>
      <c r="D498" s="109">
        <v>2.56</v>
      </c>
      <c r="E498" s="109">
        <v>375</v>
      </c>
      <c r="F498" s="109">
        <v>960</v>
      </c>
      <c r="G498" s="108" t="s">
        <v>2730</v>
      </c>
      <c r="H498" s="111" t="s">
        <v>16</v>
      </c>
    </row>
    <row r="499" spans="1:8" ht="33" x14ac:dyDescent="0.2">
      <c r="A499" s="108">
        <v>8</v>
      </c>
      <c r="B499" s="108" t="s">
        <v>2729</v>
      </c>
      <c r="C499" s="110" t="s">
        <v>14</v>
      </c>
      <c r="D499" s="109">
        <v>1</v>
      </c>
      <c r="E499" s="109">
        <v>1500</v>
      </c>
      <c r="F499" s="109">
        <v>1500</v>
      </c>
      <c r="G499" s="108" t="s">
        <v>2728</v>
      </c>
      <c r="H499" s="111" t="s">
        <v>16</v>
      </c>
    </row>
    <row r="500" spans="1:8" ht="33" x14ac:dyDescent="0.2">
      <c r="A500" s="108">
        <v>9</v>
      </c>
      <c r="B500" s="108" t="s">
        <v>1610</v>
      </c>
      <c r="C500" s="110" t="s">
        <v>97</v>
      </c>
      <c r="D500" s="109">
        <v>9.06</v>
      </c>
      <c r="E500" s="109">
        <v>375</v>
      </c>
      <c r="F500" s="109">
        <v>3397.5</v>
      </c>
      <c r="G500" s="108" t="s">
        <v>1609</v>
      </c>
      <c r="H500" s="111" t="s">
        <v>16</v>
      </c>
    </row>
    <row r="501" spans="1:8" ht="33" x14ac:dyDescent="0.2">
      <c r="A501" s="108">
        <v>10</v>
      </c>
      <c r="B501" s="108" t="s">
        <v>1527</v>
      </c>
      <c r="C501" s="110" t="s">
        <v>97</v>
      </c>
      <c r="D501" s="109">
        <v>4</v>
      </c>
      <c r="E501" s="109">
        <v>280</v>
      </c>
      <c r="F501" s="109">
        <v>1120</v>
      </c>
      <c r="G501" s="108" t="s">
        <v>1535</v>
      </c>
      <c r="H501" s="111" t="s">
        <v>16</v>
      </c>
    </row>
    <row r="502" spans="1:8" ht="33" x14ac:dyDescent="0.2">
      <c r="A502" s="108">
        <v>11</v>
      </c>
      <c r="B502" s="108" t="s">
        <v>1518</v>
      </c>
      <c r="C502" s="110" t="s">
        <v>14</v>
      </c>
      <c r="D502" s="109">
        <v>1</v>
      </c>
      <c r="E502" s="109">
        <v>399.2</v>
      </c>
      <c r="F502" s="109">
        <v>399.2</v>
      </c>
      <c r="G502" s="108" t="s">
        <v>1517</v>
      </c>
      <c r="H502" s="111" t="s">
        <v>16</v>
      </c>
    </row>
    <row r="503" spans="1:8" ht="33" x14ac:dyDescent="0.2">
      <c r="A503" s="108"/>
      <c r="B503" s="108" t="s">
        <v>1516</v>
      </c>
      <c r="C503" s="110" t="s">
        <v>81</v>
      </c>
      <c r="D503" s="109">
        <v>1</v>
      </c>
      <c r="E503" s="109"/>
      <c r="F503" s="109">
        <v>13705.7</v>
      </c>
      <c r="G503" s="108"/>
      <c r="H503" s="111" t="s">
        <v>16</v>
      </c>
    </row>
    <row r="504" spans="1:8" ht="33" x14ac:dyDescent="0.2">
      <c r="A504" s="108"/>
      <c r="B504" s="108" t="s">
        <v>1515</v>
      </c>
      <c r="C504" s="110" t="s">
        <v>81</v>
      </c>
      <c r="D504" s="109"/>
      <c r="E504" s="109"/>
      <c r="F504" s="109">
        <v>13705.7</v>
      </c>
      <c r="G504" s="108"/>
      <c r="H504" s="111" t="s">
        <v>16</v>
      </c>
    </row>
    <row r="505" spans="1:8" ht="16.5" x14ac:dyDescent="0.2">
      <c r="A505" s="108"/>
      <c r="B505" s="108"/>
      <c r="C505" s="110"/>
      <c r="D505" s="109"/>
      <c r="E505" s="109"/>
      <c r="F505" s="109"/>
      <c r="G505" s="108"/>
    </row>
    <row r="506" spans="1:8" ht="33" x14ac:dyDescent="0.2">
      <c r="A506" s="108" t="s">
        <v>2853</v>
      </c>
      <c r="B506" s="108" t="s">
        <v>222</v>
      </c>
      <c r="C506" s="110" t="s">
        <v>81</v>
      </c>
      <c r="D506" s="109">
        <v>1</v>
      </c>
      <c r="E506" s="109">
        <v>25126.95</v>
      </c>
      <c r="F506" s="109"/>
      <c r="G506" s="108" t="s">
        <v>2852</v>
      </c>
      <c r="H506" s="111" t="s">
        <v>16</v>
      </c>
    </row>
    <row r="507" spans="1:8" ht="33" x14ac:dyDescent="0.2">
      <c r="A507" s="108">
        <v>1</v>
      </c>
      <c r="B507" s="108" t="s">
        <v>1774</v>
      </c>
      <c r="C507" s="110" t="s">
        <v>50</v>
      </c>
      <c r="D507" s="109">
        <v>0.56000000000000005</v>
      </c>
      <c r="E507" s="109">
        <v>458.74</v>
      </c>
      <c r="F507" s="109">
        <v>256.89</v>
      </c>
      <c r="G507" s="108" t="s">
        <v>2508</v>
      </c>
      <c r="H507" s="111" t="s">
        <v>16</v>
      </c>
    </row>
    <row r="508" spans="1:8" ht="33" x14ac:dyDescent="0.2">
      <c r="A508" s="108">
        <v>2</v>
      </c>
      <c r="B508" s="108" t="s">
        <v>509</v>
      </c>
      <c r="C508" s="110" t="s">
        <v>50</v>
      </c>
      <c r="D508" s="109">
        <v>0.56000000000000005</v>
      </c>
      <c r="E508" s="109">
        <v>1454.57</v>
      </c>
      <c r="F508" s="109">
        <v>814.56</v>
      </c>
      <c r="G508" s="108" t="s">
        <v>2659</v>
      </c>
      <c r="H508" s="111" t="s">
        <v>16</v>
      </c>
    </row>
    <row r="509" spans="1:8" ht="33" x14ac:dyDescent="0.2">
      <c r="A509" s="108">
        <v>3</v>
      </c>
      <c r="B509" s="108" t="s">
        <v>420</v>
      </c>
      <c r="C509" s="110" t="s">
        <v>50</v>
      </c>
      <c r="D509" s="109">
        <v>1.21</v>
      </c>
      <c r="E509" s="109">
        <v>1400</v>
      </c>
      <c r="F509" s="109">
        <v>1694</v>
      </c>
      <c r="G509" s="108" t="s">
        <v>421</v>
      </c>
      <c r="H509" s="111" t="s">
        <v>16</v>
      </c>
    </row>
    <row r="510" spans="1:8" ht="33" x14ac:dyDescent="0.2">
      <c r="A510" s="108">
        <v>4</v>
      </c>
      <c r="B510" s="108" t="s">
        <v>2851</v>
      </c>
      <c r="C510" s="110" t="s">
        <v>14</v>
      </c>
      <c r="D510" s="109">
        <v>1</v>
      </c>
      <c r="E510" s="109">
        <v>6000</v>
      </c>
      <c r="F510" s="109">
        <v>6000</v>
      </c>
      <c r="G510" s="108" t="s">
        <v>2850</v>
      </c>
      <c r="H510" s="111" t="s">
        <v>16</v>
      </c>
    </row>
    <row r="511" spans="1:8" ht="33" x14ac:dyDescent="0.2">
      <c r="A511" s="108">
        <v>5</v>
      </c>
      <c r="B511" s="108" t="s">
        <v>2742</v>
      </c>
      <c r="C511" s="110" t="s">
        <v>2735</v>
      </c>
      <c r="D511" s="109">
        <v>1.0900000000000001</v>
      </c>
      <c r="E511" s="109">
        <v>250</v>
      </c>
      <c r="F511" s="109">
        <v>272.5</v>
      </c>
      <c r="G511" s="108" t="s">
        <v>2741</v>
      </c>
      <c r="H511" s="111" t="s">
        <v>16</v>
      </c>
    </row>
    <row r="512" spans="1:8" ht="33" x14ac:dyDescent="0.2">
      <c r="A512" s="108">
        <v>6</v>
      </c>
      <c r="B512" s="108" t="s">
        <v>2740</v>
      </c>
      <c r="C512" s="110" t="s">
        <v>1522</v>
      </c>
      <c r="D512" s="109">
        <v>0.04</v>
      </c>
      <c r="E512" s="109">
        <v>2000</v>
      </c>
      <c r="F512" s="109">
        <v>80</v>
      </c>
      <c r="G512" s="108" t="s">
        <v>2739</v>
      </c>
      <c r="H512" s="111" t="s">
        <v>16</v>
      </c>
    </row>
    <row r="513" spans="1:8" ht="33" x14ac:dyDescent="0.2">
      <c r="A513" s="108">
        <v>7</v>
      </c>
      <c r="B513" s="108" t="s">
        <v>2738</v>
      </c>
      <c r="C513" s="110" t="s">
        <v>2735</v>
      </c>
      <c r="D513" s="109">
        <v>1.0900000000000001</v>
      </c>
      <c r="E513" s="109">
        <v>20</v>
      </c>
      <c r="F513" s="109">
        <v>21.8</v>
      </c>
      <c r="G513" s="108" t="s">
        <v>2737</v>
      </c>
      <c r="H513" s="111" t="s">
        <v>16</v>
      </c>
    </row>
    <row r="514" spans="1:8" ht="33" x14ac:dyDescent="0.2">
      <c r="A514" s="108">
        <v>8</v>
      </c>
      <c r="B514" s="108" t="s">
        <v>2736</v>
      </c>
      <c r="C514" s="110" t="s">
        <v>2735</v>
      </c>
      <c r="D514" s="109">
        <v>1.0900000000000001</v>
      </c>
      <c r="E514" s="109">
        <v>10</v>
      </c>
      <c r="F514" s="109">
        <v>10.9</v>
      </c>
      <c r="G514" s="108" t="s">
        <v>2734</v>
      </c>
      <c r="H514" s="111" t="s">
        <v>16</v>
      </c>
    </row>
    <row r="515" spans="1:8" ht="33" x14ac:dyDescent="0.2">
      <c r="A515" s="108">
        <v>9</v>
      </c>
      <c r="B515" s="108" t="s">
        <v>2733</v>
      </c>
      <c r="C515" s="110" t="s">
        <v>1522</v>
      </c>
      <c r="D515" s="109">
        <v>0.01</v>
      </c>
      <c r="E515" s="109">
        <v>1500</v>
      </c>
      <c r="F515" s="109">
        <v>15</v>
      </c>
      <c r="G515" s="108" t="s">
        <v>2732</v>
      </c>
      <c r="H515" s="111" t="s">
        <v>16</v>
      </c>
    </row>
    <row r="516" spans="1:8" ht="33" x14ac:dyDescent="0.2">
      <c r="A516" s="108">
        <v>10</v>
      </c>
      <c r="B516" s="108" t="s">
        <v>2849</v>
      </c>
      <c r="C516" s="110" t="s">
        <v>2735</v>
      </c>
      <c r="D516" s="109">
        <v>1</v>
      </c>
      <c r="E516" s="109">
        <v>7414.9</v>
      </c>
      <c r="F516" s="109">
        <v>7414.9</v>
      </c>
      <c r="G516" s="108" t="s">
        <v>2848</v>
      </c>
      <c r="H516" s="111" t="s">
        <v>16</v>
      </c>
    </row>
    <row r="517" spans="1:8" ht="33" x14ac:dyDescent="0.2">
      <c r="A517" s="108">
        <v>11</v>
      </c>
      <c r="B517" s="108" t="s">
        <v>2729</v>
      </c>
      <c r="C517" s="110" t="s">
        <v>14</v>
      </c>
      <c r="D517" s="109">
        <v>1</v>
      </c>
      <c r="E517" s="109">
        <v>4943.3</v>
      </c>
      <c r="F517" s="109">
        <v>4943.3</v>
      </c>
      <c r="G517" s="108" t="s">
        <v>2728</v>
      </c>
      <c r="H517" s="111" t="s">
        <v>16</v>
      </c>
    </row>
    <row r="518" spans="1:8" ht="33" x14ac:dyDescent="0.2">
      <c r="A518" s="108">
        <v>12</v>
      </c>
      <c r="B518" s="108" t="s">
        <v>1610</v>
      </c>
      <c r="C518" s="110" t="s">
        <v>97</v>
      </c>
      <c r="D518" s="109">
        <v>4.67</v>
      </c>
      <c r="E518" s="109">
        <v>375</v>
      </c>
      <c r="F518" s="109">
        <v>1751.25</v>
      </c>
      <c r="G518" s="108" t="s">
        <v>1609</v>
      </c>
      <c r="H518" s="111" t="s">
        <v>16</v>
      </c>
    </row>
    <row r="519" spans="1:8" ht="33" x14ac:dyDescent="0.2">
      <c r="A519" s="108">
        <v>13</v>
      </c>
      <c r="B519" s="108" t="s">
        <v>1527</v>
      </c>
      <c r="C519" s="110" t="s">
        <v>97</v>
      </c>
      <c r="D519" s="109">
        <v>4</v>
      </c>
      <c r="E519" s="109">
        <v>280</v>
      </c>
      <c r="F519" s="109">
        <v>1120</v>
      </c>
      <c r="G519" s="108" t="s">
        <v>1535</v>
      </c>
      <c r="H519" s="111" t="s">
        <v>16</v>
      </c>
    </row>
    <row r="520" spans="1:8" ht="33" x14ac:dyDescent="0.2">
      <c r="A520" s="108">
        <v>14</v>
      </c>
      <c r="B520" s="108" t="s">
        <v>1518</v>
      </c>
      <c r="C520" s="110" t="s">
        <v>14</v>
      </c>
      <c r="D520" s="109">
        <v>1</v>
      </c>
      <c r="E520" s="109">
        <v>731.85</v>
      </c>
      <c r="F520" s="109">
        <v>731.85</v>
      </c>
      <c r="G520" s="108" t="s">
        <v>1517</v>
      </c>
      <c r="H520" s="111" t="s">
        <v>16</v>
      </c>
    </row>
    <row r="521" spans="1:8" ht="33" x14ac:dyDescent="0.2">
      <c r="A521" s="108"/>
      <c r="B521" s="108" t="s">
        <v>1516</v>
      </c>
      <c r="C521" s="110" t="s">
        <v>81</v>
      </c>
      <c r="D521" s="109">
        <v>1</v>
      </c>
      <c r="E521" s="109"/>
      <c r="F521" s="109">
        <v>25126.949999999997</v>
      </c>
      <c r="G521" s="108"/>
      <c r="H521" s="111" t="s">
        <v>16</v>
      </c>
    </row>
    <row r="522" spans="1:8" ht="33" x14ac:dyDescent="0.2">
      <c r="A522" s="108"/>
      <c r="B522" s="108" t="s">
        <v>1515</v>
      </c>
      <c r="C522" s="110" t="s">
        <v>81</v>
      </c>
      <c r="D522" s="109"/>
      <c r="E522" s="109"/>
      <c r="F522" s="109">
        <v>25126.95</v>
      </c>
      <c r="G522" s="108"/>
      <c r="H522" s="111" t="s">
        <v>16</v>
      </c>
    </row>
    <row r="523" spans="1:8" ht="16.5" x14ac:dyDescent="0.2">
      <c r="A523" s="108"/>
      <c r="B523" s="108"/>
      <c r="C523" s="110"/>
      <c r="D523" s="109"/>
      <c r="E523" s="109"/>
      <c r="F523" s="109"/>
      <c r="G523" s="108"/>
    </row>
    <row r="524" spans="1:8" ht="33" x14ac:dyDescent="0.2">
      <c r="A524" s="108" t="s">
        <v>2847</v>
      </c>
      <c r="B524" s="108" t="s">
        <v>225</v>
      </c>
      <c r="C524" s="110" t="s">
        <v>30</v>
      </c>
      <c r="D524" s="109">
        <v>1</v>
      </c>
      <c r="E524" s="109">
        <v>2901.57</v>
      </c>
      <c r="F524" s="109"/>
      <c r="G524" s="108" t="s">
        <v>2846</v>
      </c>
      <c r="H524" s="111" t="s">
        <v>16</v>
      </c>
    </row>
    <row r="525" spans="1:8" ht="71.25" x14ac:dyDescent="0.2">
      <c r="A525" s="108">
        <v>1</v>
      </c>
      <c r="B525" s="108" t="s">
        <v>122</v>
      </c>
      <c r="C525" s="110" t="s">
        <v>50</v>
      </c>
      <c r="D525" s="109">
        <v>1.76</v>
      </c>
      <c r="E525" s="109">
        <v>1299.8900000000001</v>
      </c>
      <c r="F525" s="109">
        <v>2287.81</v>
      </c>
      <c r="G525" s="108" t="s">
        <v>2845</v>
      </c>
      <c r="H525" s="111" t="s">
        <v>16</v>
      </c>
    </row>
    <row r="526" spans="1:8" ht="33" x14ac:dyDescent="0.2">
      <c r="A526" s="108">
        <v>2</v>
      </c>
      <c r="B526" s="108" t="s">
        <v>1610</v>
      </c>
      <c r="C526" s="110" t="s">
        <v>97</v>
      </c>
      <c r="D526" s="109">
        <v>1.1499999999999999</v>
      </c>
      <c r="E526" s="109">
        <v>375</v>
      </c>
      <c r="F526" s="109">
        <v>431.25</v>
      </c>
      <c r="G526" s="108" t="s">
        <v>1609</v>
      </c>
      <c r="H526" s="111" t="s">
        <v>16</v>
      </c>
    </row>
    <row r="527" spans="1:8" ht="33" x14ac:dyDescent="0.2">
      <c r="A527" s="108">
        <v>3</v>
      </c>
      <c r="B527" s="108" t="s">
        <v>1527</v>
      </c>
      <c r="C527" s="110" t="s">
        <v>97</v>
      </c>
      <c r="D527" s="109">
        <v>0.35</v>
      </c>
      <c r="E527" s="109">
        <v>280</v>
      </c>
      <c r="F527" s="109">
        <v>98</v>
      </c>
      <c r="G527" s="108" t="s">
        <v>1535</v>
      </c>
      <c r="H527" s="111" t="s">
        <v>16</v>
      </c>
    </row>
    <row r="528" spans="1:8" ht="33" x14ac:dyDescent="0.2">
      <c r="A528" s="108">
        <v>4</v>
      </c>
      <c r="B528" s="108" t="s">
        <v>1518</v>
      </c>
      <c r="C528" s="110" t="s">
        <v>14</v>
      </c>
      <c r="D528" s="109">
        <v>1</v>
      </c>
      <c r="E528" s="109">
        <v>84.51</v>
      </c>
      <c r="F528" s="109">
        <v>84.51</v>
      </c>
      <c r="G528" s="108" t="s">
        <v>1517</v>
      </c>
      <c r="H528" s="111" t="s">
        <v>16</v>
      </c>
    </row>
    <row r="529" spans="1:8" ht="33" x14ac:dyDescent="0.2">
      <c r="A529" s="108"/>
      <c r="B529" s="108" t="s">
        <v>1516</v>
      </c>
      <c r="C529" s="110" t="s">
        <v>30</v>
      </c>
      <c r="D529" s="109">
        <v>1</v>
      </c>
      <c r="E529" s="109"/>
      <c r="F529" s="109">
        <v>2901.57</v>
      </c>
      <c r="G529" s="108"/>
      <c r="H529" s="111" t="s">
        <v>16</v>
      </c>
    </row>
    <row r="530" spans="1:8" ht="33" x14ac:dyDescent="0.2">
      <c r="A530" s="108"/>
      <c r="B530" s="108" t="s">
        <v>1515</v>
      </c>
      <c r="C530" s="110" t="s">
        <v>30</v>
      </c>
      <c r="D530" s="109"/>
      <c r="E530" s="109"/>
      <c r="F530" s="109">
        <v>2901.57</v>
      </c>
      <c r="G530" s="108"/>
      <c r="H530" s="111" t="s">
        <v>16</v>
      </c>
    </row>
    <row r="531" spans="1:8" ht="16.5" x14ac:dyDescent="0.2">
      <c r="A531" s="108"/>
      <c r="B531" s="108"/>
      <c r="C531" s="110"/>
      <c r="D531" s="109"/>
      <c r="E531" s="109"/>
      <c r="F531" s="109"/>
      <c r="G531" s="108"/>
    </row>
    <row r="532" spans="1:8" ht="33" x14ac:dyDescent="0.2">
      <c r="A532" s="108" t="s">
        <v>2844</v>
      </c>
      <c r="B532" s="108" t="s">
        <v>228</v>
      </c>
      <c r="C532" s="110" t="s">
        <v>30</v>
      </c>
      <c r="D532" s="109">
        <v>1</v>
      </c>
      <c r="E532" s="109">
        <v>1762.96</v>
      </c>
      <c r="F532" s="109"/>
      <c r="G532" s="108" t="s">
        <v>2843</v>
      </c>
      <c r="H532" s="111" t="s">
        <v>16</v>
      </c>
    </row>
    <row r="533" spans="1:8" ht="33" x14ac:dyDescent="0.2">
      <c r="A533" s="108">
        <v>1</v>
      </c>
      <c r="B533" s="108" t="s">
        <v>1774</v>
      </c>
      <c r="C533" s="110" t="s">
        <v>50</v>
      </c>
      <c r="D533" s="109">
        <v>1.9</v>
      </c>
      <c r="E533" s="109">
        <v>458.74</v>
      </c>
      <c r="F533" s="109">
        <v>871.61</v>
      </c>
      <c r="G533" s="108" t="s">
        <v>2508</v>
      </c>
      <c r="H533" s="111" t="s">
        <v>16</v>
      </c>
    </row>
    <row r="534" spans="1:8" ht="33" x14ac:dyDescent="0.2">
      <c r="A534" s="108">
        <v>2</v>
      </c>
      <c r="B534" s="108" t="s">
        <v>1527</v>
      </c>
      <c r="C534" s="110" t="s">
        <v>97</v>
      </c>
      <c r="D534" s="109">
        <v>3</v>
      </c>
      <c r="E534" s="109">
        <v>280</v>
      </c>
      <c r="F534" s="109">
        <v>840</v>
      </c>
      <c r="G534" s="108" t="s">
        <v>1535</v>
      </c>
      <c r="H534" s="111" t="s">
        <v>16</v>
      </c>
    </row>
    <row r="535" spans="1:8" ht="33" x14ac:dyDescent="0.2">
      <c r="A535" s="108">
        <v>3</v>
      </c>
      <c r="B535" s="108" t="s">
        <v>1518</v>
      </c>
      <c r="C535" s="110" t="s">
        <v>14</v>
      </c>
      <c r="D535" s="109">
        <v>1</v>
      </c>
      <c r="E535" s="109">
        <v>51.35</v>
      </c>
      <c r="F535" s="109">
        <v>51.35</v>
      </c>
      <c r="G535" s="108" t="s">
        <v>1517</v>
      </c>
      <c r="H535" s="111" t="s">
        <v>16</v>
      </c>
    </row>
    <row r="536" spans="1:8" ht="33" x14ac:dyDescent="0.2">
      <c r="A536" s="108"/>
      <c r="B536" s="108" t="s">
        <v>1516</v>
      </c>
      <c r="C536" s="110" t="s">
        <v>30</v>
      </c>
      <c r="D536" s="109">
        <v>1</v>
      </c>
      <c r="E536" s="109"/>
      <c r="F536" s="109">
        <v>1762.96</v>
      </c>
      <c r="G536" s="108"/>
      <c r="H536" s="111" t="s">
        <v>16</v>
      </c>
    </row>
    <row r="537" spans="1:8" ht="33" x14ac:dyDescent="0.2">
      <c r="A537" s="108"/>
      <c r="B537" s="108" t="s">
        <v>1515</v>
      </c>
      <c r="C537" s="110" t="s">
        <v>30</v>
      </c>
      <c r="D537" s="109"/>
      <c r="E537" s="109"/>
      <c r="F537" s="109">
        <v>1762.96</v>
      </c>
      <c r="G537" s="108"/>
      <c r="H537" s="111" t="s">
        <v>16</v>
      </c>
    </row>
    <row r="538" spans="1:8" ht="16.5" x14ac:dyDescent="0.2">
      <c r="A538" s="108"/>
      <c r="B538" s="108"/>
      <c r="C538" s="110"/>
      <c r="D538" s="109"/>
      <c r="E538" s="109"/>
      <c r="F538" s="109"/>
      <c r="G538" s="108"/>
    </row>
    <row r="539" spans="1:8" ht="33" x14ac:dyDescent="0.2">
      <c r="A539" s="108" t="s">
        <v>2842</v>
      </c>
      <c r="B539" s="108" t="s">
        <v>231</v>
      </c>
      <c r="C539" s="110" t="s">
        <v>30</v>
      </c>
      <c r="D539" s="109">
        <v>1</v>
      </c>
      <c r="E539" s="109">
        <v>1224.3</v>
      </c>
      <c r="F539" s="109"/>
      <c r="G539" s="108" t="s">
        <v>2841</v>
      </c>
      <c r="H539" s="111" t="s">
        <v>16</v>
      </c>
    </row>
    <row r="540" spans="1:8" ht="33" x14ac:dyDescent="0.2">
      <c r="A540" s="108">
        <v>1</v>
      </c>
      <c r="B540" s="108" t="s">
        <v>1774</v>
      </c>
      <c r="C540" s="110" t="s">
        <v>50</v>
      </c>
      <c r="D540" s="109">
        <v>0.76</v>
      </c>
      <c r="E540" s="109">
        <v>458.74</v>
      </c>
      <c r="F540" s="109">
        <v>348.64</v>
      </c>
      <c r="G540" s="108" t="s">
        <v>2508</v>
      </c>
      <c r="H540" s="111" t="s">
        <v>16</v>
      </c>
    </row>
    <row r="541" spans="1:8" ht="33" x14ac:dyDescent="0.2">
      <c r="A541" s="108">
        <v>2</v>
      </c>
      <c r="B541" s="108" t="s">
        <v>1527</v>
      </c>
      <c r="C541" s="110" t="s">
        <v>97</v>
      </c>
      <c r="D541" s="109">
        <v>3</v>
      </c>
      <c r="E541" s="109">
        <v>280</v>
      </c>
      <c r="F541" s="109">
        <v>840</v>
      </c>
      <c r="G541" s="108" t="s">
        <v>1535</v>
      </c>
      <c r="H541" s="111" t="s">
        <v>16</v>
      </c>
    </row>
    <row r="542" spans="1:8" ht="33" x14ac:dyDescent="0.2">
      <c r="A542" s="108">
        <v>3</v>
      </c>
      <c r="B542" s="108" t="s">
        <v>1518</v>
      </c>
      <c r="C542" s="110" t="s">
        <v>14</v>
      </c>
      <c r="D542" s="109">
        <v>1</v>
      </c>
      <c r="E542" s="109">
        <v>35.659999999999997</v>
      </c>
      <c r="F542" s="109">
        <v>35.659999999999997</v>
      </c>
      <c r="G542" s="108" t="s">
        <v>1517</v>
      </c>
      <c r="H542" s="111" t="s">
        <v>16</v>
      </c>
    </row>
    <row r="543" spans="1:8" ht="33" x14ac:dyDescent="0.2">
      <c r="A543" s="108"/>
      <c r="B543" s="108" t="s">
        <v>1516</v>
      </c>
      <c r="C543" s="110" t="s">
        <v>30</v>
      </c>
      <c r="D543" s="109">
        <v>1</v>
      </c>
      <c r="E543" s="109"/>
      <c r="F543" s="109">
        <v>1224.3</v>
      </c>
      <c r="G543" s="108"/>
      <c r="H543" s="111" t="s">
        <v>16</v>
      </c>
    </row>
    <row r="544" spans="1:8" ht="33" x14ac:dyDescent="0.2">
      <c r="A544" s="108"/>
      <c r="B544" s="108" t="s">
        <v>1515</v>
      </c>
      <c r="C544" s="110" t="s">
        <v>30</v>
      </c>
      <c r="D544" s="109"/>
      <c r="E544" s="109"/>
      <c r="F544" s="109">
        <v>1224.3</v>
      </c>
      <c r="G544" s="108"/>
      <c r="H544" s="111" t="s">
        <v>16</v>
      </c>
    </row>
    <row r="545" spans="1:8" ht="16.5" x14ac:dyDescent="0.2">
      <c r="A545" s="108"/>
      <c r="B545" s="108"/>
      <c r="C545" s="110"/>
      <c r="D545" s="109"/>
      <c r="E545" s="109"/>
      <c r="F545" s="109"/>
      <c r="G545" s="108"/>
    </row>
    <row r="546" spans="1:8" ht="33" x14ac:dyDescent="0.2">
      <c r="A546" s="108" t="s">
        <v>2840</v>
      </c>
      <c r="B546" s="108" t="s">
        <v>234</v>
      </c>
      <c r="C546" s="110" t="s">
        <v>30</v>
      </c>
      <c r="D546" s="109">
        <v>1</v>
      </c>
      <c r="E546" s="109">
        <v>1148.7</v>
      </c>
      <c r="F546" s="109"/>
      <c r="G546" s="108" t="s">
        <v>2839</v>
      </c>
      <c r="H546" s="111" t="s">
        <v>16</v>
      </c>
    </row>
    <row r="547" spans="1:8" ht="33" x14ac:dyDescent="0.2">
      <c r="A547" s="108">
        <v>1</v>
      </c>
      <c r="B547" s="108" t="s">
        <v>1774</v>
      </c>
      <c r="C547" s="110" t="s">
        <v>50</v>
      </c>
      <c r="D547" s="109">
        <v>0.6</v>
      </c>
      <c r="E547" s="109">
        <v>458.74</v>
      </c>
      <c r="F547" s="109">
        <v>275.24</v>
      </c>
      <c r="G547" s="108" t="s">
        <v>2508</v>
      </c>
      <c r="H547" s="111" t="s">
        <v>16</v>
      </c>
    </row>
    <row r="548" spans="1:8" ht="33" x14ac:dyDescent="0.2">
      <c r="A548" s="108">
        <v>2</v>
      </c>
      <c r="B548" s="108" t="s">
        <v>1527</v>
      </c>
      <c r="C548" s="110" t="s">
        <v>97</v>
      </c>
      <c r="D548" s="109">
        <v>3</v>
      </c>
      <c r="E548" s="109">
        <v>280</v>
      </c>
      <c r="F548" s="109">
        <v>840</v>
      </c>
      <c r="G548" s="108" t="s">
        <v>1535</v>
      </c>
      <c r="H548" s="111" t="s">
        <v>16</v>
      </c>
    </row>
    <row r="549" spans="1:8" ht="33" x14ac:dyDescent="0.2">
      <c r="A549" s="108">
        <v>3</v>
      </c>
      <c r="B549" s="108" t="s">
        <v>1518</v>
      </c>
      <c r="C549" s="110" t="s">
        <v>14</v>
      </c>
      <c r="D549" s="109">
        <v>1</v>
      </c>
      <c r="E549" s="109">
        <v>33.46</v>
      </c>
      <c r="F549" s="109">
        <v>33.46</v>
      </c>
      <c r="G549" s="108" t="s">
        <v>1517</v>
      </c>
      <c r="H549" s="111" t="s">
        <v>16</v>
      </c>
    </row>
    <row r="550" spans="1:8" ht="33" x14ac:dyDescent="0.2">
      <c r="A550" s="108"/>
      <c r="B550" s="108" t="s">
        <v>1516</v>
      </c>
      <c r="C550" s="110" t="s">
        <v>30</v>
      </c>
      <c r="D550" s="109">
        <v>1</v>
      </c>
      <c r="E550" s="109"/>
      <c r="F550" s="109">
        <v>1148.7</v>
      </c>
      <c r="G550" s="108"/>
      <c r="H550" s="111" t="s">
        <v>16</v>
      </c>
    </row>
    <row r="551" spans="1:8" ht="33" x14ac:dyDescent="0.2">
      <c r="A551" s="108"/>
      <c r="B551" s="108" t="s">
        <v>1515</v>
      </c>
      <c r="C551" s="110" t="s">
        <v>30</v>
      </c>
      <c r="D551" s="109"/>
      <c r="E551" s="109"/>
      <c r="F551" s="109">
        <v>1148.7</v>
      </c>
      <c r="G551" s="108"/>
      <c r="H551" s="111" t="s">
        <v>16</v>
      </c>
    </row>
    <row r="552" spans="1:8" ht="16.5" x14ac:dyDescent="0.2">
      <c r="A552" s="108"/>
      <c r="B552" s="108"/>
      <c r="C552" s="110"/>
      <c r="D552" s="109"/>
      <c r="E552" s="109"/>
      <c r="F552" s="109"/>
      <c r="G552" s="108"/>
    </row>
    <row r="553" spans="1:8" ht="33" x14ac:dyDescent="0.2">
      <c r="A553" s="108" t="s">
        <v>2838</v>
      </c>
      <c r="B553" s="108" t="s">
        <v>237</v>
      </c>
      <c r="C553" s="110" t="s">
        <v>81</v>
      </c>
      <c r="D553" s="109">
        <v>1</v>
      </c>
      <c r="E553" s="109">
        <v>19780.169999999998</v>
      </c>
      <c r="F553" s="109"/>
      <c r="G553" s="108" t="s">
        <v>2837</v>
      </c>
      <c r="H553" s="111" t="s">
        <v>16</v>
      </c>
    </row>
    <row r="554" spans="1:8" ht="33" x14ac:dyDescent="0.2">
      <c r="A554" s="108">
        <v>1</v>
      </c>
      <c r="B554" s="108" t="s">
        <v>1774</v>
      </c>
      <c r="C554" s="110" t="s">
        <v>50</v>
      </c>
      <c r="D554" s="109">
        <v>30.44</v>
      </c>
      <c r="E554" s="109">
        <v>458.74</v>
      </c>
      <c r="F554" s="109">
        <v>13964.05</v>
      </c>
      <c r="G554" s="108" t="s">
        <v>2508</v>
      </c>
      <c r="H554" s="111" t="s">
        <v>16</v>
      </c>
    </row>
    <row r="555" spans="1:8" ht="33" x14ac:dyDescent="0.2">
      <c r="A555" s="108">
        <v>2</v>
      </c>
      <c r="B555" s="108" t="s">
        <v>1610</v>
      </c>
      <c r="C555" s="110" t="s">
        <v>97</v>
      </c>
      <c r="D555" s="109">
        <v>8</v>
      </c>
      <c r="E555" s="109">
        <v>375</v>
      </c>
      <c r="F555" s="109">
        <v>3000</v>
      </c>
      <c r="G555" s="108" t="s">
        <v>1609</v>
      </c>
      <c r="H555" s="111" t="s">
        <v>16</v>
      </c>
    </row>
    <row r="556" spans="1:8" ht="33" x14ac:dyDescent="0.2">
      <c r="A556" s="108">
        <v>3</v>
      </c>
      <c r="B556" s="108" t="s">
        <v>1527</v>
      </c>
      <c r="C556" s="110" t="s">
        <v>97</v>
      </c>
      <c r="D556" s="109">
        <v>8</v>
      </c>
      <c r="E556" s="109">
        <v>280</v>
      </c>
      <c r="F556" s="109">
        <v>2240</v>
      </c>
      <c r="G556" s="108" t="s">
        <v>1535</v>
      </c>
      <c r="H556" s="111" t="s">
        <v>16</v>
      </c>
    </row>
    <row r="557" spans="1:8" ht="33" x14ac:dyDescent="0.2">
      <c r="A557" s="108">
        <v>4</v>
      </c>
      <c r="B557" s="108" t="s">
        <v>1518</v>
      </c>
      <c r="C557" s="110" t="s">
        <v>14</v>
      </c>
      <c r="D557" s="109">
        <v>1</v>
      </c>
      <c r="E557" s="109">
        <v>576.12</v>
      </c>
      <c r="F557" s="109">
        <v>576.12</v>
      </c>
      <c r="G557" s="108" t="s">
        <v>1517</v>
      </c>
      <c r="H557" s="111" t="s">
        <v>16</v>
      </c>
    </row>
    <row r="558" spans="1:8" ht="33" x14ac:dyDescent="0.2">
      <c r="A558" s="108"/>
      <c r="B558" s="108" t="s">
        <v>1516</v>
      </c>
      <c r="C558" s="110" t="s">
        <v>81</v>
      </c>
      <c r="D558" s="109">
        <v>1</v>
      </c>
      <c r="E558" s="109"/>
      <c r="F558" s="109">
        <v>19780.169999999998</v>
      </c>
      <c r="G558" s="108"/>
      <c r="H558" s="111" t="s">
        <v>16</v>
      </c>
    </row>
    <row r="559" spans="1:8" ht="33" x14ac:dyDescent="0.2">
      <c r="A559" s="108"/>
      <c r="B559" s="108" t="s">
        <v>1515</v>
      </c>
      <c r="C559" s="110" t="s">
        <v>81</v>
      </c>
      <c r="D559" s="109"/>
      <c r="E559" s="109"/>
      <c r="F559" s="109">
        <v>19780.169999999998</v>
      </c>
      <c r="G559" s="108"/>
      <c r="H559" s="111" t="s">
        <v>16</v>
      </c>
    </row>
    <row r="560" spans="1:8" ht="16.5" x14ac:dyDescent="0.2">
      <c r="A560" s="108"/>
      <c r="B560" s="108"/>
      <c r="C560" s="110"/>
      <c r="D560" s="109"/>
      <c r="E560" s="109"/>
      <c r="F560" s="109"/>
      <c r="G560" s="108"/>
    </row>
    <row r="561" spans="1:8" ht="33" x14ac:dyDescent="0.2">
      <c r="A561" s="108" t="s">
        <v>2836</v>
      </c>
      <c r="B561" s="108" t="s">
        <v>240</v>
      </c>
      <c r="C561" s="110" t="s">
        <v>81</v>
      </c>
      <c r="D561" s="109">
        <v>1</v>
      </c>
      <c r="E561" s="109">
        <v>1218.03</v>
      </c>
      <c r="F561" s="109"/>
      <c r="G561" s="108" t="s">
        <v>2835</v>
      </c>
      <c r="H561" s="111" t="s">
        <v>16</v>
      </c>
    </row>
    <row r="562" spans="1:8" ht="33" x14ac:dyDescent="0.2">
      <c r="A562" s="108">
        <v>1</v>
      </c>
      <c r="B562" s="108" t="s">
        <v>1774</v>
      </c>
      <c r="C562" s="110" t="s">
        <v>50</v>
      </c>
      <c r="D562" s="109">
        <v>1.1499999999999999</v>
      </c>
      <c r="E562" s="109">
        <v>458.74</v>
      </c>
      <c r="F562" s="109">
        <v>527.54999999999995</v>
      </c>
      <c r="G562" s="108" t="s">
        <v>2508</v>
      </c>
      <c r="H562" s="111" t="s">
        <v>16</v>
      </c>
    </row>
    <row r="563" spans="1:8" ht="33" x14ac:dyDescent="0.2">
      <c r="A563" s="108">
        <v>2</v>
      </c>
      <c r="B563" s="108" t="s">
        <v>1610</v>
      </c>
      <c r="C563" s="110" t="s">
        <v>97</v>
      </c>
      <c r="D563" s="109">
        <v>1</v>
      </c>
      <c r="E563" s="109">
        <v>375</v>
      </c>
      <c r="F563" s="109">
        <v>375</v>
      </c>
      <c r="G563" s="108" t="s">
        <v>1609</v>
      </c>
      <c r="H563" s="111" t="s">
        <v>16</v>
      </c>
    </row>
    <row r="564" spans="1:8" ht="33" x14ac:dyDescent="0.2">
      <c r="A564" s="108">
        <v>3</v>
      </c>
      <c r="B564" s="108" t="s">
        <v>1527</v>
      </c>
      <c r="C564" s="110" t="s">
        <v>97</v>
      </c>
      <c r="D564" s="109">
        <v>1</v>
      </c>
      <c r="E564" s="109">
        <v>280</v>
      </c>
      <c r="F564" s="109">
        <v>280</v>
      </c>
      <c r="G564" s="108" t="s">
        <v>1535</v>
      </c>
      <c r="H564" s="111" t="s">
        <v>16</v>
      </c>
    </row>
    <row r="565" spans="1:8" ht="33" x14ac:dyDescent="0.2">
      <c r="A565" s="108">
        <v>4</v>
      </c>
      <c r="B565" s="108" t="s">
        <v>1518</v>
      </c>
      <c r="C565" s="110" t="s">
        <v>14</v>
      </c>
      <c r="D565" s="109">
        <v>1</v>
      </c>
      <c r="E565" s="109">
        <v>35.479999999999997</v>
      </c>
      <c r="F565" s="109">
        <v>35.479999999999997</v>
      </c>
      <c r="G565" s="108" t="s">
        <v>1517</v>
      </c>
      <c r="H565" s="111" t="s">
        <v>16</v>
      </c>
    </row>
    <row r="566" spans="1:8" ht="33" x14ac:dyDescent="0.2">
      <c r="A566" s="108"/>
      <c r="B566" s="108" t="s">
        <v>1516</v>
      </c>
      <c r="C566" s="110" t="s">
        <v>81</v>
      </c>
      <c r="D566" s="109">
        <v>1</v>
      </c>
      <c r="E566" s="109"/>
      <c r="F566" s="109">
        <v>1218.03</v>
      </c>
      <c r="G566" s="108"/>
      <c r="H566" s="111" t="s">
        <v>16</v>
      </c>
    </row>
    <row r="567" spans="1:8" ht="33" x14ac:dyDescent="0.2">
      <c r="A567" s="108"/>
      <c r="B567" s="108" t="s">
        <v>1515</v>
      </c>
      <c r="C567" s="110" t="s">
        <v>81</v>
      </c>
      <c r="D567" s="109"/>
      <c r="E567" s="109"/>
      <c r="F567" s="109">
        <v>1218.03</v>
      </c>
      <c r="G567" s="108"/>
      <c r="H567" s="111" t="s">
        <v>16</v>
      </c>
    </row>
    <row r="568" spans="1:8" ht="16.5" x14ac:dyDescent="0.2">
      <c r="A568" s="108"/>
      <c r="B568" s="108"/>
      <c r="C568" s="110"/>
      <c r="D568" s="109"/>
      <c r="E568" s="109"/>
      <c r="F568" s="109"/>
      <c r="G568" s="108"/>
    </row>
    <row r="569" spans="1:8" ht="33" x14ac:dyDescent="0.2">
      <c r="A569" s="108" t="s">
        <v>2834</v>
      </c>
      <c r="B569" s="108" t="s">
        <v>243</v>
      </c>
      <c r="C569" s="110" t="s">
        <v>81</v>
      </c>
      <c r="D569" s="109">
        <v>1</v>
      </c>
      <c r="E569" s="109">
        <v>3110.7</v>
      </c>
      <c r="F569" s="109"/>
      <c r="G569" s="108" t="s">
        <v>2833</v>
      </c>
      <c r="H569" s="111" t="s">
        <v>16</v>
      </c>
    </row>
    <row r="570" spans="1:8" ht="33" x14ac:dyDescent="0.2">
      <c r="A570" s="108">
        <v>1</v>
      </c>
      <c r="B570" s="108" t="s">
        <v>1774</v>
      </c>
      <c r="C570" s="110" t="s">
        <v>50</v>
      </c>
      <c r="D570" s="109">
        <v>2.2999999999999998</v>
      </c>
      <c r="E570" s="109">
        <v>458.74</v>
      </c>
      <c r="F570" s="109">
        <v>1055.0999999999999</v>
      </c>
      <c r="G570" s="108" t="s">
        <v>2508</v>
      </c>
      <c r="H570" s="111" t="s">
        <v>16</v>
      </c>
    </row>
    <row r="571" spans="1:8" ht="33" x14ac:dyDescent="0.2">
      <c r="A571" s="108">
        <v>2</v>
      </c>
      <c r="B571" s="108" t="s">
        <v>1610</v>
      </c>
      <c r="C571" s="110" t="s">
        <v>97</v>
      </c>
      <c r="D571" s="109">
        <v>3</v>
      </c>
      <c r="E571" s="109">
        <v>375</v>
      </c>
      <c r="F571" s="109">
        <v>1125</v>
      </c>
      <c r="G571" s="108" t="s">
        <v>1609</v>
      </c>
      <c r="H571" s="111" t="s">
        <v>16</v>
      </c>
    </row>
    <row r="572" spans="1:8" ht="33" x14ac:dyDescent="0.2">
      <c r="A572" s="108">
        <v>3</v>
      </c>
      <c r="B572" s="108" t="s">
        <v>1527</v>
      </c>
      <c r="C572" s="110" t="s">
        <v>97</v>
      </c>
      <c r="D572" s="109">
        <v>3</v>
      </c>
      <c r="E572" s="109">
        <v>280</v>
      </c>
      <c r="F572" s="109">
        <v>840</v>
      </c>
      <c r="G572" s="108" t="s">
        <v>1535</v>
      </c>
      <c r="H572" s="111" t="s">
        <v>16</v>
      </c>
    </row>
    <row r="573" spans="1:8" ht="33" x14ac:dyDescent="0.2">
      <c r="A573" s="108">
        <v>4</v>
      </c>
      <c r="B573" s="108" t="s">
        <v>1518</v>
      </c>
      <c r="C573" s="110" t="s">
        <v>14</v>
      </c>
      <c r="D573" s="109">
        <v>1</v>
      </c>
      <c r="E573" s="109">
        <v>90.6</v>
      </c>
      <c r="F573" s="109">
        <v>90.6</v>
      </c>
      <c r="G573" s="108" t="s">
        <v>1517</v>
      </c>
      <c r="H573" s="111" t="s">
        <v>16</v>
      </c>
    </row>
    <row r="574" spans="1:8" ht="33" x14ac:dyDescent="0.2">
      <c r="A574" s="108"/>
      <c r="B574" s="108" t="s">
        <v>1516</v>
      </c>
      <c r="C574" s="110" t="s">
        <v>81</v>
      </c>
      <c r="D574" s="109">
        <v>1</v>
      </c>
      <c r="E574" s="109"/>
      <c r="F574" s="109">
        <v>3110.7</v>
      </c>
      <c r="G574" s="108"/>
      <c r="H574" s="111" t="s">
        <v>16</v>
      </c>
    </row>
    <row r="575" spans="1:8" ht="33" x14ac:dyDescent="0.2">
      <c r="A575" s="108"/>
      <c r="B575" s="108" t="s">
        <v>1515</v>
      </c>
      <c r="C575" s="110" t="s">
        <v>81</v>
      </c>
      <c r="D575" s="109"/>
      <c r="E575" s="109"/>
      <c r="F575" s="109">
        <v>3110.7</v>
      </c>
      <c r="G575" s="108"/>
      <c r="H575" s="111" t="s">
        <v>16</v>
      </c>
    </row>
    <row r="576" spans="1:8" ht="16.5" x14ac:dyDescent="0.2">
      <c r="A576" s="108"/>
      <c r="B576" s="108"/>
      <c r="C576" s="110"/>
      <c r="D576" s="109"/>
      <c r="E576" s="109"/>
      <c r="F576" s="109"/>
      <c r="G576" s="108"/>
    </row>
    <row r="577" spans="1:8" ht="33" x14ac:dyDescent="0.2">
      <c r="A577" s="108" t="s">
        <v>2832</v>
      </c>
      <c r="B577" s="108" t="s">
        <v>246</v>
      </c>
      <c r="C577" s="110" t="s">
        <v>81</v>
      </c>
      <c r="D577" s="109">
        <v>1</v>
      </c>
      <c r="E577" s="109">
        <v>1251.0999999999999</v>
      </c>
      <c r="F577" s="109"/>
      <c r="G577" s="108" t="s">
        <v>2831</v>
      </c>
      <c r="H577" s="111" t="s">
        <v>16</v>
      </c>
    </row>
    <row r="578" spans="1:8" ht="33" x14ac:dyDescent="0.2">
      <c r="A578" s="108">
        <v>1</v>
      </c>
      <c r="B578" s="108" t="s">
        <v>1774</v>
      </c>
      <c r="C578" s="110" t="s">
        <v>50</v>
      </c>
      <c r="D578" s="109">
        <v>1.22</v>
      </c>
      <c r="E578" s="109">
        <v>458.74</v>
      </c>
      <c r="F578" s="109">
        <v>559.66</v>
      </c>
      <c r="G578" s="108" t="s">
        <v>2508</v>
      </c>
      <c r="H578" s="111" t="s">
        <v>16</v>
      </c>
    </row>
    <row r="579" spans="1:8" ht="33" x14ac:dyDescent="0.2">
      <c r="A579" s="108">
        <v>2</v>
      </c>
      <c r="B579" s="108" t="s">
        <v>1610</v>
      </c>
      <c r="C579" s="110" t="s">
        <v>97</v>
      </c>
      <c r="D579" s="109">
        <v>1</v>
      </c>
      <c r="E579" s="109">
        <v>375</v>
      </c>
      <c r="F579" s="109">
        <v>375</v>
      </c>
      <c r="G579" s="108" t="s">
        <v>1609</v>
      </c>
      <c r="H579" s="111" t="s">
        <v>16</v>
      </c>
    </row>
    <row r="580" spans="1:8" ht="33" x14ac:dyDescent="0.2">
      <c r="A580" s="108">
        <v>3</v>
      </c>
      <c r="B580" s="108" t="s">
        <v>1527</v>
      </c>
      <c r="C580" s="110" t="s">
        <v>97</v>
      </c>
      <c r="D580" s="109">
        <v>1</v>
      </c>
      <c r="E580" s="109">
        <v>280</v>
      </c>
      <c r="F580" s="109">
        <v>280</v>
      </c>
      <c r="G580" s="108" t="s">
        <v>1535</v>
      </c>
      <c r="H580" s="111" t="s">
        <v>16</v>
      </c>
    </row>
    <row r="581" spans="1:8" ht="33" x14ac:dyDescent="0.2">
      <c r="A581" s="108">
        <v>4</v>
      </c>
      <c r="B581" s="108" t="s">
        <v>1518</v>
      </c>
      <c r="C581" s="110" t="s">
        <v>14</v>
      </c>
      <c r="D581" s="109">
        <v>1</v>
      </c>
      <c r="E581" s="109">
        <v>36.44</v>
      </c>
      <c r="F581" s="109">
        <v>36.44</v>
      </c>
      <c r="G581" s="108" t="s">
        <v>1517</v>
      </c>
      <c r="H581" s="111" t="s">
        <v>16</v>
      </c>
    </row>
    <row r="582" spans="1:8" ht="33" x14ac:dyDescent="0.2">
      <c r="A582" s="108"/>
      <c r="B582" s="108" t="s">
        <v>1516</v>
      </c>
      <c r="C582" s="110" t="s">
        <v>81</v>
      </c>
      <c r="D582" s="109">
        <v>1</v>
      </c>
      <c r="E582" s="109"/>
      <c r="F582" s="109">
        <v>1251.0999999999999</v>
      </c>
      <c r="G582" s="108"/>
      <c r="H582" s="111" t="s">
        <v>16</v>
      </c>
    </row>
    <row r="583" spans="1:8" ht="33" x14ac:dyDescent="0.2">
      <c r="A583" s="108"/>
      <c r="B583" s="108" t="s">
        <v>1515</v>
      </c>
      <c r="C583" s="110" t="s">
        <v>81</v>
      </c>
      <c r="D583" s="109"/>
      <c r="E583" s="109"/>
      <c r="F583" s="109">
        <v>1251.0999999999999</v>
      </c>
      <c r="G583" s="108"/>
      <c r="H583" s="111" t="s">
        <v>16</v>
      </c>
    </row>
    <row r="584" spans="1:8" ht="16.5" x14ac:dyDescent="0.2">
      <c r="A584" s="108"/>
      <c r="B584" s="108"/>
      <c r="C584" s="110"/>
      <c r="D584" s="109"/>
      <c r="E584" s="109"/>
      <c r="F584" s="109"/>
      <c r="G584" s="108"/>
    </row>
    <row r="585" spans="1:8" ht="33" x14ac:dyDescent="0.2">
      <c r="A585" s="108" t="s">
        <v>2830</v>
      </c>
      <c r="B585" s="108" t="s">
        <v>249</v>
      </c>
      <c r="C585" s="110" t="s">
        <v>81</v>
      </c>
      <c r="D585" s="109">
        <v>1</v>
      </c>
      <c r="E585" s="109">
        <v>9500.58</v>
      </c>
      <c r="F585" s="109"/>
      <c r="G585" s="108" t="s">
        <v>2829</v>
      </c>
      <c r="H585" s="111" t="s">
        <v>16</v>
      </c>
    </row>
    <row r="586" spans="1:8" ht="33" x14ac:dyDescent="0.2">
      <c r="A586" s="108">
        <v>1</v>
      </c>
      <c r="B586" s="108" t="s">
        <v>1774</v>
      </c>
      <c r="C586" s="110" t="s">
        <v>50</v>
      </c>
      <c r="D586" s="109">
        <v>11.54</v>
      </c>
      <c r="E586" s="109">
        <v>458.74</v>
      </c>
      <c r="F586" s="109">
        <v>5293.86</v>
      </c>
      <c r="G586" s="108" t="s">
        <v>2508</v>
      </c>
      <c r="H586" s="111" t="s">
        <v>16</v>
      </c>
    </row>
    <row r="587" spans="1:8" ht="33" x14ac:dyDescent="0.2">
      <c r="A587" s="108">
        <v>2</v>
      </c>
      <c r="B587" s="108" t="s">
        <v>1610</v>
      </c>
      <c r="C587" s="110" t="s">
        <v>97</v>
      </c>
      <c r="D587" s="109">
        <v>6</v>
      </c>
      <c r="E587" s="109">
        <v>375</v>
      </c>
      <c r="F587" s="109">
        <v>2250</v>
      </c>
      <c r="G587" s="108" t="s">
        <v>1609</v>
      </c>
      <c r="H587" s="111" t="s">
        <v>16</v>
      </c>
    </row>
    <row r="588" spans="1:8" ht="33" x14ac:dyDescent="0.2">
      <c r="A588" s="108">
        <v>3</v>
      </c>
      <c r="B588" s="108" t="s">
        <v>1527</v>
      </c>
      <c r="C588" s="110" t="s">
        <v>97</v>
      </c>
      <c r="D588" s="109">
        <v>6</v>
      </c>
      <c r="E588" s="109">
        <v>280</v>
      </c>
      <c r="F588" s="109">
        <v>1680</v>
      </c>
      <c r="G588" s="108" t="s">
        <v>1535</v>
      </c>
      <c r="H588" s="111" t="s">
        <v>16</v>
      </c>
    </row>
    <row r="589" spans="1:8" ht="33" x14ac:dyDescent="0.2">
      <c r="A589" s="108">
        <v>4</v>
      </c>
      <c r="B589" s="108" t="s">
        <v>1518</v>
      </c>
      <c r="C589" s="110" t="s">
        <v>14</v>
      </c>
      <c r="D589" s="109">
        <v>1</v>
      </c>
      <c r="E589" s="109">
        <v>276.72000000000003</v>
      </c>
      <c r="F589" s="109">
        <v>276.72000000000003</v>
      </c>
      <c r="G589" s="108" t="s">
        <v>1517</v>
      </c>
      <c r="H589" s="111" t="s">
        <v>16</v>
      </c>
    </row>
    <row r="590" spans="1:8" ht="33" x14ac:dyDescent="0.2">
      <c r="A590" s="108"/>
      <c r="B590" s="108" t="s">
        <v>1516</v>
      </c>
      <c r="C590" s="110" t="s">
        <v>81</v>
      </c>
      <c r="D590" s="109">
        <v>1</v>
      </c>
      <c r="E590" s="109"/>
      <c r="F590" s="109">
        <v>9500.58</v>
      </c>
      <c r="G590" s="108"/>
      <c r="H590" s="111" t="s">
        <v>16</v>
      </c>
    </row>
    <row r="591" spans="1:8" ht="33" x14ac:dyDescent="0.2">
      <c r="A591" s="108"/>
      <c r="B591" s="108" t="s">
        <v>1515</v>
      </c>
      <c r="C591" s="110" t="s">
        <v>81</v>
      </c>
      <c r="D591" s="109"/>
      <c r="E591" s="109"/>
      <c r="F591" s="109">
        <v>9500.58</v>
      </c>
      <c r="G591" s="108"/>
      <c r="H591" s="111" t="s">
        <v>16</v>
      </c>
    </row>
    <row r="592" spans="1:8" ht="16.5" x14ac:dyDescent="0.2">
      <c r="A592" s="108"/>
      <c r="B592" s="108"/>
      <c r="C592" s="110"/>
      <c r="D592" s="109"/>
      <c r="E592" s="109"/>
      <c r="F592" s="109"/>
      <c r="G592" s="108"/>
    </row>
    <row r="593" spans="1:8" ht="33" x14ac:dyDescent="0.2">
      <c r="A593" s="108" t="s">
        <v>2828</v>
      </c>
      <c r="B593" s="108" t="s">
        <v>252</v>
      </c>
      <c r="C593" s="110" t="s">
        <v>81</v>
      </c>
      <c r="D593" s="109">
        <v>1</v>
      </c>
      <c r="E593" s="109">
        <v>3871.43</v>
      </c>
      <c r="F593" s="109"/>
      <c r="G593" s="108" t="s">
        <v>2827</v>
      </c>
      <c r="H593" s="111" t="s">
        <v>16</v>
      </c>
    </row>
    <row r="594" spans="1:8" ht="33" x14ac:dyDescent="0.2">
      <c r="A594" s="108">
        <v>1</v>
      </c>
      <c r="B594" s="108" t="s">
        <v>1774</v>
      </c>
      <c r="C594" s="110" t="s">
        <v>50</v>
      </c>
      <c r="D594" s="109">
        <v>3.91</v>
      </c>
      <c r="E594" s="109">
        <v>458.74</v>
      </c>
      <c r="F594" s="109">
        <v>1793.67</v>
      </c>
      <c r="G594" s="108" t="s">
        <v>2508</v>
      </c>
      <c r="H594" s="111" t="s">
        <v>16</v>
      </c>
    </row>
    <row r="595" spans="1:8" ht="33" x14ac:dyDescent="0.2">
      <c r="A595" s="108">
        <v>2</v>
      </c>
      <c r="B595" s="108" t="s">
        <v>1610</v>
      </c>
      <c r="C595" s="110" t="s">
        <v>97</v>
      </c>
      <c r="D595" s="109">
        <v>3</v>
      </c>
      <c r="E595" s="109">
        <v>375</v>
      </c>
      <c r="F595" s="109">
        <v>1125</v>
      </c>
      <c r="G595" s="108" t="s">
        <v>1609</v>
      </c>
      <c r="H595" s="111" t="s">
        <v>16</v>
      </c>
    </row>
    <row r="596" spans="1:8" ht="33" x14ac:dyDescent="0.2">
      <c r="A596" s="108">
        <v>3</v>
      </c>
      <c r="B596" s="108" t="s">
        <v>1527</v>
      </c>
      <c r="C596" s="110" t="s">
        <v>97</v>
      </c>
      <c r="D596" s="109">
        <v>3</v>
      </c>
      <c r="E596" s="109">
        <v>280</v>
      </c>
      <c r="F596" s="109">
        <v>840</v>
      </c>
      <c r="G596" s="108" t="s">
        <v>1535</v>
      </c>
      <c r="H596" s="111" t="s">
        <v>16</v>
      </c>
    </row>
    <row r="597" spans="1:8" ht="33" x14ac:dyDescent="0.2">
      <c r="A597" s="108">
        <v>4</v>
      </c>
      <c r="B597" s="108" t="s">
        <v>1518</v>
      </c>
      <c r="C597" s="110" t="s">
        <v>14</v>
      </c>
      <c r="D597" s="109">
        <v>1</v>
      </c>
      <c r="E597" s="109">
        <v>112.76</v>
      </c>
      <c r="F597" s="109">
        <v>112.76</v>
      </c>
      <c r="G597" s="108" t="s">
        <v>1517</v>
      </c>
      <c r="H597" s="111" t="s">
        <v>16</v>
      </c>
    </row>
    <row r="598" spans="1:8" ht="33" x14ac:dyDescent="0.2">
      <c r="A598" s="108"/>
      <c r="B598" s="108" t="s">
        <v>1516</v>
      </c>
      <c r="C598" s="110" t="s">
        <v>81</v>
      </c>
      <c r="D598" s="109">
        <v>1</v>
      </c>
      <c r="E598" s="109"/>
      <c r="F598" s="109">
        <v>3871.4300000000003</v>
      </c>
      <c r="G598" s="108"/>
      <c r="H598" s="111" t="s">
        <v>16</v>
      </c>
    </row>
    <row r="599" spans="1:8" ht="33" x14ac:dyDescent="0.2">
      <c r="A599" s="108"/>
      <c r="B599" s="108" t="s">
        <v>1515</v>
      </c>
      <c r="C599" s="110" t="s">
        <v>81</v>
      </c>
      <c r="D599" s="109"/>
      <c r="E599" s="109"/>
      <c r="F599" s="109">
        <v>3871.43</v>
      </c>
      <c r="G599" s="108"/>
      <c r="H599" s="111" t="s">
        <v>16</v>
      </c>
    </row>
    <row r="600" spans="1:8" ht="16.5" x14ac:dyDescent="0.2">
      <c r="A600" s="108"/>
      <c r="B600" s="108"/>
      <c r="C600" s="110"/>
      <c r="D600" s="109"/>
      <c r="E600" s="109"/>
      <c r="F600" s="109"/>
      <c r="G600" s="108"/>
    </row>
    <row r="601" spans="1:8" ht="33" x14ac:dyDescent="0.2">
      <c r="A601" s="108" t="s">
        <v>2826</v>
      </c>
      <c r="B601" s="108" t="s">
        <v>255</v>
      </c>
      <c r="C601" s="110" t="s">
        <v>81</v>
      </c>
      <c r="D601" s="109">
        <v>1</v>
      </c>
      <c r="E601" s="109">
        <v>25380.34</v>
      </c>
      <c r="F601" s="109"/>
      <c r="G601" s="108" t="s">
        <v>2825</v>
      </c>
      <c r="H601" s="111" t="s">
        <v>16</v>
      </c>
    </row>
    <row r="602" spans="1:8" ht="33" x14ac:dyDescent="0.2">
      <c r="A602" s="108">
        <v>1</v>
      </c>
      <c r="B602" s="108" t="s">
        <v>1774</v>
      </c>
      <c r="C602" s="110" t="s">
        <v>50</v>
      </c>
      <c r="D602" s="109">
        <v>43.72</v>
      </c>
      <c r="E602" s="109">
        <v>458.74</v>
      </c>
      <c r="F602" s="109">
        <v>20056.11</v>
      </c>
      <c r="G602" s="108" t="s">
        <v>2508</v>
      </c>
      <c r="H602" s="111" t="s">
        <v>16</v>
      </c>
    </row>
    <row r="603" spans="1:8" ht="33" x14ac:dyDescent="0.2">
      <c r="A603" s="108">
        <v>2</v>
      </c>
      <c r="B603" s="108" t="s">
        <v>1610</v>
      </c>
      <c r="C603" s="110" t="s">
        <v>97</v>
      </c>
      <c r="D603" s="109">
        <v>7</v>
      </c>
      <c r="E603" s="109">
        <v>375</v>
      </c>
      <c r="F603" s="109">
        <v>2625</v>
      </c>
      <c r="G603" s="108" t="s">
        <v>1609</v>
      </c>
      <c r="H603" s="111" t="s">
        <v>16</v>
      </c>
    </row>
    <row r="604" spans="1:8" ht="33" x14ac:dyDescent="0.2">
      <c r="A604" s="108">
        <v>3</v>
      </c>
      <c r="B604" s="108" t="s">
        <v>1527</v>
      </c>
      <c r="C604" s="110" t="s">
        <v>97</v>
      </c>
      <c r="D604" s="109">
        <v>7</v>
      </c>
      <c r="E604" s="109">
        <v>280</v>
      </c>
      <c r="F604" s="109">
        <v>1960</v>
      </c>
      <c r="G604" s="108" t="s">
        <v>1535</v>
      </c>
      <c r="H604" s="111" t="s">
        <v>16</v>
      </c>
    </row>
    <row r="605" spans="1:8" ht="33" x14ac:dyDescent="0.2">
      <c r="A605" s="108">
        <v>4</v>
      </c>
      <c r="B605" s="108" t="s">
        <v>1518</v>
      </c>
      <c r="C605" s="110" t="s">
        <v>14</v>
      </c>
      <c r="D605" s="109">
        <v>1</v>
      </c>
      <c r="E605" s="109">
        <v>739.23</v>
      </c>
      <c r="F605" s="109">
        <v>739.23</v>
      </c>
      <c r="G605" s="108" t="s">
        <v>1517</v>
      </c>
      <c r="H605" s="111" t="s">
        <v>16</v>
      </c>
    </row>
    <row r="606" spans="1:8" ht="33" x14ac:dyDescent="0.2">
      <c r="A606" s="108"/>
      <c r="B606" s="108" t="s">
        <v>1516</v>
      </c>
      <c r="C606" s="110" t="s">
        <v>81</v>
      </c>
      <c r="D606" s="109">
        <v>1</v>
      </c>
      <c r="E606" s="109"/>
      <c r="F606" s="109">
        <v>25380.34</v>
      </c>
      <c r="G606" s="108"/>
      <c r="H606" s="111" t="s">
        <v>16</v>
      </c>
    </row>
    <row r="607" spans="1:8" ht="33" x14ac:dyDescent="0.2">
      <c r="A607" s="108"/>
      <c r="B607" s="108" t="s">
        <v>1515</v>
      </c>
      <c r="C607" s="110" t="s">
        <v>81</v>
      </c>
      <c r="D607" s="109"/>
      <c r="E607" s="109"/>
      <c r="F607" s="109">
        <v>25380.34</v>
      </c>
      <c r="G607" s="108"/>
      <c r="H607" s="111" t="s">
        <v>16</v>
      </c>
    </row>
    <row r="608" spans="1:8" ht="16.5" x14ac:dyDescent="0.2">
      <c r="A608" s="108"/>
      <c r="B608" s="108"/>
      <c r="C608" s="110"/>
      <c r="D608" s="109"/>
      <c r="E608" s="109"/>
      <c r="F608" s="109"/>
      <c r="G608" s="108"/>
    </row>
    <row r="609" spans="1:8" ht="33" x14ac:dyDescent="0.2">
      <c r="A609" s="108" t="s">
        <v>2824</v>
      </c>
      <c r="B609" s="108" t="s">
        <v>258</v>
      </c>
      <c r="C609" s="110" t="s">
        <v>30</v>
      </c>
      <c r="D609" s="109">
        <v>1</v>
      </c>
      <c r="E609" s="109">
        <v>1285.31</v>
      </c>
      <c r="F609" s="109"/>
      <c r="G609" s="108" t="s">
        <v>2823</v>
      </c>
      <c r="H609" s="111" t="s">
        <v>16</v>
      </c>
    </row>
    <row r="610" spans="1:8" ht="33" x14ac:dyDescent="0.2">
      <c r="A610" s="108">
        <v>1</v>
      </c>
      <c r="B610" s="108" t="s">
        <v>1744</v>
      </c>
      <c r="C610" s="110" t="s">
        <v>50</v>
      </c>
      <c r="D610" s="109">
        <v>0.01</v>
      </c>
      <c r="E610" s="109">
        <v>1537.36</v>
      </c>
      <c r="F610" s="109">
        <v>15.37</v>
      </c>
      <c r="G610" s="108" t="s">
        <v>2822</v>
      </c>
      <c r="H610" s="111" t="s">
        <v>16</v>
      </c>
    </row>
    <row r="611" spans="1:8" ht="33" x14ac:dyDescent="0.2">
      <c r="A611" s="108">
        <v>2</v>
      </c>
      <c r="B611" s="108" t="s">
        <v>420</v>
      </c>
      <c r="C611" s="110" t="s">
        <v>50</v>
      </c>
      <c r="D611" s="109">
        <v>0.59</v>
      </c>
      <c r="E611" s="109">
        <v>1400</v>
      </c>
      <c r="F611" s="109">
        <v>826</v>
      </c>
      <c r="G611" s="108" t="s">
        <v>421</v>
      </c>
      <c r="H611" s="111" t="s">
        <v>16</v>
      </c>
    </row>
    <row r="612" spans="1:8" ht="33" x14ac:dyDescent="0.2">
      <c r="A612" s="108">
        <v>3</v>
      </c>
      <c r="B612" s="108" t="s">
        <v>2775</v>
      </c>
      <c r="C612" s="110" t="s">
        <v>559</v>
      </c>
      <c r="D612" s="109">
        <v>3</v>
      </c>
      <c r="E612" s="109">
        <v>70</v>
      </c>
      <c r="F612" s="109">
        <v>210</v>
      </c>
      <c r="G612" s="108" t="s">
        <v>2774</v>
      </c>
      <c r="H612" s="111" t="s">
        <v>16</v>
      </c>
    </row>
    <row r="613" spans="1:8" ht="33" x14ac:dyDescent="0.2">
      <c r="A613" s="108">
        <v>4</v>
      </c>
      <c r="B613" s="108" t="s">
        <v>1610</v>
      </c>
      <c r="C613" s="110" t="s">
        <v>97</v>
      </c>
      <c r="D613" s="109">
        <v>0.3</v>
      </c>
      <c r="E613" s="109">
        <v>375</v>
      </c>
      <c r="F613" s="109">
        <v>112.5</v>
      </c>
      <c r="G613" s="108" t="s">
        <v>1609</v>
      </c>
      <c r="H613" s="111" t="s">
        <v>16</v>
      </c>
    </row>
    <row r="614" spans="1:8" ht="33" x14ac:dyDescent="0.2">
      <c r="A614" s="108">
        <v>5</v>
      </c>
      <c r="B614" s="108" t="s">
        <v>1527</v>
      </c>
      <c r="C614" s="110" t="s">
        <v>97</v>
      </c>
      <c r="D614" s="109">
        <v>0.3</v>
      </c>
      <c r="E614" s="109">
        <v>280</v>
      </c>
      <c r="F614" s="109">
        <v>84</v>
      </c>
      <c r="G614" s="108" t="s">
        <v>1535</v>
      </c>
      <c r="H614" s="111" t="s">
        <v>16</v>
      </c>
    </row>
    <row r="615" spans="1:8" ht="33" x14ac:dyDescent="0.2">
      <c r="A615" s="108">
        <v>6</v>
      </c>
      <c r="B615" s="108" t="s">
        <v>1518</v>
      </c>
      <c r="C615" s="110" t="s">
        <v>14</v>
      </c>
      <c r="D615" s="109">
        <v>1</v>
      </c>
      <c r="E615" s="109">
        <v>37.44</v>
      </c>
      <c r="F615" s="109">
        <v>37.44</v>
      </c>
      <c r="G615" s="108" t="s">
        <v>1517</v>
      </c>
      <c r="H615" s="111" t="s">
        <v>16</v>
      </c>
    </row>
    <row r="616" spans="1:8" ht="33" x14ac:dyDescent="0.2">
      <c r="A616" s="108"/>
      <c r="B616" s="108" t="s">
        <v>1516</v>
      </c>
      <c r="C616" s="110" t="s">
        <v>30</v>
      </c>
      <c r="D616" s="109">
        <v>1</v>
      </c>
      <c r="E616" s="109"/>
      <c r="F616" s="109">
        <v>1285.31</v>
      </c>
      <c r="G616" s="108"/>
      <c r="H616" s="111" t="s">
        <v>16</v>
      </c>
    </row>
    <row r="617" spans="1:8" ht="33" x14ac:dyDescent="0.2">
      <c r="A617" s="108"/>
      <c r="B617" s="108" t="s">
        <v>1515</v>
      </c>
      <c r="C617" s="110" t="s">
        <v>30</v>
      </c>
      <c r="D617" s="109"/>
      <c r="E617" s="109"/>
      <c r="F617" s="109">
        <v>1285.31</v>
      </c>
      <c r="G617" s="108"/>
      <c r="H617" s="111" t="s">
        <v>16</v>
      </c>
    </row>
    <row r="618" spans="1:8" ht="16.5" x14ac:dyDescent="0.2">
      <c r="A618" s="108"/>
      <c r="B618" s="108"/>
      <c r="C618" s="110"/>
      <c r="D618" s="109"/>
      <c r="E618" s="109"/>
      <c r="F618" s="109"/>
      <c r="G618" s="108"/>
    </row>
    <row r="619" spans="1:8" ht="33" x14ac:dyDescent="0.2">
      <c r="A619" s="108" t="s">
        <v>2821</v>
      </c>
      <c r="B619" s="108" t="s">
        <v>261</v>
      </c>
      <c r="C619" s="110" t="s">
        <v>30</v>
      </c>
      <c r="D619" s="109">
        <v>1</v>
      </c>
      <c r="E619" s="109">
        <v>1976.06</v>
      </c>
      <c r="F619" s="109"/>
      <c r="G619" s="108" t="s">
        <v>2820</v>
      </c>
      <c r="H619" s="111" t="s">
        <v>16</v>
      </c>
    </row>
    <row r="620" spans="1:8" ht="33" x14ac:dyDescent="0.2">
      <c r="A620" s="108">
        <v>1</v>
      </c>
      <c r="B620" s="108" t="s">
        <v>420</v>
      </c>
      <c r="C620" s="110" t="s">
        <v>50</v>
      </c>
      <c r="D620" s="109">
        <v>1.08</v>
      </c>
      <c r="E620" s="109">
        <v>1400</v>
      </c>
      <c r="F620" s="109">
        <v>1512</v>
      </c>
      <c r="G620" s="108" t="s">
        <v>421</v>
      </c>
      <c r="H620" s="111" t="s">
        <v>16</v>
      </c>
    </row>
    <row r="621" spans="1:8" ht="33" x14ac:dyDescent="0.2">
      <c r="A621" s="108">
        <v>2</v>
      </c>
      <c r="B621" s="108" t="s">
        <v>2775</v>
      </c>
      <c r="C621" s="110" t="s">
        <v>559</v>
      </c>
      <c r="D621" s="109">
        <v>3</v>
      </c>
      <c r="E621" s="109">
        <v>70</v>
      </c>
      <c r="F621" s="109">
        <v>210</v>
      </c>
      <c r="G621" s="108" t="s">
        <v>2774</v>
      </c>
      <c r="H621" s="111" t="s">
        <v>16</v>
      </c>
    </row>
    <row r="622" spans="1:8" ht="33" x14ac:dyDescent="0.2">
      <c r="A622" s="108">
        <v>3</v>
      </c>
      <c r="B622" s="108" t="s">
        <v>1610</v>
      </c>
      <c r="C622" s="110" t="s">
        <v>97</v>
      </c>
      <c r="D622" s="109">
        <v>0.3</v>
      </c>
      <c r="E622" s="109">
        <v>375</v>
      </c>
      <c r="F622" s="109">
        <v>112.5</v>
      </c>
      <c r="G622" s="108" t="s">
        <v>1609</v>
      </c>
      <c r="H622" s="111" t="s">
        <v>16</v>
      </c>
    </row>
    <row r="623" spans="1:8" ht="33" x14ac:dyDescent="0.2">
      <c r="A623" s="108">
        <v>4</v>
      </c>
      <c r="B623" s="108" t="s">
        <v>1527</v>
      </c>
      <c r="C623" s="110" t="s">
        <v>97</v>
      </c>
      <c r="D623" s="109">
        <v>0.3</v>
      </c>
      <c r="E623" s="109">
        <v>280</v>
      </c>
      <c r="F623" s="109">
        <v>84</v>
      </c>
      <c r="G623" s="108" t="s">
        <v>1535</v>
      </c>
      <c r="H623" s="111" t="s">
        <v>16</v>
      </c>
    </row>
    <row r="624" spans="1:8" ht="33" x14ac:dyDescent="0.2">
      <c r="A624" s="108">
        <v>5</v>
      </c>
      <c r="B624" s="108" t="s">
        <v>1518</v>
      </c>
      <c r="C624" s="110" t="s">
        <v>14</v>
      </c>
      <c r="D624" s="109">
        <v>1</v>
      </c>
      <c r="E624" s="109">
        <v>57.56</v>
      </c>
      <c r="F624" s="109">
        <v>57.56</v>
      </c>
      <c r="G624" s="108" t="s">
        <v>1517</v>
      </c>
      <c r="H624" s="111" t="s">
        <v>16</v>
      </c>
    </row>
    <row r="625" spans="1:8" ht="33" x14ac:dyDescent="0.2">
      <c r="A625" s="108"/>
      <c r="B625" s="108" t="s">
        <v>1516</v>
      </c>
      <c r="C625" s="110" t="s">
        <v>30</v>
      </c>
      <c r="D625" s="109">
        <v>1</v>
      </c>
      <c r="E625" s="109"/>
      <c r="F625" s="109">
        <v>1976.06</v>
      </c>
      <c r="G625" s="108"/>
      <c r="H625" s="111" t="s">
        <v>16</v>
      </c>
    </row>
    <row r="626" spans="1:8" ht="33" x14ac:dyDescent="0.2">
      <c r="A626" s="108"/>
      <c r="B626" s="108" t="s">
        <v>1515</v>
      </c>
      <c r="C626" s="110" t="s">
        <v>30</v>
      </c>
      <c r="D626" s="109"/>
      <c r="E626" s="109"/>
      <c r="F626" s="109">
        <v>1976.06</v>
      </c>
      <c r="G626" s="108"/>
      <c r="H626" s="111" t="s">
        <v>16</v>
      </c>
    </row>
    <row r="627" spans="1:8" ht="16.5" x14ac:dyDescent="0.2">
      <c r="A627" s="108"/>
      <c r="B627" s="108"/>
      <c r="C627" s="110"/>
      <c r="D627" s="109"/>
      <c r="E627" s="109"/>
      <c r="F627" s="109"/>
      <c r="G627" s="108"/>
    </row>
    <row r="628" spans="1:8" ht="33" x14ac:dyDescent="0.2">
      <c r="A628" s="108" t="s">
        <v>2819</v>
      </c>
      <c r="B628" s="108" t="s">
        <v>264</v>
      </c>
      <c r="C628" s="110" t="s">
        <v>30</v>
      </c>
      <c r="D628" s="109">
        <v>1</v>
      </c>
      <c r="E628" s="109">
        <v>1889.54</v>
      </c>
      <c r="F628" s="109"/>
      <c r="G628" s="108" t="s">
        <v>2818</v>
      </c>
      <c r="H628" s="111" t="s">
        <v>16</v>
      </c>
    </row>
    <row r="629" spans="1:8" ht="33" x14ac:dyDescent="0.2">
      <c r="A629" s="108">
        <v>1</v>
      </c>
      <c r="B629" s="108" t="s">
        <v>420</v>
      </c>
      <c r="C629" s="110" t="s">
        <v>50</v>
      </c>
      <c r="D629" s="109">
        <v>1.17</v>
      </c>
      <c r="E629" s="109">
        <v>1400</v>
      </c>
      <c r="F629" s="109">
        <v>1638</v>
      </c>
      <c r="G629" s="108" t="s">
        <v>421</v>
      </c>
      <c r="H629" s="111" t="s">
        <v>16</v>
      </c>
    </row>
    <row r="630" spans="1:8" ht="33" x14ac:dyDescent="0.2">
      <c r="A630" s="108">
        <v>2</v>
      </c>
      <c r="B630" s="108" t="s">
        <v>1610</v>
      </c>
      <c r="C630" s="110" t="s">
        <v>97</v>
      </c>
      <c r="D630" s="109">
        <v>0.3</v>
      </c>
      <c r="E630" s="109">
        <v>375</v>
      </c>
      <c r="F630" s="109">
        <v>112.5</v>
      </c>
      <c r="G630" s="108" t="s">
        <v>1609</v>
      </c>
      <c r="H630" s="111" t="s">
        <v>16</v>
      </c>
    </row>
    <row r="631" spans="1:8" ht="33" x14ac:dyDescent="0.2">
      <c r="A631" s="108">
        <v>3</v>
      </c>
      <c r="B631" s="108" t="s">
        <v>1527</v>
      </c>
      <c r="C631" s="110" t="s">
        <v>97</v>
      </c>
      <c r="D631" s="109">
        <v>0.3</v>
      </c>
      <c r="E631" s="109">
        <v>280</v>
      </c>
      <c r="F631" s="109">
        <v>84</v>
      </c>
      <c r="G631" s="108" t="s">
        <v>1535</v>
      </c>
      <c r="H631" s="111" t="s">
        <v>16</v>
      </c>
    </row>
    <row r="632" spans="1:8" ht="33" x14ac:dyDescent="0.2">
      <c r="A632" s="108">
        <v>4</v>
      </c>
      <c r="B632" s="108" t="s">
        <v>1518</v>
      </c>
      <c r="C632" s="110" t="s">
        <v>14</v>
      </c>
      <c r="D632" s="109">
        <v>1</v>
      </c>
      <c r="E632" s="109">
        <v>55.04</v>
      </c>
      <c r="F632" s="109">
        <v>55.04</v>
      </c>
      <c r="G632" s="108" t="s">
        <v>1517</v>
      </c>
      <c r="H632" s="111" t="s">
        <v>16</v>
      </c>
    </row>
    <row r="633" spans="1:8" ht="33" x14ac:dyDescent="0.2">
      <c r="A633" s="108"/>
      <c r="B633" s="108" t="s">
        <v>1516</v>
      </c>
      <c r="C633" s="110" t="s">
        <v>30</v>
      </c>
      <c r="D633" s="109">
        <v>1</v>
      </c>
      <c r="E633" s="109"/>
      <c r="F633" s="109">
        <v>1889.54</v>
      </c>
      <c r="G633" s="108"/>
      <c r="H633" s="111" t="s">
        <v>16</v>
      </c>
    </row>
    <row r="634" spans="1:8" ht="33" x14ac:dyDescent="0.2">
      <c r="A634" s="108"/>
      <c r="B634" s="108" t="s">
        <v>1515</v>
      </c>
      <c r="C634" s="110" t="s">
        <v>30</v>
      </c>
      <c r="D634" s="109"/>
      <c r="E634" s="109"/>
      <c r="F634" s="109">
        <v>1889.54</v>
      </c>
      <c r="G634" s="108"/>
      <c r="H634" s="111" t="s">
        <v>16</v>
      </c>
    </row>
    <row r="635" spans="1:8" ht="16.5" x14ac:dyDescent="0.2">
      <c r="A635" s="108"/>
      <c r="B635" s="108"/>
      <c r="C635" s="110"/>
      <c r="D635" s="109"/>
      <c r="E635" s="109"/>
      <c r="F635" s="109"/>
      <c r="G635" s="108"/>
    </row>
    <row r="636" spans="1:8" ht="33" x14ac:dyDescent="0.2">
      <c r="A636" s="108" t="s">
        <v>2817</v>
      </c>
      <c r="B636" s="108" t="s">
        <v>267</v>
      </c>
      <c r="C636" s="110" t="s">
        <v>30</v>
      </c>
      <c r="D636" s="109">
        <v>1</v>
      </c>
      <c r="E636" s="109">
        <v>1778.66</v>
      </c>
      <c r="F636" s="109"/>
      <c r="G636" s="108" t="s">
        <v>2816</v>
      </c>
      <c r="H636" s="111" t="s">
        <v>16</v>
      </c>
    </row>
    <row r="637" spans="1:8" ht="33" x14ac:dyDescent="0.2">
      <c r="A637" s="108">
        <v>1</v>
      </c>
      <c r="B637" s="108" t="s">
        <v>1774</v>
      </c>
      <c r="C637" s="110" t="s">
        <v>50</v>
      </c>
      <c r="D637" s="109">
        <v>2.5</v>
      </c>
      <c r="E637" s="109">
        <v>458.74</v>
      </c>
      <c r="F637" s="109">
        <v>1146.8499999999999</v>
      </c>
      <c r="G637" s="108" t="s">
        <v>2508</v>
      </c>
      <c r="H637" s="111" t="s">
        <v>16</v>
      </c>
    </row>
    <row r="638" spans="1:8" ht="33" x14ac:dyDescent="0.2">
      <c r="A638" s="108">
        <v>2</v>
      </c>
      <c r="B638" s="108" t="s">
        <v>1610</v>
      </c>
      <c r="C638" s="110" t="s">
        <v>97</v>
      </c>
      <c r="D638" s="109">
        <v>0.8</v>
      </c>
      <c r="E638" s="109">
        <v>375</v>
      </c>
      <c r="F638" s="109">
        <v>300</v>
      </c>
      <c r="G638" s="108" t="s">
        <v>1609</v>
      </c>
      <c r="H638" s="111" t="s">
        <v>16</v>
      </c>
    </row>
    <row r="639" spans="1:8" ht="33" x14ac:dyDescent="0.2">
      <c r="A639" s="108">
        <v>3</v>
      </c>
      <c r="B639" s="108" t="s">
        <v>1527</v>
      </c>
      <c r="C639" s="110" t="s">
        <v>97</v>
      </c>
      <c r="D639" s="109">
        <v>1</v>
      </c>
      <c r="E639" s="109">
        <v>280</v>
      </c>
      <c r="F639" s="109">
        <v>280</v>
      </c>
      <c r="G639" s="108" t="s">
        <v>1535</v>
      </c>
      <c r="H639" s="111" t="s">
        <v>16</v>
      </c>
    </row>
    <row r="640" spans="1:8" ht="33" x14ac:dyDescent="0.2">
      <c r="A640" s="108">
        <v>4</v>
      </c>
      <c r="B640" s="108" t="s">
        <v>1518</v>
      </c>
      <c r="C640" s="110" t="s">
        <v>14</v>
      </c>
      <c r="D640" s="109">
        <v>1</v>
      </c>
      <c r="E640" s="109">
        <v>51.81</v>
      </c>
      <c r="F640" s="109">
        <v>51.81</v>
      </c>
      <c r="G640" s="108" t="s">
        <v>1517</v>
      </c>
      <c r="H640" s="111" t="s">
        <v>16</v>
      </c>
    </row>
    <row r="641" spans="1:8" ht="33" x14ac:dyDescent="0.2">
      <c r="A641" s="108"/>
      <c r="B641" s="108" t="s">
        <v>1516</v>
      </c>
      <c r="C641" s="110" t="s">
        <v>30</v>
      </c>
      <c r="D641" s="109">
        <v>1</v>
      </c>
      <c r="E641" s="109"/>
      <c r="F641" s="109">
        <v>1778.6599999999999</v>
      </c>
      <c r="G641" s="108"/>
      <c r="H641" s="111" t="s">
        <v>16</v>
      </c>
    </row>
    <row r="642" spans="1:8" ht="33" x14ac:dyDescent="0.2">
      <c r="A642" s="108"/>
      <c r="B642" s="108" t="s">
        <v>1515</v>
      </c>
      <c r="C642" s="110" t="s">
        <v>30</v>
      </c>
      <c r="D642" s="109"/>
      <c r="E642" s="109"/>
      <c r="F642" s="109">
        <v>1778.66</v>
      </c>
      <c r="G642" s="108"/>
      <c r="H642" s="111" t="s">
        <v>16</v>
      </c>
    </row>
    <row r="643" spans="1:8" ht="16.5" x14ac:dyDescent="0.2">
      <c r="A643" s="108"/>
      <c r="B643" s="108"/>
      <c r="C643" s="110"/>
      <c r="D643" s="109"/>
      <c r="E643" s="109"/>
      <c r="F643" s="109"/>
      <c r="G643" s="108"/>
    </row>
    <row r="644" spans="1:8" ht="33" x14ac:dyDescent="0.2">
      <c r="A644" s="108" t="s">
        <v>2815</v>
      </c>
      <c r="B644" s="108" t="s">
        <v>270</v>
      </c>
      <c r="C644" s="110" t="s">
        <v>30</v>
      </c>
      <c r="D644" s="109">
        <v>1</v>
      </c>
      <c r="E644" s="109">
        <v>2939.14</v>
      </c>
      <c r="F644" s="109"/>
      <c r="G644" s="108" t="s">
        <v>2814</v>
      </c>
      <c r="H644" s="111" t="s">
        <v>16</v>
      </c>
    </row>
    <row r="645" spans="1:8" ht="33" x14ac:dyDescent="0.2">
      <c r="A645" s="108">
        <v>1</v>
      </c>
      <c r="B645" s="108" t="s">
        <v>1774</v>
      </c>
      <c r="C645" s="110" t="s">
        <v>50</v>
      </c>
      <c r="D645" s="109">
        <v>2.95</v>
      </c>
      <c r="E645" s="109">
        <v>458.74</v>
      </c>
      <c r="F645" s="109">
        <v>1353.28</v>
      </c>
      <c r="G645" s="108" t="s">
        <v>2508</v>
      </c>
      <c r="H645" s="111" t="s">
        <v>16</v>
      </c>
    </row>
    <row r="646" spans="1:8" ht="33" x14ac:dyDescent="0.2">
      <c r="A646" s="108">
        <v>2</v>
      </c>
      <c r="B646" s="108" t="s">
        <v>420</v>
      </c>
      <c r="C646" s="110" t="s">
        <v>50</v>
      </c>
      <c r="D646" s="109">
        <v>0.46</v>
      </c>
      <c r="E646" s="109">
        <v>1400</v>
      </c>
      <c r="F646" s="109">
        <v>644</v>
      </c>
      <c r="G646" s="108" t="s">
        <v>421</v>
      </c>
      <c r="H646" s="111" t="s">
        <v>16</v>
      </c>
    </row>
    <row r="647" spans="1:8" ht="33" x14ac:dyDescent="0.2">
      <c r="A647" s="108">
        <v>3</v>
      </c>
      <c r="B647" s="108" t="s">
        <v>2775</v>
      </c>
      <c r="C647" s="110" t="s">
        <v>559</v>
      </c>
      <c r="D647" s="109">
        <v>3</v>
      </c>
      <c r="E647" s="109">
        <v>70</v>
      </c>
      <c r="F647" s="109">
        <v>210</v>
      </c>
      <c r="G647" s="108" t="s">
        <v>2774</v>
      </c>
      <c r="H647" s="111" t="s">
        <v>16</v>
      </c>
    </row>
    <row r="648" spans="1:8" ht="33" x14ac:dyDescent="0.2">
      <c r="A648" s="108">
        <v>4</v>
      </c>
      <c r="B648" s="108" t="s">
        <v>1610</v>
      </c>
      <c r="C648" s="110" t="s">
        <v>97</v>
      </c>
      <c r="D648" s="109">
        <v>1.35</v>
      </c>
      <c r="E648" s="109">
        <v>375</v>
      </c>
      <c r="F648" s="109">
        <v>506.25</v>
      </c>
      <c r="G648" s="108" t="s">
        <v>1609</v>
      </c>
      <c r="H648" s="111" t="s">
        <v>16</v>
      </c>
    </row>
    <row r="649" spans="1:8" ht="33" x14ac:dyDescent="0.2">
      <c r="A649" s="108">
        <v>5</v>
      </c>
      <c r="B649" s="108" t="s">
        <v>1527</v>
      </c>
      <c r="C649" s="110" t="s">
        <v>97</v>
      </c>
      <c r="D649" s="109">
        <v>0.5</v>
      </c>
      <c r="E649" s="109">
        <v>280</v>
      </c>
      <c r="F649" s="109">
        <v>140</v>
      </c>
      <c r="G649" s="108" t="s">
        <v>1535</v>
      </c>
      <c r="H649" s="111" t="s">
        <v>16</v>
      </c>
    </row>
    <row r="650" spans="1:8" ht="33" x14ac:dyDescent="0.2">
      <c r="A650" s="108">
        <v>6</v>
      </c>
      <c r="B650" s="108" t="s">
        <v>1518</v>
      </c>
      <c r="C650" s="110" t="s">
        <v>14</v>
      </c>
      <c r="D650" s="109">
        <v>1</v>
      </c>
      <c r="E650" s="109">
        <v>85.61</v>
      </c>
      <c r="F650" s="109">
        <v>85.61</v>
      </c>
      <c r="G650" s="108" t="s">
        <v>1517</v>
      </c>
      <c r="H650" s="111" t="s">
        <v>16</v>
      </c>
    </row>
    <row r="651" spans="1:8" ht="33" x14ac:dyDescent="0.2">
      <c r="A651" s="108"/>
      <c r="B651" s="108" t="s">
        <v>1516</v>
      </c>
      <c r="C651" s="110" t="s">
        <v>30</v>
      </c>
      <c r="D651" s="109">
        <v>1</v>
      </c>
      <c r="E651" s="109"/>
      <c r="F651" s="109">
        <v>2939.14</v>
      </c>
      <c r="G651" s="108"/>
      <c r="H651" s="111" t="s">
        <v>16</v>
      </c>
    </row>
    <row r="652" spans="1:8" ht="33" x14ac:dyDescent="0.2">
      <c r="A652" s="108"/>
      <c r="B652" s="108" t="s">
        <v>1515</v>
      </c>
      <c r="C652" s="110" t="s">
        <v>30</v>
      </c>
      <c r="D652" s="109"/>
      <c r="E652" s="109"/>
      <c r="F652" s="109">
        <v>2939.14</v>
      </c>
      <c r="G652" s="108"/>
      <c r="H652" s="111" t="s">
        <v>16</v>
      </c>
    </row>
    <row r="653" spans="1:8" ht="16.5" x14ac:dyDescent="0.2">
      <c r="A653" s="108"/>
      <c r="B653" s="108"/>
      <c r="C653" s="110"/>
      <c r="D653" s="109"/>
      <c r="E653" s="109"/>
      <c r="F653" s="109"/>
      <c r="G653" s="108"/>
    </row>
    <row r="654" spans="1:8" ht="33" x14ac:dyDescent="0.2">
      <c r="A654" s="108" t="s">
        <v>2813</v>
      </c>
      <c r="B654" s="108" t="s">
        <v>273</v>
      </c>
      <c r="C654" s="110" t="s">
        <v>81</v>
      </c>
      <c r="D654" s="109">
        <v>1</v>
      </c>
      <c r="E654" s="109">
        <v>23030.799999999999</v>
      </c>
      <c r="F654" s="109"/>
      <c r="G654" s="108" t="s">
        <v>2812</v>
      </c>
      <c r="H654" s="111" t="s">
        <v>16</v>
      </c>
    </row>
    <row r="655" spans="1:8" ht="33" x14ac:dyDescent="0.2">
      <c r="A655" s="108">
        <v>1</v>
      </c>
      <c r="B655" s="108" t="s">
        <v>420</v>
      </c>
      <c r="C655" s="110" t="s">
        <v>50</v>
      </c>
      <c r="D655" s="109">
        <v>3.3</v>
      </c>
      <c r="E655" s="109">
        <v>1400</v>
      </c>
      <c r="F655" s="109">
        <v>4620</v>
      </c>
      <c r="G655" s="108" t="s">
        <v>421</v>
      </c>
      <c r="H655" s="111" t="s">
        <v>16</v>
      </c>
    </row>
    <row r="656" spans="1:8" ht="33" x14ac:dyDescent="0.2">
      <c r="A656" s="108">
        <v>2</v>
      </c>
      <c r="B656" s="108" t="s">
        <v>2811</v>
      </c>
      <c r="C656" s="110" t="s">
        <v>559</v>
      </c>
      <c r="D656" s="109">
        <v>8</v>
      </c>
      <c r="E656" s="109">
        <v>2200</v>
      </c>
      <c r="F656" s="109">
        <v>17600</v>
      </c>
      <c r="G656" s="108" t="s">
        <v>2810</v>
      </c>
      <c r="H656" s="111" t="s">
        <v>16</v>
      </c>
    </row>
    <row r="657" spans="1:8" ht="33" x14ac:dyDescent="0.2">
      <c r="A657" s="108">
        <v>3</v>
      </c>
      <c r="B657" s="108" t="s">
        <v>1527</v>
      </c>
      <c r="C657" s="110" t="s">
        <v>97</v>
      </c>
      <c r="D657" s="109">
        <v>0.5</v>
      </c>
      <c r="E657" s="109">
        <v>280</v>
      </c>
      <c r="F657" s="109">
        <v>140</v>
      </c>
      <c r="G657" s="108" t="s">
        <v>1535</v>
      </c>
      <c r="H657" s="111" t="s">
        <v>16</v>
      </c>
    </row>
    <row r="658" spans="1:8" ht="33" x14ac:dyDescent="0.2">
      <c r="A658" s="108">
        <v>4</v>
      </c>
      <c r="B658" s="108" t="s">
        <v>1518</v>
      </c>
      <c r="C658" s="110" t="s">
        <v>14</v>
      </c>
      <c r="D658" s="109">
        <v>1</v>
      </c>
      <c r="E658" s="109">
        <v>670.8</v>
      </c>
      <c r="F658" s="109">
        <v>670.8</v>
      </c>
      <c r="G658" s="108" t="s">
        <v>1517</v>
      </c>
      <c r="H658" s="111" t="s">
        <v>16</v>
      </c>
    </row>
    <row r="659" spans="1:8" ht="33" x14ac:dyDescent="0.2">
      <c r="A659" s="108"/>
      <c r="B659" s="108" t="s">
        <v>1516</v>
      </c>
      <c r="C659" s="110" t="s">
        <v>81</v>
      </c>
      <c r="D659" s="109">
        <v>1</v>
      </c>
      <c r="E659" s="109"/>
      <c r="F659" s="109">
        <v>23030.799999999999</v>
      </c>
      <c r="G659" s="108"/>
      <c r="H659" s="111" t="s">
        <v>16</v>
      </c>
    </row>
    <row r="660" spans="1:8" ht="33" x14ac:dyDescent="0.2">
      <c r="A660" s="108"/>
      <c r="B660" s="108" t="s">
        <v>1515</v>
      </c>
      <c r="C660" s="110" t="s">
        <v>81</v>
      </c>
      <c r="D660" s="109"/>
      <c r="E660" s="109"/>
      <c r="F660" s="109">
        <v>23030.799999999999</v>
      </c>
      <c r="G660" s="108"/>
      <c r="H660" s="111" t="s">
        <v>16</v>
      </c>
    </row>
    <row r="661" spans="1:8" ht="16.5" x14ac:dyDescent="0.2">
      <c r="A661" s="108"/>
      <c r="B661" s="108"/>
      <c r="C661" s="110"/>
      <c r="D661" s="109"/>
      <c r="E661" s="109"/>
      <c r="F661" s="109"/>
      <c r="G661" s="108"/>
    </row>
    <row r="662" spans="1:8" ht="33" x14ac:dyDescent="0.2">
      <c r="A662" s="108" t="s">
        <v>2809</v>
      </c>
      <c r="B662" s="108" t="s">
        <v>276</v>
      </c>
      <c r="C662" s="110" t="s">
        <v>81</v>
      </c>
      <c r="D662" s="109">
        <v>1</v>
      </c>
      <c r="E662" s="109">
        <v>18605.919999999998</v>
      </c>
      <c r="F662" s="109"/>
      <c r="G662" s="108" t="s">
        <v>2808</v>
      </c>
      <c r="H662" s="111" t="s">
        <v>16</v>
      </c>
    </row>
    <row r="663" spans="1:8" ht="33" x14ac:dyDescent="0.2">
      <c r="A663" s="108">
        <v>1</v>
      </c>
      <c r="B663" s="108" t="s">
        <v>420</v>
      </c>
      <c r="C663" s="110" t="s">
        <v>50</v>
      </c>
      <c r="D663" s="109">
        <v>5.56</v>
      </c>
      <c r="E663" s="109">
        <v>1400</v>
      </c>
      <c r="F663" s="109">
        <v>7784</v>
      </c>
      <c r="G663" s="108" t="s">
        <v>421</v>
      </c>
      <c r="H663" s="111" t="s">
        <v>16</v>
      </c>
    </row>
    <row r="664" spans="1:8" ht="33" x14ac:dyDescent="0.2">
      <c r="A664" s="108">
        <v>2</v>
      </c>
      <c r="B664" s="108" t="s">
        <v>2789</v>
      </c>
      <c r="C664" s="110" t="s">
        <v>559</v>
      </c>
      <c r="D664" s="109">
        <v>4</v>
      </c>
      <c r="E664" s="109">
        <v>2500</v>
      </c>
      <c r="F664" s="109">
        <v>10000</v>
      </c>
      <c r="G664" s="108" t="s">
        <v>2788</v>
      </c>
      <c r="H664" s="111" t="s">
        <v>16</v>
      </c>
    </row>
    <row r="665" spans="1:8" ht="33" x14ac:dyDescent="0.2">
      <c r="A665" s="108">
        <v>3</v>
      </c>
      <c r="B665" s="108" t="s">
        <v>1527</v>
      </c>
      <c r="C665" s="110" t="s">
        <v>97</v>
      </c>
      <c r="D665" s="109">
        <v>1</v>
      </c>
      <c r="E665" s="109">
        <v>280</v>
      </c>
      <c r="F665" s="109">
        <v>280</v>
      </c>
      <c r="G665" s="108" t="s">
        <v>1535</v>
      </c>
      <c r="H665" s="111" t="s">
        <v>16</v>
      </c>
    </row>
    <row r="666" spans="1:8" ht="33" x14ac:dyDescent="0.2">
      <c r="A666" s="108">
        <v>4</v>
      </c>
      <c r="B666" s="108" t="s">
        <v>1518</v>
      </c>
      <c r="C666" s="110" t="s">
        <v>14</v>
      </c>
      <c r="D666" s="109">
        <v>1</v>
      </c>
      <c r="E666" s="109">
        <v>541.91999999999996</v>
      </c>
      <c r="F666" s="109">
        <v>541.91999999999996</v>
      </c>
      <c r="G666" s="108" t="s">
        <v>1517</v>
      </c>
      <c r="H666" s="111" t="s">
        <v>16</v>
      </c>
    </row>
    <row r="667" spans="1:8" ht="33" x14ac:dyDescent="0.2">
      <c r="A667" s="108"/>
      <c r="B667" s="108" t="s">
        <v>1516</v>
      </c>
      <c r="C667" s="110" t="s">
        <v>81</v>
      </c>
      <c r="D667" s="109">
        <v>1</v>
      </c>
      <c r="E667" s="109"/>
      <c r="F667" s="109">
        <v>18605.919999999998</v>
      </c>
      <c r="G667" s="108"/>
      <c r="H667" s="111" t="s">
        <v>16</v>
      </c>
    </row>
    <row r="668" spans="1:8" ht="33" x14ac:dyDescent="0.2">
      <c r="A668" s="108"/>
      <c r="B668" s="108" t="s">
        <v>1515</v>
      </c>
      <c r="C668" s="110" t="s">
        <v>81</v>
      </c>
      <c r="D668" s="109"/>
      <c r="E668" s="109"/>
      <c r="F668" s="109">
        <v>18605.919999999998</v>
      </c>
      <c r="G668" s="108"/>
      <c r="H668" s="111" t="s">
        <v>16</v>
      </c>
    </row>
    <row r="669" spans="1:8" ht="16.5" x14ac:dyDescent="0.2">
      <c r="A669" s="108"/>
      <c r="B669" s="108"/>
      <c r="C669" s="110"/>
      <c r="D669" s="109"/>
      <c r="E669" s="109"/>
      <c r="F669" s="109"/>
      <c r="G669" s="108"/>
    </row>
    <row r="670" spans="1:8" ht="33" x14ac:dyDescent="0.2">
      <c r="A670" s="108" t="s">
        <v>2807</v>
      </c>
      <c r="B670" s="108" t="s">
        <v>279</v>
      </c>
      <c r="C670" s="110" t="s">
        <v>81</v>
      </c>
      <c r="D670" s="109">
        <v>1</v>
      </c>
      <c r="E670" s="109">
        <v>18605.919999999998</v>
      </c>
      <c r="F670" s="109"/>
      <c r="G670" s="108" t="s">
        <v>2806</v>
      </c>
      <c r="H670" s="111" t="s">
        <v>16</v>
      </c>
    </row>
    <row r="671" spans="1:8" ht="33" x14ac:dyDescent="0.2">
      <c r="A671" s="108">
        <v>1</v>
      </c>
      <c r="B671" s="108" t="s">
        <v>420</v>
      </c>
      <c r="C671" s="110" t="s">
        <v>50</v>
      </c>
      <c r="D671" s="109">
        <v>5.56</v>
      </c>
      <c r="E671" s="109">
        <v>1400</v>
      </c>
      <c r="F671" s="109">
        <v>7784</v>
      </c>
      <c r="G671" s="108" t="s">
        <v>421</v>
      </c>
      <c r="H671" s="111" t="s">
        <v>16</v>
      </c>
    </row>
    <row r="672" spans="1:8" ht="33" x14ac:dyDescent="0.2">
      <c r="A672" s="108">
        <v>2</v>
      </c>
      <c r="B672" s="108" t="s">
        <v>2789</v>
      </c>
      <c r="C672" s="110" t="s">
        <v>559</v>
      </c>
      <c r="D672" s="109">
        <v>4</v>
      </c>
      <c r="E672" s="109">
        <v>2500</v>
      </c>
      <c r="F672" s="109">
        <v>10000</v>
      </c>
      <c r="G672" s="108" t="s">
        <v>2788</v>
      </c>
      <c r="H672" s="111" t="s">
        <v>16</v>
      </c>
    </row>
    <row r="673" spans="1:8" ht="33" x14ac:dyDescent="0.2">
      <c r="A673" s="108">
        <v>3</v>
      </c>
      <c r="B673" s="108" t="s">
        <v>1527</v>
      </c>
      <c r="C673" s="110" t="s">
        <v>97</v>
      </c>
      <c r="D673" s="109">
        <v>1</v>
      </c>
      <c r="E673" s="109">
        <v>280</v>
      </c>
      <c r="F673" s="109">
        <v>280</v>
      </c>
      <c r="G673" s="108" t="s">
        <v>1535</v>
      </c>
      <c r="H673" s="111" t="s">
        <v>16</v>
      </c>
    </row>
    <row r="674" spans="1:8" ht="33" x14ac:dyDescent="0.2">
      <c r="A674" s="108">
        <v>4</v>
      </c>
      <c r="B674" s="108" t="s">
        <v>1518</v>
      </c>
      <c r="C674" s="110" t="s">
        <v>14</v>
      </c>
      <c r="D674" s="109">
        <v>1</v>
      </c>
      <c r="E674" s="109">
        <v>541.91999999999996</v>
      </c>
      <c r="F674" s="109">
        <v>541.91999999999996</v>
      </c>
      <c r="G674" s="108" t="s">
        <v>1517</v>
      </c>
      <c r="H674" s="111" t="s">
        <v>16</v>
      </c>
    </row>
    <row r="675" spans="1:8" ht="33" x14ac:dyDescent="0.2">
      <c r="A675" s="108"/>
      <c r="B675" s="108" t="s">
        <v>1516</v>
      </c>
      <c r="C675" s="110" t="s">
        <v>81</v>
      </c>
      <c r="D675" s="109">
        <v>1</v>
      </c>
      <c r="E675" s="109"/>
      <c r="F675" s="109">
        <v>18605.919999999998</v>
      </c>
      <c r="G675" s="108"/>
      <c r="H675" s="111" t="s">
        <v>16</v>
      </c>
    </row>
    <row r="676" spans="1:8" ht="33" x14ac:dyDescent="0.2">
      <c r="A676" s="108"/>
      <c r="B676" s="108" t="s">
        <v>1515</v>
      </c>
      <c r="C676" s="110" t="s">
        <v>81</v>
      </c>
      <c r="D676" s="109"/>
      <c r="E676" s="109"/>
      <c r="F676" s="109">
        <v>18605.919999999998</v>
      </c>
      <c r="G676" s="108"/>
      <c r="H676" s="111" t="s">
        <v>16</v>
      </c>
    </row>
    <row r="677" spans="1:8" ht="16.5" x14ac:dyDescent="0.2">
      <c r="A677" s="108"/>
      <c r="B677" s="108"/>
      <c r="C677" s="110"/>
      <c r="D677" s="109"/>
      <c r="E677" s="109"/>
      <c r="F677" s="109"/>
      <c r="G677" s="108"/>
    </row>
    <row r="678" spans="1:8" ht="33" x14ac:dyDescent="0.2">
      <c r="A678" s="108" t="s">
        <v>2805</v>
      </c>
      <c r="B678" s="108" t="s">
        <v>282</v>
      </c>
      <c r="C678" s="110" t="s">
        <v>81</v>
      </c>
      <c r="D678" s="109">
        <v>1</v>
      </c>
      <c r="E678" s="109">
        <v>11655.48</v>
      </c>
      <c r="F678" s="109"/>
      <c r="G678" s="108" t="s">
        <v>2804</v>
      </c>
      <c r="H678" s="111" t="s">
        <v>16</v>
      </c>
    </row>
    <row r="679" spans="1:8" ht="33" x14ac:dyDescent="0.2">
      <c r="A679" s="108">
        <v>1</v>
      </c>
      <c r="B679" s="108" t="s">
        <v>420</v>
      </c>
      <c r="C679" s="110" t="s">
        <v>50</v>
      </c>
      <c r="D679" s="109">
        <v>0.84</v>
      </c>
      <c r="E679" s="109">
        <v>1400</v>
      </c>
      <c r="F679" s="109">
        <v>1176</v>
      </c>
      <c r="G679" s="108" t="s">
        <v>421</v>
      </c>
      <c r="H679" s="111" t="s">
        <v>16</v>
      </c>
    </row>
    <row r="680" spans="1:8" ht="33" x14ac:dyDescent="0.2">
      <c r="A680" s="108">
        <v>2</v>
      </c>
      <c r="B680" s="108" t="s">
        <v>2789</v>
      </c>
      <c r="C680" s="110" t="s">
        <v>559</v>
      </c>
      <c r="D680" s="109">
        <v>4</v>
      </c>
      <c r="E680" s="109">
        <v>2500</v>
      </c>
      <c r="F680" s="109">
        <v>10000</v>
      </c>
      <c r="G680" s="108" t="s">
        <v>2788</v>
      </c>
      <c r="H680" s="111" t="s">
        <v>16</v>
      </c>
    </row>
    <row r="681" spans="1:8" ht="33" x14ac:dyDescent="0.2">
      <c r="A681" s="108">
        <v>3</v>
      </c>
      <c r="B681" s="108" t="s">
        <v>1527</v>
      </c>
      <c r="C681" s="110" t="s">
        <v>97</v>
      </c>
      <c r="D681" s="109">
        <v>0.5</v>
      </c>
      <c r="E681" s="109">
        <v>280</v>
      </c>
      <c r="F681" s="109">
        <v>140</v>
      </c>
      <c r="G681" s="108" t="s">
        <v>1535</v>
      </c>
      <c r="H681" s="111" t="s">
        <v>16</v>
      </c>
    </row>
    <row r="682" spans="1:8" ht="33" x14ac:dyDescent="0.2">
      <c r="A682" s="108">
        <v>4</v>
      </c>
      <c r="B682" s="108" t="s">
        <v>1518</v>
      </c>
      <c r="C682" s="110" t="s">
        <v>14</v>
      </c>
      <c r="D682" s="109">
        <v>1</v>
      </c>
      <c r="E682" s="109">
        <v>339.48</v>
      </c>
      <c r="F682" s="109">
        <v>339.48</v>
      </c>
      <c r="G682" s="108" t="s">
        <v>1517</v>
      </c>
      <c r="H682" s="111" t="s">
        <v>16</v>
      </c>
    </row>
    <row r="683" spans="1:8" ht="33" x14ac:dyDescent="0.2">
      <c r="A683" s="108"/>
      <c r="B683" s="108" t="s">
        <v>1516</v>
      </c>
      <c r="C683" s="110" t="s">
        <v>81</v>
      </c>
      <c r="D683" s="109">
        <v>1</v>
      </c>
      <c r="E683" s="109"/>
      <c r="F683" s="109">
        <v>11655.48</v>
      </c>
      <c r="G683" s="108"/>
      <c r="H683" s="111" t="s">
        <v>16</v>
      </c>
    </row>
    <row r="684" spans="1:8" ht="33" x14ac:dyDescent="0.2">
      <c r="A684" s="108"/>
      <c r="B684" s="108" t="s">
        <v>1515</v>
      </c>
      <c r="C684" s="110" t="s">
        <v>81</v>
      </c>
      <c r="D684" s="109"/>
      <c r="E684" s="109"/>
      <c r="F684" s="109">
        <v>11655.48</v>
      </c>
      <c r="G684" s="108"/>
      <c r="H684" s="111" t="s">
        <v>16</v>
      </c>
    </row>
    <row r="685" spans="1:8" ht="16.5" x14ac:dyDescent="0.2">
      <c r="A685" s="108"/>
      <c r="B685" s="108"/>
      <c r="C685" s="110"/>
      <c r="D685" s="109"/>
      <c r="E685" s="109"/>
      <c r="F685" s="109"/>
      <c r="G685" s="108"/>
    </row>
    <row r="686" spans="1:8" ht="33" x14ac:dyDescent="0.2">
      <c r="A686" s="108" t="s">
        <v>2803</v>
      </c>
      <c r="B686" s="108" t="s">
        <v>285</v>
      </c>
      <c r="C686" s="110" t="s">
        <v>81</v>
      </c>
      <c r="D686" s="109">
        <v>1</v>
      </c>
      <c r="E686" s="109">
        <v>25108.91</v>
      </c>
      <c r="F686" s="109"/>
      <c r="G686" s="108" t="s">
        <v>2802</v>
      </c>
      <c r="H686" s="111" t="s">
        <v>16</v>
      </c>
    </row>
    <row r="687" spans="1:8" ht="33" x14ac:dyDescent="0.2">
      <c r="A687" s="108">
        <v>1</v>
      </c>
      <c r="B687" s="108" t="s">
        <v>1774</v>
      </c>
      <c r="C687" s="110" t="s">
        <v>50</v>
      </c>
      <c r="D687" s="109">
        <v>4.3</v>
      </c>
      <c r="E687" s="109">
        <v>458.74</v>
      </c>
      <c r="F687" s="109">
        <v>1972.58</v>
      </c>
      <c r="G687" s="108" t="s">
        <v>2508</v>
      </c>
      <c r="H687" s="111" t="s">
        <v>16</v>
      </c>
    </row>
    <row r="688" spans="1:8" ht="33" x14ac:dyDescent="0.2">
      <c r="A688" s="108">
        <v>2</v>
      </c>
      <c r="B688" s="108" t="s">
        <v>420</v>
      </c>
      <c r="C688" s="110" t="s">
        <v>50</v>
      </c>
      <c r="D688" s="109">
        <v>5.05</v>
      </c>
      <c r="E688" s="109">
        <v>1400</v>
      </c>
      <c r="F688" s="109">
        <v>7070</v>
      </c>
      <c r="G688" s="108" t="s">
        <v>421</v>
      </c>
      <c r="H688" s="111" t="s">
        <v>16</v>
      </c>
    </row>
    <row r="689" spans="1:8" ht="33" x14ac:dyDescent="0.2">
      <c r="A689" s="108">
        <v>3</v>
      </c>
      <c r="B689" s="108" t="s">
        <v>2789</v>
      </c>
      <c r="C689" s="110" t="s">
        <v>559</v>
      </c>
      <c r="D689" s="109">
        <v>6</v>
      </c>
      <c r="E689" s="109">
        <v>2500</v>
      </c>
      <c r="F689" s="109">
        <v>15000</v>
      </c>
      <c r="G689" s="108" t="s">
        <v>2788</v>
      </c>
      <c r="H689" s="111" t="s">
        <v>16</v>
      </c>
    </row>
    <row r="690" spans="1:8" ht="33" x14ac:dyDescent="0.2">
      <c r="A690" s="108">
        <v>4</v>
      </c>
      <c r="B690" s="108" t="s">
        <v>1610</v>
      </c>
      <c r="C690" s="110" t="s">
        <v>97</v>
      </c>
      <c r="D690" s="109">
        <v>0.52</v>
      </c>
      <c r="E690" s="109">
        <v>375</v>
      </c>
      <c r="F690" s="109">
        <v>195</v>
      </c>
      <c r="G690" s="108" t="s">
        <v>1609</v>
      </c>
      <c r="H690" s="111" t="s">
        <v>16</v>
      </c>
    </row>
    <row r="691" spans="1:8" ht="33" x14ac:dyDescent="0.2">
      <c r="A691" s="108">
        <v>5</v>
      </c>
      <c r="B691" s="108" t="s">
        <v>1527</v>
      </c>
      <c r="C691" s="110" t="s">
        <v>97</v>
      </c>
      <c r="D691" s="109">
        <v>0.5</v>
      </c>
      <c r="E691" s="109">
        <v>280</v>
      </c>
      <c r="F691" s="109">
        <v>140</v>
      </c>
      <c r="G691" s="108" t="s">
        <v>1535</v>
      </c>
      <c r="H691" s="111" t="s">
        <v>16</v>
      </c>
    </row>
    <row r="692" spans="1:8" ht="33" x14ac:dyDescent="0.2">
      <c r="A692" s="108">
        <v>6</v>
      </c>
      <c r="B692" s="108" t="s">
        <v>1518</v>
      </c>
      <c r="C692" s="110" t="s">
        <v>14</v>
      </c>
      <c r="D692" s="109">
        <v>1</v>
      </c>
      <c r="E692" s="109">
        <v>731.33</v>
      </c>
      <c r="F692" s="109">
        <v>731.33</v>
      </c>
      <c r="G692" s="108" t="s">
        <v>1517</v>
      </c>
      <c r="H692" s="111" t="s">
        <v>16</v>
      </c>
    </row>
    <row r="693" spans="1:8" ht="33" x14ac:dyDescent="0.2">
      <c r="A693" s="108"/>
      <c r="B693" s="108" t="s">
        <v>1516</v>
      </c>
      <c r="C693" s="110" t="s">
        <v>81</v>
      </c>
      <c r="D693" s="109">
        <v>1</v>
      </c>
      <c r="E693" s="109"/>
      <c r="F693" s="109">
        <v>25108.910000000003</v>
      </c>
      <c r="G693" s="108"/>
      <c r="H693" s="111" t="s">
        <v>16</v>
      </c>
    </row>
    <row r="694" spans="1:8" ht="33" x14ac:dyDescent="0.2">
      <c r="A694" s="108"/>
      <c r="B694" s="108" t="s">
        <v>1515</v>
      </c>
      <c r="C694" s="110" t="s">
        <v>81</v>
      </c>
      <c r="D694" s="109"/>
      <c r="E694" s="109"/>
      <c r="F694" s="109">
        <v>25108.91</v>
      </c>
      <c r="G694" s="108"/>
      <c r="H694" s="111" t="s">
        <v>16</v>
      </c>
    </row>
    <row r="695" spans="1:8" ht="16.5" x14ac:dyDescent="0.2">
      <c r="A695" s="108"/>
      <c r="B695" s="108"/>
      <c r="C695" s="110"/>
      <c r="D695" s="109"/>
      <c r="E695" s="109"/>
      <c r="F695" s="109"/>
      <c r="G695" s="108"/>
    </row>
    <row r="696" spans="1:8" ht="33" x14ac:dyDescent="0.2">
      <c r="A696" s="108" t="s">
        <v>2801</v>
      </c>
      <c r="B696" s="108" t="s">
        <v>288</v>
      </c>
      <c r="C696" s="110" t="s">
        <v>81</v>
      </c>
      <c r="D696" s="109">
        <v>1</v>
      </c>
      <c r="E696" s="109">
        <v>22416.92</v>
      </c>
      <c r="F696" s="109"/>
      <c r="G696" s="108" t="s">
        <v>2800</v>
      </c>
      <c r="H696" s="111" t="s">
        <v>16</v>
      </c>
    </row>
    <row r="697" spans="1:8" ht="33" x14ac:dyDescent="0.2">
      <c r="A697" s="108">
        <v>1</v>
      </c>
      <c r="B697" s="108" t="s">
        <v>420</v>
      </c>
      <c r="C697" s="110" t="s">
        <v>50</v>
      </c>
      <c r="D697" s="109">
        <v>1.1599999999999999</v>
      </c>
      <c r="E697" s="109">
        <v>1400</v>
      </c>
      <c r="F697" s="109">
        <v>1624</v>
      </c>
      <c r="G697" s="108" t="s">
        <v>421</v>
      </c>
      <c r="H697" s="111" t="s">
        <v>16</v>
      </c>
    </row>
    <row r="698" spans="1:8" ht="33" x14ac:dyDescent="0.2">
      <c r="A698" s="108">
        <v>2</v>
      </c>
      <c r="B698" s="108" t="s">
        <v>2789</v>
      </c>
      <c r="C698" s="110" t="s">
        <v>559</v>
      </c>
      <c r="D698" s="109">
        <v>8</v>
      </c>
      <c r="E698" s="109">
        <v>2500</v>
      </c>
      <c r="F698" s="109">
        <v>20000</v>
      </c>
      <c r="G698" s="108" t="s">
        <v>2788</v>
      </c>
      <c r="H698" s="111" t="s">
        <v>16</v>
      </c>
    </row>
    <row r="699" spans="1:8" ht="33" x14ac:dyDescent="0.2">
      <c r="A699" s="108">
        <v>3</v>
      </c>
      <c r="B699" s="108" t="s">
        <v>1527</v>
      </c>
      <c r="C699" s="110" t="s">
        <v>97</v>
      </c>
      <c r="D699" s="109">
        <v>0.5</v>
      </c>
      <c r="E699" s="109">
        <v>280</v>
      </c>
      <c r="F699" s="109">
        <v>140</v>
      </c>
      <c r="G699" s="108" t="s">
        <v>1535</v>
      </c>
      <c r="H699" s="111" t="s">
        <v>16</v>
      </c>
    </row>
    <row r="700" spans="1:8" ht="33" x14ac:dyDescent="0.2">
      <c r="A700" s="108">
        <v>4</v>
      </c>
      <c r="B700" s="108" t="s">
        <v>1518</v>
      </c>
      <c r="C700" s="110" t="s">
        <v>14</v>
      </c>
      <c r="D700" s="109">
        <v>1</v>
      </c>
      <c r="E700" s="109">
        <v>652.91999999999996</v>
      </c>
      <c r="F700" s="109">
        <v>652.91999999999996</v>
      </c>
      <c r="G700" s="108" t="s">
        <v>1517</v>
      </c>
      <c r="H700" s="111" t="s">
        <v>16</v>
      </c>
    </row>
    <row r="701" spans="1:8" ht="33" x14ac:dyDescent="0.2">
      <c r="A701" s="108"/>
      <c r="B701" s="108" t="s">
        <v>1516</v>
      </c>
      <c r="C701" s="110" t="s">
        <v>81</v>
      </c>
      <c r="D701" s="109">
        <v>1</v>
      </c>
      <c r="E701" s="109"/>
      <c r="F701" s="109">
        <v>22416.92</v>
      </c>
      <c r="G701" s="108"/>
      <c r="H701" s="111" t="s">
        <v>16</v>
      </c>
    </row>
    <row r="702" spans="1:8" ht="33" x14ac:dyDescent="0.2">
      <c r="A702" s="108"/>
      <c r="B702" s="108" t="s">
        <v>1515</v>
      </c>
      <c r="C702" s="110" t="s">
        <v>81</v>
      </c>
      <c r="D702" s="109"/>
      <c r="E702" s="109"/>
      <c r="F702" s="109">
        <v>22416.92</v>
      </c>
      <c r="G702" s="108"/>
      <c r="H702" s="111" t="s">
        <v>16</v>
      </c>
    </row>
    <row r="703" spans="1:8" ht="16.5" x14ac:dyDescent="0.2">
      <c r="A703" s="108"/>
      <c r="B703" s="108"/>
      <c r="C703" s="110"/>
      <c r="D703" s="109"/>
      <c r="E703" s="109"/>
      <c r="F703" s="109"/>
      <c r="G703" s="108"/>
    </row>
    <row r="704" spans="1:8" ht="33" x14ac:dyDescent="0.2">
      <c r="A704" s="108" t="s">
        <v>2799</v>
      </c>
      <c r="B704" s="108" t="s">
        <v>291</v>
      </c>
      <c r="C704" s="110" t="s">
        <v>81</v>
      </c>
      <c r="D704" s="109">
        <v>1</v>
      </c>
      <c r="E704" s="109">
        <v>21724.76</v>
      </c>
      <c r="F704" s="109"/>
      <c r="G704" s="108" t="s">
        <v>2798</v>
      </c>
      <c r="H704" s="111" t="s">
        <v>16</v>
      </c>
    </row>
    <row r="705" spans="1:8" ht="33" x14ac:dyDescent="0.2">
      <c r="A705" s="108">
        <v>1</v>
      </c>
      <c r="B705" s="108" t="s">
        <v>420</v>
      </c>
      <c r="C705" s="110" t="s">
        <v>50</v>
      </c>
      <c r="D705" s="109">
        <v>0.68</v>
      </c>
      <c r="E705" s="109">
        <v>1400</v>
      </c>
      <c r="F705" s="109">
        <v>952</v>
      </c>
      <c r="G705" s="108" t="s">
        <v>421</v>
      </c>
      <c r="H705" s="111" t="s">
        <v>16</v>
      </c>
    </row>
    <row r="706" spans="1:8" ht="33" x14ac:dyDescent="0.2">
      <c r="A706" s="108">
        <v>2</v>
      </c>
      <c r="B706" s="108" t="s">
        <v>2789</v>
      </c>
      <c r="C706" s="110" t="s">
        <v>559</v>
      </c>
      <c r="D706" s="109">
        <v>8</v>
      </c>
      <c r="E706" s="109">
        <v>2500</v>
      </c>
      <c r="F706" s="109">
        <v>20000</v>
      </c>
      <c r="G706" s="108" t="s">
        <v>2788</v>
      </c>
      <c r="H706" s="111" t="s">
        <v>16</v>
      </c>
    </row>
    <row r="707" spans="1:8" ht="33" x14ac:dyDescent="0.2">
      <c r="A707" s="108">
        <v>3</v>
      </c>
      <c r="B707" s="108" t="s">
        <v>1527</v>
      </c>
      <c r="C707" s="110" t="s">
        <v>97</v>
      </c>
      <c r="D707" s="109">
        <v>0.5</v>
      </c>
      <c r="E707" s="109">
        <v>280</v>
      </c>
      <c r="F707" s="109">
        <v>140</v>
      </c>
      <c r="G707" s="108" t="s">
        <v>1535</v>
      </c>
      <c r="H707" s="111" t="s">
        <v>16</v>
      </c>
    </row>
    <row r="708" spans="1:8" ht="33" x14ac:dyDescent="0.2">
      <c r="A708" s="108">
        <v>4</v>
      </c>
      <c r="B708" s="108" t="s">
        <v>1518</v>
      </c>
      <c r="C708" s="110" t="s">
        <v>14</v>
      </c>
      <c r="D708" s="109">
        <v>1</v>
      </c>
      <c r="E708" s="109">
        <v>632.76</v>
      </c>
      <c r="F708" s="109">
        <v>632.76</v>
      </c>
      <c r="G708" s="108" t="s">
        <v>1517</v>
      </c>
      <c r="H708" s="111" t="s">
        <v>16</v>
      </c>
    </row>
    <row r="709" spans="1:8" ht="33" x14ac:dyDescent="0.2">
      <c r="A709" s="108"/>
      <c r="B709" s="108" t="s">
        <v>1516</v>
      </c>
      <c r="C709" s="110" t="s">
        <v>81</v>
      </c>
      <c r="D709" s="109">
        <v>1</v>
      </c>
      <c r="E709" s="109"/>
      <c r="F709" s="109">
        <v>21724.76</v>
      </c>
      <c r="G709" s="108"/>
      <c r="H709" s="111" t="s">
        <v>16</v>
      </c>
    </row>
    <row r="710" spans="1:8" ht="33" x14ac:dyDescent="0.2">
      <c r="A710" s="108"/>
      <c r="B710" s="108" t="s">
        <v>1515</v>
      </c>
      <c r="C710" s="110" t="s">
        <v>81</v>
      </c>
      <c r="D710" s="109"/>
      <c r="E710" s="109"/>
      <c r="F710" s="109">
        <v>21724.76</v>
      </c>
      <c r="G710" s="108"/>
      <c r="H710" s="111" t="s">
        <v>16</v>
      </c>
    </row>
    <row r="711" spans="1:8" ht="16.5" x14ac:dyDescent="0.2">
      <c r="A711" s="108"/>
      <c r="B711" s="108"/>
      <c r="C711" s="110"/>
      <c r="D711" s="109"/>
      <c r="E711" s="109"/>
      <c r="F711" s="109"/>
      <c r="G711" s="108"/>
    </row>
    <row r="712" spans="1:8" ht="33" x14ac:dyDescent="0.2">
      <c r="A712" s="108" t="s">
        <v>2797</v>
      </c>
      <c r="B712" s="108" t="s">
        <v>294</v>
      </c>
      <c r="C712" s="110" t="s">
        <v>81</v>
      </c>
      <c r="D712" s="109">
        <v>1</v>
      </c>
      <c r="E712" s="109">
        <v>17341.04</v>
      </c>
      <c r="F712" s="109"/>
      <c r="G712" s="108" t="s">
        <v>2796</v>
      </c>
      <c r="H712" s="111" t="s">
        <v>16</v>
      </c>
    </row>
    <row r="713" spans="1:8" ht="33" x14ac:dyDescent="0.2">
      <c r="A713" s="108">
        <v>1</v>
      </c>
      <c r="B713" s="108" t="s">
        <v>1779</v>
      </c>
      <c r="C713" s="110" t="s">
        <v>103</v>
      </c>
      <c r="D713" s="109">
        <v>0.03</v>
      </c>
      <c r="E713" s="109">
        <v>1465.18</v>
      </c>
      <c r="F713" s="109">
        <v>43.96</v>
      </c>
      <c r="G713" s="108" t="s">
        <v>2668</v>
      </c>
      <c r="H713" s="111" t="s">
        <v>16</v>
      </c>
    </row>
    <row r="714" spans="1:8" ht="33" x14ac:dyDescent="0.2">
      <c r="A714" s="108">
        <v>2</v>
      </c>
      <c r="B714" s="108" t="s">
        <v>420</v>
      </c>
      <c r="C714" s="110" t="s">
        <v>50</v>
      </c>
      <c r="D714" s="109">
        <v>1.08</v>
      </c>
      <c r="E714" s="109">
        <v>1400</v>
      </c>
      <c r="F714" s="109">
        <v>1512</v>
      </c>
      <c r="G714" s="108" t="s">
        <v>421</v>
      </c>
      <c r="H714" s="111" t="s">
        <v>16</v>
      </c>
    </row>
    <row r="715" spans="1:8" ht="33" x14ac:dyDescent="0.2">
      <c r="A715" s="108">
        <v>3</v>
      </c>
      <c r="B715" s="108" t="s">
        <v>2789</v>
      </c>
      <c r="C715" s="110" t="s">
        <v>559</v>
      </c>
      <c r="D715" s="109">
        <v>6</v>
      </c>
      <c r="E715" s="109">
        <v>2500</v>
      </c>
      <c r="F715" s="109">
        <v>15000</v>
      </c>
      <c r="G715" s="108" t="s">
        <v>2788</v>
      </c>
      <c r="H715" s="111" t="s">
        <v>16</v>
      </c>
    </row>
    <row r="716" spans="1:8" ht="33" x14ac:dyDescent="0.2">
      <c r="A716" s="108">
        <v>4</v>
      </c>
      <c r="B716" s="108" t="s">
        <v>1527</v>
      </c>
      <c r="C716" s="110" t="s">
        <v>97</v>
      </c>
      <c r="D716" s="109">
        <v>1</v>
      </c>
      <c r="E716" s="109">
        <v>280</v>
      </c>
      <c r="F716" s="109">
        <v>280</v>
      </c>
      <c r="G716" s="108" t="s">
        <v>1535</v>
      </c>
      <c r="H716" s="111" t="s">
        <v>16</v>
      </c>
    </row>
    <row r="717" spans="1:8" ht="33" x14ac:dyDescent="0.2">
      <c r="A717" s="108">
        <v>5</v>
      </c>
      <c r="B717" s="108" t="s">
        <v>1518</v>
      </c>
      <c r="C717" s="110" t="s">
        <v>14</v>
      </c>
      <c r="D717" s="109">
        <v>1</v>
      </c>
      <c r="E717" s="109">
        <v>505.08</v>
      </c>
      <c r="F717" s="109">
        <v>505.08</v>
      </c>
      <c r="G717" s="108" t="s">
        <v>1517</v>
      </c>
      <c r="H717" s="111" t="s">
        <v>16</v>
      </c>
    </row>
    <row r="718" spans="1:8" ht="33" x14ac:dyDescent="0.2">
      <c r="A718" s="108"/>
      <c r="B718" s="108" t="s">
        <v>1516</v>
      </c>
      <c r="C718" s="110" t="s">
        <v>81</v>
      </c>
      <c r="D718" s="109">
        <v>1</v>
      </c>
      <c r="E718" s="109"/>
      <c r="F718" s="109">
        <v>17341.04</v>
      </c>
      <c r="G718" s="108"/>
      <c r="H718" s="111" t="s">
        <v>16</v>
      </c>
    </row>
    <row r="719" spans="1:8" ht="33" x14ac:dyDescent="0.2">
      <c r="A719" s="108"/>
      <c r="B719" s="108" t="s">
        <v>1515</v>
      </c>
      <c r="C719" s="110" t="s">
        <v>81</v>
      </c>
      <c r="D719" s="109"/>
      <c r="E719" s="109"/>
      <c r="F719" s="109">
        <v>17341.04</v>
      </c>
      <c r="G719" s="108"/>
      <c r="H719" s="111" t="s">
        <v>16</v>
      </c>
    </row>
    <row r="720" spans="1:8" ht="16.5" x14ac:dyDescent="0.2">
      <c r="A720" s="108"/>
      <c r="B720" s="108"/>
      <c r="C720" s="110"/>
      <c r="D720" s="109"/>
      <c r="E720" s="109"/>
      <c r="F720" s="109"/>
      <c r="G720" s="108"/>
    </row>
    <row r="721" spans="1:8" ht="33" x14ac:dyDescent="0.2">
      <c r="A721" s="108" t="s">
        <v>2795</v>
      </c>
      <c r="B721" s="108" t="s">
        <v>297</v>
      </c>
      <c r="C721" s="110" t="s">
        <v>81</v>
      </c>
      <c r="D721" s="109">
        <v>1</v>
      </c>
      <c r="E721" s="109">
        <v>17341.04</v>
      </c>
      <c r="F721" s="109"/>
      <c r="G721" s="108" t="s">
        <v>2794</v>
      </c>
      <c r="H721" s="111" t="s">
        <v>16</v>
      </c>
    </row>
    <row r="722" spans="1:8" ht="33" x14ac:dyDescent="0.2">
      <c r="A722" s="108">
        <v>1</v>
      </c>
      <c r="B722" s="108" t="s">
        <v>1779</v>
      </c>
      <c r="C722" s="110" t="s">
        <v>103</v>
      </c>
      <c r="D722" s="109">
        <v>0.03</v>
      </c>
      <c r="E722" s="109">
        <v>1465.18</v>
      </c>
      <c r="F722" s="109">
        <v>43.96</v>
      </c>
      <c r="G722" s="108" t="s">
        <v>2668</v>
      </c>
      <c r="H722" s="111" t="s">
        <v>16</v>
      </c>
    </row>
    <row r="723" spans="1:8" ht="33" x14ac:dyDescent="0.2">
      <c r="A723" s="108">
        <v>2</v>
      </c>
      <c r="B723" s="108" t="s">
        <v>420</v>
      </c>
      <c r="C723" s="110" t="s">
        <v>50</v>
      </c>
      <c r="D723" s="109">
        <v>1.08</v>
      </c>
      <c r="E723" s="109">
        <v>1400</v>
      </c>
      <c r="F723" s="109">
        <v>1512</v>
      </c>
      <c r="G723" s="108" t="s">
        <v>421</v>
      </c>
      <c r="H723" s="111" t="s">
        <v>16</v>
      </c>
    </row>
    <row r="724" spans="1:8" ht="33" x14ac:dyDescent="0.2">
      <c r="A724" s="108">
        <v>3</v>
      </c>
      <c r="B724" s="108" t="s">
        <v>2789</v>
      </c>
      <c r="C724" s="110" t="s">
        <v>559</v>
      </c>
      <c r="D724" s="109">
        <v>6</v>
      </c>
      <c r="E724" s="109">
        <v>2500</v>
      </c>
      <c r="F724" s="109">
        <v>15000</v>
      </c>
      <c r="G724" s="108" t="s">
        <v>2788</v>
      </c>
      <c r="H724" s="111" t="s">
        <v>16</v>
      </c>
    </row>
    <row r="725" spans="1:8" ht="33" x14ac:dyDescent="0.2">
      <c r="A725" s="108">
        <v>4</v>
      </c>
      <c r="B725" s="108" t="s">
        <v>1527</v>
      </c>
      <c r="C725" s="110" t="s">
        <v>97</v>
      </c>
      <c r="D725" s="109">
        <v>1</v>
      </c>
      <c r="E725" s="109">
        <v>280</v>
      </c>
      <c r="F725" s="109">
        <v>280</v>
      </c>
      <c r="G725" s="108" t="s">
        <v>1535</v>
      </c>
      <c r="H725" s="111" t="s">
        <v>16</v>
      </c>
    </row>
    <row r="726" spans="1:8" ht="33" x14ac:dyDescent="0.2">
      <c r="A726" s="108">
        <v>5</v>
      </c>
      <c r="B726" s="108" t="s">
        <v>1518</v>
      </c>
      <c r="C726" s="110" t="s">
        <v>14</v>
      </c>
      <c r="D726" s="109">
        <v>1</v>
      </c>
      <c r="E726" s="109">
        <v>505.08</v>
      </c>
      <c r="F726" s="109">
        <v>505.08</v>
      </c>
      <c r="G726" s="108" t="s">
        <v>1517</v>
      </c>
      <c r="H726" s="111" t="s">
        <v>16</v>
      </c>
    </row>
    <row r="727" spans="1:8" ht="33" x14ac:dyDescent="0.2">
      <c r="A727" s="108"/>
      <c r="B727" s="108" t="s">
        <v>1516</v>
      </c>
      <c r="C727" s="110" t="s">
        <v>81</v>
      </c>
      <c r="D727" s="109">
        <v>1</v>
      </c>
      <c r="E727" s="109"/>
      <c r="F727" s="109">
        <v>17341.04</v>
      </c>
      <c r="G727" s="108"/>
      <c r="H727" s="111" t="s">
        <v>16</v>
      </c>
    </row>
    <row r="728" spans="1:8" ht="33" x14ac:dyDescent="0.2">
      <c r="A728" s="108"/>
      <c r="B728" s="108" t="s">
        <v>1515</v>
      </c>
      <c r="C728" s="110" t="s">
        <v>81</v>
      </c>
      <c r="D728" s="109"/>
      <c r="E728" s="109"/>
      <c r="F728" s="109">
        <v>17341.04</v>
      </c>
      <c r="G728" s="108"/>
      <c r="H728" s="111" t="s">
        <v>16</v>
      </c>
    </row>
    <row r="729" spans="1:8" ht="16.5" x14ac:dyDescent="0.2">
      <c r="A729" s="108"/>
      <c r="B729" s="108"/>
      <c r="C729" s="110"/>
      <c r="D729" s="109"/>
      <c r="E729" s="109"/>
      <c r="F729" s="109"/>
      <c r="G729" s="108"/>
    </row>
    <row r="730" spans="1:8" ht="33" x14ac:dyDescent="0.2">
      <c r="A730" s="108" t="s">
        <v>2793</v>
      </c>
      <c r="B730" s="108" t="s">
        <v>300</v>
      </c>
      <c r="C730" s="110" t="s">
        <v>81</v>
      </c>
      <c r="D730" s="109">
        <v>1</v>
      </c>
      <c r="E730" s="109">
        <v>17341.04</v>
      </c>
      <c r="F730" s="109"/>
      <c r="G730" s="108" t="s">
        <v>2792</v>
      </c>
      <c r="H730" s="111" t="s">
        <v>16</v>
      </c>
    </row>
    <row r="731" spans="1:8" ht="33" x14ac:dyDescent="0.2">
      <c r="A731" s="108">
        <v>1</v>
      </c>
      <c r="B731" s="108" t="s">
        <v>1779</v>
      </c>
      <c r="C731" s="110" t="s">
        <v>103</v>
      </c>
      <c r="D731" s="109">
        <v>0.03</v>
      </c>
      <c r="E731" s="109">
        <v>1465.18</v>
      </c>
      <c r="F731" s="109">
        <v>43.96</v>
      </c>
      <c r="G731" s="108" t="s">
        <v>2668</v>
      </c>
      <c r="H731" s="111" t="s">
        <v>16</v>
      </c>
    </row>
    <row r="732" spans="1:8" ht="33" x14ac:dyDescent="0.2">
      <c r="A732" s="108">
        <v>2</v>
      </c>
      <c r="B732" s="108" t="s">
        <v>420</v>
      </c>
      <c r="C732" s="110" t="s">
        <v>50</v>
      </c>
      <c r="D732" s="109">
        <v>1.08</v>
      </c>
      <c r="E732" s="109">
        <v>1400</v>
      </c>
      <c r="F732" s="109">
        <v>1512</v>
      </c>
      <c r="G732" s="108" t="s">
        <v>421</v>
      </c>
      <c r="H732" s="111" t="s">
        <v>16</v>
      </c>
    </row>
    <row r="733" spans="1:8" ht="33" x14ac:dyDescent="0.2">
      <c r="A733" s="108">
        <v>3</v>
      </c>
      <c r="B733" s="108" t="s">
        <v>2789</v>
      </c>
      <c r="C733" s="110" t="s">
        <v>559</v>
      </c>
      <c r="D733" s="109">
        <v>6</v>
      </c>
      <c r="E733" s="109">
        <v>2500</v>
      </c>
      <c r="F733" s="109">
        <v>15000</v>
      </c>
      <c r="G733" s="108" t="s">
        <v>2788</v>
      </c>
      <c r="H733" s="111" t="s">
        <v>16</v>
      </c>
    </row>
    <row r="734" spans="1:8" ht="33" x14ac:dyDescent="0.2">
      <c r="A734" s="108">
        <v>4</v>
      </c>
      <c r="B734" s="108" t="s">
        <v>1527</v>
      </c>
      <c r="C734" s="110" t="s">
        <v>97</v>
      </c>
      <c r="D734" s="109">
        <v>1</v>
      </c>
      <c r="E734" s="109">
        <v>280</v>
      </c>
      <c r="F734" s="109">
        <v>280</v>
      </c>
      <c r="G734" s="108" t="s">
        <v>1535</v>
      </c>
      <c r="H734" s="111" t="s">
        <v>16</v>
      </c>
    </row>
    <row r="735" spans="1:8" ht="33" x14ac:dyDescent="0.2">
      <c r="A735" s="108">
        <v>5</v>
      </c>
      <c r="B735" s="108" t="s">
        <v>1518</v>
      </c>
      <c r="C735" s="110" t="s">
        <v>14</v>
      </c>
      <c r="D735" s="109">
        <v>1</v>
      </c>
      <c r="E735" s="109">
        <v>505.08</v>
      </c>
      <c r="F735" s="109">
        <v>505.08</v>
      </c>
      <c r="G735" s="108" t="s">
        <v>1517</v>
      </c>
      <c r="H735" s="111" t="s">
        <v>16</v>
      </c>
    </row>
    <row r="736" spans="1:8" ht="33" x14ac:dyDescent="0.2">
      <c r="A736" s="108"/>
      <c r="B736" s="108" t="s">
        <v>1516</v>
      </c>
      <c r="C736" s="110" t="s">
        <v>81</v>
      </c>
      <c r="D736" s="109">
        <v>1</v>
      </c>
      <c r="E736" s="109"/>
      <c r="F736" s="109">
        <v>17341.04</v>
      </c>
      <c r="G736" s="108"/>
      <c r="H736" s="111" t="s">
        <v>16</v>
      </c>
    </row>
    <row r="737" spans="1:8" ht="33" x14ac:dyDescent="0.2">
      <c r="A737" s="108"/>
      <c r="B737" s="108" t="s">
        <v>1515</v>
      </c>
      <c r="C737" s="110" t="s">
        <v>81</v>
      </c>
      <c r="D737" s="109"/>
      <c r="E737" s="109"/>
      <c r="F737" s="109">
        <v>17341.04</v>
      </c>
      <c r="G737" s="108"/>
      <c r="H737" s="111" t="s">
        <v>16</v>
      </c>
    </row>
    <row r="738" spans="1:8" ht="16.5" x14ac:dyDescent="0.2">
      <c r="A738" s="108"/>
      <c r="B738" s="108"/>
      <c r="C738" s="110"/>
      <c r="D738" s="109"/>
      <c r="E738" s="109"/>
      <c r="F738" s="109"/>
      <c r="G738" s="108"/>
    </row>
    <row r="739" spans="1:8" ht="33" x14ac:dyDescent="0.2">
      <c r="A739" s="108" t="s">
        <v>2791</v>
      </c>
      <c r="B739" s="108" t="s">
        <v>303</v>
      </c>
      <c r="C739" s="110" t="s">
        <v>81</v>
      </c>
      <c r="D739" s="109">
        <v>1</v>
      </c>
      <c r="E739" s="109">
        <v>17497.64</v>
      </c>
      <c r="F739" s="109"/>
      <c r="G739" s="108" t="s">
        <v>2790</v>
      </c>
      <c r="H739" s="111" t="s">
        <v>16</v>
      </c>
    </row>
    <row r="740" spans="1:8" ht="33" x14ac:dyDescent="0.2">
      <c r="A740" s="108">
        <v>1</v>
      </c>
      <c r="B740" s="108" t="s">
        <v>420</v>
      </c>
      <c r="C740" s="110" t="s">
        <v>50</v>
      </c>
      <c r="D740" s="109">
        <v>1.22</v>
      </c>
      <c r="E740" s="109">
        <v>1400</v>
      </c>
      <c r="F740" s="109">
        <v>1708</v>
      </c>
      <c r="G740" s="108" t="s">
        <v>421</v>
      </c>
      <c r="H740" s="111" t="s">
        <v>16</v>
      </c>
    </row>
    <row r="741" spans="1:8" ht="33" x14ac:dyDescent="0.2">
      <c r="A741" s="108">
        <v>2</v>
      </c>
      <c r="B741" s="108" t="s">
        <v>2789</v>
      </c>
      <c r="C741" s="110" t="s">
        <v>559</v>
      </c>
      <c r="D741" s="109">
        <v>6</v>
      </c>
      <c r="E741" s="109">
        <v>2500</v>
      </c>
      <c r="F741" s="109">
        <v>15000</v>
      </c>
      <c r="G741" s="108" t="s">
        <v>2788</v>
      </c>
      <c r="H741" s="111" t="s">
        <v>16</v>
      </c>
    </row>
    <row r="742" spans="1:8" ht="33" x14ac:dyDescent="0.2">
      <c r="A742" s="108">
        <v>3</v>
      </c>
      <c r="B742" s="108" t="s">
        <v>1527</v>
      </c>
      <c r="C742" s="110" t="s">
        <v>97</v>
      </c>
      <c r="D742" s="109">
        <v>1</v>
      </c>
      <c r="E742" s="109">
        <v>280</v>
      </c>
      <c r="F742" s="109">
        <v>280</v>
      </c>
      <c r="G742" s="108" t="s">
        <v>1535</v>
      </c>
      <c r="H742" s="111" t="s">
        <v>16</v>
      </c>
    </row>
    <row r="743" spans="1:8" ht="33" x14ac:dyDescent="0.2">
      <c r="A743" s="108">
        <v>4</v>
      </c>
      <c r="B743" s="108" t="s">
        <v>1518</v>
      </c>
      <c r="C743" s="110" t="s">
        <v>14</v>
      </c>
      <c r="D743" s="109">
        <v>1</v>
      </c>
      <c r="E743" s="109">
        <v>509.64</v>
      </c>
      <c r="F743" s="109">
        <v>509.64</v>
      </c>
      <c r="G743" s="108" t="s">
        <v>1517</v>
      </c>
      <c r="H743" s="111" t="s">
        <v>16</v>
      </c>
    </row>
    <row r="744" spans="1:8" ht="33" x14ac:dyDescent="0.2">
      <c r="A744" s="108"/>
      <c r="B744" s="108" t="s">
        <v>1516</v>
      </c>
      <c r="C744" s="110" t="s">
        <v>81</v>
      </c>
      <c r="D744" s="109">
        <v>1</v>
      </c>
      <c r="E744" s="109"/>
      <c r="F744" s="109">
        <v>17497.64</v>
      </c>
      <c r="G744" s="108"/>
      <c r="H744" s="111" t="s">
        <v>16</v>
      </c>
    </row>
    <row r="745" spans="1:8" ht="33" x14ac:dyDescent="0.2">
      <c r="A745" s="108"/>
      <c r="B745" s="108" t="s">
        <v>1515</v>
      </c>
      <c r="C745" s="110" t="s">
        <v>81</v>
      </c>
      <c r="D745" s="109"/>
      <c r="E745" s="109"/>
      <c r="F745" s="109">
        <v>17497.64</v>
      </c>
      <c r="G745" s="108"/>
      <c r="H745" s="111" t="s">
        <v>16</v>
      </c>
    </row>
    <row r="746" spans="1:8" ht="16.5" x14ac:dyDescent="0.2">
      <c r="A746" s="108"/>
      <c r="B746" s="108"/>
      <c r="C746" s="110"/>
      <c r="D746" s="109"/>
      <c r="E746" s="109"/>
      <c r="F746" s="109"/>
      <c r="G746" s="108"/>
    </row>
    <row r="747" spans="1:8" ht="33" x14ac:dyDescent="0.2">
      <c r="A747" s="108" t="s">
        <v>2787</v>
      </c>
      <c r="B747" s="108" t="s">
        <v>306</v>
      </c>
      <c r="C747" s="110" t="s">
        <v>81</v>
      </c>
      <c r="D747" s="109">
        <v>1</v>
      </c>
      <c r="E747" s="109">
        <v>1501.74</v>
      </c>
      <c r="F747" s="109"/>
      <c r="G747" s="108" t="s">
        <v>2786</v>
      </c>
      <c r="H747" s="111" t="s">
        <v>16</v>
      </c>
    </row>
    <row r="748" spans="1:8" ht="33" x14ac:dyDescent="0.2">
      <c r="A748" s="108">
        <v>1</v>
      </c>
      <c r="B748" s="108" t="s">
        <v>420</v>
      </c>
      <c r="C748" s="110" t="s">
        <v>50</v>
      </c>
      <c r="D748" s="109">
        <v>0.77</v>
      </c>
      <c r="E748" s="109">
        <v>1400</v>
      </c>
      <c r="F748" s="109">
        <v>1078</v>
      </c>
      <c r="G748" s="108" t="s">
        <v>421</v>
      </c>
      <c r="H748" s="111" t="s">
        <v>16</v>
      </c>
    </row>
    <row r="749" spans="1:8" ht="33" x14ac:dyDescent="0.2">
      <c r="A749" s="108">
        <v>2</v>
      </c>
      <c r="B749" s="108" t="s">
        <v>2785</v>
      </c>
      <c r="C749" s="110" t="s">
        <v>559</v>
      </c>
      <c r="D749" s="109">
        <v>2</v>
      </c>
      <c r="E749" s="109">
        <v>50</v>
      </c>
      <c r="F749" s="109">
        <v>100</v>
      </c>
      <c r="G749" s="108" t="s">
        <v>2784</v>
      </c>
      <c r="H749" s="111" t="s">
        <v>16</v>
      </c>
    </row>
    <row r="750" spans="1:8" ht="33" x14ac:dyDescent="0.2">
      <c r="A750" s="108">
        <v>3</v>
      </c>
      <c r="B750" s="108" t="s">
        <v>1527</v>
      </c>
      <c r="C750" s="110" t="s">
        <v>97</v>
      </c>
      <c r="D750" s="109">
        <v>1</v>
      </c>
      <c r="E750" s="109">
        <v>280</v>
      </c>
      <c r="F750" s="109">
        <v>280</v>
      </c>
      <c r="G750" s="108" t="s">
        <v>1535</v>
      </c>
      <c r="H750" s="111" t="s">
        <v>16</v>
      </c>
    </row>
    <row r="751" spans="1:8" ht="33" x14ac:dyDescent="0.2">
      <c r="A751" s="108">
        <v>4</v>
      </c>
      <c r="B751" s="108" t="s">
        <v>1518</v>
      </c>
      <c r="C751" s="110" t="s">
        <v>14</v>
      </c>
      <c r="D751" s="109">
        <v>1</v>
      </c>
      <c r="E751" s="109">
        <v>43.74</v>
      </c>
      <c r="F751" s="109">
        <v>43.74</v>
      </c>
      <c r="G751" s="108" t="s">
        <v>1517</v>
      </c>
      <c r="H751" s="111" t="s">
        <v>16</v>
      </c>
    </row>
    <row r="752" spans="1:8" ht="33" x14ac:dyDescent="0.2">
      <c r="A752" s="108"/>
      <c r="B752" s="108" t="s">
        <v>1516</v>
      </c>
      <c r="C752" s="110" t="s">
        <v>81</v>
      </c>
      <c r="D752" s="109">
        <v>1</v>
      </c>
      <c r="E752" s="109"/>
      <c r="F752" s="109">
        <v>1501.74</v>
      </c>
      <c r="G752" s="108"/>
      <c r="H752" s="111" t="s">
        <v>16</v>
      </c>
    </row>
    <row r="753" spans="1:8" ht="33" x14ac:dyDescent="0.2">
      <c r="A753" s="108"/>
      <c r="B753" s="108" t="s">
        <v>1515</v>
      </c>
      <c r="C753" s="110" t="s">
        <v>81</v>
      </c>
      <c r="D753" s="109"/>
      <c r="E753" s="109"/>
      <c r="F753" s="109">
        <v>1501.74</v>
      </c>
      <c r="G753" s="108"/>
      <c r="H753" s="111" t="s">
        <v>16</v>
      </c>
    </row>
    <row r="754" spans="1:8" ht="16.5" x14ac:dyDescent="0.2">
      <c r="A754" s="108"/>
      <c r="B754" s="108"/>
      <c r="C754" s="110"/>
      <c r="D754" s="109"/>
      <c r="E754" s="109"/>
      <c r="F754" s="109"/>
      <c r="G754" s="108"/>
    </row>
    <row r="755" spans="1:8" ht="33" x14ac:dyDescent="0.2">
      <c r="A755" s="108" t="s">
        <v>2783</v>
      </c>
      <c r="B755" s="108" t="s">
        <v>309</v>
      </c>
      <c r="C755" s="110" t="s">
        <v>81</v>
      </c>
      <c r="D755" s="109">
        <v>1</v>
      </c>
      <c r="E755" s="109">
        <v>994.98</v>
      </c>
      <c r="F755" s="109"/>
      <c r="G755" s="108" t="s">
        <v>2782</v>
      </c>
      <c r="H755" s="111" t="s">
        <v>16</v>
      </c>
    </row>
    <row r="756" spans="1:8" ht="33" x14ac:dyDescent="0.2">
      <c r="A756" s="108">
        <v>1</v>
      </c>
      <c r="B756" s="108" t="s">
        <v>420</v>
      </c>
      <c r="C756" s="110" t="s">
        <v>50</v>
      </c>
      <c r="D756" s="109">
        <v>0.49</v>
      </c>
      <c r="E756" s="109">
        <v>1400</v>
      </c>
      <c r="F756" s="109">
        <v>686</v>
      </c>
      <c r="G756" s="108" t="s">
        <v>421</v>
      </c>
      <c r="H756" s="111" t="s">
        <v>16</v>
      </c>
    </row>
    <row r="757" spans="1:8" ht="33" x14ac:dyDescent="0.2">
      <c r="A757" s="108">
        <v>2</v>
      </c>
      <c r="B757" s="108" t="s">
        <v>1527</v>
      </c>
      <c r="C757" s="110" t="s">
        <v>97</v>
      </c>
      <c r="D757" s="109">
        <v>1</v>
      </c>
      <c r="E757" s="109">
        <v>280</v>
      </c>
      <c r="F757" s="109">
        <v>280</v>
      </c>
      <c r="G757" s="108" t="s">
        <v>1535</v>
      </c>
      <c r="H757" s="111" t="s">
        <v>16</v>
      </c>
    </row>
    <row r="758" spans="1:8" ht="33" x14ac:dyDescent="0.2">
      <c r="A758" s="108">
        <v>3</v>
      </c>
      <c r="B758" s="108" t="s">
        <v>1518</v>
      </c>
      <c r="C758" s="110" t="s">
        <v>14</v>
      </c>
      <c r="D758" s="109">
        <v>1</v>
      </c>
      <c r="E758" s="109">
        <v>28.98</v>
      </c>
      <c r="F758" s="109">
        <v>28.98</v>
      </c>
      <c r="G758" s="108" t="s">
        <v>1517</v>
      </c>
      <c r="H758" s="111" t="s">
        <v>16</v>
      </c>
    </row>
    <row r="759" spans="1:8" ht="33" x14ac:dyDescent="0.2">
      <c r="A759" s="108"/>
      <c r="B759" s="108" t="s">
        <v>1516</v>
      </c>
      <c r="C759" s="110" t="s">
        <v>81</v>
      </c>
      <c r="D759" s="109">
        <v>1</v>
      </c>
      <c r="E759" s="109"/>
      <c r="F759" s="109">
        <v>994.98</v>
      </c>
      <c r="G759" s="108"/>
      <c r="H759" s="111" t="s">
        <v>16</v>
      </c>
    </row>
    <row r="760" spans="1:8" ht="33" x14ac:dyDescent="0.2">
      <c r="A760" s="108"/>
      <c r="B760" s="108" t="s">
        <v>1515</v>
      </c>
      <c r="C760" s="110" t="s">
        <v>81</v>
      </c>
      <c r="D760" s="109"/>
      <c r="E760" s="109"/>
      <c r="F760" s="109">
        <v>994.98</v>
      </c>
      <c r="G760" s="108"/>
      <c r="H760" s="111" t="s">
        <v>16</v>
      </c>
    </row>
    <row r="761" spans="1:8" ht="16.5" x14ac:dyDescent="0.2">
      <c r="A761" s="108"/>
      <c r="B761" s="108"/>
      <c r="C761" s="110"/>
      <c r="D761" s="109"/>
      <c r="E761" s="109"/>
      <c r="F761" s="109"/>
      <c r="G761" s="108"/>
    </row>
    <row r="762" spans="1:8" ht="33" x14ac:dyDescent="0.2">
      <c r="A762" s="108" t="s">
        <v>2781</v>
      </c>
      <c r="B762" s="108" t="s">
        <v>312</v>
      </c>
      <c r="C762" s="110" t="s">
        <v>81</v>
      </c>
      <c r="D762" s="109">
        <v>1</v>
      </c>
      <c r="E762" s="109">
        <v>331.66</v>
      </c>
      <c r="F762" s="109"/>
      <c r="G762" s="108" t="s">
        <v>2780</v>
      </c>
      <c r="H762" s="111" t="s">
        <v>16</v>
      </c>
    </row>
    <row r="763" spans="1:8" ht="33" x14ac:dyDescent="0.2">
      <c r="A763" s="108">
        <v>1</v>
      </c>
      <c r="B763" s="108" t="s">
        <v>420</v>
      </c>
      <c r="C763" s="110" t="s">
        <v>50</v>
      </c>
      <c r="D763" s="109">
        <v>0.03</v>
      </c>
      <c r="E763" s="109">
        <v>1400</v>
      </c>
      <c r="F763" s="109">
        <v>42</v>
      </c>
      <c r="G763" s="108" t="s">
        <v>421</v>
      </c>
      <c r="H763" s="111" t="s">
        <v>16</v>
      </c>
    </row>
    <row r="764" spans="1:8" ht="33" x14ac:dyDescent="0.2">
      <c r="A764" s="108">
        <v>2</v>
      </c>
      <c r="B764" s="108" t="s">
        <v>1527</v>
      </c>
      <c r="C764" s="110" t="s">
        <v>97</v>
      </c>
      <c r="D764" s="109">
        <v>1</v>
      </c>
      <c r="E764" s="109">
        <v>280</v>
      </c>
      <c r="F764" s="109">
        <v>280</v>
      </c>
      <c r="G764" s="108" t="s">
        <v>1535</v>
      </c>
      <c r="H764" s="111" t="s">
        <v>16</v>
      </c>
    </row>
    <row r="765" spans="1:8" ht="33" x14ac:dyDescent="0.2">
      <c r="A765" s="108">
        <v>3</v>
      </c>
      <c r="B765" s="108" t="s">
        <v>1518</v>
      </c>
      <c r="C765" s="110" t="s">
        <v>14</v>
      </c>
      <c r="D765" s="109">
        <v>1</v>
      </c>
      <c r="E765" s="109">
        <v>9.66</v>
      </c>
      <c r="F765" s="109">
        <v>9.66</v>
      </c>
      <c r="G765" s="108" t="s">
        <v>1517</v>
      </c>
      <c r="H765" s="111" t="s">
        <v>16</v>
      </c>
    </row>
    <row r="766" spans="1:8" ht="33" x14ac:dyDescent="0.2">
      <c r="A766" s="108"/>
      <c r="B766" s="108" t="s">
        <v>1516</v>
      </c>
      <c r="C766" s="110" t="s">
        <v>81</v>
      </c>
      <c r="D766" s="109">
        <v>1</v>
      </c>
      <c r="E766" s="109"/>
      <c r="F766" s="109">
        <v>331.66</v>
      </c>
      <c r="G766" s="108"/>
      <c r="H766" s="111" t="s">
        <v>16</v>
      </c>
    </row>
    <row r="767" spans="1:8" ht="33" x14ac:dyDescent="0.2">
      <c r="A767" s="108"/>
      <c r="B767" s="108" t="s">
        <v>1515</v>
      </c>
      <c r="C767" s="110" t="s">
        <v>81</v>
      </c>
      <c r="D767" s="109"/>
      <c r="E767" s="109"/>
      <c r="F767" s="109">
        <v>331.66</v>
      </c>
      <c r="G767" s="108"/>
      <c r="H767" s="111" t="s">
        <v>16</v>
      </c>
    </row>
    <row r="768" spans="1:8" ht="16.5" x14ac:dyDescent="0.2">
      <c r="A768" s="108"/>
      <c r="B768" s="108"/>
      <c r="C768" s="110"/>
      <c r="D768" s="109"/>
      <c r="E768" s="109"/>
      <c r="F768" s="109"/>
      <c r="G768" s="108"/>
    </row>
    <row r="769" spans="1:8" ht="33" x14ac:dyDescent="0.2">
      <c r="A769" s="108" t="s">
        <v>2779</v>
      </c>
      <c r="B769" s="108" t="s">
        <v>315</v>
      </c>
      <c r="C769" s="110" t="s">
        <v>81</v>
      </c>
      <c r="D769" s="109">
        <v>1</v>
      </c>
      <c r="E769" s="109">
        <v>1096.44</v>
      </c>
      <c r="F769" s="109"/>
      <c r="G769" s="108" t="s">
        <v>2778</v>
      </c>
      <c r="H769" s="111" t="s">
        <v>16</v>
      </c>
    </row>
    <row r="770" spans="1:8" ht="33" x14ac:dyDescent="0.2">
      <c r="A770" s="108">
        <v>1</v>
      </c>
      <c r="B770" s="108" t="s">
        <v>420</v>
      </c>
      <c r="C770" s="110" t="s">
        <v>50</v>
      </c>
      <c r="D770" s="109">
        <v>0.42</v>
      </c>
      <c r="E770" s="109">
        <v>1400</v>
      </c>
      <c r="F770" s="109">
        <v>588</v>
      </c>
      <c r="G770" s="108" t="s">
        <v>421</v>
      </c>
      <c r="H770" s="111" t="s">
        <v>16</v>
      </c>
    </row>
    <row r="771" spans="1:8" ht="33" x14ac:dyDescent="0.2">
      <c r="A771" s="108">
        <v>2</v>
      </c>
      <c r="B771" s="108" t="s">
        <v>2775</v>
      </c>
      <c r="C771" s="110" t="s">
        <v>559</v>
      </c>
      <c r="D771" s="109">
        <v>4</v>
      </c>
      <c r="E771" s="109">
        <v>70</v>
      </c>
      <c r="F771" s="109">
        <v>280</v>
      </c>
      <c r="G771" s="108" t="s">
        <v>2774</v>
      </c>
      <c r="H771" s="111" t="s">
        <v>16</v>
      </c>
    </row>
    <row r="772" spans="1:8" ht="33" x14ac:dyDescent="0.2">
      <c r="A772" s="108">
        <v>3</v>
      </c>
      <c r="B772" s="108" t="s">
        <v>1610</v>
      </c>
      <c r="C772" s="110" t="s">
        <v>97</v>
      </c>
      <c r="D772" s="109">
        <v>0.3</v>
      </c>
      <c r="E772" s="109">
        <v>375</v>
      </c>
      <c r="F772" s="109">
        <v>112.5</v>
      </c>
      <c r="G772" s="108" t="s">
        <v>1609</v>
      </c>
      <c r="H772" s="111" t="s">
        <v>16</v>
      </c>
    </row>
    <row r="773" spans="1:8" ht="33" x14ac:dyDescent="0.2">
      <c r="A773" s="108">
        <v>4</v>
      </c>
      <c r="B773" s="108" t="s">
        <v>1527</v>
      </c>
      <c r="C773" s="110" t="s">
        <v>97</v>
      </c>
      <c r="D773" s="109">
        <v>0.3</v>
      </c>
      <c r="E773" s="109">
        <v>280</v>
      </c>
      <c r="F773" s="109">
        <v>84</v>
      </c>
      <c r="G773" s="108" t="s">
        <v>1535</v>
      </c>
      <c r="H773" s="111" t="s">
        <v>16</v>
      </c>
    </row>
    <row r="774" spans="1:8" ht="33" x14ac:dyDescent="0.2">
      <c r="A774" s="108">
        <v>5</v>
      </c>
      <c r="B774" s="108" t="s">
        <v>1518</v>
      </c>
      <c r="C774" s="110" t="s">
        <v>14</v>
      </c>
      <c r="D774" s="109">
        <v>1</v>
      </c>
      <c r="E774" s="109">
        <v>31.94</v>
      </c>
      <c r="F774" s="109">
        <v>31.94</v>
      </c>
      <c r="G774" s="108" t="s">
        <v>1517</v>
      </c>
      <c r="H774" s="111" t="s">
        <v>16</v>
      </c>
    </row>
    <row r="775" spans="1:8" ht="33" x14ac:dyDescent="0.2">
      <c r="A775" s="108"/>
      <c r="B775" s="108" t="s">
        <v>1516</v>
      </c>
      <c r="C775" s="110" t="s">
        <v>81</v>
      </c>
      <c r="D775" s="109">
        <v>1</v>
      </c>
      <c r="E775" s="109"/>
      <c r="F775" s="109">
        <v>1096.44</v>
      </c>
      <c r="G775" s="108"/>
      <c r="H775" s="111" t="s">
        <v>16</v>
      </c>
    </row>
    <row r="776" spans="1:8" ht="33" x14ac:dyDescent="0.2">
      <c r="A776" s="108"/>
      <c r="B776" s="108" t="s">
        <v>1515</v>
      </c>
      <c r="C776" s="110" t="s">
        <v>81</v>
      </c>
      <c r="D776" s="109"/>
      <c r="E776" s="109"/>
      <c r="F776" s="109">
        <v>1096.44</v>
      </c>
      <c r="G776" s="108"/>
      <c r="H776" s="111" t="s">
        <v>16</v>
      </c>
    </row>
    <row r="777" spans="1:8" ht="16.5" x14ac:dyDescent="0.2">
      <c r="A777" s="108"/>
      <c r="B777" s="108"/>
      <c r="C777" s="110"/>
      <c r="D777" s="109"/>
      <c r="E777" s="109"/>
      <c r="F777" s="109"/>
      <c r="G777" s="108"/>
    </row>
    <row r="778" spans="1:8" ht="33" x14ac:dyDescent="0.2">
      <c r="A778" s="108" t="s">
        <v>2777</v>
      </c>
      <c r="B778" s="108" t="s">
        <v>318</v>
      </c>
      <c r="C778" s="110" t="s">
        <v>81</v>
      </c>
      <c r="D778" s="109">
        <v>1</v>
      </c>
      <c r="E778" s="109">
        <v>952.24</v>
      </c>
      <c r="F778" s="109"/>
      <c r="G778" s="108" t="s">
        <v>2776</v>
      </c>
      <c r="H778" s="111" t="s">
        <v>16</v>
      </c>
    </row>
    <row r="779" spans="1:8" ht="33" x14ac:dyDescent="0.2">
      <c r="A779" s="108">
        <v>1</v>
      </c>
      <c r="B779" s="108" t="s">
        <v>420</v>
      </c>
      <c r="C779" s="110" t="s">
        <v>50</v>
      </c>
      <c r="D779" s="109">
        <v>0.32</v>
      </c>
      <c r="E779" s="109">
        <v>1400</v>
      </c>
      <c r="F779" s="109">
        <v>448</v>
      </c>
      <c r="G779" s="108" t="s">
        <v>421</v>
      </c>
      <c r="H779" s="111" t="s">
        <v>16</v>
      </c>
    </row>
    <row r="780" spans="1:8" ht="33" x14ac:dyDescent="0.2">
      <c r="A780" s="108">
        <v>2</v>
      </c>
      <c r="B780" s="108" t="s">
        <v>2775</v>
      </c>
      <c r="C780" s="110" t="s">
        <v>559</v>
      </c>
      <c r="D780" s="109">
        <v>4</v>
      </c>
      <c r="E780" s="109">
        <v>70</v>
      </c>
      <c r="F780" s="109">
        <v>280</v>
      </c>
      <c r="G780" s="108" t="s">
        <v>2774</v>
      </c>
      <c r="H780" s="111" t="s">
        <v>16</v>
      </c>
    </row>
    <row r="781" spans="1:8" ht="33" x14ac:dyDescent="0.2">
      <c r="A781" s="108">
        <v>3</v>
      </c>
      <c r="B781" s="108" t="s">
        <v>1610</v>
      </c>
      <c r="C781" s="110" t="s">
        <v>97</v>
      </c>
      <c r="D781" s="109">
        <v>0.3</v>
      </c>
      <c r="E781" s="109">
        <v>375</v>
      </c>
      <c r="F781" s="109">
        <v>112.5</v>
      </c>
      <c r="G781" s="108" t="s">
        <v>1609</v>
      </c>
      <c r="H781" s="111" t="s">
        <v>16</v>
      </c>
    </row>
    <row r="782" spans="1:8" ht="33" x14ac:dyDescent="0.2">
      <c r="A782" s="108">
        <v>4</v>
      </c>
      <c r="B782" s="108" t="s">
        <v>1527</v>
      </c>
      <c r="C782" s="110" t="s">
        <v>97</v>
      </c>
      <c r="D782" s="109">
        <v>0.3</v>
      </c>
      <c r="E782" s="109">
        <v>280</v>
      </c>
      <c r="F782" s="109">
        <v>84</v>
      </c>
      <c r="G782" s="108" t="s">
        <v>1535</v>
      </c>
      <c r="H782" s="111" t="s">
        <v>16</v>
      </c>
    </row>
    <row r="783" spans="1:8" ht="33" x14ac:dyDescent="0.2">
      <c r="A783" s="108">
        <v>5</v>
      </c>
      <c r="B783" s="108" t="s">
        <v>1518</v>
      </c>
      <c r="C783" s="110" t="s">
        <v>14</v>
      </c>
      <c r="D783" s="109">
        <v>1</v>
      </c>
      <c r="E783" s="109">
        <v>27.74</v>
      </c>
      <c r="F783" s="109">
        <v>27.74</v>
      </c>
      <c r="G783" s="108" t="s">
        <v>1517</v>
      </c>
      <c r="H783" s="111" t="s">
        <v>16</v>
      </c>
    </row>
    <row r="784" spans="1:8" ht="33" x14ac:dyDescent="0.2">
      <c r="A784" s="108"/>
      <c r="B784" s="108" t="s">
        <v>1516</v>
      </c>
      <c r="C784" s="110" t="s">
        <v>81</v>
      </c>
      <c r="D784" s="109">
        <v>1</v>
      </c>
      <c r="E784" s="109"/>
      <c r="F784" s="109">
        <v>952.24</v>
      </c>
      <c r="G784" s="108"/>
      <c r="H784" s="111" t="s">
        <v>16</v>
      </c>
    </row>
    <row r="785" spans="1:8" ht="33" x14ac:dyDescent="0.2">
      <c r="A785" s="108"/>
      <c r="B785" s="108" t="s">
        <v>1515</v>
      </c>
      <c r="C785" s="110" t="s">
        <v>81</v>
      </c>
      <c r="D785" s="109"/>
      <c r="E785" s="109"/>
      <c r="F785" s="109">
        <v>952.24</v>
      </c>
      <c r="G785" s="108"/>
      <c r="H785" s="111" t="s">
        <v>16</v>
      </c>
    </row>
    <row r="786" spans="1:8" ht="16.5" x14ac:dyDescent="0.2">
      <c r="A786" s="108"/>
      <c r="B786" s="108"/>
      <c r="C786" s="110"/>
      <c r="D786" s="109"/>
      <c r="E786" s="109"/>
      <c r="F786" s="109"/>
      <c r="G786" s="108"/>
    </row>
    <row r="787" spans="1:8" ht="33" x14ac:dyDescent="0.2">
      <c r="A787" s="108" t="s">
        <v>2773</v>
      </c>
      <c r="B787" s="108" t="s">
        <v>321</v>
      </c>
      <c r="C787" s="110" t="s">
        <v>50</v>
      </c>
      <c r="D787" s="109">
        <v>10</v>
      </c>
      <c r="E787" s="109">
        <v>647.70000000000005</v>
      </c>
      <c r="F787" s="109"/>
      <c r="G787" s="108" t="s">
        <v>2772</v>
      </c>
      <c r="H787" s="111" t="s">
        <v>16</v>
      </c>
    </row>
    <row r="788" spans="1:8" ht="33" x14ac:dyDescent="0.2">
      <c r="A788" s="108">
        <v>1</v>
      </c>
      <c r="B788" s="108" t="s">
        <v>2771</v>
      </c>
      <c r="C788" s="110" t="s">
        <v>110</v>
      </c>
      <c r="D788" s="109">
        <v>43</v>
      </c>
      <c r="E788" s="109">
        <v>106.25</v>
      </c>
      <c r="F788" s="109">
        <v>4568.75</v>
      </c>
      <c r="G788" s="108" t="s">
        <v>2770</v>
      </c>
      <c r="H788" s="111" t="s">
        <v>16</v>
      </c>
    </row>
    <row r="789" spans="1:8" ht="33" x14ac:dyDescent="0.2">
      <c r="A789" s="108">
        <v>2</v>
      </c>
      <c r="B789" s="108" t="s">
        <v>2769</v>
      </c>
      <c r="C789" s="110" t="s">
        <v>110</v>
      </c>
      <c r="D789" s="109">
        <v>11</v>
      </c>
      <c r="E789" s="109">
        <v>16.13</v>
      </c>
      <c r="F789" s="109">
        <v>177.43</v>
      </c>
      <c r="G789" s="108" t="s">
        <v>2768</v>
      </c>
      <c r="H789" s="111" t="s">
        <v>16</v>
      </c>
    </row>
    <row r="790" spans="1:8" ht="33" x14ac:dyDescent="0.2">
      <c r="A790" s="108">
        <v>3</v>
      </c>
      <c r="B790" s="108" t="s">
        <v>2767</v>
      </c>
      <c r="C790" s="110" t="s">
        <v>110</v>
      </c>
      <c r="D790" s="109">
        <v>1.4</v>
      </c>
      <c r="E790" s="109">
        <v>20.23</v>
      </c>
      <c r="F790" s="109">
        <v>28.32</v>
      </c>
      <c r="G790" s="108" t="s">
        <v>2766</v>
      </c>
      <c r="H790" s="111" t="s">
        <v>16</v>
      </c>
    </row>
    <row r="791" spans="1:8" ht="33" x14ac:dyDescent="0.2">
      <c r="A791" s="108">
        <v>4</v>
      </c>
      <c r="B791" s="108" t="s">
        <v>2765</v>
      </c>
      <c r="C791" s="110" t="s">
        <v>110</v>
      </c>
      <c r="D791" s="109">
        <v>2</v>
      </c>
      <c r="E791" s="109">
        <v>65.400000000000006</v>
      </c>
      <c r="F791" s="109">
        <v>130.80000000000001</v>
      </c>
      <c r="G791" s="108" t="s">
        <v>2764</v>
      </c>
      <c r="H791" s="111" t="s">
        <v>16</v>
      </c>
    </row>
    <row r="792" spans="1:8" ht="33" x14ac:dyDescent="0.2">
      <c r="A792" s="108">
        <v>5</v>
      </c>
      <c r="B792" s="108" t="s">
        <v>2763</v>
      </c>
      <c r="C792" s="110" t="s">
        <v>97</v>
      </c>
      <c r="D792" s="109">
        <v>1.25</v>
      </c>
      <c r="E792" s="109">
        <v>59.49</v>
      </c>
      <c r="F792" s="109">
        <v>74.36</v>
      </c>
      <c r="G792" s="108" t="s">
        <v>2762</v>
      </c>
      <c r="H792" s="111" t="s">
        <v>16</v>
      </c>
    </row>
    <row r="793" spans="1:8" ht="33" x14ac:dyDescent="0.2">
      <c r="A793" s="108">
        <v>6</v>
      </c>
      <c r="B793" s="108" t="s">
        <v>2761</v>
      </c>
      <c r="C793" s="110" t="s">
        <v>97</v>
      </c>
      <c r="D793" s="109">
        <v>1.25</v>
      </c>
      <c r="E793" s="109">
        <v>375</v>
      </c>
      <c r="F793" s="109">
        <v>468.75</v>
      </c>
      <c r="G793" s="108" t="s">
        <v>2760</v>
      </c>
      <c r="H793" s="111" t="s">
        <v>16</v>
      </c>
    </row>
    <row r="794" spans="1:8" ht="33" x14ac:dyDescent="0.2">
      <c r="A794" s="108">
        <v>7</v>
      </c>
      <c r="B794" s="108" t="s">
        <v>1527</v>
      </c>
      <c r="C794" s="110" t="s">
        <v>97</v>
      </c>
      <c r="D794" s="109">
        <v>1.25</v>
      </c>
      <c r="E794" s="109">
        <v>280</v>
      </c>
      <c r="F794" s="109">
        <v>350</v>
      </c>
      <c r="G794" s="108" t="s">
        <v>1535</v>
      </c>
      <c r="H794" s="111" t="s">
        <v>16</v>
      </c>
    </row>
    <row r="795" spans="1:8" ht="33" x14ac:dyDescent="0.2">
      <c r="A795" s="108">
        <v>8</v>
      </c>
      <c r="B795" s="108" t="s">
        <v>2759</v>
      </c>
      <c r="C795" s="110" t="s">
        <v>97</v>
      </c>
      <c r="D795" s="109">
        <v>1.25</v>
      </c>
      <c r="E795" s="109">
        <v>375</v>
      </c>
      <c r="F795" s="109">
        <v>468.75</v>
      </c>
      <c r="G795" s="108" t="s">
        <v>2758</v>
      </c>
      <c r="H795" s="111" t="s">
        <v>16</v>
      </c>
    </row>
    <row r="796" spans="1:8" ht="33" x14ac:dyDescent="0.2">
      <c r="A796" s="108">
        <v>9</v>
      </c>
      <c r="B796" s="108" t="s">
        <v>2757</v>
      </c>
      <c r="C796" s="110" t="s">
        <v>14</v>
      </c>
      <c r="D796" s="109">
        <v>1</v>
      </c>
      <c r="E796" s="109">
        <v>21.2</v>
      </c>
      <c r="F796" s="109">
        <v>21.2</v>
      </c>
      <c r="G796" s="108" t="s">
        <v>2756</v>
      </c>
      <c r="H796" s="111" t="s">
        <v>16</v>
      </c>
    </row>
    <row r="797" spans="1:8" ht="33" x14ac:dyDescent="0.2">
      <c r="A797" s="108">
        <v>10</v>
      </c>
      <c r="B797" s="108" t="s">
        <v>1518</v>
      </c>
      <c r="C797" s="110" t="s">
        <v>14</v>
      </c>
      <c r="D797" s="109">
        <v>1</v>
      </c>
      <c r="E797" s="109">
        <v>188.65</v>
      </c>
      <c r="F797" s="109">
        <v>188.65</v>
      </c>
      <c r="G797" s="108" t="s">
        <v>1517</v>
      </c>
      <c r="H797" s="111" t="s">
        <v>16</v>
      </c>
    </row>
    <row r="798" spans="1:8" ht="33" x14ac:dyDescent="0.2">
      <c r="A798" s="108"/>
      <c r="B798" s="108" t="s">
        <v>1516</v>
      </c>
      <c r="C798" s="110" t="s">
        <v>50</v>
      </c>
      <c r="D798" s="109">
        <v>10</v>
      </c>
      <c r="E798" s="109"/>
      <c r="F798" s="109">
        <v>6477.0099999999993</v>
      </c>
      <c r="G798" s="108"/>
      <c r="H798" s="111" t="s">
        <v>16</v>
      </c>
    </row>
    <row r="799" spans="1:8" ht="33" x14ac:dyDescent="0.2">
      <c r="A799" s="108"/>
      <c r="B799" s="108" t="s">
        <v>1515</v>
      </c>
      <c r="C799" s="110" t="s">
        <v>50</v>
      </c>
      <c r="D799" s="109"/>
      <c r="E799" s="109"/>
      <c r="F799" s="109">
        <v>647.70000000000005</v>
      </c>
      <c r="G799" s="108"/>
      <c r="H799" s="111" t="s">
        <v>16</v>
      </c>
    </row>
    <row r="800" spans="1:8" ht="16.5" x14ac:dyDescent="0.2">
      <c r="A800" s="108"/>
      <c r="B800" s="108"/>
      <c r="C800" s="110"/>
      <c r="D800" s="109"/>
      <c r="E800" s="109"/>
      <c r="F800" s="109"/>
      <c r="G800" s="108"/>
    </row>
    <row r="801" spans="1:8" ht="33" x14ac:dyDescent="0.2">
      <c r="A801" s="108" t="s">
        <v>2755</v>
      </c>
      <c r="B801" s="108" t="s">
        <v>324</v>
      </c>
      <c r="C801" s="110" t="s">
        <v>325</v>
      </c>
      <c r="D801" s="109">
        <v>1</v>
      </c>
      <c r="E801" s="109">
        <v>10413.299999999999</v>
      </c>
      <c r="F801" s="109"/>
      <c r="G801" s="108" t="s">
        <v>2754</v>
      </c>
      <c r="H801" s="111" t="s">
        <v>16</v>
      </c>
    </row>
    <row r="802" spans="1:8" ht="33" x14ac:dyDescent="0.2">
      <c r="A802" s="108">
        <v>1</v>
      </c>
      <c r="B802" s="108" t="s">
        <v>2753</v>
      </c>
      <c r="C802" s="110" t="s">
        <v>2752</v>
      </c>
      <c r="D802" s="109">
        <v>2</v>
      </c>
      <c r="E802" s="109">
        <v>200</v>
      </c>
      <c r="F802" s="109">
        <v>400</v>
      </c>
      <c r="G802" s="108" t="s">
        <v>2751</v>
      </c>
      <c r="H802" s="111" t="s">
        <v>16</v>
      </c>
    </row>
    <row r="803" spans="1:8" ht="33" x14ac:dyDescent="0.2">
      <c r="A803" s="108">
        <v>2</v>
      </c>
      <c r="B803" s="108" t="s">
        <v>2750</v>
      </c>
      <c r="C803" s="110" t="s">
        <v>325</v>
      </c>
      <c r="D803" s="109">
        <v>2</v>
      </c>
      <c r="E803" s="109">
        <v>55</v>
      </c>
      <c r="F803" s="109">
        <v>110</v>
      </c>
      <c r="G803" s="108" t="s">
        <v>2749</v>
      </c>
      <c r="H803" s="111" t="s">
        <v>16</v>
      </c>
    </row>
    <row r="804" spans="1:8" ht="33" x14ac:dyDescent="0.2">
      <c r="A804" s="108">
        <v>3</v>
      </c>
      <c r="B804" s="108" t="s">
        <v>2748</v>
      </c>
      <c r="C804" s="110" t="s">
        <v>50</v>
      </c>
      <c r="D804" s="109">
        <v>1.2</v>
      </c>
      <c r="E804" s="109">
        <v>8000</v>
      </c>
      <c r="F804" s="109">
        <v>9600</v>
      </c>
      <c r="G804" s="108" t="s">
        <v>2747</v>
      </c>
      <c r="H804" s="111" t="s">
        <v>16</v>
      </c>
    </row>
    <row r="805" spans="1:8" ht="33" x14ac:dyDescent="0.2">
      <c r="A805" s="108">
        <v>4</v>
      </c>
      <c r="B805" s="108" t="s">
        <v>1518</v>
      </c>
      <c r="C805" s="110" t="s">
        <v>14</v>
      </c>
      <c r="D805" s="109">
        <v>1</v>
      </c>
      <c r="E805" s="109">
        <v>303.3</v>
      </c>
      <c r="F805" s="109">
        <v>303.3</v>
      </c>
      <c r="G805" s="108" t="s">
        <v>1517</v>
      </c>
      <c r="H805" s="111" t="s">
        <v>16</v>
      </c>
    </row>
    <row r="806" spans="1:8" ht="33" x14ac:dyDescent="0.2">
      <c r="A806" s="108"/>
      <c r="B806" s="108" t="s">
        <v>1516</v>
      </c>
      <c r="C806" s="110" t="s">
        <v>325</v>
      </c>
      <c r="D806" s="109">
        <v>1</v>
      </c>
      <c r="E806" s="109"/>
      <c r="F806" s="109">
        <v>10413.299999999999</v>
      </c>
      <c r="G806" s="108"/>
      <c r="H806" s="111" t="s">
        <v>16</v>
      </c>
    </row>
    <row r="807" spans="1:8" ht="33" x14ac:dyDescent="0.2">
      <c r="A807" s="108"/>
      <c r="B807" s="108" t="s">
        <v>1515</v>
      </c>
      <c r="C807" s="110" t="s">
        <v>325</v>
      </c>
      <c r="D807" s="109"/>
      <c r="E807" s="109"/>
      <c r="F807" s="109">
        <v>10413.299999999999</v>
      </c>
      <c r="G807" s="108"/>
      <c r="H807" s="111" t="s">
        <v>16</v>
      </c>
    </row>
    <row r="808" spans="1:8" ht="16.5" x14ac:dyDescent="0.2">
      <c r="A808" s="108"/>
      <c r="B808" s="108"/>
      <c r="C808" s="110"/>
      <c r="D808" s="109"/>
      <c r="E808" s="109"/>
      <c r="F808" s="109"/>
      <c r="G808" s="108"/>
    </row>
    <row r="809" spans="1:8" ht="33" x14ac:dyDescent="0.2">
      <c r="A809" s="108" t="s">
        <v>2746</v>
      </c>
      <c r="B809" s="108" t="s">
        <v>328</v>
      </c>
      <c r="C809" s="110" t="s">
        <v>81</v>
      </c>
      <c r="D809" s="109">
        <v>1</v>
      </c>
      <c r="E809" s="109">
        <v>101421.35</v>
      </c>
      <c r="F809" s="109"/>
      <c r="G809" s="108" t="s">
        <v>2745</v>
      </c>
      <c r="H809" s="111" t="s">
        <v>16</v>
      </c>
    </row>
    <row r="810" spans="1:8" ht="57" x14ac:dyDescent="0.2">
      <c r="A810" s="108">
        <v>1</v>
      </c>
      <c r="B810" s="108" t="s">
        <v>1737</v>
      </c>
      <c r="C810" s="110" t="s">
        <v>50</v>
      </c>
      <c r="D810" s="109">
        <v>49.71</v>
      </c>
      <c r="E810" s="109">
        <v>104.62</v>
      </c>
      <c r="F810" s="109">
        <v>5200.66</v>
      </c>
      <c r="G810" s="108" t="s">
        <v>2555</v>
      </c>
      <c r="H810" s="111" t="s">
        <v>16</v>
      </c>
    </row>
    <row r="811" spans="1:8" ht="33" x14ac:dyDescent="0.2">
      <c r="A811" s="108">
        <v>2</v>
      </c>
      <c r="B811" s="108" t="s">
        <v>509</v>
      </c>
      <c r="C811" s="110" t="s">
        <v>50</v>
      </c>
      <c r="D811" s="109">
        <v>49.71</v>
      </c>
      <c r="E811" s="109">
        <v>1454.57</v>
      </c>
      <c r="F811" s="109">
        <v>72306.67</v>
      </c>
      <c r="G811" s="108" t="s">
        <v>2659</v>
      </c>
      <c r="H811" s="111" t="s">
        <v>16</v>
      </c>
    </row>
    <row r="812" spans="1:8" ht="33" x14ac:dyDescent="0.2">
      <c r="A812" s="108">
        <v>3</v>
      </c>
      <c r="B812" s="108" t="s">
        <v>1610</v>
      </c>
      <c r="C812" s="110" t="s">
        <v>97</v>
      </c>
      <c r="D812" s="109">
        <v>32</v>
      </c>
      <c r="E812" s="109">
        <v>375</v>
      </c>
      <c r="F812" s="109">
        <v>12000</v>
      </c>
      <c r="G812" s="108" t="s">
        <v>1609</v>
      </c>
      <c r="H812" s="111" t="s">
        <v>16</v>
      </c>
    </row>
    <row r="813" spans="1:8" ht="33" x14ac:dyDescent="0.2">
      <c r="A813" s="108">
        <v>4</v>
      </c>
      <c r="B813" s="108" t="s">
        <v>1527</v>
      </c>
      <c r="C813" s="110" t="s">
        <v>97</v>
      </c>
      <c r="D813" s="109">
        <v>32</v>
      </c>
      <c r="E813" s="109">
        <v>280</v>
      </c>
      <c r="F813" s="109">
        <v>8960</v>
      </c>
      <c r="G813" s="108" t="s">
        <v>1535</v>
      </c>
      <c r="H813" s="111" t="s">
        <v>16</v>
      </c>
    </row>
    <row r="814" spans="1:8" ht="33" x14ac:dyDescent="0.2">
      <c r="A814" s="108">
        <v>5</v>
      </c>
      <c r="B814" s="108" t="s">
        <v>1518</v>
      </c>
      <c r="C814" s="110" t="s">
        <v>14</v>
      </c>
      <c r="D814" s="109">
        <v>1</v>
      </c>
      <c r="E814" s="109">
        <v>2954.02</v>
      </c>
      <c r="F814" s="109">
        <v>2954.02</v>
      </c>
      <c r="G814" s="108" t="s">
        <v>1517</v>
      </c>
      <c r="H814" s="111" t="s">
        <v>16</v>
      </c>
    </row>
    <row r="815" spans="1:8" ht="33" x14ac:dyDescent="0.2">
      <c r="A815" s="108"/>
      <c r="B815" s="108" t="s">
        <v>1516</v>
      </c>
      <c r="C815" s="110" t="s">
        <v>81</v>
      </c>
      <c r="D815" s="109">
        <v>1</v>
      </c>
      <c r="E815" s="109"/>
      <c r="F815" s="109">
        <v>101421.35</v>
      </c>
      <c r="G815" s="108"/>
      <c r="H815" s="111" t="s">
        <v>16</v>
      </c>
    </row>
    <row r="816" spans="1:8" ht="33" x14ac:dyDescent="0.2">
      <c r="A816" s="108"/>
      <c r="B816" s="108" t="s">
        <v>1515</v>
      </c>
      <c r="C816" s="110" t="s">
        <v>81</v>
      </c>
      <c r="D816" s="109"/>
      <c r="E816" s="109"/>
      <c r="F816" s="109">
        <v>101421.35</v>
      </c>
      <c r="G816" s="108"/>
      <c r="H816" s="111" t="s">
        <v>16</v>
      </c>
    </row>
    <row r="817" spans="1:8" ht="16.5" x14ac:dyDescent="0.2">
      <c r="A817" s="108"/>
      <c r="B817" s="108"/>
      <c r="C817" s="110"/>
      <c r="D817" s="109"/>
      <c r="E817" s="109"/>
      <c r="F817" s="109"/>
      <c r="G817" s="108"/>
    </row>
    <row r="818" spans="1:8" ht="33" x14ac:dyDescent="0.2">
      <c r="A818" s="108" t="s">
        <v>2744</v>
      </c>
      <c r="B818" s="108" t="s">
        <v>331</v>
      </c>
      <c r="C818" s="110" t="s">
        <v>325</v>
      </c>
      <c r="D818" s="109">
        <v>1</v>
      </c>
      <c r="E818" s="109">
        <v>4575.26</v>
      </c>
      <c r="F818" s="109"/>
      <c r="G818" s="108" t="s">
        <v>2743</v>
      </c>
      <c r="H818" s="111" t="s">
        <v>16</v>
      </c>
    </row>
    <row r="819" spans="1:8" ht="33" x14ac:dyDescent="0.2">
      <c r="A819" s="108">
        <v>1</v>
      </c>
      <c r="B819" s="108" t="s">
        <v>2742</v>
      </c>
      <c r="C819" s="110" t="s">
        <v>2735</v>
      </c>
      <c r="D819" s="109">
        <v>3.4</v>
      </c>
      <c r="E819" s="109">
        <v>250</v>
      </c>
      <c r="F819" s="109">
        <v>850</v>
      </c>
      <c r="G819" s="108" t="s">
        <v>2741</v>
      </c>
      <c r="H819" s="111" t="s">
        <v>16</v>
      </c>
    </row>
    <row r="820" spans="1:8" ht="33" x14ac:dyDescent="0.2">
      <c r="A820" s="108">
        <v>2</v>
      </c>
      <c r="B820" s="108" t="s">
        <v>2740</v>
      </c>
      <c r="C820" s="110" t="s">
        <v>1522</v>
      </c>
      <c r="D820" s="109">
        <v>0.13</v>
      </c>
      <c r="E820" s="109">
        <v>2000</v>
      </c>
      <c r="F820" s="109">
        <v>260</v>
      </c>
      <c r="G820" s="108" t="s">
        <v>2739</v>
      </c>
      <c r="H820" s="111" t="s">
        <v>16</v>
      </c>
    </row>
    <row r="821" spans="1:8" ht="33" x14ac:dyDescent="0.2">
      <c r="A821" s="108">
        <v>3</v>
      </c>
      <c r="B821" s="108" t="s">
        <v>2738</v>
      </c>
      <c r="C821" s="110" t="s">
        <v>2735</v>
      </c>
      <c r="D821" s="109">
        <v>3.4</v>
      </c>
      <c r="E821" s="109">
        <v>20</v>
      </c>
      <c r="F821" s="109">
        <v>68</v>
      </c>
      <c r="G821" s="108" t="s">
        <v>2737</v>
      </c>
      <c r="H821" s="111" t="s">
        <v>16</v>
      </c>
    </row>
    <row r="822" spans="1:8" ht="33" x14ac:dyDescent="0.2">
      <c r="A822" s="108">
        <v>4</v>
      </c>
      <c r="B822" s="108" t="s">
        <v>2736</v>
      </c>
      <c r="C822" s="110" t="s">
        <v>2735</v>
      </c>
      <c r="D822" s="109">
        <v>3.4</v>
      </c>
      <c r="E822" s="109">
        <v>10</v>
      </c>
      <c r="F822" s="109">
        <v>34</v>
      </c>
      <c r="G822" s="108" t="s">
        <v>2734</v>
      </c>
      <c r="H822" s="111" t="s">
        <v>16</v>
      </c>
    </row>
    <row r="823" spans="1:8" ht="33" x14ac:dyDescent="0.2">
      <c r="A823" s="108">
        <v>5</v>
      </c>
      <c r="B823" s="108" t="s">
        <v>2733</v>
      </c>
      <c r="C823" s="110" t="s">
        <v>1522</v>
      </c>
      <c r="D823" s="109">
        <v>0.02</v>
      </c>
      <c r="E823" s="109">
        <v>1500</v>
      </c>
      <c r="F823" s="109">
        <v>30</v>
      </c>
      <c r="G823" s="108" t="s">
        <v>2732</v>
      </c>
      <c r="H823" s="111" t="s">
        <v>16</v>
      </c>
    </row>
    <row r="824" spans="1:8" ht="33" x14ac:dyDescent="0.2">
      <c r="A824" s="108">
        <v>6</v>
      </c>
      <c r="B824" s="108" t="s">
        <v>2731</v>
      </c>
      <c r="C824" s="110" t="s">
        <v>97</v>
      </c>
      <c r="D824" s="109">
        <v>1.04</v>
      </c>
      <c r="E824" s="109">
        <v>375</v>
      </c>
      <c r="F824" s="109">
        <v>390</v>
      </c>
      <c r="G824" s="108" t="s">
        <v>2730</v>
      </c>
      <c r="H824" s="111" t="s">
        <v>16</v>
      </c>
    </row>
    <row r="825" spans="1:8" ht="33" x14ac:dyDescent="0.2">
      <c r="A825" s="108">
        <v>7</v>
      </c>
      <c r="B825" s="108" t="s">
        <v>2729</v>
      </c>
      <c r="C825" s="110" t="s">
        <v>14</v>
      </c>
      <c r="D825" s="109">
        <v>1</v>
      </c>
      <c r="E825" s="109">
        <v>1500</v>
      </c>
      <c r="F825" s="109">
        <v>1500</v>
      </c>
      <c r="G825" s="108" t="s">
        <v>2728</v>
      </c>
      <c r="H825" s="111" t="s">
        <v>16</v>
      </c>
    </row>
    <row r="826" spans="1:8" ht="33" x14ac:dyDescent="0.2">
      <c r="A826" s="108">
        <v>8</v>
      </c>
      <c r="B826" s="108" t="s">
        <v>1610</v>
      </c>
      <c r="C826" s="110" t="s">
        <v>97</v>
      </c>
      <c r="D826" s="109">
        <v>2</v>
      </c>
      <c r="E826" s="109">
        <v>375</v>
      </c>
      <c r="F826" s="109">
        <v>750</v>
      </c>
      <c r="G826" s="108" t="s">
        <v>1609</v>
      </c>
      <c r="H826" s="111" t="s">
        <v>16</v>
      </c>
    </row>
    <row r="827" spans="1:8" ht="33" x14ac:dyDescent="0.2">
      <c r="A827" s="108">
        <v>9</v>
      </c>
      <c r="B827" s="108" t="s">
        <v>1527</v>
      </c>
      <c r="C827" s="110" t="s">
        <v>97</v>
      </c>
      <c r="D827" s="109">
        <v>2</v>
      </c>
      <c r="E827" s="109">
        <v>280</v>
      </c>
      <c r="F827" s="109">
        <v>560</v>
      </c>
      <c r="G827" s="108" t="s">
        <v>1535</v>
      </c>
      <c r="H827" s="111" t="s">
        <v>16</v>
      </c>
    </row>
    <row r="828" spans="1:8" ht="33" x14ac:dyDescent="0.2">
      <c r="A828" s="108">
        <v>10</v>
      </c>
      <c r="B828" s="108" t="s">
        <v>1518</v>
      </c>
      <c r="C828" s="110" t="s">
        <v>14</v>
      </c>
      <c r="D828" s="109">
        <v>1</v>
      </c>
      <c r="E828" s="109">
        <v>133.26</v>
      </c>
      <c r="F828" s="109">
        <v>133.26</v>
      </c>
      <c r="G828" s="108" t="s">
        <v>1517</v>
      </c>
      <c r="H828" s="111" t="s">
        <v>16</v>
      </c>
    </row>
    <row r="829" spans="1:8" ht="33" x14ac:dyDescent="0.2">
      <c r="A829" s="108"/>
      <c r="B829" s="108" t="s">
        <v>1516</v>
      </c>
      <c r="C829" s="110" t="s">
        <v>325</v>
      </c>
      <c r="D829" s="109">
        <v>1</v>
      </c>
      <c r="E829" s="109"/>
      <c r="F829" s="109">
        <v>4575.26</v>
      </c>
      <c r="G829" s="108"/>
      <c r="H829" s="111" t="s">
        <v>16</v>
      </c>
    </row>
    <row r="830" spans="1:8" ht="33" x14ac:dyDescent="0.2">
      <c r="A830" s="108"/>
      <c r="B830" s="108" t="s">
        <v>1515</v>
      </c>
      <c r="C830" s="110" t="s">
        <v>325</v>
      </c>
      <c r="D830" s="109"/>
      <c r="E830" s="109"/>
      <c r="F830" s="109">
        <v>4575.26</v>
      </c>
      <c r="G830" s="108"/>
      <c r="H830" s="111" t="s">
        <v>16</v>
      </c>
    </row>
    <row r="831" spans="1:8" ht="16.5" x14ac:dyDescent="0.2">
      <c r="A831" s="108"/>
      <c r="B831" s="108"/>
      <c r="C831" s="110"/>
      <c r="D831" s="109"/>
      <c r="E831" s="109"/>
      <c r="F831" s="109"/>
      <c r="G831" s="108"/>
    </row>
    <row r="832" spans="1:8" ht="33" x14ac:dyDescent="0.2">
      <c r="A832" s="108" t="s">
        <v>2727</v>
      </c>
      <c r="B832" s="108" t="s">
        <v>334</v>
      </c>
      <c r="C832" s="110" t="s">
        <v>81</v>
      </c>
      <c r="D832" s="109">
        <v>1</v>
      </c>
      <c r="E832" s="109">
        <v>12634.43</v>
      </c>
      <c r="F832" s="109"/>
      <c r="G832" s="108" t="s">
        <v>2726</v>
      </c>
      <c r="H832" s="111" t="s">
        <v>16</v>
      </c>
    </row>
    <row r="833" spans="1:8" ht="33" x14ac:dyDescent="0.2">
      <c r="A833" s="108">
        <v>1</v>
      </c>
      <c r="B833" s="108" t="s">
        <v>2725</v>
      </c>
      <c r="C833" s="110" t="s">
        <v>162</v>
      </c>
      <c r="D833" s="109">
        <v>1</v>
      </c>
      <c r="E833" s="109">
        <v>600</v>
      </c>
      <c r="F833" s="109">
        <v>600</v>
      </c>
      <c r="G833" s="108" t="s">
        <v>2724</v>
      </c>
      <c r="H833" s="111" t="s">
        <v>16</v>
      </c>
    </row>
    <row r="834" spans="1:8" ht="33" x14ac:dyDescent="0.2">
      <c r="A834" s="108">
        <v>2</v>
      </c>
      <c r="B834" s="108" t="s">
        <v>417</v>
      </c>
      <c r="C834" s="110" t="s">
        <v>110</v>
      </c>
      <c r="D834" s="109">
        <v>32.4</v>
      </c>
      <c r="E834" s="109">
        <v>278.10000000000002</v>
      </c>
      <c r="F834" s="109">
        <v>9010.44</v>
      </c>
      <c r="G834" s="108" t="s">
        <v>2723</v>
      </c>
      <c r="H834" s="111" t="s">
        <v>16</v>
      </c>
    </row>
    <row r="835" spans="1:8" ht="33" x14ac:dyDescent="0.2">
      <c r="A835" s="108">
        <v>3</v>
      </c>
      <c r="B835" s="108" t="s">
        <v>1774</v>
      </c>
      <c r="C835" s="110" t="s">
        <v>50</v>
      </c>
      <c r="D835" s="109">
        <v>0.5</v>
      </c>
      <c r="E835" s="109">
        <v>458.74</v>
      </c>
      <c r="F835" s="109">
        <v>229.37</v>
      </c>
      <c r="G835" s="108" t="s">
        <v>2508</v>
      </c>
      <c r="H835" s="111" t="s">
        <v>16</v>
      </c>
    </row>
    <row r="836" spans="1:8" ht="33" x14ac:dyDescent="0.2">
      <c r="A836" s="108">
        <v>4</v>
      </c>
      <c r="B836" s="108" t="s">
        <v>509</v>
      </c>
      <c r="C836" s="110" t="s">
        <v>50</v>
      </c>
      <c r="D836" s="109">
        <v>0.5</v>
      </c>
      <c r="E836" s="109">
        <v>1454.57</v>
      </c>
      <c r="F836" s="109">
        <v>727.29</v>
      </c>
      <c r="G836" s="108" t="s">
        <v>2659</v>
      </c>
      <c r="H836" s="111" t="s">
        <v>16</v>
      </c>
    </row>
    <row r="837" spans="1:8" ht="42.75" x14ac:dyDescent="0.2">
      <c r="A837" s="108">
        <v>5</v>
      </c>
      <c r="B837" s="108" t="s">
        <v>1730</v>
      </c>
      <c r="C837" s="110" t="s">
        <v>925</v>
      </c>
      <c r="D837" s="109">
        <v>1</v>
      </c>
      <c r="E837" s="109">
        <v>389.34</v>
      </c>
      <c r="F837" s="109">
        <v>389.34</v>
      </c>
      <c r="G837" s="108" t="s">
        <v>2722</v>
      </c>
      <c r="H837" s="111" t="s">
        <v>16</v>
      </c>
    </row>
    <row r="838" spans="1:8" ht="33" x14ac:dyDescent="0.2">
      <c r="A838" s="108">
        <v>6</v>
      </c>
      <c r="B838" s="108" t="s">
        <v>1610</v>
      </c>
      <c r="C838" s="110" t="s">
        <v>97</v>
      </c>
      <c r="D838" s="109">
        <v>2</v>
      </c>
      <c r="E838" s="109">
        <v>375</v>
      </c>
      <c r="F838" s="109">
        <v>750</v>
      </c>
      <c r="G838" s="108" t="s">
        <v>1609</v>
      </c>
      <c r="H838" s="111" t="s">
        <v>16</v>
      </c>
    </row>
    <row r="839" spans="1:8" ht="33" x14ac:dyDescent="0.2">
      <c r="A839" s="108">
        <v>7</v>
      </c>
      <c r="B839" s="108" t="s">
        <v>1527</v>
      </c>
      <c r="C839" s="110" t="s">
        <v>97</v>
      </c>
      <c r="D839" s="109">
        <v>2</v>
      </c>
      <c r="E839" s="109">
        <v>280</v>
      </c>
      <c r="F839" s="109">
        <v>560</v>
      </c>
      <c r="G839" s="108" t="s">
        <v>1535</v>
      </c>
      <c r="H839" s="111" t="s">
        <v>16</v>
      </c>
    </row>
    <row r="840" spans="1:8" ht="33" x14ac:dyDescent="0.2">
      <c r="A840" s="108">
        <v>8</v>
      </c>
      <c r="B840" s="108" t="s">
        <v>1518</v>
      </c>
      <c r="C840" s="110" t="s">
        <v>14</v>
      </c>
      <c r="D840" s="109">
        <v>1</v>
      </c>
      <c r="E840" s="109">
        <v>367.99</v>
      </c>
      <c r="F840" s="109">
        <v>367.99</v>
      </c>
      <c r="G840" s="108" t="s">
        <v>1517</v>
      </c>
      <c r="H840" s="111" t="s">
        <v>16</v>
      </c>
    </row>
    <row r="841" spans="1:8" ht="33" x14ac:dyDescent="0.2">
      <c r="A841" s="108"/>
      <c r="B841" s="108" t="s">
        <v>1516</v>
      </c>
      <c r="C841" s="110" t="s">
        <v>81</v>
      </c>
      <c r="D841" s="109">
        <v>1</v>
      </c>
      <c r="E841" s="109"/>
      <c r="F841" s="109">
        <v>12634.430000000002</v>
      </c>
      <c r="G841" s="108"/>
      <c r="H841" s="111" t="s">
        <v>16</v>
      </c>
    </row>
    <row r="842" spans="1:8" ht="33" x14ac:dyDescent="0.2">
      <c r="A842" s="108"/>
      <c r="B842" s="108" t="s">
        <v>1515</v>
      </c>
      <c r="C842" s="110" t="s">
        <v>81</v>
      </c>
      <c r="D842" s="109"/>
      <c r="E842" s="109"/>
      <c r="F842" s="109">
        <v>12634.43</v>
      </c>
      <c r="G842" s="108"/>
      <c r="H842" s="111" t="s">
        <v>16</v>
      </c>
    </row>
    <row r="843" spans="1:8" ht="16.5" x14ac:dyDescent="0.2">
      <c r="A843" s="108"/>
      <c r="B843" s="108"/>
      <c r="C843" s="110"/>
      <c r="D843" s="109"/>
      <c r="E843" s="109"/>
      <c r="F843" s="109"/>
      <c r="G843" s="108"/>
    </row>
    <row r="844" spans="1:8" ht="33" x14ac:dyDescent="0.2">
      <c r="A844" s="108" t="s">
        <v>2721</v>
      </c>
      <c r="B844" s="108" t="s">
        <v>341</v>
      </c>
      <c r="C844" s="110" t="s">
        <v>81</v>
      </c>
      <c r="D844" s="109">
        <v>1</v>
      </c>
      <c r="E844" s="109">
        <v>4498.58</v>
      </c>
      <c r="F844" s="109"/>
      <c r="G844" s="108" t="s">
        <v>2720</v>
      </c>
      <c r="H844" s="111" t="s">
        <v>16</v>
      </c>
    </row>
    <row r="845" spans="1:8" ht="33" x14ac:dyDescent="0.2">
      <c r="A845" s="108">
        <v>1</v>
      </c>
      <c r="B845" s="108" t="s">
        <v>1725</v>
      </c>
      <c r="C845" s="110" t="s">
        <v>103</v>
      </c>
      <c r="D845" s="109">
        <v>7.0000000000000007E-2</v>
      </c>
      <c r="E845" s="109">
        <v>1333.85</v>
      </c>
      <c r="F845" s="109">
        <v>93.37</v>
      </c>
      <c r="G845" s="108" t="s">
        <v>2719</v>
      </c>
      <c r="H845" s="111" t="s">
        <v>16</v>
      </c>
    </row>
    <row r="846" spans="1:8" ht="33" x14ac:dyDescent="0.2">
      <c r="A846" s="108">
        <v>2</v>
      </c>
      <c r="B846" s="108" t="s">
        <v>1596</v>
      </c>
      <c r="C846" s="110" t="s">
        <v>23</v>
      </c>
      <c r="D846" s="109">
        <v>0.42</v>
      </c>
      <c r="E846" s="109">
        <v>3733.75</v>
      </c>
      <c r="F846" s="109">
        <v>1568.18</v>
      </c>
      <c r="G846" s="108" t="s">
        <v>1595</v>
      </c>
      <c r="H846" s="111" t="s">
        <v>16</v>
      </c>
    </row>
    <row r="847" spans="1:8" ht="33" x14ac:dyDescent="0.2">
      <c r="A847" s="108">
        <v>3</v>
      </c>
      <c r="B847" s="108" t="s">
        <v>2718</v>
      </c>
      <c r="C847" s="110" t="s">
        <v>325</v>
      </c>
      <c r="D847" s="109">
        <v>1</v>
      </c>
      <c r="E847" s="109">
        <v>2070</v>
      </c>
      <c r="F847" s="109">
        <v>2070</v>
      </c>
      <c r="G847" s="108" t="s">
        <v>2717</v>
      </c>
      <c r="H847" s="111" t="s">
        <v>16</v>
      </c>
    </row>
    <row r="848" spans="1:8" ht="33" x14ac:dyDescent="0.2">
      <c r="A848" s="108">
        <v>4</v>
      </c>
      <c r="B848" s="108" t="s">
        <v>1610</v>
      </c>
      <c r="C848" s="110" t="s">
        <v>97</v>
      </c>
      <c r="D848" s="109">
        <v>0.8</v>
      </c>
      <c r="E848" s="109">
        <v>375</v>
      </c>
      <c r="F848" s="109">
        <v>300</v>
      </c>
      <c r="G848" s="108" t="s">
        <v>1609</v>
      </c>
      <c r="H848" s="111" t="s">
        <v>16</v>
      </c>
    </row>
    <row r="849" spans="1:8" ht="33" x14ac:dyDescent="0.2">
      <c r="A849" s="108">
        <v>5</v>
      </c>
      <c r="B849" s="108" t="s">
        <v>1527</v>
      </c>
      <c r="C849" s="110" t="s">
        <v>97</v>
      </c>
      <c r="D849" s="109">
        <v>1.2</v>
      </c>
      <c r="E849" s="109">
        <v>280</v>
      </c>
      <c r="F849" s="109">
        <v>336</v>
      </c>
      <c r="G849" s="108" t="s">
        <v>1535</v>
      </c>
      <c r="H849" s="111" t="s">
        <v>16</v>
      </c>
    </row>
    <row r="850" spans="1:8" ht="33" x14ac:dyDescent="0.2">
      <c r="A850" s="108">
        <v>6</v>
      </c>
      <c r="B850" s="108" t="s">
        <v>1518</v>
      </c>
      <c r="C850" s="110" t="s">
        <v>14</v>
      </c>
      <c r="D850" s="109">
        <v>1</v>
      </c>
      <c r="E850" s="109">
        <v>131.03</v>
      </c>
      <c r="F850" s="109">
        <v>131.03</v>
      </c>
      <c r="G850" s="108" t="s">
        <v>1517</v>
      </c>
      <c r="H850" s="111" t="s">
        <v>16</v>
      </c>
    </row>
    <row r="851" spans="1:8" ht="33" x14ac:dyDescent="0.2">
      <c r="A851" s="108"/>
      <c r="B851" s="108" t="s">
        <v>1516</v>
      </c>
      <c r="C851" s="110" t="s">
        <v>81</v>
      </c>
      <c r="D851" s="109">
        <v>1</v>
      </c>
      <c r="E851" s="109"/>
      <c r="F851" s="109">
        <v>4498.58</v>
      </c>
      <c r="G851" s="108"/>
      <c r="H851" s="111" t="s">
        <v>16</v>
      </c>
    </row>
    <row r="852" spans="1:8" ht="33" x14ac:dyDescent="0.2">
      <c r="A852" s="108"/>
      <c r="B852" s="108" t="s">
        <v>1515</v>
      </c>
      <c r="C852" s="110" t="s">
        <v>81</v>
      </c>
      <c r="D852" s="109"/>
      <c r="E852" s="109"/>
      <c r="F852" s="109">
        <v>4498.58</v>
      </c>
      <c r="G852" s="108"/>
      <c r="H852" s="111" t="s">
        <v>16</v>
      </c>
    </row>
    <row r="853" spans="1:8" ht="16.5" x14ac:dyDescent="0.2">
      <c r="A853" s="108"/>
      <c r="B853" s="108"/>
      <c r="C853" s="110"/>
      <c r="D853" s="109"/>
      <c r="E853" s="109"/>
      <c r="F853" s="109"/>
      <c r="G853" s="108"/>
    </row>
    <row r="854" spans="1:8" ht="33" x14ac:dyDescent="0.2">
      <c r="A854" s="108" t="s">
        <v>2716</v>
      </c>
      <c r="B854" s="108" t="s">
        <v>344</v>
      </c>
      <c r="C854" s="110" t="s">
        <v>81</v>
      </c>
      <c r="D854" s="109">
        <v>1</v>
      </c>
      <c r="E854" s="109">
        <v>3353.68</v>
      </c>
      <c r="F854" s="109"/>
      <c r="G854" s="108" t="s">
        <v>2715</v>
      </c>
      <c r="H854" s="111" t="s">
        <v>16</v>
      </c>
    </row>
    <row r="855" spans="1:8" ht="33" x14ac:dyDescent="0.2">
      <c r="A855" s="108">
        <v>1</v>
      </c>
      <c r="B855" s="108" t="s">
        <v>2714</v>
      </c>
      <c r="C855" s="110" t="s">
        <v>81</v>
      </c>
      <c r="D855" s="109">
        <v>1</v>
      </c>
      <c r="E855" s="109">
        <v>3200</v>
      </c>
      <c r="F855" s="109">
        <v>3200</v>
      </c>
      <c r="G855" s="108" t="s">
        <v>2713</v>
      </c>
      <c r="H855" s="111" t="s">
        <v>16</v>
      </c>
    </row>
    <row r="856" spans="1:8" ht="33" x14ac:dyDescent="0.2">
      <c r="A856" s="108">
        <v>2</v>
      </c>
      <c r="B856" s="108" t="s">
        <v>1527</v>
      </c>
      <c r="C856" s="110" t="s">
        <v>97</v>
      </c>
      <c r="D856" s="109">
        <v>0.2</v>
      </c>
      <c r="E856" s="109">
        <v>280</v>
      </c>
      <c r="F856" s="109">
        <v>56</v>
      </c>
      <c r="G856" s="108" t="s">
        <v>1535</v>
      </c>
      <c r="H856" s="111" t="s">
        <v>16</v>
      </c>
    </row>
    <row r="857" spans="1:8" ht="33" x14ac:dyDescent="0.2">
      <c r="A857" s="108">
        <v>3</v>
      </c>
      <c r="B857" s="108" t="s">
        <v>1518</v>
      </c>
      <c r="C857" s="110" t="s">
        <v>14</v>
      </c>
      <c r="D857" s="109">
        <v>1</v>
      </c>
      <c r="E857" s="109">
        <v>97.68</v>
      </c>
      <c r="F857" s="109">
        <v>97.68</v>
      </c>
      <c r="G857" s="108" t="s">
        <v>1517</v>
      </c>
      <c r="H857" s="111" t="s">
        <v>16</v>
      </c>
    </row>
    <row r="858" spans="1:8" ht="33" x14ac:dyDescent="0.2">
      <c r="A858" s="108"/>
      <c r="B858" s="108" t="s">
        <v>1516</v>
      </c>
      <c r="C858" s="110" t="s">
        <v>81</v>
      </c>
      <c r="D858" s="109">
        <v>1</v>
      </c>
      <c r="E858" s="109"/>
      <c r="F858" s="109">
        <v>3353.68</v>
      </c>
      <c r="G858" s="108"/>
      <c r="H858" s="111" t="s">
        <v>16</v>
      </c>
    </row>
    <row r="859" spans="1:8" ht="33" x14ac:dyDescent="0.2">
      <c r="A859" s="108"/>
      <c r="B859" s="108" t="s">
        <v>1515</v>
      </c>
      <c r="C859" s="110" t="s">
        <v>81</v>
      </c>
      <c r="D859" s="109"/>
      <c r="E859" s="109"/>
      <c r="F859" s="109">
        <v>3353.68</v>
      </c>
      <c r="G859" s="108"/>
      <c r="H859" s="111" t="s">
        <v>16</v>
      </c>
    </row>
    <row r="860" spans="1:8" ht="16.5" x14ac:dyDescent="0.2">
      <c r="A860" s="108"/>
      <c r="B860" s="108"/>
      <c r="C860" s="110"/>
      <c r="D860" s="109"/>
      <c r="E860" s="109"/>
      <c r="F860" s="109"/>
      <c r="G860" s="108"/>
    </row>
    <row r="861" spans="1:8" ht="33" x14ac:dyDescent="0.2">
      <c r="A861" s="108" t="s">
        <v>2712</v>
      </c>
      <c r="B861" s="108" t="s">
        <v>347</v>
      </c>
      <c r="C861" s="110" t="s">
        <v>30</v>
      </c>
      <c r="D861" s="109">
        <v>0.6</v>
      </c>
      <c r="E861" s="109">
        <v>9874.4</v>
      </c>
      <c r="F861" s="109"/>
      <c r="G861" s="108" t="s">
        <v>2711</v>
      </c>
      <c r="H861" s="111" t="s">
        <v>16</v>
      </c>
    </row>
    <row r="862" spans="1:8" ht="33" x14ac:dyDescent="0.2">
      <c r="A862" s="108">
        <v>1</v>
      </c>
      <c r="B862" s="108" t="s">
        <v>1596</v>
      </c>
      <c r="C862" s="110" t="s">
        <v>23</v>
      </c>
      <c r="D862" s="109">
        <v>0.18</v>
      </c>
      <c r="E862" s="109">
        <v>3733.75</v>
      </c>
      <c r="F862" s="109">
        <v>672.08</v>
      </c>
      <c r="G862" s="108" t="s">
        <v>1595</v>
      </c>
      <c r="H862" s="111" t="s">
        <v>16</v>
      </c>
    </row>
    <row r="863" spans="1:8" ht="33" x14ac:dyDescent="0.2">
      <c r="A863" s="108">
        <v>2</v>
      </c>
      <c r="B863" s="108" t="s">
        <v>2710</v>
      </c>
      <c r="C863" s="110" t="s">
        <v>325</v>
      </c>
      <c r="D863" s="109">
        <v>1</v>
      </c>
      <c r="E863" s="109">
        <v>4800</v>
      </c>
      <c r="F863" s="109">
        <v>4800</v>
      </c>
      <c r="G863" s="108" t="s">
        <v>2709</v>
      </c>
      <c r="H863" s="111" t="s">
        <v>16</v>
      </c>
    </row>
    <row r="864" spans="1:8" ht="33" x14ac:dyDescent="0.2">
      <c r="A864" s="108">
        <v>3</v>
      </c>
      <c r="B864" s="108" t="s">
        <v>1527</v>
      </c>
      <c r="C864" s="110" t="s">
        <v>97</v>
      </c>
      <c r="D864" s="109">
        <v>1</v>
      </c>
      <c r="E864" s="109">
        <v>280</v>
      </c>
      <c r="F864" s="109">
        <v>280</v>
      </c>
      <c r="G864" s="108" t="s">
        <v>1535</v>
      </c>
      <c r="H864" s="111" t="s">
        <v>16</v>
      </c>
    </row>
    <row r="865" spans="1:8" ht="33" x14ac:dyDescent="0.2">
      <c r="A865" s="108">
        <v>4</v>
      </c>
      <c r="B865" s="108" t="s">
        <v>1518</v>
      </c>
      <c r="C865" s="110" t="s">
        <v>14</v>
      </c>
      <c r="D865" s="109">
        <v>1</v>
      </c>
      <c r="E865" s="109">
        <v>172.56</v>
      </c>
      <c r="F865" s="109">
        <v>172.56</v>
      </c>
      <c r="G865" s="108" t="s">
        <v>1517</v>
      </c>
      <c r="H865" s="111" t="s">
        <v>16</v>
      </c>
    </row>
    <row r="866" spans="1:8" ht="33" x14ac:dyDescent="0.2">
      <c r="A866" s="108"/>
      <c r="B866" s="108" t="s">
        <v>1516</v>
      </c>
      <c r="C866" s="110" t="s">
        <v>30</v>
      </c>
      <c r="D866" s="109">
        <v>0.6</v>
      </c>
      <c r="E866" s="109"/>
      <c r="F866" s="109">
        <v>5924.64</v>
      </c>
      <c r="G866" s="108"/>
      <c r="H866" s="111" t="s">
        <v>16</v>
      </c>
    </row>
    <row r="867" spans="1:8" ht="33" x14ac:dyDescent="0.2">
      <c r="A867" s="108"/>
      <c r="B867" s="108" t="s">
        <v>1515</v>
      </c>
      <c r="C867" s="110" t="s">
        <v>30</v>
      </c>
      <c r="D867" s="109"/>
      <c r="E867" s="109"/>
      <c r="F867" s="109">
        <v>9874.4</v>
      </c>
      <c r="G867" s="108"/>
      <c r="H867" s="111" t="s">
        <v>16</v>
      </c>
    </row>
    <row r="868" spans="1:8" ht="16.5" x14ac:dyDescent="0.2">
      <c r="A868" s="108"/>
      <c r="B868" s="108"/>
      <c r="C868" s="110"/>
      <c r="D868" s="109"/>
      <c r="E868" s="109"/>
      <c r="F868" s="109"/>
      <c r="G868" s="108"/>
    </row>
    <row r="869" spans="1:8" ht="33" x14ac:dyDescent="0.2">
      <c r="A869" s="108" t="s">
        <v>2708</v>
      </c>
      <c r="B869" s="108" t="s">
        <v>350</v>
      </c>
      <c r="C869" s="110" t="s">
        <v>30</v>
      </c>
      <c r="D869" s="109">
        <v>0.6</v>
      </c>
      <c r="E869" s="109">
        <v>6554.37</v>
      </c>
      <c r="F869" s="109"/>
      <c r="G869" s="108" t="s">
        <v>2707</v>
      </c>
      <c r="H869" s="111" t="s">
        <v>16</v>
      </c>
    </row>
    <row r="870" spans="1:8" ht="33" x14ac:dyDescent="0.2">
      <c r="A870" s="108">
        <v>1</v>
      </c>
      <c r="B870" s="108" t="s">
        <v>1596</v>
      </c>
      <c r="C870" s="110" t="s">
        <v>23</v>
      </c>
      <c r="D870" s="109">
        <v>0.18</v>
      </c>
      <c r="E870" s="109">
        <v>3733.75</v>
      </c>
      <c r="F870" s="109">
        <v>672.08</v>
      </c>
      <c r="G870" s="108" t="s">
        <v>1595</v>
      </c>
      <c r="H870" s="111" t="s">
        <v>16</v>
      </c>
    </row>
    <row r="871" spans="1:8" ht="33" x14ac:dyDescent="0.2">
      <c r="A871" s="108">
        <v>2</v>
      </c>
      <c r="B871" s="108" t="s">
        <v>2706</v>
      </c>
      <c r="C871" s="110" t="s">
        <v>325</v>
      </c>
      <c r="D871" s="109">
        <v>1</v>
      </c>
      <c r="E871" s="109">
        <v>2866</v>
      </c>
      <c r="F871" s="109">
        <v>2866</v>
      </c>
      <c r="G871" s="108" t="s">
        <v>2705</v>
      </c>
      <c r="H871" s="111" t="s">
        <v>16</v>
      </c>
    </row>
    <row r="872" spans="1:8" ht="33" x14ac:dyDescent="0.2">
      <c r="A872" s="108">
        <v>3</v>
      </c>
      <c r="B872" s="108" t="s">
        <v>1527</v>
      </c>
      <c r="C872" s="110" t="s">
        <v>97</v>
      </c>
      <c r="D872" s="109">
        <v>1</v>
      </c>
      <c r="E872" s="109">
        <v>280</v>
      </c>
      <c r="F872" s="109">
        <v>280</v>
      </c>
      <c r="G872" s="108" t="s">
        <v>1535</v>
      </c>
      <c r="H872" s="111" t="s">
        <v>16</v>
      </c>
    </row>
    <row r="873" spans="1:8" ht="33" x14ac:dyDescent="0.2">
      <c r="A873" s="108">
        <v>4</v>
      </c>
      <c r="B873" s="108" t="s">
        <v>1518</v>
      </c>
      <c r="C873" s="110" t="s">
        <v>14</v>
      </c>
      <c r="D873" s="109">
        <v>1</v>
      </c>
      <c r="E873" s="109">
        <v>114.54</v>
      </c>
      <c r="F873" s="109">
        <v>114.54</v>
      </c>
      <c r="G873" s="108" t="s">
        <v>1517</v>
      </c>
      <c r="H873" s="111" t="s">
        <v>16</v>
      </c>
    </row>
    <row r="874" spans="1:8" ht="33" x14ac:dyDescent="0.2">
      <c r="A874" s="108"/>
      <c r="B874" s="108" t="s">
        <v>1516</v>
      </c>
      <c r="C874" s="110" t="s">
        <v>30</v>
      </c>
      <c r="D874" s="109">
        <v>0.6</v>
      </c>
      <c r="E874" s="109"/>
      <c r="F874" s="109">
        <v>3932.62</v>
      </c>
      <c r="G874" s="108"/>
      <c r="H874" s="111" t="s">
        <v>16</v>
      </c>
    </row>
    <row r="875" spans="1:8" ht="33" x14ac:dyDescent="0.2">
      <c r="A875" s="108"/>
      <c r="B875" s="108" t="s">
        <v>1515</v>
      </c>
      <c r="C875" s="110" t="s">
        <v>30</v>
      </c>
      <c r="D875" s="109"/>
      <c r="E875" s="109"/>
      <c r="F875" s="109">
        <v>6554.37</v>
      </c>
      <c r="G875" s="108"/>
      <c r="H875" s="111" t="s">
        <v>16</v>
      </c>
    </row>
    <row r="876" spans="1:8" ht="16.5" x14ac:dyDescent="0.2">
      <c r="A876" s="108"/>
      <c r="B876" s="108"/>
      <c r="C876" s="110"/>
      <c r="D876" s="109"/>
      <c r="E876" s="109"/>
      <c r="F876" s="109"/>
      <c r="G876" s="108"/>
    </row>
    <row r="877" spans="1:8" ht="33" x14ac:dyDescent="0.2">
      <c r="A877" s="108" t="s">
        <v>2704</v>
      </c>
      <c r="B877" s="108" t="s">
        <v>353</v>
      </c>
      <c r="C877" s="110" t="s">
        <v>30</v>
      </c>
      <c r="D877" s="109">
        <v>0.41</v>
      </c>
      <c r="E877" s="109">
        <v>8390.73</v>
      </c>
      <c r="F877" s="109"/>
      <c r="G877" s="108" t="s">
        <v>2703</v>
      </c>
      <c r="H877" s="111" t="s">
        <v>16</v>
      </c>
    </row>
    <row r="878" spans="1:8" ht="33" x14ac:dyDescent="0.2">
      <c r="A878" s="108">
        <v>1</v>
      </c>
      <c r="B878" s="108" t="s">
        <v>2702</v>
      </c>
      <c r="C878" s="110" t="s">
        <v>325</v>
      </c>
      <c r="D878" s="109">
        <v>1</v>
      </c>
      <c r="E878" s="109">
        <v>3200</v>
      </c>
      <c r="F878" s="109">
        <v>3200</v>
      </c>
      <c r="G878" s="108" t="s">
        <v>2701</v>
      </c>
      <c r="H878" s="111" t="s">
        <v>16</v>
      </c>
    </row>
    <row r="879" spans="1:8" ht="33" x14ac:dyDescent="0.2">
      <c r="A879" s="108">
        <v>2</v>
      </c>
      <c r="B879" s="108" t="s">
        <v>1527</v>
      </c>
      <c r="C879" s="110" t="s">
        <v>97</v>
      </c>
      <c r="D879" s="109">
        <v>0.5</v>
      </c>
      <c r="E879" s="109">
        <v>280</v>
      </c>
      <c r="F879" s="109">
        <v>140</v>
      </c>
      <c r="G879" s="108" t="s">
        <v>1535</v>
      </c>
      <c r="H879" s="111" t="s">
        <v>16</v>
      </c>
    </row>
    <row r="880" spans="1:8" ht="33" x14ac:dyDescent="0.2">
      <c r="A880" s="108">
        <v>3</v>
      </c>
      <c r="B880" s="108" t="s">
        <v>1518</v>
      </c>
      <c r="C880" s="110" t="s">
        <v>14</v>
      </c>
      <c r="D880" s="109">
        <v>1</v>
      </c>
      <c r="E880" s="109">
        <v>100.2</v>
      </c>
      <c r="F880" s="109">
        <v>100.2</v>
      </c>
      <c r="G880" s="108" t="s">
        <v>1517</v>
      </c>
      <c r="H880" s="111" t="s">
        <v>16</v>
      </c>
    </row>
    <row r="881" spans="1:8" ht="33" x14ac:dyDescent="0.2">
      <c r="A881" s="108"/>
      <c r="B881" s="108" t="s">
        <v>1516</v>
      </c>
      <c r="C881" s="110" t="s">
        <v>30</v>
      </c>
      <c r="D881" s="109">
        <v>0.41</v>
      </c>
      <c r="E881" s="109"/>
      <c r="F881" s="109">
        <v>3440.2</v>
      </c>
      <c r="G881" s="108"/>
      <c r="H881" s="111" t="s">
        <v>16</v>
      </c>
    </row>
    <row r="882" spans="1:8" ht="33" x14ac:dyDescent="0.2">
      <c r="A882" s="108"/>
      <c r="B882" s="108" t="s">
        <v>1515</v>
      </c>
      <c r="C882" s="110" t="s">
        <v>30</v>
      </c>
      <c r="D882" s="109"/>
      <c r="E882" s="109"/>
      <c r="F882" s="109">
        <v>8390.73</v>
      </c>
      <c r="G882" s="108"/>
      <c r="H882" s="111" t="s">
        <v>16</v>
      </c>
    </row>
    <row r="883" spans="1:8" ht="16.5" x14ac:dyDescent="0.2">
      <c r="A883" s="108"/>
      <c r="B883" s="108"/>
      <c r="C883" s="110"/>
      <c r="D883" s="109"/>
      <c r="E883" s="109"/>
      <c r="F883" s="109"/>
      <c r="G883" s="108"/>
    </row>
    <row r="884" spans="1:8" ht="33" x14ac:dyDescent="0.2">
      <c r="A884" s="108" t="s">
        <v>2700</v>
      </c>
      <c r="B884" s="108" t="s">
        <v>356</v>
      </c>
      <c r="C884" s="110" t="s">
        <v>30</v>
      </c>
      <c r="D884" s="109">
        <v>1</v>
      </c>
      <c r="E884" s="109">
        <v>671.99</v>
      </c>
      <c r="F884" s="109"/>
      <c r="G884" s="108" t="s">
        <v>2699</v>
      </c>
      <c r="H884" s="111" t="s">
        <v>16</v>
      </c>
    </row>
    <row r="885" spans="1:8" ht="33" x14ac:dyDescent="0.2">
      <c r="A885" s="108">
        <v>1</v>
      </c>
      <c r="B885" s="108" t="s">
        <v>1779</v>
      </c>
      <c r="C885" s="110" t="s">
        <v>103</v>
      </c>
      <c r="D885" s="109">
        <v>0.16</v>
      </c>
      <c r="E885" s="109">
        <v>1465.18</v>
      </c>
      <c r="F885" s="109">
        <v>234.43</v>
      </c>
      <c r="G885" s="108" t="s">
        <v>2668</v>
      </c>
      <c r="H885" s="111" t="s">
        <v>16</v>
      </c>
    </row>
    <row r="886" spans="1:8" ht="33" x14ac:dyDescent="0.2">
      <c r="A886" s="108">
        <v>2</v>
      </c>
      <c r="B886" s="108" t="s">
        <v>2686</v>
      </c>
      <c r="C886" s="110" t="s">
        <v>30</v>
      </c>
      <c r="D886" s="109">
        <v>1</v>
      </c>
      <c r="E886" s="109">
        <v>350</v>
      </c>
      <c r="F886" s="109">
        <v>350</v>
      </c>
      <c r="G886" s="108" t="s">
        <v>2685</v>
      </c>
      <c r="H886" s="111" t="s">
        <v>16</v>
      </c>
    </row>
    <row r="887" spans="1:8" ht="33" x14ac:dyDescent="0.2">
      <c r="A887" s="108">
        <v>3</v>
      </c>
      <c r="B887" s="108" t="s">
        <v>2694</v>
      </c>
      <c r="C887" s="110" t="s">
        <v>50</v>
      </c>
      <c r="D887" s="109">
        <v>0.32</v>
      </c>
      <c r="E887" s="109">
        <v>37.479999999999997</v>
      </c>
      <c r="F887" s="109">
        <v>11.99</v>
      </c>
      <c r="G887" s="108" t="s">
        <v>2693</v>
      </c>
      <c r="H887" s="111" t="s">
        <v>16</v>
      </c>
    </row>
    <row r="888" spans="1:8" ht="33" x14ac:dyDescent="0.2">
      <c r="A888" s="108">
        <v>4</v>
      </c>
      <c r="B888" s="108" t="s">
        <v>1527</v>
      </c>
      <c r="C888" s="110" t="s">
        <v>97</v>
      </c>
      <c r="D888" s="109">
        <v>0.2</v>
      </c>
      <c r="E888" s="109">
        <v>280</v>
      </c>
      <c r="F888" s="109">
        <v>56</v>
      </c>
      <c r="G888" s="108" t="s">
        <v>1535</v>
      </c>
      <c r="H888" s="111" t="s">
        <v>16</v>
      </c>
    </row>
    <row r="889" spans="1:8" ht="33" x14ac:dyDescent="0.2">
      <c r="A889" s="108">
        <v>5</v>
      </c>
      <c r="B889" s="108" t="s">
        <v>1518</v>
      </c>
      <c r="C889" s="110" t="s">
        <v>14</v>
      </c>
      <c r="D889" s="109">
        <v>1</v>
      </c>
      <c r="E889" s="109">
        <v>19.57</v>
      </c>
      <c r="F889" s="109">
        <v>19.57</v>
      </c>
      <c r="G889" s="108" t="s">
        <v>1517</v>
      </c>
      <c r="H889" s="111" t="s">
        <v>16</v>
      </c>
    </row>
    <row r="890" spans="1:8" ht="33" x14ac:dyDescent="0.2">
      <c r="A890" s="108"/>
      <c r="B890" s="108" t="s">
        <v>1516</v>
      </c>
      <c r="C890" s="110" t="s">
        <v>30</v>
      </c>
      <c r="D890" s="109">
        <v>1</v>
      </c>
      <c r="E890" s="109"/>
      <c r="F890" s="109">
        <v>671.99000000000012</v>
      </c>
      <c r="G890" s="108"/>
      <c r="H890" s="111" t="s">
        <v>16</v>
      </c>
    </row>
    <row r="891" spans="1:8" ht="33" x14ac:dyDescent="0.2">
      <c r="A891" s="108"/>
      <c r="B891" s="108" t="s">
        <v>1515</v>
      </c>
      <c r="C891" s="110" t="s">
        <v>30</v>
      </c>
      <c r="D891" s="109"/>
      <c r="E891" s="109"/>
      <c r="F891" s="109">
        <v>671.99</v>
      </c>
      <c r="G891" s="108"/>
      <c r="H891" s="111" t="s">
        <v>16</v>
      </c>
    </row>
    <row r="892" spans="1:8" ht="16.5" x14ac:dyDescent="0.2">
      <c r="A892" s="108"/>
      <c r="B892" s="108"/>
      <c r="C892" s="110"/>
      <c r="D892" s="109"/>
      <c r="E892" s="109"/>
      <c r="F892" s="109"/>
      <c r="G892" s="108"/>
    </row>
    <row r="893" spans="1:8" ht="33" x14ac:dyDescent="0.2">
      <c r="A893" s="108" t="s">
        <v>2698</v>
      </c>
      <c r="B893" s="108" t="s">
        <v>359</v>
      </c>
      <c r="C893" s="110" t="s">
        <v>30</v>
      </c>
      <c r="D893" s="109">
        <v>1</v>
      </c>
      <c r="E893" s="109">
        <v>935.67</v>
      </c>
      <c r="F893" s="109"/>
      <c r="G893" s="108" t="s">
        <v>2697</v>
      </c>
      <c r="H893" s="111" t="s">
        <v>16</v>
      </c>
    </row>
    <row r="894" spans="1:8" ht="33" x14ac:dyDescent="0.2">
      <c r="A894" s="108">
        <v>1</v>
      </c>
      <c r="B894" s="108" t="s">
        <v>1779</v>
      </c>
      <c r="C894" s="110" t="s">
        <v>103</v>
      </c>
      <c r="D894" s="109">
        <v>0.16</v>
      </c>
      <c r="E894" s="109">
        <v>1465.18</v>
      </c>
      <c r="F894" s="109">
        <v>234.43</v>
      </c>
      <c r="G894" s="108" t="s">
        <v>2668</v>
      </c>
      <c r="H894" s="111" t="s">
        <v>16</v>
      </c>
    </row>
    <row r="895" spans="1:8" ht="33" x14ac:dyDescent="0.2">
      <c r="A895" s="108">
        <v>2</v>
      </c>
      <c r="B895" s="108" t="s">
        <v>2696</v>
      </c>
      <c r="C895" s="110" t="s">
        <v>30</v>
      </c>
      <c r="D895" s="109">
        <v>1</v>
      </c>
      <c r="E895" s="109">
        <v>600</v>
      </c>
      <c r="F895" s="109">
        <v>600</v>
      </c>
      <c r="G895" s="108" t="s">
        <v>2695</v>
      </c>
      <c r="H895" s="111" t="s">
        <v>16</v>
      </c>
    </row>
    <row r="896" spans="1:8" ht="33" x14ac:dyDescent="0.2">
      <c r="A896" s="108">
        <v>3</v>
      </c>
      <c r="B896" s="108" t="s">
        <v>2694</v>
      </c>
      <c r="C896" s="110" t="s">
        <v>50</v>
      </c>
      <c r="D896" s="109">
        <v>0.48</v>
      </c>
      <c r="E896" s="109">
        <v>37.479999999999997</v>
      </c>
      <c r="F896" s="109">
        <v>17.989999999999998</v>
      </c>
      <c r="G896" s="108" t="s">
        <v>2693</v>
      </c>
      <c r="H896" s="111" t="s">
        <v>16</v>
      </c>
    </row>
    <row r="897" spans="1:8" ht="33" x14ac:dyDescent="0.2">
      <c r="A897" s="108">
        <v>4</v>
      </c>
      <c r="B897" s="108" t="s">
        <v>1527</v>
      </c>
      <c r="C897" s="110" t="s">
        <v>97</v>
      </c>
      <c r="D897" s="109">
        <v>0.2</v>
      </c>
      <c r="E897" s="109">
        <v>280</v>
      </c>
      <c r="F897" s="109">
        <v>56</v>
      </c>
      <c r="G897" s="108" t="s">
        <v>1535</v>
      </c>
      <c r="H897" s="111" t="s">
        <v>16</v>
      </c>
    </row>
    <row r="898" spans="1:8" ht="33" x14ac:dyDescent="0.2">
      <c r="A898" s="108">
        <v>5</v>
      </c>
      <c r="B898" s="108" t="s">
        <v>1518</v>
      </c>
      <c r="C898" s="110" t="s">
        <v>14</v>
      </c>
      <c r="D898" s="109">
        <v>1</v>
      </c>
      <c r="E898" s="109">
        <v>27.25</v>
      </c>
      <c r="F898" s="109">
        <v>27.25</v>
      </c>
      <c r="G898" s="108" t="s">
        <v>1517</v>
      </c>
      <c r="H898" s="111" t="s">
        <v>16</v>
      </c>
    </row>
    <row r="899" spans="1:8" ht="33" x14ac:dyDescent="0.2">
      <c r="A899" s="108"/>
      <c r="B899" s="108" t="s">
        <v>1516</v>
      </c>
      <c r="C899" s="110" t="s">
        <v>30</v>
      </c>
      <c r="D899" s="109">
        <v>1</v>
      </c>
      <c r="E899" s="109"/>
      <c r="F899" s="109">
        <v>935.67000000000007</v>
      </c>
      <c r="G899" s="108"/>
      <c r="H899" s="111" t="s">
        <v>16</v>
      </c>
    </row>
    <row r="900" spans="1:8" ht="33" x14ac:dyDescent="0.2">
      <c r="A900" s="108"/>
      <c r="B900" s="108" t="s">
        <v>1515</v>
      </c>
      <c r="C900" s="110" t="s">
        <v>30</v>
      </c>
      <c r="D900" s="109"/>
      <c r="E900" s="109"/>
      <c r="F900" s="109">
        <v>935.67</v>
      </c>
      <c r="G900" s="108"/>
      <c r="H900" s="111" t="s">
        <v>16</v>
      </c>
    </row>
    <row r="901" spans="1:8" ht="16.5" x14ac:dyDescent="0.2">
      <c r="A901" s="108"/>
      <c r="B901" s="108"/>
      <c r="C901" s="110"/>
      <c r="D901" s="109"/>
      <c r="E901" s="109"/>
      <c r="F901" s="109"/>
      <c r="G901" s="108"/>
    </row>
    <row r="902" spans="1:8" ht="33" x14ac:dyDescent="0.2">
      <c r="A902" s="108" t="s">
        <v>2692</v>
      </c>
      <c r="B902" s="108" t="s">
        <v>362</v>
      </c>
      <c r="C902" s="110" t="s">
        <v>30</v>
      </c>
      <c r="D902" s="109">
        <v>1</v>
      </c>
      <c r="E902" s="109">
        <v>658.31</v>
      </c>
      <c r="F902" s="109"/>
      <c r="G902" s="108" t="s">
        <v>2691</v>
      </c>
      <c r="H902" s="111" t="s">
        <v>16</v>
      </c>
    </row>
    <row r="903" spans="1:8" ht="33" x14ac:dyDescent="0.2">
      <c r="A903" s="108">
        <v>1</v>
      </c>
      <c r="B903" s="108" t="s">
        <v>1779</v>
      </c>
      <c r="C903" s="110" t="s">
        <v>103</v>
      </c>
      <c r="D903" s="109">
        <v>0.2</v>
      </c>
      <c r="E903" s="109">
        <v>1465.18</v>
      </c>
      <c r="F903" s="109">
        <v>293.04000000000002</v>
      </c>
      <c r="G903" s="108" t="s">
        <v>2668</v>
      </c>
      <c r="H903" s="111" t="s">
        <v>16</v>
      </c>
    </row>
    <row r="904" spans="1:8" ht="33" x14ac:dyDescent="0.2">
      <c r="A904" s="108">
        <v>2</v>
      </c>
      <c r="B904" s="108" t="s">
        <v>2690</v>
      </c>
      <c r="C904" s="110" t="s">
        <v>30</v>
      </c>
      <c r="D904" s="109">
        <v>1</v>
      </c>
      <c r="E904" s="109">
        <v>280</v>
      </c>
      <c r="F904" s="109">
        <v>280</v>
      </c>
      <c r="G904" s="108" t="s">
        <v>2689</v>
      </c>
      <c r="H904" s="111" t="s">
        <v>16</v>
      </c>
    </row>
    <row r="905" spans="1:8" ht="33" x14ac:dyDescent="0.2">
      <c r="A905" s="108">
        <v>3</v>
      </c>
      <c r="B905" s="108" t="s">
        <v>2684</v>
      </c>
      <c r="C905" s="110" t="s">
        <v>50</v>
      </c>
      <c r="D905" s="109">
        <v>1.27</v>
      </c>
      <c r="E905" s="109">
        <v>30</v>
      </c>
      <c r="F905" s="109">
        <v>38.1</v>
      </c>
      <c r="G905" s="108" t="s">
        <v>2683</v>
      </c>
      <c r="H905" s="111" t="s">
        <v>16</v>
      </c>
    </row>
    <row r="906" spans="1:8" ht="33" x14ac:dyDescent="0.2">
      <c r="A906" s="108">
        <v>4</v>
      </c>
      <c r="B906" s="108" t="s">
        <v>1527</v>
      </c>
      <c r="C906" s="110" t="s">
        <v>97</v>
      </c>
      <c r="D906" s="109">
        <v>0.1</v>
      </c>
      <c r="E906" s="109">
        <v>280</v>
      </c>
      <c r="F906" s="109">
        <v>28</v>
      </c>
      <c r="G906" s="108" t="s">
        <v>1535</v>
      </c>
      <c r="H906" s="111" t="s">
        <v>16</v>
      </c>
    </row>
    <row r="907" spans="1:8" ht="33" x14ac:dyDescent="0.2">
      <c r="A907" s="108">
        <v>5</v>
      </c>
      <c r="B907" s="108" t="s">
        <v>1518</v>
      </c>
      <c r="C907" s="110" t="s">
        <v>14</v>
      </c>
      <c r="D907" s="109">
        <v>1</v>
      </c>
      <c r="E907" s="109">
        <v>19.170000000000002</v>
      </c>
      <c r="F907" s="109">
        <v>19.170000000000002</v>
      </c>
      <c r="G907" s="108" t="s">
        <v>1517</v>
      </c>
      <c r="H907" s="111" t="s">
        <v>16</v>
      </c>
    </row>
    <row r="908" spans="1:8" ht="33" x14ac:dyDescent="0.2">
      <c r="A908" s="108"/>
      <c r="B908" s="108" t="s">
        <v>1516</v>
      </c>
      <c r="C908" s="110" t="s">
        <v>30</v>
      </c>
      <c r="D908" s="109">
        <v>1</v>
      </c>
      <c r="E908" s="109"/>
      <c r="F908" s="109">
        <v>658.31</v>
      </c>
      <c r="G908" s="108"/>
      <c r="H908" s="111" t="s">
        <v>16</v>
      </c>
    </row>
    <row r="909" spans="1:8" ht="33" x14ac:dyDescent="0.2">
      <c r="A909" s="108"/>
      <c r="B909" s="108" t="s">
        <v>1515</v>
      </c>
      <c r="C909" s="110" t="s">
        <v>30</v>
      </c>
      <c r="D909" s="109"/>
      <c r="E909" s="109"/>
      <c r="F909" s="109">
        <v>658.31</v>
      </c>
      <c r="G909" s="108"/>
      <c r="H909" s="111" t="s">
        <v>16</v>
      </c>
    </row>
    <row r="910" spans="1:8" ht="16.5" x14ac:dyDescent="0.2">
      <c r="A910" s="108"/>
      <c r="B910" s="108"/>
      <c r="C910" s="110"/>
      <c r="D910" s="109"/>
      <c r="E910" s="109"/>
      <c r="F910" s="109"/>
      <c r="G910" s="108"/>
    </row>
    <row r="911" spans="1:8" ht="33" x14ac:dyDescent="0.2">
      <c r="A911" s="108" t="s">
        <v>2688</v>
      </c>
      <c r="B911" s="108" t="s">
        <v>365</v>
      </c>
      <c r="C911" s="110" t="s">
        <v>30</v>
      </c>
      <c r="D911" s="109">
        <v>1</v>
      </c>
      <c r="E911" s="109">
        <v>730.41</v>
      </c>
      <c r="F911" s="109"/>
      <c r="G911" s="108" t="s">
        <v>2687</v>
      </c>
      <c r="H911" s="111" t="s">
        <v>16</v>
      </c>
    </row>
    <row r="912" spans="1:8" ht="33" x14ac:dyDescent="0.2">
      <c r="A912" s="108">
        <v>1</v>
      </c>
      <c r="B912" s="108" t="s">
        <v>1779</v>
      </c>
      <c r="C912" s="110" t="s">
        <v>103</v>
      </c>
      <c r="D912" s="109">
        <v>0.2</v>
      </c>
      <c r="E912" s="109">
        <v>1465.18</v>
      </c>
      <c r="F912" s="109">
        <v>293.04000000000002</v>
      </c>
      <c r="G912" s="108" t="s">
        <v>2668</v>
      </c>
      <c r="H912" s="111" t="s">
        <v>16</v>
      </c>
    </row>
    <row r="913" spans="1:8" ht="33" x14ac:dyDescent="0.2">
      <c r="A913" s="108">
        <v>2</v>
      </c>
      <c r="B913" s="108" t="s">
        <v>2686</v>
      </c>
      <c r="C913" s="110" t="s">
        <v>30</v>
      </c>
      <c r="D913" s="109">
        <v>1</v>
      </c>
      <c r="E913" s="109">
        <v>350</v>
      </c>
      <c r="F913" s="109">
        <v>350</v>
      </c>
      <c r="G913" s="108" t="s">
        <v>2685</v>
      </c>
      <c r="H913" s="111" t="s">
        <v>16</v>
      </c>
    </row>
    <row r="914" spans="1:8" ht="33" x14ac:dyDescent="0.2">
      <c r="A914" s="108">
        <v>3</v>
      </c>
      <c r="B914" s="108" t="s">
        <v>2684</v>
      </c>
      <c r="C914" s="110" t="s">
        <v>50</v>
      </c>
      <c r="D914" s="109">
        <v>1.27</v>
      </c>
      <c r="E914" s="109">
        <v>30</v>
      </c>
      <c r="F914" s="109">
        <v>38.1</v>
      </c>
      <c r="G914" s="108" t="s">
        <v>2683</v>
      </c>
      <c r="H914" s="111" t="s">
        <v>16</v>
      </c>
    </row>
    <row r="915" spans="1:8" ht="33" x14ac:dyDescent="0.2">
      <c r="A915" s="108">
        <v>4</v>
      </c>
      <c r="B915" s="108" t="s">
        <v>1527</v>
      </c>
      <c r="C915" s="110" t="s">
        <v>97</v>
      </c>
      <c r="D915" s="109">
        <v>0.1</v>
      </c>
      <c r="E915" s="109">
        <v>280</v>
      </c>
      <c r="F915" s="109">
        <v>28</v>
      </c>
      <c r="G915" s="108" t="s">
        <v>1535</v>
      </c>
      <c r="H915" s="111" t="s">
        <v>16</v>
      </c>
    </row>
    <row r="916" spans="1:8" ht="33" x14ac:dyDescent="0.2">
      <c r="A916" s="108">
        <v>5</v>
      </c>
      <c r="B916" s="108" t="s">
        <v>1518</v>
      </c>
      <c r="C916" s="110" t="s">
        <v>14</v>
      </c>
      <c r="D916" s="109">
        <v>1</v>
      </c>
      <c r="E916" s="109">
        <v>21.27</v>
      </c>
      <c r="F916" s="109">
        <v>21.27</v>
      </c>
      <c r="G916" s="108" t="s">
        <v>1517</v>
      </c>
      <c r="H916" s="111" t="s">
        <v>16</v>
      </c>
    </row>
    <row r="917" spans="1:8" ht="33" x14ac:dyDescent="0.2">
      <c r="A917" s="108"/>
      <c r="B917" s="108" t="s">
        <v>1516</v>
      </c>
      <c r="C917" s="110" t="s">
        <v>30</v>
      </c>
      <c r="D917" s="109">
        <v>1</v>
      </c>
      <c r="E917" s="109"/>
      <c r="F917" s="109">
        <v>730.41</v>
      </c>
      <c r="G917" s="108"/>
      <c r="H917" s="111" t="s">
        <v>16</v>
      </c>
    </row>
    <row r="918" spans="1:8" ht="33" x14ac:dyDescent="0.2">
      <c r="A918" s="108"/>
      <c r="B918" s="108" t="s">
        <v>1515</v>
      </c>
      <c r="C918" s="110" t="s">
        <v>30</v>
      </c>
      <c r="D918" s="109"/>
      <c r="E918" s="109"/>
      <c r="F918" s="109">
        <v>730.41</v>
      </c>
      <c r="G918" s="108"/>
      <c r="H918" s="111" t="s">
        <v>16</v>
      </c>
    </row>
    <row r="919" spans="1:8" ht="16.5" x14ac:dyDescent="0.2">
      <c r="A919" s="108"/>
      <c r="B919" s="108"/>
      <c r="C919" s="110"/>
      <c r="D919" s="109"/>
      <c r="E919" s="109"/>
      <c r="F919" s="109"/>
      <c r="G919" s="108"/>
    </row>
    <row r="920" spans="1:8" ht="33" x14ac:dyDescent="0.2">
      <c r="A920" s="108" t="s">
        <v>2682</v>
      </c>
      <c r="B920" s="108" t="s">
        <v>368</v>
      </c>
      <c r="C920" s="110" t="s">
        <v>30</v>
      </c>
      <c r="D920" s="109">
        <v>1</v>
      </c>
      <c r="E920" s="109">
        <v>406.4</v>
      </c>
      <c r="F920" s="109"/>
      <c r="G920" s="108" t="s">
        <v>2681</v>
      </c>
      <c r="H920" s="111" t="s">
        <v>16</v>
      </c>
    </row>
    <row r="921" spans="1:8" ht="33" x14ac:dyDescent="0.2">
      <c r="A921" s="108">
        <v>1</v>
      </c>
      <c r="B921" s="108" t="s">
        <v>1779</v>
      </c>
      <c r="C921" s="110" t="s">
        <v>103</v>
      </c>
      <c r="D921" s="109">
        <v>0.11</v>
      </c>
      <c r="E921" s="109">
        <v>1465.18</v>
      </c>
      <c r="F921" s="109">
        <v>161.16999999999999</v>
      </c>
      <c r="G921" s="108" t="s">
        <v>2668</v>
      </c>
      <c r="H921" s="111" t="s">
        <v>16</v>
      </c>
    </row>
    <row r="922" spans="1:8" ht="33" x14ac:dyDescent="0.2">
      <c r="A922" s="108">
        <v>2</v>
      </c>
      <c r="B922" s="108" t="s">
        <v>2628</v>
      </c>
      <c r="C922" s="110" t="s">
        <v>30</v>
      </c>
      <c r="D922" s="109">
        <v>1</v>
      </c>
      <c r="E922" s="109">
        <v>120</v>
      </c>
      <c r="F922" s="109">
        <v>120</v>
      </c>
      <c r="G922" s="108" t="s">
        <v>2627</v>
      </c>
      <c r="H922" s="111" t="s">
        <v>16</v>
      </c>
    </row>
    <row r="923" spans="1:8" ht="33" x14ac:dyDescent="0.2">
      <c r="A923" s="108">
        <v>3</v>
      </c>
      <c r="B923" s="108" t="s">
        <v>2665</v>
      </c>
      <c r="C923" s="110" t="s">
        <v>23</v>
      </c>
      <c r="D923" s="109">
        <v>0.01</v>
      </c>
      <c r="E923" s="109">
        <v>538.77</v>
      </c>
      <c r="F923" s="109">
        <v>5.39</v>
      </c>
      <c r="G923" s="108" t="s">
        <v>2664</v>
      </c>
      <c r="H923" s="111" t="s">
        <v>16</v>
      </c>
    </row>
    <row r="924" spans="1:8" ht="33" x14ac:dyDescent="0.2">
      <c r="A924" s="108">
        <v>4</v>
      </c>
      <c r="B924" s="108" t="s">
        <v>2663</v>
      </c>
      <c r="C924" s="110" t="s">
        <v>14</v>
      </c>
      <c r="D924" s="109">
        <v>1</v>
      </c>
      <c r="E924" s="109">
        <v>80</v>
      </c>
      <c r="F924" s="109">
        <v>80</v>
      </c>
      <c r="G924" s="108" t="s">
        <v>2662</v>
      </c>
      <c r="H924" s="111" t="s">
        <v>16</v>
      </c>
    </row>
    <row r="925" spans="1:8" ht="33" x14ac:dyDescent="0.2">
      <c r="A925" s="108">
        <v>5</v>
      </c>
      <c r="B925" s="108" t="s">
        <v>1527</v>
      </c>
      <c r="C925" s="110" t="s">
        <v>97</v>
      </c>
      <c r="D925" s="109">
        <v>0.1</v>
      </c>
      <c r="E925" s="109">
        <v>280</v>
      </c>
      <c r="F925" s="109">
        <v>28</v>
      </c>
      <c r="G925" s="108" t="s">
        <v>1535</v>
      </c>
      <c r="H925" s="111" t="s">
        <v>16</v>
      </c>
    </row>
    <row r="926" spans="1:8" ht="33" x14ac:dyDescent="0.2">
      <c r="A926" s="108">
        <v>6</v>
      </c>
      <c r="B926" s="108" t="s">
        <v>1543</v>
      </c>
      <c r="C926" s="110" t="s">
        <v>14</v>
      </c>
      <c r="D926" s="109">
        <v>1</v>
      </c>
      <c r="E926" s="109">
        <v>11.84</v>
      </c>
      <c r="F926" s="109">
        <v>11.84</v>
      </c>
      <c r="G926" s="108" t="s">
        <v>1542</v>
      </c>
      <c r="H926" s="111" t="s">
        <v>16</v>
      </c>
    </row>
    <row r="927" spans="1:8" ht="33" x14ac:dyDescent="0.2">
      <c r="A927" s="108"/>
      <c r="B927" s="108" t="s">
        <v>1516</v>
      </c>
      <c r="C927" s="110" t="s">
        <v>30</v>
      </c>
      <c r="D927" s="109">
        <v>1</v>
      </c>
      <c r="E927" s="109"/>
      <c r="F927" s="109">
        <v>406.39999999999992</v>
      </c>
      <c r="G927" s="108"/>
      <c r="H927" s="111" t="s">
        <v>16</v>
      </c>
    </row>
    <row r="928" spans="1:8" ht="33" x14ac:dyDescent="0.2">
      <c r="A928" s="108"/>
      <c r="B928" s="108" t="s">
        <v>1515</v>
      </c>
      <c r="C928" s="110" t="s">
        <v>30</v>
      </c>
      <c r="D928" s="109"/>
      <c r="E928" s="109"/>
      <c r="F928" s="109">
        <v>406.4</v>
      </c>
      <c r="G928" s="108"/>
      <c r="H928" s="111" t="s">
        <v>16</v>
      </c>
    </row>
    <row r="929" spans="1:8" ht="16.5" x14ac:dyDescent="0.2">
      <c r="A929" s="108"/>
      <c r="B929" s="108"/>
      <c r="C929" s="110"/>
      <c r="D929" s="109"/>
      <c r="E929" s="109"/>
      <c r="F929" s="109"/>
      <c r="G929" s="108"/>
    </row>
    <row r="930" spans="1:8" ht="33" x14ac:dyDescent="0.2">
      <c r="A930" s="108" t="s">
        <v>2680</v>
      </c>
      <c r="B930" s="108" t="s">
        <v>371</v>
      </c>
      <c r="C930" s="110" t="s">
        <v>30</v>
      </c>
      <c r="D930" s="109">
        <v>1</v>
      </c>
      <c r="E930" s="109">
        <v>457.9</v>
      </c>
      <c r="F930" s="109"/>
      <c r="G930" s="108" t="s">
        <v>2679</v>
      </c>
      <c r="H930" s="111" t="s">
        <v>16</v>
      </c>
    </row>
    <row r="931" spans="1:8" ht="33" x14ac:dyDescent="0.2">
      <c r="A931" s="108">
        <v>1</v>
      </c>
      <c r="B931" s="108" t="s">
        <v>1779</v>
      </c>
      <c r="C931" s="110" t="s">
        <v>103</v>
      </c>
      <c r="D931" s="109">
        <v>0.11</v>
      </c>
      <c r="E931" s="109">
        <v>1465.18</v>
      </c>
      <c r="F931" s="109">
        <v>161.16999999999999</v>
      </c>
      <c r="G931" s="108" t="s">
        <v>2668</v>
      </c>
      <c r="H931" s="111" t="s">
        <v>16</v>
      </c>
    </row>
    <row r="932" spans="1:8" ht="33" x14ac:dyDescent="0.2">
      <c r="A932" s="108">
        <v>2</v>
      </c>
      <c r="B932" s="108" t="s">
        <v>2630</v>
      </c>
      <c r="C932" s="110" t="s">
        <v>30</v>
      </c>
      <c r="D932" s="109">
        <v>1</v>
      </c>
      <c r="E932" s="109">
        <v>170</v>
      </c>
      <c r="F932" s="109">
        <v>170</v>
      </c>
      <c r="G932" s="108" t="s">
        <v>2629</v>
      </c>
      <c r="H932" s="111" t="s">
        <v>16</v>
      </c>
    </row>
    <row r="933" spans="1:8" ht="33" x14ac:dyDescent="0.2">
      <c r="A933" s="108">
        <v>3</v>
      </c>
      <c r="B933" s="108" t="s">
        <v>2665</v>
      </c>
      <c r="C933" s="110" t="s">
        <v>23</v>
      </c>
      <c r="D933" s="109">
        <v>0.01</v>
      </c>
      <c r="E933" s="109">
        <v>538.77</v>
      </c>
      <c r="F933" s="109">
        <v>5.39</v>
      </c>
      <c r="G933" s="108" t="s">
        <v>2664</v>
      </c>
      <c r="H933" s="111" t="s">
        <v>16</v>
      </c>
    </row>
    <row r="934" spans="1:8" ht="33" x14ac:dyDescent="0.2">
      <c r="A934" s="108">
        <v>4</v>
      </c>
      <c r="B934" s="108" t="s">
        <v>2663</v>
      </c>
      <c r="C934" s="110" t="s">
        <v>14</v>
      </c>
      <c r="D934" s="109">
        <v>1</v>
      </c>
      <c r="E934" s="109">
        <v>80</v>
      </c>
      <c r="F934" s="109">
        <v>80</v>
      </c>
      <c r="G934" s="108" t="s">
        <v>2662</v>
      </c>
      <c r="H934" s="111" t="s">
        <v>16</v>
      </c>
    </row>
    <row r="935" spans="1:8" ht="33" x14ac:dyDescent="0.2">
      <c r="A935" s="108">
        <v>5</v>
      </c>
      <c r="B935" s="108" t="s">
        <v>1527</v>
      </c>
      <c r="C935" s="110" t="s">
        <v>97</v>
      </c>
      <c r="D935" s="109">
        <v>0.1</v>
      </c>
      <c r="E935" s="109">
        <v>280</v>
      </c>
      <c r="F935" s="109">
        <v>28</v>
      </c>
      <c r="G935" s="108" t="s">
        <v>1535</v>
      </c>
      <c r="H935" s="111" t="s">
        <v>16</v>
      </c>
    </row>
    <row r="936" spans="1:8" ht="33" x14ac:dyDescent="0.2">
      <c r="A936" s="108">
        <v>6</v>
      </c>
      <c r="B936" s="108" t="s">
        <v>1543</v>
      </c>
      <c r="C936" s="110" t="s">
        <v>14</v>
      </c>
      <c r="D936" s="109">
        <v>1</v>
      </c>
      <c r="E936" s="109">
        <v>13.34</v>
      </c>
      <c r="F936" s="109">
        <v>13.34</v>
      </c>
      <c r="G936" s="108" t="s">
        <v>1542</v>
      </c>
      <c r="H936" s="111" t="s">
        <v>16</v>
      </c>
    </row>
    <row r="937" spans="1:8" ht="33" x14ac:dyDescent="0.2">
      <c r="A937" s="108"/>
      <c r="B937" s="108" t="s">
        <v>1516</v>
      </c>
      <c r="C937" s="110" t="s">
        <v>30</v>
      </c>
      <c r="D937" s="109">
        <v>1</v>
      </c>
      <c r="E937" s="109"/>
      <c r="F937" s="109">
        <v>457.89999999999992</v>
      </c>
      <c r="G937" s="108"/>
      <c r="H937" s="111" t="s">
        <v>16</v>
      </c>
    </row>
    <row r="938" spans="1:8" ht="33" x14ac:dyDescent="0.2">
      <c r="A938" s="108"/>
      <c r="B938" s="108" t="s">
        <v>1515</v>
      </c>
      <c r="C938" s="110" t="s">
        <v>30</v>
      </c>
      <c r="D938" s="109"/>
      <c r="E938" s="109"/>
      <c r="F938" s="109">
        <v>457.9</v>
      </c>
      <c r="G938" s="108"/>
      <c r="H938" s="111" t="s">
        <v>16</v>
      </c>
    </row>
    <row r="939" spans="1:8" ht="16.5" x14ac:dyDescent="0.2">
      <c r="A939" s="108"/>
      <c r="B939" s="108"/>
      <c r="C939" s="110"/>
      <c r="D939" s="109"/>
      <c r="E939" s="109"/>
      <c r="F939" s="109"/>
      <c r="G939" s="108"/>
    </row>
    <row r="940" spans="1:8" ht="33" x14ac:dyDescent="0.2">
      <c r="A940" s="108" t="s">
        <v>2678</v>
      </c>
      <c r="B940" s="108" t="s">
        <v>374</v>
      </c>
      <c r="C940" s="110" t="s">
        <v>30</v>
      </c>
      <c r="D940" s="109">
        <v>1</v>
      </c>
      <c r="E940" s="109">
        <v>499.1</v>
      </c>
      <c r="F940" s="109"/>
      <c r="G940" s="108" t="s">
        <v>2677</v>
      </c>
      <c r="H940" s="111" t="s">
        <v>16</v>
      </c>
    </row>
    <row r="941" spans="1:8" ht="33" x14ac:dyDescent="0.2">
      <c r="A941" s="108">
        <v>1</v>
      </c>
      <c r="B941" s="108" t="s">
        <v>1779</v>
      </c>
      <c r="C941" s="110" t="s">
        <v>103</v>
      </c>
      <c r="D941" s="109">
        <v>0.11</v>
      </c>
      <c r="E941" s="109">
        <v>1465.18</v>
      </c>
      <c r="F941" s="109">
        <v>161.16999999999999</v>
      </c>
      <c r="G941" s="108" t="s">
        <v>2668</v>
      </c>
      <c r="H941" s="111" t="s">
        <v>16</v>
      </c>
    </row>
    <row r="942" spans="1:8" ht="33" x14ac:dyDescent="0.2">
      <c r="A942" s="108">
        <v>2</v>
      </c>
      <c r="B942" s="108" t="s">
        <v>2676</v>
      </c>
      <c r="C942" s="110" t="s">
        <v>30</v>
      </c>
      <c r="D942" s="109">
        <v>1</v>
      </c>
      <c r="E942" s="109">
        <v>210</v>
      </c>
      <c r="F942" s="109">
        <v>210</v>
      </c>
      <c r="G942" s="108" t="s">
        <v>2675</v>
      </c>
      <c r="H942" s="111" t="s">
        <v>16</v>
      </c>
    </row>
    <row r="943" spans="1:8" ht="33" x14ac:dyDescent="0.2">
      <c r="A943" s="108">
        <v>3</v>
      </c>
      <c r="B943" s="108" t="s">
        <v>2665</v>
      </c>
      <c r="C943" s="110" t="s">
        <v>23</v>
      </c>
      <c r="D943" s="109">
        <v>0.01</v>
      </c>
      <c r="E943" s="109">
        <v>538.77</v>
      </c>
      <c r="F943" s="109">
        <v>5.39</v>
      </c>
      <c r="G943" s="108" t="s">
        <v>2664</v>
      </c>
      <c r="H943" s="111" t="s">
        <v>16</v>
      </c>
    </row>
    <row r="944" spans="1:8" ht="33" x14ac:dyDescent="0.2">
      <c r="A944" s="108">
        <v>4</v>
      </c>
      <c r="B944" s="108" t="s">
        <v>2663</v>
      </c>
      <c r="C944" s="110" t="s">
        <v>14</v>
      </c>
      <c r="D944" s="109">
        <v>1</v>
      </c>
      <c r="E944" s="109">
        <v>80</v>
      </c>
      <c r="F944" s="109">
        <v>80</v>
      </c>
      <c r="G944" s="108" t="s">
        <v>2662</v>
      </c>
      <c r="H944" s="111" t="s">
        <v>16</v>
      </c>
    </row>
    <row r="945" spans="1:8" ht="33" x14ac:dyDescent="0.2">
      <c r="A945" s="108">
        <v>5</v>
      </c>
      <c r="B945" s="108" t="s">
        <v>1527</v>
      </c>
      <c r="C945" s="110" t="s">
        <v>97</v>
      </c>
      <c r="D945" s="109">
        <v>0.1</v>
      </c>
      <c r="E945" s="109">
        <v>280</v>
      </c>
      <c r="F945" s="109">
        <v>28</v>
      </c>
      <c r="G945" s="108" t="s">
        <v>1535</v>
      </c>
      <c r="H945" s="111" t="s">
        <v>16</v>
      </c>
    </row>
    <row r="946" spans="1:8" ht="33" x14ac:dyDescent="0.2">
      <c r="A946" s="108">
        <v>6</v>
      </c>
      <c r="B946" s="108" t="s">
        <v>1543</v>
      </c>
      <c r="C946" s="110" t="s">
        <v>14</v>
      </c>
      <c r="D946" s="109">
        <v>1</v>
      </c>
      <c r="E946" s="109">
        <v>14.54</v>
      </c>
      <c r="F946" s="109">
        <v>14.54</v>
      </c>
      <c r="G946" s="108" t="s">
        <v>1542</v>
      </c>
      <c r="H946" s="111" t="s">
        <v>16</v>
      </c>
    </row>
    <row r="947" spans="1:8" ht="33" x14ac:dyDescent="0.2">
      <c r="A947" s="108"/>
      <c r="B947" s="108" t="s">
        <v>1516</v>
      </c>
      <c r="C947" s="110" t="s">
        <v>30</v>
      </c>
      <c r="D947" s="109">
        <v>1</v>
      </c>
      <c r="E947" s="109"/>
      <c r="F947" s="109">
        <v>499.09999999999997</v>
      </c>
      <c r="G947" s="108"/>
      <c r="H947" s="111" t="s">
        <v>16</v>
      </c>
    </row>
    <row r="948" spans="1:8" ht="33" x14ac:dyDescent="0.2">
      <c r="A948" s="108"/>
      <c r="B948" s="108" t="s">
        <v>1515</v>
      </c>
      <c r="C948" s="110" t="s">
        <v>30</v>
      </c>
      <c r="D948" s="109"/>
      <c r="E948" s="109"/>
      <c r="F948" s="109">
        <v>499.1</v>
      </c>
      <c r="G948" s="108"/>
      <c r="H948" s="111" t="s">
        <v>16</v>
      </c>
    </row>
    <row r="949" spans="1:8" ht="16.5" x14ac:dyDescent="0.2">
      <c r="A949" s="108"/>
      <c r="B949" s="108"/>
      <c r="C949" s="110"/>
      <c r="D949" s="109"/>
      <c r="E949" s="109"/>
      <c r="F949" s="109"/>
      <c r="G949" s="108"/>
    </row>
    <row r="950" spans="1:8" ht="33" x14ac:dyDescent="0.2">
      <c r="A950" s="108" t="s">
        <v>2674</v>
      </c>
      <c r="B950" s="108" t="s">
        <v>377</v>
      </c>
      <c r="C950" s="110" t="s">
        <v>30</v>
      </c>
      <c r="D950" s="109">
        <v>1</v>
      </c>
      <c r="E950" s="109">
        <v>545.85</v>
      </c>
      <c r="F950" s="109"/>
      <c r="G950" s="108" t="s">
        <v>2673</v>
      </c>
      <c r="H950" s="111" t="s">
        <v>16</v>
      </c>
    </row>
    <row r="951" spans="1:8" ht="33" x14ac:dyDescent="0.2">
      <c r="A951" s="108">
        <v>1</v>
      </c>
      <c r="B951" s="108" t="s">
        <v>1779</v>
      </c>
      <c r="C951" s="110" t="s">
        <v>103</v>
      </c>
      <c r="D951" s="109">
        <v>0.11</v>
      </c>
      <c r="E951" s="109">
        <v>1465.18</v>
      </c>
      <c r="F951" s="109">
        <v>161.16999999999999</v>
      </c>
      <c r="G951" s="108" t="s">
        <v>2668</v>
      </c>
      <c r="H951" s="111" t="s">
        <v>16</v>
      </c>
    </row>
    <row r="952" spans="1:8" ht="33" x14ac:dyDescent="0.2">
      <c r="A952" s="108">
        <v>2</v>
      </c>
      <c r="B952" s="108" t="s">
        <v>2672</v>
      </c>
      <c r="C952" s="110" t="s">
        <v>30</v>
      </c>
      <c r="D952" s="109">
        <v>1</v>
      </c>
      <c r="E952" s="109">
        <v>250</v>
      </c>
      <c r="F952" s="109">
        <v>250</v>
      </c>
      <c r="G952" s="108" t="s">
        <v>2671</v>
      </c>
      <c r="H952" s="111" t="s">
        <v>16</v>
      </c>
    </row>
    <row r="953" spans="1:8" ht="33" x14ac:dyDescent="0.2">
      <c r="A953" s="108">
        <v>3</v>
      </c>
      <c r="B953" s="108" t="s">
        <v>2665</v>
      </c>
      <c r="C953" s="110" t="s">
        <v>23</v>
      </c>
      <c r="D953" s="109">
        <v>0.02</v>
      </c>
      <c r="E953" s="109">
        <v>538.77</v>
      </c>
      <c r="F953" s="109">
        <v>10.78</v>
      </c>
      <c r="G953" s="108" t="s">
        <v>2664</v>
      </c>
      <c r="H953" s="111" t="s">
        <v>16</v>
      </c>
    </row>
    <row r="954" spans="1:8" ht="33" x14ac:dyDescent="0.2">
      <c r="A954" s="108">
        <v>4</v>
      </c>
      <c r="B954" s="108" t="s">
        <v>2663</v>
      </c>
      <c r="C954" s="110" t="s">
        <v>14</v>
      </c>
      <c r="D954" s="109">
        <v>1</v>
      </c>
      <c r="E954" s="109">
        <v>80</v>
      </c>
      <c r="F954" s="109">
        <v>80</v>
      </c>
      <c r="G954" s="108" t="s">
        <v>2662</v>
      </c>
      <c r="H954" s="111" t="s">
        <v>16</v>
      </c>
    </row>
    <row r="955" spans="1:8" ht="33" x14ac:dyDescent="0.2">
      <c r="A955" s="108">
        <v>5</v>
      </c>
      <c r="B955" s="108" t="s">
        <v>1527</v>
      </c>
      <c r="C955" s="110" t="s">
        <v>97</v>
      </c>
      <c r="D955" s="109">
        <v>0.1</v>
      </c>
      <c r="E955" s="109">
        <v>280</v>
      </c>
      <c r="F955" s="109">
        <v>28</v>
      </c>
      <c r="G955" s="108" t="s">
        <v>1535</v>
      </c>
      <c r="H955" s="111" t="s">
        <v>16</v>
      </c>
    </row>
    <row r="956" spans="1:8" ht="33" x14ac:dyDescent="0.2">
      <c r="A956" s="108">
        <v>6</v>
      </c>
      <c r="B956" s="108" t="s">
        <v>1543</v>
      </c>
      <c r="C956" s="110" t="s">
        <v>14</v>
      </c>
      <c r="D956" s="109">
        <v>1</v>
      </c>
      <c r="E956" s="109">
        <v>15.9</v>
      </c>
      <c r="F956" s="109">
        <v>15.9</v>
      </c>
      <c r="G956" s="108" t="s">
        <v>1542</v>
      </c>
      <c r="H956" s="111" t="s">
        <v>16</v>
      </c>
    </row>
    <row r="957" spans="1:8" ht="33" x14ac:dyDescent="0.2">
      <c r="A957" s="108"/>
      <c r="B957" s="108" t="s">
        <v>1516</v>
      </c>
      <c r="C957" s="110" t="s">
        <v>30</v>
      </c>
      <c r="D957" s="109">
        <v>1</v>
      </c>
      <c r="E957" s="109"/>
      <c r="F957" s="109">
        <v>545.84999999999991</v>
      </c>
      <c r="G957" s="108"/>
      <c r="H957" s="111" t="s">
        <v>16</v>
      </c>
    </row>
    <row r="958" spans="1:8" ht="33" x14ac:dyDescent="0.2">
      <c r="A958" s="108"/>
      <c r="B958" s="108" t="s">
        <v>1515</v>
      </c>
      <c r="C958" s="110" t="s">
        <v>30</v>
      </c>
      <c r="D958" s="109"/>
      <c r="E958" s="109"/>
      <c r="F958" s="109">
        <v>545.85</v>
      </c>
      <c r="G958" s="108"/>
      <c r="H958" s="111" t="s">
        <v>16</v>
      </c>
    </row>
    <row r="959" spans="1:8" ht="16.5" x14ac:dyDescent="0.2">
      <c r="A959" s="108"/>
      <c r="B959" s="108"/>
      <c r="C959" s="110"/>
      <c r="D959" s="109"/>
      <c r="E959" s="109"/>
      <c r="F959" s="109"/>
      <c r="G959" s="108"/>
    </row>
    <row r="960" spans="1:8" ht="33" x14ac:dyDescent="0.2">
      <c r="A960" s="108" t="s">
        <v>2670</v>
      </c>
      <c r="B960" s="108" t="s">
        <v>380</v>
      </c>
      <c r="C960" s="110" t="s">
        <v>30</v>
      </c>
      <c r="D960" s="109">
        <v>1</v>
      </c>
      <c r="E960" s="109">
        <v>644.09</v>
      </c>
      <c r="F960" s="109"/>
      <c r="G960" s="108" t="s">
        <v>2669</v>
      </c>
      <c r="H960" s="111" t="s">
        <v>16</v>
      </c>
    </row>
    <row r="961" spans="1:8" ht="33" x14ac:dyDescent="0.2">
      <c r="A961" s="108">
        <v>1</v>
      </c>
      <c r="B961" s="108" t="s">
        <v>1779</v>
      </c>
      <c r="C961" s="110" t="s">
        <v>103</v>
      </c>
      <c r="D961" s="109">
        <v>0.11</v>
      </c>
      <c r="E961" s="109">
        <v>1465.18</v>
      </c>
      <c r="F961" s="109">
        <v>161.16999999999999</v>
      </c>
      <c r="G961" s="108" t="s">
        <v>2668</v>
      </c>
      <c r="H961" s="111" t="s">
        <v>16</v>
      </c>
    </row>
    <row r="962" spans="1:8" ht="33" x14ac:dyDescent="0.2">
      <c r="A962" s="108">
        <v>2</v>
      </c>
      <c r="B962" s="108" t="s">
        <v>2667</v>
      </c>
      <c r="C962" s="110" t="s">
        <v>30</v>
      </c>
      <c r="D962" s="109">
        <v>1</v>
      </c>
      <c r="E962" s="109">
        <v>340</v>
      </c>
      <c r="F962" s="109">
        <v>340</v>
      </c>
      <c r="G962" s="108" t="s">
        <v>2666</v>
      </c>
      <c r="H962" s="111" t="s">
        <v>16</v>
      </c>
    </row>
    <row r="963" spans="1:8" ht="33" x14ac:dyDescent="0.2">
      <c r="A963" s="108">
        <v>3</v>
      </c>
      <c r="B963" s="108" t="s">
        <v>2665</v>
      </c>
      <c r="C963" s="110" t="s">
        <v>23</v>
      </c>
      <c r="D963" s="109">
        <v>0.03</v>
      </c>
      <c r="E963" s="109">
        <v>538.77</v>
      </c>
      <c r="F963" s="109">
        <v>16.16</v>
      </c>
      <c r="G963" s="108" t="s">
        <v>2664</v>
      </c>
      <c r="H963" s="111" t="s">
        <v>16</v>
      </c>
    </row>
    <row r="964" spans="1:8" ht="33" x14ac:dyDescent="0.2">
      <c r="A964" s="108">
        <v>4</v>
      </c>
      <c r="B964" s="108" t="s">
        <v>2663</v>
      </c>
      <c r="C964" s="110" t="s">
        <v>14</v>
      </c>
      <c r="D964" s="109">
        <v>1</v>
      </c>
      <c r="E964" s="109">
        <v>80</v>
      </c>
      <c r="F964" s="109">
        <v>80</v>
      </c>
      <c r="G964" s="108" t="s">
        <v>2662</v>
      </c>
      <c r="H964" s="111" t="s">
        <v>16</v>
      </c>
    </row>
    <row r="965" spans="1:8" ht="33" x14ac:dyDescent="0.2">
      <c r="A965" s="108">
        <v>5</v>
      </c>
      <c r="B965" s="108" t="s">
        <v>1527</v>
      </c>
      <c r="C965" s="110" t="s">
        <v>97</v>
      </c>
      <c r="D965" s="109">
        <v>0.1</v>
      </c>
      <c r="E965" s="109">
        <v>280</v>
      </c>
      <c r="F965" s="109">
        <v>28</v>
      </c>
      <c r="G965" s="108" t="s">
        <v>1535</v>
      </c>
      <c r="H965" s="111" t="s">
        <v>16</v>
      </c>
    </row>
    <row r="966" spans="1:8" ht="33" x14ac:dyDescent="0.2">
      <c r="A966" s="108">
        <v>6</v>
      </c>
      <c r="B966" s="108" t="s">
        <v>1543</v>
      </c>
      <c r="C966" s="110" t="s">
        <v>14</v>
      </c>
      <c r="D966" s="109">
        <v>1</v>
      </c>
      <c r="E966" s="109">
        <v>18.760000000000002</v>
      </c>
      <c r="F966" s="109">
        <v>18.760000000000002</v>
      </c>
      <c r="G966" s="108" t="s">
        <v>1542</v>
      </c>
      <c r="H966" s="111" t="s">
        <v>16</v>
      </c>
    </row>
    <row r="967" spans="1:8" ht="33" x14ac:dyDescent="0.2">
      <c r="A967" s="108"/>
      <c r="B967" s="108" t="s">
        <v>1516</v>
      </c>
      <c r="C967" s="110" t="s">
        <v>30</v>
      </c>
      <c r="D967" s="109">
        <v>1</v>
      </c>
      <c r="E967" s="109"/>
      <c r="F967" s="109">
        <v>644.08999999999992</v>
      </c>
      <c r="G967" s="108"/>
      <c r="H967" s="111" t="s">
        <v>16</v>
      </c>
    </row>
    <row r="968" spans="1:8" ht="33" x14ac:dyDescent="0.2">
      <c r="A968" s="108"/>
      <c r="B968" s="108" t="s">
        <v>1515</v>
      </c>
      <c r="C968" s="110" t="s">
        <v>30</v>
      </c>
      <c r="D968" s="109"/>
      <c r="E968" s="109"/>
      <c r="F968" s="109">
        <v>644.09</v>
      </c>
      <c r="G968" s="108"/>
      <c r="H968" s="111" t="s">
        <v>16</v>
      </c>
    </row>
    <row r="969" spans="1:8" ht="16.5" x14ac:dyDescent="0.2">
      <c r="A969" s="108"/>
      <c r="B969" s="108"/>
      <c r="C969" s="110"/>
      <c r="D969" s="109"/>
      <c r="E969" s="109"/>
      <c r="F969" s="109"/>
      <c r="G969" s="108"/>
    </row>
    <row r="970" spans="1:8" ht="57" x14ac:dyDescent="0.2">
      <c r="A970" s="108" t="s">
        <v>2661</v>
      </c>
      <c r="B970" s="108" t="s">
        <v>383</v>
      </c>
      <c r="C970" s="110" t="s">
        <v>30</v>
      </c>
      <c r="D970" s="109">
        <v>0.41</v>
      </c>
      <c r="E970" s="109">
        <v>7340.41</v>
      </c>
      <c r="F970" s="109"/>
      <c r="G970" s="108" t="s">
        <v>2660</v>
      </c>
      <c r="H970" s="111" t="s">
        <v>16</v>
      </c>
    </row>
    <row r="971" spans="1:8" ht="33" x14ac:dyDescent="0.2">
      <c r="A971" s="108">
        <v>1</v>
      </c>
      <c r="B971" s="108" t="s">
        <v>509</v>
      </c>
      <c r="C971" s="110" t="s">
        <v>50</v>
      </c>
      <c r="D971" s="109">
        <v>0.2</v>
      </c>
      <c r="E971" s="109">
        <v>1454.57</v>
      </c>
      <c r="F971" s="109">
        <v>290.91000000000003</v>
      </c>
      <c r="G971" s="108" t="s">
        <v>2659</v>
      </c>
      <c r="H971" s="111" t="s">
        <v>16</v>
      </c>
    </row>
    <row r="972" spans="1:8" ht="57" x14ac:dyDescent="0.2">
      <c r="A972" s="108">
        <v>2</v>
      </c>
      <c r="B972" s="108" t="s">
        <v>2658</v>
      </c>
      <c r="C972" s="110" t="s">
        <v>325</v>
      </c>
      <c r="D972" s="109">
        <v>1</v>
      </c>
      <c r="E972" s="109">
        <v>2500</v>
      </c>
      <c r="F972" s="109">
        <v>2500</v>
      </c>
      <c r="G972" s="108" t="s">
        <v>2657</v>
      </c>
      <c r="H972" s="111" t="s">
        <v>16</v>
      </c>
    </row>
    <row r="973" spans="1:8" ht="33" x14ac:dyDescent="0.2">
      <c r="A973" s="108">
        <v>3</v>
      </c>
      <c r="B973" s="108" t="s">
        <v>1610</v>
      </c>
      <c r="C973" s="110" t="s">
        <v>97</v>
      </c>
      <c r="D973" s="109">
        <v>0.2</v>
      </c>
      <c r="E973" s="109">
        <v>375</v>
      </c>
      <c r="F973" s="109">
        <v>75</v>
      </c>
      <c r="G973" s="108" t="s">
        <v>1609</v>
      </c>
      <c r="H973" s="111" t="s">
        <v>16</v>
      </c>
    </row>
    <row r="974" spans="1:8" ht="33" x14ac:dyDescent="0.2">
      <c r="A974" s="108">
        <v>4</v>
      </c>
      <c r="B974" s="108" t="s">
        <v>1527</v>
      </c>
      <c r="C974" s="110" t="s">
        <v>97</v>
      </c>
      <c r="D974" s="109">
        <v>0.2</v>
      </c>
      <c r="E974" s="109">
        <v>280</v>
      </c>
      <c r="F974" s="109">
        <v>56</v>
      </c>
      <c r="G974" s="108" t="s">
        <v>1535</v>
      </c>
      <c r="H974" s="111" t="s">
        <v>16</v>
      </c>
    </row>
    <row r="975" spans="1:8" ht="33" x14ac:dyDescent="0.2">
      <c r="A975" s="108">
        <v>5</v>
      </c>
      <c r="B975" s="108" t="s">
        <v>1518</v>
      </c>
      <c r="C975" s="110" t="s">
        <v>14</v>
      </c>
      <c r="D975" s="109">
        <v>1</v>
      </c>
      <c r="E975" s="109">
        <v>87.66</v>
      </c>
      <c r="F975" s="109">
        <v>87.66</v>
      </c>
      <c r="G975" s="108" t="s">
        <v>1517</v>
      </c>
      <c r="H975" s="111" t="s">
        <v>16</v>
      </c>
    </row>
    <row r="976" spans="1:8" ht="33" x14ac:dyDescent="0.2">
      <c r="A976" s="108"/>
      <c r="B976" s="108" t="s">
        <v>1516</v>
      </c>
      <c r="C976" s="110" t="s">
        <v>30</v>
      </c>
      <c r="D976" s="109">
        <v>0.41</v>
      </c>
      <c r="E976" s="109"/>
      <c r="F976" s="109">
        <v>3009.5699999999997</v>
      </c>
      <c r="G976" s="108"/>
      <c r="H976" s="111" t="s">
        <v>16</v>
      </c>
    </row>
    <row r="977" spans="1:8" ht="33" x14ac:dyDescent="0.2">
      <c r="A977" s="108"/>
      <c r="B977" s="108" t="s">
        <v>1515</v>
      </c>
      <c r="C977" s="110" t="s">
        <v>30</v>
      </c>
      <c r="D977" s="109"/>
      <c r="E977" s="109"/>
      <c r="F977" s="109">
        <v>7340.41</v>
      </c>
      <c r="G977" s="108"/>
      <c r="H977" s="111" t="s">
        <v>16</v>
      </c>
    </row>
    <row r="978" spans="1:8" ht="16.5" x14ac:dyDescent="0.2">
      <c r="A978" s="108"/>
      <c r="B978" s="108"/>
      <c r="C978" s="110"/>
      <c r="D978" s="109"/>
      <c r="E978" s="109"/>
      <c r="F978" s="109"/>
      <c r="G978" s="108"/>
    </row>
    <row r="979" spans="1:8" ht="33" x14ac:dyDescent="0.2">
      <c r="A979" s="108" t="s">
        <v>2656</v>
      </c>
      <c r="B979" s="108" t="s">
        <v>386</v>
      </c>
      <c r="C979" s="110" t="s">
        <v>81</v>
      </c>
      <c r="D979" s="109">
        <v>1</v>
      </c>
      <c r="E979" s="109">
        <v>913345.81</v>
      </c>
      <c r="F979" s="109"/>
      <c r="G979" s="108" t="s">
        <v>2655</v>
      </c>
      <c r="H979" s="111" t="s">
        <v>16</v>
      </c>
    </row>
    <row r="980" spans="1:8" ht="33" x14ac:dyDescent="0.2">
      <c r="A980" s="108">
        <v>1</v>
      </c>
      <c r="B980" s="108" t="s">
        <v>2654</v>
      </c>
      <c r="C980" s="110" t="s">
        <v>30</v>
      </c>
      <c r="D980" s="109">
        <v>30.9</v>
      </c>
      <c r="E980" s="109">
        <v>5600</v>
      </c>
      <c r="F980" s="109">
        <v>173040</v>
      </c>
      <c r="G980" s="108" t="s">
        <v>2653</v>
      </c>
      <c r="H980" s="111" t="s">
        <v>16</v>
      </c>
    </row>
    <row r="981" spans="1:8" ht="33" x14ac:dyDescent="0.2">
      <c r="A981" s="108">
        <v>2</v>
      </c>
      <c r="B981" s="108" t="s">
        <v>2652</v>
      </c>
      <c r="C981" s="110" t="s">
        <v>162</v>
      </c>
      <c r="D981" s="109">
        <v>800</v>
      </c>
      <c r="E981" s="109">
        <v>435</v>
      </c>
      <c r="F981" s="109">
        <v>348000</v>
      </c>
      <c r="G981" s="108" t="s">
        <v>2651</v>
      </c>
      <c r="H981" s="111" t="s">
        <v>16</v>
      </c>
    </row>
    <row r="982" spans="1:8" ht="33" x14ac:dyDescent="0.2">
      <c r="A982" s="108">
        <v>3</v>
      </c>
      <c r="B982" s="108" t="s">
        <v>2650</v>
      </c>
      <c r="C982" s="110" t="s">
        <v>162</v>
      </c>
      <c r="D982" s="109">
        <v>120</v>
      </c>
      <c r="E982" s="109">
        <v>255</v>
      </c>
      <c r="F982" s="109">
        <v>30600</v>
      </c>
      <c r="G982" s="108" t="s">
        <v>2649</v>
      </c>
      <c r="H982" s="111" t="s">
        <v>16</v>
      </c>
    </row>
    <row r="983" spans="1:8" ht="33" x14ac:dyDescent="0.2">
      <c r="A983" s="108">
        <v>4</v>
      </c>
      <c r="B983" s="108" t="s">
        <v>2648</v>
      </c>
      <c r="C983" s="110" t="s">
        <v>162</v>
      </c>
      <c r="D983" s="109">
        <v>1707</v>
      </c>
      <c r="E983" s="109">
        <v>10.5</v>
      </c>
      <c r="F983" s="109">
        <v>17923.5</v>
      </c>
      <c r="G983" s="108" t="s">
        <v>2647</v>
      </c>
      <c r="H983" s="111" t="s">
        <v>16</v>
      </c>
    </row>
    <row r="984" spans="1:8" ht="33" x14ac:dyDescent="0.2">
      <c r="A984" s="108">
        <v>5</v>
      </c>
      <c r="B984" s="108" t="s">
        <v>2646</v>
      </c>
      <c r="C984" s="110" t="s">
        <v>162</v>
      </c>
      <c r="D984" s="109">
        <v>800</v>
      </c>
      <c r="E984" s="109">
        <v>50</v>
      </c>
      <c r="F984" s="109">
        <v>40000</v>
      </c>
      <c r="G984" s="108" t="s">
        <v>2645</v>
      </c>
      <c r="H984" s="111" t="s">
        <v>16</v>
      </c>
    </row>
    <row r="985" spans="1:8" ht="33" x14ac:dyDescent="0.2">
      <c r="A985" s="108">
        <v>6</v>
      </c>
      <c r="B985" s="108" t="s">
        <v>2644</v>
      </c>
      <c r="C985" s="110" t="s">
        <v>162</v>
      </c>
      <c r="D985" s="109">
        <v>800</v>
      </c>
      <c r="E985" s="109">
        <v>40</v>
      </c>
      <c r="F985" s="109">
        <v>32000</v>
      </c>
      <c r="G985" s="108" t="s">
        <v>2643</v>
      </c>
      <c r="H985" s="111" t="s">
        <v>16</v>
      </c>
    </row>
    <row r="986" spans="1:8" ht="33" x14ac:dyDescent="0.2">
      <c r="A986" s="108">
        <v>7</v>
      </c>
      <c r="B986" s="108" t="s">
        <v>2642</v>
      </c>
      <c r="C986" s="110" t="s">
        <v>162</v>
      </c>
      <c r="D986" s="109">
        <v>120</v>
      </c>
      <c r="E986" s="109">
        <v>30</v>
      </c>
      <c r="F986" s="109">
        <v>3600</v>
      </c>
      <c r="G986" s="108" t="s">
        <v>2641</v>
      </c>
      <c r="H986" s="111" t="s">
        <v>16</v>
      </c>
    </row>
    <row r="987" spans="1:8" ht="33" x14ac:dyDescent="0.2">
      <c r="A987" s="108">
        <v>8</v>
      </c>
      <c r="B987" s="108" t="s">
        <v>2640</v>
      </c>
      <c r="C987" s="110" t="s">
        <v>162</v>
      </c>
      <c r="D987" s="109">
        <v>800</v>
      </c>
      <c r="E987" s="109">
        <v>5</v>
      </c>
      <c r="F987" s="109">
        <v>4000</v>
      </c>
      <c r="G987" s="108" t="s">
        <v>2639</v>
      </c>
      <c r="H987" s="111" t="s">
        <v>16</v>
      </c>
    </row>
    <row r="988" spans="1:8" ht="42.75" x14ac:dyDescent="0.2">
      <c r="A988" s="108">
        <v>9</v>
      </c>
      <c r="B988" s="108" t="s">
        <v>2638</v>
      </c>
      <c r="C988" s="110" t="s">
        <v>50</v>
      </c>
      <c r="D988" s="109">
        <v>261.7</v>
      </c>
      <c r="E988" s="109">
        <v>250</v>
      </c>
      <c r="F988" s="109">
        <v>65425</v>
      </c>
      <c r="G988" s="108" t="s">
        <v>2637</v>
      </c>
      <c r="H988" s="111" t="s">
        <v>16</v>
      </c>
    </row>
    <row r="989" spans="1:8" ht="33" x14ac:dyDescent="0.2">
      <c r="A989" s="108">
        <v>10</v>
      </c>
      <c r="B989" s="108" t="s">
        <v>2636</v>
      </c>
      <c r="C989" s="110" t="s">
        <v>50</v>
      </c>
      <c r="D989" s="109">
        <v>72.8</v>
      </c>
      <c r="E989" s="109">
        <v>450</v>
      </c>
      <c r="F989" s="109">
        <v>32760</v>
      </c>
      <c r="G989" s="108" t="s">
        <v>2635</v>
      </c>
      <c r="H989" s="111" t="s">
        <v>16</v>
      </c>
    </row>
    <row r="990" spans="1:8" ht="33" x14ac:dyDescent="0.2">
      <c r="A990" s="108">
        <v>11</v>
      </c>
      <c r="B990" s="108" t="s">
        <v>2634</v>
      </c>
      <c r="C990" s="110" t="s">
        <v>50</v>
      </c>
      <c r="D990" s="109">
        <v>3</v>
      </c>
      <c r="E990" s="109">
        <v>100</v>
      </c>
      <c r="F990" s="109">
        <v>300</v>
      </c>
      <c r="G990" s="108" t="s">
        <v>2633</v>
      </c>
      <c r="H990" s="111" t="s">
        <v>16</v>
      </c>
    </row>
    <row r="991" spans="1:8" ht="33" x14ac:dyDescent="0.2">
      <c r="A991" s="108">
        <v>12</v>
      </c>
      <c r="B991" s="108" t="s">
        <v>2632</v>
      </c>
      <c r="C991" s="110" t="s">
        <v>81</v>
      </c>
      <c r="D991" s="109">
        <v>2</v>
      </c>
      <c r="E991" s="109">
        <v>54000</v>
      </c>
      <c r="F991" s="109">
        <v>108000</v>
      </c>
      <c r="G991" s="108" t="s">
        <v>2631</v>
      </c>
      <c r="H991" s="111" t="s">
        <v>16</v>
      </c>
    </row>
    <row r="992" spans="1:8" ht="33" x14ac:dyDescent="0.2">
      <c r="A992" s="108">
        <v>13</v>
      </c>
      <c r="B992" s="108" t="s">
        <v>2630</v>
      </c>
      <c r="C992" s="110" t="s">
        <v>30</v>
      </c>
      <c r="D992" s="109">
        <v>8.5</v>
      </c>
      <c r="E992" s="109">
        <v>170</v>
      </c>
      <c r="F992" s="109">
        <v>1445</v>
      </c>
      <c r="G992" s="108" t="s">
        <v>2629</v>
      </c>
      <c r="H992" s="111" t="s">
        <v>16</v>
      </c>
    </row>
    <row r="993" spans="1:8" ht="33" x14ac:dyDescent="0.2">
      <c r="A993" s="108">
        <v>14</v>
      </c>
      <c r="B993" s="108" t="s">
        <v>2628</v>
      </c>
      <c r="C993" s="110" t="s">
        <v>30</v>
      </c>
      <c r="D993" s="109">
        <v>3.8</v>
      </c>
      <c r="E993" s="109">
        <v>120</v>
      </c>
      <c r="F993" s="109">
        <v>456</v>
      </c>
      <c r="G993" s="108" t="s">
        <v>2627</v>
      </c>
      <c r="H993" s="111" t="s">
        <v>16</v>
      </c>
    </row>
    <row r="994" spans="1:8" ht="33" x14ac:dyDescent="0.2">
      <c r="A994" s="108">
        <v>15</v>
      </c>
      <c r="B994" s="108" t="s">
        <v>2626</v>
      </c>
      <c r="C994" s="110" t="s">
        <v>30</v>
      </c>
      <c r="D994" s="109">
        <v>9.6999999999999993</v>
      </c>
      <c r="E994" s="109">
        <v>20</v>
      </c>
      <c r="F994" s="109">
        <v>194</v>
      </c>
      <c r="G994" s="108" t="s">
        <v>2625</v>
      </c>
      <c r="H994" s="111" t="s">
        <v>16</v>
      </c>
    </row>
    <row r="995" spans="1:8" ht="33" x14ac:dyDescent="0.2">
      <c r="A995" s="108">
        <v>16</v>
      </c>
      <c r="B995" s="108" t="s">
        <v>980</v>
      </c>
      <c r="C995" s="110" t="s">
        <v>14</v>
      </c>
      <c r="D995" s="109">
        <v>1</v>
      </c>
      <c r="E995" s="109">
        <v>29000</v>
      </c>
      <c r="F995" s="109">
        <v>29000</v>
      </c>
      <c r="G995" s="108" t="s">
        <v>981</v>
      </c>
      <c r="H995" s="111" t="s">
        <v>16</v>
      </c>
    </row>
    <row r="996" spans="1:8" ht="33" x14ac:dyDescent="0.2">
      <c r="A996" s="108">
        <v>17</v>
      </c>
      <c r="B996" s="108" t="s">
        <v>1518</v>
      </c>
      <c r="C996" s="110" t="s">
        <v>14</v>
      </c>
      <c r="D996" s="109">
        <v>1</v>
      </c>
      <c r="E996" s="109">
        <v>26602.31</v>
      </c>
      <c r="F996" s="109">
        <v>26602.31</v>
      </c>
      <c r="G996" s="108" t="s">
        <v>1517</v>
      </c>
      <c r="H996" s="111" t="s">
        <v>16</v>
      </c>
    </row>
    <row r="997" spans="1:8" ht="33" x14ac:dyDescent="0.2">
      <c r="A997" s="108"/>
      <c r="B997" s="108" t="s">
        <v>1516</v>
      </c>
      <c r="C997" s="110" t="s">
        <v>81</v>
      </c>
      <c r="D997" s="109">
        <v>1</v>
      </c>
      <c r="E997" s="109"/>
      <c r="F997" s="109">
        <v>913345.81</v>
      </c>
      <c r="G997" s="108"/>
      <c r="H997" s="111" t="s">
        <v>16</v>
      </c>
    </row>
    <row r="998" spans="1:8" ht="33" x14ac:dyDescent="0.2">
      <c r="A998" s="108"/>
      <c r="B998" s="108" t="s">
        <v>1515</v>
      </c>
      <c r="C998" s="110" t="s">
        <v>81</v>
      </c>
      <c r="D998" s="109"/>
      <c r="E998" s="109"/>
      <c r="F998" s="109">
        <v>913345.81</v>
      </c>
      <c r="G998" s="108"/>
      <c r="H998" s="111" t="s">
        <v>16</v>
      </c>
    </row>
    <row r="999" spans="1:8" ht="16.5" x14ac:dyDescent="0.2">
      <c r="A999" s="108"/>
      <c r="B999" s="108"/>
      <c r="C999" s="110"/>
      <c r="D999" s="109"/>
      <c r="E999" s="109"/>
      <c r="F999" s="109"/>
      <c r="G999" s="108"/>
    </row>
    <row r="1000" spans="1:8" ht="33" x14ac:dyDescent="0.2">
      <c r="A1000" s="108" t="s">
        <v>2624</v>
      </c>
      <c r="B1000" s="108" t="s">
        <v>395</v>
      </c>
      <c r="C1000" s="110" t="s">
        <v>23</v>
      </c>
      <c r="D1000" s="109">
        <v>1</v>
      </c>
      <c r="E1000" s="109">
        <v>3643.73</v>
      </c>
      <c r="F1000" s="109"/>
      <c r="G1000" s="108" t="s">
        <v>2623</v>
      </c>
      <c r="H1000" s="111" t="s">
        <v>16</v>
      </c>
    </row>
    <row r="1001" spans="1:8" ht="33" x14ac:dyDescent="0.2">
      <c r="A1001" s="108">
        <v>1</v>
      </c>
      <c r="B1001" s="108" t="s">
        <v>2622</v>
      </c>
      <c r="C1001" s="110" t="s">
        <v>23</v>
      </c>
      <c r="D1001" s="109">
        <v>1</v>
      </c>
      <c r="E1001" s="109">
        <v>3150</v>
      </c>
      <c r="F1001" s="109">
        <v>3150</v>
      </c>
      <c r="G1001" s="108" t="s">
        <v>2621</v>
      </c>
      <c r="H1001" s="111" t="s">
        <v>16</v>
      </c>
    </row>
    <row r="1002" spans="1:8" ht="33" x14ac:dyDescent="0.2">
      <c r="A1002" s="108">
        <v>2</v>
      </c>
      <c r="B1002" s="108" t="s">
        <v>1694</v>
      </c>
      <c r="C1002" s="110" t="s">
        <v>97</v>
      </c>
      <c r="D1002" s="109">
        <v>0.32</v>
      </c>
      <c r="E1002" s="109">
        <v>375</v>
      </c>
      <c r="F1002" s="109">
        <v>120</v>
      </c>
      <c r="G1002" s="108" t="s">
        <v>1693</v>
      </c>
      <c r="H1002" s="111" t="s">
        <v>16</v>
      </c>
    </row>
    <row r="1003" spans="1:8" ht="33" x14ac:dyDescent="0.2">
      <c r="A1003" s="108">
        <v>3</v>
      </c>
      <c r="B1003" s="108" t="s">
        <v>1527</v>
      </c>
      <c r="C1003" s="110" t="s">
        <v>97</v>
      </c>
      <c r="D1003" s="109">
        <v>0.72</v>
      </c>
      <c r="E1003" s="109">
        <v>280</v>
      </c>
      <c r="F1003" s="109">
        <v>201.6</v>
      </c>
      <c r="G1003" s="108" t="s">
        <v>1535</v>
      </c>
      <c r="H1003" s="111" t="s">
        <v>16</v>
      </c>
    </row>
    <row r="1004" spans="1:8" ht="33" x14ac:dyDescent="0.2">
      <c r="A1004" s="108">
        <v>4</v>
      </c>
      <c r="B1004" s="108" t="s">
        <v>1692</v>
      </c>
      <c r="C1004" s="110" t="s">
        <v>14</v>
      </c>
      <c r="D1004" s="109">
        <v>1</v>
      </c>
      <c r="E1004" s="109">
        <v>13</v>
      </c>
      <c r="F1004" s="109">
        <v>13</v>
      </c>
      <c r="G1004" s="108" t="s">
        <v>1691</v>
      </c>
      <c r="H1004" s="111" t="s">
        <v>16</v>
      </c>
    </row>
    <row r="1005" spans="1:8" ht="33" x14ac:dyDescent="0.2">
      <c r="A1005" s="108">
        <v>5</v>
      </c>
      <c r="B1005" s="108" t="s">
        <v>2620</v>
      </c>
      <c r="C1005" s="110" t="s">
        <v>14</v>
      </c>
      <c r="D1005" s="109">
        <v>1</v>
      </c>
      <c r="E1005" s="109">
        <v>13</v>
      </c>
      <c r="F1005" s="109">
        <v>13</v>
      </c>
      <c r="G1005" s="108" t="s">
        <v>2619</v>
      </c>
      <c r="H1005" s="111" t="s">
        <v>16</v>
      </c>
    </row>
    <row r="1006" spans="1:8" ht="33" x14ac:dyDescent="0.2">
      <c r="A1006" s="108">
        <v>6</v>
      </c>
      <c r="B1006" s="108" t="s">
        <v>2434</v>
      </c>
      <c r="C1006" s="110" t="s">
        <v>14</v>
      </c>
      <c r="D1006" s="109">
        <v>1</v>
      </c>
      <c r="E1006" s="109">
        <v>40</v>
      </c>
      <c r="F1006" s="109">
        <v>40</v>
      </c>
      <c r="G1006" s="108" t="s">
        <v>2433</v>
      </c>
      <c r="H1006" s="111" t="s">
        <v>16</v>
      </c>
    </row>
    <row r="1007" spans="1:8" ht="33" x14ac:dyDescent="0.2">
      <c r="A1007" s="108">
        <v>7</v>
      </c>
      <c r="B1007" s="108" t="s">
        <v>1518</v>
      </c>
      <c r="C1007" s="110" t="s">
        <v>14</v>
      </c>
      <c r="D1007" s="109">
        <v>1</v>
      </c>
      <c r="E1007" s="109">
        <v>106.13</v>
      </c>
      <c r="F1007" s="109">
        <v>106.13</v>
      </c>
      <c r="G1007" s="108" t="s">
        <v>1517</v>
      </c>
      <c r="H1007" s="111" t="s">
        <v>16</v>
      </c>
    </row>
    <row r="1008" spans="1:8" ht="33" x14ac:dyDescent="0.2">
      <c r="A1008" s="108"/>
      <c r="B1008" s="108" t="s">
        <v>1516</v>
      </c>
      <c r="C1008" s="110" t="s">
        <v>23</v>
      </c>
      <c r="D1008" s="109">
        <v>1</v>
      </c>
      <c r="E1008" s="109"/>
      <c r="F1008" s="109">
        <v>3643.73</v>
      </c>
      <c r="G1008" s="108"/>
      <c r="H1008" s="111" t="s">
        <v>16</v>
      </c>
    </row>
    <row r="1009" spans="1:8" ht="33" x14ac:dyDescent="0.2">
      <c r="A1009" s="108"/>
      <c r="B1009" s="108" t="s">
        <v>1515</v>
      </c>
      <c r="C1009" s="110" t="s">
        <v>23</v>
      </c>
      <c r="D1009" s="109"/>
      <c r="E1009" s="109"/>
      <c r="F1009" s="109">
        <v>3643.73</v>
      </c>
      <c r="G1009" s="108"/>
      <c r="H1009" s="111" t="s">
        <v>16</v>
      </c>
    </row>
    <row r="1010" spans="1:8" ht="16.5" x14ac:dyDescent="0.2">
      <c r="A1010" s="108"/>
      <c r="B1010" s="108"/>
      <c r="C1010" s="110"/>
      <c r="D1010" s="109"/>
      <c r="E1010" s="109"/>
      <c r="F1010" s="109"/>
      <c r="G1010" s="108"/>
    </row>
    <row r="1011" spans="1:8" ht="42.75" x14ac:dyDescent="0.2">
      <c r="A1011" s="108" t="s">
        <v>2618</v>
      </c>
      <c r="B1011" s="108" t="s">
        <v>399</v>
      </c>
      <c r="C1011" s="110" t="s">
        <v>110</v>
      </c>
      <c r="D1011" s="109">
        <v>1000</v>
      </c>
      <c r="E1011" s="109">
        <v>38.71</v>
      </c>
      <c r="F1011" s="109"/>
      <c r="G1011" s="108" t="s">
        <v>2617</v>
      </c>
      <c r="H1011" s="111" t="s">
        <v>16</v>
      </c>
    </row>
    <row r="1012" spans="1:8" ht="42.75" x14ac:dyDescent="0.2">
      <c r="A1012" s="108">
        <v>1</v>
      </c>
      <c r="B1012" s="108" t="s">
        <v>1718</v>
      </c>
      <c r="C1012" s="110" t="s">
        <v>338</v>
      </c>
      <c r="D1012" s="109">
        <v>1.1000000000000001</v>
      </c>
      <c r="E1012" s="109">
        <v>26760</v>
      </c>
      <c r="F1012" s="109">
        <v>29436</v>
      </c>
      <c r="G1012" s="108" t="s">
        <v>1717</v>
      </c>
      <c r="H1012" s="111" t="s">
        <v>16</v>
      </c>
    </row>
    <row r="1013" spans="1:8" ht="33" x14ac:dyDescent="0.2">
      <c r="A1013" s="108">
        <v>2</v>
      </c>
      <c r="B1013" s="108" t="s">
        <v>1716</v>
      </c>
      <c r="C1013" s="110" t="s">
        <v>97</v>
      </c>
      <c r="D1013" s="109">
        <v>10</v>
      </c>
      <c r="E1013" s="109">
        <v>400</v>
      </c>
      <c r="F1013" s="109">
        <v>4000</v>
      </c>
      <c r="G1013" s="108" t="s">
        <v>1715</v>
      </c>
      <c r="H1013" s="111" t="s">
        <v>16</v>
      </c>
    </row>
    <row r="1014" spans="1:8" ht="33" x14ac:dyDescent="0.2">
      <c r="A1014" s="108">
        <v>3</v>
      </c>
      <c r="B1014" s="108" t="s">
        <v>1714</v>
      </c>
      <c r="C1014" s="110" t="s">
        <v>97</v>
      </c>
      <c r="D1014" s="109">
        <v>10</v>
      </c>
      <c r="E1014" s="109">
        <v>400</v>
      </c>
      <c r="F1014" s="109">
        <v>4000</v>
      </c>
      <c r="G1014" s="108" t="s">
        <v>1713</v>
      </c>
      <c r="H1014" s="111" t="s">
        <v>16</v>
      </c>
    </row>
    <row r="1015" spans="1:8" ht="33" x14ac:dyDescent="0.2">
      <c r="A1015" s="108">
        <v>4</v>
      </c>
      <c r="B1015" s="108" t="s">
        <v>1712</v>
      </c>
      <c r="C1015" s="110" t="s">
        <v>110</v>
      </c>
      <c r="D1015" s="109">
        <v>4</v>
      </c>
      <c r="E1015" s="109">
        <v>36</v>
      </c>
      <c r="F1015" s="109">
        <v>144</v>
      </c>
      <c r="G1015" s="108" t="s">
        <v>1711</v>
      </c>
      <c r="H1015" s="111" t="s">
        <v>16</v>
      </c>
    </row>
    <row r="1016" spans="1:8" ht="33" x14ac:dyDescent="0.2">
      <c r="A1016" s="108">
        <v>5</v>
      </c>
      <c r="B1016" s="108" t="s">
        <v>1518</v>
      </c>
      <c r="C1016" s="110" t="s">
        <v>14</v>
      </c>
      <c r="D1016" s="109">
        <v>1</v>
      </c>
      <c r="E1016" s="109">
        <v>1127.4000000000001</v>
      </c>
      <c r="F1016" s="109">
        <v>1127.4000000000001</v>
      </c>
      <c r="G1016" s="108" t="s">
        <v>1517</v>
      </c>
      <c r="H1016" s="111" t="s">
        <v>16</v>
      </c>
    </row>
    <row r="1017" spans="1:8" ht="33" x14ac:dyDescent="0.2">
      <c r="A1017" s="108"/>
      <c r="B1017" s="108" t="s">
        <v>1516</v>
      </c>
      <c r="C1017" s="110" t="s">
        <v>110</v>
      </c>
      <c r="D1017" s="109">
        <v>1000</v>
      </c>
      <c r="E1017" s="109"/>
      <c r="F1017" s="109">
        <v>38707.4</v>
      </c>
      <c r="G1017" s="108"/>
      <c r="H1017" s="111" t="s">
        <v>16</v>
      </c>
    </row>
    <row r="1018" spans="1:8" ht="33" x14ac:dyDescent="0.2">
      <c r="A1018" s="108"/>
      <c r="B1018" s="108" t="s">
        <v>1515</v>
      </c>
      <c r="C1018" s="110" t="s">
        <v>110</v>
      </c>
      <c r="D1018" s="109"/>
      <c r="E1018" s="109"/>
      <c r="F1018" s="109">
        <v>38.71</v>
      </c>
      <c r="G1018" s="108"/>
      <c r="H1018" s="111" t="s">
        <v>16</v>
      </c>
    </row>
    <row r="1019" spans="1:8" ht="16.5" x14ac:dyDescent="0.2">
      <c r="A1019" s="108"/>
      <c r="B1019" s="108"/>
      <c r="C1019" s="110"/>
      <c r="D1019" s="109"/>
      <c r="E1019" s="109"/>
      <c r="F1019" s="109"/>
      <c r="G1019" s="108"/>
    </row>
    <row r="1020" spans="1:8" ht="57" x14ac:dyDescent="0.2">
      <c r="A1020" s="108" t="s">
        <v>2616</v>
      </c>
      <c r="B1020" s="108" t="s">
        <v>402</v>
      </c>
      <c r="C1020" s="110" t="s">
        <v>50</v>
      </c>
      <c r="D1020" s="109">
        <v>10</v>
      </c>
      <c r="E1020" s="109">
        <v>1154.98</v>
      </c>
      <c r="F1020" s="109"/>
      <c r="G1020" s="108" t="s">
        <v>2615</v>
      </c>
      <c r="H1020" s="111" t="s">
        <v>16</v>
      </c>
    </row>
    <row r="1021" spans="1:8" ht="71.25" x14ac:dyDescent="0.2">
      <c r="A1021" s="108">
        <v>1</v>
      </c>
      <c r="B1021" s="108" t="s">
        <v>2366</v>
      </c>
      <c r="C1021" s="110" t="s">
        <v>23</v>
      </c>
      <c r="D1021" s="109">
        <v>0.03</v>
      </c>
      <c r="E1021" s="109">
        <v>21600</v>
      </c>
      <c r="F1021" s="109">
        <v>648</v>
      </c>
      <c r="G1021" s="108" t="s">
        <v>2365</v>
      </c>
      <c r="H1021" s="111" t="s">
        <v>16</v>
      </c>
    </row>
    <row r="1022" spans="1:8" ht="42.75" x14ac:dyDescent="0.2">
      <c r="A1022" s="108">
        <v>2</v>
      </c>
      <c r="B1022" s="108" t="s">
        <v>2364</v>
      </c>
      <c r="C1022" s="110" t="s">
        <v>23</v>
      </c>
      <c r="D1022" s="109">
        <v>0.03</v>
      </c>
      <c r="E1022" s="109">
        <v>23000</v>
      </c>
      <c r="F1022" s="109">
        <v>690</v>
      </c>
      <c r="G1022" s="108" t="s">
        <v>2363</v>
      </c>
      <c r="H1022" s="111" t="s">
        <v>16</v>
      </c>
    </row>
    <row r="1023" spans="1:8" ht="33" x14ac:dyDescent="0.2">
      <c r="A1023" s="108">
        <v>3</v>
      </c>
      <c r="B1023" s="108" t="s">
        <v>2362</v>
      </c>
      <c r="C1023" s="110" t="s">
        <v>50</v>
      </c>
      <c r="D1023" s="109">
        <v>3.33</v>
      </c>
      <c r="E1023" s="109">
        <v>80</v>
      </c>
      <c r="F1023" s="109">
        <v>266.39999999999998</v>
      </c>
      <c r="G1023" s="108" t="s">
        <v>2361</v>
      </c>
      <c r="H1023" s="111" t="s">
        <v>16</v>
      </c>
    </row>
    <row r="1024" spans="1:8" ht="33" x14ac:dyDescent="0.2">
      <c r="A1024" s="108">
        <v>4</v>
      </c>
      <c r="B1024" s="108" t="s">
        <v>2614</v>
      </c>
      <c r="C1024" s="110" t="s">
        <v>14</v>
      </c>
      <c r="D1024" s="109">
        <v>1</v>
      </c>
      <c r="E1024" s="109">
        <v>550</v>
      </c>
      <c r="F1024" s="109">
        <v>550</v>
      </c>
      <c r="G1024" s="108" t="s">
        <v>2613</v>
      </c>
      <c r="H1024" s="111" t="s">
        <v>16</v>
      </c>
    </row>
    <row r="1025" spans="1:8" ht="33" x14ac:dyDescent="0.2">
      <c r="A1025" s="108">
        <v>5</v>
      </c>
      <c r="B1025" s="108" t="s">
        <v>2358</v>
      </c>
      <c r="C1025" s="110" t="s">
        <v>97</v>
      </c>
      <c r="D1025" s="109">
        <v>9.6</v>
      </c>
      <c r="E1025" s="109">
        <v>609.1</v>
      </c>
      <c r="F1025" s="109">
        <v>5847.36</v>
      </c>
      <c r="G1025" s="108" t="s">
        <v>2357</v>
      </c>
      <c r="H1025" s="111" t="s">
        <v>16</v>
      </c>
    </row>
    <row r="1026" spans="1:8" ht="33" x14ac:dyDescent="0.2">
      <c r="A1026" s="108">
        <v>6</v>
      </c>
      <c r="B1026" s="108" t="s">
        <v>1527</v>
      </c>
      <c r="C1026" s="110" t="s">
        <v>97</v>
      </c>
      <c r="D1026" s="109">
        <v>11.2</v>
      </c>
      <c r="E1026" s="109">
        <v>280</v>
      </c>
      <c r="F1026" s="109">
        <v>3136</v>
      </c>
      <c r="G1026" s="108" t="s">
        <v>1535</v>
      </c>
      <c r="H1026" s="111" t="s">
        <v>16</v>
      </c>
    </row>
    <row r="1027" spans="1:8" ht="33" x14ac:dyDescent="0.2">
      <c r="A1027" s="108">
        <v>7</v>
      </c>
      <c r="B1027" s="108" t="s">
        <v>2356</v>
      </c>
      <c r="C1027" s="110" t="s">
        <v>110</v>
      </c>
      <c r="D1027" s="109">
        <v>1</v>
      </c>
      <c r="E1027" s="109">
        <v>36</v>
      </c>
      <c r="F1027" s="109">
        <v>36</v>
      </c>
      <c r="G1027" s="108" t="s">
        <v>2355</v>
      </c>
      <c r="H1027" s="111" t="s">
        <v>16</v>
      </c>
    </row>
    <row r="1028" spans="1:8" ht="33" x14ac:dyDescent="0.2">
      <c r="A1028" s="108">
        <v>8</v>
      </c>
      <c r="B1028" s="108" t="s">
        <v>2354</v>
      </c>
      <c r="C1028" s="110" t="s">
        <v>110</v>
      </c>
      <c r="D1028" s="109">
        <v>1.1000000000000001</v>
      </c>
      <c r="E1028" s="109">
        <v>36</v>
      </c>
      <c r="F1028" s="109">
        <v>39.6</v>
      </c>
      <c r="G1028" s="108" t="s">
        <v>2353</v>
      </c>
      <c r="H1028" s="111" t="s">
        <v>16</v>
      </c>
    </row>
    <row r="1029" spans="1:8" ht="33" x14ac:dyDescent="0.2">
      <c r="A1029" s="108">
        <v>9</v>
      </c>
      <c r="B1029" s="108" t="s">
        <v>1518</v>
      </c>
      <c r="C1029" s="110" t="s">
        <v>14</v>
      </c>
      <c r="D1029" s="109">
        <v>1</v>
      </c>
      <c r="E1029" s="109">
        <v>336.4</v>
      </c>
      <c r="F1029" s="109">
        <v>336.4</v>
      </c>
      <c r="G1029" s="108" t="s">
        <v>1517</v>
      </c>
      <c r="H1029" s="111" t="s">
        <v>16</v>
      </c>
    </row>
    <row r="1030" spans="1:8" ht="33" x14ac:dyDescent="0.2">
      <c r="A1030" s="108"/>
      <c r="B1030" s="108" t="s">
        <v>1516</v>
      </c>
      <c r="C1030" s="110" t="s">
        <v>50</v>
      </c>
      <c r="D1030" s="109">
        <v>10</v>
      </c>
      <c r="E1030" s="109"/>
      <c r="F1030" s="109">
        <v>11549.76</v>
      </c>
      <c r="G1030" s="108"/>
      <c r="H1030" s="111" t="s">
        <v>16</v>
      </c>
    </row>
    <row r="1031" spans="1:8" ht="33" x14ac:dyDescent="0.2">
      <c r="A1031" s="108"/>
      <c r="B1031" s="108" t="s">
        <v>1515</v>
      </c>
      <c r="C1031" s="110" t="s">
        <v>50</v>
      </c>
      <c r="D1031" s="109"/>
      <c r="E1031" s="109"/>
      <c r="F1031" s="109">
        <v>1154.98</v>
      </c>
      <c r="G1031" s="108"/>
      <c r="H1031" s="111" t="s">
        <v>16</v>
      </c>
    </row>
    <row r="1032" spans="1:8" ht="16.5" x14ac:dyDescent="0.2">
      <c r="A1032" s="108"/>
      <c r="B1032" s="108"/>
      <c r="C1032" s="110"/>
      <c r="D1032" s="109"/>
      <c r="E1032" s="109"/>
      <c r="F1032" s="109"/>
      <c r="G1032" s="108"/>
    </row>
    <row r="1033" spans="1:8" ht="99.75" x14ac:dyDescent="0.2">
      <c r="A1033" s="108" t="s">
        <v>2612</v>
      </c>
      <c r="B1033" s="108" t="s">
        <v>405</v>
      </c>
      <c r="C1033" s="110" t="s">
        <v>50</v>
      </c>
      <c r="D1033" s="109">
        <v>100</v>
      </c>
      <c r="E1033" s="109">
        <v>982.98</v>
      </c>
      <c r="F1033" s="109"/>
      <c r="G1033" s="108" t="s">
        <v>2611</v>
      </c>
      <c r="H1033" s="111" t="s">
        <v>16</v>
      </c>
    </row>
    <row r="1034" spans="1:8" ht="71.25" x14ac:dyDescent="0.2">
      <c r="A1034" s="108">
        <v>1</v>
      </c>
      <c r="B1034" s="108" t="s">
        <v>2366</v>
      </c>
      <c r="C1034" s="110" t="s">
        <v>23</v>
      </c>
      <c r="D1034" s="109">
        <v>0.3</v>
      </c>
      <c r="E1034" s="109">
        <v>21600</v>
      </c>
      <c r="F1034" s="109">
        <v>6480</v>
      </c>
      <c r="G1034" s="108" t="s">
        <v>2365</v>
      </c>
      <c r="H1034" s="111" t="s">
        <v>16</v>
      </c>
    </row>
    <row r="1035" spans="1:8" ht="42.75" x14ac:dyDescent="0.2">
      <c r="A1035" s="108">
        <v>2</v>
      </c>
      <c r="B1035" s="108" t="s">
        <v>2364</v>
      </c>
      <c r="C1035" s="110" t="s">
        <v>23</v>
      </c>
      <c r="D1035" s="109">
        <v>0.21</v>
      </c>
      <c r="E1035" s="109">
        <v>23000</v>
      </c>
      <c r="F1035" s="109">
        <v>4830</v>
      </c>
      <c r="G1035" s="108" t="s">
        <v>2363</v>
      </c>
      <c r="H1035" s="111" t="s">
        <v>16</v>
      </c>
    </row>
    <row r="1036" spans="1:8" ht="33" x14ac:dyDescent="0.2">
      <c r="A1036" s="108">
        <v>3</v>
      </c>
      <c r="B1036" s="108" t="s">
        <v>2362</v>
      </c>
      <c r="C1036" s="110" t="s">
        <v>50</v>
      </c>
      <c r="D1036" s="109">
        <v>33.299999999999997</v>
      </c>
      <c r="E1036" s="109">
        <v>80</v>
      </c>
      <c r="F1036" s="109">
        <v>2664</v>
      </c>
      <c r="G1036" s="108" t="s">
        <v>2361</v>
      </c>
      <c r="H1036" s="111" t="s">
        <v>16</v>
      </c>
    </row>
    <row r="1037" spans="1:8" ht="33" x14ac:dyDescent="0.2">
      <c r="A1037" s="108">
        <v>4</v>
      </c>
      <c r="B1037" s="108" t="s">
        <v>2606</v>
      </c>
      <c r="C1037" s="110" t="s">
        <v>14</v>
      </c>
      <c r="D1037" s="109">
        <v>1</v>
      </c>
      <c r="E1037" s="109">
        <v>2320</v>
      </c>
      <c r="F1037" s="109">
        <v>2320</v>
      </c>
      <c r="G1037" s="108" t="s">
        <v>2605</v>
      </c>
      <c r="H1037" s="111" t="s">
        <v>16</v>
      </c>
    </row>
    <row r="1038" spans="1:8" ht="33" x14ac:dyDescent="0.2">
      <c r="A1038" s="108">
        <v>5</v>
      </c>
      <c r="B1038" s="108" t="s">
        <v>2358</v>
      </c>
      <c r="C1038" s="110" t="s">
        <v>97</v>
      </c>
      <c r="D1038" s="109">
        <v>88</v>
      </c>
      <c r="E1038" s="109">
        <v>609.1</v>
      </c>
      <c r="F1038" s="109">
        <v>53600.800000000003</v>
      </c>
      <c r="G1038" s="108" t="s">
        <v>2357</v>
      </c>
      <c r="H1038" s="111" t="s">
        <v>16</v>
      </c>
    </row>
    <row r="1039" spans="1:8" ht="33" x14ac:dyDescent="0.2">
      <c r="A1039" s="108">
        <v>6</v>
      </c>
      <c r="B1039" s="108" t="s">
        <v>1527</v>
      </c>
      <c r="C1039" s="110" t="s">
        <v>97</v>
      </c>
      <c r="D1039" s="109">
        <v>88</v>
      </c>
      <c r="E1039" s="109">
        <v>280</v>
      </c>
      <c r="F1039" s="109">
        <v>24640</v>
      </c>
      <c r="G1039" s="108" t="s">
        <v>1535</v>
      </c>
      <c r="H1039" s="111" t="s">
        <v>16</v>
      </c>
    </row>
    <row r="1040" spans="1:8" ht="33" x14ac:dyDescent="0.2">
      <c r="A1040" s="108">
        <v>7</v>
      </c>
      <c r="B1040" s="108" t="s">
        <v>2356</v>
      </c>
      <c r="C1040" s="110" t="s">
        <v>110</v>
      </c>
      <c r="D1040" s="109">
        <v>12</v>
      </c>
      <c r="E1040" s="109">
        <v>36</v>
      </c>
      <c r="F1040" s="109">
        <v>432</v>
      </c>
      <c r="G1040" s="108" t="s">
        <v>2355</v>
      </c>
      <c r="H1040" s="111" t="s">
        <v>16</v>
      </c>
    </row>
    <row r="1041" spans="1:8" ht="33" x14ac:dyDescent="0.2">
      <c r="A1041" s="108">
        <v>8</v>
      </c>
      <c r="B1041" s="108" t="s">
        <v>2354</v>
      </c>
      <c r="C1041" s="110" t="s">
        <v>110</v>
      </c>
      <c r="D1041" s="109">
        <v>13</v>
      </c>
      <c r="E1041" s="109">
        <v>36</v>
      </c>
      <c r="F1041" s="109">
        <v>468</v>
      </c>
      <c r="G1041" s="108" t="s">
        <v>2353</v>
      </c>
      <c r="H1041" s="111" t="s">
        <v>16</v>
      </c>
    </row>
    <row r="1042" spans="1:8" ht="33" x14ac:dyDescent="0.2">
      <c r="A1042" s="108">
        <v>9</v>
      </c>
      <c r="B1042" s="108" t="s">
        <v>1518</v>
      </c>
      <c r="C1042" s="110" t="s">
        <v>14</v>
      </c>
      <c r="D1042" s="109">
        <v>1</v>
      </c>
      <c r="E1042" s="109">
        <v>2863.04</v>
      </c>
      <c r="F1042" s="109">
        <v>2863.04</v>
      </c>
      <c r="G1042" s="108" t="s">
        <v>1517</v>
      </c>
      <c r="H1042" s="111" t="s">
        <v>16</v>
      </c>
    </row>
    <row r="1043" spans="1:8" ht="33" x14ac:dyDescent="0.2">
      <c r="A1043" s="108"/>
      <c r="B1043" s="108" t="s">
        <v>1516</v>
      </c>
      <c r="C1043" s="110" t="s">
        <v>50</v>
      </c>
      <c r="D1043" s="109">
        <v>100</v>
      </c>
      <c r="E1043" s="109"/>
      <c r="F1043" s="109">
        <v>98297.84</v>
      </c>
      <c r="G1043" s="108"/>
      <c r="H1043" s="111" t="s">
        <v>16</v>
      </c>
    </row>
    <row r="1044" spans="1:8" ht="33" x14ac:dyDescent="0.2">
      <c r="A1044" s="108"/>
      <c r="B1044" s="108" t="s">
        <v>1515</v>
      </c>
      <c r="C1044" s="110" t="s">
        <v>50</v>
      </c>
      <c r="D1044" s="109"/>
      <c r="E1044" s="109"/>
      <c r="F1044" s="109">
        <v>982.98</v>
      </c>
      <c r="G1044" s="108"/>
      <c r="H1044" s="111" t="s">
        <v>16</v>
      </c>
    </row>
    <row r="1045" spans="1:8" ht="16.5" x14ac:dyDescent="0.2">
      <c r="A1045" s="108"/>
      <c r="B1045" s="108"/>
      <c r="C1045" s="110"/>
      <c r="D1045" s="109"/>
      <c r="E1045" s="109"/>
      <c r="F1045" s="109"/>
      <c r="G1045" s="108"/>
    </row>
    <row r="1046" spans="1:8" ht="71.25" x14ac:dyDescent="0.2">
      <c r="A1046" s="108" t="s">
        <v>2610</v>
      </c>
      <c r="B1046" s="108" t="s">
        <v>408</v>
      </c>
      <c r="C1046" s="110" t="s">
        <v>50</v>
      </c>
      <c r="D1046" s="109">
        <v>10</v>
      </c>
      <c r="E1046" s="109">
        <v>804.79</v>
      </c>
      <c r="F1046" s="109"/>
      <c r="G1046" s="108" t="s">
        <v>2609</v>
      </c>
      <c r="H1046" s="111" t="s">
        <v>16</v>
      </c>
    </row>
    <row r="1047" spans="1:8" ht="71.25" x14ac:dyDescent="0.2">
      <c r="A1047" s="108">
        <v>1</v>
      </c>
      <c r="B1047" s="108" t="s">
        <v>2366</v>
      </c>
      <c r="C1047" s="110" t="s">
        <v>23</v>
      </c>
      <c r="D1047" s="109">
        <v>0.03</v>
      </c>
      <c r="E1047" s="109">
        <v>21600</v>
      </c>
      <c r="F1047" s="109">
        <v>648</v>
      </c>
      <c r="G1047" s="108" t="s">
        <v>2608</v>
      </c>
      <c r="H1047" s="111" t="s">
        <v>16</v>
      </c>
    </row>
    <row r="1048" spans="1:8" ht="42.75" x14ac:dyDescent="0.2">
      <c r="A1048" s="108">
        <v>2</v>
      </c>
      <c r="B1048" s="108" t="s">
        <v>2364</v>
      </c>
      <c r="C1048" s="110" t="s">
        <v>23</v>
      </c>
      <c r="D1048" s="109">
        <v>0.02</v>
      </c>
      <c r="E1048" s="109">
        <v>23000</v>
      </c>
      <c r="F1048" s="109">
        <v>460</v>
      </c>
      <c r="G1048" s="108" t="s">
        <v>2607</v>
      </c>
      <c r="H1048" s="111" t="s">
        <v>16</v>
      </c>
    </row>
    <row r="1049" spans="1:8" ht="33" x14ac:dyDescent="0.2">
      <c r="A1049" s="108">
        <v>3</v>
      </c>
      <c r="B1049" s="108" t="s">
        <v>2606</v>
      </c>
      <c r="C1049" s="110" t="s">
        <v>14</v>
      </c>
      <c r="D1049" s="109">
        <v>1</v>
      </c>
      <c r="E1049" s="109">
        <v>232</v>
      </c>
      <c r="F1049" s="109">
        <v>232</v>
      </c>
      <c r="G1049" s="108" t="s">
        <v>2605</v>
      </c>
      <c r="H1049" s="111" t="s">
        <v>16</v>
      </c>
    </row>
    <row r="1050" spans="1:8" ht="33" x14ac:dyDescent="0.2">
      <c r="A1050" s="108">
        <v>4</v>
      </c>
      <c r="B1050" s="108" t="s">
        <v>2358</v>
      </c>
      <c r="C1050" s="110" t="s">
        <v>97</v>
      </c>
      <c r="D1050" s="109">
        <v>7.2</v>
      </c>
      <c r="E1050" s="109">
        <v>609.1</v>
      </c>
      <c r="F1050" s="109">
        <v>4385.5200000000004</v>
      </c>
      <c r="G1050" s="108" t="s">
        <v>2357</v>
      </c>
      <c r="H1050" s="111" t="s">
        <v>16</v>
      </c>
    </row>
    <row r="1051" spans="1:8" ht="33" x14ac:dyDescent="0.2">
      <c r="A1051" s="108">
        <v>5</v>
      </c>
      <c r="B1051" s="108" t="s">
        <v>1527</v>
      </c>
      <c r="C1051" s="110" t="s">
        <v>97</v>
      </c>
      <c r="D1051" s="109">
        <v>7.2</v>
      </c>
      <c r="E1051" s="109">
        <v>280</v>
      </c>
      <c r="F1051" s="109">
        <v>2016</v>
      </c>
      <c r="G1051" s="108" t="s">
        <v>1535</v>
      </c>
      <c r="H1051" s="111" t="s">
        <v>16</v>
      </c>
    </row>
    <row r="1052" spans="1:8" ht="33" x14ac:dyDescent="0.2">
      <c r="A1052" s="108">
        <v>6</v>
      </c>
      <c r="B1052" s="108" t="s">
        <v>2356</v>
      </c>
      <c r="C1052" s="110" t="s">
        <v>110</v>
      </c>
      <c r="D1052" s="109">
        <v>1</v>
      </c>
      <c r="E1052" s="109">
        <v>36</v>
      </c>
      <c r="F1052" s="109">
        <v>36</v>
      </c>
      <c r="G1052" s="108" t="s">
        <v>2355</v>
      </c>
      <c r="H1052" s="111" t="s">
        <v>16</v>
      </c>
    </row>
    <row r="1053" spans="1:8" ht="33" x14ac:dyDescent="0.2">
      <c r="A1053" s="108">
        <v>7</v>
      </c>
      <c r="B1053" s="108" t="s">
        <v>2354</v>
      </c>
      <c r="C1053" s="110" t="s">
        <v>110</v>
      </c>
      <c r="D1053" s="109">
        <v>1</v>
      </c>
      <c r="E1053" s="109">
        <v>36</v>
      </c>
      <c r="F1053" s="109">
        <v>36</v>
      </c>
      <c r="G1053" s="108" t="s">
        <v>2353</v>
      </c>
      <c r="H1053" s="111" t="s">
        <v>16</v>
      </c>
    </row>
    <row r="1054" spans="1:8" ht="33" x14ac:dyDescent="0.2">
      <c r="A1054" s="108">
        <v>8</v>
      </c>
      <c r="B1054" s="108" t="s">
        <v>1518</v>
      </c>
      <c r="C1054" s="110" t="s">
        <v>14</v>
      </c>
      <c r="D1054" s="109">
        <v>1</v>
      </c>
      <c r="E1054" s="109">
        <v>234.41</v>
      </c>
      <c r="F1054" s="109">
        <v>234.41</v>
      </c>
      <c r="G1054" s="108" t="s">
        <v>1517</v>
      </c>
      <c r="H1054" s="111" t="s">
        <v>16</v>
      </c>
    </row>
    <row r="1055" spans="1:8" ht="33" x14ac:dyDescent="0.2">
      <c r="A1055" s="108"/>
      <c r="B1055" s="108" t="s">
        <v>1516</v>
      </c>
      <c r="C1055" s="110" t="s">
        <v>50</v>
      </c>
      <c r="D1055" s="109">
        <v>10</v>
      </c>
      <c r="E1055" s="109"/>
      <c r="F1055" s="109">
        <v>8047.93</v>
      </c>
      <c r="G1055" s="108"/>
      <c r="H1055" s="111" t="s">
        <v>16</v>
      </c>
    </row>
    <row r="1056" spans="1:8" ht="33" x14ac:dyDescent="0.2">
      <c r="A1056" s="108"/>
      <c r="B1056" s="108" t="s">
        <v>1515</v>
      </c>
      <c r="C1056" s="110" t="s">
        <v>50</v>
      </c>
      <c r="D1056" s="109"/>
      <c r="E1056" s="109"/>
      <c r="F1056" s="109">
        <v>804.79</v>
      </c>
      <c r="G1056" s="108"/>
      <c r="H1056" s="111" t="s">
        <v>16</v>
      </c>
    </row>
    <row r="1057" spans="1:8" ht="16.5" x14ac:dyDescent="0.2">
      <c r="A1057" s="108"/>
      <c r="B1057" s="108"/>
      <c r="C1057" s="110"/>
      <c r="D1057" s="109"/>
      <c r="E1057" s="109"/>
      <c r="F1057" s="109"/>
      <c r="G1057" s="108"/>
    </row>
    <row r="1058" spans="1:8" ht="33" x14ac:dyDescent="0.2">
      <c r="A1058" s="108" t="s">
        <v>2604</v>
      </c>
      <c r="B1058" s="108" t="s">
        <v>417</v>
      </c>
      <c r="C1058" s="110" t="s">
        <v>110</v>
      </c>
      <c r="D1058" s="109">
        <v>1</v>
      </c>
      <c r="E1058" s="109">
        <v>278.10000000000002</v>
      </c>
      <c r="F1058" s="109"/>
      <c r="G1058" s="108" t="s">
        <v>2603</v>
      </c>
      <c r="H1058" s="111" t="s">
        <v>16</v>
      </c>
    </row>
    <row r="1059" spans="1:8" ht="33" x14ac:dyDescent="0.2">
      <c r="A1059" s="108">
        <v>1</v>
      </c>
      <c r="B1059" s="108" t="s">
        <v>2602</v>
      </c>
      <c r="C1059" s="110" t="s">
        <v>110</v>
      </c>
      <c r="D1059" s="109">
        <v>1</v>
      </c>
      <c r="E1059" s="109">
        <v>120</v>
      </c>
      <c r="F1059" s="109">
        <v>120</v>
      </c>
      <c r="G1059" s="108" t="s">
        <v>2601</v>
      </c>
      <c r="H1059" s="111" t="s">
        <v>16</v>
      </c>
    </row>
    <row r="1060" spans="1:8" ht="33" x14ac:dyDescent="0.2">
      <c r="A1060" s="108">
        <v>2</v>
      </c>
      <c r="B1060" s="108" t="s">
        <v>2600</v>
      </c>
      <c r="C1060" s="110" t="s">
        <v>14</v>
      </c>
      <c r="D1060" s="109">
        <v>1</v>
      </c>
      <c r="E1060" s="109">
        <v>150</v>
      </c>
      <c r="F1060" s="109">
        <v>150</v>
      </c>
      <c r="G1060" s="108" t="s">
        <v>2599</v>
      </c>
      <c r="H1060" s="111" t="s">
        <v>16</v>
      </c>
    </row>
    <row r="1061" spans="1:8" ht="33" x14ac:dyDescent="0.2">
      <c r="A1061" s="108">
        <v>3</v>
      </c>
      <c r="B1061" s="108" t="s">
        <v>1518</v>
      </c>
      <c r="C1061" s="110" t="s">
        <v>14</v>
      </c>
      <c r="D1061" s="109">
        <v>1</v>
      </c>
      <c r="E1061" s="109">
        <v>8.1</v>
      </c>
      <c r="F1061" s="109">
        <v>8.1</v>
      </c>
      <c r="G1061" s="108" t="s">
        <v>1517</v>
      </c>
      <c r="H1061" s="111" t="s">
        <v>16</v>
      </c>
    </row>
    <row r="1062" spans="1:8" ht="33" x14ac:dyDescent="0.2">
      <c r="A1062" s="108"/>
      <c r="B1062" s="108" t="s">
        <v>1516</v>
      </c>
      <c r="C1062" s="110" t="s">
        <v>110</v>
      </c>
      <c r="D1062" s="109">
        <v>1</v>
      </c>
      <c r="E1062" s="109"/>
      <c r="F1062" s="109">
        <v>278.10000000000002</v>
      </c>
      <c r="G1062" s="108"/>
      <c r="H1062" s="111" t="s">
        <v>16</v>
      </c>
    </row>
    <row r="1063" spans="1:8" ht="33" x14ac:dyDescent="0.2">
      <c r="A1063" s="108"/>
      <c r="B1063" s="108" t="s">
        <v>1515</v>
      </c>
      <c r="C1063" s="110" t="s">
        <v>110</v>
      </c>
      <c r="D1063" s="109"/>
      <c r="E1063" s="109"/>
      <c r="F1063" s="109">
        <v>278.10000000000002</v>
      </c>
      <c r="G1063" s="108"/>
      <c r="H1063" s="111" t="s">
        <v>16</v>
      </c>
    </row>
    <row r="1064" spans="1:8" ht="16.5" x14ac:dyDescent="0.2">
      <c r="A1064" s="108"/>
      <c r="B1064" s="108"/>
      <c r="C1064" s="110"/>
      <c r="D1064" s="109"/>
      <c r="E1064" s="109"/>
      <c r="F1064" s="109"/>
      <c r="G1064" s="108"/>
    </row>
    <row r="1065" spans="1:8" ht="42.75" x14ac:dyDescent="0.2">
      <c r="A1065" s="108" t="s">
        <v>2598</v>
      </c>
      <c r="B1065" s="108" t="s">
        <v>424</v>
      </c>
      <c r="C1065" s="110" t="s">
        <v>50</v>
      </c>
      <c r="D1065" s="109">
        <v>1</v>
      </c>
      <c r="E1065" s="109">
        <v>692.16</v>
      </c>
      <c r="F1065" s="109"/>
      <c r="G1065" s="108" t="s">
        <v>2597</v>
      </c>
      <c r="H1065" s="111" t="s">
        <v>16</v>
      </c>
    </row>
    <row r="1066" spans="1:8" ht="33" x14ac:dyDescent="0.2">
      <c r="A1066" s="108">
        <v>1</v>
      </c>
      <c r="B1066" s="108" t="s">
        <v>2596</v>
      </c>
      <c r="C1066" s="110" t="s">
        <v>50</v>
      </c>
      <c r="D1066" s="109">
        <v>1</v>
      </c>
      <c r="E1066" s="109">
        <v>422</v>
      </c>
      <c r="F1066" s="109">
        <v>422</v>
      </c>
      <c r="G1066" s="108" t="s">
        <v>2595</v>
      </c>
      <c r="H1066" s="111" t="s">
        <v>16</v>
      </c>
    </row>
    <row r="1067" spans="1:8" ht="33" x14ac:dyDescent="0.2">
      <c r="A1067" s="108">
        <v>2</v>
      </c>
      <c r="B1067" s="108" t="s">
        <v>2594</v>
      </c>
      <c r="C1067" s="110" t="s">
        <v>50</v>
      </c>
      <c r="D1067" s="109">
        <v>1</v>
      </c>
      <c r="E1067" s="109">
        <v>100</v>
      </c>
      <c r="F1067" s="109">
        <v>100</v>
      </c>
      <c r="G1067" s="108" t="s">
        <v>2593</v>
      </c>
      <c r="H1067" s="111" t="s">
        <v>16</v>
      </c>
    </row>
    <row r="1068" spans="1:8" ht="33" x14ac:dyDescent="0.2">
      <c r="A1068" s="108">
        <v>3</v>
      </c>
      <c r="B1068" s="108" t="s">
        <v>2592</v>
      </c>
      <c r="C1068" s="110" t="s">
        <v>14</v>
      </c>
      <c r="D1068" s="109">
        <v>1</v>
      </c>
      <c r="E1068" s="109">
        <v>150</v>
      </c>
      <c r="F1068" s="109">
        <v>150</v>
      </c>
      <c r="G1068" s="108" t="s">
        <v>2591</v>
      </c>
      <c r="H1068" s="111" t="s">
        <v>16</v>
      </c>
    </row>
    <row r="1069" spans="1:8" ht="33" x14ac:dyDescent="0.2">
      <c r="A1069" s="108">
        <v>4</v>
      </c>
      <c r="B1069" s="108" t="s">
        <v>1543</v>
      </c>
      <c r="C1069" s="110" t="s">
        <v>14</v>
      </c>
      <c r="D1069" s="109">
        <v>1</v>
      </c>
      <c r="E1069" s="109">
        <v>20.16</v>
      </c>
      <c r="F1069" s="109">
        <v>20.16</v>
      </c>
      <c r="G1069" s="108" t="s">
        <v>1542</v>
      </c>
      <c r="H1069" s="111" t="s">
        <v>16</v>
      </c>
    </row>
    <row r="1070" spans="1:8" ht="33" x14ac:dyDescent="0.2">
      <c r="A1070" s="108"/>
      <c r="B1070" s="108" t="s">
        <v>1516</v>
      </c>
      <c r="C1070" s="110" t="s">
        <v>50</v>
      </c>
      <c r="D1070" s="109">
        <v>1</v>
      </c>
      <c r="E1070" s="109"/>
      <c r="F1070" s="109">
        <v>692.16</v>
      </c>
      <c r="G1070" s="108"/>
      <c r="H1070" s="111" t="s">
        <v>16</v>
      </c>
    </row>
    <row r="1071" spans="1:8" ht="33" x14ac:dyDescent="0.2">
      <c r="A1071" s="108"/>
      <c r="B1071" s="108" t="s">
        <v>1515</v>
      </c>
      <c r="C1071" s="110" t="s">
        <v>50</v>
      </c>
      <c r="D1071" s="109"/>
      <c r="E1071" s="109"/>
      <c r="F1071" s="109">
        <v>692.16</v>
      </c>
      <c r="G1071" s="108"/>
      <c r="H1071" s="111" t="s">
        <v>16</v>
      </c>
    </row>
    <row r="1072" spans="1:8" ht="16.5" x14ac:dyDescent="0.2">
      <c r="A1072" s="108"/>
      <c r="B1072" s="108"/>
      <c r="C1072" s="110"/>
      <c r="D1072" s="109"/>
      <c r="E1072" s="109"/>
      <c r="F1072" s="109"/>
      <c r="G1072" s="108"/>
    </row>
    <row r="1073" spans="1:15" ht="42.75" x14ac:dyDescent="0.2">
      <c r="A1073" s="108" t="s">
        <v>2590</v>
      </c>
      <c r="B1073" s="108" t="s">
        <v>3149</v>
      </c>
      <c r="C1073" s="110" t="s">
        <v>34</v>
      </c>
      <c r="D1073" s="109">
        <v>100</v>
      </c>
      <c r="E1073" s="109">
        <v>721.06</v>
      </c>
      <c r="F1073" s="109"/>
      <c r="G1073" s="108" t="s">
        <v>2589</v>
      </c>
      <c r="H1073" s="111" t="s">
        <v>16</v>
      </c>
      <c r="J1073" s="108" t="s">
        <v>3151</v>
      </c>
      <c r="K1073" s="110" t="s">
        <v>23</v>
      </c>
      <c r="L1073" s="109">
        <v>100</v>
      </c>
      <c r="M1073" s="109">
        <f>N1078</f>
        <v>858.41487500000005</v>
      </c>
      <c r="N1073" s="109"/>
      <c r="O1073" s="108" t="s">
        <v>3045</v>
      </c>
    </row>
    <row r="1074" spans="1:15" ht="42.75" x14ac:dyDescent="0.2">
      <c r="A1074" s="108">
        <v>1</v>
      </c>
      <c r="B1074" s="108" t="s">
        <v>2308</v>
      </c>
      <c r="C1074" s="110" t="s">
        <v>97</v>
      </c>
      <c r="D1074" s="109">
        <v>31.75</v>
      </c>
      <c r="E1074" s="109">
        <v>1200</v>
      </c>
      <c r="F1074" s="109">
        <v>38100</v>
      </c>
      <c r="G1074" s="108" t="s">
        <v>2307</v>
      </c>
      <c r="H1074" s="111" t="s">
        <v>16</v>
      </c>
      <c r="J1074" s="108" t="s">
        <v>3150</v>
      </c>
      <c r="K1074" s="110" t="s">
        <v>97</v>
      </c>
      <c r="L1074" s="109">
        <v>31.75</v>
      </c>
      <c r="M1074" s="109">
        <v>1620</v>
      </c>
      <c r="N1074" s="109">
        <f>L1074*M1074</f>
        <v>51435</v>
      </c>
      <c r="O1074" s="108" t="s">
        <v>2285</v>
      </c>
    </row>
    <row r="1075" spans="1:15" ht="42.75" x14ac:dyDescent="0.2">
      <c r="A1075" s="108">
        <v>2</v>
      </c>
      <c r="B1075" s="108" t="s">
        <v>2284</v>
      </c>
      <c r="C1075" s="110" t="s">
        <v>97</v>
      </c>
      <c r="D1075" s="109">
        <v>31.75</v>
      </c>
      <c r="E1075" s="109">
        <v>375</v>
      </c>
      <c r="F1075" s="109">
        <v>11906.25</v>
      </c>
      <c r="G1075" s="108" t="s">
        <v>2283</v>
      </c>
      <c r="H1075" s="111" t="s">
        <v>16</v>
      </c>
      <c r="J1075" s="108" t="s">
        <v>2284</v>
      </c>
      <c r="K1075" s="110" t="s">
        <v>97</v>
      </c>
      <c r="L1075" s="109">
        <v>31.75</v>
      </c>
      <c r="M1075" s="109">
        <v>375</v>
      </c>
      <c r="N1075" s="109">
        <f t="shared" ref="N1075:N1076" si="0">L1075*M1075</f>
        <v>11906.25</v>
      </c>
      <c r="O1075" s="108" t="s">
        <v>2283</v>
      </c>
    </row>
    <row r="1076" spans="1:15" ht="42.75" x14ac:dyDescent="0.2">
      <c r="A1076" s="108">
        <v>3</v>
      </c>
      <c r="B1076" s="108" t="s">
        <v>2588</v>
      </c>
      <c r="C1076" s="110" t="s">
        <v>34</v>
      </c>
      <c r="D1076" s="109">
        <v>100</v>
      </c>
      <c r="E1076" s="109">
        <v>200</v>
      </c>
      <c r="F1076" s="109">
        <v>20000</v>
      </c>
      <c r="G1076" s="108" t="s">
        <v>2587</v>
      </c>
      <c r="H1076" s="111" t="s">
        <v>16</v>
      </c>
      <c r="J1076" s="108" t="s">
        <v>2588</v>
      </c>
      <c r="K1076" s="110" t="s">
        <v>34</v>
      </c>
      <c r="L1076" s="109">
        <v>100</v>
      </c>
      <c r="M1076" s="109">
        <v>200</v>
      </c>
      <c r="N1076" s="109">
        <f t="shared" si="0"/>
        <v>20000</v>
      </c>
      <c r="O1076" s="108" t="s">
        <v>3043</v>
      </c>
    </row>
    <row r="1077" spans="1:15" ht="42.75" x14ac:dyDescent="0.2">
      <c r="A1077" s="108">
        <v>4</v>
      </c>
      <c r="B1077" s="108" t="s">
        <v>1518</v>
      </c>
      <c r="C1077" s="110" t="s">
        <v>14</v>
      </c>
      <c r="D1077" s="109">
        <v>1</v>
      </c>
      <c r="E1077" s="109">
        <v>2100.19</v>
      </c>
      <c r="F1077" s="109">
        <v>2100.19</v>
      </c>
      <c r="G1077" s="108" t="s">
        <v>1517</v>
      </c>
      <c r="H1077" s="111" t="s">
        <v>16</v>
      </c>
      <c r="J1077" s="108" t="s">
        <v>1518</v>
      </c>
      <c r="K1077" s="110" t="s">
        <v>14</v>
      </c>
      <c r="L1077" s="109">
        <v>1</v>
      </c>
      <c r="M1077" s="109">
        <f>(N1074+N1075+N1076)*0.03</f>
        <v>2500.2374999999997</v>
      </c>
      <c r="N1077" s="109">
        <f>M1077</f>
        <v>2500.2374999999997</v>
      </c>
      <c r="O1077" s="108" t="s">
        <v>1517</v>
      </c>
    </row>
    <row r="1078" spans="1:15" ht="33" x14ac:dyDescent="0.2">
      <c r="A1078" s="108"/>
      <c r="B1078" s="108" t="s">
        <v>1516</v>
      </c>
      <c r="C1078" s="110" t="s">
        <v>34</v>
      </c>
      <c r="D1078" s="109">
        <v>100</v>
      </c>
      <c r="E1078" s="109"/>
      <c r="F1078" s="109">
        <v>72106.44</v>
      </c>
      <c r="G1078" s="108"/>
      <c r="H1078" s="111" t="s">
        <v>16</v>
      </c>
      <c r="N1078" s="105">
        <f>(N1074+N1075+N1076+N1077)/100</f>
        <v>858.41487500000005</v>
      </c>
    </row>
    <row r="1079" spans="1:15" ht="33" x14ac:dyDescent="0.2">
      <c r="A1079" s="108"/>
      <c r="B1079" s="108" t="s">
        <v>1515</v>
      </c>
      <c r="C1079" s="110" t="s">
        <v>34</v>
      </c>
      <c r="D1079" s="109"/>
      <c r="E1079" s="109"/>
      <c r="F1079" s="109">
        <v>721.06</v>
      </c>
      <c r="G1079" s="108"/>
      <c r="H1079" s="111" t="s">
        <v>16</v>
      </c>
    </row>
    <row r="1080" spans="1:15" ht="16.5" x14ac:dyDescent="0.2">
      <c r="A1080" s="108"/>
      <c r="B1080" s="108"/>
      <c r="C1080" s="110"/>
      <c r="D1080" s="109"/>
      <c r="E1080" s="109"/>
      <c r="F1080" s="109"/>
      <c r="G1080" s="108"/>
    </row>
    <row r="1081" spans="1:15" ht="42.75" x14ac:dyDescent="0.2">
      <c r="A1081" s="108" t="s">
        <v>2586</v>
      </c>
      <c r="B1081" s="108" t="s">
        <v>434</v>
      </c>
      <c r="C1081" s="110" t="s">
        <v>30</v>
      </c>
      <c r="D1081" s="109">
        <v>30</v>
      </c>
      <c r="E1081" s="109">
        <v>19012.060000000001</v>
      </c>
      <c r="F1081" s="109"/>
      <c r="G1081" s="108" t="s">
        <v>2585</v>
      </c>
      <c r="H1081" s="111" t="s">
        <v>16</v>
      </c>
    </row>
    <row r="1082" spans="1:15" ht="33" x14ac:dyDescent="0.2">
      <c r="A1082" s="108">
        <v>1</v>
      </c>
      <c r="B1082" s="108" t="s">
        <v>2584</v>
      </c>
      <c r="C1082" s="110" t="s">
        <v>23</v>
      </c>
      <c r="D1082" s="109">
        <v>35.630000000000003</v>
      </c>
      <c r="E1082" s="109">
        <v>3322</v>
      </c>
      <c r="F1082" s="109">
        <v>118362.86</v>
      </c>
      <c r="G1082" s="108" t="s">
        <v>2583</v>
      </c>
      <c r="H1082" s="111" t="s">
        <v>16</v>
      </c>
    </row>
    <row r="1083" spans="1:15" ht="57" x14ac:dyDescent="0.2">
      <c r="A1083" s="108">
        <v>2</v>
      </c>
      <c r="B1083" s="108" t="s">
        <v>399</v>
      </c>
      <c r="C1083" s="110" t="s">
        <v>110</v>
      </c>
      <c r="D1083" s="109">
        <v>4200</v>
      </c>
      <c r="E1083" s="109">
        <v>38.71</v>
      </c>
      <c r="F1083" s="109">
        <v>162582</v>
      </c>
      <c r="G1083" s="108" t="s">
        <v>2582</v>
      </c>
      <c r="H1083" s="111" t="s">
        <v>16</v>
      </c>
    </row>
    <row r="1084" spans="1:15" ht="33" x14ac:dyDescent="0.2">
      <c r="A1084" s="108">
        <v>3</v>
      </c>
      <c r="B1084" s="108" t="s">
        <v>2581</v>
      </c>
      <c r="C1084" s="110" t="s">
        <v>110</v>
      </c>
      <c r="D1084" s="109">
        <v>4200</v>
      </c>
      <c r="E1084" s="109">
        <v>4.55</v>
      </c>
      <c r="F1084" s="109">
        <v>19110</v>
      </c>
      <c r="G1084" s="108" t="s">
        <v>2580</v>
      </c>
      <c r="H1084" s="111" t="s">
        <v>16</v>
      </c>
    </row>
    <row r="1085" spans="1:15" ht="33" x14ac:dyDescent="0.2">
      <c r="A1085" s="108">
        <v>4</v>
      </c>
      <c r="B1085" s="108" t="s">
        <v>2579</v>
      </c>
      <c r="C1085" s="110" t="s">
        <v>30</v>
      </c>
      <c r="D1085" s="109">
        <v>30</v>
      </c>
      <c r="E1085" s="109">
        <v>2500</v>
      </c>
      <c r="F1085" s="109">
        <v>75000</v>
      </c>
      <c r="G1085" s="108" t="s">
        <v>2578</v>
      </c>
      <c r="H1085" s="111" t="s">
        <v>16</v>
      </c>
    </row>
    <row r="1086" spans="1:15" ht="33" x14ac:dyDescent="0.2">
      <c r="A1086" s="108">
        <v>5</v>
      </c>
      <c r="B1086" s="108" t="s">
        <v>2577</v>
      </c>
      <c r="C1086" s="110" t="s">
        <v>97</v>
      </c>
      <c r="D1086" s="109">
        <v>16</v>
      </c>
      <c r="E1086" s="109">
        <v>4000</v>
      </c>
      <c r="F1086" s="109">
        <v>64000</v>
      </c>
      <c r="G1086" s="108" t="s">
        <v>2576</v>
      </c>
      <c r="H1086" s="111" t="s">
        <v>16</v>
      </c>
    </row>
    <row r="1087" spans="1:15" ht="33" x14ac:dyDescent="0.2">
      <c r="A1087" s="108">
        <v>6</v>
      </c>
      <c r="B1087" s="108" t="s">
        <v>2575</v>
      </c>
      <c r="C1087" s="110" t="s">
        <v>97</v>
      </c>
      <c r="D1087" s="109">
        <v>16</v>
      </c>
      <c r="E1087" s="109">
        <v>2000</v>
      </c>
      <c r="F1087" s="109">
        <v>32000</v>
      </c>
      <c r="G1087" s="108" t="s">
        <v>2574</v>
      </c>
      <c r="H1087" s="111" t="s">
        <v>16</v>
      </c>
    </row>
    <row r="1088" spans="1:15" ht="33" x14ac:dyDescent="0.2">
      <c r="A1088" s="108">
        <v>7</v>
      </c>
      <c r="B1088" s="108" t="s">
        <v>2446</v>
      </c>
      <c r="C1088" s="110" t="s">
        <v>97</v>
      </c>
      <c r="D1088" s="109">
        <v>16</v>
      </c>
      <c r="E1088" s="109">
        <v>437.5</v>
      </c>
      <c r="F1088" s="109">
        <v>7000</v>
      </c>
      <c r="G1088" s="108" t="s">
        <v>2445</v>
      </c>
      <c r="H1088" s="111" t="s">
        <v>16</v>
      </c>
    </row>
    <row r="1089" spans="1:8" ht="33" x14ac:dyDescent="0.2">
      <c r="A1089" s="108">
        <v>8</v>
      </c>
      <c r="B1089" s="108" t="s">
        <v>2573</v>
      </c>
      <c r="C1089" s="110" t="s">
        <v>97</v>
      </c>
      <c r="D1089" s="109">
        <v>16</v>
      </c>
      <c r="E1089" s="109">
        <v>375</v>
      </c>
      <c r="F1089" s="109">
        <v>6000</v>
      </c>
      <c r="G1089" s="108" t="s">
        <v>2572</v>
      </c>
      <c r="H1089" s="111" t="s">
        <v>16</v>
      </c>
    </row>
    <row r="1090" spans="1:8" ht="33" x14ac:dyDescent="0.2">
      <c r="A1090" s="108">
        <v>9</v>
      </c>
      <c r="B1090" s="108" t="s">
        <v>2571</v>
      </c>
      <c r="C1090" s="110" t="s">
        <v>97</v>
      </c>
      <c r="D1090" s="109">
        <v>16</v>
      </c>
      <c r="E1090" s="109">
        <v>375</v>
      </c>
      <c r="F1090" s="109">
        <v>6000</v>
      </c>
      <c r="G1090" s="108" t="s">
        <v>2570</v>
      </c>
      <c r="H1090" s="111" t="s">
        <v>16</v>
      </c>
    </row>
    <row r="1091" spans="1:8" ht="33" x14ac:dyDescent="0.2">
      <c r="A1091" s="108">
        <v>10</v>
      </c>
      <c r="B1091" s="108" t="s">
        <v>1527</v>
      </c>
      <c r="C1091" s="110" t="s">
        <v>97</v>
      </c>
      <c r="D1091" s="109">
        <v>24</v>
      </c>
      <c r="E1091" s="109">
        <v>280</v>
      </c>
      <c r="F1091" s="109">
        <v>6720</v>
      </c>
      <c r="G1091" s="108" t="s">
        <v>1535</v>
      </c>
      <c r="H1091" s="111" t="s">
        <v>16</v>
      </c>
    </row>
    <row r="1092" spans="1:8" ht="33" x14ac:dyDescent="0.2">
      <c r="A1092" s="108">
        <v>11</v>
      </c>
      <c r="B1092" s="108" t="s">
        <v>2569</v>
      </c>
      <c r="C1092" s="110" t="s">
        <v>1864</v>
      </c>
      <c r="D1092" s="109">
        <v>32</v>
      </c>
      <c r="E1092" s="109">
        <v>60</v>
      </c>
      <c r="F1092" s="109">
        <v>1920</v>
      </c>
      <c r="G1092" s="108" t="s">
        <v>2568</v>
      </c>
      <c r="H1092" s="111" t="s">
        <v>16</v>
      </c>
    </row>
    <row r="1093" spans="1:8" ht="33" x14ac:dyDescent="0.2">
      <c r="A1093" s="108">
        <v>12</v>
      </c>
      <c r="B1093" s="108" t="s">
        <v>2567</v>
      </c>
      <c r="C1093" s="110" t="s">
        <v>23</v>
      </c>
      <c r="D1093" s="109">
        <v>17.5</v>
      </c>
      <c r="E1093" s="109">
        <v>50</v>
      </c>
      <c r="F1093" s="109">
        <v>875</v>
      </c>
      <c r="G1093" s="108" t="s">
        <v>2566</v>
      </c>
      <c r="H1093" s="111" t="s">
        <v>16</v>
      </c>
    </row>
    <row r="1094" spans="1:8" ht="33" x14ac:dyDescent="0.2">
      <c r="A1094" s="108">
        <v>13</v>
      </c>
      <c r="B1094" s="108" t="s">
        <v>2565</v>
      </c>
      <c r="C1094" s="110" t="s">
        <v>23</v>
      </c>
      <c r="D1094" s="109">
        <v>1.75</v>
      </c>
      <c r="E1094" s="109">
        <v>750</v>
      </c>
      <c r="F1094" s="109">
        <v>1312.5</v>
      </c>
      <c r="G1094" s="108" t="s">
        <v>2564</v>
      </c>
      <c r="H1094" s="111" t="s">
        <v>16</v>
      </c>
    </row>
    <row r="1095" spans="1:8" ht="33" x14ac:dyDescent="0.2">
      <c r="A1095" s="108">
        <v>14</v>
      </c>
      <c r="B1095" s="108" t="s">
        <v>1709</v>
      </c>
      <c r="C1095" s="110" t="s">
        <v>23</v>
      </c>
      <c r="D1095" s="109">
        <v>35</v>
      </c>
      <c r="E1095" s="109">
        <v>1481.91</v>
      </c>
      <c r="F1095" s="109">
        <v>51866.85</v>
      </c>
      <c r="G1095" s="108" t="s">
        <v>2563</v>
      </c>
      <c r="H1095" s="111" t="s">
        <v>16</v>
      </c>
    </row>
    <row r="1096" spans="1:8" ht="33" x14ac:dyDescent="0.2">
      <c r="A1096" s="108">
        <v>15</v>
      </c>
      <c r="B1096" s="108" t="s">
        <v>2562</v>
      </c>
      <c r="C1096" s="110" t="s">
        <v>14</v>
      </c>
      <c r="D1096" s="109">
        <v>1</v>
      </c>
      <c r="E1096" s="109">
        <v>1000</v>
      </c>
      <c r="F1096" s="109">
        <v>1000</v>
      </c>
      <c r="G1096" s="108" t="s">
        <v>2561</v>
      </c>
      <c r="H1096" s="111" t="s">
        <v>16</v>
      </c>
    </row>
    <row r="1097" spans="1:8" ht="33" x14ac:dyDescent="0.2">
      <c r="A1097" s="108">
        <v>16</v>
      </c>
      <c r="B1097" s="108" t="s">
        <v>1518</v>
      </c>
      <c r="C1097" s="110" t="s">
        <v>14</v>
      </c>
      <c r="D1097" s="109">
        <v>1</v>
      </c>
      <c r="E1097" s="109">
        <v>16612.48</v>
      </c>
      <c r="F1097" s="109">
        <v>16612.48</v>
      </c>
      <c r="G1097" s="108" t="s">
        <v>1517</v>
      </c>
      <c r="H1097" s="111" t="s">
        <v>16</v>
      </c>
    </row>
    <row r="1098" spans="1:8" ht="33" x14ac:dyDescent="0.2">
      <c r="A1098" s="108"/>
      <c r="B1098" s="108" t="s">
        <v>1516</v>
      </c>
      <c r="C1098" s="110" t="s">
        <v>30</v>
      </c>
      <c r="D1098" s="109">
        <v>30</v>
      </c>
      <c r="E1098" s="109"/>
      <c r="F1098" s="109">
        <v>570361.68999999994</v>
      </c>
      <c r="G1098" s="108"/>
      <c r="H1098" s="111" t="s">
        <v>16</v>
      </c>
    </row>
    <row r="1099" spans="1:8" ht="33" x14ac:dyDescent="0.2">
      <c r="A1099" s="108"/>
      <c r="B1099" s="108" t="s">
        <v>1515</v>
      </c>
      <c r="C1099" s="110" t="s">
        <v>30</v>
      </c>
      <c r="D1099" s="109"/>
      <c r="E1099" s="109"/>
      <c r="F1099" s="109">
        <v>19012.060000000001</v>
      </c>
      <c r="G1099" s="108"/>
      <c r="H1099" s="111" t="s">
        <v>16</v>
      </c>
    </row>
    <row r="1100" spans="1:8" ht="16.5" x14ac:dyDescent="0.2">
      <c r="A1100" s="108"/>
      <c r="B1100" s="108"/>
      <c r="C1100" s="110"/>
      <c r="D1100" s="109"/>
      <c r="E1100" s="109"/>
      <c r="F1100" s="109"/>
      <c r="G1100" s="108"/>
    </row>
    <row r="1101" spans="1:8" ht="33" x14ac:dyDescent="0.2">
      <c r="A1101" s="108" t="s">
        <v>2560</v>
      </c>
      <c r="B1101" s="108" t="s">
        <v>437</v>
      </c>
      <c r="C1101" s="110" t="s">
        <v>50</v>
      </c>
      <c r="D1101" s="109">
        <v>1</v>
      </c>
      <c r="E1101" s="109">
        <v>373.1</v>
      </c>
      <c r="F1101" s="109"/>
      <c r="G1101" s="108" t="s">
        <v>2559</v>
      </c>
      <c r="H1101" s="111" t="s">
        <v>16</v>
      </c>
    </row>
    <row r="1102" spans="1:8" ht="33" x14ac:dyDescent="0.2">
      <c r="A1102" s="108">
        <v>1</v>
      </c>
      <c r="B1102" s="108" t="s">
        <v>1700</v>
      </c>
      <c r="C1102" s="110" t="s">
        <v>97</v>
      </c>
      <c r="D1102" s="109">
        <v>0.18</v>
      </c>
      <c r="E1102" s="109">
        <v>336.73</v>
      </c>
      <c r="F1102" s="109">
        <v>60.61</v>
      </c>
      <c r="G1102" s="108" t="s">
        <v>2558</v>
      </c>
      <c r="H1102" s="111" t="s">
        <v>16</v>
      </c>
    </row>
    <row r="1103" spans="1:8" ht="42.75" x14ac:dyDescent="0.2">
      <c r="A1103" s="108">
        <v>2</v>
      </c>
      <c r="B1103" s="108" t="s">
        <v>2510</v>
      </c>
      <c r="C1103" s="110" t="s">
        <v>50</v>
      </c>
      <c r="D1103" s="109">
        <v>1</v>
      </c>
      <c r="E1103" s="109">
        <v>85</v>
      </c>
      <c r="F1103" s="109">
        <v>85</v>
      </c>
      <c r="G1103" s="108" t="s">
        <v>2509</v>
      </c>
      <c r="H1103" s="111" t="s">
        <v>16</v>
      </c>
    </row>
    <row r="1104" spans="1:8" ht="57" x14ac:dyDescent="0.2">
      <c r="A1104" s="108">
        <v>3</v>
      </c>
      <c r="B1104" s="108" t="s">
        <v>1737</v>
      </c>
      <c r="C1104" s="110" t="s">
        <v>50</v>
      </c>
      <c r="D1104" s="109">
        <v>1</v>
      </c>
      <c r="E1104" s="109">
        <v>104.62</v>
      </c>
      <c r="F1104" s="109">
        <v>104.62</v>
      </c>
      <c r="G1104" s="108" t="s">
        <v>2555</v>
      </c>
      <c r="H1104" s="111" t="s">
        <v>16</v>
      </c>
    </row>
    <row r="1105" spans="1:8" ht="33" x14ac:dyDescent="0.2">
      <c r="A1105" s="108">
        <v>4</v>
      </c>
      <c r="B1105" s="108" t="s">
        <v>1527</v>
      </c>
      <c r="C1105" s="110" t="s">
        <v>97</v>
      </c>
      <c r="D1105" s="109">
        <v>0.4</v>
      </c>
      <c r="E1105" s="109">
        <v>280</v>
      </c>
      <c r="F1105" s="109">
        <v>112</v>
      </c>
      <c r="G1105" s="108" t="s">
        <v>1535</v>
      </c>
      <c r="H1105" s="111" t="s">
        <v>16</v>
      </c>
    </row>
    <row r="1106" spans="1:8" ht="33" x14ac:dyDescent="0.2">
      <c r="A1106" s="108">
        <v>5</v>
      </c>
      <c r="B1106" s="108" t="s">
        <v>1518</v>
      </c>
      <c r="C1106" s="110" t="s">
        <v>14</v>
      </c>
      <c r="D1106" s="109">
        <v>1</v>
      </c>
      <c r="E1106" s="109">
        <v>10.87</v>
      </c>
      <c r="F1106" s="109">
        <v>10.87</v>
      </c>
      <c r="G1106" s="108" t="s">
        <v>1517</v>
      </c>
      <c r="H1106" s="111" t="s">
        <v>16</v>
      </c>
    </row>
    <row r="1107" spans="1:8" ht="33" x14ac:dyDescent="0.2">
      <c r="A1107" s="108"/>
      <c r="B1107" s="108" t="s">
        <v>1516</v>
      </c>
      <c r="C1107" s="110" t="s">
        <v>50</v>
      </c>
      <c r="D1107" s="109">
        <v>1</v>
      </c>
      <c r="E1107" s="109"/>
      <c r="F1107" s="109">
        <v>373.1</v>
      </c>
      <c r="G1107" s="108"/>
      <c r="H1107" s="111" t="s">
        <v>16</v>
      </c>
    </row>
    <row r="1108" spans="1:8" ht="33" x14ac:dyDescent="0.2">
      <c r="A1108" s="108"/>
      <c r="B1108" s="108" t="s">
        <v>1515</v>
      </c>
      <c r="C1108" s="110" t="s">
        <v>50</v>
      </c>
      <c r="D1108" s="109"/>
      <c r="E1108" s="109"/>
      <c r="F1108" s="109">
        <v>373.1</v>
      </c>
      <c r="G1108" s="108"/>
      <c r="H1108" s="111" t="s">
        <v>16</v>
      </c>
    </row>
    <row r="1109" spans="1:8" ht="16.5" x14ac:dyDescent="0.2">
      <c r="A1109" s="108"/>
      <c r="B1109" s="108"/>
      <c r="C1109" s="110"/>
      <c r="D1109" s="109"/>
      <c r="E1109" s="109"/>
      <c r="F1109" s="109"/>
      <c r="G1109" s="108"/>
    </row>
    <row r="1110" spans="1:8" ht="33" x14ac:dyDescent="0.2">
      <c r="A1110" s="108" t="s">
        <v>2557</v>
      </c>
      <c r="B1110" s="108" t="s">
        <v>440</v>
      </c>
      <c r="C1110" s="110" t="s">
        <v>50</v>
      </c>
      <c r="D1110" s="109">
        <v>1</v>
      </c>
      <c r="E1110" s="109">
        <v>616.53</v>
      </c>
      <c r="F1110" s="109"/>
      <c r="G1110" s="108" t="s">
        <v>2556</v>
      </c>
      <c r="H1110" s="111" t="s">
        <v>16</v>
      </c>
    </row>
    <row r="1111" spans="1:8" ht="42.75" x14ac:dyDescent="0.2">
      <c r="A1111" s="108">
        <v>1</v>
      </c>
      <c r="B1111" s="108" t="s">
        <v>2510</v>
      </c>
      <c r="C1111" s="110" t="s">
        <v>50</v>
      </c>
      <c r="D1111" s="109">
        <v>1</v>
      </c>
      <c r="E1111" s="109">
        <v>85</v>
      </c>
      <c r="F1111" s="109">
        <v>85</v>
      </c>
      <c r="G1111" s="108" t="s">
        <v>2509</v>
      </c>
      <c r="H1111" s="111" t="s">
        <v>16</v>
      </c>
    </row>
    <row r="1112" spans="1:8" ht="57" x14ac:dyDescent="0.2">
      <c r="A1112" s="108">
        <v>2</v>
      </c>
      <c r="B1112" s="108" t="s">
        <v>1737</v>
      </c>
      <c r="C1112" s="110" t="s">
        <v>50</v>
      </c>
      <c r="D1112" s="109">
        <v>1</v>
      </c>
      <c r="E1112" s="109">
        <v>104.62</v>
      </c>
      <c r="F1112" s="109">
        <v>104.62</v>
      </c>
      <c r="G1112" s="108" t="s">
        <v>2555</v>
      </c>
      <c r="H1112" s="111" t="s">
        <v>16</v>
      </c>
    </row>
    <row r="1113" spans="1:8" ht="33" x14ac:dyDescent="0.2">
      <c r="A1113" s="108">
        <v>3</v>
      </c>
      <c r="B1113" s="108" t="s">
        <v>2554</v>
      </c>
      <c r="C1113" s="110" t="s">
        <v>50</v>
      </c>
      <c r="D1113" s="109">
        <v>1</v>
      </c>
      <c r="E1113" s="109">
        <v>299.95</v>
      </c>
      <c r="F1113" s="109">
        <v>299.95</v>
      </c>
      <c r="G1113" s="108" t="s">
        <v>2553</v>
      </c>
      <c r="H1113" s="111" t="s">
        <v>16</v>
      </c>
    </row>
    <row r="1114" spans="1:8" ht="33" x14ac:dyDescent="0.2">
      <c r="A1114" s="108">
        <v>4</v>
      </c>
      <c r="B1114" s="108" t="s">
        <v>2552</v>
      </c>
      <c r="C1114" s="110" t="s">
        <v>14</v>
      </c>
      <c r="D1114" s="109">
        <v>1</v>
      </c>
      <c r="E1114" s="109">
        <v>25</v>
      </c>
      <c r="F1114" s="109">
        <v>25</v>
      </c>
      <c r="G1114" s="108" t="s">
        <v>2551</v>
      </c>
      <c r="H1114" s="111" t="s">
        <v>16</v>
      </c>
    </row>
    <row r="1115" spans="1:8" ht="33" x14ac:dyDescent="0.2">
      <c r="A1115" s="108">
        <v>5</v>
      </c>
      <c r="B1115" s="108" t="s">
        <v>1527</v>
      </c>
      <c r="C1115" s="110" t="s">
        <v>97</v>
      </c>
      <c r="D1115" s="109">
        <v>0.3</v>
      </c>
      <c r="E1115" s="109">
        <v>280</v>
      </c>
      <c r="F1115" s="109">
        <v>84</v>
      </c>
      <c r="G1115" s="108" t="s">
        <v>1535</v>
      </c>
      <c r="H1115" s="111" t="s">
        <v>16</v>
      </c>
    </row>
    <row r="1116" spans="1:8" ht="33" x14ac:dyDescent="0.2">
      <c r="A1116" s="108">
        <v>6</v>
      </c>
      <c r="B1116" s="108" t="s">
        <v>1518</v>
      </c>
      <c r="C1116" s="110" t="s">
        <v>14</v>
      </c>
      <c r="D1116" s="109">
        <v>1</v>
      </c>
      <c r="E1116" s="109">
        <v>17.96</v>
      </c>
      <c r="F1116" s="109">
        <v>17.96</v>
      </c>
      <c r="G1116" s="108" t="s">
        <v>1517</v>
      </c>
      <c r="H1116" s="111" t="s">
        <v>16</v>
      </c>
    </row>
    <row r="1117" spans="1:8" ht="33" x14ac:dyDescent="0.2">
      <c r="A1117" s="108"/>
      <c r="B1117" s="108" t="s">
        <v>1516</v>
      </c>
      <c r="C1117" s="110" t="s">
        <v>50</v>
      </c>
      <c r="D1117" s="109">
        <v>1</v>
      </c>
      <c r="E1117" s="109"/>
      <c r="F1117" s="109">
        <v>616.53</v>
      </c>
      <c r="G1117" s="108"/>
      <c r="H1117" s="111" t="s">
        <v>16</v>
      </c>
    </row>
    <row r="1118" spans="1:8" ht="33" x14ac:dyDescent="0.2">
      <c r="A1118" s="108"/>
      <c r="B1118" s="108" t="s">
        <v>1515</v>
      </c>
      <c r="C1118" s="110" t="s">
        <v>50</v>
      </c>
      <c r="D1118" s="109"/>
      <c r="E1118" s="109"/>
      <c r="F1118" s="109">
        <v>616.53</v>
      </c>
      <c r="G1118" s="108"/>
      <c r="H1118" s="111" t="s">
        <v>16</v>
      </c>
    </row>
    <row r="1119" spans="1:8" ht="16.5" x14ac:dyDescent="0.2">
      <c r="A1119" s="108"/>
      <c r="B1119" s="108"/>
      <c r="C1119" s="110"/>
      <c r="D1119" s="109"/>
      <c r="E1119" s="109"/>
      <c r="F1119" s="109"/>
      <c r="G1119" s="108"/>
    </row>
    <row r="1120" spans="1:8" ht="33" x14ac:dyDescent="0.2">
      <c r="A1120" s="108" t="s">
        <v>2550</v>
      </c>
      <c r="B1120" s="108" t="s">
        <v>443</v>
      </c>
      <c r="C1120" s="110" t="s">
        <v>50</v>
      </c>
      <c r="D1120" s="109">
        <v>1</v>
      </c>
      <c r="E1120" s="109">
        <v>2664.06</v>
      </c>
      <c r="F1120" s="109"/>
      <c r="G1120" s="108" t="s">
        <v>2549</v>
      </c>
      <c r="H1120" s="111" t="s">
        <v>16</v>
      </c>
    </row>
    <row r="1121" spans="1:8" ht="33" x14ac:dyDescent="0.2">
      <c r="A1121" s="108">
        <v>1</v>
      </c>
      <c r="B1121" s="108" t="s">
        <v>102</v>
      </c>
      <c r="C1121" s="110" t="s">
        <v>103</v>
      </c>
      <c r="D1121" s="109">
        <v>1</v>
      </c>
      <c r="E1121" s="109">
        <v>320.74</v>
      </c>
      <c r="F1121" s="109">
        <v>320.74</v>
      </c>
      <c r="G1121" s="108" t="s">
        <v>2548</v>
      </c>
      <c r="H1121" s="111" t="s">
        <v>16</v>
      </c>
    </row>
    <row r="1122" spans="1:8" ht="42.75" x14ac:dyDescent="0.2">
      <c r="A1122" s="108">
        <v>2</v>
      </c>
      <c r="B1122" s="108" t="s">
        <v>2510</v>
      </c>
      <c r="C1122" s="110" t="s">
        <v>50</v>
      </c>
      <c r="D1122" s="109">
        <v>1</v>
      </c>
      <c r="E1122" s="109">
        <v>85</v>
      </c>
      <c r="F1122" s="109">
        <v>85</v>
      </c>
      <c r="G1122" s="108" t="s">
        <v>2509</v>
      </c>
      <c r="H1122" s="111" t="s">
        <v>16</v>
      </c>
    </row>
    <row r="1123" spans="1:8" ht="33" x14ac:dyDescent="0.2">
      <c r="A1123" s="108">
        <v>3</v>
      </c>
      <c r="B1123" s="108" t="s">
        <v>1687</v>
      </c>
      <c r="C1123" s="110" t="s">
        <v>50</v>
      </c>
      <c r="D1123" s="109">
        <v>1</v>
      </c>
      <c r="E1123" s="109">
        <v>334</v>
      </c>
      <c r="F1123" s="109">
        <v>334</v>
      </c>
      <c r="G1123" s="108" t="s">
        <v>1686</v>
      </c>
      <c r="H1123" s="111" t="s">
        <v>16</v>
      </c>
    </row>
    <row r="1124" spans="1:8" ht="57" x14ac:dyDescent="0.2">
      <c r="A1124" s="108">
        <v>4</v>
      </c>
      <c r="B1124" s="108" t="s">
        <v>1689</v>
      </c>
      <c r="C1124" s="110" t="s">
        <v>50</v>
      </c>
      <c r="D1124" s="109">
        <v>1</v>
      </c>
      <c r="E1124" s="109">
        <v>1734.73</v>
      </c>
      <c r="F1124" s="109">
        <v>1734.73</v>
      </c>
      <c r="G1124" s="108" t="s">
        <v>2547</v>
      </c>
      <c r="H1124" s="111" t="s">
        <v>16</v>
      </c>
    </row>
    <row r="1125" spans="1:8" ht="33" x14ac:dyDescent="0.2">
      <c r="A1125" s="108">
        <v>5</v>
      </c>
      <c r="B1125" s="108" t="s">
        <v>1527</v>
      </c>
      <c r="C1125" s="110" t="s">
        <v>97</v>
      </c>
      <c r="D1125" s="109">
        <v>0.4</v>
      </c>
      <c r="E1125" s="109">
        <v>280</v>
      </c>
      <c r="F1125" s="109">
        <v>112</v>
      </c>
      <c r="G1125" s="108" t="s">
        <v>1535</v>
      </c>
      <c r="H1125" s="111" t="s">
        <v>16</v>
      </c>
    </row>
    <row r="1126" spans="1:8" ht="33" x14ac:dyDescent="0.2">
      <c r="A1126" s="108">
        <v>6</v>
      </c>
      <c r="B1126" s="108" t="s">
        <v>1518</v>
      </c>
      <c r="C1126" s="110" t="s">
        <v>14</v>
      </c>
      <c r="D1126" s="109">
        <v>1</v>
      </c>
      <c r="E1126" s="109">
        <v>77.59</v>
      </c>
      <c r="F1126" s="109">
        <v>77.59</v>
      </c>
      <c r="G1126" s="108" t="s">
        <v>1517</v>
      </c>
      <c r="H1126" s="111" t="s">
        <v>16</v>
      </c>
    </row>
    <row r="1127" spans="1:8" ht="33" x14ac:dyDescent="0.2">
      <c r="A1127" s="108"/>
      <c r="B1127" s="108" t="s">
        <v>1516</v>
      </c>
      <c r="C1127" s="110" t="s">
        <v>50</v>
      </c>
      <c r="D1127" s="109">
        <v>1</v>
      </c>
      <c r="E1127" s="109"/>
      <c r="F1127" s="109">
        <v>2664.0600000000004</v>
      </c>
      <c r="G1127" s="108"/>
      <c r="H1127" s="111" t="s">
        <v>16</v>
      </c>
    </row>
    <row r="1128" spans="1:8" ht="33" x14ac:dyDescent="0.2">
      <c r="A1128" s="108"/>
      <c r="B1128" s="108" t="s">
        <v>1515</v>
      </c>
      <c r="C1128" s="110" t="s">
        <v>50</v>
      </c>
      <c r="D1128" s="109"/>
      <c r="E1128" s="109"/>
      <c r="F1128" s="109">
        <v>2664.06</v>
      </c>
      <c r="G1128" s="108"/>
      <c r="H1128" s="111" t="s">
        <v>16</v>
      </c>
    </row>
    <row r="1129" spans="1:8" ht="16.5" x14ac:dyDescent="0.2">
      <c r="A1129" s="108"/>
      <c r="B1129" s="108"/>
      <c r="C1129" s="110"/>
      <c r="D1129" s="109"/>
      <c r="E1129" s="109"/>
      <c r="F1129" s="109"/>
      <c r="G1129" s="108"/>
    </row>
    <row r="1130" spans="1:8" ht="33" x14ac:dyDescent="0.2">
      <c r="A1130" s="108" t="s">
        <v>2546</v>
      </c>
      <c r="B1130" s="108" t="s">
        <v>446</v>
      </c>
      <c r="C1130" s="110" t="s">
        <v>30</v>
      </c>
      <c r="D1130" s="109">
        <v>1</v>
      </c>
      <c r="E1130" s="109">
        <v>5183.22</v>
      </c>
      <c r="F1130" s="109"/>
      <c r="G1130" s="108" t="s">
        <v>2545</v>
      </c>
      <c r="H1130" s="111" t="s">
        <v>16</v>
      </c>
    </row>
    <row r="1131" spans="1:8" ht="33" x14ac:dyDescent="0.2">
      <c r="A1131" s="108">
        <v>1</v>
      </c>
      <c r="B1131" s="108" t="s">
        <v>2522</v>
      </c>
      <c r="C1131" s="110" t="s">
        <v>412</v>
      </c>
      <c r="D1131" s="109">
        <v>12.3</v>
      </c>
      <c r="E1131" s="109">
        <v>270</v>
      </c>
      <c r="F1131" s="109">
        <v>3321</v>
      </c>
      <c r="G1131" s="108" t="s">
        <v>2521</v>
      </c>
      <c r="H1131" s="111" t="s">
        <v>16</v>
      </c>
    </row>
    <row r="1132" spans="1:8" ht="33" x14ac:dyDescent="0.2">
      <c r="A1132" s="108">
        <v>2</v>
      </c>
      <c r="B1132" s="108" t="s">
        <v>1610</v>
      </c>
      <c r="C1132" s="110" t="s">
        <v>97</v>
      </c>
      <c r="D1132" s="109">
        <v>0.75</v>
      </c>
      <c r="E1132" s="109">
        <v>375</v>
      </c>
      <c r="F1132" s="109">
        <v>281.25</v>
      </c>
      <c r="G1132" s="108" t="s">
        <v>1609</v>
      </c>
      <c r="H1132" s="111" t="s">
        <v>16</v>
      </c>
    </row>
    <row r="1133" spans="1:8" ht="33" x14ac:dyDescent="0.2">
      <c r="A1133" s="108">
        <v>3</v>
      </c>
      <c r="B1133" s="108" t="s">
        <v>1527</v>
      </c>
      <c r="C1133" s="110" t="s">
        <v>97</v>
      </c>
      <c r="D1133" s="109">
        <v>0.3</v>
      </c>
      <c r="E1133" s="109">
        <v>280</v>
      </c>
      <c r="F1133" s="109">
        <v>84</v>
      </c>
      <c r="G1133" s="108" t="s">
        <v>1535</v>
      </c>
      <c r="H1133" s="111" t="s">
        <v>16</v>
      </c>
    </row>
    <row r="1134" spans="1:8" ht="33" x14ac:dyDescent="0.2">
      <c r="A1134" s="108">
        <v>4</v>
      </c>
      <c r="B1134" s="108" t="s">
        <v>2516</v>
      </c>
      <c r="C1134" s="110" t="s">
        <v>325</v>
      </c>
      <c r="D1134" s="109">
        <v>1</v>
      </c>
      <c r="E1134" s="109">
        <v>440</v>
      </c>
      <c r="F1134" s="109">
        <v>440</v>
      </c>
      <c r="G1134" s="108" t="s">
        <v>2515</v>
      </c>
      <c r="H1134" s="111" t="s">
        <v>16</v>
      </c>
    </row>
    <row r="1135" spans="1:8" ht="33" x14ac:dyDescent="0.2">
      <c r="A1135" s="108">
        <v>5</v>
      </c>
      <c r="B1135" s="108" t="s">
        <v>2514</v>
      </c>
      <c r="C1135" s="110" t="s">
        <v>14</v>
      </c>
      <c r="D1135" s="109">
        <v>1</v>
      </c>
      <c r="E1135" s="109">
        <v>906</v>
      </c>
      <c r="F1135" s="109">
        <v>906</v>
      </c>
      <c r="G1135" s="108" t="s">
        <v>2513</v>
      </c>
      <c r="H1135" s="111" t="s">
        <v>16</v>
      </c>
    </row>
    <row r="1136" spans="1:8" ht="33" x14ac:dyDescent="0.2">
      <c r="A1136" s="108">
        <v>6</v>
      </c>
      <c r="B1136" s="108" t="s">
        <v>1518</v>
      </c>
      <c r="C1136" s="110" t="s">
        <v>14</v>
      </c>
      <c r="D1136" s="109">
        <v>1</v>
      </c>
      <c r="E1136" s="109">
        <v>150.97</v>
      </c>
      <c r="F1136" s="109">
        <v>150.97</v>
      </c>
      <c r="G1136" s="108" t="s">
        <v>1517</v>
      </c>
      <c r="H1136" s="111" t="s">
        <v>16</v>
      </c>
    </row>
    <row r="1137" spans="1:8" ht="33" x14ac:dyDescent="0.2">
      <c r="A1137" s="108"/>
      <c r="B1137" s="108" t="s">
        <v>1516</v>
      </c>
      <c r="C1137" s="110" t="s">
        <v>30</v>
      </c>
      <c r="D1137" s="109">
        <v>1</v>
      </c>
      <c r="E1137" s="109"/>
      <c r="F1137" s="109">
        <v>5183.22</v>
      </c>
      <c r="G1137" s="108"/>
      <c r="H1137" s="111" t="s">
        <v>16</v>
      </c>
    </row>
    <row r="1138" spans="1:8" ht="33" x14ac:dyDescent="0.2">
      <c r="A1138" s="108"/>
      <c r="B1138" s="108" t="s">
        <v>1515</v>
      </c>
      <c r="C1138" s="110" t="s">
        <v>30</v>
      </c>
      <c r="D1138" s="109"/>
      <c r="E1138" s="109"/>
      <c r="F1138" s="109">
        <v>5183.22</v>
      </c>
      <c r="G1138" s="108"/>
      <c r="H1138" s="111" t="s">
        <v>16</v>
      </c>
    </row>
    <row r="1139" spans="1:8" ht="16.5" x14ac:dyDescent="0.2">
      <c r="A1139" s="108"/>
      <c r="B1139" s="108"/>
      <c r="C1139" s="110"/>
      <c r="D1139" s="109"/>
      <c r="E1139" s="109"/>
      <c r="F1139" s="109"/>
      <c r="G1139" s="108"/>
    </row>
    <row r="1140" spans="1:8" ht="33" x14ac:dyDescent="0.2">
      <c r="A1140" s="108" t="s">
        <v>2544</v>
      </c>
      <c r="B1140" s="108" t="s">
        <v>449</v>
      </c>
      <c r="C1140" s="110" t="s">
        <v>30</v>
      </c>
      <c r="D1140" s="109">
        <v>1</v>
      </c>
      <c r="E1140" s="109">
        <v>9392.57</v>
      </c>
      <c r="F1140" s="109"/>
      <c r="G1140" s="108" t="s">
        <v>2543</v>
      </c>
      <c r="H1140" s="111" t="s">
        <v>16</v>
      </c>
    </row>
    <row r="1141" spans="1:8" ht="33" x14ac:dyDescent="0.2">
      <c r="A1141" s="108">
        <v>1</v>
      </c>
      <c r="B1141" s="108" t="s">
        <v>2542</v>
      </c>
      <c r="C1141" s="110" t="s">
        <v>30</v>
      </c>
      <c r="D1141" s="109">
        <v>1</v>
      </c>
      <c r="E1141" s="109">
        <v>6800</v>
      </c>
      <c r="F1141" s="109">
        <v>6800</v>
      </c>
      <c r="G1141" s="108" t="s">
        <v>2541</v>
      </c>
      <c r="H1141" s="111" t="s">
        <v>16</v>
      </c>
    </row>
    <row r="1142" spans="1:8" ht="33" x14ac:dyDescent="0.2">
      <c r="A1142" s="108">
        <v>2</v>
      </c>
      <c r="B1142" s="108" t="s">
        <v>2516</v>
      </c>
      <c r="C1142" s="110" t="s">
        <v>325</v>
      </c>
      <c r="D1142" s="109">
        <v>1</v>
      </c>
      <c r="E1142" s="109">
        <v>440</v>
      </c>
      <c r="F1142" s="109">
        <v>440</v>
      </c>
      <c r="G1142" s="108" t="s">
        <v>2515</v>
      </c>
      <c r="H1142" s="111" t="s">
        <v>16</v>
      </c>
    </row>
    <row r="1143" spans="1:8" ht="33" x14ac:dyDescent="0.2">
      <c r="A1143" s="108">
        <v>3</v>
      </c>
      <c r="B1143" s="108" t="s">
        <v>2526</v>
      </c>
      <c r="C1143" s="110" t="s">
        <v>14</v>
      </c>
      <c r="D1143" s="109">
        <v>1</v>
      </c>
      <c r="E1143" s="109">
        <v>759</v>
      </c>
      <c r="F1143" s="109">
        <v>759</v>
      </c>
      <c r="G1143" s="108" t="s">
        <v>2525</v>
      </c>
      <c r="H1143" s="111" t="s">
        <v>16</v>
      </c>
    </row>
    <row r="1144" spans="1:8" ht="33" x14ac:dyDescent="0.2">
      <c r="A1144" s="108">
        <v>4</v>
      </c>
      <c r="B1144" s="108" t="s">
        <v>1527</v>
      </c>
      <c r="C1144" s="110" t="s">
        <v>97</v>
      </c>
      <c r="D1144" s="109">
        <v>4</v>
      </c>
      <c r="E1144" s="109">
        <v>280</v>
      </c>
      <c r="F1144" s="109">
        <v>1120</v>
      </c>
      <c r="G1144" s="108" t="s">
        <v>1535</v>
      </c>
      <c r="H1144" s="111" t="s">
        <v>16</v>
      </c>
    </row>
    <row r="1145" spans="1:8" ht="33" x14ac:dyDescent="0.2">
      <c r="A1145" s="108">
        <v>5</v>
      </c>
      <c r="B1145" s="108" t="s">
        <v>1518</v>
      </c>
      <c r="C1145" s="110" t="s">
        <v>14</v>
      </c>
      <c r="D1145" s="109">
        <v>1</v>
      </c>
      <c r="E1145" s="109">
        <v>273.57</v>
      </c>
      <c r="F1145" s="109">
        <v>273.57</v>
      </c>
      <c r="G1145" s="108" t="s">
        <v>1517</v>
      </c>
      <c r="H1145" s="111" t="s">
        <v>16</v>
      </c>
    </row>
    <row r="1146" spans="1:8" ht="33" x14ac:dyDescent="0.2">
      <c r="A1146" s="108"/>
      <c r="B1146" s="108" t="s">
        <v>1516</v>
      </c>
      <c r="C1146" s="110" t="s">
        <v>30</v>
      </c>
      <c r="D1146" s="109">
        <v>1</v>
      </c>
      <c r="E1146" s="109"/>
      <c r="F1146" s="109">
        <v>9392.57</v>
      </c>
      <c r="G1146" s="108"/>
      <c r="H1146" s="111" t="s">
        <v>16</v>
      </c>
    </row>
    <row r="1147" spans="1:8" ht="33" x14ac:dyDescent="0.2">
      <c r="A1147" s="108"/>
      <c r="B1147" s="108" t="s">
        <v>1515</v>
      </c>
      <c r="C1147" s="110" t="s">
        <v>30</v>
      </c>
      <c r="D1147" s="109"/>
      <c r="E1147" s="109"/>
      <c r="F1147" s="109">
        <v>9392.57</v>
      </c>
      <c r="G1147" s="108"/>
      <c r="H1147" s="111" t="s">
        <v>16</v>
      </c>
    </row>
    <row r="1148" spans="1:8" ht="16.5" x14ac:dyDescent="0.2">
      <c r="A1148" s="108"/>
      <c r="B1148" s="108"/>
      <c r="C1148" s="110"/>
      <c r="D1148" s="109"/>
      <c r="E1148" s="109"/>
      <c r="F1148" s="109"/>
      <c r="G1148" s="108"/>
    </row>
    <row r="1149" spans="1:8" ht="33" x14ac:dyDescent="0.2">
      <c r="A1149" s="108" t="s">
        <v>2540</v>
      </c>
      <c r="B1149" s="108" t="s">
        <v>452</v>
      </c>
      <c r="C1149" s="110" t="s">
        <v>30</v>
      </c>
      <c r="D1149" s="109">
        <v>1</v>
      </c>
      <c r="E1149" s="109">
        <v>2388.5700000000002</v>
      </c>
      <c r="F1149" s="109"/>
      <c r="G1149" s="108" t="s">
        <v>2539</v>
      </c>
      <c r="H1149" s="111" t="s">
        <v>16</v>
      </c>
    </row>
    <row r="1150" spans="1:8" ht="33" x14ac:dyDescent="0.2">
      <c r="A1150" s="108">
        <v>1</v>
      </c>
      <c r="B1150" s="108" t="s">
        <v>2516</v>
      </c>
      <c r="C1150" s="110" t="s">
        <v>325</v>
      </c>
      <c r="D1150" s="109">
        <v>1</v>
      </c>
      <c r="E1150" s="109">
        <v>440</v>
      </c>
      <c r="F1150" s="109">
        <v>440</v>
      </c>
      <c r="G1150" s="108" t="s">
        <v>2515</v>
      </c>
      <c r="H1150" s="111" t="s">
        <v>16</v>
      </c>
    </row>
    <row r="1151" spans="1:8" ht="33" x14ac:dyDescent="0.2">
      <c r="A1151" s="108">
        <v>2</v>
      </c>
      <c r="B1151" s="108" t="s">
        <v>2526</v>
      </c>
      <c r="C1151" s="110" t="s">
        <v>14</v>
      </c>
      <c r="D1151" s="109">
        <v>1</v>
      </c>
      <c r="E1151" s="109">
        <v>759</v>
      </c>
      <c r="F1151" s="109">
        <v>759</v>
      </c>
      <c r="G1151" s="108" t="s">
        <v>2525</v>
      </c>
      <c r="H1151" s="111" t="s">
        <v>16</v>
      </c>
    </row>
    <row r="1152" spans="1:8" ht="33" x14ac:dyDescent="0.2">
      <c r="A1152" s="108">
        <v>3</v>
      </c>
      <c r="B1152" s="108" t="s">
        <v>1527</v>
      </c>
      <c r="C1152" s="110" t="s">
        <v>97</v>
      </c>
      <c r="D1152" s="109">
        <v>4</v>
      </c>
      <c r="E1152" s="109">
        <v>280</v>
      </c>
      <c r="F1152" s="109">
        <v>1120</v>
      </c>
      <c r="G1152" s="108" t="s">
        <v>1535</v>
      </c>
      <c r="H1152" s="111" t="s">
        <v>16</v>
      </c>
    </row>
    <row r="1153" spans="1:8" ht="33" x14ac:dyDescent="0.2">
      <c r="A1153" s="108">
        <v>4</v>
      </c>
      <c r="B1153" s="108" t="s">
        <v>1518</v>
      </c>
      <c r="C1153" s="110" t="s">
        <v>14</v>
      </c>
      <c r="D1153" s="109">
        <v>1</v>
      </c>
      <c r="E1153" s="109">
        <v>69.569999999999993</v>
      </c>
      <c r="F1153" s="109">
        <v>69.569999999999993</v>
      </c>
      <c r="G1153" s="108" t="s">
        <v>1517</v>
      </c>
      <c r="H1153" s="111" t="s">
        <v>16</v>
      </c>
    </row>
    <row r="1154" spans="1:8" ht="33" x14ac:dyDescent="0.2">
      <c r="A1154" s="108"/>
      <c r="B1154" s="108" t="s">
        <v>1516</v>
      </c>
      <c r="C1154" s="110" t="s">
        <v>30</v>
      </c>
      <c r="D1154" s="109">
        <v>1</v>
      </c>
      <c r="E1154" s="109"/>
      <c r="F1154" s="109">
        <v>2388.5700000000002</v>
      </c>
      <c r="G1154" s="108"/>
      <c r="H1154" s="111" t="s">
        <v>16</v>
      </c>
    </row>
    <row r="1155" spans="1:8" ht="33" x14ac:dyDescent="0.2">
      <c r="A1155" s="108"/>
      <c r="B1155" s="108" t="s">
        <v>1515</v>
      </c>
      <c r="C1155" s="110" t="s">
        <v>30</v>
      </c>
      <c r="D1155" s="109"/>
      <c r="E1155" s="109"/>
      <c r="F1155" s="109">
        <v>2388.5700000000002</v>
      </c>
      <c r="G1155" s="108"/>
      <c r="H1155" s="111" t="s">
        <v>16</v>
      </c>
    </row>
    <row r="1156" spans="1:8" ht="16.5" x14ac:dyDescent="0.2">
      <c r="A1156" s="108"/>
      <c r="B1156" s="108"/>
      <c r="C1156" s="110"/>
      <c r="D1156" s="109"/>
      <c r="E1156" s="109"/>
      <c r="F1156" s="109"/>
      <c r="G1156" s="108"/>
    </row>
    <row r="1157" spans="1:8" ht="33" x14ac:dyDescent="0.2">
      <c r="A1157" s="108" t="s">
        <v>2538</v>
      </c>
      <c r="B1157" s="108" t="s">
        <v>455</v>
      </c>
      <c r="C1157" s="110" t="s">
        <v>30</v>
      </c>
      <c r="D1157" s="109">
        <v>1</v>
      </c>
      <c r="E1157" s="109">
        <v>80192.710000000006</v>
      </c>
      <c r="F1157" s="109"/>
      <c r="G1157" s="108" t="s">
        <v>2537</v>
      </c>
      <c r="H1157" s="111" t="s">
        <v>16</v>
      </c>
    </row>
    <row r="1158" spans="1:8" ht="33" x14ac:dyDescent="0.2">
      <c r="A1158" s="108">
        <v>1</v>
      </c>
      <c r="B1158" s="108" t="s">
        <v>2518</v>
      </c>
      <c r="C1158" s="110" t="s">
        <v>412</v>
      </c>
      <c r="D1158" s="109">
        <v>183.5</v>
      </c>
      <c r="E1158" s="109">
        <v>270</v>
      </c>
      <c r="F1158" s="109">
        <v>49545</v>
      </c>
      <c r="G1158" s="108" t="s">
        <v>2517</v>
      </c>
      <c r="H1158" s="111" t="s">
        <v>16</v>
      </c>
    </row>
    <row r="1159" spans="1:8" ht="33" x14ac:dyDescent="0.2">
      <c r="A1159" s="108">
        <v>2</v>
      </c>
      <c r="B1159" s="108" t="s">
        <v>1610</v>
      </c>
      <c r="C1159" s="110" t="s">
        <v>97</v>
      </c>
      <c r="D1159" s="109">
        <v>14</v>
      </c>
      <c r="E1159" s="109">
        <v>375</v>
      </c>
      <c r="F1159" s="109">
        <v>5250</v>
      </c>
      <c r="G1159" s="108" t="s">
        <v>1609</v>
      </c>
      <c r="H1159" s="111" t="s">
        <v>16</v>
      </c>
    </row>
    <row r="1160" spans="1:8" ht="33" x14ac:dyDescent="0.2">
      <c r="A1160" s="108">
        <v>3</v>
      </c>
      <c r="B1160" s="108" t="s">
        <v>1527</v>
      </c>
      <c r="C1160" s="110" t="s">
        <v>97</v>
      </c>
      <c r="D1160" s="109">
        <v>16</v>
      </c>
      <c r="E1160" s="109">
        <v>280</v>
      </c>
      <c r="F1160" s="109">
        <v>4480</v>
      </c>
      <c r="G1160" s="108" t="s">
        <v>1535</v>
      </c>
      <c r="H1160" s="111" t="s">
        <v>16</v>
      </c>
    </row>
    <row r="1161" spans="1:8" ht="33" x14ac:dyDescent="0.2">
      <c r="A1161" s="108">
        <v>4</v>
      </c>
      <c r="B1161" s="108" t="s">
        <v>2516</v>
      </c>
      <c r="C1161" s="110" t="s">
        <v>325</v>
      </c>
      <c r="D1161" s="109">
        <v>1</v>
      </c>
      <c r="E1161" s="109">
        <v>12182</v>
      </c>
      <c r="F1161" s="109">
        <v>12182</v>
      </c>
      <c r="G1161" s="108" t="s">
        <v>2515</v>
      </c>
      <c r="H1161" s="111" t="s">
        <v>16</v>
      </c>
    </row>
    <row r="1162" spans="1:8" ht="33" x14ac:dyDescent="0.2">
      <c r="A1162" s="108">
        <v>5</v>
      </c>
      <c r="B1162" s="108" t="s">
        <v>2514</v>
      </c>
      <c r="C1162" s="110" t="s">
        <v>14</v>
      </c>
      <c r="D1162" s="109">
        <v>1</v>
      </c>
      <c r="E1162" s="109">
        <v>6400</v>
      </c>
      <c r="F1162" s="109">
        <v>6400</v>
      </c>
      <c r="G1162" s="108" t="s">
        <v>2513</v>
      </c>
      <c r="H1162" s="111" t="s">
        <v>16</v>
      </c>
    </row>
    <row r="1163" spans="1:8" ht="33" x14ac:dyDescent="0.2">
      <c r="A1163" s="108">
        <v>6</v>
      </c>
      <c r="B1163" s="108" t="s">
        <v>1518</v>
      </c>
      <c r="C1163" s="110" t="s">
        <v>14</v>
      </c>
      <c r="D1163" s="109">
        <v>1</v>
      </c>
      <c r="E1163" s="109">
        <v>2335.71</v>
      </c>
      <c r="F1163" s="109">
        <v>2335.71</v>
      </c>
      <c r="G1163" s="108" t="s">
        <v>1517</v>
      </c>
      <c r="H1163" s="111" t="s">
        <v>16</v>
      </c>
    </row>
    <row r="1164" spans="1:8" ht="33" x14ac:dyDescent="0.2">
      <c r="A1164" s="108"/>
      <c r="B1164" s="108" t="s">
        <v>1516</v>
      </c>
      <c r="C1164" s="110" t="s">
        <v>30</v>
      </c>
      <c r="D1164" s="109">
        <v>1</v>
      </c>
      <c r="E1164" s="109"/>
      <c r="F1164" s="109">
        <v>80192.710000000006</v>
      </c>
      <c r="G1164" s="108"/>
      <c r="H1164" s="111" t="s">
        <v>16</v>
      </c>
    </row>
    <row r="1165" spans="1:8" ht="33" x14ac:dyDescent="0.2">
      <c r="A1165" s="108"/>
      <c r="B1165" s="108" t="s">
        <v>1515</v>
      </c>
      <c r="C1165" s="110" t="s">
        <v>30</v>
      </c>
      <c r="D1165" s="109"/>
      <c r="E1165" s="109"/>
      <c r="F1165" s="109">
        <v>80192.710000000006</v>
      </c>
      <c r="G1165" s="108"/>
      <c r="H1165" s="111" t="s">
        <v>16</v>
      </c>
    </row>
    <row r="1166" spans="1:8" ht="16.5" x14ac:dyDescent="0.2">
      <c r="A1166" s="108"/>
      <c r="B1166" s="108"/>
      <c r="C1166" s="110"/>
      <c r="D1166" s="109"/>
      <c r="E1166" s="109"/>
      <c r="F1166" s="109"/>
      <c r="G1166" s="108"/>
    </row>
    <row r="1167" spans="1:8" ht="42.75" x14ac:dyDescent="0.2">
      <c r="A1167" s="108" t="s">
        <v>2536</v>
      </c>
      <c r="B1167" s="108" t="s">
        <v>458</v>
      </c>
      <c r="C1167" s="110" t="s">
        <v>30</v>
      </c>
      <c r="D1167" s="109">
        <v>1</v>
      </c>
      <c r="E1167" s="109">
        <v>9257.1299999999992</v>
      </c>
      <c r="F1167" s="109"/>
      <c r="G1167" s="108" t="s">
        <v>2535</v>
      </c>
      <c r="H1167" s="111" t="s">
        <v>16</v>
      </c>
    </row>
    <row r="1168" spans="1:8" ht="33" x14ac:dyDescent="0.2">
      <c r="A1168" s="108">
        <v>1</v>
      </c>
      <c r="B1168" s="108" t="s">
        <v>2518</v>
      </c>
      <c r="C1168" s="110" t="s">
        <v>412</v>
      </c>
      <c r="D1168" s="109">
        <v>22.7</v>
      </c>
      <c r="E1168" s="109">
        <v>270</v>
      </c>
      <c r="F1168" s="109">
        <v>6129</v>
      </c>
      <c r="G1168" s="108" t="s">
        <v>2517</v>
      </c>
      <c r="H1168" s="111" t="s">
        <v>16</v>
      </c>
    </row>
    <row r="1169" spans="1:8" ht="33" x14ac:dyDescent="0.2">
      <c r="A1169" s="108">
        <v>2</v>
      </c>
      <c r="B1169" s="108" t="s">
        <v>1610</v>
      </c>
      <c r="C1169" s="110" t="s">
        <v>97</v>
      </c>
      <c r="D1169" s="109">
        <v>0.5</v>
      </c>
      <c r="E1169" s="109">
        <v>375</v>
      </c>
      <c r="F1169" s="109">
        <v>187.5</v>
      </c>
      <c r="G1169" s="108" t="s">
        <v>1609</v>
      </c>
      <c r="H1169" s="111" t="s">
        <v>16</v>
      </c>
    </row>
    <row r="1170" spans="1:8" ht="33" x14ac:dyDescent="0.2">
      <c r="A1170" s="108">
        <v>3</v>
      </c>
      <c r="B1170" s="108" t="s">
        <v>1527</v>
      </c>
      <c r="C1170" s="110" t="s">
        <v>97</v>
      </c>
      <c r="D1170" s="109">
        <v>0.2</v>
      </c>
      <c r="E1170" s="109">
        <v>280</v>
      </c>
      <c r="F1170" s="109">
        <v>56</v>
      </c>
      <c r="G1170" s="108" t="s">
        <v>1535</v>
      </c>
      <c r="H1170" s="111" t="s">
        <v>16</v>
      </c>
    </row>
    <row r="1171" spans="1:8" ht="33" x14ac:dyDescent="0.2">
      <c r="A1171" s="108">
        <v>4</v>
      </c>
      <c r="B1171" s="108" t="s">
        <v>2516</v>
      </c>
      <c r="C1171" s="110" t="s">
        <v>325</v>
      </c>
      <c r="D1171" s="109">
        <v>1</v>
      </c>
      <c r="E1171" s="109">
        <v>887</v>
      </c>
      <c r="F1171" s="109">
        <v>887</v>
      </c>
      <c r="G1171" s="108" t="s">
        <v>2515</v>
      </c>
      <c r="H1171" s="111" t="s">
        <v>16</v>
      </c>
    </row>
    <row r="1172" spans="1:8" ht="33" x14ac:dyDescent="0.2">
      <c r="A1172" s="108">
        <v>5</v>
      </c>
      <c r="B1172" s="108" t="s">
        <v>2514</v>
      </c>
      <c r="C1172" s="110" t="s">
        <v>14</v>
      </c>
      <c r="D1172" s="109">
        <v>1</v>
      </c>
      <c r="E1172" s="109">
        <v>1728</v>
      </c>
      <c r="F1172" s="109">
        <v>1728</v>
      </c>
      <c r="G1172" s="108" t="s">
        <v>2513</v>
      </c>
      <c r="H1172" s="111" t="s">
        <v>16</v>
      </c>
    </row>
    <row r="1173" spans="1:8" ht="33" x14ac:dyDescent="0.2">
      <c r="A1173" s="108">
        <v>6</v>
      </c>
      <c r="B1173" s="108" t="s">
        <v>1518</v>
      </c>
      <c r="C1173" s="110" t="s">
        <v>14</v>
      </c>
      <c r="D1173" s="109">
        <v>1</v>
      </c>
      <c r="E1173" s="109">
        <v>269.63</v>
      </c>
      <c r="F1173" s="109">
        <v>269.63</v>
      </c>
      <c r="G1173" s="108" t="s">
        <v>1517</v>
      </c>
      <c r="H1173" s="111" t="s">
        <v>16</v>
      </c>
    </row>
    <row r="1174" spans="1:8" ht="33" x14ac:dyDescent="0.2">
      <c r="A1174" s="108"/>
      <c r="B1174" s="108" t="s">
        <v>1516</v>
      </c>
      <c r="C1174" s="110" t="s">
        <v>30</v>
      </c>
      <c r="D1174" s="109">
        <v>1</v>
      </c>
      <c r="E1174" s="109"/>
      <c r="F1174" s="109">
        <v>9257.1299999999992</v>
      </c>
      <c r="G1174" s="108"/>
      <c r="H1174" s="111" t="s">
        <v>16</v>
      </c>
    </row>
    <row r="1175" spans="1:8" ht="33" x14ac:dyDescent="0.2">
      <c r="A1175" s="108"/>
      <c r="B1175" s="108" t="s">
        <v>1515</v>
      </c>
      <c r="C1175" s="110" t="s">
        <v>30</v>
      </c>
      <c r="D1175" s="109"/>
      <c r="E1175" s="109"/>
      <c r="F1175" s="109">
        <v>9257.1299999999992</v>
      </c>
      <c r="G1175" s="108"/>
      <c r="H1175" s="111" t="s">
        <v>16</v>
      </c>
    </row>
    <row r="1176" spans="1:8" ht="16.5" x14ac:dyDescent="0.2">
      <c r="A1176" s="108"/>
      <c r="B1176" s="108"/>
      <c r="C1176" s="110"/>
      <c r="D1176" s="109"/>
      <c r="E1176" s="109"/>
      <c r="F1176" s="109"/>
      <c r="G1176" s="108"/>
    </row>
    <row r="1177" spans="1:8" ht="33" x14ac:dyDescent="0.2">
      <c r="A1177" s="108" t="s">
        <v>2534</v>
      </c>
      <c r="B1177" s="108" t="s">
        <v>461</v>
      </c>
      <c r="C1177" s="110" t="s">
        <v>81</v>
      </c>
      <c r="D1177" s="109">
        <v>1</v>
      </c>
      <c r="E1177" s="109">
        <v>58649</v>
      </c>
      <c r="F1177" s="109"/>
      <c r="G1177" s="108" t="s">
        <v>2533</v>
      </c>
      <c r="H1177" s="111" t="s">
        <v>16</v>
      </c>
    </row>
    <row r="1178" spans="1:8" ht="42.75" x14ac:dyDescent="0.2">
      <c r="A1178" s="108">
        <v>1</v>
      </c>
      <c r="B1178" s="108" t="s">
        <v>2510</v>
      </c>
      <c r="C1178" s="110" t="s">
        <v>50</v>
      </c>
      <c r="D1178" s="109">
        <v>62.14</v>
      </c>
      <c r="E1178" s="109">
        <v>85</v>
      </c>
      <c r="F1178" s="109">
        <v>5281.9</v>
      </c>
      <c r="G1178" s="108" t="s">
        <v>2509</v>
      </c>
      <c r="H1178" s="111" t="s">
        <v>16</v>
      </c>
    </row>
    <row r="1179" spans="1:8" ht="33" x14ac:dyDescent="0.2">
      <c r="A1179" s="108">
        <v>2</v>
      </c>
      <c r="B1179" s="108" t="s">
        <v>1774</v>
      </c>
      <c r="C1179" s="110" t="s">
        <v>50</v>
      </c>
      <c r="D1179" s="109">
        <v>112</v>
      </c>
      <c r="E1179" s="109">
        <v>458.74</v>
      </c>
      <c r="F1179" s="109">
        <v>51378.879999999997</v>
      </c>
      <c r="G1179" s="108" t="s">
        <v>2508</v>
      </c>
      <c r="H1179" s="111" t="s">
        <v>16</v>
      </c>
    </row>
    <row r="1180" spans="1:8" ht="33" x14ac:dyDescent="0.2">
      <c r="A1180" s="108">
        <v>3</v>
      </c>
      <c r="B1180" s="108" t="s">
        <v>1527</v>
      </c>
      <c r="C1180" s="110" t="s">
        <v>97</v>
      </c>
      <c r="D1180" s="109">
        <v>1</v>
      </c>
      <c r="E1180" s="109">
        <v>280</v>
      </c>
      <c r="F1180" s="109">
        <v>280</v>
      </c>
      <c r="G1180" s="108" t="s">
        <v>1535</v>
      </c>
      <c r="H1180" s="111" t="s">
        <v>16</v>
      </c>
    </row>
    <row r="1181" spans="1:8" ht="33" x14ac:dyDescent="0.2">
      <c r="A1181" s="108">
        <v>4</v>
      </c>
      <c r="B1181" s="108" t="s">
        <v>1518</v>
      </c>
      <c r="C1181" s="110" t="s">
        <v>14</v>
      </c>
      <c r="D1181" s="109">
        <v>1</v>
      </c>
      <c r="E1181" s="109">
        <v>1708.22</v>
      </c>
      <c r="F1181" s="109">
        <v>1708.22</v>
      </c>
      <c r="G1181" s="108" t="s">
        <v>1517</v>
      </c>
      <c r="H1181" s="111" t="s">
        <v>16</v>
      </c>
    </row>
    <row r="1182" spans="1:8" ht="33" x14ac:dyDescent="0.2">
      <c r="A1182" s="108"/>
      <c r="B1182" s="108" t="s">
        <v>1516</v>
      </c>
      <c r="C1182" s="110" t="s">
        <v>81</v>
      </c>
      <c r="D1182" s="109">
        <v>1</v>
      </c>
      <c r="E1182" s="109"/>
      <c r="F1182" s="109">
        <v>58649</v>
      </c>
      <c r="G1182" s="108"/>
      <c r="H1182" s="111" t="s">
        <v>16</v>
      </c>
    </row>
    <row r="1183" spans="1:8" ht="33" x14ac:dyDescent="0.2">
      <c r="A1183" s="108"/>
      <c r="B1183" s="108" t="s">
        <v>1515</v>
      </c>
      <c r="C1183" s="110" t="s">
        <v>81</v>
      </c>
      <c r="D1183" s="109"/>
      <c r="E1183" s="109"/>
      <c r="F1183" s="109">
        <v>58649</v>
      </c>
      <c r="G1183" s="108"/>
      <c r="H1183" s="111" t="s">
        <v>16</v>
      </c>
    </row>
    <row r="1184" spans="1:8" ht="16.5" x14ac:dyDescent="0.2">
      <c r="A1184" s="108"/>
      <c r="B1184" s="108"/>
      <c r="C1184" s="110"/>
      <c r="D1184" s="109"/>
      <c r="E1184" s="109"/>
      <c r="F1184" s="109"/>
      <c r="G1184" s="108"/>
    </row>
    <row r="1185" spans="1:8" ht="33" x14ac:dyDescent="0.2">
      <c r="A1185" s="108" t="s">
        <v>2532</v>
      </c>
      <c r="B1185" s="108" t="s">
        <v>464</v>
      </c>
      <c r="C1185" s="110" t="s">
        <v>81</v>
      </c>
      <c r="D1185" s="109">
        <v>1</v>
      </c>
      <c r="E1185" s="109">
        <v>107614.5</v>
      </c>
      <c r="F1185" s="109"/>
      <c r="G1185" s="108" t="s">
        <v>2531</v>
      </c>
      <c r="H1185" s="111" t="s">
        <v>16</v>
      </c>
    </row>
    <row r="1186" spans="1:8" ht="42.75" x14ac:dyDescent="0.2">
      <c r="A1186" s="108">
        <v>1</v>
      </c>
      <c r="B1186" s="108" t="s">
        <v>2510</v>
      </c>
      <c r="C1186" s="110" t="s">
        <v>50</v>
      </c>
      <c r="D1186" s="109">
        <v>67.7</v>
      </c>
      <c r="E1186" s="109">
        <v>85</v>
      </c>
      <c r="F1186" s="109">
        <v>5754.5</v>
      </c>
      <c r="G1186" s="108" t="s">
        <v>2509</v>
      </c>
      <c r="H1186" s="111" t="s">
        <v>16</v>
      </c>
    </row>
    <row r="1187" spans="1:8" ht="33" x14ac:dyDescent="0.2">
      <c r="A1187" s="108">
        <v>2</v>
      </c>
      <c r="B1187" s="108" t="s">
        <v>1774</v>
      </c>
      <c r="C1187" s="110" t="s">
        <v>50</v>
      </c>
      <c r="D1187" s="109">
        <v>214.6</v>
      </c>
      <c r="E1187" s="109">
        <v>458.74</v>
      </c>
      <c r="F1187" s="109">
        <v>98445.6</v>
      </c>
      <c r="G1187" s="108" t="s">
        <v>2508</v>
      </c>
      <c r="H1187" s="111" t="s">
        <v>16</v>
      </c>
    </row>
    <row r="1188" spans="1:8" ht="33" x14ac:dyDescent="0.2">
      <c r="A1188" s="108">
        <v>3</v>
      </c>
      <c r="B1188" s="108" t="s">
        <v>1527</v>
      </c>
      <c r="C1188" s="110" t="s">
        <v>97</v>
      </c>
      <c r="D1188" s="109">
        <v>1</v>
      </c>
      <c r="E1188" s="109">
        <v>280</v>
      </c>
      <c r="F1188" s="109">
        <v>280</v>
      </c>
      <c r="G1188" s="108" t="s">
        <v>1535</v>
      </c>
      <c r="H1188" s="111" t="s">
        <v>16</v>
      </c>
    </row>
    <row r="1189" spans="1:8" ht="33" x14ac:dyDescent="0.2">
      <c r="A1189" s="108">
        <v>4</v>
      </c>
      <c r="B1189" s="108" t="s">
        <v>1518</v>
      </c>
      <c r="C1189" s="110" t="s">
        <v>14</v>
      </c>
      <c r="D1189" s="109">
        <v>1</v>
      </c>
      <c r="E1189" s="109">
        <v>3134.4</v>
      </c>
      <c r="F1189" s="109">
        <v>3134.4</v>
      </c>
      <c r="G1189" s="108" t="s">
        <v>1517</v>
      </c>
      <c r="H1189" s="111" t="s">
        <v>16</v>
      </c>
    </row>
    <row r="1190" spans="1:8" ht="33" x14ac:dyDescent="0.2">
      <c r="A1190" s="108"/>
      <c r="B1190" s="108" t="s">
        <v>1516</v>
      </c>
      <c r="C1190" s="110" t="s">
        <v>81</v>
      </c>
      <c r="D1190" s="109">
        <v>1</v>
      </c>
      <c r="E1190" s="109"/>
      <c r="F1190" s="109">
        <v>107614.5</v>
      </c>
      <c r="G1190" s="108"/>
      <c r="H1190" s="111" t="s">
        <v>16</v>
      </c>
    </row>
    <row r="1191" spans="1:8" ht="33" x14ac:dyDescent="0.2">
      <c r="A1191" s="108"/>
      <c r="B1191" s="108" t="s">
        <v>1515</v>
      </c>
      <c r="C1191" s="110" t="s">
        <v>81</v>
      </c>
      <c r="D1191" s="109"/>
      <c r="E1191" s="109"/>
      <c r="F1191" s="109">
        <v>107614.5</v>
      </c>
      <c r="G1191" s="108"/>
      <c r="H1191" s="111" t="s">
        <v>16</v>
      </c>
    </row>
    <row r="1192" spans="1:8" ht="16.5" x14ac:dyDescent="0.2">
      <c r="A1192" s="108"/>
      <c r="B1192" s="108"/>
      <c r="C1192" s="110"/>
      <c r="D1192" s="109"/>
      <c r="E1192" s="109"/>
      <c r="F1192" s="109"/>
      <c r="G1192" s="108"/>
    </row>
    <row r="1193" spans="1:8" ht="33" x14ac:dyDescent="0.2">
      <c r="A1193" s="108" t="s">
        <v>2530</v>
      </c>
      <c r="B1193" s="108" t="s">
        <v>467</v>
      </c>
      <c r="C1193" s="110" t="s">
        <v>30</v>
      </c>
      <c r="D1193" s="109">
        <v>1</v>
      </c>
      <c r="E1193" s="109">
        <v>2809.33</v>
      </c>
      <c r="F1193" s="109"/>
      <c r="G1193" s="108" t="s">
        <v>2529</v>
      </c>
      <c r="H1193" s="111" t="s">
        <v>16</v>
      </c>
    </row>
    <row r="1194" spans="1:8" ht="33" x14ac:dyDescent="0.2">
      <c r="A1194" s="108">
        <v>1</v>
      </c>
      <c r="B1194" s="108" t="s">
        <v>2522</v>
      </c>
      <c r="C1194" s="110" t="s">
        <v>412</v>
      </c>
      <c r="D1194" s="109">
        <v>2.8</v>
      </c>
      <c r="E1194" s="109">
        <v>270</v>
      </c>
      <c r="F1194" s="109">
        <v>756</v>
      </c>
      <c r="G1194" s="108" t="s">
        <v>2521</v>
      </c>
      <c r="H1194" s="111" t="s">
        <v>16</v>
      </c>
    </row>
    <row r="1195" spans="1:8" ht="33" x14ac:dyDescent="0.2">
      <c r="A1195" s="108">
        <v>2</v>
      </c>
      <c r="B1195" s="108" t="s">
        <v>1610</v>
      </c>
      <c r="C1195" s="110" t="s">
        <v>97</v>
      </c>
      <c r="D1195" s="109">
        <v>0.5</v>
      </c>
      <c r="E1195" s="109">
        <v>375</v>
      </c>
      <c r="F1195" s="109">
        <v>187.5</v>
      </c>
      <c r="G1195" s="108" t="s">
        <v>1609</v>
      </c>
      <c r="H1195" s="111" t="s">
        <v>16</v>
      </c>
    </row>
    <row r="1196" spans="1:8" ht="33" x14ac:dyDescent="0.2">
      <c r="A1196" s="108">
        <v>3</v>
      </c>
      <c r="B1196" s="108" t="s">
        <v>1527</v>
      </c>
      <c r="C1196" s="110" t="s">
        <v>97</v>
      </c>
      <c r="D1196" s="109">
        <v>0.2</v>
      </c>
      <c r="E1196" s="109">
        <v>280</v>
      </c>
      <c r="F1196" s="109">
        <v>56</v>
      </c>
      <c r="G1196" s="108" t="s">
        <v>1535</v>
      </c>
      <c r="H1196" s="111" t="s">
        <v>16</v>
      </c>
    </row>
    <row r="1197" spans="1:8" ht="33" x14ac:dyDescent="0.2">
      <c r="A1197" s="108">
        <v>4</v>
      </c>
      <c r="B1197" s="108" t="s">
        <v>2514</v>
      </c>
      <c r="C1197" s="110" t="s">
        <v>14</v>
      </c>
      <c r="D1197" s="109">
        <v>1</v>
      </c>
      <c r="E1197" s="109">
        <v>1728</v>
      </c>
      <c r="F1197" s="109">
        <v>1728</v>
      </c>
      <c r="G1197" s="108" t="s">
        <v>2513</v>
      </c>
      <c r="H1197" s="111" t="s">
        <v>16</v>
      </c>
    </row>
    <row r="1198" spans="1:8" ht="33" x14ac:dyDescent="0.2">
      <c r="A1198" s="108">
        <v>5</v>
      </c>
      <c r="B1198" s="108" t="s">
        <v>1518</v>
      </c>
      <c r="C1198" s="110" t="s">
        <v>14</v>
      </c>
      <c r="D1198" s="109">
        <v>1</v>
      </c>
      <c r="E1198" s="109">
        <v>81.83</v>
      </c>
      <c r="F1198" s="109">
        <v>81.83</v>
      </c>
      <c r="G1198" s="108" t="s">
        <v>1517</v>
      </c>
      <c r="H1198" s="111" t="s">
        <v>16</v>
      </c>
    </row>
    <row r="1199" spans="1:8" ht="33" x14ac:dyDescent="0.2">
      <c r="A1199" s="108"/>
      <c r="B1199" s="108" t="s">
        <v>1516</v>
      </c>
      <c r="C1199" s="110" t="s">
        <v>30</v>
      </c>
      <c r="D1199" s="109">
        <v>1</v>
      </c>
      <c r="E1199" s="109"/>
      <c r="F1199" s="109">
        <v>2809.33</v>
      </c>
      <c r="G1199" s="108"/>
      <c r="H1199" s="111" t="s">
        <v>16</v>
      </c>
    </row>
    <row r="1200" spans="1:8" ht="33" x14ac:dyDescent="0.2">
      <c r="A1200" s="108"/>
      <c r="B1200" s="108" t="s">
        <v>1515</v>
      </c>
      <c r="C1200" s="110" t="s">
        <v>30</v>
      </c>
      <c r="D1200" s="109"/>
      <c r="E1200" s="109"/>
      <c r="F1200" s="109">
        <v>2809.33</v>
      </c>
      <c r="G1200" s="108"/>
      <c r="H1200" s="111" t="s">
        <v>16</v>
      </c>
    </row>
    <row r="1201" spans="1:8" ht="16.5" x14ac:dyDescent="0.2">
      <c r="A1201" s="108"/>
      <c r="B1201" s="108"/>
      <c r="C1201" s="110"/>
      <c r="D1201" s="109"/>
      <c r="E1201" s="109"/>
      <c r="F1201" s="109"/>
      <c r="G1201" s="108"/>
    </row>
    <row r="1202" spans="1:8" ht="33" x14ac:dyDescent="0.2">
      <c r="A1202" s="108" t="s">
        <v>2528</v>
      </c>
      <c r="B1202" s="108" t="s">
        <v>470</v>
      </c>
      <c r="C1202" s="110" t="s">
        <v>30</v>
      </c>
      <c r="D1202" s="109">
        <v>1</v>
      </c>
      <c r="E1202" s="109">
        <v>2433.89</v>
      </c>
      <c r="F1202" s="109"/>
      <c r="G1202" s="108" t="s">
        <v>2527</v>
      </c>
      <c r="H1202" s="111" t="s">
        <v>16</v>
      </c>
    </row>
    <row r="1203" spans="1:8" ht="33" x14ac:dyDescent="0.2">
      <c r="A1203" s="108">
        <v>1</v>
      </c>
      <c r="B1203" s="108" t="s">
        <v>2516</v>
      </c>
      <c r="C1203" s="110" t="s">
        <v>325</v>
      </c>
      <c r="D1203" s="109">
        <v>1</v>
      </c>
      <c r="E1203" s="109">
        <v>484</v>
      </c>
      <c r="F1203" s="109">
        <v>484</v>
      </c>
      <c r="G1203" s="108" t="s">
        <v>2515</v>
      </c>
      <c r="H1203" s="111" t="s">
        <v>16</v>
      </c>
    </row>
    <row r="1204" spans="1:8" ht="33" x14ac:dyDescent="0.2">
      <c r="A1204" s="108">
        <v>2</v>
      </c>
      <c r="B1204" s="108" t="s">
        <v>2526</v>
      </c>
      <c r="C1204" s="110" t="s">
        <v>14</v>
      </c>
      <c r="D1204" s="109">
        <v>1</v>
      </c>
      <c r="E1204" s="109">
        <v>759</v>
      </c>
      <c r="F1204" s="109">
        <v>759</v>
      </c>
      <c r="G1204" s="108" t="s">
        <v>2525</v>
      </c>
      <c r="H1204" s="111" t="s">
        <v>16</v>
      </c>
    </row>
    <row r="1205" spans="1:8" ht="33" x14ac:dyDescent="0.2">
      <c r="A1205" s="108">
        <v>3</v>
      </c>
      <c r="B1205" s="108" t="s">
        <v>1527</v>
      </c>
      <c r="C1205" s="110" t="s">
        <v>97</v>
      </c>
      <c r="D1205" s="109">
        <v>4</v>
      </c>
      <c r="E1205" s="109">
        <v>280</v>
      </c>
      <c r="F1205" s="109">
        <v>1120</v>
      </c>
      <c r="G1205" s="108" t="s">
        <v>1535</v>
      </c>
      <c r="H1205" s="111" t="s">
        <v>16</v>
      </c>
    </row>
    <row r="1206" spans="1:8" ht="33" x14ac:dyDescent="0.2">
      <c r="A1206" s="108">
        <v>4</v>
      </c>
      <c r="B1206" s="108" t="s">
        <v>1518</v>
      </c>
      <c r="C1206" s="110" t="s">
        <v>14</v>
      </c>
      <c r="D1206" s="109">
        <v>1</v>
      </c>
      <c r="E1206" s="109">
        <v>70.89</v>
      </c>
      <c r="F1206" s="109">
        <v>70.89</v>
      </c>
      <c r="G1206" s="108" t="s">
        <v>1517</v>
      </c>
      <c r="H1206" s="111" t="s">
        <v>16</v>
      </c>
    </row>
    <row r="1207" spans="1:8" ht="33" x14ac:dyDescent="0.2">
      <c r="A1207" s="108"/>
      <c r="B1207" s="108" t="s">
        <v>1516</v>
      </c>
      <c r="C1207" s="110" t="s">
        <v>30</v>
      </c>
      <c r="D1207" s="109">
        <v>1</v>
      </c>
      <c r="E1207" s="109"/>
      <c r="F1207" s="109">
        <v>2433.89</v>
      </c>
      <c r="G1207" s="108"/>
      <c r="H1207" s="111" t="s">
        <v>16</v>
      </c>
    </row>
    <row r="1208" spans="1:8" ht="33" x14ac:dyDescent="0.2">
      <c r="A1208" s="108"/>
      <c r="B1208" s="108" t="s">
        <v>1515</v>
      </c>
      <c r="C1208" s="110" t="s">
        <v>30</v>
      </c>
      <c r="D1208" s="109"/>
      <c r="E1208" s="109"/>
      <c r="F1208" s="109">
        <v>2433.89</v>
      </c>
      <c r="G1208" s="108"/>
      <c r="H1208" s="111" t="s">
        <v>16</v>
      </c>
    </row>
    <row r="1209" spans="1:8" ht="16.5" x14ac:dyDescent="0.2">
      <c r="A1209" s="108"/>
      <c r="B1209" s="108"/>
      <c r="C1209" s="110"/>
      <c r="D1209" s="109"/>
      <c r="E1209" s="109"/>
      <c r="F1209" s="109"/>
      <c r="G1209" s="108"/>
    </row>
    <row r="1210" spans="1:8" ht="33" x14ac:dyDescent="0.2">
      <c r="A1210" s="108" t="s">
        <v>2524</v>
      </c>
      <c r="B1210" s="108" t="s">
        <v>473</v>
      </c>
      <c r="C1210" s="110" t="s">
        <v>30</v>
      </c>
      <c r="D1210" s="109">
        <v>1</v>
      </c>
      <c r="E1210" s="109">
        <v>2888.64</v>
      </c>
      <c r="F1210" s="109"/>
      <c r="G1210" s="108" t="s">
        <v>2523</v>
      </c>
      <c r="H1210" s="111" t="s">
        <v>16</v>
      </c>
    </row>
    <row r="1211" spans="1:8" ht="33" x14ac:dyDescent="0.2">
      <c r="A1211" s="108">
        <v>1</v>
      </c>
      <c r="B1211" s="108" t="s">
        <v>2522</v>
      </c>
      <c r="C1211" s="110" t="s">
        <v>412</v>
      </c>
      <c r="D1211" s="109">
        <v>4.5</v>
      </c>
      <c r="E1211" s="109">
        <v>270</v>
      </c>
      <c r="F1211" s="109">
        <v>1215</v>
      </c>
      <c r="G1211" s="108" t="s">
        <v>2521</v>
      </c>
      <c r="H1211" s="111" t="s">
        <v>16</v>
      </c>
    </row>
    <row r="1212" spans="1:8" ht="33" x14ac:dyDescent="0.2">
      <c r="A1212" s="108">
        <v>2</v>
      </c>
      <c r="B1212" s="108" t="s">
        <v>1610</v>
      </c>
      <c r="C1212" s="110" t="s">
        <v>97</v>
      </c>
      <c r="D1212" s="109">
        <v>0.5</v>
      </c>
      <c r="E1212" s="109">
        <v>375</v>
      </c>
      <c r="F1212" s="109">
        <v>187.5</v>
      </c>
      <c r="G1212" s="108" t="s">
        <v>1609</v>
      </c>
      <c r="H1212" s="111" t="s">
        <v>16</v>
      </c>
    </row>
    <row r="1213" spans="1:8" ht="33" x14ac:dyDescent="0.2">
      <c r="A1213" s="108">
        <v>3</v>
      </c>
      <c r="B1213" s="108" t="s">
        <v>1527</v>
      </c>
      <c r="C1213" s="110" t="s">
        <v>97</v>
      </c>
      <c r="D1213" s="109">
        <v>0.2</v>
      </c>
      <c r="E1213" s="109">
        <v>280</v>
      </c>
      <c r="F1213" s="109">
        <v>56</v>
      </c>
      <c r="G1213" s="108" t="s">
        <v>1535</v>
      </c>
      <c r="H1213" s="111" t="s">
        <v>16</v>
      </c>
    </row>
    <row r="1214" spans="1:8" ht="33" x14ac:dyDescent="0.2">
      <c r="A1214" s="108">
        <v>4</v>
      </c>
      <c r="B1214" s="108" t="s">
        <v>2516</v>
      </c>
      <c r="C1214" s="110" t="s">
        <v>325</v>
      </c>
      <c r="D1214" s="109">
        <v>1</v>
      </c>
      <c r="E1214" s="109">
        <v>440</v>
      </c>
      <c r="F1214" s="109">
        <v>440</v>
      </c>
      <c r="G1214" s="108" t="s">
        <v>2515</v>
      </c>
      <c r="H1214" s="111" t="s">
        <v>16</v>
      </c>
    </row>
    <row r="1215" spans="1:8" ht="33" x14ac:dyDescent="0.2">
      <c r="A1215" s="108">
        <v>5</v>
      </c>
      <c r="B1215" s="108" t="s">
        <v>2514</v>
      </c>
      <c r="C1215" s="110" t="s">
        <v>14</v>
      </c>
      <c r="D1215" s="109">
        <v>1</v>
      </c>
      <c r="E1215" s="109">
        <v>906</v>
      </c>
      <c r="F1215" s="109">
        <v>906</v>
      </c>
      <c r="G1215" s="108" t="s">
        <v>2513</v>
      </c>
      <c r="H1215" s="111" t="s">
        <v>16</v>
      </c>
    </row>
    <row r="1216" spans="1:8" ht="33" x14ac:dyDescent="0.2">
      <c r="A1216" s="108">
        <v>6</v>
      </c>
      <c r="B1216" s="108" t="s">
        <v>1518</v>
      </c>
      <c r="C1216" s="110" t="s">
        <v>14</v>
      </c>
      <c r="D1216" s="109">
        <v>1</v>
      </c>
      <c r="E1216" s="109">
        <v>84.14</v>
      </c>
      <c r="F1216" s="109">
        <v>84.14</v>
      </c>
      <c r="G1216" s="108" t="s">
        <v>1517</v>
      </c>
      <c r="H1216" s="111" t="s">
        <v>16</v>
      </c>
    </row>
    <row r="1217" spans="1:8" ht="33" x14ac:dyDescent="0.2">
      <c r="A1217" s="108"/>
      <c r="B1217" s="108" t="s">
        <v>1516</v>
      </c>
      <c r="C1217" s="110" t="s">
        <v>30</v>
      </c>
      <c r="D1217" s="109">
        <v>1</v>
      </c>
      <c r="E1217" s="109"/>
      <c r="F1217" s="109">
        <v>2888.64</v>
      </c>
      <c r="G1217" s="108"/>
      <c r="H1217" s="111" t="s">
        <v>16</v>
      </c>
    </row>
    <row r="1218" spans="1:8" ht="33" x14ac:dyDescent="0.2">
      <c r="A1218" s="108"/>
      <c r="B1218" s="108" t="s">
        <v>1515</v>
      </c>
      <c r="C1218" s="110" t="s">
        <v>30</v>
      </c>
      <c r="D1218" s="109"/>
      <c r="E1218" s="109"/>
      <c r="F1218" s="109">
        <v>2888.64</v>
      </c>
      <c r="G1218" s="108"/>
      <c r="H1218" s="111" t="s">
        <v>16</v>
      </c>
    </row>
    <row r="1219" spans="1:8" ht="16.5" x14ac:dyDescent="0.2">
      <c r="A1219" s="108"/>
      <c r="B1219" s="108"/>
      <c r="C1219" s="110"/>
      <c r="D1219" s="109"/>
      <c r="E1219" s="109"/>
      <c r="F1219" s="109"/>
      <c r="G1219" s="108"/>
    </row>
    <row r="1220" spans="1:8" ht="33" x14ac:dyDescent="0.2">
      <c r="A1220" s="108" t="s">
        <v>2520</v>
      </c>
      <c r="B1220" s="108" t="s">
        <v>476</v>
      </c>
      <c r="C1220" s="110" t="s">
        <v>14</v>
      </c>
      <c r="D1220" s="109">
        <v>1</v>
      </c>
      <c r="E1220" s="109">
        <v>430876.81</v>
      </c>
      <c r="F1220" s="109"/>
      <c r="G1220" s="108" t="s">
        <v>2519</v>
      </c>
      <c r="H1220" s="111" t="s">
        <v>16</v>
      </c>
    </row>
    <row r="1221" spans="1:8" ht="33" x14ac:dyDescent="0.2">
      <c r="A1221" s="108">
        <v>1</v>
      </c>
      <c r="B1221" s="108" t="s">
        <v>2518</v>
      </c>
      <c r="C1221" s="110" t="s">
        <v>412</v>
      </c>
      <c r="D1221" s="109">
        <v>1444.5</v>
      </c>
      <c r="E1221" s="109">
        <v>270</v>
      </c>
      <c r="F1221" s="109">
        <v>390015</v>
      </c>
      <c r="G1221" s="108" t="s">
        <v>2517</v>
      </c>
      <c r="H1221" s="111" t="s">
        <v>16</v>
      </c>
    </row>
    <row r="1222" spans="1:8" ht="33" x14ac:dyDescent="0.2">
      <c r="A1222" s="108">
        <v>2</v>
      </c>
      <c r="B1222" s="108" t="s">
        <v>1610</v>
      </c>
      <c r="C1222" s="110" t="s">
        <v>97</v>
      </c>
      <c r="D1222" s="109">
        <v>14</v>
      </c>
      <c r="E1222" s="109">
        <v>375</v>
      </c>
      <c r="F1222" s="109">
        <v>5250</v>
      </c>
      <c r="G1222" s="108" t="s">
        <v>1609</v>
      </c>
      <c r="H1222" s="111" t="s">
        <v>16</v>
      </c>
    </row>
    <row r="1223" spans="1:8" ht="33" x14ac:dyDescent="0.2">
      <c r="A1223" s="108">
        <v>3</v>
      </c>
      <c r="B1223" s="108" t="s">
        <v>1527</v>
      </c>
      <c r="C1223" s="110" t="s">
        <v>97</v>
      </c>
      <c r="D1223" s="109">
        <v>16</v>
      </c>
      <c r="E1223" s="109">
        <v>280</v>
      </c>
      <c r="F1223" s="109">
        <v>4480</v>
      </c>
      <c r="G1223" s="108" t="s">
        <v>1535</v>
      </c>
      <c r="H1223" s="111" t="s">
        <v>16</v>
      </c>
    </row>
    <row r="1224" spans="1:8" ht="33" x14ac:dyDescent="0.2">
      <c r="A1224" s="108">
        <v>4</v>
      </c>
      <c r="B1224" s="108" t="s">
        <v>2516</v>
      </c>
      <c r="C1224" s="110" t="s">
        <v>325</v>
      </c>
      <c r="D1224" s="109">
        <v>1</v>
      </c>
      <c r="E1224" s="109">
        <v>12182</v>
      </c>
      <c r="F1224" s="109">
        <v>12182</v>
      </c>
      <c r="G1224" s="108" t="s">
        <v>2515</v>
      </c>
      <c r="H1224" s="111" t="s">
        <v>16</v>
      </c>
    </row>
    <row r="1225" spans="1:8" ht="33" x14ac:dyDescent="0.2">
      <c r="A1225" s="108">
        <v>5</v>
      </c>
      <c r="B1225" s="108" t="s">
        <v>2514</v>
      </c>
      <c r="C1225" s="110" t="s">
        <v>14</v>
      </c>
      <c r="D1225" s="109">
        <v>1</v>
      </c>
      <c r="E1225" s="109">
        <v>6400</v>
      </c>
      <c r="F1225" s="109">
        <v>6400</v>
      </c>
      <c r="G1225" s="108" t="s">
        <v>2513</v>
      </c>
      <c r="H1225" s="111" t="s">
        <v>16</v>
      </c>
    </row>
    <row r="1226" spans="1:8" ht="33" x14ac:dyDescent="0.2">
      <c r="A1226" s="108">
        <v>6</v>
      </c>
      <c r="B1226" s="108" t="s">
        <v>1518</v>
      </c>
      <c r="C1226" s="110" t="s">
        <v>14</v>
      </c>
      <c r="D1226" s="109">
        <v>1</v>
      </c>
      <c r="E1226" s="109">
        <v>12549.81</v>
      </c>
      <c r="F1226" s="109">
        <v>12549.81</v>
      </c>
      <c r="G1226" s="108" t="s">
        <v>1517</v>
      </c>
      <c r="H1226" s="111" t="s">
        <v>16</v>
      </c>
    </row>
    <row r="1227" spans="1:8" ht="33" x14ac:dyDescent="0.2">
      <c r="A1227" s="108"/>
      <c r="B1227" s="108" t="s">
        <v>1516</v>
      </c>
      <c r="C1227" s="110" t="s">
        <v>14</v>
      </c>
      <c r="D1227" s="109">
        <v>1</v>
      </c>
      <c r="E1227" s="109"/>
      <c r="F1227" s="109">
        <v>430876.81</v>
      </c>
      <c r="G1227" s="108"/>
      <c r="H1227" s="111" t="s">
        <v>16</v>
      </c>
    </row>
    <row r="1228" spans="1:8" ht="33" x14ac:dyDescent="0.2">
      <c r="A1228" s="108"/>
      <c r="B1228" s="108" t="s">
        <v>1515</v>
      </c>
      <c r="C1228" s="110" t="s">
        <v>14</v>
      </c>
      <c r="D1228" s="109"/>
      <c r="E1228" s="109"/>
      <c r="F1228" s="109">
        <v>430876.81</v>
      </c>
      <c r="G1228" s="108"/>
      <c r="H1228" s="111" t="s">
        <v>16</v>
      </c>
    </row>
    <row r="1229" spans="1:8" ht="16.5" x14ac:dyDescent="0.2">
      <c r="A1229" s="108"/>
      <c r="B1229" s="108"/>
      <c r="C1229" s="110"/>
      <c r="D1229" s="109"/>
      <c r="E1229" s="109"/>
      <c r="F1229" s="109"/>
      <c r="G1229" s="108"/>
    </row>
    <row r="1230" spans="1:8" ht="33" x14ac:dyDescent="0.2">
      <c r="A1230" s="108" t="s">
        <v>2512</v>
      </c>
      <c r="B1230" s="108" t="s">
        <v>479</v>
      </c>
      <c r="C1230" s="110" t="s">
        <v>81</v>
      </c>
      <c r="D1230" s="109">
        <v>1</v>
      </c>
      <c r="E1230" s="109">
        <v>29563.21</v>
      </c>
      <c r="F1230" s="109"/>
      <c r="G1230" s="108" t="s">
        <v>2511</v>
      </c>
      <c r="H1230" s="111" t="s">
        <v>16</v>
      </c>
    </row>
    <row r="1231" spans="1:8" ht="42.75" x14ac:dyDescent="0.2">
      <c r="A1231" s="108">
        <v>1</v>
      </c>
      <c r="B1231" s="108" t="s">
        <v>2510</v>
      </c>
      <c r="C1231" s="110" t="s">
        <v>50</v>
      </c>
      <c r="D1231" s="109">
        <v>80</v>
      </c>
      <c r="E1231" s="109">
        <v>85</v>
      </c>
      <c r="F1231" s="109">
        <v>6800</v>
      </c>
      <c r="G1231" s="108" t="s">
        <v>2509</v>
      </c>
      <c r="H1231" s="111" t="s">
        <v>16</v>
      </c>
    </row>
    <row r="1232" spans="1:8" ht="33" x14ac:dyDescent="0.2">
      <c r="A1232" s="108">
        <v>2</v>
      </c>
      <c r="B1232" s="108" t="s">
        <v>1774</v>
      </c>
      <c r="C1232" s="110" t="s">
        <v>50</v>
      </c>
      <c r="D1232" s="109">
        <v>47.5</v>
      </c>
      <c r="E1232" s="109">
        <v>458.74</v>
      </c>
      <c r="F1232" s="109">
        <v>21790.15</v>
      </c>
      <c r="G1232" s="108" t="s">
        <v>2508</v>
      </c>
      <c r="H1232" s="111" t="s">
        <v>16</v>
      </c>
    </row>
    <row r="1233" spans="1:8" ht="33" x14ac:dyDescent="0.2">
      <c r="A1233" s="108">
        <v>3</v>
      </c>
      <c r="B1233" s="108" t="s">
        <v>1527</v>
      </c>
      <c r="C1233" s="110" t="s">
        <v>97</v>
      </c>
      <c r="D1233" s="109">
        <v>0.4</v>
      </c>
      <c r="E1233" s="109">
        <v>280</v>
      </c>
      <c r="F1233" s="109">
        <v>112</v>
      </c>
      <c r="G1233" s="108" t="s">
        <v>1535</v>
      </c>
      <c r="H1233" s="111" t="s">
        <v>16</v>
      </c>
    </row>
    <row r="1234" spans="1:8" ht="33" x14ac:dyDescent="0.2">
      <c r="A1234" s="108">
        <v>4</v>
      </c>
      <c r="B1234" s="108" t="s">
        <v>1518</v>
      </c>
      <c r="C1234" s="110" t="s">
        <v>14</v>
      </c>
      <c r="D1234" s="109">
        <v>1</v>
      </c>
      <c r="E1234" s="109">
        <v>861.06</v>
      </c>
      <c r="F1234" s="109">
        <v>861.06</v>
      </c>
      <c r="G1234" s="108" t="s">
        <v>1517</v>
      </c>
      <c r="H1234" s="111" t="s">
        <v>16</v>
      </c>
    </row>
    <row r="1235" spans="1:8" ht="33" x14ac:dyDescent="0.2">
      <c r="A1235" s="108"/>
      <c r="B1235" s="108" t="s">
        <v>1516</v>
      </c>
      <c r="C1235" s="110" t="s">
        <v>81</v>
      </c>
      <c r="D1235" s="109">
        <v>1</v>
      </c>
      <c r="E1235" s="109"/>
      <c r="F1235" s="109">
        <v>29563.210000000003</v>
      </c>
      <c r="G1235" s="108"/>
      <c r="H1235" s="111" t="s">
        <v>16</v>
      </c>
    </row>
    <row r="1236" spans="1:8" ht="33" x14ac:dyDescent="0.2">
      <c r="A1236" s="108"/>
      <c r="B1236" s="108" t="s">
        <v>1515</v>
      </c>
      <c r="C1236" s="110" t="s">
        <v>81</v>
      </c>
      <c r="D1236" s="109"/>
      <c r="E1236" s="109"/>
      <c r="F1236" s="109">
        <v>29563.21</v>
      </c>
      <c r="G1236" s="108"/>
      <c r="H1236" s="111" t="s">
        <v>16</v>
      </c>
    </row>
    <row r="1237" spans="1:8" ht="16.5" x14ac:dyDescent="0.2">
      <c r="A1237" s="108"/>
      <c r="B1237" s="108"/>
      <c r="C1237" s="110"/>
      <c r="D1237" s="109"/>
      <c r="E1237" s="109"/>
      <c r="F1237" s="109"/>
      <c r="G1237" s="108"/>
    </row>
    <row r="1238" spans="1:8" ht="33" x14ac:dyDescent="0.2">
      <c r="A1238" s="108" t="s">
        <v>2507</v>
      </c>
      <c r="B1238" s="108" t="s">
        <v>482</v>
      </c>
      <c r="C1238" s="110" t="s">
        <v>81</v>
      </c>
      <c r="D1238" s="109">
        <v>1</v>
      </c>
      <c r="E1238" s="109">
        <v>1061152.75</v>
      </c>
      <c r="F1238" s="109"/>
      <c r="G1238" s="108" t="s">
        <v>2506</v>
      </c>
      <c r="H1238" s="111" t="s">
        <v>16</v>
      </c>
    </row>
    <row r="1239" spans="1:8" ht="33" x14ac:dyDescent="0.2">
      <c r="A1239" s="108">
        <v>1</v>
      </c>
      <c r="B1239" s="108" t="s">
        <v>1669</v>
      </c>
      <c r="C1239" s="110" t="s">
        <v>338</v>
      </c>
      <c r="D1239" s="109">
        <v>80</v>
      </c>
      <c r="E1239" s="109">
        <v>5047</v>
      </c>
      <c r="F1239" s="109">
        <v>403760</v>
      </c>
      <c r="G1239" s="108" t="s">
        <v>2500</v>
      </c>
      <c r="H1239" s="111" t="s">
        <v>16</v>
      </c>
    </row>
    <row r="1240" spans="1:8" ht="33" x14ac:dyDescent="0.2">
      <c r="A1240" s="108">
        <v>2</v>
      </c>
      <c r="B1240" s="108" t="s">
        <v>1658</v>
      </c>
      <c r="C1240" s="110" t="s">
        <v>338</v>
      </c>
      <c r="D1240" s="109">
        <v>2.4</v>
      </c>
      <c r="E1240" s="109">
        <v>102100</v>
      </c>
      <c r="F1240" s="109">
        <v>245040</v>
      </c>
      <c r="G1240" s="108" t="s">
        <v>2499</v>
      </c>
      <c r="H1240" s="111" t="s">
        <v>16</v>
      </c>
    </row>
    <row r="1241" spans="1:8" ht="33" x14ac:dyDescent="0.2">
      <c r="A1241" s="108">
        <v>3</v>
      </c>
      <c r="B1241" s="108" t="s">
        <v>1649</v>
      </c>
      <c r="C1241" s="110" t="s">
        <v>30</v>
      </c>
      <c r="D1241" s="109">
        <v>4.2</v>
      </c>
      <c r="E1241" s="109">
        <v>27335.06</v>
      </c>
      <c r="F1241" s="109">
        <v>114807.25</v>
      </c>
      <c r="G1241" s="108" t="s">
        <v>2495</v>
      </c>
      <c r="H1241" s="111" t="s">
        <v>16</v>
      </c>
    </row>
    <row r="1242" spans="1:8" ht="33" x14ac:dyDescent="0.2">
      <c r="A1242" s="108">
        <v>4</v>
      </c>
      <c r="B1242" s="108" t="s">
        <v>1640</v>
      </c>
      <c r="C1242" s="110" t="s">
        <v>1014</v>
      </c>
      <c r="D1242" s="109">
        <v>10</v>
      </c>
      <c r="E1242" s="109">
        <v>6035.8</v>
      </c>
      <c r="F1242" s="109">
        <v>60358</v>
      </c>
      <c r="G1242" s="108" t="s">
        <v>2494</v>
      </c>
      <c r="H1242" s="111" t="s">
        <v>16</v>
      </c>
    </row>
    <row r="1243" spans="1:8" ht="42.75" x14ac:dyDescent="0.2">
      <c r="A1243" s="108">
        <v>5</v>
      </c>
      <c r="B1243" s="108" t="s">
        <v>1631</v>
      </c>
      <c r="C1243" s="110" t="s">
        <v>162</v>
      </c>
      <c r="D1243" s="109">
        <v>5</v>
      </c>
      <c r="E1243" s="109">
        <v>40891</v>
      </c>
      <c r="F1243" s="109">
        <v>204455</v>
      </c>
      <c r="G1243" s="108" t="s">
        <v>2505</v>
      </c>
      <c r="H1243" s="111" t="s">
        <v>16</v>
      </c>
    </row>
    <row r="1244" spans="1:8" ht="33" x14ac:dyDescent="0.2">
      <c r="A1244" s="108">
        <v>6</v>
      </c>
      <c r="B1244" s="108" t="s">
        <v>1626</v>
      </c>
      <c r="C1244" s="110" t="s">
        <v>162</v>
      </c>
      <c r="D1244" s="109">
        <v>1</v>
      </c>
      <c r="E1244" s="109">
        <v>31415</v>
      </c>
      <c r="F1244" s="109">
        <v>31415</v>
      </c>
      <c r="G1244" s="108" t="s">
        <v>2492</v>
      </c>
      <c r="H1244" s="111" t="s">
        <v>16</v>
      </c>
    </row>
    <row r="1245" spans="1:8" ht="33" x14ac:dyDescent="0.2">
      <c r="A1245" s="108">
        <v>7</v>
      </c>
      <c r="B1245" s="108" t="s">
        <v>1621</v>
      </c>
      <c r="C1245" s="110" t="s">
        <v>23</v>
      </c>
      <c r="D1245" s="109">
        <v>0.45</v>
      </c>
      <c r="E1245" s="109">
        <v>2927.78</v>
      </c>
      <c r="F1245" s="109">
        <v>1317.5</v>
      </c>
      <c r="G1245" s="108" t="s">
        <v>2491</v>
      </c>
      <c r="H1245" s="111" t="s">
        <v>16</v>
      </c>
    </row>
    <row r="1246" spans="1:8" ht="33" x14ac:dyDescent="0.2">
      <c r="A1246" s="108"/>
      <c r="B1246" s="108" t="s">
        <v>1516</v>
      </c>
      <c r="C1246" s="110" t="s">
        <v>81</v>
      </c>
      <c r="D1246" s="109">
        <v>1</v>
      </c>
      <c r="E1246" s="109"/>
      <c r="F1246" s="109">
        <v>1061152.75</v>
      </c>
      <c r="G1246" s="108"/>
      <c r="H1246" s="111" t="s">
        <v>16</v>
      </c>
    </row>
    <row r="1247" spans="1:8" ht="33" x14ac:dyDescent="0.2">
      <c r="A1247" s="108"/>
      <c r="B1247" s="108" t="s">
        <v>1515</v>
      </c>
      <c r="C1247" s="110" t="s">
        <v>81</v>
      </c>
      <c r="D1247" s="109"/>
      <c r="E1247" s="109"/>
      <c r="F1247" s="109">
        <v>1061152.75</v>
      </c>
      <c r="G1247" s="108"/>
      <c r="H1247" s="111" t="s">
        <v>16</v>
      </c>
    </row>
    <row r="1248" spans="1:8" ht="16.5" x14ac:dyDescent="0.2">
      <c r="A1248" s="108"/>
      <c r="B1248" s="108"/>
      <c r="C1248" s="110"/>
      <c r="D1248" s="109"/>
      <c r="E1248" s="109"/>
      <c r="F1248" s="109"/>
      <c r="G1248" s="108"/>
    </row>
    <row r="1249" spans="1:8" ht="33" x14ac:dyDescent="0.2">
      <c r="A1249" s="108" t="s">
        <v>2504</v>
      </c>
      <c r="B1249" s="108" t="s">
        <v>485</v>
      </c>
      <c r="C1249" s="110" t="s">
        <v>81</v>
      </c>
      <c r="D1249" s="109">
        <v>1</v>
      </c>
      <c r="E1249" s="109">
        <v>2431046.88</v>
      </c>
      <c r="F1249" s="109"/>
      <c r="G1249" s="108" t="s">
        <v>2503</v>
      </c>
      <c r="H1249" s="111" t="s">
        <v>16</v>
      </c>
    </row>
    <row r="1250" spans="1:8" ht="33" x14ac:dyDescent="0.2">
      <c r="A1250" s="108">
        <v>1</v>
      </c>
      <c r="B1250" s="108" t="s">
        <v>576</v>
      </c>
      <c r="C1250" s="110" t="s">
        <v>50</v>
      </c>
      <c r="D1250" s="109">
        <v>472.88</v>
      </c>
      <c r="E1250" s="109">
        <v>15.96</v>
      </c>
      <c r="F1250" s="109">
        <v>7547.16</v>
      </c>
      <c r="G1250" s="108" t="s">
        <v>2502</v>
      </c>
      <c r="H1250" s="111" t="s">
        <v>16</v>
      </c>
    </row>
    <row r="1251" spans="1:8" ht="33" x14ac:dyDescent="0.2">
      <c r="A1251" s="108">
        <v>2</v>
      </c>
      <c r="B1251" s="108" t="s">
        <v>564</v>
      </c>
      <c r="C1251" s="110" t="s">
        <v>23</v>
      </c>
      <c r="D1251" s="109">
        <v>24.09</v>
      </c>
      <c r="E1251" s="109">
        <v>7517.56</v>
      </c>
      <c r="F1251" s="109">
        <v>181098.02</v>
      </c>
      <c r="G1251" s="108" t="s">
        <v>2501</v>
      </c>
      <c r="H1251" s="111" t="s">
        <v>16</v>
      </c>
    </row>
    <row r="1252" spans="1:8" ht="33" x14ac:dyDescent="0.2">
      <c r="A1252" s="108">
        <v>3</v>
      </c>
      <c r="B1252" s="108" t="s">
        <v>1669</v>
      </c>
      <c r="C1252" s="110" t="s">
        <v>338</v>
      </c>
      <c r="D1252" s="109">
        <v>70.400000000000006</v>
      </c>
      <c r="E1252" s="109">
        <v>5047</v>
      </c>
      <c r="F1252" s="109">
        <v>355308.79999999999</v>
      </c>
      <c r="G1252" s="108" t="s">
        <v>2500</v>
      </c>
      <c r="H1252" s="111" t="s">
        <v>16</v>
      </c>
    </row>
    <row r="1253" spans="1:8" ht="33" x14ac:dyDescent="0.2">
      <c r="A1253" s="108">
        <v>4</v>
      </c>
      <c r="B1253" s="108" t="s">
        <v>1658</v>
      </c>
      <c r="C1253" s="110" t="s">
        <v>338</v>
      </c>
      <c r="D1253" s="109">
        <v>2.15</v>
      </c>
      <c r="E1253" s="109">
        <v>102100</v>
      </c>
      <c r="F1253" s="109">
        <v>219515</v>
      </c>
      <c r="G1253" s="108" t="s">
        <v>2499</v>
      </c>
      <c r="H1253" s="111" t="s">
        <v>16</v>
      </c>
    </row>
    <row r="1254" spans="1:8" ht="33" x14ac:dyDescent="0.2">
      <c r="A1254" s="108">
        <v>5</v>
      </c>
      <c r="B1254" s="108" t="s">
        <v>2498</v>
      </c>
      <c r="C1254" s="110" t="s">
        <v>559</v>
      </c>
      <c r="D1254" s="109">
        <v>3300</v>
      </c>
      <c r="E1254" s="109">
        <v>80</v>
      </c>
      <c r="F1254" s="109">
        <v>264000</v>
      </c>
      <c r="G1254" s="108" t="s">
        <v>2497</v>
      </c>
      <c r="H1254" s="111" t="s">
        <v>16</v>
      </c>
    </row>
    <row r="1255" spans="1:8" ht="33" x14ac:dyDescent="0.2">
      <c r="A1255" s="108">
        <v>6</v>
      </c>
      <c r="B1255" s="108" t="s">
        <v>1616</v>
      </c>
      <c r="C1255" s="110" t="s">
        <v>50</v>
      </c>
      <c r="D1255" s="109">
        <v>45.34</v>
      </c>
      <c r="E1255" s="109">
        <v>794.9</v>
      </c>
      <c r="F1255" s="109">
        <v>36040.769999999997</v>
      </c>
      <c r="G1255" s="108" t="s">
        <v>2496</v>
      </c>
      <c r="H1255" s="111" t="s">
        <v>16</v>
      </c>
    </row>
    <row r="1256" spans="1:8" ht="33" x14ac:dyDescent="0.2">
      <c r="A1256" s="108">
        <v>7</v>
      </c>
      <c r="B1256" s="108" t="s">
        <v>1612</v>
      </c>
      <c r="C1256" s="110" t="s">
        <v>14</v>
      </c>
      <c r="D1256" s="109">
        <v>1</v>
      </c>
      <c r="E1256" s="109">
        <v>1500</v>
      </c>
      <c r="F1256" s="109">
        <v>1500</v>
      </c>
      <c r="G1256" s="108" t="s">
        <v>1611</v>
      </c>
      <c r="H1256" s="111" t="s">
        <v>16</v>
      </c>
    </row>
    <row r="1257" spans="1:8" ht="33" x14ac:dyDescent="0.2">
      <c r="A1257" s="108">
        <v>8</v>
      </c>
      <c r="B1257" s="108" t="s">
        <v>1649</v>
      </c>
      <c r="C1257" s="110" t="s">
        <v>30</v>
      </c>
      <c r="D1257" s="109">
        <v>30.62</v>
      </c>
      <c r="E1257" s="109">
        <v>27335.06</v>
      </c>
      <c r="F1257" s="109">
        <v>836999.54</v>
      </c>
      <c r="G1257" s="108" t="s">
        <v>2495</v>
      </c>
      <c r="H1257" s="111" t="s">
        <v>16</v>
      </c>
    </row>
    <row r="1258" spans="1:8" ht="33" x14ac:dyDescent="0.2">
      <c r="A1258" s="108">
        <v>9</v>
      </c>
      <c r="B1258" s="108" t="s">
        <v>1640</v>
      </c>
      <c r="C1258" s="110" t="s">
        <v>1014</v>
      </c>
      <c r="D1258" s="109">
        <v>4</v>
      </c>
      <c r="E1258" s="109">
        <v>6035.8</v>
      </c>
      <c r="F1258" s="109">
        <v>24143.200000000001</v>
      </c>
      <c r="G1258" s="108" t="s">
        <v>2494</v>
      </c>
      <c r="H1258" s="111" t="s">
        <v>16</v>
      </c>
    </row>
    <row r="1259" spans="1:8" ht="33" x14ac:dyDescent="0.2">
      <c r="A1259" s="108">
        <v>10</v>
      </c>
      <c r="B1259" s="108" t="s">
        <v>1607</v>
      </c>
      <c r="C1259" s="110" t="s">
        <v>162</v>
      </c>
      <c r="D1259" s="109">
        <v>8</v>
      </c>
      <c r="E1259" s="109">
        <v>31415</v>
      </c>
      <c r="F1259" s="109">
        <v>251320</v>
      </c>
      <c r="G1259" s="108" t="s">
        <v>2493</v>
      </c>
      <c r="H1259" s="111" t="s">
        <v>16</v>
      </c>
    </row>
    <row r="1260" spans="1:8" ht="33" x14ac:dyDescent="0.2">
      <c r="A1260" s="108">
        <v>11</v>
      </c>
      <c r="B1260" s="108" t="s">
        <v>1626</v>
      </c>
      <c r="C1260" s="110" t="s">
        <v>162</v>
      </c>
      <c r="D1260" s="109">
        <v>8</v>
      </c>
      <c r="E1260" s="109">
        <v>31415</v>
      </c>
      <c r="F1260" s="109">
        <v>251320</v>
      </c>
      <c r="G1260" s="108" t="s">
        <v>2492</v>
      </c>
      <c r="H1260" s="111" t="s">
        <v>16</v>
      </c>
    </row>
    <row r="1261" spans="1:8" ht="33" x14ac:dyDescent="0.2">
      <c r="A1261" s="108">
        <v>12</v>
      </c>
      <c r="B1261" s="108" t="s">
        <v>1621</v>
      </c>
      <c r="C1261" s="110" t="s">
        <v>23</v>
      </c>
      <c r="D1261" s="109">
        <v>0.77</v>
      </c>
      <c r="E1261" s="109">
        <v>2927.78</v>
      </c>
      <c r="F1261" s="109">
        <v>2254.39</v>
      </c>
      <c r="G1261" s="108" t="s">
        <v>2491</v>
      </c>
      <c r="H1261" s="111" t="s">
        <v>16</v>
      </c>
    </row>
    <row r="1262" spans="1:8" ht="33" x14ac:dyDescent="0.2">
      <c r="A1262" s="108"/>
      <c r="B1262" s="108" t="s">
        <v>1516</v>
      </c>
      <c r="C1262" s="110" t="s">
        <v>81</v>
      </c>
      <c r="D1262" s="109">
        <v>1</v>
      </c>
      <c r="E1262" s="109"/>
      <c r="F1262" s="109">
        <v>2431046.8800000004</v>
      </c>
      <c r="G1262" s="108"/>
      <c r="H1262" s="111" t="s">
        <v>16</v>
      </c>
    </row>
    <row r="1263" spans="1:8" ht="33" x14ac:dyDescent="0.2">
      <c r="A1263" s="108"/>
      <c r="B1263" s="108" t="s">
        <v>1515</v>
      </c>
      <c r="C1263" s="110" t="s">
        <v>81</v>
      </c>
      <c r="D1263" s="109"/>
      <c r="E1263" s="109"/>
      <c r="F1263" s="109">
        <v>2431046.88</v>
      </c>
      <c r="G1263" s="108"/>
      <c r="H1263" s="111" t="s">
        <v>16</v>
      </c>
    </row>
    <row r="1264" spans="1:8" ht="16.5" x14ac:dyDescent="0.2">
      <c r="A1264" s="108"/>
      <c r="B1264" s="108"/>
      <c r="C1264" s="110"/>
      <c r="D1264" s="109"/>
      <c r="E1264" s="109"/>
      <c r="F1264" s="109"/>
      <c r="G1264" s="108"/>
    </row>
    <row r="1265" spans="1:8" ht="42.75" x14ac:dyDescent="0.2">
      <c r="A1265" s="108" t="s">
        <v>2490</v>
      </c>
      <c r="B1265" s="108" t="s">
        <v>500</v>
      </c>
      <c r="C1265" s="110" t="s">
        <v>50</v>
      </c>
      <c r="D1265" s="109">
        <v>1</v>
      </c>
      <c r="E1265" s="109">
        <v>2510.79</v>
      </c>
      <c r="F1265" s="109"/>
      <c r="G1265" s="108" t="s">
        <v>2489</v>
      </c>
      <c r="H1265" s="111" t="s">
        <v>16</v>
      </c>
    </row>
    <row r="1266" spans="1:8" ht="33" x14ac:dyDescent="0.2">
      <c r="A1266" s="108">
        <v>1</v>
      </c>
      <c r="B1266" s="108" t="s">
        <v>392</v>
      </c>
      <c r="C1266" s="110" t="s">
        <v>23</v>
      </c>
      <c r="D1266" s="109">
        <v>0.06</v>
      </c>
      <c r="E1266" s="109">
        <v>3115.13</v>
      </c>
      <c r="F1266" s="109">
        <v>186.91</v>
      </c>
      <c r="G1266" s="108" t="s">
        <v>1548</v>
      </c>
      <c r="H1266" s="111" t="s">
        <v>16</v>
      </c>
    </row>
    <row r="1267" spans="1:8" ht="33" x14ac:dyDescent="0.2">
      <c r="A1267" s="108">
        <v>2</v>
      </c>
      <c r="B1267" s="108" t="s">
        <v>2488</v>
      </c>
      <c r="C1267" s="110" t="s">
        <v>1722</v>
      </c>
      <c r="D1267" s="109">
        <v>0.3</v>
      </c>
      <c r="E1267" s="109">
        <v>2300</v>
      </c>
      <c r="F1267" s="109">
        <v>690</v>
      </c>
      <c r="G1267" s="108" t="s">
        <v>2487</v>
      </c>
      <c r="H1267" s="111" t="s">
        <v>16</v>
      </c>
    </row>
    <row r="1268" spans="1:8" ht="33" x14ac:dyDescent="0.2">
      <c r="A1268" s="108">
        <v>3</v>
      </c>
      <c r="B1268" s="108" t="s">
        <v>2473</v>
      </c>
      <c r="C1268" s="110" t="s">
        <v>97</v>
      </c>
      <c r="D1268" s="109">
        <v>0.8</v>
      </c>
      <c r="E1268" s="109">
        <v>375</v>
      </c>
      <c r="F1268" s="109">
        <v>300</v>
      </c>
      <c r="G1268" s="108" t="s">
        <v>2472</v>
      </c>
      <c r="H1268" s="111" t="s">
        <v>16</v>
      </c>
    </row>
    <row r="1269" spans="1:8" ht="33" x14ac:dyDescent="0.2">
      <c r="A1269" s="108">
        <v>4</v>
      </c>
      <c r="B1269" s="108" t="s">
        <v>1527</v>
      </c>
      <c r="C1269" s="110" t="s">
        <v>97</v>
      </c>
      <c r="D1269" s="109">
        <v>1.44</v>
      </c>
      <c r="E1269" s="109">
        <v>280</v>
      </c>
      <c r="F1269" s="109">
        <v>403.2</v>
      </c>
      <c r="G1269" s="108" t="s">
        <v>1535</v>
      </c>
      <c r="H1269" s="111" t="s">
        <v>16</v>
      </c>
    </row>
    <row r="1270" spans="1:8" ht="33" x14ac:dyDescent="0.2">
      <c r="A1270" s="108">
        <v>5</v>
      </c>
      <c r="B1270" s="108" t="s">
        <v>1598</v>
      </c>
      <c r="C1270" s="110" t="s">
        <v>50</v>
      </c>
      <c r="D1270" s="109">
        <v>1</v>
      </c>
      <c r="E1270" s="109">
        <v>327.55</v>
      </c>
      <c r="F1270" s="109">
        <v>327.55</v>
      </c>
      <c r="G1270" s="108" t="s">
        <v>2486</v>
      </c>
      <c r="H1270" s="111" t="s">
        <v>16</v>
      </c>
    </row>
    <row r="1271" spans="1:8" ht="33" x14ac:dyDescent="0.2">
      <c r="A1271" s="108">
        <v>6</v>
      </c>
      <c r="B1271" s="108" t="s">
        <v>2485</v>
      </c>
      <c r="C1271" s="110" t="s">
        <v>14</v>
      </c>
      <c r="D1271" s="109">
        <v>1</v>
      </c>
      <c r="E1271" s="109">
        <v>30</v>
      </c>
      <c r="F1271" s="109">
        <v>30</v>
      </c>
      <c r="G1271" s="108" t="s">
        <v>2484</v>
      </c>
      <c r="H1271" s="111" t="s">
        <v>16</v>
      </c>
    </row>
    <row r="1272" spans="1:8" ht="33" x14ac:dyDescent="0.2">
      <c r="A1272" s="108">
        <v>7</v>
      </c>
      <c r="B1272" s="108" t="s">
        <v>2475</v>
      </c>
      <c r="C1272" s="110" t="s">
        <v>1722</v>
      </c>
      <c r="D1272" s="109">
        <v>1</v>
      </c>
      <c r="E1272" s="109">
        <v>500</v>
      </c>
      <c r="F1272" s="109">
        <v>500</v>
      </c>
      <c r="G1272" s="108" t="s">
        <v>2474</v>
      </c>
      <c r="H1272" s="111" t="s">
        <v>16</v>
      </c>
    </row>
    <row r="1273" spans="1:8" ht="33" x14ac:dyDescent="0.2">
      <c r="A1273" s="108">
        <v>8</v>
      </c>
      <c r="B1273" s="108" t="s">
        <v>1518</v>
      </c>
      <c r="C1273" s="110" t="s">
        <v>14</v>
      </c>
      <c r="D1273" s="109">
        <v>1</v>
      </c>
      <c r="E1273" s="109">
        <v>73.13</v>
      </c>
      <c r="F1273" s="109">
        <v>73.13</v>
      </c>
      <c r="G1273" s="108" t="s">
        <v>1517</v>
      </c>
      <c r="H1273" s="111" t="s">
        <v>16</v>
      </c>
    </row>
    <row r="1274" spans="1:8" ht="33" x14ac:dyDescent="0.2">
      <c r="A1274" s="108"/>
      <c r="B1274" s="108" t="s">
        <v>1516</v>
      </c>
      <c r="C1274" s="110" t="s">
        <v>50</v>
      </c>
      <c r="D1274" s="109">
        <v>1</v>
      </c>
      <c r="E1274" s="109"/>
      <c r="F1274" s="109">
        <v>2510.79</v>
      </c>
      <c r="G1274" s="108"/>
      <c r="H1274" s="111" t="s">
        <v>16</v>
      </c>
    </row>
    <row r="1275" spans="1:8" ht="33" x14ac:dyDescent="0.2">
      <c r="A1275" s="108"/>
      <c r="B1275" s="108" t="s">
        <v>1515</v>
      </c>
      <c r="C1275" s="110" t="s">
        <v>50</v>
      </c>
      <c r="D1275" s="109"/>
      <c r="E1275" s="109"/>
      <c r="F1275" s="109">
        <v>2510.79</v>
      </c>
      <c r="G1275" s="108"/>
      <c r="H1275" s="111" t="s">
        <v>16</v>
      </c>
    </row>
    <row r="1276" spans="1:8" ht="16.5" x14ac:dyDescent="0.2">
      <c r="A1276" s="108"/>
      <c r="B1276" s="108"/>
      <c r="C1276" s="110"/>
      <c r="D1276" s="109"/>
      <c r="E1276" s="109"/>
      <c r="F1276" s="109"/>
      <c r="G1276" s="108"/>
    </row>
    <row r="1277" spans="1:8" ht="33" x14ac:dyDescent="0.2">
      <c r="A1277" s="108" t="s">
        <v>2483</v>
      </c>
      <c r="B1277" s="108" t="s">
        <v>503</v>
      </c>
      <c r="C1277" s="110" t="s">
        <v>103</v>
      </c>
      <c r="D1277" s="109">
        <v>1</v>
      </c>
      <c r="E1277" s="109">
        <v>3298.06</v>
      </c>
      <c r="F1277" s="109"/>
      <c r="G1277" s="108" t="s">
        <v>2482</v>
      </c>
      <c r="H1277" s="111" t="s">
        <v>16</v>
      </c>
    </row>
    <row r="1278" spans="1:8" ht="33" x14ac:dyDescent="0.2">
      <c r="A1278" s="108">
        <v>1</v>
      </c>
      <c r="B1278" s="108" t="s">
        <v>2481</v>
      </c>
      <c r="C1278" s="110" t="s">
        <v>1722</v>
      </c>
      <c r="D1278" s="109">
        <v>1.1000000000000001</v>
      </c>
      <c r="E1278" s="109">
        <v>2300</v>
      </c>
      <c r="F1278" s="109">
        <v>2530</v>
      </c>
      <c r="G1278" s="108" t="s">
        <v>2480</v>
      </c>
      <c r="H1278" s="111" t="s">
        <v>16</v>
      </c>
    </row>
    <row r="1279" spans="1:8" ht="33" x14ac:dyDescent="0.2">
      <c r="A1279" s="108">
        <v>2</v>
      </c>
      <c r="B1279" s="108" t="s">
        <v>1527</v>
      </c>
      <c r="C1279" s="110" t="s">
        <v>97</v>
      </c>
      <c r="D1279" s="109">
        <v>2.4</v>
      </c>
      <c r="E1279" s="109">
        <v>280</v>
      </c>
      <c r="F1279" s="109">
        <v>672</v>
      </c>
      <c r="G1279" s="108" t="s">
        <v>1535</v>
      </c>
      <c r="H1279" s="111" t="s">
        <v>16</v>
      </c>
    </row>
    <row r="1280" spans="1:8" ht="33" x14ac:dyDescent="0.2">
      <c r="A1280" s="108">
        <v>3</v>
      </c>
      <c r="B1280" s="108" t="s">
        <v>1518</v>
      </c>
      <c r="C1280" s="110" t="s">
        <v>14</v>
      </c>
      <c r="D1280" s="109">
        <v>1</v>
      </c>
      <c r="E1280" s="109">
        <v>96.06</v>
      </c>
      <c r="F1280" s="109">
        <v>96.06</v>
      </c>
      <c r="G1280" s="108" t="s">
        <v>1517</v>
      </c>
      <c r="H1280" s="111" t="s">
        <v>16</v>
      </c>
    </row>
    <row r="1281" spans="1:8" ht="33" x14ac:dyDescent="0.2">
      <c r="A1281" s="108"/>
      <c r="B1281" s="108" t="s">
        <v>1516</v>
      </c>
      <c r="C1281" s="110" t="s">
        <v>103</v>
      </c>
      <c r="D1281" s="109">
        <v>1</v>
      </c>
      <c r="E1281" s="109"/>
      <c r="F1281" s="109">
        <v>3298.06</v>
      </c>
      <c r="G1281" s="108"/>
      <c r="H1281" s="111" t="s">
        <v>16</v>
      </c>
    </row>
    <row r="1282" spans="1:8" ht="33" x14ac:dyDescent="0.2">
      <c r="A1282" s="108"/>
      <c r="B1282" s="108" t="s">
        <v>1515</v>
      </c>
      <c r="C1282" s="110" t="s">
        <v>103</v>
      </c>
      <c r="D1282" s="109"/>
      <c r="E1282" s="109"/>
      <c r="F1282" s="109">
        <v>3298.06</v>
      </c>
      <c r="G1282" s="108"/>
      <c r="H1282" s="111" t="s">
        <v>16</v>
      </c>
    </row>
    <row r="1283" spans="1:8" ht="16.5" x14ac:dyDescent="0.2">
      <c r="A1283" s="108"/>
      <c r="B1283" s="108"/>
      <c r="C1283" s="110"/>
      <c r="D1283" s="109"/>
      <c r="E1283" s="109"/>
      <c r="F1283" s="109"/>
      <c r="G1283" s="108"/>
    </row>
    <row r="1284" spans="1:8" ht="33" x14ac:dyDescent="0.2">
      <c r="A1284" s="108" t="s">
        <v>2479</v>
      </c>
      <c r="B1284" s="108" t="s">
        <v>506</v>
      </c>
      <c r="C1284" s="110" t="s">
        <v>50</v>
      </c>
      <c r="D1284" s="109">
        <v>1</v>
      </c>
      <c r="E1284" s="109">
        <v>2952.19</v>
      </c>
      <c r="F1284" s="109"/>
      <c r="G1284" s="108" t="s">
        <v>2478</v>
      </c>
      <c r="H1284" s="111" t="s">
        <v>16</v>
      </c>
    </row>
    <row r="1285" spans="1:8" ht="33" x14ac:dyDescent="0.2">
      <c r="A1285" s="108">
        <v>1</v>
      </c>
      <c r="B1285" s="108" t="s">
        <v>2477</v>
      </c>
      <c r="C1285" s="110" t="s">
        <v>50</v>
      </c>
      <c r="D1285" s="109">
        <v>0.8</v>
      </c>
      <c r="E1285" s="109">
        <v>2300</v>
      </c>
      <c r="F1285" s="109">
        <v>1840</v>
      </c>
      <c r="G1285" s="108" t="s">
        <v>2476</v>
      </c>
      <c r="H1285" s="111" t="s">
        <v>16</v>
      </c>
    </row>
    <row r="1286" spans="1:8" ht="33" x14ac:dyDescent="0.2">
      <c r="A1286" s="108">
        <v>2</v>
      </c>
      <c r="B1286" s="108" t="s">
        <v>2475</v>
      </c>
      <c r="C1286" s="110" t="s">
        <v>1722</v>
      </c>
      <c r="D1286" s="109">
        <v>0.84</v>
      </c>
      <c r="E1286" s="109">
        <v>500</v>
      </c>
      <c r="F1286" s="109">
        <v>420</v>
      </c>
      <c r="G1286" s="108" t="s">
        <v>2474</v>
      </c>
      <c r="H1286" s="111" t="s">
        <v>16</v>
      </c>
    </row>
    <row r="1287" spans="1:8" ht="33" x14ac:dyDescent="0.2">
      <c r="A1287" s="108">
        <v>3</v>
      </c>
      <c r="B1287" s="108" t="s">
        <v>2473</v>
      </c>
      <c r="C1287" s="110" t="s">
        <v>97</v>
      </c>
      <c r="D1287" s="109">
        <v>0.84</v>
      </c>
      <c r="E1287" s="109">
        <v>375</v>
      </c>
      <c r="F1287" s="109">
        <v>315</v>
      </c>
      <c r="G1287" s="108" t="s">
        <v>2472</v>
      </c>
      <c r="H1287" s="111" t="s">
        <v>16</v>
      </c>
    </row>
    <row r="1288" spans="1:8" ht="33" x14ac:dyDescent="0.2">
      <c r="A1288" s="108">
        <v>4</v>
      </c>
      <c r="B1288" s="108" t="s">
        <v>1527</v>
      </c>
      <c r="C1288" s="110" t="s">
        <v>97</v>
      </c>
      <c r="D1288" s="109">
        <v>1.04</v>
      </c>
      <c r="E1288" s="109">
        <v>280</v>
      </c>
      <c r="F1288" s="109">
        <v>291.2</v>
      </c>
      <c r="G1288" s="108" t="s">
        <v>1535</v>
      </c>
      <c r="H1288" s="111" t="s">
        <v>16</v>
      </c>
    </row>
    <row r="1289" spans="1:8" ht="33" x14ac:dyDescent="0.2">
      <c r="A1289" s="108">
        <v>5</v>
      </c>
      <c r="B1289" s="108" t="s">
        <v>1518</v>
      </c>
      <c r="C1289" s="110" t="s">
        <v>14</v>
      </c>
      <c r="D1289" s="109">
        <v>1</v>
      </c>
      <c r="E1289" s="109">
        <v>85.99</v>
      </c>
      <c r="F1289" s="109">
        <v>85.99</v>
      </c>
      <c r="G1289" s="108" t="s">
        <v>1517</v>
      </c>
      <c r="H1289" s="111" t="s">
        <v>16</v>
      </c>
    </row>
    <row r="1290" spans="1:8" ht="33" x14ac:dyDescent="0.2">
      <c r="A1290" s="108"/>
      <c r="B1290" s="108" t="s">
        <v>1516</v>
      </c>
      <c r="C1290" s="110" t="s">
        <v>50</v>
      </c>
      <c r="D1290" s="109">
        <v>1</v>
      </c>
      <c r="E1290" s="109"/>
      <c r="F1290" s="109">
        <v>2952.1899999999996</v>
      </c>
      <c r="G1290" s="108"/>
      <c r="H1290" s="111" t="s">
        <v>16</v>
      </c>
    </row>
    <row r="1291" spans="1:8" ht="33" x14ac:dyDescent="0.2">
      <c r="A1291" s="108"/>
      <c r="B1291" s="108" t="s">
        <v>1515</v>
      </c>
      <c r="C1291" s="110" t="s">
        <v>50</v>
      </c>
      <c r="D1291" s="109"/>
      <c r="E1291" s="109"/>
      <c r="F1291" s="109">
        <v>2952.19</v>
      </c>
      <c r="G1291" s="108"/>
      <c r="H1291" s="111" t="s">
        <v>16</v>
      </c>
    </row>
    <row r="1292" spans="1:8" ht="16.5" x14ac:dyDescent="0.2">
      <c r="A1292" s="108"/>
      <c r="B1292" s="108"/>
      <c r="C1292" s="110"/>
      <c r="D1292" s="109"/>
      <c r="E1292" s="109"/>
      <c r="F1292" s="109"/>
      <c r="G1292" s="108"/>
    </row>
    <row r="1293" spans="1:8" ht="33" x14ac:dyDescent="0.2">
      <c r="A1293" s="108" t="s">
        <v>2471</v>
      </c>
      <c r="B1293" s="108" t="s">
        <v>509</v>
      </c>
      <c r="C1293" s="110" t="s">
        <v>50</v>
      </c>
      <c r="D1293" s="109">
        <v>1</v>
      </c>
      <c r="E1293" s="109">
        <v>1454.57</v>
      </c>
      <c r="F1293" s="109"/>
      <c r="G1293" s="108" t="s">
        <v>2470</v>
      </c>
      <c r="H1293" s="111" t="s">
        <v>16</v>
      </c>
    </row>
    <row r="1294" spans="1:8" ht="33" x14ac:dyDescent="0.2">
      <c r="A1294" s="108">
        <v>1</v>
      </c>
      <c r="B1294" s="108" t="s">
        <v>1687</v>
      </c>
      <c r="C1294" s="110" t="s">
        <v>50</v>
      </c>
      <c r="D1294" s="109">
        <v>1</v>
      </c>
      <c r="E1294" s="109">
        <v>334</v>
      </c>
      <c r="F1294" s="109">
        <v>334</v>
      </c>
      <c r="G1294" s="108" t="s">
        <v>1686</v>
      </c>
      <c r="H1294" s="111" t="s">
        <v>16</v>
      </c>
    </row>
    <row r="1295" spans="1:8" ht="33" x14ac:dyDescent="0.2">
      <c r="A1295" s="108">
        <v>2</v>
      </c>
      <c r="B1295" s="108" t="s">
        <v>1685</v>
      </c>
      <c r="C1295" s="110" t="s">
        <v>1684</v>
      </c>
      <c r="D1295" s="109">
        <v>0.12</v>
      </c>
      <c r="E1295" s="109">
        <v>185</v>
      </c>
      <c r="F1295" s="109">
        <v>22.2</v>
      </c>
      <c r="G1295" s="108" t="s">
        <v>1683</v>
      </c>
      <c r="H1295" s="111" t="s">
        <v>16</v>
      </c>
    </row>
    <row r="1296" spans="1:8" ht="33" x14ac:dyDescent="0.2">
      <c r="A1296" s="108">
        <v>3</v>
      </c>
      <c r="B1296" s="108" t="s">
        <v>1682</v>
      </c>
      <c r="C1296" s="110" t="s">
        <v>110</v>
      </c>
      <c r="D1296" s="109">
        <v>12</v>
      </c>
      <c r="E1296" s="109">
        <v>15</v>
      </c>
      <c r="F1296" s="109">
        <v>180</v>
      </c>
      <c r="G1296" s="108" t="s">
        <v>1681</v>
      </c>
      <c r="H1296" s="111" t="s">
        <v>16</v>
      </c>
    </row>
    <row r="1297" spans="1:8" ht="33" x14ac:dyDescent="0.2">
      <c r="A1297" s="108">
        <v>4</v>
      </c>
      <c r="B1297" s="108" t="s">
        <v>1680</v>
      </c>
      <c r="C1297" s="110" t="s">
        <v>110</v>
      </c>
      <c r="D1297" s="109">
        <v>3</v>
      </c>
      <c r="E1297" s="109">
        <v>12</v>
      </c>
      <c r="F1297" s="109">
        <v>36</v>
      </c>
      <c r="G1297" s="108" t="s">
        <v>1679</v>
      </c>
      <c r="H1297" s="111" t="s">
        <v>16</v>
      </c>
    </row>
    <row r="1298" spans="1:8" ht="33" x14ac:dyDescent="0.2">
      <c r="A1298" s="108">
        <v>5</v>
      </c>
      <c r="B1298" s="108" t="s">
        <v>2469</v>
      </c>
      <c r="C1298" s="110" t="s">
        <v>14</v>
      </c>
      <c r="D1298" s="109">
        <v>1</v>
      </c>
      <c r="E1298" s="109">
        <v>5</v>
      </c>
      <c r="F1298" s="109">
        <v>5</v>
      </c>
      <c r="G1298" s="108" t="s">
        <v>2468</v>
      </c>
      <c r="H1298" s="111" t="s">
        <v>16</v>
      </c>
    </row>
    <row r="1299" spans="1:8" ht="33" x14ac:dyDescent="0.2">
      <c r="A1299" s="108">
        <v>6</v>
      </c>
      <c r="B1299" s="108" t="s">
        <v>1672</v>
      </c>
      <c r="C1299" s="110" t="s">
        <v>97</v>
      </c>
      <c r="D1299" s="109">
        <v>1</v>
      </c>
      <c r="E1299" s="109">
        <v>280</v>
      </c>
      <c r="F1299" s="109">
        <v>280</v>
      </c>
      <c r="G1299" s="108" t="s">
        <v>1671</v>
      </c>
      <c r="H1299" s="111" t="s">
        <v>16</v>
      </c>
    </row>
    <row r="1300" spans="1:8" ht="33" x14ac:dyDescent="0.2">
      <c r="A1300" s="108">
        <v>7</v>
      </c>
      <c r="B1300" s="108" t="s">
        <v>2467</v>
      </c>
      <c r="C1300" s="110" t="s">
        <v>97</v>
      </c>
      <c r="D1300" s="109">
        <v>1.4</v>
      </c>
      <c r="E1300" s="109">
        <v>375</v>
      </c>
      <c r="F1300" s="109">
        <v>525</v>
      </c>
      <c r="G1300" s="108" t="s">
        <v>2466</v>
      </c>
      <c r="H1300" s="111" t="s">
        <v>16</v>
      </c>
    </row>
    <row r="1301" spans="1:8" ht="33" x14ac:dyDescent="0.2">
      <c r="A1301" s="108">
        <v>8</v>
      </c>
      <c r="B1301" s="108" t="s">
        <v>2465</v>
      </c>
      <c r="C1301" s="110" t="s">
        <v>50</v>
      </c>
      <c r="D1301" s="109">
        <v>1</v>
      </c>
      <c r="E1301" s="109">
        <v>30</v>
      </c>
      <c r="F1301" s="109">
        <v>30</v>
      </c>
      <c r="G1301" s="108" t="s">
        <v>2464</v>
      </c>
      <c r="H1301" s="111" t="s">
        <v>16</v>
      </c>
    </row>
    <row r="1302" spans="1:8" ht="33" x14ac:dyDescent="0.2">
      <c r="A1302" s="108">
        <v>9</v>
      </c>
      <c r="B1302" s="108" t="s">
        <v>1543</v>
      </c>
      <c r="C1302" s="110" t="s">
        <v>14</v>
      </c>
      <c r="D1302" s="109">
        <v>1</v>
      </c>
      <c r="E1302" s="109">
        <v>42.37</v>
      </c>
      <c r="F1302" s="109">
        <v>42.37</v>
      </c>
      <c r="G1302" s="108" t="s">
        <v>1542</v>
      </c>
      <c r="H1302" s="111" t="s">
        <v>16</v>
      </c>
    </row>
    <row r="1303" spans="1:8" ht="33" x14ac:dyDescent="0.2">
      <c r="A1303" s="108"/>
      <c r="B1303" s="108" t="s">
        <v>1516</v>
      </c>
      <c r="C1303" s="110" t="s">
        <v>50</v>
      </c>
      <c r="D1303" s="109">
        <v>1</v>
      </c>
      <c r="E1303" s="109"/>
      <c r="F1303" s="109">
        <v>1454.57</v>
      </c>
      <c r="G1303" s="108"/>
      <c r="H1303" s="111" t="s">
        <v>16</v>
      </c>
    </row>
    <row r="1304" spans="1:8" ht="33" x14ac:dyDescent="0.2">
      <c r="A1304" s="108"/>
      <c r="B1304" s="108" t="s">
        <v>1515</v>
      </c>
      <c r="C1304" s="110" t="s">
        <v>50</v>
      </c>
      <c r="D1304" s="109"/>
      <c r="E1304" s="109"/>
      <c r="F1304" s="109">
        <v>1454.57</v>
      </c>
      <c r="G1304" s="108"/>
      <c r="H1304" s="111" t="s">
        <v>16</v>
      </c>
    </row>
    <row r="1305" spans="1:8" ht="16.5" x14ac:dyDescent="0.2">
      <c r="A1305" s="108"/>
      <c r="B1305" s="108"/>
      <c r="C1305" s="110"/>
      <c r="D1305" s="109"/>
      <c r="E1305" s="109"/>
      <c r="F1305" s="109"/>
      <c r="G1305" s="108"/>
    </row>
    <row r="1306" spans="1:8" ht="33" x14ac:dyDescent="0.2">
      <c r="A1306" s="108" t="s">
        <v>2463</v>
      </c>
      <c r="B1306" s="108" t="s">
        <v>516</v>
      </c>
      <c r="C1306" s="110" t="s">
        <v>50</v>
      </c>
      <c r="D1306" s="109">
        <v>1</v>
      </c>
      <c r="E1306" s="109">
        <v>885.8</v>
      </c>
      <c r="F1306" s="109"/>
      <c r="G1306" s="108" t="s">
        <v>2462</v>
      </c>
      <c r="H1306" s="111" t="s">
        <v>16</v>
      </c>
    </row>
    <row r="1307" spans="1:8" ht="33" x14ac:dyDescent="0.2">
      <c r="A1307" s="108">
        <v>1</v>
      </c>
      <c r="B1307" s="108" t="s">
        <v>2461</v>
      </c>
      <c r="C1307" s="110" t="s">
        <v>50</v>
      </c>
      <c r="D1307" s="109">
        <v>1</v>
      </c>
      <c r="E1307" s="109">
        <v>54</v>
      </c>
      <c r="F1307" s="109">
        <v>54</v>
      </c>
      <c r="G1307" s="108" t="s">
        <v>2460</v>
      </c>
      <c r="H1307" s="111" t="s">
        <v>16</v>
      </c>
    </row>
    <row r="1308" spans="1:8" ht="33" x14ac:dyDescent="0.2">
      <c r="A1308" s="108">
        <v>2</v>
      </c>
      <c r="B1308" s="108" t="s">
        <v>2459</v>
      </c>
      <c r="C1308" s="110" t="s">
        <v>50</v>
      </c>
      <c r="D1308" s="109">
        <v>1</v>
      </c>
      <c r="E1308" s="109">
        <v>600</v>
      </c>
      <c r="F1308" s="109">
        <v>600</v>
      </c>
      <c r="G1308" s="108" t="s">
        <v>2458</v>
      </c>
      <c r="H1308" s="111" t="s">
        <v>16</v>
      </c>
    </row>
    <row r="1309" spans="1:8" ht="33" x14ac:dyDescent="0.2">
      <c r="A1309" s="108">
        <v>3</v>
      </c>
      <c r="B1309" s="108" t="s">
        <v>1339</v>
      </c>
      <c r="C1309" s="110" t="s">
        <v>1359</v>
      </c>
      <c r="D1309" s="109">
        <v>1</v>
      </c>
      <c r="E1309" s="109">
        <v>150</v>
      </c>
      <c r="F1309" s="109">
        <v>150</v>
      </c>
      <c r="G1309" s="108" t="s">
        <v>2457</v>
      </c>
      <c r="H1309" s="111" t="s">
        <v>16</v>
      </c>
    </row>
    <row r="1310" spans="1:8" ht="33" x14ac:dyDescent="0.2">
      <c r="A1310" s="108">
        <v>4</v>
      </c>
      <c r="B1310" s="108" t="s">
        <v>1527</v>
      </c>
      <c r="C1310" s="110" t="s">
        <v>97</v>
      </c>
      <c r="D1310" s="109">
        <v>0.2</v>
      </c>
      <c r="E1310" s="109">
        <v>280</v>
      </c>
      <c r="F1310" s="109">
        <v>56</v>
      </c>
      <c r="G1310" s="108" t="s">
        <v>1535</v>
      </c>
      <c r="H1310" s="111" t="s">
        <v>16</v>
      </c>
    </row>
    <row r="1311" spans="1:8" ht="33" x14ac:dyDescent="0.2">
      <c r="A1311" s="108">
        <v>5</v>
      </c>
      <c r="B1311" s="108" t="s">
        <v>1518</v>
      </c>
      <c r="C1311" s="110" t="s">
        <v>14</v>
      </c>
      <c r="D1311" s="109">
        <v>1</v>
      </c>
      <c r="E1311" s="109">
        <v>25.8</v>
      </c>
      <c r="F1311" s="109">
        <v>25.8</v>
      </c>
      <c r="G1311" s="108" t="s">
        <v>1517</v>
      </c>
      <c r="H1311" s="111" t="s">
        <v>16</v>
      </c>
    </row>
    <row r="1312" spans="1:8" ht="33" x14ac:dyDescent="0.2">
      <c r="A1312" s="108"/>
      <c r="B1312" s="108" t="s">
        <v>1516</v>
      </c>
      <c r="C1312" s="110" t="s">
        <v>50</v>
      </c>
      <c r="D1312" s="109">
        <v>1</v>
      </c>
      <c r="E1312" s="109"/>
      <c r="F1312" s="109">
        <v>885.8</v>
      </c>
      <c r="G1312" s="108"/>
      <c r="H1312" s="111" t="s">
        <v>16</v>
      </c>
    </row>
    <row r="1313" spans="1:8" ht="33" x14ac:dyDescent="0.2">
      <c r="A1313" s="108"/>
      <c r="B1313" s="108" t="s">
        <v>1515</v>
      </c>
      <c r="C1313" s="110" t="s">
        <v>50</v>
      </c>
      <c r="D1313" s="109"/>
      <c r="E1313" s="109"/>
      <c r="F1313" s="109">
        <v>885.8</v>
      </c>
      <c r="G1313" s="108"/>
      <c r="H1313" s="111" t="s">
        <v>16</v>
      </c>
    </row>
    <row r="1314" spans="1:8" ht="16.5" x14ac:dyDescent="0.2">
      <c r="A1314" s="108"/>
      <c r="B1314" s="108"/>
      <c r="C1314" s="110"/>
      <c r="D1314" s="109"/>
      <c r="E1314" s="109"/>
      <c r="F1314" s="109"/>
      <c r="G1314" s="108"/>
    </row>
    <row r="1315" spans="1:8" ht="33" x14ac:dyDescent="0.2">
      <c r="A1315" s="108" t="s">
        <v>2456</v>
      </c>
      <c r="B1315" s="108" t="s">
        <v>520</v>
      </c>
      <c r="C1315" s="110" t="s">
        <v>30</v>
      </c>
      <c r="D1315" s="109">
        <v>1</v>
      </c>
      <c r="E1315" s="109">
        <v>326.3</v>
      </c>
      <c r="F1315" s="109"/>
      <c r="G1315" s="108" t="s">
        <v>2455</v>
      </c>
      <c r="H1315" s="111" t="s">
        <v>16</v>
      </c>
    </row>
    <row r="1316" spans="1:8" ht="33" x14ac:dyDescent="0.2">
      <c r="A1316" s="108">
        <v>1</v>
      </c>
      <c r="B1316" s="108" t="s">
        <v>2454</v>
      </c>
      <c r="C1316" s="110" t="s">
        <v>30</v>
      </c>
      <c r="D1316" s="109">
        <v>1</v>
      </c>
      <c r="E1316" s="109">
        <v>300</v>
      </c>
      <c r="F1316" s="109">
        <v>300</v>
      </c>
      <c r="G1316" s="108" t="s">
        <v>2453</v>
      </c>
      <c r="H1316" s="111" t="s">
        <v>16</v>
      </c>
    </row>
    <row r="1317" spans="1:8" ht="33" x14ac:dyDescent="0.2">
      <c r="A1317" s="108">
        <v>2</v>
      </c>
      <c r="B1317" s="108" t="s">
        <v>1527</v>
      </c>
      <c r="C1317" s="110" t="s">
        <v>97</v>
      </c>
      <c r="D1317" s="109">
        <v>0.06</v>
      </c>
      <c r="E1317" s="109">
        <v>280</v>
      </c>
      <c r="F1317" s="109">
        <v>16.8</v>
      </c>
      <c r="G1317" s="108" t="s">
        <v>1535</v>
      </c>
      <c r="H1317" s="111" t="s">
        <v>16</v>
      </c>
    </row>
    <row r="1318" spans="1:8" ht="33" x14ac:dyDescent="0.2">
      <c r="A1318" s="108">
        <v>3</v>
      </c>
      <c r="B1318" s="108" t="s">
        <v>1518</v>
      </c>
      <c r="C1318" s="110" t="s">
        <v>14</v>
      </c>
      <c r="D1318" s="109">
        <v>1</v>
      </c>
      <c r="E1318" s="109">
        <v>9.5</v>
      </c>
      <c r="F1318" s="109">
        <v>9.5</v>
      </c>
      <c r="G1318" s="108" t="s">
        <v>1517</v>
      </c>
      <c r="H1318" s="111" t="s">
        <v>16</v>
      </c>
    </row>
    <row r="1319" spans="1:8" ht="33" x14ac:dyDescent="0.2">
      <c r="A1319" s="108"/>
      <c r="B1319" s="108" t="s">
        <v>1516</v>
      </c>
      <c r="C1319" s="110" t="s">
        <v>30</v>
      </c>
      <c r="D1319" s="109">
        <v>1</v>
      </c>
      <c r="E1319" s="109"/>
      <c r="F1319" s="109">
        <v>326.3</v>
      </c>
      <c r="G1319" s="108"/>
      <c r="H1319" s="111" t="s">
        <v>16</v>
      </c>
    </row>
    <row r="1320" spans="1:8" ht="33" x14ac:dyDescent="0.2">
      <c r="A1320" s="108"/>
      <c r="B1320" s="108" t="s">
        <v>1515</v>
      </c>
      <c r="C1320" s="110" t="s">
        <v>30</v>
      </c>
      <c r="D1320" s="109"/>
      <c r="E1320" s="109"/>
      <c r="F1320" s="109">
        <v>326.3</v>
      </c>
      <c r="G1320" s="108"/>
      <c r="H1320" s="111" t="s">
        <v>16</v>
      </c>
    </row>
    <row r="1321" spans="1:8" ht="16.5" x14ac:dyDescent="0.2">
      <c r="A1321" s="108"/>
      <c r="B1321" s="108"/>
      <c r="C1321" s="110"/>
      <c r="D1321" s="109"/>
      <c r="E1321" s="109"/>
      <c r="F1321" s="109"/>
      <c r="G1321" s="108"/>
    </row>
    <row r="1322" spans="1:8" ht="71.25" x14ac:dyDescent="0.2">
      <c r="A1322" s="108" t="s">
        <v>2452</v>
      </c>
      <c r="B1322" s="108" t="s">
        <v>524</v>
      </c>
      <c r="C1322" s="110" t="s">
        <v>30</v>
      </c>
      <c r="D1322" s="109">
        <v>12</v>
      </c>
      <c r="E1322" s="109">
        <v>1707.13</v>
      </c>
      <c r="F1322" s="109"/>
      <c r="G1322" s="108" t="s">
        <v>2451</v>
      </c>
      <c r="H1322" s="111" t="s">
        <v>16</v>
      </c>
    </row>
    <row r="1323" spans="1:8" ht="33" x14ac:dyDescent="0.2">
      <c r="A1323" s="108">
        <v>1</v>
      </c>
      <c r="B1323" s="108" t="s">
        <v>2450</v>
      </c>
      <c r="C1323" s="110" t="s">
        <v>559</v>
      </c>
      <c r="D1323" s="109">
        <v>1</v>
      </c>
      <c r="E1323" s="109">
        <v>15477.2</v>
      </c>
      <c r="F1323" s="109">
        <v>15477.2</v>
      </c>
      <c r="G1323" s="108" t="s">
        <v>2449</v>
      </c>
      <c r="H1323" s="111" t="s">
        <v>16</v>
      </c>
    </row>
    <row r="1324" spans="1:8" ht="33" x14ac:dyDescent="0.2">
      <c r="A1324" s="108">
        <v>2</v>
      </c>
      <c r="B1324" s="108" t="s">
        <v>2448</v>
      </c>
      <c r="C1324" s="110" t="s">
        <v>97</v>
      </c>
      <c r="D1324" s="109">
        <v>0.87</v>
      </c>
      <c r="E1324" s="109">
        <v>1200</v>
      </c>
      <c r="F1324" s="109">
        <v>1044</v>
      </c>
      <c r="G1324" s="108" t="s">
        <v>2447</v>
      </c>
      <c r="H1324" s="111" t="s">
        <v>16</v>
      </c>
    </row>
    <row r="1325" spans="1:8" ht="33" x14ac:dyDescent="0.2">
      <c r="A1325" s="108">
        <v>3</v>
      </c>
      <c r="B1325" s="108" t="s">
        <v>1587</v>
      </c>
      <c r="C1325" s="110" t="s">
        <v>97</v>
      </c>
      <c r="D1325" s="109">
        <v>0.87</v>
      </c>
      <c r="E1325" s="109">
        <v>1365</v>
      </c>
      <c r="F1325" s="109">
        <v>1187.55</v>
      </c>
      <c r="G1325" s="108" t="s">
        <v>1586</v>
      </c>
      <c r="H1325" s="111" t="s">
        <v>16</v>
      </c>
    </row>
    <row r="1326" spans="1:8" ht="33" x14ac:dyDescent="0.2">
      <c r="A1326" s="108">
        <v>4</v>
      </c>
      <c r="B1326" s="108" t="s">
        <v>2446</v>
      </c>
      <c r="C1326" s="110" t="s">
        <v>97</v>
      </c>
      <c r="D1326" s="109">
        <v>0.87</v>
      </c>
      <c r="E1326" s="109">
        <v>437.5</v>
      </c>
      <c r="F1326" s="109">
        <v>380.63</v>
      </c>
      <c r="G1326" s="108" t="s">
        <v>2445</v>
      </c>
      <c r="H1326" s="111" t="s">
        <v>16</v>
      </c>
    </row>
    <row r="1327" spans="1:8" ht="33" x14ac:dyDescent="0.2">
      <c r="A1327" s="108">
        <v>5</v>
      </c>
      <c r="B1327" s="108" t="s">
        <v>2444</v>
      </c>
      <c r="C1327" s="110" t="s">
        <v>97</v>
      </c>
      <c r="D1327" s="109">
        <v>0.87</v>
      </c>
      <c r="E1327" s="109">
        <v>375</v>
      </c>
      <c r="F1327" s="109">
        <v>326.25</v>
      </c>
      <c r="G1327" s="108" t="s">
        <v>2443</v>
      </c>
      <c r="H1327" s="111" t="s">
        <v>16</v>
      </c>
    </row>
    <row r="1328" spans="1:8" ht="33" x14ac:dyDescent="0.2">
      <c r="A1328" s="108">
        <v>6</v>
      </c>
      <c r="B1328" s="108" t="s">
        <v>1585</v>
      </c>
      <c r="C1328" s="110" t="s">
        <v>97</v>
      </c>
      <c r="D1328" s="109">
        <v>0.87</v>
      </c>
      <c r="E1328" s="109">
        <v>375</v>
      </c>
      <c r="F1328" s="109">
        <v>326.25</v>
      </c>
      <c r="G1328" s="108" t="s">
        <v>1584</v>
      </c>
      <c r="H1328" s="111" t="s">
        <v>16</v>
      </c>
    </row>
    <row r="1329" spans="1:8" ht="33" x14ac:dyDescent="0.2">
      <c r="A1329" s="108">
        <v>7</v>
      </c>
      <c r="B1329" s="108" t="s">
        <v>2442</v>
      </c>
      <c r="C1329" s="110" t="s">
        <v>97</v>
      </c>
      <c r="D1329" s="109">
        <v>0.87</v>
      </c>
      <c r="E1329" s="109">
        <v>375</v>
      </c>
      <c r="F1329" s="109">
        <v>326.25</v>
      </c>
      <c r="G1329" s="108" t="s">
        <v>2441</v>
      </c>
      <c r="H1329" s="111" t="s">
        <v>16</v>
      </c>
    </row>
    <row r="1330" spans="1:8" ht="33" x14ac:dyDescent="0.2">
      <c r="A1330" s="108">
        <v>8</v>
      </c>
      <c r="B1330" s="108" t="s">
        <v>1527</v>
      </c>
      <c r="C1330" s="110" t="s">
        <v>97</v>
      </c>
      <c r="D1330" s="109">
        <v>2.61</v>
      </c>
      <c r="E1330" s="109">
        <v>280</v>
      </c>
      <c r="F1330" s="109">
        <v>730.8</v>
      </c>
      <c r="G1330" s="108" t="s">
        <v>1535</v>
      </c>
      <c r="H1330" s="111" t="s">
        <v>16</v>
      </c>
    </row>
    <row r="1331" spans="1:8" ht="42.75" x14ac:dyDescent="0.2">
      <c r="A1331" s="108">
        <v>9</v>
      </c>
      <c r="B1331" s="108" t="s">
        <v>2440</v>
      </c>
      <c r="C1331" s="110" t="s">
        <v>14</v>
      </c>
      <c r="D1331" s="109">
        <v>1</v>
      </c>
      <c r="E1331" s="109">
        <v>90</v>
      </c>
      <c r="F1331" s="109">
        <v>90</v>
      </c>
      <c r="G1331" s="108" t="s">
        <v>2439</v>
      </c>
      <c r="H1331" s="111" t="s">
        <v>16</v>
      </c>
    </row>
    <row r="1332" spans="1:8" ht="33" x14ac:dyDescent="0.2">
      <c r="A1332" s="108">
        <v>10</v>
      </c>
      <c r="B1332" s="108" t="s">
        <v>1518</v>
      </c>
      <c r="C1332" s="110" t="s">
        <v>14</v>
      </c>
      <c r="D1332" s="109">
        <v>1</v>
      </c>
      <c r="E1332" s="109">
        <v>596.66999999999996</v>
      </c>
      <c r="F1332" s="109">
        <v>596.66999999999996</v>
      </c>
      <c r="G1332" s="108" t="s">
        <v>1517</v>
      </c>
      <c r="H1332" s="111" t="s">
        <v>16</v>
      </c>
    </row>
    <row r="1333" spans="1:8" ht="33" x14ac:dyDescent="0.2">
      <c r="A1333" s="108"/>
      <c r="B1333" s="108" t="s">
        <v>1516</v>
      </c>
      <c r="C1333" s="110" t="s">
        <v>30</v>
      </c>
      <c r="D1333" s="109">
        <v>12</v>
      </c>
      <c r="E1333" s="109"/>
      <c r="F1333" s="109">
        <v>20485.599999999999</v>
      </c>
      <c r="G1333" s="108"/>
      <c r="H1333" s="111" t="s">
        <v>16</v>
      </c>
    </row>
    <row r="1334" spans="1:8" ht="33" x14ac:dyDescent="0.2">
      <c r="A1334" s="108"/>
      <c r="B1334" s="108" t="s">
        <v>1515</v>
      </c>
      <c r="C1334" s="110" t="s">
        <v>30</v>
      </c>
      <c r="D1334" s="109"/>
      <c r="E1334" s="109"/>
      <c r="F1334" s="109">
        <v>1707.13</v>
      </c>
      <c r="G1334" s="108"/>
      <c r="H1334" s="111" t="s">
        <v>16</v>
      </c>
    </row>
    <row r="1335" spans="1:8" ht="16.5" x14ac:dyDescent="0.2">
      <c r="A1335" s="108"/>
      <c r="B1335" s="108"/>
      <c r="C1335" s="110"/>
      <c r="D1335" s="109"/>
      <c r="E1335" s="109"/>
      <c r="F1335" s="109"/>
      <c r="G1335" s="108"/>
    </row>
    <row r="1336" spans="1:8" ht="33" x14ac:dyDescent="0.2">
      <c r="A1336" s="108" t="s">
        <v>2438</v>
      </c>
      <c r="B1336" s="108" t="s">
        <v>534</v>
      </c>
      <c r="C1336" s="110" t="s">
        <v>23</v>
      </c>
      <c r="D1336" s="109">
        <v>1</v>
      </c>
      <c r="E1336" s="109">
        <v>1749.25</v>
      </c>
      <c r="F1336" s="109"/>
      <c r="G1336" s="108" t="s">
        <v>2437</v>
      </c>
      <c r="H1336" s="111" t="s">
        <v>16</v>
      </c>
    </row>
    <row r="1337" spans="1:8" ht="33" x14ac:dyDescent="0.2">
      <c r="A1337" s="108">
        <v>1</v>
      </c>
      <c r="B1337" s="108" t="s">
        <v>2436</v>
      </c>
      <c r="C1337" s="110" t="s">
        <v>23</v>
      </c>
      <c r="D1337" s="109">
        <v>1</v>
      </c>
      <c r="E1337" s="109">
        <v>1500</v>
      </c>
      <c r="F1337" s="109">
        <v>1500</v>
      </c>
      <c r="G1337" s="108" t="s">
        <v>2435</v>
      </c>
      <c r="H1337" s="111" t="s">
        <v>16</v>
      </c>
    </row>
    <row r="1338" spans="1:8" ht="33" x14ac:dyDescent="0.2">
      <c r="A1338" s="108">
        <v>2</v>
      </c>
      <c r="B1338" s="108" t="s">
        <v>1694</v>
      </c>
      <c r="C1338" s="110" t="s">
        <v>97</v>
      </c>
      <c r="D1338" s="109">
        <v>0.19</v>
      </c>
      <c r="E1338" s="109">
        <v>375</v>
      </c>
      <c r="F1338" s="109">
        <v>71.25</v>
      </c>
      <c r="G1338" s="108" t="s">
        <v>1693</v>
      </c>
      <c r="H1338" s="111" t="s">
        <v>16</v>
      </c>
    </row>
    <row r="1339" spans="1:8" ht="33" x14ac:dyDescent="0.2">
      <c r="A1339" s="108">
        <v>3</v>
      </c>
      <c r="B1339" s="108" t="s">
        <v>1527</v>
      </c>
      <c r="C1339" s="110" t="s">
        <v>97</v>
      </c>
      <c r="D1339" s="109">
        <v>0.39</v>
      </c>
      <c r="E1339" s="109">
        <v>280</v>
      </c>
      <c r="F1339" s="109">
        <v>109.2</v>
      </c>
      <c r="G1339" s="108" t="s">
        <v>1535</v>
      </c>
      <c r="H1339" s="111" t="s">
        <v>16</v>
      </c>
    </row>
    <row r="1340" spans="1:8" ht="33" x14ac:dyDescent="0.2">
      <c r="A1340" s="108">
        <v>4</v>
      </c>
      <c r="B1340" s="108" t="s">
        <v>2434</v>
      </c>
      <c r="C1340" s="110" t="s">
        <v>14</v>
      </c>
      <c r="D1340" s="109">
        <v>1</v>
      </c>
      <c r="E1340" s="109">
        <v>17.850000000000001</v>
      </c>
      <c r="F1340" s="109">
        <v>17.850000000000001</v>
      </c>
      <c r="G1340" s="108" t="s">
        <v>2433</v>
      </c>
      <c r="H1340" s="111" t="s">
        <v>16</v>
      </c>
    </row>
    <row r="1341" spans="1:8" ht="33" x14ac:dyDescent="0.2">
      <c r="A1341" s="108">
        <v>5</v>
      </c>
      <c r="B1341" s="108" t="s">
        <v>1543</v>
      </c>
      <c r="C1341" s="110" t="s">
        <v>14</v>
      </c>
      <c r="D1341" s="109">
        <v>1</v>
      </c>
      <c r="E1341" s="109">
        <v>50.95</v>
      </c>
      <c r="F1341" s="109">
        <v>50.95</v>
      </c>
      <c r="G1341" s="108" t="s">
        <v>1542</v>
      </c>
      <c r="H1341" s="111" t="s">
        <v>16</v>
      </c>
    </row>
    <row r="1342" spans="1:8" ht="33" x14ac:dyDescent="0.2">
      <c r="A1342" s="108"/>
      <c r="B1342" s="108" t="s">
        <v>1516</v>
      </c>
      <c r="C1342" s="110" t="s">
        <v>23</v>
      </c>
      <c r="D1342" s="109">
        <v>1</v>
      </c>
      <c r="E1342" s="109"/>
      <c r="F1342" s="109">
        <v>1749.25</v>
      </c>
      <c r="G1342" s="108"/>
      <c r="H1342" s="111" t="s">
        <v>16</v>
      </c>
    </row>
    <row r="1343" spans="1:8" ht="33" x14ac:dyDescent="0.2">
      <c r="A1343" s="108"/>
      <c r="B1343" s="108" t="s">
        <v>1515</v>
      </c>
      <c r="C1343" s="110" t="s">
        <v>23</v>
      </c>
      <c r="D1343" s="109"/>
      <c r="E1343" s="109"/>
      <c r="F1343" s="109">
        <v>1749.25</v>
      </c>
      <c r="G1343" s="108"/>
      <c r="H1343" s="111" t="s">
        <v>16</v>
      </c>
    </row>
    <row r="1344" spans="1:8" ht="16.5" x14ac:dyDescent="0.2">
      <c r="A1344" s="108"/>
      <c r="B1344" s="108"/>
      <c r="C1344" s="110"/>
      <c r="D1344" s="109"/>
      <c r="E1344" s="109"/>
      <c r="F1344" s="109"/>
      <c r="G1344" s="108"/>
    </row>
    <row r="1345" spans="1:8" ht="33" x14ac:dyDescent="0.2">
      <c r="A1345" s="108" t="s">
        <v>2432</v>
      </c>
      <c r="B1345" s="108" t="s">
        <v>543</v>
      </c>
      <c r="C1345" s="110" t="s">
        <v>30</v>
      </c>
      <c r="D1345" s="109">
        <v>2.4</v>
      </c>
      <c r="E1345" s="109">
        <v>2865.95</v>
      </c>
      <c r="F1345" s="109"/>
      <c r="G1345" s="108" t="s">
        <v>2431</v>
      </c>
      <c r="H1345" s="111" t="s">
        <v>16</v>
      </c>
    </row>
    <row r="1346" spans="1:8" ht="33" x14ac:dyDescent="0.2">
      <c r="A1346" s="108">
        <v>1</v>
      </c>
      <c r="B1346" s="108" t="s">
        <v>2430</v>
      </c>
      <c r="C1346" s="110" t="s">
        <v>559</v>
      </c>
      <c r="D1346" s="109">
        <v>1</v>
      </c>
      <c r="E1346" s="109">
        <v>4470</v>
      </c>
      <c r="F1346" s="109">
        <v>4470</v>
      </c>
      <c r="G1346" s="108" t="s">
        <v>2429</v>
      </c>
      <c r="H1346" s="111" t="s">
        <v>16</v>
      </c>
    </row>
    <row r="1347" spans="1:8" ht="33" x14ac:dyDescent="0.2">
      <c r="A1347" s="108">
        <v>2</v>
      </c>
      <c r="B1347" s="108" t="s">
        <v>2428</v>
      </c>
      <c r="C1347" s="110" t="s">
        <v>97</v>
      </c>
      <c r="D1347" s="109">
        <v>0.56999999999999995</v>
      </c>
      <c r="E1347" s="109">
        <v>375</v>
      </c>
      <c r="F1347" s="109">
        <v>213.75</v>
      </c>
      <c r="G1347" s="108" t="s">
        <v>2427</v>
      </c>
      <c r="H1347" s="111" t="s">
        <v>16</v>
      </c>
    </row>
    <row r="1348" spans="1:8" ht="33" x14ac:dyDescent="0.2">
      <c r="A1348" s="108">
        <v>3</v>
      </c>
      <c r="B1348" s="108" t="s">
        <v>1527</v>
      </c>
      <c r="C1348" s="110" t="s">
        <v>97</v>
      </c>
      <c r="D1348" s="109">
        <v>1.1399999999999999</v>
      </c>
      <c r="E1348" s="109">
        <v>280</v>
      </c>
      <c r="F1348" s="109">
        <v>319.2</v>
      </c>
      <c r="G1348" s="108" t="s">
        <v>1535</v>
      </c>
      <c r="H1348" s="111" t="s">
        <v>16</v>
      </c>
    </row>
    <row r="1349" spans="1:8" ht="33" x14ac:dyDescent="0.2">
      <c r="A1349" s="108">
        <v>4</v>
      </c>
      <c r="B1349" s="108" t="s">
        <v>2278</v>
      </c>
      <c r="C1349" s="110" t="s">
        <v>97</v>
      </c>
      <c r="D1349" s="109">
        <v>1</v>
      </c>
      <c r="E1349" s="109">
        <v>1300</v>
      </c>
      <c r="F1349" s="109">
        <v>1300</v>
      </c>
      <c r="G1349" s="108" t="s">
        <v>2277</v>
      </c>
      <c r="H1349" s="111" t="s">
        <v>16</v>
      </c>
    </row>
    <row r="1350" spans="1:8" ht="33" x14ac:dyDescent="0.2">
      <c r="A1350" s="108">
        <v>5</v>
      </c>
      <c r="B1350" s="108" t="s">
        <v>1696</v>
      </c>
      <c r="C1350" s="110" t="s">
        <v>97</v>
      </c>
      <c r="D1350" s="109">
        <v>1</v>
      </c>
      <c r="E1350" s="109">
        <v>375</v>
      </c>
      <c r="F1350" s="109">
        <v>375</v>
      </c>
      <c r="G1350" s="108" t="s">
        <v>1695</v>
      </c>
      <c r="H1350" s="111" t="s">
        <v>16</v>
      </c>
    </row>
    <row r="1351" spans="1:8" ht="33" x14ac:dyDescent="0.2">
      <c r="A1351" s="108">
        <v>6</v>
      </c>
      <c r="B1351" s="108" t="s">
        <v>1518</v>
      </c>
      <c r="C1351" s="110" t="s">
        <v>14</v>
      </c>
      <c r="D1351" s="109">
        <v>1</v>
      </c>
      <c r="E1351" s="109">
        <v>200.34</v>
      </c>
      <c r="F1351" s="109">
        <v>200.34</v>
      </c>
      <c r="G1351" s="108" t="s">
        <v>1517</v>
      </c>
      <c r="H1351" s="111" t="s">
        <v>16</v>
      </c>
    </row>
    <row r="1352" spans="1:8" ht="33" x14ac:dyDescent="0.2">
      <c r="A1352" s="108"/>
      <c r="B1352" s="108" t="s">
        <v>1516</v>
      </c>
      <c r="C1352" s="110" t="s">
        <v>30</v>
      </c>
      <c r="D1352" s="109">
        <v>2.4</v>
      </c>
      <c r="E1352" s="109"/>
      <c r="F1352" s="109">
        <v>6878.29</v>
      </c>
      <c r="G1352" s="108"/>
      <c r="H1352" s="111" t="s">
        <v>16</v>
      </c>
    </row>
    <row r="1353" spans="1:8" ht="33" x14ac:dyDescent="0.2">
      <c r="A1353" s="108"/>
      <c r="B1353" s="108" t="s">
        <v>1515</v>
      </c>
      <c r="C1353" s="110" t="s">
        <v>30</v>
      </c>
      <c r="D1353" s="109"/>
      <c r="E1353" s="109"/>
      <c r="F1353" s="109">
        <v>2865.95</v>
      </c>
      <c r="G1353" s="108"/>
      <c r="H1353" s="111" t="s">
        <v>16</v>
      </c>
    </row>
    <row r="1354" spans="1:8" ht="16.5" x14ac:dyDescent="0.2">
      <c r="A1354" s="108"/>
      <c r="B1354" s="108"/>
      <c r="C1354" s="110"/>
      <c r="D1354" s="109"/>
      <c r="E1354" s="109"/>
      <c r="F1354" s="109"/>
      <c r="G1354" s="108"/>
    </row>
    <row r="1355" spans="1:8" ht="33" x14ac:dyDescent="0.2">
      <c r="A1355" s="108" t="s">
        <v>2426</v>
      </c>
      <c r="B1355" s="108" t="s">
        <v>546</v>
      </c>
      <c r="C1355" s="110" t="s">
        <v>81</v>
      </c>
      <c r="D1355" s="109">
        <v>1</v>
      </c>
      <c r="E1355" s="109">
        <v>1478.05</v>
      </c>
      <c r="F1355" s="109"/>
      <c r="G1355" s="108" t="s">
        <v>2425</v>
      </c>
      <c r="H1355" s="111" t="s">
        <v>16</v>
      </c>
    </row>
    <row r="1356" spans="1:8" ht="33" x14ac:dyDescent="0.2">
      <c r="A1356" s="108">
        <v>1</v>
      </c>
      <c r="B1356" s="108" t="s">
        <v>2424</v>
      </c>
      <c r="C1356" s="110" t="s">
        <v>81</v>
      </c>
      <c r="D1356" s="109">
        <v>1</v>
      </c>
      <c r="E1356" s="109">
        <v>1380</v>
      </c>
      <c r="F1356" s="109">
        <v>1380</v>
      </c>
      <c r="G1356" s="108" t="s">
        <v>2423</v>
      </c>
      <c r="H1356" s="111" t="s">
        <v>16</v>
      </c>
    </row>
    <row r="1357" spans="1:8" ht="33" x14ac:dyDescent="0.2">
      <c r="A1357" s="108">
        <v>2</v>
      </c>
      <c r="B1357" s="108" t="s">
        <v>2422</v>
      </c>
      <c r="C1357" s="110" t="s">
        <v>81</v>
      </c>
      <c r="D1357" s="109">
        <v>1</v>
      </c>
      <c r="E1357" s="109">
        <v>55</v>
      </c>
      <c r="F1357" s="109">
        <v>55</v>
      </c>
      <c r="G1357" s="108" t="s">
        <v>2421</v>
      </c>
      <c r="H1357" s="111" t="s">
        <v>16</v>
      </c>
    </row>
    <row r="1358" spans="1:8" ht="33" x14ac:dyDescent="0.2">
      <c r="A1358" s="108">
        <v>3</v>
      </c>
      <c r="B1358" s="108" t="s">
        <v>1518</v>
      </c>
      <c r="C1358" s="110" t="s">
        <v>14</v>
      </c>
      <c r="D1358" s="109">
        <v>1</v>
      </c>
      <c r="E1358" s="109">
        <v>43.05</v>
      </c>
      <c r="F1358" s="109">
        <v>43.05</v>
      </c>
      <c r="G1358" s="108" t="s">
        <v>1517</v>
      </c>
      <c r="H1358" s="111" t="s">
        <v>16</v>
      </c>
    </row>
    <row r="1359" spans="1:8" ht="33" x14ac:dyDescent="0.2">
      <c r="A1359" s="108"/>
      <c r="B1359" s="108" t="s">
        <v>1516</v>
      </c>
      <c r="C1359" s="110" t="s">
        <v>81</v>
      </c>
      <c r="D1359" s="109">
        <v>1</v>
      </c>
      <c r="E1359" s="109"/>
      <c r="F1359" s="109">
        <v>1478.05</v>
      </c>
      <c r="G1359" s="108"/>
      <c r="H1359" s="111" t="s">
        <v>16</v>
      </c>
    </row>
    <row r="1360" spans="1:8" ht="33" x14ac:dyDescent="0.2">
      <c r="A1360" s="108"/>
      <c r="B1360" s="108" t="s">
        <v>1515</v>
      </c>
      <c r="C1360" s="110" t="s">
        <v>81</v>
      </c>
      <c r="D1360" s="109"/>
      <c r="E1360" s="109"/>
      <c r="F1360" s="109">
        <v>1478.05</v>
      </c>
      <c r="G1360" s="108"/>
      <c r="H1360" s="111" t="s">
        <v>16</v>
      </c>
    </row>
    <row r="1361" spans="1:8" ht="16.5" x14ac:dyDescent="0.2">
      <c r="A1361" s="108"/>
      <c r="B1361" s="108"/>
      <c r="C1361" s="110"/>
      <c r="D1361" s="109"/>
      <c r="E1361" s="109"/>
      <c r="F1361" s="109"/>
      <c r="G1361" s="108"/>
    </row>
    <row r="1362" spans="1:8" ht="33" x14ac:dyDescent="0.2">
      <c r="A1362" s="108" t="s">
        <v>2420</v>
      </c>
      <c r="B1362" s="108" t="s">
        <v>552</v>
      </c>
      <c r="C1362" s="110" t="s">
        <v>325</v>
      </c>
      <c r="D1362" s="109">
        <v>1</v>
      </c>
      <c r="E1362" s="109">
        <v>15779.6</v>
      </c>
      <c r="F1362" s="109"/>
      <c r="G1362" s="108" t="s">
        <v>2419</v>
      </c>
      <c r="H1362" s="111" t="s">
        <v>16</v>
      </c>
    </row>
    <row r="1363" spans="1:8" ht="33" x14ac:dyDescent="0.2">
      <c r="A1363" s="108">
        <v>1</v>
      </c>
      <c r="B1363" s="108" t="s">
        <v>2418</v>
      </c>
      <c r="C1363" s="110" t="s">
        <v>1144</v>
      </c>
      <c r="D1363" s="109">
        <v>1</v>
      </c>
      <c r="E1363" s="109">
        <v>2600</v>
      </c>
      <c r="F1363" s="109">
        <v>2600</v>
      </c>
      <c r="G1363" s="108" t="s">
        <v>2417</v>
      </c>
      <c r="H1363" s="111" t="s">
        <v>16</v>
      </c>
    </row>
    <row r="1364" spans="1:8" ht="33" x14ac:dyDescent="0.2">
      <c r="A1364" s="108">
        <v>2</v>
      </c>
      <c r="B1364" s="108" t="s">
        <v>2416</v>
      </c>
      <c r="C1364" s="110" t="s">
        <v>325</v>
      </c>
      <c r="D1364" s="109">
        <v>1</v>
      </c>
      <c r="E1364" s="109">
        <v>12000</v>
      </c>
      <c r="F1364" s="109">
        <v>12000</v>
      </c>
      <c r="G1364" s="108" t="s">
        <v>2415</v>
      </c>
      <c r="H1364" s="111" t="s">
        <v>16</v>
      </c>
    </row>
    <row r="1365" spans="1:8" ht="42.75" x14ac:dyDescent="0.2">
      <c r="A1365" s="108">
        <v>3</v>
      </c>
      <c r="B1365" s="108" t="s">
        <v>2414</v>
      </c>
      <c r="C1365" s="110" t="s">
        <v>14</v>
      </c>
      <c r="D1365" s="109">
        <v>1</v>
      </c>
      <c r="E1365" s="109">
        <v>720</v>
      </c>
      <c r="F1365" s="109">
        <v>720</v>
      </c>
      <c r="G1365" s="108" t="s">
        <v>2413</v>
      </c>
      <c r="H1365" s="111" t="s">
        <v>16</v>
      </c>
    </row>
    <row r="1366" spans="1:8" ht="33" x14ac:dyDescent="0.2">
      <c r="A1366" s="108">
        <v>4</v>
      </c>
      <c r="B1366" s="108" t="s">
        <v>1518</v>
      </c>
      <c r="C1366" s="110" t="s">
        <v>14</v>
      </c>
      <c r="D1366" s="109">
        <v>1</v>
      </c>
      <c r="E1366" s="109">
        <v>459.6</v>
      </c>
      <c r="F1366" s="109">
        <v>459.6</v>
      </c>
      <c r="G1366" s="108" t="s">
        <v>1517</v>
      </c>
      <c r="H1366" s="111" t="s">
        <v>16</v>
      </c>
    </row>
    <row r="1367" spans="1:8" ht="33" x14ac:dyDescent="0.2">
      <c r="A1367" s="108"/>
      <c r="B1367" s="108" t="s">
        <v>1516</v>
      </c>
      <c r="C1367" s="110" t="s">
        <v>325</v>
      </c>
      <c r="D1367" s="109">
        <v>1</v>
      </c>
      <c r="E1367" s="109"/>
      <c r="F1367" s="109">
        <v>15779.6</v>
      </c>
      <c r="G1367" s="108"/>
      <c r="H1367" s="111" t="s">
        <v>16</v>
      </c>
    </row>
    <row r="1368" spans="1:8" ht="33" x14ac:dyDescent="0.2">
      <c r="A1368" s="108"/>
      <c r="B1368" s="108" t="s">
        <v>1515</v>
      </c>
      <c r="C1368" s="110" t="s">
        <v>325</v>
      </c>
      <c r="D1368" s="109"/>
      <c r="E1368" s="109"/>
      <c r="F1368" s="109">
        <v>15779.6</v>
      </c>
      <c r="G1368" s="108"/>
      <c r="H1368" s="111" t="s">
        <v>16</v>
      </c>
    </row>
    <row r="1369" spans="1:8" ht="16.5" x14ac:dyDescent="0.2">
      <c r="A1369" s="108"/>
      <c r="B1369" s="108"/>
      <c r="C1369" s="110"/>
      <c r="D1369" s="109"/>
      <c r="E1369" s="109"/>
      <c r="F1369" s="109"/>
      <c r="G1369" s="108"/>
    </row>
    <row r="1370" spans="1:8" ht="33" x14ac:dyDescent="0.2">
      <c r="A1370" s="108" t="s">
        <v>2412</v>
      </c>
      <c r="B1370" s="108" t="s">
        <v>558</v>
      </c>
      <c r="C1370" s="110" t="s">
        <v>559</v>
      </c>
      <c r="D1370" s="109">
        <v>1</v>
      </c>
      <c r="E1370" s="109">
        <v>422.3</v>
      </c>
      <c r="F1370" s="109"/>
      <c r="G1370" s="108" t="s">
        <v>2411</v>
      </c>
      <c r="H1370" s="111" t="s">
        <v>16</v>
      </c>
    </row>
    <row r="1371" spans="1:8" ht="33" x14ac:dyDescent="0.2">
      <c r="A1371" s="108">
        <v>1</v>
      </c>
      <c r="B1371" s="108" t="s">
        <v>2410</v>
      </c>
      <c r="C1371" s="110" t="s">
        <v>559</v>
      </c>
      <c r="D1371" s="109">
        <v>1</v>
      </c>
      <c r="E1371" s="109">
        <v>390</v>
      </c>
      <c r="F1371" s="109">
        <v>390</v>
      </c>
      <c r="G1371" s="108" t="s">
        <v>2409</v>
      </c>
      <c r="H1371" s="111" t="s">
        <v>16</v>
      </c>
    </row>
    <row r="1372" spans="1:8" ht="33" x14ac:dyDescent="0.2">
      <c r="A1372" s="108">
        <v>2</v>
      </c>
      <c r="B1372" s="108" t="s">
        <v>2408</v>
      </c>
      <c r="C1372" s="110" t="s">
        <v>14</v>
      </c>
      <c r="D1372" s="109">
        <v>1</v>
      </c>
      <c r="E1372" s="109">
        <v>20</v>
      </c>
      <c r="F1372" s="109">
        <v>20</v>
      </c>
      <c r="G1372" s="108" t="s">
        <v>2407</v>
      </c>
      <c r="H1372" s="111" t="s">
        <v>16</v>
      </c>
    </row>
    <row r="1373" spans="1:8" ht="33" x14ac:dyDescent="0.2">
      <c r="A1373" s="108">
        <v>3</v>
      </c>
      <c r="B1373" s="108" t="s">
        <v>1518</v>
      </c>
      <c r="C1373" s="110" t="s">
        <v>14</v>
      </c>
      <c r="D1373" s="109">
        <v>1</v>
      </c>
      <c r="E1373" s="109">
        <v>12.3</v>
      </c>
      <c r="F1373" s="109">
        <v>12.3</v>
      </c>
      <c r="G1373" s="108" t="s">
        <v>1517</v>
      </c>
      <c r="H1373" s="111" t="s">
        <v>16</v>
      </c>
    </row>
    <row r="1374" spans="1:8" ht="33" x14ac:dyDescent="0.2">
      <c r="A1374" s="108"/>
      <c r="B1374" s="108" t="s">
        <v>1516</v>
      </c>
      <c r="C1374" s="110" t="s">
        <v>559</v>
      </c>
      <c r="D1374" s="109">
        <v>1</v>
      </c>
      <c r="E1374" s="109"/>
      <c r="F1374" s="109">
        <v>422.3</v>
      </c>
      <c r="G1374" s="108"/>
      <c r="H1374" s="111" t="s">
        <v>16</v>
      </c>
    </row>
    <row r="1375" spans="1:8" ht="33" x14ac:dyDescent="0.2">
      <c r="A1375" s="108"/>
      <c r="B1375" s="108" t="s">
        <v>1515</v>
      </c>
      <c r="C1375" s="110" t="s">
        <v>559</v>
      </c>
      <c r="D1375" s="109"/>
      <c r="E1375" s="109"/>
      <c r="F1375" s="109">
        <v>422.3</v>
      </c>
      <c r="G1375" s="108"/>
      <c r="H1375" s="111" t="s">
        <v>16</v>
      </c>
    </row>
    <row r="1376" spans="1:8" ht="16.5" x14ac:dyDescent="0.2">
      <c r="A1376" s="108"/>
      <c r="B1376" s="108"/>
      <c r="C1376" s="110"/>
      <c r="D1376" s="109"/>
      <c r="E1376" s="109"/>
      <c r="F1376" s="109"/>
      <c r="G1376" s="108"/>
    </row>
    <row r="1377" spans="1:8" ht="33" x14ac:dyDescent="0.2">
      <c r="A1377" s="108" t="s">
        <v>2406</v>
      </c>
      <c r="B1377" s="108" t="s">
        <v>564</v>
      </c>
      <c r="C1377" s="110" t="s">
        <v>23</v>
      </c>
      <c r="D1377" s="109">
        <v>1</v>
      </c>
      <c r="E1377" s="109">
        <v>7517.56</v>
      </c>
      <c r="F1377" s="109"/>
      <c r="G1377" s="108" t="s">
        <v>2405</v>
      </c>
      <c r="H1377" s="111" t="s">
        <v>16</v>
      </c>
    </row>
    <row r="1378" spans="1:8" ht="42.75" x14ac:dyDescent="0.2">
      <c r="A1378" s="108">
        <v>1</v>
      </c>
      <c r="B1378" s="108" t="s">
        <v>2404</v>
      </c>
      <c r="C1378" s="110" t="s">
        <v>23</v>
      </c>
      <c r="D1378" s="109">
        <v>1</v>
      </c>
      <c r="E1378" s="109">
        <v>6910</v>
      </c>
      <c r="F1378" s="109">
        <v>6910</v>
      </c>
      <c r="G1378" s="108" t="s">
        <v>2403</v>
      </c>
      <c r="H1378" s="111" t="s">
        <v>16</v>
      </c>
    </row>
    <row r="1379" spans="1:8" ht="33" x14ac:dyDescent="0.2">
      <c r="A1379" s="108">
        <v>2</v>
      </c>
      <c r="B1379" s="108" t="s">
        <v>1769</v>
      </c>
      <c r="C1379" s="110" t="s">
        <v>23</v>
      </c>
      <c r="D1379" s="109">
        <v>1</v>
      </c>
      <c r="E1379" s="109">
        <v>362.6</v>
      </c>
      <c r="F1379" s="109">
        <v>362.6</v>
      </c>
      <c r="G1379" s="108" t="s">
        <v>1768</v>
      </c>
      <c r="H1379" s="111" t="s">
        <v>16</v>
      </c>
    </row>
    <row r="1380" spans="1:8" ht="33" x14ac:dyDescent="0.2">
      <c r="A1380" s="108">
        <v>3</v>
      </c>
      <c r="B1380" s="108" t="s">
        <v>1765</v>
      </c>
      <c r="C1380" s="110" t="s">
        <v>23</v>
      </c>
      <c r="D1380" s="109">
        <v>1</v>
      </c>
      <c r="E1380" s="109">
        <v>26</v>
      </c>
      <c r="F1380" s="109">
        <v>26</v>
      </c>
      <c r="G1380" s="108" t="s">
        <v>1764</v>
      </c>
      <c r="H1380" s="111" t="s">
        <v>16</v>
      </c>
    </row>
    <row r="1381" spans="1:8" ht="33" x14ac:dyDescent="0.2">
      <c r="A1381" s="108">
        <v>4</v>
      </c>
      <c r="B1381" s="108" t="s">
        <v>1518</v>
      </c>
      <c r="C1381" s="110" t="s">
        <v>14</v>
      </c>
      <c r="D1381" s="109">
        <v>1</v>
      </c>
      <c r="E1381" s="109">
        <v>218.96</v>
      </c>
      <c r="F1381" s="109">
        <v>218.96</v>
      </c>
      <c r="G1381" s="108" t="s">
        <v>1517</v>
      </c>
      <c r="H1381" s="111" t="s">
        <v>16</v>
      </c>
    </row>
    <row r="1382" spans="1:8" ht="33" x14ac:dyDescent="0.2">
      <c r="A1382" s="108"/>
      <c r="B1382" s="108" t="s">
        <v>1516</v>
      </c>
      <c r="C1382" s="110" t="s">
        <v>23</v>
      </c>
      <c r="D1382" s="109">
        <v>1</v>
      </c>
      <c r="E1382" s="109"/>
      <c r="F1382" s="109">
        <v>7517.56</v>
      </c>
      <c r="G1382" s="108"/>
      <c r="H1382" s="111" t="s">
        <v>16</v>
      </c>
    </row>
    <row r="1383" spans="1:8" ht="33" x14ac:dyDescent="0.2">
      <c r="A1383" s="108"/>
      <c r="B1383" s="108" t="s">
        <v>1515</v>
      </c>
      <c r="C1383" s="110" t="s">
        <v>23</v>
      </c>
      <c r="D1383" s="109"/>
      <c r="E1383" s="109"/>
      <c r="F1383" s="109">
        <v>7517.56</v>
      </c>
      <c r="G1383" s="108"/>
      <c r="H1383" s="111" t="s">
        <v>16</v>
      </c>
    </row>
    <row r="1384" spans="1:8" ht="16.5" x14ac:dyDescent="0.2">
      <c r="A1384" s="108"/>
      <c r="B1384" s="108"/>
      <c r="C1384" s="110"/>
      <c r="D1384" s="109"/>
      <c r="E1384" s="109"/>
      <c r="F1384" s="109"/>
      <c r="G1384" s="108"/>
    </row>
    <row r="1385" spans="1:8" ht="33" x14ac:dyDescent="0.2">
      <c r="A1385" s="108" t="s">
        <v>2402</v>
      </c>
      <c r="B1385" s="108" t="s">
        <v>567</v>
      </c>
      <c r="C1385" s="110" t="s">
        <v>23</v>
      </c>
      <c r="D1385" s="109">
        <v>1</v>
      </c>
      <c r="E1385" s="109">
        <v>7496.96</v>
      </c>
      <c r="F1385" s="109"/>
      <c r="G1385" s="108" t="s">
        <v>2401</v>
      </c>
      <c r="H1385" s="111" t="s">
        <v>16</v>
      </c>
    </row>
    <row r="1386" spans="1:8" ht="42.75" x14ac:dyDescent="0.2">
      <c r="A1386" s="108">
        <v>1</v>
      </c>
      <c r="B1386" s="108" t="s">
        <v>2400</v>
      </c>
      <c r="C1386" s="110" t="s">
        <v>23</v>
      </c>
      <c r="D1386" s="109">
        <v>1</v>
      </c>
      <c r="E1386" s="109">
        <v>6890</v>
      </c>
      <c r="F1386" s="109">
        <v>6890</v>
      </c>
      <c r="G1386" s="108" t="s">
        <v>2399</v>
      </c>
      <c r="H1386" s="111" t="s">
        <v>16</v>
      </c>
    </row>
    <row r="1387" spans="1:8" ht="33" x14ac:dyDescent="0.2">
      <c r="A1387" s="108">
        <v>2</v>
      </c>
      <c r="B1387" s="108" t="s">
        <v>1769</v>
      </c>
      <c r="C1387" s="110" t="s">
        <v>23</v>
      </c>
      <c r="D1387" s="109">
        <v>1</v>
      </c>
      <c r="E1387" s="109">
        <v>362.6</v>
      </c>
      <c r="F1387" s="109">
        <v>362.6</v>
      </c>
      <c r="G1387" s="108" t="s">
        <v>1768</v>
      </c>
      <c r="H1387" s="111" t="s">
        <v>16</v>
      </c>
    </row>
    <row r="1388" spans="1:8" ht="33" x14ac:dyDescent="0.2">
      <c r="A1388" s="108">
        <v>3</v>
      </c>
      <c r="B1388" s="108" t="s">
        <v>1765</v>
      </c>
      <c r="C1388" s="110" t="s">
        <v>23</v>
      </c>
      <c r="D1388" s="109">
        <v>1</v>
      </c>
      <c r="E1388" s="109">
        <v>26</v>
      </c>
      <c r="F1388" s="109">
        <v>26</v>
      </c>
      <c r="G1388" s="108" t="s">
        <v>1764</v>
      </c>
      <c r="H1388" s="111" t="s">
        <v>16</v>
      </c>
    </row>
    <row r="1389" spans="1:8" ht="33" x14ac:dyDescent="0.2">
      <c r="A1389" s="108">
        <v>4</v>
      </c>
      <c r="B1389" s="108" t="s">
        <v>1518</v>
      </c>
      <c r="C1389" s="110" t="s">
        <v>14</v>
      </c>
      <c r="D1389" s="109">
        <v>1</v>
      </c>
      <c r="E1389" s="109">
        <v>218.36</v>
      </c>
      <c r="F1389" s="109">
        <v>218.36</v>
      </c>
      <c r="G1389" s="108" t="s">
        <v>1517</v>
      </c>
      <c r="H1389" s="111" t="s">
        <v>16</v>
      </c>
    </row>
    <row r="1390" spans="1:8" ht="33" x14ac:dyDescent="0.2">
      <c r="A1390" s="108"/>
      <c r="B1390" s="108" t="s">
        <v>1516</v>
      </c>
      <c r="C1390" s="110" t="s">
        <v>23</v>
      </c>
      <c r="D1390" s="109">
        <v>1</v>
      </c>
      <c r="E1390" s="109"/>
      <c r="F1390" s="109">
        <v>7496.96</v>
      </c>
      <c r="G1390" s="108"/>
      <c r="H1390" s="111" t="s">
        <v>16</v>
      </c>
    </row>
    <row r="1391" spans="1:8" ht="33" x14ac:dyDescent="0.2">
      <c r="A1391" s="108"/>
      <c r="B1391" s="108" t="s">
        <v>1515</v>
      </c>
      <c r="C1391" s="110" t="s">
        <v>23</v>
      </c>
      <c r="D1391" s="109"/>
      <c r="E1391" s="109"/>
      <c r="F1391" s="109">
        <v>7496.96</v>
      </c>
      <c r="G1391" s="108"/>
      <c r="H1391" s="111" t="s">
        <v>16</v>
      </c>
    </row>
    <row r="1392" spans="1:8" ht="16.5" x14ac:dyDescent="0.2">
      <c r="A1392" s="108"/>
      <c r="B1392" s="108"/>
      <c r="C1392" s="110"/>
      <c r="D1392" s="109"/>
      <c r="E1392" s="109"/>
      <c r="F1392" s="109"/>
      <c r="G1392" s="108"/>
    </row>
    <row r="1393" spans="1:8" ht="33" x14ac:dyDescent="0.2">
      <c r="A1393" s="108" t="s">
        <v>2398</v>
      </c>
      <c r="B1393" s="108" t="s">
        <v>570</v>
      </c>
      <c r="C1393" s="110" t="s">
        <v>50</v>
      </c>
      <c r="D1393" s="109">
        <v>1000</v>
      </c>
      <c r="E1393" s="109">
        <v>11.6</v>
      </c>
      <c r="F1393" s="109"/>
      <c r="G1393" s="108" t="s">
        <v>2397</v>
      </c>
      <c r="H1393" s="111" t="s">
        <v>16</v>
      </c>
    </row>
    <row r="1394" spans="1:8" ht="33" x14ac:dyDescent="0.2">
      <c r="A1394" s="108">
        <v>1</v>
      </c>
      <c r="B1394" s="108" t="s">
        <v>2396</v>
      </c>
      <c r="C1394" s="110" t="s">
        <v>97</v>
      </c>
      <c r="D1394" s="109">
        <v>2.5</v>
      </c>
      <c r="E1394" s="109">
        <v>1400</v>
      </c>
      <c r="F1394" s="109">
        <v>3500</v>
      </c>
      <c r="G1394" s="108" t="s">
        <v>2395</v>
      </c>
      <c r="H1394" s="111" t="s">
        <v>16</v>
      </c>
    </row>
    <row r="1395" spans="1:8" ht="33" x14ac:dyDescent="0.2">
      <c r="A1395" s="108">
        <v>2</v>
      </c>
      <c r="B1395" s="108" t="s">
        <v>2394</v>
      </c>
      <c r="C1395" s="110" t="s">
        <v>97</v>
      </c>
      <c r="D1395" s="109">
        <v>1.88</v>
      </c>
      <c r="E1395" s="109">
        <v>1130</v>
      </c>
      <c r="F1395" s="109">
        <v>2124.4</v>
      </c>
      <c r="G1395" s="108" t="s">
        <v>2393</v>
      </c>
      <c r="H1395" s="111" t="s">
        <v>16</v>
      </c>
    </row>
    <row r="1396" spans="1:8" ht="33" x14ac:dyDescent="0.2">
      <c r="A1396" s="108">
        <v>3</v>
      </c>
      <c r="B1396" s="108" t="s">
        <v>2392</v>
      </c>
      <c r="C1396" s="110" t="s">
        <v>97</v>
      </c>
      <c r="D1396" s="109">
        <v>2.5</v>
      </c>
      <c r="E1396" s="109">
        <v>741</v>
      </c>
      <c r="F1396" s="109">
        <v>1852.5</v>
      </c>
      <c r="G1396" s="108" t="s">
        <v>2391</v>
      </c>
      <c r="H1396" s="111" t="s">
        <v>16</v>
      </c>
    </row>
    <row r="1397" spans="1:8" ht="33" x14ac:dyDescent="0.2">
      <c r="A1397" s="108">
        <v>4</v>
      </c>
      <c r="B1397" s="108" t="s">
        <v>2390</v>
      </c>
      <c r="C1397" s="110" t="s">
        <v>14</v>
      </c>
      <c r="D1397" s="109">
        <v>1</v>
      </c>
      <c r="E1397" s="109">
        <v>85.72</v>
      </c>
      <c r="F1397" s="109">
        <v>85.72</v>
      </c>
      <c r="G1397" s="108" t="s">
        <v>2389</v>
      </c>
      <c r="H1397" s="111" t="s">
        <v>16</v>
      </c>
    </row>
    <row r="1398" spans="1:8" ht="33" x14ac:dyDescent="0.2">
      <c r="A1398" s="108">
        <v>5</v>
      </c>
      <c r="B1398" s="108" t="s">
        <v>2388</v>
      </c>
      <c r="C1398" s="110" t="s">
        <v>97</v>
      </c>
      <c r="D1398" s="109">
        <v>2.5</v>
      </c>
      <c r="E1398" s="109">
        <v>375</v>
      </c>
      <c r="F1398" s="109">
        <v>937.5</v>
      </c>
      <c r="G1398" s="108" t="s">
        <v>2387</v>
      </c>
      <c r="H1398" s="111" t="s">
        <v>16</v>
      </c>
    </row>
    <row r="1399" spans="1:8" ht="33" x14ac:dyDescent="0.2">
      <c r="A1399" s="108">
        <v>6</v>
      </c>
      <c r="B1399" s="108" t="s">
        <v>2386</v>
      </c>
      <c r="C1399" s="110" t="s">
        <v>97</v>
      </c>
      <c r="D1399" s="109">
        <v>1.88</v>
      </c>
      <c r="E1399" s="109">
        <v>375</v>
      </c>
      <c r="F1399" s="109">
        <v>705</v>
      </c>
      <c r="G1399" s="108" t="s">
        <v>2385</v>
      </c>
      <c r="H1399" s="111" t="s">
        <v>16</v>
      </c>
    </row>
    <row r="1400" spans="1:8" ht="33" x14ac:dyDescent="0.2">
      <c r="A1400" s="108">
        <v>7</v>
      </c>
      <c r="B1400" s="108" t="s">
        <v>2384</v>
      </c>
      <c r="C1400" s="110" t="s">
        <v>97</v>
      </c>
      <c r="D1400" s="109">
        <v>2.5</v>
      </c>
      <c r="E1400" s="109">
        <v>375</v>
      </c>
      <c r="F1400" s="109">
        <v>937.5</v>
      </c>
      <c r="G1400" s="108" t="s">
        <v>2383</v>
      </c>
      <c r="H1400" s="111" t="s">
        <v>16</v>
      </c>
    </row>
    <row r="1401" spans="1:8" ht="33" x14ac:dyDescent="0.2">
      <c r="A1401" s="108">
        <v>8</v>
      </c>
      <c r="B1401" s="108" t="s">
        <v>1527</v>
      </c>
      <c r="C1401" s="110" t="s">
        <v>97</v>
      </c>
      <c r="D1401" s="109">
        <v>4</v>
      </c>
      <c r="E1401" s="109">
        <v>280</v>
      </c>
      <c r="F1401" s="109">
        <v>1120</v>
      </c>
      <c r="G1401" s="108" t="s">
        <v>1535</v>
      </c>
      <c r="H1401" s="111" t="s">
        <v>16</v>
      </c>
    </row>
    <row r="1402" spans="1:8" ht="33" x14ac:dyDescent="0.2">
      <c r="A1402" s="108">
        <v>9</v>
      </c>
      <c r="B1402" s="108" t="s">
        <v>1518</v>
      </c>
      <c r="C1402" s="110" t="s">
        <v>14</v>
      </c>
      <c r="D1402" s="109">
        <v>1</v>
      </c>
      <c r="E1402" s="109">
        <v>337.88</v>
      </c>
      <c r="F1402" s="109">
        <v>337.88</v>
      </c>
      <c r="G1402" s="108" t="s">
        <v>1517</v>
      </c>
      <c r="H1402" s="111" t="s">
        <v>16</v>
      </c>
    </row>
    <row r="1403" spans="1:8" ht="33" x14ac:dyDescent="0.2">
      <c r="A1403" s="108"/>
      <c r="B1403" s="108" t="s">
        <v>1516</v>
      </c>
      <c r="C1403" s="110" t="s">
        <v>50</v>
      </c>
      <c r="D1403" s="109">
        <v>1000</v>
      </c>
      <c r="E1403" s="109"/>
      <c r="F1403" s="109">
        <v>11600.499999999998</v>
      </c>
      <c r="G1403" s="108"/>
      <c r="H1403" s="111" t="s">
        <v>16</v>
      </c>
    </row>
    <row r="1404" spans="1:8" ht="33" x14ac:dyDescent="0.2">
      <c r="A1404" s="108"/>
      <c r="B1404" s="108" t="s">
        <v>1515</v>
      </c>
      <c r="C1404" s="110" t="s">
        <v>50</v>
      </c>
      <c r="D1404" s="109"/>
      <c r="E1404" s="109"/>
      <c r="F1404" s="109">
        <v>11.6</v>
      </c>
      <c r="G1404" s="108"/>
      <c r="H1404" s="111" t="s">
        <v>16</v>
      </c>
    </row>
    <row r="1405" spans="1:8" ht="16.5" x14ac:dyDescent="0.2">
      <c r="A1405" s="108"/>
      <c r="B1405" s="108"/>
      <c r="C1405" s="110"/>
      <c r="D1405" s="109"/>
      <c r="E1405" s="109"/>
      <c r="F1405" s="109"/>
      <c r="G1405" s="108"/>
    </row>
    <row r="1406" spans="1:8" ht="33" x14ac:dyDescent="0.2">
      <c r="A1406" s="108" t="s">
        <v>2382</v>
      </c>
      <c r="B1406" s="108" t="s">
        <v>573</v>
      </c>
      <c r="C1406" s="110" t="s">
        <v>50</v>
      </c>
      <c r="D1406" s="109">
        <v>100</v>
      </c>
      <c r="E1406" s="109">
        <v>42.46</v>
      </c>
      <c r="F1406" s="109"/>
      <c r="G1406" s="108" t="s">
        <v>2381</v>
      </c>
      <c r="H1406" s="111" t="s">
        <v>16</v>
      </c>
    </row>
    <row r="1407" spans="1:8" ht="33" x14ac:dyDescent="0.2">
      <c r="A1407" s="108">
        <v>1</v>
      </c>
      <c r="B1407" s="108" t="s">
        <v>2380</v>
      </c>
      <c r="C1407" s="110" t="s">
        <v>110</v>
      </c>
      <c r="D1407" s="109">
        <v>80</v>
      </c>
      <c r="E1407" s="109">
        <v>43</v>
      </c>
      <c r="F1407" s="109">
        <v>3440</v>
      </c>
      <c r="G1407" s="108" t="s">
        <v>2379</v>
      </c>
      <c r="H1407" s="111" t="s">
        <v>16</v>
      </c>
    </row>
    <row r="1408" spans="1:8" ht="33" x14ac:dyDescent="0.2">
      <c r="A1408" s="108">
        <v>2</v>
      </c>
      <c r="B1408" s="108" t="s">
        <v>2374</v>
      </c>
      <c r="C1408" s="110" t="s">
        <v>97</v>
      </c>
      <c r="D1408" s="109">
        <v>0.2</v>
      </c>
      <c r="E1408" s="109">
        <v>836</v>
      </c>
      <c r="F1408" s="109">
        <v>167.2</v>
      </c>
      <c r="G1408" s="108" t="s">
        <v>2373</v>
      </c>
      <c r="H1408" s="111" t="s">
        <v>16</v>
      </c>
    </row>
    <row r="1409" spans="1:8" ht="33" x14ac:dyDescent="0.2">
      <c r="A1409" s="108">
        <v>3</v>
      </c>
      <c r="B1409" s="108" t="s">
        <v>2372</v>
      </c>
      <c r="C1409" s="110" t="s">
        <v>97</v>
      </c>
      <c r="D1409" s="109">
        <v>0.2</v>
      </c>
      <c r="E1409" s="109">
        <v>375</v>
      </c>
      <c r="F1409" s="109">
        <v>75</v>
      </c>
      <c r="G1409" s="108" t="s">
        <v>2371</v>
      </c>
      <c r="H1409" s="111" t="s">
        <v>16</v>
      </c>
    </row>
    <row r="1410" spans="1:8" ht="33" x14ac:dyDescent="0.2">
      <c r="A1410" s="108">
        <v>4</v>
      </c>
      <c r="B1410" s="108" t="s">
        <v>2370</v>
      </c>
      <c r="C1410" s="110" t="s">
        <v>110</v>
      </c>
      <c r="D1410" s="109">
        <v>80</v>
      </c>
      <c r="E1410" s="109">
        <v>2</v>
      </c>
      <c r="F1410" s="109">
        <v>160</v>
      </c>
      <c r="G1410" s="108" t="s">
        <v>2369</v>
      </c>
      <c r="H1410" s="111" t="s">
        <v>16</v>
      </c>
    </row>
    <row r="1411" spans="1:8" ht="33" x14ac:dyDescent="0.2">
      <c r="A1411" s="108">
        <v>5</v>
      </c>
      <c r="B1411" s="108" t="s">
        <v>1527</v>
      </c>
      <c r="C1411" s="110" t="s">
        <v>97</v>
      </c>
      <c r="D1411" s="109">
        <v>1</v>
      </c>
      <c r="E1411" s="109">
        <v>280</v>
      </c>
      <c r="F1411" s="109">
        <v>280</v>
      </c>
      <c r="G1411" s="108" t="s">
        <v>1535</v>
      </c>
      <c r="H1411" s="111" t="s">
        <v>16</v>
      </c>
    </row>
    <row r="1412" spans="1:8" ht="33" x14ac:dyDescent="0.2">
      <c r="A1412" s="108">
        <v>6</v>
      </c>
      <c r="B1412" s="108" t="s">
        <v>1518</v>
      </c>
      <c r="C1412" s="110" t="s">
        <v>14</v>
      </c>
      <c r="D1412" s="109">
        <v>1</v>
      </c>
      <c r="E1412" s="109">
        <v>123.67</v>
      </c>
      <c r="F1412" s="109">
        <v>123.67</v>
      </c>
      <c r="G1412" s="108" t="s">
        <v>1517</v>
      </c>
      <c r="H1412" s="111" t="s">
        <v>16</v>
      </c>
    </row>
    <row r="1413" spans="1:8" ht="33" x14ac:dyDescent="0.2">
      <c r="A1413" s="108"/>
      <c r="B1413" s="108" t="s">
        <v>1516</v>
      </c>
      <c r="C1413" s="110" t="s">
        <v>50</v>
      </c>
      <c r="D1413" s="109">
        <v>100</v>
      </c>
      <c r="E1413" s="109"/>
      <c r="F1413" s="109">
        <v>4245.87</v>
      </c>
      <c r="G1413" s="108"/>
      <c r="H1413" s="111" t="s">
        <v>16</v>
      </c>
    </row>
    <row r="1414" spans="1:8" ht="33" x14ac:dyDescent="0.2">
      <c r="A1414" s="108"/>
      <c r="B1414" s="108" t="s">
        <v>1515</v>
      </c>
      <c r="C1414" s="110" t="s">
        <v>50</v>
      </c>
      <c r="D1414" s="109"/>
      <c r="E1414" s="109"/>
      <c r="F1414" s="109">
        <v>42.46</v>
      </c>
      <c r="G1414" s="108"/>
      <c r="H1414" s="111" t="s">
        <v>16</v>
      </c>
    </row>
    <row r="1415" spans="1:8" ht="16.5" x14ac:dyDescent="0.2">
      <c r="A1415" s="108"/>
      <c r="B1415" s="108"/>
      <c r="C1415" s="110"/>
      <c r="D1415" s="109"/>
      <c r="E1415" s="109"/>
      <c r="F1415" s="109"/>
      <c r="G1415" s="108"/>
    </row>
    <row r="1416" spans="1:8" ht="33" x14ac:dyDescent="0.2">
      <c r="A1416" s="108" t="s">
        <v>2378</v>
      </c>
      <c r="B1416" s="108" t="s">
        <v>576</v>
      </c>
      <c r="C1416" s="110" t="s">
        <v>50</v>
      </c>
      <c r="D1416" s="109">
        <v>100</v>
      </c>
      <c r="E1416" s="109">
        <v>15.96</v>
      </c>
      <c r="F1416" s="109"/>
      <c r="G1416" s="108" t="s">
        <v>2377</v>
      </c>
      <c r="H1416" s="111" t="s">
        <v>16</v>
      </c>
    </row>
    <row r="1417" spans="1:8" ht="33" x14ac:dyDescent="0.2">
      <c r="A1417" s="108">
        <v>1</v>
      </c>
      <c r="B1417" s="108" t="s">
        <v>2376</v>
      </c>
      <c r="C1417" s="110" t="s">
        <v>110</v>
      </c>
      <c r="D1417" s="109">
        <v>30</v>
      </c>
      <c r="E1417" s="109">
        <v>40</v>
      </c>
      <c r="F1417" s="109">
        <v>1200</v>
      </c>
      <c r="G1417" s="108" t="s">
        <v>2375</v>
      </c>
      <c r="H1417" s="111" t="s">
        <v>16</v>
      </c>
    </row>
    <row r="1418" spans="1:8" ht="33" x14ac:dyDescent="0.2">
      <c r="A1418" s="108">
        <v>2</v>
      </c>
      <c r="B1418" s="108" t="s">
        <v>2374</v>
      </c>
      <c r="C1418" s="110" t="s">
        <v>97</v>
      </c>
      <c r="D1418" s="109">
        <v>0.1</v>
      </c>
      <c r="E1418" s="109">
        <v>836</v>
      </c>
      <c r="F1418" s="109">
        <v>83.6</v>
      </c>
      <c r="G1418" s="108" t="s">
        <v>2373</v>
      </c>
      <c r="H1418" s="111" t="s">
        <v>16</v>
      </c>
    </row>
    <row r="1419" spans="1:8" ht="33" x14ac:dyDescent="0.2">
      <c r="A1419" s="108">
        <v>3</v>
      </c>
      <c r="B1419" s="108" t="s">
        <v>2372</v>
      </c>
      <c r="C1419" s="110" t="s">
        <v>97</v>
      </c>
      <c r="D1419" s="109">
        <v>0.1</v>
      </c>
      <c r="E1419" s="109">
        <v>375</v>
      </c>
      <c r="F1419" s="109">
        <v>37.5</v>
      </c>
      <c r="G1419" s="108" t="s">
        <v>2371</v>
      </c>
      <c r="H1419" s="111" t="s">
        <v>16</v>
      </c>
    </row>
    <row r="1420" spans="1:8" ht="33" x14ac:dyDescent="0.2">
      <c r="A1420" s="108">
        <v>4</v>
      </c>
      <c r="B1420" s="108" t="s">
        <v>2370</v>
      </c>
      <c r="C1420" s="110" t="s">
        <v>110</v>
      </c>
      <c r="D1420" s="109">
        <v>30</v>
      </c>
      <c r="E1420" s="109">
        <v>2</v>
      </c>
      <c r="F1420" s="109">
        <v>60</v>
      </c>
      <c r="G1420" s="108" t="s">
        <v>2369</v>
      </c>
      <c r="H1420" s="111" t="s">
        <v>16</v>
      </c>
    </row>
    <row r="1421" spans="1:8" ht="33" x14ac:dyDescent="0.2">
      <c r="A1421" s="108">
        <v>5</v>
      </c>
      <c r="B1421" s="108" t="s">
        <v>1527</v>
      </c>
      <c r="C1421" s="110" t="s">
        <v>97</v>
      </c>
      <c r="D1421" s="109">
        <v>0.6</v>
      </c>
      <c r="E1421" s="109">
        <v>280</v>
      </c>
      <c r="F1421" s="109">
        <v>168</v>
      </c>
      <c r="G1421" s="108" t="s">
        <v>1535</v>
      </c>
      <c r="H1421" s="111" t="s">
        <v>16</v>
      </c>
    </row>
    <row r="1422" spans="1:8" ht="33" x14ac:dyDescent="0.2">
      <c r="A1422" s="108">
        <v>6</v>
      </c>
      <c r="B1422" s="108" t="s">
        <v>1518</v>
      </c>
      <c r="C1422" s="110" t="s">
        <v>14</v>
      </c>
      <c r="D1422" s="109">
        <v>1</v>
      </c>
      <c r="E1422" s="109">
        <v>46.47</v>
      </c>
      <c r="F1422" s="109">
        <v>46.47</v>
      </c>
      <c r="G1422" s="108" t="s">
        <v>1517</v>
      </c>
      <c r="H1422" s="111" t="s">
        <v>16</v>
      </c>
    </row>
    <row r="1423" spans="1:8" ht="33" x14ac:dyDescent="0.2">
      <c r="A1423" s="108"/>
      <c r="B1423" s="108" t="s">
        <v>1516</v>
      </c>
      <c r="C1423" s="110" t="s">
        <v>50</v>
      </c>
      <c r="D1423" s="109">
        <v>100</v>
      </c>
      <c r="E1423" s="109"/>
      <c r="F1423" s="109">
        <v>1595.57</v>
      </c>
      <c r="G1423" s="108"/>
      <c r="H1423" s="111" t="s">
        <v>16</v>
      </c>
    </row>
    <row r="1424" spans="1:8" ht="33" x14ac:dyDescent="0.2">
      <c r="A1424" s="108"/>
      <c r="B1424" s="108" t="s">
        <v>1515</v>
      </c>
      <c r="C1424" s="110" t="s">
        <v>50</v>
      </c>
      <c r="D1424" s="109"/>
      <c r="E1424" s="109"/>
      <c r="F1424" s="109">
        <v>15.96</v>
      </c>
      <c r="G1424" s="108"/>
      <c r="H1424" s="111" t="s">
        <v>16</v>
      </c>
    </row>
    <row r="1425" spans="1:8" ht="16.5" x14ac:dyDescent="0.2">
      <c r="A1425" s="108"/>
      <c r="B1425" s="108"/>
      <c r="C1425" s="110"/>
      <c r="D1425" s="109"/>
      <c r="E1425" s="109"/>
      <c r="F1425" s="109"/>
      <c r="G1425" s="108"/>
    </row>
    <row r="1426" spans="1:8" ht="42.75" x14ac:dyDescent="0.2">
      <c r="A1426" s="108" t="s">
        <v>2368</v>
      </c>
      <c r="B1426" s="108" t="s">
        <v>582</v>
      </c>
      <c r="C1426" s="110" t="s">
        <v>50</v>
      </c>
      <c r="D1426" s="109">
        <v>100</v>
      </c>
      <c r="E1426" s="109">
        <v>698.31</v>
      </c>
      <c r="F1426" s="109"/>
      <c r="G1426" s="108" t="s">
        <v>2367</v>
      </c>
      <c r="H1426" s="111" t="s">
        <v>16</v>
      </c>
    </row>
    <row r="1427" spans="1:8" ht="71.25" x14ac:dyDescent="0.2">
      <c r="A1427" s="108">
        <v>1</v>
      </c>
      <c r="B1427" s="108" t="s">
        <v>2366</v>
      </c>
      <c r="C1427" s="110" t="s">
        <v>23</v>
      </c>
      <c r="D1427" s="109">
        <v>0.23</v>
      </c>
      <c r="E1427" s="109">
        <v>21600</v>
      </c>
      <c r="F1427" s="109">
        <v>4968</v>
      </c>
      <c r="G1427" s="108" t="s">
        <v>2365</v>
      </c>
      <c r="H1427" s="111" t="s">
        <v>16</v>
      </c>
    </row>
    <row r="1428" spans="1:8" ht="42.75" x14ac:dyDescent="0.2">
      <c r="A1428" s="108">
        <v>2</v>
      </c>
      <c r="B1428" s="108" t="s">
        <v>2364</v>
      </c>
      <c r="C1428" s="110" t="s">
        <v>23</v>
      </c>
      <c r="D1428" s="109">
        <v>0.13</v>
      </c>
      <c r="E1428" s="109">
        <v>23000</v>
      </c>
      <c r="F1428" s="109">
        <v>2990</v>
      </c>
      <c r="G1428" s="108" t="s">
        <v>2363</v>
      </c>
      <c r="H1428" s="111" t="s">
        <v>16</v>
      </c>
    </row>
    <row r="1429" spans="1:8" ht="33" x14ac:dyDescent="0.2">
      <c r="A1429" s="108">
        <v>3</v>
      </c>
      <c r="B1429" s="108" t="s">
        <v>2362</v>
      </c>
      <c r="C1429" s="110" t="s">
        <v>50</v>
      </c>
      <c r="D1429" s="109">
        <v>33.299999999999997</v>
      </c>
      <c r="E1429" s="109">
        <v>80</v>
      </c>
      <c r="F1429" s="109">
        <v>2664</v>
      </c>
      <c r="G1429" s="108" t="s">
        <v>2361</v>
      </c>
      <c r="H1429" s="111" t="s">
        <v>16</v>
      </c>
    </row>
    <row r="1430" spans="1:8" ht="33" x14ac:dyDescent="0.2">
      <c r="A1430" s="108">
        <v>4</v>
      </c>
      <c r="B1430" s="108" t="s">
        <v>2360</v>
      </c>
      <c r="C1430" s="110" t="s">
        <v>14</v>
      </c>
      <c r="D1430" s="109">
        <v>1</v>
      </c>
      <c r="E1430" s="109">
        <v>1400</v>
      </c>
      <c r="F1430" s="109">
        <v>1400</v>
      </c>
      <c r="G1430" s="108" t="s">
        <v>2359</v>
      </c>
      <c r="H1430" s="111" t="s">
        <v>16</v>
      </c>
    </row>
    <row r="1431" spans="1:8" ht="33" x14ac:dyDescent="0.2">
      <c r="A1431" s="108">
        <v>5</v>
      </c>
      <c r="B1431" s="108" t="s">
        <v>2358</v>
      </c>
      <c r="C1431" s="110" t="s">
        <v>97</v>
      </c>
      <c r="D1431" s="109">
        <v>72</v>
      </c>
      <c r="E1431" s="109">
        <v>609.1</v>
      </c>
      <c r="F1431" s="109">
        <v>43855.199999999997</v>
      </c>
      <c r="G1431" s="108" t="s">
        <v>2357</v>
      </c>
      <c r="H1431" s="111" t="s">
        <v>16</v>
      </c>
    </row>
    <row r="1432" spans="1:8" ht="33" x14ac:dyDescent="0.2">
      <c r="A1432" s="108">
        <v>6</v>
      </c>
      <c r="B1432" s="108" t="s">
        <v>1527</v>
      </c>
      <c r="C1432" s="110" t="s">
        <v>97</v>
      </c>
      <c r="D1432" s="109">
        <v>40</v>
      </c>
      <c r="E1432" s="109">
        <v>280</v>
      </c>
      <c r="F1432" s="109">
        <v>11200</v>
      </c>
      <c r="G1432" s="108" t="s">
        <v>1535</v>
      </c>
      <c r="H1432" s="111" t="s">
        <v>16</v>
      </c>
    </row>
    <row r="1433" spans="1:8" ht="33" x14ac:dyDescent="0.2">
      <c r="A1433" s="108">
        <v>7</v>
      </c>
      <c r="B1433" s="108" t="s">
        <v>2356</v>
      </c>
      <c r="C1433" s="110" t="s">
        <v>110</v>
      </c>
      <c r="D1433" s="109">
        <v>10</v>
      </c>
      <c r="E1433" s="109">
        <v>36</v>
      </c>
      <c r="F1433" s="109">
        <v>360</v>
      </c>
      <c r="G1433" s="108" t="s">
        <v>2355</v>
      </c>
      <c r="H1433" s="111" t="s">
        <v>16</v>
      </c>
    </row>
    <row r="1434" spans="1:8" ht="33" x14ac:dyDescent="0.2">
      <c r="A1434" s="108">
        <v>8</v>
      </c>
      <c r="B1434" s="108" t="s">
        <v>2354</v>
      </c>
      <c r="C1434" s="110" t="s">
        <v>110</v>
      </c>
      <c r="D1434" s="109">
        <v>10</v>
      </c>
      <c r="E1434" s="109">
        <v>36</v>
      </c>
      <c r="F1434" s="109">
        <v>360</v>
      </c>
      <c r="G1434" s="108" t="s">
        <v>2353</v>
      </c>
      <c r="H1434" s="111" t="s">
        <v>16</v>
      </c>
    </row>
    <row r="1435" spans="1:8" ht="33" x14ac:dyDescent="0.2">
      <c r="A1435" s="108">
        <v>9</v>
      </c>
      <c r="B1435" s="108" t="s">
        <v>1518</v>
      </c>
      <c r="C1435" s="110" t="s">
        <v>14</v>
      </c>
      <c r="D1435" s="109">
        <v>1</v>
      </c>
      <c r="E1435" s="109">
        <v>2033.92</v>
      </c>
      <c r="F1435" s="109">
        <v>2033.92</v>
      </c>
      <c r="G1435" s="108" t="s">
        <v>1517</v>
      </c>
      <c r="H1435" s="111" t="s">
        <v>16</v>
      </c>
    </row>
    <row r="1436" spans="1:8" ht="33" x14ac:dyDescent="0.2">
      <c r="A1436" s="108"/>
      <c r="B1436" s="108" t="s">
        <v>1516</v>
      </c>
      <c r="C1436" s="110" t="s">
        <v>50</v>
      </c>
      <c r="D1436" s="109">
        <v>100</v>
      </c>
      <c r="E1436" s="109"/>
      <c r="F1436" s="109">
        <v>69831.12</v>
      </c>
      <c r="G1436" s="108"/>
      <c r="H1436" s="111" t="s">
        <v>16</v>
      </c>
    </row>
    <row r="1437" spans="1:8" ht="33" x14ac:dyDescent="0.2">
      <c r="A1437" s="108"/>
      <c r="B1437" s="108" t="s">
        <v>1515</v>
      </c>
      <c r="C1437" s="110" t="s">
        <v>50</v>
      </c>
      <c r="D1437" s="109"/>
      <c r="E1437" s="109"/>
      <c r="F1437" s="109">
        <v>698.31</v>
      </c>
      <c r="G1437" s="108"/>
      <c r="H1437" s="111" t="s">
        <v>16</v>
      </c>
    </row>
    <row r="1438" spans="1:8" ht="16.5" x14ac:dyDescent="0.2">
      <c r="A1438" s="108"/>
      <c r="B1438" s="108"/>
      <c r="C1438" s="110"/>
      <c r="D1438" s="109"/>
      <c r="E1438" s="109"/>
      <c r="F1438" s="109"/>
      <c r="G1438" s="108"/>
    </row>
    <row r="1439" spans="1:8" ht="57" x14ac:dyDescent="0.2">
      <c r="A1439" s="108" t="s">
        <v>2352</v>
      </c>
      <c r="B1439" s="108" t="s">
        <v>590</v>
      </c>
      <c r="C1439" s="110" t="s">
        <v>325</v>
      </c>
      <c r="D1439" s="109">
        <v>1</v>
      </c>
      <c r="E1439" s="109">
        <v>3615.3</v>
      </c>
      <c r="F1439" s="109"/>
      <c r="G1439" s="108" t="s">
        <v>2351</v>
      </c>
      <c r="H1439" s="111" t="s">
        <v>16</v>
      </c>
    </row>
    <row r="1440" spans="1:8" ht="57" x14ac:dyDescent="0.2">
      <c r="A1440" s="108">
        <v>1</v>
      </c>
      <c r="B1440" s="108" t="s">
        <v>2350</v>
      </c>
      <c r="C1440" s="110" t="s">
        <v>325</v>
      </c>
      <c r="D1440" s="109">
        <v>1</v>
      </c>
      <c r="E1440" s="109">
        <v>3350</v>
      </c>
      <c r="F1440" s="109">
        <v>3350</v>
      </c>
      <c r="G1440" s="108" t="s">
        <v>2349</v>
      </c>
      <c r="H1440" s="111" t="s">
        <v>16</v>
      </c>
    </row>
    <row r="1441" spans="1:8" ht="33" x14ac:dyDescent="0.2">
      <c r="A1441" s="108">
        <v>2</v>
      </c>
      <c r="B1441" s="108" t="s">
        <v>1756</v>
      </c>
      <c r="C1441" s="110" t="s">
        <v>14</v>
      </c>
      <c r="D1441" s="109">
        <v>1</v>
      </c>
      <c r="E1441" s="109">
        <v>160</v>
      </c>
      <c r="F1441" s="109">
        <v>160</v>
      </c>
      <c r="G1441" s="108" t="s">
        <v>1755</v>
      </c>
      <c r="H1441" s="111" t="s">
        <v>16</v>
      </c>
    </row>
    <row r="1442" spans="1:8" ht="33" x14ac:dyDescent="0.2">
      <c r="A1442" s="108">
        <v>3</v>
      </c>
      <c r="B1442" s="108" t="s">
        <v>1518</v>
      </c>
      <c r="C1442" s="110" t="s">
        <v>14</v>
      </c>
      <c r="D1442" s="109">
        <v>1</v>
      </c>
      <c r="E1442" s="109">
        <v>105.3</v>
      </c>
      <c r="F1442" s="109">
        <v>105.3</v>
      </c>
      <c r="G1442" s="108" t="s">
        <v>1517</v>
      </c>
      <c r="H1442" s="111" t="s">
        <v>16</v>
      </c>
    </row>
    <row r="1443" spans="1:8" ht="33" x14ac:dyDescent="0.2">
      <c r="A1443" s="108"/>
      <c r="B1443" s="108" t="s">
        <v>1516</v>
      </c>
      <c r="C1443" s="110" t="s">
        <v>325</v>
      </c>
      <c r="D1443" s="109">
        <v>1</v>
      </c>
      <c r="E1443" s="109"/>
      <c r="F1443" s="109">
        <v>3615.3</v>
      </c>
      <c r="G1443" s="108"/>
      <c r="H1443" s="111" t="s">
        <v>16</v>
      </c>
    </row>
    <row r="1444" spans="1:8" ht="33" x14ac:dyDescent="0.2">
      <c r="A1444" s="108"/>
      <c r="B1444" s="108" t="s">
        <v>1515</v>
      </c>
      <c r="C1444" s="110" t="s">
        <v>325</v>
      </c>
      <c r="D1444" s="109"/>
      <c r="E1444" s="109"/>
      <c r="F1444" s="109">
        <v>3615.3</v>
      </c>
      <c r="G1444" s="108"/>
      <c r="H1444" s="111" t="s">
        <v>16</v>
      </c>
    </row>
    <row r="1445" spans="1:8" ht="16.5" x14ac:dyDescent="0.2">
      <c r="A1445" s="108"/>
      <c r="B1445" s="108"/>
      <c r="C1445" s="110"/>
      <c r="D1445" s="109"/>
      <c r="E1445" s="109"/>
      <c r="F1445" s="109"/>
      <c r="G1445" s="108"/>
    </row>
    <row r="1446" spans="1:8" ht="57" x14ac:dyDescent="0.2">
      <c r="A1446" s="108" t="s">
        <v>2348</v>
      </c>
      <c r="B1446" s="108" t="s">
        <v>593</v>
      </c>
      <c r="C1446" s="110" t="s">
        <v>110</v>
      </c>
      <c r="D1446" s="109">
        <v>1000</v>
      </c>
      <c r="E1446" s="109">
        <v>113.98</v>
      </c>
      <c r="F1446" s="109"/>
      <c r="G1446" s="108" t="s">
        <v>2347</v>
      </c>
      <c r="H1446" s="111" t="s">
        <v>16</v>
      </c>
    </row>
    <row r="1447" spans="1:8" ht="33" x14ac:dyDescent="0.2">
      <c r="A1447" s="108">
        <v>1</v>
      </c>
      <c r="B1447" s="108" t="s">
        <v>2346</v>
      </c>
      <c r="C1447" s="110" t="s">
        <v>110</v>
      </c>
      <c r="D1447" s="109">
        <v>1000</v>
      </c>
      <c r="E1447" s="109">
        <v>32</v>
      </c>
      <c r="F1447" s="109">
        <v>32000</v>
      </c>
      <c r="G1447" s="108" t="s">
        <v>2345</v>
      </c>
      <c r="H1447" s="111" t="s">
        <v>16</v>
      </c>
    </row>
    <row r="1448" spans="1:8" ht="71.25" x14ac:dyDescent="0.2">
      <c r="A1448" s="108">
        <v>2</v>
      </c>
      <c r="B1448" s="108" t="s">
        <v>1591</v>
      </c>
      <c r="C1448" s="110" t="s">
        <v>110</v>
      </c>
      <c r="D1448" s="109">
        <v>1000</v>
      </c>
      <c r="E1448" s="109">
        <v>60</v>
      </c>
      <c r="F1448" s="109">
        <v>60000</v>
      </c>
      <c r="G1448" s="108" t="s">
        <v>2344</v>
      </c>
      <c r="H1448" s="111" t="s">
        <v>16</v>
      </c>
    </row>
    <row r="1449" spans="1:8" ht="42.75" x14ac:dyDescent="0.2">
      <c r="A1449" s="108">
        <v>3</v>
      </c>
      <c r="B1449" s="108" t="s">
        <v>2343</v>
      </c>
      <c r="C1449" s="110" t="s">
        <v>110</v>
      </c>
      <c r="D1449" s="109">
        <v>1000</v>
      </c>
      <c r="E1449" s="109">
        <v>18.5</v>
      </c>
      <c r="F1449" s="109">
        <v>18500</v>
      </c>
      <c r="G1449" s="108" t="s">
        <v>2342</v>
      </c>
      <c r="H1449" s="111" t="s">
        <v>16</v>
      </c>
    </row>
    <row r="1450" spans="1:8" ht="33" x14ac:dyDescent="0.2">
      <c r="A1450" s="108">
        <v>4</v>
      </c>
      <c r="B1450" s="108" t="s">
        <v>1756</v>
      </c>
      <c r="C1450" s="110" t="s">
        <v>14</v>
      </c>
      <c r="D1450" s="109">
        <v>1</v>
      </c>
      <c r="E1450" s="109">
        <v>160</v>
      </c>
      <c r="F1450" s="109">
        <v>160</v>
      </c>
      <c r="G1450" s="108" t="s">
        <v>1755</v>
      </c>
      <c r="H1450" s="111" t="s">
        <v>16</v>
      </c>
    </row>
    <row r="1451" spans="1:8" ht="33" x14ac:dyDescent="0.2">
      <c r="A1451" s="108">
        <v>5</v>
      </c>
      <c r="B1451" s="108" t="s">
        <v>1518</v>
      </c>
      <c r="C1451" s="110" t="s">
        <v>14</v>
      </c>
      <c r="D1451" s="109">
        <v>1</v>
      </c>
      <c r="E1451" s="109">
        <v>3319.8</v>
      </c>
      <c r="F1451" s="109">
        <v>3319.8</v>
      </c>
      <c r="G1451" s="108" t="s">
        <v>1517</v>
      </c>
      <c r="H1451" s="111" t="s">
        <v>16</v>
      </c>
    </row>
    <row r="1452" spans="1:8" ht="33" x14ac:dyDescent="0.2">
      <c r="A1452" s="108"/>
      <c r="B1452" s="108" t="s">
        <v>1516</v>
      </c>
      <c r="C1452" s="110" t="s">
        <v>110</v>
      </c>
      <c r="D1452" s="109">
        <v>1000</v>
      </c>
      <c r="E1452" s="109"/>
      <c r="F1452" s="109">
        <v>113979.8</v>
      </c>
      <c r="G1452" s="108"/>
      <c r="H1452" s="111" t="s">
        <v>16</v>
      </c>
    </row>
    <row r="1453" spans="1:8" ht="33" x14ac:dyDescent="0.2">
      <c r="A1453" s="108"/>
      <c r="B1453" s="108" t="s">
        <v>1515</v>
      </c>
      <c r="C1453" s="110" t="s">
        <v>110</v>
      </c>
      <c r="D1453" s="109"/>
      <c r="E1453" s="109"/>
      <c r="F1453" s="109">
        <v>113.98</v>
      </c>
      <c r="G1453" s="108"/>
      <c r="H1453" s="111" t="s">
        <v>16</v>
      </c>
    </row>
    <row r="1454" spans="1:8" ht="16.5" x14ac:dyDescent="0.2">
      <c r="A1454" s="108"/>
      <c r="B1454" s="108"/>
      <c r="C1454" s="110"/>
      <c r="D1454" s="109"/>
      <c r="E1454" s="109"/>
      <c r="F1454" s="109"/>
      <c r="G1454" s="108"/>
    </row>
    <row r="1455" spans="1:8" ht="42.75" x14ac:dyDescent="0.2">
      <c r="A1455" s="108" t="s">
        <v>2341</v>
      </c>
      <c r="B1455" s="108" t="s">
        <v>599</v>
      </c>
      <c r="C1455" s="110" t="s">
        <v>103</v>
      </c>
      <c r="D1455" s="109">
        <v>1</v>
      </c>
      <c r="E1455" s="109">
        <v>704.52</v>
      </c>
      <c r="F1455" s="109"/>
      <c r="G1455" s="108" t="s">
        <v>2340</v>
      </c>
      <c r="H1455" s="111" t="s">
        <v>16</v>
      </c>
    </row>
    <row r="1456" spans="1:8" ht="33" x14ac:dyDescent="0.2">
      <c r="A1456" s="108">
        <v>1</v>
      </c>
      <c r="B1456" s="108" t="s">
        <v>1558</v>
      </c>
      <c r="C1456" s="110" t="s">
        <v>34</v>
      </c>
      <c r="D1456" s="109">
        <v>1</v>
      </c>
      <c r="E1456" s="109">
        <v>488</v>
      </c>
      <c r="F1456" s="109">
        <v>488</v>
      </c>
      <c r="G1456" s="108" t="s">
        <v>1557</v>
      </c>
      <c r="H1456" s="111" t="s">
        <v>16</v>
      </c>
    </row>
    <row r="1457" spans="1:8" ht="33" x14ac:dyDescent="0.2">
      <c r="A1457" s="108">
        <v>2</v>
      </c>
      <c r="B1457" s="108" t="s">
        <v>1527</v>
      </c>
      <c r="C1457" s="110" t="s">
        <v>97</v>
      </c>
      <c r="D1457" s="109">
        <v>0.7</v>
      </c>
      <c r="E1457" s="109">
        <v>280</v>
      </c>
      <c r="F1457" s="109">
        <v>196</v>
      </c>
      <c r="G1457" s="108" t="s">
        <v>1535</v>
      </c>
      <c r="H1457" s="111" t="s">
        <v>16</v>
      </c>
    </row>
    <row r="1458" spans="1:8" ht="33" x14ac:dyDescent="0.2">
      <c r="A1458" s="108">
        <v>3</v>
      </c>
      <c r="B1458" s="108" t="s">
        <v>1518</v>
      </c>
      <c r="C1458" s="110" t="s">
        <v>14</v>
      </c>
      <c r="D1458" s="109">
        <v>1</v>
      </c>
      <c r="E1458" s="109">
        <v>20.52</v>
      </c>
      <c r="F1458" s="109">
        <v>20.52</v>
      </c>
      <c r="G1458" s="108" t="s">
        <v>1517</v>
      </c>
      <c r="H1458" s="111" t="s">
        <v>16</v>
      </c>
    </row>
    <row r="1459" spans="1:8" ht="33" x14ac:dyDescent="0.2">
      <c r="A1459" s="108"/>
      <c r="B1459" s="108" t="s">
        <v>1516</v>
      </c>
      <c r="C1459" s="110" t="s">
        <v>103</v>
      </c>
      <c r="D1459" s="109">
        <v>1</v>
      </c>
      <c r="E1459" s="109"/>
      <c r="F1459" s="109">
        <v>704.52</v>
      </c>
      <c r="G1459" s="108"/>
      <c r="H1459" s="111" t="s">
        <v>16</v>
      </c>
    </row>
    <row r="1460" spans="1:8" ht="33" x14ac:dyDescent="0.2">
      <c r="A1460" s="108"/>
      <c r="B1460" s="108" t="s">
        <v>1515</v>
      </c>
      <c r="C1460" s="110" t="s">
        <v>103</v>
      </c>
      <c r="D1460" s="109"/>
      <c r="E1460" s="109"/>
      <c r="F1460" s="109">
        <v>704.52</v>
      </c>
      <c r="G1460" s="108"/>
      <c r="H1460" s="111" t="s">
        <v>16</v>
      </c>
    </row>
    <row r="1461" spans="1:8" ht="16.5" x14ac:dyDescent="0.2">
      <c r="A1461" s="108"/>
      <c r="B1461" s="108"/>
      <c r="C1461" s="110"/>
      <c r="D1461" s="109"/>
      <c r="E1461" s="109"/>
      <c r="F1461" s="109"/>
      <c r="G1461" s="108"/>
    </row>
    <row r="1462" spans="1:8" ht="33" x14ac:dyDescent="0.2">
      <c r="A1462" s="108" t="s">
        <v>2339</v>
      </c>
      <c r="B1462" s="108" t="s">
        <v>605</v>
      </c>
      <c r="C1462" s="110" t="s">
        <v>606</v>
      </c>
      <c r="D1462" s="109">
        <v>1</v>
      </c>
      <c r="E1462" s="109">
        <v>3569.95</v>
      </c>
      <c r="F1462" s="109"/>
      <c r="G1462" s="108" t="s">
        <v>2338</v>
      </c>
      <c r="H1462" s="111" t="s">
        <v>16</v>
      </c>
    </row>
    <row r="1463" spans="1:8" ht="33" x14ac:dyDescent="0.2">
      <c r="A1463" s="108">
        <v>1</v>
      </c>
      <c r="B1463" s="108" t="s">
        <v>2290</v>
      </c>
      <c r="C1463" s="110" t="s">
        <v>97</v>
      </c>
      <c r="D1463" s="109">
        <v>0.35</v>
      </c>
      <c r="E1463" s="109">
        <v>375</v>
      </c>
      <c r="F1463" s="109">
        <v>131.25</v>
      </c>
      <c r="G1463" s="108" t="s">
        <v>2289</v>
      </c>
      <c r="H1463" s="111" t="s">
        <v>16</v>
      </c>
    </row>
    <row r="1464" spans="1:8" ht="33" x14ac:dyDescent="0.2">
      <c r="A1464" s="108">
        <v>2</v>
      </c>
      <c r="B1464" s="108" t="s">
        <v>2316</v>
      </c>
      <c r="C1464" s="110" t="s">
        <v>97</v>
      </c>
      <c r="D1464" s="109">
        <v>0.35</v>
      </c>
      <c r="E1464" s="109">
        <v>375</v>
      </c>
      <c r="F1464" s="109">
        <v>131.25</v>
      </c>
      <c r="G1464" s="108" t="s">
        <v>2315</v>
      </c>
      <c r="H1464" s="111" t="s">
        <v>16</v>
      </c>
    </row>
    <row r="1465" spans="1:8" ht="33" x14ac:dyDescent="0.2">
      <c r="A1465" s="108">
        <v>3</v>
      </c>
      <c r="B1465" s="108" t="s">
        <v>2314</v>
      </c>
      <c r="C1465" s="110" t="s">
        <v>97</v>
      </c>
      <c r="D1465" s="109">
        <v>0.35</v>
      </c>
      <c r="E1465" s="109">
        <v>375</v>
      </c>
      <c r="F1465" s="109">
        <v>131.25</v>
      </c>
      <c r="G1465" s="108" t="s">
        <v>2313</v>
      </c>
      <c r="H1465" s="111" t="s">
        <v>16</v>
      </c>
    </row>
    <row r="1466" spans="1:8" ht="33" x14ac:dyDescent="0.2">
      <c r="A1466" s="108">
        <v>4</v>
      </c>
      <c r="B1466" s="108" t="s">
        <v>2286</v>
      </c>
      <c r="C1466" s="110" t="s">
        <v>97</v>
      </c>
      <c r="D1466" s="109">
        <v>0.3</v>
      </c>
      <c r="E1466" s="109">
        <v>1620</v>
      </c>
      <c r="F1466" s="109">
        <v>486</v>
      </c>
      <c r="G1466" s="108" t="s">
        <v>2285</v>
      </c>
      <c r="H1466" s="111" t="s">
        <v>16</v>
      </c>
    </row>
    <row r="1467" spans="1:8" ht="33" x14ac:dyDescent="0.2">
      <c r="A1467" s="108">
        <v>5</v>
      </c>
      <c r="B1467" s="108" t="s">
        <v>2284</v>
      </c>
      <c r="C1467" s="110" t="s">
        <v>97</v>
      </c>
      <c r="D1467" s="109">
        <v>0.3</v>
      </c>
      <c r="E1467" s="109">
        <v>375</v>
      </c>
      <c r="F1467" s="109">
        <v>112.5</v>
      </c>
      <c r="G1467" s="108" t="s">
        <v>2283</v>
      </c>
      <c r="H1467" s="111" t="s">
        <v>16</v>
      </c>
    </row>
    <row r="1468" spans="1:8" ht="33" x14ac:dyDescent="0.2">
      <c r="A1468" s="108">
        <v>6</v>
      </c>
      <c r="B1468" s="108" t="s">
        <v>2306</v>
      </c>
      <c r="C1468" s="110" t="s">
        <v>97</v>
      </c>
      <c r="D1468" s="109">
        <v>0.35</v>
      </c>
      <c r="E1468" s="109">
        <v>375</v>
      </c>
      <c r="F1468" s="109">
        <v>131.25</v>
      </c>
      <c r="G1468" s="108" t="s">
        <v>2305</v>
      </c>
      <c r="H1468" s="111" t="s">
        <v>16</v>
      </c>
    </row>
    <row r="1469" spans="1:8" ht="33" x14ac:dyDescent="0.2">
      <c r="A1469" s="108">
        <v>7</v>
      </c>
      <c r="B1469" s="108" t="s">
        <v>1580</v>
      </c>
      <c r="C1469" s="110" t="s">
        <v>325</v>
      </c>
      <c r="D1469" s="109">
        <v>1</v>
      </c>
      <c r="E1469" s="109">
        <v>517.47</v>
      </c>
      <c r="F1469" s="109">
        <v>517.47</v>
      </c>
      <c r="G1469" s="108" t="s">
        <v>2327</v>
      </c>
      <c r="H1469" s="111" t="s">
        <v>16</v>
      </c>
    </row>
    <row r="1470" spans="1:8" ht="57" x14ac:dyDescent="0.2">
      <c r="A1470" s="108">
        <v>8</v>
      </c>
      <c r="B1470" s="108" t="s">
        <v>1985</v>
      </c>
      <c r="C1470" s="110" t="s">
        <v>97</v>
      </c>
      <c r="D1470" s="109">
        <v>2.5</v>
      </c>
      <c r="E1470" s="109">
        <v>375</v>
      </c>
      <c r="F1470" s="109">
        <v>937.5</v>
      </c>
      <c r="G1470" s="108" t="s">
        <v>1984</v>
      </c>
      <c r="H1470" s="111" t="s">
        <v>16</v>
      </c>
    </row>
    <row r="1471" spans="1:8" ht="33" x14ac:dyDescent="0.2">
      <c r="A1471" s="108">
        <v>9</v>
      </c>
      <c r="B1471" s="108" t="s">
        <v>2282</v>
      </c>
      <c r="C1471" s="110" t="s">
        <v>97</v>
      </c>
      <c r="D1471" s="109">
        <v>0.25</v>
      </c>
      <c r="E1471" s="109">
        <v>1500</v>
      </c>
      <c r="F1471" s="109">
        <v>375</v>
      </c>
      <c r="G1471" s="108" t="s">
        <v>2281</v>
      </c>
      <c r="H1471" s="111" t="s">
        <v>16</v>
      </c>
    </row>
    <row r="1472" spans="1:8" ht="33" x14ac:dyDescent="0.2">
      <c r="A1472" s="108">
        <v>10</v>
      </c>
      <c r="B1472" s="108" t="s">
        <v>2280</v>
      </c>
      <c r="C1472" s="110" t="s">
        <v>97</v>
      </c>
      <c r="D1472" s="109">
        <v>0.25</v>
      </c>
      <c r="E1472" s="109">
        <v>375</v>
      </c>
      <c r="F1472" s="109">
        <v>93.75</v>
      </c>
      <c r="G1472" s="108" t="s">
        <v>2279</v>
      </c>
      <c r="H1472" s="111" t="s">
        <v>16</v>
      </c>
    </row>
    <row r="1473" spans="1:8" ht="33" x14ac:dyDescent="0.2">
      <c r="A1473" s="108">
        <v>11</v>
      </c>
      <c r="B1473" s="108" t="s">
        <v>2278</v>
      </c>
      <c r="C1473" s="110" t="s">
        <v>97</v>
      </c>
      <c r="D1473" s="109">
        <v>0.25</v>
      </c>
      <c r="E1473" s="109">
        <v>1300</v>
      </c>
      <c r="F1473" s="109">
        <v>325</v>
      </c>
      <c r="G1473" s="108" t="s">
        <v>2277</v>
      </c>
      <c r="H1473" s="111" t="s">
        <v>16</v>
      </c>
    </row>
    <row r="1474" spans="1:8" ht="33" x14ac:dyDescent="0.2">
      <c r="A1474" s="108">
        <v>12</v>
      </c>
      <c r="B1474" s="108" t="s">
        <v>1696</v>
      </c>
      <c r="C1474" s="110" t="s">
        <v>97</v>
      </c>
      <c r="D1474" s="109">
        <v>0.25</v>
      </c>
      <c r="E1474" s="109">
        <v>375</v>
      </c>
      <c r="F1474" s="109">
        <v>93.75</v>
      </c>
      <c r="G1474" s="108" t="s">
        <v>1695</v>
      </c>
      <c r="H1474" s="111" t="s">
        <v>16</v>
      </c>
    </row>
    <row r="1475" spans="1:8" ht="33" x14ac:dyDescent="0.2">
      <c r="A1475" s="108">
        <v>13</v>
      </c>
      <c r="B1475" s="108" t="s">
        <v>1518</v>
      </c>
      <c r="C1475" s="110" t="s">
        <v>14</v>
      </c>
      <c r="D1475" s="109">
        <v>1</v>
      </c>
      <c r="E1475" s="109">
        <v>103.98</v>
      </c>
      <c r="F1475" s="109">
        <v>103.98</v>
      </c>
      <c r="G1475" s="108" t="s">
        <v>1517</v>
      </c>
      <c r="H1475" s="111" t="s">
        <v>16</v>
      </c>
    </row>
    <row r="1476" spans="1:8" ht="33" x14ac:dyDescent="0.2">
      <c r="A1476" s="108"/>
      <c r="B1476" s="108" t="s">
        <v>1516</v>
      </c>
      <c r="C1476" s="110" t="s">
        <v>606</v>
      </c>
      <c r="D1476" s="109">
        <v>1</v>
      </c>
      <c r="E1476" s="109"/>
      <c r="F1476" s="109">
        <v>3569.9500000000003</v>
      </c>
      <c r="G1476" s="108"/>
      <c r="H1476" s="111" t="s">
        <v>16</v>
      </c>
    </row>
    <row r="1477" spans="1:8" ht="33" x14ac:dyDescent="0.2">
      <c r="A1477" s="108"/>
      <c r="B1477" s="108" t="s">
        <v>1515</v>
      </c>
      <c r="C1477" s="110" t="s">
        <v>606</v>
      </c>
      <c r="D1477" s="109"/>
      <c r="E1477" s="109"/>
      <c r="F1477" s="109">
        <v>3569.95</v>
      </c>
      <c r="G1477" s="108"/>
      <c r="H1477" s="111" t="s">
        <v>16</v>
      </c>
    </row>
    <row r="1478" spans="1:8" ht="16.5" x14ac:dyDescent="0.2">
      <c r="A1478" s="108"/>
      <c r="B1478" s="108"/>
      <c r="C1478" s="110"/>
      <c r="D1478" s="109"/>
      <c r="E1478" s="109"/>
      <c r="F1478" s="109"/>
      <c r="G1478" s="108"/>
    </row>
    <row r="1479" spans="1:8" ht="33" x14ac:dyDescent="0.2">
      <c r="A1479" s="108" t="s">
        <v>2337</v>
      </c>
      <c r="B1479" s="108" t="s">
        <v>609</v>
      </c>
      <c r="C1479" s="110" t="s">
        <v>606</v>
      </c>
      <c r="D1479" s="109">
        <v>1</v>
      </c>
      <c r="E1479" s="109">
        <v>4083.1</v>
      </c>
      <c r="F1479" s="109"/>
      <c r="G1479" s="108" t="s">
        <v>2336</v>
      </c>
      <c r="H1479" s="111" t="s">
        <v>16</v>
      </c>
    </row>
    <row r="1480" spans="1:8" ht="33" x14ac:dyDescent="0.2">
      <c r="A1480" s="108">
        <v>1</v>
      </c>
      <c r="B1480" s="108" t="s">
        <v>2290</v>
      </c>
      <c r="C1480" s="110" t="s">
        <v>97</v>
      </c>
      <c r="D1480" s="109">
        <v>0.42</v>
      </c>
      <c r="E1480" s="109">
        <v>375</v>
      </c>
      <c r="F1480" s="109">
        <v>157.5</v>
      </c>
      <c r="G1480" s="108" t="s">
        <v>2289</v>
      </c>
      <c r="H1480" s="111" t="s">
        <v>16</v>
      </c>
    </row>
    <row r="1481" spans="1:8" ht="33" x14ac:dyDescent="0.2">
      <c r="A1481" s="108">
        <v>2</v>
      </c>
      <c r="B1481" s="108" t="s">
        <v>2316</v>
      </c>
      <c r="C1481" s="110" t="s">
        <v>97</v>
      </c>
      <c r="D1481" s="109">
        <v>0.42</v>
      </c>
      <c r="E1481" s="109">
        <v>375</v>
      </c>
      <c r="F1481" s="109">
        <v>157.5</v>
      </c>
      <c r="G1481" s="108" t="s">
        <v>2315</v>
      </c>
      <c r="H1481" s="111" t="s">
        <v>16</v>
      </c>
    </row>
    <row r="1482" spans="1:8" ht="33" x14ac:dyDescent="0.2">
      <c r="A1482" s="108">
        <v>3</v>
      </c>
      <c r="B1482" s="108" t="s">
        <v>2314</v>
      </c>
      <c r="C1482" s="110" t="s">
        <v>97</v>
      </c>
      <c r="D1482" s="109">
        <v>0.42</v>
      </c>
      <c r="E1482" s="109">
        <v>375</v>
      </c>
      <c r="F1482" s="109">
        <v>157.5</v>
      </c>
      <c r="G1482" s="108" t="s">
        <v>2313</v>
      </c>
      <c r="H1482" s="111" t="s">
        <v>16</v>
      </c>
    </row>
    <row r="1483" spans="1:8" ht="33" x14ac:dyDescent="0.2">
      <c r="A1483" s="108">
        <v>4</v>
      </c>
      <c r="B1483" s="108" t="s">
        <v>2286</v>
      </c>
      <c r="C1483" s="110" t="s">
        <v>97</v>
      </c>
      <c r="D1483" s="109">
        <v>0.41</v>
      </c>
      <c r="E1483" s="109">
        <v>1620</v>
      </c>
      <c r="F1483" s="109">
        <v>664.2</v>
      </c>
      <c r="G1483" s="108" t="s">
        <v>2285</v>
      </c>
      <c r="H1483" s="111" t="s">
        <v>16</v>
      </c>
    </row>
    <row r="1484" spans="1:8" ht="33" x14ac:dyDescent="0.2">
      <c r="A1484" s="108">
        <v>5</v>
      </c>
      <c r="B1484" s="108" t="s">
        <v>2284</v>
      </c>
      <c r="C1484" s="110" t="s">
        <v>97</v>
      </c>
      <c r="D1484" s="109">
        <v>0.41</v>
      </c>
      <c r="E1484" s="109">
        <v>375</v>
      </c>
      <c r="F1484" s="109">
        <v>153.75</v>
      </c>
      <c r="G1484" s="108" t="s">
        <v>2283</v>
      </c>
      <c r="H1484" s="111" t="s">
        <v>16</v>
      </c>
    </row>
    <row r="1485" spans="1:8" ht="33" x14ac:dyDescent="0.2">
      <c r="A1485" s="108">
        <v>6</v>
      </c>
      <c r="B1485" s="108" t="s">
        <v>2306</v>
      </c>
      <c r="C1485" s="110" t="s">
        <v>97</v>
      </c>
      <c r="D1485" s="109">
        <v>0.41</v>
      </c>
      <c r="E1485" s="109">
        <v>375</v>
      </c>
      <c r="F1485" s="109">
        <v>153.75</v>
      </c>
      <c r="G1485" s="108" t="s">
        <v>2305</v>
      </c>
      <c r="H1485" s="111" t="s">
        <v>16</v>
      </c>
    </row>
    <row r="1486" spans="1:8" ht="33" x14ac:dyDescent="0.2">
      <c r="A1486" s="108">
        <v>7</v>
      </c>
      <c r="B1486" s="108" t="s">
        <v>1580</v>
      </c>
      <c r="C1486" s="110" t="s">
        <v>325</v>
      </c>
      <c r="D1486" s="109">
        <v>1</v>
      </c>
      <c r="E1486" s="109">
        <v>517.47</v>
      </c>
      <c r="F1486" s="109">
        <v>517.47</v>
      </c>
      <c r="G1486" s="108" t="s">
        <v>2327</v>
      </c>
      <c r="H1486" s="111" t="s">
        <v>16</v>
      </c>
    </row>
    <row r="1487" spans="1:8" ht="57" x14ac:dyDescent="0.2">
      <c r="A1487" s="108">
        <v>8</v>
      </c>
      <c r="B1487" s="108" t="s">
        <v>1985</v>
      </c>
      <c r="C1487" s="110" t="s">
        <v>97</v>
      </c>
      <c r="D1487" s="109">
        <v>2.5</v>
      </c>
      <c r="E1487" s="109">
        <v>375</v>
      </c>
      <c r="F1487" s="109">
        <v>937.5</v>
      </c>
      <c r="G1487" s="108" t="s">
        <v>1984</v>
      </c>
      <c r="H1487" s="111" t="s">
        <v>16</v>
      </c>
    </row>
    <row r="1488" spans="1:8" ht="33" x14ac:dyDescent="0.2">
      <c r="A1488" s="108">
        <v>9</v>
      </c>
      <c r="B1488" s="108" t="s">
        <v>2282</v>
      </c>
      <c r="C1488" s="110" t="s">
        <v>97</v>
      </c>
      <c r="D1488" s="109">
        <v>0.3</v>
      </c>
      <c r="E1488" s="109">
        <v>1500</v>
      </c>
      <c r="F1488" s="109">
        <v>450</v>
      </c>
      <c r="G1488" s="108" t="s">
        <v>2281</v>
      </c>
      <c r="H1488" s="111" t="s">
        <v>16</v>
      </c>
    </row>
    <row r="1489" spans="1:8" ht="33" x14ac:dyDescent="0.2">
      <c r="A1489" s="108">
        <v>10</v>
      </c>
      <c r="B1489" s="108" t="s">
        <v>2280</v>
      </c>
      <c r="C1489" s="110" t="s">
        <v>97</v>
      </c>
      <c r="D1489" s="109">
        <v>0.3</v>
      </c>
      <c r="E1489" s="109">
        <v>375</v>
      </c>
      <c r="F1489" s="109">
        <v>112.5</v>
      </c>
      <c r="G1489" s="108" t="s">
        <v>2279</v>
      </c>
      <c r="H1489" s="111" t="s">
        <v>16</v>
      </c>
    </row>
    <row r="1490" spans="1:8" ht="33" x14ac:dyDescent="0.2">
      <c r="A1490" s="108">
        <v>11</v>
      </c>
      <c r="B1490" s="108" t="s">
        <v>2278</v>
      </c>
      <c r="C1490" s="110" t="s">
        <v>97</v>
      </c>
      <c r="D1490" s="109">
        <v>0.3</v>
      </c>
      <c r="E1490" s="109">
        <v>1300</v>
      </c>
      <c r="F1490" s="109">
        <v>390</v>
      </c>
      <c r="G1490" s="108" t="s">
        <v>2277</v>
      </c>
      <c r="H1490" s="111" t="s">
        <v>16</v>
      </c>
    </row>
    <row r="1491" spans="1:8" ht="33" x14ac:dyDescent="0.2">
      <c r="A1491" s="108">
        <v>12</v>
      </c>
      <c r="B1491" s="108" t="s">
        <v>1696</v>
      </c>
      <c r="C1491" s="110" t="s">
        <v>97</v>
      </c>
      <c r="D1491" s="109">
        <v>0.3</v>
      </c>
      <c r="E1491" s="109">
        <v>375</v>
      </c>
      <c r="F1491" s="109">
        <v>112.5</v>
      </c>
      <c r="G1491" s="108" t="s">
        <v>1695</v>
      </c>
      <c r="H1491" s="111" t="s">
        <v>16</v>
      </c>
    </row>
    <row r="1492" spans="1:8" ht="33" x14ac:dyDescent="0.2">
      <c r="A1492" s="108">
        <v>13</v>
      </c>
      <c r="B1492" s="108" t="s">
        <v>1518</v>
      </c>
      <c r="C1492" s="110" t="s">
        <v>14</v>
      </c>
      <c r="D1492" s="109">
        <v>1</v>
      </c>
      <c r="E1492" s="109">
        <v>118.93</v>
      </c>
      <c r="F1492" s="109">
        <v>118.93</v>
      </c>
      <c r="G1492" s="108" t="s">
        <v>1517</v>
      </c>
      <c r="H1492" s="111" t="s">
        <v>16</v>
      </c>
    </row>
    <row r="1493" spans="1:8" ht="33" x14ac:dyDescent="0.2">
      <c r="A1493" s="108"/>
      <c r="B1493" s="108" t="s">
        <v>1516</v>
      </c>
      <c r="C1493" s="110" t="s">
        <v>606</v>
      </c>
      <c r="D1493" s="109">
        <v>1</v>
      </c>
      <c r="E1493" s="109"/>
      <c r="F1493" s="109">
        <v>4083.1</v>
      </c>
      <c r="G1493" s="108"/>
      <c r="H1493" s="111" t="s">
        <v>16</v>
      </c>
    </row>
    <row r="1494" spans="1:8" ht="33" x14ac:dyDescent="0.2">
      <c r="A1494" s="108"/>
      <c r="B1494" s="108" t="s">
        <v>1515</v>
      </c>
      <c r="C1494" s="110" t="s">
        <v>606</v>
      </c>
      <c r="D1494" s="109"/>
      <c r="E1494" s="109"/>
      <c r="F1494" s="109">
        <v>4083.1</v>
      </c>
      <c r="G1494" s="108"/>
      <c r="H1494" s="111" t="s">
        <v>16</v>
      </c>
    </row>
    <row r="1495" spans="1:8" ht="16.5" x14ac:dyDescent="0.2">
      <c r="A1495" s="108"/>
      <c r="B1495" s="108"/>
      <c r="C1495" s="110"/>
      <c r="D1495" s="109"/>
      <c r="E1495" s="109"/>
      <c r="F1495" s="109"/>
      <c r="G1495" s="108"/>
    </row>
    <row r="1496" spans="1:8" ht="33" x14ac:dyDescent="0.2">
      <c r="A1496" s="108" t="s">
        <v>2335</v>
      </c>
      <c r="B1496" s="108" t="s">
        <v>612</v>
      </c>
      <c r="C1496" s="110" t="s">
        <v>606</v>
      </c>
      <c r="D1496" s="109">
        <v>1</v>
      </c>
      <c r="E1496" s="109">
        <v>7408.5</v>
      </c>
      <c r="F1496" s="109"/>
      <c r="G1496" s="108" t="s">
        <v>2334</v>
      </c>
      <c r="H1496" s="111" t="s">
        <v>16</v>
      </c>
    </row>
    <row r="1497" spans="1:8" ht="33" x14ac:dyDescent="0.2">
      <c r="A1497" s="108">
        <v>1</v>
      </c>
      <c r="B1497" s="108" t="s">
        <v>2290</v>
      </c>
      <c r="C1497" s="110" t="s">
        <v>97</v>
      </c>
      <c r="D1497" s="109">
        <v>0.75</v>
      </c>
      <c r="E1497" s="109">
        <v>375</v>
      </c>
      <c r="F1497" s="109">
        <v>281.25</v>
      </c>
      <c r="G1497" s="108" t="s">
        <v>2289</v>
      </c>
      <c r="H1497" s="111" t="s">
        <v>16</v>
      </c>
    </row>
    <row r="1498" spans="1:8" ht="33" x14ac:dyDescent="0.2">
      <c r="A1498" s="108">
        <v>2</v>
      </c>
      <c r="B1498" s="108" t="s">
        <v>2316</v>
      </c>
      <c r="C1498" s="110" t="s">
        <v>97</v>
      </c>
      <c r="D1498" s="109">
        <v>0.75</v>
      </c>
      <c r="E1498" s="109">
        <v>375</v>
      </c>
      <c r="F1498" s="109">
        <v>281.25</v>
      </c>
      <c r="G1498" s="108" t="s">
        <v>2315</v>
      </c>
      <c r="H1498" s="111" t="s">
        <v>16</v>
      </c>
    </row>
    <row r="1499" spans="1:8" ht="33" x14ac:dyDescent="0.2">
      <c r="A1499" s="108">
        <v>3</v>
      </c>
      <c r="B1499" s="108" t="s">
        <v>2314</v>
      </c>
      <c r="C1499" s="110" t="s">
        <v>97</v>
      </c>
      <c r="D1499" s="109">
        <v>0.75</v>
      </c>
      <c r="E1499" s="109">
        <v>375</v>
      </c>
      <c r="F1499" s="109">
        <v>281.25</v>
      </c>
      <c r="G1499" s="108" t="s">
        <v>2313</v>
      </c>
      <c r="H1499" s="111" t="s">
        <v>16</v>
      </c>
    </row>
    <row r="1500" spans="1:8" ht="33" x14ac:dyDescent="0.2">
      <c r="A1500" s="108">
        <v>4</v>
      </c>
      <c r="B1500" s="108" t="s">
        <v>2286</v>
      </c>
      <c r="C1500" s="110" t="s">
        <v>97</v>
      </c>
      <c r="D1500" s="109">
        <v>0.7</v>
      </c>
      <c r="E1500" s="109">
        <v>1620</v>
      </c>
      <c r="F1500" s="109">
        <v>1134</v>
      </c>
      <c r="G1500" s="108" t="s">
        <v>2285</v>
      </c>
      <c r="H1500" s="111" t="s">
        <v>16</v>
      </c>
    </row>
    <row r="1501" spans="1:8" ht="33" x14ac:dyDescent="0.2">
      <c r="A1501" s="108">
        <v>5</v>
      </c>
      <c r="B1501" s="108" t="s">
        <v>2284</v>
      </c>
      <c r="C1501" s="110" t="s">
        <v>97</v>
      </c>
      <c r="D1501" s="109">
        <v>0.7</v>
      </c>
      <c r="E1501" s="109">
        <v>375</v>
      </c>
      <c r="F1501" s="109">
        <v>262.5</v>
      </c>
      <c r="G1501" s="108" t="s">
        <v>2283</v>
      </c>
      <c r="H1501" s="111" t="s">
        <v>16</v>
      </c>
    </row>
    <row r="1502" spans="1:8" ht="33" x14ac:dyDescent="0.2">
      <c r="A1502" s="108">
        <v>6</v>
      </c>
      <c r="B1502" s="108" t="s">
        <v>2306</v>
      </c>
      <c r="C1502" s="110" t="s">
        <v>97</v>
      </c>
      <c r="D1502" s="109">
        <v>0.7</v>
      </c>
      <c r="E1502" s="109">
        <v>375</v>
      </c>
      <c r="F1502" s="109">
        <v>262.5</v>
      </c>
      <c r="G1502" s="108" t="s">
        <v>2305</v>
      </c>
      <c r="H1502" s="111" t="s">
        <v>16</v>
      </c>
    </row>
    <row r="1503" spans="1:8" ht="33" x14ac:dyDescent="0.2">
      <c r="A1503" s="108">
        <v>7</v>
      </c>
      <c r="B1503" s="108" t="s">
        <v>1580</v>
      </c>
      <c r="C1503" s="110" t="s">
        <v>325</v>
      </c>
      <c r="D1503" s="109">
        <v>1</v>
      </c>
      <c r="E1503" s="109">
        <v>517.47</v>
      </c>
      <c r="F1503" s="109">
        <v>517.47</v>
      </c>
      <c r="G1503" s="108" t="s">
        <v>2327</v>
      </c>
      <c r="H1503" s="111" t="s">
        <v>16</v>
      </c>
    </row>
    <row r="1504" spans="1:8" ht="57" x14ac:dyDescent="0.2">
      <c r="A1504" s="108">
        <v>8</v>
      </c>
      <c r="B1504" s="108" t="s">
        <v>1985</v>
      </c>
      <c r="C1504" s="110" t="s">
        <v>97</v>
      </c>
      <c r="D1504" s="109">
        <v>4.5</v>
      </c>
      <c r="E1504" s="109">
        <v>375</v>
      </c>
      <c r="F1504" s="109">
        <v>1687.5</v>
      </c>
      <c r="G1504" s="108" t="s">
        <v>1984</v>
      </c>
      <c r="H1504" s="111" t="s">
        <v>16</v>
      </c>
    </row>
    <row r="1505" spans="1:8" ht="33" x14ac:dyDescent="0.2">
      <c r="A1505" s="108">
        <v>9</v>
      </c>
      <c r="B1505" s="108" t="s">
        <v>2282</v>
      </c>
      <c r="C1505" s="110" t="s">
        <v>97</v>
      </c>
      <c r="D1505" s="109">
        <v>0.7</v>
      </c>
      <c r="E1505" s="109">
        <v>1500</v>
      </c>
      <c r="F1505" s="109">
        <v>1050</v>
      </c>
      <c r="G1505" s="108" t="s">
        <v>2281</v>
      </c>
      <c r="H1505" s="111" t="s">
        <v>16</v>
      </c>
    </row>
    <row r="1506" spans="1:8" ht="33" x14ac:dyDescent="0.2">
      <c r="A1506" s="108">
        <v>10</v>
      </c>
      <c r="B1506" s="108" t="s">
        <v>2280</v>
      </c>
      <c r="C1506" s="110" t="s">
        <v>97</v>
      </c>
      <c r="D1506" s="109">
        <v>0.7</v>
      </c>
      <c r="E1506" s="109">
        <v>375</v>
      </c>
      <c r="F1506" s="109">
        <v>262.5</v>
      </c>
      <c r="G1506" s="108" t="s">
        <v>2279</v>
      </c>
      <c r="H1506" s="111" t="s">
        <v>16</v>
      </c>
    </row>
    <row r="1507" spans="1:8" ht="33" x14ac:dyDescent="0.2">
      <c r="A1507" s="108">
        <v>11</v>
      </c>
      <c r="B1507" s="108" t="s">
        <v>2278</v>
      </c>
      <c r="C1507" s="110" t="s">
        <v>97</v>
      </c>
      <c r="D1507" s="109">
        <v>0.7</v>
      </c>
      <c r="E1507" s="109">
        <v>1300</v>
      </c>
      <c r="F1507" s="109">
        <v>910</v>
      </c>
      <c r="G1507" s="108" t="s">
        <v>2277</v>
      </c>
      <c r="H1507" s="111" t="s">
        <v>16</v>
      </c>
    </row>
    <row r="1508" spans="1:8" ht="33" x14ac:dyDescent="0.2">
      <c r="A1508" s="108">
        <v>12</v>
      </c>
      <c r="B1508" s="108" t="s">
        <v>1696</v>
      </c>
      <c r="C1508" s="110" t="s">
        <v>97</v>
      </c>
      <c r="D1508" s="109">
        <v>0.7</v>
      </c>
      <c r="E1508" s="109">
        <v>375</v>
      </c>
      <c r="F1508" s="109">
        <v>262.5</v>
      </c>
      <c r="G1508" s="108" t="s">
        <v>1695</v>
      </c>
      <c r="H1508" s="111" t="s">
        <v>16</v>
      </c>
    </row>
    <row r="1509" spans="1:8" ht="33" x14ac:dyDescent="0.2">
      <c r="A1509" s="108">
        <v>13</v>
      </c>
      <c r="B1509" s="108" t="s">
        <v>1518</v>
      </c>
      <c r="C1509" s="110" t="s">
        <v>14</v>
      </c>
      <c r="D1509" s="109">
        <v>1</v>
      </c>
      <c r="E1509" s="109">
        <v>215.78</v>
      </c>
      <c r="F1509" s="109">
        <v>215.78</v>
      </c>
      <c r="G1509" s="108" t="s">
        <v>1517</v>
      </c>
      <c r="H1509" s="111" t="s">
        <v>16</v>
      </c>
    </row>
    <row r="1510" spans="1:8" ht="33" x14ac:dyDescent="0.2">
      <c r="A1510" s="108"/>
      <c r="B1510" s="108" t="s">
        <v>1516</v>
      </c>
      <c r="C1510" s="110" t="s">
        <v>606</v>
      </c>
      <c r="D1510" s="109">
        <v>1</v>
      </c>
      <c r="E1510" s="109"/>
      <c r="F1510" s="109">
        <v>7408.5</v>
      </c>
      <c r="G1510" s="108"/>
      <c r="H1510" s="111" t="s">
        <v>16</v>
      </c>
    </row>
    <row r="1511" spans="1:8" ht="33" x14ac:dyDescent="0.2">
      <c r="A1511" s="108"/>
      <c r="B1511" s="108" t="s">
        <v>1515</v>
      </c>
      <c r="C1511" s="110" t="s">
        <v>606</v>
      </c>
      <c r="D1511" s="109"/>
      <c r="E1511" s="109"/>
      <c r="F1511" s="109">
        <v>7408.5</v>
      </c>
      <c r="G1511" s="108"/>
      <c r="H1511" s="111" t="s">
        <v>16</v>
      </c>
    </row>
    <row r="1512" spans="1:8" ht="16.5" x14ac:dyDescent="0.2">
      <c r="A1512" s="108"/>
      <c r="B1512" s="108"/>
      <c r="C1512" s="110"/>
      <c r="D1512" s="109"/>
      <c r="E1512" s="109"/>
      <c r="F1512" s="109"/>
      <c r="G1512" s="108"/>
    </row>
    <row r="1513" spans="1:8" ht="33" x14ac:dyDescent="0.2">
      <c r="A1513" s="108" t="s">
        <v>2333</v>
      </c>
      <c r="B1513" s="108" t="s">
        <v>615</v>
      </c>
      <c r="C1513" s="110" t="s">
        <v>606</v>
      </c>
      <c r="D1513" s="109">
        <v>1</v>
      </c>
      <c r="E1513" s="109">
        <v>10319.280000000001</v>
      </c>
      <c r="F1513" s="109"/>
      <c r="G1513" s="108" t="s">
        <v>2332</v>
      </c>
      <c r="H1513" s="111" t="s">
        <v>16</v>
      </c>
    </row>
    <row r="1514" spans="1:8" ht="33" x14ac:dyDescent="0.2">
      <c r="A1514" s="108">
        <v>1</v>
      </c>
      <c r="B1514" s="108" t="s">
        <v>2290</v>
      </c>
      <c r="C1514" s="110" t="s">
        <v>97</v>
      </c>
      <c r="D1514" s="109">
        <v>1</v>
      </c>
      <c r="E1514" s="109">
        <v>375</v>
      </c>
      <c r="F1514" s="109">
        <v>375</v>
      </c>
      <c r="G1514" s="108" t="s">
        <v>2289</v>
      </c>
      <c r="H1514" s="111" t="s">
        <v>16</v>
      </c>
    </row>
    <row r="1515" spans="1:8" ht="33" x14ac:dyDescent="0.2">
      <c r="A1515" s="108">
        <v>2</v>
      </c>
      <c r="B1515" s="108" t="s">
        <v>2316</v>
      </c>
      <c r="C1515" s="110" t="s">
        <v>97</v>
      </c>
      <c r="D1515" s="109">
        <v>1</v>
      </c>
      <c r="E1515" s="109">
        <v>375</v>
      </c>
      <c r="F1515" s="109">
        <v>375</v>
      </c>
      <c r="G1515" s="108" t="s">
        <v>2315</v>
      </c>
      <c r="H1515" s="111" t="s">
        <v>16</v>
      </c>
    </row>
    <row r="1516" spans="1:8" ht="33" x14ac:dyDescent="0.2">
      <c r="A1516" s="108">
        <v>3</v>
      </c>
      <c r="B1516" s="108" t="s">
        <v>2314</v>
      </c>
      <c r="C1516" s="110" t="s">
        <v>97</v>
      </c>
      <c r="D1516" s="109">
        <v>1</v>
      </c>
      <c r="E1516" s="109">
        <v>375</v>
      </c>
      <c r="F1516" s="109">
        <v>375</v>
      </c>
      <c r="G1516" s="108" t="s">
        <v>2313</v>
      </c>
      <c r="H1516" s="111" t="s">
        <v>16</v>
      </c>
    </row>
    <row r="1517" spans="1:8" ht="33" x14ac:dyDescent="0.2">
      <c r="A1517" s="108">
        <v>4</v>
      </c>
      <c r="B1517" s="108" t="s">
        <v>2286</v>
      </c>
      <c r="C1517" s="110" t="s">
        <v>97</v>
      </c>
      <c r="D1517" s="109">
        <v>1</v>
      </c>
      <c r="E1517" s="109">
        <v>1620</v>
      </c>
      <c r="F1517" s="109">
        <v>1620</v>
      </c>
      <c r="G1517" s="108" t="s">
        <v>2285</v>
      </c>
      <c r="H1517" s="111" t="s">
        <v>16</v>
      </c>
    </row>
    <row r="1518" spans="1:8" ht="33" x14ac:dyDescent="0.2">
      <c r="A1518" s="108">
        <v>5</v>
      </c>
      <c r="B1518" s="108" t="s">
        <v>2284</v>
      </c>
      <c r="C1518" s="110" t="s">
        <v>97</v>
      </c>
      <c r="D1518" s="109">
        <v>1</v>
      </c>
      <c r="E1518" s="109">
        <v>375</v>
      </c>
      <c r="F1518" s="109">
        <v>375</v>
      </c>
      <c r="G1518" s="108" t="s">
        <v>2283</v>
      </c>
      <c r="H1518" s="111" t="s">
        <v>16</v>
      </c>
    </row>
    <row r="1519" spans="1:8" ht="33" x14ac:dyDescent="0.2">
      <c r="A1519" s="108">
        <v>6</v>
      </c>
      <c r="B1519" s="108" t="s">
        <v>2306</v>
      </c>
      <c r="C1519" s="110" t="s">
        <v>97</v>
      </c>
      <c r="D1519" s="109">
        <v>1.2</v>
      </c>
      <c r="E1519" s="109">
        <v>375</v>
      </c>
      <c r="F1519" s="109">
        <v>450</v>
      </c>
      <c r="G1519" s="108" t="s">
        <v>2305</v>
      </c>
      <c r="H1519" s="111" t="s">
        <v>16</v>
      </c>
    </row>
    <row r="1520" spans="1:8" ht="33" x14ac:dyDescent="0.2">
      <c r="A1520" s="108">
        <v>7</v>
      </c>
      <c r="B1520" s="108" t="s">
        <v>1580</v>
      </c>
      <c r="C1520" s="110" t="s">
        <v>325</v>
      </c>
      <c r="D1520" s="109">
        <v>1</v>
      </c>
      <c r="E1520" s="109">
        <v>517.47</v>
      </c>
      <c r="F1520" s="109">
        <v>517.47</v>
      </c>
      <c r="G1520" s="108" t="s">
        <v>2327</v>
      </c>
      <c r="H1520" s="111" t="s">
        <v>16</v>
      </c>
    </row>
    <row r="1521" spans="1:8" ht="57" x14ac:dyDescent="0.2">
      <c r="A1521" s="108">
        <v>8</v>
      </c>
      <c r="B1521" s="108" t="s">
        <v>1985</v>
      </c>
      <c r="C1521" s="110" t="s">
        <v>97</v>
      </c>
      <c r="D1521" s="109">
        <v>6.35</v>
      </c>
      <c r="E1521" s="109">
        <v>375</v>
      </c>
      <c r="F1521" s="109">
        <v>2381.25</v>
      </c>
      <c r="G1521" s="108" t="s">
        <v>1984</v>
      </c>
      <c r="H1521" s="111" t="s">
        <v>16</v>
      </c>
    </row>
    <row r="1522" spans="1:8" ht="33" x14ac:dyDescent="0.2">
      <c r="A1522" s="108">
        <v>9</v>
      </c>
      <c r="B1522" s="108" t="s">
        <v>2282</v>
      </c>
      <c r="C1522" s="110" t="s">
        <v>97</v>
      </c>
      <c r="D1522" s="109">
        <v>1</v>
      </c>
      <c r="E1522" s="109">
        <v>1500</v>
      </c>
      <c r="F1522" s="109">
        <v>1500</v>
      </c>
      <c r="G1522" s="108" t="s">
        <v>2281</v>
      </c>
      <c r="H1522" s="111" t="s">
        <v>16</v>
      </c>
    </row>
    <row r="1523" spans="1:8" ht="33" x14ac:dyDescent="0.2">
      <c r="A1523" s="108">
        <v>10</v>
      </c>
      <c r="B1523" s="108" t="s">
        <v>2280</v>
      </c>
      <c r="C1523" s="110" t="s">
        <v>97</v>
      </c>
      <c r="D1523" s="109">
        <v>1</v>
      </c>
      <c r="E1523" s="109">
        <v>375</v>
      </c>
      <c r="F1523" s="109">
        <v>375</v>
      </c>
      <c r="G1523" s="108" t="s">
        <v>2279</v>
      </c>
      <c r="H1523" s="111" t="s">
        <v>16</v>
      </c>
    </row>
    <row r="1524" spans="1:8" ht="33" x14ac:dyDescent="0.2">
      <c r="A1524" s="108">
        <v>11</v>
      </c>
      <c r="B1524" s="108" t="s">
        <v>2278</v>
      </c>
      <c r="C1524" s="110" t="s">
        <v>97</v>
      </c>
      <c r="D1524" s="109">
        <v>1</v>
      </c>
      <c r="E1524" s="109">
        <v>1300</v>
      </c>
      <c r="F1524" s="109">
        <v>1300</v>
      </c>
      <c r="G1524" s="108" t="s">
        <v>2277</v>
      </c>
      <c r="H1524" s="111" t="s">
        <v>16</v>
      </c>
    </row>
    <row r="1525" spans="1:8" ht="33" x14ac:dyDescent="0.2">
      <c r="A1525" s="108">
        <v>12</v>
      </c>
      <c r="B1525" s="108" t="s">
        <v>1696</v>
      </c>
      <c r="C1525" s="110" t="s">
        <v>97</v>
      </c>
      <c r="D1525" s="109">
        <v>1</v>
      </c>
      <c r="E1525" s="109">
        <v>375</v>
      </c>
      <c r="F1525" s="109">
        <v>375</v>
      </c>
      <c r="G1525" s="108" t="s">
        <v>1695</v>
      </c>
      <c r="H1525" s="111" t="s">
        <v>16</v>
      </c>
    </row>
    <row r="1526" spans="1:8" ht="33" x14ac:dyDescent="0.2">
      <c r="A1526" s="108">
        <v>13</v>
      </c>
      <c r="B1526" s="108" t="s">
        <v>1518</v>
      </c>
      <c r="C1526" s="110" t="s">
        <v>14</v>
      </c>
      <c r="D1526" s="109">
        <v>1</v>
      </c>
      <c r="E1526" s="109">
        <v>300.56</v>
      </c>
      <c r="F1526" s="109">
        <v>300.56</v>
      </c>
      <c r="G1526" s="108" t="s">
        <v>1517</v>
      </c>
      <c r="H1526" s="111" t="s">
        <v>16</v>
      </c>
    </row>
    <row r="1527" spans="1:8" ht="33" x14ac:dyDescent="0.2">
      <c r="A1527" s="108"/>
      <c r="B1527" s="108" t="s">
        <v>1516</v>
      </c>
      <c r="C1527" s="110" t="s">
        <v>606</v>
      </c>
      <c r="D1527" s="109">
        <v>1</v>
      </c>
      <c r="E1527" s="109"/>
      <c r="F1527" s="109">
        <v>10319.280000000001</v>
      </c>
      <c r="G1527" s="108"/>
      <c r="H1527" s="111" t="s">
        <v>16</v>
      </c>
    </row>
    <row r="1528" spans="1:8" ht="33" x14ac:dyDescent="0.2">
      <c r="A1528" s="108"/>
      <c r="B1528" s="108" t="s">
        <v>1515</v>
      </c>
      <c r="C1528" s="110" t="s">
        <v>606</v>
      </c>
      <c r="D1528" s="109"/>
      <c r="E1528" s="109"/>
      <c r="F1528" s="109">
        <v>10319.280000000001</v>
      </c>
      <c r="G1528" s="108"/>
      <c r="H1528" s="111" t="s">
        <v>16</v>
      </c>
    </row>
    <row r="1529" spans="1:8" ht="16.5" x14ac:dyDescent="0.2">
      <c r="A1529" s="108"/>
      <c r="B1529" s="108"/>
      <c r="C1529" s="110"/>
      <c r="D1529" s="109"/>
      <c r="E1529" s="109"/>
      <c r="F1529" s="109"/>
      <c r="G1529" s="108"/>
    </row>
    <row r="1530" spans="1:8" ht="33" x14ac:dyDescent="0.2">
      <c r="A1530" s="108" t="s">
        <v>2331</v>
      </c>
      <c r="B1530" s="108" t="s">
        <v>618</v>
      </c>
      <c r="C1530" s="110" t="s">
        <v>606</v>
      </c>
      <c r="D1530" s="109">
        <v>1</v>
      </c>
      <c r="E1530" s="109">
        <v>15164.14</v>
      </c>
      <c r="F1530" s="109"/>
      <c r="G1530" s="108" t="s">
        <v>2330</v>
      </c>
      <c r="H1530" s="111" t="s">
        <v>16</v>
      </c>
    </row>
    <row r="1531" spans="1:8" ht="33" x14ac:dyDescent="0.2">
      <c r="A1531" s="108">
        <v>1</v>
      </c>
      <c r="B1531" s="108" t="s">
        <v>2290</v>
      </c>
      <c r="C1531" s="110" t="s">
        <v>97</v>
      </c>
      <c r="D1531" s="109">
        <v>1.5</v>
      </c>
      <c r="E1531" s="109">
        <v>375</v>
      </c>
      <c r="F1531" s="109">
        <v>562.5</v>
      </c>
      <c r="G1531" s="108" t="s">
        <v>2289</v>
      </c>
      <c r="H1531" s="111" t="s">
        <v>16</v>
      </c>
    </row>
    <row r="1532" spans="1:8" ht="33" x14ac:dyDescent="0.2">
      <c r="A1532" s="108">
        <v>2</v>
      </c>
      <c r="B1532" s="108" t="s">
        <v>2316</v>
      </c>
      <c r="C1532" s="110" t="s">
        <v>97</v>
      </c>
      <c r="D1532" s="109">
        <v>1.5</v>
      </c>
      <c r="E1532" s="109">
        <v>375</v>
      </c>
      <c r="F1532" s="109">
        <v>562.5</v>
      </c>
      <c r="G1532" s="108" t="s">
        <v>2315</v>
      </c>
      <c r="H1532" s="111" t="s">
        <v>16</v>
      </c>
    </row>
    <row r="1533" spans="1:8" ht="33" x14ac:dyDescent="0.2">
      <c r="A1533" s="108">
        <v>3</v>
      </c>
      <c r="B1533" s="108" t="s">
        <v>2314</v>
      </c>
      <c r="C1533" s="110" t="s">
        <v>97</v>
      </c>
      <c r="D1533" s="109">
        <v>1.5</v>
      </c>
      <c r="E1533" s="109">
        <v>375</v>
      </c>
      <c r="F1533" s="109">
        <v>562.5</v>
      </c>
      <c r="G1533" s="108" t="s">
        <v>2313</v>
      </c>
      <c r="H1533" s="111" t="s">
        <v>16</v>
      </c>
    </row>
    <row r="1534" spans="1:8" ht="33" x14ac:dyDescent="0.2">
      <c r="A1534" s="108">
        <v>4</v>
      </c>
      <c r="B1534" s="108" t="s">
        <v>2286</v>
      </c>
      <c r="C1534" s="110" t="s">
        <v>97</v>
      </c>
      <c r="D1534" s="109">
        <v>1.5</v>
      </c>
      <c r="E1534" s="109">
        <v>1620</v>
      </c>
      <c r="F1534" s="109">
        <v>2430</v>
      </c>
      <c r="G1534" s="108" t="s">
        <v>2285</v>
      </c>
      <c r="H1534" s="111" t="s">
        <v>16</v>
      </c>
    </row>
    <row r="1535" spans="1:8" ht="33" x14ac:dyDescent="0.2">
      <c r="A1535" s="108">
        <v>5</v>
      </c>
      <c r="B1535" s="108" t="s">
        <v>2284</v>
      </c>
      <c r="C1535" s="110" t="s">
        <v>97</v>
      </c>
      <c r="D1535" s="109">
        <v>1.5</v>
      </c>
      <c r="E1535" s="109">
        <v>375</v>
      </c>
      <c r="F1535" s="109">
        <v>562.5</v>
      </c>
      <c r="G1535" s="108" t="s">
        <v>2283</v>
      </c>
      <c r="H1535" s="111" t="s">
        <v>16</v>
      </c>
    </row>
    <row r="1536" spans="1:8" ht="33" x14ac:dyDescent="0.2">
      <c r="A1536" s="108">
        <v>6</v>
      </c>
      <c r="B1536" s="108" t="s">
        <v>2306</v>
      </c>
      <c r="C1536" s="110" t="s">
        <v>97</v>
      </c>
      <c r="D1536" s="109">
        <v>1.5</v>
      </c>
      <c r="E1536" s="109">
        <v>375</v>
      </c>
      <c r="F1536" s="109">
        <v>562.5</v>
      </c>
      <c r="G1536" s="108" t="s">
        <v>2305</v>
      </c>
      <c r="H1536" s="111" t="s">
        <v>16</v>
      </c>
    </row>
    <row r="1537" spans="1:8" ht="33" x14ac:dyDescent="0.2">
      <c r="A1537" s="108">
        <v>7</v>
      </c>
      <c r="B1537" s="108" t="s">
        <v>1580</v>
      </c>
      <c r="C1537" s="110" t="s">
        <v>325</v>
      </c>
      <c r="D1537" s="109">
        <v>1</v>
      </c>
      <c r="E1537" s="109">
        <v>517.47</v>
      </c>
      <c r="F1537" s="109">
        <v>517.47</v>
      </c>
      <c r="G1537" s="108" t="s">
        <v>2327</v>
      </c>
      <c r="H1537" s="111" t="s">
        <v>16</v>
      </c>
    </row>
    <row r="1538" spans="1:8" ht="57" x14ac:dyDescent="0.2">
      <c r="A1538" s="108">
        <v>8</v>
      </c>
      <c r="B1538" s="108" t="s">
        <v>1985</v>
      </c>
      <c r="C1538" s="110" t="s">
        <v>97</v>
      </c>
      <c r="D1538" s="109">
        <v>10</v>
      </c>
      <c r="E1538" s="109">
        <v>375</v>
      </c>
      <c r="F1538" s="109">
        <v>3750</v>
      </c>
      <c r="G1538" s="108" t="s">
        <v>1984</v>
      </c>
      <c r="H1538" s="111" t="s">
        <v>16</v>
      </c>
    </row>
    <row r="1539" spans="1:8" ht="33" x14ac:dyDescent="0.2">
      <c r="A1539" s="108">
        <v>9</v>
      </c>
      <c r="B1539" s="108" t="s">
        <v>2282</v>
      </c>
      <c r="C1539" s="110" t="s">
        <v>97</v>
      </c>
      <c r="D1539" s="109">
        <v>1.44</v>
      </c>
      <c r="E1539" s="109">
        <v>1500</v>
      </c>
      <c r="F1539" s="109">
        <v>2160</v>
      </c>
      <c r="G1539" s="108" t="s">
        <v>2281</v>
      </c>
      <c r="H1539" s="111" t="s">
        <v>16</v>
      </c>
    </row>
    <row r="1540" spans="1:8" ht="33" x14ac:dyDescent="0.2">
      <c r="A1540" s="108">
        <v>10</v>
      </c>
      <c r="B1540" s="108" t="s">
        <v>2280</v>
      </c>
      <c r="C1540" s="110" t="s">
        <v>97</v>
      </c>
      <c r="D1540" s="109">
        <v>1.44</v>
      </c>
      <c r="E1540" s="109">
        <v>375</v>
      </c>
      <c r="F1540" s="109">
        <v>540</v>
      </c>
      <c r="G1540" s="108" t="s">
        <v>2279</v>
      </c>
      <c r="H1540" s="111" t="s">
        <v>16</v>
      </c>
    </row>
    <row r="1541" spans="1:8" ht="33" x14ac:dyDescent="0.2">
      <c r="A1541" s="108">
        <v>11</v>
      </c>
      <c r="B1541" s="108" t="s">
        <v>2278</v>
      </c>
      <c r="C1541" s="110" t="s">
        <v>97</v>
      </c>
      <c r="D1541" s="109">
        <v>1.5</v>
      </c>
      <c r="E1541" s="109">
        <v>1300</v>
      </c>
      <c r="F1541" s="109">
        <v>1950</v>
      </c>
      <c r="G1541" s="108" t="s">
        <v>2277</v>
      </c>
      <c r="H1541" s="111" t="s">
        <v>16</v>
      </c>
    </row>
    <row r="1542" spans="1:8" ht="33" x14ac:dyDescent="0.2">
      <c r="A1542" s="108">
        <v>12</v>
      </c>
      <c r="B1542" s="108" t="s">
        <v>1696</v>
      </c>
      <c r="C1542" s="110" t="s">
        <v>97</v>
      </c>
      <c r="D1542" s="109">
        <v>1.5</v>
      </c>
      <c r="E1542" s="109">
        <v>375</v>
      </c>
      <c r="F1542" s="109">
        <v>562.5</v>
      </c>
      <c r="G1542" s="108" t="s">
        <v>1695</v>
      </c>
      <c r="H1542" s="111" t="s">
        <v>16</v>
      </c>
    </row>
    <row r="1543" spans="1:8" ht="33" x14ac:dyDescent="0.2">
      <c r="A1543" s="108">
        <v>13</v>
      </c>
      <c r="B1543" s="108" t="s">
        <v>1518</v>
      </c>
      <c r="C1543" s="110" t="s">
        <v>14</v>
      </c>
      <c r="D1543" s="109">
        <v>1</v>
      </c>
      <c r="E1543" s="109">
        <v>441.67</v>
      </c>
      <c r="F1543" s="109">
        <v>441.67</v>
      </c>
      <c r="G1543" s="108" t="s">
        <v>1517</v>
      </c>
      <c r="H1543" s="111" t="s">
        <v>16</v>
      </c>
    </row>
    <row r="1544" spans="1:8" ht="33" x14ac:dyDescent="0.2">
      <c r="A1544" s="108"/>
      <c r="B1544" s="108" t="s">
        <v>1516</v>
      </c>
      <c r="C1544" s="110" t="s">
        <v>606</v>
      </c>
      <c r="D1544" s="109">
        <v>1</v>
      </c>
      <c r="E1544" s="109"/>
      <c r="F1544" s="109">
        <v>15164.140000000001</v>
      </c>
      <c r="G1544" s="108"/>
      <c r="H1544" s="111" t="s">
        <v>16</v>
      </c>
    </row>
    <row r="1545" spans="1:8" ht="33" x14ac:dyDescent="0.2">
      <c r="A1545" s="108"/>
      <c r="B1545" s="108" t="s">
        <v>1515</v>
      </c>
      <c r="C1545" s="110" t="s">
        <v>606</v>
      </c>
      <c r="D1545" s="109"/>
      <c r="E1545" s="109"/>
      <c r="F1545" s="109">
        <v>15164.14</v>
      </c>
      <c r="G1545" s="108"/>
      <c r="H1545" s="111" t="s">
        <v>16</v>
      </c>
    </row>
    <row r="1546" spans="1:8" ht="16.5" x14ac:dyDescent="0.2">
      <c r="A1546" s="108"/>
      <c r="B1546" s="108"/>
      <c r="C1546" s="110"/>
      <c r="D1546" s="109"/>
      <c r="E1546" s="109"/>
      <c r="F1546" s="109"/>
      <c r="G1546" s="108"/>
    </row>
    <row r="1547" spans="1:8" ht="33" x14ac:dyDescent="0.2">
      <c r="A1547" s="108" t="s">
        <v>2329</v>
      </c>
      <c r="B1547" s="108" t="s">
        <v>621</v>
      </c>
      <c r="C1547" s="110" t="s">
        <v>606</v>
      </c>
      <c r="D1547" s="109">
        <v>1</v>
      </c>
      <c r="E1547" s="109">
        <v>21803.06</v>
      </c>
      <c r="F1547" s="109"/>
      <c r="G1547" s="108" t="s">
        <v>2328</v>
      </c>
      <c r="H1547" s="111" t="s">
        <v>16</v>
      </c>
    </row>
    <row r="1548" spans="1:8" ht="33" x14ac:dyDescent="0.2">
      <c r="A1548" s="108">
        <v>1</v>
      </c>
      <c r="B1548" s="108" t="s">
        <v>2290</v>
      </c>
      <c r="C1548" s="110" t="s">
        <v>97</v>
      </c>
      <c r="D1548" s="109">
        <v>2.5</v>
      </c>
      <c r="E1548" s="109">
        <v>375</v>
      </c>
      <c r="F1548" s="109">
        <v>937.5</v>
      </c>
      <c r="G1548" s="108" t="s">
        <v>2289</v>
      </c>
      <c r="H1548" s="111" t="s">
        <v>16</v>
      </c>
    </row>
    <row r="1549" spans="1:8" ht="33" x14ac:dyDescent="0.2">
      <c r="A1549" s="108">
        <v>2</v>
      </c>
      <c r="B1549" s="108" t="s">
        <v>2316</v>
      </c>
      <c r="C1549" s="110" t="s">
        <v>97</v>
      </c>
      <c r="D1549" s="109">
        <v>2.5</v>
      </c>
      <c r="E1549" s="109">
        <v>375</v>
      </c>
      <c r="F1549" s="109">
        <v>937.5</v>
      </c>
      <c r="G1549" s="108" t="s">
        <v>2315</v>
      </c>
      <c r="H1549" s="111" t="s">
        <v>16</v>
      </c>
    </row>
    <row r="1550" spans="1:8" ht="33" x14ac:dyDescent="0.2">
      <c r="A1550" s="108">
        <v>3</v>
      </c>
      <c r="B1550" s="108" t="s">
        <v>2314</v>
      </c>
      <c r="C1550" s="110" t="s">
        <v>97</v>
      </c>
      <c r="D1550" s="109">
        <v>2.5</v>
      </c>
      <c r="E1550" s="109">
        <v>375</v>
      </c>
      <c r="F1550" s="109">
        <v>937.5</v>
      </c>
      <c r="G1550" s="108" t="s">
        <v>2313</v>
      </c>
      <c r="H1550" s="111" t="s">
        <v>16</v>
      </c>
    </row>
    <row r="1551" spans="1:8" ht="33" x14ac:dyDescent="0.2">
      <c r="A1551" s="108">
        <v>4</v>
      </c>
      <c r="B1551" s="108" t="s">
        <v>2286</v>
      </c>
      <c r="C1551" s="110" t="s">
        <v>97</v>
      </c>
      <c r="D1551" s="109">
        <v>2.14</v>
      </c>
      <c r="E1551" s="109">
        <v>1620</v>
      </c>
      <c r="F1551" s="109">
        <v>3466.8</v>
      </c>
      <c r="G1551" s="108" t="s">
        <v>2285</v>
      </c>
      <c r="H1551" s="111" t="s">
        <v>16</v>
      </c>
    </row>
    <row r="1552" spans="1:8" ht="33" x14ac:dyDescent="0.2">
      <c r="A1552" s="108">
        <v>5</v>
      </c>
      <c r="B1552" s="108" t="s">
        <v>2284</v>
      </c>
      <c r="C1552" s="110" t="s">
        <v>97</v>
      </c>
      <c r="D1552" s="109">
        <v>2.14</v>
      </c>
      <c r="E1552" s="109">
        <v>375</v>
      </c>
      <c r="F1552" s="109">
        <v>802.5</v>
      </c>
      <c r="G1552" s="108" t="s">
        <v>2283</v>
      </c>
      <c r="H1552" s="111" t="s">
        <v>16</v>
      </c>
    </row>
    <row r="1553" spans="1:8" ht="33" x14ac:dyDescent="0.2">
      <c r="A1553" s="108">
        <v>6</v>
      </c>
      <c r="B1553" s="108" t="s">
        <v>2306</v>
      </c>
      <c r="C1553" s="110" t="s">
        <v>97</v>
      </c>
      <c r="D1553" s="109">
        <v>2.1</v>
      </c>
      <c r="E1553" s="109">
        <v>375</v>
      </c>
      <c r="F1553" s="109">
        <v>787.5</v>
      </c>
      <c r="G1553" s="108" t="s">
        <v>2305</v>
      </c>
      <c r="H1553" s="111" t="s">
        <v>16</v>
      </c>
    </row>
    <row r="1554" spans="1:8" ht="33" x14ac:dyDescent="0.2">
      <c r="A1554" s="108">
        <v>7</v>
      </c>
      <c r="B1554" s="108" t="s">
        <v>1580</v>
      </c>
      <c r="C1554" s="110" t="s">
        <v>325</v>
      </c>
      <c r="D1554" s="109">
        <v>1</v>
      </c>
      <c r="E1554" s="109">
        <v>517.47</v>
      </c>
      <c r="F1554" s="109">
        <v>517.47</v>
      </c>
      <c r="G1554" s="108" t="s">
        <v>2327</v>
      </c>
      <c r="H1554" s="111" t="s">
        <v>16</v>
      </c>
    </row>
    <row r="1555" spans="1:8" ht="57" x14ac:dyDescent="0.2">
      <c r="A1555" s="108">
        <v>8</v>
      </c>
      <c r="B1555" s="108" t="s">
        <v>1985</v>
      </c>
      <c r="C1555" s="110" t="s">
        <v>97</v>
      </c>
      <c r="D1555" s="109">
        <v>15.15</v>
      </c>
      <c r="E1555" s="109">
        <v>375</v>
      </c>
      <c r="F1555" s="109">
        <v>5681.25</v>
      </c>
      <c r="G1555" s="108" t="s">
        <v>1984</v>
      </c>
      <c r="H1555" s="111" t="s">
        <v>16</v>
      </c>
    </row>
    <row r="1556" spans="1:8" ht="33" x14ac:dyDescent="0.2">
      <c r="A1556" s="108">
        <v>9</v>
      </c>
      <c r="B1556" s="108" t="s">
        <v>2282</v>
      </c>
      <c r="C1556" s="110" t="s">
        <v>97</v>
      </c>
      <c r="D1556" s="109">
        <v>2</v>
      </c>
      <c r="E1556" s="109">
        <v>1500</v>
      </c>
      <c r="F1556" s="109">
        <v>3000</v>
      </c>
      <c r="G1556" s="108" t="s">
        <v>2281</v>
      </c>
      <c r="H1556" s="111" t="s">
        <v>16</v>
      </c>
    </row>
    <row r="1557" spans="1:8" ht="33" x14ac:dyDescent="0.2">
      <c r="A1557" s="108">
        <v>10</v>
      </c>
      <c r="B1557" s="108" t="s">
        <v>2280</v>
      </c>
      <c r="C1557" s="110" t="s">
        <v>97</v>
      </c>
      <c r="D1557" s="109">
        <v>2</v>
      </c>
      <c r="E1557" s="109">
        <v>375</v>
      </c>
      <c r="F1557" s="109">
        <v>750</v>
      </c>
      <c r="G1557" s="108" t="s">
        <v>2279</v>
      </c>
      <c r="H1557" s="111" t="s">
        <v>16</v>
      </c>
    </row>
    <row r="1558" spans="1:8" ht="33" x14ac:dyDescent="0.2">
      <c r="A1558" s="108">
        <v>11</v>
      </c>
      <c r="B1558" s="108" t="s">
        <v>2278</v>
      </c>
      <c r="C1558" s="110" t="s">
        <v>97</v>
      </c>
      <c r="D1558" s="109">
        <v>2</v>
      </c>
      <c r="E1558" s="109">
        <v>1300</v>
      </c>
      <c r="F1558" s="109">
        <v>2600</v>
      </c>
      <c r="G1558" s="108" t="s">
        <v>2277</v>
      </c>
      <c r="H1558" s="111" t="s">
        <v>16</v>
      </c>
    </row>
    <row r="1559" spans="1:8" ht="33" x14ac:dyDescent="0.2">
      <c r="A1559" s="108">
        <v>12</v>
      </c>
      <c r="B1559" s="108" t="s">
        <v>1696</v>
      </c>
      <c r="C1559" s="110" t="s">
        <v>97</v>
      </c>
      <c r="D1559" s="109">
        <v>2</v>
      </c>
      <c r="E1559" s="109">
        <v>375</v>
      </c>
      <c r="F1559" s="109">
        <v>750</v>
      </c>
      <c r="G1559" s="108" t="s">
        <v>1695</v>
      </c>
      <c r="H1559" s="111" t="s">
        <v>16</v>
      </c>
    </row>
    <row r="1560" spans="1:8" ht="33" x14ac:dyDescent="0.2">
      <c r="A1560" s="108">
        <v>13</v>
      </c>
      <c r="B1560" s="108" t="s">
        <v>1518</v>
      </c>
      <c r="C1560" s="110" t="s">
        <v>14</v>
      </c>
      <c r="D1560" s="109">
        <v>1</v>
      </c>
      <c r="E1560" s="109">
        <v>635.04</v>
      </c>
      <c r="F1560" s="109">
        <v>635.04</v>
      </c>
      <c r="G1560" s="108" t="s">
        <v>1517</v>
      </c>
      <c r="H1560" s="111" t="s">
        <v>16</v>
      </c>
    </row>
    <row r="1561" spans="1:8" ht="33" x14ac:dyDescent="0.2">
      <c r="A1561" s="108"/>
      <c r="B1561" s="108" t="s">
        <v>1516</v>
      </c>
      <c r="C1561" s="110" t="s">
        <v>606</v>
      </c>
      <c r="D1561" s="109">
        <v>1</v>
      </c>
      <c r="E1561" s="109"/>
      <c r="F1561" s="109">
        <v>21803.06</v>
      </c>
      <c r="G1561" s="108"/>
      <c r="H1561" s="111" t="s">
        <v>16</v>
      </c>
    </row>
    <row r="1562" spans="1:8" ht="33" x14ac:dyDescent="0.2">
      <c r="A1562" s="108"/>
      <c r="B1562" s="108" t="s">
        <v>1515</v>
      </c>
      <c r="C1562" s="110" t="s">
        <v>606</v>
      </c>
      <c r="D1562" s="109"/>
      <c r="E1562" s="109"/>
      <c r="F1562" s="109">
        <v>21803.06</v>
      </c>
      <c r="G1562" s="108"/>
      <c r="H1562" s="111" t="s">
        <v>16</v>
      </c>
    </row>
    <row r="1563" spans="1:8" ht="16.5" x14ac:dyDescent="0.2">
      <c r="A1563" s="108"/>
      <c r="B1563" s="108"/>
      <c r="C1563" s="110"/>
      <c r="D1563" s="109"/>
      <c r="E1563" s="109"/>
      <c r="F1563" s="109"/>
      <c r="G1563" s="108"/>
    </row>
    <row r="1564" spans="1:8" ht="33" x14ac:dyDescent="0.2">
      <c r="A1564" s="108" t="s">
        <v>2326</v>
      </c>
      <c r="B1564" s="108" t="s">
        <v>624</v>
      </c>
      <c r="C1564" s="110" t="s">
        <v>606</v>
      </c>
      <c r="D1564" s="109">
        <v>1</v>
      </c>
      <c r="E1564" s="109">
        <v>26196.51</v>
      </c>
      <c r="F1564" s="109"/>
      <c r="G1564" s="108" t="s">
        <v>2325</v>
      </c>
      <c r="H1564" s="111" t="s">
        <v>16</v>
      </c>
    </row>
    <row r="1565" spans="1:8" ht="33" x14ac:dyDescent="0.2">
      <c r="A1565" s="108">
        <v>1</v>
      </c>
      <c r="B1565" s="108" t="s">
        <v>2290</v>
      </c>
      <c r="C1565" s="110" t="s">
        <v>97</v>
      </c>
      <c r="D1565" s="109">
        <v>2.79</v>
      </c>
      <c r="E1565" s="109">
        <v>375</v>
      </c>
      <c r="F1565" s="109">
        <v>1046.25</v>
      </c>
      <c r="G1565" s="108" t="s">
        <v>2289</v>
      </c>
      <c r="H1565" s="111" t="s">
        <v>16</v>
      </c>
    </row>
    <row r="1566" spans="1:8" ht="33" x14ac:dyDescent="0.2">
      <c r="A1566" s="108">
        <v>2</v>
      </c>
      <c r="B1566" s="108" t="s">
        <v>2316</v>
      </c>
      <c r="C1566" s="110" t="s">
        <v>97</v>
      </c>
      <c r="D1566" s="109">
        <v>2.79</v>
      </c>
      <c r="E1566" s="109">
        <v>375</v>
      </c>
      <c r="F1566" s="109">
        <v>1046.25</v>
      </c>
      <c r="G1566" s="108" t="s">
        <v>2315</v>
      </c>
      <c r="H1566" s="111" t="s">
        <v>16</v>
      </c>
    </row>
    <row r="1567" spans="1:8" ht="33" x14ac:dyDescent="0.2">
      <c r="A1567" s="108">
        <v>3</v>
      </c>
      <c r="B1567" s="108" t="s">
        <v>2314</v>
      </c>
      <c r="C1567" s="110" t="s">
        <v>97</v>
      </c>
      <c r="D1567" s="109">
        <v>2.79</v>
      </c>
      <c r="E1567" s="109">
        <v>375</v>
      </c>
      <c r="F1567" s="109">
        <v>1046.25</v>
      </c>
      <c r="G1567" s="108" t="s">
        <v>2313</v>
      </c>
      <c r="H1567" s="111" t="s">
        <v>16</v>
      </c>
    </row>
    <row r="1568" spans="1:8" ht="33" x14ac:dyDescent="0.2">
      <c r="A1568" s="108">
        <v>4</v>
      </c>
      <c r="B1568" s="108" t="s">
        <v>2286</v>
      </c>
      <c r="C1568" s="110" t="s">
        <v>97</v>
      </c>
      <c r="D1568" s="109">
        <v>2.6</v>
      </c>
      <c r="E1568" s="109">
        <v>1620</v>
      </c>
      <c r="F1568" s="109">
        <v>4212</v>
      </c>
      <c r="G1568" s="108" t="s">
        <v>2285</v>
      </c>
      <c r="H1568" s="111" t="s">
        <v>16</v>
      </c>
    </row>
    <row r="1569" spans="1:8" ht="33" x14ac:dyDescent="0.2">
      <c r="A1569" s="108">
        <v>5</v>
      </c>
      <c r="B1569" s="108" t="s">
        <v>2284</v>
      </c>
      <c r="C1569" s="110" t="s">
        <v>97</v>
      </c>
      <c r="D1569" s="109">
        <v>2.6</v>
      </c>
      <c r="E1569" s="109">
        <v>375</v>
      </c>
      <c r="F1569" s="109">
        <v>975</v>
      </c>
      <c r="G1569" s="108" t="s">
        <v>2283</v>
      </c>
      <c r="H1569" s="111" t="s">
        <v>16</v>
      </c>
    </row>
    <row r="1570" spans="1:8" ht="33" x14ac:dyDescent="0.2">
      <c r="A1570" s="108">
        <v>6</v>
      </c>
      <c r="B1570" s="108" t="s">
        <v>2306</v>
      </c>
      <c r="C1570" s="110" t="s">
        <v>97</v>
      </c>
      <c r="D1570" s="109">
        <v>2.6</v>
      </c>
      <c r="E1570" s="109">
        <v>375</v>
      </c>
      <c r="F1570" s="109">
        <v>975</v>
      </c>
      <c r="G1570" s="108" t="s">
        <v>2305</v>
      </c>
      <c r="H1570" s="111" t="s">
        <v>16</v>
      </c>
    </row>
    <row r="1571" spans="1:8" ht="42.75" x14ac:dyDescent="0.2">
      <c r="A1571" s="108">
        <v>7</v>
      </c>
      <c r="B1571" s="108" t="s">
        <v>2312</v>
      </c>
      <c r="C1571" s="110" t="s">
        <v>325</v>
      </c>
      <c r="D1571" s="109">
        <v>1</v>
      </c>
      <c r="E1571" s="109">
        <v>699</v>
      </c>
      <c r="F1571" s="109">
        <v>699</v>
      </c>
      <c r="G1571" s="108" t="s">
        <v>2311</v>
      </c>
      <c r="H1571" s="111" t="s">
        <v>16</v>
      </c>
    </row>
    <row r="1572" spans="1:8" ht="57" x14ac:dyDescent="0.2">
      <c r="A1572" s="108">
        <v>8</v>
      </c>
      <c r="B1572" s="108" t="s">
        <v>1985</v>
      </c>
      <c r="C1572" s="110" t="s">
        <v>97</v>
      </c>
      <c r="D1572" s="109">
        <v>17.48</v>
      </c>
      <c r="E1572" s="109">
        <v>375</v>
      </c>
      <c r="F1572" s="109">
        <v>6555</v>
      </c>
      <c r="G1572" s="108" t="s">
        <v>1984</v>
      </c>
      <c r="H1572" s="111" t="s">
        <v>16</v>
      </c>
    </row>
    <row r="1573" spans="1:8" ht="33" x14ac:dyDescent="0.2">
      <c r="A1573" s="108">
        <v>9</v>
      </c>
      <c r="B1573" s="108" t="s">
        <v>2282</v>
      </c>
      <c r="C1573" s="110" t="s">
        <v>97</v>
      </c>
      <c r="D1573" s="109">
        <v>2.5</v>
      </c>
      <c r="E1573" s="109">
        <v>1500</v>
      </c>
      <c r="F1573" s="109">
        <v>3750</v>
      </c>
      <c r="G1573" s="108" t="s">
        <v>2281</v>
      </c>
      <c r="H1573" s="111" t="s">
        <v>16</v>
      </c>
    </row>
    <row r="1574" spans="1:8" ht="33" x14ac:dyDescent="0.2">
      <c r="A1574" s="108">
        <v>10</v>
      </c>
      <c r="B1574" s="108" t="s">
        <v>2280</v>
      </c>
      <c r="C1574" s="110" t="s">
        <v>97</v>
      </c>
      <c r="D1574" s="109">
        <v>2.5099999999999998</v>
      </c>
      <c r="E1574" s="109">
        <v>375</v>
      </c>
      <c r="F1574" s="109">
        <v>941.25</v>
      </c>
      <c r="G1574" s="108" t="s">
        <v>2279</v>
      </c>
      <c r="H1574" s="111" t="s">
        <v>16</v>
      </c>
    </row>
    <row r="1575" spans="1:8" ht="33" x14ac:dyDescent="0.2">
      <c r="A1575" s="108">
        <v>11</v>
      </c>
      <c r="B1575" s="108" t="s">
        <v>2278</v>
      </c>
      <c r="C1575" s="110" t="s">
        <v>97</v>
      </c>
      <c r="D1575" s="109">
        <v>2.5</v>
      </c>
      <c r="E1575" s="109">
        <v>1300</v>
      </c>
      <c r="F1575" s="109">
        <v>3250</v>
      </c>
      <c r="G1575" s="108" t="s">
        <v>2277</v>
      </c>
      <c r="H1575" s="111" t="s">
        <v>16</v>
      </c>
    </row>
    <row r="1576" spans="1:8" ht="33" x14ac:dyDescent="0.2">
      <c r="A1576" s="108">
        <v>12</v>
      </c>
      <c r="B1576" s="108" t="s">
        <v>1696</v>
      </c>
      <c r="C1576" s="110" t="s">
        <v>97</v>
      </c>
      <c r="D1576" s="109">
        <v>2.5</v>
      </c>
      <c r="E1576" s="109">
        <v>375</v>
      </c>
      <c r="F1576" s="109">
        <v>937.5</v>
      </c>
      <c r="G1576" s="108" t="s">
        <v>1695</v>
      </c>
      <c r="H1576" s="111" t="s">
        <v>16</v>
      </c>
    </row>
    <row r="1577" spans="1:8" ht="33" x14ac:dyDescent="0.2">
      <c r="A1577" s="108">
        <v>13</v>
      </c>
      <c r="B1577" s="108" t="s">
        <v>1518</v>
      </c>
      <c r="C1577" s="110" t="s">
        <v>14</v>
      </c>
      <c r="D1577" s="109">
        <v>1</v>
      </c>
      <c r="E1577" s="109">
        <v>763.01</v>
      </c>
      <c r="F1577" s="109">
        <v>763.01</v>
      </c>
      <c r="G1577" s="108" t="s">
        <v>1517</v>
      </c>
      <c r="H1577" s="111" t="s">
        <v>16</v>
      </c>
    </row>
    <row r="1578" spans="1:8" ht="33" x14ac:dyDescent="0.2">
      <c r="A1578" s="108"/>
      <c r="B1578" s="108" t="s">
        <v>1516</v>
      </c>
      <c r="C1578" s="110" t="s">
        <v>606</v>
      </c>
      <c r="D1578" s="109">
        <v>1</v>
      </c>
      <c r="E1578" s="109"/>
      <c r="F1578" s="109">
        <v>26196.51</v>
      </c>
      <c r="G1578" s="108"/>
      <c r="H1578" s="111" t="s">
        <v>16</v>
      </c>
    </row>
    <row r="1579" spans="1:8" ht="33" x14ac:dyDescent="0.2">
      <c r="A1579" s="108"/>
      <c r="B1579" s="108" t="s">
        <v>1515</v>
      </c>
      <c r="C1579" s="110" t="s">
        <v>606</v>
      </c>
      <c r="D1579" s="109"/>
      <c r="E1579" s="109"/>
      <c r="F1579" s="109">
        <v>26196.51</v>
      </c>
      <c r="G1579" s="108"/>
      <c r="H1579" s="111" t="s">
        <v>16</v>
      </c>
    </row>
    <row r="1580" spans="1:8" ht="16.5" x14ac:dyDescent="0.2">
      <c r="A1580" s="108"/>
      <c r="B1580" s="108"/>
      <c r="C1580" s="110"/>
      <c r="D1580" s="109"/>
      <c r="E1580" s="109"/>
      <c r="F1580" s="109"/>
      <c r="G1580" s="108"/>
    </row>
    <row r="1581" spans="1:8" ht="33" x14ac:dyDescent="0.2">
      <c r="A1581" s="108" t="s">
        <v>2324</v>
      </c>
      <c r="B1581" s="108" t="s">
        <v>627</v>
      </c>
      <c r="C1581" s="110" t="s">
        <v>606</v>
      </c>
      <c r="D1581" s="109">
        <v>1</v>
      </c>
      <c r="E1581" s="109">
        <v>29984.85</v>
      </c>
      <c r="F1581" s="109"/>
      <c r="G1581" s="108" t="s">
        <v>2323</v>
      </c>
      <c r="H1581" s="111" t="s">
        <v>16</v>
      </c>
    </row>
    <row r="1582" spans="1:8" ht="33" x14ac:dyDescent="0.2">
      <c r="A1582" s="108">
        <v>1</v>
      </c>
      <c r="B1582" s="108" t="s">
        <v>2290</v>
      </c>
      <c r="C1582" s="110" t="s">
        <v>97</v>
      </c>
      <c r="D1582" s="109">
        <v>3.1</v>
      </c>
      <c r="E1582" s="109">
        <v>375</v>
      </c>
      <c r="F1582" s="109">
        <v>1162.5</v>
      </c>
      <c r="G1582" s="108" t="s">
        <v>2289</v>
      </c>
      <c r="H1582" s="111" t="s">
        <v>16</v>
      </c>
    </row>
    <row r="1583" spans="1:8" ht="33" x14ac:dyDescent="0.2">
      <c r="A1583" s="108">
        <v>2</v>
      </c>
      <c r="B1583" s="108" t="s">
        <v>2316</v>
      </c>
      <c r="C1583" s="110" t="s">
        <v>97</v>
      </c>
      <c r="D1583" s="109">
        <v>3.1</v>
      </c>
      <c r="E1583" s="109">
        <v>375</v>
      </c>
      <c r="F1583" s="109">
        <v>1162.5</v>
      </c>
      <c r="G1583" s="108" t="s">
        <v>2315</v>
      </c>
      <c r="H1583" s="111" t="s">
        <v>16</v>
      </c>
    </row>
    <row r="1584" spans="1:8" ht="33" x14ac:dyDescent="0.2">
      <c r="A1584" s="108">
        <v>3</v>
      </c>
      <c r="B1584" s="108" t="s">
        <v>2314</v>
      </c>
      <c r="C1584" s="110" t="s">
        <v>97</v>
      </c>
      <c r="D1584" s="109">
        <v>3.1</v>
      </c>
      <c r="E1584" s="109">
        <v>375</v>
      </c>
      <c r="F1584" s="109">
        <v>1162.5</v>
      </c>
      <c r="G1584" s="108" t="s">
        <v>2313</v>
      </c>
      <c r="H1584" s="111" t="s">
        <v>16</v>
      </c>
    </row>
    <row r="1585" spans="1:8" ht="33" x14ac:dyDescent="0.2">
      <c r="A1585" s="108">
        <v>4</v>
      </c>
      <c r="B1585" s="108" t="s">
        <v>2286</v>
      </c>
      <c r="C1585" s="110" t="s">
        <v>97</v>
      </c>
      <c r="D1585" s="109">
        <v>3</v>
      </c>
      <c r="E1585" s="109">
        <v>1620</v>
      </c>
      <c r="F1585" s="109">
        <v>4860</v>
      </c>
      <c r="G1585" s="108" t="s">
        <v>2285</v>
      </c>
      <c r="H1585" s="111" t="s">
        <v>16</v>
      </c>
    </row>
    <row r="1586" spans="1:8" ht="33" x14ac:dyDescent="0.2">
      <c r="A1586" s="108">
        <v>5</v>
      </c>
      <c r="B1586" s="108" t="s">
        <v>2284</v>
      </c>
      <c r="C1586" s="110" t="s">
        <v>97</v>
      </c>
      <c r="D1586" s="109">
        <v>3</v>
      </c>
      <c r="E1586" s="109">
        <v>375</v>
      </c>
      <c r="F1586" s="109">
        <v>1125</v>
      </c>
      <c r="G1586" s="108" t="s">
        <v>2283</v>
      </c>
      <c r="H1586" s="111" t="s">
        <v>16</v>
      </c>
    </row>
    <row r="1587" spans="1:8" ht="33" x14ac:dyDescent="0.2">
      <c r="A1587" s="108">
        <v>6</v>
      </c>
      <c r="B1587" s="108" t="s">
        <v>2306</v>
      </c>
      <c r="C1587" s="110" t="s">
        <v>97</v>
      </c>
      <c r="D1587" s="109">
        <v>3</v>
      </c>
      <c r="E1587" s="109">
        <v>375</v>
      </c>
      <c r="F1587" s="109">
        <v>1125</v>
      </c>
      <c r="G1587" s="108" t="s">
        <v>2305</v>
      </c>
      <c r="H1587" s="111" t="s">
        <v>16</v>
      </c>
    </row>
    <row r="1588" spans="1:8" ht="42.75" x14ac:dyDescent="0.2">
      <c r="A1588" s="108">
        <v>7</v>
      </c>
      <c r="B1588" s="108" t="s">
        <v>2312</v>
      </c>
      <c r="C1588" s="110" t="s">
        <v>325</v>
      </c>
      <c r="D1588" s="109">
        <v>1</v>
      </c>
      <c r="E1588" s="109">
        <v>699</v>
      </c>
      <c r="F1588" s="109">
        <v>699</v>
      </c>
      <c r="G1588" s="108" t="s">
        <v>2311</v>
      </c>
      <c r="H1588" s="111" t="s">
        <v>16</v>
      </c>
    </row>
    <row r="1589" spans="1:8" ht="57" x14ac:dyDescent="0.2">
      <c r="A1589" s="108">
        <v>8</v>
      </c>
      <c r="B1589" s="108" t="s">
        <v>1985</v>
      </c>
      <c r="C1589" s="110" t="s">
        <v>97</v>
      </c>
      <c r="D1589" s="109">
        <v>20</v>
      </c>
      <c r="E1589" s="109">
        <v>375</v>
      </c>
      <c r="F1589" s="109">
        <v>7500</v>
      </c>
      <c r="G1589" s="108" t="s">
        <v>1984</v>
      </c>
      <c r="H1589" s="111" t="s">
        <v>16</v>
      </c>
    </row>
    <row r="1590" spans="1:8" ht="33" x14ac:dyDescent="0.2">
      <c r="A1590" s="108">
        <v>9</v>
      </c>
      <c r="B1590" s="108" t="s">
        <v>2282</v>
      </c>
      <c r="C1590" s="110" t="s">
        <v>97</v>
      </c>
      <c r="D1590" s="109">
        <v>3</v>
      </c>
      <c r="E1590" s="109">
        <v>1500</v>
      </c>
      <c r="F1590" s="109">
        <v>4500</v>
      </c>
      <c r="G1590" s="108" t="s">
        <v>2281</v>
      </c>
      <c r="H1590" s="111" t="s">
        <v>16</v>
      </c>
    </row>
    <row r="1591" spans="1:8" ht="33" x14ac:dyDescent="0.2">
      <c r="A1591" s="108">
        <v>10</v>
      </c>
      <c r="B1591" s="108" t="s">
        <v>2280</v>
      </c>
      <c r="C1591" s="110" t="s">
        <v>97</v>
      </c>
      <c r="D1591" s="109">
        <v>3</v>
      </c>
      <c r="E1591" s="109">
        <v>375</v>
      </c>
      <c r="F1591" s="109">
        <v>1125</v>
      </c>
      <c r="G1591" s="108" t="s">
        <v>2279</v>
      </c>
      <c r="H1591" s="111" t="s">
        <v>16</v>
      </c>
    </row>
    <row r="1592" spans="1:8" ht="33" x14ac:dyDescent="0.2">
      <c r="A1592" s="108">
        <v>11</v>
      </c>
      <c r="B1592" s="108" t="s">
        <v>2278</v>
      </c>
      <c r="C1592" s="110" t="s">
        <v>97</v>
      </c>
      <c r="D1592" s="109">
        <v>2.8</v>
      </c>
      <c r="E1592" s="109">
        <v>1300</v>
      </c>
      <c r="F1592" s="109">
        <v>3640</v>
      </c>
      <c r="G1592" s="108" t="s">
        <v>2277</v>
      </c>
      <c r="H1592" s="111" t="s">
        <v>16</v>
      </c>
    </row>
    <row r="1593" spans="1:8" ht="33" x14ac:dyDescent="0.2">
      <c r="A1593" s="108">
        <v>12</v>
      </c>
      <c r="B1593" s="108" t="s">
        <v>1696</v>
      </c>
      <c r="C1593" s="110" t="s">
        <v>97</v>
      </c>
      <c r="D1593" s="109">
        <v>2.8</v>
      </c>
      <c r="E1593" s="109">
        <v>375</v>
      </c>
      <c r="F1593" s="109">
        <v>1050</v>
      </c>
      <c r="G1593" s="108" t="s">
        <v>1695</v>
      </c>
      <c r="H1593" s="111" t="s">
        <v>16</v>
      </c>
    </row>
    <row r="1594" spans="1:8" ht="33" x14ac:dyDescent="0.2">
      <c r="A1594" s="108">
        <v>13</v>
      </c>
      <c r="B1594" s="108" t="s">
        <v>1518</v>
      </c>
      <c r="C1594" s="110" t="s">
        <v>14</v>
      </c>
      <c r="D1594" s="109">
        <v>1</v>
      </c>
      <c r="E1594" s="109">
        <v>873.35</v>
      </c>
      <c r="F1594" s="109">
        <v>873.35</v>
      </c>
      <c r="G1594" s="108" t="s">
        <v>1517</v>
      </c>
      <c r="H1594" s="111" t="s">
        <v>16</v>
      </c>
    </row>
    <row r="1595" spans="1:8" ht="33" x14ac:dyDescent="0.2">
      <c r="A1595" s="108"/>
      <c r="B1595" s="108" t="s">
        <v>1516</v>
      </c>
      <c r="C1595" s="110" t="s">
        <v>606</v>
      </c>
      <c r="D1595" s="109">
        <v>1</v>
      </c>
      <c r="E1595" s="109"/>
      <c r="F1595" s="109">
        <v>29984.85</v>
      </c>
      <c r="G1595" s="108"/>
      <c r="H1595" s="111" t="s">
        <v>16</v>
      </c>
    </row>
    <row r="1596" spans="1:8" ht="33" x14ac:dyDescent="0.2">
      <c r="A1596" s="108"/>
      <c r="B1596" s="108" t="s">
        <v>1515</v>
      </c>
      <c r="C1596" s="110" t="s">
        <v>606</v>
      </c>
      <c r="D1596" s="109"/>
      <c r="E1596" s="109"/>
      <c r="F1596" s="109">
        <v>29984.85</v>
      </c>
      <c r="G1596" s="108"/>
      <c r="H1596" s="111" t="s">
        <v>16</v>
      </c>
    </row>
    <row r="1597" spans="1:8" ht="16.5" x14ac:dyDescent="0.2">
      <c r="A1597" s="108"/>
      <c r="B1597" s="108"/>
      <c r="C1597" s="110"/>
      <c r="D1597" s="109"/>
      <c r="E1597" s="109"/>
      <c r="F1597" s="109"/>
      <c r="G1597" s="108"/>
    </row>
    <row r="1598" spans="1:8" ht="33" x14ac:dyDescent="0.2">
      <c r="A1598" s="108" t="s">
        <v>2322</v>
      </c>
      <c r="B1598" s="108" t="s">
        <v>630</v>
      </c>
      <c r="C1598" s="110" t="s">
        <v>606</v>
      </c>
      <c r="D1598" s="109">
        <v>1</v>
      </c>
      <c r="E1598" s="109">
        <v>38914.949999999997</v>
      </c>
      <c r="F1598" s="109"/>
      <c r="G1598" s="108" t="s">
        <v>2321</v>
      </c>
      <c r="H1598" s="111" t="s">
        <v>16</v>
      </c>
    </row>
    <row r="1599" spans="1:8" ht="33" x14ac:dyDescent="0.2">
      <c r="A1599" s="108">
        <v>1</v>
      </c>
      <c r="B1599" s="108" t="s">
        <v>2290</v>
      </c>
      <c r="C1599" s="110" t="s">
        <v>97</v>
      </c>
      <c r="D1599" s="109">
        <v>4.0999999999999996</v>
      </c>
      <c r="E1599" s="109">
        <v>375</v>
      </c>
      <c r="F1599" s="109">
        <v>1537.5</v>
      </c>
      <c r="G1599" s="108" t="s">
        <v>2289</v>
      </c>
      <c r="H1599" s="111" t="s">
        <v>16</v>
      </c>
    </row>
    <row r="1600" spans="1:8" ht="33" x14ac:dyDescent="0.2">
      <c r="A1600" s="108">
        <v>2</v>
      </c>
      <c r="B1600" s="108" t="s">
        <v>2316</v>
      </c>
      <c r="C1600" s="110" t="s">
        <v>97</v>
      </c>
      <c r="D1600" s="109">
        <v>4.0999999999999996</v>
      </c>
      <c r="E1600" s="109">
        <v>375</v>
      </c>
      <c r="F1600" s="109">
        <v>1537.5</v>
      </c>
      <c r="G1600" s="108" t="s">
        <v>2315</v>
      </c>
      <c r="H1600" s="111" t="s">
        <v>16</v>
      </c>
    </row>
    <row r="1601" spans="1:8" ht="33" x14ac:dyDescent="0.2">
      <c r="A1601" s="108">
        <v>3</v>
      </c>
      <c r="B1601" s="108" t="s">
        <v>2314</v>
      </c>
      <c r="C1601" s="110" t="s">
        <v>97</v>
      </c>
      <c r="D1601" s="109">
        <v>4.0999999999999996</v>
      </c>
      <c r="E1601" s="109">
        <v>375</v>
      </c>
      <c r="F1601" s="109">
        <v>1537.5</v>
      </c>
      <c r="G1601" s="108" t="s">
        <v>2313</v>
      </c>
      <c r="H1601" s="111" t="s">
        <v>16</v>
      </c>
    </row>
    <row r="1602" spans="1:8" ht="33" x14ac:dyDescent="0.2">
      <c r="A1602" s="108">
        <v>4</v>
      </c>
      <c r="B1602" s="108" t="s">
        <v>2286</v>
      </c>
      <c r="C1602" s="110" t="s">
        <v>97</v>
      </c>
      <c r="D1602" s="109">
        <v>4.0999999999999996</v>
      </c>
      <c r="E1602" s="109">
        <v>1620</v>
      </c>
      <c r="F1602" s="109">
        <v>6642</v>
      </c>
      <c r="G1602" s="108" t="s">
        <v>2285</v>
      </c>
      <c r="H1602" s="111" t="s">
        <v>16</v>
      </c>
    </row>
    <row r="1603" spans="1:8" ht="33" x14ac:dyDescent="0.2">
      <c r="A1603" s="108">
        <v>5</v>
      </c>
      <c r="B1603" s="108" t="s">
        <v>2284</v>
      </c>
      <c r="C1603" s="110" t="s">
        <v>97</v>
      </c>
      <c r="D1603" s="109">
        <v>4.0999999999999996</v>
      </c>
      <c r="E1603" s="109">
        <v>375</v>
      </c>
      <c r="F1603" s="109">
        <v>1537.5</v>
      </c>
      <c r="G1603" s="108" t="s">
        <v>2283</v>
      </c>
      <c r="H1603" s="111" t="s">
        <v>16</v>
      </c>
    </row>
    <row r="1604" spans="1:8" ht="33" x14ac:dyDescent="0.2">
      <c r="A1604" s="108">
        <v>6</v>
      </c>
      <c r="B1604" s="108" t="s">
        <v>2306</v>
      </c>
      <c r="C1604" s="110" t="s">
        <v>97</v>
      </c>
      <c r="D1604" s="109">
        <v>4.0999999999999996</v>
      </c>
      <c r="E1604" s="109">
        <v>375</v>
      </c>
      <c r="F1604" s="109">
        <v>1537.5</v>
      </c>
      <c r="G1604" s="108" t="s">
        <v>2305</v>
      </c>
      <c r="H1604" s="111" t="s">
        <v>16</v>
      </c>
    </row>
    <row r="1605" spans="1:8" ht="42.75" x14ac:dyDescent="0.2">
      <c r="A1605" s="108">
        <v>7</v>
      </c>
      <c r="B1605" s="108" t="s">
        <v>2312</v>
      </c>
      <c r="C1605" s="110" t="s">
        <v>325</v>
      </c>
      <c r="D1605" s="109">
        <v>1</v>
      </c>
      <c r="E1605" s="109">
        <v>699</v>
      </c>
      <c r="F1605" s="109">
        <v>699</v>
      </c>
      <c r="G1605" s="108" t="s">
        <v>2311</v>
      </c>
      <c r="H1605" s="111" t="s">
        <v>16</v>
      </c>
    </row>
    <row r="1606" spans="1:8" ht="57" x14ac:dyDescent="0.2">
      <c r="A1606" s="108">
        <v>8</v>
      </c>
      <c r="B1606" s="108" t="s">
        <v>1985</v>
      </c>
      <c r="C1606" s="110" t="s">
        <v>97</v>
      </c>
      <c r="D1606" s="109">
        <v>26.5</v>
      </c>
      <c r="E1606" s="109">
        <v>375</v>
      </c>
      <c r="F1606" s="109">
        <v>9937.5</v>
      </c>
      <c r="G1606" s="108" t="s">
        <v>1984</v>
      </c>
      <c r="H1606" s="111" t="s">
        <v>16</v>
      </c>
    </row>
    <row r="1607" spans="1:8" ht="33" x14ac:dyDescent="0.2">
      <c r="A1607" s="108">
        <v>9</v>
      </c>
      <c r="B1607" s="108" t="s">
        <v>2282</v>
      </c>
      <c r="C1607" s="110" t="s">
        <v>97</v>
      </c>
      <c r="D1607" s="109">
        <v>3.61</v>
      </c>
      <c r="E1607" s="109">
        <v>1500</v>
      </c>
      <c r="F1607" s="109">
        <v>5415</v>
      </c>
      <c r="G1607" s="108" t="s">
        <v>2281</v>
      </c>
      <c r="H1607" s="111" t="s">
        <v>16</v>
      </c>
    </row>
    <row r="1608" spans="1:8" ht="33" x14ac:dyDescent="0.2">
      <c r="A1608" s="108">
        <v>10</v>
      </c>
      <c r="B1608" s="108" t="s">
        <v>2280</v>
      </c>
      <c r="C1608" s="110" t="s">
        <v>97</v>
      </c>
      <c r="D1608" s="109">
        <v>3.61</v>
      </c>
      <c r="E1608" s="109">
        <v>375</v>
      </c>
      <c r="F1608" s="109">
        <v>1353.75</v>
      </c>
      <c r="G1608" s="108" t="s">
        <v>2279</v>
      </c>
      <c r="H1608" s="111" t="s">
        <v>16</v>
      </c>
    </row>
    <row r="1609" spans="1:8" ht="33" x14ac:dyDescent="0.2">
      <c r="A1609" s="108">
        <v>11</v>
      </c>
      <c r="B1609" s="108" t="s">
        <v>2278</v>
      </c>
      <c r="C1609" s="110" t="s">
        <v>97</v>
      </c>
      <c r="D1609" s="109">
        <v>3.61</v>
      </c>
      <c r="E1609" s="109">
        <v>1300</v>
      </c>
      <c r="F1609" s="109">
        <v>4693</v>
      </c>
      <c r="G1609" s="108" t="s">
        <v>2277</v>
      </c>
      <c r="H1609" s="111" t="s">
        <v>16</v>
      </c>
    </row>
    <row r="1610" spans="1:8" ht="33" x14ac:dyDescent="0.2">
      <c r="A1610" s="108">
        <v>12</v>
      </c>
      <c r="B1610" s="108" t="s">
        <v>1696</v>
      </c>
      <c r="C1610" s="110" t="s">
        <v>97</v>
      </c>
      <c r="D1610" s="109">
        <v>3.61</v>
      </c>
      <c r="E1610" s="109">
        <v>375</v>
      </c>
      <c r="F1610" s="109">
        <v>1353.75</v>
      </c>
      <c r="G1610" s="108" t="s">
        <v>1695</v>
      </c>
      <c r="H1610" s="111" t="s">
        <v>16</v>
      </c>
    </row>
    <row r="1611" spans="1:8" ht="33" x14ac:dyDescent="0.2">
      <c r="A1611" s="108">
        <v>13</v>
      </c>
      <c r="B1611" s="108" t="s">
        <v>1518</v>
      </c>
      <c r="C1611" s="110" t="s">
        <v>14</v>
      </c>
      <c r="D1611" s="109">
        <v>1</v>
      </c>
      <c r="E1611" s="109">
        <v>1133.45</v>
      </c>
      <c r="F1611" s="109">
        <v>1133.45</v>
      </c>
      <c r="G1611" s="108" t="s">
        <v>1517</v>
      </c>
      <c r="H1611" s="111" t="s">
        <v>16</v>
      </c>
    </row>
    <row r="1612" spans="1:8" ht="33" x14ac:dyDescent="0.2">
      <c r="A1612" s="108"/>
      <c r="B1612" s="108" t="s">
        <v>1516</v>
      </c>
      <c r="C1612" s="110" t="s">
        <v>606</v>
      </c>
      <c r="D1612" s="109">
        <v>1</v>
      </c>
      <c r="E1612" s="109"/>
      <c r="F1612" s="109">
        <v>38914.949999999997</v>
      </c>
      <c r="G1612" s="108"/>
      <c r="H1612" s="111" t="s">
        <v>16</v>
      </c>
    </row>
    <row r="1613" spans="1:8" ht="33" x14ac:dyDescent="0.2">
      <c r="A1613" s="108"/>
      <c r="B1613" s="108" t="s">
        <v>1515</v>
      </c>
      <c r="C1613" s="110" t="s">
        <v>606</v>
      </c>
      <c r="D1613" s="109"/>
      <c r="E1613" s="109"/>
      <c r="F1613" s="109">
        <v>38914.949999999997</v>
      </c>
      <c r="G1613" s="108"/>
      <c r="H1613" s="111" t="s">
        <v>16</v>
      </c>
    </row>
    <row r="1614" spans="1:8" ht="16.5" x14ac:dyDescent="0.2">
      <c r="A1614" s="108"/>
      <c r="B1614" s="108"/>
      <c r="C1614" s="110"/>
      <c r="D1614" s="109"/>
      <c r="E1614" s="109"/>
      <c r="F1614" s="109"/>
      <c r="G1614" s="108"/>
    </row>
    <row r="1615" spans="1:8" ht="33" x14ac:dyDescent="0.2">
      <c r="A1615" s="108" t="s">
        <v>2320</v>
      </c>
      <c r="B1615" s="108" t="s">
        <v>633</v>
      </c>
      <c r="C1615" s="110" t="s">
        <v>606</v>
      </c>
      <c r="D1615" s="109">
        <v>1</v>
      </c>
      <c r="E1615" s="109">
        <v>43624.88</v>
      </c>
      <c r="F1615" s="109"/>
      <c r="G1615" s="108" t="s">
        <v>2319</v>
      </c>
      <c r="H1615" s="111" t="s">
        <v>16</v>
      </c>
    </row>
    <row r="1616" spans="1:8" ht="33" x14ac:dyDescent="0.2">
      <c r="A1616" s="108">
        <v>1</v>
      </c>
      <c r="B1616" s="108" t="s">
        <v>2290</v>
      </c>
      <c r="C1616" s="110" t="s">
        <v>97</v>
      </c>
      <c r="D1616" s="109">
        <v>5</v>
      </c>
      <c r="E1616" s="109">
        <v>375</v>
      </c>
      <c r="F1616" s="109">
        <v>1875</v>
      </c>
      <c r="G1616" s="108" t="s">
        <v>2289</v>
      </c>
      <c r="H1616" s="111" t="s">
        <v>16</v>
      </c>
    </row>
    <row r="1617" spans="1:8" ht="33" x14ac:dyDescent="0.2">
      <c r="A1617" s="108">
        <v>2</v>
      </c>
      <c r="B1617" s="108" t="s">
        <v>2316</v>
      </c>
      <c r="C1617" s="110" t="s">
        <v>97</v>
      </c>
      <c r="D1617" s="109">
        <v>5</v>
      </c>
      <c r="E1617" s="109">
        <v>375</v>
      </c>
      <c r="F1617" s="109">
        <v>1875</v>
      </c>
      <c r="G1617" s="108" t="s">
        <v>2315</v>
      </c>
      <c r="H1617" s="111" t="s">
        <v>16</v>
      </c>
    </row>
    <row r="1618" spans="1:8" ht="33" x14ac:dyDescent="0.2">
      <c r="A1618" s="108">
        <v>3</v>
      </c>
      <c r="B1618" s="108" t="s">
        <v>2314</v>
      </c>
      <c r="C1618" s="110" t="s">
        <v>97</v>
      </c>
      <c r="D1618" s="109">
        <v>5</v>
      </c>
      <c r="E1618" s="109">
        <v>375</v>
      </c>
      <c r="F1618" s="109">
        <v>1875</v>
      </c>
      <c r="G1618" s="108" t="s">
        <v>2313</v>
      </c>
      <c r="H1618" s="111" t="s">
        <v>16</v>
      </c>
    </row>
    <row r="1619" spans="1:8" ht="33" x14ac:dyDescent="0.2">
      <c r="A1619" s="108">
        <v>4</v>
      </c>
      <c r="B1619" s="108" t="s">
        <v>2286</v>
      </c>
      <c r="C1619" s="110" t="s">
        <v>97</v>
      </c>
      <c r="D1619" s="109">
        <v>4.2</v>
      </c>
      <c r="E1619" s="109">
        <v>1620</v>
      </c>
      <c r="F1619" s="109">
        <v>6804</v>
      </c>
      <c r="G1619" s="108" t="s">
        <v>2285</v>
      </c>
      <c r="H1619" s="111" t="s">
        <v>16</v>
      </c>
    </row>
    <row r="1620" spans="1:8" ht="33" x14ac:dyDescent="0.2">
      <c r="A1620" s="108">
        <v>5</v>
      </c>
      <c r="B1620" s="108" t="s">
        <v>2284</v>
      </c>
      <c r="C1620" s="110" t="s">
        <v>97</v>
      </c>
      <c r="D1620" s="109">
        <v>4.2</v>
      </c>
      <c r="E1620" s="109">
        <v>375</v>
      </c>
      <c r="F1620" s="109">
        <v>1575</v>
      </c>
      <c r="G1620" s="108" t="s">
        <v>2283</v>
      </c>
      <c r="H1620" s="111" t="s">
        <v>16</v>
      </c>
    </row>
    <row r="1621" spans="1:8" ht="33" x14ac:dyDescent="0.2">
      <c r="A1621" s="108">
        <v>6</v>
      </c>
      <c r="B1621" s="108" t="s">
        <v>2306</v>
      </c>
      <c r="C1621" s="110" t="s">
        <v>97</v>
      </c>
      <c r="D1621" s="109">
        <v>4.2</v>
      </c>
      <c r="E1621" s="109">
        <v>375</v>
      </c>
      <c r="F1621" s="109">
        <v>1575</v>
      </c>
      <c r="G1621" s="108" t="s">
        <v>2305</v>
      </c>
      <c r="H1621" s="111" t="s">
        <v>16</v>
      </c>
    </row>
    <row r="1622" spans="1:8" ht="42.75" x14ac:dyDescent="0.2">
      <c r="A1622" s="108">
        <v>7</v>
      </c>
      <c r="B1622" s="108" t="s">
        <v>2312</v>
      </c>
      <c r="C1622" s="110" t="s">
        <v>325</v>
      </c>
      <c r="D1622" s="109">
        <v>1</v>
      </c>
      <c r="E1622" s="109">
        <v>699</v>
      </c>
      <c r="F1622" s="109">
        <v>699</v>
      </c>
      <c r="G1622" s="108" t="s">
        <v>2311</v>
      </c>
      <c r="H1622" s="111" t="s">
        <v>16</v>
      </c>
    </row>
    <row r="1623" spans="1:8" ht="57" x14ac:dyDescent="0.2">
      <c r="A1623" s="108">
        <v>8</v>
      </c>
      <c r="B1623" s="108" t="s">
        <v>1985</v>
      </c>
      <c r="C1623" s="110" t="s">
        <v>97</v>
      </c>
      <c r="D1623" s="109">
        <v>30</v>
      </c>
      <c r="E1623" s="109">
        <v>375</v>
      </c>
      <c r="F1623" s="109">
        <v>11250</v>
      </c>
      <c r="G1623" s="108" t="s">
        <v>1984</v>
      </c>
      <c r="H1623" s="111" t="s">
        <v>16</v>
      </c>
    </row>
    <row r="1624" spans="1:8" ht="33" x14ac:dyDescent="0.2">
      <c r="A1624" s="108">
        <v>9</v>
      </c>
      <c r="B1624" s="108" t="s">
        <v>2282</v>
      </c>
      <c r="C1624" s="110" t="s">
        <v>97</v>
      </c>
      <c r="D1624" s="109">
        <v>4.2</v>
      </c>
      <c r="E1624" s="109">
        <v>1500</v>
      </c>
      <c r="F1624" s="109">
        <v>6300</v>
      </c>
      <c r="G1624" s="108" t="s">
        <v>2281</v>
      </c>
      <c r="H1624" s="111" t="s">
        <v>16</v>
      </c>
    </row>
    <row r="1625" spans="1:8" ht="33" x14ac:dyDescent="0.2">
      <c r="A1625" s="108">
        <v>10</v>
      </c>
      <c r="B1625" s="108" t="s">
        <v>2280</v>
      </c>
      <c r="C1625" s="110" t="s">
        <v>97</v>
      </c>
      <c r="D1625" s="109">
        <v>4.2</v>
      </c>
      <c r="E1625" s="109">
        <v>375</v>
      </c>
      <c r="F1625" s="109">
        <v>1575</v>
      </c>
      <c r="G1625" s="108" t="s">
        <v>2279</v>
      </c>
      <c r="H1625" s="111" t="s">
        <v>16</v>
      </c>
    </row>
    <row r="1626" spans="1:8" ht="33" x14ac:dyDescent="0.2">
      <c r="A1626" s="108">
        <v>11</v>
      </c>
      <c r="B1626" s="108" t="s">
        <v>2278</v>
      </c>
      <c r="C1626" s="110" t="s">
        <v>97</v>
      </c>
      <c r="D1626" s="109">
        <v>4.1500000000000004</v>
      </c>
      <c r="E1626" s="109">
        <v>1300</v>
      </c>
      <c r="F1626" s="109">
        <v>5395</v>
      </c>
      <c r="G1626" s="108" t="s">
        <v>2277</v>
      </c>
      <c r="H1626" s="111" t="s">
        <v>16</v>
      </c>
    </row>
    <row r="1627" spans="1:8" ht="33" x14ac:dyDescent="0.2">
      <c r="A1627" s="108">
        <v>12</v>
      </c>
      <c r="B1627" s="108" t="s">
        <v>1696</v>
      </c>
      <c r="C1627" s="110" t="s">
        <v>97</v>
      </c>
      <c r="D1627" s="109">
        <v>4.1500000000000004</v>
      </c>
      <c r="E1627" s="109">
        <v>375</v>
      </c>
      <c r="F1627" s="109">
        <v>1556.25</v>
      </c>
      <c r="G1627" s="108" t="s">
        <v>1695</v>
      </c>
      <c r="H1627" s="111" t="s">
        <v>16</v>
      </c>
    </row>
    <row r="1628" spans="1:8" ht="33" x14ac:dyDescent="0.2">
      <c r="A1628" s="108">
        <v>13</v>
      </c>
      <c r="B1628" s="108" t="s">
        <v>1518</v>
      </c>
      <c r="C1628" s="110" t="s">
        <v>14</v>
      </c>
      <c r="D1628" s="109">
        <v>1</v>
      </c>
      <c r="E1628" s="109">
        <v>1270.6300000000001</v>
      </c>
      <c r="F1628" s="109">
        <v>1270.6300000000001</v>
      </c>
      <c r="G1628" s="108" t="s">
        <v>1517</v>
      </c>
      <c r="H1628" s="111" t="s">
        <v>16</v>
      </c>
    </row>
    <row r="1629" spans="1:8" ht="33" x14ac:dyDescent="0.2">
      <c r="A1629" s="108"/>
      <c r="B1629" s="108" t="s">
        <v>1516</v>
      </c>
      <c r="C1629" s="110" t="s">
        <v>606</v>
      </c>
      <c r="D1629" s="109">
        <v>1</v>
      </c>
      <c r="E1629" s="109"/>
      <c r="F1629" s="109">
        <v>43624.88</v>
      </c>
      <c r="G1629" s="108"/>
      <c r="H1629" s="111" t="s">
        <v>16</v>
      </c>
    </row>
    <row r="1630" spans="1:8" ht="33" x14ac:dyDescent="0.2">
      <c r="A1630" s="108"/>
      <c r="B1630" s="108" t="s">
        <v>1515</v>
      </c>
      <c r="C1630" s="110" t="s">
        <v>606</v>
      </c>
      <c r="D1630" s="109"/>
      <c r="E1630" s="109"/>
      <c r="F1630" s="109">
        <v>43624.88</v>
      </c>
      <c r="G1630" s="108"/>
      <c r="H1630" s="111" t="s">
        <v>16</v>
      </c>
    </row>
    <row r="1631" spans="1:8" ht="16.5" x14ac:dyDescent="0.2">
      <c r="A1631" s="108"/>
      <c r="B1631" s="108"/>
      <c r="C1631" s="110"/>
      <c r="D1631" s="109"/>
      <c r="E1631" s="109"/>
      <c r="F1631" s="109"/>
      <c r="G1631" s="108"/>
    </row>
    <row r="1632" spans="1:8" ht="33" x14ac:dyDescent="0.2">
      <c r="A1632" s="108" t="s">
        <v>2318</v>
      </c>
      <c r="B1632" s="108" t="s">
        <v>636</v>
      </c>
      <c r="C1632" s="110" t="s">
        <v>606</v>
      </c>
      <c r="D1632" s="109">
        <v>1</v>
      </c>
      <c r="E1632" s="109">
        <v>73088.800000000003</v>
      </c>
      <c r="F1632" s="109"/>
      <c r="G1632" s="108" t="s">
        <v>2317</v>
      </c>
      <c r="H1632" s="111" t="s">
        <v>16</v>
      </c>
    </row>
    <row r="1633" spans="1:8" ht="33" x14ac:dyDescent="0.2">
      <c r="A1633" s="108">
        <v>1</v>
      </c>
      <c r="B1633" s="108" t="s">
        <v>2290</v>
      </c>
      <c r="C1633" s="110" t="s">
        <v>97</v>
      </c>
      <c r="D1633" s="109">
        <v>8</v>
      </c>
      <c r="E1633" s="109">
        <v>375</v>
      </c>
      <c r="F1633" s="109">
        <v>3000</v>
      </c>
      <c r="G1633" s="108" t="s">
        <v>2289</v>
      </c>
      <c r="H1633" s="111" t="s">
        <v>16</v>
      </c>
    </row>
    <row r="1634" spans="1:8" ht="33" x14ac:dyDescent="0.2">
      <c r="A1634" s="108">
        <v>2</v>
      </c>
      <c r="B1634" s="108" t="s">
        <v>2316</v>
      </c>
      <c r="C1634" s="110" t="s">
        <v>97</v>
      </c>
      <c r="D1634" s="109">
        <v>8</v>
      </c>
      <c r="E1634" s="109">
        <v>375</v>
      </c>
      <c r="F1634" s="109">
        <v>3000</v>
      </c>
      <c r="G1634" s="108" t="s">
        <v>2315</v>
      </c>
      <c r="H1634" s="111" t="s">
        <v>16</v>
      </c>
    </row>
    <row r="1635" spans="1:8" ht="33" x14ac:dyDescent="0.2">
      <c r="A1635" s="108">
        <v>3</v>
      </c>
      <c r="B1635" s="108" t="s">
        <v>2314</v>
      </c>
      <c r="C1635" s="110" t="s">
        <v>97</v>
      </c>
      <c r="D1635" s="109">
        <v>8</v>
      </c>
      <c r="E1635" s="109">
        <v>375</v>
      </c>
      <c r="F1635" s="109">
        <v>3000</v>
      </c>
      <c r="G1635" s="108" t="s">
        <v>2313</v>
      </c>
      <c r="H1635" s="111" t="s">
        <v>16</v>
      </c>
    </row>
    <row r="1636" spans="1:8" ht="33" x14ac:dyDescent="0.2">
      <c r="A1636" s="108">
        <v>4</v>
      </c>
      <c r="B1636" s="108" t="s">
        <v>2286</v>
      </c>
      <c r="C1636" s="110" t="s">
        <v>97</v>
      </c>
      <c r="D1636" s="109">
        <v>8</v>
      </c>
      <c r="E1636" s="109">
        <v>1620</v>
      </c>
      <c r="F1636" s="109">
        <v>12960</v>
      </c>
      <c r="G1636" s="108" t="s">
        <v>2285</v>
      </c>
      <c r="H1636" s="111" t="s">
        <v>16</v>
      </c>
    </row>
    <row r="1637" spans="1:8" ht="33" x14ac:dyDescent="0.2">
      <c r="A1637" s="108">
        <v>5</v>
      </c>
      <c r="B1637" s="108" t="s">
        <v>2284</v>
      </c>
      <c r="C1637" s="110" t="s">
        <v>97</v>
      </c>
      <c r="D1637" s="109">
        <v>8</v>
      </c>
      <c r="E1637" s="109">
        <v>375</v>
      </c>
      <c r="F1637" s="109">
        <v>3000</v>
      </c>
      <c r="G1637" s="108" t="s">
        <v>2283</v>
      </c>
      <c r="H1637" s="111" t="s">
        <v>16</v>
      </c>
    </row>
    <row r="1638" spans="1:8" ht="33" x14ac:dyDescent="0.2">
      <c r="A1638" s="108">
        <v>6</v>
      </c>
      <c r="B1638" s="108" t="s">
        <v>2306</v>
      </c>
      <c r="C1638" s="110" t="s">
        <v>97</v>
      </c>
      <c r="D1638" s="109">
        <v>8</v>
      </c>
      <c r="E1638" s="109">
        <v>375</v>
      </c>
      <c r="F1638" s="109">
        <v>3000</v>
      </c>
      <c r="G1638" s="108" t="s">
        <v>2305</v>
      </c>
      <c r="H1638" s="111" t="s">
        <v>16</v>
      </c>
    </row>
    <row r="1639" spans="1:8" ht="42.75" x14ac:dyDescent="0.2">
      <c r="A1639" s="108">
        <v>7</v>
      </c>
      <c r="B1639" s="108" t="s">
        <v>2312</v>
      </c>
      <c r="C1639" s="110" t="s">
        <v>325</v>
      </c>
      <c r="D1639" s="109">
        <v>1</v>
      </c>
      <c r="E1639" s="109">
        <v>699</v>
      </c>
      <c r="F1639" s="109">
        <v>699</v>
      </c>
      <c r="G1639" s="108" t="s">
        <v>2311</v>
      </c>
      <c r="H1639" s="111" t="s">
        <v>16</v>
      </c>
    </row>
    <row r="1640" spans="1:8" ht="57" x14ac:dyDescent="0.2">
      <c r="A1640" s="108">
        <v>8</v>
      </c>
      <c r="B1640" s="108" t="s">
        <v>1985</v>
      </c>
      <c r="C1640" s="110" t="s">
        <v>97</v>
      </c>
      <c r="D1640" s="109">
        <v>45</v>
      </c>
      <c r="E1640" s="109">
        <v>375</v>
      </c>
      <c r="F1640" s="109">
        <v>16875</v>
      </c>
      <c r="G1640" s="108" t="s">
        <v>1984</v>
      </c>
      <c r="H1640" s="111" t="s">
        <v>16</v>
      </c>
    </row>
    <row r="1641" spans="1:8" ht="33" x14ac:dyDescent="0.2">
      <c r="A1641" s="108">
        <v>9</v>
      </c>
      <c r="B1641" s="108" t="s">
        <v>2282</v>
      </c>
      <c r="C1641" s="110" t="s">
        <v>97</v>
      </c>
      <c r="D1641" s="109">
        <v>7.2</v>
      </c>
      <c r="E1641" s="109">
        <v>1500</v>
      </c>
      <c r="F1641" s="109">
        <v>10800</v>
      </c>
      <c r="G1641" s="108" t="s">
        <v>2281</v>
      </c>
      <c r="H1641" s="111" t="s">
        <v>16</v>
      </c>
    </row>
    <row r="1642" spans="1:8" ht="33" x14ac:dyDescent="0.2">
      <c r="A1642" s="108">
        <v>10</v>
      </c>
      <c r="B1642" s="108" t="s">
        <v>2280</v>
      </c>
      <c r="C1642" s="110" t="s">
        <v>97</v>
      </c>
      <c r="D1642" s="109">
        <v>7.2</v>
      </c>
      <c r="E1642" s="109">
        <v>375</v>
      </c>
      <c r="F1642" s="109">
        <v>2700</v>
      </c>
      <c r="G1642" s="108" t="s">
        <v>2279</v>
      </c>
      <c r="H1642" s="111" t="s">
        <v>16</v>
      </c>
    </row>
    <row r="1643" spans="1:8" ht="33" x14ac:dyDescent="0.2">
      <c r="A1643" s="108">
        <v>11</v>
      </c>
      <c r="B1643" s="108" t="s">
        <v>2278</v>
      </c>
      <c r="C1643" s="110" t="s">
        <v>97</v>
      </c>
      <c r="D1643" s="109">
        <v>7.12</v>
      </c>
      <c r="E1643" s="109">
        <v>1300</v>
      </c>
      <c r="F1643" s="109">
        <v>9256</v>
      </c>
      <c r="G1643" s="108" t="s">
        <v>2277</v>
      </c>
      <c r="H1643" s="111" t="s">
        <v>16</v>
      </c>
    </row>
    <row r="1644" spans="1:8" ht="33" x14ac:dyDescent="0.2">
      <c r="A1644" s="108">
        <v>12</v>
      </c>
      <c r="B1644" s="108" t="s">
        <v>1696</v>
      </c>
      <c r="C1644" s="110" t="s">
        <v>97</v>
      </c>
      <c r="D1644" s="109">
        <v>7.12</v>
      </c>
      <c r="E1644" s="109">
        <v>375</v>
      </c>
      <c r="F1644" s="109">
        <v>2670</v>
      </c>
      <c r="G1644" s="108" t="s">
        <v>1695</v>
      </c>
      <c r="H1644" s="111" t="s">
        <v>16</v>
      </c>
    </row>
    <row r="1645" spans="1:8" ht="33" x14ac:dyDescent="0.2">
      <c r="A1645" s="108">
        <v>13</v>
      </c>
      <c r="B1645" s="108" t="s">
        <v>1518</v>
      </c>
      <c r="C1645" s="110" t="s">
        <v>14</v>
      </c>
      <c r="D1645" s="109">
        <v>1</v>
      </c>
      <c r="E1645" s="109">
        <v>2128.8000000000002</v>
      </c>
      <c r="F1645" s="109">
        <v>2128.8000000000002</v>
      </c>
      <c r="G1645" s="108" t="s">
        <v>1517</v>
      </c>
      <c r="H1645" s="111" t="s">
        <v>16</v>
      </c>
    </row>
    <row r="1646" spans="1:8" ht="33" x14ac:dyDescent="0.2">
      <c r="A1646" s="108"/>
      <c r="B1646" s="108" t="s">
        <v>1516</v>
      </c>
      <c r="C1646" s="110" t="s">
        <v>606</v>
      </c>
      <c r="D1646" s="109">
        <v>1</v>
      </c>
      <c r="E1646" s="109"/>
      <c r="F1646" s="109">
        <v>73088.800000000003</v>
      </c>
      <c r="G1646" s="108"/>
      <c r="H1646" s="111" t="s">
        <v>16</v>
      </c>
    </row>
    <row r="1647" spans="1:8" ht="33" x14ac:dyDescent="0.2">
      <c r="A1647" s="108"/>
      <c r="B1647" s="108" t="s">
        <v>1515</v>
      </c>
      <c r="C1647" s="110" t="s">
        <v>606</v>
      </c>
      <c r="D1647" s="109"/>
      <c r="E1647" s="109"/>
      <c r="F1647" s="109">
        <v>73088.800000000003</v>
      </c>
      <c r="G1647" s="108"/>
      <c r="H1647" s="111" t="s">
        <v>16</v>
      </c>
    </row>
    <row r="1648" spans="1:8" ht="16.5" x14ac:dyDescent="0.2">
      <c r="A1648" s="108"/>
      <c r="B1648" s="108"/>
      <c r="C1648" s="110"/>
      <c r="D1648" s="109"/>
      <c r="E1648" s="109"/>
      <c r="F1648" s="109"/>
      <c r="G1648" s="108"/>
    </row>
    <row r="1649" spans="1:8" ht="57" x14ac:dyDescent="0.2">
      <c r="A1649" s="108" t="s">
        <v>2310</v>
      </c>
      <c r="B1649" s="108" t="s">
        <v>639</v>
      </c>
      <c r="C1649" s="110" t="s">
        <v>606</v>
      </c>
      <c r="D1649" s="109">
        <v>1</v>
      </c>
      <c r="E1649" s="109">
        <v>22814.5</v>
      </c>
      <c r="F1649" s="109"/>
      <c r="G1649" s="108" t="s">
        <v>2309</v>
      </c>
      <c r="H1649" s="111" t="s">
        <v>16</v>
      </c>
    </row>
    <row r="1650" spans="1:8" ht="33" x14ac:dyDescent="0.2">
      <c r="A1650" s="108">
        <v>1</v>
      </c>
      <c r="B1650" s="108" t="s">
        <v>2290</v>
      </c>
      <c r="C1650" s="110" t="s">
        <v>97</v>
      </c>
      <c r="D1650" s="109">
        <v>5.7</v>
      </c>
      <c r="E1650" s="109">
        <v>375</v>
      </c>
      <c r="F1650" s="109">
        <v>2137.5</v>
      </c>
      <c r="G1650" s="108" t="s">
        <v>2289</v>
      </c>
      <c r="H1650" s="111" t="s">
        <v>16</v>
      </c>
    </row>
    <row r="1651" spans="1:8" ht="33" x14ac:dyDescent="0.2">
      <c r="A1651" s="108">
        <v>2</v>
      </c>
      <c r="B1651" s="108" t="s">
        <v>2278</v>
      </c>
      <c r="C1651" s="110" t="s">
        <v>97</v>
      </c>
      <c r="D1651" s="109">
        <v>5.5</v>
      </c>
      <c r="E1651" s="109">
        <v>1300</v>
      </c>
      <c r="F1651" s="109">
        <v>7150</v>
      </c>
      <c r="G1651" s="108" t="s">
        <v>2277</v>
      </c>
      <c r="H1651" s="111" t="s">
        <v>16</v>
      </c>
    </row>
    <row r="1652" spans="1:8" ht="33" x14ac:dyDescent="0.2">
      <c r="A1652" s="108">
        <v>3</v>
      </c>
      <c r="B1652" s="108" t="s">
        <v>1696</v>
      </c>
      <c r="C1652" s="110" t="s">
        <v>97</v>
      </c>
      <c r="D1652" s="109">
        <v>5.5</v>
      </c>
      <c r="E1652" s="109">
        <v>375</v>
      </c>
      <c r="F1652" s="109">
        <v>2062.5</v>
      </c>
      <c r="G1652" s="108" t="s">
        <v>1695</v>
      </c>
      <c r="H1652" s="111" t="s">
        <v>16</v>
      </c>
    </row>
    <row r="1653" spans="1:8" ht="33" x14ac:dyDescent="0.2">
      <c r="A1653" s="108">
        <v>4</v>
      </c>
      <c r="B1653" s="108" t="s">
        <v>2308</v>
      </c>
      <c r="C1653" s="110" t="s">
        <v>97</v>
      </c>
      <c r="D1653" s="109">
        <v>5.5</v>
      </c>
      <c r="E1653" s="109">
        <v>1200</v>
      </c>
      <c r="F1653" s="109">
        <v>6600</v>
      </c>
      <c r="G1653" s="108" t="s">
        <v>2307</v>
      </c>
      <c r="H1653" s="111" t="s">
        <v>16</v>
      </c>
    </row>
    <row r="1654" spans="1:8" ht="33" x14ac:dyDescent="0.2">
      <c r="A1654" s="108">
        <v>5</v>
      </c>
      <c r="B1654" s="108" t="s">
        <v>2284</v>
      </c>
      <c r="C1654" s="110" t="s">
        <v>97</v>
      </c>
      <c r="D1654" s="109">
        <v>5.5</v>
      </c>
      <c r="E1654" s="109">
        <v>375</v>
      </c>
      <c r="F1654" s="109">
        <v>2062.5</v>
      </c>
      <c r="G1654" s="108" t="s">
        <v>2283</v>
      </c>
      <c r="H1654" s="111" t="s">
        <v>16</v>
      </c>
    </row>
    <row r="1655" spans="1:8" ht="33" x14ac:dyDescent="0.2">
      <c r="A1655" s="108">
        <v>6</v>
      </c>
      <c r="B1655" s="108" t="s">
        <v>2306</v>
      </c>
      <c r="C1655" s="110" t="s">
        <v>97</v>
      </c>
      <c r="D1655" s="109">
        <v>5.7</v>
      </c>
      <c r="E1655" s="109">
        <v>375</v>
      </c>
      <c r="F1655" s="109">
        <v>2137.5</v>
      </c>
      <c r="G1655" s="108" t="s">
        <v>2305</v>
      </c>
      <c r="H1655" s="111" t="s">
        <v>16</v>
      </c>
    </row>
    <row r="1656" spans="1:8" ht="33" x14ac:dyDescent="0.2">
      <c r="A1656" s="108">
        <v>7</v>
      </c>
      <c r="B1656" s="108" t="s">
        <v>1518</v>
      </c>
      <c r="C1656" s="110" t="s">
        <v>14</v>
      </c>
      <c r="D1656" s="109">
        <v>1</v>
      </c>
      <c r="E1656" s="109">
        <v>664.5</v>
      </c>
      <c r="F1656" s="109">
        <v>664.5</v>
      </c>
      <c r="G1656" s="108" t="s">
        <v>1517</v>
      </c>
      <c r="H1656" s="111" t="s">
        <v>16</v>
      </c>
    </row>
    <row r="1657" spans="1:8" ht="33" x14ac:dyDescent="0.2">
      <c r="A1657" s="108"/>
      <c r="B1657" s="108" t="s">
        <v>1516</v>
      </c>
      <c r="C1657" s="110" t="s">
        <v>606</v>
      </c>
      <c r="D1657" s="109">
        <v>1</v>
      </c>
      <c r="E1657" s="109"/>
      <c r="F1657" s="109">
        <v>22814.5</v>
      </c>
      <c r="G1657" s="108"/>
      <c r="H1657" s="111" t="s">
        <v>16</v>
      </c>
    </row>
    <row r="1658" spans="1:8" ht="33" x14ac:dyDescent="0.2">
      <c r="A1658" s="108"/>
      <c r="B1658" s="108" t="s">
        <v>1515</v>
      </c>
      <c r="C1658" s="110" t="s">
        <v>606</v>
      </c>
      <c r="D1658" s="109"/>
      <c r="E1658" s="109"/>
      <c r="F1658" s="109">
        <v>22814.5</v>
      </c>
      <c r="G1658" s="108"/>
      <c r="H1658" s="111" t="s">
        <v>16</v>
      </c>
    </row>
    <row r="1659" spans="1:8" ht="16.5" x14ac:dyDescent="0.2">
      <c r="A1659" s="108"/>
      <c r="B1659" s="108"/>
      <c r="C1659" s="110"/>
      <c r="D1659" s="109"/>
      <c r="E1659" s="109"/>
      <c r="F1659" s="109"/>
      <c r="G1659" s="108"/>
    </row>
    <row r="1660" spans="1:8" ht="42.75" x14ac:dyDescent="0.2">
      <c r="A1660" s="108" t="s">
        <v>2304</v>
      </c>
      <c r="B1660" s="108" t="s">
        <v>642</v>
      </c>
      <c r="C1660" s="110" t="s">
        <v>606</v>
      </c>
      <c r="D1660" s="109">
        <v>1</v>
      </c>
      <c r="E1660" s="109">
        <v>1963.3</v>
      </c>
      <c r="F1660" s="109"/>
      <c r="G1660" s="108" t="s">
        <v>2303</v>
      </c>
      <c r="H1660" s="111" t="s">
        <v>16</v>
      </c>
    </row>
    <row r="1661" spans="1:8" ht="33" x14ac:dyDescent="0.2">
      <c r="A1661" s="108">
        <v>1</v>
      </c>
      <c r="B1661" s="108" t="s">
        <v>2290</v>
      </c>
      <c r="C1661" s="110" t="s">
        <v>97</v>
      </c>
      <c r="D1661" s="109">
        <v>0.56000000000000005</v>
      </c>
      <c r="E1661" s="109">
        <v>375</v>
      </c>
      <c r="F1661" s="109">
        <v>210</v>
      </c>
      <c r="G1661" s="108" t="s">
        <v>2289</v>
      </c>
      <c r="H1661" s="111" t="s">
        <v>16</v>
      </c>
    </row>
    <row r="1662" spans="1:8" ht="33" x14ac:dyDescent="0.2">
      <c r="A1662" s="108">
        <v>2</v>
      </c>
      <c r="B1662" s="108" t="s">
        <v>2288</v>
      </c>
      <c r="C1662" s="110" t="s">
        <v>97</v>
      </c>
      <c r="D1662" s="109">
        <v>0.4</v>
      </c>
      <c r="E1662" s="109">
        <v>341</v>
      </c>
      <c r="F1662" s="109">
        <v>136.4</v>
      </c>
      <c r="G1662" s="108" t="s">
        <v>2287</v>
      </c>
      <c r="H1662" s="111" t="s">
        <v>16</v>
      </c>
    </row>
    <row r="1663" spans="1:8" ht="33" x14ac:dyDescent="0.2">
      <c r="A1663" s="108">
        <v>3</v>
      </c>
      <c r="B1663" s="108" t="s">
        <v>2286</v>
      </c>
      <c r="C1663" s="110" t="s">
        <v>97</v>
      </c>
      <c r="D1663" s="109">
        <v>0.4</v>
      </c>
      <c r="E1663" s="109">
        <v>1620</v>
      </c>
      <c r="F1663" s="109">
        <v>648</v>
      </c>
      <c r="G1663" s="108" t="s">
        <v>2285</v>
      </c>
      <c r="H1663" s="111" t="s">
        <v>16</v>
      </c>
    </row>
    <row r="1664" spans="1:8" ht="33" x14ac:dyDescent="0.2">
      <c r="A1664" s="108">
        <v>4</v>
      </c>
      <c r="B1664" s="108" t="s">
        <v>2284</v>
      </c>
      <c r="C1664" s="110" t="s">
        <v>97</v>
      </c>
      <c r="D1664" s="109">
        <v>0.4</v>
      </c>
      <c r="E1664" s="109">
        <v>375</v>
      </c>
      <c r="F1664" s="109">
        <v>150</v>
      </c>
      <c r="G1664" s="108" t="s">
        <v>2283</v>
      </c>
      <c r="H1664" s="111" t="s">
        <v>16</v>
      </c>
    </row>
    <row r="1665" spans="1:8" ht="33" x14ac:dyDescent="0.2">
      <c r="A1665" s="108">
        <v>5</v>
      </c>
      <c r="B1665" s="108" t="s">
        <v>2282</v>
      </c>
      <c r="C1665" s="110" t="s">
        <v>97</v>
      </c>
      <c r="D1665" s="109">
        <v>0.4</v>
      </c>
      <c r="E1665" s="109">
        <v>1500</v>
      </c>
      <c r="F1665" s="109">
        <v>600</v>
      </c>
      <c r="G1665" s="108" t="s">
        <v>2281</v>
      </c>
      <c r="H1665" s="111" t="s">
        <v>16</v>
      </c>
    </row>
    <row r="1666" spans="1:8" ht="33" x14ac:dyDescent="0.2">
      <c r="A1666" s="108">
        <v>6</v>
      </c>
      <c r="B1666" s="108" t="s">
        <v>2280</v>
      </c>
      <c r="C1666" s="110" t="s">
        <v>97</v>
      </c>
      <c r="D1666" s="109">
        <v>0.4</v>
      </c>
      <c r="E1666" s="109">
        <v>375</v>
      </c>
      <c r="F1666" s="109">
        <v>150</v>
      </c>
      <c r="G1666" s="108" t="s">
        <v>2279</v>
      </c>
      <c r="H1666" s="111" t="s">
        <v>16</v>
      </c>
    </row>
    <row r="1667" spans="1:8" ht="42.75" x14ac:dyDescent="0.2">
      <c r="A1667" s="108">
        <v>7</v>
      </c>
      <c r="B1667" s="108" t="s">
        <v>1558</v>
      </c>
      <c r="C1667" s="110" t="s">
        <v>103</v>
      </c>
      <c r="D1667" s="109">
        <v>0.02</v>
      </c>
      <c r="E1667" s="109">
        <v>586</v>
      </c>
      <c r="F1667" s="109">
        <v>11.72</v>
      </c>
      <c r="G1667" s="108" t="s">
        <v>1990</v>
      </c>
      <c r="H1667" s="111" t="s">
        <v>16</v>
      </c>
    </row>
    <row r="1668" spans="1:8" ht="33" x14ac:dyDescent="0.2">
      <c r="A1668" s="108">
        <v>8</v>
      </c>
      <c r="B1668" s="108" t="s">
        <v>1518</v>
      </c>
      <c r="C1668" s="110" t="s">
        <v>14</v>
      </c>
      <c r="D1668" s="109">
        <v>1</v>
      </c>
      <c r="E1668" s="109">
        <v>57.18</v>
      </c>
      <c r="F1668" s="109">
        <v>57.18</v>
      </c>
      <c r="G1668" s="108" t="s">
        <v>1517</v>
      </c>
      <c r="H1668" s="111" t="s">
        <v>16</v>
      </c>
    </row>
    <row r="1669" spans="1:8" ht="33" x14ac:dyDescent="0.2">
      <c r="A1669" s="108"/>
      <c r="B1669" s="108" t="s">
        <v>1516</v>
      </c>
      <c r="C1669" s="110" t="s">
        <v>606</v>
      </c>
      <c r="D1669" s="109">
        <v>1</v>
      </c>
      <c r="E1669" s="109"/>
      <c r="F1669" s="109">
        <v>1963.3000000000002</v>
      </c>
      <c r="G1669" s="108"/>
      <c r="H1669" s="111" t="s">
        <v>16</v>
      </c>
    </row>
    <row r="1670" spans="1:8" ht="33" x14ac:dyDescent="0.2">
      <c r="A1670" s="108"/>
      <c r="B1670" s="108" t="s">
        <v>1515</v>
      </c>
      <c r="C1670" s="110" t="s">
        <v>606</v>
      </c>
      <c r="D1670" s="109"/>
      <c r="E1670" s="109"/>
      <c r="F1670" s="109">
        <v>1963.3</v>
      </c>
      <c r="G1670" s="108"/>
      <c r="H1670" s="111" t="s">
        <v>16</v>
      </c>
    </row>
    <row r="1671" spans="1:8" ht="16.5" x14ac:dyDescent="0.2">
      <c r="A1671" s="108"/>
      <c r="B1671" s="108"/>
      <c r="C1671" s="110"/>
      <c r="D1671" s="109"/>
      <c r="E1671" s="109"/>
      <c r="F1671" s="109"/>
      <c r="G1671" s="108"/>
    </row>
    <row r="1672" spans="1:8" ht="42.75" x14ac:dyDescent="0.2">
      <c r="A1672" s="108" t="s">
        <v>2302</v>
      </c>
      <c r="B1672" s="108" t="s">
        <v>645</v>
      </c>
      <c r="C1672" s="110" t="s">
        <v>606</v>
      </c>
      <c r="D1672" s="109">
        <v>1</v>
      </c>
      <c r="E1672" s="109">
        <v>2216.6</v>
      </c>
      <c r="F1672" s="109"/>
      <c r="G1672" s="108" t="s">
        <v>2301</v>
      </c>
      <c r="H1672" s="111" t="s">
        <v>16</v>
      </c>
    </row>
    <row r="1673" spans="1:8" ht="33" x14ac:dyDescent="0.2">
      <c r="A1673" s="108">
        <v>1</v>
      </c>
      <c r="B1673" s="108" t="s">
        <v>2290</v>
      </c>
      <c r="C1673" s="110" t="s">
        <v>97</v>
      </c>
      <c r="D1673" s="109">
        <v>0.6</v>
      </c>
      <c r="E1673" s="109">
        <v>375</v>
      </c>
      <c r="F1673" s="109">
        <v>225</v>
      </c>
      <c r="G1673" s="108" t="s">
        <v>2289</v>
      </c>
      <c r="H1673" s="111" t="s">
        <v>16</v>
      </c>
    </row>
    <row r="1674" spans="1:8" ht="33" x14ac:dyDescent="0.2">
      <c r="A1674" s="108">
        <v>2</v>
      </c>
      <c r="B1674" s="108" t="s">
        <v>2288</v>
      </c>
      <c r="C1674" s="110" t="s">
        <v>97</v>
      </c>
      <c r="D1674" s="109">
        <v>0.6</v>
      </c>
      <c r="E1674" s="109">
        <v>341</v>
      </c>
      <c r="F1674" s="109">
        <v>204.6</v>
      </c>
      <c r="G1674" s="108" t="s">
        <v>2287</v>
      </c>
      <c r="H1674" s="111" t="s">
        <v>16</v>
      </c>
    </row>
    <row r="1675" spans="1:8" ht="42.75" x14ac:dyDescent="0.2">
      <c r="A1675" s="108">
        <v>3</v>
      </c>
      <c r="B1675" s="108" t="s">
        <v>1558</v>
      </c>
      <c r="C1675" s="110" t="s">
        <v>103</v>
      </c>
      <c r="D1675" s="109">
        <v>0.04</v>
      </c>
      <c r="E1675" s="109">
        <v>586</v>
      </c>
      <c r="F1675" s="109">
        <v>23.44</v>
      </c>
      <c r="G1675" s="108" t="s">
        <v>1990</v>
      </c>
      <c r="H1675" s="111" t="s">
        <v>16</v>
      </c>
    </row>
    <row r="1676" spans="1:8" ht="33" x14ac:dyDescent="0.2">
      <c r="A1676" s="108">
        <v>4</v>
      </c>
      <c r="B1676" s="108" t="s">
        <v>2286</v>
      </c>
      <c r="C1676" s="110" t="s">
        <v>97</v>
      </c>
      <c r="D1676" s="109">
        <v>0.3</v>
      </c>
      <c r="E1676" s="109">
        <v>1620</v>
      </c>
      <c r="F1676" s="109">
        <v>486</v>
      </c>
      <c r="G1676" s="108" t="s">
        <v>2285</v>
      </c>
      <c r="H1676" s="111" t="s">
        <v>16</v>
      </c>
    </row>
    <row r="1677" spans="1:8" ht="33" x14ac:dyDescent="0.2">
      <c r="A1677" s="108">
        <v>5</v>
      </c>
      <c r="B1677" s="108" t="s">
        <v>2284</v>
      </c>
      <c r="C1677" s="110" t="s">
        <v>97</v>
      </c>
      <c r="D1677" s="109">
        <v>0.3</v>
      </c>
      <c r="E1677" s="109">
        <v>375</v>
      </c>
      <c r="F1677" s="109">
        <v>112.5</v>
      </c>
      <c r="G1677" s="108" t="s">
        <v>2283</v>
      </c>
      <c r="H1677" s="111" t="s">
        <v>16</v>
      </c>
    </row>
    <row r="1678" spans="1:8" ht="33" x14ac:dyDescent="0.2">
      <c r="A1678" s="108">
        <v>6</v>
      </c>
      <c r="B1678" s="108" t="s">
        <v>2282</v>
      </c>
      <c r="C1678" s="110" t="s">
        <v>97</v>
      </c>
      <c r="D1678" s="109">
        <v>0.31</v>
      </c>
      <c r="E1678" s="109">
        <v>1500</v>
      </c>
      <c r="F1678" s="109">
        <v>465</v>
      </c>
      <c r="G1678" s="108" t="s">
        <v>2281</v>
      </c>
      <c r="H1678" s="111" t="s">
        <v>16</v>
      </c>
    </row>
    <row r="1679" spans="1:8" ht="33" x14ac:dyDescent="0.2">
      <c r="A1679" s="108">
        <v>7</v>
      </c>
      <c r="B1679" s="108" t="s">
        <v>2280</v>
      </c>
      <c r="C1679" s="110" t="s">
        <v>97</v>
      </c>
      <c r="D1679" s="109">
        <v>0.31</v>
      </c>
      <c r="E1679" s="109">
        <v>375</v>
      </c>
      <c r="F1679" s="109">
        <v>116.25</v>
      </c>
      <c r="G1679" s="108" t="s">
        <v>2279</v>
      </c>
      <c r="H1679" s="111" t="s">
        <v>16</v>
      </c>
    </row>
    <row r="1680" spans="1:8" ht="33" x14ac:dyDescent="0.2">
      <c r="A1680" s="108">
        <v>8</v>
      </c>
      <c r="B1680" s="108" t="s">
        <v>2278</v>
      </c>
      <c r="C1680" s="110" t="s">
        <v>97</v>
      </c>
      <c r="D1680" s="109">
        <v>0.31</v>
      </c>
      <c r="E1680" s="109">
        <v>1300</v>
      </c>
      <c r="F1680" s="109">
        <v>403</v>
      </c>
      <c r="G1680" s="108" t="s">
        <v>2277</v>
      </c>
      <c r="H1680" s="111" t="s">
        <v>16</v>
      </c>
    </row>
    <row r="1681" spans="1:8" ht="33" x14ac:dyDescent="0.2">
      <c r="A1681" s="108">
        <v>9</v>
      </c>
      <c r="B1681" s="108" t="s">
        <v>1696</v>
      </c>
      <c r="C1681" s="110" t="s">
        <v>97</v>
      </c>
      <c r="D1681" s="109">
        <v>0.31</v>
      </c>
      <c r="E1681" s="109">
        <v>375</v>
      </c>
      <c r="F1681" s="109">
        <v>116.25</v>
      </c>
      <c r="G1681" s="108" t="s">
        <v>1695</v>
      </c>
      <c r="H1681" s="111" t="s">
        <v>16</v>
      </c>
    </row>
    <row r="1682" spans="1:8" ht="33" x14ac:dyDescent="0.2">
      <c r="A1682" s="108">
        <v>10</v>
      </c>
      <c r="B1682" s="108" t="s">
        <v>1518</v>
      </c>
      <c r="C1682" s="110" t="s">
        <v>14</v>
      </c>
      <c r="D1682" s="109">
        <v>1</v>
      </c>
      <c r="E1682" s="109">
        <v>64.56</v>
      </c>
      <c r="F1682" s="109">
        <v>64.56</v>
      </c>
      <c r="G1682" s="108" t="s">
        <v>1517</v>
      </c>
      <c r="H1682" s="111" t="s">
        <v>16</v>
      </c>
    </row>
    <row r="1683" spans="1:8" ht="33" x14ac:dyDescent="0.2">
      <c r="A1683" s="108"/>
      <c r="B1683" s="108" t="s">
        <v>1516</v>
      </c>
      <c r="C1683" s="110" t="s">
        <v>606</v>
      </c>
      <c r="D1683" s="109">
        <v>1</v>
      </c>
      <c r="E1683" s="109"/>
      <c r="F1683" s="109">
        <v>2216.6</v>
      </c>
      <c r="G1683" s="108"/>
      <c r="H1683" s="111" t="s">
        <v>16</v>
      </c>
    </row>
    <row r="1684" spans="1:8" ht="33" x14ac:dyDescent="0.2">
      <c r="A1684" s="108"/>
      <c r="B1684" s="108" t="s">
        <v>1515</v>
      </c>
      <c r="C1684" s="110" t="s">
        <v>606</v>
      </c>
      <c r="D1684" s="109"/>
      <c r="E1684" s="109"/>
      <c r="F1684" s="109">
        <v>2216.6</v>
      </c>
      <c r="G1684" s="108"/>
      <c r="H1684" s="111" t="s">
        <v>16</v>
      </c>
    </row>
    <row r="1685" spans="1:8" ht="16.5" x14ac:dyDescent="0.2">
      <c r="A1685" s="108"/>
      <c r="B1685" s="108"/>
      <c r="C1685" s="110"/>
      <c r="D1685" s="109"/>
      <c r="E1685" s="109"/>
      <c r="F1685" s="109"/>
      <c r="G1685" s="108"/>
    </row>
    <row r="1686" spans="1:8" ht="42.75" x14ac:dyDescent="0.2">
      <c r="A1686" s="108" t="s">
        <v>2300</v>
      </c>
      <c r="B1686" s="108" t="s">
        <v>648</v>
      </c>
      <c r="C1686" s="110" t="s">
        <v>606</v>
      </c>
      <c r="D1686" s="109">
        <v>1</v>
      </c>
      <c r="E1686" s="109">
        <v>2999.02</v>
      </c>
      <c r="F1686" s="109"/>
      <c r="G1686" s="108" t="s">
        <v>2299</v>
      </c>
      <c r="H1686" s="111" t="s">
        <v>16</v>
      </c>
    </row>
    <row r="1687" spans="1:8" ht="33" x14ac:dyDescent="0.2">
      <c r="A1687" s="108">
        <v>1</v>
      </c>
      <c r="B1687" s="108" t="s">
        <v>2290</v>
      </c>
      <c r="C1687" s="110" t="s">
        <v>97</v>
      </c>
      <c r="D1687" s="109">
        <v>0.72</v>
      </c>
      <c r="E1687" s="109">
        <v>375</v>
      </c>
      <c r="F1687" s="109">
        <v>270</v>
      </c>
      <c r="G1687" s="108" t="s">
        <v>2289</v>
      </c>
      <c r="H1687" s="111" t="s">
        <v>16</v>
      </c>
    </row>
    <row r="1688" spans="1:8" ht="33" x14ac:dyDescent="0.2">
      <c r="A1688" s="108">
        <v>2</v>
      </c>
      <c r="B1688" s="108" t="s">
        <v>2288</v>
      </c>
      <c r="C1688" s="110" t="s">
        <v>97</v>
      </c>
      <c r="D1688" s="109">
        <v>0.71</v>
      </c>
      <c r="E1688" s="109">
        <v>341</v>
      </c>
      <c r="F1688" s="109">
        <v>242.11</v>
      </c>
      <c r="G1688" s="108" t="s">
        <v>2287</v>
      </c>
      <c r="H1688" s="111" t="s">
        <v>16</v>
      </c>
    </row>
    <row r="1689" spans="1:8" ht="42.75" x14ac:dyDescent="0.2">
      <c r="A1689" s="108">
        <v>3</v>
      </c>
      <c r="B1689" s="108" t="s">
        <v>1558</v>
      </c>
      <c r="C1689" s="110" t="s">
        <v>103</v>
      </c>
      <c r="D1689" s="109">
        <v>0.06</v>
      </c>
      <c r="E1689" s="109">
        <v>586</v>
      </c>
      <c r="F1689" s="109">
        <v>35.159999999999997</v>
      </c>
      <c r="G1689" s="108" t="s">
        <v>1990</v>
      </c>
      <c r="H1689" s="111" t="s">
        <v>16</v>
      </c>
    </row>
    <row r="1690" spans="1:8" ht="33" x14ac:dyDescent="0.2">
      <c r="A1690" s="108">
        <v>4</v>
      </c>
      <c r="B1690" s="108" t="s">
        <v>2286</v>
      </c>
      <c r="C1690" s="110" t="s">
        <v>97</v>
      </c>
      <c r="D1690" s="109">
        <v>0.42</v>
      </c>
      <c r="E1690" s="109">
        <v>1620</v>
      </c>
      <c r="F1690" s="109">
        <v>680.4</v>
      </c>
      <c r="G1690" s="108" t="s">
        <v>2285</v>
      </c>
      <c r="H1690" s="111" t="s">
        <v>16</v>
      </c>
    </row>
    <row r="1691" spans="1:8" ht="33" x14ac:dyDescent="0.2">
      <c r="A1691" s="108">
        <v>5</v>
      </c>
      <c r="B1691" s="108" t="s">
        <v>2284</v>
      </c>
      <c r="C1691" s="110" t="s">
        <v>97</v>
      </c>
      <c r="D1691" s="109">
        <v>0.42</v>
      </c>
      <c r="E1691" s="109">
        <v>375</v>
      </c>
      <c r="F1691" s="109">
        <v>157.5</v>
      </c>
      <c r="G1691" s="108" t="s">
        <v>2283</v>
      </c>
      <c r="H1691" s="111" t="s">
        <v>16</v>
      </c>
    </row>
    <row r="1692" spans="1:8" ht="33" x14ac:dyDescent="0.2">
      <c r="A1692" s="108">
        <v>6</v>
      </c>
      <c r="B1692" s="108" t="s">
        <v>2282</v>
      </c>
      <c r="C1692" s="110" t="s">
        <v>97</v>
      </c>
      <c r="D1692" s="109">
        <v>0.43</v>
      </c>
      <c r="E1692" s="109">
        <v>1500</v>
      </c>
      <c r="F1692" s="109">
        <v>645</v>
      </c>
      <c r="G1692" s="108" t="s">
        <v>2281</v>
      </c>
      <c r="H1692" s="111" t="s">
        <v>16</v>
      </c>
    </row>
    <row r="1693" spans="1:8" ht="33" x14ac:dyDescent="0.2">
      <c r="A1693" s="108">
        <v>7</v>
      </c>
      <c r="B1693" s="108" t="s">
        <v>2280</v>
      </c>
      <c r="C1693" s="110" t="s">
        <v>97</v>
      </c>
      <c r="D1693" s="109">
        <v>0.43</v>
      </c>
      <c r="E1693" s="109">
        <v>375</v>
      </c>
      <c r="F1693" s="109">
        <v>161.25</v>
      </c>
      <c r="G1693" s="108" t="s">
        <v>2279</v>
      </c>
      <c r="H1693" s="111" t="s">
        <v>16</v>
      </c>
    </row>
    <row r="1694" spans="1:8" ht="33" x14ac:dyDescent="0.2">
      <c r="A1694" s="108">
        <v>8</v>
      </c>
      <c r="B1694" s="108" t="s">
        <v>2278</v>
      </c>
      <c r="C1694" s="110" t="s">
        <v>97</v>
      </c>
      <c r="D1694" s="109">
        <v>0.43</v>
      </c>
      <c r="E1694" s="109">
        <v>1300</v>
      </c>
      <c r="F1694" s="109">
        <v>559</v>
      </c>
      <c r="G1694" s="108" t="s">
        <v>2277</v>
      </c>
      <c r="H1694" s="111" t="s">
        <v>16</v>
      </c>
    </row>
    <row r="1695" spans="1:8" ht="33" x14ac:dyDescent="0.2">
      <c r="A1695" s="108">
        <v>9</v>
      </c>
      <c r="B1695" s="108" t="s">
        <v>1696</v>
      </c>
      <c r="C1695" s="110" t="s">
        <v>97</v>
      </c>
      <c r="D1695" s="109">
        <v>0.43</v>
      </c>
      <c r="E1695" s="109">
        <v>375</v>
      </c>
      <c r="F1695" s="109">
        <v>161.25</v>
      </c>
      <c r="G1695" s="108" t="s">
        <v>1695</v>
      </c>
      <c r="H1695" s="111" t="s">
        <v>16</v>
      </c>
    </row>
    <row r="1696" spans="1:8" ht="33" x14ac:dyDescent="0.2">
      <c r="A1696" s="108">
        <v>10</v>
      </c>
      <c r="B1696" s="108" t="s">
        <v>1518</v>
      </c>
      <c r="C1696" s="110" t="s">
        <v>14</v>
      </c>
      <c r="D1696" s="109">
        <v>1</v>
      </c>
      <c r="E1696" s="109">
        <v>87.35</v>
      </c>
      <c r="F1696" s="109">
        <v>87.35</v>
      </c>
      <c r="G1696" s="108" t="s">
        <v>1517</v>
      </c>
      <c r="H1696" s="111" t="s">
        <v>16</v>
      </c>
    </row>
    <row r="1697" spans="1:8" ht="33" x14ac:dyDescent="0.2">
      <c r="A1697" s="108"/>
      <c r="B1697" s="108" t="s">
        <v>1516</v>
      </c>
      <c r="C1697" s="110" t="s">
        <v>606</v>
      </c>
      <c r="D1697" s="109">
        <v>1</v>
      </c>
      <c r="E1697" s="109"/>
      <c r="F1697" s="109">
        <v>2999.02</v>
      </c>
      <c r="G1697" s="108"/>
      <c r="H1697" s="111" t="s">
        <v>16</v>
      </c>
    </row>
    <row r="1698" spans="1:8" ht="33" x14ac:dyDescent="0.2">
      <c r="A1698" s="108"/>
      <c r="B1698" s="108" t="s">
        <v>1515</v>
      </c>
      <c r="C1698" s="110" t="s">
        <v>606</v>
      </c>
      <c r="D1698" s="109"/>
      <c r="E1698" s="109"/>
      <c r="F1698" s="109">
        <v>2999.02</v>
      </c>
      <c r="G1698" s="108"/>
      <c r="H1698" s="111" t="s">
        <v>16</v>
      </c>
    </row>
    <row r="1699" spans="1:8" ht="16.5" x14ac:dyDescent="0.2">
      <c r="A1699" s="108"/>
      <c r="B1699" s="108"/>
      <c r="C1699" s="110"/>
      <c r="D1699" s="109"/>
      <c r="E1699" s="109"/>
      <c r="F1699" s="109"/>
      <c r="G1699" s="108"/>
    </row>
    <row r="1700" spans="1:8" ht="42.75" x14ac:dyDescent="0.2">
      <c r="A1700" s="108" t="s">
        <v>2298</v>
      </c>
      <c r="B1700" s="108" t="s">
        <v>651</v>
      </c>
      <c r="C1700" s="110" t="s">
        <v>606</v>
      </c>
      <c r="D1700" s="109">
        <v>1</v>
      </c>
      <c r="E1700" s="109">
        <v>4720.5600000000004</v>
      </c>
      <c r="F1700" s="109"/>
      <c r="G1700" s="108" t="s">
        <v>2297</v>
      </c>
      <c r="H1700" s="111" t="s">
        <v>16</v>
      </c>
    </row>
    <row r="1701" spans="1:8" ht="33" x14ac:dyDescent="0.2">
      <c r="A1701" s="108">
        <v>1</v>
      </c>
      <c r="B1701" s="108" t="s">
        <v>2290</v>
      </c>
      <c r="C1701" s="110" t="s">
        <v>97</v>
      </c>
      <c r="D1701" s="109">
        <v>1</v>
      </c>
      <c r="E1701" s="109">
        <v>375</v>
      </c>
      <c r="F1701" s="109">
        <v>375</v>
      </c>
      <c r="G1701" s="108" t="s">
        <v>2289</v>
      </c>
      <c r="H1701" s="111" t="s">
        <v>16</v>
      </c>
    </row>
    <row r="1702" spans="1:8" ht="33" x14ac:dyDescent="0.2">
      <c r="A1702" s="108">
        <v>2</v>
      </c>
      <c r="B1702" s="108" t="s">
        <v>2288</v>
      </c>
      <c r="C1702" s="110" t="s">
        <v>97</v>
      </c>
      <c r="D1702" s="109">
        <v>1</v>
      </c>
      <c r="E1702" s="109">
        <v>341</v>
      </c>
      <c r="F1702" s="109">
        <v>341</v>
      </c>
      <c r="G1702" s="108" t="s">
        <v>2287</v>
      </c>
      <c r="H1702" s="111" t="s">
        <v>16</v>
      </c>
    </row>
    <row r="1703" spans="1:8" ht="42.75" x14ac:dyDescent="0.2">
      <c r="A1703" s="108">
        <v>3</v>
      </c>
      <c r="B1703" s="108" t="s">
        <v>1558</v>
      </c>
      <c r="C1703" s="110" t="s">
        <v>103</v>
      </c>
      <c r="D1703" s="109">
        <v>7.0000000000000007E-2</v>
      </c>
      <c r="E1703" s="109">
        <v>586</v>
      </c>
      <c r="F1703" s="109">
        <v>41.02</v>
      </c>
      <c r="G1703" s="108" t="s">
        <v>1990</v>
      </c>
      <c r="H1703" s="111" t="s">
        <v>16</v>
      </c>
    </row>
    <row r="1704" spans="1:8" ht="33" x14ac:dyDescent="0.2">
      <c r="A1704" s="108">
        <v>4</v>
      </c>
      <c r="B1704" s="108" t="s">
        <v>2286</v>
      </c>
      <c r="C1704" s="110" t="s">
        <v>97</v>
      </c>
      <c r="D1704" s="109">
        <v>0.69</v>
      </c>
      <c r="E1704" s="109">
        <v>1620</v>
      </c>
      <c r="F1704" s="109">
        <v>1117.8</v>
      </c>
      <c r="G1704" s="108" t="s">
        <v>2285</v>
      </c>
      <c r="H1704" s="111" t="s">
        <v>16</v>
      </c>
    </row>
    <row r="1705" spans="1:8" ht="33" x14ac:dyDescent="0.2">
      <c r="A1705" s="108">
        <v>5</v>
      </c>
      <c r="B1705" s="108" t="s">
        <v>2284</v>
      </c>
      <c r="C1705" s="110" t="s">
        <v>97</v>
      </c>
      <c r="D1705" s="109">
        <v>0.69</v>
      </c>
      <c r="E1705" s="109">
        <v>375</v>
      </c>
      <c r="F1705" s="109">
        <v>258.75</v>
      </c>
      <c r="G1705" s="108" t="s">
        <v>2283</v>
      </c>
      <c r="H1705" s="111" t="s">
        <v>16</v>
      </c>
    </row>
    <row r="1706" spans="1:8" ht="33" x14ac:dyDescent="0.2">
      <c r="A1706" s="108">
        <v>6</v>
      </c>
      <c r="B1706" s="108" t="s">
        <v>2282</v>
      </c>
      <c r="C1706" s="110" t="s">
        <v>97</v>
      </c>
      <c r="D1706" s="109">
        <v>0.69</v>
      </c>
      <c r="E1706" s="109">
        <v>1500</v>
      </c>
      <c r="F1706" s="109">
        <v>1035</v>
      </c>
      <c r="G1706" s="108" t="s">
        <v>2281</v>
      </c>
      <c r="H1706" s="111" t="s">
        <v>16</v>
      </c>
    </row>
    <row r="1707" spans="1:8" ht="33" x14ac:dyDescent="0.2">
      <c r="A1707" s="108">
        <v>7</v>
      </c>
      <c r="B1707" s="108" t="s">
        <v>2280</v>
      </c>
      <c r="C1707" s="110" t="s">
        <v>97</v>
      </c>
      <c r="D1707" s="109">
        <v>0.69</v>
      </c>
      <c r="E1707" s="109">
        <v>375</v>
      </c>
      <c r="F1707" s="109">
        <v>258.75</v>
      </c>
      <c r="G1707" s="108" t="s">
        <v>2279</v>
      </c>
      <c r="H1707" s="111" t="s">
        <v>16</v>
      </c>
    </row>
    <row r="1708" spans="1:8" ht="33" x14ac:dyDescent="0.2">
      <c r="A1708" s="108">
        <v>8</v>
      </c>
      <c r="B1708" s="108" t="s">
        <v>2278</v>
      </c>
      <c r="C1708" s="110" t="s">
        <v>97</v>
      </c>
      <c r="D1708" s="109">
        <v>0.69</v>
      </c>
      <c r="E1708" s="109">
        <v>1300</v>
      </c>
      <c r="F1708" s="109">
        <v>897</v>
      </c>
      <c r="G1708" s="108" t="s">
        <v>2277</v>
      </c>
      <c r="H1708" s="111" t="s">
        <v>16</v>
      </c>
    </row>
    <row r="1709" spans="1:8" ht="33" x14ac:dyDescent="0.2">
      <c r="A1709" s="108">
        <v>9</v>
      </c>
      <c r="B1709" s="108" t="s">
        <v>1696</v>
      </c>
      <c r="C1709" s="110" t="s">
        <v>97</v>
      </c>
      <c r="D1709" s="109">
        <v>0.69</v>
      </c>
      <c r="E1709" s="109">
        <v>375</v>
      </c>
      <c r="F1709" s="109">
        <v>258.75</v>
      </c>
      <c r="G1709" s="108" t="s">
        <v>1695</v>
      </c>
      <c r="H1709" s="111" t="s">
        <v>16</v>
      </c>
    </row>
    <row r="1710" spans="1:8" ht="33" x14ac:dyDescent="0.2">
      <c r="A1710" s="108">
        <v>10</v>
      </c>
      <c r="B1710" s="108" t="s">
        <v>1518</v>
      </c>
      <c r="C1710" s="110" t="s">
        <v>14</v>
      </c>
      <c r="D1710" s="109">
        <v>1</v>
      </c>
      <c r="E1710" s="109">
        <v>137.49</v>
      </c>
      <c r="F1710" s="109">
        <v>137.49</v>
      </c>
      <c r="G1710" s="108" t="s">
        <v>1517</v>
      </c>
      <c r="H1710" s="111" t="s">
        <v>16</v>
      </c>
    </row>
    <row r="1711" spans="1:8" ht="33" x14ac:dyDescent="0.2">
      <c r="A1711" s="108"/>
      <c r="B1711" s="108" t="s">
        <v>1516</v>
      </c>
      <c r="C1711" s="110" t="s">
        <v>606</v>
      </c>
      <c r="D1711" s="109">
        <v>1</v>
      </c>
      <c r="E1711" s="109"/>
      <c r="F1711" s="109">
        <v>4720.5599999999995</v>
      </c>
      <c r="G1711" s="108"/>
      <c r="H1711" s="111" t="s">
        <v>16</v>
      </c>
    </row>
    <row r="1712" spans="1:8" ht="33" x14ac:dyDescent="0.2">
      <c r="A1712" s="108"/>
      <c r="B1712" s="108" t="s">
        <v>1515</v>
      </c>
      <c r="C1712" s="110" t="s">
        <v>606</v>
      </c>
      <c r="D1712" s="109"/>
      <c r="E1712" s="109"/>
      <c r="F1712" s="109">
        <v>4720.5600000000004</v>
      </c>
      <c r="G1712" s="108"/>
      <c r="H1712" s="111" t="s">
        <v>16</v>
      </c>
    </row>
    <row r="1713" spans="1:8" ht="16.5" x14ac:dyDescent="0.2">
      <c r="A1713" s="108"/>
      <c r="B1713" s="108"/>
      <c r="C1713" s="110"/>
      <c r="D1713" s="109"/>
      <c r="E1713" s="109"/>
      <c r="F1713" s="109"/>
      <c r="G1713" s="108"/>
    </row>
    <row r="1714" spans="1:8" ht="42.75" x14ac:dyDescent="0.2">
      <c r="A1714" s="108" t="s">
        <v>2296</v>
      </c>
      <c r="B1714" s="108" t="s">
        <v>654</v>
      </c>
      <c r="C1714" s="110" t="s">
        <v>606</v>
      </c>
      <c r="D1714" s="109">
        <v>1</v>
      </c>
      <c r="E1714" s="109">
        <v>5897.9</v>
      </c>
      <c r="F1714" s="109"/>
      <c r="G1714" s="108" t="s">
        <v>2295</v>
      </c>
      <c r="H1714" s="111" t="s">
        <v>16</v>
      </c>
    </row>
    <row r="1715" spans="1:8" ht="33" x14ac:dyDescent="0.2">
      <c r="A1715" s="108">
        <v>1</v>
      </c>
      <c r="B1715" s="108" t="s">
        <v>2290</v>
      </c>
      <c r="C1715" s="110" t="s">
        <v>97</v>
      </c>
      <c r="D1715" s="109">
        <v>1.72</v>
      </c>
      <c r="E1715" s="109">
        <v>375</v>
      </c>
      <c r="F1715" s="109">
        <v>645</v>
      </c>
      <c r="G1715" s="108" t="s">
        <v>2289</v>
      </c>
      <c r="H1715" s="111" t="s">
        <v>16</v>
      </c>
    </row>
    <row r="1716" spans="1:8" ht="33" x14ac:dyDescent="0.2">
      <c r="A1716" s="108">
        <v>2</v>
      </c>
      <c r="B1716" s="108" t="s">
        <v>2288</v>
      </c>
      <c r="C1716" s="110" t="s">
        <v>97</v>
      </c>
      <c r="D1716" s="109">
        <v>1.72</v>
      </c>
      <c r="E1716" s="109">
        <v>341</v>
      </c>
      <c r="F1716" s="109">
        <v>586.52</v>
      </c>
      <c r="G1716" s="108" t="s">
        <v>2287</v>
      </c>
      <c r="H1716" s="111" t="s">
        <v>16</v>
      </c>
    </row>
    <row r="1717" spans="1:8" ht="42.75" x14ac:dyDescent="0.2">
      <c r="A1717" s="108">
        <v>3</v>
      </c>
      <c r="B1717" s="108" t="s">
        <v>1558</v>
      </c>
      <c r="C1717" s="110" t="s">
        <v>103</v>
      </c>
      <c r="D1717" s="109">
        <v>0.1</v>
      </c>
      <c r="E1717" s="109">
        <v>586</v>
      </c>
      <c r="F1717" s="109">
        <v>58.6</v>
      </c>
      <c r="G1717" s="108" t="s">
        <v>1990</v>
      </c>
      <c r="H1717" s="111" t="s">
        <v>16</v>
      </c>
    </row>
    <row r="1718" spans="1:8" ht="33" x14ac:dyDescent="0.2">
      <c r="A1718" s="108">
        <v>4</v>
      </c>
      <c r="B1718" s="108" t="s">
        <v>2286</v>
      </c>
      <c r="C1718" s="110" t="s">
        <v>97</v>
      </c>
      <c r="D1718" s="109">
        <v>0.8</v>
      </c>
      <c r="E1718" s="109">
        <v>1620</v>
      </c>
      <c r="F1718" s="109">
        <v>1296</v>
      </c>
      <c r="G1718" s="108" t="s">
        <v>2285</v>
      </c>
      <c r="H1718" s="111" t="s">
        <v>16</v>
      </c>
    </row>
    <row r="1719" spans="1:8" ht="33" x14ac:dyDescent="0.2">
      <c r="A1719" s="108">
        <v>5</v>
      </c>
      <c r="B1719" s="108" t="s">
        <v>2284</v>
      </c>
      <c r="C1719" s="110" t="s">
        <v>97</v>
      </c>
      <c r="D1719" s="109">
        <v>0.8</v>
      </c>
      <c r="E1719" s="109">
        <v>375</v>
      </c>
      <c r="F1719" s="109">
        <v>300</v>
      </c>
      <c r="G1719" s="108" t="s">
        <v>2283</v>
      </c>
      <c r="H1719" s="111" t="s">
        <v>16</v>
      </c>
    </row>
    <row r="1720" spans="1:8" ht="33" x14ac:dyDescent="0.2">
      <c r="A1720" s="108">
        <v>6</v>
      </c>
      <c r="B1720" s="108" t="s">
        <v>2282</v>
      </c>
      <c r="C1720" s="110" t="s">
        <v>97</v>
      </c>
      <c r="D1720" s="109">
        <v>0.8</v>
      </c>
      <c r="E1720" s="109">
        <v>1500</v>
      </c>
      <c r="F1720" s="109">
        <v>1200</v>
      </c>
      <c r="G1720" s="108" t="s">
        <v>2281</v>
      </c>
      <c r="H1720" s="111" t="s">
        <v>16</v>
      </c>
    </row>
    <row r="1721" spans="1:8" ht="33" x14ac:dyDescent="0.2">
      <c r="A1721" s="108">
        <v>7</v>
      </c>
      <c r="B1721" s="108" t="s">
        <v>2280</v>
      </c>
      <c r="C1721" s="110" t="s">
        <v>97</v>
      </c>
      <c r="D1721" s="109">
        <v>0.8</v>
      </c>
      <c r="E1721" s="109">
        <v>375</v>
      </c>
      <c r="F1721" s="109">
        <v>300</v>
      </c>
      <c r="G1721" s="108" t="s">
        <v>2279</v>
      </c>
      <c r="H1721" s="111" t="s">
        <v>16</v>
      </c>
    </row>
    <row r="1722" spans="1:8" ht="33" x14ac:dyDescent="0.2">
      <c r="A1722" s="108">
        <v>8</v>
      </c>
      <c r="B1722" s="108" t="s">
        <v>2278</v>
      </c>
      <c r="C1722" s="110" t="s">
        <v>97</v>
      </c>
      <c r="D1722" s="109">
        <v>0.8</v>
      </c>
      <c r="E1722" s="109">
        <v>1300</v>
      </c>
      <c r="F1722" s="109">
        <v>1040</v>
      </c>
      <c r="G1722" s="108" t="s">
        <v>2277</v>
      </c>
      <c r="H1722" s="111" t="s">
        <v>16</v>
      </c>
    </row>
    <row r="1723" spans="1:8" ht="33" x14ac:dyDescent="0.2">
      <c r="A1723" s="108">
        <v>9</v>
      </c>
      <c r="B1723" s="108" t="s">
        <v>1696</v>
      </c>
      <c r="C1723" s="110" t="s">
        <v>97</v>
      </c>
      <c r="D1723" s="109">
        <v>0.8</v>
      </c>
      <c r="E1723" s="109">
        <v>375</v>
      </c>
      <c r="F1723" s="109">
        <v>300</v>
      </c>
      <c r="G1723" s="108" t="s">
        <v>1695</v>
      </c>
      <c r="H1723" s="111" t="s">
        <v>16</v>
      </c>
    </row>
    <row r="1724" spans="1:8" ht="33" x14ac:dyDescent="0.2">
      <c r="A1724" s="108">
        <v>10</v>
      </c>
      <c r="B1724" s="108" t="s">
        <v>1518</v>
      </c>
      <c r="C1724" s="110" t="s">
        <v>14</v>
      </c>
      <c r="D1724" s="109">
        <v>1</v>
      </c>
      <c r="E1724" s="109">
        <v>171.78</v>
      </c>
      <c r="F1724" s="109">
        <v>171.78</v>
      </c>
      <c r="G1724" s="108" t="s">
        <v>1517</v>
      </c>
      <c r="H1724" s="111" t="s">
        <v>16</v>
      </c>
    </row>
    <row r="1725" spans="1:8" ht="33" x14ac:dyDescent="0.2">
      <c r="A1725" s="108"/>
      <c r="B1725" s="108" t="s">
        <v>1516</v>
      </c>
      <c r="C1725" s="110" t="s">
        <v>606</v>
      </c>
      <c r="D1725" s="109">
        <v>1</v>
      </c>
      <c r="E1725" s="109"/>
      <c r="F1725" s="109">
        <v>5897.9</v>
      </c>
      <c r="G1725" s="108"/>
      <c r="H1725" s="111" t="s">
        <v>16</v>
      </c>
    </row>
    <row r="1726" spans="1:8" ht="33" x14ac:dyDescent="0.2">
      <c r="A1726" s="108"/>
      <c r="B1726" s="108" t="s">
        <v>1515</v>
      </c>
      <c r="C1726" s="110" t="s">
        <v>606</v>
      </c>
      <c r="D1726" s="109"/>
      <c r="E1726" s="109"/>
      <c r="F1726" s="109">
        <v>5897.9</v>
      </c>
      <c r="G1726" s="108"/>
      <c r="H1726" s="111" t="s">
        <v>16</v>
      </c>
    </row>
    <row r="1727" spans="1:8" ht="16.5" x14ac:dyDescent="0.2">
      <c r="A1727" s="108"/>
      <c r="B1727" s="108"/>
      <c r="C1727" s="110"/>
      <c r="D1727" s="109"/>
      <c r="E1727" s="109"/>
      <c r="F1727" s="109"/>
      <c r="G1727" s="108"/>
    </row>
    <row r="1728" spans="1:8" ht="33" x14ac:dyDescent="0.2">
      <c r="A1728" s="108" t="s">
        <v>2294</v>
      </c>
      <c r="B1728" s="108" t="s">
        <v>657</v>
      </c>
      <c r="C1728" s="110" t="s">
        <v>606</v>
      </c>
      <c r="D1728" s="109">
        <v>1</v>
      </c>
      <c r="E1728" s="109">
        <v>9356.16</v>
      </c>
      <c r="F1728" s="109"/>
      <c r="G1728" s="108" t="s">
        <v>2293</v>
      </c>
      <c r="H1728" s="111" t="s">
        <v>16</v>
      </c>
    </row>
    <row r="1729" spans="1:8" ht="33" x14ac:dyDescent="0.2">
      <c r="A1729" s="108">
        <v>1</v>
      </c>
      <c r="B1729" s="108" t="s">
        <v>2290</v>
      </c>
      <c r="C1729" s="110" t="s">
        <v>97</v>
      </c>
      <c r="D1729" s="109">
        <v>2.46</v>
      </c>
      <c r="E1729" s="109">
        <v>375</v>
      </c>
      <c r="F1729" s="109">
        <v>922.5</v>
      </c>
      <c r="G1729" s="108" t="s">
        <v>2289</v>
      </c>
      <c r="H1729" s="111" t="s">
        <v>16</v>
      </c>
    </row>
    <row r="1730" spans="1:8" ht="33" x14ac:dyDescent="0.2">
      <c r="A1730" s="108">
        <v>2</v>
      </c>
      <c r="B1730" s="108" t="s">
        <v>2288</v>
      </c>
      <c r="C1730" s="110" t="s">
        <v>97</v>
      </c>
      <c r="D1730" s="109">
        <v>2.4500000000000002</v>
      </c>
      <c r="E1730" s="109">
        <v>341</v>
      </c>
      <c r="F1730" s="109">
        <v>835.45</v>
      </c>
      <c r="G1730" s="108" t="s">
        <v>2287</v>
      </c>
      <c r="H1730" s="111" t="s">
        <v>16</v>
      </c>
    </row>
    <row r="1731" spans="1:8" ht="42.75" x14ac:dyDescent="0.2">
      <c r="A1731" s="108">
        <v>3</v>
      </c>
      <c r="B1731" s="108" t="s">
        <v>1558</v>
      </c>
      <c r="C1731" s="110" t="s">
        <v>103</v>
      </c>
      <c r="D1731" s="109">
        <v>0.2</v>
      </c>
      <c r="E1731" s="109">
        <v>586</v>
      </c>
      <c r="F1731" s="109">
        <v>117.2</v>
      </c>
      <c r="G1731" s="108" t="s">
        <v>1990</v>
      </c>
      <c r="H1731" s="111" t="s">
        <v>16</v>
      </c>
    </row>
    <row r="1732" spans="1:8" ht="33" x14ac:dyDescent="0.2">
      <c r="A1732" s="108">
        <v>4</v>
      </c>
      <c r="B1732" s="108" t="s">
        <v>2286</v>
      </c>
      <c r="C1732" s="110" t="s">
        <v>97</v>
      </c>
      <c r="D1732" s="109">
        <v>1.3</v>
      </c>
      <c r="E1732" s="109">
        <v>1620</v>
      </c>
      <c r="F1732" s="109">
        <v>2106</v>
      </c>
      <c r="G1732" s="108" t="s">
        <v>2285</v>
      </c>
      <c r="H1732" s="111" t="s">
        <v>16</v>
      </c>
    </row>
    <row r="1733" spans="1:8" ht="33" x14ac:dyDescent="0.2">
      <c r="A1733" s="108">
        <v>5</v>
      </c>
      <c r="B1733" s="108" t="s">
        <v>2284</v>
      </c>
      <c r="C1733" s="110" t="s">
        <v>97</v>
      </c>
      <c r="D1733" s="109">
        <v>1.3</v>
      </c>
      <c r="E1733" s="109">
        <v>375</v>
      </c>
      <c r="F1733" s="109">
        <v>487.5</v>
      </c>
      <c r="G1733" s="108" t="s">
        <v>2283</v>
      </c>
      <c r="H1733" s="111" t="s">
        <v>16</v>
      </c>
    </row>
    <row r="1734" spans="1:8" ht="33" x14ac:dyDescent="0.2">
      <c r="A1734" s="108">
        <v>6</v>
      </c>
      <c r="B1734" s="108" t="s">
        <v>2282</v>
      </c>
      <c r="C1734" s="110" t="s">
        <v>97</v>
      </c>
      <c r="D1734" s="109">
        <v>1.3</v>
      </c>
      <c r="E1734" s="109">
        <v>1500</v>
      </c>
      <c r="F1734" s="109">
        <v>1950</v>
      </c>
      <c r="G1734" s="108" t="s">
        <v>2281</v>
      </c>
      <c r="H1734" s="111" t="s">
        <v>16</v>
      </c>
    </row>
    <row r="1735" spans="1:8" ht="33" x14ac:dyDescent="0.2">
      <c r="A1735" s="108">
        <v>7</v>
      </c>
      <c r="B1735" s="108" t="s">
        <v>2280</v>
      </c>
      <c r="C1735" s="110" t="s">
        <v>97</v>
      </c>
      <c r="D1735" s="109">
        <v>1.3</v>
      </c>
      <c r="E1735" s="109">
        <v>375</v>
      </c>
      <c r="F1735" s="109">
        <v>487.5</v>
      </c>
      <c r="G1735" s="108" t="s">
        <v>2279</v>
      </c>
      <c r="H1735" s="111" t="s">
        <v>16</v>
      </c>
    </row>
    <row r="1736" spans="1:8" ht="33" x14ac:dyDescent="0.2">
      <c r="A1736" s="108">
        <v>8</v>
      </c>
      <c r="B1736" s="108" t="s">
        <v>3067</v>
      </c>
      <c r="C1736" s="110" t="s">
        <v>97</v>
      </c>
      <c r="D1736" s="109">
        <v>1.3</v>
      </c>
      <c r="E1736" s="109">
        <v>1300</v>
      </c>
      <c r="F1736" s="109">
        <v>1690</v>
      </c>
      <c r="G1736" s="108" t="s">
        <v>2277</v>
      </c>
      <c r="H1736" s="111" t="s">
        <v>16</v>
      </c>
    </row>
    <row r="1737" spans="1:8" ht="33" x14ac:dyDescent="0.2">
      <c r="A1737" s="108">
        <v>9</v>
      </c>
      <c r="B1737" s="108" t="s">
        <v>1696</v>
      </c>
      <c r="C1737" s="110" t="s">
        <v>97</v>
      </c>
      <c r="D1737" s="109">
        <v>1.3</v>
      </c>
      <c r="E1737" s="109">
        <v>375</v>
      </c>
      <c r="F1737" s="109">
        <v>487.5</v>
      </c>
      <c r="G1737" s="108" t="s">
        <v>1695</v>
      </c>
      <c r="H1737" s="111" t="s">
        <v>16</v>
      </c>
    </row>
    <row r="1738" spans="1:8" ht="33" x14ac:dyDescent="0.2">
      <c r="A1738" s="108">
        <v>10</v>
      </c>
      <c r="B1738" s="108" t="s">
        <v>1518</v>
      </c>
      <c r="C1738" s="110" t="s">
        <v>14</v>
      </c>
      <c r="D1738" s="109">
        <v>1</v>
      </c>
      <c r="E1738" s="109">
        <v>272.51</v>
      </c>
      <c r="F1738" s="109">
        <v>272.51</v>
      </c>
      <c r="G1738" s="108" t="s">
        <v>1517</v>
      </c>
      <c r="H1738" s="111" t="s">
        <v>16</v>
      </c>
    </row>
    <row r="1739" spans="1:8" ht="33" x14ac:dyDescent="0.2">
      <c r="A1739" s="108"/>
      <c r="B1739" s="108" t="s">
        <v>1516</v>
      </c>
      <c r="C1739" s="110" t="s">
        <v>606</v>
      </c>
      <c r="D1739" s="109">
        <v>1</v>
      </c>
      <c r="E1739" s="109"/>
      <c r="F1739" s="109">
        <v>9356.16</v>
      </c>
      <c r="G1739" s="108"/>
      <c r="H1739" s="111" t="s">
        <v>16</v>
      </c>
    </row>
    <row r="1740" spans="1:8" ht="33" x14ac:dyDescent="0.2">
      <c r="A1740" s="108"/>
      <c r="B1740" s="108" t="s">
        <v>1515</v>
      </c>
      <c r="C1740" s="110" t="s">
        <v>606</v>
      </c>
      <c r="D1740" s="109"/>
      <c r="E1740" s="109"/>
      <c r="F1740" s="109">
        <v>9356.16</v>
      </c>
      <c r="G1740" s="108"/>
      <c r="H1740" s="111" t="s">
        <v>16</v>
      </c>
    </row>
    <row r="1741" spans="1:8" ht="16.5" x14ac:dyDescent="0.2">
      <c r="A1741" s="108"/>
      <c r="B1741" s="108"/>
      <c r="C1741" s="110"/>
      <c r="D1741" s="109"/>
      <c r="E1741" s="109"/>
      <c r="F1741" s="109"/>
      <c r="G1741" s="108"/>
    </row>
    <row r="1742" spans="1:8" ht="33" x14ac:dyDescent="0.2">
      <c r="A1742" s="108" t="s">
        <v>2292</v>
      </c>
      <c r="B1742" s="108" t="s">
        <v>660</v>
      </c>
      <c r="C1742" s="110" t="s">
        <v>606</v>
      </c>
      <c r="D1742" s="109">
        <v>1</v>
      </c>
      <c r="E1742" s="109">
        <v>13184.01</v>
      </c>
      <c r="F1742" s="109"/>
      <c r="G1742" s="108" t="s">
        <v>2291</v>
      </c>
      <c r="H1742" s="111" t="s">
        <v>16</v>
      </c>
    </row>
    <row r="1743" spans="1:8" ht="33" x14ac:dyDescent="0.2">
      <c r="A1743" s="108">
        <v>1</v>
      </c>
      <c r="B1743" s="108" t="s">
        <v>2290</v>
      </c>
      <c r="C1743" s="110" t="s">
        <v>97</v>
      </c>
      <c r="D1743" s="109">
        <v>4.01</v>
      </c>
      <c r="E1743" s="109">
        <v>375</v>
      </c>
      <c r="F1743" s="109">
        <v>1503.75</v>
      </c>
      <c r="G1743" s="108" t="s">
        <v>2289</v>
      </c>
      <c r="H1743" s="111" t="s">
        <v>16</v>
      </c>
    </row>
    <row r="1744" spans="1:8" ht="33" x14ac:dyDescent="0.2">
      <c r="A1744" s="108">
        <v>2</v>
      </c>
      <c r="B1744" s="108" t="s">
        <v>2288</v>
      </c>
      <c r="C1744" s="110" t="s">
        <v>97</v>
      </c>
      <c r="D1744" s="109">
        <v>4.01</v>
      </c>
      <c r="E1744" s="109">
        <v>341</v>
      </c>
      <c r="F1744" s="109">
        <v>1367.41</v>
      </c>
      <c r="G1744" s="108" t="s">
        <v>2287</v>
      </c>
      <c r="H1744" s="111" t="s">
        <v>16</v>
      </c>
    </row>
    <row r="1745" spans="1:8" ht="42.75" x14ac:dyDescent="0.2">
      <c r="A1745" s="108">
        <v>3</v>
      </c>
      <c r="B1745" s="108" t="s">
        <v>1558</v>
      </c>
      <c r="C1745" s="110" t="s">
        <v>103</v>
      </c>
      <c r="D1745" s="109">
        <v>0.25</v>
      </c>
      <c r="E1745" s="109">
        <v>586</v>
      </c>
      <c r="F1745" s="109">
        <v>146.5</v>
      </c>
      <c r="G1745" s="108" t="s">
        <v>1990</v>
      </c>
      <c r="H1745" s="111" t="s">
        <v>16</v>
      </c>
    </row>
    <row r="1746" spans="1:8" ht="33" x14ac:dyDescent="0.2">
      <c r="A1746" s="108">
        <v>4</v>
      </c>
      <c r="B1746" s="108" t="s">
        <v>3065</v>
      </c>
      <c r="C1746" s="110" t="s">
        <v>97</v>
      </c>
      <c r="D1746" s="109">
        <v>1.78</v>
      </c>
      <c r="E1746" s="109">
        <v>1620</v>
      </c>
      <c r="F1746" s="109">
        <v>2883.6</v>
      </c>
      <c r="G1746" s="108" t="s">
        <v>2285</v>
      </c>
      <c r="H1746" s="111" t="s">
        <v>16</v>
      </c>
    </row>
    <row r="1747" spans="1:8" ht="33" x14ac:dyDescent="0.2">
      <c r="A1747" s="108">
        <v>5</v>
      </c>
      <c r="B1747" s="108" t="s">
        <v>2284</v>
      </c>
      <c r="C1747" s="110" t="s">
        <v>97</v>
      </c>
      <c r="D1747" s="109">
        <v>1.78</v>
      </c>
      <c r="E1747" s="109">
        <v>375</v>
      </c>
      <c r="F1747" s="109">
        <v>667.5</v>
      </c>
      <c r="G1747" s="108" t="s">
        <v>2283</v>
      </c>
      <c r="H1747" s="111" t="s">
        <v>16</v>
      </c>
    </row>
    <row r="1748" spans="1:8" ht="33" x14ac:dyDescent="0.2">
      <c r="A1748" s="108">
        <v>6</v>
      </c>
      <c r="B1748" s="108" t="s">
        <v>3066</v>
      </c>
      <c r="C1748" s="110" t="s">
        <v>97</v>
      </c>
      <c r="D1748" s="109">
        <v>1.76</v>
      </c>
      <c r="E1748" s="109">
        <v>1500</v>
      </c>
      <c r="F1748" s="109">
        <v>2640</v>
      </c>
      <c r="G1748" s="108" t="s">
        <v>2281</v>
      </c>
      <c r="H1748" s="111" t="s">
        <v>16</v>
      </c>
    </row>
    <row r="1749" spans="1:8" ht="33" x14ac:dyDescent="0.2">
      <c r="A1749" s="108">
        <v>7</v>
      </c>
      <c r="B1749" s="108" t="s">
        <v>2280</v>
      </c>
      <c r="C1749" s="110" t="s">
        <v>97</v>
      </c>
      <c r="D1749" s="109">
        <v>1.76</v>
      </c>
      <c r="E1749" s="109">
        <v>375</v>
      </c>
      <c r="F1749" s="109">
        <v>660</v>
      </c>
      <c r="G1749" s="108" t="s">
        <v>2279</v>
      </c>
      <c r="H1749" s="111" t="s">
        <v>16</v>
      </c>
    </row>
    <row r="1750" spans="1:8" ht="33" x14ac:dyDescent="0.2">
      <c r="A1750" s="108">
        <v>8</v>
      </c>
      <c r="B1750" s="108" t="s">
        <v>2278</v>
      </c>
      <c r="C1750" s="110" t="s">
        <v>97</v>
      </c>
      <c r="D1750" s="109">
        <v>1.75</v>
      </c>
      <c r="E1750" s="109">
        <v>1300</v>
      </c>
      <c r="F1750" s="109">
        <v>2275</v>
      </c>
      <c r="G1750" s="108" t="s">
        <v>2277</v>
      </c>
      <c r="H1750" s="111" t="s">
        <v>16</v>
      </c>
    </row>
    <row r="1751" spans="1:8" ht="33" x14ac:dyDescent="0.2">
      <c r="A1751" s="108">
        <v>9</v>
      </c>
      <c r="B1751" s="108" t="s">
        <v>1696</v>
      </c>
      <c r="C1751" s="110" t="s">
        <v>97</v>
      </c>
      <c r="D1751" s="109">
        <v>1.75</v>
      </c>
      <c r="E1751" s="109">
        <v>375</v>
      </c>
      <c r="F1751" s="109">
        <v>656.25</v>
      </c>
      <c r="G1751" s="108" t="s">
        <v>1695</v>
      </c>
      <c r="H1751" s="111" t="s">
        <v>16</v>
      </c>
    </row>
    <row r="1752" spans="1:8" ht="33" x14ac:dyDescent="0.2">
      <c r="A1752" s="108">
        <v>10</v>
      </c>
      <c r="B1752" s="108" t="s">
        <v>1518</v>
      </c>
      <c r="C1752" s="110" t="s">
        <v>14</v>
      </c>
      <c r="D1752" s="109">
        <v>1</v>
      </c>
      <c r="E1752" s="109">
        <v>384</v>
      </c>
      <c r="F1752" s="109">
        <v>384</v>
      </c>
      <c r="G1752" s="108" t="s">
        <v>1517</v>
      </c>
      <c r="H1752" s="111" t="s">
        <v>16</v>
      </c>
    </row>
    <row r="1753" spans="1:8" ht="33" x14ac:dyDescent="0.2">
      <c r="A1753" s="108"/>
      <c r="B1753" s="108" t="s">
        <v>1516</v>
      </c>
      <c r="C1753" s="110" t="s">
        <v>606</v>
      </c>
      <c r="D1753" s="109">
        <v>1</v>
      </c>
      <c r="E1753" s="109"/>
      <c r="F1753" s="109">
        <v>13184.01</v>
      </c>
      <c r="G1753" s="108"/>
      <c r="H1753" s="111" t="s">
        <v>16</v>
      </c>
    </row>
    <row r="1754" spans="1:8" ht="33" x14ac:dyDescent="0.2">
      <c r="A1754" s="108"/>
      <c r="B1754" s="108" t="s">
        <v>1515</v>
      </c>
      <c r="C1754" s="110" t="s">
        <v>606</v>
      </c>
      <c r="D1754" s="109"/>
      <c r="E1754" s="109"/>
      <c r="F1754" s="109">
        <v>13184.01</v>
      </c>
      <c r="G1754" s="108"/>
      <c r="H1754" s="111" t="s">
        <v>16</v>
      </c>
    </row>
    <row r="1755" spans="1:8" ht="16.5" x14ac:dyDescent="0.2">
      <c r="A1755" s="108"/>
      <c r="B1755" s="108"/>
      <c r="C1755" s="110"/>
      <c r="D1755" s="109"/>
      <c r="E1755" s="109"/>
      <c r="F1755" s="109"/>
      <c r="G1755" s="108"/>
    </row>
    <row r="1756" spans="1:8" ht="42.75" x14ac:dyDescent="0.2">
      <c r="A1756" s="108" t="s">
        <v>2276</v>
      </c>
      <c r="B1756" s="108" t="s">
        <v>663</v>
      </c>
      <c r="C1756" s="110" t="s">
        <v>30</v>
      </c>
      <c r="D1756" s="109">
        <v>1</v>
      </c>
      <c r="E1756" s="109">
        <v>1859.87</v>
      </c>
      <c r="F1756" s="109"/>
      <c r="G1756" s="108" t="s">
        <v>2275</v>
      </c>
      <c r="H1756" s="111" t="s">
        <v>16</v>
      </c>
    </row>
    <row r="1757" spans="1:8" ht="33" x14ac:dyDescent="0.2">
      <c r="A1757" s="108">
        <v>1</v>
      </c>
      <c r="B1757" s="108" t="s">
        <v>2274</v>
      </c>
      <c r="C1757" s="110" t="s">
        <v>14</v>
      </c>
      <c r="D1757" s="109">
        <v>1</v>
      </c>
      <c r="E1757" s="109">
        <v>993</v>
      </c>
      <c r="F1757" s="109">
        <v>993</v>
      </c>
      <c r="G1757" s="108" t="s">
        <v>2273</v>
      </c>
      <c r="H1757" s="111" t="s">
        <v>16</v>
      </c>
    </row>
    <row r="1758" spans="1:8" ht="33" x14ac:dyDescent="0.2">
      <c r="A1758" s="108">
        <v>2</v>
      </c>
      <c r="B1758" s="108" t="s">
        <v>2272</v>
      </c>
      <c r="C1758" s="110" t="s">
        <v>14</v>
      </c>
      <c r="D1758" s="109">
        <v>1</v>
      </c>
      <c r="E1758" s="109">
        <v>451.5</v>
      </c>
      <c r="F1758" s="109">
        <v>451.5</v>
      </c>
      <c r="G1758" s="108" t="s">
        <v>2271</v>
      </c>
      <c r="H1758" s="111" t="s">
        <v>16</v>
      </c>
    </row>
    <row r="1759" spans="1:8" ht="33" x14ac:dyDescent="0.2">
      <c r="A1759" s="108">
        <v>3</v>
      </c>
      <c r="B1759" s="108" t="s">
        <v>2270</v>
      </c>
      <c r="C1759" s="110" t="s">
        <v>14</v>
      </c>
      <c r="D1759" s="109">
        <v>1</v>
      </c>
      <c r="E1759" s="109">
        <v>90.3</v>
      </c>
      <c r="F1759" s="109">
        <v>90.3</v>
      </c>
      <c r="G1759" s="108" t="s">
        <v>2269</v>
      </c>
      <c r="H1759" s="111" t="s">
        <v>16</v>
      </c>
    </row>
    <row r="1760" spans="1:8" ht="33" x14ac:dyDescent="0.2">
      <c r="A1760" s="108">
        <v>4</v>
      </c>
      <c r="B1760" s="108" t="s">
        <v>2268</v>
      </c>
      <c r="C1760" s="110" t="s">
        <v>14</v>
      </c>
      <c r="D1760" s="109">
        <v>1</v>
      </c>
      <c r="E1760" s="109">
        <v>270.89999999999998</v>
      </c>
      <c r="F1760" s="109">
        <v>270.89999999999998</v>
      </c>
      <c r="G1760" s="108" t="s">
        <v>2267</v>
      </c>
      <c r="H1760" s="111" t="s">
        <v>16</v>
      </c>
    </row>
    <row r="1761" spans="1:8" ht="33" x14ac:dyDescent="0.2">
      <c r="A1761" s="108">
        <v>5</v>
      </c>
      <c r="B1761" s="108" t="s">
        <v>1518</v>
      </c>
      <c r="C1761" s="110" t="s">
        <v>14</v>
      </c>
      <c r="D1761" s="109">
        <v>1</v>
      </c>
      <c r="E1761" s="109">
        <v>54.17</v>
      </c>
      <c r="F1761" s="109">
        <v>54.17</v>
      </c>
      <c r="G1761" s="108" t="s">
        <v>1517</v>
      </c>
      <c r="H1761" s="111" t="s">
        <v>16</v>
      </c>
    </row>
    <row r="1762" spans="1:8" ht="33" x14ac:dyDescent="0.2">
      <c r="A1762" s="108"/>
      <c r="B1762" s="108" t="s">
        <v>1516</v>
      </c>
      <c r="C1762" s="110" t="s">
        <v>30</v>
      </c>
      <c r="D1762" s="109">
        <v>1</v>
      </c>
      <c r="E1762" s="109"/>
      <c r="F1762" s="109">
        <v>1859.87</v>
      </c>
      <c r="G1762" s="108"/>
      <c r="H1762" s="111" t="s">
        <v>16</v>
      </c>
    </row>
    <row r="1763" spans="1:8" ht="33" x14ac:dyDescent="0.2">
      <c r="A1763" s="108"/>
      <c r="B1763" s="108" t="s">
        <v>1515</v>
      </c>
      <c r="C1763" s="110" t="s">
        <v>30</v>
      </c>
      <c r="D1763" s="109"/>
      <c r="E1763" s="109"/>
      <c r="F1763" s="109">
        <v>1859.87</v>
      </c>
      <c r="G1763" s="108"/>
      <c r="H1763" s="111" t="s">
        <v>16</v>
      </c>
    </row>
    <row r="1764" spans="1:8" ht="16.5" x14ac:dyDescent="0.2">
      <c r="A1764" s="108"/>
      <c r="B1764" s="108"/>
      <c r="C1764" s="110"/>
      <c r="D1764" s="109"/>
      <c r="E1764" s="109"/>
      <c r="F1764" s="109"/>
      <c r="G1764" s="108"/>
    </row>
    <row r="1765" spans="1:8" ht="33" x14ac:dyDescent="0.2">
      <c r="A1765" s="108" t="s">
        <v>2266</v>
      </c>
      <c r="B1765" s="108" t="s">
        <v>678</v>
      </c>
      <c r="C1765" s="110" t="s">
        <v>23</v>
      </c>
      <c r="D1765" s="109">
        <v>100</v>
      </c>
      <c r="E1765" s="109">
        <v>3386.57</v>
      </c>
      <c r="F1765" s="109"/>
      <c r="G1765" s="108" t="s">
        <v>2265</v>
      </c>
      <c r="H1765" s="111" t="s">
        <v>16</v>
      </c>
    </row>
    <row r="1766" spans="1:8" ht="33" x14ac:dyDescent="0.2">
      <c r="A1766" s="108">
        <v>1</v>
      </c>
      <c r="B1766" s="108" t="s">
        <v>2264</v>
      </c>
      <c r="C1766" s="110" t="s">
        <v>1722</v>
      </c>
      <c r="D1766" s="109">
        <v>111</v>
      </c>
      <c r="E1766" s="109">
        <v>743</v>
      </c>
      <c r="F1766" s="109">
        <v>82473</v>
      </c>
      <c r="G1766" s="108" t="s">
        <v>2263</v>
      </c>
      <c r="H1766" s="111" t="s">
        <v>16</v>
      </c>
    </row>
    <row r="1767" spans="1:8" ht="33" x14ac:dyDescent="0.2">
      <c r="A1767" s="108">
        <v>2</v>
      </c>
      <c r="B1767" s="108" t="s">
        <v>2262</v>
      </c>
      <c r="C1767" s="110" t="s">
        <v>1722</v>
      </c>
      <c r="D1767" s="109">
        <v>111</v>
      </c>
      <c r="E1767" s="109">
        <v>120</v>
      </c>
      <c r="F1767" s="109">
        <v>13320</v>
      </c>
      <c r="G1767" s="108" t="s">
        <v>2261</v>
      </c>
      <c r="H1767" s="111" t="s">
        <v>16</v>
      </c>
    </row>
    <row r="1768" spans="1:8" ht="33" x14ac:dyDescent="0.2">
      <c r="A1768" s="108">
        <v>3</v>
      </c>
      <c r="B1768" s="108" t="s">
        <v>2260</v>
      </c>
      <c r="C1768" s="110" t="s">
        <v>14</v>
      </c>
      <c r="D1768" s="109">
        <v>1</v>
      </c>
      <c r="E1768" s="109">
        <v>9000</v>
      </c>
      <c r="F1768" s="109">
        <v>9000</v>
      </c>
      <c r="G1768" s="108" t="s">
        <v>2259</v>
      </c>
      <c r="H1768" s="111" t="s">
        <v>16</v>
      </c>
    </row>
    <row r="1769" spans="1:8" ht="33" x14ac:dyDescent="0.2">
      <c r="A1769" s="108">
        <v>4</v>
      </c>
      <c r="B1769" s="108" t="s">
        <v>1527</v>
      </c>
      <c r="C1769" s="110" t="s">
        <v>97</v>
      </c>
      <c r="D1769" s="109">
        <v>800</v>
      </c>
      <c r="E1769" s="109">
        <v>280</v>
      </c>
      <c r="F1769" s="109">
        <v>224000</v>
      </c>
      <c r="G1769" s="108" t="s">
        <v>1535</v>
      </c>
      <c r="H1769" s="111" t="s">
        <v>16</v>
      </c>
    </row>
    <row r="1770" spans="1:8" ht="33" x14ac:dyDescent="0.2">
      <c r="A1770" s="108">
        <v>5</v>
      </c>
      <c r="B1770" s="108" t="s">
        <v>1518</v>
      </c>
      <c r="C1770" s="110" t="s">
        <v>14</v>
      </c>
      <c r="D1770" s="109">
        <v>1</v>
      </c>
      <c r="E1770" s="109">
        <v>9863.7900000000009</v>
      </c>
      <c r="F1770" s="109">
        <v>9863.7900000000009</v>
      </c>
      <c r="G1770" s="108" t="s">
        <v>1517</v>
      </c>
      <c r="H1770" s="111" t="s">
        <v>16</v>
      </c>
    </row>
    <row r="1771" spans="1:8" ht="33" x14ac:dyDescent="0.2">
      <c r="A1771" s="108"/>
      <c r="B1771" s="108" t="s">
        <v>1516</v>
      </c>
      <c r="C1771" s="110" t="s">
        <v>23</v>
      </c>
      <c r="D1771" s="109">
        <v>100</v>
      </c>
      <c r="E1771" s="109"/>
      <c r="F1771" s="109">
        <v>338656.79</v>
      </c>
      <c r="G1771" s="108"/>
      <c r="H1771" s="111" t="s">
        <v>16</v>
      </c>
    </row>
    <row r="1772" spans="1:8" ht="33" x14ac:dyDescent="0.2">
      <c r="A1772" s="108"/>
      <c r="B1772" s="108" t="s">
        <v>1515</v>
      </c>
      <c r="C1772" s="110" t="s">
        <v>23</v>
      </c>
      <c r="D1772" s="109"/>
      <c r="E1772" s="109"/>
      <c r="F1772" s="109">
        <v>3386.57</v>
      </c>
      <c r="G1772" s="108"/>
      <c r="H1772" s="111" t="s">
        <v>16</v>
      </c>
    </row>
    <row r="1773" spans="1:8" ht="16.5" x14ac:dyDescent="0.2">
      <c r="A1773" s="108"/>
      <c r="B1773" s="108"/>
      <c r="C1773" s="110"/>
      <c r="D1773" s="109"/>
      <c r="E1773" s="109"/>
      <c r="F1773" s="109"/>
      <c r="G1773" s="108"/>
    </row>
    <row r="1774" spans="1:8" ht="42.75" x14ac:dyDescent="0.2">
      <c r="A1774" s="108" t="s">
        <v>2258</v>
      </c>
      <c r="B1774" s="108" t="s">
        <v>687</v>
      </c>
      <c r="C1774" s="110" t="s">
        <v>606</v>
      </c>
      <c r="D1774" s="109">
        <v>1</v>
      </c>
      <c r="E1774" s="109">
        <v>10176.969999999999</v>
      </c>
      <c r="F1774" s="109"/>
      <c r="G1774" s="108" t="s">
        <v>2257</v>
      </c>
      <c r="H1774" s="111" t="s">
        <v>16</v>
      </c>
    </row>
    <row r="1775" spans="1:8" ht="42.75" x14ac:dyDescent="0.2">
      <c r="A1775" s="108">
        <v>1</v>
      </c>
      <c r="B1775" s="108" t="s">
        <v>2256</v>
      </c>
      <c r="C1775" s="110" t="s">
        <v>606</v>
      </c>
      <c r="D1775" s="109">
        <v>1</v>
      </c>
      <c r="E1775" s="109">
        <v>7750</v>
      </c>
      <c r="F1775" s="109">
        <v>7750</v>
      </c>
      <c r="G1775" s="108" t="s">
        <v>2255</v>
      </c>
      <c r="H1775" s="111" t="s">
        <v>16</v>
      </c>
    </row>
    <row r="1776" spans="1:8" ht="33" x14ac:dyDescent="0.2">
      <c r="A1776" s="108">
        <v>2</v>
      </c>
      <c r="B1776" s="108" t="s">
        <v>1560</v>
      </c>
      <c r="C1776" s="110" t="s">
        <v>34</v>
      </c>
      <c r="D1776" s="109">
        <v>0.79</v>
      </c>
      <c r="E1776" s="109">
        <v>53.05</v>
      </c>
      <c r="F1776" s="109">
        <v>41.91</v>
      </c>
      <c r="G1776" s="108" t="s">
        <v>1559</v>
      </c>
      <c r="H1776" s="111" t="s">
        <v>16</v>
      </c>
    </row>
    <row r="1777" spans="1:8" ht="57" x14ac:dyDescent="0.2">
      <c r="A1777" s="108">
        <v>3</v>
      </c>
      <c r="B1777" s="108" t="s">
        <v>599</v>
      </c>
      <c r="C1777" s="110" t="s">
        <v>103</v>
      </c>
      <c r="D1777" s="109">
        <v>0.59</v>
      </c>
      <c r="E1777" s="109">
        <v>704.52</v>
      </c>
      <c r="F1777" s="109">
        <v>415.67</v>
      </c>
      <c r="G1777" s="108" t="s">
        <v>2147</v>
      </c>
      <c r="H1777" s="111" t="s">
        <v>16</v>
      </c>
    </row>
    <row r="1778" spans="1:8" ht="33" x14ac:dyDescent="0.2">
      <c r="A1778" s="108">
        <v>4</v>
      </c>
      <c r="B1778" s="108" t="s">
        <v>1575</v>
      </c>
      <c r="C1778" s="110" t="s">
        <v>325</v>
      </c>
      <c r="D1778" s="109">
        <v>1</v>
      </c>
      <c r="E1778" s="109">
        <v>721.41</v>
      </c>
      <c r="F1778" s="109">
        <v>721.41</v>
      </c>
      <c r="G1778" s="108" t="s">
        <v>2189</v>
      </c>
      <c r="H1778" s="111" t="s">
        <v>16</v>
      </c>
    </row>
    <row r="1779" spans="1:8" ht="33" x14ac:dyDescent="0.2">
      <c r="A1779" s="108">
        <v>5</v>
      </c>
      <c r="B1779" s="108" t="s">
        <v>2197</v>
      </c>
      <c r="C1779" s="110" t="s">
        <v>606</v>
      </c>
      <c r="D1779" s="109">
        <v>1</v>
      </c>
      <c r="E1779" s="109">
        <v>85.4</v>
      </c>
      <c r="F1779" s="109">
        <v>85.4</v>
      </c>
      <c r="G1779" s="108" t="s">
        <v>2196</v>
      </c>
      <c r="H1779" s="111" t="s">
        <v>16</v>
      </c>
    </row>
    <row r="1780" spans="1:8" ht="33" x14ac:dyDescent="0.2">
      <c r="A1780" s="108">
        <v>6</v>
      </c>
      <c r="B1780" s="108" t="s">
        <v>1976</v>
      </c>
      <c r="C1780" s="110" t="s">
        <v>412</v>
      </c>
      <c r="D1780" s="109">
        <v>4</v>
      </c>
      <c r="E1780" s="109">
        <v>14</v>
      </c>
      <c r="F1780" s="109">
        <v>56</v>
      </c>
      <c r="G1780" s="108" t="s">
        <v>2186</v>
      </c>
      <c r="H1780" s="111" t="s">
        <v>16</v>
      </c>
    </row>
    <row r="1781" spans="1:8" ht="33" x14ac:dyDescent="0.2">
      <c r="A1781" s="108">
        <v>7</v>
      </c>
      <c r="B1781" s="108" t="s">
        <v>2010</v>
      </c>
      <c r="C1781" s="110" t="s">
        <v>34</v>
      </c>
      <c r="D1781" s="109">
        <v>0.79</v>
      </c>
      <c r="E1781" s="109">
        <v>408.43</v>
      </c>
      <c r="F1781" s="109">
        <v>322.66000000000003</v>
      </c>
      <c r="G1781" s="108" t="s">
        <v>2009</v>
      </c>
      <c r="H1781" s="111" t="s">
        <v>16</v>
      </c>
    </row>
    <row r="1782" spans="1:8" ht="57" x14ac:dyDescent="0.2">
      <c r="A1782" s="108">
        <v>8</v>
      </c>
      <c r="B1782" s="108" t="s">
        <v>1985</v>
      </c>
      <c r="C1782" s="110" t="s">
        <v>97</v>
      </c>
      <c r="D1782" s="109">
        <v>1.3</v>
      </c>
      <c r="E1782" s="109">
        <v>375</v>
      </c>
      <c r="F1782" s="109">
        <v>487.5</v>
      </c>
      <c r="G1782" s="108" t="s">
        <v>1984</v>
      </c>
      <c r="H1782" s="111" t="s">
        <v>16</v>
      </c>
    </row>
    <row r="1783" spans="1:8" ht="33" x14ac:dyDescent="0.2">
      <c r="A1783" s="108">
        <v>9</v>
      </c>
      <c r="B1783" s="108" t="s">
        <v>1518</v>
      </c>
      <c r="C1783" s="110" t="s">
        <v>14</v>
      </c>
      <c r="D1783" s="109">
        <v>1</v>
      </c>
      <c r="E1783" s="109">
        <v>296.42</v>
      </c>
      <c r="F1783" s="109">
        <v>296.42</v>
      </c>
      <c r="G1783" s="108" t="s">
        <v>1517</v>
      </c>
      <c r="H1783" s="111" t="s">
        <v>16</v>
      </c>
    </row>
    <row r="1784" spans="1:8" ht="33" x14ac:dyDescent="0.2">
      <c r="A1784" s="108"/>
      <c r="B1784" s="108" t="s">
        <v>1516</v>
      </c>
      <c r="C1784" s="110" t="s">
        <v>606</v>
      </c>
      <c r="D1784" s="109">
        <v>1</v>
      </c>
      <c r="E1784" s="109"/>
      <c r="F1784" s="109">
        <v>10176.969999999999</v>
      </c>
      <c r="G1784" s="108"/>
      <c r="H1784" s="111" t="s">
        <v>16</v>
      </c>
    </row>
    <row r="1785" spans="1:8" ht="33" x14ac:dyDescent="0.2">
      <c r="A1785" s="108"/>
      <c r="B1785" s="108" t="s">
        <v>1515</v>
      </c>
      <c r="C1785" s="110" t="s">
        <v>606</v>
      </c>
      <c r="D1785" s="109"/>
      <c r="E1785" s="109"/>
      <c r="F1785" s="109">
        <v>10176.969999999999</v>
      </c>
      <c r="G1785" s="108"/>
      <c r="H1785" s="111" t="s">
        <v>16</v>
      </c>
    </row>
    <row r="1786" spans="1:8" ht="16.5" x14ac:dyDescent="0.2">
      <c r="A1786" s="108"/>
      <c r="B1786" s="108"/>
      <c r="C1786" s="110"/>
      <c r="D1786" s="109"/>
      <c r="E1786" s="109"/>
      <c r="F1786" s="109"/>
      <c r="G1786" s="108"/>
    </row>
    <row r="1787" spans="1:8" ht="42.75" x14ac:dyDescent="0.2">
      <c r="A1787" s="108" t="s">
        <v>2254</v>
      </c>
      <c r="B1787" s="108" t="s">
        <v>690</v>
      </c>
      <c r="C1787" s="110" t="s">
        <v>606</v>
      </c>
      <c r="D1787" s="109">
        <v>1</v>
      </c>
      <c r="E1787" s="109">
        <v>13526.18</v>
      </c>
      <c r="F1787" s="109"/>
      <c r="G1787" s="108" t="s">
        <v>2253</v>
      </c>
      <c r="H1787" s="111" t="s">
        <v>16</v>
      </c>
    </row>
    <row r="1788" spans="1:8" ht="42.75" x14ac:dyDescent="0.2">
      <c r="A1788" s="108">
        <v>1</v>
      </c>
      <c r="B1788" s="108" t="s">
        <v>2252</v>
      </c>
      <c r="C1788" s="110" t="s">
        <v>606</v>
      </c>
      <c r="D1788" s="109">
        <v>1</v>
      </c>
      <c r="E1788" s="109">
        <v>9750</v>
      </c>
      <c r="F1788" s="109">
        <v>9750</v>
      </c>
      <c r="G1788" s="108" t="s">
        <v>2251</v>
      </c>
      <c r="H1788" s="111" t="s">
        <v>16</v>
      </c>
    </row>
    <row r="1789" spans="1:8" ht="33" x14ac:dyDescent="0.2">
      <c r="A1789" s="108">
        <v>2</v>
      </c>
      <c r="B1789" s="108" t="s">
        <v>1560</v>
      </c>
      <c r="C1789" s="110" t="s">
        <v>34</v>
      </c>
      <c r="D1789" s="109">
        <v>1.36</v>
      </c>
      <c r="E1789" s="109">
        <v>53.05</v>
      </c>
      <c r="F1789" s="109">
        <v>72.150000000000006</v>
      </c>
      <c r="G1789" s="108" t="s">
        <v>1559</v>
      </c>
      <c r="H1789" s="111" t="s">
        <v>16</v>
      </c>
    </row>
    <row r="1790" spans="1:8" ht="57" x14ac:dyDescent="0.2">
      <c r="A1790" s="108">
        <v>3</v>
      </c>
      <c r="B1790" s="108" t="s">
        <v>599</v>
      </c>
      <c r="C1790" s="110" t="s">
        <v>103</v>
      </c>
      <c r="D1790" s="109">
        <v>1.02</v>
      </c>
      <c r="E1790" s="109">
        <v>704.52</v>
      </c>
      <c r="F1790" s="109">
        <v>718.61</v>
      </c>
      <c r="G1790" s="108" t="s">
        <v>2147</v>
      </c>
      <c r="H1790" s="111" t="s">
        <v>16</v>
      </c>
    </row>
    <row r="1791" spans="1:8" ht="33" x14ac:dyDescent="0.2">
      <c r="A1791" s="108">
        <v>4</v>
      </c>
      <c r="B1791" s="108" t="s">
        <v>1570</v>
      </c>
      <c r="C1791" s="110" t="s">
        <v>325</v>
      </c>
      <c r="D1791" s="109">
        <v>1</v>
      </c>
      <c r="E1791" s="109">
        <v>888.27</v>
      </c>
      <c r="F1791" s="109">
        <v>888.27</v>
      </c>
      <c r="G1791" s="108" t="s">
        <v>2242</v>
      </c>
      <c r="H1791" s="111" t="s">
        <v>16</v>
      </c>
    </row>
    <row r="1792" spans="1:8" ht="33" x14ac:dyDescent="0.2">
      <c r="A1792" s="108">
        <v>5</v>
      </c>
      <c r="B1792" s="108" t="s">
        <v>2188</v>
      </c>
      <c r="C1792" s="110" t="s">
        <v>606</v>
      </c>
      <c r="D1792" s="109">
        <v>1</v>
      </c>
      <c r="E1792" s="109">
        <v>59.22</v>
      </c>
      <c r="F1792" s="109">
        <v>59.22</v>
      </c>
      <c r="G1792" s="108" t="s">
        <v>2187</v>
      </c>
      <c r="H1792" s="111" t="s">
        <v>16</v>
      </c>
    </row>
    <row r="1793" spans="1:8" ht="33" x14ac:dyDescent="0.2">
      <c r="A1793" s="108">
        <v>6</v>
      </c>
      <c r="B1793" s="108" t="s">
        <v>1976</v>
      </c>
      <c r="C1793" s="110" t="s">
        <v>412</v>
      </c>
      <c r="D1793" s="109">
        <v>4</v>
      </c>
      <c r="E1793" s="109">
        <v>14</v>
      </c>
      <c r="F1793" s="109">
        <v>56</v>
      </c>
      <c r="G1793" s="108" t="s">
        <v>2186</v>
      </c>
      <c r="H1793" s="111" t="s">
        <v>16</v>
      </c>
    </row>
    <row r="1794" spans="1:8" ht="33" x14ac:dyDescent="0.2">
      <c r="A1794" s="108">
        <v>7</v>
      </c>
      <c r="B1794" s="108" t="s">
        <v>2010</v>
      </c>
      <c r="C1794" s="110" t="s">
        <v>34</v>
      </c>
      <c r="D1794" s="109">
        <v>1.36</v>
      </c>
      <c r="E1794" s="109">
        <v>408.43</v>
      </c>
      <c r="F1794" s="109">
        <v>555.46</v>
      </c>
      <c r="G1794" s="108" t="s">
        <v>2009</v>
      </c>
      <c r="H1794" s="111" t="s">
        <v>16</v>
      </c>
    </row>
    <row r="1795" spans="1:8" ht="33" x14ac:dyDescent="0.2">
      <c r="A1795" s="108">
        <v>8</v>
      </c>
      <c r="B1795" s="108" t="s">
        <v>2229</v>
      </c>
      <c r="C1795" s="110" t="s">
        <v>162</v>
      </c>
      <c r="D1795" s="109">
        <v>1</v>
      </c>
      <c r="E1795" s="109">
        <v>500</v>
      </c>
      <c r="F1795" s="109">
        <v>500</v>
      </c>
      <c r="G1795" s="108" t="s">
        <v>2228</v>
      </c>
      <c r="H1795" s="111" t="s">
        <v>16</v>
      </c>
    </row>
    <row r="1796" spans="1:8" ht="57" x14ac:dyDescent="0.2">
      <c r="A1796" s="108">
        <v>9</v>
      </c>
      <c r="B1796" s="108" t="s">
        <v>1985</v>
      </c>
      <c r="C1796" s="110" t="s">
        <v>97</v>
      </c>
      <c r="D1796" s="109">
        <v>1.42</v>
      </c>
      <c r="E1796" s="109">
        <v>375</v>
      </c>
      <c r="F1796" s="109">
        <v>532.5</v>
      </c>
      <c r="G1796" s="108" t="s">
        <v>1984</v>
      </c>
      <c r="H1796" s="111" t="s">
        <v>16</v>
      </c>
    </row>
    <row r="1797" spans="1:8" ht="33" x14ac:dyDescent="0.2">
      <c r="A1797" s="108">
        <v>10</v>
      </c>
      <c r="B1797" s="108" t="s">
        <v>1518</v>
      </c>
      <c r="C1797" s="110" t="s">
        <v>14</v>
      </c>
      <c r="D1797" s="109">
        <v>1</v>
      </c>
      <c r="E1797" s="109">
        <v>393.97</v>
      </c>
      <c r="F1797" s="109">
        <v>393.97</v>
      </c>
      <c r="G1797" s="108" t="s">
        <v>1517</v>
      </c>
      <c r="H1797" s="111" t="s">
        <v>16</v>
      </c>
    </row>
    <row r="1798" spans="1:8" ht="33" x14ac:dyDescent="0.2">
      <c r="A1798" s="108"/>
      <c r="B1798" s="108" t="s">
        <v>1516</v>
      </c>
      <c r="C1798" s="110" t="s">
        <v>606</v>
      </c>
      <c r="D1798" s="109">
        <v>1</v>
      </c>
      <c r="E1798" s="109"/>
      <c r="F1798" s="109">
        <v>13526.179999999998</v>
      </c>
      <c r="G1798" s="108"/>
      <c r="H1798" s="111" t="s">
        <v>16</v>
      </c>
    </row>
    <row r="1799" spans="1:8" ht="33" x14ac:dyDescent="0.2">
      <c r="A1799" s="108"/>
      <c r="B1799" s="108" t="s">
        <v>1515</v>
      </c>
      <c r="C1799" s="110" t="s">
        <v>606</v>
      </c>
      <c r="D1799" s="109"/>
      <c r="E1799" s="109"/>
      <c r="F1799" s="109">
        <v>13526.18</v>
      </c>
      <c r="G1799" s="108"/>
      <c r="H1799" s="111" t="s">
        <v>16</v>
      </c>
    </row>
    <row r="1800" spans="1:8" ht="16.5" x14ac:dyDescent="0.2">
      <c r="A1800" s="108"/>
      <c r="B1800" s="108"/>
      <c r="C1800" s="110"/>
      <c r="D1800" s="109"/>
      <c r="E1800" s="109"/>
      <c r="F1800" s="109"/>
      <c r="G1800" s="108"/>
    </row>
    <row r="1801" spans="1:8" ht="42.75" x14ac:dyDescent="0.2">
      <c r="A1801" s="108" t="s">
        <v>2250</v>
      </c>
      <c r="B1801" s="108" t="s">
        <v>693</v>
      </c>
      <c r="C1801" s="110" t="s">
        <v>606</v>
      </c>
      <c r="D1801" s="109">
        <v>1</v>
      </c>
      <c r="E1801" s="109">
        <v>8660.64</v>
      </c>
      <c r="F1801" s="109"/>
      <c r="G1801" s="108" t="s">
        <v>2249</v>
      </c>
      <c r="H1801" s="111" t="s">
        <v>16</v>
      </c>
    </row>
    <row r="1802" spans="1:8" ht="42.75" x14ac:dyDescent="0.2">
      <c r="A1802" s="108">
        <v>1</v>
      </c>
      <c r="B1802" s="108" t="s">
        <v>2248</v>
      </c>
      <c r="C1802" s="110" t="s">
        <v>606</v>
      </c>
      <c r="D1802" s="109">
        <v>1</v>
      </c>
      <c r="E1802" s="109">
        <v>5500</v>
      </c>
      <c r="F1802" s="109">
        <v>5500</v>
      </c>
      <c r="G1802" s="108" t="s">
        <v>2247</v>
      </c>
      <c r="H1802" s="111" t="s">
        <v>16</v>
      </c>
    </row>
    <row r="1803" spans="1:8" ht="33" x14ac:dyDescent="0.2">
      <c r="A1803" s="108">
        <v>2</v>
      </c>
      <c r="B1803" s="108" t="s">
        <v>1560</v>
      </c>
      <c r="C1803" s="110" t="s">
        <v>34</v>
      </c>
      <c r="D1803" s="109">
        <v>1.36</v>
      </c>
      <c r="E1803" s="109">
        <v>53.05</v>
      </c>
      <c r="F1803" s="109">
        <v>72.150000000000006</v>
      </c>
      <c r="G1803" s="108" t="s">
        <v>1559</v>
      </c>
      <c r="H1803" s="111" t="s">
        <v>16</v>
      </c>
    </row>
    <row r="1804" spans="1:8" ht="57" x14ac:dyDescent="0.2">
      <c r="A1804" s="108">
        <v>3</v>
      </c>
      <c r="B1804" s="108" t="s">
        <v>599</v>
      </c>
      <c r="C1804" s="110" t="s">
        <v>103</v>
      </c>
      <c r="D1804" s="109">
        <v>1.02</v>
      </c>
      <c r="E1804" s="109">
        <v>704.52</v>
      </c>
      <c r="F1804" s="109">
        <v>718.61</v>
      </c>
      <c r="G1804" s="108" t="s">
        <v>2147</v>
      </c>
      <c r="H1804" s="111" t="s">
        <v>16</v>
      </c>
    </row>
    <row r="1805" spans="1:8" ht="33" x14ac:dyDescent="0.2">
      <c r="A1805" s="108">
        <v>4</v>
      </c>
      <c r="B1805" s="108" t="s">
        <v>1570</v>
      </c>
      <c r="C1805" s="110" t="s">
        <v>325</v>
      </c>
      <c r="D1805" s="109">
        <v>1</v>
      </c>
      <c r="E1805" s="109">
        <v>888.27</v>
      </c>
      <c r="F1805" s="109">
        <v>888.27</v>
      </c>
      <c r="G1805" s="108" t="s">
        <v>2242</v>
      </c>
      <c r="H1805" s="111" t="s">
        <v>16</v>
      </c>
    </row>
    <row r="1806" spans="1:8" ht="33" x14ac:dyDescent="0.2">
      <c r="A1806" s="108">
        <v>5</v>
      </c>
      <c r="B1806" s="108" t="s">
        <v>2197</v>
      </c>
      <c r="C1806" s="110" t="s">
        <v>606</v>
      </c>
      <c r="D1806" s="109">
        <v>1</v>
      </c>
      <c r="E1806" s="109">
        <v>85.4</v>
      </c>
      <c r="F1806" s="109">
        <v>85.4</v>
      </c>
      <c r="G1806" s="108" t="s">
        <v>2196</v>
      </c>
      <c r="H1806" s="111" t="s">
        <v>16</v>
      </c>
    </row>
    <row r="1807" spans="1:8" ht="33" x14ac:dyDescent="0.2">
      <c r="A1807" s="108">
        <v>6</v>
      </c>
      <c r="B1807" s="108" t="s">
        <v>1976</v>
      </c>
      <c r="C1807" s="110" t="s">
        <v>412</v>
      </c>
      <c r="D1807" s="109">
        <v>4</v>
      </c>
      <c r="E1807" s="109">
        <v>14</v>
      </c>
      <c r="F1807" s="109">
        <v>56</v>
      </c>
      <c r="G1807" s="108" t="s">
        <v>2186</v>
      </c>
      <c r="H1807" s="111" t="s">
        <v>16</v>
      </c>
    </row>
    <row r="1808" spans="1:8" ht="33" x14ac:dyDescent="0.2">
      <c r="A1808" s="108">
        <v>7</v>
      </c>
      <c r="B1808" s="108" t="s">
        <v>2010</v>
      </c>
      <c r="C1808" s="110" t="s">
        <v>34</v>
      </c>
      <c r="D1808" s="109">
        <v>1.36</v>
      </c>
      <c r="E1808" s="109">
        <v>408.43</v>
      </c>
      <c r="F1808" s="109">
        <v>555.46</v>
      </c>
      <c r="G1808" s="108" t="s">
        <v>2009</v>
      </c>
      <c r="H1808" s="111" t="s">
        <v>16</v>
      </c>
    </row>
    <row r="1809" spans="1:8" ht="57" x14ac:dyDescent="0.2">
      <c r="A1809" s="108">
        <v>8</v>
      </c>
      <c r="B1809" s="108" t="s">
        <v>1985</v>
      </c>
      <c r="C1809" s="110" t="s">
        <v>97</v>
      </c>
      <c r="D1809" s="109">
        <v>1.42</v>
      </c>
      <c r="E1809" s="109">
        <v>375</v>
      </c>
      <c r="F1809" s="109">
        <v>532.5</v>
      </c>
      <c r="G1809" s="108" t="s">
        <v>1984</v>
      </c>
      <c r="H1809" s="111" t="s">
        <v>16</v>
      </c>
    </row>
    <row r="1810" spans="1:8" ht="33" x14ac:dyDescent="0.2">
      <c r="A1810" s="108">
        <v>9</v>
      </c>
      <c r="B1810" s="108" t="s">
        <v>1518</v>
      </c>
      <c r="C1810" s="110" t="s">
        <v>14</v>
      </c>
      <c r="D1810" s="109">
        <v>1</v>
      </c>
      <c r="E1810" s="109">
        <v>252.25</v>
      </c>
      <c r="F1810" s="109">
        <v>252.25</v>
      </c>
      <c r="G1810" s="108" t="s">
        <v>1517</v>
      </c>
      <c r="H1810" s="111" t="s">
        <v>16</v>
      </c>
    </row>
    <row r="1811" spans="1:8" ht="33" x14ac:dyDescent="0.2">
      <c r="A1811" s="108"/>
      <c r="B1811" s="108" t="s">
        <v>1516</v>
      </c>
      <c r="C1811" s="110" t="s">
        <v>606</v>
      </c>
      <c r="D1811" s="109">
        <v>1</v>
      </c>
      <c r="E1811" s="109"/>
      <c r="F1811" s="109">
        <v>8660.64</v>
      </c>
      <c r="G1811" s="108"/>
      <c r="H1811" s="111" t="s">
        <v>16</v>
      </c>
    </row>
    <row r="1812" spans="1:8" ht="33" x14ac:dyDescent="0.2">
      <c r="A1812" s="108"/>
      <c r="B1812" s="108" t="s">
        <v>1515</v>
      </c>
      <c r="C1812" s="110" t="s">
        <v>606</v>
      </c>
      <c r="D1812" s="109"/>
      <c r="E1812" s="109"/>
      <c r="F1812" s="109">
        <v>8660.64</v>
      </c>
      <c r="G1812" s="108"/>
      <c r="H1812" s="111" t="s">
        <v>16</v>
      </c>
    </row>
    <row r="1813" spans="1:8" ht="16.5" x14ac:dyDescent="0.2">
      <c r="A1813" s="108"/>
      <c r="B1813" s="108"/>
      <c r="C1813" s="110"/>
      <c r="D1813" s="109"/>
      <c r="E1813" s="109"/>
      <c r="F1813" s="109"/>
      <c r="G1813" s="108"/>
    </row>
    <row r="1814" spans="1:8" ht="42.75" x14ac:dyDescent="0.2">
      <c r="A1814" s="108" t="s">
        <v>2246</v>
      </c>
      <c r="B1814" s="108" t="s">
        <v>696</v>
      </c>
      <c r="C1814" s="110" t="s">
        <v>606</v>
      </c>
      <c r="D1814" s="109">
        <v>1</v>
      </c>
      <c r="E1814" s="109">
        <v>17930.64</v>
      </c>
      <c r="F1814" s="109"/>
      <c r="G1814" s="108" t="s">
        <v>2245</v>
      </c>
      <c r="H1814" s="111" t="s">
        <v>16</v>
      </c>
    </row>
    <row r="1815" spans="1:8" ht="42.75" x14ac:dyDescent="0.2">
      <c r="A1815" s="108">
        <v>1</v>
      </c>
      <c r="B1815" s="108" t="s">
        <v>2244</v>
      </c>
      <c r="C1815" s="110" t="s">
        <v>606</v>
      </c>
      <c r="D1815" s="109">
        <v>1</v>
      </c>
      <c r="E1815" s="109">
        <v>14000</v>
      </c>
      <c r="F1815" s="109">
        <v>14000</v>
      </c>
      <c r="G1815" s="108" t="s">
        <v>2243</v>
      </c>
      <c r="H1815" s="111" t="s">
        <v>16</v>
      </c>
    </row>
    <row r="1816" spans="1:8" ht="33" x14ac:dyDescent="0.2">
      <c r="A1816" s="108">
        <v>2</v>
      </c>
      <c r="B1816" s="108" t="s">
        <v>1560</v>
      </c>
      <c r="C1816" s="110" t="s">
        <v>34</v>
      </c>
      <c r="D1816" s="109">
        <v>1.36</v>
      </c>
      <c r="E1816" s="109">
        <v>53.05</v>
      </c>
      <c r="F1816" s="109">
        <v>72.150000000000006</v>
      </c>
      <c r="G1816" s="108" t="s">
        <v>1559</v>
      </c>
      <c r="H1816" s="111" t="s">
        <v>16</v>
      </c>
    </row>
    <row r="1817" spans="1:8" ht="57" x14ac:dyDescent="0.2">
      <c r="A1817" s="108">
        <v>3</v>
      </c>
      <c r="B1817" s="108" t="s">
        <v>599</v>
      </c>
      <c r="C1817" s="110" t="s">
        <v>103</v>
      </c>
      <c r="D1817" s="109">
        <v>1.02</v>
      </c>
      <c r="E1817" s="109">
        <v>704.52</v>
      </c>
      <c r="F1817" s="109">
        <v>718.61</v>
      </c>
      <c r="G1817" s="108" t="s">
        <v>2147</v>
      </c>
      <c r="H1817" s="111" t="s">
        <v>16</v>
      </c>
    </row>
    <row r="1818" spans="1:8" ht="33" x14ac:dyDescent="0.2">
      <c r="A1818" s="108">
        <v>4</v>
      </c>
      <c r="B1818" s="108" t="s">
        <v>1570</v>
      </c>
      <c r="C1818" s="110" t="s">
        <v>325</v>
      </c>
      <c r="D1818" s="109">
        <v>1</v>
      </c>
      <c r="E1818" s="109">
        <v>888.27</v>
      </c>
      <c r="F1818" s="109">
        <v>888.27</v>
      </c>
      <c r="G1818" s="108" t="s">
        <v>2242</v>
      </c>
      <c r="H1818" s="111" t="s">
        <v>16</v>
      </c>
    </row>
    <row r="1819" spans="1:8" ht="33" x14ac:dyDescent="0.2">
      <c r="A1819" s="108">
        <v>5</v>
      </c>
      <c r="B1819" s="108" t="s">
        <v>2197</v>
      </c>
      <c r="C1819" s="110" t="s">
        <v>606</v>
      </c>
      <c r="D1819" s="109">
        <v>1</v>
      </c>
      <c r="E1819" s="109">
        <v>85.4</v>
      </c>
      <c r="F1819" s="109">
        <v>85.4</v>
      </c>
      <c r="G1819" s="108" t="s">
        <v>2196</v>
      </c>
      <c r="H1819" s="111" t="s">
        <v>16</v>
      </c>
    </row>
    <row r="1820" spans="1:8" ht="33" x14ac:dyDescent="0.2">
      <c r="A1820" s="108">
        <v>6</v>
      </c>
      <c r="B1820" s="108" t="s">
        <v>1976</v>
      </c>
      <c r="C1820" s="110" t="s">
        <v>412</v>
      </c>
      <c r="D1820" s="109">
        <v>4</v>
      </c>
      <c r="E1820" s="109">
        <v>14</v>
      </c>
      <c r="F1820" s="109">
        <v>56</v>
      </c>
      <c r="G1820" s="108" t="s">
        <v>2186</v>
      </c>
      <c r="H1820" s="111" t="s">
        <v>16</v>
      </c>
    </row>
    <row r="1821" spans="1:8" ht="33" x14ac:dyDescent="0.2">
      <c r="A1821" s="108">
        <v>7</v>
      </c>
      <c r="B1821" s="108" t="s">
        <v>2010</v>
      </c>
      <c r="C1821" s="110" t="s">
        <v>34</v>
      </c>
      <c r="D1821" s="109">
        <v>1.36</v>
      </c>
      <c r="E1821" s="109">
        <v>408.43</v>
      </c>
      <c r="F1821" s="109">
        <v>555.46</v>
      </c>
      <c r="G1821" s="108" t="s">
        <v>2009</v>
      </c>
      <c r="H1821" s="111" t="s">
        <v>16</v>
      </c>
    </row>
    <row r="1822" spans="1:8" ht="57" x14ac:dyDescent="0.2">
      <c r="A1822" s="108">
        <v>8</v>
      </c>
      <c r="B1822" s="108" t="s">
        <v>1985</v>
      </c>
      <c r="C1822" s="110" t="s">
        <v>97</v>
      </c>
      <c r="D1822" s="109">
        <v>1.42</v>
      </c>
      <c r="E1822" s="109">
        <v>375</v>
      </c>
      <c r="F1822" s="109">
        <v>532.5</v>
      </c>
      <c r="G1822" s="108" t="s">
        <v>1984</v>
      </c>
      <c r="H1822" s="111" t="s">
        <v>16</v>
      </c>
    </row>
    <row r="1823" spans="1:8" ht="33" x14ac:dyDescent="0.2">
      <c r="A1823" s="108">
        <v>9</v>
      </c>
      <c r="B1823" s="108" t="s">
        <v>2229</v>
      </c>
      <c r="C1823" s="110" t="s">
        <v>162</v>
      </c>
      <c r="D1823" s="109">
        <v>1</v>
      </c>
      <c r="E1823" s="109">
        <v>500</v>
      </c>
      <c r="F1823" s="109">
        <v>500</v>
      </c>
      <c r="G1823" s="108" t="s">
        <v>2228</v>
      </c>
      <c r="H1823" s="111" t="s">
        <v>16</v>
      </c>
    </row>
    <row r="1824" spans="1:8" ht="33" x14ac:dyDescent="0.2">
      <c r="A1824" s="108">
        <v>10</v>
      </c>
      <c r="B1824" s="108" t="s">
        <v>1518</v>
      </c>
      <c r="C1824" s="110" t="s">
        <v>14</v>
      </c>
      <c r="D1824" s="109">
        <v>1</v>
      </c>
      <c r="E1824" s="109">
        <v>522.25</v>
      </c>
      <c r="F1824" s="109">
        <v>522.25</v>
      </c>
      <c r="G1824" s="108" t="s">
        <v>1517</v>
      </c>
      <c r="H1824" s="111" t="s">
        <v>16</v>
      </c>
    </row>
    <row r="1825" spans="1:8" ht="33" x14ac:dyDescent="0.2">
      <c r="A1825" s="108"/>
      <c r="B1825" s="108" t="s">
        <v>1516</v>
      </c>
      <c r="C1825" s="110" t="s">
        <v>606</v>
      </c>
      <c r="D1825" s="109">
        <v>1</v>
      </c>
      <c r="E1825" s="109"/>
      <c r="F1825" s="109">
        <v>17930.64</v>
      </c>
      <c r="G1825" s="108"/>
      <c r="H1825" s="111" t="s">
        <v>16</v>
      </c>
    </row>
    <row r="1826" spans="1:8" ht="33" x14ac:dyDescent="0.2">
      <c r="A1826" s="108"/>
      <c r="B1826" s="108" t="s">
        <v>1515</v>
      </c>
      <c r="C1826" s="110" t="s">
        <v>606</v>
      </c>
      <c r="D1826" s="109"/>
      <c r="E1826" s="109"/>
      <c r="F1826" s="109">
        <v>17930.64</v>
      </c>
      <c r="G1826" s="108"/>
      <c r="H1826" s="111" t="s">
        <v>16</v>
      </c>
    </row>
    <row r="1827" spans="1:8" ht="16.5" x14ac:dyDescent="0.2">
      <c r="A1827" s="108"/>
      <c r="B1827" s="108"/>
      <c r="C1827" s="110"/>
      <c r="D1827" s="109"/>
      <c r="E1827" s="109"/>
      <c r="F1827" s="109"/>
      <c r="G1827" s="108"/>
    </row>
    <row r="1828" spans="1:8" ht="42.75" x14ac:dyDescent="0.2">
      <c r="A1828" s="108" t="s">
        <v>2241</v>
      </c>
      <c r="B1828" s="108" t="s">
        <v>699</v>
      </c>
      <c r="C1828" s="110" t="s">
        <v>606</v>
      </c>
      <c r="D1828" s="109">
        <v>1</v>
      </c>
      <c r="E1828" s="109">
        <v>5272.95</v>
      </c>
      <c r="F1828" s="109"/>
      <c r="G1828" s="108" t="s">
        <v>2240</v>
      </c>
      <c r="H1828" s="111" t="s">
        <v>16</v>
      </c>
    </row>
    <row r="1829" spans="1:8" ht="42.75" x14ac:dyDescent="0.2">
      <c r="A1829" s="108">
        <v>1</v>
      </c>
      <c r="B1829" s="108" t="s">
        <v>2239</v>
      </c>
      <c r="C1829" s="110" t="s">
        <v>606</v>
      </c>
      <c r="D1829" s="109">
        <v>1</v>
      </c>
      <c r="E1829" s="109">
        <v>2750</v>
      </c>
      <c r="F1829" s="109">
        <v>2750</v>
      </c>
      <c r="G1829" s="108" t="s">
        <v>2238</v>
      </c>
      <c r="H1829" s="111" t="s">
        <v>16</v>
      </c>
    </row>
    <row r="1830" spans="1:8" ht="33" x14ac:dyDescent="0.2">
      <c r="A1830" s="108">
        <v>2</v>
      </c>
      <c r="B1830" s="108" t="s">
        <v>1560</v>
      </c>
      <c r="C1830" s="110" t="s">
        <v>34</v>
      </c>
      <c r="D1830" s="109">
        <v>0.79</v>
      </c>
      <c r="E1830" s="109">
        <v>53.05</v>
      </c>
      <c r="F1830" s="109">
        <v>41.91</v>
      </c>
      <c r="G1830" s="108" t="s">
        <v>1559</v>
      </c>
      <c r="H1830" s="111" t="s">
        <v>16</v>
      </c>
    </row>
    <row r="1831" spans="1:8" ht="57" x14ac:dyDescent="0.2">
      <c r="A1831" s="108">
        <v>3</v>
      </c>
      <c r="B1831" s="108" t="s">
        <v>599</v>
      </c>
      <c r="C1831" s="110" t="s">
        <v>103</v>
      </c>
      <c r="D1831" s="109">
        <v>0.59</v>
      </c>
      <c r="E1831" s="109">
        <v>704.52</v>
      </c>
      <c r="F1831" s="109">
        <v>415.67</v>
      </c>
      <c r="G1831" s="108" t="s">
        <v>2147</v>
      </c>
      <c r="H1831" s="111" t="s">
        <v>16</v>
      </c>
    </row>
    <row r="1832" spans="1:8" ht="33" x14ac:dyDescent="0.2">
      <c r="A1832" s="108">
        <v>4</v>
      </c>
      <c r="B1832" s="108" t="s">
        <v>1575</v>
      </c>
      <c r="C1832" s="110" t="s">
        <v>325</v>
      </c>
      <c r="D1832" s="109">
        <v>1</v>
      </c>
      <c r="E1832" s="109">
        <v>721.41</v>
      </c>
      <c r="F1832" s="109">
        <v>721.41</v>
      </c>
      <c r="G1832" s="108" t="s">
        <v>2189</v>
      </c>
      <c r="H1832" s="111" t="s">
        <v>16</v>
      </c>
    </row>
    <row r="1833" spans="1:8" ht="33" x14ac:dyDescent="0.2">
      <c r="A1833" s="108">
        <v>5</v>
      </c>
      <c r="B1833" s="108" t="s">
        <v>2188</v>
      </c>
      <c r="C1833" s="110" t="s">
        <v>606</v>
      </c>
      <c r="D1833" s="109">
        <v>1</v>
      </c>
      <c r="E1833" s="109">
        <v>59.22</v>
      </c>
      <c r="F1833" s="109">
        <v>59.22</v>
      </c>
      <c r="G1833" s="108" t="s">
        <v>2187</v>
      </c>
      <c r="H1833" s="111" t="s">
        <v>16</v>
      </c>
    </row>
    <row r="1834" spans="1:8" ht="33" x14ac:dyDescent="0.2">
      <c r="A1834" s="108">
        <v>6</v>
      </c>
      <c r="B1834" s="108" t="s">
        <v>1976</v>
      </c>
      <c r="C1834" s="110" t="s">
        <v>412</v>
      </c>
      <c r="D1834" s="109">
        <v>4</v>
      </c>
      <c r="E1834" s="109">
        <v>14</v>
      </c>
      <c r="F1834" s="109">
        <v>56</v>
      </c>
      <c r="G1834" s="108" t="s">
        <v>2186</v>
      </c>
      <c r="H1834" s="111" t="s">
        <v>16</v>
      </c>
    </row>
    <row r="1835" spans="1:8" ht="33" x14ac:dyDescent="0.2">
      <c r="A1835" s="108">
        <v>7</v>
      </c>
      <c r="B1835" s="108" t="s">
        <v>2010</v>
      </c>
      <c r="C1835" s="110" t="s">
        <v>34</v>
      </c>
      <c r="D1835" s="109">
        <v>0.79</v>
      </c>
      <c r="E1835" s="109">
        <v>408.43</v>
      </c>
      <c r="F1835" s="109">
        <v>322.66000000000003</v>
      </c>
      <c r="G1835" s="108" t="s">
        <v>2009</v>
      </c>
      <c r="H1835" s="111" t="s">
        <v>16</v>
      </c>
    </row>
    <row r="1836" spans="1:8" ht="57" x14ac:dyDescent="0.2">
      <c r="A1836" s="108">
        <v>8</v>
      </c>
      <c r="B1836" s="108" t="s">
        <v>1985</v>
      </c>
      <c r="C1836" s="110" t="s">
        <v>97</v>
      </c>
      <c r="D1836" s="109">
        <v>1.3</v>
      </c>
      <c r="E1836" s="109">
        <v>375</v>
      </c>
      <c r="F1836" s="109">
        <v>487.5</v>
      </c>
      <c r="G1836" s="108" t="s">
        <v>1984</v>
      </c>
      <c r="H1836" s="111" t="s">
        <v>16</v>
      </c>
    </row>
    <row r="1837" spans="1:8" ht="33" x14ac:dyDescent="0.2">
      <c r="A1837" s="108">
        <v>9</v>
      </c>
      <c r="B1837" s="108" t="s">
        <v>2209</v>
      </c>
      <c r="C1837" s="110" t="s">
        <v>162</v>
      </c>
      <c r="D1837" s="109">
        <v>1</v>
      </c>
      <c r="E1837" s="109">
        <v>265</v>
      </c>
      <c r="F1837" s="109">
        <v>265</v>
      </c>
      <c r="G1837" s="108" t="s">
        <v>2208</v>
      </c>
      <c r="H1837" s="111" t="s">
        <v>16</v>
      </c>
    </row>
    <row r="1838" spans="1:8" ht="33" x14ac:dyDescent="0.2">
      <c r="A1838" s="108">
        <v>10</v>
      </c>
      <c r="B1838" s="108" t="s">
        <v>1518</v>
      </c>
      <c r="C1838" s="110" t="s">
        <v>14</v>
      </c>
      <c r="D1838" s="109">
        <v>1</v>
      </c>
      <c r="E1838" s="109">
        <v>153.58000000000001</v>
      </c>
      <c r="F1838" s="109">
        <v>153.58000000000001</v>
      </c>
      <c r="G1838" s="108" t="s">
        <v>1517</v>
      </c>
      <c r="H1838" s="111" t="s">
        <v>16</v>
      </c>
    </row>
    <row r="1839" spans="1:8" ht="33" x14ac:dyDescent="0.2">
      <c r="A1839" s="108"/>
      <c r="B1839" s="108" t="s">
        <v>1516</v>
      </c>
      <c r="C1839" s="110" t="s">
        <v>606</v>
      </c>
      <c r="D1839" s="109">
        <v>1</v>
      </c>
      <c r="E1839" s="109"/>
      <c r="F1839" s="109">
        <v>5272.95</v>
      </c>
      <c r="G1839" s="108"/>
      <c r="H1839" s="111" t="s">
        <v>16</v>
      </c>
    </row>
    <row r="1840" spans="1:8" ht="33" x14ac:dyDescent="0.2">
      <c r="A1840" s="108"/>
      <c r="B1840" s="108" t="s">
        <v>1515</v>
      </c>
      <c r="C1840" s="110" t="s">
        <v>606</v>
      </c>
      <c r="D1840" s="109"/>
      <c r="E1840" s="109"/>
      <c r="F1840" s="109">
        <v>5272.95</v>
      </c>
      <c r="G1840" s="108"/>
      <c r="H1840" s="111" t="s">
        <v>16</v>
      </c>
    </row>
    <row r="1841" spans="1:8" ht="16.5" x14ac:dyDescent="0.2">
      <c r="A1841" s="108"/>
      <c r="B1841" s="108"/>
      <c r="C1841" s="110"/>
      <c r="D1841" s="109"/>
      <c r="E1841" s="109"/>
      <c r="F1841" s="109"/>
      <c r="G1841" s="108"/>
    </row>
    <row r="1842" spans="1:8" ht="42.75" x14ac:dyDescent="0.2">
      <c r="A1842" s="108" t="s">
        <v>2237</v>
      </c>
      <c r="B1842" s="108" t="s">
        <v>702</v>
      </c>
      <c r="C1842" s="110" t="s">
        <v>606</v>
      </c>
      <c r="D1842" s="109">
        <v>1</v>
      </c>
      <c r="E1842" s="109">
        <v>5272.95</v>
      </c>
      <c r="F1842" s="109"/>
      <c r="G1842" s="108" t="s">
        <v>2236</v>
      </c>
      <c r="H1842" s="111" t="s">
        <v>16</v>
      </c>
    </row>
    <row r="1843" spans="1:8" ht="42.75" x14ac:dyDescent="0.2">
      <c r="A1843" s="108">
        <v>1</v>
      </c>
      <c r="B1843" s="108" t="s">
        <v>2235</v>
      </c>
      <c r="C1843" s="110" t="s">
        <v>606</v>
      </c>
      <c r="D1843" s="109">
        <v>1</v>
      </c>
      <c r="E1843" s="109">
        <v>2750</v>
      </c>
      <c r="F1843" s="109">
        <v>2750</v>
      </c>
      <c r="G1843" s="108" t="s">
        <v>2234</v>
      </c>
      <c r="H1843" s="111" t="s">
        <v>16</v>
      </c>
    </row>
    <row r="1844" spans="1:8" ht="33" x14ac:dyDescent="0.2">
      <c r="A1844" s="108">
        <v>2</v>
      </c>
      <c r="B1844" s="108" t="s">
        <v>2209</v>
      </c>
      <c r="C1844" s="110" t="s">
        <v>162</v>
      </c>
      <c r="D1844" s="109">
        <v>1</v>
      </c>
      <c r="E1844" s="109">
        <v>265</v>
      </c>
      <c r="F1844" s="109">
        <v>265</v>
      </c>
      <c r="G1844" s="108" t="s">
        <v>2208</v>
      </c>
      <c r="H1844" s="111" t="s">
        <v>16</v>
      </c>
    </row>
    <row r="1845" spans="1:8" ht="33" x14ac:dyDescent="0.2">
      <c r="A1845" s="108">
        <v>3</v>
      </c>
      <c r="B1845" s="108" t="s">
        <v>1560</v>
      </c>
      <c r="C1845" s="110" t="s">
        <v>34</v>
      </c>
      <c r="D1845" s="109">
        <v>0.79</v>
      </c>
      <c r="E1845" s="109">
        <v>53.05</v>
      </c>
      <c r="F1845" s="109">
        <v>41.91</v>
      </c>
      <c r="G1845" s="108" t="s">
        <v>1559</v>
      </c>
      <c r="H1845" s="111" t="s">
        <v>16</v>
      </c>
    </row>
    <row r="1846" spans="1:8" ht="57" x14ac:dyDescent="0.2">
      <c r="A1846" s="108">
        <v>4</v>
      </c>
      <c r="B1846" s="108" t="s">
        <v>599</v>
      </c>
      <c r="C1846" s="110" t="s">
        <v>103</v>
      </c>
      <c r="D1846" s="109">
        <v>0.59</v>
      </c>
      <c r="E1846" s="109">
        <v>704.52</v>
      </c>
      <c r="F1846" s="109">
        <v>415.67</v>
      </c>
      <c r="G1846" s="108" t="s">
        <v>2147</v>
      </c>
      <c r="H1846" s="111" t="s">
        <v>16</v>
      </c>
    </row>
    <row r="1847" spans="1:8" ht="33" x14ac:dyDescent="0.2">
      <c r="A1847" s="108">
        <v>5</v>
      </c>
      <c r="B1847" s="108" t="s">
        <v>1575</v>
      </c>
      <c r="C1847" s="110" t="s">
        <v>325</v>
      </c>
      <c r="D1847" s="109">
        <v>1</v>
      </c>
      <c r="E1847" s="109">
        <v>721.41</v>
      </c>
      <c r="F1847" s="109">
        <v>721.41</v>
      </c>
      <c r="G1847" s="108" t="s">
        <v>2189</v>
      </c>
      <c r="H1847" s="111" t="s">
        <v>16</v>
      </c>
    </row>
    <row r="1848" spans="1:8" ht="33" x14ac:dyDescent="0.2">
      <c r="A1848" s="108">
        <v>6</v>
      </c>
      <c r="B1848" s="108" t="s">
        <v>2188</v>
      </c>
      <c r="C1848" s="110" t="s">
        <v>606</v>
      </c>
      <c r="D1848" s="109">
        <v>1</v>
      </c>
      <c r="E1848" s="109">
        <v>59.22</v>
      </c>
      <c r="F1848" s="109">
        <v>59.22</v>
      </c>
      <c r="G1848" s="108" t="s">
        <v>2187</v>
      </c>
      <c r="H1848" s="111" t="s">
        <v>16</v>
      </c>
    </row>
    <row r="1849" spans="1:8" ht="33" x14ac:dyDescent="0.2">
      <c r="A1849" s="108">
        <v>7</v>
      </c>
      <c r="B1849" s="108" t="s">
        <v>1976</v>
      </c>
      <c r="C1849" s="110" t="s">
        <v>412</v>
      </c>
      <c r="D1849" s="109">
        <v>4</v>
      </c>
      <c r="E1849" s="109">
        <v>14</v>
      </c>
      <c r="F1849" s="109">
        <v>56</v>
      </c>
      <c r="G1849" s="108" t="s">
        <v>2186</v>
      </c>
      <c r="H1849" s="111" t="s">
        <v>16</v>
      </c>
    </row>
    <row r="1850" spans="1:8" ht="33" x14ac:dyDescent="0.2">
      <c r="A1850" s="108">
        <v>8</v>
      </c>
      <c r="B1850" s="108" t="s">
        <v>2010</v>
      </c>
      <c r="C1850" s="110" t="s">
        <v>34</v>
      </c>
      <c r="D1850" s="109">
        <v>0.79</v>
      </c>
      <c r="E1850" s="109">
        <v>408.43</v>
      </c>
      <c r="F1850" s="109">
        <v>322.66000000000003</v>
      </c>
      <c r="G1850" s="108" t="s">
        <v>2009</v>
      </c>
      <c r="H1850" s="111" t="s">
        <v>16</v>
      </c>
    </row>
    <row r="1851" spans="1:8" ht="57" x14ac:dyDescent="0.2">
      <c r="A1851" s="108">
        <v>9</v>
      </c>
      <c r="B1851" s="108" t="s">
        <v>1985</v>
      </c>
      <c r="C1851" s="110" t="s">
        <v>97</v>
      </c>
      <c r="D1851" s="109">
        <v>1.3</v>
      </c>
      <c r="E1851" s="109">
        <v>375</v>
      </c>
      <c r="F1851" s="109">
        <v>487.5</v>
      </c>
      <c r="G1851" s="108" t="s">
        <v>1984</v>
      </c>
      <c r="H1851" s="111" t="s">
        <v>16</v>
      </c>
    </row>
    <row r="1852" spans="1:8" ht="33" x14ac:dyDescent="0.2">
      <c r="A1852" s="108">
        <v>10</v>
      </c>
      <c r="B1852" s="108" t="s">
        <v>1518</v>
      </c>
      <c r="C1852" s="110" t="s">
        <v>14</v>
      </c>
      <c r="D1852" s="109">
        <v>1</v>
      </c>
      <c r="E1852" s="109">
        <v>153.58000000000001</v>
      </c>
      <c r="F1852" s="109">
        <v>153.58000000000001</v>
      </c>
      <c r="G1852" s="108" t="s">
        <v>1517</v>
      </c>
      <c r="H1852" s="111" t="s">
        <v>16</v>
      </c>
    </row>
    <row r="1853" spans="1:8" ht="33" x14ac:dyDescent="0.2">
      <c r="A1853" s="108"/>
      <c r="B1853" s="108" t="s">
        <v>1516</v>
      </c>
      <c r="C1853" s="110" t="s">
        <v>606</v>
      </c>
      <c r="D1853" s="109">
        <v>1</v>
      </c>
      <c r="E1853" s="109"/>
      <c r="F1853" s="109">
        <v>5272.95</v>
      </c>
      <c r="G1853" s="108"/>
      <c r="H1853" s="111" t="s">
        <v>16</v>
      </c>
    </row>
    <row r="1854" spans="1:8" ht="33" x14ac:dyDescent="0.2">
      <c r="A1854" s="108"/>
      <c r="B1854" s="108" t="s">
        <v>1515</v>
      </c>
      <c r="C1854" s="110" t="s">
        <v>606</v>
      </c>
      <c r="D1854" s="109"/>
      <c r="E1854" s="109"/>
      <c r="F1854" s="109">
        <v>5272.95</v>
      </c>
      <c r="G1854" s="108"/>
      <c r="H1854" s="111" t="s">
        <v>16</v>
      </c>
    </row>
    <row r="1855" spans="1:8" ht="16.5" x14ac:dyDescent="0.2">
      <c r="A1855" s="108"/>
      <c r="B1855" s="108"/>
      <c r="C1855" s="110"/>
      <c r="D1855" s="109"/>
      <c r="E1855" s="109"/>
      <c r="F1855" s="109"/>
      <c r="G1855" s="108"/>
    </row>
    <row r="1856" spans="1:8" ht="42.75" x14ac:dyDescent="0.2">
      <c r="A1856" s="108" t="s">
        <v>2233</v>
      </c>
      <c r="B1856" s="108" t="s">
        <v>705</v>
      </c>
      <c r="C1856" s="110" t="s">
        <v>606</v>
      </c>
      <c r="D1856" s="109">
        <v>1</v>
      </c>
      <c r="E1856" s="109">
        <v>7859.47</v>
      </c>
      <c r="F1856" s="109"/>
      <c r="G1856" s="108" t="s">
        <v>2232</v>
      </c>
      <c r="H1856" s="111" t="s">
        <v>16</v>
      </c>
    </row>
    <row r="1857" spans="1:8" ht="42.75" x14ac:dyDescent="0.2">
      <c r="A1857" s="108">
        <v>1</v>
      </c>
      <c r="B1857" s="108" t="s">
        <v>2231</v>
      </c>
      <c r="C1857" s="110" t="s">
        <v>606</v>
      </c>
      <c r="D1857" s="109">
        <v>1</v>
      </c>
      <c r="E1857" s="109">
        <v>5000</v>
      </c>
      <c r="F1857" s="109">
        <v>5000</v>
      </c>
      <c r="G1857" s="108" t="s">
        <v>2230</v>
      </c>
      <c r="H1857" s="111" t="s">
        <v>16</v>
      </c>
    </row>
    <row r="1858" spans="1:8" ht="33" x14ac:dyDescent="0.2">
      <c r="A1858" s="108">
        <v>2</v>
      </c>
      <c r="B1858" s="108" t="s">
        <v>1560</v>
      </c>
      <c r="C1858" s="110" t="s">
        <v>34</v>
      </c>
      <c r="D1858" s="109">
        <v>0.79</v>
      </c>
      <c r="E1858" s="109">
        <v>53.05</v>
      </c>
      <c r="F1858" s="109">
        <v>41.91</v>
      </c>
      <c r="G1858" s="108" t="s">
        <v>1559</v>
      </c>
      <c r="H1858" s="111" t="s">
        <v>16</v>
      </c>
    </row>
    <row r="1859" spans="1:8" ht="57" x14ac:dyDescent="0.2">
      <c r="A1859" s="108">
        <v>3</v>
      </c>
      <c r="B1859" s="108" t="s">
        <v>599</v>
      </c>
      <c r="C1859" s="110" t="s">
        <v>103</v>
      </c>
      <c r="D1859" s="109">
        <v>0.59</v>
      </c>
      <c r="E1859" s="109">
        <v>704.52</v>
      </c>
      <c r="F1859" s="109">
        <v>415.67</v>
      </c>
      <c r="G1859" s="108" t="s">
        <v>2147</v>
      </c>
      <c r="H1859" s="111" t="s">
        <v>16</v>
      </c>
    </row>
    <row r="1860" spans="1:8" ht="33" x14ac:dyDescent="0.2">
      <c r="A1860" s="108">
        <v>4</v>
      </c>
      <c r="B1860" s="108" t="s">
        <v>1575</v>
      </c>
      <c r="C1860" s="110" t="s">
        <v>325</v>
      </c>
      <c r="D1860" s="109">
        <v>1</v>
      </c>
      <c r="E1860" s="109">
        <v>721.41</v>
      </c>
      <c r="F1860" s="109">
        <v>721.41</v>
      </c>
      <c r="G1860" s="108" t="s">
        <v>2189</v>
      </c>
      <c r="H1860" s="111" t="s">
        <v>16</v>
      </c>
    </row>
    <row r="1861" spans="1:8" ht="33" x14ac:dyDescent="0.2">
      <c r="A1861" s="108">
        <v>5</v>
      </c>
      <c r="B1861" s="108" t="s">
        <v>2197</v>
      </c>
      <c r="C1861" s="110" t="s">
        <v>606</v>
      </c>
      <c r="D1861" s="109">
        <v>1</v>
      </c>
      <c r="E1861" s="109">
        <v>85.4</v>
      </c>
      <c r="F1861" s="109">
        <v>85.4</v>
      </c>
      <c r="G1861" s="108" t="s">
        <v>2196</v>
      </c>
      <c r="H1861" s="111" t="s">
        <v>16</v>
      </c>
    </row>
    <row r="1862" spans="1:8" ht="33" x14ac:dyDescent="0.2">
      <c r="A1862" s="108">
        <v>6</v>
      </c>
      <c r="B1862" s="108" t="s">
        <v>1976</v>
      </c>
      <c r="C1862" s="110" t="s">
        <v>412</v>
      </c>
      <c r="D1862" s="109">
        <v>4</v>
      </c>
      <c r="E1862" s="109">
        <v>14</v>
      </c>
      <c r="F1862" s="109">
        <v>56</v>
      </c>
      <c r="G1862" s="108" t="s">
        <v>2186</v>
      </c>
      <c r="H1862" s="111" t="s">
        <v>16</v>
      </c>
    </row>
    <row r="1863" spans="1:8" ht="33" x14ac:dyDescent="0.2">
      <c r="A1863" s="108">
        <v>7</v>
      </c>
      <c r="B1863" s="108" t="s">
        <v>2010</v>
      </c>
      <c r="C1863" s="110" t="s">
        <v>34</v>
      </c>
      <c r="D1863" s="109">
        <v>0.79</v>
      </c>
      <c r="E1863" s="109">
        <v>408.43</v>
      </c>
      <c r="F1863" s="109">
        <v>322.66000000000003</v>
      </c>
      <c r="G1863" s="108" t="s">
        <v>2009</v>
      </c>
      <c r="H1863" s="111" t="s">
        <v>16</v>
      </c>
    </row>
    <row r="1864" spans="1:8" ht="57" x14ac:dyDescent="0.2">
      <c r="A1864" s="108">
        <v>8</v>
      </c>
      <c r="B1864" s="108" t="s">
        <v>1985</v>
      </c>
      <c r="C1864" s="110" t="s">
        <v>97</v>
      </c>
      <c r="D1864" s="109">
        <v>1.3</v>
      </c>
      <c r="E1864" s="109">
        <v>375</v>
      </c>
      <c r="F1864" s="109">
        <v>487.5</v>
      </c>
      <c r="G1864" s="108" t="s">
        <v>1984</v>
      </c>
      <c r="H1864" s="111" t="s">
        <v>16</v>
      </c>
    </row>
    <row r="1865" spans="1:8" ht="33" x14ac:dyDescent="0.2">
      <c r="A1865" s="108">
        <v>9</v>
      </c>
      <c r="B1865" s="108" t="s">
        <v>2229</v>
      </c>
      <c r="C1865" s="110" t="s">
        <v>162</v>
      </c>
      <c r="D1865" s="109">
        <v>1</v>
      </c>
      <c r="E1865" s="109">
        <v>500</v>
      </c>
      <c r="F1865" s="109">
        <v>500</v>
      </c>
      <c r="G1865" s="108" t="s">
        <v>2228</v>
      </c>
      <c r="H1865" s="111" t="s">
        <v>16</v>
      </c>
    </row>
    <row r="1866" spans="1:8" ht="33" x14ac:dyDescent="0.2">
      <c r="A1866" s="108">
        <v>10</v>
      </c>
      <c r="B1866" s="108" t="s">
        <v>1518</v>
      </c>
      <c r="C1866" s="110" t="s">
        <v>14</v>
      </c>
      <c r="D1866" s="109">
        <v>1</v>
      </c>
      <c r="E1866" s="109">
        <v>228.92</v>
      </c>
      <c r="F1866" s="109">
        <v>228.92</v>
      </c>
      <c r="G1866" s="108" t="s">
        <v>1517</v>
      </c>
      <c r="H1866" s="111" t="s">
        <v>16</v>
      </c>
    </row>
    <row r="1867" spans="1:8" ht="33" x14ac:dyDescent="0.2">
      <c r="A1867" s="108"/>
      <c r="B1867" s="108" t="s">
        <v>1516</v>
      </c>
      <c r="C1867" s="110" t="s">
        <v>606</v>
      </c>
      <c r="D1867" s="109">
        <v>1</v>
      </c>
      <c r="E1867" s="109"/>
      <c r="F1867" s="109">
        <v>7859.4699999999993</v>
      </c>
      <c r="G1867" s="108"/>
      <c r="H1867" s="111" t="s">
        <v>16</v>
      </c>
    </row>
    <row r="1868" spans="1:8" ht="33" x14ac:dyDescent="0.2">
      <c r="A1868" s="108"/>
      <c r="B1868" s="108" t="s">
        <v>1515</v>
      </c>
      <c r="C1868" s="110" t="s">
        <v>606</v>
      </c>
      <c r="D1868" s="109"/>
      <c r="E1868" s="109"/>
      <c r="F1868" s="109">
        <v>7859.47</v>
      </c>
      <c r="G1868" s="108"/>
      <c r="H1868" s="111" t="s">
        <v>16</v>
      </c>
    </row>
    <row r="1869" spans="1:8" ht="16.5" x14ac:dyDescent="0.2">
      <c r="A1869" s="108"/>
      <c r="B1869" s="108"/>
      <c r="C1869" s="110"/>
      <c r="D1869" s="109"/>
      <c r="E1869" s="109"/>
      <c r="F1869" s="109"/>
      <c r="G1869" s="108"/>
    </row>
    <row r="1870" spans="1:8" ht="42.75" x14ac:dyDescent="0.2">
      <c r="A1870" s="108" t="s">
        <v>2227</v>
      </c>
      <c r="B1870" s="108" t="s">
        <v>708</v>
      </c>
      <c r="C1870" s="110" t="s">
        <v>606</v>
      </c>
      <c r="D1870" s="109">
        <v>1</v>
      </c>
      <c r="E1870" s="109">
        <v>5839.45</v>
      </c>
      <c r="F1870" s="109"/>
      <c r="G1870" s="108" t="s">
        <v>2226</v>
      </c>
      <c r="H1870" s="111" t="s">
        <v>16</v>
      </c>
    </row>
    <row r="1871" spans="1:8" ht="42.75" x14ac:dyDescent="0.2">
      <c r="A1871" s="108">
        <v>1</v>
      </c>
      <c r="B1871" s="108" t="s">
        <v>2225</v>
      </c>
      <c r="C1871" s="110" t="s">
        <v>606</v>
      </c>
      <c r="D1871" s="109">
        <v>1</v>
      </c>
      <c r="E1871" s="109">
        <v>3300</v>
      </c>
      <c r="F1871" s="109">
        <v>3300</v>
      </c>
      <c r="G1871" s="108" t="s">
        <v>2224</v>
      </c>
      <c r="H1871" s="111" t="s">
        <v>16</v>
      </c>
    </row>
    <row r="1872" spans="1:8" ht="33" x14ac:dyDescent="0.2">
      <c r="A1872" s="108">
        <v>2</v>
      </c>
      <c r="B1872" s="108" t="s">
        <v>1560</v>
      </c>
      <c r="C1872" s="110" t="s">
        <v>34</v>
      </c>
      <c r="D1872" s="109">
        <v>0.79</v>
      </c>
      <c r="E1872" s="109">
        <v>53.05</v>
      </c>
      <c r="F1872" s="109">
        <v>41.91</v>
      </c>
      <c r="G1872" s="108" t="s">
        <v>1559</v>
      </c>
      <c r="H1872" s="111" t="s">
        <v>16</v>
      </c>
    </row>
    <row r="1873" spans="1:8" ht="57" x14ac:dyDescent="0.2">
      <c r="A1873" s="108">
        <v>3</v>
      </c>
      <c r="B1873" s="108" t="s">
        <v>599</v>
      </c>
      <c r="C1873" s="110" t="s">
        <v>103</v>
      </c>
      <c r="D1873" s="109">
        <v>0.59</v>
      </c>
      <c r="E1873" s="109">
        <v>704.52</v>
      </c>
      <c r="F1873" s="109">
        <v>415.67</v>
      </c>
      <c r="G1873" s="108" t="s">
        <v>2147</v>
      </c>
      <c r="H1873" s="111" t="s">
        <v>16</v>
      </c>
    </row>
    <row r="1874" spans="1:8" ht="33" x14ac:dyDescent="0.2">
      <c r="A1874" s="108">
        <v>4</v>
      </c>
      <c r="B1874" s="108" t="s">
        <v>1575</v>
      </c>
      <c r="C1874" s="110" t="s">
        <v>325</v>
      </c>
      <c r="D1874" s="109">
        <v>1</v>
      </c>
      <c r="E1874" s="109">
        <v>721.41</v>
      </c>
      <c r="F1874" s="109">
        <v>721.41</v>
      </c>
      <c r="G1874" s="108" t="s">
        <v>2189</v>
      </c>
      <c r="H1874" s="111" t="s">
        <v>16</v>
      </c>
    </row>
    <row r="1875" spans="1:8" ht="33" x14ac:dyDescent="0.2">
      <c r="A1875" s="108">
        <v>5</v>
      </c>
      <c r="B1875" s="108" t="s">
        <v>2188</v>
      </c>
      <c r="C1875" s="110" t="s">
        <v>606</v>
      </c>
      <c r="D1875" s="109">
        <v>1</v>
      </c>
      <c r="E1875" s="109">
        <v>59.22</v>
      </c>
      <c r="F1875" s="109">
        <v>59.22</v>
      </c>
      <c r="G1875" s="108" t="s">
        <v>2187</v>
      </c>
      <c r="H1875" s="111" t="s">
        <v>16</v>
      </c>
    </row>
    <row r="1876" spans="1:8" ht="33" x14ac:dyDescent="0.2">
      <c r="A1876" s="108">
        <v>6</v>
      </c>
      <c r="B1876" s="108" t="s">
        <v>1976</v>
      </c>
      <c r="C1876" s="110" t="s">
        <v>412</v>
      </c>
      <c r="D1876" s="109">
        <v>4</v>
      </c>
      <c r="E1876" s="109">
        <v>14</v>
      </c>
      <c r="F1876" s="109">
        <v>56</v>
      </c>
      <c r="G1876" s="108" t="s">
        <v>2186</v>
      </c>
      <c r="H1876" s="111" t="s">
        <v>16</v>
      </c>
    </row>
    <row r="1877" spans="1:8" ht="33" x14ac:dyDescent="0.2">
      <c r="A1877" s="108">
        <v>7</v>
      </c>
      <c r="B1877" s="108" t="s">
        <v>2010</v>
      </c>
      <c r="C1877" s="110" t="s">
        <v>34</v>
      </c>
      <c r="D1877" s="109">
        <v>0.79</v>
      </c>
      <c r="E1877" s="109">
        <v>408.43</v>
      </c>
      <c r="F1877" s="109">
        <v>322.66000000000003</v>
      </c>
      <c r="G1877" s="108" t="s">
        <v>2009</v>
      </c>
      <c r="H1877" s="111" t="s">
        <v>16</v>
      </c>
    </row>
    <row r="1878" spans="1:8" ht="57" x14ac:dyDescent="0.2">
      <c r="A1878" s="108">
        <v>8</v>
      </c>
      <c r="B1878" s="108" t="s">
        <v>1985</v>
      </c>
      <c r="C1878" s="110" t="s">
        <v>97</v>
      </c>
      <c r="D1878" s="109">
        <v>1.3</v>
      </c>
      <c r="E1878" s="109">
        <v>375</v>
      </c>
      <c r="F1878" s="109">
        <v>487.5</v>
      </c>
      <c r="G1878" s="108" t="s">
        <v>1984</v>
      </c>
      <c r="H1878" s="111" t="s">
        <v>16</v>
      </c>
    </row>
    <row r="1879" spans="1:8" ht="33" x14ac:dyDescent="0.2">
      <c r="A1879" s="108">
        <v>9</v>
      </c>
      <c r="B1879" s="108" t="s">
        <v>2209</v>
      </c>
      <c r="C1879" s="110" t="s">
        <v>162</v>
      </c>
      <c r="D1879" s="109">
        <v>1</v>
      </c>
      <c r="E1879" s="109">
        <v>265</v>
      </c>
      <c r="F1879" s="109">
        <v>265</v>
      </c>
      <c r="G1879" s="108" t="s">
        <v>2208</v>
      </c>
      <c r="H1879" s="111" t="s">
        <v>16</v>
      </c>
    </row>
    <row r="1880" spans="1:8" ht="33" x14ac:dyDescent="0.2">
      <c r="A1880" s="108">
        <v>10</v>
      </c>
      <c r="B1880" s="108" t="s">
        <v>1518</v>
      </c>
      <c r="C1880" s="110" t="s">
        <v>14</v>
      </c>
      <c r="D1880" s="109">
        <v>1</v>
      </c>
      <c r="E1880" s="109">
        <v>170.08</v>
      </c>
      <c r="F1880" s="109">
        <v>170.08</v>
      </c>
      <c r="G1880" s="108" t="s">
        <v>1517</v>
      </c>
      <c r="H1880" s="111" t="s">
        <v>16</v>
      </c>
    </row>
    <row r="1881" spans="1:8" ht="33" x14ac:dyDescent="0.2">
      <c r="A1881" s="108"/>
      <c r="B1881" s="108" t="s">
        <v>1516</v>
      </c>
      <c r="C1881" s="110" t="s">
        <v>606</v>
      </c>
      <c r="D1881" s="109">
        <v>1</v>
      </c>
      <c r="E1881" s="109"/>
      <c r="F1881" s="109">
        <v>5839.45</v>
      </c>
      <c r="G1881" s="108"/>
      <c r="H1881" s="111" t="s">
        <v>16</v>
      </c>
    </row>
    <row r="1882" spans="1:8" ht="33" x14ac:dyDescent="0.2">
      <c r="A1882" s="108"/>
      <c r="B1882" s="108" t="s">
        <v>1515</v>
      </c>
      <c r="C1882" s="110" t="s">
        <v>606</v>
      </c>
      <c r="D1882" s="109"/>
      <c r="E1882" s="109"/>
      <c r="F1882" s="109">
        <v>5839.45</v>
      </c>
      <c r="G1882" s="108"/>
      <c r="H1882" s="111" t="s">
        <v>16</v>
      </c>
    </row>
    <row r="1883" spans="1:8" ht="16.5" x14ac:dyDescent="0.2">
      <c r="A1883" s="108"/>
      <c r="B1883" s="108"/>
      <c r="C1883" s="110"/>
      <c r="D1883" s="109"/>
      <c r="E1883" s="109"/>
      <c r="F1883" s="109"/>
      <c r="G1883" s="108"/>
    </row>
    <row r="1884" spans="1:8" ht="42.75" x14ac:dyDescent="0.2">
      <c r="A1884" s="108" t="s">
        <v>2223</v>
      </c>
      <c r="B1884" s="108" t="s">
        <v>711</v>
      </c>
      <c r="C1884" s="110" t="s">
        <v>606</v>
      </c>
      <c r="D1884" s="109">
        <v>1</v>
      </c>
      <c r="E1884" s="109">
        <v>7189.97</v>
      </c>
      <c r="F1884" s="109"/>
      <c r="G1884" s="108" t="s">
        <v>2222</v>
      </c>
      <c r="H1884" s="111" t="s">
        <v>16</v>
      </c>
    </row>
    <row r="1885" spans="1:8" ht="42.75" x14ac:dyDescent="0.2">
      <c r="A1885" s="108">
        <v>1</v>
      </c>
      <c r="B1885" s="108" t="s">
        <v>2221</v>
      </c>
      <c r="C1885" s="110" t="s">
        <v>606</v>
      </c>
      <c r="D1885" s="109">
        <v>1</v>
      </c>
      <c r="E1885" s="109">
        <v>4850</v>
      </c>
      <c r="F1885" s="109">
        <v>4850</v>
      </c>
      <c r="G1885" s="108" t="s">
        <v>2220</v>
      </c>
      <c r="H1885" s="111" t="s">
        <v>16</v>
      </c>
    </row>
    <row r="1886" spans="1:8" ht="33" x14ac:dyDescent="0.2">
      <c r="A1886" s="108">
        <v>2</v>
      </c>
      <c r="B1886" s="108" t="s">
        <v>1560</v>
      </c>
      <c r="C1886" s="110" t="s">
        <v>34</v>
      </c>
      <c r="D1886" s="109">
        <v>0.79</v>
      </c>
      <c r="E1886" s="109">
        <v>53.05</v>
      </c>
      <c r="F1886" s="109">
        <v>41.91</v>
      </c>
      <c r="G1886" s="108" t="s">
        <v>1559</v>
      </c>
      <c r="H1886" s="111" t="s">
        <v>16</v>
      </c>
    </row>
    <row r="1887" spans="1:8" ht="57" x14ac:dyDescent="0.2">
      <c r="A1887" s="108">
        <v>3</v>
      </c>
      <c r="B1887" s="108" t="s">
        <v>599</v>
      </c>
      <c r="C1887" s="110" t="s">
        <v>103</v>
      </c>
      <c r="D1887" s="109">
        <v>0.59</v>
      </c>
      <c r="E1887" s="109">
        <v>704.52</v>
      </c>
      <c r="F1887" s="109">
        <v>415.67</v>
      </c>
      <c r="G1887" s="108" t="s">
        <v>2147</v>
      </c>
      <c r="H1887" s="111" t="s">
        <v>16</v>
      </c>
    </row>
    <row r="1888" spans="1:8" ht="33" x14ac:dyDescent="0.2">
      <c r="A1888" s="108">
        <v>4</v>
      </c>
      <c r="B1888" s="108" t="s">
        <v>1575</v>
      </c>
      <c r="C1888" s="110" t="s">
        <v>325</v>
      </c>
      <c r="D1888" s="109">
        <v>1</v>
      </c>
      <c r="E1888" s="109">
        <v>721.41</v>
      </c>
      <c r="F1888" s="109">
        <v>721.41</v>
      </c>
      <c r="G1888" s="108" t="s">
        <v>2189</v>
      </c>
      <c r="H1888" s="111" t="s">
        <v>16</v>
      </c>
    </row>
    <row r="1889" spans="1:8" ht="33" x14ac:dyDescent="0.2">
      <c r="A1889" s="108">
        <v>5</v>
      </c>
      <c r="B1889" s="108" t="s">
        <v>2219</v>
      </c>
      <c r="C1889" s="110" t="s">
        <v>606</v>
      </c>
      <c r="D1889" s="109">
        <v>1</v>
      </c>
      <c r="E1889" s="109">
        <v>85.4</v>
      </c>
      <c r="F1889" s="109">
        <v>85.4</v>
      </c>
      <c r="G1889" s="108" t="s">
        <v>2218</v>
      </c>
      <c r="H1889" s="111" t="s">
        <v>16</v>
      </c>
    </row>
    <row r="1890" spans="1:8" ht="33" x14ac:dyDescent="0.2">
      <c r="A1890" s="108">
        <v>6</v>
      </c>
      <c r="B1890" s="108" t="s">
        <v>1976</v>
      </c>
      <c r="C1890" s="110" t="s">
        <v>412</v>
      </c>
      <c r="D1890" s="109">
        <v>4</v>
      </c>
      <c r="E1890" s="109">
        <v>14</v>
      </c>
      <c r="F1890" s="109">
        <v>56</v>
      </c>
      <c r="G1890" s="108" t="s">
        <v>2186</v>
      </c>
      <c r="H1890" s="111" t="s">
        <v>16</v>
      </c>
    </row>
    <row r="1891" spans="1:8" ht="33" x14ac:dyDescent="0.2">
      <c r="A1891" s="108">
        <v>7</v>
      </c>
      <c r="B1891" s="108" t="s">
        <v>2010</v>
      </c>
      <c r="C1891" s="110" t="s">
        <v>34</v>
      </c>
      <c r="D1891" s="109">
        <v>0.79</v>
      </c>
      <c r="E1891" s="109">
        <v>408.43</v>
      </c>
      <c r="F1891" s="109">
        <v>322.66000000000003</v>
      </c>
      <c r="G1891" s="108" t="s">
        <v>2009</v>
      </c>
      <c r="H1891" s="111" t="s">
        <v>16</v>
      </c>
    </row>
    <row r="1892" spans="1:8" ht="57" x14ac:dyDescent="0.2">
      <c r="A1892" s="108">
        <v>8</v>
      </c>
      <c r="B1892" s="108" t="s">
        <v>1985</v>
      </c>
      <c r="C1892" s="110" t="s">
        <v>97</v>
      </c>
      <c r="D1892" s="109">
        <v>1.3</v>
      </c>
      <c r="E1892" s="109">
        <v>375</v>
      </c>
      <c r="F1892" s="109">
        <v>487.5</v>
      </c>
      <c r="G1892" s="108" t="s">
        <v>1984</v>
      </c>
      <c r="H1892" s="111" t="s">
        <v>16</v>
      </c>
    </row>
    <row r="1893" spans="1:8" ht="33" x14ac:dyDescent="0.2">
      <c r="A1893" s="108">
        <v>9</v>
      </c>
      <c r="B1893" s="108" t="s">
        <v>1518</v>
      </c>
      <c r="C1893" s="110" t="s">
        <v>14</v>
      </c>
      <c r="D1893" s="109">
        <v>1</v>
      </c>
      <c r="E1893" s="109">
        <v>209.42</v>
      </c>
      <c r="F1893" s="109">
        <v>209.42</v>
      </c>
      <c r="G1893" s="108" t="s">
        <v>1517</v>
      </c>
      <c r="H1893" s="111" t="s">
        <v>16</v>
      </c>
    </row>
    <row r="1894" spans="1:8" ht="33" x14ac:dyDescent="0.2">
      <c r="A1894" s="108"/>
      <c r="B1894" s="108" t="s">
        <v>1516</v>
      </c>
      <c r="C1894" s="110" t="s">
        <v>606</v>
      </c>
      <c r="D1894" s="109">
        <v>1</v>
      </c>
      <c r="E1894" s="109"/>
      <c r="F1894" s="109">
        <v>7189.9699999999993</v>
      </c>
      <c r="G1894" s="108"/>
      <c r="H1894" s="111" t="s">
        <v>16</v>
      </c>
    </row>
    <row r="1895" spans="1:8" ht="33" x14ac:dyDescent="0.2">
      <c r="A1895" s="108"/>
      <c r="B1895" s="108" t="s">
        <v>1515</v>
      </c>
      <c r="C1895" s="110" t="s">
        <v>606</v>
      </c>
      <c r="D1895" s="109"/>
      <c r="E1895" s="109"/>
      <c r="F1895" s="109">
        <v>7189.97</v>
      </c>
      <c r="G1895" s="108"/>
      <c r="H1895" s="111" t="s">
        <v>16</v>
      </c>
    </row>
    <row r="1896" spans="1:8" ht="16.5" x14ac:dyDescent="0.2">
      <c r="A1896" s="108"/>
      <c r="B1896" s="108"/>
      <c r="C1896" s="110"/>
      <c r="D1896" s="109"/>
      <c r="E1896" s="109"/>
      <c r="F1896" s="109"/>
      <c r="G1896" s="108"/>
    </row>
    <row r="1897" spans="1:8" ht="42.75" x14ac:dyDescent="0.2">
      <c r="A1897" s="108" t="s">
        <v>2217</v>
      </c>
      <c r="B1897" s="108" t="s">
        <v>714</v>
      </c>
      <c r="C1897" s="110" t="s">
        <v>606</v>
      </c>
      <c r="D1897" s="109">
        <v>1</v>
      </c>
      <c r="E1897" s="109">
        <v>4860.95</v>
      </c>
      <c r="F1897" s="109"/>
      <c r="G1897" s="108" t="s">
        <v>2216</v>
      </c>
      <c r="H1897" s="111" t="s">
        <v>16</v>
      </c>
    </row>
    <row r="1898" spans="1:8" ht="42.75" x14ac:dyDescent="0.2">
      <c r="A1898" s="108">
        <v>1</v>
      </c>
      <c r="B1898" s="108" t="s">
        <v>2215</v>
      </c>
      <c r="C1898" s="110" t="s">
        <v>606</v>
      </c>
      <c r="D1898" s="109">
        <v>1</v>
      </c>
      <c r="E1898" s="109">
        <v>2350</v>
      </c>
      <c r="F1898" s="109">
        <v>2350</v>
      </c>
      <c r="G1898" s="108" t="s">
        <v>2214</v>
      </c>
      <c r="H1898" s="111" t="s">
        <v>16</v>
      </c>
    </row>
    <row r="1899" spans="1:8" ht="33" x14ac:dyDescent="0.2">
      <c r="A1899" s="108">
        <v>2</v>
      </c>
      <c r="B1899" s="108" t="s">
        <v>1560</v>
      </c>
      <c r="C1899" s="110" t="s">
        <v>34</v>
      </c>
      <c r="D1899" s="109">
        <v>0.79</v>
      </c>
      <c r="E1899" s="109">
        <v>53.05</v>
      </c>
      <c r="F1899" s="109">
        <v>41.91</v>
      </c>
      <c r="G1899" s="108" t="s">
        <v>1559</v>
      </c>
      <c r="H1899" s="111" t="s">
        <v>16</v>
      </c>
    </row>
    <row r="1900" spans="1:8" ht="57" x14ac:dyDescent="0.2">
      <c r="A1900" s="108">
        <v>3</v>
      </c>
      <c r="B1900" s="108" t="s">
        <v>599</v>
      </c>
      <c r="C1900" s="110" t="s">
        <v>103</v>
      </c>
      <c r="D1900" s="109">
        <v>0.59</v>
      </c>
      <c r="E1900" s="109">
        <v>704.52</v>
      </c>
      <c r="F1900" s="109">
        <v>415.67</v>
      </c>
      <c r="G1900" s="108" t="s">
        <v>2147</v>
      </c>
      <c r="H1900" s="111" t="s">
        <v>16</v>
      </c>
    </row>
    <row r="1901" spans="1:8" ht="33" x14ac:dyDescent="0.2">
      <c r="A1901" s="108">
        <v>4</v>
      </c>
      <c r="B1901" s="108" t="s">
        <v>1575</v>
      </c>
      <c r="C1901" s="110" t="s">
        <v>325</v>
      </c>
      <c r="D1901" s="109">
        <v>1</v>
      </c>
      <c r="E1901" s="109">
        <v>721.41</v>
      </c>
      <c r="F1901" s="109">
        <v>721.41</v>
      </c>
      <c r="G1901" s="108" t="s">
        <v>2189</v>
      </c>
      <c r="H1901" s="111" t="s">
        <v>16</v>
      </c>
    </row>
    <row r="1902" spans="1:8" ht="33" x14ac:dyDescent="0.2">
      <c r="A1902" s="108">
        <v>5</v>
      </c>
      <c r="B1902" s="108" t="s">
        <v>2188</v>
      </c>
      <c r="C1902" s="110" t="s">
        <v>606</v>
      </c>
      <c r="D1902" s="109">
        <v>1</v>
      </c>
      <c r="E1902" s="109">
        <v>59.22</v>
      </c>
      <c r="F1902" s="109">
        <v>59.22</v>
      </c>
      <c r="G1902" s="108" t="s">
        <v>2187</v>
      </c>
      <c r="H1902" s="111" t="s">
        <v>16</v>
      </c>
    </row>
    <row r="1903" spans="1:8" ht="33" x14ac:dyDescent="0.2">
      <c r="A1903" s="108">
        <v>6</v>
      </c>
      <c r="B1903" s="108" t="s">
        <v>1976</v>
      </c>
      <c r="C1903" s="110" t="s">
        <v>412</v>
      </c>
      <c r="D1903" s="109">
        <v>4</v>
      </c>
      <c r="E1903" s="109">
        <v>14</v>
      </c>
      <c r="F1903" s="109">
        <v>56</v>
      </c>
      <c r="G1903" s="108" t="s">
        <v>2186</v>
      </c>
      <c r="H1903" s="111" t="s">
        <v>16</v>
      </c>
    </row>
    <row r="1904" spans="1:8" ht="33" x14ac:dyDescent="0.2">
      <c r="A1904" s="108">
        <v>7</v>
      </c>
      <c r="B1904" s="108" t="s">
        <v>2010</v>
      </c>
      <c r="C1904" s="110" t="s">
        <v>34</v>
      </c>
      <c r="D1904" s="109">
        <v>0.79</v>
      </c>
      <c r="E1904" s="109">
        <v>408.43</v>
      </c>
      <c r="F1904" s="109">
        <v>322.66000000000003</v>
      </c>
      <c r="G1904" s="108" t="s">
        <v>2009</v>
      </c>
      <c r="H1904" s="111" t="s">
        <v>16</v>
      </c>
    </row>
    <row r="1905" spans="1:8" ht="33" x14ac:dyDescent="0.2">
      <c r="A1905" s="108">
        <v>8</v>
      </c>
      <c r="B1905" s="108" t="s">
        <v>2209</v>
      </c>
      <c r="C1905" s="110" t="s">
        <v>162</v>
      </c>
      <c r="D1905" s="109">
        <v>1</v>
      </c>
      <c r="E1905" s="109">
        <v>265</v>
      </c>
      <c r="F1905" s="109">
        <v>265</v>
      </c>
      <c r="G1905" s="108" t="s">
        <v>2208</v>
      </c>
      <c r="H1905" s="111" t="s">
        <v>16</v>
      </c>
    </row>
    <row r="1906" spans="1:8" ht="57" x14ac:dyDescent="0.2">
      <c r="A1906" s="108">
        <v>9</v>
      </c>
      <c r="B1906" s="108" t="s">
        <v>1985</v>
      </c>
      <c r="C1906" s="110" t="s">
        <v>97</v>
      </c>
      <c r="D1906" s="109">
        <v>1.3</v>
      </c>
      <c r="E1906" s="109">
        <v>375</v>
      </c>
      <c r="F1906" s="109">
        <v>487.5</v>
      </c>
      <c r="G1906" s="108" t="s">
        <v>1984</v>
      </c>
      <c r="H1906" s="111" t="s">
        <v>16</v>
      </c>
    </row>
    <row r="1907" spans="1:8" ht="33" x14ac:dyDescent="0.2">
      <c r="A1907" s="108">
        <v>10</v>
      </c>
      <c r="B1907" s="108" t="s">
        <v>1518</v>
      </c>
      <c r="C1907" s="110" t="s">
        <v>14</v>
      </c>
      <c r="D1907" s="109">
        <v>1</v>
      </c>
      <c r="E1907" s="109">
        <v>141.58000000000001</v>
      </c>
      <c r="F1907" s="109">
        <v>141.58000000000001</v>
      </c>
      <c r="G1907" s="108" t="s">
        <v>1517</v>
      </c>
      <c r="H1907" s="111" t="s">
        <v>16</v>
      </c>
    </row>
    <row r="1908" spans="1:8" ht="33" x14ac:dyDescent="0.2">
      <c r="A1908" s="108"/>
      <c r="B1908" s="108" t="s">
        <v>1516</v>
      </c>
      <c r="C1908" s="110" t="s">
        <v>606</v>
      </c>
      <c r="D1908" s="109">
        <v>1</v>
      </c>
      <c r="E1908" s="109"/>
      <c r="F1908" s="109">
        <v>4860.9499999999989</v>
      </c>
      <c r="G1908" s="108"/>
      <c r="H1908" s="111" t="s">
        <v>16</v>
      </c>
    </row>
    <row r="1909" spans="1:8" ht="33" x14ac:dyDescent="0.2">
      <c r="A1909" s="108"/>
      <c r="B1909" s="108" t="s">
        <v>1515</v>
      </c>
      <c r="C1909" s="110" t="s">
        <v>606</v>
      </c>
      <c r="D1909" s="109"/>
      <c r="E1909" s="109"/>
      <c r="F1909" s="109">
        <v>4860.95</v>
      </c>
      <c r="G1909" s="108"/>
      <c r="H1909" s="111" t="s">
        <v>16</v>
      </c>
    </row>
    <row r="1910" spans="1:8" ht="16.5" x14ac:dyDescent="0.2">
      <c r="A1910" s="108"/>
      <c r="B1910" s="108"/>
      <c r="C1910" s="110"/>
      <c r="D1910" s="109"/>
      <c r="E1910" s="109"/>
      <c r="F1910" s="109"/>
      <c r="G1910" s="108"/>
    </row>
    <row r="1911" spans="1:8" ht="42.75" x14ac:dyDescent="0.2">
      <c r="A1911" s="108" t="s">
        <v>2213</v>
      </c>
      <c r="B1911" s="108" t="s">
        <v>717</v>
      </c>
      <c r="C1911" s="110" t="s">
        <v>606</v>
      </c>
      <c r="D1911" s="109">
        <v>1</v>
      </c>
      <c r="E1911" s="109">
        <v>14800.45</v>
      </c>
      <c r="F1911" s="109"/>
      <c r="G1911" s="108" t="s">
        <v>2212</v>
      </c>
      <c r="H1911" s="111" t="s">
        <v>16</v>
      </c>
    </row>
    <row r="1912" spans="1:8" ht="42.75" x14ac:dyDescent="0.2">
      <c r="A1912" s="108">
        <v>1</v>
      </c>
      <c r="B1912" s="108" t="s">
        <v>2211</v>
      </c>
      <c r="C1912" s="110" t="s">
        <v>606</v>
      </c>
      <c r="D1912" s="109">
        <v>1</v>
      </c>
      <c r="E1912" s="109">
        <v>12000</v>
      </c>
      <c r="F1912" s="109">
        <v>12000</v>
      </c>
      <c r="G1912" s="108" t="s">
        <v>2210</v>
      </c>
      <c r="H1912" s="111" t="s">
        <v>16</v>
      </c>
    </row>
    <row r="1913" spans="1:8" ht="33" x14ac:dyDescent="0.2">
      <c r="A1913" s="108">
        <v>2</v>
      </c>
      <c r="B1913" s="108" t="s">
        <v>2209</v>
      </c>
      <c r="C1913" s="110" t="s">
        <v>162</v>
      </c>
      <c r="D1913" s="109">
        <v>1</v>
      </c>
      <c r="E1913" s="109">
        <v>265</v>
      </c>
      <c r="F1913" s="109">
        <v>265</v>
      </c>
      <c r="G1913" s="108" t="s">
        <v>2208</v>
      </c>
      <c r="H1913" s="111" t="s">
        <v>16</v>
      </c>
    </row>
    <row r="1914" spans="1:8" ht="33" x14ac:dyDescent="0.2">
      <c r="A1914" s="108">
        <v>3</v>
      </c>
      <c r="B1914" s="108" t="s">
        <v>1560</v>
      </c>
      <c r="C1914" s="110" t="s">
        <v>34</v>
      </c>
      <c r="D1914" s="109">
        <v>0.79</v>
      </c>
      <c r="E1914" s="109">
        <v>53.05</v>
      </c>
      <c r="F1914" s="109">
        <v>41.91</v>
      </c>
      <c r="G1914" s="108" t="s">
        <v>1559</v>
      </c>
      <c r="H1914" s="111" t="s">
        <v>16</v>
      </c>
    </row>
    <row r="1915" spans="1:8" ht="57" x14ac:dyDescent="0.2">
      <c r="A1915" s="108">
        <v>4</v>
      </c>
      <c r="B1915" s="108" t="s">
        <v>599</v>
      </c>
      <c r="C1915" s="110" t="s">
        <v>103</v>
      </c>
      <c r="D1915" s="109">
        <v>0.59</v>
      </c>
      <c r="E1915" s="109">
        <v>704.52</v>
      </c>
      <c r="F1915" s="109">
        <v>415.67</v>
      </c>
      <c r="G1915" s="108" t="s">
        <v>2147</v>
      </c>
      <c r="H1915" s="111" t="s">
        <v>16</v>
      </c>
    </row>
    <row r="1916" spans="1:8" ht="33" x14ac:dyDescent="0.2">
      <c r="A1916" s="108">
        <v>5</v>
      </c>
      <c r="B1916" s="108" t="s">
        <v>1575</v>
      </c>
      <c r="C1916" s="110" t="s">
        <v>325</v>
      </c>
      <c r="D1916" s="109">
        <v>1</v>
      </c>
      <c r="E1916" s="109">
        <v>721.41</v>
      </c>
      <c r="F1916" s="109">
        <v>721.41</v>
      </c>
      <c r="G1916" s="108" t="s">
        <v>2189</v>
      </c>
      <c r="H1916" s="111" t="s">
        <v>16</v>
      </c>
    </row>
    <row r="1917" spans="1:8" ht="33" x14ac:dyDescent="0.2">
      <c r="A1917" s="108">
        <v>6</v>
      </c>
      <c r="B1917" s="108" t="s">
        <v>2188</v>
      </c>
      <c r="C1917" s="110" t="s">
        <v>606</v>
      </c>
      <c r="D1917" s="109">
        <v>1</v>
      </c>
      <c r="E1917" s="109">
        <v>59.22</v>
      </c>
      <c r="F1917" s="109">
        <v>59.22</v>
      </c>
      <c r="G1917" s="108" t="s">
        <v>2187</v>
      </c>
      <c r="H1917" s="111" t="s">
        <v>16</v>
      </c>
    </row>
    <row r="1918" spans="1:8" ht="33" x14ac:dyDescent="0.2">
      <c r="A1918" s="108">
        <v>7</v>
      </c>
      <c r="B1918" s="108" t="s">
        <v>1976</v>
      </c>
      <c r="C1918" s="110" t="s">
        <v>412</v>
      </c>
      <c r="D1918" s="109">
        <v>4</v>
      </c>
      <c r="E1918" s="109">
        <v>14</v>
      </c>
      <c r="F1918" s="109">
        <v>56</v>
      </c>
      <c r="G1918" s="108" t="s">
        <v>2186</v>
      </c>
      <c r="H1918" s="111" t="s">
        <v>16</v>
      </c>
    </row>
    <row r="1919" spans="1:8" ht="33" x14ac:dyDescent="0.2">
      <c r="A1919" s="108">
        <v>8</v>
      </c>
      <c r="B1919" s="108" t="s">
        <v>2010</v>
      </c>
      <c r="C1919" s="110" t="s">
        <v>34</v>
      </c>
      <c r="D1919" s="109">
        <v>0.79</v>
      </c>
      <c r="E1919" s="109">
        <v>408.43</v>
      </c>
      <c r="F1919" s="109">
        <v>322.66000000000003</v>
      </c>
      <c r="G1919" s="108" t="s">
        <v>2009</v>
      </c>
      <c r="H1919" s="111" t="s">
        <v>16</v>
      </c>
    </row>
    <row r="1920" spans="1:8" ht="57" x14ac:dyDescent="0.2">
      <c r="A1920" s="108">
        <v>9</v>
      </c>
      <c r="B1920" s="108" t="s">
        <v>1985</v>
      </c>
      <c r="C1920" s="110" t="s">
        <v>97</v>
      </c>
      <c r="D1920" s="109">
        <v>1.3</v>
      </c>
      <c r="E1920" s="109">
        <v>375</v>
      </c>
      <c r="F1920" s="109">
        <v>487.5</v>
      </c>
      <c r="G1920" s="108" t="s">
        <v>1984</v>
      </c>
      <c r="H1920" s="111" t="s">
        <v>16</v>
      </c>
    </row>
    <row r="1921" spans="1:8" ht="33" x14ac:dyDescent="0.2">
      <c r="A1921" s="108">
        <v>10</v>
      </c>
      <c r="B1921" s="108" t="s">
        <v>1518</v>
      </c>
      <c r="C1921" s="110" t="s">
        <v>14</v>
      </c>
      <c r="D1921" s="109">
        <v>1</v>
      </c>
      <c r="E1921" s="109">
        <v>431.08</v>
      </c>
      <c r="F1921" s="109">
        <v>431.08</v>
      </c>
      <c r="G1921" s="108" t="s">
        <v>1517</v>
      </c>
      <c r="H1921" s="111" t="s">
        <v>16</v>
      </c>
    </row>
    <row r="1922" spans="1:8" ht="33" x14ac:dyDescent="0.2">
      <c r="A1922" s="108"/>
      <c r="B1922" s="108" t="s">
        <v>1516</v>
      </c>
      <c r="C1922" s="110" t="s">
        <v>606</v>
      </c>
      <c r="D1922" s="109">
        <v>1</v>
      </c>
      <c r="E1922" s="109"/>
      <c r="F1922" s="109">
        <v>14800.449999999999</v>
      </c>
      <c r="G1922" s="108"/>
      <c r="H1922" s="111" t="s">
        <v>16</v>
      </c>
    </row>
    <row r="1923" spans="1:8" ht="33" x14ac:dyDescent="0.2">
      <c r="A1923" s="108"/>
      <c r="B1923" s="108" t="s">
        <v>1515</v>
      </c>
      <c r="C1923" s="110" t="s">
        <v>606</v>
      </c>
      <c r="D1923" s="109"/>
      <c r="E1923" s="109"/>
      <c r="F1923" s="109">
        <v>14800.45</v>
      </c>
      <c r="G1923" s="108"/>
      <c r="H1923" s="111" t="s">
        <v>16</v>
      </c>
    </row>
    <row r="1924" spans="1:8" ht="16.5" x14ac:dyDescent="0.2">
      <c r="A1924" s="108"/>
      <c r="B1924" s="108"/>
      <c r="C1924" s="110"/>
      <c r="D1924" s="109"/>
      <c r="E1924" s="109"/>
      <c r="F1924" s="109"/>
      <c r="G1924" s="108"/>
    </row>
    <row r="1925" spans="1:8" ht="42.75" x14ac:dyDescent="0.2">
      <c r="A1925" s="108" t="s">
        <v>2207</v>
      </c>
      <c r="B1925" s="108" t="s">
        <v>720</v>
      </c>
      <c r="C1925" s="110" t="s">
        <v>606</v>
      </c>
      <c r="D1925" s="109">
        <v>1</v>
      </c>
      <c r="E1925" s="109">
        <v>6661.47</v>
      </c>
      <c r="F1925" s="109"/>
      <c r="G1925" s="108" t="s">
        <v>2206</v>
      </c>
      <c r="H1925" s="111" t="s">
        <v>16</v>
      </c>
    </row>
    <row r="1926" spans="1:8" ht="42.75" x14ac:dyDescent="0.2">
      <c r="A1926" s="108">
        <v>1</v>
      </c>
      <c r="B1926" s="108" t="s">
        <v>2205</v>
      </c>
      <c r="C1926" s="110" t="s">
        <v>606</v>
      </c>
      <c r="D1926" s="109">
        <v>1</v>
      </c>
      <c r="E1926" s="109">
        <v>4350</v>
      </c>
      <c r="F1926" s="109">
        <v>4350</v>
      </c>
      <c r="G1926" s="108" t="s">
        <v>2204</v>
      </c>
      <c r="H1926" s="111" t="s">
        <v>16</v>
      </c>
    </row>
    <row r="1927" spans="1:8" ht="33" x14ac:dyDescent="0.2">
      <c r="A1927" s="108">
        <v>2</v>
      </c>
      <c r="B1927" s="108" t="s">
        <v>1560</v>
      </c>
      <c r="C1927" s="110" t="s">
        <v>34</v>
      </c>
      <c r="D1927" s="109">
        <v>0.79</v>
      </c>
      <c r="E1927" s="109">
        <v>53.05</v>
      </c>
      <c r="F1927" s="109">
        <v>41.91</v>
      </c>
      <c r="G1927" s="108" t="s">
        <v>1559</v>
      </c>
      <c r="H1927" s="111" t="s">
        <v>16</v>
      </c>
    </row>
    <row r="1928" spans="1:8" ht="57" x14ac:dyDescent="0.2">
      <c r="A1928" s="108">
        <v>3</v>
      </c>
      <c r="B1928" s="108" t="s">
        <v>599</v>
      </c>
      <c r="C1928" s="110" t="s">
        <v>103</v>
      </c>
      <c r="D1928" s="109">
        <v>0.59</v>
      </c>
      <c r="E1928" s="109">
        <v>704.52</v>
      </c>
      <c r="F1928" s="109">
        <v>415.67</v>
      </c>
      <c r="G1928" s="108" t="s">
        <v>2147</v>
      </c>
      <c r="H1928" s="111" t="s">
        <v>16</v>
      </c>
    </row>
    <row r="1929" spans="1:8" ht="33" x14ac:dyDescent="0.2">
      <c r="A1929" s="108">
        <v>4</v>
      </c>
      <c r="B1929" s="108" t="s">
        <v>1575</v>
      </c>
      <c r="C1929" s="110" t="s">
        <v>325</v>
      </c>
      <c r="D1929" s="109">
        <v>1</v>
      </c>
      <c r="E1929" s="109">
        <v>721.41</v>
      </c>
      <c r="F1929" s="109">
        <v>721.41</v>
      </c>
      <c r="G1929" s="108" t="s">
        <v>2189</v>
      </c>
      <c r="H1929" s="111" t="s">
        <v>16</v>
      </c>
    </row>
    <row r="1930" spans="1:8" ht="33" x14ac:dyDescent="0.2">
      <c r="A1930" s="108">
        <v>5</v>
      </c>
      <c r="B1930" s="108" t="s">
        <v>2203</v>
      </c>
      <c r="C1930" s="110" t="s">
        <v>606</v>
      </c>
      <c r="D1930" s="109">
        <v>1</v>
      </c>
      <c r="E1930" s="109">
        <v>72.3</v>
      </c>
      <c r="F1930" s="109">
        <v>72.3</v>
      </c>
      <c r="G1930" s="108" t="s">
        <v>2202</v>
      </c>
      <c r="H1930" s="111" t="s">
        <v>16</v>
      </c>
    </row>
    <row r="1931" spans="1:8" ht="33" x14ac:dyDescent="0.2">
      <c r="A1931" s="108">
        <v>6</v>
      </c>
      <c r="B1931" s="108" t="s">
        <v>1976</v>
      </c>
      <c r="C1931" s="110" t="s">
        <v>412</v>
      </c>
      <c r="D1931" s="109">
        <v>4</v>
      </c>
      <c r="E1931" s="109">
        <v>14</v>
      </c>
      <c r="F1931" s="109">
        <v>56</v>
      </c>
      <c r="G1931" s="108" t="s">
        <v>2186</v>
      </c>
      <c r="H1931" s="111" t="s">
        <v>16</v>
      </c>
    </row>
    <row r="1932" spans="1:8" ht="33" x14ac:dyDescent="0.2">
      <c r="A1932" s="108">
        <v>7</v>
      </c>
      <c r="B1932" s="108" t="s">
        <v>2010</v>
      </c>
      <c r="C1932" s="110" t="s">
        <v>34</v>
      </c>
      <c r="D1932" s="109">
        <v>0.79</v>
      </c>
      <c r="E1932" s="109">
        <v>408.43</v>
      </c>
      <c r="F1932" s="109">
        <v>322.66000000000003</v>
      </c>
      <c r="G1932" s="108" t="s">
        <v>2009</v>
      </c>
      <c r="H1932" s="111" t="s">
        <v>16</v>
      </c>
    </row>
    <row r="1933" spans="1:8" ht="57" x14ac:dyDescent="0.2">
      <c r="A1933" s="108">
        <v>8</v>
      </c>
      <c r="B1933" s="108" t="s">
        <v>1985</v>
      </c>
      <c r="C1933" s="110" t="s">
        <v>97</v>
      </c>
      <c r="D1933" s="109">
        <v>1.3</v>
      </c>
      <c r="E1933" s="109">
        <v>375</v>
      </c>
      <c r="F1933" s="109">
        <v>487.5</v>
      </c>
      <c r="G1933" s="108" t="s">
        <v>1984</v>
      </c>
      <c r="H1933" s="111" t="s">
        <v>16</v>
      </c>
    </row>
    <row r="1934" spans="1:8" ht="33" x14ac:dyDescent="0.2">
      <c r="A1934" s="108">
        <v>9</v>
      </c>
      <c r="B1934" s="108" t="s">
        <v>1518</v>
      </c>
      <c r="C1934" s="110" t="s">
        <v>14</v>
      </c>
      <c r="D1934" s="109">
        <v>1</v>
      </c>
      <c r="E1934" s="109">
        <v>194.02</v>
      </c>
      <c r="F1934" s="109">
        <v>194.02</v>
      </c>
      <c r="G1934" s="108" t="s">
        <v>1517</v>
      </c>
      <c r="H1934" s="111" t="s">
        <v>16</v>
      </c>
    </row>
    <row r="1935" spans="1:8" ht="33" x14ac:dyDescent="0.2">
      <c r="A1935" s="108"/>
      <c r="B1935" s="108" t="s">
        <v>1516</v>
      </c>
      <c r="C1935" s="110" t="s">
        <v>606</v>
      </c>
      <c r="D1935" s="109">
        <v>1</v>
      </c>
      <c r="E1935" s="109"/>
      <c r="F1935" s="109">
        <v>6661.47</v>
      </c>
      <c r="G1935" s="108"/>
      <c r="H1935" s="111" t="s">
        <v>16</v>
      </c>
    </row>
    <row r="1936" spans="1:8" ht="33" x14ac:dyDescent="0.2">
      <c r="A1936" s="108"/>
      <c r="B1936" s="108" t="s">
        <v>1515</v>
      </c>
      <c r="C1936" s="110" t="s">
        <v>606</v>
      </c>
      <c r="D1936" s="109"/>
      <c r="E1936" s="109"/>
      <c r="F1936" s="109">
        <v>6661.47</v>
      </c>
      <c r="G1936" s="108"/>
      <c r="H1936" s="111" t="s">
        <v>16</v>
      </c>
    </row>
    <row r="1937" spans="1:8" ht="16.5" x14ac:dyDescent="0.2">
      <c r="A1937" s="108"/>
      <c r="B1937" s="108"/>
      <c r="C1937" s="110"/>
      <c r="D1937" s="109"/>
      <c r="E1937" s="109"/>
      <c r="F1937" s="109"/>
      <c r="G1937" s="108"/>
    </row>
    <row r="1938" spans="1:8" ht="42.75" x14ac:dyDescent="0.2">
      <c r="A1938" s="108" t="s">
        <v>2201</v>
      </c>
      <c r="B1938" s="108" t="s">
        <v>723</v>
      </c>
      <c r="C1938" s="110" t="s">
        <v>606</v>
      </c>
      <c r="D1938" s="109">
        <v>1</v>
      </c>
      <c r="E1938" s="109">
        <v>15584.47</v>
      </c>
      <c r="F1938" s="109"/>
      <c r="G1938" s="108" t="s">
        <v>2200</v>
      </c>
      <c r="H1938" s="111" t="s">
        <v>16</v>
      </c>
    </row>
    <row r="1939" spans="1:8" ht="42.75" x14ac:dyDescent="0.2">
      <c r="A1939" s="108">
        <v>1</v>
      </c>
      <c r="B1939" s="108" t="s">
        <v>2199</v>
      </c>
      <c r="C1939" s="110" t="s">
        <v>606</v>
      </c>
      <c r="D1939" s="109">
        <v>1</v>
      </c>
      <c r="E1939" s="109">
        <v>13000</v>
      </c>
      <c r="F1939" s="109">
        <v>13000</v>
      </c>
      <c r="G1939" s="108" t="s">
        <v>2198</v>
      </c>
      <c r="H1939" s="111" t="s">
        <v>16</v>
      </c>
    </row>
    <row r="1940" spans="1:8" ht="33" x14ac:dyDescent="0.2">
      <c r="A1940" s="108">
        <v>2</v>
      </c>
      <c r="B1940" s="108" t="s">
        <v>1560</v>
      </c>
      <c r="C1940" s="110" t="s">
        <v>34</v>
      </c>
      <c r="D1940" s="109">
        <v>0.79</v>
      </c>
      <c r="E1940" s="109">
        <v>53.05</v>
      </c>
      <c r="F1940" s="109">
        <v>41.91</v>
      </c>
      <c r="G1940" s="108" t="s">
        <v>1559</v>
      </c>
      <c r="H1940" s="111" t="s">
        <v>16</v>
      </c>
    </row>
    <row r="1941" spans="1:8" ht="57" x14ac:dyDescent="0.2">
      <c r="A1941" s="108">
        <v>3</v>
      </c>
      <c r="B1941" s="108" t="s">
        <v>599</v>
      </c>
      <c r="C1941" s="110" t="s">
        <v>103</v>
      </c>
      <c r="D1941" s="109">
        <v>0.59</v>
      </c>
      <c r="E1941" s="109">
        <v>704.52</v>
      </c>
      <c r="F1941" s="109">
        <v>415.67</v>
      </c>
      <c r="G1941" s="108" t="s">
        <v>2147</v>
      </c>
      <c r="H1941" s="111" t="s">
        <v>16</v>
      </c>
    </row>
    <row r="1942" spans="1:8" ht="33" x14ac:dyDescent="0.2">
      <c r="A1942" s="108">
        <v>4</v>
      </c>
      <c r="B1942" s="108" t="s">
        <v>1575</v>
      </c>
      <c r="C1942" s="110" t="s">
        <v>325</v>
      </c>
      <c r="D1942" s="109">
        <v>1</v>
      </c>
      <c r="E1942" s="109">
        <v>721.41</v>
      </c>
      <c r="F1942" s="109">
        <v>721.41</v>
      </c>
      <c r="G1942" s="108" t="s">
        <v>2189</v>
      </c>
      <c r="H1942" s="111" t="s">
        <v>16</v>
      </c>
    </row>
    <row r="1943" spans="1:8" ht="33" x14ac:dyDescent="0.2">
      <c r="A1943" s="108">
        <v>5</v>
      </c>
      <c r="B1943" s="108" t="s">
        <v>2197</v>
      </c>
      <c r="C1943" s="110" t="s">
        <v>606</v>
      </c>
      <c r="D1943" s="109">
        <v>1</v>
      </c>
      <c r="E1943" s="109">
        <v>85.4</v>
      </c>
      <c r="F1943" s="109">
        <v>85.4</v>
      </c>
      <c r="G1943" s="108" t="s">
        <v>2196</v>
      </c>
      <c r="H1943" s="111" t="s">
        <v>16</v>
      </c>
    </row>
    <row r="1944" spans="1:8" ht="33" x14ac:dyDescent="0.2">
      <c r="A1944" s="108">
        <v>6</v>
      </c>
      <c r="B1944" s="108" t="s">
        <v>1976</v>
      </c>
      <c r="C1944" s="110" t="s">
        <v>412</v>
      </c>
      <c r="D1944" s="109">
        <v>4</v>
      </c>
      <c r="E1944" s="109">
        <v>14</v>
      </c>
      <c r="F1944" s="109">
        <v>56</v>
      </c>
      <c r="G1944" s="108" t="s">
        <v>2186</v>
      </c>
      <c r="H1944" s="111" t="s">
        <v>16</v>
      </c>
    </row>
    <row r="1945" spans="1:8" ht="33" x14ac:dyDescent="0.2">
      <c r="A1945" s="108">
        <v>7</v>
      </c>
      <c r="B1945" s="108" t="s">
        <v>2010</v>
      </c>
      <c r="C1945" s="110" t="s">
        <v>34</v>
      </c>
      <c r="D1945" s="109">
        <v>0.79</v>
      </c>
      <c r="E1945" s="109">
        <v>408.43</v>
      </c>
      <c r="F1945" s="109">
        <v>322.66000000000003</v>
      </c>
      <c r="G1945" s="108" t="s">
        <v>2009</v>
      </c>
      <c r="H1945" s="111" t="s">
        <v>16</v>
      </c>
    </row>
    <row r="1946" spans="1:8" ht="57" x14ac:dyDescent="0.2">
      <c r="A1946" s="108">
        <v>8</v>
      </c>
      <c r="B1946" s="108" t="s">
        <v>1985</v>
      </c>
      <c r="C1946" s="110" t="s">
        <v>97</v>
      </c>
      <c r="D1946" s="109">
        <v>1.3</v>
      </c>
      <c r="E1946" s="109">
        <v>375</v>
      </c>
      <c r="F1946" s="109">
        <v>487.5</v>
      </c>
      <c r="G1946" s="108" t="s">
        <v>1984</v>
      </c>
      <c r="H1946" s="111" t="s">
        <v>16</v>
      </c>
    </row>
    <row r="1947" spans="1:8" ht="33" x14ac:dyDescent="0.2">
      <c r="A1947" s="108">
        <v>9</v>
      </c>
      <c r="B1947" s="108" t="s">
        <v>1518</v>
      </c>
      <c r="C1947" s="110" t="s">
        <v>14</v>
      </c>
      <c r="D1947" s="109">
        <v>1</v>
      </c>
      <c r="E1947" s="109">
        <v>453.92</v>
      </c>
      <c r="F1947" s="109">
        <v>453.92</v>
      </c>
      <c r="G1947" s="108" t="s">
        <v>1517</v>
      </c>
      <c r="H1947" s="111" t="s">
        <v>16</v>
      </c>
    </row>
    <row r="1948" spans="1:8" ht="33" x14ac:dyDescent="0.2">
      <c r="A1948" s="108"/>
      <c r="B1948" s="108" t="s">
        <v>1516</v>
      </c>
      <c r="C1948" s="110" t="s">
        <v>606</v>
      </c>
      <c r="D1948" s="109">
        <v>1</v>
      </c>
      <c r="E1948" s="109"/>
      <c r="F1948" s="109">
        <v>15584.47</v>
      </c>
      <c r="G1948" s="108"/>
      <c r="H1948" s="111" t="s">
        <v>16</v>
      </c>
    </row>
    <row r="1949" spans="1:8" ht="33" x14ac:dyDescent="0.2">
      <c r="A1949" s="108"/>
      <c r="B1949" s="108" t="s">
        <v>1515</v>
      </c>
      <c r="C1949" s="110" t="s">
        <v>606</v>
      </c>
      <c r="D1949" s="109"/>
      <c r="E1949" s="109"/>
      <c r="F1949" s="109">
        <v>15584.47</v>
      </c>
      <c r="G1949" s="108"/>
      <c r="H1949" s="111" t="s">
        <v>16</v>
      </c>
    </row>
    <row r="1950" spans="1:8" ht="16.5" x14ac:dyDescent="0.2">
      <c r="A1950" s="108"/>
      <c r="B1950" s="108"/>
      <c r="C1950" s="110"/>
      <c r="D1950" s="109"/>
      <c r="E1950" s="109"/>
      <c r="F1950" s="109"/>
      <c r="G1950" s="108"/>
    </row>
    <row r="1951" spans="1:8" ht="42.75" x14ac:dyDescent="0.2">
      <c r="A1951" s="108" t="s">
        <v>2195</v>
      </c>
      <c r="B1951" s="108" t="s">
        <v>726</v>
      </c>
      <c r="C1951" s="110" t="s">
        <v>606</v>
      </c>
      <c r="D1951" s="109">
        <v>1</v>
      </c>
      <c r="E1951" s="109">
        <v>3949.4</v>
      </c>
      <c r="F1951" s="109"/>
      <c r="G1951" s="108" t="s">
        <v>2194</v>
      </c>
      <c r="H1951" s="111" t="s">
        <v>16</v>
      </c>
    </row>
    <row r="1952" spans="1:8" ht="42.75" x14ac:dyDescent="0.2">
      <c r="A1952" s="108">
        <v>1</v>
      </c>
      <c r="B1952" s="108" t="s">
        <v>2193</v>
      </c>
      <c r="C1952" s="110" t="s">
        <v>606</v>
      </c>
      <c r="D1952" s="109">
        <v>1</v>
      </c>
      <c r="E1952" s="109">
        <v>1625</v>
      </c>
      <c r="F1952" s="109">
        <v>1625</v>
      </c>
      <c r="G1952" s="108" t="s">
        <v>2192</v>
      </c>
      <c r="H1952" s="111" t="s">
        <v>16</v>
      </c>
    </row>
    <row r="1953" spans="1:8" ht="33" x14ac:dyDescent="0.2">
      <c r="A1953" s="108">
        <v>2</v>
      </c>
      <c r="B1953" s="108" t="s">
        <v>2191</v>
      </c>
      <c r="C1953" s="110" t="s">
        <v>162</v>
      </c>
      <c r="D1953" s="109">
        <v>1</v>
      </c>
      <c r="E1953" s="109">
        <v>105</v>
      </c>
      <c r="F1953" s="109">
        <v>105</v>
      </c>
      <c r="G1953" s="108" t="s">
        <v>2190</v>
      </c>
      <c r="H1953" s="111" t="s">
        <v>16</v>
      </c>
    </row>
    <row r="1954" spans="1:8" ht="33" x14ac:dyDescent="0.2">
      <c r="A1954" s="108">
        <v>3</v>
      </c>
      <c r="B1954" s="108" t="s">
        <v>1560</v>
      </c>
      <c r="C1954" s="110" t="s">
        <v>34</v>
      </c>
      <c r="D1954" s="109">
        <v>0.79</v>
      </c>
      <c r="E1954" s="109">
        <v>53.05</v>
      </c>
      <c r="F1954" s="109">
        <v>41.91</v>
      </c>
      <c r="G1954" s="108" t="s">
        <v>1559</v>
      </c>
      <c r="H1954" s="111" t="s">
        <v>16</v>
      </c>
    </row>
    <row r="1955" spans="1:8" ht="57" x14ac:dyDescent="0.2">
      <c r="A1955" s="108">
        <v>4</v>
      </c>
      <c r="B1955" s="108" t="s">
        <v>599</v>
      </c>
      <c r="C1955" s="110" t="s">
        <v>103</v>
      </c>
      <c r="D1955" s="109">
        <v>0.59</v>
      </c>
      <c r="E1955" s="109">
        <v>704.52</v>
      </c>
      <c r="F1955" s="109">
        <v>415.67</v>
      </c>
      <c r="G1955" s="108" t="s">
        <v>2147</v>
      </c>
      <c r="H1955" s="111" t="s">
        <v>16</v>
      </c>
    </row>
    <row r="1956" spans="1:8" ht="33" x14ac:dyDescent="0.2">
      <c r="A1956" s="108">
        <v>5</v>
      </c>
      <c r="B1956" s="108" t="s">
        <v>1575</v>
      </c>
      <c r="C1956" s="110" t="s">
        <v>325</v>
      </c>
      <c r="D1956" s="109">
        <v>1</v>
      </c>
      <c r="E1956" s="109">
        <v>721.41</v>
      </c>
      <c r="F1956" s="109">
        <v>721.41</v>
      </c>
      <c r="G1956" s="108" t="s">
        <v>2189</v>
      </c>
      <c r="H1956" s="111" t="s">
        <v>16</v>
      </c>
    </row>
    <row r="1957" spans="1:8" ht="33" x14ac:dyDescent="0.2">
      <c r="A1957" s="108">
        <v>6</v>
      </c>
      <c r="B1957" s="108" t="s">
        <v>2188</v>
      </c>
      <c r="C1957" s="110" t="s">
        <v>606</v>
      </c>
      <c r="D1957" s="109">
        <v>1</v>
      </c>
      <c r="E1957" s="109">
        <v>59.22</v>
      </c>
      <c r="F1957" s="109">
        <v>59.22</v>
      </c>
      <c r="G1957" s="108" t="s">
        <v>2187</v>
      </c>
      <c r="H1957" s="111" t="s">
        <v>16</v>
      </c>
    </row>
    <row r="1958" spans="1:8" ht="33" x14ac:dyDescent="0.2">
      <c r="A1958" s="108">
        <v>7</v>
      </c>
      <c r="B1958" s="108" t="s">
        <v>1976</v>
      </c>
      <c r="C1958" s="110" t="s">
        <v>412</v>
      </c>
      <c r="D1958" s="109">
        <v>4</v>
      </c>
      <c r="E1958" s="109">
        <v>14</v>
      </c>
      <c r="F1958" s="109">
        <v>56</v>
      </c>
      <c r="G1958" s="108" t="s">
        <v>2186</v>
      </c>
      <c r="H1958" s="111" t="s">
        <v>16</v>
      </c>
    </row>
    <row r="1959" spans="1:8" ht="33" x14ac:dyDescent="0.2">
      <c r="A1959" s="108">
        <v>8</v>
      </c>
      <c r="B1959" s="108" t="s">
        <v>2010</v>
      </c>
      <c r="C1959" s="110" t="s">
        <v>34</v>
      </c>
      <c r="D1959" s="109">
        <v>0.79</v>
      </c>
      <c r="E1959" s="109">
        <v>408.43</v>
      </c>
      <c r="F1959" s="109">
        <v>322.66000000000003</v>
      </c>
      <c r="G1959" s="108" t="s">
        <v>2009</v>
      </c>
      <c r="H1959" s="111" t="s">
        <v>16</v>
      </c>
    </row>
    <row r="1960" spans="1:8" ht="57" x14ac:dyDescent="0.2">
      <c r="A1960" s="108">
        <v>9</v>
      </c>
      <c r="B1960" s="108" t="s">
        <v>1985</v>
      </c>
      <c r="C1960" s="110" t="s">
        <v>97</v>
      </c>
      <c r="D1960" s="109">
        <v>1.3</v>
      </c>
      <c r="E1960" s="109">
        <v>375</v>
      </c>
      <c r="F1960" s="109">
        <v>487.5</v>
      </c>
      <c r="G1960" s="108" t="s">
        <v>1984</v>
      </c>
      <c r="H1960" s="111" t="s">
        <v>16</v>
      </c>
    </row>
    <row r="1961" spans="1:8" ht="33" x14ac:dyDescent="0.2">
      <c r="A1961" s="108">
        <v>10</v>
      </c>
      <c r="B1961" s="108" t="s">
        <v>1518</v>
      </c>
      <c r="C1961" s="110" t="s">
        <v>14</v>
      </c>
      <c r="D1961" s="109">
        <v>1</v>
      </c>
      <c r="E1961" s="109">
        <v>115.03</v>
      </c>
      <c r="F1961" s="109">
        <v>115.03</v>
      </c>
      <c r="G1961" s="108" t="s">
        <v>1517</v>
      </c>
      <c r="H1961" s="111" t="s">
        <v>16</v>
      </c>
    </row>
    <row r="1962" spans="1:8" ht="33" x14ac:dyDescent="0.2">
      <c r="A1962" s="108"/>
      <c r="B1962" s="108" t="s">
        <v>1516</v>
      </c>
      <c r="C1962" s="110" t="s">
        <v>606</v>
      </c>
      <c r="D1962" s="109">
        <v>1</v>
      </c>
      <c r="E1962" s="109"/>
      <c r="F1962" s="109">
        <v>3949.3999999999996</v>
      </c>
      <c r="G1962" s="108"/>
      <c r="H1962" s="111" t="s">
        <v>16</v>
      </c>
    </row>
    <row r="1963" spans="1:8" ht="33" x14ac:dyDescent="0.2">
      <c r="A1963" s="108"/>
      <c r="B1963" s="108" t="s">
        <v>1515</v>
      </c>
      <c r="C1963" s="110" t="s">
        <v>606</v>
      </c>
      <c r="D1963" s="109"/>
      <c r="E1963" s="109"/>
      <c r="F1963" s="109">
        <v>3949.4</v>
      </c>
      <c r="G1963" s="108"/>
      <c r="H1963" s="111" t="s">
        <v>16</v>
      </c>
    </row>
    <row r="1964" spans="1:8" ht="16.5" x14ac:dyDescent="0.2">
      <c r="A1964" s="108"/>
      <c r="B1964" s="108"/>
      <c r="C1964" s="110"/>
      <c r="D1964" s="109"/>
      <c r="E1964" s="109"/>
      <c r="F1964" s="109"/>
      <c r="G1964" s="108"/>
    </row>
    <row r="1965" spans="1:8" ht="33" x14ac:dyDescent="0.2">
      <c r="A1965" s="108" t="s">
        <v>2185</v>
      </c>
      <c r="B1965" s="108" t="s">
        <v>729</v>
      </c>
      <c r="C1965" s="110" t="s">
        <v>606</v>
      </c>
      <c r="D1965" s="109">
        <v>1</v>
      </c>
      <c r="E1965" s="109">
        <v>227.07</v>
      </c>
      <c r="F1965" s="109"/>
      <c r="G1965" s="108" t="s">
        <v>2184</v>
      </c>
      <c r="H1965" s="111" t="s">
        <v>16</v>
      </c>
    </row>
    <row r="1966" spans="1:8" ht="33" x14ac:dyDescent="0.2">
      <c r="A1966" s="108">
        <v>1</v>
      </c>
      <c r="B1966" s="108" t="s">
        <v>2183</v>
      </c>
      <c r="C1966" s="110" t="s">
        <v>606</v>
      </c>
      <c r="D1966" s="109">
        <v>1</v>
      </c>
      <c r="E1966" s="109">
        <v>142.5</v>
      </c>
      <c r="F1966" s="109">
        <v>142.5</v>
      </c>
      <c r="G1966" s="108" t="s">
        <v>2182</v>
      </c>
      <c r="H1966" s="111" t="s">
        <v>16</v>
      </c>
    </row>
    <row r="1967" spans="1:8" ht="42.75" x14ac:dyDescent="0.2">
      <c r="A1967" s="108">
        <v>2</v>
      </c>
      <c r="B1967" s="108" t="s">
        <v>1992</v>
      </c>
      <c r="C1967" s="110" t="s">
        <v>34</v>
      </c>
      <c r="D1967" s="109">
        <v>0.02</v>
      </c>
      <c r="E1967" s="109">
        <v>540.75</v>
      </c>
      <c r="F1967" s="109">
        <v>10.82</v>
      </c>
      <c r="G1967" s="108" t="s">
        <v>1991</v>
      </c>
      <c r="H1967" s="111" t="s">
        <v>16</v>
      </c>
    </row>
    <row r="1968" spans="1:8" ht="42.75" x14ac:dyDescent="0.2">
      <c r="A1968" s="108">
        <v>3</v>
      </c>
      <c r="B1968" s="108" t="s">
        <v>1558</v>
      </c>
      <c r="C1968" s="110" t="s">
        <v>103</v>
      </c>
      <c r="D1968" s="109">
        <v>0.02</v>
      </c>
      <c r="E1968" s="109">
        <v>586</v>
      </c>
      <c r="F1968" s="109">
        <v>11.72</v>
      </c>
      <c r="G1968" s="108" t="s">
        <v>1990</v>
      </c>
      <c r="H1968" s="111" t="s">
        <v>16</v>
      </c>
    </row>
    <row r="1969" spans="1:8" ht="33" x14ac:dyDescent="0.2">
      <c r="A1969" s="108">
        <v>4</v>
      </c>
      <c r="B1969" s="108" t="s">
        <v>2165</v>
      </c>
      <c r="C1969" s="110" t="s">
        <v>606</v>
      </c>
      <c r="D1969" s="109">
        <v>1</v>
      </c>
      <c r="E1969" s="109">
        <v>9.15</v>
      </c>
      <c r="F1969" s="109">
        <v>9.15</v>
      </c>
      <c r="G1969" s="108" t="s">
        <v>2164</v>
      </c>
      <c r="H1969" s="111" t="s">
        <v>16</v>
      </c>
    </row>
    <row r="1970" spans="1:8" ht="33" x14ac:dyDescent="0.2">
      <c r="A1970" s="108">
        <v>5</v>
      </c>
      <c r="B1970" s="108" t="s">
        <v>1976</v>
      </c>
      <c r="C1970" s="110" t="s">
        <v>110</v>
      </c>
      <c r="D1970" s="109">
        <v>0.05</v>
      </c>
      <c r="E1970" s="109">
        <v>12</v>
      </c>
      <c r="F1970" s="109">
        <v>0.6</v>
      </c>
      <c r="G1970" s="108" t="s">
        <v>1975</v>
      </c>
      <c r="H1970" s="111" t="s">
        <v>16</v>
      </c>
    </row>
    <row r="1971" spans="1:8" ht="33" x14ac:dyDescent="0.2">
      <c r="A1971" s="108">
        <v>6</v>
      </c>
      <c r="B1971" s="108" t="s">
        <v>2010</v>
      </c>
      <c r="C1971" s="110" t="s">
        <v>34</v>
      </c>
      <c r="D1971" s="109">
        <v>0.02</v>
      </c>
      <c r="E1971" s="109">
        <v>408.43</v>
      </c>
      <c r="F1971" s="109">
        <v>8.17</v>
      </c>
      <c r="G1971" s="108" t="s">
        <v>2009</v>
      </c>
      <c r="H1971" s="111" t="s">
        <v>16</v>
      </c>
    </row>
    <row r="1972" spans="1:8" ht="57" x14ac:dyDescent="0.2">
      <c r="A1972" s="108">
        <v>7</v>
      </c>
      <c r="B1972" s="108" t="s">
        <v>1985</v>
      </c>
      <c r="C1972" s="110" t="s">
        <v>97</v>
      </c>
      <c r="D1972" s="109">
        <v>0.1</v>
      </c>
      <c r="E1972" s="109">
        <v>375</v>
      </c>
      <c r="F1972" s="109">
        <v>37.5</v>
      </c>
      <c r="G1972" s="108" t="s">
        <v>1984</v>
      </c>
      <c r="H1972" s="111" t="s">
        <v>16</v>
      </c>
    </row>
    <row r="1973" spans="1:8" ht="33" x14ac:dyDescent="0.2">
      <c r="A1973" s="108">
        <v>8</v>
      </c>
      <c r="B1973" s="108" t="s">
        <v>1518</v>
      </c>
      <c r="C1973" s="110" t="s">
        <v>14</v>
      </c>
      <c r="D1973" s="109">
        <v>1</v>
      </c>
      <c r="E1973" s="109">
        <v>6.61</v>
      </c>
      <c r="F1973" s="109">
        <v>6.61</v>
      </c>
      <c r="G1973" s="108" t="s">
        <v>1517</v>
      </c>
      <c r="H1973" s="111" t="s">
        <v>16</v>
      </c>
    </row>
    <row r="1974" spans="1:8" ht="33" x14ac:dyDescent="0.2">
      <c r="A1974" s="108"/>
      <c r="B1974" s="108" t="s">
        <v>1516</v>
      </c>
      <c r="C1974" s="110" t="s">
        <v>606</v>
      </c>
      <c r="D1974" s="109">
        <v>1</v>
      </c>
      <c r="E1974" s="109"/>
      <c r="F1974" s="109">
        <v>227.07</v>
      </c>
      <c r="G1974" s="108"/>
      <c r="H1974" s="111" t="s">
        <v>16</v>
      </c>
    </row>
    <row r="1975" spans="1:8" ht="33" x14ac:dyDescent="0.2">
      <c r="A1975" s="108"/>
      <c r="B1975" s="108" t="s">
        <v>1515</v>
      </c>
      <c r="C1975" s="110" t="s">
        <v>606</v>
      </c>
      <c r="D1975" s="109"/>
      <c r="E1975" s="109"/>
      <c r="F1975" s="109">
        <v>227.07</v>
      </c>
      <c r="G1975" s="108"/>
      <c r="H1975" s="111" t="s">
        <v>16</v>
      </c>
    </row>
    <row r="1976" spans="1:8" ht="16.5" x14ac:dyDescent="0.2">
      <c r="A1976" s="108"/>
      <c r="B1976" s="108"/>
      <c r="C1976" s="110"/>
      <c r="D1976" s="109"/>
      <c r="E1976" s="109"/>
      <c r="F1976" s="109"/>
      <c r="G1976" s="108"/>
    </row>
    <row r="1977" spans="1:8" ht="33" x14ac:dyDescent="0.2">
      <c r="A1977" s="108" t="s">
        <v>2181</v>
      </c>
      <c r="B1977" s="108" t="s">
        <v>732</v>
      </c>
      <c r="C1977" s="110" t="s">
        <v>606</v>
      </c>
      <c r="D1977" s="109">
        <v>1</v>
      </c>
      <c r="E1977" s="109">
        <v>277.02999999999997</v>
      </c>
      <c r="F1977" s="109"/>
      <c r="G1977" s="108" t="s">
        <v>2180</v>
      </c>
      <c r="H1977" s="111" t="s">
        <v>16</v>
      </c>
    </row>
    <row r="1978" spans="1:8" ht="33" x14ac:dyDescent="0.2">
      <c r="A1978" s="108">
        <v>1</v>
      </c>
      <c r="B1978" s="108" t="s">
        <v>2179</v>
      </c>
      <c r="C1978" s="110" t="s">
        <v>606</v>
      </c>
      <c r="D1978" s="109">
        <v>1</v>
      </c>
      <c r="E1978" s="109">
        <v>200</v>
      </c>
      <c r="F1978" s="109">
        <v>200</v>
      </c>
      <c r="G1978" s="108" t="s">
        <v>2178</v>
      </c>
      <c r="H1978" s="111" t="s">
        <v>16</v>
      </c>
    </row>
    <row r="1979" spans="1:8" ht="42.75" x14ac:dyDescent="0.2">
      <c r="A1979" s="108">
        <v>2</v>
      </c>
      <c r="B1979" s="108" t="s">
        <v>1992</v>
      </c>
      <c r="C1979" s="110" t="s">
        <v>34</v>
      </c>
      <c r="D1979" s="109">
        <v>0.02</v>
      </c>
      <c r="E1979" s="109">
        <v>540.75</v>
      </c>
      <c r="F1979" s="109">
        <v>10.82</v>
      </c>
      <c r="G1979" s="108" t="s">
        <v>1991</v>
      </c>
      <c r="H1979" s="111" t="s">
        <v>16</v>
      </c>
    </row>
    <row r="1980" spans="1:8" ht="42.75" x14ac:dyDescent="0.2">
      <c r="A1980" s="108">
        <v>3</v>
      </c>
      <c r="B1980" s="108" t="s">
        <v>1558</v>
      </c>
      <c r="C1980" s="110" t="s">
        <v>103</v>
      </c>
      <c r="D1980" s="109">
        <v>0.02</v>
      </c>
      <c r="E1980" s="109">
        <v>586</v>
      </c>
      <c r="F1980" s="109">
        <v>11.72</v>
      </c>
      <c r="G1980" s="108" t="s">
        <v>1990</v>
      </c>
      <c r="H1980" s="111" t="s">
        <v>16</v>
      </c>
    </row>
    <row r="1981" spans="1:8" ht="33" x14ac:dyDescent="0.2">
      <c r="A1981" s="108">
        <v>4</v>
      </c>
      <c r="B1981" s="108" t="s">
        <v>2138</v>
      </c>
      <c r="C1981" s="110" t="s">
        <v>606</v>
      </c>
      <c r="D1981" s="109">
        <v>1</v>
      </c>
      <c r="E1981" s="109">
        <v>4.24</v>
      </c>
      <c r="F1981" s="109">
        <v>4.24</v>
      </c>
      <c r="G1981" s="108" t="s">
        <v>2137</v>
      </c>
      <c r="H1981" s="111" t="s">
        <v>16</v>
      </c>
    </row>
    <row r="1982" spans="1:8" ht="33" x14ac:dyDescent="0.2">
      <c r="A1982" s="108">
        <v>5</v>
      </c>
      <c r="B1982" s="108" t="s">
        <v>1976</v>
      </c>
      <c r="C1982" s="110" t="s">
        <v>110</v>
      </c>
      <c r="D1982" s="109">
        <v>0.05</v>
      </c>
      <c r="E1982" s="109">
        <v>12</v>
      </c>
      <c r="F1982" s="109">
        <v>0.6</v>
      </c>
      <c r="G1982" s="108" t="s">
        <v>1975</v>
      </c>
      <c r="H1982" s="111" t="s">
        <v>16</v>
      </c>
    </row>
    <row r="1983" spans="1:8" ht="33" x14ac:dyDescent="0.2">
      <c r="A1983" s="108">
        <v>6</v>
      </c>
      <c r="B1983" s="108" t="s">
        <v>2010</v>
      </c>
      <c r="C1983" s="110" t="s">
        <v>34</v>
      </c>
      <c r="D1983" s="109">
        <v>0.01</v>
      </c>
      <c r="E1983" s="109">
        <v>408.43</v>
      </c>
      <c r="F1983" s="109">
        <v>4.08</v>
      </c>
      <c r="G1983" s="108" t="s">
        <v>2009</v>
      </c>
      <c r="H1983" s="111" t="s">
        <v>16</v>
      </c>
    </row>
    <row r="1984" spans="1:8" ht="57" x14ac:dyDescent="0.2">
      <c r="A1984" s="108">
        <v>7</v>
      </c>
      <c r="B1984" s="108" t="s">
        <v>1985</v>
      </c>
      <c r="C1984" s="110" t="s">
        <v>97</v>
      </c>
      <c r="D1984" s="109">
        <v>0.1</v>
      </c>
      <c r="E1984" s="109">
        <v>375</v>
      </c>
      <c r="F1984" s="109">
        <v>37.5</v>
      </c>
      <c r="G1984" s="108" t="s">
        <v>1984</v>
      </c>
      <c r="H1984" s="111" t="s">
        <v>16</v>
      </c>
    </row>
    <row r="1985" spans="1:8" ht="33" x14ac:dyDescent="0.2">
      <c r="A1985" s="108">
        <v>8</v>
      </c>
      <c r="B1985" s="108" t="s">
        <v>1518</v>
      </c>
      <c r="C1985" s="110" t="s">
        <v>14</v>
      </c>
      <c r="D1985" s="109">
        <v>1</v>
      </c>
      <c r="E1985" s="109">
        <v>8.07</v>
      </c>
      <c r="F1985" s="109">
        <v>8.07</v>
      </c>
      <c r="G1985" s="108" t="s">
        <v>1517</v>
      </c>
      <c r="H1985" s="111" t="s">
        <v>16</v>
      </c>
    </row>
    <row r="1986" spans="1:8" ht="33" x14ac:dyDescent="0.2">
      <c r="A1986" s="108"/>
      <c r="B1986" s="108" t="s">
        <v>1516</v>
      </c>
      <c r="C1986" s="110" t="s">
        <v>606</v>
      </c>
      <c r="D1986" s="109">
        <v>1</v>
      </c>
      <c r="E1986" s="109"/>
      <c r="F1986" s="109">
        <v>277.03000000000003</v>
      </c>
      <c r="G1986" s="108"/>
      <c r="H1986" s="111" t="s">
        <v>16</v>
      </c>
    </row>
    <row r="1987" spans="1:8" ht="33" x14ac:dyDescent="0.2">
      <c r="A1987" s="108"/>
      <c r="B1987" s="108" t="s">
        <v>1515</v>
      </c>
      <c r="C1987" s="110" t="s">
        <v>606</v>
      </c>
      <c r="D1987" s="109"/>
      <c r="E1987" s="109"/>
      <c r="F1987" s="109">
        <v>277.02999999999997</v>
      </c>
      <c r="G1987" s="108"/>
      <c r="H1987" s="111" t="s">
        <v>16</v>
      </c>
    </row>
    <row r="1988" spans="1:8" ht="16.5" x14ac:dyDescent="0.2">
      <c r="A1988" s="108"/>
      <c r="B1988" s="108"/>
      <c r="C1988" s="110"/>
      <c r="D1988" s="109"/>
      <c r="E1988" s="109"/>
      <c r="F1988" s="109"/>
      <c r="G1988" s="108"/>
    </row>
    <row r="1989" spans="1:8" ht="33" x14ac:dyDescent="0.2">
      <c r="A1989" s="108" t="s">
        <v>2177</v>
      </c>
      <c r="B1989" s="108" t="s">
        <v>735</v>
      </c>
      <c r="C1989" s="110" t="s">
        <v>606</v>
      </c>
      <c r="D1989" s="109">
        <v>1</v>
      </c>
      <c r="E1989" s="109">
        <v>286.3</v>
      </c>
      <c r="F1989" s="109"/>
      <c r="G1989" s="108" t="s">
        <v>2176</v>
      </c>
      <c r="H1989" s="111" t="s">
        <v>16</v>
      </c>
    </row>
    <row r="1990" spans="1:8" ht="33" x14ac:dyDescent="0.2">
      <c r="A1990" s="108">
        <v>1</v>
      </c>
      <c r="B1990" s="108" t="s">
        <v>2175</v>
      </c>
      <c r="C1990" s="110" t="s">
        <v>606</v>
      </c>
      <c r="D1990" s="109">
        <v>1</v>
      </c>
      <c r="E1990" s="109">
        <v>200</v>
      </c>
      <c r="F1990" s="109">
        <v>200</v>
      </c>
      <c r="G1990" s="108" t="s">
        <v>2174</v>
      </c>
      <c r="H1990" s="111" t="s">
        <v>16</v>
      </c>
    </row>
    <row r="1991" spans="1:8" ht="42.75" x14ac:dyDescent="0.2">
      <c r="A1991" s="108">
        <v>2</v>
      </c>
      <c r="B1991" s="108" t="s">
        <v>1992</v>
      </c>
      <c r="C1991" s="110" t="s">
        <v>34</v>
      </c>
      <c r="D1991" s="109">
        <v>0.02</v>
      </c>
      <c r="E1991" s="109">
        <v>540.75</v>
      </c>
      <c r="F1991" s="109">
        <v>10.82</v>
      </c>
      <c r="G1991" s="108" t="s">
        <v>1991</v>
      </c>
      <c r="H1991" s="111" t="s">
        <v>16</v>
      </c>
    </row>
    <row r="1992" spans="1:8" ht="42.75" x14ac:dyDescent="0.2">
      <c r="A1992" s="108">
        <v>3</v>
      </c>
      <c r="B1992" s="108" t="s">
        <v>1558</v>
      </c>
      <c r="C1992" s="110" t="s">
        <v>103</v>
      </c>
      <c r="D1992" s="109">
        <v>0.02</v>
      </c>
      <c r="E1992" s="109">
        <v>586</v>
      </c>
      <c r="F1992" s="109">
        <v>11.72</v>
      </c>
      <c r="G1992" s="108" t="s">
        <v>1990</v>
      </c>
      <c r="H1992" s="111" t="s">
        <v>16</v>
      </c>
    </row>
    <row r="1993" spans="1:8" ht="33" x14ac:dyDescent="0.2">
      <c r="A1993" s="108">
        <v>4</v>
      </c>
      <c r="B1993" s="108" t="s">
        <v>2165</v>
      </c>
      <c r="C1993" s="110" t="s">
        <v>606</v>
      </c>
      <c r="D1993" s="109">
        <v>1</v>
      </c>
      <c r="E1993" s="109">
        <v>9.15</v>
      </c>
      <c r="F1993" s="109">
        <v>9.15</v>
      </c>
      <c r="G1993" s="108" t="s">
        <v>2164</v>
      </c>
      <c r="H1993" s="111" t="s">
        <v>16</v>
      </c>
    </row>
    <row r="1994" spans="1:8" ht="33" x14ac:dyDescent="0.2">
      <c r="A1994" s="108">
        <v>5</v>
      </c>
      <c r="B1994" s="108" t="s">
        <v>1976</v>
      </c>
      <c r="C1994" s="110" t="s">
        <v>110</v>
      </c>
      <c r="D1994" s="109">
        <v>0.05</v>
      </c>
      <c r="E1994" s="109">
        <v>12</v>
      </c>
      <c r="F1994" s="109">
        <v>0.6</v>
      </c>
      <c r="G1994" s="108" t="s">
        <v>1975</v>
      </c>
      <c r="H1994" s="111" t="s">
        <v>16</v>
      </c>
    </row>
    <row r="1995" spans="1:8" ht="33" x14ac:dyDescent="0.2">
      <c r="A1995" s="108">
        <v>6</v>
      </c>
      <c r="B1995" s="108" t="s">
        <v>2010</v>
      </c>
      <c r="C1995" s="110" t="s">
        <v>34</v>
      </c>
      <c r="D1995" s="109">
        <v>0.02</v>
      </c>
      <c r="E1995" s="109">
        <v>408.43</v>
      </c>
      <c r="F1995" s="109">
        <v>8.17</v>
      </c>
      <c r="G1995" s="108" t="s">
        <v>2009</v>
      </c>
      <c r="H1995" s="111" t="s">
        <v>16</v>
      </c>
    </row>
    <row r="1996" spans="1:8" ht="57" x14ac:dyDescent="0.2">
      <c r="A1996" s="108">
        <v>7</v>
      </c>
      <c r="B1996" s="108" t="s">
        <v>1985</v>
      </c>
      <c r="C1996" s="110" t="s">
        <v>97</v>
      </c>
      <c r="D1996" s="109">
        <v>0.1</v>
      </c>
      <c r="E1996" s="109">
        <v>375</v>
      </c>
      <c r="F1996" s="109">
        <v>37.5</v>
      </c>
      <c r="G1996" s="108" t="s">
        <v>1984</v>
      </c>
      <c r="H1996" s="111" t="s">
        <v>16</v>
      </c>
    </row>
    <row r="1997" spans="1:8" ht="33" x14ac:dyDescent="0.2">
      <c r="A1997" s="108">
        <v>8</v>
      </c>
      <c r="B1997" s="108" t="s">
        <v>1518</v>
      </c>
      <c r="C1997" s="110" t="s">
        <v>14</v>
      </c>
      <c r="D1997" s="109">
        <v>1</v>
      </c>
      <c r="E1997" s="109">
        <v>8.34</v>
      </c>
      <c r="F1997" s="109">
        <v>8.34</v>
      </c>
      <c r="G1997" s="108" t="s">
        <v>1517</v>
      </c>
      <c r="H1997" s="111" t="s">
        <v>16</v>
      </c>
    </row>
    <row r="1998" spans="1:8" ht="33" x14ac:dyDescent="0.2">
      <c r="A1998" s="108"/>
      <c r="B1998" s="108" t="s">
        <v>1516</v>
      </c>
      <c r="C1998" s="110" t="s">
        <v>606</v>
      </c>
      <c r="D1998" s="109">
        <v>1</v>
      </c>
      <c r="E1998" s="109"/>
      <c r="F1998" s="109">
        <v>286.29999999999995</v>
      </c>
      <c r="G1998" s="108"/>
      <c r="H1998" s="111" t="s">
        <v>16</v>
      </c>
    </row>
    <row r="1999" spans="1:8" ht="33" x14ac:dyDescent="0.2">
      <c r="A1999" s="108"/>
      <c r="B1999" s="108" t="s">
        <v>1515</v>
      </c>
      <c r="C1999" s="110" t="s">
        <v>606</v>
      </c>
      <c r="D1999" s="109"/>
      <c r="E1999" s="109"/>
      <c r="F1999" s="109">
        <v>286.3</v>
      </c>
      <c r="G1999" s="108"/>
      <c r="H1999" s="111" t="s">
        <v>16</v>
      </c>
    </row>
    <row r="2000" spans="1:8" ht="16.5" x14ac:dyDescent="0.2">
      <c r="A2000" s="108"/>
      <c r="B2000" s="108"/>
      <c r="C2000" s="110"/>
      <c r="D2000" s="109"/>
      <c r="E2000" s="109"/>
      <c r="F2000" s="109"/>
      <c r="G2000" s="108"/>
    </row>
    <row r="2001" spans="1:8" ht="33" x14ac:dyDescent="0.2">
      <c r="A2001" s="108" t="s">
        <v>2173</v>
      </c>
      <c r="B2001" s="108" t="s">
        <v>738</v>
      </c>
      <c r="C2001" s="110" t="s">
        <v>606</v>
      </c>
      <c r="D2001" s="109">
        <v>1</v>
      </c>
      <c r="E2001" s="109">
        <v>134.37</v>
      </c>
      <c r="F2001" s="109"/>
      <c r="G2001" s="108" t="s">
        <v>2172</v>
      </c>
      <c r="H2001" s="111" t="s">
        <v>16</v>
      </c>
    </row>
    <row r="2002" spans="1:8" ht="33" x14ac:dyDescent="0.2">
      <c r="A2002" s="108">
        <v>1</v>
      </c>
      <c r="B2002" s="108" t="s">
        <v>2171</v>
      </c>
      <c r="C2002" s="110" t="s">
        <v>606</v>
      </c>
      <c r="D2002" s="109">
        <v>1</v>
      </c>
      <c r="E2002" s="109">
        <v>52.5</v>
      </c>
      <c r="F2002" s="109">
        <v>52.5</v>
      </c>
      <c r="G2002" s="108" t="s">
        <v>2170</v>
      </c>
      <c r="H2002" s="111" t="s">
        <v>16</v>
      </c>
    </row>
    <row r="2003" spans="1:8" ht="42.75" x14ac:dyDescent="0.2">
      <c r="A2003" s="108">
        <v>2</v>
      </c>
      <c r="B2003" s="108" t="s">
        <v>1992</v>
      </c>
      <c r="C2003" s="110" t="s">
        <v>34</v>
      </c>
      <c r="D2003" s="109">
        <v>0.02</v>
      </c>
      <c r="E2003" s="109">
        <v>540.75</v>
      </c>
      <c r="F2003" s="109">
        <v>10.82</v>
      </c>
      <c r="G2003" s="108" t="s">
        <v>1991</v>
      </c>
      <c r="H2003" s="111" t="s">
        <v>16</v>
      </c>
    </row>
    <row r="2004" spans="1:8" ht="42.75" x14ac:dyDescent="0.2">
      <c r="A2004" s="108">
        <v>3</v>
      </c>
      <c r="B2004" s="108" t="s">
        <v>1558</v>
      </c>
      <c r="C2004" s="110" t="s">
        <v>103</v>
      </c>
      <c r="D2004" s="109">
        <v>0.02</v>
      </c>
      <c r="E2004" s="109">
        <v>586</v>
      </c>
      <c r="F2004" s="109">
        <v>11.72</v>
      </c>
      <c r="G2004" s="108" t="s">
        <v>1990</v>
      </c>
      <c r="H2004" s="111" t="s">
        <v>16</v>
      </c>
    </row>
    <row r="2005" spans="1:8" ht="33" x14ac:dyDescent="0.2">
      <c r="A2005" s="108">
        <v>4</v>
      </c>
      <c r="B2005" s="108" t="s">
        <v>2165</v>
      </c>
      <c r="C2005" s="110" t="s">
        <v>606</v>
      </c>
      <c r="D2005" s="109">
        <v>1</v>
      </c>
      <c r="E2005" s="109">
        <v>9.15</v>
      </c>
      <c r="F2005" s="109">
        <v>9.15</v>
      </c>
      <c r="G2005" s="108" t="s">
        <v>2164</v>
      </c>
      <c r="H2005" s="111" t="s">
        <v>16</v>
      </c>
    </row>
    <row r="2006" spans="1:8" ht="33" x14ac:dyDescent="0.2">
      <c r="A2006" s="108">
        <v>5</v>
      </c>
      <c r="B2006" s="108" t="s">
        <v>1976</v>
      </c>
      <c r="C2006" s="110" t="s">
        <v>110</v>
      </c>
      <c r="D2006" s="109">
        <v>0.05</v>
      </c>
      <c r="E2006" s="109">
        <v>12</v>
      </c>
      <c r="F2006" s="109">
        <v>0.6</v>
      </c>
      <c r="G2006" s="108" t="s">
        <v>1975</v>
      </c>
      <c r="H2006" s="111" t="s">
        <v>16</v>
      </c>
    </row>
    <row r="2007" spans="1:8" ht="33" x14ac:dyDescent="0.2">
      <c r="A2007" s="108">
        <v>6</v>
      </c>
      <c r="B2007" s="108" t="s">
        <v>2010</v>
      </c>
      <c r="C2007" s="110" t="s">
        <v>34</v>
      </c>
      <c r="D2007" s="109">
        <v>0.02</v>
      </c>
      <c r="E2007" s="109">
        <v>408.43</v>
      </c>
      <c r="F2007" s="109">
        <v>8.17</v>
      </c>
      <c r="G2007" s="108" t="s">
        <v>2009</v>
      </c>
      <c r="H2007" s="111" t="s">
        <v>16</v>
      </c>
    </row>
    <row r="2008" spans="1:8" ht="57" x14ac:dyDescent="0.2">
      <c r="A2008" s="108">
        <v>7</v>
      </c>
      <c r="B2008" s="108" t="s">
        <v>1985</v>
      </c>
      <c r="C2008" s="110" t="s">
        <v>97</v>
      </c>
      <c r="D2008" s="109">
        <v>0.1</v>
      </c>
      <c r="E2008" s="109">
        <v>375</v>
      </c>
      <c r="F2008" s="109">
        <v>37.5</v>
      </c>
      <c r="G2008" s="108" t="s">
        <v>1984</v>
      </c>
      <c r="H2008" s="111" t="s">
        <v>16</v>
      </c>
    </row>
    <row r="2009" spans="1:8" ht="33" x14ac:dyDescent="0.2">
      <c r="A2009" s="108">
        <v>8</v>
      </c>
      <c r="B2009" s="108" t="s">
        <v>1518</v>
      </c>
      <c r="C2009" s="110" t="s">
        <v>14</v>
      </c>
      <c r="D2009" s="109">
        <v>1</v>
      </c>
      <c r="E2009" s="109">
        <v>3.91</v>
      </c>
      <c r="F2009" s="109">
        <v>3.91</v>
      </c>
      <c r="G2009" s="108" t="s">
        <v>1517</v>
      </c>
      <c r="H2009" s="111" t="s">
        <v>16</v>
      </c>
    </row>
    <row r="2010" spans="1:8" ht="33" x14ac:dyDescent="0.2">
      <c r="A2010" s="108"/>
      <c r="B2010" s="108" t="s">
        <v>1516</v>
      </c>
      <c r="C2010" s="110" t="s">
        <v>606</v>
      </c>
      <c r="D2010" s="109">
        <v>1</v>
      </c>
      <c r="E2010" s="109"/>
      <c r="F2010" s="109">
        <v>134.37</v>
      </c>
      <c r="G2010" s="108"/>
      <c r="H2010" s="111" t="s">
        <v>16</v>
      </c>
    </row>
    <row r="2011" spans="1:8" ht="33" x14ac:dyDescent="0.2">
      <c r="A2011" s="108"/>
      <c r="B2011" s="108" t="s">
        <v>1515</v>
      </c>
      <c r="C2011" s="110" t="s">
        <v>606</v>
      </c>
      <c r="D2011" s="109"/>
      <c r="E2011" s="109"/>
      <c r="F2011" s="109">
        <v>134.37</v>
      </c>
      <c r="G2011" s="108"/>
      <c r="H2011" s="111" t="s">
        <v>16</v>
      </c>
    </row>
    <row r="2012" spans="1:8" ht="16.5" x14ac:dyDescent="0.2">
      <c r="A2012" s="108"/>
      <c r="B2012" s="108"/>
      <c r="C2012" s="110"/>
      <c r="D2012" s="109"/>
      <c r="E2012" s="109"/>
      <c r="F2012" s="109"/>
      <c r="G2012" s="108"/>
    </row>
    <row r="2013" spans="1:8" ht="33" x14ac:dyDescent="0.2">
      <c r="A2013" s="108" t="s">
        <v>2169</v>
      </c>
      <c r="B2013" s="108" t="s">
        <v>741</v>
      </c>
      <c r="C2013" s="110" t="s">
        <v>606</v>
      </c>
      <c r="D2013" s="109">
        <v>1</v>
      </c>
      <c r="E2013" s="109">
        <v>142.1</v>
      </c>
      <c r="F2013" s="109"/>
      <c r="G2013" s="108" t="s">
        <v>2168</v>
      </c>
      <c r="H2013" s="111" t="s">
        <v>16</v>
      </c>
    </row>
    <row r="2014" spans="1:8" ht="33" x14ac:dyDescent="0.2">
      <c r="A2014" s="108">
        <v>1</v>
      </c>
      <c r="B2014" s="108" t="s">
        <v>2167</v>
      </c>
      <c r="C2014" s="110" t="s">
        <v>606</v>
      </c>
      <c r="D2014" s="109">
        <v>1</v>
      </c>
      <c r="E2014" s="109">
        <v>60</v>
      </c>
      <c r="F2014" s="109">
        <v>60</v>
      </c>
      <c r="G2014" s="108" t="s">
        <v>2166</v>
      </c>
      <c r="H2014" s="111" t="s">
        <v>16</v>
      </c>
    </row>
    <row r="2015" spans="1:8" ht="42.75" x14ac:dyDescent="0.2">
      <c r="A2015" s="108">
        <v>2</v>
      </c>
      <c r="B2015" s="108" t="s">
        <v>1992</v>
      </c>
      <c r="C2015" s="110" t="s">
        <v>34</v>
      </c>
      <c r="D2015" s="109">
        <v>0.02</v>
      </c>
      <c r="E2015" s="109">
        <v>540.75</v>
      </c>
      <c r="F2015" s="109">
        <v>10.82</v>
      </c>
      <c r="G2015" s="108" t="s">
        <v>1991</v>
      </c>
      <c r="H2015" s="111" t="s">
        <v>16</v>
      </c>
    </row>
    <row r="2016" spans="1:8" ht="42.75" x14ac:dyDescent="0.2">
      <c r="A2016" s="108">
        <v>3</v>
      </c>
      <c r="B2016" s="108" t="s">
        <v>1558</v>
      </c>
      <c r="C2016" s="110" t="s">
        <v>103</v>
      </c>
      <c r="D2016" s="109">
        <v>0.02</v>
      </c>
      <c r="E2016" s="109">
        <v>586</v>
      </c>
      <c r="F2016" s="109">
        <v>11.72</v>
      </c>
      <c r="G2016" s="108" t="s">
        <v>1990</v>
      </c>
      <c r="H2016" s="111" t="s">
        <v>16</v>
      </c>
    </row>
    <row r="2017" spans="1:8" ht="33" x14ac:dyDescent="0.2">
      <c r="A2017" s="108">
        <v>4</v>
      </c>
      <c r="B2017" s="108" t="s">
        <v>2165</v>
      </c>
      <c r="C2017" s="110" t="s">
        <v>606</v>
      </c>
      <c r="D2017" s="109">
        <v>1</v>
      </c>
      <c r="E2017" s="109">
        <v>9.15</v>
      </c>
      <c r="F2017" s="109">
        <v>9.15</v>
      </c>
      <c r="G2017" s="108" t="s">
        <v>2164</v>
      </c>
      <c r="H2017" s="111" t="s">
        <v>16</v>
      </c>
    </row>
    <row r="2018" spans="1:8" ht="33" x14ac:dyDescent="0.2">
      <c r="A2018" s="108">
        <v>5</v>
      </c>
      <c r="B2018" s="108" t="s">
        <v>1976</v>
      </c>
      <c r="C2018" s="110" t="s">
        <v>110</v>
      </c>
      <c r="D2018" s="109">
        <v>0.05</v>
      </c>
      <c r="E2018" s="109">
        <v>12</v>
      </c>
      <c r="F2018" s="109">
        <v>0.6</v>
      </c>
      <c r="G2018" s="108" t="s">
        <v>1975</v>
      </c>
      <c r="H2018" s="111" t="s">
        <v>16</v>
      </c>
    </row>
    <row r="2019" spans="1:8" ht="33" x14ac:dyDescent="0.2">
      <c r="A2019" s="108">
        <v>6</v>
      </c>
      <c r="B2019" s="108" t="s">
        <v>2010</v>
      </c>
      <c r="C2019" s="110" t="s">
        <v>34</v>
      </c>
      <c r="D2019" s="109">
        <v>0.02</v>
      </c>
      <c r="E2019" s="109">
        <v>408.43</v>
      </c>
      <c r="F2019" s="109">
        <v>8.17</v>
      </c>
      <c r="G2019" s="108" t="s">
        <v>2009</v>
      </c>
      <c r="H2019" s="111" t="s">
        <v>16</v>
      </c>
    </row>
    <row r="2020" spans="1:8" ht="57" x14ac:dyDescent="0.2">
      <c r="A2020" s="108">
        <v>7</v>
      </c>
      <c r="B2020" s="108" t="s">
        <v>1985</v>
      </c>
      <c r="C2020" s="110" t="s">
        <v>97</v>
      </c>
      <c r="D2020" s="109">
        <v>0.1</v>
      </c>
      <c r="E2020" s="109">
        <v>375</v>
      </c>
      <c r="F2020" s="109">
        <v>37.5</v>
      </c>
      <c r="G2020" s="108" t="s">
        <v>1984</v>
      </c>
      <c r="H2020" s="111" t="s">
        <v>16</v>
      </c>
    </row>
    <row r="2021" spans="1:8" ht="33" x14ac:dyDescent="0.2">
      <c r="A2021" s="108">
        <v>8</v>
      </c>
      <c r="B2021" s="108" t="s">
        <v>1518</v>
      </c>
      <c r="C2021" s="110" t="s">
        <v>14</v>
      </c>
      <c r="D2021" s="109">
        <v>1</v>
      </c>
      <c r="E2021" s="109">
        <v>4.1399999999999997</v>
      </c>
      <c r="F2021" s="109">
        <v>4.1399999999999997</v>
      </c>
      <c r="G2021" s="108" t="s">
        <v>1517</v>
      </c>
      <c r="H2021" s="111" t="s">
        <v>16</v>
      </c>
    </row>
    <row r="2022" spans="1:8" ht="33" x14ac:dyDescent="0.2">
      <c r="A2022" s="108"/>
      <c r="B2022" s="108" t="s">
        <v>1516</v>
      </c>
      <c r="C2022" s="110" t="s">
        <v>606</v>
      </c>
      <c r="D2022" s="109">
        <v>1</v>
      </c>
      <c r="E2022" s="109"/>
      <c r="F2022" s="109">
        <v>142.09999999999997</v>
      </c>
      <c r="G2022" s="108"/>
      <c r="H2022" s="111" t="s">
        <v>16</v>
      </c>
    </row>
    <row r="2023" spans="1:8" ht="33" x14ac:dyDescent="0.2">
      <c r="A2023" s="108"/>
      <c r="B2023" s="108" t="s">
        <v>1515</v>
      </c>
      <c r="C2023" s="110" t="s">
        <v>606</v>
      </c>
      <c r="D2023" s="109"/>
      <c r="E2023" s="109"/>
      <c r="F2023" s="109">
        <v>142.1</v>
      </c>
      <c r="G2023" s="108"/>
      <c r="H2023" s="111" t="s">
        <v>16</v>
      </c>
    </row>
    <row r="2024" spans="1:8" ht="16.5" x14ac:dyDescent="0.2">
      <c r="A2024" s="108"/>
      <c r="B2024" s="108"/>
      <c r="C2024" s="110"/>
      <c r="D2024" s="109"/>
      <c r="E2024" s="109"/>
      <c r="F2024" s="109"/>
      <c r="G2024" s="108"/>
    </row>
    <row r="2025" spans="1:8" ht="33" x14ac:dyDescent="0.2">
      <c r="A2025" s="108" t="s">
        <v>2163</v>
      </c>
      <c r="B2025" s="108" t="s">
        <v>744</v>
      </c>
      <c r="C2025" s="110" t="s">
        <v>606</v>
      </c>
      <c r="D2025" s="109">
        <v>1</v>
      </c>
      <c r="E2025" s="109">
        <v>90.32</v>
      </c>
      <c r="F2025" s="109"/>
      <c r="G2025" s="108" t="s">
        <v>2162</v>
      </c>
      <c r="H2025" s="111" t="s">
        <v>16</v>
      </c>
    </row>
    <row r="2026" spans="1:8" ht="33" x14ac:dyDescent="0.2">
      <c r="A2026" s="108">
        <v>1</v>
      </c>
      <c r="B2026" s="108" t="s">
        <v>2161</v>
      </c>
      <c r="C2026" s="110" t="s">
        <v>606</v>
      </c>
      <c r="D2026" s="109">
        <v>1</v>
      </c>
      <c r="E2026" s="109">
        <v>30</v>
      </c>
      <c r="F2026" s="109">
        <v>30</v>
      </c>
      <c r="G2026" s="108" t="s">
        <v>2160</v>
      </c>
      <c r="H2026" s="111" t="s">
        <v>16</v>
      </c>
    </row>
    <row r="2027" spans="1:8" ht="42.75" x14ac:dyDescent="0.2">
      <c r="A2027" s="108">
        <v>2</v>
      </c>
      <c r="B2027" s="108" t="s">
        <v>1992</v>
      </c>
      <c r="C2027" s="110" t="s">
        <v>34</v>
      </c>
      <c r="D2027" s="109">
        <v>0.01</v>
      </c>
      <c r="E2027" s="109">
        <v>540.75</v>
      </c>
      <c r="F2027" s="109">
        <v>5.41</v>
      </c>
      <c r="G2027" s="108" t="s">
        <v>1991</v>
      </c>
      <c r="H2027" s="111" t="s">
        <v>16</v>
      </c>
    </row>
    <row r="2028" spans="1:8" ht="42.75" x14ac:dyDescent="0.2">
      <c r="A2028" s="108">
        <v>3</v>
      </c>
      <c r="B2028" s="108" t="s">
        <v>1558</v>
      </c>
      <c r="C2028" s="110" t="s">
        <v>103</v>
      </c>
      <c r="D2028" s="109">
        <v>0.01</v>
      </c>
      <c r="E2028" s="109">
        <v>586</v>
      </c>
      <c r="F2028" s="109">
        <v>5.86</v>
      </c>
      <c r="G2028" s="108" t="s">
        <v>1990</v>
      </c>
      <c r="H2028" s="111" t="s">
        <v>16</v>
      </c>
    </row>
    <row r="2029" spans="1:8" ht="33" x14ac:dyDescent="0.2">
      <c r="A2029" s="108">
        <v>4</v>
      </c>
      <c r="B2029" s="108" t="s">
        <v>2138</v>
      </c>
      <c r="C2029" s="110" t="s">
        <v>606</v>
      </c>
      <c r="D2029" s="109">
        <v>1</v>
      </c>
      <c r="E2029" s="109">
        <v>4.24</v>
      </c>
      <c r="F2029" s="109">
        <v>4.24</v>
      </c>
      <c r="G2029" s="108" t="s">
        <v>2137</v>
      </c>
      <c r="H2029" s="111" t="s">
        <v>16</v>
      </c>
    </row>
    <row r="2030" spans="1:8" ht="33" x14ac:dyDescent="0.2">
      <c r="A2030" s="108">
        <v>5</v>
      </c>
      <c r="B2030" s="108" t="s">
        <v>1976</v>
      </c>
      <c r="C2030" s="110" t="s">
        <v>110</v>
      </c>
      <c r="D2030" s="109">
        <v>0.05</v>
      </c>
      <c r="E2030" s="109">
        <v>12</v>
      </c>
      <c r="F2030" s="109">
        <v>0.6</v>
      </c>
      <c r="G2030" s="108" t="s">
        <v>1975</v>
      </c>
      <c r="H2030" s="111" t="s">
        <v>16</v>
      </c>
    </row>
    <row r="2031" spans="1:8" ht="33" x14ac:dyDescent="0.2">
      <c r="A2031" s="108">
        <v>6</v>
      </c>
      <c r="B2031" s="108" t="s">
        <v>2010</v>
      </c>
      <c r="C2031" s="110" t="s">
        <v>34</v>
      </c>
      <c r="D2031" s="109">
        <v>0.01</v>
      </c>
      <c r="E2031" s="109">
        <v>408.43</v>
      </c>
      <c r="F2031" s="109">
        <v>4.08</v>
      </c>
      <c r="G2031" s="108" t="s">
        <v>2009</v>
      </c>
      <c r="H2031" s="111" t="s">
        <v>16</v>
      </c>
    </row>
    <row r="2032" spans="1:8" ht="57" x14ac:dyDescent="0.2">
      <c r="A2032" s="108">
        <v>7</v>
      </c>
      <c r="B2032" s="108" t="s">
        <v>1985</v>
      </c>
      <c r="C2032" s="110" t="s">
        <v>97</v>
      </c>
      <c r="D2032" s="109">
        <v>0.1</v>
      </c>
      <c r="E2032" s="109">
        <v>375</v>
      </c>
      <c r="F2032" s="109">
        <v>37.5</v>
      </c>
      <c r="G2032" s="108" t="s">
        <v>1984</v>
      </c>
      <c r="H2032" s="111" t="s">
        <v>16</v>
      </c>
    </row>
    <row r="2033" spans="1:8" ht="33" x14ac:dyDescent="0.2">
      <c r="A2033" s="108">
        <v>8</v>
      </c>
      <c r="B2033" s="108" t="s">
        <v>1518</v>
      </c>
      <c r="C2033" s="110" t="s">
        <v>14</v>
      </c>
      <c r="D2033" s="109">
        <v>1</v>
      </c>
      <c r="E2033" s="109">
        <v>2.63</v>
      </c>
      <c r="F2033" s="109">
        <v>2.63</v>
      </c>
      <c r="G2033" s="108" t="s">
        <v>1517</v>
      </c>
      <c r="H2033" s="111" t="s">
        <v>16</v>
      </c>
    </row>
    <row r="2034" spans="1:8" ht="33" x14ac:dyDescent="0.2">
      <c r="A2034" s="108"/>
      <c r="B2034" s="108" t="s">
        <v>1516</v>
      </c>
      <c r="C2034" s="110" t="s">
        <v>606</v>
      </c>
      <c r="D2034" s="109">
        <v>1</v>
      </c>
      <c r="E2034" s="109"/>
      <c r="F2034" s="109">
        <v>90.32</v>
      </c>
      <c r="G2034" s="108"/>
      <c r="H2034" s="111" t="s">
        <v>16</v>
      </c>
    </row>
    <row r="2035" spans="1:8" ht="33" x14ac:dyDescent="0.2">
      <c r="A2035" s="108"/>
      <c r="B2035" s="108" t="s">
        <v>1515</v>
      </c>
      <c r="C2035" s="110" t="s">
        <v>606</v>
      </c>
      <c r="D2035" s="109"/>
      <c r="E2035" s="109"/>
      <c r="F2035" s="109">
        <v>90.32</v>
      </c>
      <c r="G2035" s="108"/>
      <c r="H2035" s="111" t="s">
        <v>16</v>
      </c>
    </row>
    <row r="2036" spans="1:8" ht="16.5" x14ac:dyDescent="0.2">
      <c r="A2036" s="108"/>
      <c r="B2036" s="108"/>
      <c r="C2036" s="110"/>
      <c r="D2036" s="109"/>
      <c r="E2036" s="109"/>
      <c r="F2036" s="109"/>
      <c r="G2036" s="108"/>
    </row>
    <row r="2037" spans="1:8" ht="33" x14ac:dyDescent="0.2">
      <c r="A2037" s="108" t="s">
        <v>2159</v>
      </c>
      <c r="B2037" s="108" t="s">
        <v>747</v>
      </c>
      <c r="C2037" s="110" t="s">
        <v>606</v>
      </c>
      <c r="D2037" s="109">
        <v>1</v>
      </c>
      <c r="E2037" s="109">
        <v>125.1</v>
      </c>
      <c r="F2037" s="109"/>
      <c r="G2037" s="108" t="s">
        <v>2158</v>
      </c>
      <c r="H2037" s="111" t="s">
        <v>16</v>
      </c>
    </row>
    <row r="2038" spans="1:8" ht="33" x14ac:dyDescent="0.2">
      <c r="A2038" s="108">
        <v>1</v>
      </c>
      <c r="B2038" s="108" t="s">
        <v>2157</v>
      </c>
      <c r="C2038" s="110" t="s">
        <v>606</v>
      </c>
      <c r="D2038" s="109">
        <v>1</v>
      </c>
      <c r="E2038" s="109">
        <v>52.5</v>
      </c>
      <c r="F2038" s="109">
        <v>52.5</v>
      </c>
      <c r="G2038" s="108" t="s">
        <v>2156</v>
      </c>
      <c r="H2038" s="111" t="s">
        <v>16</v>
      </c>
    </row>
    <row r="2039" spans="1:8" ht="42.75" x14ac:dyDescent="0.2">
      <c r="A2039" s="108">
        <v>2</v>
      </c>
      <c r="B2039" s="108" t="s">
        <v>1992</v>
      </c>
      <c r="C2039" s="110" t="s">
        <v>34</v>
      </c>
      <c r="D2039" s="109">
        <v>0.02</v>
      </c>
      <c r="E2039" s="109">
        <v>540.75</v>
      </c>
      <c r="F2039" s="109">
        <v>10.82</v>
      </c>
      <c r="G2039" s="108" t="s">
        <v>1991</v>
      </c>
      <c r="H2039" s="111" t="s">
        <v>16</v>
      </c>
    </row>
    <row r="2040" spans="1:8" ht="42.75" x14ac:dyDescent="0.2">
      <c r="A2040" s="108">
        <v>3</v>
      </c>
      <c r="B2040" s="108" t="s">
        <v>1558</v>
      </c>
      <c r="C2040" s="110" t="s">
        <v>103</v>
      </c>
      <c r="D2040" s="109">
        <v>0.02</v>
      </c>
      <c r="E2040" s="109">
        <v>586</v>
      </c>
      <c r="F2040" s="109">
        <v>11.72</v>
      </c>
      <c r="G2040" s="108" t="s">
        <v>1990</v>
      </c>
      <c r="H2040" s="111" t="s">
        <v>16</v>
      </c>
    </row>
    <row r="2041" spans="1:8" ht="33" x14ac:dyDescent="0.2">
      <c r="A2041" s="108">
        <v>4</v>
      </c>
      <c r="B2041" s="108" t="s">
        <v>2138</v>
      </c>
      <c r="C2041" s="110" t="s">
        <v>606</v>
      </c>
      <c r="D2041" s="109">
        <v>1</v>
      </c>
      <c r="E2041" s="109">
        <v>4.24</v>
      </c>
      <c r="F2041" s="109">
        <v>4.24</v>
      </c>
      <c r="G2041" s="108" t="s">
        <v>2137</v>
      </c>
      <c r="H2041" s="111" t="s">
        <v>16</v>
      </c>
    </row>
    <row r="2042" spans="1:8" ht="33" x14ac:dyDescent="0.2">
      <c r="A2042" s="108">
        <v>5</v>
      </c>
      <c r="B2042" s="108" t="s">
        <v>1976</v>
      </c>
      <c r="C2042" s="110" t="s">
        <v>110</v>
      </c>
      <c r="D2042" s="109">
        <v>0.05</v>
      </c>
      <c r="E2042" s="109">
        <v>12</v>
      </c>
      <c r="F2042" s="109">
        <v>0.6</v>
      </c>
      <c r="G2042" s="108" t="s">
        <v>1975</v>
      </c>
      <c r="H2042" s="111" t="s">
        <v>16</v>
      </c>
    </row>
    <row r="2043" spans="1:8" ht="33" x14ac:dyDescent="0.2">
      <c r="A2043" s="108">
        <v>6</v>
      </c>
      <c r="B2043" s="108" t="s">
        <v>2010</v>
      </c>
      <c r="C2043" s="110" t="s">
        <v>34</v>
      </c>
      <c r="D2043" s="109">
        <v>0.01</v>
      </c>
      <c r="E2043" s="109">
        <v>408.43</v>
      </c>
      <c r="F2043" s="109">
        <v>4.08</v>
      </c>
      <c r="G2043" s="108" t="s">
        <v>2009</v>
      </c>
      <c r="H2043" s="111" t="s">
        <v>16</v>
      </c>
    </row>
    <row r="2044" spans="1:8" ht="57" x14ac:dyDescent="0.2">
      <c r="A2044" s="108">
        <v>7</v>
      </c>
      <c r="B2044" s="108" t="s">
        <v>1985</v>
      </c>
      <c r="C2044" s="110" t="s">
        <v>97</v>
      </c>
      <c r="D2044" s="109">
        <v>0.1</v>
      </c>
      <c r="E2044" s="109">
        <v>375</v>
      </c>
      <c r="F2044" s="109">
        <v>37.5</v>
      </c>
      <c r="G2044" s="108" t="s">
        <v>1984</v>
      </c>
      <c r="H2044" s="111" t="s">
        <v>16</v>
      </c>
    </row>
    <row r="2045" spans="1:8" ht="33" x14ac:dyDescent="0.2">
      <c r="A2045" s="108">
        <v>8</v>
      </c>
      <c r="B2045" s="108" t="s">
        <v>1518</v>
      </c>
      <c r="C2045" s="110" t="s">
        <v>14</v>
      </c>
      <c r="D2045" s="109">
        <v>1</v>
      </c>
      <c r="E2045" s="109">
        <v>3.64</v>
      </c>
      <c r="F2045" s="109">
        <v>3.64</v>
      </c>
      <c r="G2045" s="108" t="s">
        <v>1517</v>
      </c>
      <c r="H2045" s="111" t="s">
        <v>16</v>
      </c>
    </row>
    <row r="2046" spans="1:8" ht="33" x14ac:dyDescent="0.2">
      <c r="A2046" s="108"/>
      <c r="B2046" s="108" t="s">
        <v>1516</v>
      </c>
      <c r="C2046" s="110" t="s">
        <v>606</v>
      </c>
      <c r="D2046" s="109">
        <v>1</v>
      </c>
      <c r="E2046" s="109"/>
      <c r="F2046" s="109">
        <v>125.1</v>
      </c>
      <c r="G2046" s="108"/>
      <c r="H2046" s="111" t="s">
        <v>16</v>
      </c>
    </row>
    <row r="2047" spans="1:8" ht="33" x14ac:dyDescent="0.2">
      <c r="A2047" s="108"/>
      <c r="B2047" s="108" t="s">
        <v>1515</v>
      </c>
      <c r="C2047" s="110" t="s">
        <v>606</v>
      </c>
      <c r="D2047" s="109"/>
      <c r="E2047" s="109"/>
      <c r="F2047" s="109">
        <v>125.1</v>
      </c>
      <c r="G2047" s="108"/>
      <c r="H2047" s="111" t="s">
        <v>16</v>
      </c>
    </row>
    <row r="2048" spans="1:8" ht="16.5" x14ac:dyDescent="0.2">
      <c r="A2048" s="108"/>
      <c r="B2048" s="108"/>
      <c r="C2048" s="110"/>
      <c r="D2048" s="109"/>
      <c r="E2048" s="109"/>
      <c r="F2048" s="109"/>
      <c r="G2048" s="108"/>
    </row>
    <row r="2049" spans="1:8" ht="33" x14ac:dyDescent="0.2">
      <c r="A2049" s="108" t="s">
        <v>2155</v>
      </c>
      <c r="B2049" s="108" t="s">
        <v>750</v>
      </c>
      <c r="C2049" s="110" t="s">
        <v>606</v>
      </c>
      <c r="D2049" s="109">
        <v>1</v>
      </c>
      <c r="E2049" s="109">
        <v>137.04</v>
      </c>
      <c r="F2049" s="109"/>
      <c r="G2049" s="108" t="s">
        <v>2154</v>
      </c>
      <c r="H2049" s="111" t="s">
        <v>16</v>
      </c>
    </row>
    <row r="2050" spans="1:8" ht="33" x14ac:dyDescent="0.2">
      <c r="A2050" s="108">
        <v>1</v>
      </c>
      <c r="B2050" s="108" t="s">
        <v>2153</v>
      </c>
      <c r="C2050" s="110" t="s">
        <v>606</v>
      </c>
      <c r="D2050" s="109">
        <v>1</v>
      </c>
      <c r="E2050" s="109">
        <v>60</v>
      </c>
      <c r="F2050" s="109">
        <v>60</v>
      </c>
      <c r="G2050" s="108" t="s">
        <v>2152</v>
      </c>
      <c r="H2050" s="111" t="s">
        <v>16</v>
      </c>
    </row>
    <row r="2051" spans="1:8" ht="42.75" x14ac:dyDescent="0.2">
      <c r="A2051" s="108">
        <v>2</v>
      </c>
      <c r="B2051" s="108" t="s">
        <v>1992</v>
      </c>
      <c r="C2051" s="110" t="s">
        <v>34</v>
      </c>
      <c r="D2051" s="109">
        <v>0.02</v>
      </c>
      <c r="E2051" s="109">
        <v>540.75</v>
      </c>
      <c r="F2051" s="109">
        <v>10.82</v>
      </c>
      <c r="G2051" s="108" t="s">
        <v>1991</v>
      </c>
      <c r="H2051" s="111" t="s">
        <v>16</v>
      </c>
    </row>
    <row r="2052" spans="1:8" ht="42.75" x14ac:dyDescent="0.2">
      <c r="A2052" s="108">
        <v>3</v>
      </c>
      <c r="B2052" s="108" t="s">
        <v>1558</v>
      </c>
      <c r="C2052" s="110" t="s">
        <v>103</v>
      </c>
      <c r="D2052" s="109">
        <v>0.02</v>
      </c>
      <c r="E2052" s="109">
        <v>586</v>
      </c>
      <c r="F2052" s="109">
        <v>11.72</v>
      </c>
      <c r="G2052" s="108" t="s">
        <v>1990</v>
      </c>
      <c r="H2052" s="111" t="s">
        <v>16</v>
      </c>
    </row>
    <row r="2053" spans="1:8" ht="33" x14ac:dyDescent="0.2">
      <c r="A2053" s="108">
        <v>4</v>
      </c>
      <c r="B2053" s="108" t="s">
        <v>2138</v>
      </c>
      <c r="C2053" s="110" t="s">
        <v>606</v>
      </c>
      <c r="D2053" s="109">
        <v>1</v>
      </c>
      <c r="E2053" s="109">
        <v>4.24</v>
      </c>
      <c r="F2053" s="109">
        <v>4.24</v>
      </c>
      <c r="G2053" s="108" t="s">
        <v>2137</v>
      </c>
      <c r="H2053" s="111" t="s">
        <v>16</v>
      </c>
    </row>
    <row r="2054" spans="1:8" ht="33" x14ac:dyDescent="0.2">
      <c r="A2054" s="108">
        <v>5</v>
      </c>
      <c r="B2054" s="108" t="s">
        <v>1976</v>
      </c>
      <c r="C2054" s="110" t="s">
        <v>110</v>
      </c>
      <c r="D2054" s="109">
        <v>0.05</v>
      </c>
      <c r="E2054" s="109">
        <v>12</v>
      </c>
      <c r="F2054" s="109">
        <v>0.6</v>
      </c>
      <c r="G2054" s="108" t="s">
        <v>1975</v>
      </c>
      <c r="H2054" s="111" t="s">
        <v>16</v>
      </c>
    </row>
    <row r="2055" spans="1:8" ht="33" x14ac:dyDescent="0.2">
      <c r="A2055" s="108">
        <v>6</v>
      </c>
      <c r="B2055" s="108" t="s">
        <v>2010</v>
      </c>
      <c r="C2055" s="110" t="s">
        <v>34</v>
      </c>
      <c r="D2055" s="109">
        <v>0.02</v>
      </c>
      <c r="E2055" s="109">
        <v>408.43</v>
      </c>
      <c r="F2055" s="109">
        <v>8.17</v>
      </c>
      <c r="G2055" s="108" t="s">
        <v>2009</v>
      </c>
      <c r="H2055" s="111" t="s">
        <v>16</v>
      </c>
    </row>
    <row r="2056" spans="1:8" ht="57" x14ac:dyDescent="0.2">
      <c r="A2056" s="108">
        <v>7</v>
      </c>
      <c r="B2056" s="108" t="s">
        <v>1985</v>
      </c>
      <c r="C2056" s="110" t="s">
        <v>97</v>
      </c>
      <c r="D2056" s="109">
        <v>0.1</v>
      </c>
      <c r="E2056" s="109">
        <v>375</v>
      </c>
      <c r="F2056" s="109">
        <v>37.5</v>
      </c>
      <c r="G2056" s="108" t="s">
        <v>1984</v>
      </c>
      <c r="H2056" s="111" t="s">
        <v>16</v>
      </c>
    </row>
    <row r="2057" spans="1:8" ht="33" x14ac:dyDescent="0.2">
      <c r="A2057" s="108">
        <v>8</v>
      </c>
      <c r="B2057" s="108" t="s">
        <v>1518</v>
      </c>
      <c r="C2057" s="110" t="s">
        <v>14</v>
      </c>
      <c r="D2057" s="109">
        <v>1</v>
      </c>
      <c r="E2057" s="109">
        <v>3.99</v>
      </c>
      <c r="F2057" s="109">
        <v>3.99</v>
      </c>
      <c r="G2057" s="108" t="s">
        <v>1517</v>
      </c>
      <c r="H2057" s="111" t="s">
        <v>16</v>
      </c>
    </row>
    <row r="2058" spans="1:8" ht="33" x14ac:dyDescent="0.2">
      <c r="A2058" s="108"/>
      <c r="B2058" s="108" t="s">
        <v>1516</v>
      </c>
      <c r="C2058" s="110" t="s">
        <v>606</v>
      </c>
      <c r="D2058" s="109">
        <v>1</v>
      </c>
      <c r="E2058" s="109"/>
      <c r="F2058" s="109">
        <v>137.04</v>
      </c>
      <c r="G2058" s="108"/>
      <c r="H2058" s="111" t="s">
        <v>16</v>
      </c>
    </row>
    <row r="2059" spans="1:8" ht="33" x14ac:dyDescent="0.2">
      <c r="A2059" s="108"/>
      <c r="B2059" s="108" t="s">
        <v>1515</v>
      </c>
      <c r="C2059" s="110" t="s">
        <v>606</v>
      </c>
      <c r="D2059" s="109"/>
      <c r="E2059" s="109"/>
      <c r="F2059" s="109">
        <v>137.04</v>
      </c>
      <c r="G2059" s="108"/>
      <c r="H2059" s="111" t="s">
        <v>16</v>
      </c>
    </row>
    <row r="2060" spans="1:8" ht="16.5" x14ac:dyDescent="0.2">
      <c r="A2060" s="108"/>
      <c r="B2060" s="108"/>
      <c r="C2060" s="110"/>
      <c r="D2060" s="109"/>
      <c r="E2060" s="109"/>
      <c r="F2060" s="109"/>
      <c r="G2060" s="108"/>
    </row>
    <row r="2061" spans="1:8" ht="33" x14ac:dyDescent="0.2">
      <c r="A2061" s="108" t="s">
        <v>2151</v>
      </c>
      <c r="B2061" s="108" t="s">
        <v>753</v>
      </c>
      <c r="C2061" s="110" t="s">
        <v>606</v>
      </c>
      <c r="D2061" s="109">
        <v>1</v>
      </c>
      <c r="E2061" s="109">
        <v>107.12</v>
      </c>
      <c r="F2061" s="109"/>
      <c r="G2061" s="108" t="s">
        <v>2150</v>
      </c>
      <c r="H2061" s="111" t="s">
        <v>16</v>
      </c>
    </row>
    <row r="2062" spans="1:8" ht="33" x14ac:dyDescent="0.2">
      <c r="A2062" s="108">
        <v>1</v>
      </c>
      <c r="B2062" s="108" t="s">
        <v>2149</v>
      </c>
      <c r="C2062" s="110" t="s">
        <v>606</v>
      </c>
      <c r="D2062" s="109">
        <v>1</v>
      </c>
      <c r="E2062" s="109">
        <v>50</v>
      </c>
      <c r="F2062" s="109">
        <v>50</v>
      </c>
      <c r="G2062" s="108" t="s">
        <v>2148</v>
      </c>
      <c r="H2062" s="111" t="s">
        <v>16</v>
      </c>
    </row>
    <row r="2063" spans="1:8" ht="42.75" x14ac:dyDescent="0.2">
      <c r="A2063" s="108">
        <v>2</v>
      </c>
      <c r="B2063" s="108" t="s">
        <v>1992</v>
      </c>
      <c r="C2063" s="110" t="s">
        <v>34</v>
      </c>
      <c r="D2063" s="109">
        <v>0.02</v>
      </c>
      <c r="E2063" s="109">
        <v>540.75</v>
      </c>
      <c r="F2063" s="109">
        <v>10.82</v>
      </c>
      <c r="G2063" s="108" t="s">
        <v>1991</v>
      </c>
      <c r="H2063" s="111" t="s">
        <v>16</v>
      </c>
    </row>
    <row r="2064" spans="1:8" ht="57" x14ac:dyDescent="0.2">
      <c r="A2064" s="108">
        <v>3</v>
      </c>
      <c r="B2064" s="108" t="s">
        <v>599</v>
      </c>
      <c r="C2064" s="110" t="s">
        <v>103</v>
      </c>
      <c r="D2064" s="109">
        <v>0.02</v>
      </c>
      <c r="E2064" s="109">
        <v>704.52</v>
      </c>
      <c r="F2064" s="109">
        <v>14.09</v>
      </c>
      <c r="G2064" s="108" t="s">
        <v>2147</v>
      </c>
      <c r="H2064" s="111" t="s">
        <v>16</v>
      </c>
    </row>
    <row r="2065" spans="1:8" ht="33" x14ac:dyDescent="0.2">
      <c r="A2065" s="108">
        <v>4</v>
      </c>
      <c r="B2065" s="108" t="s">
        <v>2138</v>
      </c>
      <c r="C2065" s="110" t="s">
        <v>606</v>
      </c>
      <c r="D2065" s="109">
        <v>1</v>
      </c>
      <c r="E2065" s="109">
        <v>4.24</v>
      </c>
      <c r="F2065" s="109">
        <v>4.24</v>
      </c>
      <c r="G2065" s="108" t="s">
        <v>2137</v>
      </c>
      <c r="H2065" s="111" t="s">
        <v>16</v>
      </c>
    </row>
    <row r="2066" spans="1:8" ht="33" x14ac:dyDescent="0.2">
      <c r="A2066" s="108">
        <v>5</v>
      </c>
      <c r="B2066" s="108" t="s">
        <v>1976</v>
      </c>
      <c r="C2066" s="110" t="s">
        <v>110</v>
      </c>
      <c r="D2066" s="109">
        <v>0.05</v>
      </c>
      <c r="E2066" s="109">
        <v>12</v>
      </c>
      <c r="F2066" s="109">
        <v>0.6</v>
      </c>
      <c r="G2066" s="108" t="s">
        <v>1975</v>
      </c>
      <c r="H2066" s="111" t="s">
        <v>16</v>
      </c>
    </row>
    <row r="2067" spans="1:8" ht="57" x14ac:dyDescent="0.2">
      <c r="A2067" s="108">
        <v>6</v>
      </c>
      <c r="B2067" s="108" t="s">
        <v>1985</v>
      </c>
      <c r="C2067" s="110" t="s">
        <v>97</v>
      </c>
      <c r="D2067" s="109">
        <v>0.05</v>
      </c>
      <c r="E2067" s="109">
        <v>375</v>
      </c>
      <c r="F2067" s="109">
        <v>18.75</v>
      </c>
      <c r="G2067" s="108" t="s">
        <v>1984</v>
      </c>
      <c r="H2067" s="111" t="s">
        <v>16</v>
      </c>
    </row>
    <row r="2068" spans="1:8" ht="33" x14ac:dyDescent="0.2">
      <c r="A2068" s="108">
        <v>7</v>
      </c>
      <c r="B2068" s="108" t="s">
        <v>1556</v>
      </c>
      <c r="C2068" s="110" t="s">
        <v>34</v>
      </c>
      <c r="D2068" s="109">
        <v>0.02</v>
      </c>
      <c r="E2068" s="109">
        <v>275</v>
      </c>
      <c r="F2068" s="109">
        <v>5.5</v>
      </c>
      <c r="G2068" s="108" t="s">
        <v>1555</v>
      </c>
      <c r="H2068" s="111" t="s">
        <v>16</v>
      </c>
    </row>
    <row r="2069" spans="1:8" ht="33" x14ac:dyDescent="0.2">
      <c r="A2069" s="108">
        <v>8</v>
      </c>
      <c r="B2069" s="108" t="s">
        <v>1518</v>
      </c>
      <c r="C2069" s="110" t="s">
        <v>14</v>
      </c>
      <c r="D2069" s="109">
        <v>1</v>
      </c>
      <c r="E2069" s="109">
        <v>3.12</v>
      </c>
      <c r="F2069" s="109">
        <v>3.12</v>
      </c>
      <c r="G2069" s="108" t="s">
        <v>1517</v>
      </c>
      <c r="H2069" s="111" t="s">
        <v>16</v>
      </c>
    </row>
    <row r="2070" spans="1:8" ht="33" x14ac:dyDescent="0.2">
      <c r="A2070" s="108"/>
      <c r="B2070" s="108" t="s">
        <v>1516</v>
      </c>
      <c r="C2070" s="110" t="s">
        <v>606</v>
      </c>
      <c r="D2070" s="109">
        <v>1</v>
      </c>
      <c r="E2070" s="109"/>
      <c r="F2070" s="109">
        <v>107.11999999999999</v>
      </c>
      <c r="G2070" s="108"/>
      <c r="H2070" s="111" t="s">
        <v>16</v>
      </c>
    </row>
    <row r="2071" spans="1:8" ht="33" x14ac:dyDescent="0.2">
      <c r="A2071" s="108"/>
      <c r="B2071" s="108" t="s">
        <v>1515</v>
      </c>
      <c r="C2071" s="110" t="s">
        <v>606</v>
      </c>
      <c r="D2071" s="109"/>
      <c r="E2071" s="109"/>
      <c r="F2071" s="109">
        <v>107.12</v>
      </c>
      <c r="G2071" s="108"/>
      <c r="H2071" s="111" t="s">
        <v>16</v>
      </c>
    </row>
    <row r="2072" spans="1:8" ht="16.5" x14ac:dyDescent="0.2">
      <c r="A2072" s="108"/>
      <c r="B2072" s="108"/>
      <c r="C2072" s="110"/>
      <c r="D2072" s="109"/>
      <c r="E2072" s="109"/>
      <c r="F2072" s="109"/>
      <c r="G2072" s="108"/>
    </row>
    <row r="2073" spans="1:8" ht="33" x14ac:dyDescent="0.2">
      <c r="A2073" s="108" t="s">
        <v>2146</v>
      </c>
      <c r="B2073" s="108" t="s">
        <v>756</v>
      </c>
      <c r="C2073" s="110" t="s">
        <v>606</v>
      </c>
      <c r="D2073" s="109">
        <v>1</v>
      </c>
      <c r="E2073" s="109">
        <v>124.17</v>
      </c>
      <c r="F2073" s="109"/>
      <c r="G2073" s="108" t="s">
        <v>2145</v>
      </c>
      <c r="H2073" s="111" t="s">
        <v>16</v>
      </c>
    </row>
    <row r="2074" spans="1:8" ht="33" x14ac:dyDescent="0.2">
      <c r="A2074" s="108">
        <v>1</v>
      </c>
      <c r="B2074" s="108" t="s">
        <v>2144</v>
      </c>
      <c r="C2074" s="110" t="s">
        <v>606</v>
      </c>
      <c r="D2074" s="109">
        <v>1</v>
      </c>
      <c r="E2074" s="109">
        <v>47.5</v>
      </c>
      <c r="F2074" s="109">
        <v>47.5</v>
      </c>
      <c r="G2074" s="108" t="s">
        <v>2143</v>
      </c>
      <c r="H2074" s="111" t="s">
        <v>16</v>
      </c>
    </row>
    <row r="2075" spans="1:8" ht="42.75" x14ac:dyDescent="0.2">
      <c r="A2075" s="108">
        <v>2</v>
      </c>
      <c r="B2075" s="108" t="s">
        <v>1992</v>
      </c>
      <c r="C2075" s="110" t="s">
        <v>34</v>
      </c>
      <c r="D2075" s="109">
        <v>0.02</v>
      </c>
      <c r="E2075" s="109">
        <v>540.75</v>
      </c>
      <c r="F2075" s="109">
        <v>10.82</v>
      </c>
      <c r="G2075" s="108" t="s">
        <v>1991</v>
      </c>
      <c r="H2075" s="111" t="s">
        <v>16</v>
      </c>
    </row>
    <row r="2076" spans="1:8" ht="42.75" x14ac:dyDescent="0.2">
      <c r="A2076" s="108">
        <v>3</v>
      </c>
      <c r="B2076" s="108" t="s">
        <v>1558</v>
      </c>
      <c r="C2076" s="110" t="s">
        <v>103</v>
      </c>
      <c r="D2076" s="109">
        <v>0.02</v>
      </c>
      <c r="E2076" s="109">
        <v>586</v>
      </c>
      <c r="F2076" s="109">
        <v>11.72</v>
      </c>
      <c r="G2076" s="108" t="s">
        <v>1990</v>
      </c>
      <c r="H2076" s="111" t="s">
        <v>16</v>
      </c>
    </row>
    <row r="2077" spans="1:8" ht="33" x14ac:dyDescent="0.2">
      <c r="A2077" s="108">
        <v>4</v>
      </c>
      <c r="B2077" s="108" t="s">
        <v>2138</v>
      </c>
      <c r="C2077" s="110" t="s">
        <v>606</v>
      </c>
      <c r="D2077" s="109">
        <v>1</v>
      </c>
      <c r="E2077" s="109">
        <v>4.24</v>
      </c>
      <c r="F2077" s="109">
        <v>4.24</v>
      </c>
      <c r="G2077" s="108" t="s">
        <v>2137</v>
      </c>
      <c r="H2077" s="111" t="s">
        <v>16</v>
      </c>
    </row>
    <row r="2078" spans="1:8" ht="33" x14ac:dyDescent="0.2">
      <c r="A2078" s="108">
        <v>5</v>
      </c>
      <c r="B2078" s="108" t="s">
        <v>1976</v>
      </c>
      <c r="C2078" s="110" t="s">
        <v>110</v>
      </c>
      <c r="D2078" s="109">
        <v>0.05</v>
      </c>
      <c r="E2078" s="109">
        <v>12</v>
      </c>
      <c r="F2078" s="109">
        <v>0.6</v>
      </c>
      <c r="G2078" s="108" t="s">
        <v>1975</v>
      </c>
      <c r="H2078" s="111" t="s">
        <v>16</v>
      </c>
    </row>
    <row r="2079" spans="1:8" ht="33" x14ac:dyDescent="0.2">
      <c r="A2079" s="108">
        <v>6</v>
      </c>
      <c r="B2079" s="108" t="s">
        <v>2010</v>
      </c>
      <c r="C2079" s="110" t="s">
        <v>34</v>
      </c>
      <c r="D2079" s="109">
        <v>0.02</v>
      </c>
      <c r="E2079" s="109">
        <v>408.43</v>
      </c>
      <c r="F2079" s="109">
        <v>8.17</v>
      </c>
      <c r="G2079" s="108" t="s">
        <v>2009</v>
      </c>
      <c r="H2079" s="111" t="s">
        <v>16</v>
      </c>
    </row>
    <row r="2080" spans="1:8" ht="57" x14ac:dyDescent="0.2">
      <c r="A2080" s="108">
        <v>7</v>
      </c>
      <c r="B2080" s="108" t="s">
        <v>1985</v>
      </c>
      <c r="C2080" s="110" t="s">
        <v>97</v>
      </c>
      <c r="D2080" s="109">
        <v>0.1</v>
      </c>
      <c r="E2080" s="109">
        <v>375</v>
      </c>
      <c r="F2080" s="109">
        <v>37.5</v>
      </c>
      <c r="G2080" s="108" t="s">
        <v>1984</v>
      </c>
      <c r="H2080" s="111" t="s">
        <v>16</v>
      </c>
    </row>
    <row r="2081" spans="1:8" ht="33" x14ac:dyDescent="0.2">
      <c r="A2081" s="108">
        <v>8</v>
      </c>
      <c r="B2081" s="108" t="s">
        <v>1518</v>
      </c>
      <c r="C2081" s="110" t="s">
        <v>14</v>
      </c>
      <c r="D2081" s="109">
        <v>1</v>
      </c>
      <c r="E2081" s="109">
        <v>3.62</v>
      </c>
      <c r="F2081" s="109">
        <v>3.62</v>
      </c>
      <c r="G2081" s="108" t="s">
        <v>1517</v>
      </c>
      <c r="H2081" s="111" t="s">
        <v>16</v>
      </c>
    </row>
    <row r="2082" spans="1:8" ht="33" x14ac:dyDescent="0.2">
      <c r="A2082" s="108"/>
      <c r="B2082" s="108" t="s">
        <v>1516</v>
      </c>
      <c r="C2082" s="110" t="s">
        <v>606</v>
      </c>
      <c r="D2082" s="109">
        <v>1</v>
      </c>
      <c r="E2082" s="109"/>
      <c r="F2082" s="109">
        <v>124.17</v>
      </c>
      <c r="G2082" s="108"/>
      <c r="H2082" s="111" t="s">
        <v>16</v>
      </c>
    </row>
    <row r="2083" spans="1:8" ht="33" x14ac:dyDescent="0.2">
      <c r="A2083" s="108"/>
      <c r="B2083" s="108" t="s">
        <v>1515</v>
      </c>
      <c r="C2083" s="110" t="s">
        <v>606</v>
      </c>
      <c r="D2083" s="109"/>
      <c r="E2083" s="109"/>
      <c r="F2083" s="109">
        <v>124.17</v>
      </c>
      <c r="G2083" s="108"/>
      <c r="H2083" s="111" t="s">
        <v>16</v>
      </c>
    </row>
    <row r="2084" spans="1:8" ht="16.5" x14ac:dyDescent="0.2">
      <c r="A2084" s="108"/>
      <c r="B2084" s="108"/>
      <c r="C2084" s="110"/>
      <c r="D2084" s="109"/>
      <c r="E2084" s="109"/>
      <c r="F2084" s="109"/>
      <c r="G2084" s="108"/>
    </row>
    <row r="2085" spans="1:8" ht="33" x14ac:dyDescent="0.2">
      <c r="A2085" s="108" t="s">
        <v>2142</v>
      </c>
      <c r="B2085" s="108" t="s">
        <v>759</v>
      </c>
      <c r="C2085" s="110" t="s">
        <v>606</v>
      </c>
      <c r="D2085" s="109">
        <v>1</v>
      </c>
      <c r="E2085" s="109">
        <v>121.59</v>
      </c>
      <c r="F2085" s="109"/>
      <c r="G2085" s="108" t="s">
        <v>2141</v>
      </c>
      <c r="H2085" s="111" t="s">
        <v>16</v>
      </c>
    </row>
    <row r="2086" spans="1:8" ht="33" x14ac:dyDescent="0.2">
      <c r="A2086" s="108">
        <v>1</v>
      </c>
      <c r="B2086" s="108" t="s">
        <v>2140</v>
      </c>
      <c r="C2086" s="110" t="s">
        <v>606</v>
      </c>
      <c r="D2086" s="109">
        <v>1</v>
      </c>
      <c r="E2086" s="109">
        <v>45</v>
      </c>
      <c r="F2086" s="109">
        <v>45</v>
      </c>
      <c r="G2086" s="108" t="s">
        <v>2139</v>
      </c>
      <c r="H2086" s="111" t="s">
        <v>16</v>
      </c>
    </row>
    <row r="2087" spans="1:8" ht="42.75" x14ac:dyDescent="0.2">
      <c r="A2087" s="108">
        <v>2</v>
      </c>
      <c r="B2087" s="108" t="s">
        <v>1992</v>
      </c>
      <c r="C2087" s="110" t="s">
        <v>34</v>
      </c>
      <c r="D2087" s="109">
        <v>0.02</v>
      </c>
      <c r="E2087" s="109">
        <v>540.75</v>
      </c>
      <c r="F2087" s="109">
        <v>10.82</v>
      </c>
      <c r="G2087" s="108" t="s">
        <v>1991</v>
      </c>
      <c r="H2087" s="111" t="s">
        <v>16</v>
      </c>
    </row>
    <row r="2088" spans="1:8" ht="42.75" x14ac:dyDescent="0.2">
      <c r="A2088" s="108">
        <v>3</v>
      </c>
      <c r="B2088" s="108" t="s">
        <v>1558</v>
      </c>
      <c r="C2088" s="110" t="s">
        <v>103</v>
      </c>
      <c r="D2088" s="109">
        <v>0.02</v>
      </c>
      <c r="E2088" s="109">
        <v>586</v>
      </c>
      <c r="F2088" s="109">
        <v>11.72</v>
      </c>
      <c r="G2088" s="108" t="s">
        <v>1990</v>
      </c>
      <c r="H2088" s="111" t="s">
        <v>16</v>
      </c>
    </row>
    <row r="2089" spans="1:8" ht="33" x14ac:dyDescent="0.2">
      <c r="A2089" s="108">
        <v>4</v>
      </c>
      <c r="B2089" s="108" t="s">
        <v>2138</v>
      </c>
      <c r="C2089" s="110" t="s">
        <v>606</v>
      </c>
      <c r="D2089" s="109">
        <v>1</v>
      </c>
      <c r="E2089" s="109">
        <v>4.24</v>
      </c>
      <c r="F2089" s="109">
        <v>4.24</v>
      </c>
      <c r="G2089" s="108" t="s">
        <v>2137</v>
      </c>
      <c r="H2089" s="111" t="s">
        <v>16</v>
      </c>
    </row>
    <row r="2090" spans="1:8" ht="33" x14ac:dyDescent="0.2">
      <c r="A2090" s="108">
        <v>5</v>
      </c>
      <c r="B2090" s="108" t="s">
        <v>1976</v>
      </c>
      <c r="C2090" s="110" t="s">
        <v>110</v>
      </c>
      <c r="D2090" s="109">
        <v>0.05</v>
      </c>
      <c r="E2090" s="109">
        <v>12</v>
      </c>
      <c r="F2090" s="109">
        <v>0.6</v>
      </c>
      <c r="G2090" s="108" t="s">
        <v>1975</v>
      </c>
      <c r="H2090" s="111" t="s">
        <v>16</v>
      </c>
    </row>
    <row r="2091" spans="1:8" ht="33" x14ac:dyDescent="0.2">
      <c r="A2091" s="108">
        <v>6</v>
      </c>
      <c r="B2091" s="108" t="s">
        <v>2010</v>
      </c>
      <c r="C2091" s="110" t="s">
        <v>34</v>
      </c>
      <c r="D2091" s="109">
        <v>0.02</v>
      </c>
      <c r="E2091" s="109">
        <v>408.43</v>
      </c>
      <c r="F2091" s="109">
        <v>8.17</v>
      </c>
      <c r="G2091" s="108" t="s">
        <v>2009</v>
      </c>
      <c r="H2091" s="111" t="s">
        <v>16</v>
      </c>
    </row>
    <row r="2092" spans="1:8" ht="57" x14ac:dyDescent="0.2">
      <c r="A2092" s="108">
        <v>7</v>
      </c>
      <c r="B2092" s="108" t="s">
        <v>1985</v>
      </c>
      <c r="C2092" s="110" t="s">
        <v>97</v>
      </c>
      <c r="D2092" s="109">
        <v>0.1</v>
      </c>
      <c r="E2092" s="109">
        <v>375</v>
      </c>
      <c r="F2092" s="109">
        <v>37.5</v>
      </c>
      <c r="G2092" s="108" t="s">
        <v>1984</v>
      </c>
      <c r="H2092" s="111" t="s">
        <v>16</v>
      </c>
    </row>
    <row r="2093" spans="1:8" ht="33" x14ac:dyDescent="0.2">
      <c r="A2093" s="108">
        <v>8</v>
      </c>
      <c r="B2093" s="108" t="s">
        <v>1518</v>
      </c>
      <c r="C2093" s="110" t="s">
        <v>14</v>
      </c>
      <c r="D2093" s="109">
        <v>1</v>
      </c>
      <c r="E2093" s="109">
        <v>3.54</v>
      </c>
      <c r="F2093" s="109">
        <v>3.54</v>
      </c>
      <c r="G2093" s="108" t="s">
        <v>1517</v>
      </c>
      <c r="H2093" s="111" t="s">
        <v>16</v>
      </c>
    </row>
    <row r="2094" spans="1:8" ht="33" x14ac:dyDescent="0.2">
      <c r="A2094" s="108"/>
      <c r="B2094" s="108" t="s">
        <v>1516</v>
      </c>
      <c r="C2094" s="110" t="s">
        <v>606</v>
      </c>
      <c r="D2094" s="109">
        <v>1</v>
      </c>
      <c r="E2094" s="109"/>
      <c r="F2094" s="109">
        <v>121.59</v>
      </c>
      <c r="G2094" s="108"/>
      <c r="H2094" s="111" t="s">
        <v>16</v>
      </c>
    </row>
    <row r="2095" spans="1:8" ht="33" x14ac:dyDescent="0.2">
      <c r="A2095" s="108"/>
      <c r="B2095" s="108" t="s">
        <v>1515</v>
      </c>
      <c r="C2095" s="110" t="s">
        <v>606</v>
      </c>
      <c r="D2095" s="109"/>
      <c r="E2095" s="109"/>
      <c r="F2095" s="109">
        <v>121.59</v>
      </c>
      <c r="G2095" s="108"/>
      <c r="H2095" s="111" t="s">
        <v>16</v>
      </c>
    </row>
    <row r="2096" spans="1:8" ht="16.5" x14ac:dyDescent="0.2">
      <c r="A2096" s="108"/>
      <c r="B2096" s="108"/>
      <c r="C2096" s="110"/>
      <c r="D2096" s="109"/>
      <c r="E2096" s="109"/>
      <c r="F2096" s="109"/>
      <c r="G2096" s="108"/>
    </row>
    <row r="2097" spans="1:8" ht="33" x14ac:dyDescent="0.2">
      <c r="A2097" s="108" t="s">
        <v>2136</v>
      </c>
      <c r="B2097" s="108" t="s">
        <v>762</v>
      </c>
      <c r="C2097" s="110" t="s">
        <v>606</v>
      </c>
      <c r="D2097" s="109">
        <v>1</v>
      </c>
      <c r="E2097" s="109">
        <v>154.51</v>
      </c>
      <c r="F2097" s="109"/>
      <c r="G2097" s="108" t="s">
        <v>2135</v>
      </c>
      <c r="H2097" s="111" t="s">
        <v>16</v>
      </c>
    </row>
    <row r="2098" spans="1:8" ht="33" x14ac:dyDescent="0.2">
      <c r="A2098" s="108">
        <v>1</v>
      </c>
      <c r="B2098" s="108" t="s">
        <v>2134</v>
      </c>
      <c r="C2098" s="110" t="s">
        <v>606</v>
      </c>
      <c r="D2098" s="109">
        <v>1</v>
      </c>
      <c r="E2098" s="109">
        <v>130</v>
      </c>
      <c r="F2098" s="109">
        <v>130</v>
      </c>
      <c r="G2098" s="108" t="s">
        <v>2133</v>
      </c>
      <c r="H2098" s="111" t="s">
        <v>16</v>
      </c>
    </row>
    <row r="2099" spans="1:8" ht="42.75" x14ac:dyDescent="0.2">
      <c r="A2099" s="108">
        <v>2</v>
      </c>
      <c r="B2099" s="108" t="s">
        <v>1992</v>
      </c>
      <c r="C2099" s="110" t="s">
        <v>34</v>
      </c>
      <c r="D2099" s="109">
        <v>0.01</v>
      </c>
      <c r="E2099" s="109">
        <v>540.75</v>
      </c>
      <c r="F2099" s="109">
        <v>5.41</v>
      </c>
      <c r="G2099" s="108" t="s">
        <v>1991</v>
      </c>
      <c r="H2099" s="111" t="s">
        <v>16</v>
      </c>
    </row>
    <row r="2100" spans="1:8" ht="42.75" x14ac:dyDescent="0.2">
      <c r="A2100" s="108">
        <v>3</v>
      </c>
      <c r="B2100" s="108" t="s">
        <v>1558</v>
      </c>
      <c r="C2100" s="110" t="s">
        <v>103</v>
      </c>
      <c r="D2100" s="109">
        <v>0.01</v>
      </c>
      <c r="E2100" s="109">
        <v>586</v>
      </c>
      <c r="F2100" s="109">
        <v>5.86</v>
      </c>
      <c r="G2100" s="108" t="s">
        <v>1990</v>
      </c>
      <c r="H2100" s="111" t="s">
        <v>16</v>
      </c>
    </row>
    <row r="2101" spans="1:8" ht="33" x14ac:dyDescent="0.2">
      <c r="A2101" s="108">
        <v>4</v>
      </c>
      <c r="B2101" s="108" t="s">
        <v>1987</v>
      </c>
      <c r="C2101" s="110" t="s">
        <v>606</v>
      </c>
      <c r="D2101" s="109">
        <v>1</v>
      </c>
      <c r="E2101" s="109">
        <v>2.12</v>
      </c>
      <c r="F2101" s="109">
        <v>2.12</v>
      </c>
      <c r="G2101" s="108" t="s">
        <v>1986</v>
      </c>
      <c r="H2101" s="111" t="s">
        <v>16</v>
      </c>
    </row>
    <row r="2102" spans="1:8" ht="33" x14ac:dyDescent="0.2">
      <c r="A2102" s="108">
        <v>5</v>
      </c>
      <c r="B2102" s="108" t="s">
        <v>1976</v>
      </c>
      <c r="C2102" s="110" t="s">
        <v>110</v>
      </c>
      <c r="D2102" s="109">
        <v>0.01</v>
      </c>
      <c r="E2102" s="109">
        <v>12</v>
      </c>
      <c r="F2102" s="109">
        <v>0.12</v>
      </c>
      <c r="G2102" s="108" t="s">
        <v>1975</v>
      </c>
      <c r="H2102" s="111" t="s">
        <v>16</v>
      </c>
    </row>
    <row r="2103" spans="1:8" ht="57" x14ac:dyDescent="0.2">
      <c r="A2103" s="108">
        <v>6</v>
      </c>
      <c r="B2103" s="108" t="s">
        <v>1985</v>
      </c>
      <c r="C2103" s="110" t="s">
        <v>97</v>
      </c>
      <c r="D2103" s="109">
        <v>0.01</v>
      </c>
      <c r="E2103" s="109">
        <v>375</v>
      </c>
      <c r="F2103" s="109">
        <v>3.75</v>
      </c>
      <c r="G2103" s="108" t="s">
        <v>1984</v>
      </c>
      <c r="H2103" s="111" t="s">
        <v>16</v>
      </c>
    </row>
    <row r="2104" spans="1:8" ht="33" x14ac:dyDescent="0.2">
      <c r="A2104" s="108">
        <v>7</v>
      </c>
      <c r="B2104" s="108" t="s">
        <v>1556</v>
      </c>
      <c r="C2104" s="110" t="s">
        <v>34</v>
      </c>
      <c r="D2104" s="109">
        <v>0.01</v>
      </c>
      <c r="E2104" s="109">
        <v>275</v>
      </c>
      <c r="F2104" s="109">
        <v>2.75</v>
      </c>
      <c r="G2104" s="108" t="s">
        <v>1555</v>
      </c>
      <c r="H2104" s="111" t="s">
        <v>16</v>
      </c>
    </row>
    <row r="2105" spans="1:8" ht="33" x14ac:dyDescent="0.2">
      <c r="A2105" s="108">
        <v>8</v>
      </c>
      <c r="B2105" s="108" t="s">
        <v>1518</v>
      </c>
      <c r="C2105" s="110" t="s">
        <v>14</v>
      </c>
      <c r="D2105" s="109">
        <v>1</v>
      </c>
      <c r="E2105" s="109">
        <v>4.5</v>
      </c>
      <c r="F2105" s="109">
        <v>4.5</v>
      </c>
      <c r="G2105" s="108" t="s">
        <v>1517</v>
      </c>
      <c r="H2105" s="111" t="s">
        <v>16</v>
      </c>
    </row>
    <row r="2106" spans="1:8" ht="33" x14ac:dyDescent="0.2">
      <c r="A2106" s="108"/>
      <c r="B2106" s="108" t="s">
        <v>1516</v>
      </c>
      <c r="C2106" s="110" t="s">
        <v>606</v>
      </c>
      <c r="D2106" s="109">
        <v>1</v>
      </c>
      <c r="E2106" s="109"/>
      <c r="F2106" s="109">
        <v>154.51000000000002</v>
      </c>
      <c r="G2106" s="108"/>
      <c r="H2106" s="111" t="s">
        <v>16</v>
      </c>
    </row>
    <row r="2107" spans="1:8" ht="33" x14ac:dyDescent="0.2">
      <c r="A2107" s="108"/>
      <c r="B2107" s="108" t="s">
        <v>1515</v>
      </c>
      <c r="C2107" s="110" t="s">
        <v>606</v>
      </c>
      <c r="D2107" s="109"/>
      <c r="E2107" s="109"/>
      <c r="F2107" s="109">
        <v>154.51</v>
      </c>
      <c r="G2107" s="108"/>
      <c r="H2107" s="111" t="s">
        <v>16</v>
      </c>
    </row>
    <row r="2108" spans="1:8" ht="16.5" x14ac:dyDescent="0.2">
      <c r="A2108" s="108"/>
      <c r="B2108" s="108"/>
      <c r="C2108" s="110"/>
      <c r="D2108" s="109"/>
      <c r="E2108" s="109"/>
      <c r="F2108" s="109"/>
      <c r="G2108" s="108"/>
    </row>
    <row r="2109" spans="1:8" ht="33" x14ac:dyDescent="0.2">
      <c r="A2109" s="108" t="s">
        <v>2132</v>
      </c>
      <c r="B2109" s="108" t="s">
        <v>765</v>
      </c>
      <c r="C2109" s="110" t="s">
        <v>606</v>
      </c>
      <c r="D2109" s="109">
        <v>1</v>
      </c>
      <c r="E2109" s="109">
        <v>36.549999999999997</v>
      </c>
      <c r="F2109" s="109"/>
      <c r="G2109" s="108" t="s">
        <v>2131</v>
      </c>
      <c r="H2109" s="111" t="s">
        <v>16</v>
      </c>
    </row>
    <row r="2110" spans="1:8" ht="33" x14ac:dyDescent="0.2">
      <c r="A2110" s="108">
        <v>1</v>
      </c>
      <c r="B2110" s="108" t="s">
        <v>2130</v>
      </c>
      <c r="C2110" s="110" t="s">
        <v>606</v>
      </c>
      <c r="D2110" s="109">
        <v>1</v>
      </c>
      <c r="E2110" s="109">
        <v>15</v>
      </c>
      <c r="F2110" s="109">
        <v>15</v>
      </c>
      <c r="G2110" s="108" t="s">
        <v>2129</v>
      </c>
      <c r="H2110" s="111" t="s">
        <v>16</v>
      </c>
    </row>
    <row r="2111" spans="1:8" ht="42.75" x14ac:dyDescent="0.2">
      <c r="A2111" s="108">
        <v>2</v>
      </c>
      <c r="B2111" s="108" t="s">
        <v>1992</v>
      </c>
      <c r="C2111" s="110" t="s">
        <v>34</v>
      </c>
      <c r="D2111" s="109">
        <v>0.01</v>
      </c>
      <c r="E2111" s="109">
        <v>540.75</v>
      </c>
      <c r="F2111" s="109">
        <v>5.41</v>
      </c>
      <c r="G2111" s="108" t="s">
        <v>1991</v>
      </c>
      <c r="H2111" s="111" t="s">
        <v>16</v>
      </c>
    </row>
    <row r="2112" spans="1:8" ht="42.75" x14ac:dyDescent="0.2">
      <c r="A2112" s="108">
        <v>3</v>
      </c>
      <c r="B2112" s="108" t="s">
        <v>1558</v>
      </c>
      <c r="C2112" s="110" t="s">
        <v>103</v>
      </c>
      <c r="D2112" s="109">
        <v>0.01</v>
      </c>
      <c r="E2112" s="109">
        <v>586</v>
      </c>
      <c r="F2112" s="109">
        <v>5.86</v>
      </c>
      <c r="G2112" s="108" t="s">
        <v>1990</v>
      </c>
      <c r="H2112" s="111" t="s">
        <v>16</v>
      </c>
    </row>
    <row r="2113" spans="1:8" ht="33" x14ac:dyDescent="0.2">
      <c r="A2113" s="108">
        <v>4</v>
      </c>
      <c r="B2113" s="108" t="s">
        <v>1987</v>
      </c>
      <c r="C2113" s="110" t="s">
        <v>606</v>
      </c>
      <c r="D2113" s="109">
        <v>1</v>
      </c>
      <c r="E2113" s="109">
        <v>2.12</v>
      </c>
      <c r="F2113" s="109">
        <v>2.12</v>
      </c>
      <c r="G2113" s="108" t="s">
        <v>1986</v>
      </c>
      <c r="H2113" s="111" t="s">
        <v>16</v>
      </c>
    </row>
    <row r="2114" spans="1:8" ht="33" x14ac:dyDescent="0.2">
      <c r="A2114" s="108">
        <v>5</v>
      </c>
      <c r="B2114" s="108" t="s">
        <v>1976</v>
      </c>
      <c r="C2114" s="110" t="s">
        <v>110</v>
      </c>
      <c r="D2114" s="109">
        <v>0.05</v>
      </c>
      <c r="E2114" s="109">
        <v>12</v>
      </c>
      <c r="F2114" s="109">
        <v>0.6</v>
      </c>
      <c r="G2114" s="108" t="s">
        <v>1975</v>
      </c>
      <c r="H2114" s="111" t="s">
        <v>16</v>
      </c>
    </row>
    <row r="2115" spans="1:8" ht="57" x14ac:dyDescent="0.2">
      <c r="A2115" s="108">
        <v>6</v>
      </c>
      <c r="B2115" s="108" t="s">
        <v>1985</v>
      </c>
      <c r="C2115" s="110" t="s">
        <v>97</v>
      </c>
      <c r="D2115" s="109">
        <v>0.01</v>
      </c>
      <c r="E2115" s="109">
        <v>375</v>
      </c>
      <c r="F2115" s="109">
        <v>3.75</v>
      </c>
      <c r="G2115" s="108" t="s">
        <v>1984</v>
      </c>
      <c r="H2115" s="111" t="s">
        <v>16</v>
      </c>
    </row>
    <row r="2116" spans="1:8" ht="33" x14ac:dyDescent="0.2">
      <c r="A2116" s="108">
        <v>7</v>
      </c>
      <c r="B2116" s="108" t="s">
        <v>1556</v>
      </c>
      <c r="C2116" s="110" t="s">
        <v>34</v>
      </c>
      <c r="D2116" s="109">
        <v>0.01</v>
      </c>
      <c r="E2116" s="109">
        <v>275</v>
      </c>
      <c r="F2116" s="109">
        <v>2.75</v>
      </c>
      <c r="G2116" s="108" t="s">
        <v>1555</v>
      </c>
      <c r="H2116" s="111" t="s">
        <v>16</v>
      </c>
    </row>
    <row r="2117" spans="1:8" ht="33" x14ac:dyDescent="0.2">
      <c r="A2117" s="108">
        <v>8</v>
      </c>
      <c r="B2117" s="108" t="s">
        <v>1518</v>
      </c>
      <c r="C2117" s="110" t="s">
        <v>14</v>
      </c>
      <c r="D2117" s="109">
        <v>1</v>
      </c>
      <c r="E2117" s="109">
        <v>1.06</v>
      </c>
      <c r="F2117" s="109">
        <v>1.06</v>
      </c>
      <c r="G2117" s="108" t="s">
        <v>1517</v>
      </c>
      <c r="H2117" s="111" t="s">
        <v>16</v>
      </c>
    </row>
    <row r="2118" spans="1:8" ht="33" x14ac:dyDescent="0.2">
      <c r="A2118" s="108"/>
      <c r="B2118" s="108" t="s">
        <v>1516</v>
      </c>
      <c r="C2118" s="110" t="s">
        <v>606</v>
      </c>
      <c r="D2118" s="109">
        <v>1</v>
      </c>
      <c r="E2118" s="109"/>
      <c r="F2118" s="109">
        <v>36.550000000000004</v>
      </c>
      <c r="G2118" s="108"/>
      <c r="H2118" s="111" t="s">
        <v>16</v>
      </c>
    </row>
    <row r="2119" spans="1:8" ht="33" x14ac:dyDescent="0.2">
      <c r="A2119" s="108"/>
      <c r="B2119" s="108" t="s">
        <v>1515</v>
      </c>
      <c r="C2119" s="110" t="s">
        <v>606</v>
      </c>
      <c r="D2119" s="109"/>
      <c r="E2119" s="109"/>
      <c r="F2119" s="109">
        <v>36.549999999999997</v>
      </c>
      <c r="G2119" s="108"/>
      <c r="H2119" s="111" t="s">
        <v>16</v>
      </c>
    </row>
    <row r="2120" spans="1:8" ht="16.5" x14ac:dyDescent="0.2">
      <c r="A2120" s="108"/>
      <c r="B2120" s="108"/>
      <c r="C2120" s="110"/>
      <c r="D2120" s="109"/>
      <c r="E2120" s="109"/>
      <c r="F2120" s="109"/>
      <c r="G2120" s="108"/>
    </row>
    <row r="2121" spans="1:8" ht="33" x14ac:dyDescent="0.2">
      <c r="A2121" s="108" t="s">
        <v>2128</v>
      </c>
      <c r="B2121" s="108" t="s">
        <v>768</v>
      </c>
      <c r="C2121" s="110" t="s">
        <v>606</v>
      </c>
      <c r="D2121" s="109">
        <v>1</v>
      </c>
      <c r="E2121" s="109">
        <v>27.8</v>
      </c>
      <c r="F2121" s="109"/>
      <c r="G2121" s="108" t="s">
        <v>2127</v>
      </c>
      <c r="H2121" s="111" t="s">
        <v>16</v>
      </c>
    </row>
    <row r="2122" spans="1:8" ht="33" x14ac:dyDescent="0.2">
      <c r="A2122" s="108">
        <v>1</v>
      </c>
      <c r="B2122" s="108" t="s">
        <v>2126</v>
      </c>
      <c r="C2122" s="110" t="s">
        <v>606</v>
      </c>
      <c r="D2122" s="109">
        <v>1</v>
      </c>
      <c r="E2122" s="109">
        <v>6.5</v>
      </c>
      <c r="F2122" s="109">
        <v>6.5</v>
      </c>
      <c r="G2122" s="108" t="s">
        <v>2125</v>
      </c>
      <c r="H2122" s="111" t="s">
        <v>16</v>
      </c>
    </row>
    <row r="2123" spans="1:8" ht="42.75" x14ac:dyDescent="0.2">
      <c r="A2123" s="108">
        <v>2</v>
      </c>
      <c r="B2123" s="108" t="s">
        <v>1992</v>
      </c>
      <c r="C2123" s="110" t="s">
        <v>34</v>
      </c>
      <c r="D2123" s="109">
        <v>0.01</v>
      </c>
      <c r="E2123" s="109">
        <v>540.75</v>
      </c>
      <c r="F2123" s="109">
        <v>5.41</v>
      </c>
      <c r="G2123" s="108" t="s">
        <v>1991</v>
      </c>
      <c r="H2123" s="111" t="s">
        <v>16</v>
      </c>
    </row>
    <row r="2124" spans="1:8" ht="42.75" x14ac:dyDescent="0.2">
      <c r="A2124" s="108">
        <v>3</v>
      </c>
      <c r="B2124" s="108" t="s">
        <v>1558</v>
      </c>
      <c r="C2124" s="110" t="s">
        <v>103</v>
      </c>
      <c r="D2124" s="109">
        <v>0.01</v>
      </c>
      <c r="E2124" s="109">
        <v>586</v>
      </c>
      <c r="F2124" s="109">
        <v>5.86</v>
      </c>
      <c r="G2124" s="108" t="s">
        <v>1990</v>
      </c>
      <c r="H2124" s="111" t="s">
        <v>16</v>
      </c>
    </row>
    <row r="2125" spans="1:8" ht="33" x14ac:dyDescent="0.2">
      <c r="A2125" s="108">
        <v>4</v>
      </c>
      <c r="B2125" s="108" t="s">
        <v>1987</v>
      </c>
      <c r="C2125" s="110" t="s">
        <v>606</v>
      </c>
      <c r="D2125" s="109">
        <v>1</v>
      </c>
      <c r="E2125" s="109">
        <v>2.12</v>
      </c>
      <c r="F2125" s="109">
        <v>2.12</v>
      </c>
      <c r="G2125" s="108" t="s">
        <v>1986</v>
      </c>
      <c r="H2125" s="111" t="s">
        <v>16</v>
      </c>
    </row>
    <row r="2126" spans="1:8" ht="33" x14ac:dyDescent="0.2">
      <c r="A2126" s="108">
        <v>5</v>
      </c>
      <c r="B2126" s="108" t="s">
        <v>1976</v>
      </c>
      <c r="C2126" s="110" t="s">
        <v>110</v>
      </c>
      <c r="D2126" s="109">
        <v>0.05</v>
      </c>
      <c r="E2126" s="109">
        <v>12</v>
      </c>
      <c r="F2126" s="109">
        <v>0.6</v>
      </c>
      <c r="G2126" s="108" t="s">
        <v>1975</v>
      </c>
      <c r="H2126" s="111" t="s">
        <v>16</v>
      </c>
    </row>
    <row r="2127" spans="1:8" ht="57" x14ac:dyDescent="0.2">
      <c r="A2127" s="108">
        <v>6</v>
      </c>
      <c r="B2127" s="108" t="s">
        <v>1985</v>
      </c>
      <c r="C2127" s="110" t="s">
        <v>97</v>
      </c>
      <c r="D2127" s="109">
        <v>0.01</v>
      </c>
      <c r="E2127" s="109">
        <v>375</v>
      </c>
      <c r="F2127" s="109">
        <v>3.75</v>
      </c>
      <c r="G2127" s="108" t="s">
        <v>1984</v>
      </c>
      <c r="H2127" s="111" t="s">
        <v>16</v>
      </c>
    </row>
    <row r="2128" spans="1:8" ht="33" x14ac:dyDescent="0.2">
      <c r="A2128" s="108">
        <v>7</v>
      </c>
      <c r="B2128" s="108" t="s">
        <v>1556</v>
      </c>
      <c r="C2128" s="110" t="s">
        <v>34</v>
      </c>
      <c r="D2128" s="109">
        <v>0.01</v>
      </c>
      <c r="E2128" s="109">
        <v>275</v>
      </c>
      <c r="F2128" s="109">
        <v>2.75</v>
      </c>
      <c r="G2128" s="108" t="s">
        <v>1555</v>
      </c>
      <c r="H2128" s="111" t="s">
        <v>16</v>
      </c>
    </row>
    <row r="2129" spans="1:8" ht="33" x14ac:dyDescent="0.2">
      <c r="A2129" s="108">
        <v>8</v>
      </c>
      <c r="B2129" s="108" t="s">
        <v>1518</v>
      </c>
      <c r="C2129" s="110" t="s">
        <v>14</v>
      </c>
      <c r="D2129" s="109">
        <v>1</v>
      </c>
      <c r="E2129" s="109">
        <v>0.81</v>
      </c>
      <c r="F2129" s="109">
        <v>0.81</v>
      </c>
      <c r="G2129" s="108" t="s">
        <v>1517</v>
      </c>
      <c r="H2129" s="111" t="s">
        <v>16</v>
      </c>
    </row>
    <row r="2130" spans="1:8" ht="33" x14ac:dyDescent="0.2">
      <c r="A2130" s="108"/>
      <c r="B2130" s="108" t="s">
        <v>1516</v>
      </c>
      <c r="C2130" s="110" t="s">
        <v>606</v>
      </c>
      <c r="D2130" s="109">
        <v>1</v>
      </c>
      <c r="E2130" s="109"/>
      <c r="F2130" s="109">
        <v>27.8</v>
      </c>
      <c r="G2130" s="108"/>
      <c r="H2130" s="111" t="s">
        <v>16</v>
      </c>
    </row>
    <row r="2131" spans="1:8" ht="33" x14ac:dyDescent="0.2">
      <c r="A2131" s="108"/>
      <c r="B2131" s="108" t="s">
        <v>1515</v>
      </c>
      <c r="C2131" s="110" t="s">
        <v>606</v>
      </c>
      <c r="D2131" s="109"/>
      <c r="E2131" s="109"/>
      <c r="F2131" s="109">
        <v>27.8</v>
      </c>
      <c r="G2131" s="108"/>
      <c r="H2131" s="111" t="s">
        <v>16</v>
      </c>
    </row>
    <row r="2132" spans="1:8" ht="16.5" x14ac:dyDescent="0.2">
      <c r="A2132" s="108"/>
      <c r="B2132" s="108"/>
      <c r="C2132" s="110"/>
      <c r="D2132" s="109"/>
      <c r="E2132" s="109"/>
      <c r="F2132" s="109"/>
      <c r="G2132" s="108"/>
    </row>
    <row r="2133" spans="1:8" ht="33" x14ac:dyDescent="0.2">
      <c r="A2133" s="108" t="s">
        <v>2124</v>
      </c>
      <c r="B2133" s="108" t="s">
        <v>771</v>
      </c>
      <c r="C2133" s="110" t="s">
        <v>606</v>
      </c>
      <c r="D2133" s="109">
        <v>1</v>
      </c>
      <c r="E2133" s="109">
        <v>105.13</v>
      </c>
      <c r="F2133" s="109"/>
      <c r="G2133" s="108" t="s">
        <v>2123</v>
      </c>
      <c r="H2133" s="111" t="s">
        <v>16</v>
      </c>
    </row>
    <row r="2134" spans="1:8" ht="33" x14ac:dyDescent="0.2">
      <c r="A2134" s="108">
        <v>1</v>
      </c>
      <c r="B2134" s="108" t="s">
        <v>2122</v>
      </c>
      <c r="C2134" s="110" t="s">
        <v>606</v>
      </c>
      <c r="D2134" s="109">
        <v>1</v>
      </c>
      <c r="E2134" s="109">
        <v>54</v>
      </c>
      <c r="F2134" s="109">
        <v>54</v>
      </c>
      <c r="G2134" s="108" t="s">
        <v>2121</v>
      </c>
      <c r="H2134" s="111" t="s">
        <v>16</v>
      </c>
    </row>
    <row r="2135" spans="1:8" ht="42.75" x14ac:dyDescent="0.2">
      <c r="A2135" s="108">
        <v>2</v>
      </c>
      <c r="B2135" s="108" t="s">
        <v>1992</v>
      </c>
      <c r="C2135" s="110" t="s">
        <v>34</v>
      </c>
      <c r="D2135" s="109">
        <v>0.01</v>
      </c>
      <c r="E2135" s="109">
        <v>540.75</v>
      </c>
      <c r="F2135" s="109">
        <v>5.41</v>
      </c>
      <c r="G2135" s="108" t="s">
        <v>1991</v>
      </c>
      <c r="H2135" s="111" t="s">
        <v>16</v>
      </c>
    </row>
    <row r="2136" spans="1:8" ht="42.75" x14ac:dyDescent="0.2">
      <c r="A2136" s="108">
        <v>3</v>
      </c>
      <c r="B2136" s="108" t="s">
        <v>1558</v>
      </c>
      <c r="C2136" s="110" t="s">
        <v>103</v>
      </c>
      <c r="D2136" s="109">
        <v>0.01</v>
      </c>
      <c r="E2136" s="109">
        <v>586</v>
      </c>
      <c r="F2136" s="109">
        <v>5.86</v>
      </c>
      <c r="G2136" s="108" t="s">
        <v>1990</v>
      </c>
      <c r="H2136" s="111" t="s">
        <v>16</v>
      </c>
    </row>
    <row r="2137" spans="1:8" ht="33" x14ac:dyDescent="0.2">
      <c r="A2137" s="108">
        <v>4</v>
      </c>
      <c r="B2137" s="108" t="s">
        <v>1987</v>
      </c>
      <c r="C2137" s="110" t="s">
        <v>606</v>
      </c>
      <c r="D2137" s="109">
        <v>1</v>
      </c>
      <c r="E2137" s="109">
        <v>2.12</v>
      </c>
      <c r="F2137" s="109">
        <v>2.12</v>
      </c>
      <c r="G2137" s="108" t="s">
        <v>1986</v>
      </c>
      <c r="H2137" s="111" t="s">
        <v>16</v>
      </c>
    </row>
    <row r="2138" spans="1:8" ht="33" x14ac:dyDescent="0.2">
      <c r="A2138" s="108">
        <v>5</v>
      </c>
      <c r="B2138" s="108" t="s">
        <v>1976</v>
      </c>
      <c r="C2138" s="110" t="s">
        <v>110</v>
      </c>
      <c r="D2138" s="109">
        <v>0.05</v>
      </c>
      <c r="E2138" s="109">
        <v>12</v>
      </c>
      <c r="F2138" s="109">
        <v>0.6</v>
      </c>
      <c r="G2138" s="108" t="s">
        <v>1975</v>
      </c>
      <c r="H2138" s="111" t="s">
        <v>16</v>
      </c>
    </row>
    <row r="2139" spans="1:8" ht="33" x14ac:dyDescent="0.2">
      <c r="A2139" s="108">
        <v>6</v>
      </c>
      <c r="B2139" s="108" t="s">
        <v>2010</v>
      </c>
      <c r="C2139" s="110" t="s">
        <v>34</v>
      </c>
      <c r="D2139" s="109">
        <v>0.01</v>
      </c>
      <c r="E2139" s="109">
        <v>408.43</v>
      </c>
      <c r="F2139" s="109">
        <v>4.08</v>
      </c>
      <c r="G2139" s="108" t="s">
        <v>2009</v>
      </c>
      <c r="H2139" s="111" t="s">
        <v>16</v>
      </c>
    </row>
    <row r="2140" spans="1:8" ht="57" x14ac:dyDescent="0.2">
      <c r="A2140" s="108">
        <v>7</v>
      </c>
      <c r="B2140" s="108" t="s">
        <v>1985</v>
      </c>
      <c r="C2140" s="110" t="s">
        <v>97</v>
      </c>
      <c r="D2140" s="109">
        <v>0.08</v>
      </c>
      <c r="E2140" s="109">
        <v>375</v>
      </c>
      <c r="F2140" s="109">
        <v>30</v>
      </c>
      <c r="G2140" s="108" t="s">
        <v>1984</v>
      </c>
      <c r="H2140" s="111" t="s">
        <v>16</v>
      </c>
    </row>
    <row r="2141" spans="1:8" ht="33" x14ac:dyDescent="0.2">
      <c r="A2141" s="108">
        <v>8</v>
      </c>
      <c r="B2141" s="108" t="s">
        <v>1518</v>
      </c>
      <c r="C2141" s="110" t="s">
        <v>14</v>
      </c>
      <c r="D2141" s="109">
        <v>1</v>
      </c>
      <c r="E2141" s="109">
        <v>3.06</v>
      </c>
      <c r="F2141" s="109">
        <v>3.06</v>
      </c>
      <c r="G2141" s="108" t="s">
        <v>1517</v>
      </c>
      <c r="H2141" s="111" t="s">
        <v>16</v>
      </c>
    </row>
    <row r="2142" spans="1:8" ht="33" x14ac:dyDescent="0.2">
      <c r="A2142" s="108"/>
      <c r="B2142" s="108" t="s">
        <v>1516</v>
      </c>
      <c r="C2142" s="110" t="s">
        <v>606</v>
      </c>
      <c r="D2142" s="109">
        <v>1</v>
      </c>
      <c r="E2142" s="109"/>
      <c r="F2142" s="109">
        <v>105.13</v>
      </c>
      <c r="G2142" s="108"/>
      <c r="H2142" s="111" t="s">
        <v>16</v>
      </c>
    </row>
    <row r="2143" spans="1:8" ht="33" x14ac:dyDescent="0.2">
      <c r="A2143" s="108"/>
      <c r="B2143" s="108" t="s">
        <v>1515</v>
      </c>
      <c r="C2143" s="110" t="s">
        <v>606</v>
      </c>
      <c r="D2143" s="109"/>
      <c r="E2143" s="109"/>
      <c r="F2143" s="109">
        <v>105.13</v>
      </c>
      <c r="G2143" s="108"/>
      <c r="H2143" s="111" t="s">
        <v>16</v>
      </c>
    </row>
    <row r="2144" spans="1:8" ht="16.5" x14ac:dyDescent="0.2">
      <c r="A2144" s="108"/>
      <c r="B2144" s="108"/>
      <c r="C2144" s="110"/>
      <c r="D2144" s="109"/>
      <c r="E2144" s="109"/>
      <c r="F2144" s="109"/>
      <c r="G2144" s="108"/>
    </row>
    <row r="2145" spans="1:8" ht="33" x14ac:dyDescent="0.2">
      <c r="A2145" s="108" t="s">
        <v>2120</v>
      </c>
      <c r="B2145" s="108" t="s">
        <v>774</v>
      </c>
      <c r="C2145" s="110" t="s">
        <v>606</v>
      </c>
      <c r="D2145" s="109">
        <v>1</v>
      </c>
      <c r="E2145" s="109">
        <v>53.12</v>
      </c>
      <c r="F2145" s="109"/>
      <c r="G2145" s="108" t="s">
        <v>2119</v>
      </c>
      <c r="H2145" s="111" t="s">
        <v>16</v>
      </c>
    </row>
    <row r="2146" spans="1:8" ht="42.75" x14ac:dyDescent="0.2">
      <c r="A2146" s="108">
        <v>1</v>
      </c>
      <c r="B2146" s="108" t="s">
        <v>2118</v>
      </c>
      <c r="C2146" s="110" t="s">
        <v>2042</v>
      </c>
      <c r="D2146" s="109">
        <v>1</v>
      </c>
      <c r="E2146" s="109">
        <v>11</v>
      </c>
      <c r="F2146" s="109">
        <v>11</v>
      </c>
      <c r="G2146" s="108" t="s">
        <v>2117</v>
      </c>
      <c r="H2146" s="111" t="s">
        <v>16</v>
      </c>
    </row>
    <row r="2147" spans="1:8" ht="33" x14ac:dyDescent="0.2">
      <c r="A2147" s="108">
        <v>2</v>
      </c>
      <c r="B2147" s="108" t="s">
        <v>1976</v>
      </c>
      <c r="C2147" s="110" t="s">
        <v>110</v>
      </c>
      <c r="D2147" s="109">
        <v>0.05</v>
      </c>
      <c r="E2147" s="109">
        <v>12</v>
      </c>
      <c r="F2147" s="109">
        <v>0.6</v>
      </c>
      <c r="G2147" s="108" t="s">
        <v>1975</v>
      </c>
      <c r="H2147" s="111" t="s">
        <v>16</v>
      </c>
    </row>
    <row r="2148" spans="1:8" ht="33" x14ac:dyDescent="0.2">
      <c r="A2148" s="108">
        <v>3</v>
      </c>
      <c r="B2148" s="108" t="s">
        <v>2010</v>
      </c>
      <c r="C2148" s="110" t="s">
        <v>34</v>
      </c>
      <c r="D2148" s="109">
        <v>0.01</v>
      </c>
      <c r="E2148" s="109">
        <v>408.43</v>
      </c>
      <c r="F2148" s="109">
        <v>4.08</v>
      </c>
      <c r="G2148" s="108" t="s">
        <v>2009</v>
      </c>
      <c r="H2148" s="111" t="s">
        <v>16</v>
      </c>
    </row>
    <row r="2149" spans="1:8" ht="33" x14ac:dyDescent="0.2">
      <c r="A2149" s="108">
        <v>4</v>
      </c>
      <c r="B2149" s="108" t="s">
        <v>1987</v>
      </c>
      <c r="C2149" s="110" t="s">
        <v>606</v>
      </c>
      <c r="D2149" s="109">
        <v>1</v>
      </c>
      <c r="E2149" s="109">
        <v>2.12</v>
      </c>
      <c r="F2149" s="109">
        <v>2.12</v>
      </c>
      <c r="G2149" s="108" t="s">
        <v>1986</v>
      </c>
      <c r="H2149" s="111" t="s">
        <v>16</v>
      </c>
    </row>
    <row r="2150" spans="1:8" ht="42.75" x14ac:dyDescent="0.2">
      <c r="A2150" s="108">
        <v>5</v>
      </c>
      <c r="B2150" s="108" t="s">
        <v>1992</v>
      </c>
      <c r="C2150" s="110" t="s">
        <v>34</v>
      </c>
      <c r="D2150" s="109">
        <v>0.01</v>
      </c>
      <c r="E2150" s="109">
        <v>540.75</v>
      </c>
      <c r="F2150" s="109">
        <v>5.41</v>
      </c>
      <c r="G2150" s="108" t="s">
        <v>1991</v>
      </c>
      <c r="H2150" s="111" t="s">
        <v>16</v>
      </c>
    </row>
    <row r="2151" spans="1:8" ht="42.75" x14ac:dyDescent="0.2">
      <c r="A2151" s="108">
        <v>6</v>
      </c>
      <c r="B2151" s="108" t="s">
        <v>1558</v>
      </c>
      <c r="C2151" s="110" t="s">
        <v>103</v>
      </c>
      <c r="D2151" s="109">
        <v>0.01</v>
      </c>
      <c r="E2151" s="109">
        <v>586</v>
      </c>
      <c r="F2151" s="109">
        <v>5.86</v>
      </c>
      <c r="G2151" s="108" t="s">
        <v>1990</v>
      </c>
      <c r="H2151" s="111" t="s">
        <v>16</v>
      </c>
    </row>
    <row r="2152" spans="1:8" ht="57" x14ac:dyDescent="0.2">
      <c r="A2152" s="108">
        <v>7</v>
      </c>
      <c r="B2152" s="108" t="s">
        <v>1985</v>
      </c>
      <c r="C2152" s="110" t="s">
        <v>97</v>
      </c>
      <c r="D2152" s="109">
        <v>0.06</v>
      </c>
      <c r="E2152" s="109">
        <v>375</v>
      </c>
      <c r="F2152" s="109">
        <v>22.5</v>
      </c>
      <c r="G2152" s="108" t="s">
        <v>1984</v>
      </c>
      <c r="H2152" s="111" t="s">
        <v>16</v>
      </c>
    </row>
    <row r="2153" spans="1:8" ht="33" x14ac:dyDescent="0.2">
      <c r="A2153" s="108">
        <v>8</v>
      </c>
      <c r="B2153" s="108" t="s">
        <v>1518</v>
      </c>
      <c r="C2153" s="110" t="s">
        <v>14</v>
      </c>
      <c r="D2153" s="109">
        <v>1</v>
      </c>
      <c r="E2153" s="109">
        <v>1.55</v>
      </c>
      <c r="F2153" s="109">
        <v>1.55</v>
      </c>
      <c r="G2153" s="108" t="s">
        <v>1517</v>
      </c>
      <c r="H2153" s="111" t="s">
        <v>16</v>
      </c>
    </row>
    <row r="2154" spans="1:8" ht="33" x14ac:dyDescent="0.2">
      <c r="A2154" s="108"/>
      <c r="B2154" s="108" t="s">
        <v>1516</v>
      </c>
      <c r="C2154" s="110" t="s">
        <v>606</v>
      </c>
      <c r="D2154" s="109">
        <v>1</v>
      </c>
      <c r="E2154" s="109"/>
      <c r="F2154" s="109">
        <v>53.12</v>
      </c>
      <c r="G2154" s="108"/>
      <c r="H2154" s="111" t="s">
        <v>16</v>
      </c>
    </row>
    <row r="2155" spans="1:8" ht="33" x14ac:dyDescent="0.2">
      <c r="A2155" s="108"/>
      <c r="B2155" s="108" t="s">
        <v>1515</v>
      </c>
      <c r="C2155" s="110" t="s">
        <v>606</v>
      </c>
      <c r="D2155" s="109"/>
      <c r="E2155" s="109"/>
      <c r="F2155" s="109">
        <v>53.12</v>
      </c>
      <c r="G2155" s="108"/>
      <c r="H2155" s="111" t="s">
        <v>16</v>
      </c>
    </row>
    <row r="2156" spans="1:8" ht="16.5" x14ac:dyDescent="0.2">
      <c r="A2156" s="108"/>
      <c r="B2156" s="108"/>
      <c r="C2156" s="110"/>
      <c r="D2156" s="109"/>
      <c r="E2156" s="109"/>
      <c r="F2156" s="109"/>
      <c r="G2156" s="108"/>
    </row>
    <row r="2157" spans="1:8" ht="33" x14ac:dyDescent="0.2">
      <c r="A2157" s="108" t="s">
        <v>2116</v>
      </c>
      <c r="B2157" s="108" t="s">
        <v>777</v>
      </c>
      <c r="C2157" s="110" t="s">
        <v>606</v>
      </c>
      <c r="D2157" s="109">
        <v>1</v>
      </c>
      <c r="E2157" s="109">
        <v>36.380000000000003</v>
      </c>
      <c r="F2157" s="109"/>
      <c r="G2157" s="108" t="s">
        <v>2115</v>
      </c>
      <c r="H2157" s="111" t="s">
        <v>16</v>
      </c>
    </row>
    <row r="2158" spans="1:8" ht="33" x14ac:dyDescent="0.2">
      <c r="A2158" s="108">
        <v>1</v>
      </c>
      <c r="B2158" s="108" t="s">
        <v>2114</v>
      </c>
      <c r="C2158" s="110" t="s">
        <v>606</v>
      </c>
      <c r="D2158" s="109">
        <v>1</v>
      </c>
      <c r="E2158" s="109">
        <v>17.5</v>
      </c>
      <c r="F2158" s="109">
        <v>17.5</v>
      </c>
      <c r="G2158" s="108" t="s">
        <v>2113</v>
      </c>
      <c r="H2158" s="111" t="s">
        <v>16</v>
      </c>
    </row>
    <row r="2159" spans="1:8" ht="33" x14ac:dyDescent="0.2">
      <c r="A2159" s="108">
        <v>2</v>
      </c>
      <c r="B2159" s="108" t="s">
        <v>1976</v>
      </c>
      <c r="C2159" s="110" t="s">
        <v>110</v>
      </c>
      <c r="D2159" s="109">
        <v>0.05</v>
      </c>
      <c r="E2159" s="109">
        <v>12</v>
      </c>
      <c r="F2159" s="109">
        <v>0.6</v>
      </c>
      <c r="G2159" s="108" t="s">
        <v>1975</v>
      </c>
      <c r="H2159" s="111" t="s">
        <v>16</v>
      </c>
    </row>
    <row r="2160" spans="1:8" ht="33" x14ac:dyDescent="0.2">
      <c r="A2160" s="108">
        <v>3</v>
      </c>
      <c r="B2160" s="108" t="s">
        <v>2010</v>
      </c>
      <c r="C2160" s="110" t="s">
        <v>34</v>
      </c>
      <c r="D2160" s="109">
        <v>0.01</v>
      </c>
      <c r="E2160" s="109">
        <v>408.43</v>
      </c>
      <c r="F2160" s="109">
        <v>4.08</v>
      </c>
      <c r="G2160" s="108" t="s">
        <v>2009</v>
      </c>
      <c r="H2160" s="111" t="s">
        <v>16</v>
      </c>
    </row>
    <row r="2161" spans="1:8" ht="42.75" x14ac:dyDescent="0.2">
      <c r="A2161" s="108">
        <v>4</v>
      </c>
      <c r="B2161" s="108" t="s">
        <v>1992</v>
      </c>
      <c r="C2161" s="110" t="s">
        <v>34</v>
      </c>
      <c r="D2161" s="109">
        <v>0.01</v>
      </c>
      <c r="E2161" s="109">
        <v>540.75</v>
      </c>
      <c r="F2161" s="109">
        <v>5.41</v>
      </c>
      <c r="G2161" s="108" t="s">
        <v>1991</v>
      </c>
      <c r="H2161" s="111" t="s">
        <v>16</v>
      </c>
    </row>
    <row r="2162" spans="1:8" ht="42.75" x14ac:dyDescent="0.2">
      <c r="A2162" s="108">
        <v>5</v>
      </c>
      <c r="B2162" s="108" t="s">
        <v>1558</v>
      </c>
      <c r="C2162" s="110" t="s">
        <v>103</v>
      </c>
      <c r="D2162" s="109">
        <v>0.01</v>
      </c>
      <c r="E2162" s="109">
        <v>586</v>
      </c>
      <c r="F2162" s="109">
        <v>5.86</v>
      </c>
      <c r="G2162" s="108" t="s">
        <v>1990</v>
      </c>
      <c r="H2162" s="111" t="s">
        <v>16</v>
      </c>
    </row>
    <row r="2163" spans="1:8" ht="33" x14ac:dyDescent="0.2">
      <c r="A2163" s="108">
        <v>6</v>
      </c>
      <c r="B2163" s="108" t="s">
        <v>2112</v>
      </c>
      <c r="C2163" s="110" t="s">
        <v>2042</v>
      </c>
      <c r="D2163" s="109">
        <v>1</v>
      </c>
      <c r="E2163" s="109">
        <v>1.87</v>
      </c>
      <c r="F2163" s="109">
        <v>1.87</v>
      </c>
      <c r="G2163" s="108" t="s">
        <v>2111</v>
      </c>
      <c r="H2163" s="111" t="s">
        <v>16</v>
      </c>
    </row>
    <row r="2164" spans="1:8" ht="33" x14ac:dyDescent="0.2">
      <c r="A2164" s="108">
        <v>7</v>
      </c>
      <c r="B2164" s="108" t="s">
        <v>1518</v>
      </c>
      <c r="C2164" s="110" t="s">
        <v>14</v>
      </c>
      <c r="D2164" s="109">
        <v>1</v>
      </c>
      <c r="E2164" s="109">
        <v>1.06</v>
      </c>
      <c r="F2164" s="109">
        <v>1.06</v>
      </c>
      <c r="G2164" s="108" t="s">
        <v>1517</v>
      </c>
      <c r="H2164" s="111" t="s">
        <v>16</v>
      </c>
    </row>
    <row r="2165" spans="1:8" ht="33" x14ac:dyDescent="0.2">
      <c r="A2165" s="108"/>
      <c r="B2165" s="108" t="s">
        <v>1516</v>
      </c>
      <c r="C2165" s="110" t="s">
        <v>606</v>
      </c>
      <c r="D2165" s="109">
        <v>1</v>
      </c>
      <c r="E2165" s="109"/>
      <c r="F2165" s="109">
        <v>36.380000000000003</v>
      </c>
      <c r="G2165" s="108"/>
      <c r="H2165" s="111" t="s">
        <v>16</v>
      </c>
    </row>
    <row r="2166" spans="1:8" ht="33" x14ac:dyDescent="0.2">
      <c r="A2166" s="108"/>
      <c r="B2166" s="108" t="s">
        <v>1515</v>
      </c>
      <c r="C2166" s="110" t="s">
        <v>606</v>
      </c>
      <c r="D2166" s="109"/>
      <c r="E2166" s="109"/>
      <c r="F2166" s="109">
        <v>36.380000000000003</v>
      </c>
      <c r="G2166" s="108"/>
      <c r="H2166" s="111" t="s">
        <v>16</v>
      </c>
    </row>
    <row r="2167" spans="1:8" ht="16.5" x14ac:dyDescent="0.2">
      <c r="A2167" s="108"/>
      <c r="B2167" s="108"/>
      <c r="C2167" s="110"/>
      <c r="D2167" s="109"/>
      <c r="E2167" s="109"/>
      <c r="F2167" s="109"/>
      <c r="G2167" s="108"/>
    </row>
    <row r="2168" spans="1:8" ht="33" x14ac:dyDescent="0.2">
      <c r="A2168" s="108" t="s">
        <v>2110</v>
      </c>
      <c r="B2168" s="108" t="s">
        <v>780</v>
      </c>
      <c r="C2168" s="110" t="s">
        <v>606</v>
      </c>
      <c r="D2168" s="109">
        <v>1</v>
      </c>
      <c r="E2168" s="109">
        <v>59.74</v>
      </c>
      <c r="F2168" s="109"/>
      <c r="G2168" s="108" t="s">
        <v>2109</v>
      </c>
      <c r="H2168" s="111" t="s">
        <v>16</v>
      </c>
    </row>
    <row r="2169" spans="1:8" ht="33" x14ac:dyDescent="0.2">
      <c r="A2169" s="108">
        <v>1</v>
      </c>
      <c r="B2169" s="108" t="s">
        <v>2108</v>
      </c>
      <c r="C2169" s="110" t="s">
        <v>2042</v>
      </c>
      <c r="D2169" s="109">
        <v>1</v>
      </c>
      <c r="E2169" s="109">
        <v>16.5</v>
      </c>
      <c r="F2169" s="109">
        <v>16.5</v>
      </c>
      <c r="G2169" s="108" t="s">
        <v>2107</v>
      </c>
      <c r="H2169" s="111" t="s">
        <v>16</v>
      </c>
    </row>
    <row r="2170" spans="1:8" ht="33" x14ac:dyDescent="0.2">
      <c r="A2170" s="108">
        <v>2</v>
      </c>
      <c r="B2170" s="108" t="s">
        <v>1976</v>
      </c>
      <c r="C2170" s="110" t="s">
        <v>110</v>
      </c>
      <c r="D2170" s="109">
        <v>0.05</v>
      </c>
      <c r="E2170" s="109">
        <v>12</v>
      </c>
      <c r="F2170" s="109">
        <v>0.6</v>
      </c>
      <c r="G2170" s="108" t="s">
        <v>1975</v>
      </c>
      <c r="H2170" s="111" t="s">
        <v>16</v>
      </c>
    </row>
    <row r="2171" spans="1:8" ht="33" x14ac:dyDescent="0.2">
      <c r="A2171" s="108">
        <v>3</v>
      </c>
      <c r="B2171" s="108" t="s">
        <v>2010</v>
      </c>
      <c r="C2171" s="110" t="s">
        <v>34</v>
      </c>
      <c r="D2171" s="109">
        <v>0.01</v>
      </c>
      <c r="E2171" s="109">
        <v>408.43</v>
      </c>
      <c r="F2171" s="109">
        <v>4.08</v>
      </c>
      <c r="G2171" s="108" t="s">
        <v>2009</v>
      </c>
      <c r="H2171" s="111" t="s">
        <v>16</v>
      </c>
    </row>
    <row r="2172" spans="1:8" ht="42.75" x14ac:dyDescent="0.2">
      <c r="A2172" s="108">
        <v>4</v>
      </c>
      <c r="B2172" s="108" t="s">
        <v>1992</v>
      </c>
      <c r="C2172" s="110" t="s">
        <v>34</v>
      </c>
      <c r="D2172" s="109">
        <v>0.01</v>
      </c>
      <c r="E2172" s="109">
        <v>540.75</v>
      </c>
      <c r="F2172" s="109">
        <v>5.41</v>
      </c>
      <c r="G2172" s="108" t="s">
        <v>1991</v>
      </c>
      <c r="H2172" s="111" t="s">
        <v>16</v>
      </c>
    </row>
    <row r="2173" spans="1:8" ht="42.75" x14ac:dyDescent="0.2">
      <c r="A2173" s="108">
        <v>5</v>
      </c>
      <c r="B2173" s="108" t="s">
        <v>1558</v>
      </c>
      <c r="C2173" s="110" t="s">
        <v>103</v>
      </c>
      <c r="D2173" s="109">
        <v>0.01</v>
      </c>
      <c r="E2173" s="109">
        <v>586</v>
      </c>
      <c r="F2173" s="109">
        <v>5.86</v>
      </c>
      <c r="G2173" s="108" t="s">
        <v>1990</v>
      </c>
      <c r="H2173" s="111" t="s">
        <v>16</v>
      </c>
    </row>
    <row r="2174" spans="1:8" ht="33" x14ac:dyDescent="0.2">
      <c r="A2174" s="108">
        <v>6</v>
      </c>
      <c r="B2174" s="108" t="s">
        <v>1989</v>
      </c>
      <c r="C2174" s="110" t="s">
        <v>2042</v>
      </c>
      <c r="D2174" s="109">
        <v>1</v>
      </c>
      <c r="E2174" s="109">
        <v>3.05</v>
      </c>
      <c r="F2174" s="109">
        <v>3.05</v>
      </c>
      <c r="G2174" s="108" t="s">
        <v>2106</v>
      </c>
      <c r="H2174" s="111" t="s">
        <v>16</v>
      </c>
    </row>
    <row r="2175" spans="1:8" ht="57" x14ac:dyDescent="0.2">
      <c r="A2175" s="108">
        <v>7</v>
      </c>
      <c r="B2175" s="108" t="s">
        <v>1985</v>
      </c>
      <c r="C2175" s="110" t="s">
        <v>97</v>
      </c>
      <c r="D2175" s="109">
        <v>0.06</v>
      </c>
      <c r="E2175" s="109">
        <v>375</v>
      </c>
      <c r="F2175" s="109">
        <v>22.5</v>
      </c>
      <c r="G2175" s="108" t="s">
        <v>1984</v>
      </c>
      <c r="H2175" s="111" t="s">
        <v>16</v>
      </c>
    </row>
    <row r="2176" spans="1:8" ht="33" x14ac:dyDescent="0.2">
      <c r="A2176" s="108">
        <v>8</v>
      </c>
      <c r="B2176" s="108" t="s">
        <v>1518</v>
      </c>
      <c r="C2176" s="110" t="s">
        <v>14</v>
      </c>
      <c r="D2176" s="109">
        <v>1</v>
      </c>
      <c r="E2176" s="109">
        <v>1.74</v>
      </c>
      <c r="F2176" s="109">
        <v>1.74</v>
      </c>
      <c r="G2176" s="108" t="s">
        <v>1517</v>
      </c>
      <c r="H2176" s="111" t="s">
        <v>16</v>
      </c>
    </row>
    <row r="2177" spans="1:8" ht="33" x14ac:dyDescent="0.2">
      <c r="A2177" s="108"/>
      <c r="B2177" s="108" t="s">
        <v>1516</v>
      </c>
      <c r="C2177" s="110" t="s">
        <v>606</v>
      </c>
      <c r="D2177" s="109">
        <v>1</v>
      </c>
      <c r="E2177" s="109"/>
      <c r="F2177" s="109">
        <v>59.74</v>
      </c>
      <c r="G2177" s="108"/>
      <c r="H2177" s="111" t="s">
        <v>16</v>
      </c>
    </row>
    <row r="2178" spans="1:8" ht="33" x14ac:dyDescent="0.2">
      <c r="A2178" s="108"/>
      <c r="B2178" s="108" t="s">
        <v>1515</v>
      </c>
      <c r="C2178" s="110" t="s">
        <v>606</v>
      </c>
      <c r="D2178" s="109"/>
      <c r="E2178" s="109"/>
      <c r="F2178" s="109">
        <v>59.74</v>
      </c>
      <c r="G2178" s="108"/>
      <c r="H2178" s="111" t="s">
        <v>16</v>
      </c>
    </row>
    <row r="2179" spans="1:8" ht="16.5" x14ac:dyDescent="0.2">
      <c r="A2179" s="108"/>
      <c r="B2179" s="108"/>
      <c r="C2179" s="110"/>
      <c r="D2179" s="109"/>
      <c r="E2179" s="109"/>
      <c r="F2179" s="109"/>
      <c r="G2179" s="108"/>
    </row>
    <row r="2180" spans="1:8" ht="33" x14ac:dyDescent="0.2">
      <c r="A2180" s="108" t="s">
        <v>2105</v>
      </c>
      <c r="B2180" s="108" t="s">
        <v>783</v>
      </c>
      <c r="C2180" s="110" t="s">
        <v>606</v>
      </c>
      <c r="D2180" s="109">
        <v>1</v>
      </c>
      <c r="E2180" s="109">
        <v>80.41</v>
      </c>
      <c r="F2180" s="109"/>
      <c r="G2180" s="108" t="s">
        <v>2104</v>
      </c>
      <c r="H2180" s="111" t="s">
        <v>16</v>
      </c>
    </row>
    <row r="2181" spans="1:8" ht="33" x14ac:dyDescent="0.2">
      <c r="A2181" s="108">
        <v>1</v>
      </c>
      <c r="B2181" s="108" t="s">
        <v>2103</v>
      </c>
      <c r="C2181" s="110" t="s">
        <v>2042</v>
      </c>
      <c r="D2181" s="109">
        <v>1</v>
      </c>
      <c r="E2181" s="109">
        <v>30</v>
      </c>
      <c r="F2181" s="109">
        <v>30</v>
      </c>
      <c r="G2181" s="108" t="s">
        <v>2102</v>
      </c>
      <c r="H2181" s="111" t="s">
        <v>16</v>
      </c>
    </row>
    <row r="2182" spans="1:8" ht="42.75" x14ac:dyDescent="0.2">
      <c r="A2182" s="108">
        <v>2</v>
      </c>
      <c r="B2182" s="108" t="s">
        <v>1992</v>
      </c>
      <c r="C2182" s="110" t="s">
        <v>34</v>
      </c>
      <c r="D2182" s="109">
        <v>0.01</v>
      </c>
      <c r="E2182" s="109">
        <v>540.75</v>
      </c>
      <c r="F2182" s="109">
        <v>5.41</v>
      </c>
      <c r="G2182" s="108" t="s">
        <v>1991</v>
      </c>
      <c r="H2182" s="111" t="s">
        <v>16</v>
      </c>
    </row>
    <row r="2183" spans="1:8" ht="42.75" x14ac:dyDescent="0.2">
      <c r="A2183" s="108">
        <v>3</v>
      </c>
      <c r="B2183" s="108" t="s">
        <v>1558</v>
      </c>
      <c r="C2183" s="110" t="s">
        <v>103</v>
      </c>
      <c r="D2183" s="109">
        <v>0.01</v>
      </c>
      <c r="E2183" s="109">
        <v>586</v>
      </c>
      <c r="F2183" s="109">
        <v>5.86</v>
      </c>
      <c r="G2183" s="108" t="s">
        <v>1990</v>
      </c>
      <c r="H2183" s="111" t="s">
        <v>16</v>
      </c>
    </row>
    <row r="2184" spans="1:8" ht="33" x14ac:dyDescent="0.2">
      <c r="A2184" s="108">
        <v>4</v>
      </c>
      <c r="B2184" s="108" t="s">
        <v>1987</v>
      </c>
      <c r="C2184" s="110" t="s">
        <v>606</v>
      </c>
      <c r="D2184" s="109">
        <v>1</v>
      </c>
      <c r="E2184" s="109">
        <v>2.12</v>
      </c>
      <c r="F2184" s="109">
        <v>2.12</v>
      </c>
      <c r="G2184" s="108" t="s">
        <v>1986</v>
      </c>
      <c r="H2184" s="111" t="s">
        <v>16</v>
      </c>
    </row>
    <row r="2185" spans="1:8" ht="33" x14ac:dyDescent="0.2">
      <c r="A2185" s="108">
        <v>5</v>
      </c>
      <c r="B2185" s="108" t="s">
        <v>1976</v>
      </c>
      <c r="C2185" s="110" t="s">
        <v>110</v>
      </c>
      <c r="D2185" s="109">
        <v>0.05</v>
      </c>
      <c r="E2185" s="109">
        <v>12</v>
      </c>
      <c r="F2185" s="109">
        <v>0.6</v>
      </c>
      <c r="G2185" s="108" t="s">
        <v>1975</v>
      </c>
      <c r="H2185" s="111" t="s">
        <v>16</v>
      </c>
    </row>
    <row r="2186" spans="1:8" ht="57" x14ac:dyDescent="0.2">
      <c r="A2186" s="108">
        <v>6</v>
      </c>
      <c r="B2186" s="108" t="s">
        <v>1985</v>
      </c>
      <c r="C2186" s="110" t="s">
        <v>97</v>
      </c>
      <c r="D2186" s="109">
        <v>0.08</v>
      </c>
      <c r="E2186" s="109">
        <v>375</v>
      </c>
      <c r="F2186" s="109">
        <v>30</v>
      </c>
      <c r="G2186" s="108" t="s">
        <v>1984</v>
      </c>
      <c r="H2186" s="111" t="s">
        <v>16</v>
      </c>
    </row>
    <row r="2187" spans="1:8" ht="33" x14ac:dyDescent="0.2">
      <c r="A2187" s="108">
        <v>7</v>
      </c>
      <c r="B2187" s="108" t="s">
        <v>2010</v>
      </c>
      <c r="C2187" s="110" t="s">
        <v>34</v>
      </c>
      <c r="D2187" s="109">
        <v>0.01</v>
      </c>
      <c r="E2187" s="109">
        <v>408.43</v>
      </c>
      <c r="F2187" s="109">
        <v>4.08</v>
      </c>
      <c r="G2187" s="108" t="s">
        <v>2009</v>
      </c>
      <c r="H2187" s="111" t="s">
        <v>16</v>
      </c>
    </row>
    <row r="2188" spans="1:8" ht="33" x14ac:dyDescent="0.2">
      <c r="A2188" s="108">
        <v>8</v>
      </c>
      <c r="B2188" s="108" t="s">
        <v>1518</v>
      </c>
      <c r="C2188" s="110" t="s">
        <v>14</v>
      </c>
      <c r="D2188" s="109">
        <v>1</v>
      </c>
      <c r="E2188" s="109">
        <v>2.34</v>
      </c>
      <c r="F2188" s="109">
        <v>2.34</v>
      </c>
      <c r="G2188" s="108" t="s">
        <v>1517</v>
      </c>
      <c r="H2188" s="111" t="s">
        <v>16</v>
      </c>
    </row>
    <row r="2189" spans="1:8" ht="33" x14ac:dyDescent="0.2">
      <c r="A2189" s="108"/>
      <c r="B2189" s="108" t="s">
        <v>1516</v>
      </c>
      <c r="C2189" s="110" t="s">
        <v>606</v>
      </c>
      <c r="D2189" s="109">
        <v>1</v>
      </c>
      <c r="E2189" s="109"/>
      <c r="F2189" s="109">
        <v>80.41</v>
      </c>
      <c r="G2189" s="108"/>
      <c r="H2189" s="111" t="s">
        <v>16</v>
      </c>
    </row>
    <row r="2190" spans="1:8" ht="33" x14ac:dyDescent="0.2">
      <c r="A2190" s="108"/>
      <c r="B2190" s="108" t="s">
        <v>1515</v>
      </c>
      <c r="C2190" s="110" t="s">
        <v>606</v>
      </c>
      <c r="D2190" s="109"/>
      <c r="E2190" s="109"/>
      <c r="F2190" s="109">
        <v>80.41</v>
      </c>
      <c r="G2190" s="108"/>
      <c r="H2190" s="111" t="s">
        <v>16</v>
      </c>
    </row>
    <row r="2191" spans="1:8" ht="16.5" x14ac:dyDescent="0.2">
      <c r="A2191" s="108"/>
      <c r="B2191" s="108"/>
      <c r="C2191" s="110"/>
      <c r="D2191" s="109"/>
      <c r="E2191" s="109"/>
      <c r="F2191" s="109"/>
      <c r="G2191" s="108"/>
    </row>
    <row r="2192" spans="1:8" ht="33" x14ac:dyDescent="0.2">
      <c r="A2192" s="108" t="s">
        <v>2101</v>
      </c>
      <c r="B2192" s="108" t="s">
        <v>786</v>
      </c>
      <c r="C2192" s="110" t="s">
        <v>606</v>
      </c>
      <c r="D2192" s="109">
        <v>1</v>
      </c>
      <c r="E2192" s="109">
        <v>64.959999999999994</v>
      </c>
      <c r="F2192" s="109"/>
      <c r="G2192" s="108" t="s">
        <v>2100</v>
      </c>
      <c r="H2192" s="111" t="s">
        <v>16</v>
      </c>
    </row>
    <row r="2193" spans="1:8" ht="33" x14ac:dyDescent="0.2">
      <c r="A2193" s="108">
        <v>1</v>
      </c>
      <c r="B2193" s="108" t="s">
        <v>2099</v>
      </c>
      <c r="C2193" s="110" t="s">
        <v>2042</v>
      </c>
      <c r="D2193" s="109">
        <v>1</v>
      </c>
      <c r="E2193" s="109">
        <v>15</v>
      </c>
      <c r="F2193" s="109">
        <v>15</v>
      </c>
      <c r="G2193" s="108" t="s">
        <v>2098</v>
      </c>
      <c r="H2193" s="111" t="s">
        <v>16</v>
      </c>
    </row>
    <row r="2194" spans="1:8" ht="42.75" x14ac:dyDescent="0.2">
      <c r="A2194" s="108">
        <v>2</v>
      </c>
      <c r="B2194" s="108" t="s">
        <v>1992</v>
      </c>
      <c r="C2194" s="110" t="s">
        <v>34</v>
      </c>
      <c r="D2194" s="109">
        <v>0.01</v>
      </c>
      <c r="E2194" s="109">
        <v>540.75</v>
      </c>
      <c r="F2194" s="109">
        <v>5.41</v>
      </c>
      <c r="G2194" s="108" t="s">
        <v>1991</v>
      </c>
      <c r="H2194" s="111" t="s">
        <v>16</v>
      </c>
    </row>
    <row r="2195" spans="1:8" ht="42.75" x14ac:dyDescent="0.2">
      <c r="A2195" s="108">
        <v>3</v>
      </c>
      <c r="B2195" s="108" t="s">
        <v>1558</v>
      </c>
      <c r="C2195" s="110" t="s">
        <v>103</v>
      </c>
      <c r="D2195" s="109">
        <v>0.01</v>
      </c>
      <c r="E2195" s="109">
        <v>586</v>
      </c>
      <c r="F2195" s="109">
        <v>5.86</v>
      </c>
      <c r="G2195" s="108" t="s">
        <v>1990</v>
      </c>
      <c r="H2195" s="111" t="s">
        <v>16</v>
      </c>
    </row>
    <row r="2196" spans="1:8" ht="33" x14ac:dyDescent="0.2">
      <c r="A2196" s="108">
        <v>4</v>
      </c>
      <c r="B2196" s="108" t="s">
        <v>1987</v>
      </c>
      <c r="C2196" s="110" t="s">
        <v>606</v>
      </c>
      <c r="D2196" s="109">
        <v>1</v>
      </c>
      <c r="E2196" s="109">
        <v>2.12</v>
      </c>
      <c r="F2196" s="109">
        <v>2.12</v>
      </c>
      <c r="G2196" s="108" t="s">
        <v>1986</v>
      </c>
      <c r="H2196" s="111" t="s">
        <v>16</v>
      </c>
    </row>
    <row r="2197" spans="1:8" ht="33" x14ac:dyDescent="0.2">
      <c r="A2197" s="108">
        <v>5</v>
      </c>
      <c r="B2197" s="108" t="s">
        <v>1976</v>
      </c>
      <c r="C2197" s="110" t="s">
        <v>110</v>
      </c>
      <c r="D2197" s="109">
        <v>0.05</v>
      </c>
      <c r="E2197" s="109">
        <v>12</v>
      </c>
      <c r="F2197" s="109">
        <v>0.6</v>
      </c>
      <c r="G2197" s="108" t="s">
        <v>1975</v>
      </c>
      <c r="H2197" s="111" t="s">
        <v>16</v>
      </c>
    </row>
    <row r="2198" spans="1:8" ht="57" x14ac:dyDescent="0.2">
      <c r="A2198" s="108">
        <v>6</v>
      </c>
      <c r="B2198" s="108" t="s">
        <v>1985</v>
      </c>
      <c r="C2198" s="110" t="s">
        <v>97</v>
      </c>
      <c r="D2198" s="109">
        <v>0.08</v>
      </c>
      <c r="E2198" s="109">
        <v>375</v>
      </c>
      <c r="F2198" s="109">
        <v>30</v>
      </c>
      <c r="G2198" s="108" t="s">
        <v>1984</v>
      </c>
      <c r="H2198" s="111" t="s">
        <v>16</v>
      </c>
    </row>
    <row r="2199" spans="1:8" ht="33" x14ac:dyDescent="0.2">
      <c r="A2199" s="108">
        <v>7</v>
      </c>
      <c r="B2199" s="108" t="s">
        <v>2010</v>
      </c>
      <c r="C2199" s="110" t="s">
        <v>34</v>
      </c>
      <c r="D2199" s="109">
        <v>0.01</v>
      </c>
      <c r="E2199" s="109">
        <v>408.43</v>
      </c>
      <c r="F2199" s="109">
        <v>4.08</v>
      </c>
      <c r="G2199" s="108" t="s">
        <v>2009</v>
      </c>
      <c r="H2199" s="111" t="s">
        <v>16</v>
      </c>
    </row>
    <row r="2200" spans="1:8" ht="33" x14ac:dyDescent="0.2">
      <c r="A2200" s="108">
        <v>8</v>
      </c>
      <c r="B2200" s="108" t="s">
        <v>1518</v>
      </c>
      <c r="C2200" s="110" t="s">
        <v>14</v>
      </c>
      <c r="D2200" s="109">
        <v>1</v>
      </c>
      <c r="E2200" s="109">
        <v>1.89</v>
      </c>
      <c r="F2200" s="109">
        <v>1.89</v>
      </c>
      <c r="G2200" s="108" t="s">
        <v>1517</v>
      </c>
      <c r="H2200" s="111" t="s">
        <v>16</v>
      </c>
    </row>
    <row r="2201" spans="1:8" ht="33" x14ac:dyDescent="0.2">
      <c r="A2201" s="108"/>
      <c r="B2201" s="108" t="s">
        <v>1516</v>
      </c>
      <c r="C2201" s="110" t="s">
        <v>606</v>
      </c>
      <c r="D2201" s="109">
        <v>1</v>
      </c>
      <c r="E2201" s="109"/>
      <c r="F2201" s="109">
        <v>64.959999999999994</v>
      </c>
      <c r="G2201" s="108"/>
      <c r="H2201" s="111" t="s">
        <v>16</v>
      </c>
    </row>
    <row r="2202" spans="1:8" ht="33" x14ac:dyDescent="0.2">
      <c r="A2202" s="108"/>
      <c r="B2202" s="108" t="s">
        <v>1515</v>
      </c>
      <c r="C2202" s="110" t="s">
        <v>606</v>
      </c>
      <c r="D2202" s="109"/>
      <c r="E2202" s="109"/>
      <c r="F2202" s="109">
        <v>64.959999999999994</v>
      </c>
      <c r="G2202" s="108"/>
      <c r="H2202" s="111" t="s">
        <v>16</v>
      </c>
    </row>
    <row r="2203" spans="1:8" ht="16.5" x14ac:dyDescent="0.2">
      <c r="A2203" s="108"/>
      <c r="B2203" s="108"/>
      <c r="C2203" s="110"/>
      <c r="D2203" s="109"/>
      <c r="E2203" s="109"/>
      <c r="F2203" s="109"/>
      <c r="G2203" s="108"/>
    </row>
    <row r="2204" spans="1:8" ht="33" x14ac:dyDescent="0.2">
      <c r="A2204" s="108" t="s">
        <v>2097</v>
      </c>
      <c r="B2204" s="108" t="s">
        <v>789</v>
      </c>
      <c r="C2204" s="110" t="s">
        <v>606</v>
      </c>
      <c r="D2204" s="109">
        <v>1</v>
      </c>
      <c r="E2204" s="109">
        <v>95.86</v>
      </c>
      <c r="F2204" s="109"/>
      <c r="G2204" s="108" t="s">
        <v>2096</v>
      </c>
      <c r="H2204" s="111" t="s">
        <v>16</v>
      </c>
    </row>
    <row r="2205" spans="1:8" ht="57" x14ac:dyDescent="0.2">
      <c r="A2205" s="108">
        <v>1</v>
      </c>
      <c r="B2205" s="108" t="s">
        <v>2095</v>
      </c>
      <c r="C2205" s="110" t="s">
        <v>2042</v>
      </c>
      <c r="D2205" s="109">
        <v>1</v>
      </c>
      <c r="E2205" s="109">
        <v>45</v>
      </c>
      <c r="F2205" s="109">
        <v>45</v>
      </c>
      <c r="G2205" s="108" t="s">
        <v>2094</v>
      </c>
      <c r="H2205" s="111" t="s">
        <v>16</v>
      </c>
    </row>
    <row r="2206" spans="1:8" ht="42.75" x14ac:dyDescent="0.2">
      <c r="A2206" s="108">
        <v>2</v>
      </c>
      <c r="B2206" s="108" t="s">
        <v>1992</v>
      </c>
      <c r="C2206" s="110" t="s">
        <v>34</v>
      </c>
      <c r="D2206" s="109">
        <v>0.01</v>
      </c>
      <c r="E2206" s="109">
        <v>540.75</v>
      </c>
      <c r="F2206" s="109">
        <v>5.41</v>
      </c>
      <c r="G2206" s="108" t="s">
        <v>1991</v>
      </c>
      <c r="H2206" s="111" t="s">
        <v>16</v>
      </c>
    </row>
    <row r="2207" spans="1:8" ht="42.75" x14ac:dyDescent="0.2">
      <c r="A2207" s="108">
        <v>3</v>
      </c>
      <c r="B2207" s="108" t="s">
        <v>1558</v>
      </c>
      <c r="C2207" s="110" t="s">
        <v>103</v>
      </c>
      <c r="D2207" s="109">
        <v>0.01</v>
      </c>
      <c r="E2207" s="109">
        <v>586</v>
      </c>
      <c r="F2207" s="109">
        <v>5.86</v>
      </c>
      <c r="G2207" s="108" t="s">
        <v>1990</v>
      </c>
      <c r="H2207" s="111" t="s">
        <v>16</v>
      </c>
    </row>
    <row r="2208" spans="1:8" ht="33" x14ac:dyDescent="0.2">
      <c r="A2208" s="108">
        <v>4</v>
      </c>
      <c r="B2208" s="108" t="s">
        <v>1987</v>
      </c>
      <c r="C2208" s="110" t="s">
        <v>606</v>
      </c>
      <c r="D2208" s="109">
        <v>1</v>
      </c>
      <c r="E2208" s="109">
        <v>2.12</v>
      </c>
      <c r="F2208" s="109">
        <v>2.12</v>
      </c>
      <c r="G2208" s="108" t="s">
        <v>1986</v>
      </c>
      <c r="H2208" s="111" t="s">
        <v>16</v>
      </c>
    </row>
    <row r="2209" spans="1:8" ht="33" x14ac:dyDescent="0.2">
      <c r="A2209" s="108">
        <v>5</v>
      </c>
      <c r="B2209" s="108" t="s">
        <v>1976</v>
      </c>
      <c r="C2209" s="110" t="s">
        <v>110</v>
      </c>
      <c r="D2209" s="109">
        <v>0.05</v>
      </c>
      <c r="E2209" s="109">
        <v>12</v>
      </c>
      <c r="F2209" s="109">
        <v>0.6</v>
      </c>
      <c r="G2209" s="108" t="s">
        <v>1975</v>
      </c>
      <c r="H2209" s="111" t="s">
        <v>16</v>
      </c>
    </row>
    <row r="2210" spans="1:8" ht="57" x14ac:dyDescent="0.2">
      <c r="A2210" s="108">
        <v>6</v>
      </c>
      <c r="B2210" s="108" t="s">
        <v>1985</v>
      </c>
      <c r="C2210" s="110" t="s">
        <v>97</v>
      </c>
      <c r="D2210" s="109">
        <v>0.08</v>
      </c>
      <c r="E2210" s="109">
        <v>375</v>
      </c>
      <c r="F2210" s="109">
        <v>30</v>
      </c>
      <c r="G2210" s="108" t="s">
        <v>1984</v>
      </c>
      <c r="H2210" s="111" t="s">
        <v>16</v>
      </c>
    </row>
    <row r="2211" spans="1:8" ht="33" x14ac:dyDescent="0.2">
      <c r="A2211" s="108">
        <v>7</v>
      </c>
      <c r="B2211" s="108" t="s">
        <v>2010</v>
      </c>
      <c r="C2211" s="110" t="s">
        <v>34</v>
      </c>
      <c r="D2211" s="109">
        <v>0.01</v>
      </c>
      <c r="E2211" s="109">
        <v>408.43</v>
      </c>
      <c r="F2211" s="109">
        <v>4.08</v>
      </c>
      <c r="G2211" s="108" t="s">
        <v>2009</v>
      </c>
      <c r="H2211" s="111" t="s">
        <v>16</v>
      </c>
    </row>
    <row r="2212" spans="1:8" ht="33" x14ac:dyDescent="0.2">
      <c r="A2212" s="108">
        <v>8</v>
      </c>
      <c r="B2212" s="108" t="s">
        <v>1518</v>
      </c>
      <c r="C2212" s="110" t="s">
        <v>14</v>
      </c>
      <c r="D2212" s="109">
        <v>1</v>
      </c>
      <c r="E2212" s="109">
        <v>2.79</v>
      </c>
      <c r="F2212" s="109">
        <v>2.79</v>
      </c>
      <c r="G2212" s="108" t="s">
        <v>1517</v>
      </c>
      <c r="H2212" s="111" t="s">
        <v>16</v>
      </c>
    </row>
    <row r="2213" spans="1:8" ht="33" x14ac:dyDescent="0.2">
      <c r="A2213" s="108"/>
      <c r="B2213" s="108" t="s">
        <v>1516</v>
      </c>
      <c r="C2213" s="110" t="s">
        <v>606</v>
      </c>
      <c r="D2213" s="109">
        <v>1</v>
      </c>
      <c r="E2213" s="109"/>
      <c r="F2213" s="109">
        <v>95.86</v>
      </c>
      <c r="G2213" s="108"/>
      <c r="H2213" s="111" t="s">
        <v>16</v>
      </c>
    </row>
    <row r="2214" spans="1:8" ht="33" x14ac:dyDescent="0.2">
      <c r="A2214" s="108"/>
      <c r="B2214" s="108" t="s">
        <v>1515</v>
      </c>
      <c r="C2214" s="110" t="s">
        <v>606</v>
      </c>
      <c r="D2214" s="109"/>
      <c r="E2214" s="109"/>
      <c r="F2214" s="109">
        <v>95.86</v>
      </c>
      <c r="G2214" s="108"/>
      <c r="H2214" s="111" t="s">
        <v>16</v>
      </c>
    </row>
    <row r="2215" spans="1:8" ht="16.5" x14ac:dyDescent="0.2">
      <c r="A2215" s="108"/>
      <c r="B2215" s="108"/>
      <c r="C2215" s="110"/>
      <c r="D2215" s="109"/>
      <c r="E2215" s="109"/>
      <c r="F2215" s="109"/>
      <c r="G2215" s="108"/>
    </row>
    <row r="2216" spans="1:8" ht="33" x14ac:dyDescent="0.2">
      <c r="A2216" s="108" t="s">
        <v>2093</v>
      </c>
      <c r="B2216" s="108" t="s">
        <v>792</v>
      </c>
      <c r="C2216" s="110" t="s">
        <v>606</v>
      </c>
      <c r="D2216" s="109">
        <v>1</v>
      </c>
      <c r="E2216" s="109">
        <v>93.29</v>
      </c>
      <c r="F2216" s="109"/>
      <c r="G2216" s="108" t="s">
        <v>2092</v>
      </c>
      <c r="H2216" s="111" t="s">
        <v>16</v>
      </c>
    </row>
    <row r="2217" spans="1:8" ht="42.75" x14ac:dyDescent="0.2">
      <c r="A2217" s="108">
        <v>1</v>
      </c>
      <c r="B2217" s="108" t="s">
        <v>2091</v>
      </c>
      <c r="C2217" s="110" t="s">
        <v>2042</v>
      </c>
      <c r="D2217" s="109">
        <v>1</v>
      </c>
      <c r="E2217" s="109">
        <v>42.5</v>
      </c>
      <c r="F2217" s="109">
        <v>42.5</v>
      </c>
      <c r="G2217" s="108" t="s">
        <v>2090</v>
      </c>
      <c r="H2217" s="111" t="s">
        <v>16</v>
      </c>
    </row>
    <row r="2218" spans="1:8" ht="42.75" x14ac:dyDescent="0.2">
      <c r="A2218" s="108">
        <v>2</v>
      </c>
      <c r="B2218" s="108" t="s">
        <v>1992</v>
      </c>
      <c r="C2218" s="110" t="s">
        <v>34</v>
      </c>
      <c r="D2218" s="109">
        <v>0.01</v>
      </c>
      <c r="E2218" s="109">
        <v>540.75</v>
      </c>
      <c r="F2218" s="109">
        <v>5.41</v>
      </c>
      <c r="G2218" s="108" t="s">
        <v>1991</v>
      </c>
      <c r="H2218" s="111" t="s">
        <v>16</v>
      </c>
    </row>
    <row r="2219" spans="1:8" ht="42.75" x14ac:dyDescent="0.2">
      <c r="A2219" s="108">
        <v>3</v>
      </c>
      <c r="B2219" s="108" t="s">
        <v>1558</v>
      </c>
      <c r="C2219" s="110" t="s">
        <v>103</v>
      </c>
      <c r="D2219" s="109">
        <v>0.01</v>
      </c>
      <c r="E2219" s="109">
        <v>586</v>
      </c>
      <c r="F2219" s="109">
        <v>5.86</v>
      </c>
      <c r="G2219" s="108" t="s">
        <v>1990</v>
      </c>
      <c r="H2219" s="111" t="s">
        <v>16</v>
      </c>
    </row>
    <row r="2220" spans="1:8" ht="33" x14ac:dyDescent="0.2">
      <c r="A2220" s="108">
        <v>4</v>
      </c>
      <c r="B2220" s="108" t="s">
        <v>1987</v>
      </c>
      <c r="C2220" s="110" t="s">
        <v>606</v>
      </c>
      <c r="D2220" s="109">
        <v>1</v>
      </c>
      <c r="E2220" s="109">
        <v>2.12</v>
      </c>
      <c r="F2220" s="109">
        <v>2.12</v>
      </c>
      <c r="G2220" s="108" t="s">
        <v>1986</v>
      </c>
      <c r="H2220" s="111" t="s">
        <v>16</v>
      </c>
    </row>
    <row r="2221" spans="1:8" ht="33" x14ac:dyDescent="0.2">
      <c r="A2221" s="108">
        <v>5</v>
      </c>
      <c r="B2221" s="108" t="s">
        <v>1976</v>
      </c>
      <c r="C2221" s="110" t="s">
        <v>110</v>
      </c>
      <c r="D2221" s="109">
        <v>0.05</v>
      </c>
      <c r="E2221" s="109">
        <v>12</v>
      </c>
      <c r="F2221" s="109">
        <v>0.6</v>
      </c>
      <c r="G2221" s="108" t="s">
        <v>1975</v>
      </c>
      <c r="H2221" s="111" t="s">
        <v>16</v>
      </c>
    </row>
    <row r="2222" spans="1:8" ht="57" x14ac:dyDescent="0.2">
      <c r="A2222" s="108">
        <v>6</v>
      </c>
      <c r="B2222" s="108" t="s">
        <v>1985</v>
      </c>
      <c r="C2222" s="110" t="s">
        <v>97</v>
      </c>
      <c r="D2222" s="109">
        <v>0.08</v>
      </c>
      <c r="E2222" s="109">
        <v>375</v>
      </c>
      <c r="F2222" s="109">
        <v>30</v>
      </c>
      <c r="G2222" s="108" t="s">
        <v>1984</v>
      </c>
      <c r="H2222" s="111" t="s">
        <v>16</v>
      </c>
    </row>
    <row r="2223" spans="1:8" ht="33" x14ac:dyDescent="0.2">
      <c r="A2223" s="108">
        <v>7</v>
      </c>
      <c r="B2223" s="108" t="s">
        <v>2010</v>
      </c>
      <c r="C2223" s="110" t="s">
        <v>34</v>
      </c>
      <c r="D2223" s="109">
        <v>0.01</v>
      </c>
      <c r="E2223" s="109">
        <v>408.43</v>
      </c>
      <c r="F2223" s="109">
        <v>4.08</v>
      </c>
      <c r="G2223" s="108" t="s">
        <v>2009</v>
      </c>
      <c r="H2223" s="111" t="s">
        <v>16</v>
      </c>
    </row>
    <row r="2224" spans="1:8" ht="33" x14ac:dyDescent="0.2">
      <c r="A2224" s="108">
        <v>8</v>
      </c>
      <c r="B2224" s="108" t="s">
        <v>1518</v>
      </c>
      <c r="C2224" s="110" t="s">
        <v>14</v>
      </c>
      <c r="D2224" s="109">
        <v>1</v>
      </c>
      <c r="E2224" s="109">
        <v>2.72</v>
      </c>
      <c r="F2224" s="109">
        <v>2.72</v>
      </c>
      <c r="G2224" s="108" t="s">
        <v>1517</v>
      </c>
      <c r="H2224" s="111" t="s">
        <v>16</v>
      </c>
    </row>
    <row r="2225" spans="1:8" ht="33" x14ac:dyDescent="0.2">
      <c r="A2225" s="108"/>
      <c r="B2225" s="108" t="s">
        <v>1516</v>
      </c>
      <c r="C2225" s="110" t="s">
        <v>606</v>
      </c>
      <c r="D2225" s="109">
        <v>1</v>
      </c>
      <c r="E2225" s="109"/>
      <c r="F2225" s="109">
        <v>93.289999999999992</v>
      </c>
      <c r="G2225" s="108"/>
      <c r="H2225" s="111" t="s">
        <v>16</v>
      </c>
    </row>
    <row r="2226" spans="1:8" ht="33" x14ac:dyDescent="0.2">
      <c r="A2226" s="108"/>
      <c r="B2226" s="108" t="s">
        <v>1515</v>
      </c>
      <c r="C2226" s="110" t="s">
        <v>606</v>
      </c>
      <c r="D2226" s="109"/>
      <c r="E2226" s="109"/>
      <c r="F2226" s="109">
        <v>93.29</v>
      </c>
      <c r="G2226" s="108"/>
      <c r="H2226" s="111" t="s">
        <v>16</v>
      </c>
    </row>
    <row r="2227" spans="1:8" ht="16.5" x14ac:dyDescent="0.2">
      <c r="A2227" s="108"/>
      <c r="B2227" s="108"/>
      <c r="C2227" s="110"/>
      <c r="D2227" s="109"/>
      <c r="E2227" s="109"/>
      <c r="F2227" s="109"/>
      <c r="G2227" s="108"/>
    </row>
    <row r="2228" spans="1:8" ht="33" x14ac:dyDescent="0.2">
      <c r="A2228" s="108" t="s">
        <v>2089</v>
      </c>
      <c r="B2228" s="108" t="s">
        <v>795</v>
      </c>
      <c r="C2228" s="110" t="s">
        <v>606</v>
      </c>
      <c r="D2228" s="109">
        <v>1</v>
      </c>
      <c r="E2228" s="109">
        <v>93.8</v>
      </c>
      <c r="F2228" s="109"/>
      <c r="G2228" s="108" t="s">
        <v>2088</v>
      </c>
      <c r="H2228" s="111" t="s">
        <v>16</v>
      </c>
    </row>
    <row r="2229" spans="1:8" ht="57" x14ac:dyDescent="0.2">
      <c r="A2229" s="108">
        <v>1</v>
      </c>
      <c r="B2229" s="108" t="s">
        <v>2087</v>
      </c>
      <c r="C2229" s="110" t="s">
        <v>2042</v>
      </c>
      <c r="D2229" s="109">
        <v>1</v>
      </c>
      <c r="E2229" s="109">
        <v>43</v>
      </c>
      <c r="F2229" s="109">
        <v>43</v>
      </c>
      <c r="G2229" s="108" t="s">
        <v>2086</v>
      </c>
      <c r="H2229" s="111" t="s">
        <v>16</v>
      </c>
    </row>
    <row r="2230" spans="1:8" ht="42.75" x14ac:dyDescent="0.2">
      <c r="A2230" s="108">
        <v>2</v>
      </c>
      <c r="B2230" s="108" t="s">
        <v>1992</v>
      </c>
      <c r="C2230" s="110" t="s">
        <v>34</v>
      </c>
      <c r="D2230" s="109">
        <v>0.01</v>
      </c>
      <c r="E2230" s="109">
        <v>540.75</v>
      </c>
      <c r="F2230" s="109">
        <v>5.41</v>
      </c>
      <c r="G2230" s="108" t="s">
        <v>1991</v>
      </c>
      <c r="H2230" s="111" t="s">
        <v>16</v>
      </c>
    </row>
    <row r="2231" spans="1:8" ht="42.75" x14ac:dyDescent="0.2">
      <c r="A2231" s="108">
        <v>3</v>
      </c>
      <c r="B2231" s="108" t="s">
        <v>1558</v>
      </c>
      <c r="C2231" s="110" t="s">
        <v>103</v>
      </c>
      <c r="D2231" s="109">
        <v>0.01</v>
      </c>
      <c r="E2231" s="109">
        <v>586</v>
      </c>
      <c r="F2231" s="109">
        <v>5.86</v>
      </c>
      <c r="G2231" s="108" t="s">
        <v>1990</v>
      </c>
      <c r="H2231" s="111" t="s">
        <v>16</v>
      </c>
    </row>
    <row r="2232" spans="1:8" ht="33" x14ac:dyDescent="0.2">
      <c r="A2232" s="108">
        <v>4</v>
      </c>
      <c r="B2232" s="108" t="s">
        <v>1987</v>
      </c>
      <c r="C2232" s="110" t="s">
        <v>606</v>
      </c>
      <c r="D2232" s="109">
        <v>1</v>
      </c>
      <c r="E2232" s="109">
        <v>2.12</v>
      </c>
      <c r="F2232" s="109">
        <v>2.12</v>
      </c>
      <c r="G2232" s="108" t="s">
        <v>1986</v>
      </c>
      <c r="H2232" s="111" t="s">
        <v>16</v>
      </c>
    </row>
    <row r="2233" spans="1:8" ht="33" x14ac:dyDescent="0.2">
      <c r="A2233" s="108">
        <v>5</v>
      </c>
      <c r="B2233" s="108" t="s">
        <v>1976</v>
      </c>
      <c r="C2233" s="110" t="s">
        <v>110</v>
      </c>
      <c r="D2233" s="109">
        <v>0.05</v>
      </c>
      <c r="E2233" s="109">
        <v>12</v>
      </c>
      <c r="F2233" s="109">
        <v>0.6</v>
      </c>
      <c r="G2233" s="108" t="s">
        <v>1975</v>
      </c>
      <c r="H2233" s="111" t="s">
        <v>16</v>
      </c>
    </row>
    <row r="2234" spans="1:8" ht="57" x14ac:dyDescent="0.2">
      <c r="A2234" s="108">
        <v>6</v>
      </c>
      <c r="B2234" s="108" t="s">
        <v>1985</v>
      </c>
      <c r="C2234" s="110" t="s">
        <v>97</v>
      </c>
      <c r="D2234" s="109">
        <v>0.08</v>
      </c>
      <c r="E2234" s="109">
        <v>375</v>
      </c>
      <c r="F2234" s="109">
        <v>30</v>
      </c>
      <c r="G2234" s="108" t="s">
        <v>1984</v>
      </c>
      <c r="H2234" s="111" t="s">
        <v>16</v>
      </c>
    </row>
    <row r="2235" spans="1:8" ht="33" x14ac:dyDescent="0.2">
      <c r="A2235" s="108">
        <v>7</v>
      </c>
      <c r="B2235" s="108" t="s">
        <v>2010</v>
      </c>
      <c r="C2235" s="110" t="s">
        <v>34</v>
      </c>
      <c r="D2235" s="109">
        <v>0.01</v>
      </c>
      <c r="E2235" s="109">
        <v>408.43</v>
      </c>
      <c r="F2235" s="109">
        <v>4.08</v>
      </c>
      <c r="G2235" s="108" t="s">
        <v>2009</v>
      </c>
      <c r="H2235" s="111" t="s">
        <v>16</v>
      </c>
    </row>
    <row r="2236" spans="1:8" ht="33" x14ac:dyDescent="0.2">
      <c r="A2236" s="108">
        <v>8</v>
      </c>
      <c r="B2236" s="108" t="s">
        <v>1518</v>
      </c>
      <c r="C2236" s="110" t="s">
        <v>14</v>
      </c>
      <c r="D2236" s="109">
        <v>1</v>
      </c>
      <c r="E2236" s="109">
        <v>2.73</v>
      </c>
      <c r="F2236" s="109">
        <v>2.73</v>
      </c>
      <c r="G2236" s="108" t="s">
        <v>1517</v>
      </c>
      <c r="H2236" s="111" t="s">
        <v>16</v>
      </c>
    </row>
    <row r="2237" spans="1:8" ht="33" x14ac:dyDescent="0.2">
      <c r="A2237" s="108"/>
      <c r="B2237" s="108" t="s">
        <v>1516</v>
      </c>
      <c r="C2237" s="110" t="s">
        <v>606</v>
      </c>
      <c r="D2237" s="109">
        <v>1</v>
      </c>
      <c r="E2237" s="109"/>
      <c r="F2237" s="109">
        <v>93.8</v>
      </c>
      <c r="G2237" s="108"/>
      <c r="H2237" s="111" t="s">
        <v>16</v>
      </c>
    </row>
    <row r="2238" spans="1:8" ht="33" x14ac:dyDescent="0.2">
      <c r="A2238" s="108"/>
      <c r="B2238" s="108" t="s">
        <v>1515</v>
      </c>
      <c r="C2238" s="110" t="s">
        <v>606</v>
      </c>
      <c r="D2238" s="109"/>
      <c r="E2238" s="109"/>
      <c r="F2238" s="109">
        <v>93.8</v>
      </c>
      <c r="G2238" s="108"/>
      <c r="H2238" s="111" t="s">
        <v>16</v>
      </c>
    </row>
    <row r="2239" spans="1:8" ht="16.5" x14ac:dyDescent="0.2">
      <c r="A2239" s="108"/>
      <c r="B2239" s="108"/>
      <c r="C2239" s="110"/>
      <c r="D2239" s="109"/>
      <c r="E2239" s="109"/>
      <c r="F2239" s="109"/>
      <c r="G2239" s="108"/>
    </row>
    <row r="2240" spans="1:8" ht="33" x14ac:dyDescent="0.2">
      <c r="A2240" s="108" t="s">
        <v>2085</v>
      </c>
      <c r="B2240" s="108" t="s">
        <v>798</v>
      </c>
      <c r="C2240" s="110" t="s">
        <v>606</v>
      </c>
      <c r="D2240" s="109">
        <v>1</v>
      </c>
      <c r="E2240" s="109">
        <v>63.35</v>
      </c>
      <c r="F2240" s="109"/>
      <c r="G2240" s="108" t="s">
        <v>2084</v>
      </c>
      <c r="H2240" s="111" t="s">
        <v>16</v>
      </c>
    </row>
    <row r="2241" spans="1:8" ht="33" x14ac:dyDescent="0.2">
      <c r="A2241" s="108">
        <v>1</v>
      </c>
      <c r="B2241" s="108" t="s">
        <v>2083</v>
      </c>
      <c r="C2241" s="110" t="s">
        <v>606</v>
      </c>
      <c r="D2241" s="109">
        <v>1</v>
      </c>
      <c r="E2241" s="109">
        <v>20</v>
      </c>
      <c r="F2241" s="109">
        <v>20</v>
      </c>
      <c r="G2241" s="108" t="s">
        <v>2082</v>
      </c>
      <c r="H2241" s="111" t="s">
        <v>16</v>
      </c>
    </row>
    <row r="2242" spans="1:8" ht="42.75" x14ac:dyDescent="0.2">
      <c r="A2242" s="108">
        <v>2</v>
      </c>
      <c r="B2242" s="108" t="s">
        <v>1992</v>
      </c>
      <c r="C2242" s="110" t="s">
        <v>34</v>
      </c>
      <c r="D2242" s="109">
        <v>0.01</v>
      </c>
      <c r="E2242" s="109">
        <v>540.75</v>
      </c>
      <c r="F2242" s="109">
        <v>5.41</v>
      </c>
      <c r="G2242" s="108" t="s">
        <v>1991</v>
      </c>
      <c r="H2242" s="111" t="s">
        <v>16</v>
      </c>
    </row>
    <row r="2243" spans="1:8" ht="42.75" x14ac:dyDescent="0.2">
      <c r="A2243" s="108">
        <v>3</v>
      </c>
      <c r="B2243" s="108" t="s">
        <v>1558</v>
      </c>
      <c r="C2243" s="110" t="s">
        <v>103</v>
      </c>
      <c r="D2243" s="109">
        <v>0.01</v>
      </c>
      <c r="E2243" s="109">
        <v>586</v>
      </c>
      <c r="F2243" s="109">
        <v>5.86</v>
      </c>
      <c r="G2243" s="108" t="s">
        <v>1990</v>
      </c>
      <c r="H2243" s="111" t="s">
        <v>16</v>
      </c>
    </row>
    <row r="2244" spans="1:8" ht="33" x14ac:dyDescent="0.2">
      <c r="A2244" s="108">
        <v>4</v>
      </c>
      <c r="B2244" s="108" t="s">
        <v>1989</v>
      </c>
      <c r="C2244" s="110" t="s">
        <v>856</v>
      </c>
      <c r="D2244" s="109">
        <v>1</v>
      </c>
      <c r="E2244" s="109">
        <v>3.05</v>
      </c>
      <c r="F2244" s="109">
        <v>3.05</v>
      </c>
      <c r="G2244" s="108" t="s">
        <v>1988</v>
      </c>
      <c r="H2244" s="111" t="s">
        <v>16</v>
      </c>
    </row>
    <row r="2245" spans="1:8" ht="33" x14ac:dyDescent="0.2">
      <c r="A2245" s="108">
        <v>5</v>
      </c>
      <c r="B2245" s="108" t="s">
        <v>1976</v>
      </c>
      <c r="C2245" s="110" t="s">
        <v>110</v>
      </c>
      <c r="D2245" s="109">
        <v>0.05</v>
      </c>
      <c r="E2245" s="109">
        <v>12</v>
      </c>
      <c r="F2245" s="109">
        <v>0.6</v>
      </c>
      <c r="G2245" s="108" t="s">
        <v>1975</v>
      </c>
      <c r="H2245" s="111" t="s">
        <v>16</v>
      </c>
    </row>
    <row r="2246" spans="1:8" ht="57" x14ac:dyDescent="0.2">
      <c r="A2246" s="108">
        <v>6</v>
      </c>
      <c r="B2246" s="108" t="s">
        <v>1985</v>
      </c>
      <c r="C2246" s="110" t="s">
        <v>97</v>
      </c>
      <c r="D2246" s="109">
        <v>0.06</v>
      </c>
      <c r="E2246" s="109">
        <v>375</v>
      </c>
      <c r="F2246" s="109">
        <v>22.5</v>
      </c>
      <c r="G2246" s="108" t="s">
        <v>1984</v>
      </c>
      <c r="H2246" s="111" t="s">
        <v>16</v>
      </c>
    </row>
    <row r="2247" spans="1:8" ht="33" x14ac:dyDescent="0.2">
      <c r="A2247" s="108">
        <v>7</v>
      </c>
      <c r="B2247" s="108" t="s">
        <v>2010</v>
      </c>
      <c r="C2247" s="110" t="s">
        <v>34</v>
      </c>
      <c r="D2247" s="109">
        <v>0.01</v>
      </c>
      <c r="E2247" s="109">
        <v>408.43</v>
      </c>
      <c r="F2247" s="109">
        <v>4.08</v>
      </c>
      <c r="G2247" s="108" t="s">
        <v>2009</v>
      </c>
      <c r="H2247" s="111" t="s">
        <v>16</v>
      </c>
    </row>
    <row r="2248" spans="1:8" ht="33" x14ac:dyDescent="0.2">
      <c r="A2248" s="108">
        <v>8</v>
      </c>
      <c r="B2248" s="108" t="s">
        <v>1518</v>
      </c>
      <c r="C2248" s="110" t="s">
        <v>14</v>
      </c>
      <c r="D2248" s="109">
        <v>1</v>
      </c>
      <c r="E2248" s="109">
        <v>1.85</v>
      </c>
      <c r="F2248" s="109">
        <v>1.85</v>
      </c>
      <c r="G2248" s="108" t="s">
        <v>1517</v>
      </c>
      <c r="H2248" s="111" t="s">
        <v>16</v>
      </c>
    </row>
    <row r="2249" spans="1:8" ht="33" x14ac:dyDescent="0.2">
      <c r="A2249" s="108"/>
      <c r="B2249" s="108" t="s">
        <v>1516</v>
      </c>
      <c r="C2249" s="110" t="s">
        <v>606</v>
      </c>
      <c r="D2249" s="109">
        <v>1</v>
      </c>
      <c r="E2249" s="109"/>
      <c r="F2249" s="109">
        <v>63.35</v>
      </c>
      <c r="G2249" s="108"/>
      <c r="H2249" s="111" t="s">
        <v>16</v>
      </c>
    </row>
    <row r="2250" spans="1:8" ht="33" x14ac:dyDescent="0.2">
      <c r="A2250" s="108"/>
      <c r="B2250" s="108" t="s">
        <v>1515</v>
      </c>
      <c r="C2250" s="110" t="s">
        <v>606</v>
      </c>
      <c r="D2250" s="109"/>
      <c r="E2250" s="109"/>
      <c r="F2250" s="109">
        <v>63.35</v>
      </c>
      <c r="G2250" s="108"/>
      <c r="H2250" s="111" t="s">
        <v>16</v>
      </c>
    </row>
    <row r="2251" spans="1:8" ht="16.5" x14ac:dyDescent="0.2">
      <c r="A2251" s="108"/>
      <c r="B2251" s="108"/>
      <c r="C2251" s="110"/>
      <c r="D2251" s="109"/>
      <c r="E2251" s="109"/>
      <c r="F2251" s="109"/>
      <c r="G2251" s="108"/>
    </row>
    <row r="2252" spans="1:8" ht="33" x14ac:dyDescent="0.2">
      <c r="A2252" s="108" t="s">
        <v>2081</v>
      </c>
      <c r="B2252" s="108" t="s">
        <v>801</v>
      </c>
      <c r="C2252" s="110" t="s">
        <v>606</v>
      </c>
      <c r="D2252" s="109">
        <v>1</v>
      </c>
      <c r="E2252" s="109">
        <v>156.05000000000001</v>
      </c>
      <c r="F2252" s="109"/>
      <c r="G2252" s="108" t="s">
        <v>2080</v>
      </c>
      <c r="H2252" s="111" t="s">
        <v>16</v>
      </c>
    </row>
    <row r="2253" spans="1:8" ht="33" x14ac:dyDescent="0.2">
      <c r="A2253" s="108">
        <v>1</v>
      </c>
      <c r="B2253" s="108" t="s">
        <v>2079</v>
      </c>
      <c r="C2253" s="110" t="s">
        <v>606</v>
      </c>
      <c r="D2253" s="109">
        <v>1</v>
      </c>
      <c r="E2253" s="109">
        <v>110</v>
      </c>
      <c r="F2253" s="109">
        <v>110</v>
      </c>
      <c r="G2253" s="108" t="s">
        <v>2078</v>
      </c>
      <c r="H2253" s="111" t="s">
        <v>16</v>
      </c>
    </row>
    <row r="2254" spans="1:8" ht="42.75" x14ac:dyDescent="0.2">
      <c r="A2254" s="108">
        <v>2</v>
      </c>
      <c r="B2254" s="108" t="s">
        <v>1992</v>
      </c>
      <c r="C2254" s="110" t="s">
        <v>34</v>
      </c>
      <c r="D2254" s="109">
        <v>0.01</v>
      </c>
      <c r="E2254" s="109">
        <v>540.75</v>
      </c>
      <c r="F2254" s="109">
        <v>5.41</v>
      </c>
      <c r="G2254" s="108" t="s">
        <v>1991</v>
      </c>
      <c r="H2254" s="111" t="s">
        <v>16</v>
      </c>
    </row>
    <row r="2255" spans="1:8" ht="42.75" x14ac:dyDescent="0.2">
      <c r="A2255" s="108">
        <v>3</v>
      </c>
      <c r="B2255" s="108" t="s">
        <v>1558</v>
      </c>
      <c r="C2255" s="110" t="s">
        <v>103</v>
      </c>
      <c r="D2255" s="109">
        <v>0.01</v>
      </c>
      <c r="E2255" s="109">
        <v>586</v>
      </c>
      <c r="F2255" s="109">
        <v>5.86</v>
      </c>
      <c r="G2255" s="108" t="s">
        <v>1990</v>
      </c>
      <c r="H2255" s="111" t="s">
        <v>16</v>
      </c>
    </row>
    <row r="2256" spans="1:8" ht="33" x14ac:dyDescent="0.2">
      <c r="A2256" s="108">
        <v>4</v>
      </c>
      <c r="B2256" s="108" t="s">
        <v>1989</v>
      </c>
      <c r="C2256" s="110" t="s">
        <v>856</v>
      </c>
      <c r="D2256" s="109">
        <v>1</v>
      </c>
      <c r="E2256" s="109">
        <v>3.05</v>
      </c>
      <c r="F2256" s="109">
        <v>3.05</v>
      </c>
      <c r="G2256" s="108" t="s">
        <v>1988</v>
      </c>
      <c r="H2256" s="111" t="s">
        <v>16</v>
      </c>
    </row>
    <row r="2257" spans="1:8" ht="33" x14ac:dyDescent="0.2">
      <c r="A2257" s="108">
        <v>5</v>
      </c>
      <c r="B2257" s="108" t="s">
        <v>1976</v>
      </c>
      <c r="C2257" s="110" t="s">
        <v>110</v>
      </c>
      <c r="D2257" s="109">
        <v>0.05</v>
      </c>
      <c r="E2257" s="109">
        <v>12</v>
      </c>
      <c r="F2257" s="109">
        <v>0.6</v>
      </c>
      <c r="G2257" s="108" t="s">
        <v>1975</v>
      </c>
      <c r="H2257" s="111" t="s">
        <v>16</v>
      </c>
    </row>
    <row r="2258" spans="1:8" ht="57" x14ac:dyDescent="0.2">
      <c r="A2258" s="108">
        <v>6</v>
      </c>
      <c r="B2258" s="108" t="s">
        <v>1985</v>
      </c>
      <c r="C2258" s="110" t="s">
        <v>97</v>
      </c>
      <c r="D2258" s="109">
        <v>0.06</v>
      </c>
      <c r="E2258" s="109">
        <v>375</v>
      </c>
      <c r="F2258" s="109">
        <v>22.5</v>
      </c>
      <c r="G2258" s="108" t="s">
        <v>1984</v>
      </c>
      <c r="H2258" s="111" t="s">
        <v>16</v>
      </c>
    </row>
    <row r="2259" spans="1:8" ht="33" x14ac:dyDescent="0.2">
      <c r="A2259" s="108">
        <v>7</v>
      </c>
      <c r="B2259" s="108" t="s">
        <v>2010</v>
      </c>
      <c r="C2259" s="110" t="s">
        <v>34</v>
      </c>
      <c r="D2259" s="109">
        <v>0.01</v>
      </c>
      <c r="E2259" s="109">
        <v>408.43</v>
      </c>
      <c r="F2259" s="109">
        <v>4.08</v>
      </c>
      <c r="G2259" s="108" t="s">
        <v>2009</v>
      </c>
      <c r="H2259" s="111" t="s">
        <v>16</v>
      </c>
    </row>
    <row r="2260" spans="1:8" ht="33" x14ac:dyDescent="0.2">
      <c r="A2260" s="108">
        <v>8</v>
      </c>
      <c r="B2260" s="108" t="s">
        <v>1518</v>
      </c>
      <c r="C2260" s="110" t="s">
        <v>14</v>
      </c>
      <c r="D2260" s="109">
        <v>1</v>
      </c>
      <c r="E2260" s="109">
        <v>4.55</v>
      </c>
      <c r="F2260" s="109">
        <v>4.55</v>
      </c>
      <c r="G2260" s="108" t="s">
        <v>1517</v>
      </c>
      <c r="H2260" s="111" t="s">
        <v>16</v>
      </c>
    </row>
    <row r="2261" spans="1:8" ht="33" x14ac:dyDescent="0.2">
      <c r="A2261" s="108"/>
      <c r="B2261" s="108" t="s">
        <v>1516</v>
      </c>
      <c r="C2261" s="110" t="s">
        <v>606</v>
      </c>
      <c r="D2261" s="109">
        <v>1</v>
      </c>
      <c r="E2261" s="109"/>
      <c r="F2261" s="109">
        <v>156.05000000000001</v>
      </c>
      <c r="G2261" s="108"/>
      <c r="H2261" s="111" t="s">
        <v>16</v>
      </c>
    </row>
    <row r="2262" spans="1:8" ht="33" x14ac:dyDescent="0.2">
      <c r="A2262" s="108"/>
      <c r="B2262" s="108" t="s">
        <v>1515</v>
      </c>
      <c r="C2262" s="110" t="s">
        <v>606</v>
      </c>
      <c r="D2262" s="109"/>
      <c r="E2262" s="109"/>
      <c r="F2262" s="109">
        <v>156.05000000000001</v>
      </c>
      <c r="G2262" s="108"/>
      <c r="H2262" s="111" t="s">
        <v>16</v>
      </c>
    </row>
    <row r="2263" spans="1:8" ht="16.5" x14ac:dyDescent="0.2">
      <c r="A2263" s="108"/>
      <c r="B2263" s="108"/>
      <c r="C2263" s="110"/>
      <c r="D2263" s="109"/>
      <c r="E2263" s="109"/>
      <c r="F2263" s="109"/>
      <c r="G2263" s="108"/>
    </row>
    <row r="2264" spans="1:8" ht="33" x14ac:dyDescent="0.2">
      <c r="A2264" s="108" t="s">
        <v>2077</v>
      </c>
      <c r="B2264" s="108" t="s">
        <v>804</v>
      </c>
      <c r="C2264" s="110" t="s">
        <v>606</v>
      </c>
      <c r="D2264" s="109">
        <v>1</v>
      </c>
      <c r="E2264" s="109">
        <v>69.08</v>
      </c>
      <c r="F2264" s="109"/>
      <c r="G2264" s="108" t="s">
        <v>2076</v>
      </c>
      <c r="H2264" s="111" t="s">
        <v>16</v>
      </c>
    </row>
    <row r="2265" spans="1:8" ht="33" x14ac:dyDescent="0.2">
      <c r="A2265" s="108">
        <v>1</v>
      </c>
      <c r="B2265" s="108" t="s">
        <v>2075</v>
      </c>
      <c r="C2265" s="110" t="s">
        <v>2042</v>
      </c>
      <c r="D2265" s="109">
        <v>1</v>
      </c>
      <c r="E2265" s="109">
        <v>19</v>
      </c>
      <c r="F2265" s="109">
        <v>19</v>
      </c>
      <c r="G2265" s="108" t="s">
        <v>2074</v>
      </c>
      <c r="H2265" s="111" t="s">
        <v>16</v>
      </c>
    </row>
    <row r="2266" spans="1:8" ht="42.75" x14ac:dyDescent="0.2">
      <c r="A2266" s="108">
        <v>2</v>
      </c>
      <c r="B2266" s="108" t="s">
        <v>1992</v>
      </c>
      <c r="C2266" s="110" t="s">
        <v>34</v>
      </c>
      <c r="D2266" s="109">
        <v>0.01</v>
      </c>
      <c r="E2266" s="109">
        <v>540.75</v>
      </c>
      <c r="F2266" s="109">
        <v>5.41</v>
      </c>
      <c r="G2266" s="108" t="s">
        <v>1991</v>
      </c>
      <c r="H2266" s="111" t="s">
        <v>16</v>
      </c>
    </row>
    <row r="2267" spans="1:8" ht="42.75" x14ac:dyDescent="0.2">
      <c r="A2267" s="108">
        <v>3</v>
      </c>
      <c r="B2267" s="108" t="s">
        <v>1558</v>
      </c>
      <c r="C2267" s="110" t="s">
        <v>103</v>
      </c>
      <c r="D2267" s="109">
        <v>0.01</v>
      </c>
      <c r="E2267" s="109">
        <v>586</v>
      </c>
      <c r="F2267" s="109">
        <v>5.86</v>
      </c>
      <c r="G2267" s="108" t="s">
        <v>1990</v>
      </c>
      <c r="H2267" s="111" t="s">
        <v>16</v>
      </c>
    </row>
    <row r="2268" spans="1:8" ht="33" x14ac:dyDescent="0.2">
      <c r="A2268" s="108">
        <v>4</v>
      </c>
      <c r="B2268" s="108" t="s">
        <v>1987</v>
      </c>
      <c r="C2268" s="110" t="s">
        <v>606</v>
      </c>
      <c r="D2268" s="109">
        <v>1</v>
      </c>
      <c r="E2268" s="109">
        <v>2.12</v>
      </c>
      <c r="F2268" s="109">
        <v>2.12</v>
      </c>
      <c r="G2268" s="108" t="s">
        <v>1986</v>
      </c>
      <c r="H2268" s="111" t="s">
        <v>16</v>
      </c>
    </row>
    <row r="2269" spans="1:8" ht="33" x14ac:dyDescent="0.2">
      <c r="A2269" s="108">
        <v>5</v>
      </c>
      <c r="B2269" s="108" t="s">
        <v>1976</v>
      </c>
      <c r="C2269" s="110" t="s">
        <v>110</v>
      </c>
      <c r="D2269" s="109">
        <v>0.05</v>
      </c>
      <c r="E2269" s="109">
        <v>12</v>
      </c>
      <c r="F2269" s="109">
        <v>0.6</v>
      </c>
      <c r="G2269" s="108" t="s">
        <v>1975</v>
      </c>
      <c r="H2269" s="111" t="s">
        <v>16</v>
      </c>
    </row>
    <row r="2270" spans="1:8" ht="57" x14ac:dyDescent="0.2">
      <c r="A2270" s="108">
        <v>6</v>
      </c>
      <c r="B2270" s="108" t="s">
        <v>1985</v>
      </c>
      <c r="C2270" s="110" t="s">
        <v>97</v>
      </c>
      <c r="D2270" s="109">
        <v>0.08</v>
      </c>
      <c r="E2270" s="109">
        <v>375</v>
      </c>
      <c r="F2270" s="109">
        <v>30</v>
      </c>
      <c r="G2270" s="108" t="s">
        <v>1984</v>
      </c>
      <c r="H2270" s="111" t="s">
        <v>16</v>
      </c>
    </row>
    <row r="2271" spans="1:8" ht="33" x14ac:dyDescent="0.2">
      <c r="A2271" s="108">
        <v>7</v>
      </c>
      <c r="B2271" s="108" t="s">
        <v>2010</v>
      </c>
      <c r="C2271" s="110" t="s">
        <v>34</v>
      </c>
      <c r="D2271" s="109">
        <v>0.01</v>
      </c>
      <c r="E2271" s="109">
        <v>408.43</v>
      </c>
      <c r="F2271" s="109">
        <v>4.08</v>
      </c>
      <c r="G2271" s="108" t="s">
        <v>2009</v>
      </c>
      <c r="H2271" s="111" t="s">
        <v>16</v>
      </c>
    </row>
    <row r="2272" spans="1:8" ht="33" x14ac:dyDescent="0.2">
      <c r="A2272" s="108">
        <v>8</v>
      </c>
      <c r="B2272" s="108" t="s">
        <v>1518</v>
      </c>
      <c r="C2272" s="110" t="s">
        <v>14</v>
      </c>
      <c r="D2272" s="109">
        <v>1</v>
      </c>
      <c r="E2272" s="109">
        <v>2.0099999999999998</v>
      </c>
      <c r="F2272" s="109">
        <v>2.0099999999999998</v>
      </c>
      <c r="G2272" s="108" t="s">
        <v>1517</v>
      </c>
      <c r="H2272" s="111" t="s">
        <v>16</v>
      </c>
    </row>
    <row r="2273" spans="1:8" ht="33" x14ac:dyDescent="0.2">
      <c r="A2273" s="108"/>
      <c r="B2273" s="108" t="s">
        <v>1516</v>
      </c>
      <c r="C2273" s="110" t="s">
        <v>606</v>
      </c>
      <c r="D2273" s="109">
        <v>1</v>
      </c>
      <c r="E2273" s="109"/>
      <c r="F2273" s="109">
        <v>69.080000000000013</v>
      </c>
      <c r="G2273" s="108"/>
      <c r="H2273" s="111" t="s">
        <v>16</v>
      </c>
    </row>
    <row r="2274" spans="1:8" ht="33" x14ac:dyDescent="0.2">
      <c r="A2274" s="108"/>
      <c r="B2274" s="108" t="s">
        <v>1515</v>
      </c>
      <c r="C2274" s="110" t="s">
        <v>606</v>
      </c>
      <c r="D2274" s="109"/>
      <c r="E2274" s="109"/>
      <c r="F2274" s="109">
        <v>69.08</v>
      </c>
      <c r="G2274" s="108"/>
      <c r="H2274" s="111" t="s">
        <v>16</v>
      </c>
    </row>
    <row r="2275" spans="1:8" ht="16.5" x14ac:dyDescent="0.2">
      <c r="A2275" s="108"/>
      <c r="B2275" s="108"/>
      <c r="C2275" s="110"/>
      <c r="D2275" s="109"/>
      <c r="E2275" s="109"/>
      <c r="F2275" s="109"/>
      <c r="G2275" s="108"/>
    </row>
    <row r="2276" spans="1:8" ht="33" x14ac:dyDescent="0.2">
      <c r="A2276" s="108" t="s">
        <v>2073</v>
      </c>
      <c r="B2276" s="108" t="s">
        <v>807</v>
      </c>
      <c r="C2276" s="110" t="s">
        <v>606</v>
      </c>
      <c r="D2276" s="109">
        <v>1</v>
      </c>
      <c r="E2276" s="109">
        <v>55.62</v>
      </c>
      <c r="F2276" s="109"/>
      <c r="G2276" s="108" t="s">
        <v>2072</v>
      </c>
      <c r="H2276" s="111" t="s">
        <v>16</v>
      </c>
    </row>
    <row r="2277" spans="1:8" ht="33" x14ac:dyDescent="0.2">
      <c r="A2277" s="108">
        <v>1</v>
      </c>
      <c r="B2277" s="108" t="s">
        <v>2071</v>
      </c>
      <c r="C2277" s="110" t="s">
        <v>606</v>
      </c>
      <c r="D2277" s="109">
        <v>1</v>
      </c>
      <c r="E2277" s="109">
        <v>12.5</v>
      </c>
      <c r="F2277" s="109">
        <v>12.5</v>
      </c>
      <c r="G2277" s="108" t="s">
        <v>2070</v>
      </c>
      <c r="H2277" s="111" t="s">
        <v>16</v>
      </c>
    </row>
    <row r="2278" spans="1:8" ht="42.75" x14ac:dyDescent="0.2">
      <c r="A2278" s="108">
        <v>2</v>
      </c>
      <c r="B2278" s="108" t="s">
        <v>1992</v>
      </c>
      <c r="C2278" s="110" t="s">
        <v>34</v>
      </c>
      <c r="D2278" s="109">
        <v>0.01</v>
      </c>
      <c r="E2278" s="109">
        <v>540.75</v>
      </c>
      <c r="F2278" s="109">
        <v>5.41</v>
      </c>
      <c r="G2278" s="108" t="s">
        <v>1991</v>
      </c>
      <c r="H2278" s="111" t="s">
        <v>16</v>
      </c>
    </row>
    <row r="2279" spans="1:8" ht="42.75" x14ac:dyDescent="0.2">
      <c r="A2279" s="108">
        <v>3</v>
      </c>
      <c r="B2279" s="108" t="s">
        <v>1558</v>
      </c>
      <c r="C2279" s="110" t="s">
        <v>103</v>
      </c>
      <c r="D2279" s="109">
        <v>0.01</v>
      </c>
      <c r="E2279" s="109">
        <v>586</v>
      </c>
      <c r="F2279" s="109">
        <v>5.86</v>
      </c>
      <c r="G2279" s="108" t="s">
        <v>1990</v>
      </c>
      <c r="H2279" s="111" t="s">
        <v>16</v>
      </c>
    </row>
    <row r="2280" spans="1:8" ht="33" x14ac:dyDescent="0.2">
      <c r="A2280" s="108">
        <v>4</v>
      </c>
      <c r="B2280" s="108" t="s">
        <v>1989</v>
      </c>
      <c r="C2280" s="110" t="s">
        <v>856</v>
      </c>
      <c r="D2280" s="109">
        <v>1</v>
      </c>
      <c r="E2280" s="109">
        <v>3.05</v>
      </c>
      <c r="F2280" s="109">
        <v>3.05</v>
      </c>
      <c r="G2280" s="108" t="s">
        <v>1988</v>
      </c>
      <c r="H2280" s="111" t="s">
        <v>16</v>
      </c>
    </row>
    <row r="2281" spans="1:8" ht="33" x14ac:dyDescent="0.2">
      <c r="A2281" s="108">
        <v>5</v>
      </c>
      <c r="B2281" s="108" t="s">
        <v>1976</v>
      </c>
      <c r="C2281" s="110" t="s">
        <v>110</v>
      </c>
      <c r="D2281" s="109">
        <v>0.05</v>
      </c>
      <c r="E2281" s="109">
        <v>12</v>
      </c>
      <c r="F2281" s="109">
        <v>0.6</v>
      </c>
      <c r="G2281" s="108" t="s">
        <v>1975</v>
      </c>
      <c r="H2281" s="111" t="s">
        <v>16</v>
      </c>
    </row>
    <row r="2282" spans="1:8" ht="57" x14ac:dyDescent="0.2">
      <c r="A2282" s="108">
        <v>6</v>
      </c>
      <c r="B2282" s="108" t="s">
        <v>1985</v>
      </c>
      <c r="C2282" s="110" t="s">
        <v>97</v>
      </c>
      <c r="D2282" s="109">
        <v>0.06</v>
      </c>
      <c r="E2282" s="109">
        <v>375</v>
      </c>
      <c r="F2282" s="109">
        <v>22.5</v>
      </c>
      <c r="G2282" s="108" t="s">
        <v>1984</v>
      </c>
      <c r="H2282" s="111" t="s">
        <v>16</v>
      </c>
    </row>
    <row r="2283" spans="1:8" ht="33" x14ac:dyDescent="0.2">
      <c r="A2283" s="108">
        <v>7</v>
      </c>
      <c r="B2283" s="108" t="s">
        <v>2010</v>
      </c>
      <c r="C2283" s="110" t="s">
        <v>34</v>
      </c>
      <c r="D2283" s="109">
        <v>0.01</v>
      </c>
      <c r="E2283" s="109">
        <v>408.43</v>
      </c>
      <c r="F2283" s="109">
        <v>4.08</v>
      </c>
      <c r="G2283" s="108" t="s">
        <v>2009</v>
      </c>
      <c r="H2283" s="111" t="s">
        <v>16</v>
      </c>
    </row>
    <row r="2284" spans="1:8" ht="33" x14ac:dyDescent="0.2">
      <c r="A2284" s="108">
        <v>8</v>
      </c>
      <c r="B2284" s="108" t="s">
        <v>1518</v>
      </c>
      <c r="C2284" s="110" t="s">
        <v>14</v>
      </c>
      <c r="D2284" s="109">
        <v>1</v>
      </c>
      <c r="E2284" s="109">
        <v>1.62</v>
      </c>
      <c r="F2284" s="109">
        <v>1.62</v>
      </c>
      <c r="G2284" s="108" t="s">
        <v>1517</v>
      </c>
      <c r="H2284" s="111" t="s">
        <v>16</v>
      </c>
    </row>
    <row r="2285" spans="1:8" ht="33" x14ac:dyDescent="0.2">
      <c r="A2285" s="108"/>
      <c r="B2285" s="108" t="s">
        <v>1516</v>
      </c>
      <c r="C2285" s="110" t="s">
        <v>606</v>
      </c>
      <c r="D2285" s="109">
        <v>1</v>
      </c>
      <c r="E2285" s="109"/>
      <c r="F2285" s="109">
        <v>55.62</v>
      </c>
      <c r="G2285" s="108"/>
      <c r="H2285" s="111" t="s">
        <v>16</v>
      </c>
    </row>
    <row r="2286" spans="1:8" ht="33" x14ac:dyDescent="0.2">
      <c r="A2286" s="108"/>
      <c r="B2286" s="108" t="s">
        <v>1515</v>
      </c>
      <c r="C2286" s="110" t="s">
        <v>606</v>
      </c>
      <c r="D2286" s="109"/>
      <c r="E2286" s="109"/>
      <c r="F2286" s="109">
        <v>55.62</v>
      </c>
      <c r="G2286" s="108"/>
      <c r="H2286" s="111" t="s">
        <v>16</v>
      </c>
    </row>
    <row r="2287" spans="1:8" ht="16.5" x14ac:dyDescent="0.2">
      <c r="A2287" s="108"/>
      <c r="B2287" s="108"/>
      <c r="C2287" s="110"/>
      <c r="D2287" s="109"/>
      <c r="E2287" s="109"/>
      <c r="F2287" s="109"/>
      <c r="G2287" s="108"/>
    </row>
    <row r="2288" spans="1:8" ht="33" x14ac:dyDescent="0.2">
      <c r="A2288" s="108" t="s">
        <v>2069</v>
      </c>
      <c r="B2288" s="108" t="s">
        <v>810</v>
      </c>
      <c r="C2288" s="110" t="s">
        <v>606</v>
      </c>
      <c r="D2288" s="109">
        <v>1</v>
      </c>
      <c r="E2288" s="109">
        <v>91.67</v>
      </c>
      <c r="F2288" s="109"/>
      <c r="G2288" s="108" t="s">
        <v>2068</v>
      </c>
      <c r="H2288" s="111" t="s">
        <v>16</v>
      </c>
    </row>
    <row r="2289" spans="1:8" ht="33" x14ac:dyDescent="0.2">
      <c r="A2289" s="108">
        <v>1</v>
      </c>
      <c r="B2289" s="108" t="s">
        <v>2067</v>
      </c>
      <c r="C2289" s="110" t="s">
        <v>606</v>
      </c>
      <c r="D2289" s="109">
        <v>1</v>
      </c>
      <c r="E2289" s="109">
        <v>47.5</v>
      </c>
      <c r="F2289" s="109">
        <v>47.5</v>
      </c>
      <c r="G2289" s="108" t="s">
        <v>2066</v>
      </c>
      <c r="H2289" s="111" t="s">
        <v>16</v>
      </c>
    </row>
    <row r="2290" spans="1:8" ht="42.75" x14ac:dyDescent="0.2">
      <c r="A2290" s="108">
        <v>2</v>
      </c>
      <c r="B2290" s="108" t="s">
        <v>1992</v>
      </c>
      <c r="C2290" s="110" t="s">
        <v>34</v>
      </c>
      <c r="D2290" s="109">
        <v>0.01</v>
      </c>
      <c r="E2290" s="109">
        <v>540.75</v>
      </c>
      <c r="F2290" s="109">
        <v>5.41</v>
      </c>
      <c r="G2290" s="108" t="s">
        <v>1991</v>
      </c>
      <c r="H2290" s="111" t="s">
        <v>16</v>
      </c>
    </row>
    <row r="2291" spans="1:8" ht="42.75" x14ac:dyDescent="0.2">
      <c r="A2291" s="108">
        <v>3</v>
      </c>
      <c r="B2291" s="108" t="s">
        <v>1558</v>
      </c>
      <c r="C2291" s="110" t="s">
        <v>103</v>
      </c>
      <c r="D2291" s="109">
        <v>0.01</v>
      </c>
      <c r="E2291" s="109">
        <v>586</v>
      </c>
      <c r="F2291" s="109">
        <v>5.86</v>
      </c>
      <c r="G2291" s="108" t="s">
        <v>1990</v>
      </c>
      <c r="H2291" s="111" t="s">
        <v>16</v>
      </c>
    </row>
    <row r="2292" spans="1:8" ht="33" x14ac:dyDescent="0.2">
      <c r="A2292" s="108">
        <v>4</v>
      </c>
      <c r="B2292" s="108" t="s">
        <v>1989</v>
      </c>
      <c r="C2292" s="110" t="s">
        <v>856</v>
      </c>
      <c r="D2292" s="109">
        <v>1</v>
      </c>
      <c r="E2292" s="109">
        <v>3.05</v>
      </c>
      <c r="F2292" s="109">
        <v>3.05</v>
      </c>
      <c r="G2292" s="108" t="s">
        <v>1988</v>
      </c>
      <c r="H2292" s="111" t="s">
        <v>16</v>
      </c>
    </row>
    <row r="2293" spans="1:8" ht="33" x14ac:dyDescent="0.2">
      <c r="A2293" s="108">
        <v>5</v>
      </c>
      <c r="B2293" s="108" t="s">
        <v>1976</v>
      </c>
      <c r="C2293" s="110" t="s">
        <v>110</v>
      </c>
      <c r="D2293" s="109">
        <v>0.05</v>
      </c>
      <c r="E2293" s="109">
        <v>12</v>
      </c>
      <c r="F2293" s="109">
        <v>0.6</v>
      </c>
      <c r="G2293" s="108" t="s">
        <v>1975</v>
      </c>
      <c r="H2293" s="111" t="s">
        <v>16</v>
      </c>
    </row>
    <row r="2294" spans="1:8" ht="57" x14ac:dyDescent="0.2">
      <c r="A2294" s="108">
        <v>6</v>
      </c>
      <c r="B2294" s="108" t="s">
        <v>1985</v>
      </c>
      <c r="C2294" s="110" t="s">
        <v>97</v>
      </c>
      <c r="D2294" s="109">
        <v>0.06</v>
      </c>
      <c r="E2294" s="109">
        <v>375</v>
      </c>
      <c r="F2294" s="109">
        <v>22.5</v>
      </c>
      <c r="G2294" s="108" t="s">
        <v>1984</v>
      </c>
      <c r="H2294" s="111" t="s">
        <v>16</v>
      </c>
    </row>
    <row r="2295" spans="1:8" ht="33" x14ac:dyDescent="0.2">
      <c r="A2295" s="108">
        <v>7</v>
      </c>
      <c r="B2295" s="108" t="s">
        <v>2010</v>
      </c>
      <c r="C2295" s="110" t="s">
        <v>34</v>
      </c>
      <c r="D2295" s="109">
        <v>0.01</v>
      </c>
      <c r="E2295" s="109">
        <v>408.43</v>
      </c>
      <c r="F2295" s="109">
        <v>4.08</v>
      </c>
      <c r="G2295" s="108" t="s">
        <v>2009</v>
      </c>
      <c r="H2295" s="111" t="s">
        <v>16</v>
      </c>
    </row>
    <row r="2296" spans="1:8" ht="33" x14ac:dyDescent="0.2">
      <c r="A2296" s="108">
        <v>8</v>
      </c>
      <c r="B2296" s="108" t="s">
        <v>1518</v>
      </c>
      <c r="C2296" s="110" t="s">
        <v>14</v>
      </c>
      <c r="D2296" s="109">
        <v>1</v>
      </c>
      <c r="E2296" s="109">
        <v>2.67</v>
      </c>
      <c r="F2296" s="109">
        <v>2.67</v>
      </c>
      <c r="G2296" s="108" t="s">
        <v>1517</v>
      </c>
      <c r="H2296" s="111" t="s">
        <v>16</v>
      </c>
    </row>
    <row r="2297" spans="1:8" ht="33" x14ac:dyDescent="0.2">
      <c r="A2297" s="108"/>
      <c r="B2297" s="108" t="s">
        <v>1516</v>
      </c>
      <c r="C2297" s="110" t="s">
        <v>606</v>
      </c>
      <c r="D2297" s="109">
        <v>1</v>
      </c>
      <c r="E2297" s="109"/>
      <c r="F2297" s="109">
        <v>91.669999999999987</v>
      </c>
      <c r="G2297" s="108"/>
      <c r="H2297" s="111" t="s">
        <v>16</v>
      </c>
    </row>
    <row r="2298" spans="1:8" ht="33" x14ac:dyDescent="0.2">
      <c r="A2298" s="108"/>
      <c r="B2298" s="108" t="s">
        <v>1515</v>
      </c>
      <c r="C2298" s="110" t="s">
        <v>606</v>
      </c>
      <c r="D2298" s="109"/>
      <c r="E2298" s="109"/>
      <c r="F2298" s="109">
        <v>91.67</v>
      </c>
      <c r="G2298" s="108"/>
      <c r="H2298" s="111" t="s">
        <v>16</v>
      </c>
    </row>
    <row r="2299" spans="1:8" ht="16.5" x14ac:dyDescent="0.2">
      <c r="A2299" s="108"/>
      <c r="B2299" s="108"/>
      <c r="C2299" s="110"/>
      <c r="D2299" s="109"/>
      <c r="E2299" s="109"/>
      <c r="F2299" s="109"/>
      <c r="G2299" s="108"/>
    </row>
    <row r="2300" spans="1:8" ht="33" x14ac:dyDescent="0.2">
      <c r="A2300" s="108" t="s">
        <v>2065</v>
      </c>
      <c r="B2300" s="108" t="s">
        <v>813</v>
      </c>
      <c r="C2300" s="110" t="s">
        <v>606</v>
      </c>
      <c r="D2300" s="109">
        <v>1</v>
      </c>
      <c r="E2300" s="109">
        <v>68.5</v>
      </c>
      <c r="F2300" s="109"/>
      <c r="G2300" s="108" t="s">
        <v>2064</v>
      </c>
      <c r="H2300" s="111" t="s">
        <v>16</v>
      </c>
    </row>
    <row r="2301" spans="1:8" ht="33" x14ac:dyDescent="0.2">
      <c r="A2301" s="108">
        <v>1</v>
      </c>
      <c r="B2301" s="108" t="s">
        <v>2063</v>
      </c>
      <c r="C2301" s="110" t="s">
        <v>606</v>
      </c>
      <c r="D2301" s="109">
        <v>1</v>
      </c>
      <c r="E2301" s="109">
        <v>25</v>
      </c>
      <c r="F2301" s="109">
        <v>25</v>
      </c>
      <c r="G2301" s="108" t="s">
        <v>2062</v>
      </c>
      <c r="H2301" s="111" t="s">
        <v>16</v>
      </c>
    </row>
    <row r="2302" spans="1:8" ht="42.75" x14ac:dyDescent="0.2">
      <c r="A2302" s="108">
        <v>2</v>
      </c>
      <c r="B2302" s="108" t="s">
        <v>1992</v>
      </c>
      <c r="C2302" s="110" t="s">
        <v>34</v>
      </c>
      <c r="D2302" s="109">
        <v>0.01</v>
      </c>
      <c r="E2302" s="109">
        <v>540.75</v>
      </c>
      <c r="F2302" s="109">
        <v>5.41</v>
      </c>
      <c r="G2302" s="108" t="s">
        <v>1991</v>
      </c>
      <c r="H2302" s="111" t="s">
        <v>16</v>
      </c>
    </row>
    <row r="2303" spans="1:8" ht="42.75" x14ac:dyDescent="0.2">
      <c r="A2303" s="108">
        <v>3</v>
      </c>
      <c r="B2303" s="108" t="s">
        <v>1558</v>
      </c>
      <c r="C2303" s="110" t="s">
        <v>103</v>
      </c>
      <c r="D2303" s="109">
        <v>0.01</v>
      </c>
      <c r="E2303" s="109">
        <v>586</v>
      </c>
      <c r="F2303" s="109">
        <v>5.86</v>
      </c>
      <c r="G2303" s="108" t="s">
        <v>1990</v>
      </c>
      <c r="H2303" s="111" t="s">
        <v>16</v>
      </c>
    </row>
    <row r="2304" spans="1:8" ht="33" x14ac:dyDescent="0.2">
      <c r="A2304" s="108">
        <v>4</v>
      </c>
      <c r="B2304" s="108" t="s">
        <v>1989</v>
      </c>
      <c r="C2304" s="110" t="s">
        <v>856</v>
      </c>
      <c r="D2304" s="109">
        <v>1</v>
      </c>
      <c r="E2304" s="109">
        <v>3.05</v>
      </c>
      <c r="F2304" s="109">
        <v>3.05</v>
      </c>
      <c r="G2304" s="108" t="s">
        <v>1988</v>
      </c>
      <c r="H2304" s="111" t="s">
        <v>16</v>
      </c>
    </row>
    <row r="2305" spans="1:8" ht="33" x14ac:dyDescent="0.2">
      <c r="A2305" s="108">
        <v>5</v>
      </c>
      <c r="B2305" s="108" t="s">
        <v>1976</v>
      </c>
      <c r="C2305" s="110" t="s">
        <v>110</v>
      </c>
      <c r="D2305" s="109">
        <v>0.05</v>
      </c>
      <c r="E2305" s="109">
        <v>12</v>
      </c>
      <c r="F2305" s="109">
        <v>0.6</v>
      </c>
      <c r="G2305" s="108" t="s">
        <v>1975</v>
      </c>
      <c r="H2305" s="111" t="s">
        <v>16</v>
      </c>
    </row>
    <row r="2306" spans="1:8" ht="57" x14ac:dyDescent="0.2">
      <c r="A2306" s="108">
        <v>6</v>
      </c>
      <c r="B2306" s="108" t="s">
        <v>1985</v>
      </c>
      <c r="C2306" s="110" t="s">
        <v>97</v>
      </c>
      <c r="D2306" s="109">
        <v>0.06</v>
      </c>
      <c r="E2306" s="109">
        <v>375</v>
      </c>
      <c r="F2306" s="109">
        <v>22.5</v>
      </c>
      <c r="G2306" s="108" t="s">
        <v>1984</v>
      </c>
      <c r="H2306" s="111" t="s">
        <v>16</v>
      </c>
    </row>
    <row r="2307" spans="1:8" ht="33" x14ac:dyDescent="0.2">
      <c r="A2307" s="108">
        <v>7</v>
      </c>
      <c r="B2307" s="108" t="s">
        <v>2010</v>
      </c>
      <c r="C2307" s="110" t="s">
        <v>34</v>
      </c>
      <c r="D2307" s="109">
        <v>0.01</v>
      </c>
      <c r="E2307" s="109">
        <v>408.43</v>
      </c>
      <c r="F2307" s="109">
        <v>4.08</v>
      </c>
      <c r="G2307" s="108" t="s">
        <v>2009</v>
      </c>
      <c r="H2307" s="111" t="s">
        <v>16</v>
      </c>
    </row>
    <row r="2308" spans="1:8" ht="33" x14ac:dyDescent="0.2">
      <c r="A2308" s="108">
        <v>8</v>
      </c>
      <c r="B2308" s="108" t="s">
        <v>1518</v>
      </c>
      <c r="C2308" s="110" t="s">
        <v>14</v>
      </c>
      <c r="D2308" s="109">
        <v>1</v>
      </c>
      <c r="E2308" s="109">
        <v>2</v>
      </c>
      <c r="F2308" s="109">
        <v>2</v>
      </c>
      <c r="G2308" s="108" t="s">
        <v>1517</v>
      </c>
      <c r="H2308" s="111" t="s">
        <v>16</v>
      </c>
    </row>
    <row r="2309" spans="1:8" ht="33" x14ac:dyDescent="0.2">
      <c r="A2309" s="108"/>
      <c r="B2309" s="108" t="s">
        <v>1516</v>
      </c>
      <c r="C2309" s="110" t="s">
        <v>606</v>
      </c>
      <c r="D2309" s="109">
        <v>1</v>
      </c>
      <c r="E2309" s="109"/>
      <c r="F2309" s="109">
        <v>68.5</v>
      </c>
      <c r="G2309" s="108"/>
      <c r="H2309" s="111" t="s">
        <v>16</v>
      </c>
    </row>
    <row r="2310" spans="1:8" ht="33" x14ac:dyDescent="0.2">
      <c r="A2310" s="108"/>
      <c r="B2310" s="108" t="s">
        <v>1515</v>
      </c>
      <c r="C2310" s="110" t="s">
        <v>606</v>
      </c>
      <c r="D2310" s="109"/>
      <c r="E2310" s="109"/>
      <c r="F2310" s="109">
        <v>68.5</v>
      </c>
      <c r="G2310" s="108"/>
      <c r="H2310" s="111" t="s">
        <v>16</v>
      </c>
    </row>
    <row r="2311" spans="1:8" ht="16.5" x14ac:dyDescent="0.2">
      <c r="A2311" s="108"/>
      <c r="B2311" s="108"/>
      <c r="C2311" s="110"/>
      <c r="D2311" s="109"/>
      <c r="E2311" s="109"/>
      <c r="F2311" s="109"/>
      <c r="G2311" s="108"/>
    </row>
    <row r="2312" spans="1:8" ht="33" x14ac:dyDescent="0.2">
      <c r="A2312" s="108" t="s">
        <v>2061</v>
      </c>
      <c r="B2312" s="108" t="s">
        <v>816</v>
      </c>
      <c r="C2312" s="110" t="s">
        <v>606</v>
      </c>
      <c r="D2312" s="109">
        <v>1</v>
      </c>
      <c r="E2312" s="109">
        <v>58.2</v>
      </c>
      <c r="F2312" s="109"/>
      <c r="G2312" s="108" t="s">
        <v>2060</v>
      </c>
      <c r="H2312" s="111" t="s">
        <v>16</v>
      </c>
    </row>
    <row r="2313" spans="1:8" ht="33" x14ac:dyDescent="0.2">
      <c r="A2313" s="108">
        <v>1</v>
      </c>
      <c r="B2313" s="108" t="s">
        <v>2059</v>
      </c>
      <c r="C2313" s="110" t="s">
        <v>856</v>
      </c>
      <c r="D2313" s="109">
        <v>1</v>
      </c>
      <c r="E2313" s="109">
        <v>15</v>
      </c>
      <c r="F2313" s="109">
        <v>15</v>
      </c>
      <c r="G2313" s="108" t="s">
        <v>2058</v>
      </c>
      <c r="H2313" s="111" t="s">
        <v>16</v>
      </c>
    </row>
    <row r="2314" spans="1:8" ht="42.75" x14ac:dyDescent="0.2">
      <c r="A2314" s="108">
        <v>2</v>
      </c>
      <c r="B2314" s="108" t="s">
        <v>1992</v>
      </c>
      <c r="C2314" s="110" t="s">
        <v>34</v>
      </c>
      <c r="D2314" s="109">
        <v>0.01</v>
      </c>
      <c r="E2314" s="109">
        <v>540.75</v>
      </c>
      <c r="F2314" s="109">
        <v>5.41</v>
      </c>
      <c r="G2314" s="108" t="s">
        <v>1991</v>
      </c>
      <c r="H2314" s="111" t="s">
        <v>16</v>
      </c>
    </row>
    <row r="2315" spans="1:8" ht="42.75" x14ac:dyDescent="0.2">
      <c r="A2315" s="108">
        <v>3</v>
      </c>
      <c r="B2315" s="108" t="s">
        <v>1558</v>
      </c>
      <c r="C2315" s="110" t="s">
        <v>103</v>
      </c>
      <c r="D2315" s="109">
        <v>0.01</v>
      </c>
      <c r="E2315" s="109">
        <v>586</v>
      </c>
      <c r="F2315" s="109">
        <v>5.86</v>
      </c>
      <c r="G2315" s="108" t="s">
        <v>1990</v>
      </c>
      <c r="H2315" s="111" t="s">
        <v>16</v>
      </c>
    </row>
    <row r="2316" spans="1:8" ht="33" x14ac:dyDescent="0.2">
      <c r="A2316" s="108">
        <v>4</v>
      </c>
      <c r="B2316" s="108" t="s">
        <v>1989</v>
      </c>
      <c r="C2316" s="110" t="s">
        <v>856</v>
      </c>
      <c r="D2316" s="109">
        <v>1</v>
      </c>
      <c r="E2316" s="109">
        <v>3.05</v>
      </c>
      <c r="F2316" s="109">
        <v>3.05</v>
      </c>
      <c r="G2316" s="108" t="s">
        <v>1988</v>
      </c>
      <c r="H2316" s="111" t="s">
        <v>16</v>
      </c>
    </row>
    <row r="2317" spans="1:8" ht="33" x14ac:dyDescent="0.2">
      <c r="A2317" s="108">
        <v>5</v>
      </c>
      <c r="B2317" s="108" t="s">
        <v>1976</v>
      </c>
      <c r="C2317" s="110" t="s">
        <v>110</v>
      </c>
      <c r="D2317" s="109">
        <v>0.05</v>
      </c>
      <c r="E2317" s="109">
        <v>12</v>
      </c>
      <c r="F2317" s="109">
        <v>0.6</v>
      </c>
      <c r="G2317" s="108" t="s">
        <v>1975</v>
      </c>
      <c r="H2317" s="111" t="s">
        <v>16</v>
      </c>
    </row>
    <row r="2318" spans="1:8" ht="57" x14ac:dyDescent="0.2">
      <c r="A2318" s="108">
        <v>6</v>
      </c>
      <c r="B2318" s="108" t="s">
        <v>1985</v>
      </c>
      <c r="C2318" s="110" t="s">
        <v>97</v>
      </c>
      <c r="D2318" s="109">
        <v>0.06</v>
      </c>
      <c r="E2318" s="109">
        <v>375</v>
      </c>
      <c r="F2318" s="109">
        <v>22.5</v>
      </c>
      <c r="G2318" s="108" t="s">
        <v>1984</v>
      </c>
      <c r="H2318" s="111" t="s">
        <v>16</v>
      </c>
    </row>
    <row r="2319" spans="1:8" ht="33" x14ac:dyDescent="0.2">
      <c r="A2319" s="108">
        <v>7</v>
      </c>
      <c r="B2319" s="108" t="s">
        <v>2010</v>
      </c>
      <c r="C2319" s="110" t="s">
        <v>34</v>
      </c>
      <c r="D2319" s="109">
        <v>0.01</v>
      </c>
      <c r="E2319" s="109">
        <v>408.43</v>
      </c>
      <c r="F2319" s="109">
        <v>4.08</v>
      </c>
      <c r="G2319" s="108" t="s">
        <v>2009</v>
      </c>
      <c r="H2319" s="111" t="s">
        <v>16</v>
      </c>
    </row>
    <row r="2320" spans="1:8" ht="33" x14ac:dyDescent="0.2">
      <c r="A2320" s="108">
        <v>8</v>
      </c>
      <c r="B2320" s="108" t="s">
        <v>1518</v>
      </c>
      <c r="C2320" s="110" t="s">
        <v>14</v>
      </c>
      <c r="D2320" s="109">
        <v>1</v>
      </c>
      <c r="E2320" s="109">
        <v>1.7</v>
      </c>
      <c r="F2320" s="109">
        <v>1.7</v>
      </c>
      <c r="G2320" s="108" t="s">
        <v>1517</v>
      </c>
      <c r="H2320" s="111" t="s">
        <v>16</v>
      </c>
    </row>
    <row r="2321" spans="1:8" ht="33" x14ac:dyDescent="0.2">
      <c r="A2321" s="108"/>
      <c r="B2321" s="108" t="s">
        <v>1516</v>
      </c>
      <c r="C2321" s="110" t="s">
        <v>606</v>
      </c>
      <c r="D2321" s="109">
        <v>1</v>
      </c>
      <c r="E2321" s="109"/>
      <c r="F2321" s="109">
        <v>58.2</v>
      </c>
      <c r="G2321" s="108"/>
      <c r="H2321" s="111" t="s">
        <v>16</v>
      </c>
    </row>
    <row r="2322" spans="1:8" ht="33" x14ac:dyDescent="0.2">
      <c r="A2322" s="108"/>
      <c r="B2322" s="108" t="s">
        <v>1515</v>
      </c>
      <c r="C2322" s="110" t="s">
        <v>606</v>
      </c>
      <c r="D2322" s="109"/>
      <c r="E2322" s="109"/>
      <c r="F2322" s="109">
        <v>58.2</v>
      </c>
      <c r="G2322" s="108"/>
      <c r="H2322" s="111" t="s">
        <v>16</v>
      </c>
    </row>
    <row r="2323" spans="1:8" ht="16.5" x14ac:dyDescent="0.2">
      <c r="A2323" s="108"/>
      <c r="B2323" s="108"/>
      <c r="C2323" s="110"/>
      <c r="D2323" s="109"/>
      <c r="E2323" s="109"/>
      <c r="F2323" s="109"/>
      <c r="G2323" s="108"/>
    </row>
    <row r="2324" spans="1:8" ht="33" x14ac:dyDescent="0.2">
      <c r="A2324" s="108" t="s">
        <v>2057</v>
      </c>
      <c r="B2324" s="108" t="s">
        <v>819</v>
      </c>
      <c r="C2324" s="110" t="s">
        <v>606</v>
      </c>
      <c r="D2324" s="109">
        <v>1</v>
      </c>
      <c r="E2324" s="109">
        <v>70.040000000000006</v>
      </c>
      <c r="F2324" s="109"/>
      <c r="G2324" s="108" t="s">
        <v>2056</v>
      </c>
      <c r="H2324" s="111" t="s">
        <v>16</v>
      </c>
    </row>
    <row r="2325" spans="1:8" ht="33" x14ac:dyDescent="0.2">
      <c r="A2325" s="108">
        <v>1</v>
      </c>
      <c r="B2325" s="108" t="s">
        <v>2055</v>
      </c>
      <c r="C2325" s="110" t="s">
        <v>606</v>
      </c>
      <c r="D2325" s="109">
        <v>1</v>
      </c>
      <c r="E2325" s="109">
        <v>26.5</v>
      </c>
      <c r="F2325" s="109">
        <v>26.5</v>
      </c>
      <c r="G2325" s="108" t="s">
        <v>2054</v>
      </c>
      <c r="H2325" s="111" t="s">
        <v>16</v>
      </c>
    </row>
    <row r="2326" spans="1:8" ht="42.75" x14ac:dyDescent="0.2">
      <c r="A2326" s="108">
        <v>2</v>
      </c>
      <c r="B2326" s="108" t="s">
        <v>1992</v>
      </c>
      <c r="C2326" s="110" t="s">
        <v>34</v>
      </c>
      <c r="D2326" s="109">
        <v>0.01</v>
      </c>
      <c r="E2326" s="109">
        <v>540.75</v>
      </c>
      <c r="F2326" s="109">
        <v>5.41</v>
      </c>
      <c r="G2326" s="108" t="s">
        <v>1991</v>
      </c>
      <c r="H2326" s="111" t="s">
        <v>16</v>
      </c>
    </row>
    <row r="2327" spans="1:8" ht="42.75" x14ac:dyDescent="0.2">
      <c r="A2327" s="108">
        <v>3</v>
      </c>
      <c r="B2327" s="108" t="s">
        <v>1558</v>
      </c>
      <c r="C2327" s="110" t="s">
        <v>103</v>
      </c>
      <c r="D2327" s="109">
        <v>0.01</v>
      </c>
      <c r="E2327" s="109">
        <v>586</v>
      </c>
      <c r="F2327" s="109">
        <v>5.86</v>
      </c>
      <c r="G2327" s="108" t="s">
        <v>1990</v>
      </c>
      <c r="H2327" s="111" t="s">
        <v>16</v>
      </c>
    </row>
    <row r="2328" spans="1:8" ht="33" x14ac:dyDescent="0.2">
      <c r="A2328" s="108">
        <v>4</v>
      </c>
      <c r="B2328" s="108" t="s">
        <v>1989</v>
      </c>
      <c r="C2328" s="110" t="s">
        <v>856</v>
      </c>
      <c r="D2328" s="109">
        <v>1</v>
      </c>
      <c r="E2328" s="109">
        <v>3.05</v>
      </c>
      <c r="F2328" s="109">
        <v>3.05</v>
      </c>
      <c r="G2328" s="108" t="s">
        <v>1988</v>
      </c>
      <c r="H2328" s="111" t="s">
        <v>16</v>
      </c>
    </row>
    <row r="2329" spans="1:8" ht="33" x14ac:dyDescent="0.2">
      <c r="A2329" s="108">
        <v>5</v>
      </c>
      <c r="B2329" s="108" t="s">
        <v>1976</v>
      </c>
      <c r="C2329" s="110" t="s">
        <v>110</v>
      </c>
      <c r="D2329" s="109">
        <v>0.05</v>
      </c>
      <c r="E2329" s="109">
        <v>12</v>
      </c>
      <c r="F2329" s="109">
        <v>0.6</v>
      </c>
      <c r="G2329" s="108" t="s">
        <v>1975</v>
      </c>
      <c r="H2329" s="111" t="s">
        <v>16</v>
      </c>
    </row>
    <row r="2330" spans="1:8" ht="57" x14ac:dyDescent="0.2">
      <c r="A2330" s="108">
        <v>6</v>
      </c>
      <c r="B2330" s="108" t="s">
        <v>1985</v>
      </c>
      <c r="C2330" s="110" t="s">
        <v>97</v>
      </c>
      <c r="D2330" s="109">
        <v>0.06</v>
      </c>
      <c r="E2330" s="109">
        <v>375</v>
      </c>
      <c r="F2330" s="109">
        <v>22.5</v>
      </c>
      <c r="G2330" s="108" t="s">
        <v>1984</v>
      </c>
      <c r="H2330" s="111" t="s">
        <v>16</v>
      </c>
    </row>
    <row r="2331" spans="1:8" ht="33" x14ac:dyDescent="0.2">
      <c r="A2331" s="108">
        <v>7</v>
      </c>
      <c r="B2331" s="108" t="s">
        <v>2010</v>
      </c>
      <c r="C2331" s="110" t="s">
        <v>34</v>
      </c>
      <c r="D2331" s="109">
        <v>0.01</v>
      </c>
      <c r="E2331" s="109">
        <v>408.43</v>
      </c>
      <c r="F2331" s="109">
        <v>4.08</v>
      </c>
      <c r="G2331" s="108" t="s">
        <v>2009</v>
      </c>
      <c r="H2331" s="111" t="s">
        <v>16</v>
      </c>
    </row>
    <row r="2332" spans="1:8" ht="33" x14ac:dyDescent="0.2">
      <c r="A2332" s="108">
        <v>8</v>
      </c>
      <c r="B2332" s="108" t="s">
        <v>1518</v>
      </c>
      <c r="C2332" s="110" t="s">
        <v>14</v>
      </c>
      <c r="D2332" s="109">
        <v>1</v>
      </c>
      <c r="E2332" s="109">
        <v>2.04</v>
      </c>
      <c r="F2332" s="109">
        <v>2.04</v>
      </c>
      <c r="G2332" s="108" t="s">
        <v>1517</v>
      </c>
      <c r="H2332" s="111" t="s">
        <v>16</v>
      </c>
    </row>
    <row r="2333" spans="1:8" ht="33" x14ac:dyDescent="0.2">
      <c r="A2333" s="108"/>
      <c r="B2333" s="108" t="s">
        <v>1516</v>
      </c>
      <c r="C2333" s="110" t="s">
        <v>606</v>
      </c>
      <c r="D2333" s="109">
        <v>1</v>
      </c>
      <c r="E2333" s="109"/>
      <c r="F2333" s="109">
        <v>70.040000000000006</v>
      </c>
      <c r="G2333" s="108"/>
      <c r="H2333" s="111" t="s">
        <v>16</v>
      </c>
    </row>
    <row r="2334" spans="1:8" ht="33" x14ac:dyDescent="0.2">
      <c r="A2334" s="108"/>
      <c r="B2334" s="108" t="s">
        <v>1515</v>
      </c>
      <c r="C2334" s="110" t="s">
        <v>606</v>
      </c>
      <c r="D2334" s="109"/>
      <c r="E2334" s="109"/>
      <c r="F2334" s="109">
        <v>70.040000000000006</v>
      </c>
      <c r="G2334" s="108"/>
      <c r="H2334" s="111" t="s">
        <v>16</v>
      </c>
    </row>
    <row r="2335" spans="1:8" ht="16.5" x14ac:dyDescent="0.2">
      <c r="A2335" s="108"/>
      <c r="B2335" s="108"/>
      <c r="C2335" s="110"/>
      <c r="D2335" s="109"/>
      <c r="E2335" s="109"/>
      <c r="F2335" s="109"/>
      <c r="G2335" s="108"/>
    </row>
    <row r="2336" spans="1:8" ht="33" x14ac:dyDescent="0.2">
      <c r="A2336" s="108" t="s">
        <v>2053</v>
      </c>
      <c r="B2336" s="108" t="s">
        <v>822</v>
      </c>
      <c r="C2336" s="110" t="s">
        <v>606</v>
      </c>
      <c r="D2336" s="109">
        <v>1</v>
      </c>
      <c r="E2336" s="109">
        <v>61.29</v>
      </c>
      <c r="F2336" s="109"/>
      <c r="G2336" s="108" t="s">
        <v>2052</v>
      </c>
      <c r="H2336" s="111" t="s">
        <v>16</v>
      </c>
    </row>
    <row r="2337" spans="1:8" ht="33" x14ac:dyDescent="0.2">
      <c r="A2337" s="108">
        <v>1</v>
      </c>
      <c r="B2337" s="108" t="s">
        <v>2051</v>
      </c>
      <c r="C2337" s="110" t="s">
        <v>606</v>
      </c>
      <c r="D2337" s="109">
        <v>1</v>
      </c>
      <c r="E2337" s="109">
        <v>18</v>
      </c>
      <c r="F2337" s="109">
        <v>18</v>
      </c>
      <c r="G2337" s="108" t="s">
        <v>2050</v>
      </c>
      <c r="H2337" s="111" t="s">
        <v>16</v>
      </c>
    </row>
    <row r="2338" spans="1:8" ht="42.75" x14ac:dyDescent="0.2">
      <c r="A2338" s="108">
        <v>2</v>
      </c>
      <c r="B2338" s="108" t="s">
        <v>1992</v>
      </c>
      <c r="C2338" s="110" t="s">
        <v>34</v>
      </c>
      <c r="D2338" s="109">
        <v>0.01</v>
      </c>
      <c r="E2338" s="109">
        <v>540.75</v>
      </c>
      <c r="F2338" s="109">
        <v>5.41</v>
      </c>
      <c r="G2338" s="108" t="s">
        <v>1991</v>
      </c>
      <c r="H2338" s="111" t="s">
        <v>16</v>
      </c>
    </row>
    <row r="2339" spans="1:8" ht="42.75" x14ac:dyDescent="0.2">
      <c r="A2339" s="108">
        <v>3</v>
      </c>
      <c r="B2339" s="108" t="s">
        <v>1558</v>
      </c>
      <c r="C2339" s="110" t="s">
        <v>103</v>
      </c>
      <c r="D2339" s="109">
        <v>0.01</v>
      </c>
      <c r="E2339" s="109">
        <v>586</v>
      </c>
      <c r="F2339" s="109">
        <v>5.86</v>
      </c>
      <c r="G2339" s="108" t="s">
        <v>1990</v>
      </c>
      <c r="H2339" s="111" t="s">
        <v>16</v>
      </c>
    </row>
    <row r="2340" spans="1:8" ht="33" x14ac:dyDescent="0.2">
      <c r="A2340" s="108">
        <v>4</v>
      </c>
      <c r="B2340" s="108" t="s">
        <v>1989</v>
      </c>
      <c r="C2340" s="110" t="s">
        <v>856</v>
      </c>
      <c r="D2340" s="109">
        <v>1</v>
      </c>
      <c r="E2340" s="109">
        <v>3.05</v>
      </c>
      <c r="F2340" s="109">
        <v>3.05</v>
      </c>
      <c r="G2340" s="108" t="s">
        <v>1988</v>
      </c>
      <c r="H2340" s="111" t="s">
        <v>16</v>
      </c>
    </row>
    <row r="2341" spans="1:8" ht="33" x14ac:dyDescent="0.2">
      <c r="A2341" s="108">
        <v>5</v>
      </c>
      <c r="B2341" s="108" t="s">
        <v>1976</v>
      </c>
      <c r="C2341" s="110" t="s">
        <v>110</v>
      </c>
      <c r="D2341" s="109">
        <v>0.05</v>
      </c>
      <c r="E2341" s="109">
        <v>12</v>
      </c>
      <c r="F2341" s="109">
        <v>0.6</v>
      </c>
      <c r="G2341" s="108" t="s">
        <v>1975</v>
      </c>
      <c r="H2341" s="111" t="s">
        <v>16</v>
      </c>
    </row>
    <row r="2342" spans="1:8" ht="57" x14ac:dyDescent="0.2">
      <c r="A2342" s="108">
        <v>6</v>
      </c>
      <c r="B2342" s="108" t="s">
        <v>1985</v>
      </c>
      <c r="C2342" s="110" t="s">
        <v>97</v>
      </c>
      <c r="D2342" s="109">
        <v>0.06</v>
      </c>
      <c r="E2342" s="109">
        <v>375</v>
      </c>
      <c r="F2342" s="109">
        <v>22.5</v>
      </c>
      <c r="G2342" s="108" t="s">
        <v>1984</v>
      </c>
      <c r="H2342" s="111" t="s">
        <v>16</v>
      </c>
    </row>
    <row r="2343" spans="1:8" ht="33" x14ac:dyDescent="0.2">
      <c r="A2343" s="108">
        <v>7</v>
      </c>
      <c r="B2343" s="108" t="s">
        <v>2010</v>
      </c>
      <c r="C2343" s="110" t="s">
        <v>34</v>
      </c>
      <c r="D2343" s="109">
        <v>0.01</v>
      </c>
      <c r="E2343" s="109">
        <v>408.43</v>
      </c>
      <c r="F2343" s="109">
        <v>4.08</v>
      </c>
      <c r="G2343" s="108" t="s">
        <v>2009</v>
      </c>
      <c r="H2343" s="111" t="s">
        <v>16</v>
      </c>
    </row>
    <row r="2344" spans="1:8" ht="33" x14ac:dyDescent="0.2">
      <c r="A2344" s="108">
        <v>8</v>
      </c>
      <c r="B2344" s="108" t="s">
        <v>1518</v>
      </c>
      <c r="C2344" s="110" t="s">
        <v>14</v>
      </c>
      <c r="D2344" s="109">
        <v>1</v>
      </c>
      <c r="E2344" s="109">
        <v>1.79</v>
      </c>
      <c r="F2344" s="109">
        <v>1.79</v>
      </c>
      <c r="G2344" s="108" t="s">
        <v>1517</v>
      </c>
      <c r="H2344" s="111" t="s">
        <v>16</v>
      </c>
    </row>
    <row r="2345" spans="1:8" ht="33" x14ac:dyDescent="0.2">
      <c r="A2345" s="108"/>
      <c r="B2345" s="108" t="s">
        <v>1516</v>
      </c>
      <c r="C2345" s="110" t="s">
        <v>606</v>
      </c>
      <c r="D2345" s="109">
        <v>1</v>
      </c>
      <c r="E2345" s="109"/>
      <c r="F2345" s="109">
        <v>61.29</v>
      </c>
      <c r="G2345" s="108"/>
      <c r="H2345" s="111" t="s">
        <v>16</v>
      </c>
    </row>
    <row r="2346" spans="1:8" ht="33" x14ac:dyDescent="0.2">
      <c r="A2346" s="108"/>
      <c r="B2346" s="108" t="s">
        <v>1515</v>
      </c>
      <c r="C2346" s="110" t="s">
        <v>606</v>
      </c>
      <c r="D2346" s="109"/>
      <c r="E2346" s="109"/>
      <c r="F2346" s="109">
        <v>61.29</v>
      </c>
      <c r="G2346" s="108"/>
      <c r="H2346" s="111" t="s">
        <v>16</v>
      </c>
    </row>
    <row r="2347" spans="1:8" ht="16.5" x14ac:dyDescent="0.2">
      <c r="A2347" s="108"/>
      <c r="B2347" s="108"/>
      <c r="C2347" s="110"/>
      <c r="D2347" s="109"/>
      <c r="E2347" s="109"/>
      <c r="F2347" s="109"/>
      <c r="G2347" s="108"/>
    </row>
    <row r="2348" spans="1:8" ht="33" x14ac:dyDescent="0.2">
      <c r="A2348" s="108" t="s">
        <v>2049</v>
      </c>
      <c r="B2348" s="108" t="s">
        <v>825</v>
      </c>
      <c r="C2348" s="110" t="s">
        <v>606</v>
      </c>
      <c r="D2348" s="109">
        <v>1</v>
      </c>
      <c r="E2348" s="109">
        <v>59.74</v>
      </c>
      <c r="F2348" s="109"/>
      <c r="G2348" s="108" t="s">
        <v>2048</v>
      </c>
      <c r="H2348" s="111" t="s">
        <v>16</v>
      </c>
    </row>
    <row r="2349" spans="1:8" ht="33" x14ac:dyDescent="0.2">
      <c r="A2349" s="108">
        <v>1</v>
      </c>
      <c r="B2349" s="108" t="s">
        <v>2047</v>
      </c>
      <c r="C2349" s="110" t="s">
        <v>606</v>
      </c>
      <c r="D2349" s="109">
        <v>1</v>
      </c>
      <c r="E2349" s="109">
        <v>16.5</v>
      </c>
      <c r="F2349" s="109">
        <v>16.5</v>
      </c>
      <c r="G2349" s="108" t="s">
        <v>2046</v>
      </c>
      <c r="H2349" s="111" t="s">
        <v>16</v>
      </c>
    </row>
    <row r="2350" spans="1:8" ht="42.75" x14ac:dyDescent="0.2">
      <c r="A2350" s="108">
        <v>2</v>
      </c>
      <c r="B2350" s="108" t="s">
        <v>1992</v>
      </c>
      <c r="C2350" s="110" t="s">
        <v>34</v>
      </c>
      <c r="D2350" s="109">
        <v>0.01</v>
      </c>
      <c r="E2350" s="109">
        <v>540.75</v>
      </c>
      <c r="F2350" s="109">
        <v>5.41</v>
      </c>
      <c r="G2350" s="108" t="s">
        <v>1991</v>
      </c>
      <c r="H2350" s="111" t="s">
        <v>16</v>
      </c>
    </row>
    <row r="2351" spans="1:8" ht="42.75" x14ac:dyDescent="0.2">
      <c r="A2351" s="108">
        <v>3</v>
      </c>
      <c r="B2351" s="108" t="s">
        <v>1558</v>
      </c>
      <c r="C2351" s="110" t="s">
        <v>103</v>
      </c>
      <c r="D2351" s="109">
        <v>0.01</v>
      </c>
      <c r="E2351" s="109">
        <v>586</v>
      </c>
      <c r="F2351" s="109">
        <v>5.86</v>
      </c>
      <c r="G2351" s="108" t="s">
        <v>1990</v>
      </c>
      <c r="H2351" s="111" t="s">
        <v>16</v>
      </c>
    </row>
    <row r="2352" spans="1:8" ht="33" x14ac:dyDescent="0.2">
      <c r="A2352" s="108">
        <v>4</v>
      </c>
      <c r="B2352" s="108" t="s">
        <v>1989</v>
      </c>
      <c r="C2352" s="110" t="s">
        <v>856</v>
      </c>
      <c r="D2352" s="109">
        <v>1</v>
      </c>
      <c r="E2352" s="109">
        <v>3.05</v>
      </c>
      <c r="F2352" s="109">
        <v>3.05</v>
      </c>
      <c r="G2352" s="108" t="s">
        <v>1988</v>
      </c>
      <c r="H2352" s="111" t="s">
        <v>16</v>
      </c>
    </row>
    <row r="2353" spans="1:8" ht="33" x14ac:dyDescent="0.2">
      <c r="A2353" s="108">
        <v>5</v>
      </c>
      <c r="B2353" s="108" t="s">
        <v>1976</v>
      </c>
      <c r="C2353" s="110" t="s">
        <v>110</v>
      </c>
      <c r="D2353" s="109">
        <v>0.05</v>
      </c>
      <c r="E2353" s="109">
        <v>12</v>
      </c>
      <c r="F2353" s="109">
        <v>0.6</v>
      </c>
      <c r="G2353" s="108" t="s">
        <v>1975</v>
      </c>
      <c r="H2353" s="111" t="s">
        <v>16</v>
      </c>
    </row>
    <row r="2354" spans="1:8" ht="57" x14ac:dyDescent="0.2">
      <c r="A2354" s="108">
        <v>6</v>
      </c>
      <c r="B2354" s="108" t="s">
        <v>1985</v>
      </c>
      <c r="C2354" s="110" t="s">
        <v>97</v>
      </c>
      <c r="D2354" s="109">
        <v>0.06</v>
      </c>
      <c r="E2354" s="109">
        <v>375</v>
      </c>
      <c r="F2354" s="109">
        <v>22.5</v>
      </c>
      <c r="G2354" s="108" t="s">
        <v>1984</v>
      </c>
      <c r="H2354" s="111" t="s">
        <v>16</v>
      </c>
    </row>
    <row r="2355" spans="1:8" ht="33" x14ac:dyDescent="0.2">
      <c r="A2355" s="108">
        <v>7</v>
      </c>
      <c r="B2355" s="108" t="s">
        <v>2010</v>
      </c>
      <c r="C2355" s="110" t="s">
        <v>34</v>
      </c>
      <c r="D2355" s="109">
        <v>0.01</v>
      </c>
      <c r="E2355" s="109">
        <v>408.43</v>
      </c>
      <c r="F2355" s="109">
        <v>4.08</v>
      </c>
      <c r="G2355" s="108" t="s">
        <v>2009</v>
      </c>
      <c r="H2355" s="111" t="s">
        <v>16</v>
      </c>
    </row>
    <row r="2356" spans="1:8" ht="33" x14ac:dyDescent="0.2">
      <c r="A2356" s="108">
        <v>8</v>
      </c>
      <c r="B2356" s="108" t="s">
        <v>1518</v>
      </c>
      <c r="C2356" s="110" t="s">
        <v>14</v>
      </c>
      <c r="D2356" s="109">
        <v>1</v>
      </c>
      <c r="E2356" s="109">
        <v>1.74</v>
      </c>
      <c r="F2356" s="109">
        <v>1.74</v>
      </c>
      <c r="G2356" s="108" t="s">
        <v>1517</v>
      </c>
      <c r="H2356" s="111" t="s">
        <v>16</v>
      </c>
    </row>
    <row r="2357" spans="1:8" ht="33" x14ac:dyDescent="0.2">
      <c r="A2357" s="108"/>
      <c r="B2357" s="108" t="s">
        <v>1516</v>
      </c>
      <c r="C2357" s="110" t="s">
        <v>606</v>
      </c>
      <c r="D2357" s="109">
        <v>1</v>
      </c>
      <c r="E2357" s="109"/>
      <c r="F2357" s="109">
        <v>59.74</v>
      </c>
      <c r="G2357" s="108"/>
      <c r="H2357" s="111" t="s">
        <v>16</v>
      </c>
    </row>
    <row r="2358" spans="1:8" ht="33" x14ac:dyDescent="0.2">
      <c r="A2358" s="108"/>
      <c r="B2358" s="108" t="s">
        <v>1515</v>
      </c>
      <c r="C2358" s="110" t="s">
        <v>606</v>
      </c>
      <c r="D2358" s="109"/>
      <c r="E2358" s="109"/>
      <c r="F2358" s="109">
        <v>59.74</v>
      </c>
      <c r="G2358" s="108"/>
      <c r="H2358" s="111" t="s">
        <v>16</v>
      </c>
    </row>
    <row r="2359" spans="1:8" ht="16.5" x14ac:dyDescent="0.2">
      <c r="A2359" s="108"/>
      <c r="B2359" s="108"/>
      <c r="C2359" s="110"/>
      <c r="D2359" s="109"/>
      <c r="E2359" s="109"/>
      <c r="F2359" s="109"/>
      <c r="G2359" s="108"/>
    </row>
    <row r="2360" spans="1:8" ht="33" x14ac:dyDescent="0.2">
      <c r="A2360" s="108" t="s">
        <v>2045</v>
      </c>
      <c r="B2360" s="108" t="s">
        <v>828</v>
      </c>
      <c r="C2360" s="110" t="s">
        <v>606</v>
      </c>
      <c r="D2360" s="109">
        <v>1</v>
      </c>
      <c r="E2360" s="109">
        <v>69.58</v>
      </c>
      <c r="F2360" s="109"/>
      <c r="G2360" s="108" t="s">
        <v>2044</v>
      </c>
      <c r="H2360" s="111" t="s">
        <v>16</v>
      </c>
    </row>
    <row r="2361" spans="1:8" ht="33" x14ac:dyDescent="0.2">
      <c r="A2361" s="108">
        <v>1</v>
      </c>
      <c r="B2361" s="108" t="s">
        <v>2043</v>
      </c>
      <c r="C2361" s="110" t="s">
        <v>2042</v>
      </c>
      <c r="D2361" s="109">
        <v>1</v>
      </c>
      <c r="E2361" s="109">
        <v>8</v>
      </c>
      <c r="F2361" s="109">
        <v>8</v>
      </c>
      <c r="G2361" s="108" t="s">
        <v>2041</v>
      </c>
      <c r="H2361" s="111" t="s">
        <v>16</v>
      </c>
    </row>
    <row r="2362" spans="1:8" ht="42.75" x14ac:dyDescent="0.2">
      <c r="A2362" s="108">
        <v>2</v>
      </c>
      <c r="B2362" s="108" t="s">
        <v>1992</v>
      </c>
      <c r="C2362" s="110" t="s">
        <v>34</v>
      </c>
      <c r="D2362" s="109">
        <v>0.01</v>
      </c>
      <c r="E2362" s="109">
        <v>540.75</v>
      </c>
      <c r="F2362" s="109">
        <v>5.41</v>
      </c>
      <c r="G2362" s="108" t="s">
        <v>1991</v>
      </c>
      <c r="H2362" s="111" t="s">
        <v>16</v>
      </c>
    </row>
    <row r="2363" spans="1:8" ht="42.75" x14ac:dyDescent="0.2">
      <c r="A2363" s="108">
        <v>3</v>
      </c>
      <c r="B2363" s="108" t="s">
        <v>1558</v>
      </c>
      <c r="C2363" s="110" t="s">
        <v>103</v>
      </c>
      <c r="D2363" s="109">
        <v>0.01</v>
      </c>
      <c r="E2363" s="109">
        <v>586</v>
      </c>
      <c r="F2363" s="109">
        <v>5.86</v>
      </c>
      <c r="G2363" s="108" t="s">
        <v>1990</v>
      </c>
      <c r="H2363" s="111" t="s">
        <v>16</v>
      </c>
    </row>
    <row r="2364" spans="1:8" ht="33" x14ac:dyDescent="0.2">
      <c r="A2364" s="108">
        <v>4</v>
      </c>
      <c r="B2364" s="108" t="s">
        <v>2032</v>
      </c>
      <c r="C2364" s="110" t="s">
        <v>606</v>
      </c>
      <c r="D2364" s="109">
        <v>1</v>
      </c>
      <c r="E2364" s="109">
        <v>6.1</v>
      </c>
      <c r="F2364" s="109">
        <v>6.1</v>
      </c>
      <c r="G2364" s="108" t="s">
        <v>2031</v>
      </c>
      <c r="H2364" s="111" t="s">
        <v>16</v>
      </c>
    </row>
    <row r="2365" spans="1:8" ht="33" x14ac:dyDescent="0.2">
      <c r="A2365" s="108">
        <v>5</v>
      </c>
      <c r="B2365" s="108" t="s">
        <v>1976</v>
      </c>
      <c r="C2365" s="110" t="s">
        <v>110</v>
      </c>
      <c r="D2365" s="109">
        <v>0.05</v>
      </c>
      <c r="E2365" s="109">
        <v>12</v>
      </c>
      <c r="F2365" s="109">
        <v>0.6</v>
      </c>
      <c r="G2365" s="108" t="s">
        <v>1975</v>
      </c>
      <c r="H2365" s="111" t="s">
        <v>16</v>
      </c>
    </row>
    <row r="2366" spans="1:8" ht="33" x14ac:dyDescent="0.2">
      <c r="A2366" s="108">
        <v>6</v>
      </c>
      <c r="B2366" s="108" t="s">
        <v>2010</v>
      </c>
      <c r="C2366" s="110" t="s">
        <v>34</v>
      </c>
      <c r="D2366" s="109">
        <v>0.01</v>
      </c>
      <c r="E2366" s="109">
        <v>408.43</v>
      </c>
      <c r="F2366" s="109">
        <v>4.08</v>
      </c>
      <c r="G2366" s="108" t="s">
        <v>2009</v>
      </c>
      <c r="H2366" s="111" t="s">
        <v>16</v>
      </c>
    </row>
    <row r="2367" spans="1:8" ht="57" x14ac:dyDescent="0.2">
      <c r="A2367" s="108">
        <v>7</v>
      </c>
      <c r="B2367" s="108" t="s">
        <v>1985</v>
      </c>
      <c r="C2367" s="110" t="s">
        <v>97</v>
      </c>
      <c r="D2367" s="109">
        <v>0.1</v>
      </c>
      <c r="E2367" s="109">
        <v>375</v>
      </c>
      <c r="F2367" s="109">
        <v>37.5</v>
      </c>
      <c r="G2367" s="108" t="s">
        <v>1984</v>
      </c>
      <c r="H2367" s="111" t="s">
        <v>16</v>
      </c>
    </row>
    <row r="2368" spans="1:8" ht="33" x14ac:dyDescent="0.2">
      <c r="A2368" s="108">
        <v>8</v>
      </c>
      <c r="B2368" s="108" t="s">
        <v>1518</v>
      </c>
      <c r="C2368" s="110" t="s">
        <v>14</v>
      </c>
      <c r="D2368" s="109">
        <v>1</v>
      </c>
      <c r="E2368" s="109">
        <v>2.0299999999999998</v>
      </c>
      <c r="F2368" s="109">
        <v>2.0299999999999998</v>
      </c>
      <c r="G2368" s="108" t="s">
        <v>1517</v>
      </c>
      <c r="H2368" s="111" t="s">
        <v>16</v>
      </c>
    </row>
    <row r="2369" spans="1:8" ht="33" x14ac:dyDescent="0.2">
      <c r="A2369" s="108"/>
      <c r="B2369" s="108" t="s">
        <v>1516</v>
      </c>
      <c r="C2369" s="110" t="s">
        <v>606</v>
      </c>
      <c r="D2369" s="109">
        <v>1</v>
      </c>
      <c r="E2369" s="109"/>
      <c r="F2369" s="109">
        <v>69.58</v>
      </c>
      <c r="G2369" s="108"/>
      <c r="H2369" s="111" t="s">
        <v>16</v>
      </c>
    </row>
    <row r="2370" spans="1:8" ht="33" x14ac:dyDescent="0.2">
      <c r="A2370" s="108"/>
      <c r="B2370" s="108" t="s">
        <v>1515</v>
      </c>
      <c r="C2370" s="110" t="s">
        <v>606</v>
      </c>
      <c r="D2370" s="109"/>
      <c r="E2370" s="109"/>
      <c r="F2370" s="109">
        <v>69.58</v>
      </c>
      <c r="G2370" s="108"/>
      <c r="H2370" s="111" t="s">
        <v>16</v>
      </c>
    </row>
    <row r="2371" spans="1:8" ht="16.5" x14ac:dyDescent="0.2">
      <c r="A2371" s="108"/>
      <c r="B2371" s="108"/>
      <c r="C2371" s="110"/>
      <c r="D2371" s="109"/>
      <c r="E2371" s="109"/>
      <c r="F2371" s="109"/>
      <c r="G2371" s="108"/>
    </row>
    <row r="2372" spans="1:8" ht="33" x14ac:dyDescent="0.2">
      <c r="A2372" s="108" t="s">
        <v>2040</v>
      </c>
      <c r="B2372" s="108" t="s">
        <v>831</v>
      </c>
      <c r="C2372" s="110" t="s">
        <v>606</v>
      </c>
      <c r="D2372" s="109">
        <v>1</v>
      </c>
      <c r="E2372" s="109">
        <v>112.84</v>
      </c>
      <c r="F2372" s="109"/>
      <c r="G2372" s="108" t="s">
        <v>2039</v>
      </c>
      <c r="H2372" s="111" t="s">
        <v>16</v>
      </c>
    </row>
    <row r="2373" spans="1:8" ht="33" x14ac:dyDescent="0.2">
      <c r="A2373" s="108">
        <v>1</v>
      </c>
      <c r="B2373" s="108" t="s">
        <v>2038</v>
      </c>
      <c r="C2373" s="110" t="s">
        <v>606</v>
      </c>
      <c r="D2373" s="109">
        <v>1</v>
      </c>
      <c r="E2373" s="109">
        <v>50</v>
      </c>
      <c r="F2373" s="109">
        <v>50</v>
      </c>
      <c r="G2373" s="108" t="s">
        <v>2037</v>
      </c>
      <c r="H2373" s="111" t="s">
        <v>16</v>
      </c>
    </row>
    <row r="2374" spans="1:8" ht="42.75" x14ac:dyDescent="0.2">
      <c r="A2374" s="108">
        <v>2</v>
      </c>
      <c r="B2374" s="108" t="s">
        <v>1992</v>
      </c>
      <c r="C2374" s="110" t="s">
        <v>34</v>
      </c>
      <c r="D2374" s="109">
        <v>0.01</v>
      </c>
      <c r="E2374" s="109">
        <v>540.75</v>
      </c>
      <c r="F2374" s="109">
        <v>5.41</v>
      </c>
      <c r="G2374" s="108" t="s">
        <v>1991</v>
      </c>
      <c r="H2374" s="111" t="s">
        <v>16</v>
      </c>
    </row>
    <row r="2375" spans="1:8" ht="42.75" x14ac:dyDescent="0.2">
      <c r="A2375" s="108">
        <v>3</v>
      </c>
      <c r="B2375" s="108" t="s">
        <v>1558</v>
      </c>
      <c r="C2375" s="110" t="s">
        <v>103</v>
      </c>
      <c r="D2375" s="109">
        <v>0.01</v>
      </c>
      <c r="E2375" s="109">
        <v>586</v>
      </c>
      <c r="F2375" s="109">
        <v>5.86</v>
      </c>
      <c r="G2375" s="108" t="s">
        <v>1990</v>
      </c>
      <c r="H2375" s="111" t="s">
        <v>16</v>
      </c>
    </row>
    <row r="2376" spans="1:8" ht="33" x14ac:dyDescent="0.2">
      <c r="A2376" s="108">
        <v>4</v>
      </c>
      <c r="B2376" s="108" t="s">
        <v>2032</v>
      </c>
      <c r="C2376" s="110" t="s">
        <v>606</v>
      </c>
      <c r="D2376" s="109">
        <v>1</v>
      </c>
      <c r="E2376" s="109">
        <v>6.1</v>
      </c>
      <c r="F2376" s="109">
        <v>6.1</v>
      </c>
      <c r="G2376" s="108" t="s">
        <v>2031</v>
      </c>
      <c r="H2376" s="111" t="s">
        <v>16</v>
      </c>
    </row>
    <row r="2377" spans="1:8" ht="33" x14ac:dyDescent="0.2">
      <c r="A2377" s="108">
        <v>5</v>
      </c>
      <c r="B2377" s="108" t="s">
        <v>1976</v>
      </c>
      <c r="C2377" s="110" t="s">
        <v>110</v>
      </c>
      <c r="D2377" s="109">
        <v>0.05</v>
      </c>
      <c r="E2377" s="109">
        <v>12</v>
      </c>
      <c r="F2377" s="109">
        <v>0.6</v>
      </c>
      <c r="G2377" s="108" t="s">
        <v>1975</v>
      </c>
      <c r="H2377" s="111" t="s">
        <v>16</v>
      </c>
    </row>
    <row r="2378" spans="1:8" ht="33" x14ac:dyDescent="0.2">
      <c r="A2378" s="108">
        <v>6</v>
      </c>
      <c r="B2378" s="108" t="s">
        <v>2010</v>
      </c>
      <c r="C2378" s="110" t="s">
        <v>34</v>
      </c>
      <c r="D2378" s="109">
        <v>0.01</v>
      </c>
      <c r="E2378" s="109">
        <v>408.43</v>
      </c>
      <c r="F2378" s="109">
        <v>4.08</v>
      </c>
      <c r="G2378" s="108" t="s">
        <v>2009</v>
      </c>
      <c r="H2378" s="111" t="s">
        <v>16</v>
      </c>
    </row>
    <row r="2379" spans="1:8" ht="57" x14ac:dyDescent="0.2">
      <c r="A2379" s="108">
        <v>7</v>
      </c>
      <c r="B2379" s="108" t="s">
        <v>1985</v>
      </c>
      <c r="C2379" s="110" t="s">
        <v>97</v>
      </c>
      <c r="D2379" s="109">
        <v>0.1</v>
      </c>
      <c r="E2379" s="109">
        <v>375</v>
      </c>
      <c r="F2379" s="109">
        <v>37.5</v>
      </c>
      <c r="G2379" s="108" t="s">
        <v>1984</v>
      </c>
      <c r="H2379" s="111" t="s">
        <v>16</v>
      </c>
    </row>
    <row r="2380" spans="1:8" ht="33" x14ac:dyDescent="0.2">
      <c r="A2380" s="108">
        <v>8</v>
      </c>
      <c r="B2380" s="108" t="s">
        <v>1518</v>
      </c>
      <c r="C2380" s="110" t="s">
        <v>14</v>
      </c>
      <c r="D2380" s="109">
        <v>1</v>
      </c>
      <c r="E2380" s="109">
        <v>3.29</v>
      </c>
      <c r="F2380" s="109">
        <v>3.29</v>
      </c>
      <c r="G2380" s="108" t="s">
        <v>1517</v>
      </c>
      <c r="H2380" s="111" t="s">
        <v>16</v>
      </c>
    </row>
    <row r="2381" spans="1:8" ht="33" x14ac:dyDescent="0.2">
      <c r="A2381" s="108"/>
      <c r="B2381" s="108" t="s">
        <v>1516</v>
      </c>
      <c r="C2381" s="110" t="s">
        <v>606</v>
      </c>
      <c r="D2381" s="109">
        <v>1</v>
      </c>
      <c r="E2381" s="109"/>
      <c r="F2381" s="109">
        <v>112.83999999999999</v>
      </c>
      <c r="G2381" s="108"/>
      <c r="H2381" s="111" t="s">
        <v>16</v>
      </c>
    </row>
    <row r="2382" spans="1:8" ht="33" x14ac:dyDescent="0.2">
      <c r="A2382" s="108"/>
      <c r="B2382" s="108" t="s">
        <v>1515</v>
      </c>
      <c r="C2382" s="110" t="s">
        <v>606</v>
      </c>
      <c r="D2382" s="109"/>
      <c r="E2382" s="109"/>
      <c r="F2382" s="109">
        <v>112.84</v>
      </c>
      <c r="G2382" s="108"/>
      <c r="H2382" s="111" t="s">
        <v>16</v>
      </c>
    </row>
    <row r="2383" spans="1:8" ht="16.5" x14ac:dyDescent="0.2">
      <c r="A2383" s="108"/>
      <c r="B2383" s="108"/>
      <c r="C2383" s="110"/>
      <c r="D2383" s="109"/>
      <c r="E2383" s="109"/>
      <c r="F2383" s="109"/>
      <c r="G2383" s="108"/>
    </row>
    <row r="2384" spans="1:8" ht="33" x14ac:dyDescent="0.2">
      <c r="A2384" s="108" t="s">
        <v>2036</v>
      </c>
      <c r="B2384" s="108" t="s">
        <v>834</v>
      </c>
      <c r="C2384" s="110" t="s">
        <v>606</v>
      </c>
      <c r="D2384" s="109">
        <v>1</v>
      </c>
      <c r="E2384" s="109">
        <v>102.54</v>
      </c>
      <c r="F2384" s="109"/>
      <c r="G2384" s="108" t="s">
        <v>2035</v>
      </c>
      <c r="H2384" s="111" t="s">
        <v>16</v>
      </c>
    </row>
    <row r="2385" spans="1:8" ht="33" x14ac:dyDescent="0.2">
      <c r="A2385" s="108">
        <v>1</v>
      </c>
      <c r="B2385" s="108" t="s">
        <v>2034</v>
      </c>
      <c r="C2385" s="110" t="s">
        <v>606</v>
      </c>
      <c r="D2385" s="109">
        <v>1</v>
      </c>
      <c r="E2385" s="109">
        <v>40</v>
      </c>
      <c r="F2385" s="109">
        <v>40</v>
      </c>
      <c r="G2385" s="108" t="s">
        <v>2033</v>
      </c>
      <c r="H2385" s="111" t="s">
        <v>16</v>
      </c>
    </row>
    <row r="2386" spans="1:8" ht="42.75" x14ac:dyDescent="0.2">
      <c r="A2386" s="108">
        <v>2</v>
      </c>
      <c r="B2386" s="108" t="s">
        <v>1992</v>
      </c>
      <c r="C2386" s="110" t="s">
        <v>34</v>
      </c>
      <c r="D2386" s="109">
        <v>0.01</v>
      </c>
      <c r="E2386" s="109">
        <v>540.75</v>
      </c>
      <c r="F2386" s="109">
        <v>5.41</v>
      </c>
      <c r="G2386" s="108" t="s">
        <v>1991</v>
      </c>
      <c r="H2386" s="111" t="s">
        <v>16</v>
      </c>
    </row>
    <row r="2387" spans="1:8" ht="42.75" x14ac:dyDescent="0.2">
      <c r="A2387" s="108">
        <v>3</v>
      </c>
      <c r="B2387" s="108" t="s">
        <v>1558</v>
      </c>
      <c r="C2387" s="110" t="s">
        <v>103</v>
      </c>
      <c r="D2387" s="109">
        <v>0.01</v>
      </c>
      <c r="E2387" s="109">
        <v>586</v>
      </c>
      <c r="F2387" s="109">
        <v>5.86</v>
      </c>
      <c r="G2387" s="108" t="s">
        <v>1990</v>
      </c>
      <c r="H2387" s="111" t="s">
        <v>16</v>
      </c>
    </row>
    <row r="2388" spans="1:8" ht="33" x14ac:dyDescent="0.2">
      <c r="A2388" s="108">
        <v>4</v>
      </c>
      <c r="B2388" s="108" t="s">
        <v>2032</v>
      </c>
      <c r="C2388" s="110" t="s">
        <v>606</v>
      </c>
      <c r="D2388" s="109">
        <v>1</v>
      </c>
      <c r="E2388" s="109">
        <v>6.1</v>
      </c>
      <c r="F2388" s="109">
        <v>6.1</v>
      </c>
      <c r="G2388" s="108" t="s">
        <v>2031</v>
      </c>
      <c r="H2388" s="111" t="s">
        <v>16</v>
      </c>
    </row>
    <row r="2389" spans="1:8" ht="33" x14ac:dyDescent="0.2">
      <c r="A2389" s="108">
        <v>5</v>
      </c>
      <c r="B2389" s="108" t="s">
        <v>1976</v>
      </c>
      <c r="C2389" s="110" t="s">
        <v>110</v>
      </c>
      <c r="D2389" s="109">
        <v>0.05</v>
      </c>
      <c r="E2389" s="109">
        <v>12</v>
      </c>
      <c r="F2389" s="109">
        <v>0.6</v>
      </c>
      <c r="G2389" s="108" t="s">
        <v>1975</v>
      </c>
      <c r="H2389" s="111" t="s">
        <v>16</v>
      </c>
    </row>
    <row r="2390" spans="1:8" ht="33" x14ac:dyDescent="0.2">
      <c r="A2390" s="108">
        <v>6</v>
      </c>
      <c r="B2390" s="108" t="s">
        <v>2010</v>
      </c>
      <c r="C2390" s="110" t="s">
        <v>34</v>
      </c>
      <c r="D2390" s="109">
        <v>0.01</v>
      </c>
      <c r="E2390" s="109">
        <v>408.43</v>
      </c>
      <c r="F2390" s="109">
        <v>4.08</v>
      </c>
      <c r="G2390" s="108" t="s">
        <v>2009</v>
      </c>
      <c r="H2390" s="111" t="s">
        <v>16</v>
      </c>
    </row>
    <row r="2391" spans="1:8" ht="57" x14ac:dyDescent="0.2">
      <c r="A2391" s="108">
        <v>7</v>
      </c>
      <c r="B2391" s="108" t="s">
        <v>1985</v>
      </c>
      <c r="C2391" s="110" t="s">
        <v>97</v>
      </c>
      <c r="D2391" s="109">
        <v>0.1</v>
      </c>
      <c r="E2391" s="109">
        <v>375</v>
      </c>
      <c r="F2391" s="109">
        <v>37.5</v>
      </c>
      <c r="G2391" s="108" t="s">
        <v>1984</v>
      </c>
      <c r="H2391" s="111" t="s">
        <v>16</v>
      </c>
    </row>
    <row r="2392" spans="1:8" ht="33" x14ac:dyDescent="0.2">
      <c r="A2392" s="108">
        <v>8</v>
      </c>
      <c r="B2392" s="108" t="s">
        <v>1518</v>
      </c>
      <c r="C2392" s="110" t="s">
        <v>14</v>
      </c>
      <c r="D2392" s="109">
        <v>1</v>
      </c>
      <c r="E2392" s="109">
        <v>2.99</v>
      </c>
      <c r="F2392" s="109">
        <v>2.99</v>
      </c>
      <c r="G2392" s="108" t="s">
        <v>1517</v>
      </c>
      <c r="H2392" s="111" t="s">
        <v>16</v>
      </c>
    </row>
    <row r="2393" spans="1:8" ht="33" x14ac:dyDescent="0.2">
      <c r="A2393" s="108"/>
      <c r="B2393" s="108" t="s">
        <v>1516</v>
      </c>
      <c r="C2393" s="110" t="s">
        <v>606</v>
      </c>
      <c r="D2393" s="109">
        <v>1</v>
      </c>
      <c r="E2393" s="109"/>
      <c r="F2393" s="109">
        <v>102.53999999999999</v>
      </c>
      <c r="G2393" s="108"/>
      <c r="H2393" s="111" t="s">
        <v>16</v>
      </c>
    </row>
    <row r="2394" spans="1:8" ht="33" x14ac:dyDescent="0.2">
      <c r="A2394" s="108"/>
      <c r="B2394" s="108" t="s">
        <v>1515</v>
      </c>
      <c r="C2394" s="110" t="s">
        <v>606</v>
      </c>
      <c r="D2394" s="109"/>
      <c r="E2394" s="109"/>
      <c r="F2394" s="109">
        <v>102.54</v>
      </c>
      <c r="G2394" s="108"/>
      <c r="H2394" s="111" t="s">
        <v>16</v>
      </c>
    </row>
    <row r="2395" spans="1:8" ht="16.5" x14ac:dyDescent="0.2">
      <c r="A2395" s="108"/>
      <c r="B2395" s="108"/>
      <c r="C2395" s="110"/>
      <c r="D2395" s="109"/>
      <c r="E2395" s="109"/>
      <c r="F2395" s="109"/>
      <c r="G2395" s="108"/>
    </row>
    <row r="2396" spans="1:8" ht="33" x14ac:dyDescent="0.2">
      <c r="A2396" s="108" t="s">
        <v>2030</v>
      </c>
      <c r="B2396" s="108" t="s">
        <v>837</v>
      </c>
      <c r="C2396" s="110" t="s">
        <v>606</v>
      </c>
      <c r="D2396" s="109">
        <v>1</v>
      </c>
      <c r="E2396" s="109">
        <v>82.99</v>
      </c>
      <c r="F2396" s="109"/>
      <c r="G2396" s="108" t="s">
        <v>2029</v>
      </c>
      <c r="H2396" s="111" t="s">
        <v>16</v>
      </c>
    </row>
    <row r="2397" spans="1:8" ht="33" x14ac:dyDescent="0.2">
      <c r="A2397" s="108">
        <v>1</v>
      </c>
      <c r="B2397" s="108" t="s">
        <v>2028</v>
      </c>
      <c r="C2397" s="110" t="s">
        <v>606</v>
      </c>
      <c r="D2397" s="109">
        <v>1</v>
      </c>
      <c r="E2397" s="109">
        <v>32.5</v>
      </c>
      <c r="F2397" s="109">
        <v>32.5</v>
      </c>
      <c r="G2397" s="108" t="s">
        <v>2027</v>
      </c>
      <c r="H2397" s="111" t="s">
        <v>16</v>
      </c>
    </row>
    <row r="2398" spans="1:8" ht="42.75" x14ac:dyDescent="0.2">
      <c r="A2398" s="108">
        <v>2</v>
      </c>
      <c r="B2398" s="108" t="s">
        <v>1992</v>
      </c>
      <c r="C2398" s="110" t="s">
        <v>34</v>
      </c>
      <c r="D2398" s="109">
        <v>0.01</v>
      </c>
      <c r="E2398" s="109">
        <v>540.75</v>
      </c>
      <c r="F2398" s="109">
        <v>5.41</v>
      </c>
      <c r="G2398" s="108" t="s">
        <v>1991</v>
      </c>
      <c r="H2398" s="111" t="s">
        <v>16</v>
      </c>
    </row>
    <row r="2399" spans="1:8" ht="42.75" x14ac:dyDescent="0.2">
      <c r="A2399" s="108">
        <v>3</v>
      </c>
      <c r="B2399" s="108" t="s">
        <v>1558</v>
      </c>
      <c r="C2399" s="110" t="s">
        <v>103</v>
      </c>
      <c r="D2399" s="109">
        <v>0.01</v>
      </c>
      <c r="E2399" s="109">
        <v>586</v>
      </c>
      <c r="F2399" s="109">
        <v>5.86</v>
      </c>
      <c r="G2399" s="108" t="s">
        <v>1990</v>
      </c>
      <c r="H2399" s="111" t="s">
        <v>16</v>
      </c>
    </row>
    <row r="2400" spans="1:8" ht="33" x14ac:dyDescent="0.2">
      <c r="A2400" s="108">
        <v>4</v>
      </c>
      <c r="B2400" s="108" t="s">
        <v>1987</v>
      </c>
      <c r="C2400" s="110" t="s">
        <v>606</v>
      </c>
      <c r="D2400" s="109">
        <v>1</v>
      </c>
      <c r="E2400" s="109">
        <v>2.12</v>
      </c>
      <c r="F2400" s="109">
        <v>2.12</v>
      </c>
      <c r="G2400" s="108" t="s">
        <v>1986</v>
      </c>
      <c r="H2400" s="111" t="s">
        <v>16</v>
      </c>
    </row>
    <row r="2401" spans="1:8" ht="33" x14ac:dyDescent="0.2">
      <c r="A2401" s="108">
        <v>5</v>
      </c>
      <c r="B2401" s="108" t="s">
        <v>1976</v>
      </c>
      <c r="C2401" s="110" t="s">
        <v>110</v>
      </c>
      <c r="D2401" s="109">
        <v>0.05</v>
      </c>
      <c r="E2401" s="109">
        <v>12</v>
      </c>
      <c r="F2401" s="109">
        <v>0.6</v>
      </c>
      <c r="G2401" s="108" t="s">
        <v>1975</v>
      </c>
      <c r="H2401" s="111" t="s">
        <v>16</v>
      </c>
    </row>
    <row r="2402" spans="1:8" ht="57" x14ac:dyDescent="0.2">
      <c r="A2402" s="108">
        <v>6</v>
      </c>
      <c r="B2402" s="108" t="s">
        <v>1985</v>
      </c>
      <c r="C2402" s="110" t="s">
        <v>97</v>
      </c>
      <c r="D2402" s="109">
        <v>0.08</v>
      </c>
      <c r="E2402" s="109">
        <v>375</v>
      </c>
      <c r="F2402" s="109">
        <v>30</v>
      </c>
      <c r="G2402" s="108" t="s">
        <v>1984</v>
      </c>
      <c r="H2402" s="111" t="s">
        <v>16</v>
      </c>
    </row>
    <row r="2403" spans="1:8" ht="33" x14ac:dyDescent="0.2">
      <c r="A2403" s="108">
        <v>7</v>
      </c>
      <c r="B2403" s="108" t="s">
        <v>2010</v>
      </c>
      <c r="C2403" s="110" t="s">
        <v>34</v>
      </c>
      <c r="D2403" s="109">
        <v>0.01</v>
      </c>
      <c r="E2403" s="109">
        <v>408.43</v>
      </c>
      <c r="F2403" s="109">
        <v>4.08</v>
      </c>
      <c r="G2403" s="108" t="s">
        <v>2009</v>
      </c>
      <c r="H2403" s="111" t="s">
        <v>16</v>
      </c>
    </row>
    <row r="2404" spans="1:8" ht="33" x14ac:dyDescent="0.2">
      <c r="A2404" s="108">
        <v>8</v>
      </c>
      <c r="B2404" s="108" t="s">
        <v>1518</v>
      </c>
      <c r="C2404" s="110" t="s">
        <v>14</v>
      </c>
      <c r="D2404" s="109">
        <v>1</v>
      </c>
      <c r="E2404" s="109">
        <v>2.42</v>
      </c>
      <c r="F2404" s="109">
        <v>2.42</v>
      </c>
      <c r="G2404" s="108" t="s">
        <v>1517</v>
      </c>
      <c r="H2404" s="111" t="s">
        <v>16</v>
      </c>
    </row>
    <row r="2405" spans="1:8" ht="33" x14ac:dyDescent="0.2">
      <c r="A2405" s="108"/>
      <c r="B2405" s="108" t="s">
        <v>1516</v>
      </c>
      <c r="C2405" s="110" t="s">
        <v>606</v>
      </c>
      <c r="D2405" s="109">
        <v>1</v>
      </c>
      <c r="E2405" s="109"/>
      <c r="F2405" s="109">
        <v>82.99</v>
      </c>
      <c r="G2405" s="108"/>
      <c r="H2405" s="111" t="s">
        <v>16</v>
      </c>
    </row>
    <row r="2406" spans="1:8" ht="33" x14ac:dyDescent="0.2">
      <c r="A2406" s="108"/>
      <c r="B2406" s="108" t="s">
        <v>1515</v>
      </c>
      <c r="C2406" s="110" t="s">
        <v>606</v>
      </c>
      <c r="D2406" s="109"/>
      <c r="E2406" s="109"/>
      <c r="F2406" s="109">
        <v>82.99</v>
      </c>
      <c r="G2406" s="108"/>
      <c r="H2406" s="111" t="s">
        <v>16</v>
      </c>
    </row>
    <row r="2407" spans="1:8" ht="16.5" x14ac:dyDescent="0.2">
      <c r="A2407" s="108"/>
      <c r="B2407" s="108"/>
      <c r="C2407" s="110"/>
      <c r="D2407" s="109"/>
      <c r="E2407" s="109"/>
      <c r="F2407" s="109"/>
      <c r="G2407" s="108"/>
    </row>
    <row r="2408" spans="1:8" ht="33" x14ac:dyDescent="0.2">
      <c r="A2408" s="108" t="s">
        <v>2026</v>
      </c>
      <c r="B2408" s="108" t="s">
        <v>840</v>
      </c>
      <c r="C2408" s="110" t="s">
        <v>606</v>
      </c>
      <c r="D2408" s="109">
        <v>1</v>
      </c>
      <c r="E2408" s="109">
        <v>80.41</v>
      </c>
      <c r="F2408" s="109"/>
      <c r="G2408" s="108" t="s">
        <v>2025</v>
      </c>
      <c r="H2408" s="111" t="s">
        <v>16</v>
      </c>
    </row>
    <row r="2409" spans="1:8" ht="33" x14ac:dyDescent="0.2">
      <c r="A2409" s="108">
        <v>1</v>
      </c>
      <c r="B2409" s="108" t="s">
        <v>2024</v>
      </c>
      <c r="C2409" s="110" t="s">
        <v>606</v>
      </c>
      <c r="D2409" s="109">
        <v>1</v>
      </c>
      <c r="E2409" s="109">
        <v>30</v>
      </c>
      <c r="F2409" s="109">
        <v>30</v>
      </c>
      <c r="G2409" s="108" t="s">
        <v>2023</v>
      </c>
      <c r="H2409" s="111" t="s">
        <v>16</v>
      </c>
    </row>
    <row r="2410" spans="1:8" ht="42.75" x14ac:dyDescent="0.2">
      <c r="A2410" s="108">
        <v>2</v>
      </c>
      <c r="B2410" s="108" t="s">
        <v>1992</v>
      </c>
      <c r="C2410" s="110" t="s">
        <v>34</v>
      </c>
      <c r="D2410" s="109">
        <v>0.01</v>
      </c>
      <c r="E2410" s="109">
        <v>540.75</v>
      </c>
      <c r="F2410" s="109">
        <v>5.41</v>
      </c>
      <c r="G2410" s="108" t="s">
        <v>1991</v>
      </c>
      <c r="H2410" s="111" t="s">
        <v>16</v>
      </c>
    </row>
    <row r="2411" spans="1:8" ht="42.75" x14ac:dyDescent="0.2">
      <c r="A2411" s="108">
        <v>3</v>
      </c>
      <c r="B2411" s="108" t="s">
        <v>1558</v>
      </c>
      <c r="C2411" s="110" t="s">
        <v>103</v>
      </c>
      <c r="D2411" s="109">
        <v>0.01</v>
      </c>
      <c r="E2411" s="109">
        <v>586</v>
      </c>
      <c r="F2411" s="109">
        <v>5.86</v>
      </c>
      <c r="G2411" s="108" t="s">
        <v>1990</v>
      </c>
      <c r="H2411" s="111" t="s">
        <v>16</v>
      </c>
    </row>
    <row r="2412" spans="1:8" ht="33" x14ac:dyDescent="0.2">
      <c r="A2412" s="108">
        <v>4</v>
      </c>
      <c r="B2412" s="108" t="s">
        <v>1987</v>
      </c>
      <c r="C2412" s="110" t="s">
        <v>606</v>
      </c>
      <c r="D2412" s="109">
        <v>1</v>
      </c>
      <c r="E2412" s="109">
        <v>2.12</v>
      </c>
      <c r="F2412" s="109">
        <v>2.12</v>
      </c>
      <c r="G2412" s="108" t="s">
        <v>1986</v>
      </c>
      <c r="H2412" s="111" t="s">
        <v>16</v>
      </c>
    </row>
    <row r="2413" spans="1:8" ht="33" x14ac:dyDescent="0.2">
      <c r="A2413" s="108">
        <v>5</v>
      </c>
      <c r="B2413" s="108" t="s">
        <v>1976</v>
      </c>
      <c r="C2413" s="110" t="s">
        <v>110</v>
      </c>
      <c r="D2413" s="109">
        <v>0.05</v>
      </c>
      <c r="E2413" s="109">
        <v>12</v>
      </c>
      <c r="F2413" s="109">
        <v>0.6</v>
      </c>
      <c r="G2413" s="108" t="s">
        <v>1975</v>
      </c>
      <c r="H2413" s="111" t="s">
        <v>16</v>
      </c>
    </row>
    <row r="2414" spans="1:8" ht="57" x14ac:dyDescent="0.2">
      <c r="A2414" s="108">
        <v>6</v>
      </c>
      <c r="B2414" s="108" t="s">
        <v>1985</v>
      </c>
      <c r="C2414" s="110" t="s">
        <v>97</v>
      </c>
      <c r="D2414" s="109">
        <v>0.08</v>
      </c>
      <c r="E2414" s="109">
        <v>375</v>
      </c>
      <c r="F2414" s="109">
        <v>30</v>
      </c>
      <c r="G2414" s="108" t="s">
        <v>1984</v>
      </c>
      <c r="H2414" s="111" t="s">
        <v>16</v>
      </c>
    </row>
    <row r="2415" spans="1:8" ht="33" x14ac:dyDescent="0.2">
      <c r="A2415" s="108">
        <v>7</v>
      </c>
      <c r="B2415" s="108" t="s">
        <v>2010</v>
      </c>
      <c r="C2415" s="110" t="s">
        <v>34</v>
      </c>
      <c r="D2415" s="109">
        <v>0.01</v>
      </c>
      <c r="E2415" s="109">
        <v>408.43</v>
      </c>
      <c r="F2415" s="109">
        <v>4.08</v>
      </c>
      <c r="G2415" s="108" t="s">
        <v>2009</v>
      </c>
      <c r="H2415" s="111" t="s">
        <v>16</v>
      </c>
    </row>
    <row r="2416" spans="1:8" ht="33" x14ac:dyDescent="0.2">
      <c r="A2416" s="108">
        <v>8</v>
      </c>
      <c r="B2416" s="108" t="s">
        <v>1518</v>
      </c>
      <c r="C2416" s="110" t="s">
        <v>14</v>
      </c>
      <c r="D2416" s="109">
        <v>1</v>
      </c>
      <c r="E2416" s="109">
        <v>2.34</v>
      </c>
      <c r="F2416" s="109">
        <v>2.34</v>
      </c>
      <c r="G2416" s="108" t="s">
        <v>1517</v>
      </c>
      <c r="H2416" s="111" t="s">
        <v>16</v>
      </c>
    </row>
    <row r="2417" spans="1:8" ht="33" x14ac:dyDescent="0.2">
      <c r="A2417" s="108"/>
      <c r="B2417" s="108" t="s">
        <v>1516</v>
      </c>
      <c r="C2417" s="110" t="s">
        <v>606</v>
      </c>
      <c r="D2417" s="109">
        <v>1</v>
      </c>
      <c r="E2417" s="109"/>
      <c r="F2417" s="109">
        <v>80.41</v>
      </c>
      <c r="G2417" s="108"/>
      <c r="H2417" s="111" t="s">
        <v>16</v>
      </c>
    </row>
    <row r="2418" spans="1:8" ht="33" x14ac:dyDescent="0.2">
      <c r="A2418" s="108"/>
      <c r="B2418" s="108" t="s">
        <v>1515</v>
      </c>
      <c r="C2418" s="110" t="s">
        <v>606</v>
      </c>
      <c r="D2418" s="109"/>
      <c r="E2418" s="109"/>
      <c r="F2418" s="109">
        <v>80.41</v>
      </c>
      <c r="G2418" s="108"/>
      <c r="H2418" s="111" t="s">
        <v>16</v>
      </c>
    </row>
    <row r="2419" spans="1:8" ht="16.5" x14ac:dyDescent="0.2">
      <c r="A2419" s="108"/>
      <c r="B2419" s="108"/>
      <c r="C2419" s="110"/>
      <c r="D2419" s="109"/>
      <c r="E2419" s="109"/>
      <c r="F2419" s="109"/>
      <c r="G2419" s="108"/>
    </row>
    <row r="2420" spans="1:8" ht="33" x14ac:dyDescent="0.2">
      <c r="A2420" s="108" t="s">
        <v>2022</v>
      </c>
      <c r="B2420" s="108" t="s">
        <v>843</v>
      </c>
      <c r="C2420" s="110" t="s">
        <v>606</v>
      </c>
      <c r="D2420" s="109">
        <v>1</v>
      </c>
      <c r="E2420" s="109">
        <v>101.01</v>
      </c>
      <c r="F2420" s="109"/>
      <c r="G2420" s="108" t="s">
        <v>2021</v>
      </c>
      <c r="H2420" s="111" t="s">
        <v>16</v>
      </c>
    </row>
    <row r="2421" spans="1:8" ht="33" x14ac:dyDescent="0.2">
      <c r="A2421" s="108">
        <v>1</v>
      </c>
      <c r="B2421" s="108" t="s">
        <v>2020</v>
      </c>
      <c r="C2421" s="110" t="s">
        <v>606</v>
      </c>
      <c r="D2421" s="109">
        <v>1</v>
      </c>
      <c r="E2421" s="109">
        <v>50</v>
      </c>
      <c r="F2421" s="109">
        <v>50</v>
      </c>
      <c r="G2421" s="108" t="s">
        <v>2019</v>
      </c>
      <c r="H2421" s="111" t="s">
        <v>16</v>
      </c>
    </row>
    <row r="2422" spans="1:8" ht="42.75" x14ac:dyDescent="0.2">
      <c r="A2422" s="108">
        <v>2</v>
      </c>
      <c r="B2422" s="108" t="s">
        <v>1992</v>
      </c>
      <c r="C2422" s="110" t="s">
        <v>34</v>
      </c>
      <c r="D2422" s="109">
        <v>0.01</v>
      </c>
      <c r="E2422" s="109">
        <v>540.75</v>
      </c>
      <c r="F2422" s="109">
        <v>5.41</v>
      </c>
      <c r="G2422" s="108" t="s">
        <v>1991</v>
      </c>
      <c r="H2422" s="111" t="s">
        <v>16</v>
      </c>
    </row>
    <row r="2423" spans="1:8" ht="42.75" x14ac:dyDescent="0.2">
      <c r="A2423" s="108">
        <v>3</v>
      </c>
      <c r="B2423" s="108" t="s">
        <v>1558</v>
      </c>
      <c r="C2423" s="110" t="s">
        <v>103</v>
      </c>
      <c r="D2423" s="109">
        <v>0.01</v>
      </c>
      <c r="E2423" s="109">
        <v>586</v>
      </c>
      <c r="F2423" s="109">
        <v>5.86</v>
      </c>
      <c r="G2423" s="108" t="s">
        <v>1990</v>
      </c>
      <c r="H2423" s="111" t="s">
        <v>16</v>
      </c>
    </row>
    <row r="2424" spans="1:8" ht="33" x14ac:dyDescent="0.2">
      <c r="A2424" s="108">
        <v>4</v>
      </c>
      <c r="B2424" s="108" t="s">
        <v>1987</v>
      </c>
      <c r="C2424" s="110" t="s">
        <v>606</v>
      </c>
      <c r="D2424" s="109">
        <v>1</v>
      </c>
      <c r="E2424" s="109">
        <v>2.12</v>
      </c>
      <c r="F2424" s="109">
        <v>2.12</v>
      </c>
      <c r="G2424" s="108" t="s">
        <v>1986</v>
      </c>
      <c r="H2424" s="111" t="s">
        <v>16</v>
      </c>
    </row>
    <row r="2425" spans="1:8" ht="33" x14ac:dyDescent="0.2">
      <c r="A2425" s="108">
        <v>5</v>
      </c>
      <c r="B2425" s="108" t="s">
        <v>1976</v>
      </c>
      <c r="C2425" s="110" t="s">
        <v>110</v>
      </c>
      <c r="D2425" s="109">
        <v>0.05</v>
      </c>
      <c r="E2425" s="109">
        <v>12</v>
      </c>
      <c r="F2425" s="109">
        <v>0.6</v>
      </c>
      <c r="G2425" s="108" t="s">
        <v>1975</v>
      </c>
      <c r="H2425" s="111" t="s">
        <v>16</v>
      </c>
    </row>
    <row r="2426" spans="1:8" ht="57" x14ac:dyDescent="0.2">
      <c r="A2426" s="108">
        <v>6</v>
      </c>
      <c r="B2426" s="108" t="s">
        <v>1985</v>
      </c>
      <c r="C2426" s="110" t="s">
        <v>97</v>
      </c>
      <c r="D2426" s="109">
        <v>0.08</v>
      </c>
      <c r="E2426" s="109">
        <v>375</v>
      </c>
      <c r="F2426" s="109">
        <v>30</v>
      </c>
      <c r="G2426" s="108" t="s">
        <v>1984</v>
      </c>
      <c r="H2426" s="111" t="s">
        <v>16</v>
      </c>
    </row>
    <row r="2427" spans="1:8" ht="33" x14ac:dyDescent="0.2">
      <c r="A2427" s="108">
        <v>7</v>
      </c>
      <c r="B2427" s="108" t="s">
        <v>2010</v>
      </c>
      <c r="C2427" s="110" t="s">
        <v>34</v>
      </c>
      <c r="D2427" s="109">
        <v>0.01</v>
      </c>
      <c r="E2427" s="109">
        <v>408.43</v>
      </c>
      <c r="F2427" s="109">
        <v>4.08</v>
      </c>
      <c r="G2427" s="108" t="s">
        <v>2009</v>
      </c>
      <c r="H2427" s="111" t="s">
        <v>16</v>
      </c>
    </row>
    <row r="2428" spans="1:8" ht="33" x14ac:dyDescent="0.2">
      <c r="A2428" s="108">
        <v>8</v>
      </c>
      <c r="B2428" s="108" t="s">
        <v>1518</v>
      </c>
      <c r="C2428" s="110" t="s">
        <v>14</v>
      </c>
      <c r="D2428" s="109">
        <v>1</v>
      </c>
      <c r="E2428" s="109">
        <v>2.94</v>
      </c>
      <c r="F2428" s="109">
        <v>2.94</v>
      </c>
      <c r="G2428" s="108" t="s">
        <v>1517</v>
      </c>
      <c r="H2428" s="111" t="s">
        <v>16</v>
      </c>
    </row>
    <row r="2429" spans="1:8" ht="33" x14ac:dyDescent="0.2">
      <c r="A2429" s="108"/>
      <c r="B2429" s="108" t="s">
        <v>1516</v>
      </c>
      <c r="C2429" s="110" t="s">
        <v>606</v>
      </c>
      <c r="D2429" s="109">
        <v>1</v>
      </c>
      <c r="E2429" s="109"/>
      <c r="F2429" s="109">
        <v>101.00999999999999</v>
      </c>
      <c r="G2429" s="108"/>
      <c r="H2429" s="111" t="s">
        <v>16</v>
      </c>
    </row>
    <row r="2430" spans="1:8" ht="33" x14ac:dyDescent="0.2">
      <c r="A2430" s="108"/>
      <c r="B2430" s="108" t="s">
        <v>1515</v>
      </c>
      <c r="C2430" s="110" t="s">
        <v>606</v>
      </c>
      <c r="D2430" s="109"/>
      <c r="E2430" s="109"/>
      <c r="F2430" s="109">
        <v>101.01</v>
      </c>
      <c r="G2430" s="108"/>
      <c r="H2430" s="111" t="s">
        <v>16</v>
      </c>
    </row>
    <row r="2431" spans="1:8" ht="16.5" x14ac:dyDescent="0.2">
      <c r="A2431" s="108"/>
      <c r="B2431" s="108"/>
      <c r="C2431" s="110"/>
      <c r="D2431" s="109"/>
      <c r="E2431" s="109"/>
      <c r="F2431" s="109"/>
      <c r="G2431" s="108"/>
    </row>
    <row r="2432" spans="1:8" ht="33" x14ac:dyDescent="0.2">
      <c r="A2432" s="108" t="s">
        <v>2018</v>
      </c>
      <c r="B2432" s="108" t="s">
        <v>846</v>
      </c>
      <c r="C2432" s="110" t="s">
        <v>606</v>
      </c>
      <c r="D2432" s="109">
        <v>1</v>
      </c>
      <c r="E2432" s="109">
        <v>76.290000000000006</v>
      </c>
      <c r="F2432" s="109"/>
      <c r="G2432" s="108" t="s">
        <v>2017</v>
      </c>
      <c r="H2432" s="111" t="s">
        <v>16</v>
      </c>
    </row>
    <row r="2433" spans="1:8" ht="33" x14ac:dyDescent="0.2">
      <c r="A2433" s="108">
        <v>1</v>
      </c>
      <c r="B2433" s="108" t="s">
        <v>2016</v>
      </c>
      <c r="C2433" s="110" t="s">
        <v>606</v>
      </c>
      <c r="D2433" s="109">
        <v>1</v>
      </c>
      <c r="E2433" s="109">
        <v>26</v>
      </c>
      <c r="F2433" s="109">
        <v>26</v>
      </c>
      <c r="G2433" s="108" t="s">
        <v>2015</v>
      </c>
      <c r="H2433" s="111" t="s">
        <v>16</v>
      </c>
    </row>
    <row r="2434" spans="1:8" ht="42.75" x14ac:dyDescent="0.2">
      <c r="A2434" s="108">
        <v>2</v>
      </c>
      <c r="B2434" s="108" t="s">
        <v>1992</v>
      </c>
      <c r="C2434" s="110" t="s">
        <v>34</v>
      </c>
      <c r="D2434" s="109">
        <v>0.01</v>
      </c>
      <c r="E2434" s="109">
        <v>540.75</v>
      </c>
      <c r="F2434" s="109">
        <v>5.41</v>
      </c>
      <c r="G2434" s="108" t="s">
        <v>1991</v>
      </c>
      <c r="H2434" s="111" t="s">
        <v>16</v>
      </c>
    </row>
    <row r="2435" spans="1:8" ht="42.75" x14ac:dyDescent="0.2">
      <c r="A2435" s="108">
        <v>3</v>
      </c>
      <c r="B2435" s="108" t="s">
        <v>1558</v>
      </c>
      <c r="C2435" s="110" t="s">
        <v>103</v>
      </c>
      <c r="D2435" s="109">
        <v>0.01</v>
      </c>
      <c r="E2435" s="109">
        <v>586</v>
      </c>
      <c r="F2435" s="109">
        <v>5.86</v>
      </c>
      <c r="G2435" s="108" t="s">
        <v>1990</v>
      </c>
      <c r="H2435" s="111" t="s">
        <v>16</v>
      </c>
    </row>
    <row r="2436" spans="1:8" ht="33" x14ac:dyDescent="0.2">
      <c r="A2436" s="108">
        <v>4</v>
      </c>
      <c r="B2436" s="108" t="s">
        <v>1987</v>
      </c>
      <c r="C2436" s="110" t="s">
        <v>606</v>
      </c>
      <c r="D2436" s="109">
        <v>1</v>
      </c>
      <c r="E2436" s="109">
        <v>2.12</v>
      </c>
      <c r="F2436" s="109">
        <v>2.12</v>
      </c>
      <c r="G2436" s="108" t="s">
        <v>1986</v>
      </c>
      <c r="H2436" s="111" t="s">
        <v>16</v>
      </c>
    </row>
    <row r="2437" spans="1:8" ht="33" x14ac:dyDescent="0.2">
      <c r="A2437" s="108">
        <v>5</v>
      </c>
      <c r="B2437" s="108" t="s">
        <v>1976</v>
      </c>
      <c r="C2437" s="110" t="s">
        <v>110</v>
      </c>
      <c r="D2437" s="109">
        <v>0.05</v>
      </c>
      <c r="E2437" s="109">
        <v>12</v>
      </c>
      <c r="F2437" s="109">
        <v>0.6</v>
      </c>
      <c r="G2437" s="108" t="s">
        <v>1975</v>
      </c>
      <c r="H2437" s="111" t="s">
        <v>16</v>
      </c>
    </row>
    <row r="2438" spans="1:8" ht="57" x14ac:dyDescent="0.2">
      <c r="A2438" s="108">
        <v>6</v>
      </c>
      <c r="B2438" s="108" t="s">
        <v>1985</v>
      </c>
      <c r="C2438" s="110" t="s">
        <v>97</v>
      </c>
      <c r="D2438" s="109">
        <v>0.08</v>
      </c>
      <c r="E2438" s="109">
        <v>375</v>
      </c>
      <c r="F2438" s="109">
        <v>30</v>
      </c>
      <c r="G2438" s="108" t="s">
        <v>1984</v>
      </c>
      <c r="H2438" s="111" t="s">
        <v>16</v>
      </c>
    </row>
    <row r="2439" spans="1:8" ht="33" x14ac:dyDescent="0.2">
      <c r="A2439" s="108">
        <v>7</v>
      </c>
      <c r="B2439" s="108" t="s">
        <v>2010</v>
      </c>
      <c r="C2439" s="110" t="s">
        <v>34</v>
      </c>
      <c r="D2439" s="109">
        <v>0.01</v>
      </c>
      <c r="E2439" s="109">
        <v>408.43</v>
      </c>
      <c r="F2439" s="109">
        <v>4.08</v>
      </c>
      <c r="G2439" s="108" t="s">
        <v>2009</v>
      </c>
      <c r="H2439" s="111" t="s">
        <v>16</v>
      </c>
    </row>
    <row r="2440" spans="1:8" ht="33" x14ac:dyDescent="0.2">
      <c r="A2440" s="108">
        <v>8</v>
      </c>
      <c r="B2440" s="108" t="s">
        <v>1518</v>
      </c>
      <c r="C2440" s="110" t="s">
        <v>14</v>
      </c>
      <c r="D2440" s="109">
        <v>1</v>
      </c>
      <c r="E2440" s="109">
        <v>2.2200000000000002</v>
      </c>
      <c r="F2440" s="109">
        <v>2.2200000000000002</v>
      </c>
      <c r="G2440" s="108" t="s">
        <v>1517</v>
      </c>
      <c r="H2440" s="111" t="s">
        <v>16</v>
      </c>
    </row>
    <row r="2441" spans="1:8" ht="33" x14ac:dyDescent="0.2">
      <c r="A2441" s="108"/>
      <c r="B2441" s="108" t="s">
        <v>1516</v>
      </c>
      <c r="C2441" s="110" t="s">
        <v>606</v>
      </c>
      <c r="D2441" s="109">
        <v>1</v>
      </c>
      <c r="E2441" s="109"/>
      <c r="F2441" s="109">
        <v>76.290000000000006</v>
      </c>
      <c r="G2441" s="108"/>
      <c r="H2441" s="111" t="s">
        <v>16</v>
      </c>
    </row>
    <row r="2442" spans="1:8" ht="33" x14ac:dyDescent="0.2">
      <c r="A2442" s="108"/>
      <c r="B2442" s="108" t="s">
        <v>1515</v>
      </c>
      <c r="C2442" s="110" t="s">
        <v>606</v>
      </c>
      <c r="D2442" s="109"/>
      <c r="E2442" s="109"/>
      <c r="F2442" s="109">
        <v>76.290000000000006</v>
      </c>
      <c r="G2442" s="108"/>
      <c r="H2442" s="111" t="s">
        <v>16</v>
      </c>
    </row>
    <row r="2443" spans="1:8" ht="16.5" x14ac:dyDescent="0.2">
      <c r="A2443" s="108"/>
      <c r="B2443" s="108"/>
      <c r="C2443" s="110"/>
      <c r="D2443" s="109"/>
      <c r="E2443" s="109"/>
      <c r="F2443" s="109"/>
      <c r="G2443" s="108"/>
    </row>
    <row r="2444" spans="1:8" ht="33" x14ac:dyDescent="0.2">
      <c r="A2444" s="108" t="s">
        <v>2014</v>
      </c>
      <c r="B2444" s="108" t="s">
        <v>849</v>
      </c>
      <c r="C2444" s="110" t="s">
        <v>606</v>
      </c>
      <c r="D2444" s="109">
        <v>1</v>
      </c>
      <c r="E2444" s="109">
        <v>73.650000000000006</v>
      </c>
      <c r="F2444" s="109"/>
      <c r="G2444" s="108" t="s">
        <v>2013</v>
      </c>
      <c r="H2444" s="111" t="s">
        <v>16</v>
      </c>
    </row>
    <row r="2445" spans="1:8" ht="33" x14ac:dyDescent="0.2">
      <c r="A2445" s="108">
        <v>1</v>
      </c>
      <c r="B2445" s="108" t="s">
        <v>2012</v>
      </c>
      <c r="C2445" s="110" t="s">
        <v>606</v>
      </c>
      <c r="D2445" s="109">
        <v>1</v>
      </c>
      <c r="E2445" s="109">
        <v>30</v>
      </c>
      <c r="F2445" s="109">
        <v>30</v>
      </c>
      <c r="G2445" s="108" t="s">
        <v>2011</v>
      </c>
      <c r="H2445" s="111" t="s">
        <v>16</v>
      </c>
    </row>
    <row r="2446" spans="1:8" ht="42.75" x14ac:dyDescent="0.2">
      <c r="A2446" s="108">
        <v>2</v>
      </c>
      <c r="B2446" s="108" t="s">
        <v>1992</v>
      </c>
      <c r="C2446" s="110" t="s">
        <v>34</v>
      </c>
      <c r="D2446" s="109">
        <v>0.01</v>
      </c>
      <c r="E2446" s="109">
        <v>540.75</v>
      </c>
      <c r="F2446" s="109">
        <v>5.41</v>
      </c>
      <c r="G2446" s="108" t="s">
        <v>1991</v>
      </c>
      <c r="H2446" s="111" t="s">
        <v>16</v>
      </c>
    </row>
    <row r="2447" spans="1:8" ht="42.75" x14ac:dyDescent="0.2">
      <c r="A2447" s="108">
        <v>3</v>
      </c>
      <c r="B2447" s="108" t="s">
        <v>1558</v>
      </c>
      <c r="C2447" s="110" t="s">
        <v>103</v>
      </c>
      <c r="D2447" s="109">
        <v>0.01</v>
      </c>
      <c r="E2447" s="109">
        <v>586</v>
      </c>
      <c r="F2447" s="109">
        <v>5.86</v>
      </c>
      <c r="G2447" s="108" t="s">
        <v>1990</v>
      </c>
      <c r="H2447" s="111" t="s">
        <v>16</v>
      </c>
    </row>
    <row r="2448" spans="1:8" ht="33" x14ac:dyDescent="0.2">
      <c r="A2448" s="108">
        <v>4</v>
      </c>
      <c r="B2448" s="108" t="s">
        <v>1989</v>
      </c>
      <c r="C2448" s="110" t="s">
        <v>856</v>
      </c>
      <c r="D2448" s="109">
        <v>1</v>
      </c>
      <c r="E2448" s="109">
        <v>3.05</v>
      </c>
      <c r="F2448" s="109">
        <v>3.05</v>
      </c>
      <c r="G2448" s="108" t="s">
        <v>1988</v>
      </c>
      <c r="H2448" s="111" t="s">
        <v>16</v>
      </c>
    </row>
    <row r="2449" spans="1:8" ht="33" x14ac:dyDescent="0.2">
      <c r="A2449" s="108">
        <v>5</v>
      </c>
      <c r="B2449" s="108" t="s">
        <v>1976</v>
      </c>
      <c r="C2449" s="110" t="s">
        <v>110</v>
      </c>
      <c r="D2449" s="109">
        <v>0.05</v>
      </c>
      <c r="E2449" s="109">
        <v>12</v>
      </c>
      <c r="F2449" s="109">
        <v>0.6</v>
      </c>
      <c r="G2449" s="108" t="s">
        <v>1975</v>
      </c>
      <c r="H2449" s="111" t="s">
        <v>16</v>
      </c>
    </row>
    <row r="2450" spans="1:8" ht="57" x14ac:dyDescent="0.2">
      <c r="A2450" s="108">
        <v>6</v>
      </c>
      <c r="B2450" s="108" t="s">
        <v>1985</v>
      </c>
      <c r="C2450" s="110" t="s">
        <v>97</v>
      </c>
      <c r="D2450" s="109">
        <v>0.06</v>
      </c>
      <c r="E2450" s="109">
        <v>375</v>
      </c>
      <c r="F2450" s="109">
        <v>22.5</v>
      </c>
      <c r="G2450" s="108" t="s">
        <v>1984</v>
      </c>
      <c r="H2450" s="111" t="s">
        <v>16</v>
      </c>
    </row>
    <row r="2451" spans="1:8" ht="33" x14ac:dyDescent="0.2">
      <c r="A2451" s="108">
        <v>7</v>
      </c>
      <c r="B2451" s="108" t="s">
        <v>2010</v>
      </c>
      <c r="C2451" s="110" t="s">
        <v>34</v>
      </c>
      <c r="D2451" s="109">
        <v>0.01</v>
      </c>
      <c r="E2451" s="109">
        <v>408.43</v>
      </c>
      <c r="F2451" s="109">
        <v>4.08</v>
      </c>
      <c r="G2451" s="108" t="s">
        <v>2009</v>
      </c>
      <c r="H2451" s="111" t="s">
        <v>16</v>
      </c>
    </row>
    <row r="2452" spans="1:8" ht="33" x14ac:dyDescent="0.2">
      <c r="A2452" s="108">
        <v>8</v>
      </c>
      <c r="B2452" s="108" t="s">
        <v>1518</v>
      </c>
      <c r="C2452" s="110" t="s">
        <v>14</v>
      </c>
      <c r="D2452" s="109">
        <v>1</v>
      </c>
      <c r="E2452" s="109">
        <v>2.15</v>
      </c>
      <c r="F2452" s="109">
        <v>2.15</v>
      </c>
      <c r="G2452" s="108" t="s">
        <v>1517</v>
      </c>
      <c r="H2452" s="111" t="s">
        <v>16</v>
      </c>
    </row>
    <row r="2453" spans="1:8" ht="33" x14ac:dyDescent="0.2">
      <c r="A2453" s="108"/>
      <c r="B2453" s="108" t="s">
        <v>1516</v>
      </c>
      <c r="C2453" s="110" t="s">
        <v>606</v>
      </c>
      <c r="D2453" s="109">
        <v>1</v>
      </c>
      <c r="E2453" s="109"/>
      <c r="F2453" s="109">
        <v>73.649999999999991</v>
      </c>
      <c r="G2453" s="108"/>
      <c r="H2453" s="111" t="s">
        <v>16</v>
      </c>
    </row>
    <row r="2454" spans="1:8" ht="33" x14ac:dyDescent="0.2">
      <c r="A2454" s="108"/>
      <c r="B2454" s="108" t="s">
        <v>1515</v>
      </c>
      <c r="C2454" s="110" t="s">
        <v>606</v>
      </c>
      <c r="D2454" s="109"/>
      <c r="E2454" s="109"/>
      <c r="F2454" s="109">
        <v>73.650000000000006</v>
      </c>
      <c r="G2454" s="108"/>
      <c r="H2454" s="111" t="s">
        <v>16</v>
      </c>
    </row>
    <row r="2455" spans="1:8" ht="16.5" x14ac:dyDescent="0.2">
      <c r="A2455" s="108"/>
      <c r="B2455" s="108"/>
      <c r="C2455" s="110"/>
      <c r="D2455" s="109"/>
      <c r="E2455" s="109"/>
      <c r="F2455" s="109"/>
      <c r="G2455" s="108"/>
    </row>
    <row r="2456" spans="1:8" ht="33" x14ac:dyDescent="0.2">
      <c r="A2456" s="108" t="s">
        <v>2008</v>
      </c>
      <c r="B2456" s="108" t="s">
        <v>852</v>
      </c>
      <c r="C2456" s="110" t="s">
        <v>50</v>
      </c>
      <c r="D2456" s="109">
        <v>100</v>
      </c>
      <c r="E2456" s="109">
        <v>43.78</v>
      </c>
      <c r="F2456" s="109"/>
      <c r="G2456" s="108" t="s">
        <v>2007</v>
      </c>
      <c r="H2456" s="111" t="s">
        <v>16</v>
      </c>
    </row>
    <row r="2457" spans="1:8" ht="33" x14ac:dyDescent="0.2">
      <c r="A2457" s="108">
        <v>1</v>
      </c>
      <c r="B2457" s="108" t="s">
        <v>2006</v>
      </c>
      <c r="C2457" s="110" t="s">
        <v>110</v>
      </c>
      <c r="D2457" s="109">
        <v>2</v>
      </c>
      <c r="E2457" s="109">
        <v>600</v>
      </c>
      <c r="F2457" s="109">
        <v>1200</v>
      </c>
      <c r="G2457" s="108" t="s">
        <v>2005</v>
      </c>
      <c r="H2457" s="111" t="s">
        <v>16</v>
      </c>
    </row>
    <row r="2458" spans="1:8" ht="33" x14ac:dyDescent="0.2">
      <c r="A2458" s="108">
        <v>2</v>
      </c>
      <c r="B2458" s="108" t="s">
        <v>2004</v>
      </c>
      <c r="C2458" s="110" t="s">
        <v>14</v>
      </c>
      <c r="D2458" s="109">
        <v>1</v>
      </c>
      <c r="E2458" s="109">
        <v>50</v>
      </c>
      <c r="F2458" s="109">
        <v>50</v>
      </c>
      <c r="G2458" s="108" t="s">
        <v>2003</v>
      </c>
      <c r="H2458" s="111" t="s">
        <v>16</v>
      </c>
    </row>
    <row r="2459" spans="1:8" ht="33" x14ac:dyDescent="0.2">
      <c r="A2459" s="108">
        <v>3</v>
      </c>
      <c r="B2459" s="108" t="s">
        <v>2002</v>
      </c>
      <c r="C2459" s="110" t="s">
        <v>50</v>
      </c>
      <c r="D2459" s="109">
        <v>100</v>
      </c>
      <c r="E2459" s="109">
        <v>5</v>
      </c>
      <c r="F2459" s="109">
        <v>500</v>
      </c>
      <c r="G2459" s="108" t="s">
        <v>2001</v>
      </c>
      <c r="H2459" s="111" t="s">
        <v>16</v>
      </c>
    </row>
    <row r="2460" spans="1:8" ht="33" x14ac:dyDescent="0.2">
      <c r="A2460" s="108">
        <v>4</v>
      </c>
      <c r="B2460" s="108" t="s">
        <v>2000</v>
      </c>
      <c r="C2460" s="110" t="s">
        <v>50</v>
      </c>
      <c r="D2460" s="109">
        <v>100</v>
      </c>
      <c r="E2460" s="109">
        <v>3</v>
      </c>
      <c r="F2460" s="109">
        <v>300</v>
      </c>
      <c r="G2460" s="108" t="s">
        <v>1999</v>
      </c>
      <c r="H2460" s="111" t="s">
        <v>16</v>
      </c>
    </row>
    <row r="2461" spans="1:8" ht="42.75" x14ac:dyDescent="0.2">
      <c r="A2461" s="108">
        <v>5</v>
      </c>
      <c r="B2461" s="108" t="s">
        <v>1998</v>
      </c>
      <c r="C2461" s="110" t="s">
        <v>50</v>
      </c>
      <c r="D2461" s="109">
        <v>100</v>
      </c>
      <c r="E2461" s="109">
        <v>15</v>
      </c>
      <c r="F2461" s="109">
        <v>1500</v>
      </c>
      <c r="G2461" s="108" t="s">
        <v>1997</v>
      </c>
      <c r="H2461" s="111" t="s">
        <v>16</v>
      </c>
    </row>
    <row r="2462" spans="1:8" ht="33" x14ac:dyDescent="0.2">
      <c r="A2462" s="108">
        <v>6</v>
      </c>
      <c r="B2462" s="108" t="s">
        <v>1979</v>
      </c>
      <c r="C2462" s="110" t="s">
        <v>97</v>
      </c>
      <c r="D2462" s="109">
        <v>2.5</v>
      </c>
      <c r="E2462" s="109">
        <v>280</v>
      </c>
      <c r="F2462" s="109">
        <v>700</v>
      </c>
      <c r="G2462" s="108" t="s">
        <v>1978</v>
      </c>
      <c r="H2462" s="111" t="s">
        <v>16</v>
      </c>
    </row>
    <row r="2463" spans="1:8" ht="33" x14ac:dyDescent="0.2">
      <c r="A2463" s="108">
        <v>7</v>
      </c>
      <c r="B2463" s="108" t="s">
        <v>1518</v>
      </c>
      <c r="C2463" s="110" t="s">
        <v>14</v>
      </c>
      <c r="D2463" s="109">
        <v>1</v>
      </c>
      <c r="E2463" s="109">
        <v>127.5</v>
      </c>
      <c r="F2463" s="109">
        <v>127.5</v>
      </c>
      <c r="G2463" s="108" t="s">
        <v>1517</v>
      </c>
      <c r="H2463" s="111" t="s">
        <v>16</v>
      </c>
    </row>
    <row r="2464" spans="1:8" ht="33" x14ac:dyDescent="0.2">
      <c r="A2464" s="108"/>
      <c r="B2464" s="108" t="s">
        <v>1516</v>
      </c>
      <c r="C2464" s="110" t="s">
        <v>50</v>
      </c>
      <c r="D2464" s="109">
        <v>100</v>
      </c>
      <c r="E2464" s="109"/>
      <c r="F2464" s="109">
        <v>4377.5</v>
      </c>
      <c r="G2464" s="108"/>
      <c r="H2464" s="111" t="s">
        <v>16</v>
      </c>
    </row>
    <row r="2465" spans="1:8" ht="33" x14ac:dyDescent="0.2">
      <c r="A2465" s="108"/>
      <c r="B2465" s="108" t="s">
        <v>1515</v>
      </c>
      <c r="C2465" s="110" t="s">
        <v>50</v>
      </c>
      <c r="D2465" s="109"/>
      <c r="E2465" s="109"/>
      <c r="F2465" s="109">
        <v>43.78</v>
      </c>
      <c r="G2465" s="108"/>
      <c r="H2465" s="111" t="s">
        <v>16</v>
      </c>
    </row>
    <row r="2466" spans="1:8" ht="16.5" x14ac:dyDescent="0.2">
      <c r="A2466" s="108"/>
      <c r="B2466" s="108"/>
      <c r="C2466" s="110"/>
      <c r="D2466" s="109"/>
      <c r="E2466" s="109"/>
      <c r="F2466" s="109"/>
      <c r="G2466" s="108"/>
    </row>
    <row r="2467" spans="1:8" ht="33" x14ac:dyDescent="0.2">
      <c r="A2467" s="108" t="s">
        <v>1996</v>
      </c>
      <c r="B2467" s="108" t="s">
        <v>855</v>
      </c>
      <c r="C2467" s="110" t="s">
        <v>856</v>
      </c>
      <c r="D2467" s="109">
        <v>1</v>
      </c>
      <c r="E2467" s="109">
        <v>28.11</v>
      </c>
      <c r="F2467" s="109"/>
      <c r="G2467" s="108" t="s">
        <v>1995</v>
      </c>
      <c r="H2467" s="111" t="s">
        <v>16</v>
      </c>
    </row>
    <row r="2468" spans="1:8" ht="33" x14ac:dyDescent="0.2">
      <c r="A2468" s="108">
        <v>1</v>
      </c>
      <c r="B2468" s="108" t="s">
        <v>1994</v>
      </c>
      <c r="C2468" s="110" t="s">
        <v>856</v>
      </c>
      <c r="D2468" s="109">
        <v>1</v>
      </c>
      <c r="E2468" s="109">
        <v>2.75</v>
      </c>
      <c r="F2468" s="109">
        <v>2.75</v>
      </c>
      <c r="G2468" s="108" t="s">
        <v>1993</v>
      </c>
      <c r="H2468" s="111" t="s">
        <v>16</v>
      </c>
    </row>
    <row r="2469" spans="1:8" ht="42.75" x14ac:dyDescent="0.2">
      <c r="A2469" s="108">
        <v>2</v>
      </c>
      <c r="B2469" s="108" t="s">
        <v>1992</v>
      </c>
      <c r="C2469" s="110" t="s">
        <v>34</v>
      </c>
      <c r="D2469" s="109">
        <v>0.01</v>
      </c>
      <c r="E2469" s="109">
        <v>540.75</v>
      </c>
      <c r="F2469" s="109">
        <v>5.41</v>
      </c>
      <c r="G2469" s="108" t="s">
        <v>1991</v>
      </c>
      <c r="H2469" s="111" t="s">
        <v>16</v>
      </c>
    </row>
    <row r="2470" spans="1:8" ht="42.75" x14ac:dyDescent="0.2">
      <c r="A2470" s="108">
        <v>3</v>
      </c>
      <c r="B2470" s="108" t="s">
        <v>1558</v>
      </c>
      <c r="C2470" s="110" t="s">
        <v>103</v>
      </c>
      <c r="D2470" s="109">
        <v>0.01</v>
      </c>
      <c r="E2470" s="109">
        <v>586</v>
      </c>
      <c r="F2470" s="109">
        <v>5.86</v>
      </c>
      <c r="G2470" s="108" t="s">
        <v>1990</v>
      </c>
      <c r="H2470" s="111" t="s">
        <v>16</v>
      </c>
    </row>
    <row r="2471" spans="1:8" ht="33" x14ac:dyDescent="0.2">
      <c r="A2471" s="108">
        <v>4</v>
      </c>
      <c r="B2471" s="108" t="s">
        <v>1989</v>
      </c>
      <c r="C2471" s="110" t="s">
        <v>856</v>
      </c>
      <c r="D2471" s="109">
        <v>1</v>
      </c>
      <c r="E2471" s="109">
        <v>3.05</v>
      </c>
      <c r="F2471" s="109">
        <v>3.05</v>
      </c>
      <c r="G2471" s="108" t="s">
        <v>1988</v>
      </c>
      <c r="H2471" s="111" t="s">
        <v>16</v>
      </c>
    </row>
    <row r="2472" spans="1:8" ht="33" x14ac:dyDescent="0.2">
      <c r="A2472" s="108">
        <v>5</v>
      </c>
      <c r="B2472" s="108" t="s">
        <v>1976</v>
      </c>
      <c r="C2472" s="110" t="s">
        <v>110</v>
      </c>
      <c r="D2472" s="109">
        <v>0.05</v>
      </c>
      <c r="E2472" s="109">
        <v>12</v>
      </c>
      <c r="F2472" s="109">
        <v>0.6</v>
      </c>
      <c r="G2472" s="108" t="s">
        <v>1975</v>
      </c>
      <c r="H2472" s="111" t="s">
        <v>16</v>
      </c>
    </row>
    <row r="2473" spans="1:8" ht="33" x14ac:dyDescent="0.2">
      <c r="A2473" s="108">
        <v>6</v>
      </c>
      <c r="B2473" s="108" t="s">
        <v>1987</v>
      </c>
      <c r="C2473" s="110" t="s">
        <v>606</v>
      </c>
      <c r="D2473" s="109">
        <v>1</v>
      </c>
      <c r="E2473" s="109">
        <v>2.12</v>
      </c>
      <c r="F2473" s="109">
        <v>2.12</v>
      </c>
      <c r="G2473" s="108" t="s">
        <v>1986</v>
      </c>
      <c r="H2473" s="111" t="s">
        <v>16</v>
      </c>
    </row>
    <row r="2474" spans="1:8" ht="57" x14ac:dyDescent="0.2">
      <c r="A2474" s="108">
        <v>7</v>
      </c>
      <c r="B2474" s="108" t="s">
        <v>1985</v>
      </c>
      <c r="C2474" s="110" t="s">
        <v>97</v>
      </c>
      <c r="D2474" s="109">
        <v>0.02</v>
      </c>
      <c r="E2474" s="109">
        <v>375</v>
      </c>
      <c r="F2474" s="109">
        <v>7.5</v>
      </c>
      <c r="G2474" s="108" t="s">
        <v>1984</v>
      </c>
      <c r="H2474" s="111" t="s">
        <v>16</v>
      </c>
    </row>
    <row r="2475" spans="1:8" ht="33" x14ac:dyDescent="0.2">
      <c r="A2475" s="108">
        <v>8</v>
      </c>
      <c r="B2475" s="108" t="s">
        <v>1518</v>
      </c>
      <c r="C2475" s="110" t="s">
        <v>14</v>
      </c>
      <c r="D2475" s="109">
        <v>1</v>
      </c>
      <c r="E2475" s="109">
        <v>0.82</v>
      </c>
      <c r="F2475" s="109">
        <v>0.82</v>
      </c>
      <c r="G2475" s="108" t="s">
        <v>1517</v>
      </c>
      <c r="H2475" s="111" t="s">
        <v>16</v>
      </c>
    </row>
    <row r="2476" spans="1:8" ht="33" x14ac:dyDescent="0.2">
      <c r="A2476" s="108"/>
      <c r="B2476" s="108" t="s">
        <v>1516</v>
      </c>
      <c r="C2476" s="110" t="s">
        <v>856</v>
      </c>
      <c r="D2476" s="109">
        <v>1</v>
      </c>
      <c r="E2476" s="109"/>
      <c r="F2476" s="109">
        <v>28.110000000000003</v>
      </c>
      <c r="G2476" s="108"/>
      <c r="H2476" s="111" t="s">
        <v>16</v>
      </c>
    </row>
    <row r="2477" spans="1:8" ht="33" x14ac:dyDescent="0.2">
      <c r="A2477" s="108"/>
      <c r="B2477" s="108" t="s">
        <v>1515</v>
      </c>
      <c r="C2477" s="110" t="s">
        <v>856</v>
      </c>
      <c r="D2477" s="109"/>
      <c r="E2477" s="109"/>
      <c r="F2477" s="109">
        <v>28.11</v>
      </c>
      <c r="G2477" s="108"/>
      <c r="H2477" s="111" t="s">
        <v>16</v>
      </c>
    </row>
    <row r="2478" spans="1:8" ht="16.5" x14ac:dyDescent="0.2">
      <c r="A2478" s="108"/>
      <c r="B2478" s="108"/>
      <c r="C2478" s="110"/>
      <c r="D2478" s="109"/>
      <c r="E2478" s="109"/>
      <c r="F2478" s="109"/>
      <c r="G2478" s="108"/>
    </row>
    <row r="2479" spans="1:8" ht="33" x14ac:dyDescent="0.2">
      <c r="A2479" s="108" t="s">
        <v>1983</v>
      </c>
      <c r="B2479" s="108" t="s">
        <v>859</v>
      </c>
      <c r="C2479" s="110" t="s">
        <v>50</v>
      </c>
      <c r="D2479" s="109">
        <v>1</v>
      </c>
      <c r="E2479" s="109">
        <v>245.47</v>
      </c>
      <c r="F2479" s="109"/>
      <c r="G2479" s="108" t="s">
        <v>1982</v>
      </c>
      <c r="H2479" s="111" t="s">
        <v>16</v>
      </c>
    </row>
    <row r="2480" spans="1:8" ht="42.75" x14ac:dyDescent="0.2">
      <c r="A2480" s="108">
        <v>1</v>
      </c>
      <c r="B2480" s="108" t="s">
        <v>1981</v>
      </c>
      <c r="C2480" s="110" t="s">
        <v>50</v>
      </c>
      <c r="D2480" s="109">
        <v>1</v>
      </c>
      <c r="E2480" s="109">
        <v>103</v>
      </c>
      <c r="F2480" s="109">
        <v>103</v>
      </c>
      <c r="G2480" s="108" t="s">
        <v>1980</v>
      </c>
      <c r="H2480" s="111" t="s">
        <v>16</v>
      </c>
    </row>
    <row r="2481" spans="1:8" ht="33" x14ac:dyDescent="0.2">
      <c r="A2481" s="108">
        <v>2</v>
      </c>
      <c r="B2481" s="108" t="s">
        <v>1979</v>
      </c>
      <c r="C2481" s="110" t="s">
        <v>97</v>
      </c>
      <c r="D2481" s="109">
        <v>0.04</v>
      </c>
      <c r="E2481" s="109">
        <v>280</v>
      </c>
      <c r="F2481" s="109">
        <v>11.2</v>
      </c>
      <c r="G2481" s="108" t="s">
        <v>1978</v>
      </c>
      <c r="H2481" s="111" t="s">
        <v>16</v>
      </c>
    </row>
    <row r="2482" spans="1:8" ht="33" x14ac:dyDescent="0.2">
      <c r="A2482" s="108">
        <v>3</v>
      </c>
      <c r="B2482" s="108" t="s">
        <v>1560</v>
      </c>
      <c r="C2482" s="110" t="s">
        <v>103</v>
      </c>
      <c r="D2482" s="109">
        <v>0.05</v>
      </c>
      <c r="E2482" s="109">
        <v>1042.4100000000001</v>
      </c>
      <c r="F2482" s="109">
        <v>52.12</v>
      </c>
      <c r="G2482" s="108" t="s">
        <v>1977</v>
      </c>
      <c r="H2482" s="111" t="s">
        <v>16</v>
      </c>
    </row>
    <row r="2483" spans="1:8" ht="33" x14ac:dyDescent="0.2">
      <c r="A2483" s="108">
        <v>4</v>
      </c>
      <c r="B2483" s="108" t="s">
        <v>1976</v>
      </c>
      <c r="C2483" s="110" t="s">
        <v>110</v>
      </c>
      <c r="D2483" s="109">
        <v>1</v>
      </c>
      <c r="E2483" s="109">
        <v>12</v>
      </c>
      <c r="F2483" s="109">
        <v>12</v>
      </c>
      <c r="G2483" s="108" t="s">
        <v>1975</v>
      </c>
      <c r="H2483" s="111" t="s">
        <v>16</v>
      </c>
    </row>
    <row r="2484" spans="1:8" ht="33" x14ac:dyDescent="0.2">
      <c r="A2484" s="108">
        <v>5</v>
      </c>
      <c r="B2484" s="108" t="s">
        <v>1974</v>
      </c>
      <c r="C2484" s="110" t="s">
        <v>97</v>
      </c>
      <c r="D2484" s="109">
        <v>0.08</v>
      </c>
      <c r="E2484" s="109">
        <v>375</v>
      </c>
      <c r="F2484" s="109">
        <v>30</v>
      </c>
      <c r="G2484" s="108" t="s">
        <v>1973</v>
      </c>
      <c r="H2484" s="111" t="s">
        <v>16</v>
      </c>
    </row>
    <row r="2485" spans="1:8" ht="57" x14ac:dyDescent="0.2">
      <c r="A2485" s="108">
        <v>6</v>
      </c>
      <c r="B2485" s="108" t="s">
        <v>1972</v>
      </c>
      <c r="C2485" s="110" t="s">
        <v>97</v>
      </c>
      <c r="D2485" s="109">
        <v>0.08</v>
      </c>
      <c r="E2485" s="109">
        <v>375</v>
      </c>
      <c r="F2485" s="109">
        <v>30</v>
      </c>
      <c r="G2485" s="108" t="s">
        <v>1971</v>
      </c>
      <c r="H2485" s="111" t="s">
        <v>16</v>
      </c>
    </row>
    <row r="2486" spans="1:8" ht="33" x14ac:dyDescent="0.2">
      <c r="A2486" s="108">
        <v>7</v>
      </c>
      <c r="B2486" s="108" t="s">
        <v>1518</v>
      </c>
      <c r="C2486" s="110" t="s">
        <v>14</v>
      </c>
      <c r="D2486" s="109">
        <v>1</v>
      </c>
      <c r="E2486" s="109">
        <v>7.15</v>
      </c>
      <c r="F2486" s="109">
        <v>7.15</v>
      </c>
      <c r="G2486" s="108" t="s">
        <v>1517</v>
      </c>
      <c r="H2486" s="111" t="s">
        <v>16</v>
      </c>
    </row>
    <row r="2487" spans="1:8" ht="33" x14ac:dyDescent="0.2">
      <c r="A2487" s="108"/>
      <c r="B2487" s="108" t="s">
        <v>1516</v>
      </c>
      <c r="C2487" s="110" t="s">
        <v>50</v>
      </c>
      <c r="D2487" s="109">
        <v>1</v>
      </c>
      <c r="E2487" s="109"/>
      <c r="F2487" s="109">
        <v>245.47</v>
      </c>
      <c r="G2487" s="108"/>
      <c r="H2487" s="111" t="s">
        <v>16</v>
      </c>
    </row>
    <row r="2488" spans="1:8" ht="33" x14ac:dyDescent="0.2">
      <c r="A2488" s="108"/>
      <c r="B2488" s="108" t="s">
        <v>1515</v>
      </c>
      <c r="C2488" s="110" t="s">
        <v>50</v>
      </c>
      <c r="D2488" s="109"/>
      <c r="E2488" s="109"/>
      <c r="F2488" s="109">
        <v>245.47</v>
      </c>
      <c r="G2488" s="108"/>
      <c r="H2488" s="111" t="s">
        <v>16</v>
      </c>
    </row>
    <row r="2489" spans="1:8" ht="16.5" x14ac:dyDescent="0.2">
      <c r="A2489" s="108"/>
      <c r="B2489" s="108"/>
      <c r="C2489" s="110"/>
      <c r="D2489" s="109"/>
      <c r="E2489" s="109"/>
      <c r="F2489" s="109"/>
      <c r="G2489" s="108"/>
    </row>
    <row r="2490" spans="1:8" ht="33" x14ac:dyDescent="0.2">
      <c r="A2490" s="108" t="s">
        <v>1970</v>
      </c>
      <c r="B2490" s="108" t="s">
        <v>864</v>
      </c>
      <c r="C2490" s="110" t="s">
        <v>14</v>
      </c>
      <c r="D2490" s="109">
        <v>1</v>
      </c>
      <c r="E2490" s="109">
        <v>69458</v>
      </c>
      <c r="F2490" s="109"/>
      <c r="G2490" s="108" t="s">
        <v>1969</v>
      </c>
      <c r="H2490" s="111" t="s">
        <v>16</v>
      </c>
    </row>
    <row r="2491" spans="1:8" ht="33" x14ac:dyDescent="0.2">
      <c r="A2491" s="108">
        <v>1</v>
      </c>
      <c r="B2491" s="108" t="s">
        <v>1968</v>
      </c>
      <c r="C2491" s="110" t="s">
        <v>81</v>
      </c>
      <c r="D2491" s="109">
        <v>1</v>
      </c>
      <c r="E2491" s="109">
        <v>44300</v>
      </c>
      <c r="F2491" s="109">
        <v>44300</v>
      </c>
      <c r="G2491" s="108" t="s">
        <v>1967</v>
      </c>
      <c r="H2491" s="111" t="s">
        <v>16</v>
      </c>
    </row>
    <row r="2492" spans="1:8" ht="33" x14ac:dyDescent="0.2">
      <c r="A2492" s="108">
        <v>2</v>
      </c>
      <c r="B2492" s="108" t="s">
        <v>1966</v>
      </c>
      <c r="C2492" s="110" t="s">
        <v>925</v>
      </c>
      <c r="D2492" s="109">
        <v>2</v>
      </c>
      <c r="E2492" s="109">
        <v>1456</v>
      </c>
      <c r="F2492" s="109">
        <v>2912</v>
      </c>
      <c r="G2492" s="108" t="s">
        <v>1965</v>
      </c>
      <c r="H2492" s="111" t="s">
        <v>16</v>
      </c>
    </row>
    <row r="2493" spans="1:8" ht="33" x14ac:dyDescent="0.2">
      <c r="A2493" s="108">
        <v>3</v>
      </c>
      <c r="B2493" s="108" t="s">
        <v>1922</v>
      </c>
      <c r="C2493" s="110" t="s">
        <v>14</v>
      </c>
      <c r="D2493" s="109">
        <v>1</v>
      </c>
      <c r="E2493" s="109">
        <v>2000</v>
      </c>
      <c r="F2493" s="109">
        <v>2000</v>
      </c>
      <c r="G2493" s="108" t="s">
        <v>1921</v>
      </c>
      <c r="H2493" s="111" t="s">
        <v>16</v>
      </c>
    </row>
    <row r="2494" spans="1:8" ht="33" x14ac:dyDescent="0.2">
      <c r="A2494" s="108">
        <v>4</v>
      </c>
      <c r="B2494" s="108" t="s">
        <v>1918</v>
      </c>
      <c r="C2494" s="110" t="s">
        <v>14</v>
      </c>
      <c r="D2494" s="109">
        <v>1</v>
      </c>
      <c r="E2494" s="109">
        <v>2000</v>
      </c>
      <c r="F2494" s="109">
        <v>2000</v>
      </c>
      <c r="G2494" s="108" t="s">
        <v>1917</v>
      </c>
      <c r="H2494" s="111" t="s">
        <v>16</v>
      </c>
    </row>
    <row r="2495" spans="1:8" ht="33" x14ac:dyDescent="0.2">
      <c r="A2495" s="108">
        <v>5</v>
      </c>
      <c r="B2495" s="108" t="s">
        <v>1920</v>
      </c>
      <c r="C2495" s="110" t="s">
        <v>14</v>
      </c>
      <c r="D2495" s="109">
        <v>1</v>
      </c>
      <c r="E2495" s="109">
        <v>1051</v>
      </c>
      <c r="F2495" s="109">
        <v>1051</v>
      </c>
      <c r="G2495" s="108" t="s">
        <v>1919</v>
      </c>
      <c r="H2495" s="111" t="s">
        <v>16</v>
      </c>
    </row>
    <row r="2496" spans="1:8" ht="33" x14ac:dyDescent="0.2">
      <c r="A2496" s="108">
        <v>6</v>
      </c>
      <c r="B2496" s="108" t="s">
        <v>1643</v>
      </c>
      <c r="C2496" s="110" t="s">
        <v>14</v>
      </c>
      <c r="D2496" s="109">
        <v>1</v>
      </c>
      <c r="E2496" s="109">
        <v>1577</v>
      </c>
      <c r="F2496" s="109">
        <v>1577</v>
      </c>
      <c r="G2496" s="108" t="s">
        <v>1642</v>
      </c>
      <c r="H2496" s="111" t="s">
        <v>16</v>
      </c>
    </row>
    <row r="2497" spans="1:8" ht="33" x14ac:dyDescent="0.2">
      <c r="A2497" s="108">
        <v>7</v>
      </c>
      <c r="B2497" s="108" t="s">
        <v>1964</v>
      </c>
      <c r="C2497" s="110" t="s">
        <v>14</v>
      </c>
      <c r="D2497" s="109">
        <v>1</v>
      </c>
      <c r="E2497" s="109">
        <v>3103</v>
      </c>
      <c r="F2497" s="109">
        <v>3103</v>
      </c>
      <c r="G2497" s="108" t="s">
        <v>1963</v>
      </c>
      <c r="H2497" s="111" t="s">
        <v>16</v>
      </c>
    </row>
    <row r="2498" spans="1:8" ht="33" x14ac:dyDescent="0.2">
      <c r="A2498" s="108">
        <v>8</v>
      </c>
      <c r="B2498" s="108" t="s">
        <v>1914</v>
      </c>
      <c r="C2498" s="110" t="s">
        <v>14</v>
      </c>
      <c r="D2498" s="109">
        <v>1</v>
      </c>
      <c r="E2498" s="109">
        <v>12515</v>
      </c>
      <c r="F2498" s="109">
        <v>12515</v>
      </c>
      <c r="G2498" s="108" t="s">
        <v>1913</v>
      </c>
      <c r="H2498" s="111" t="s">
        <v>16</v>
      </c>
    </row>
    <row r="2499" spans="1:8" ht="33" x14ac:dyDescent="0.2">
      <c r="A2499" s="108"/>
      <c r="B2499" s="108" t="s">
        <v>1516</v>
      </c>
      <c r="C2499" s="110" t="s">
        <v>14</v>
      </c>
      <c r="D2499" s="109">
        <v>1</v>
      </c>
      <c r="E2499" s="109"/>
      <c r="F2499" s="109">
        <v>69458</v>
      </c>
      <c r="G2499" s="108"/>
      <c r="H2499" s="111" t="s">
        <v>16</v>
      </c>
    </row>
    <row r="2500" spans="1:8" ht="33" x14ac:dyDescent="0.2">
      <c r="A2500" s="108"/>
      <c r="B2500" s="108" t="s">
        <v>1515</v>
      </c>
      <c r="C2500" s="110" t="s">
        <v>14</v>
      </c>
      <c r="D2500" s="109"/>
      <c r="E2500" s="109"/>
      <c r="F2500" s="109">
        <v>69458</v>
      </c>
      <c r="G2500" s="108"/>
      <c r="H2500" s="111" t="s">
        <v>16</v>
      </c>
    </row>
    <row r="2501" spans="1:8" ht="16.5" x14ac:dyDescent="0.2">
      <c r="A2501" s="108"/>
      <c r="B2501" s="108"/>
      <c r="C2501" s="110"/>
      <c r="D2501" s="109"/>
      <c r="E2501" s="109"/>
      <c r="F2501" s="109"/>
      <c r="G2501" s="108"/>
    </row>
    <row r="2502" spans="1:8" ht="33" x14ac:dyDescent="0.2">
      <c r="A2502" s="108" t="s">
        <v>1962</v>
      </c>
      <c r="B2502" s="108" t="s">
        <v>867</v>
      </c>
      <c r="C2502" s="110" t="s">
        <v>14</v>
      </c>
      <c r="D2502" s="109">
        <v>1</v>
      </c>
      <c r="E2502" s="109">
        <v>94852.479999999996</v>
      </c>
      <c r="F2502" s="109"/>
      <c r="G2502" s="108" t="s">
        <v>1961</v>
      </c>
      <c r="H2502" s="111" t="s">
        <v>16</v>
      </c>
    </row>
    <row r="2503" spans="1:8" ht="42.75" x14ac:dyDescent="0.2">
      <c r="A2503" s="108">
        <v>1</v>
      </c>
      <c r="B2503" s="108" t="s">
        <v>1960</v>
      </c>
      <c r="C2503" s="110" t="s">
        <v>81</v>
      </c>
      <c r="D2503" s="109">
        <v>1</v>
      </c>
      <c r="E2503" s="109">
        <v>28500</v>
      </c>
      <c r="F2503" s="109">
        <v>28500</v>
      </c>
      <c r="G2503" s="108" t="s">
        <v>1959</v>
      </c>
      <c r="H2503" s="111" t="s">
        <v>16</v>
      </c>
    </row>
    <row r="2504" spans="1:8" ht="33" x14ac:dyDescent="0.2">
      <c r="A2504" s="108">
        <v>2</v>
      </c>
      <c r="B2504" s="108" t="s">
        <v>1958</v>
      </c>
      <c r="C2504" s="110" t="s">
        <v>925</v>
      </c>
      <c r="D2504" s="109">
        <v>1</v>
      </c>
      <c r="E2504" s="109">
        <v>864</v>
      </c>
      <c r="F2504" s="109">
        <v>864</v>
      </c>
      <c r="G2504" s="108" t="s">
        <v>1957</v>
      </c>
      <c r="H2504" s="111" t="s">
        <v>16</v>
      </c>
    </row>
    <row r="2505" spans="1:8" ht="33" x14ac:dyDescent="0.2">
      <c r="A2505" s="108">
        <v>3</v>
      </c>
      <c r="B2505" s="108" t="s">
        <v>1956</v>
      </c>
      <c r="C2505" s="110" t="s">
        <v>925</v>
      </c>
      <c r="D2505" s="109">
        <v>3</v>
      </c>
      <c r="E2505" s="109">
        <v>416</v>
      </c>
      <c r="F2505" s="109">
        <v>1248</v>
      </c>
      <c r="G2505" s="108" t="s">
        <v>1955</v>
      </c>
      <c r="H2505" s="111" t="s">
        <v>16</v>
      </c>
    </row>
    <row r="2506" spans="1:8" ht="42.75" x14ac:dyDescent="0.2">
      <c r="A2506" s="108">
        <v>4</v>
      </c>
      <c r="B2506" s="108" t="s">
        <v>1954</v>
      </c>
      <c r="C2506" s="110" t="s">
        <v>925</v>
      </c>
      <c r="D2506" s="109">
        <v>1</v>
      </c>
      <c r="E2506" s="109">
        <v>1136</v>
      </c>
      <c r="F2506" s="109">
        <v>1136</v>
      </c>
      <c r="G2506" s="108" t="s">
        <v>1953</v>
      </c>
      <c r="H2506" s="111" t="s">
        <v>16</v>
      </c>
    </row>
    <row r="2507" spans="1:8" ht="33" x14ac:dyDescent="0.2">
      <c r="A2507" s="108">
        <v>5</v>
      </c>
      <c r="B2507" s="108" t="s">
        <v>1940</v>
      </c>
      <c r="C2507" s="110" t="s">
        <v>925</v>
      </c>
      <c r="D2507" s="109">
        <v>1</v>
      </c>
      <c r="E2507" s="109">
        <v>38000</v>
      </c>
      <c r="F2507" s="109">
        <v>38000</v>
      </c>
      <c r="G2507" s="108" t="s">
        <v>1939</v>
      </c>
      <c r="H2507" s="111" t="s">
        <v>16</v>
      </c>
    </row>
    <row r="2508" spans="1:8" ht="33" x14ac:dyDescent="0.2">
      <c r="A2508" s="108">
        <v>6</v>
      </c>
      <c r="B2508" s="108" t="s">
        <v>1922</v>
      </c>
      <c r="C2508" s="110" t="s">
        <v>14</v>
      </c>
      <c r="D2508" s="109">
        <v>1</v>
      </c>
      <c r="E2508" s="109">
        <v>1200</v>
      </c>
      <c r="F2508" s="109">
        <v>1200</v>
      </c>
      <c r="G2508" s="108" t="s">
        <v>1921</v>
      </c>
      <c r="H2508" s="111" t="s">
        <v>16</v>
      </c>
    </row>
    <row r="2509" spans="1:8" ht="33" x14ac:dyDescent="0.2">
      <c r="A2509" s="108">
        <v>7</v>
      </c>
      <c r="B2509" s="108" t="s">
        <v>1920</v>
      </c>
      <c r="C2509" s="110" t="s">
        <v>14</v>
      </c>
      <c r="D2509" s="109">
        <v>1</v>
      </c>
      <c r="E2509" s="109">
        <v>709.48</v>
      </c>
      <c r="F2509" s="109">
        <v>709.48</v>
      </c>
      <c r="G2509" s="108" t="s">
        <v>1919</v>
      </c>
      <c r="H2509" s="111" t="s">
        <v>16</v>
      </c>
    </row>
    <row r="2510" spans="1:8" ht="33" x14ac:dyDescent="0.2">
      <c r="A2510" s="108">
        <v>8</v>
      </c>
      <c r="B2510" s="108" t="s">
        <v>1643</v>
      </c>
      <c r="C2510" s="110" t="s">
        <v>14</v>
      </c>
      <c r="D2510" s="109">
        <v>1</v>
      </c>
      <c r="E2510" s="109">
        <v>1577</v>
      </c>
      <c r="F2510" s="109">
        <v>1577</v>
      </c>
      <c r="G2510" s="108" t="s">
        <v>1642</v>
      </c>
      <c r="H2510" s="111" t="s">
        <v>16</v>
      </c>
    </row>
    <row r="2511" spans="1:8" ht="33" x14ac:dyDescent="0.2">
      <c r="A2511" s="108">
        <v>9</v>
      </c>
      <c r="B2511" s="108" t="s">
        <v>1918</v>
      </c>
      <c r="C2511" s="110" t="s">
        <v>14</v>
      </c>
      <c r="D2511" s="109">
        <v>1</v>
      </c>
      <c r="E2511" s="109">
        <v>2000</v>
      </c>
      <c r="F2511" s="109">
        <v>2000</v>
      </c>
      <c r="G2511" s="108" t="s">
        <v>1917</v>
      </c>
      <c r="H2511" s="111" t="s">
        <v>16</v>
      </c>
    </row>
    <row r="2512" spans="1:8" ht="33" x14ac:dyDescent="0.2">
      <c r="A2512" s="108">
        <v>10</v>
      </c>
      <c r="B2512" s="108" t="s">
        <v>1916</v>
      </c>
      <c r="C2512" s="110" t="s">
        <v>14</v>
      </c>
      <c r="D2512" s="109">
        <v>1</v>
      </c>
      <c r="E2512" s="109">
        <v>4103</v>
      </c>
      <c r="F2512" s="109">
        <v>4103</v>
      </c>
      <c r="G2512" s="108" t="s">
        <v>1915</v>
      </c>
      <c r="H2512" s="111" t="s">
        <v>16</v>
      </c>
    </row>
    <row r="2513" spans="1:8" ht="33" x14ac:dyDescent="0.2">
      <c r="A2513" s="108">
        <v>11</v>
      </c>
      <c r="B2513" s="108" t="s">
        <v>1914</v>
      </c>
      <c r="C2513" s="110" t="s">
        <v>14</v>
      </c>
      <c r="D2513" s="109">
        <v>1</v>
      </c>
      <c r="E2513" s="109">
        <v>15515</v>
      </c>
      <c r="F2513" s="109">
        <v>15515</v>
      </c>
      <c r="G2513" s="108" t="s">
        <v>1913</v>
      </c>
      <c r="H2513" s="111" t="s">
        <v>16</v>
      </c>
    </row>
    <row r="2514" spans="1:8" ht="33" x14ac:dyDescent="0.2">
      <c r="A2514" s="108"/>
      <c r="B2514" s="108" t="s">
        <v>1516</v>
      </c>
      <c r="C2514" s="110" t="s">
        <v>14</v>
      </c>
      <c r="D2514" s="109">
        <v>1</v>
      </c>
      <c r="E2514" s="109"/>
      <c r="F2514" s="109">
        <v>94852.479999999996</v>
      </c>
      <c r="G2514" s="108"/>
      <c r="H2514" s="111" t="s">
        <v>16</v>
      </c>
    </row>
    <row r="2515" spans="1:8" ht="33" x14ac:dyDescent="0.2">
      <c r="A2515" s="108"/>
      <c r="B2515" s="108" t="s">
        <v>1515</v>
      </c>
      <c r="C2515" s="110" t="s">
        <v>14</v>
      </c>
      <c r="D2515" s="109"/>
      <c r="E2515" s="109"/>
      <c r="F2515" s="109">
        <v>94852.479999999996</v>
      </c>
      <c r="G2515" s="108"/>
      <c r="H2515" s="111" t="s">
        <v>16</v>
      </c>
    </row>
    <row r="2516" spans="1:8" ht="16.5" x14ac:dyDescent="0.2">
      <c r="A2516" s="108"/>
      <c r="B2516" s="108"/>
      <c r="C2516" s="110"/>
      <c r="D2516" s="109"/>
      <c r="E2516" s="109"/>
      <c r="F2516" s="109"/>
      <c r="G2516" s="108"/>
    </row>
    <row r="2517" spans="1:8" ht="33" x14ac:dyDescent="0.2">
      <c r="A2517" s="108" t="s">
        <v>1952</v>
      </c>
      <c r="B2517" s="108" t="s">
        <v>870</v>
      </c>
      <c r="C2517" s="110" t="s">
        <v>14</v>
      </c>
      <c r="D2517" s="109">
        <v>1</v>
      </c>
      <c r="E2517" s="109">
        <v>251510</v>
      </c>
      <c r="F2517" s="109"/>
      <c r="G2517" s="108" t="s">
        <v>1951</v>
      </c>
      <c r="H2517" s="111" t="s">
        <v>16</v>
      </c>
    </row>
    <row r="2518" spans="1:8" ht="42.75" x14ac:dyDescent="0.2">
      <c r="A2518" s="108">
        <v>1</v>
      </c>
      <c r="B2518" s="108" t="s">
        <v>1950</v>
      </c>
      <c r="C2518" s="110" t="s">
        <v>81</v>
      </c>
      <c r="D2518" s="109">
        <v>3</v>
      </c>
      <c r="E2518" s="109">
        <v>28500</v>
      </c>
      <c r="F2518" s="109">
        <v>85500</v>
      </c>
      <c r="G2518" s="108" t="s">
        <v>1949</v>
      </c>
      <c r="H2518" s="111" t="s">
        <v>16</v>
      </c>
    </row>
    <row r="2519" spans="1:8" ht="33" x14ac:dyDescent="0.2">
      <c r="A2519" s="108">
        <v>2</v>
      </c>
      <c r="B2519" s="108" t="s">
        <v>1944</v>
      </c>
      <c r="C2519" s="110" t="s">
        <v>925</v>
      </c>
      <c r="D2519" s="109">
        <v>3</v>
      </c>
      <c r="E2519" s="109">
        <v>252</v>
      </c>
      <c r="F2519" s="109">
        <v>756</v>
      </c>
      <c r="G2519" s="108" t="s">
        <v>1943</v>
      </c>
      <c r="H2519" s="111" t="s">
        <v>16</v>
      </c>
    </row>
    <row r="2520" spans="1:8" ht="42.75" x14ac:dyDescent="0.2">
      <c r="A2520" s="108">
        <v>3</v>
      </c>
      <c r="B2520" s="108" t="s">
        <v>1924</v>
      </c>
      <c r="C2520" s="110" t="s">
        <v>925</v>
      </c>
      <c r="D2520" s="109">
        <v>12</v>
      </c>
      <c r="E2520" s="109">
        <v>784</v>
      </c>
      <c r="F2520" s="109">
        <v>9408</v>
      </c>
      <c r="G2520" s="108" t="s">
        <v>1923</v>
      </c>
      <c r="H2520" s="111" t="s">
        <v>16</v>
      </c>
    </row>
    <row r="2521" spans="1:8" ht="33" x14ac:dyDescent="0.2">
      <c r="A2521" s="108">
        <v>4</v>
      </c>
      <c r="B2521" s="108" t="s">
        <v>1940</v>
      </c>
      <c r="C2521" s="110" t="s">
        <v>925</v>
      </c>
      <c r="D2521" s="109">
        <v>3</v>
      </c>
      <c r="E2521" s="109">
        <v>38000</v>
      </c>
      <c r="F2521" s="109">
        <v>114000</v>
      </c>
      <c r="G2521" s="108" t="s">
        <v>1939</v>
      </c>
      <c r="H2521" s="111" t="s">
        <v>16</v>
      </c>
    </row>
    <row r="2522" spans="1:8" ht="33" x14ac:dyDescent="0.2">
      <c r="A2522" s="108">
        <v>5</v>
      </c>
      <c r="B2522" s="108" t="s">
        <v>1922</v>
      </c>
      <c r="C2522" s="110" t="s">
        <v>14</v>
      </c>
      <c r="D2522" s="109">
        <v>1</v>
      </c>
      <c r="E2522" s="109">
        <v>3600</v>
      </c>
      <c r="F2522" s="109">
        <v>3600</v>
      </c>
      <c r="G2522" s="108" t="s">
        <v>1921</v>
      </c>
      <c r="H2522" s="111" t="s">
        <v>16</v>
      </c>
    </row>
    <row r="2523" spans="1:8" ht="33" x14ac:dyDescent="0.2">
      <c r="A2523" s="108">
        <v>6</v>
      </c>
      <c r="B2523" s="108" t="s">
        <v>1920</v>
      </c>
      <c r="C2523" s="110" t="s">
        <v>14</v>
      </c>
      <c r="D2523" s="109">
        <v>1</v>
      </c>
      <c r="E2523" s="109">
        <v>1051</v>
      </c>
      <c r="F2523" s="109">
        <v>1051</v>
      </c>
      <c r="G2523" s="108" t="s">
        <v>1919</v>
      </c>
      <c r="H2523" s="111" t="s">
        <v>16</v>
      </c>
    </row>
    <row r="2524" spans="1:8" ht="33" x14ac:dyDescent="0.2">
      <c r="A2524" s="108">
        <v>7</v>
      </c>
      <c r="B2524" s="108" t="s">
        <v>1643</v>
      </c>
      <c r="C2524" s="110" t="s">
        <v>14</v>
      </c>
      <c r="D2524" s="109">
        <v>1</v>
      </c>
      <c r="E2524" s="109">
        <v>1577</v>
      </c>
      <c r="F2524" s="109">
        <v>1577</v>
      </c>
      <c r="G2524" s="108" t="s">
        <v>1642</v>
      </c>
      <c r="H2524" s="111" t="s">
        <v>16</v>
      </c>
    </row>
    <row r="2525" spans="1:8" ht="33" x14ac:dyDescent="0.2">
      <c r="A2525" s="108">
        <v>8</v>
      </c>
      <c r="B2525" s="108" t="s">
        <v>1918</v>
      </c>
      <c r="C2525" s="110" t="s">
        <v>14</v>
      </c>
      <c r="D2525" s="109">
        <v>1</v>
      </c>
      <c r="E2525" s="109">
        <v>2000</v>
      </c>
      <c r="F2525" s="109">
        <v>2000</v>
      </c>
      <c r="G2525" s="108" t="s">
        <v>1917</v>
      </c>
      <c r="H2525" s="111" t="s">
        <v>16</v>
      </c>
    </row>
    <row r="2526" spans="1:8" ht="33" x14ac:dyDescent="0.2">
      <c r="A2526" s="108">
        <v>9</v>
      </c>
      <c r="B2526" s="108" t="s">
        <v>1916</v>
      </c>
      <c r="C2526" s="110" t="s">
        <v>14</v>
      </c>
      <c r="D2526" s="109">
        <v>1</v>
      </c>
      <c r="E2526" s="109">
        <v>8103</v>
      </c>
      <c r="F2526" s="109">
        <v>8103</v>
      </c>
      <c r="G2526" s="108" t="s">
        <v>1915</v>
      </c>
      <c r="H2526" s="111" t="s">
        <v>16</v>
      </c>
    </row>
    <row r="2527" spans="1:8" ht="33" x14ac:dyDescent="0.2">
      <c r="A2527" s="108">
        <v>10</v>
      </c>
      <c r="B2527" s="108" t="s">
        <v>1914</v>
      </c>
      <c r="C2527" s="110" t="s">
        <v>14</v>
      </c>
      <c r="D2527" s="109">
        <v>1</v>
      </c>
      <c r="E2527" s="109">
        <v>25515</v>
      </c>
      <c r="F2527" s="109">
        <v>25515</v>
      </c>
      <c r="G2527" s="108" t="s">
        <v>1913</v>
      </c>
      <c r="H2527" s="111" t="s">
        <v>16</v>
      </c>
    </row>
    <row r="2528" spans="1:8" ht="33" x14ac:dyDescent="0.2">
      <c r="A2528" s="108"/>
      <c r="B2528" s="108" t="s">
        <v>1516</v>
      </c>
      <c r="C2528" s="110" t="s">
        <v>14</v>
      </c>
      <c r="D2528" s="109">
        <v>1</v>
      </c>
      <c r="E2528" s="109"/>
      <c r="F2528" s="109">
        <v>251510</v>
      </c>
      <c r="G2528" s="108"/>
      <c r="H2528" s="111" t="s">
        <v>16</v>
      </c>
    </row>
    <row r="2529" spans="1:8" ht="33" x14ac:dyDescent="0.2">
      <c r="A2529" s="108"/>
      <c r="B2529" s="108" t="s">
        <v>1515</v>
      </c>
      <c r="C2529" s="110" t="s">
        <v>14</v>
      </c>
      <c r="D2529" s="109"/>
      <c r="E2529" s="109"/>
      <c r="F2529" s="109">
        <v>251510</v>
      </c>
      <c r="G2529" s="108"/>
      <c r="H2529" s="111" t="s">
        <v>16</v>
      </c>
    </row>
    <row r="2530" spans="1:8" ht="16.5" x14ac:dyDescent="0.2">
      <c r="A2530" s="108"/>
      <c r="B2530" s="108"/>
      <c r="C2530" s="110"/>
      <c r="D2530" s="109"/>
      <c r="E2530" s="109"/>
      <c r="F2530" s="109"/>
      <c r="G2530" s="108"/>
    </row>
    <row r="2531" spans="1:8" ht="33" x14ac:dyDescent="0.2">
      <c r="A2531" s="108" t="s">
        <v>1948</v>
      </c>
      <c r="B2531" s="108" t="s">
        <v>873</v>
      </c>
      <c r="C2531" s="110" t="s">
        <v>14</v>
      </c>
      <c r="D2531" s="109">
        <v>1</v>
      </c>
      <c r="E2531" s="109">
        <v>174688.22</v>
      </c>
      <c r="F2531" s="109"/>
      <c r="G2531" s="108" t="s">
        <v>1947</v>
      </c>
      <c r="H2531" s="111" t="s">
        <v>16</v>
      </c>
    </row>
    <row r="2532" spans="1:8" ht="33" x14ac:dyDescent="0.2">
      <c r="A2532" s="108">
        <v>1</v>
      </c>
      <c r="B2532" s="108" t="s">
        <v>1946</v>
      </c>
      <c r="C2532" s="110" t="s">
        <v>81</v>
      </c>
      <c r="D2532" s="109">
        <v>1</v>
      </c>
      <c r="E2532" s="109">
        <v>48500</v>
      </c>
      <c r="F2532" s="109">
        <v>48500</v>
      </c>
      <c r="G2532" s="108" t="s">
        <v>1945</v>
      </c>
      <c r="H2532" s="111" t="s">
        <v>16</v>
      </c>
    </row>
    <row r="2533" spans="1:8" ht="33" x14ac:dyDescent="0.2">
      <c r="A2533" s="108">
        <v>2</v>
      </c>
      <c r="B2533" s="108" t="s">
        <v>1944</v>
      </c>
      <c r="C2533" s="110" t="s">
        <v>925</v>
      </c>
      <c r="D2533" s="109">
        <v>1</v>
      </c>
      <c r="E2533" s="109">
        <v>252</v>
      </c>
      <c r="F2533" s="109">
        <v>252</v>
      </c>
      <c r="G2533" s="108" t="s">
        <v>1943</v>
      </c>
      <c r="H2533" s="111" t="s">
        <v>16</v>
      </c>
    </row>
    <row r="2534" spans="1:8" ht="33" x14ac:dyDescent="0.2">
      <c r="A2534" s="108">
        <v>3</v>
      </c>
      <c r="B2534" s="108" t="s">
        <v>1942</v>
      </c>
      <c r="C2534" s="110" t="s">
        <v>925</v>
      </c>
      <c r="D2534" s="109">
        <v>1</v>
      </c>
      <c r="E2534" s="109">
        <v>252</v>
      </c>
      <c r="F2534" s="109">
        <v>252</v>
      </c>
      <c r="G2534" s="108" t="s">
        <v>1941</v>
      </c>
      <c r="H2534" s="111" t="s">
        <v>16</v>
      </c>
    </row>
    <row r="2535" spans="1:8" ht="42.75" x14ac:dyDescent="0.2">
      <c r="A2535" s="108">
        <v>4</v>
      </c>
      <c r="B2535" s="108" t="s">
        <v>1924</v>
      </c>
      <c r="C2535" s="110" t="s">
        <v>925</v>
      </c>
      <c r="D2535" s="109">
        <v>7</v>
      </c>
      <c r="E2535" s="109">
        <v>784</v>
      </c>
      <c r="F2535" s="109">
        <v>5488</v>
      </c>
      <c r="G2535" s="108" t="s">
        <v>1923</v>
      </c>
      <c r="H2535" s="111" t="s">
        <v>16</v>
      </c>
    </row>
    <row r="2536" spans="1:8" ht="33" x14ac:dyDescent="0.2">
      <c r="A2536" s="108">
        <v>5</v>
      </c>
      <c r="B2536" s="108" t="s">
        <v>1940</v>
      </c>
      <c r="C2536" s="110" t="s">
        <v>925</v>
      </c>
      <c r="D2536" s="109">
        <v>1</v>
      </c>
      <c r="E2536" s="109">
        <v>38000</v>
      </c>
      <c r="F2536" s="109">
        <v>38000</v>
      </c>
      <c r="G2536" s="108" t="s">
        <v>1939</v>
      </c>
      <c r="H2536" s="111" t="s">
        <v>16</v>
      </c>
    </row>
    <row r="2537" spans="1:8" ht="33" x14ac:dyDescent="0.2">
      <c r="A2537" s="108">
        <v>6</v>
      </c>
      <c r="B2537" s="108" t="s">
        <v>1938</v>
      </c>
      <c r="C2537" s="110" t="s">
        <v>925</v>
      </c>
      <c r="D2537" s="109">
        <v>5</v>
      </c>
      <c r="E2537" s="109">
        <v>516</v>
      </c>
      <c r="F2537" s="109">
        <v>2580</v>
      </c>
      <c r="G2537" s="108" t="s">
        <v>1937</v>
      </c>
      <c r="H2537" s="111" t="s">
        <v>16</v>
      </c>
    </row>
    <row r="2538" spans="1:8" ht="33" x14ac:dyDescent="0.2">
      <c r="A2538" s="108">
        <v>7</v>
      </c>
      <c r="B2538" s="108" t="s">
        <v>1936</v>
      </c>
      <c r="C2538" s="110" t="s">
        <v>925</v>
      </c>
      <c r="D2538" s="109">
        <v>1</v>
      </c>
      <c r="E2538" s="109">
        <v>35000</v>
      </c>
      <c r="F2538" s="109">
        <v>35000</v>
      </c>
      <c r="G2538" s="108" t="s">
        <v>1935</v>
      </c>
      <c r="H2538" s="111" t="s">
        <v>16</v>
      </c>
    </row>
    <row r="2539" spans="1:8" ht="33" x14ac:dyDescent="0.2">
      <c r="A2539" s="108">
        <v>8</v>
      </c>
      <c r="B2539" s="108" t="s">
        <v>1934</v>
      </c>
      <c r="C2539" s="110" t="s">
        <v>925</v>
      </c>
      <c r="D2539" s="109">
        <v>10</v>
      </c>
      <c r="E2539" s="109">
        <v>300</v>
      </c>
      <c r="F2539" s="109">
        <v>3000</v>
      </c>
      <c r="G2539" s="108" t="s">
        <v>1933</v>
      </c>
      <c r="H2539" s="111" t="s">
        <v>16</v>
      </c>
    </row>
    <row r="2540" spans="1:8" ht="33" x14ac:dyDescent="0.2">
      <c r="A2540" s="108">
        <v>9</v>
      </c>
      <c r="B2540" s="108" t="s">
        <v>1932</v>
      </c>
      <c r="C2540" s="110" t="s">
        <v>925</v>
      </c>
      <c r="D2540" s="109">
        <v>5</v>
      </c>
      <c r="E2540" s="109">
        <v>250</v>
      </c>
      <c r="F2540" s="109">
        <v>1250</v>
      </c>
      <c r="G2540" s="108" t="s">
        <v>1931</v>
      </c>
      <c r="H2540" s="111" t="s">
        <v>16</v>
      </c>
    </row>
    <row r="2541" spans="1:8" ht="33" x14ac:dyDescent="0.2">
      <c r="A2541" s="108">
        <v>10</v>
      </c>
      <c r="B2541" s="108" t="s">
        <v>1930</v>
      </c>
      <c r="C2541" s="110" t="s">
        <v>925</v>
      </c>
      <c r="D2541" s="109">
        <v>5</v>
      </c>
      <c r="E2541" s="109">
        <v>200</v>
      </c>
      <c r="F2541" s="109">
        <v>1000</v>
      </c>
      <c r="G2541" s="108" t="s">
        <v>1929</v>
      </c>
      <c r="H2541" s="111" t="s">
        <v>16</v>
      </c>
    </row>
    <row r="2542" spans="1:8" ht="33" x14ac:dyDescent="0.2">
      <c r="A2542" s="108">
        <v>11</v>
      </c>
      <c r="B2542" s="108" t="s">
        <v>1922</v>
      </c>
      <c r="C2542" s="110" t="s">
        <v>14</v>
      </c>
      <c r="D2542" s="109">
        <v>1</v>
      </c>
      <c r="E2542" s="109">
        <v>1800</v>
      </c>
      <c r="F2542" s="109">
        <v>1800</v>
      </c>
      <c r="G2542" s="108" t="s">
        <v>1921</v>
      </c>
      <c r="H2542" s="111" t="s">
        <v>16</v>
      </c>
    </row>
    <row r="2543" spans="1:8" ht="33" x14ac:dyDescent="0.2">
      <c r="A2543" s="108">
        <v>12</v>
      </c>
      <c r="B2543" s="108" t="s">
        <v>1920</v>
      </c>
      <c r="C2543" s="110" t="s">
        <v>14</v>
      </c>
      <c r="D2543" s="109">
        <v>1</v>
      </c>
      <c r="E2543" s="109">
        <v>1371.22</v>
      </c>
      <c r="F2543" s="109">
        <v>1371.22</v>
      </c>
      <c r="G2543" s="108" t="s">
        <v>1919</v>
      </c>
      <c r="H2543" s="111" t="s">
        <v>16</v>
      </c>
    </row>
    <row r="2544" spans="1:8" ht="33" x14ac:dyDescent="0.2">
      <c r="A2544" s="108">
        <v>13</v>
      </c>
      <c r="B2544" s="108" t="s">
        <v>1643</v>
      </c>
      <c r="C2544" s="110" t="s">
        <v>14</v>
      </c>
      <c r="D2544" s="109">
        <v>1</v>
      </c>
      <c r="E2544" s="109">
        <v>1577</v>
      </c>
      <c r="F2544" s="109">
        <v>1577</v>
      </c>
      <c r="G2544" s="108" t="s">
        <v>1642</v>
      </c>
      <c r="H2544" s="111" t="s">
        <v>16</v>
      </c>
    </row>
    <row r="2545" spans="1:8" ht="33" x14ac:dyDescent="0.2">
      <c r="A2545" s="108">
        <v>14</v>
      </c>
      <c r="B2545" s="108" t="s">
        <v>1918</v>
      </c>
      <c r="C2545" s="110" t="s">
        <v>14</v>
      </c>
      <c r="D2545" s="109">
        <v>1</v>
      </c>
      <c r="E2545" s="109">
        <v>2000</v>
      </c>
      <c r="F2545" s="109">
        <v>2000</v>
      </c>
      <c r="G2545" s="108" t="s">
        <v>1917</v>
      </c>
      <c r="H2545" s="111" t="s">
        <v>16</v>
      </c>
    </row>
    <row r="2546" spans="1:8" ht="33" x14ac:dyDescent="0.2">
      <c r="A2546" s="108">
        <v>15</v>
      </c>
      <c r="B2546" s="108" t="s">
        <v>1916</v>
      </c>
      <c r="C2546" s="110" t="s">
        <v>14</v>
      </c>
      <c r="D2546" s="109">
        <v>1</v>
      </c>
      <c r="E2546" s="109">
        <v>7103</v>
      </c>
      <c r="F2546" s="109">
        <v>7103</v>
      </c>
      <c r="G2546" s="108" t="s">
        <v>1915</v>
      </c>
      <c r="H2546" s="111" t="s">
        <v>16</v>
      </c>
    </row>
    <row r="2547" spans="1:8" ht="33" x14ac:dyDescent="0.2">
      <c r="A2547" s="108">
        <v>16</v>
      </c>
      <c r="B2547" s="108" t="s">
        <v>1914</v>
      </c>
      <c r="C2547" s="110" t="s">
        <v>14</v>
      </c>
      <c r="D2547" s="109">
        <v>1</v>
      </c>
      <c r="E2547" s="109">
        <v>25515</v>
      </c>
      <c r="F2547" s="109">
        <v>25515</v>
      </c>
      <c r="G2547" s="108" t="s">
        <v>1913</v>
      </c>
      <c r="H2547" s="111" t="s">
        <v>16</v>
      </c>
    </row>
    <row r="2548" spans="1:8" ht="33" x14ac:dyDescent="0.2">
      <c r="A2548" s="108"/>
      <c r="B2548" s="108" t="s">
        <v>1516</v>
      </c>
      <c r="C2548" s="110" t="s">
        <v>14</v>
      </c>
      <c r="D2548" s="109">
        <v>1</v>
      </c>
      <c r="E2548" s="109"/>
      <c r="F2548" s="109">
        <v>174688.22</v>
      </c>
      <c r="G2548" s="108"/>
      <c r="H2548" s="111" t="s">
        <v>16</v>
      </c>
    </row>
    <row r="2549" spans="1:8" ht="33" x14ac:dyDescent="0.2">
      <c r="A2549" s="108"/>
      <c r="B2549" s="108" t="s">
        <v>1515</v>
      </c>
      <c r="C2549" s="110" t="s">
        <v>14</v>
      </c>
      <c r="D2549" s="109"/>
      <c r="E2549" s="109"/>
      <c r="F2549" s="109">
        <v>174688.22</v>
      </c>
      <c r="G2549" s="108"/>
      <c r="H2549" s="111" t="s">
        <v>16</v>
      </c>
    </row>
    <row r="2550" spans="1:8" ht="16.5" x14ac:dyDescent="0.2">
      <c r="A2550" s="108"/>
      <c r="B2550" s="108"/>
      <c r="C2550" s="110"/>
      <c r="D2550" s="109"/>
      <c r="E2550" s="109"/>
      <c r="F2550" s="109"/>
      <c r="G2550" s="108"/>
    </row>
    <row r="2551" spans="1:8" ht="33" x14ac:dyDescent="0.2">
      <c r="A2551" s="108" t="s">
        <v>1928</v>
      </c>
      <c r="B2551" s="108" t="s">
        <v>876</v>
      </c>
      <c r="C2551" s="110" t="s">
        <v>14</v>
      </c>
      <c r="D2551" s="109">
        <v>1</v>
      </c>
      <c r="E2551" s="109">
        <v>21221.84</v>
      </c>
      <c r="F2551" s="109"/>
      <c r="G2551" s="108" t="s">
        <v>1927</v>
      </c>
      <c r="H2551" s="111" t="s">
        <v>16</v>
      </c>
    </row>
    <row r="2552" spans="1:8" ht="33" x14ac:dyDescent="0.2">
      <c r="A2552" s="108">
        <v>1</v>
      </c>
      <c r="B2552" s="108" t="s">
        <v>1926</v>
      </c>
      <c r="C2552" s="110" t="s">
        <v>81</v>
      </c>
      <c r="D2552" s="109">
        <v>1</v>
      </c>
      <c r="E2552" s="109">
        <v>3200</v>
      </c>
      <c r="F2552" s="109">
        <v>3200</v>
      </c>
      <c r="G2552" s="108" t="s">
        <v>1925</v>
      </c>
      <c r="H2552" s="111" t="s">
        <v>16</v>
      </c>
    </row>
    <row r="2553" spans="1:8" ht="42.75" x14ac:dyDescent="0.2">
      <c r="A2553" s="108">
        <v>2</v>
      </c>
      <c r="B2553" s="108" t="s">
        <v>1924</v>
      </c>
      <c r="C2553" s="110" t="s">
        <v>925</v>
      </c>
      <c r="D2553" s="109">
        <v>1</v>
      </c>
      <c r="E2553" s="109">
        <v>784</v>
      </c>
      <c r="F2553" s="109">
        <v>784</v>
      </c>
      <c r="G2553" s="108" t="s">
        <v>1923</v>
      </c>
      <c r="H2553" s="111" t="s">
        <v>16</v>
      </c>
    </row>
    <row r="2554" spans="1:8" ht="33" x14ac:dyDescent="0.2">
      <c r="A2554" s="108">
        <v>3</v>
      </c>
      <c r="B2554" s="108" t="s">
        <v>1922</v>
      </c>
      <c r="C2554" s="110" t="s">
        <v>14</v>
      </c>
      <c r="D2554" s="109">
        <v>1</v>
      </c>
      <c r="E2554" s="109">
        <v>300</v>
      </c>
      <c r="F2554" s="109">
        <v>300</v>
      </c>
      <c r="G2554" s="108" t="s">
        <v>1921</v>
      </c>
      <c r="H2554" s="111" t="s">
        <v>16</v>
      </c>
    </row>
    <row r="2555" spans="1:8" ht="33" x14ac:dyDescent="0.2">
      <c r="A2555" s="108">
        <v>4</v>
      </c>
      <c r="B2555" s="108" t="s">
        <v>1920</v>
      </c>
      <c r="C2555" s="110" t="s">
        <v>14</v>
      </c>
      <c r="D2555" s="109">
        <v>1</v>
      </c>
      <c r="E2555" s="109">
        <v>42.84</v>
      </c>
      <c r="F2555" s="109">
        <v>42.84</v>
      </c>
      <c r="G2555" s="108" t="s">
        <v>1919</v>
      </c>
      <c r="H2555" s="111" t="s">
        <v>16</v>
      </c>
    </row>
    <row r="2556" spans="1:8" ht="33" x14ac:dyDescent="0.2">
      <c r="A2556" s="108">
        <v>5</v>
      </c>
      <c r="B2556" s="108" t="s">
        <v>1643</v>
      </c>
      <c r="C2556" s="110" t="s">
        <v>14</v>
      </c>
      <c r="D2556" s="109">
        <v>1</v>
      </c>
      <c r="E2556" s="109">
        <v>1577</v>
      </c>
      <c r="F2556" s="109">
        <v>1577</v>
      </c>
      <c r="G2556" s="108" t="s">
        <v>1642</v>
      </c>
      <c r="H2556" s="111" t="s">
        <v>16</v>
      </c>
    </row>
    <row r="2557" spans="1:8" ht="33" x14ac:dyDescent="0.2">
      <c r="A2557" s="108">
        <v>6</v>
      </c>
      <c r="B2557" s="108" t="s">
        <v>1918</v>
      </c>
      <c r="C2557" s="110" t="s">
        <v>14</v>
      </c>
      <c r="D2557" s="109">
        <v>1</v>
      </c>
      <c r="E2557" s="109">
        <v>2000</v>
      </c>
      <c r="F2557" s="109">
        <v>2000</v>
      </c>
      <c r="G2557" s="108" t="s">
        <v>1917</v>
      </c>
      <c r="H2557" s="111" t="s">
        <v>16</v>
      </c>
    </row>
    <row r="2558" spans="1:8" ht="33" x14ac:dyDescent="0.2">
      <c r="A2558" s="108">
        <v>7</v>
      </c>
      <c r="B2558" s="108" t="s">
        <v>1916</v>
      </c>
      <c r="C2558" s="110" t="s">
        <v>14</v>
      </c>
      <c r="D2558" s="109">
        <v>1</v>
      </c>
      <c r="E2558" s="109">
        <v>2303</v>
      </c>
      <c r="F2558" s="109">
        <v>2303</v>
      </c>
      <c r="G2558" s="108" t="s">
        <v>1915</v>
      </c>
      <c r="H2558" s="111" t="s">
        <v>16</v>
      </c>
    </row>
    <row r="2559" spans="1:8" ht="33" x14ac:dyDescent="0.2">
      <c r="A2559" s="108">
        <v>8</v>
      </c>
      <c r="B2559" s="108" t="s">
        <v>1914</v>
      </c>
      <c r="C2559" s="110" t="s">
        <v>14</v>
      </c>
      <c r="D2559" s="109">
        <v>1</v>
      </c>
      <c r="E2559" s="109">
        <v>11015</v>
      </c>
      <c r="F2559" s="109">
        <v>11015</v>
      </c>
      <c r="G2559" s="108" t="s">
        <v>1913</v>
      </c>
      <c r="H2559" s="111" t="s">
        <v>16</v>
      </c>
    </row>
    <row r="2560" spans="1:8" ht="33" x14ac:dyDescent="0.2">
      <c r="A2560" s="108"/>
      <c r="B2560" s="108" t="s">
        <v>1516</v>
      </c>
      <c r="C2560" s="110" t="s">
        <v>14</v>
      </c>
      <c r="D2560" s="109">
        <v>1</v>
      </c>
      <c r="E2560" s="109"/>
      <c r="F2560" s="109">
        <v>21221.84</v>
      </c>
      <c r="G2560" s="108"/>
      <c r="H2560" s="111" t="s">
        <v>16</v>
      </c>
    </row>
    <row r="2561" spans="1:8" ht="33" x14ac:dyDescent="0.2">
      <c r="A2561" s="108"/>
      <c r="B2561" s="108" t="s">
        <v>1515</v>
      </c>
      <c r="C2561" s="110" t="s">
        <v>14</v>
      </c>
      <c r="D2561" s="109"/>
      <c r="E2561" s="109"/>
      <c r="F2561" s="109">
        <v>21221.84</v>
      </c>
      <c r="G2561" s="108"/>
      <c r="H2561" s="111" t="s">
        <v>16</v>
      </c>
    </row>
    <row r="2562" spans="1:8" ht="16.5" x14ac:dyDescent="0.2">
      <c r="A2562" s="108"/>
      <c r="B2562" s="108"/>
      <c r="C2562" s="110"/>
      <c r="D2562" s="109"/>
      <c r="E2562" s="109"/>
      <c r="F2562" s="109"/>
      <c r="G2562" s="108"/>
    </row>
    <row r="2563" spans="1:8" ht="42.75" x14ac:dyDescent="0.2">
      <c r="A2563" s="108" t="s">
        <v>1912</v>
      </c>
      <c r="B2563" s="108" t="s">
        <v>906</v>
      </c>
      <c r="C2563" s="110" t="s">
        <v>73</v>
      </c>
      <c r="D2563" s="109">
        <v>1</v>
      </c>
      <c r="E2563" s="109">
        <v>112963.49</v>
      </c>
      <c r="F2563" s="109"/>
      <c r="G2563" s="108" t="s">
        <v>1911</v>
      </c>
      <c r="H2563" s="111" t="s">
        <v>16</v>
      </c>
    </row>
    <row r="2564" spans="1:8" ht="42.75" x14ac:dyDescent="0.2">
      <c r="A2564" s="108">
        <v>1</v>
      </c>
      <c r="B2564" s="108" t="s">
        <v>1553</v>
      </c>
      <c r="C2564" s="110" t="s">
        <v>81</v>
      </c>
      <c r="D2564" s="109">
        <v>1</v>
      </c>
      <c r="E2564" s="109">
        <v>4673.29</v>
      </c>
      <c r="F2564" s="109">
        <v>4673.29</v>
      </c>
      <c r="G2564" s="108" t="s">
        <v>1910</v>
      </c>
      <c r="H2564" s="111" t="s">
        <v>16</v>
      </c>
    </row>
    <row r="2565" spans="1:8" ht="33" x14ac:dyDescent="0.2">
      <c r="A2565" s="108">
        <v>2</v>
      </c>
      <c r="B2565" s="108" t="s">
        <v>1909</v>
      </c>
      <c r="C2565" s="110" t="s">
        <v>73</v>
      </c>
      <c r="D2565" s="109">
        <v>1</v>
      </c>
      <c r="E2565" s="109">
        <v>105000</v>
      </c>
      <c r="F2565" s="109">
        <v>105000</v>
      </c>
      <c r="G2565" s="108" t="s">
        <v>1908</v>
      </c>
      <c r="H2565" s="111" t="s">
        <v>16</v>
      </c>
    </row>
    <row r="2566" spans="1:8" ht="33" x14ac:dyDescent="0.2">
      <c r="A2566" s="108">
        <v>3</v>
      </c>
      <c r="B2566" s="108" t="s">
        <v>1543</v>
      </c>
      <c r="C2566" s="110" t="s">
        <v>14</v>
      </c>
      <c r="D2566" s="109">
        <v>1</v>
      </c>
      <c r="E2566" s="109">
        <v>3290.2</v>
      </c>
      <c r="F2566" s="109">
        <v>3290.2</v>
      </c>
      <c r="G2566" s="108" t="s">
        <v>1542</v>
      </c>
      <c r="H2566" s="111" t="s">
        <v>16</v>
      </c>
    </row>
    <row r="2567" spans="1:8" ht="33" x14ac:dyDescent="0.2">
      <c r="A2567" s="108"/>
      <c r="B2567" s="108" t="s">
        <v>1516</v>
      </c>
      <c r="C2567" s="110" t="s">
        <v>73</v>
      </c>
      <c r="D2567" s="109">
        <v>1</v>
      </c>
      <c r="E2567" s="109"/>
      <c r="F2567" s="109">
        <v>112963.48999999999</v>
      </c>
      <c r="G2567" s="108"/>
      <c r="H2567" s="111" t="s">
        <v>16</v>
      </c>
    </row>
    <row r="2568" spans="1:8" ht="33" x14ac:dyDescent="0.2">
      <c r="A2568" s="108"/>
      <c r="B2568" s="108" t="s">
        <v>1515</v>
      </c>
      <c r="C2568" s="110" t="s">
        <v>73</v>
      </c>
      <c r="D2568" s="109"/>
      <c r="E2568" s="109"/>
      <c r="F2568" s="109">
        <v>112963.49</v>
      </c>
      <c r="G2568" s="108"/>
      <c r="H2568" s="111" t="s">
        <v>16</v>
      </c>
    </row>
    <row r="2569" spans="1:8" ht="16.5" x14ac:dyDescent="0.2">
      <c r="A2569" s="108"/>
      <c r="B2569" s="108"/>
      <c r="C2569" s="110"/>
      <c r="D2569" s="109"/>
      <c r="E2569" s="109"/>
      <c r="F2569" s="109"/>
      <c r="G2569" s="108"/>
    </row>
    <row r="2570" spans="1:8" ht="33" x14ac:dyDescent="0.2">
      <c r="A2570" s="108" t="s">
        <v>1907</v>
      </c>
      <c r="B2570" s="108" t="s">
        <v>915</v>
      </c>
      <c r="C2570" s="110" t="s">
        <v>325</v>
      </c>
      <c r="D2570" s="109">
        <v>1</v>
      </c>
      <c r="E2570" s="109">
        <v>113300</v>
      </c>
      <c r="F2570" s="109"/>
      <c r="G2570" s="108" t="s">
        <v>1906</v>
      </c>
      <c r="H2570" s="111" t="s">
        <v>16</v>
      </c>
    </row>
    <row r="2571" spans="1:8" ht="42.75" x14ac:dyDescent="0.2">
      <c r="A2571" s="108">
        <v>1</v>
      </c>
      <c r="B2571" s="108" t="s">
        <v>1905</v>
      </c>
      <c r="C2571" s="110" t="s">
        <v>325</v>
      </c>
      <c r="D2571" s="109">
        <v>1</v>
      </c>
      <c r="E2571" s="109">
        <v>84000</v>
      </c>
      <c r="F2571" s="109">
        <v>84000</v>
      </c>
      <c r="G2571" s="108" t="s">
        <v>1904</v>
      </c>
      <c r="H2571" s="111" t="s">
        <v>16</v>
      </c>
    </row>
    <row r="2572" spans="1:8" ht="33" x14ac:dyDescent="0.2">
      <c r="A2572" s="108">
        <v>2</v>
      </c>
      <c r="B2572" s="108" t="s">
        <v>1903</v>
      </c>
      <c r="C2572" s="110" t="s">
        <v>325</v>
      </c>
      <c r="D2572" s="109">
        <v>1</v>
      </c>
      <c r="E2572" s="109">
        <v>26000</v>
      </c>
      <c r="F2572" s="109">
        <v>26000</v>
      </c>
      <c r="G2572" s="108" t="s">
        <v>1902</v>
      </c>
      <c r="H2572" s="111" t="s">
        <v>16</v>
      </c>
    </row>
    <row r="2573" spans="1:8" ht="33" x14ac:dyDescent="0.2">
      <c r="A2573" s="108">
        <v>3</v>
      </c>
      <c r="B2573" s="108" t="s">
        <v>1518</v>
      </c>
      <c r="C2573" s="110" t="s">
        <v>14</v>
      </c>
      <c r="D2573" s="109">
        <v>1</v>
      </c>
      <c r="E2573" s="109">
        <v>3300</v>
      </c>
      <c r="F2573" s="109">
        <v>3300</v>
      </c>
      <c r="G2573" s="108" t="s">
        <v>1517</v>
      </c>
      <c r="H2573" s="111" t="s">
        <v>16</v>
      </c>
    </row>
    <row r="2574" spans="1:8" ht="33" x14ac:dyDescent="0.2">
      <c r="A2574" s="108"/>
      <c r="B2574" s="108" t="s">
        <v>1516</v>
      </c>
      <c r="C2574" s="110" t="s">
        <v>325</v>
      </c>
      <c r="D2574" s="109">
        <v>1</v>
      </c>
      <c r="E2574" s="109"/>
      <c r="F2574" s="109">
        <v>113300</v>
      </c>
      <c r="G2574" s="108"/>
      <c r="H2574" s="111" t="s">
        <v>16</v>
      </c>
    </row>
    <row r="2575" spans="1:8" ht="33" x14ac:dyDescent="0.2">
      <c r="A2575" s="108"/>
      <c r="B2575" s="108" t="s">
        <v>1515</v>
      </c>
      <c r="C2575" s="110" t="s">
        <v>325</v>
      </c>
      <c r="D2575" s="109"/>
      <c r="E2575" s="109"/>
      <c r="F2575" s="109">
        <v>113300</v>
      </c>
      <c r="G2575" s="108"/>
      <c r="H2575" s="111" t="s">
        <v>16</v>
      </c>
    </row>
    <row r="2576" spans="1:8" ht="16.5" x14ac:dyDescent="0.2">
      <c r="A2576" s="108"/>
      <c r="B2576" s="108"/>
      <c r="C2576" s="110"/>
      <c r="D2576" s="109"/>
      <c r="E2576" s="109"/>
      <c r="F2576" s="109"/>
      <c r="G2576" s="108"/>
    </row>
    <row r="2577" spans="1:8" ht="33" x14ac:dyDescent="0.2">
      <c r="A2577" s="108" t="s">
        <v>1901</v>
      </c>
      <c r="B2577" s="108" t="s">
        <v>991</v>
      </c>
      <c r="C2577" s="110" t="s">
        <v>30</v>
      </c>
      <c r="D2577" s="109">
        <v>13</v>
      </c>
      <c r="E2577" s="109">
        <v>247.2</v>
      </c>
      <c r="F2577" s="109"/>
      <c r="G2577" s="108" t="s">
        <v>1900</v>
      </c>
      <c r="H2577" s="111" t="s">
        <v>16</v>
      </c>
    </row>
    <row r="2578" spans="1:8" ht="33" x14ac:dyDescent="0.2">
      <c r="A2578" s="108">
        <v>1</v>
      </c>
      <c r="B2578" s="108" t="s">
        <v>1895</v>
      </c>
      <c r="C2578" s="110" t="s">
        <v>30</v>
      </c>
      <c r="D2578" s="109">
        <v>13</v>
      </c>
      <c r="E2578" s="109">
        <v>175</v>
      </c>
      <c r="F2578" s="109">
        <v>2275</v>
      </c>
      <c r="G2578" s="108" t="s">
        <v>1894</v>
      </c>
      <c r="H2578" s="111" t="s">
        <v>16</v>
      </c>
    </row>
    <row r="2579" spans="1:8" ht="33" x14ac:dyDescent="0.2">
      <c r="A2579" s="108">
        <v>2</v>
      </c>
      <c r="B2579" s="108" t="s">
        <v>1899</v>
      </c>
      <c r="C2579" s="110" t="s">
        <v>30</v>
      </c>
      <c r="D2579" s="109">
        <v>13</v>
      </c>
      <c r="E2579" s="109">
        <v>65</v>
      </c>
      <c r="F2579" s="109">
        <v>845</v>
      </c>
      <c r="G2579" s="108" t="s">
        <v>1898</v>
      </c>
      <c r="H2579" s="111" t="s">
        <v>16</v>
      </c>
    </row>
    <row r="2580" spans="1:8" ht="33" x14ac:dyDescent="0.2">
      <c r="A2580" s="108">
        <v>3</v>
      </c>
      <c r="B2580" s="108" t="s">
        <v>1518</v>
      </c>
      <c r="C2580" s="110" t="s">
        <v>14</v>
      </c>
      <c r="D2580" s="109">
        <v>1</v>
      </c>
      <c r="E2580" s="109">
        <v>93.6</v>
      </c>
      <c r="F2580" s="109">
        <v>93.6</v>
      </c>
      <c r="G2580" s="108" t="s">
        <v>1517</v>
      </c>
      <c r="H2580" s="111" t="s">
        <v>16</v>
      </c>
    </row>
    <row r="2581" spans="1:8" ht="33" x14ac:dyDescent="0.2">
      <c r="A2581" s="108"/>
      <c r="B2581" s="108" t="s">
        <v>1516</v>
      </c>
      <c r="C2581" s="110" t="s">
        <v>30</v>
      </c>
      <c r="D2581" s="109">
        <v>13</v>
      </c>
      <c r="E2581" s="109"/>
      <c r="F2581" s="109">
        <v>3213.6</v>
      </c>
      <c r="G2581" s="108"/>
      <c r="H2581" s="111" t="s">
        <v>16</v>
      </c>
    </row>
    <row r="2582" spans="1:8" ht="33" x14ac:dyDescent="0.2">
      <c r="A2582" s="108"/>
      <c r="B2582" s="108" t="s">
        <v>1515</v>
      </c>
      <c r="C2582" s="110" t="s">
        <v>30</v>
      </c>
      <c r="D2582" s="109"/>
      <c r="E2582" s="109"/>
      <c r="F2582" s="109">
        <v>247.2</v>
      </c>
      <c r="G2582" s="108"/>
      <c r="H2582" s="111" t="s">
        <v>16</v>
      </c>
    </row>
    <row r="2583" spans="1:8" ht="16.5" x14ac:dyDescent="0.2">
      <c r="A2583" s="108"/>
      <c r="B2583" s="108"/>
      <c r="C2583" s="110"/>
      <c r="D2583" s="109"/>
      <c r="E2583" s="109"/>
      <c r="F2583" s="109"/>
      <c r="G2583" s="108"/>
    </row>
    <row r="2584" spans="1:8" ht="33" x14ac:dyDescent="0.2">
      <c r="A2584" s="108" t="s">
        <v>1897</v>
      </c>
      <c r="B2584" s="108" t="s">
        <v>994</v>
      </c>
      <c r="C2584" s="110" t="s">
        <v>30</v>
      </c>
      <c r="D2584" s="109">
        <v>9</v>
      </c>
      <c r="E2584" s="109">
        <v>236.9</v>
      </c>
      <c r="F2584" s="109"/>
      <c r="G2584" s="108" t="s">
        <v>1896</v>
      </c>
      <c r="H2584" s="111" t="s">
        <v>16</v>
      </c>
    </row>
    <row r="2585" spans="1:8" ht="33" x14ac:dyDescent="0.2">
      <c r="A2585" s="108">
        <v>1</v>
      </c>
      <c r="B2585" s="108" t="s">
        <v>1895</v>
      </c>
      <c r="C2585" s="110" t="s">
        <v>30</v>
      </c>
      <c r="D2585" s="109">
        <v>9</v>
      </c>
      <c r="E2585" s="109">
        <v>175</v>
      </c>
      <c r="F2585" s="109">
        <v>1575</v>
      </c>
      <c r="G2585" s="108" t="s">
        <v>1894</v>
      </c>
      <c r="H2585" s="111" t="s">
        <v>16</v>
      </c>
    </row>
    <row r="2586" spans="1:8" ht="33" x14ac:dyDescent="0.2">
      <c r="A2586" s="108">
        <v>2</v>
      </c>
      <c r="B2586" s="108" t="s">
        <v>1893</v>
      </c>
      <c r="C2586" s="110" t="s">
        <v>30</v>
      </c>
      <c r="D2586" s="109">
        <v>9</v>
      </c>
      <c r="E2586" s="109">
        <v>55</v>
      </c>
      <c r="F2586" s="109">
        <v>495</v>
      </c>
      <c r="G2586" s="108" t="s">
        <v>1892</v>
      </c>
      <c r="H2586" s="111" t="s">
        <v>16</v>
      </c>
    </row>
    <row r="2587" spans="1:8" ht="33" x14ac:dyDescent="0.2">
      <c r="A2587" s="108">
        <v>3</v>
      </c>
      <c r="B2587" s="108" t="s">
        <v>1518</v>
      </c>
      <c r="C2587" s="110" t="s">
        <v>14</v>
      </c>
      <c r="D2587" s="109">
        <v>1</v>
      </c>
      <c r="E2587" s="109">
        <v>62.1</v>
      </c>
      <c r="F2587" s="109">
        <v>62.1</v>
      </c>
      <c r="G2587" s="108" t="s">
        <v>1517</v>
      </c>
      <c r="H2587" s="111" t="s">
        <v>16</v>
      </c>
    </row>
    <row r="2588" spans="1:8" ht="33" x14ac:dyDescent="0.2">
      <c r="A2588" s="108"/>
      <c r="B2588" s="108" t="s">
        <v>1516</v>
      </c>
      <c r="C2588" s="110" t="s">
        <v>30</v>
      </c>
      <c r="D2588" s="109">
        <v>9</v>
      </c>
      <c r="E2588" s="109"/>
      <c r="F2588" s="109">
        <v>2132.1</v>
      </c>
      <c r="G2588" s="108"/>
      <c r="H2588" s="111" t="s">
        <v>16</v>
      </c>
    </row>
    <row r="2589" spans="1:8" ht="33" x14ac:dyDescent="0.2">
      <c r="A2589" s="108"/>
      <c r="B2589" s="108" t="s">
        <v>1515</v>
      </c>
      <c r="C2589" s="110" t="s">
        <v>30</v>
      </c>
      <c r="D2589" s="109"/>
      <c r="E2589" s="109"/>
      <c r="F2589" s="109">
        <v>236.9</v>
      </c>
      <c r="G2589" s="108"/>
      <c r="H2589" s="111" t="s">
        <v>16</v>
      </c>
    </row>
    <row r="2590" spans="1:8" ht="16.5" x14ac:dyDescent="0.2">
      <c r="A2590" s="108"/>
      <c r="B2590" s="108"/>
      <c r="C2590" s="110"/>
      <c r="D2590" s="109"/>
      <c r="E2590" s="109"/>
      <c r="F2590" s="109"/>
      <c r="G2590" s="108"/>
    </row>
    <row r="2591" spans="1:8" ht="33" x14ac:dyDescent="0.2">
      <c r="A2591" s="108" t="s">
        <v>1891</v>
      </c>
      <c r="B2591" s="108" t="s">
        <v>1004</v>
      </c>
      <c r="C2591" s="110" t="s">
        <v>97</v>
      </c>
      <c r="D2591" s="109">
        <v>1</v>
      </c>
      <c r="E2591" s="109">
        <v>931.12</v>
      </c>
      <c r="F2591" s="109"/>
      <c r="G2591" s="108" t="s">
        <v>1890</v>
      </c>
      <c r="H2591" s="111" t="s">
        <v>16</v>
      </c>
    </row>
    <row r="2592" spans="1:8" ht="42.75" x14ac:dyDescent="0.2">
      <c r="A2592" s="108">
        <v>1</v>
      </c>
      <c r="B2592" s="108" t="s">
        <v>1889</v>
      </c>
      <c r="C2592" s="110" t="s">
        <v>97</v>
      </c>
      <c r="D2592" s="109">
        <v>1</v>
      </c>
      <c r="E2592" s="109">
        <v>250</v>
      </c>
      <c r="F2592" s="109">
        <v>250</v>
      </c>
      <c r="G2592" s="108" t="s">
        <v>1888</v>
      </c>
      <c r="H2592" s="111" t="s">
        <v>16</v>
      </c>
    </row>
    <row r="2593" spans="1:8" ht="33" x14ac:dyDescent="0.2">
      <c r="A2593" s="108">
        <v>2</v>
      </c>
      <c r="B2593" s="108" t="s">
        <v>1887</v>
      </c>
      <c r="C2593" s="110" t="s">
        <v>14</v>
      </c>
      <c r="D2593" s="109">
        <v>1</v>
      </c>
      <c r="E2593" s="109">
        <v>250</v>
      </c>
      <c r="F2593" s="109">
        <v>250</v>
      </c>
      <c r="G2593" s="108" t="s">
        <v>1886</v>
      </c>
      <c r="H2593" s="111" t="s">
        <v>16</v>
      </c>
    </row>
    <row r="2594" spans="1:8" ht="33" x14ac:dyDescent="0.2">
      <c r="A2594" s="108">
        <v>3</v>
      </c>
      <c r="B2594" s="108" t="s">
        <v>1527</v>
      </c>
      <c r="C2594" s="110" t="s">
        <v>97</v>
      </c>
      <c r="D2594" s="109">
        <v>0.3</v>
      </c>
      <c r="E2594" s="109">
        <v>280</v>
      </c>
      <c r="F2594" s="109">
        <v>84</v>
      </c>
      <c r="G2594" s="108" t="s">
        <v>1535</v>
      </c>
      <c r="H2594" s="111" t="s">
        <v>16</v>
      </c>
    </row>
    <row r="2595" spans="1:8" ht="33" x14ac:dyDescent="0.2">
      <c r="A2595" s="108">
        <v>4</v>
      </c>
      <c r="B2595" s="108" t="s">
        <v>1885</v>
      </c>
      <c r="C2595" s="110" t="s">
        <v>14</v>
      </c>
      <c r="D2595" s="109">
        <v>1</v>
      </c>
      <c r="E2595" s="109">
        <v>320</v>
      </c>
      <c r="F2595" s="109">
        <v>320</v>
      </c>
      <c r="G2595" s="108" t="s">
        <v>1884</v>
      </c>
      <c r="H2595" s="111" t="s">
        <v>16</v>
      </c>
    </row>
    <row r="2596" spans="1:8" ht="33" x14ac:dyDescent="0.2">
      <c r="A2596" s="108">
        <v>5</v>
      </c>
      <c r="B2596" s="108" t="s">
        <v>1518</v>
      </c>
      <c r="C2596" s="110" t="s">
        <v>14</v>
      </c>
      <c r="D2596" s="109">
        <v>1</v>
      </c>
      <c r="E2596" s="109">
        <v>27.12</v>
      </c>
      <c r="F2596" s="109">
        <v>27.12</v>
      </c>
      <c r="G2596" s="108" t="s">
        <v>1517</v>
      </c>
      <c r="H2596" s="111" t="s">
        <v>16</v>
      </c>
    </row>
    <row r="2597" spans="1:8" ht="33" x14ac:dyDescent="0.2">
      <c r="A2597" s="108"/>
      <c r="B2597" s="108" t="s">
        <v>1516</v>
      </c>
      <c r="C2597" s="110" t="s">
        <v>97</v>
      </c>
      <c r="D2597" s="109">
        <v>1</v>
      </c>
      <c r="E2597" s="109"/>
      <c r="F2597" s="109">
        <v>931.12</v>
      </c>
      <c r="G2597" s="108"/>
      <c r="H2597" s="111" t="s">
        <v>16</v>
      </c>
    </row>
    <row r="2598" spans="1:8" ht="33" x14ac:dyDescent="0.2">
      <c r="A2598" s="108"/>
      <c r="B2598" s="108" t="s">
        <v>1515</v>
      </c>
      <c r="C2598" s="110" t="s">
        <v>97</v>
      </c>
      <c r="D2598" s="109"/>
      <c r="E2598" s="109"/>
      <c r="F2598" s="109">
        <v>931.12</v>
      </c>
      <c r="G2598" s="108"/>
      <c r="H2598" s="111" t="s">
        <v>16</v>
      </c>
    </row>
    <row r="2599" spans="1:8" ht="16.5" x14ac:dyDescent="0.2">
      <c r="A2599" s="108"/>
      <c r="B2599" s="108"/>
      <c r="C2599" s="110"/>
      <c r="D2599" s="109"/>
      <c r="E2599" s="109"/>
      <c r="F2599" s="109"/>
      <c r="G2599" s="108"/>
    </row>
    <row r="2600" spans="1:8" ht="57" x14ac:dyDescent="0.2">
      <c r="A2600" s="108" t="s">
        <v>1883</v>
      </c>
      <c r="B2600" s="108" t="s">
        <v>1020</v>
      </c>
      <c r="C2600" s="110" t="s">
        <v>1021</v>
      </c>
      <c r="D2600" s="109">
        <v>1</v>
      </c>
      <c r="E2600" s="109">
        <v>806</v>
      </c>
      <c r="F2600" s="109"/>
      <c r="G2600" s="108" t="s">
        <v>1882</v>
      </c>
      <c r="H2600" s="111" t="s">
        <v>16</v>
      </c>
    </row>
    <row r="2601" spans="1:8" ht="42.75" x14ac:dyDescent="0.2">
      <c r="A2601" s="108">
        <v>1</v>
      </c>
      <c r="B2601" s="108" t="s">
        <v>1881</v>
      </c>
      <c r="C2601" s="110" t="s">
        <v>1880</v>
      </c>
      <c r="D2601" s="109">
        <v>1</v>
      </c>
      <c r="E2601" s="109">
        <v>66</v>
      </c>
      <c r="F2601" s="109">
        <v>66</v>
      </c>
      <c r="G2601" s="108" t="s">
        <v>1879</v>
      </c>
      <c r="H2601" s="111" t="s">
        <v>16</v>
      </c>
    </row>
    <row r="2602" spans="1:8" ht="42.75" x14ac:dyDescent="0.2">
      <c r="A2602" s="108">
        <v>2</v>
      </c>
      <c r="B2602" s="108" t="s">
        <v>1878</v>
      </c>
      <c r="C2602" s="110" t="s">
        <v>1021</v>
      </c>
      <c r="D2602" s="109">
        <v>1</v>
      </c>
      <c r="E2602" s="109">
        <v>40</v>
      </c>
      <c r="F2602" s="109">
        <v>40</v>
      </c>
      <c r="G2602" s="108" t="s">
        <v>1877</v>
      </c>
      <c r="H2602" s="111" t="s">
        <v>16</v>
      </c>
    </row>
    <row r="2603" spans="1:8" ht="33" x14ac:dyDescent="0.2">
      <c r="A2603" s="108">
        <v>3</v>
      </c>
      <c r="B2603" s="108" t="s">
        <v>1876</v>
      </c>
      <c r="C2603" s="110" t="s">
        <v>97</v>
      </c>
      <c r="D2603" s="109">
        <v>1</v>
      </c>
      <c r="E2603" s="109">
        <v>280</v>
      </c>
      <c r="F2603" s="109">
        <v>280</v>
      </c>
      <c r="G2603" s="108" t="s">
        <v>1875</v>
      </c>
      <c r="H2603" s="111" t="s">
        <v>16</v>
      </c>
    </row>
    <row r="2604" spans="1:8" ht="33" x14ac:dyDescent="0.2">
      <c r="A2604" s="108">
        <v>4</v>
      </c>
      <c r="B2604" s="108" t="s">
        <v>1874</v>
      </c>
      <c r="C2604" s="110" t="s">
        <v>97</v>
      </c>
      <c r="D2604" s="109">
        <v>1.5</v>
      </c>
      <c r="E2604" s="109">
        <v>280</v>
      </c>
      <c r="F2604" s="109">
        <v>420</v>
      </c>
      <c r="G2604" s="108" t="s">
        <v>1873</v>
      </c>
      <c r="H2604" s="111" t="s">
        <v>16</v>
      </c>
    </row>
    <row r="2605" spans="1:8" ht="33" x14ac:dyDescent="0.2">
      <c r="A2605" s="108"/>
      <c r="B2605" s="108" t="s">
        <v>1516</v>
      </c>
      <c r="C2605" s="110" t="s">
        <v>1021</v>
      </c>
      <c r="D2605" s="109">
        <v>1</v>
      </c>
      <c r="E2605" s="109"/>
      <c r="F2605" s="109">
        <v>806</v>
      </c>
      <c r="G2605" s="108"/>
      <c r="H2605" s="111" t="s">
        <v>16</v>
      </c>
    </row>
    <row r="2606" spans="1:8" ht="33" x14ac:dyDescent="0.2">
      <c r="A2606" s="108"/>
      <c r="B2606" s="108" t="s">
        <v>1515</v>
      </c>
      <c r="C2606" s="110" t="s">
        <v>1021</v>
      </c>
      <c r="D2606" s="109"/>
      <c r="E2606" s="109"/>
      <c r="F2606" s="109">
        <v>806</v>
      </c>
      <c r="G2606" s="108"/>
      <c r="H2606" s="111" t="s">
        <v>16</v>
      </c>
    </row>
    <row r="2607" spans="1:8" ht="16.5" x14ac:dyDescent="0.2">
      <c r="A2607" s="108"/>
      <c r="B2607" s="108"/>
      <c r="C2607" s="110"/>
      <c r="D2607" s="109"/>
      <c r="E2607" s="109"/>
      <c r="F2607" s="109"/>
      <c r="G2607" s="108"/>
    </row>
    <row r="2608" spans="1:8" ht="33" x14ac:dyDescent="0.2">
      <c r="A2608" s="108" t="s">
        <v>1872</v>
      </c>
      <c r="B2608" s="108" t="s">
        <v>1031</v>
      </c>
      <c r="C2608" s="110" t="s">
        <v>14</v>
      </c>
      <c r="D2608" s="109">
        <v>1</v>
      </c>
      <c r="E2608" s="109">
        <v>205982.81</v>
      </c>
      <c r="F2608" s="109"/>
      <c r="G2608" s="108" t="s">
        <v>1871</v>
      </c>
      <c r="H2608" s="111" t="s">
        <v>16</v>
      </c>
    </row>
    <row r="2609" spans="1:8" ht="33" x14ac:dyDescent="0.2">
      <c r="A2609" s="108">
        <v>1</v>
      </c>
      <c r="B2609" s="108" t="s">
        <v>1870</v>
      </c>
      <c r="C2609" s="110" t="s">
        <v>14</v>
      </c>
      <c r="D2609" s="109">
        <v>1</v>
      </c>
      <c r="E2609" s="109">
        <v>30000</v>
      </c>
      <c r="F2609" s="109">
        <v>30000</v>
      </c>
      <c r="G2609" s="108" t="s">
        <v>1869</v>
      </c>
      <c r="H2609" s="111" t="s">
        <v>16</v>
      </c>
    </row>
    <row r="2610" spans="1:8" ht="33" x14ac:dyDescent="0.2">
      <c r="A2610" s="108">
        <v>2</v>
      </c>
      <c r="B2610" s="108" t="s">
        <v>1540</v>
      </c>
      <c r="C2610" s="110" t="s">
        <v>14</v>
      </c>
      <c r="D2610" s="109">
        <v>1</v>
      </c>
      <c r="E2610" s="109">
        <v>29608.31</v>
      </c>
      <c r="F2610" s="109">
        <v>29608.31</v>
      </c>
      <c r="G2610" s="108" t="s">
        <v>1868</v>
      </c>
      <c r="H2610" s="111" t="s">
        <v>16</v>
      </c>
    </row>
    <row r="2611" spans="1:8" ht="33" x14ac:dyDescent="0.2">
      <c r="A2611" s="108">
        <v>3</v>
      </c>
      <c r="B2611" s="108" t="s">
        <v>1867</v>
      </c>
      <c r="C2611" s="110" t="s">
        <v>14</v>
      </c>
      <c r="D2611" s="109">
        <v>1</v>
      </c>
      <c r="E2611" s="109">
        <v>140000</v>
      </c>
      <c r="F2611" s="109">
        <v>140000</v>
      </c>
      <c r="G2611" s="108" t="s">
        <v>1866</v>
      </c>
      <c r="H2611" s="111" t="s">
        <v>16</v>
      </c>
    </row>
    <row r="2612" spans="1:8" ht="33" x14ac:dyDescent="0.2">
      <c r="A2612" s="108">
        <v>4</v>
      </c>
      <c r="B2612" s="108" t="s">
        <v>1865</v>
      </c>
      <c r="C2612" s="110" t="s">
        <v>1864</v>
      </c>
      <c r="D2612" s="109">
        <v>3</v>
      </c>
      <c r="E2612" s="109">
        <v>125</v>
      </c>
      <c r="F2612" s="109">
        <v>375</v>
      </c>
      <c r="G2612" s="108" t="s">
        <v>1863</v>
      </c>
      <c r="H2612" s="111" t="s">
        <v>16</v>
      </c>
    </row>
    <row r="2613" spans="1:8" ht="33" x14ac:dyDescent="0.2">
      <c r="A2613" s="108">
        <v>5</v>
      </c>
      <c r="B2613" s="108" t="s">
        <v>1518</v>
      </c>
      <c r="C2613" s="110" t="s">
        <v>14</v>
      </c>
      <c r="D2613" s="109">
        <v>1</v>
      </c>
      <c r="E2613" s="109">
        <v>5999.5</v>
      </c>
      <c r="F2613" s="109">
        <v>5999.5</v>
      </c>
      <c r="G2613" s="108" t="s">
        <v>1517</v>
      </c>
      <c r="H2613" s="111" t="s">
        <v>16</v>
      </c>
    </row>
    <row r="2614" spans="1:8" ht="33" x14ac:dyDescent="0.2">
      <c r="A2614" s="108"/>
      <c r="B2614" s="108" t="s">
        <v>1516</v>
      </c>
      <c r="C2614" s="110" t="s">
        <v>14</v>
      </c>
      <c r="D2614" s="109">
        <v>1</v>
      </c>
      <c r="E2614" s="109"/>
      <c r="F2614" s="109">
        <v>205982.81</v>
      </c>
      <c r="G2614" s="108"/>
      <c r="H2614" s="111" t="s">
        <v>16</v>
      </c>
    </row>
    <row r="2615" spans="1:8" ht="33" x14ac:dyDescent="0.2">
      <c r="A2615" s="108"/>
      <c r="B2615" s="108" t="s">
        <v>1515</v>
      </c>
      <c r="C2615" s="110" t="s">
        <v>14</v>
      </c>
      <c r="D2615" s="109"/>
      <c r="E2615" s="109"/>
      <c r="F2615" s="109">
        <v>205982.81</v>
      </c>
      <c r="G2615" s="108"/>
      <c r="H2615" s="111" t="s">
        <v>16</v>
      </c>
    </row>
    <row r="2616" spans="1:8" ht="16.5" x14ac:dyDescent="0.2">
      <c r="A2616" s="108"/>
      <c r="B2616" s="108"/>
      <c r="C2616" s="110"/>
      <c r="D2616" s="109"/>
      <c r="E2616" s="109"/>
      <c r="F2616" s="109"/>
      <c r="G2616" s="108"/>
    </row>
    <row r="2617" spans="1:8" ht="33" x14ac:dyDescent="0.2">
      <c r="A2617" s="108" t="s">
        <v>1862</v>
      </c>
      <c r="B2617" s="108" t="s">
        <v>1149</v>
      </c>
      <c r="C2617" s="110" t="s">
        <v>1150</v>
      </c>
      <c r="D2617" s="109">
        <v>12</v>
      </c>
      <c r="E2617" s="109">
        <v>13068.13</v>
      </c>
      <c r="F2617" s="109"/>
      <c r="G2617" s="108" t="s">
        <v>1861</v>
      </c>
      <c r="H2617" s="111" t="s">
        <v>16</v>
      </c>
    </row>
    <row r="2618" spans="1:8" ht="33" x14ac:dyDescent="0.2">
      <c r="A2618" s="108">
        <v>1</v>
      </c>
      <c r="B2618" s="108" t="s">
        <v>1860</v>
      </c>
      <c r="C2618" s="110" t="s">
        <v>97</v>
      </c>
      <c r="D2618" s="109">
        <v>375</v>
      </c>
      <c r="E2618" s="109">
        <v>70</v>
      </c>
      <c r="F2618" s="109">
        <v>26250</v>
      </c>
      <c r="G2618" s="108" t="s">
        <v>1859</v>
      </c>
      <c r="H2618" s="111" t="s">
        <v>16</v>
      </c>
    </row>
    <row r="2619" spans="1:8" ht="33" x14ac:dyDescent="0.2">
      <c r="A2619" s="108">
        <v>2</v>
      </c>
      <c r="B2619" s="108" t="s">
        <v>1858</v>
      </c>
      <c r="C2619" s="110" t="s">
        <v>97</v>
      </c>
      <c r="D2619" s="109">
        <v>336</v>
      </c>
      <c r="E2619" s="109">
        <v>375</v>
      </c>
      <c r="F2619" s="109">
        <v>126000</v>
      </c>
      <c r="G2619" s="108" t="s">
        <v>1857</v>
      </c>
      <c r="H2619" s="111" t="s">
        <v>16</v>
      </c>
    </row>
    <row r="2620" spans="1:8" ht="33" x14ac:dyDescent="0.2">
      <c r="A2620" s="108">
        <v>3</v>
      </c>
      <c r="B2620" s="108" t="s">
        <v>1518</v>
      </c>
      <c r="C2620" s="110" t="s">
        <v>14</v>
      </c>
      <c r="D2620" s="109">
        <v>1</v>
      </c>
      <c r="E2620" s="109">
        <v>4567.5</v>
      </c>
      <c r="F2620" s="109">
        <v>4567.5</v>
      </c>
      <c r="G2620" s="108" t="s">
        <v>1517</v>
      </c>
      <c r="H2620" s="111" t="s">
        <v>16</v>
      </c>
    </row>
    <row r="2621" spans="1:8" ht="33" x14ac:dyDescent="0.2">
      <c r="A2621" s="108"/>
      <c r="B2621" s="108" t="s">
        <v>1516</v>
      </c>
      <c r="C2621" s="110" t="s">
        <v>1150</v>
      </c>
      <c r="D2621" s="109">
        <v>12</v>
      </c>
      <c r="E2621" s="109"/>
      <c r="F2621" s="109">
        <v>156817.5</v>
      </c>
      <c r="G2621" s="108"/>
      <c r="H2621" s="111" t="s">
        <v>16</v>
      </c>
    </row>
    <row r="2622" spans="1:8" ht="33" x14ac:dyDescent="0.2">
      <c r="A2622" s="108"/>
      <c r="B2622" s="108" t="s">
        <v>1515</v>
      </c>
      <c r="C2622" s="110" t="s">
        <v>1150</v>
      </c>
      <c r="D2622" s="109"/>
      <c r="E2622" s="109"/>
      <c r="F2622" s="109">
        <v>13068.13</v>
      </c>
      <c r="G2622" s="108"/>
      <c r="H2622" s="111" t="s">
        <v>16</v>
      </c>
    </row>
    <row r="2623" spans="1:8" ht="16.5" x14ac:dyDescent="0.2">
      <c r="A2623" s="108"/>
      <c r="B2623" s="108"/>
      <c r="C2623" s="110"/>
      <c r="D2623" s="109"/>
      <c r="E2623" s="109"/>
      <c r="F2623" s="109"/>
      <c r="G2623" s="108"/>
    </row>
    <row r="2624" spans="1:8" ht="42.75" x14ac:dyDescent="0.2">
      <c r="A2624" s="108" t="s">
        <v>1856</v>
      </c>
      <c r="B2624" s="108" t="s">
        <v>1153</v>
      </c>
      <c r="C2624" s="110" t="s">
        <v>998</v>
      </c>
      <c r="D2624" s="109">
        <v>1000</v>
      </c>
      <c r="E2624" s="109">
        <v>54.57</v>
      </c>
      <c r="F2624" s="109"/>
      <c r="G2624" s="108" t="s">
        <v>1855</v>
      </c>
      <c r="H2624" s="111" t="s">
        <v>16</v>
      </c>
    </row>
    <row r="2625" spans="1:8" ht="33" x14ac:dyDescent="0.2">
      <c r="A2625" s="108">
        <v>1</v>
      </c>
      <c r="B2625" s="108" t="s">
        <v>1527</v>
      </c>
      <c r="C2625" s="110" t="s">
        <v>97</v>
      </c>
      <c r="D2625" s="109">
        <v>189.2</v>
      </c>
      <c r="E2625" s="109">
        <v>280</v>
      </c>
      <c r="F2625" s="109">
        <v>52976</v>
      </c>
      <c r="G2625" s="108" t="s">
        <v>1535</v>
      </c>
      <c r="H2625" s="111" t="s">
        <v>16</v>
      </c>
    </row>
    <row r="2626" spans="1:8" ht="33" x14ac:dyDescent="0.2">
      <c r="A2626" s="108">
        <v>2</v>
      </c>
      <c r="B2626" s="108" t="s">
        <v>1518</v>
      </c>
      <c r="C2626" s="110" t="s">
        <v>14</v>
      </c>
      <c r="D2626" s="109">
        <v>1</v>
      </c>
      <c r="E2626" s="109">
        <v>1589.28</v>
      </c>
      <c r="F2626" s="109">
        <v>1589.28</v>
      </c>
      <c r="G2626" s="108" t="s">
        <v>1517</v>
      </c>
      <c r="H2626" s="111" t="s">
        <v>16</v>
      </c>
    </row>
    <row r="2627" spans="1:8" ht="33" x14ac:dyDescent="0.2">
      <c r="A2627" s="108"/>
      <c r="B2627" s="108" t="s">
        <v>1516</v>
      </c>
      <c r="C2627" s="110" t="s">
        <v>998</v>
      </c>
      <c r="D2627" s="109">
        <v>1000</v>
      </c>
      <c r="E2627" s="109"/>
      <c r="F2627" s="109">
        <v>54565.279999999999</v>
      </c>
      <c r="G2627" s="108"/>
      <c r="H2627" s="111" t="s">
        <v>16</v>
      </c>
    </row>
    <row r="2628" spans="1:8" ht="33" x14ac:dyDescent="0.2">
      <c r="A2628" s="108"/>
      <c r="B2628" s="108" t="s">
        <v>1515</v>
      </c>
      <c r="C2628" s="110" t="s">
        <v>998</v>
      </c>
      <c r="D2628" s="109"/>
      <c r="E2628" s="109"/>
      <c r="F2628" s="109">
        <v>54.57</v>
      </c>
      <c r="G2628" s="108"/>
      <c r="H2628" s="111" t="s">
        <v>16</v>
      </c>
    </row>
    <row r="2629" spans="1:8" ht="16.5" x14ac:dyDescent="0.2">
      <c r="A2629" s="108"/>
      <c r="B2629" s="108"/>
      <c r="C2629" s="110"/>
      <c r="D2629" s="109"/>
      <c r="E2629" s="109"/>
      <c r="F2629" s="109"/>
      <c r="G2629" s="108"/>
    </row>
    <row r="2630" spans="1:8" ht="33" x14ac:dyDescent="0.2">
      <c r="A2630" s="108" t="s">
        <v>1854</v>
      </c>
      <c r="B2630" s="108" t="s">
        <v>1158</v>
      </c>
      <c r="C2630" s="110" t="s">
        <v>30</v>
      </c>
      <c r="D2630" s="109">
        <v>1.5</v>
      </c>
      <c r="E2630" s="109">
        <v>3662.23</v>
      </c>
      <c r="F2630" s="109"/>
      <c r="G2630" s="108" t="s">
        <v>1853</v>
      </c>
      <c r="H2630" s="111" t="s">
        <v>16</v>
      </c>
    </row>
    <row r="2631" spans="1:8" ht="33" x14ac:dyDescent="0.2">
      <c r="A2631" s="108">
        <v>1</v>
      </c>
      <c r="B2631" s="108" t="s">
        <v>1852</v>
      </c>
      <c r="C2631" s="110" t="s">
        <v>14</v>
      </c>
      <c r="D2631" s="109">
        <v>1</v>
      </c>
      <c r="E2631" s="109">
        <v>2962.96</v>
      </c>
      <c r="F2631" s="109">
        <v>2962.96</v>
      </c>
      <c r="G2631" s="108" t="s">
        <v>1851</v>
      </c>
      <c r="H2631" s="111" t="s">
        <v>16</v>
      </c>
    </row>
    <row r="2632" spans="1:8" ht="33" x14ac:dyDescent="0.2">
      <c r="A2632" s="108">
        <v>2</v>
      </c>
      <c r="B2632" s="108" t="s">
        <v>1850</v>
      </c>
      <c r="C2632" s="110" t="s">
        <v>14</v>
      </c>
      <c r="D2632" s="109">
        <v>1</v>
      </c>
      <c r="E2632" s="109">
        <v>1346.8</v>
      </c>
      <c r="F2632" s="109">
        <v>1346.8</v>
      </c>
      <c r="G2632" s="108" t="s">
        <v>1849</v>
      </c>
      <c r="H2632" s="111" t="s">
        <v>16</v>
      </c>
    </row>
    <row r="2633" spans="1:8" ht="33" x14ac:dyDescent="0.2">
      <c r="A2633" s="108">
        <v>3</v>
      </c>
      <c r="B2633" s="108" t="s">
        <v>1848</v>
      </c>
      <c r="C2633" s="110" t="s">
        <v>14</v>
      </c>
      <c r="D2633" s="109">
        <v>1</v>
      </c>
      <c r="E2633" s="109">
        <v>255.89</v>
      </c>
      <c r="F2633" s="109">
        <v>255.89</v>
      </c>
      <c r="G2633" s="108" t="s">
        <v>1847</v>
      </c>
      <c r="H2633" s="111" t="s">
        <v>16</v>
      </c>
    </row>
    <row r="2634" spans="1:8" ht="33" x14ac:dyDescent="0.2">
      <c r="A2634" s="108">
        <v>4</v>
      </c>
      <c r="B2634" s="108" t="s">
        <v>1846</v>
      </c>
      <c r="C2634" s="110" t="s">
        <v>81</v>
      </c>
      <c r="D2634" s="109">
        <v>1</v>
      </c>
      <c r="E2634" s="109">
        <v>767.69</v>
      </c>
      <c r="F2634" s="109">
        <v>767.69</v>
      </c>
      <c r="G2634" s="108" t="s">
        <v>1845</v>
      </c>
      <c r="H2634" s="111" t="s">
        <v>16</v>
      </c>
    </row>
    <row r="2635" spans="1:8" ht="33" x14ac:dyDescent="0.2">
      <c r="A2635" s="108">
        <v>5</v>
      </c>
      <c r="B2635" s="108" t="s">
        <v>1518</v>
      </c>
      <c r="C2635" s="110" t="s">
        <v>14</v>
      </c>
      <c r="D2635" s="109">
        <v>1</v>
      </c>
      <c r="E2635" s="109">
        <v>160</v>
      </c>
      <c r="F2635" s="109">
        <v>160</v>
      </c>
      <c r="G2635" s="108" t="s">
        <v>1517</v>
      </c>
      <c r="H2635" s="111" t="s">
        <v>16</v>
      </c>
    </row>
    <row r="2636" spans="1:8" ht="33" x14ac:dyDescent="0.2">
      <c r="A2636" s="108"/>
      <c r="B2636" s="108" t="s">
        <v>1516</v>
      </c>
      <c r="C2636" s="110" t="s">
        <v>30</v>
      </c>
      <c r="D2636" s="109">
        <v>1.5</v>
      </c>
      <c r="E2636" s="109"/>
      <c r="F2636" s="109">
        <v>5493.34</v>
      </c>
      <c r="G2636" s="108"/>
      <c r="H2636" s="111" t="s">
        <v>16</v>
      </c>
    </row>
    <row r="2637" spans="1:8" ht="33" x14ac:dyDescent="0.2">
      <c r="A2637" s="108"/>
      <c r="B2637" s="108" t="s">
        <v>1515</v>
      </c>
      <c r="C2637" s="110" t="s">
        <v>30</v>
      </c>
      <c r="D2637" s="109"/>
      <c r="E2637" s="109"/>
      <c r="F2637" s="109">
        <v>3662.23</v>
      </c>
      <c r="G2637" s="108"/>
      <c r="H2637" s="111" t="s">
        <v>16</v>
      </c>
    </row>
    <row r="2638" spans="1:8" ht="16.5" x14ac:dyDescent="0.2">
      <c r="A2638" s="108"/>
      <c r="B2638" s="108"/>
      <c r="C2638" s="110"/>
      <c r="D2638" s="109"/>
      <c r="E2638" s="109"/>
      <c r="F2638" s="109"/>
      <c r="G2638" s="108"/>
    </row>
    <row r="2639" spans="1:8" ht="33" x14ac:dyDescent="0.2">
      <c r="A2639" s="108" t="s">
        <v>1844</v>
      </c>
      <c r="B2639" s="108" t="s">
        <v>1164</v>
      </c>
      <c r="C2639" s="110" t="s">
        <v>162</v>
      </c>
      <c r="D2639" s="109">
        <v>1</v>
      </c>
      <c r="E2639" s="109">
        <v>217.02</v>
      </c>
      <c r="F2639" s="109"/>
      <c r="G2639" s="108" t="s">
        <v>1843</v>
      </c>
      <c r="H2639" s="111" t="s">
        <v>16</v>
      </c>
    </row>
    <row r="2640" spans="1:8" ht="33" x14ac:dyDescent="0.2">
      <c r="A2640" s="108">
        <v>1</v>
      </c>
      <c r="B2640" s="108" t="s">
        <v>1842</v>
      </c>
      <c r="C2640" s="110" t="s">
        <v>162</v>
      </c>
      <c r="D2640" s="109">
        <v>1</v>
      </c>
      <c r="E2640" s="109">
        <v>200</v>
      </c>
      <c r="F2640" s="109">
        <v>200</v>
      </c>
      <c r="G2640" s="108" t="s">
        <v>1841</v>
      </c>
      <c r="H2640" s="111" t="s">
        <v>16</v>
      </c>
    </row>
    <row r="2641" spans="1:8" ht="33" x14ac:dyDescent="0.2">
      <c r="A2641" s="108">
        <v>2</v>
      </c>
      <c r="B2641" s="108" t="s">
        <v>1840</v>
      </c>
      <c r="C2641" s="110" t="s">
        <v>162</v>
      </c>
      <c r="D2641" s="109">
        <v>1</v>
      </c>
      <c r="E2641" s="109">
        <v>5.25</v>
      </c>
      <c r="F2641" s="109">
        <v>5.25</v>
      </c>
      <c r="G2641" s="108" t="s">
        <v>1839</v>
      </c>
      <c r="H2641" s="111" t="s">
        <v>16</v>
      </c>
    </row>
    <row r="2642" spans="1:8" ht="33" x14ac:dyDescent="0.2">
      <c r="A2642" s="108">
        <v>3</v>
      </c>
      <c r="B2642" s="108" t="s">
        <v>1838</v>
      </c>
      <c r="C2642" s="110" t="s">
        <v>162</v>
      </c>
      <c r="D2642" s="109">
        <v>1</v>
      </c>
      <c r="E2642" s="109">
        <v>5.45</v>
      </c>
      <c r="F2642" s="109">
        <v>5.45</v>
      </c>
      <c r="G2642" s="108" t="s">
        <v>1837</v>
      </c>
      <c r="H2642" s="111" t="s">
        <v>16</v>
      </c>
    </row>
    <row r="2643" spans="1:8" ht="33" x14ac:dyDescent="0.2">
      <c r="A2643" s="108">
        <v>4</v>
      </c>
      <c r="B2643" s="108" t="s">
        <v>1518</v>
      </c>
      <c r="C2643" s="110" t="s">
        <v>14</v>
      </c>
      <c r="D2643" s="109">
        <v>1</v>
      </c>
      <c r="E2643" s="109">
        <v>6.32</v>
      </c>
      <c r="F2643" s="109">
        <v>6.32</v>
      </c>
      <c r="G2643" s="108" t="s">
        <v>1517</v>
      </c>
      <c r="H2643" s="111" t="s">
        <v>16</v>
      </c>
    </row>
    <row r="2644" spans="1:8" ht="33" x14ac:dyDescent="0.2">
      <c r="A2644" s="108"/>
      <c r="B2644" s="108" t="s">
        <v>1516</v>
      </c>
      <c r="C2644" s="110" t="s">
        <v>162</v>
      </c>
      <c r="D2644" s="109">
        <v>1</v>
      </c>
      <c r="E2644" s="109"/>
      <c r="F2644" s="109">
        <v>217.01999999999998</v>
      </c>
      <c r="G2644" s="108"/>
      <c r="H2644" s="111" t="s">
        <v>16</v>
      </c>
    </row>
    <row r="2645" spans="1:8" ht="33" x14ac:dyDescent="0.2">
      <c r="A2645" s="108"/>
      <c r="B2645" s="108" t="s">
        <v>1515</v>
      </c>
      <c r="C2645" s="110" t="s">
        <v>162</v>
      </c>
      <c r="D2645" s="109"/>
      <c r="E2645" s="109"/>
      <c r="F2645" s="109">
        <v>217.02</v>
      </c>
      <c r="G2645" s="108"/>
      <c r="H2645" s="111" t="s">
        <v>16</v>
      </c>
    </row>
    <row r="2646" spans="1:8" ht="16.5" x14ac:dyDescent="0.2">
      <c r="A2646" s="108"/>
      <c r="B2646" s="108"/>
      <c r="C2646" s="110"/>
      <c r="D2646" s="109"/>
      <c r="E2646" s="109"/>
      <c r="F2646" s="109"/>
      <c r="G2646" s="108"/>
    </row>
    <row r="2647" spans="1:8" ht="33" x14ac:dyDescent="0.2">
      <c r="A2647" s="108" t="s">
        <v>1836</v>
      </c>
      <c r="B2647" s="108" t="s">
        <v>1170</v>
      </c>
      <c r="C2647" s="110" t="s">
        <v>81</v>
      </c>
      <c r="D2647" s="109">
        <v>1</v>
      </c>
      <c r="E2647" s="109">
        <v>1900.97</v>
      </c>
      <c r="F2647" s="109"/>
      <c r="G2647" s="108" t="s">
        <v>1835</v>
      </c>
      <c r="H2647" s="111" t="s">
        <v>16</v>
      </c>
    </row>
    <row r="2648" spans="1:8" ht="33" x14ac:dyDescent="0.2">
      <c r="A2648" s="108">
        <v>1</v>
      </c>
      <c r="B2648" s="108" t="s">
        <v>1834</v>
      </c>
      <c r="C2648" s="110" t="s">
        <v>81</v>
      </c>
      <c r="D2648" s="109">
        <v>1</v>
      </c>
      <c r="E2648" s="109">
        <v>1540</v>
      </c>
      <c r="F2648" s="109">
        <v>1540</v>
      </c>
      <c r="G2648" s="108" t="s">
        <v>1833</v>
      </c>
      <c r="H2648" s="111" t="s">
        <v>16</v>
      </c>
    </row>
    <row r="2649" spans="1:8" ht="33" x14ac:dyDescent="0.2">
      <c r="A2649" s="108">
        <v>2</v>
      </c>
      <c r="B2649" s="108" t="s">
        <v>1832</v>
      </c>
      <c r="C2649" s="110" t="s">
        <v>81</v>
      </c>
      <c r="D2649" s="109">
        <v>1</v>
      </c>
      <c r="E2649" s="109">
        <v>218</v>
      </c>
      <c r="F2649" s="109">
        <v>218</v>
      </c>
      <c r="G2649" s="108" t="s">
        <v>1831</v>
      </c>
      <c r="H2649" s="111" t="s">
        <v>16</v>
      </c>
    </row>
    <row r="2650" spans="1:8" ht="33" x14ac:dyDescent="0.2">
      <c r="A2650" s="108">
        <v>3</v>
      </c>
      <c r="B2650" s="108" t="s">
        <v>1830</v>
      </c>
      <c r="C2650" s="110" t="s">
        <v>81</v>
      </c>
      <c r="D2650" s="109">
        <v>1</v>
      </c>
      <c r="E2650" s="109">
        <v>87.6</v>
      </c>
      <c r="F2650" s="109">
        <v>87.6</v>
      </c>
      <c r="G2650" s="108" t="s">
        <v>1829</v>
      </c>
      <c r="H2650" s="111" t="s">
        <v>16</v>
      </c>
    </row>
    <row r="2651" spans="1:8" ht="33" x14ac:dyDescent="0.2">
      <c r="A2651" s="108">
        <v>4</v>
      </c>
      <c r="B2651" s="108" t="s">
        <v>1518</v>
      </c>
      <c r="C2651" s="110" t="s">
        <v>14</v>
      </c>
      <c r="D2651" s="109">
        <v>1</v>
      </c>
      <c r="E2651" s="109">
        <v>55.37</v>
      </c>
      <c r="F2651" s="109">
        <v>55.37</v>
      </c>
      <c r="G2651" s="108" t="s">
        <v>1517</v>
      </c>
      <c r="H2651" s="111" t="s">
        <v>16</v>
      </c>
    </row>
    <row r="2652" spans="1:8" ht="33" x14ac:dyDescent="0.2">
      <c r="A2652" s="108"/>
      <c r="B2652" s="108" t="s">
        <v>1516</v>
      </c>
      <c r="C2652" s="110" t="s">
        <v>81</v>
      </c>
      <c r="D2652" s="109">
        <v>1</v>
      </c>
      <c r="E2652" s="109"/>
      <c r="F2652" s="109">
        <v>1900.9699999999998</v>
      </c>
      <c r="G2652" s="108"/>
      <c r="H2652" s="111" t="s">
        <v>16</v>
      </c>
    </row>
    <row r="2653" spans="1:8" ht="33" x14ac:dyDescent="0.2">
      <c r="A2653" s="108"/>
      <c r="B2653" s="108" t="s">
        <v>1515</v>
      </c>
      <c r="C2653" s="110" t="s">
        <v>81</v>
      </c>
      <c r="D2653" s="109"/>
      <c r="E2653" s="109"/>
      <c r="F2653" s="109">
        <v>1900.97</v>
      </c>
      <c r="G2653" s="108"/>
      <c r="H2653" s="111" t="s">
        <v>16</v>
      </c>
    </row>
    <row r="2654" spans="1:8" ht="16.5" x14ac:dyDescent="0.2">
      <c r="A2654" s="108"/>
      <c r="B2654" s="108"/>
      <c r="C2654" s="110"/>
      <c r="D2654" s="109"/>
      <c r="E2654" s="109"/>
      <c r="F2654" s="109"/>
      <c r="G2654" s="108"/>
    </row>
    <row r="2655" spans="1:8" ht="33" x14ac:dyDescent="0.2">
      <c r="A2655" s="108" t="s">
        <v>1828</v>
      </c>
      <c r="B2655" s="108" t="s">
        <v>1173</v>
      </c>
      <c r="C2655" s="110" t="s">
        <v>81</v>
      </c>
      <c r="D2655" s="109">
        <v>1</v>
      </c>
      <c r="E2655" s="109">
        <v>1230.75</v>
      </c>
      <c r="F2655" s="109"/>
      <c r="G2655" s="108" t="s">
        <v>1827</v>
      </c>
      <c r="H2655" s="111" t="s">
        <v>16</v>
      </c>
    </row>
    <row r="2656" spans="1:8" ht="33" x14ac:dyDescent="0.2">
      <c r="A2656" s="108">
        <v>1</v>
      </c>
      <c r="B2656" s="108" t="s">
        <v>1826</v>
      </c>
      <c r="C2656" s="110" t="s">
        <v>81</v>
      </c>
      <c r="D2656" s="109">
        <v>1</v>
      </c>
      <c r="E2656" s="109">
        <v>1050</v>
      </c>
      <c r="F2656" s="109">
        <v>1050</v>
      </c>
      <c r="G2656" s="108" t="s">
        <v>1825</v>
      </c>
      <c r="H2656" s="111" t="s">
        <v>16</v>
      </c>
    </row>
    <row r="2657" spans="1:8" ht="33" x14ac:dyDescent="0.2">
      <c r="A2657" s="108">
        <v>2</v>
      </c>
      <c r="B2657" s="108" t="s">
        <v>1824</v>
      </c>
      <c r="C2657" s="110" t="s">
        <v>81</v>
      </c>
      <c r="D2657" s="109">
        <v>1</v>
      </c>
      <c r="E2657" s="109">
        <v>123.9</v>
      </c>
      <c r="F2657" s="109">
        <v>123.9</v>
      </c>
      <c r="G2657" s="108" t="s">
        <v>1823</v>
      </c>
      <c r="H2657" s="111" t="s">
        <v>16</v>
      </c>
    </row>
    <row r="2658" spans="1:8" ht="33" x14ac:dyDescent="0.2">
      <c r="A2658" s="108">
        <v>3</v>
      </c>
      <c r="B2658" s="108" t="s">
        <v>1822</v>
      </c>
      <c r="C2658" s="110" t="s">
        <v>81</v>
      </c>
      <c r="D2658" s="109">
        <v>1</v>
      </c>
      <c r="E2658" s="109">
        <v>21</v>
      </c>
      <c r="F2658" s="109">
        <v>21</v>
      </c>
      <c r="G2658" s="108" t="s">
        <v>1821</v>
      </c>
      <c r="H2658" s="111" t="s">
        <v>16</v>
      </c>
    </row>
    <row r="2659" spans="1:8" ht="33" x14ac:dyDescent="0.2">
      <c r="A2659" s="108">
        <v>4</v>
      </c>
      <c r="B2659" s="108" t="s">
        <v>1518</v>
      </c>
      <c r="C2659" s="110" t="s">
        <v>14</v>
      </c>
      <c r="D2659" s="109">
        <v>1</v>
      </c>
      <c r="E2659" s="109">
        <v>35.85</v>
      </c>
      <c r="F2659" s="109">
        <v>35.85</v>
      </c>
      <c r="G2659" s="108" t="s">
        <v>1517</v>
      </c>
      <c r="H2659" s="111" t="s">
        <v>16</v>
      </c>
    </row>
    <row r="2660" spans="1:8" ht="33" x14ac:dyDescent="0.2">
      <c r="A2660" s="108"/>
      <c r="B2660" s="108" t="s">
        <v>1516</v>
      </c>
      <c r="C2660" s="110" t="s">
        <v>81</v>
      </c>
      <c r="D2660" s="109">
        <v>1</v>
      </c>
      <c r="E2660" s="109"/>
      <c r="F2660" s="109">
        <v>1230.75</v>
      </c>
      <c r="G2660" s="108"/>
      <c r="H2660" s="111" t="s">
        <v>16</v>
      </c>
    </row>
    <row r="2661" spans="1:8" ht="33" x14ac:dyDescent="0.2">
      <c r="A2661" s="108"/>
      <c r="B2661" s="108" t="s">
        <v>1515</v>
      </c>
      <c r="C2661" s="110" t="s">
        <v>81</v>
      </c>
      <c r="D2661" s="109"/>
      <c r="E2661" s="109"/>
      <c r="F2661" s="109">
        <v>1230.75</v>
      </c>
      <c r="G2661" s="108"/>
      <c r="H2661" s="111" t="s">
        <v>16</v>
      </c>
    </row>
    <row r="2662" spans="1:8" ht="16.5" x14ac:dyDescent="0.2">
      <c r="A2662" s="108"/>
      <c r="B2662" s="108"/>
      <c r="C2662" s="110"/>
      <c r="D2662" s="109"/>
      <c r="E2662" s="109"/>
      <c r="F2662" s="109"/>
      <c r="G2662" s="108"/>
    </row>
    <row r="2663" spans="1:8" ht="33" x14ac:dyDescent="0.2">
      <c r="A2663" s="108" t="s">
        <v>1820</v>
      </c>
      <c r="B2663" s="108" t="s">
        <v>1176</v>
      </c>
      <c r="C2663" s="110" t="s">
        <v>81</v>
      </c>
      <c r="D2663" s="109">
        <v>1</v>
      </c>
      <c r="E2663" s="109">
        <v>1666.11</v>
      </c>
      <c r="F2663" s="109"/>
      <c r="G2663" s="108" t="s">
        <v>1819</v>
      </c>
      <c r="H2663" s="111" t="s">
        <v>16</v>
      </c>
    </row>
    <row r="2664" spans="1:8" ht="33" x14ac:dyDescent="0.2">
      <c r="A2664" s="108">
        <v>1</v>
      </c>
      <c r="B2664" s="108" t="s">
        <v>1818</v>
      </c>
      <c r="C2664" s="110" t="s">
        <v>81</v>
      </c>
      <c r="D2664" s="109">
        <v>1</v>
      </c>
      <c r="E2664" s="109">
        <v>1522.5</v>
      </c>
      <c r="F2664" s="109">
        <v>1522.5</v>
      </c>
      <c r="G2664" s="108" t="s">
        <v>1817</v>
      </c>
      <c r="H2664" s="111" t="s">
        <v>16</v>
      </c>
    </row>
    <row r="2665" spans="1:8" ht="33" x14ac:dyDescent="0.2">
      <c r="A2665" s="108">
        <v>2</v>
      </c>
      <c r="B2665" s="108" t="s">
        <v>1816</v>
      </c>
      <c r="C2665" s="110" t="s">
        <v>81</v>
      </c>
      <c r="D2665" s="109">
        <v>1</v>
      </c>
      <c r="E2665" s="109">
        <v>42.58</v>
      </c>
      <c r="F2665" s="109">
        <v>42.58</v>
      </c>
      <c r="G2665" s="108" t="s">
        <v>1815</v>
      </c>
      <c r="H2665" s="111" t="s">
        <v>16</v>
      </c>
    </row>
    <row r="2666" spans="1:8" ht="33" x14ac:dyDescent="0.2">
      <c r="A2666" s="108">
        <v>3</v>
      </c>
      <c r="B2666" s="108" t="s">
        <v>1814</v>
      </c>
      <c r="C2666" s="110" t="s">
        <v>81</v>
      </c>
      <c r="D2666" s="109">
        <v>1</v>
      </c>
      <c r="E2666" s="109">
        <v>15.75</v>
      </c>
      <c r="F2666" s="109">
        <v>15.75</v>
      </c>
      <c r="G2666" s="108" t="s">
        <v>1813</v>
      </c>
      <c r="H2666" s="111" t="s">
        <v>16</v>
      </c>
    </row>
    <row r="2667" spans="1:8" ht="33" x14ac:dyDescent="0.2">
      <c r="A2667" s="108">
        <v>4</v>
      </c>
      <c r="B2667" s="108" t="s">
        <v>1812</v>
      </c>
      <c r="C2667" s="110" t="s">
        <v>14</v>
      </c>
      <c r="D2667" s="109">
        <v>1</v>
      </c>
      <c r="E2667" s="109">
        <v>36.75</v>
      </c>
      <c r="F2667" s="109">
        <v>36.75</v>
      </c>
      <c r="G2667" s="108" t="s">
        <v>1811</v>
      </c>
      <c r="H2667" s="111" t="s">
        <v>16</v>
      </c>
    </row>
    <row r="2668" spans="1:8" ht="33" x14ac:dyDescent="0.2">
      <c r="A2668" s="108">
        <v>5</v>
      </c>
      <c r="B2668" s="108" t="s">
        <v>1518</v>
      </c>
      <c r="C2668" s="110" t="s">
        <v>14</v>
      </c>
      <c r="D2668" s="109">
        <v>1</v>
      </c>
      <c r="E2668" s="109">
        <v>48.53</v>
      </c>
      <c r="F2668" s="109">
        <v>48.53</v>
      </c>
      <c r="G2668" s="108" t="s">
        <v>1517</v>
      </c>
      <c r="H2668" s="111" t="s">
        <v>16</v>
      </c>
    </row>
    <row r="2669" spans="1:8" ht="33" x14ac:dyDescent="0.2">
      <c r="A2669" s="108"/>
      <c r="B2669" s="108" t="s">
        <v>1516</v>
      </c>
      <c r="C2669" s="110" t="s">
        <v>81</v>
      </c>
      <c r="D2669" s="109">
        <v>1</v>
      </c>
      <c r="E2669" s="109"/>
      <c r="F2669" s="109">
        <v>1666.11</v>
      </c>
      <c r="G2669" s="108"/>
      <c r="H2669" s="111" t="s">
        <v>16</v>
      </c>
    </row>
    <row r="2670" spans="1:8" ht="33" x14ac:dyDescent="0.2">
      <c r="A2670" s="108"/>
      <c r="B2670" s="108" t="s">
        <v>1515</v>
      </c>
      <c r="C2670" s="110" t="s">
        <v>81</v>
      </c>
      <c r="D2670" s="109"/>
      <c r="E2670" s="109"/>
      <c r="F2670" s="109">
        <v>1666.11</v>
      </c>
      <c r="G2670" s="108"/>
      <c r="H2670" s="111" t="s">
        <v>16</v>
      </c>
    </row>
    <row r="2671" spans="1:8" ht="16.5" x14ac:dyDescent="0.2">
      <c r="A2671" s="108"/>
      <c r="B2671" s="108"/>
      <c r="C2671" s="110"/>
      <c r="D2671" s="109"/>
      <c r="E2671" s="109"/>
      <c r="F2671" s="109"/>
      <c r="G2671" s="108"/>
    </row>
    <row r="2672" spans="1:8" ht="33" x14ac:dyDescent="0.2">
      <c r="A2672" s="108" t="s">
        <v>1810</v>
      </c>
      <c r="B2672" s="108" t="s">
        <v>1179</v>
      </c>
      <c r="C2672" s="110" t="s">
        <v>81</v>
      </c>
      <c r="D2672" s="109">
        <v>1</v>
      </c>
      <c r="E2672" s="109">
        <v>48513</v>
      </c>
      <c r="F2672" s="109"/>
      <c r="G2672" s="108" t="s">
        <v>1809</v>
      </c>
      <c r="H2672" s="111" t="s">
        <v>16</v>
      </c>
    </row>
    <row r="2673" spans="1:8" ht="42.75" x14ac:dyDescent="0.2">
      <c r="A2673" s="108">
        <v>1</v>
      </c>
      <c r="B2673" s="108" t="s">
        <v>1808</v>
      </c>
      <c r="C2673" s="110" t="s">
        <v>1183</v>
      </c>
      <c r="D2673" s="109">
        <v>1</v>
      </c>
      <c r="E2673" s="109">
        <v>46500</v>
      </c>
      <c r="F2673" s="109">
        <v>46500</v>
      </c>
      <c r="G2673" s="108" t="s">
        <v>1807</v>
      </c>
      <c r="H2673" s="111" t="s">
        <v>16</v>
      </c>
    </row>
    <row r="2674" spans="1:8" ht="42.75" x14ac:dyDescent="0.2">
      <c r="A2674" s="108">
        <v>2</v>
      </c>
      <c r="B2674" s="108" t="s">
        <v>1806</v>
      </c>
      <c r="C2674" s="110" t="s">
        <v>14</v>
      </c>
      <c r="D2674" s="109">
        <v>1</v>
      </c>
      <c r="E2674" s="109">
        <v>600</v>
      </c>
      <c r="F2674" s="109">
        <v>600</v>
      </c>
      <c r="G2674" s="108" t="s">
        <v>1805</v>
      </c>
      <c r="H2674" s="111" t="s">
        <v>16</v>
      </c>
    </row>
    <row r="2675" spans="1:8" ht="33" x14ac:dyDescent="0.2">
      <c r="A2675" s="108">
        <v>3</v>
      </c>
      <c r="B2675" s="108" t="s">
        <v>1518</v>
      </c>
      <c r="C2675" s="110" t="s">
        <v>14</v>
      </c>
      <c r="D2675" s="109">
        <v>1</v>
      </c>
      <c r="E2675" s="109">
        <v>1413</v>
      </c>
      <c r="F2675" s="109">
        <v>1413</v>
      </c>
      <c r="G2675" s="108" t="s">
        <v>1517</v>
      </c>
      <c r="H2675" s="111" t="s">
        <v>16</v>
      </c>
    </row>
    <row r="2676" spans="1:8" ht="33" x14ac:dyDescent="0.2">
      <c r="A2676" s="108"/>
      <c r="B2676" s="108" t="s">
        <v>1516</v>
      </c>
      <c r="C2676" s="110" t="s">
        <v>81</v>
      </c>
      <c r="D2676" s="109">
        <v>1</v>
      </c>
      <c r="E2676" s="109"/>
      <c r="F2676" s="109">
        <v>48513</v>
      </c>
      <c r="G2676" s="108"/>
      <c r="H2676" s="111" t="s">
        <v>16</v>
      </c>
    </row>
    <row r="2677" spans="1:8" ht="33" x14ac:dyDescent="0.2">
      <c r="A2677" s="108"/>
      <c r="B2677" s="108" t="s">
        <v>1515</v>
      </c>
      <c r="C2677" s="110" t="s">
        <v>81</v>
      </c>
      <c r="D2677" s="109"/>
      <c r="E2677" s="109"/>
      <c r="F2677" s="109">
        <v>48513</v>
      </c>
      <c r="G2677" s="108"/>
      <c r="H2677" s="111" t="s">
        <v>16</v>
      </c>
    </row>
    <row r="2678" spans="1:8" ht="16.5" x14ac:dyDescent="0.2">
      <c r="A2678" s="108"/>
      <c r="B2678" s="108"/>
      <c r="C2678" s="110"/>
      <c r="D2678" s="109"/>
      <c r="E2678" s="109"/>
      <c r="F2678" s="109"/>
      <c r="G2678" s="108"/>
    </row>
    <row r="2679" spans="1:8" ht="71.25" x14ac:dyDescent="0.2">
      <c r="A2679" s="108" t="s">
        <v>1804</v>
      </c>
      <c r="B2679" s="108" t="s">
        <v>1182</v>
      </c>
      <c r="C2679" s="110" t="s">
        <v>1183</v>
      </c>
      <c r="D2679" s="109">
        <v>1</v>
      </c>
      <c r="E2679" s="109">
        <v>587.1</v>
      </c>
      <c r="F2679" s="109"/>
      <c r="G2679" s="108" t="s">
        <v>1803</v>
      </c>
      <c r="H2679" s="111" t="s">
        <v>16</v>
      </c>
    </row>
    <row r="2680" spans="1:8" ht="33" x14ac:dyDescent="0.2">
      <c r="A2680" s="108">
        <v>1</v>
      </c>
      <c r="B2680" s="108" t="s">
        <v>1802</v>
      </c>
      <c r="C2680" s="110" t="s">
        <v>1183</v>
      </c>
      <c r="D2680" s="109">
        <v>1</v>
      </c>
      <c r="E2680" s="109">
        <v>450</v>
      </c>
      <c r="F2680" s="109">
        <v>450</v>
      </c>
      <c r="G2680" s="108" t="s">
        <v>1801</v>
      </c>
      <c r="H2680" s="111" t="s">
        <v>16</v>
      </c>
    </row>
    <row r="2681" spans="1:8" ht="33" x14ac:dyDescent="0.2">
      <c r="A2681" s="108">
        <v>2</v>
      </c>
      <c r="B2681" s="108" t="s">
        <v>1800</v>
      </c>
      <c r="C2681" s="110" t="s">
        <v>14</v>
      </c>
      <c r="D2681" s="109">
        <v>1</v>
      </c>
      <c r="E2681" s="109">
        <v>120</v>
      </c>
      <c r="F2681" s="109">
        <v>120</v>
      </c>
      <c r="G2681" s="108" t="s">
        <v>1799</v>
      </c>
      <c r="H2681" s="111" t="s">
        <v>16</v>
      </c>
    </row>
    <row r="2682" spans="1:8" ht="33" x14ac:dyDescent="0.2">
      <c r="A2682" s="108">
        <v>3</v>
      </c>
      <c r="B2682" s="108" t="s">
        <v>1518</v>
      </c>
      <c r="C2682" s="110" t="s">
        <v>14</v>
      </c>
      <c r="D2682" s="109">
        <v>1</v>
      </c>
      <c r="E2682" s="109">
        <v>17.100000000000001</v>
      </c>
      <c r="F2682" s="109">
        <v>17.100000000000001</v>
      </c>
      <c r="G2682" s="108" t="s">
        <v>1517</v>
      </c>
      <c r="H2682" s="111" t="s">
        <v>16</v>
      </c>
    </row>
    <row r="2683" spans="1:8" ht="33" x14ac:dyDescent="0.2">
      <c r="A2683" s="108"/>
      <c r="B2683" s="108" t="s">
        <v>1516</v>
      </c>
      <c r="C2683" s="110" t="s">
        <v>1183</v>
      </c>
      <c r="D2683" s="109">
        <v>1</v>
      </c>
      <c r="E2683" s="109"/>
      <c r="F2683" s="109">
        <v>587.1</v>
      </c>
      <c r="G2683" s="108"/>
      <c r="H2683" s="111" t="s">
        <v>16</v>
      </c>
    </row>
    <row r="2684" spans="1:8" ht="33" x14ac:dyDescent="0.2">
      <c r="A2684" s="108"/>
      <c r="B2684" s="108" t="s">
        <v>1515</v>
      </c>
      <c r="C2684" s="110" t="s">
        <v>1183</v>
      </c>
      <c r="D2684" s="109"/>
      <c r="E2684" s="109"/>
      <c r="F2684" s="109">
        <v>587.1</v>
      </c>
      <c r="G2684" s="108"/>
      <c r="H2684" s="111" t="s">
        <v>16</v>
      </c>
    </row>
    <row r="2685" spans="1:8" ht="16.5" x14ac:dyDescent="0.2">
      <c r="A2685" s="108"/>
      <c r="B2685" s="108"/>
      <c r="C2685" s="110"/>
      <c r="D2685" s="109"/>
      <c r="E2685" s="109"/>
      <c r="F2685" s="109"/>
      <c r="G2685" s="108"/>
    </row>
    <row r="2686" spans="1:8" ht="33" x14ac:dyDescent="0.2">
      <c r="A2686" s="108" t="s">
        <v>1798</v>
      </c>
      <c r="B2686" s="108" t="s">
        <v>1186</v>
      </c>
      <c r="C2686" s="110" t="s">
        <v>162</v>
      </c>
      <c r="D2686" s="109">
        <v>1</v>
      </c>
      <c r="E2686" s="109">
        <v>664.14</v>
      </c>
      <c r="F2686" s="109"/>
      <c r="G2686" s="108" t="s">
        <v>1797</v>
      </c>
      <c r="H2686" s="111" t="s">
        <v>16</v>
      </c>
    </row>
    <row r="2687" spans="1:8" ht="33" x14ac:dyDescent="0.2">
      <c r="A2687" s="108">
        <v>1</v>
      </c>
      <c r="B2687" s="108" t="s">
        <v>1527</v>
      </c>
      <c r="C2687" s="110" t="s">
        <v>97</v>
      </c>
      <c r="D2687" s="109">
        <v>0.16</v>
      </c>
      <c r="E2687" s="109">
        <v>280</v>
      </c>
      <c r="F2687" s="109">
        <v>44.8</v>
      </c>
      <c r="G2687" s="108" t="s">
        <v>1535</v>
      </c>
      <c r="H2687" s="111" t="s">
        <v>16</v>
      </c>
    </row>
    <row r="2688" spans="1:8" ht="33" x14ac:dyDescent="0.2">
      <c r="A2688" s="108">
        <v>2</v>
      </c>
      <c r="B2688" s="108" t="s">
        <v>1796</v>
      </c>
      <c r="C2688" s="110" t="s">
        <v>162</v>
      </c>
      <c r="D2688" s="109">
        <v>10</v>
      </c>
      <c r="E2688" s="109">
        <v>60</v>
      </c>
      <c r="F2688" s="109">
        <v>600</v>
      </c>
      <c r="G2688" s="108" t="s">
        <v>1795</v>
      </c>
      <c r="H2688" s="111" t="s">
        <v>16</v>
      </c>
    </row>
    <row r="2689" spans="1:8" ht="33" x14ac:dyDescent="0.2">
      <c r="A2689" s="108">
        <v>3</v>
      </c>
      <c r="B2689" s="108" t="s">
        <v>1518</v>
      </c>
      <c r="C2689" s="110" t="s">
        <v>14</v>
      </c>
      <c r="D2689" s="109">
        <v>1</v>
      </c>
      <c r="E2689" s="109">
        <v>19.34</v>
      </c>
      <c r="F2689" s="109">
        <v>19.34</v>
      </c>
      <c r="G2689" s="108" t="s">
        <v>1517</v>
      </c>
      <c r="H2689" s="111" t="s">
        <v>16</v>
      </c>
    </row>
    <row r="2690" spans="1:8" ht="33" x14ac:dyDescent="0.2">
      <c r="A2690" s="108"/>
      <c r="B2690" s="108" t="s">
        <v>1516</v>
      </c>
      <c r="C2690" s="110" t="s">
        <v>162</v>
      </c>
      <c r="D2690" s="109">
        <v>1</v>
      </c>
      <c r="E2690" s="109"/>
      <c r="F2690" s="109">
        <v>664.14</v>
      </c>
      <c r="G2690" s="108"/>
      <c r="H2690" s="111" t="s">
        <v>16</v>
      </c>
    </row>
    <row r="2691" spans="1:8" ht="33" x14ac:dyDescent="0.2">
      <c r="A2691" s="108"/>
      <c r="B2691" s="108" t="s">
        <v>1515</v>
      </c>
      <c r="C2691" s="110" t="s">
        <v>162</v>
      </c>
      <c r="D2691" s="109"/>
      <c r="E2691" s="109"/>
      <c r="F2691" s="109">
        <v>664.14</v>
      </c>
      <c r="G2691" s="108"/>
      <c r="H2691" s="111" t="s">
        <v>16</v>
      </c>
    </row>
    <row r="2692" spans="1:8" ht="16.5" x14ac:dyDescent="0.2">
      <c r="A2692" s="108"/>
      <c r="B2692" s="108"/>
      <c r="C2692" s="110"/>
      <c r="D2692" s="109"/>
      <c r="E2692" s="109"/>
      <c r="F2692" s="109"/>
      <c r="G2692" s="108"/>
    </row>
    <row r="2693" spans="1:8" ht="42.75" x14ac:dyDescent="0.2">
      <c r="A2693" s="108" t="s">
        <v>1794</v>
      </c>
      <c r="B2693" s="108" t="s">
        <v>1189</v>
      </c>
      <c r="C2693" s="110" t="s">
        <v>81</v>
      </c>
      <c r="D2693" s="109">
        <v>1</v>
      </c>
      <c r="E2693" s="109">
        <v>847.07</v>
      </c>
      <c r="F2693" s="109"/>
      <c r="G2693" s="108" t="s">
        <v>1793</v>
      </c>
      <c r="H2693" s="111" t="s">
        <v>16</v>
      </c>
    </row>
    <row r="2694" spans="1:8" ht="42.75" x14ac:dyDescent="0.2">
      <c r="A2694" s="108">
        <v>1</v>
      </c>
      <c r="B2694" s="108" t="s">
        <v>1792</v>
      </c>
      <c r="C2694" s="110" t="s">
        <v>559</v>
      </c>
      <c r="D2694" s="109">
        <v>1</v>
      </c>
      <c r="E2694" s="109">
        <v>800</v>
      </c>
      <c r="F2694" s="109">
        <v>800</v>
      </c>
      <c r="G2694" s="108" t="s">
        <v>1791</v>
      </c>
      <c r="H2694" s="111" t="s">
        <v>16</v>
      </c>
    </row>
    <row r="2695" spans="1:8" ht="33" x14ac:dyDescent="0.2">
      <c r="A2695" s="108">
        <v>2</v>
      </c>
      <c r="B2695" s="108" t="s">
        <v>1527</v>
      </c>
      <c r="C2695" s="110" t="s">
        <v>97</v>
      </c>
      <c r="D2695" s="109">
        <v>0.08</v>
      </c>
      <c r="E2695" s="109">
        <v>280</v>
      </c>
      <c r="F2695" s="109">
        <v>22.4</v>
      </c>
      <c r="G2695" s="108" t="s">
        <v>1535</v>
      </c>
      <c r="H2695" s="111" t="s">
        <v>16</v>
      </c>
    </row>
    <row r="2696" spans="1:8" ht="33" x14ac:dyDescent="0.2">
      <c r="A2696" s="108">
        <v>3</v>
      </c>
      <c r="B2696" s="108" t="s">
        <v>1518</v>
      </c>
      <c r="C2696" s="110" t="s">
        <v>14</v>
      </c>
      <c r="D2696" s="109">
        <v>1</v>
      </c>
      <c r="E2696" s="109">
        <v>24.67</v>
      </c>
      <c r="F2696" s="109">
        <v>24.67</v>
      </c>
      <c r="G2696" s="108" t="s">
        <v>1517</v>
      </c>
      <c r="H2696" s="111" t="s">
        <v>16</v>
      </c>
    </row>
    <row r="2697" spans="1:8" ht="33" x14ac:dyDescent="0.2">
      <c r="A2697" s="108"/>
      <c r="B2697" s="108" t="s">
        <v>1516</v>
      </c>
      <c r="C2697" s="110" t="s">
        <v>81</v>
      </c>
      <c r="D2697" s="109">
        <v>1</v>
      </c>
      <c r="E2697" s="109"/>
      <c r="F2697" s="109">
        <v>847.06999999999994</v>
      </c>
      <c r="G2697" s="108"/>
      <c r="H2697" s="111" t="s">
        <v>16</v>
      </c>
    </row>
    <row r="2698" spans="1:8" ht="33" x14ac:dyDescent="0.2">
      <c r="A2698" s="108"/>
      <c r="B2698" s="108" t="s">
        <v>1515</v>
      </c>
      <c r="C2698" s="110" t="s">
        <v>81</v>
      </c>
      <c r="D2698" s="109"/>
      <c r="E2698" s="109"/>
      <c r="F2698" s="109">
        <v>847.07</v>
      </c>
      <c r="G2698" s="108"/>
      <c r="H2698" s="111" t="s">
        <v>16</v>
      </c>
    </row>
    <row r="2699" spans="1:8" ht="16.5" x14ac:dyDescent="0.2">
      <c r="A2699" s="108"/>
      <c r="B2699" s="108"/>
      <c r="C2699" s="110"/>
      <c r="D2699" s="109"/>
      <c r="E2699" s="109"/>
      <c r="F2699" s="109"/>
      <c r="G2699" s="108"/>
    </row>
    <row r="2700" spans="1:8" ht="71.25" x14ac:dyDescent="0.2">
      <c r="A2700" s="108" t="s">
        <v>1790</v>
      </c>
      <c r="B2700" s="108" t="s">
        <v>1192</v>
      </c>
      <c r="C2700" s="110" t="s">
        <v>30</v>
      </c>
      <c r="D2700" s="109">
        <v>40</v>
      </c>
      <c r="E2700" s="109">
        <v>293.74</v>
      </c>
      <c r="F2700" s="109"/>
      <c r="G2700" s="108" t="s">
        <v>1789</v>
      </c>
      <c r="H2700" s="111" t="s">
        <v>16</v>
      </c>
    </row>
    <row r="2701" spans="1:8" ht="42.75" x14ac:dyDescent="0.2">
      <c r="A2701" s="108">
        <v>1</v>
      </c>
      <c r="B2701" s="108" t="s">
        <v>1788</v>
      </c>
      <c r="C2701" s="110" t="s">
        <v>30</v>
      </c>
      <c r="D2701" s="109">
        <v>4</v>
      </c>
      <c r="E2701" s="109">
        <v>1877.21</v>
      </c>
      <c r="F2701" s="109">
        <v>7508.84</v>
      </c>
      <c r="G2701" s="108" t="s">
        <v>1787</v>
      </c>
      <c r="H2701" s="111" t="s">
        <v>16</v>
      </c>
    </row>
    <row r="2702" spans="1:8" ht="33" x14ac:dyDescent="0.2">
      <c r="A2702" s="108">
        <v>2</v>
      </c>
      <c r="B2702" s="108" t="s">
        <v>1786</v>
      </c>
      <c r="C2702" s="110" t="s">
        <v>30</v>
      </c>
      <c r="D2702" s="109">
        <v>2.15</v>
      </c>
      <c r="E2702" s="109">
        <v>194.25</v>
      </c>
      <c r="F2702" s="109">
        <v>417.64</v>
      </c>
      <c r="G2702" s="108" t="s">
        <v>1785</v>
      </c>
      <c r="H2702" s="111" t="s">
        <v>16</v>
      </c>
    </row>
    <row r="2703" spans="1:8" ht="33" x14ac:dyDescent="0.2">
      <c r="A2703" s="108">
        <v>3</v>
      </c>
      <c r="B2703" s="108" t="s">
        <v>1784</v>
      </c>
      <c r="C2703" s="110" t="s">
        <v>30</v>
      </c>
      <c r="D2703" s="109">
        <v>8</v>
      </c>
      <c r="E2703" s="109">
        <v>65.099999999999994</v>
      </c>
      <c r="F2703" s="109">
        <v>520.79999999999995</v>
      </c>
      <c r="G2703" s="108" t="s">
        <v>1783</v>
      </c>
      <c r="H2703" s="111" t="s">
        <v>16</v>
      </c>
    </row>
    <row r="2704" spans="1:8" ht="33" x14ac:dyDescent="0.2">
      <c r="A2704" s="108">
        <v>4</v>
      </c>
      <c r="B2704" s="108" t="s">
        <v>1782</v>
      </c>
      <c r="C2704" s="110" t="s">
        <v>14</v>
      </c>
      <c r="D2704" s="109">
        <v>1</v>
      </c>
      <c r="E2704" s="109">
        <v>2960</v>
      </c>
      <c r="F2704" s="109">
        <v>2960</v>
      </c>
      <c r="G2704" s="108" t="s">
        <v>1781</v>
      </c>
      <c r="H2704" s="111" t="s">
        <v>16</v>
      </c>
    </row>
    <row r="2705" spans="1:8" ht="33" x14ac:dyDescent="0.2">
      <c r="A2705" s="108">
        <v>5</v>
      </c>
      <c r="B2705" s="108" t="s">
        <v>1518</v>
      </c>
      <c r="C2705" s="110" t="s">
        <v>14</v>
      </c>
      <c r="D2705" s="109">
        <v>1</v>
      </c>
      <c r="E2705" s="109">
        <v>342.22</v>
      </c>
      <c r="F2705" s="109">
        <v>342.22</v>
      </c>
      <c r="G2705" s="108" t="s">
        <v>1517</v>
      </c>
      <c r="H2705" s="111" t="s">
        <v>16</v>
      </c>
    </row>
    <row r="2706" spans="1:8" ht="33" x14ac:dyDescent="0.2">
      <c r="A2706" s="108"/>
      <c r="B2706" s="108" t="s">
        <v>1516</v>
      </c>
      <c r="C2706" s="110" t="s">
        <v>30</v>
      </c>
      <c r="D2706" s="109">
        <v>40</v>
      </c>
      <c r="E2706" s="109"/>
      <c r="F2706" s="109">
        <v>11749.5</v>
      </c>
      <c r="G2706" s="108"/>
      <c r="H2706" s="111" t="s">
        <v>16</v>
      </c>
    </row>
    <row r="2707" spans="1:8" ht="33" x14ac:dyDescent="0.2">
      <c r="A2707" s="108"/>
      <c r="B2707" s="108" t="s">
        <v>1515</v>
      </c>
      <c r="C2707" s="110" t="s">
        <v>30</v>
      </c>
      <c r="D2707" s="109"/>
      <c r="E2707" s="109"/>
      <c r="F2707" s="109">
        <v>293.74</v>
      </c>
      <c r="G2707" s="108"/>
      <c r="H2707" s="111" t="s">
        <v>16</v>
      </c>
    </row>
    <row r="2708" spans="1:8" ht="16.5" x14ac:dyDescent="0.2">
      <c r="A2708" s="108"/>
      <c r="B2708" s="108"/>
      <c r="C2708" s="110"/>
      <c r="D2708" s="109"/>
      <c r="E2708" s="109"/>
      <c r="F2708" s="109"/>
      <c r="G2708" s="108"/>
    </row>
    <row r="2709" spans="1:8" ht="33" x14ac:dyDescent="0.2">
      <c r="A2709" s="108" t="s">
        <v>1780</v>
      </c>
      <c r="B2709" s="108" t="s">
        <v>1779</v>
      </c>
      <c r="C2709" s="110" t="s">
        <v>103</v>
      </c>
      <c r="D2709" s="109">
        <v>1</v>
      </c>
      <c r="E2709" s="109">
        <v>1465.18</v>
      </c>
      <c r="F2709" s="109"/>
      <c r="G2709" s="108" t="s">
        <v>1778</v>
      </c>
      <c r="H2709" s="111" t="s">
        <v>16</v>
      </c>
    </row>
    <row r="2710" spans="1:8" ht="33" x14ac:dyDescent="0.2">
      <c r="A2710" s="108">
        <v>1</v>
      </c>
      <c r="B2710" s="108" t="s">
        <v>1777</v>
      </c>
      <c r="C2710" s="110" t="s">
        <v>1722</v>
      </c>
      <c r="D2710" s="109">
        <v>1.25</v>
      </c>
      <c r="E2710" s="109">
        <v>690</v>
      </c>
      <c r="F2710" s="109">
        <v>862.5</v>
      </c>
      <c r="G2710" s="108" t="s">
        <v>1776</v>
      </c>
      <c r="H2710" s="111" t="s">
        <v>16</v>
      </c>
    </row>
    <row r="2711" spans="1:8" ht="33" x14ac:dyDescent="0.2">
      <c r="A2711" s="108">
        <v>2</v>
      </c>
      <c r="B2711" s="108" t="s">
        <v>1527</v>
      </c>
      <c r="C2711" s="110" t="s">
        <v>97</v>
      </c>
      <c r="D2711" s="109">
        <v>2</v>
      </c>
      <c r="E2711" s="109">
        <v>280</v>
      </c>
      <c r="F2711" s="109">
        <v>560</v>
      </c>
      <c r="G2711" s="108" t="s">
        <v>1535</v>
      </c>
      <c r="H2711" s="111" t="s">
        <v>16</v>
      </c>
    </row>
    <row r="2712" spans="1:8" ht="33" x14ac:dyDescent="0.2">
      <c r="A2712" s="108">
        <v>3</v>
      </c>
      <c r="B2712" s="108" t="s">
        <v>1543</v>
      </c>
      <c r="C2712" s="110" t="s">
        <v>14</v>
      </c>
      <c r="D2712" s="109">
        <v>1</v>
      </c>
      <c r="E2712" s="109">
        <v>42.68</v>
      </c>
      <c r="F2712" s="109">
        <v>42.68</v>
      </c>
      <c r="G2712" s="108" t="s">
        <v>1542</v>
      </c>
      <c r="H2712" s="111" t="s">
        <v>16</v>
      </c>
    </row>
    <row r="2713" spans="1:8" ht="33" x14ac:dyDescent="0.2">
      <c r="A2713" s="108"/>
      <c r="B2713" s="108" t="s">
        <v>1516</v>
      </c>
      <c r="C2713" s="110" t="s">
        <v>103</v>
      </c>
      <c r="D2713" s="109">
        <v>1</v>
      </c>
      <c r="E2713" s="109"/>
      <c r="F2713" s="109">
        <v>1465.18</v>
      </c>
      <c r="G2713" s="108"/>
      <c r="H2713" s="111" t="s">
        <v>16</v>
      </c>
    </row>
    <row r="2714" spans="1:8" ht="33" x14ac:dyDescent="0.2">
      <c r="A2714" s="108"/>
      <c r="B2714" s="108" t="s">
        <v>1515</v>
      </c>
      <c r="C2714" s="110" t="s">
        <v>103</v>
      </c>
      <c r="D2714" s="109"/>
      <c r="E2714" s="109"/>
      <c r="F2714" s="109">
        <v>1465.18</v>
      </c>
      <c r="G2714" s="108"/>
      <c r="H2714" s="111" t="s">
        <v>16</v>
      </c>
    </row>
    <row r="2715" spans="1:8" ht="16.5" x14ac:dyDescent="0.2">
      <c r="A2715" s="108"/>
      <c r="B2715" s="108"/>
      <c r="C2715" s="110"/>
      <c r="D2715" s="109"/>
      <c r="E2715" s="109"/>
      <c r="F2715" s="109"/>
      <c r="G2715" s="108"/>
    </row>
    <row r="2716" spans="1:8" ht="33" x14ac:dyDescent="0.2">
      <c r="A2716" s="108" t="s">
        <v>1775</v>
      </c>
      <c r="B2716" s="108" t="s">
        <v>1774</v>
      </c>
      <c r="C2716" s="110" t="s">
        <v>50</v>
      </c>
      <c r="D2716" s="109">
        <v>1</v>
      </c>
      <c r="E2716" s="109">
        <v>458.74</v>
      </c>
      <c r="F2716" s="109"/>
      <c r="G2716" s="108" t="s">
        <v>1773</v>
      </c>
      <c r="H2716" s="111" t="s">
        <v>16</v>
      </c>
    </row>
    <row r="2717" spans="1:8" ht="33" x14ac:dyDescent="0.2">
      <c r="A2717" s="108">
        <v>1</v>
      </c>
      <c r="B2717" s="108" t="s">
        <v>1596</v>
      </c>
      <c r="C2717" s="110" t="s">
        <v>23</v>
      </c>
      <c r="D2717" s="109">
        <v>0.02</v>
      </c>
      <c r="E2717" s="109">
        <v>3733.75</v>
      </c>
      <c r="F2717" s="109">
        <v>74.680000000000007</v>
      </c>
      <c r="G2717" s="108" t="s">
        <v>1595</v>
      </c>
      <c r="H2717" s="111" t="s">
        <v>16</v>
      </c>
    </row>
    <row r="2718" spans="1:8" ht="33" x14ac:dyDescent="0.2">
      <c r="A2718" s="108">
        <v>2</v>
      </c>
      <c r="B2718" s="108" t="s">
        <v>1594</v>
      </c>
      <c r="C2718" s="110" t="s">
        <v>97</v>
      </c>
      <c r="D2718" s="109">
        <v>0.66</v>
      </c>
      <c r="E2718" s="109">
        <v>375</v>
      </c>
      <c r="F2718" s="109">
        <v>247.5</v>
      </c>
      <c r="G2718" s="108" t="s">
        <v>1593</v>
      </c>
      <c r="H2718" s="111" t="s">
        <v>16</v>
      </c>
    </row>
    <row r="2719" spans="1:8" ht="33" x14ac:dyDescent="0.2">
      <c r="A2719" s="108">
        <v>3</v>
      </c>
      <c r="B2719" s="108" t="s">
        <v>1672</v>
      </c>
      <c r="C2719" s="110" t="s">
        <v>97</v>
      </c>
      <c r="D2719" s="109">
        <v>0.44</v>
      </c>
      <c r="E2719" s="109">
        <v>280</v>
      </c>
      <c r="F2719" s="109">
        <v>123.2</v>
      </c>
      <c r="G2719" s="108" t="s">
        <v>1671</v>
      </c>
      <c r="H2719" s="111" t="s">
        <v>16</v>
      </c>
    </row>
    <row r="2720" spans="1:8" ht="33" x14ac:dyDescent="0.2">
      <c r="A2720" s="108">
        <v>4</v>
      </c>
      <c r="B2720" s="108" t="s">
        <v>1543</v>
      </c>
      <c r="C2720" s="110" t="s">
        <v>14</v>
      </c>
      <c r="D2720" s="109">
        <v>1</v>
      </c>
      <c r="E2720" s="109">
        <v>13.36</v>
      </c>
      <c r="F2720" s="109">
        <v>13.36</v>
      </c>
      <c r="G2720" s="108" t="s">
        <v>1542</v>
      </c>
      <c r="H2720" s="111" t="s">
        <v>16</v>
      </c>
    </row>
    <row r="2721" spans="1:8" ht="33" x14ac:dyDescent="0.2">
      <c r="A2721" s="108"/>
      <c r="B2721" s="108" t="s">
        <v>1516</v>
      </c>
      <c r="C2721" s="110" t="s">
        <v>50</v>
      </c>
      <c r="D2721" s="109">
        <v>1</v>
      </c>
      <c r="E2721" s="109"/>
      <c r="F2721" s="109">
        <v>458.74</v>
      </c>
      <c r="G2721" s="108"/>
      <c r="H2721" s="111" t="s">
        <v>16</v>
      </c>
    </row>
    <row r="2722" spans="1:8" ht="33" x14ac:dyDescent="0.2">
      <c r="A2722" s="108"/>
      <c r="B2722" s="108" t="s">
        <v>1515</v>
      </c>
      <c r="C2722" s="110" t="s">
        <v>50</v>
      </c>
      <c r="D2722" s="109"/>
      <c r="E2722" s="109"/>
      <c r="F2722" s="109">
        <v>458.74</v>
      </c>
      <c r="G2722" s="108"/>
      <c r="H2722" s="111" t="s">
        <v>16</v>
      </c>
    </row>
    <row r="2723" spans="1:8" ht="16.5" x14ac:dyDescent="0.2">
      <c r="A2723" s="108"/>
      <c r="B2723" s="108"/>
      <c r="C2723" s="110"/>
      <c r="D2723" s="109"/>
      <c r="E2723" s="109"/>
      <c r="F2723" s="109"/>
      <c r="G2723" s="108"/>
    </row>
    <row r="2724" spans="1:8" ht="33" x14ac:dyDescent="0.2">
      <c r="A2724" s="108" t="s">
        <v>1772</v>
      </c>
      <c r="B2724" s="108" t="s">
        <v>1771</v>
      </c>
      <c r="C2724" s="110" t="s">
        <v>23</v>
      </c>
      <c r="D2724" s="109">
        <v>1</v>
      </c>
      <c r="E2724" s="109">
        <v>5883.98</v>
      </c>
      <c r="F2724" s="109"/>
      <c r="G2724" s="108" t="s">
        <v>1770</v>
      </c>
      <c r="H2724" s="111" t="s">
        <v>16</v>
      </c>
    </row>
    <row r="2725" spans="1:8" ht="33" x14ac:dyDescent="0.2">
      <c r="A2725" s="108">
        <v>1</v>
      </c>
      <c r="B2725" s="108" t="s">
        <v>1769</v>
      </c>
      <c r="C2725" s="110" t="s">
        <v>23</v>
      </c>
      <c r="D2725" s="109">
        <v>1</v>
      </c>
      <c r="E2725" s="109">
        <v>362.6</v>
      </c>
      <c r="F2725" s="109">
        <v>362.6</v>
      </c>
      <c r="G2725" s="108" t="s">
        <v>1768</v>
      </c>
      <c r="H2725" s="111" t="s">
        <v>16</v>
      </c>
    </row>
    <row r="2726" spans="1:8" ht="42.75" x14ac:dyDescent="0.2">
      <c r="A2726" s="108">
        <v>2</v>
      </c>
      <c r="B2726" s="108" t="s">
        <v>1767</v>
      </c>
      <c r="C2726" s="110" t="s">
        <v>23</v>
      </c>
      <c r="D2726" s="109">
        <v>1</v>
      </c>
      <c r="E2726" s="109">
        <v>5324</v>
      </c>
      <c r="F2726" s="109">
        <v>5324</v>
      </c>
      <c r="G2726" s="108" t="s">
        <v>1766</v>
      </c>
      <c r="H2726" s="111" t="s">
        <v>16</v>
      </c>
    </row>
    <row r="2727" spans="1:8" ht="33" x14ac:dyDescent="0.2">
      <c r="A2727" s="108">
        <v>3</v>
      </c>
      <c r="B2727" s="108" t="s">
        <v>1765</v>
      </c>
      <c r="C2727" s="110" t="s">
        <v>23</v>
      </c>
      <c r="D2727" s="109">
        <v>1</v>
      </c>
      <c r="E2727" s="109">
        <v>26</v>
      </c>
      <c r="F2727" s="109">
        <v>26</v>
      </c>
      <c r="G2727" s="108" t="s">
        <v>1764</v>
      </c>
      <c r="H2727" s="111" t="s">
        <v>16</v>
      </c>
    </row>
    <row r="2728" spans="1:8" ht="33" x14ac:dyDescent="0.2">
      <c r="A2728" s="108">
        <v>4</v>
      </c>
      <c r="B2728" s="108" t="s">
        <v>1518</v>
      </c>
      <c r="C2728" s="110" t="s">
        <v>14</v>
      </c>
      <c r="D2728" s="109">
        <v>1</v>
      </c>
      <c r="E2728" s="109">
        <v>171.38</v>
      </c>
      <c r="F2728" s="109">
        <v>171.38</v>
      </c>
      <c r="G2728" s="108" t="s">
        <v>1517</v>
      </c>
      <c r="H2728" s="111" t="s">
        <v>16</v>
      </c>
    </row>
    <row r="2729" spans="1:8" ht="33" x14ac:dyDescent="0.2">
      <c r="A2729" s="108"/>
      <c r="B2729" s="108" t="s">
        <v>1516</v>
      </c>
      <c r="C2729" s="110" t="s">
        <v>23</v>
      </c>
      <c r="D2729" s="109">
        <v>1</v>
      </c>
      <c r="E2729" s="109"/>
      <c r="F2729" s="109">
        <v>5883.9800000000005</v>
      </c>
      <c r="G2729" s="108"/>
      <c r="H2729" s="111" t="s">
        <v>16</v>
      </c>
    </row>
    <row r="2730" spans="1:8" ht="33" x14ac:dyDescent="0.2">
      <c r="A2730" s="108"/>
      <c r="B2730" s="108" t="s">
        <v>1515</v>
      </c>
      <c r="C2730" s="110" t="s">
        <v>23</v>
      </c>
      <c r="D2730" s="109"/>
      <c r="E2730" s="109"/>
      <c r="F2730" s="109">
        <v>5883.98</v>
      </c>
      <c r="G2730" s="108"/>
      <c r="H2730" s="111" t="s">
        <v>16</v>
      </c>
    </row>
    <row r="2731" spans="1:8" ht="16.5" x14ac:dyDescent="0.2">
      <c r="A2731" s="108"/>
      <c r="B2731" s="108"/>
      <c r="C2731" s="110"/>
      <c r="D2731" s="109"/>
      <c r="E2731" s="109"/>
      <c r="F2731" s="109"/>
      <c r="G2731" s="108"/>
    </row>
    <row r="2732" spans="1:8" ht="33" x14ac:dyDescent="0.2">
      <c r="A2732" s="108" t="s">
        <v>1763</v>
      </c>
      <c r="B2732" s="108" t="s">
        <v>1762</v>
      </c>
      <c r="C2732" s="110" t="s">
        <v>50</v>
      </c>
      <c r="D2732" s="109">
        <v>1</v>
      </c>
      <c r="E2732" s="109">
        <v>3090</v>
      </c>
      <c r="F2732" s="109"/>
      <c r="G2732" s="108" t="s">
        <v>1761</v>
      </c>
      <c r="H2732" s="111" t="s">
        <v>16</v>
      </c>
    </row>
    <row r="2733" spans="1:8" ht="57" x14ac:dyDescent="0.2">
      <c r="A2733" s="108">
        <v>1</v>
      </c>
      <c r="B2733" s="108" t="s">
        <v>1760</v>
      </c>
      <c r="C2733" s="110" t="s">
        <v>50</v>
      </c>
      <c r="D2733" s="109">
        <v>1</v>
      </c>
      <c r="E2733" s="109">
        <v>2460</v>
      </c>
      <c r="F2733" s="109">
        <v>2460</v>
      </c>
      <c r="G2733" s="108" t="s">
        <v>1759</v>
      </c>
      <c r="H2733" s="111" t="s">
        <v>16</v>
      </c>
    </row>
    <row r="2734" spans="1:8" ht="33" x14ac:dyDescent="0.2">
      <c r="A2734" s="108">
        <v>2</v>
      </c>
      <c r="B2734" s="108" t="s">
        <v>1527</v>
      </c>
      <c r="C2734" s="110" t="s">
        <v>97</v>
      </c>
      <c r="D2734" s="109">
        <v>1</v>
      </c>
      <c r="E2734" s="109">
        <v>280</v>
      </c>
      <c r="F2734" s="109">
        <v>280</v>
      </c>
      <c r="G2734" s="108" t="s">
        <v>1535</v>
      </c>
      <c r="H2734" s="111" t="s">
        <v>16</v>
      </c>
    </row>
    <row r="2735" spans="1:8" ht="33" x14ac:dyDescent="0.2">
      <c r="A2735" s="108">
        <v>3</v>
      </c>
      <c r="B2735" s="108" t="s">
        <v>1758</v>
      </c>
      <c r="C2735" s="110" t="s">
        <v>14</v>
      </c>
      <c r="D2735" s="109">
        <v>1</v>
      </c>
      <c r="E2735" s="109">
        <v>100</v>
      </c>
      <c r="F2735" s="109">
        <v>100</v>
      </c>
      <c r="G2735" s="108" t="s">
        <v>1757</v>
      </c>
      <c r="H2735" s="111" t="s">
        <v>16</v>
      </c>
    </row>
    <row r="2736" spans="1:8" ht="33" x14ac:dyDescent="0.2">
      <c r="A2736" s="108">
        <v>4</v>
      </c>
      <c r="B2736" s="108" t="s">
        <v>1756</v>
      </c>
      <c r="C2736" s="110" t="s">
        <v>14</v>
      </c>
      <c r="D2736" s="109">
        <v>1</v>
      </c>
      <c r="E2736" s="109">
        <v>160</v>
      </c>
      <c r="F2736" s="109">
        <v>160</v>
      </c>
      <c r="G2736" s="108" t="s">
        <v>1755</v>
      </c>
      <c r="H2736" s="111" t="s">
        <v>16</v>
      </c>
    </row>
    <row r="2737" spans="1:8" ht="33" x14ac:dyDescent="0.2">
      <c r="A2737" s="108">
        <v>5</v>
      </c>
      <c r="B2737" s="108" t="s">
        <v>1518</v>
      </c>
      <c r="C2737" s="110" t="s">
        <v>14</v>
      </c>
      <c r="D2737" s="109">
        <v>1</v>
      </c>
      <c r="E2737" s="109">
        <v>90</v>
      </c>
      <c r="F2737" s="109">
        <v>90</v>
      </c>
      <c r="G2737" s="108" t="s">
        <v>1517</v>
      </c>
      <c r="H2737" s="111" t="s">
        <v>16</v>
      </c>
    </row>
    <row r="2738" spans="1:8" ht="33" x14ac:dyDescent="0.2">
      <c r="A2738" s="108"/>
      <c r="B2738" s="108" t="s">
        <v>1516</v>
      </c>
      <c r="C2738" s="110" t="s">
        <v>50</v>
      </c>
      <c r="D2738" s="109">
        <v>1</v>
      </c>
      <c r="E2738" s="109"/>
      <c r="F2738" s="109">
        <v>3090</v>
      </c>
      <c r="G2738" s="108"/>
      <c r="H2738" s="111" t="s">
        <v>16</v>
      </c>
    </row>
    <row r="2739" spans="1:8" ht="33" x14ac:dyDescent="0.2">
      <c r="A2739" s="108"/>
      <c r="B2739" s="108" t="s">
        <v>1515</v>
      </c>
      <c r="C2739" s="110" t="s">
        <v>50</v>
      </c>
      <c r="D2739" s="109"/>
      <c r="E2739" s="109"/>
      <c r="F2739" s="109">
        <v>3090</v>
      </c>
      <c r="G2739" s="108"/>
      <c r="H2739" s="111" t="s">
        <v>16</v>
      </c>
    </row>
    <row r="2740" spans="1:8" ht="16.5" x14ac:dyDescent="0.2">
      <c r="A2740" s="108"/>
      <c r="B2740" s="108"/>
      <c r="C2740" s="110"/>
      <c r="D2740" s="109"/>
      <c r="E2740" s="109"/>
      <c r="F2740" s="109"/>
      <c r="G2740" s="108"/>
    </row>
    <row r="2741" spans="1:8" ht="33" x14ac:dyDescent="0.2">
      <c r="A2741" s="108" t="s">
        <v>1754</v>
      </c>
      <c r="B2741" s="108" t="s">
        <v>1596</v>
      </c>
      <c r="C2741" s="110" t="s">
        <v>23</v>
      </c>
      <c r="D2741" s="109">
        <v>1</v>
      </c>
      <c r="E2741" s="109">
        <v>3733.75</v>
      </c>
      <c r="F2741" s="109"/>
      <c r="G2741" s="108" t="s">
        <v>1753</v>
      </c>
      <c r="H2741" s="111" t="s">
        <v>16</v>
      </c>
    </row>
    <row r="2742" spans="1:8" ht="33" x14ac:dyDescent="0.2">
      <c r="A2742" s="108">
        <v>1</v>
      </c>
      <c r="B2742" s="108" t="s">
        <v>1685</v>
      </c>
      <c r="C2742" s="110" t="s">
        <v>1684</v>
      </c>
      <c r="D2742" s="109">
        <v>9</v>
      </c>
      <c r="E2742" s="109">
        <v>185</v>
      </c>
      <c r="F2742" s="109">
        <v>1665</v>
      </c>
      <c r="G2742" s="108" t="s">
        <v>1683</v>
      </c>
      <c r="H2742" s="111" t="s">
        <v>16</v>
      </c>
    </row>
    <row r="2743" spans="1:8" ht="33" x14ac:dyDescent="0.2">
      <c r="A2743" s="108">
        <v>2</v>
      </c>
      <c r="B2743" s="108" t="s">
        <v>1752</v>
      </c>
      <c r="C2743" s="110" t="s">
        <v>1722</v>
      </c>
      <c r="D2743" s="109">
        <v>0.95</v>
      </c>
      <c r="E2743" s="109">
        <v>1120</v>
      </c>
      <c r="F2743" s="109">
        <v>1064</v>
      </c>
      <c r="G2743" s="108" t="s">
        <v>1751</v>
      </c>
      <c r="H2743" s="111" t="s">
        <v>16</v>
      </c>
    </row>
    <row r="2744" spans="1:8" ht="33" x14ac:dyDescent="0.2">
      <c r="A2744" s="108">
        <v>3</v>
      </c>
      <c r="B2744" s="108" t="s">
        <v>1527</v>
      </c>
      <c r="C2744" s="110" t="s">
        <v>97</v>
      </c>
      <c r="D2744" s="109">
        <v>3.2</v>
      </c>
      <c r="E2744" s="109">
        <v>280</v>
      </c>
      <c r="F2744" s="109">
        <v>896</v>
      </c>
      <c r="G2744" s="108" t="s">
        <v>1535</v>
      </c>
      <c r="H2744" s="111" t="s">
        <v>16</v>
      </c>
    </row>
    <row r="2745" spans="1:8" ht="33" x14ac:dyDescent="0.2">
      <c r="A2745" s="108">
        <v>4</v>
      </c>
      <c r="B2745" s="108" t="s">
        <v>1543</v>
      </c>
      <c r="C2745" s="110" t="s">
        <v>14</v>
      </c>
      <c r="D2745" s="109">
        <v>1</v>
      </c>
      <c r="E2745" s="109">
        <v>108.75</v>
      </c>
      <c r="F2745" s="109">
        <v>108.75</v>
      </c>
      <c r="G2745" s="108" t="s">
        <v>1542</v>
      </c>
      <c r="H2745" s="111" t="s">
        <v>16</v>
      </c>
    </row>
    <row r="2746" spans="1:8" ht="33" x14ac:dyDescent="0.2">
      <c r="A2746" s="108"/>
      <c r="B2746" s="108" t="s">
        <v>1516</v>
      </c>
      <c r="C2746" s="110" t="s">
        <v>23</v>
      </c>
      <c r="D2746" s="109">
        <v>1</v>
      </c>
      <c r="E2746" s="109"/>
      <c r="F2746" s="109">
        <v>3733.75</v>
      </c>
      <c r="G2746" s="108"/>
      <c r="H2746" s="111" t="s">
        <v>16</v>
      </c>
    </row>
    <row r="2747" spans="1:8" ht="33" x14ac:dyDescent="0.2">
      <c r="A2747" s="108"/>
      <c r="B2747" s="108" t="s">
        <v>1515</v>
      </c>
      <c r="C2747" s="110" t="s">
        <v>23</v>
      </c>
      <c r="D2747" s="109"/>
      <c r="E2747" s="109"/>
      <c r="F2747" s="109">
        <v>3733.75</v>
      </c>
      <c r="G2747" s="108"/>
      <c r="H2747" s="111" t="s">
        <v>16</v>
      </c>
    </row>
    <row r="2748" spans="1:8" ht="16.5" x14ac:dyDescent="0.2">
      <c r="A2748" s="108"/>
      <c r="B2748" s="108"/>
      <c r="C2748" s="110"/>
      <c r="D2748" s="109"/>
      <c r="E2748" s="109"/>
      <c r="F2748" s="109"/>
      <c r="G2748" s="108"/>
    </row>
    <row r="2749" spans="1:8" ht="33" x14ac:dyDescent="0.2">
      <c r="A2749" s="108" t="s">
        <v>1750</v>
      </c>
      <c r="B2749" s="108" t="s">
        <v>1749</v>
      </c>
      <c r="C2749" s="110" t="s">
        <v>50</v>
      </c>
      <c r="D2749" s="109">
        <v>10</v>
      </c>
      <c r="E2749" s="109">
        <v>1604.92</v>
      </c>
      <c r="F2749" s="109"/>
      <c r="G2749" s="108" t="s">
        <v>1748</v>
      </c>
      <c r="H2749" s="111" t="s">
        <v>16</v>
      </c>
    </row>
    <row r="2750" spans="1:8" ht="33" x14ac:dyDescent="0.2">
      <c r="A2750" s="108">
        <v>1</v>
      </c>
      <c r="B2750" s="108" t="s">
        <v>1747</v>
      </c>
      <c r="C2750" s="110" t="s">
        <v>50</v>
      </c>
      <c r="D2750" s="109">
        <v>10.5</v>
      </c>
      <c r="E2750" s="109">
        <v>750</v>
      </c>
      <c r="F2750" s="109">
        <v>7875</v>
      </c>
      <c r="G2750" s="108" t="s">
        <v>1746</v>
      </c>
      <c r="H2750" s="111" t="s">
        <v>16</v>
      </c>
    </row>
    <row r="2751" spans="1:8" ht="33" x14ac:dyDescent="0.2">
      <c r="A2751" s="108">
        <v>2</v>
      </c>
      <c r="B2751" s="108" t="s">
        <v>1596</v>
      </c>
      <c r="C2751" s="110" t="s">
        <v>23</v>
      </c>
      <c r="D2751" s="109">
        <v>0.2</v>
      </c>
      <c r="E2751" s="109">
        <v>3733.75</v>
      </c>
      <c r="F2751" s="109">
        <v>746.75</v>
      </c>
      <c r="G2751" s="108" t="s">
        <v>1595</v>
      </c>
      <c r="H2751" s="111" t="s">
        <v>16</v>
      </c>
    </row>
    <row r="2752" spans="1:8" ht="33" x14ac:dyDescent="0.2">
      <c r="A2752" s="108">
        <v>3</v>
      </c>
      <c r="B2752" s="108" t="s">
        <v>1676</v>
      </c>
      <c r="C2752" s="110" t="s">
        <v>97</v>
      </c>
      <c r="D2752" s="109">
        <v>9.6</v>
      </c>
      <c r="E2752" s="109">
        <v>375</v>
      </c>
      <c r="F2752" s="109">
        <v>3600</v>
      </c>
      <c r="G2752" s="108" t="s">
        <v>1675</v>
      </c>
      <c r="H2752" s="111" t="s">
        <v>16</v>
      </c>
    </row>
    <row r="2753" spans="1:8" ht="33" x14ac:dyDescent="0.2">
      <c r="A2753" s="108">
        <v>4</v>
      </c>
      <c r="B2753" s="108" t="s">
        <v>1527</v>
      </c>
      <c r="C2753" s="110" t="s">
        <v>97</v>
      </c>
      <c r="D2753" s="109">
        <v>12</v>
      </c>
      <c r="E2753" s="109">
        <v>280</v>
      </c>
      <c r="F2753" s="109">
        <v>3360</v>
      </c>
      <c r="G2753" s="108" t="s">
        <v>1535</v>
      </c>
      <c r="H2753" s="111" t="s">
        <v>16</v>
      </c>
    </row>
    <row r="2754" spans="1:8" ht="33" x14ac:dyDescent="0.2">
      <c r="A2754" s="108">
        <v>5</v>
      </c>
      <c r="B2754" s="108" t="s">
        <v>1518</v>
      </c>
      <c r="C2754" s="110" t="s">
        <v>14</v>
      </c>
      <c r="D2754" s="109">
        <v>1</v>
      </c>
      <c r="E2754" s="109">
        <v>467.45</v>
      </c>
      <c r="F2754" s="109">
        <v>467.45</v>
      </c>
      <c r="G2754" s="108" t="s">
        <v>1517</v>
      </c>
      <c r="H2754" s="111" t="s">
        <v>16</v>
      </c>
    </row>
    <row r="2755" spans="1:8" ht="33" x14ac:dyDescent="0.2">
      <c r="A2755" s="108"/>
      <c r="B2755" s="108" t="s">
        <v>1516</v>
      </c>
      <c r="C2755" s="110" t="s">
        <v>50</v>
      </c>
      <c r="D2755" s="109">
        <v>10</v>
      </c>
      <c r="E2755" s="109"/>
      <c r="F2755" s="109">
        <v>16049.2</v>
      </c>
      <c r="G2755" s="108"/>
      <c r="H2755" s="111" t="s">
        <v>16</v>
      </c>
    </row>
    <row r="2756" spans="1:8" ht="33" x14ac:dyDescent="0.2">
      <c r="A2756" s="108"/>
      <c r="B2756" s="108" t="s">
        <v>1515</v>
      </c>
      <c r="C2756" s="110" t="s">
        <v>50</v>
      </c>
      <c r="D2756" s="109"/>
      <c r="E2756" s="109"/>
      <c r="F2756" s="109">
        <v>1604.92</v>
      </c>
      <c r="G2756" s="108"/>
      <c r="H2756" s="111" t="s">
        <v>16</v>
      </c>
    </row>
    <row r="2757" spans="1:8" ht="16.5" x14ac:dyDescent="0.2">
      <c r="A2757" s="108"/>
      <c r="B2757" s="108"/>
      <c r="C2757" s="110"/>
      <c r="D2757" s="109"/>
      <c r="E2757" s="109"/>
      <c r="F2757" s="109"/>
      <c r="G2757" s="108"/>
    </row>
    <row r="2758" spans="1:8" ht="33" x14ac:dyDescent="0.2">
      <c r="A2758" s="108" t="s">
        <v>1745</v>
      </c>
      <c r="B2758" s="108" t="s">
        <v>1744</v>
      </c>
      <c r="C2758" s="110" t="s">
        <v>50</v>
      </c>
      <c r="D2758" s="109">
        <v>1</v>
      </c>
      <c r="E2758" s="109">
        <v>1537.36</v>
      </c>
      <c r="F2758" s="109"/>
      <c r="G2758" s="108" t="s">
        <v>1743</v>
      </c>
      <c r="H2758" s="111" t="s">
        <v>16</v>
      </c>
    </row>
    <row r="2759" spans="1:8" ht="33" x14ac:dyDescent="0.2">
      <c r="A2759" s="108">
        <v>1</v>
      </c>
      <c r="B2759" s="108" t="s">
        <v>1685</v>
      </c>
      <c r="C2759" s="110" t="s">
        <v>1684</v>
      </c>
      <c r="D2759" s="109">
        <v>0.14000000000000001</v>
      </c>
      <c r="E2759" s="109">
        <v>185</v>
      </c>
      <c r="F2759" s="109">
        <v>25.9</v>
      </c>
      <c r="G2759" s="108" t="s">
        <v>1683</v>
      </c>
      <c r="H2759" s="111" t="s">
        <v>16</v>
      </c>
    </row>
    <row r="2760" spans="1:8" ht="33" x14ac:dyDescent="0.2">
      <c r="A2760" s="108">
        <v>2</v>
      </c>
      <c r="B2760" s="108" t="s">
        <v>1682</v>
      </c>
      <c r="C2760" s="110" t="s">
        <v>110</v>
      </c>
      <c r="D2760" s="109">
        <v>12</v>
      </c>
      <c r="E2760" s="109">
        <v>15</v>
      </c>
      <c r="F2760" s="109">
        <v>180</v>
      </c>
      <c r="G2760" s="108" t="s">
        <v>1681</v>
      </c>
      <c r="H2760" s="111" t="s">
        <v>16</v>
      </c>
    </row>
    <row r="2761" spans="1:8" ht="33" x14ac:dyDescent="0.2">
      <c r="A2761" s="108">
        <v>3</v>
      </c>
      <c r="B2761" s="108" t="s">
        <v>1742</v>
      </c>
      <c r="C2761" s="110" t="s">
        <v>50</v>
      </c>
      <c r="D2761" s="109">
        <v>1</v>
      </c>
      <c r="E2761" s="109">
        <v>12</v>
      </c>
      <c r="F2761" s="109">
        <v>12</v>
      </c>
      <c r="G2761" s="108" t="s">
        <v>1741</v>
      </c>
      <c r="H2761" s="111" t="s">
        <v>16</v>
      </c>
    </row>
    <row r="2762" spans="1:8" ht="33" x14ac:dyDescent="0.2">
      <c r="A2762" s="108">
        <v>4</v>
      </c>
      <c r="B2762" s="108" t="s">
        <v>1740</v>
      </c>
      <c r="C2762" s="110" t="s">
        <v>50</v>
      </c>
      <c r="D2762" s="109">
        <v>1</v>
      </c>
      <c r="E2762" s="109">
        <v>150</v>
      </c>
      <c r="F2762" s="109">
        <v>150</v>
      </c>
      <c r="G2762" s="108" t="s">
        <v>1739</v>
      </c>
      <c r="H2762" s="111" t="s">
        <v>16</v>
      </c>
    </row>
    <row r="2763" spans="1:8" ht="33" x14ac:dyDescent="0.2">
      <c r="A2763" s="108">
        <v>5</v>
      </c>
      <c r="B2763" s="108" t="s">
        <v>1596</v>
      </c>
      <c r="C2763" s="110" t="s">
        <v>23</v>
      </c>
      <c r="D2763" s="109">
        <v>0.02</v>
      </c>
      <c r="E2763" s="109">
        <v>3733.75</v>
      </c>
      <c r="F2763" s="109">
        <v>74.680000000000007</v>
      </c>
      <c r="G2763" s="108" t="s">
        <v>1595</v>
      </c>
      <c r="H2763" s="111" t="s">
        <v>16</v>
      </c>
    </row>
    <row r="2764" spans="1:8" ht="33" x14ac:dyDescent="0.2">
      <c r="A2764" s="108">
        <v>6</v>
      </c>
      <c r="B2764" s="108" t="s">
        <v>1676</v>
      </c>
      <c r="C2764" s="110" t="s">
        <v>97</v>
      </c>
      <c r="D2764" s="109">
        <v>1.2</v>
      </c>
      <c r="E2764" s="109">
        <v>375</v>
      </c>
      <c r="F2764" s="109">
        <v>450</v>
      </c>
      <c r="G2764" s="108" t="s">
        <v>1675</v>
      </c>
      <c r="H2764" s="111" t="s">
        <v>16</v>
      </c>
    </row>
    <row r="2765" spans="1:8" ht="33" x14ac:dyDescent="0.2">
      <c r="A2765" s="108">
        <v>7</v>
      </c>
      <c r="B2765" s="108" t="s">
        <v>1610</v>
      </c>
      <c r="C2765" s="110" t="s">
        <v>97</v>
      </c>
      <c r="D2765" s="109">
        <v>1.6</v>
      </c>
      <c r="E2765" s="109">
        <v>375</v>
      </c>
      <c r="F2765" s="109">
        <v>600</v>
      </c>
      <c r="G2765" s="108" t="s">
        <v>1609</v>
      </c>
      <c r="H2765" s="111" t="s">
        <v>16</v>
      </c>
    </row>
    <row r="2766" spans="1:8" ht="33" x14ac:dyDescent="0.2">
      <c r="A2766" s="108">
        <v>8</v>
      </c>
      <c r="B2766" s="108" t="s">
        <v>1518</v>
      </c>
      <c r="C2766" s="110" t="s">
        <v>14</v>
      </c>
      <c r="D2766" s="109">
        <v>1</v>
      </c>
      <c r="E2766" s="109">
        <v>44.78</v>
      </c>
      <c r="F2766" s="109">
        <v>44.78</v>
      </c>
      <c r="G2766" s="108" t="s">
        <v>1517</v>
      </c>
      <c r="H2766" s="111" t="s">
        <v>16</v>
      </c>
    </row>
    <row r="2767" spans="1:8" ht="33" x14ac:dyDescent="0.2">
      <c r="A2767" s="108"/>
      <c r="B2767" s="108" t="s">
        <v>1516</v>
      </c>
      <c r="C2767" s="110" t="s">
        <v>50</v>
      </c>
      <c r="D2767" s="109">
        <v>1</v>
      </c>
      <c r="E2767" s="109"/>
      <c r="F2767" s="109">
        <v>1537.36</v>
      </c>
      <c r="G2767" s="108"/>
      <c r="H2767" s="111" t="s">
        <v>16</v>
      </c>
    </row>
    <row r="2768" spans="1:8" ht="33" x14ac:dyDescent="0.2">
      <c r="A2768" s="108"/>
      <c r="B2768" s="108" t="s">
        <v>1515</v>
      </c>
      <c r="C2768" s="110" t="s">
        <v>50</v>
      </c>
      <c r="D2768" s="109"/>
      <c r="E2768" s="109"/>
      <c r="F2768" s="109">
        <v>1537.36</v>
      </c>
      <c r="G2768" s="108"/>
      <c r="H2768" s="111" t="s">
        <v>16</v>
      </c>
    </row>
    <row r="2769" spans="1:8" ht="16.5" x14ac:dyDescent="0.2">
      <c r="A2769" s="108"/>
      <c r="B2769" s="108"/>
      <c r="C2769" s="110"/>
      <c r="D2769" s="109"/>
      <c r="E2769" s="109"/>
      <c r="F2769" s="109"/>
      <c r="G2769" s="108"/>
    </row>
    <row r="2770" spans="1:8" ht="42.75" x14ac:dyDescent="0.2">
      <c r="A2770" s="108" t="s">
        <v>1738</v>
      </c>
      <c r="B2770" s="108" t="s">
        <v>1737</v>
      </c>
      <c r="C2770" s="110" t="s">
        <v>50</v>
      </c>
      <c r="D2770" s="109">
        <v>200</v>
      </c>
      <c r="E2770" s="109">
        <v>104.62</v>
      </c>
      <c r="F2770" s="109"/>
      <c r="G2770" s="108" t="s">
        <v>1736</v>
      </c>
      <c r="H2770" s="111" t="s">
        <v>16</v>
      </c>
    </row>
    <row r="2771" spans="1:8" ht="33" x14ac:dyDescent="0.2">
      <c r="A2771" s="108">
        <v>1</v>
      </c>
      <c r="B2771" s="108" t="s">
        <v>1596</v>
      </c>
      <c r="C2771" s="110" t="s">
        <v>23</v>
      </c>
      <c r="D2771" s="109">
        <v>1</v>
      </c>
      <c r="E2771" s="109">
        <v>3733.75</v>
      </c>
      <c r="F2771" s="109">
        <v>3733.75</v>
      </c>
      <c r="G2771" s="108" t="s">
        <v>1595</v>
      </c>
      <c r="H2771" s="111" t="s">
        <v>16</v>
      </c>
    </row>
    <row r="2772" spans="1:8" ht="33" x14ac:dyDescent="0.2">
      <c r="A2772" s="108">
        <v>2</v>
      </c>
      <c r="B2772" s="108" t="s">
        <v>1735</v>
      </c>
      <c r="C2772" s="110" t="s">
        <v>14</v>
      </c>
      <c r="D2772" s="109">
        <v>1</v>
      </c>
      <c r="E2772" s="109">
        <v>6000</v>
      </c>
      <c r="F2772" s="109">
        <v>6000</v>
      </c>
      <c r="G2772" s="108" t="s">
        <v>1734</v>
      </c>
      <c r="H2772" s="111" t="s">
        <v>16</v>
      </c>
    </row>
    <row r="2773" spans="1:8" ht="33" x14ac:dyDescent="0.2">
      <c r="A2773" s="108">
        <v>3</v>
      </c>
      <c r="B2773" s="108" t="s">
        <v>1594</v>
      </c>
      <c r="C2773" s="110" t="s">
        <v>97</v>
      </c>
      <c r="D2773" s="109">
        <v>12</v>
      </c>
      <c r="E2773" s="109">
        <v>375</v>
      </c>
      <c r="F2773" s="109">
        <v>4500</v>
      </c>
      <c r="G2773" s="108" t="s">
        <v>1593</v>
      </c>
      <c r="H2773" s="111" t="s">
        <v>16</v>
      </c>
    </row>
    <row r="2774" spans="1:8" ht="33" x14ac:dyDescent="0.2">
      <c r="A2774" s="108">
        <v>4</v>
      </c>
      <c r="B2774" s="108" t="s">
        <v>1672</v>
      </c>
      <c r="C2774" s="110" t="s">
        <v>97</v>
      </c>
      <c r="D2774" s="109">
        <v>16</v>
      </c>
      <c r="E2774" s="109">
        <v>280</v>
      </c>
      <c r="F2774" s="109">
        <v>4480</v>
      </c>
      <c r="G2774" s="108" t="s">
        <v>1671</v>
      </c>
      <c r="H2774" s="111" t="s">
        <v>16</v>
      </c>
    </row>
    <row r="2775" spans="1:8" ht="33" x14ac:dyDescent="0.2">
      <c r="A2775" s="108">
        <v>5</v>
      </c>
      <c r="B2775" s="108" t="s">
        <v>1733</v>
      </c>
      <c r="C2775" s="110" t="s">
        <v>50</v>
      </c>
      <c r="D2775" s="109">
        <v>200</v>
      </c>
      <c r="E2775" s="109">
        <v>8</v>
      </c>
      <c r="F2775" s="109">
        <v>1600</v>
      </c>
      <c r="G2775" s="108" t="s">
        <v>1732</v>
      </c>
      <c r="H2775" s="111" t="s">
        <v>16</v>
      </c>
    </row>
    <row r="2776" spans="1:8" ht="33" x14ac:dyDescent="0.2">
      <c r="A2776" s="108">
        <v>6</v>
      </c>
      <c r="B2776" s="108" t="s">
        <v>1518</v>
      </c>
      <c r="C2776" s="110" t="s">
        <v>14</v>
      </c>
      <c r="D2776" s="109">
        <v>1</v>
      </c>
      <c r="E2776" s="109">
        <v>609.41</v>
      </c>
      <c r="F2776" s="109">
        <v>609.41</v>
      </c>
      <c r="G2776" s="108" t="s">
        <v>1517</v>
      </c>
      <c r="H2776" s="111" t="s">
        <v>16</v>
      </c>
    </row>
    <row r="2777" spans="1:8" ht="33" x14ac:dyDescent="0.2">
      <c r="A2777" s="108"/>
      <c r="B2777" s="108" t="s">
        <v>1516</v>
      </c>
      <c r="C2777" s="110" t="s">
        <v>50</v>
      </c>
      <c r="D2777" s="109">
        <v>200</v>
      </c>
      <c r="E2777" s="109"/>
      <c r="F2777" s="109">
        <v>20923.16</v>
      </c>
      <c r="G2777" s="108"/>
      <c r="H2777" s="111" t="s">
        <v>16</v>
      </c>
    </row>
    <row r="2778" spans="1:8" ht="33" x14ac:dyDescent="0.2">
      <c r="A2778" s="108"/>
      <c r="B2778" s="108" t="s">
        <v>1515</v>
      </c>
      <c r="C2778" s="110" t="s">
        <v>50</v>
      </c>
      <c r="D2778" s="109"/>
      <c r="E2778" s="109"/>
      <c r="F2778" s="109">
        <v>104.62</v>
      </c>
      <c r="G2778" s="108"/>
      <c r="H2778" s="111" t="s">
        <v>16</v>
      </c>
    </row>
    <row r="2779" spans="1:8" ht="16.5" x14ac:dyDescent="0.2">
      <c r="A2779" s="108"/>
      <c r="B2779" s="108"/>
      <c r="C2779" s="110"/>
      <c r="D2779" s="109"/>
      <c r="E2779" s="109"/>
      <c r="F2779" s="109"/>
      <c r="G2779" s="108"/>
    </row>
    <row r="2780" spans="1:8" ht="33" x14ac:dyDescent="0.2">
      <c r="A2780" s="108" t="s">
        <v>1731</v>
      </c>
      <c r="B2780" s="108" t="s">
        <v>1730</v>
      </c>
      <c r="C2780" s="110" t="s">
        <v>925</v>
      </c>
      <c r="D2780" s="109">
        <v>1</v>
      </c>
      <c r="E2780" s="109">
        <v>389.34</v>
      </c>
      <c r="F2780" s="109"/>
      <c r="G2780" s="108" t="s">
        <v>1729</v>
      </c>
      <c r="H2780" s="111" t="s">
        <v>16</v>
      </c>
    </row>
    <row r="2781" spans="1:8" ht="33" x14ac:dyDescent="0.2">
      <c r="A2781" s="108">
        <v>1</v>
      </c>
      <c r="B2781" s="108" t="s">
        <v>1728</v>
      </c>
      <c r="C2781" s="110" t="s">
        <v>925</v>
      </c>
      <c r="D2781" s="109">
        <v>1</v>
      </c>
      <c r="E2781" s="109">
        <v>350</v>
      </c>
      <c r="F2781" s="109">
        <v>350</v>
      </c>
      <c r="G2781" s="108" t="s">
        <v>1727</v>
      </c>
      <c r="H2781" s="111" t="s">
        <v>16</v>
      </c>
    </row>
    <row r="2782" spans="1:8" ht="33" x14ac:dyDescent="0.2">
      <c r="A2782" s="108">
        <v>2</v>
      </c>
      <c r="B2782" s="108" t="s">
        <v>1527</v>
      </c>
      <c r="C2782" s="110" t="s">
        <v>97</v>
      </c>
      <c r="D2782" s="109">
        <v>0.1</v>
      </c>
      <c r="E2782" s="109">
        <v>280</v>
      </c>
      <c r="F2782" s="109">
        <v>28</v>
      </c>
      <c r="G2782" s="108" t="s">
        <v>1535</v>
      </c>
      <c r="H2782" s="111" t="s">
        <v>16</v>
      </c>
    </row>
    <row r="2783" spans="1:8" ht="33" x14ac:dyDescent="0.2">
      <c r="A2783" s="108">
        <v>3</v>
      </c>
      <c r="B2783" s="108" t="s">
        <v>1543</v>
      </c>
      <c r="C2783" s="110" t="s">
        <v>14</v>
      </c>
      <c r="D2783" s="109">
        <v>1</v>
      </c>
      <c r="E2783" s="109">
        <v>11.34</v>
      </c>
      <c r="F2783" s="109">
        <v>11.34</v>
      </c>
      <c r="G2783" s="108" t="s">
        <v>1542</v>
      </c>
      <c r="H2783" s="111" t="s">
        <v>16</v>
      </c>
    </row>
    <row r="2784" spans="1:8" ht="33" x14ac:dyDescent="0.2">
      <c r="A2784" s="108"/>
      <c r="B2784" s="108" t="s">
        <v>1516</v>
      </c>
      <c r="C2784" s="110" t="s">
        <v>925</v>
      </c>
      <c r="D2784" s="109">
        <v>1</v>
      </c>
      <c r="E2784" s="109"/>
      <c r="F2784" s="109">
        <v>389.34</v>
      </c>
      <c r="G2784" s="108"/>
      <c r="H2784" s="111" t="s">
        <v>16</v>
      </c>
    </row>
    <row r="2785" spans="1:8" ht="33" x14ac:dyDescent="0.2">
      <c r="A2785" s="108"/>
      <c r="B2785" s="108" t="s">
        <v>1515</v>
      </c>
      <c r="C2785" s="110" t="s">
        <v>925</v>
      </c>
      <c r="D2785" s="109"/>
      <c r="E2785" s="109"/>
      <c r="F2785" s="109">
        <v>389.34</v>
      </c>
      <c r="G2785" s="108"/>
      <c r="H2785" s="111" t="s">
        <v>16</v>
      </c>
    </row>
    <row r="2786" spans="1:8" ht="16.5" x14ac:dyDescent="0.2">
      <c r="A2786" s="108"/>
      <c r="B2786" s="108"/>
      <c r="C2786" s="110"/>
      <c r="D2786" s="109"/>
      <c r="E2786" s="109"/>
      <c r="F2786" s="109"/>
      <c r="G2786" s="108"/>
    </row>
    <row r="2787" spans="1:8" ht="33" x14ac:dyDescent="0.2">
      <c r="A2787" s="108" t="s">
        <v>1726</v>
      </c>
      <c r="B2787" s="108" t="s">
        <v>1725</v>
      </c>
      <c r="C2787" s="110" t="s">
        <v>103</v>
      </c>
      <c r="D2787" s="109">
        <v>1</v>
      </c>
      <c r="E2787" s="109">
        <v>1333.85</v>
      </c>
      <c r="F2787" s="109"/>
      <c r="G2787" s="108" t="s">
        <v>1724</v>
      </c>
      <c r="H2787" s="111" t="s">
        <v>16</v>
      </c>
    </row>
    <row r="2788" spans="1:8" ht="33" x14ac:dyDescent="0.2">
      <c r="A2788" s="108">
        <v>1</v>
      </c>
      <c r="B2788" s="108" t="s">
        <v>1723</v>
      </c>
      <c r="C2788" s="110" t="s">
        <v>1722</v>
      </c>
      <c r="D2788" s="109">
        <v>1.25</v>
      </c>
      <c r="E2788" s="109">
        <v>700</v>
      </c>
      <c r="F2788" s="109">
        <v>875</v>
      </c>
      <c r="G2788" s="108" t="s">
        <v>1721</v>
      </c>
      <c r="H2788" s="111" t="s">
        <v>16</v>
      </c>
    </row>
    <row r="2789" spans="1:8" ht="33" x14ac:dyDescent="0.2">
      <c r="A2789" s="108">
        <v>2</v>
      </c>
      <c r="B2789" s="108" t="s">
        <v>1527</v>
      </c>
      <c r="C2789" s="110" t="s">
        <v>97</v>
      </c>
      <c r="D2789" s="109">
        <v>1.5</v>
      </c>
      <c r="E2789" s="109">
        <v>280</v>
      </c>
      <c r="F2789" s="109">
        <v>420</v>
      </c>
      <c r="G2789" s="108" t="s">
        <v>1535</v>
      </c>
      <c r="H2789" s="111" t="s">
        <v>16</v>
      </c>
    </row>
    <row r="2790" spans="1:8" ht="33" x14ac:dyDescent="0.2">
      <c r="A2790" s="108">
        <v>3</v>
      </c>
      <c r="B2790" s="108" t="s">
        <v>1543</v>
      </c>
      <c r="C2790" s="110" t="s">
        <v>14</v>
      </c>
      <c r="D2790" s="109">
        <v>1</v>
      </c>
      <c r="E2790" s="109">
        <v>38.85</v>
      </c>
      <c r="F2790" s="109">
        <v>38.85</v>
      </c>
      <c r="G2790" s="108" t="s">
        <v>1542</v>
      </c>
      <c r="H2790" s="111" t="s">
        <v>16</v>
      </c>
    </row>
    <row r="2791" spans="1:8" ht="33" x14ac:dyDescent="0.2">
      <c r="A2791" s="108"/>
      <c r="B2791" s="108" t="s">
        <v>1516</v>
      </c>
      <c r="C2791" s="110" t="s">
        <v>103</v>
      </c>
      <c r="D2791" s="109">
        <v>1</v>
      </c>
      <c r="E2791" s="109"/>
      <c r="F2791" s="109">
        <v>1333.85</v>
      </c>
      <c r="G2791" s="108"/>
      <c r="H2791" s="111" t="s">
        <v>16</v>
      </c>
    </row>
    <row r="2792" spans="1:8" ht="33" x14ac:dyDescent="0.2">
      <c r="A2792" s="108"/>
      <c r="B2792" s="108" t="s">
        <v>1515</v>
      </c>
      <c r="C2792" s="110" t="s">
        <v>103</v>
      </c>
      <c r="D2792" s="109"/>
      <c r="E2792" s="109"/>
      <c r="F2792" s="109">
        <v>1333.85</v>
      </c>
      <c r="G2792" s="108"/>
      <c r="H2792" s="111" t="s">
        <v>16</v>
      </c>
    </row>
    <row r="2793" spans="1:8" ht="16.5" x14ac:dyDescent="0.2">
      <c r="A2793" s="108"/>
      <c r="B2793" s="108"/>
      <c r="C2793" s="110"/>
      <c r="D2793" s="109"/>
      <c r="E2793" s="109"/>
      <c r="F2793" s="109"/>
      <c r="G2793" s="108"/>
    </row>
    <row r="2794" spans="1:8" ht="42.75" x14ac:dyDescent="0.2">
      <c r="A2794" s="108" t="s">
        <v>1720</v>
      </c>
      <c r="B2794" s="108" t="s">
        <v>399</v>
      </c>
      <c r="C2794" s="110" t="s">
        <v>110</v>
      </c>
      <c r="D2794" s="109">
        <v>1000</v>
      </c>
      <c r="E2794" s="109">
        <v>38.71</v>
      </c>
      <c r="F2794" s="109"/>
      <c r="G2794" s="108" t="s">
        <v>1719</v>
      </c>
      <c r="H2794" s="111" t="s">
        <v>16</v>
      </c>
    </row>
    <row r="2795" spans="1:8" ht="42.75" x14ac:dyDescent="0.2">
      <c r="A2795" s="108">
        <v>1</v>
      </c>
      <c r="B2795" s="108" t="s">
        <v>1718</v>
      </c>
      <c r="C2795" s="110" t="s">
        <v>338</v>
      </c>
      <c r="D2795" s="109">
        <v>1.1000000000000001</v>
      </c>
      <c r="E2795" s="109">
        <v>26760</v>
      </c>
      <c r="F2795" s="109">
        <v>29436</v>
      </c>
      <c r="G2795" s="108" t="s">
        <v>1717</v>
      </c>
      <c r="H2795" s="111" t="s">
        <v>16</v>
      </c>
    </row>
    <row r="2796" spans="1:8" ht="33" x14ac:dyDescent="0.2">
      <c r="A2796" s="108">
        <v>2</v>
      </c>
      <c r="B2796" s="108" t="s">
        <v>1716</v>
      </c>
      <c r="C2796" s="110" t="s">
        <v>97</v>
      </c>
      <c r="D2796" s="109">
        <v>10</v>
      </c>
      <c r="E2796" s="109">
        <v>400</v>
      </c>
      <c r="F2796" s="109">
        <v>4000</v>
      </c>
      <c r="G2796" s="108" t="s">
        <v>1715</v>
      </c>
      <c r="H2796" s="111" t="s">
        <v>16</v>
      </c>
    </row>
    <row r="2797" spans="1:8" ht="33" x14ac:dyDescent="0.2">
      <c r="A2797" s="108">
        <v>3</v>
      </c>
      <c r="B2797" s="108" t="s">
        <v>1714</v>
      </c>
      <c r="C2797" s="110" t="s">
        <v>97</v>
      </c>
      <c r="D2797" s="109">
        <v>10</v>
      </c>
      <c r="E2797" s="109">
        <v>400</v>
      </c>
      <c r="F2797" s="109">
        <v>4000</v>
      </c>
      <c r="G2797" s="108" t="s">
        <v>1713</v>
      </c>
      <c r="H2797" s="111" t="s">
        <v>16</v>
      </c>
    </row>
    <row r="2798" spans="1:8" ht="33" x14ac:dyDescent="0.2">
      <c r="A2798" s="108">
        <v>4</v>
      </c>
      <c r="B2798" s="108" t="s">
        <v>1712</v>
      </c>
      <c r="C2798" s="110" t="s">
        <v>110</v>
      </c>
      <c r="D2798" s="109">
        <v>4</v>
      </c>
      <c r="E2798" s="109">
        <v>36</v>
      </c>
      <c r="F2798" s="109">
        <v>144</v>
      </c>
      <c r="G2798" s="108" t="s">
        <v>1711</v>
      </c>
      <c r="H2798" s="111" t="s">
        <v>16</v>
      </c>
    </row>
    <row r="2799" spans="1:8" ht="33" x14ac:dyDescent="0.2">
      <c r="A2799" s="108">
        <v>5</v>
      </c>
      <c r="B2799" s="108" t="s">
        <v>1518</v>
      </c>
      <c r="C2799" s="110" t="s">
        <v>14</v>
      </c>
      <c r="D2799" s="109">
        <v>1</v>
      </c>
      <c r="E2799" s="109">
        <v>1127.4000000000001</v>
      </c>
      <c r="F2799" s="109">
        <v>1127.4000000000001</v>
      </c>
      <c r="G2799" s="108" t="s">
        <v>1517</v>
      </c>
      <c r="H2799" s="111" t="s">
        <v>16</v>
      </c>
    </row>
    <row r="2800" spans="1:8" ht="33" x14ac:dyDescent="0.2">
      <c r="A2800" s="108"/>
      <c r="B2800" s="108" t="s">
        <v>1516</v>
      </c>
      <c r="C2800" s="110" t="s">
        <v>110</v>
      </c>
      <c r="D2800" s="109">
        <v>1000</v>
      </c>
      <c r="E2800" s="109"/>
      <c r="F2800" s="109">
        <v>38707.4</v>
      </c>
      <c r="G2800" s="108"/>
      <c r="H2800" s="111" t="s">
        <v>16</v>
      </c>
    </row>
    <row r="2801" spans="1:8" ht="33" x14ac:dyDescent="0.2">
      <c r="A2801" s="108"/>
      <c r="B2801" s="108" t="s">
        <v>1515</v>
      </c>
      <c r="C2801" s="110" t="s">
        <v>110</v>
      </c>
      <c r="D2801" s="109"/>
      <c r="E2801" s="109"/>
      <c r="F2801" s="109">
        <v>38.71</v>
      </c>
      <c r="G2801" s="108"/>
      <c r="H2801" s="111" t="s">
        <v>16</v>
      </c>
    </row>
    <row r="2802" spans="1:8" ht="16.5" x14ac:dyDescent="0.2">
      <c r="A2802" s="108"/>
      <c r="B2802" s="108"/>
      <c r="C2802" s="110"/>
      <c r="D2802" s="109"/>
      <c r="E2802" s="109"/>
      <c r="F2802" s="109"/>
      <c r="G2802" s="108"/>
    </row>
    <row r="2803" spans="1:8" ht="33" x14ac:dyDescent="0.2">
      <c r="A2803" s="108" t="s">
        <v>1710</v>
      </c>
      <c r="B2803" s="108" t="s">
        <v>1709</v>
      </c>
      <c r="C2803" s="110" t="s">
        <v>23</v>
      </c>
      <c r="D2803" s="109">
        <v>1</v>
      </c>
      <c r="E2803" s="109">
        <v>1481.91</v>
      </c>
      <c r="F2803" s="109"/>
      <c r="G2803" s="108" t="s">
        <v>1708</v>
      </c>
      <c r="H2803" s="111" t="s">
        <v>16</v>
      </c>
    </row>
    <row r="2804" spans="1:8" ht="33" x14ac:dyDescent="0.2">
      <c r="A2804" s="108">
        <v>1</v>
      </c>
      <c r="B2804" s="108" t="s">
        <v>1707</v>
      </c>
      <c r="C2804" s="110" t="s">
        <v>97</v>
      </c>
      <c r="D2804" s="109">
        <v>0.25</v>
      </c>
      <c r="E2804" s="109">
        <v>2300</v>
      </c>
      <c r="F2804" s="109">
        <v>575</v>
      </c>
      <c r="G2804" s="108" t="s">
        <v>1706</v>
      </c>
      <c r="H2804" s="111" t="s">
        <v>16</v>
      </c>
    </row>
    <row r="2805" spans="1:8" ht="33" x14ac:dyDescent="0.2">
      <c r="A2805" s="108">
        <v>2</v>
      </c>
      <c r="B2805" s="108" t="s">
        <v>1705</v>
      </c>
      <c r="C2805" s="110" t="s">
        <v>97</v>
      </c>
      <c r="D2805" s="109">
        <v>0.25</v>
      </c>
      <c r="E2805" s="109">
        <v>375</v>
      </c>
      <c r="F2805" s="109">
        <v>93.75</v>
      </c>
      <c r="G2805" s="108" t="s">
        <v>1704</v>
      </c>
      <c r="H2805" s="111" t="s">
        <v>16</v>
      </c>
    </row>
    <row r="2806" spans="1:8" ht="33" x14ac:dyDescent="0.2">
      <c r="A2806" s="108">
        <v>3</v>
      </c>
      <c r="B2806" s="108" t="s">
        <v>1527</v>
      </c>
      <c r="C2806" s="110" t="s">
        <v>97</v>
      </c>
      <c r="D2806" s="109">
        <v>0.25</v>
      </c>
      <c r="E2806" s="109">
        <v>280</v>
      </c>
      <c r="F2806" s="109">
        <v>70</v>
      </c>
      <c r="G2806" s="108" t="s">
        <v>1535</v>
      </c>
      <c r="H2806" s="111" t="s">
        <v>16</v>
      </c>
    </row>
    <row r="2807" spans="1:8" ht="33" x14ac:dyDescent="0.2">
      <c r="A2807" s="108">
        <v>4</v>
      </c>
      <c r="B2807" s="108" t="s">
        <v>1703</v>
      </c>
      <c r="C2807" s="110" t="s">
        <v>23</v>
      </c>
      <c r="D2807" s="109">
        <v>1</v>
      </c>
      <c r="E2807" s="109">
        <v>700</v>
      </c>
      <c r="F2807" s="109">
        <v>700</v>
      </c>
      <c r="G2807" s="108" t="s">
        <v>1702</v>
      </c>
      <c r="H2807" s="111" t="s">
        <v>16</v>
      </c>
    </row>
    <row r="2808" spans="1:8" ht="33" x14ac:dyDescent="0.2">
      <c r="A2808" s="108">
        <v>5</v>
      </c>
      <c r="B2808" s="108" t="s">
        <v>1518</v>
      </c>
      <c r="C2808" s="110" t="s">
        <v>14</v>
      </c>
      <c r="D2808" s="109">
        <v>1</v>
      </c>
      <c r="E2808" s="109">
        <v>43.16</v>
      </c>
      <c r="F2808" s="109">
        <v>43.16</v>
      </c>
      <c r="G2808" s="108" t="s">
        <v>1517</v>
      </c>
      <c r="H2808" s="111" t="s">
        <v>16</v>
      </c>
    </row>
    <row r="2809" spans="1:8" ht="33" x14ac:dyDescent="0.2">
      <c r="A2809" s="108"/>
      <c r="B2809" s="108" t="s">
        <v>1516</v>
      </c>
      <c r="C2809" s="110" t="s">
        <v>23</v>
      </c>
      <c r="D2809" s="109">
        <v>1</v>
      </c>
      <c r="E2809" s="109"/>
      <c r="F2809" s="109">
        <v>1481.91</v>
      </c>
      <c r="G2809" s="108"/>
      <c r="H2809" s="111" t="s">
        <v>16</v>
      </c>
    </row>
    <row r="2810" spans="1:8" ht="33" x14ac:dyDescent="0.2">
      <c r="A2810" s="108"/>
      <c r="B2810" s="108" t="s">
        <v>1515</v>
      </c>
      <c r="C2810" s="110" t="s">
        <v>23</v>
      </c>
      <c r="D2810" s="109"/>
      <c r="E2810" s="109"/>
      <c r="F2810" s="109">
        <v>1481.91</v>
      </c>
      <c r="G2810" s="108"/>
      <c r="H2810" s="111" t="s">
        <v>16</v>
      </c>
    </row>
    <row r="2811" spans="1:8" ht="16.5" x14ac:dyDescent="0.2">
      <c r="A2811" s="108"/>
      <c r="B2811" s="108"/>
      <c r="C2811" s="110"/>
      <c r="D2811" s="109"/>
      <c r="E2811" s="109"/>
      <c r="F2811" s="109"/>
      <c r="G2811" s="108"/>
    </row>
    <row r="2812" spans="1:8" ht="33" x14ac:dyDescent="0.2">
      <c r="A2812" s="108" t="s">
        <v>1701</v>
      </c>
      <c r="B2812" s="108" t="s">
        <v>1700</v>
      </c>
      <c r="C2812" s="110" t="s">
        <v>97</v>
      </c>
      <c r="D2812" s="109">
        <v>1</v>
      </c>
      <c r="E2812" s="109">
        <v>336.73</v>
      </c>
      <c r="F2812" s="109"/>
      <c r="G2812" s="108" t="s">
        <v>1699</v>
      </c>
      <c r="H2812" s="111" t="s">
        <v>16</v>
      </c>
    </row>
    <row r="2813" spans="1:8" ht="33" x14ac:dyDescent="0.2">
      <c r="A2813" s="108">
        <v>1</v>
      </c>
      <c r="B2813" s="108" t="s">
        <v>1698</v>
      </c>
      <c r="C2813" s="110" t="s">
        <v>97</v>
      </c>
      <c r="D2813" s="109">
        <v>0.28000000000000003</v>
      </c>
      <c r="E2813" s="109">
        <v>375</v>
      </c>
      <c r="F2813" s="109">
        <v>105</v>
      </c>
      <c r="G2813" s="108" t="s">
        <v>1697</v>
      </c>
      <c r="H2813" s="111" t="s">
        <v>16</v>
      </c>
    </row>
    <row r="2814" spans="1:8" ht="33" x14ac:dyDescent="0.2">
      <c r="A2814" s="108">
        <v>2</v>
      </c>
      <c r="B2814" s="108" t="s">
        <v>1696</v>
      </c>
      <c r="C2814" s="110" t="s">
        <v>97</v>
      </c>
      <c r="D2814" s="109">
        <v>0.28000000000000003</v>
      </c>
      <c r="E2814" s="109">
        <v>375</v>
      </c>
      <c r="F2814" s="109">
        <v>105</v>
      </c>
      <c r="G2814" s="108" t="s">
        <v>1695</v>
      </c>
      <c r="H2814" s="111" t="s">
        <v>16</v>
      </c>
    </row>
    <row r="2815" spans="1:8" ht="33" x14ac:dyDescent="0.2">
      <c r="A2815" s="108">
        <v>3</v>
      </c>
      <c r="B2815" s="108" t="s">
        <v>1694</v>
      </c>
      <c r="C2815" s="110" t="s">
        <v>97</v>
      </c>
      <c r="D2815" s="109">
        <v>0.28000000000000003</v>
      </c>
      <c r="E2815" s="109">
        <v>375</v>
      </c>
      <c r="F2815" s="109">
        <v>105</v>
      </c>
      <c r="G2815" s="108" t="s">
        <v>1693</v>
      </c>
      <c r="H2815" s="111" t="s">
        <v>16</v>
      </c>
    </row>
    <row r="2816" spans="1:8" ht="33" x14ac:dyDescent="0.2">
      <c r="A2816" s="108">
        <v>4</v>
      </c>
      <c r="B2816" s="108" t="s">
        <v>1692</v>
      </c>
      <c r="C2816" s="110" t="s">
        <v>14</v>
      </c>
      <c r="D2816" s="109">
        <v>1</v>
      </c>
      <c r="E2816" s="109">
        <v>11.92</v>
      </c>
      <c r="F2816" s="109">
        <v>11.92</v>
      </c>
      <c r="G2816" s="108" t="s">
        <v>1691</v>
      </c>
      <c r="H2816" s="111" t="s">
        <v>16</v>
      </c>
    </row>
    <row r="2817" spans="1:8" ht="33" x14ac:dyDescent="0.2">
      <c r="A2817" s="108">
        <v>5</v>
      </c>
      <c r="B2817" s="108" t="s">
        <v>1518</v>
      </c>
      <c r="C2817" s="110" t="s">
        <v>14</v>
      </c>
      <c r="D2817" s="109">
        <v>1</v>
      </c>
      <c r="E2817" s="109">
        <v>9.81</v>
      </c>
      <c r="F2817" s="109">
        <v>9.81</v>
      </c>
      <c r="G2817" s="108" t="s">
        <v>1517</v>
      </c>
      <c r="H2817" s="111" t="s">
        <v>16</v>
      </c>
    </row>
    <row r="2818" spans="1:8" ht="33" x14ac:dyDescent="0.2">
      <c r="A2818" s="108"/>
      <c r="B2818" s="108" t="s">
        <v>1516</v>
      </c>
      <c r="C2818" s="110" t="s">
        <v>97</v>
      </c>
      <c r="D2818" s="109">
        <v>1</v>
      </c>
      <c r="E2818" s="109"/>
      <c r="F2818" s="109">
        <v>336.73</v>
      </c>
      <c r="G2818" s="108"/>
      <c r="H2818" s="111" t="s">
        <v>16</v>
      </c>
    </row>
    <row r="2819" spans="1:8" ht="33" x14ac:dyDescent="0.2">
      <c r="A2819" s="108"/>
      <c r="B2819" s="108" t="s">
        <v>1515</v>
      </c>
      <c r="C2819" s="110" t="s">
        <v>97</v>
      </c>
      <c r="D2819" s="109"/>
      <c r="E2819" s="109"/>
      <c r="F2819" s="109">
        <v>336.73</v>
      </c>
      <c r="G2819" s="108"/>
      <c r="H2819" s="111" t="s">
        <v>16</v>
      </c>
    </row>
    <row r="2820" spans="1:8" ht="16.5" x14ac:dyDescent="0.2">
      <c r="A2820" s="108"/>
      <c r="B2820" s="108"/>
      <c r="C2820" s="110"/>
      <c r="D2820" s="109"/>
      <c r="E2820" s="109"/>
      <c r="F2820" s="109"/>
      <c r="G2820" s="108"/>
    </row>
    <row r="2821" spans="1:8" ht="42.75" x14ac:dyDescent="0.2">
      <c r="A2821" s="108" t="s">
        <v>1690</v>
      </c>
      <c r="B2821" s="108" t="s">
        <v>1689</v>
      </c>
      <c r="C2821" s="110" t="s">
        <v>50</v>
      </c>
      <c r="D2821" s="109">
        <v>1</v>
      </c>
      <c r="E2821" s="109">
        <v>1734.73</v>
      </c>
      <c r="F2821" s="109"/>
      <c r="G2821" s="108" t="s">
        <v>1688</v>
      </c>
      <c r="H2821" s="111" t="s">
        <v>16</v>
      </c>
    </row>
    <row r="2822" spans="1:8" ht="33" x14ac:dyDescent="0.2">
      <c r="A2822" s="108">
        <v>1</v>
      </c>
      <c r="B2822" s="108" t="s">
        <v>1687</v>
      </c>
      <c r="C2822" s="110" t="s">
        <v>50</v>
      </c>
      <c r="D2822" s="109">
        <v>1</v>
      </c>
      <c r="E2822" s="109">
        <v>334</v>
      </c>
      <c r="F2822" s="109">
        <v>334</v>
      </c>
      <c r="G2822" s="108" t="s">
        <v>1686</v>
      </c>
      <c r="H2822" s="111" t="s">
        <v>16</v>
      </c>
    </row>
    <row r="2823" spans="1:8" ht="33" x14ac:dyDescent="0.2">
      <c r="A2823" s="108">
        <v>2</v>
      </c>
      <c r="B2823" s="108" t="s">
        <v>1685</v>
      </c>
      <c r="C2823" s="110" t="s">
        <v>1684</v>
      </c>
      <c r="D2823" s="109">
        <v>0.12</v>
      </c>
      <c r="E2823" s="109">
        <v>185</v>
      </c>
      <c r="F2823" s="109">
        <v>22.2</v>
      </c>
      <c r="G2823" s="108" t="s">
        <v>1683</v>
      </c>
      <c r="H2823" s="111" t="s">
        <v>16</v>
      </c>
    </row>
    <row r="2824" spans="1:8" ht="33" x14ac:dyDescent="0.2">
      <c r="A2824" s="108">
        <v>3</v>
      </c>
      <c r="B2824" s="108" t="s">
        <v>1682</v>
      </c>
      <c r="C2824" s="110" t="s">
        <v>110</v>
      </c>
      <c r="D2824" s="109">
        <v>12</v>
      </c>
      <c r="E2824" s="109">
        <v>15</v>
      </c>
      <c r="F2824" s="109">
        <v>180</v>
      </c>
      <c r="G2824" s="108" t="s">
        <v>1681</v>
      </c>
      <c r="H2824" s="111" t="s">
        <v>16</v>
      </c>
    </row>
    <row r="2825" spans="1:8" ht="33" x14ac:dyDescent="0.2">
      <c r="A2825" s="108">
        <v>4</v>
      </c>
      <c r="B2825" s="108" t="s">
        <v>1680</v>
      </c>
      <c r="C2825" s="110" t="s">
        <v>110</v>
      </c>
      <c r="D2825" s="109">
        <v>3</v>
      </c>
      <c r="E2825" s="109">
        <v>12</v>
      </c>
      <c r="F2825" s="109">
        <v>36</v>
      </c>
      <c r="G2825" s="108" t="s">
        <v>1679</v>
      </c>
      <c r="H2825" s="111" t="s">
        <v>16</v>
      </c>
    </row>
    <row r="2826" spans="1:8" ht="33" x14ac:dyDescent="0.2">
      <c r="A2826" s="108">
        <v>5</v>
      </c>
      <c r="B2826" s="108" t="s">
        <v>1678</v>
      </c>
      <c r="C2826" s="110" t="s">
        <v>14</v>
      </c>
      <c r="D2826" s="109">
        <v>1</v>
      </c>
      <c r="E2826" s="109">
        <v>10</v>
      </c>
      <c r="F2826" s="109">
        <v>10</v>
      </c>
      <c r="G2826" s="108" t="s">
        <v>1677</v>
      </c>
      <c r="H2826" s="111" t="s">
        <v>16</v>
      </c>
    </row>
    <row r="2827" spans="1:8" ht="33" x14ac:dyDescent="0.2">
      <c r="A2827" s="108">
        <v>6</v>
      </c>
      <c r="B2827" s="108" t="s">
        <v>1676</v>
      </c>
      <c r="C2827" s="110" t="s">
        <v>97</v>
      </c>
      <c r="D2827" s="109">
        <v>0.24</v>
      </c>
      <c r="E2827" s="109">
        <v>375</v>
      </c>
      <c r="F2827" s="109">
        <v>90</v>
      </c>
      <c r="G2827" s="108" t="s">
        <v>1675</v>
      </c>
      <c r="H2827" s="111" t="s">
        <v>16</v>
      </c>
    </row>
    <row r="2828" spans="1:8" ht="33" x14ac:dyDescent="0.2">
      <c r="A2828" s="108">
        <v>7</v>
      </c>
      <c r="B2828" s="108" t="s">
        <v>1674</v>
      </c>
      <c r="C2828" s="110" t="s">
        <v>97</v>
      </c>
      <c r="D2828" s="109">
        <v>2.4</v>
      </c>
      <c r="E2828" s="109">
        <v>375</v>
      </c>
      <c r="F2828" s="109">
        <v>900</v>
      </c>
      <c r="G2828" s="108" t="s">
        <v>1673</v>
      </c>
      <c r="H2828" s="111" t="s">
        <v>16</v>
      </c>
    </row>
    <row r="2829" spans="1:8" ht="33" x14ac:dyDescent="0.2">
      <c r="A2829" s="108">
        <v>8</v>
      </c>
      <c r="B2829" s="108" t="s">
        <v>1672</v>
      </c>
      <c r="C2829" s="110" t="s">
        <v>97</v>
      </c>
      <c r="D2829" s="109">
        <v>0.4</v>
      </c>
      <c r="E2829" s="109">
        <v>280</v>
      </c>
      <c r="F2829" s="109">
        <v>112</v>
      </c>
      <c r="G2829" s="108" t="s">
        <v>1671</v>
      </c>
      <c r="H2829" s="111" t="s">
        <v>16</v>
      </c>
    </row>
    <row r="2830" spans="1:8" ht="33" x14ac:dyDescent="0.2">
      <c r="A2830" s="108">
        <v>9</v>
      </c>
      <c r="B2830" s="108" t="s">
        <v>1543</v>
      </c>
      <c r="C2830" s="110" t="s">
        <v>14</v>
      </c>
      <c r="D2830" s="109">
        <v>1</v>
      </c>
      <c r="E2830" s="109">
        <v>50.53</v>
      </c>
      <c r="F2830" s="109">
        <v>50.53</v>
      </c>
      <c r="G2830" s="108" t="s">
        <v>1542</v>
      </c>
      <c r="H2830" s="111" t="s">
        <v>16</v>
      </c>
    </row>
    <row r="2831" spans="1:8" ht="33" x14ac:dyDescent="0.2">
      <c r="A2831" s="108"/>
      <c r="B2831" s="108" t="s">
        <v>1516</v>
      </c>
      <c r="C2831" s="110" t="s">
        <v>50</v>
      </c>
      <c r="D2831" s="109">
        <v>1</v>
      </c>
      <c r="E2831" s="109"/>
      <c r="F2831" s="109">
        <v>1734.73</v>
      </c>
      <c r="G2831" s="108"/>
      <c r="H2831" s="111" t="s">
        <v>16</v>
      </c>
    </row>
    <row r="2832" spans="1:8" ht="33" x14ac:dyDescent="0.2">
      <c r="A2832" s="108"/>
      <c r="B2832" s="108" t="s">
        <v>1515</v>
      </c>
      <c r="C2832" s="110" t="s">
        <v>50</v>
      </c>
      <c r="D2832" s="109"/>
      <c r="E2832" s="109"/>
      <c r="F2832" s="109">
        <v>1734.73</v>
      </c>
      <c r="G2832" s="108"/>
      <c r="H2832" s="111" t="s">
        <v>16</v>
      </c>
    </row>
    <row r="2833" spans="1:8" ht="16.5" x14ac:dyDescent="0.2">
      <c r="A2833" s="108"/>
      <c r="B2833" s="108"/>
      <c r="C2833" s="110"/>
      <c r="D2833" s="109"/>
      <c r="E2833" s="109"/>
      <c r="F2833" s="109"/>
      <c r="G2833" s="108"/>
    </row>
    <row r="2834" spans="1:8" ht="33" x14ac:dyDescent="0.2">
      <c r="A2834" s="108" t="s">
        <v>1670</v>
      </c>
      <c r="B2834" s="108" t="s">
        <v>1669</v>
      </c>
      <c r="C2834" s="110" t="s">
        <v>338</v>
      </c>
      <c r="D2834" s="109">
        <v>1</v>
      </c>
      <c r="E2834" s="109">
        <v>5047</v>
      </c>
      <c r="F2834" s="109"/>
      <c r="G2834" s="108" t="s">
        <v>1668</v>
      </c>
      <c r="H2834" s="111" t="s">
        <v>16</v>
      </c>
    </row>
    <row r="2835" spans="1:8" ht="33" x14ac:dyDescent="0.2">
      <c r="A2835" s="108">
        <v>1</v>
      </c>
      <c r="B2835" s="108" t="s">
        <v>1667</v>
      </c>
      <c r="C2835" s="110" t="s">
        <v>338</v>
      </c>
      <c r="D2835" s="109">
        <v>1</v>
      </c>
      <c r="E2835" s="109">
        <v>1100</v>
      </c>
      <c r="F2835" s="109">
        <v>1100</v>
      </c>
      <c r="G2835" s="108" t="s">
        <v>1666</v>
      </c>
      <c r="H2835" s="111" t="s">
        <v>16</v>
      </c>
    </row>
    <row r="2836" spans="1:8" ht="33" x14ac:dyDescent="0.2">
      <c r="A2836" s="108">
        <v>2</v>
      </c>
      <c r="B2836" s="108" t="s">
        <v>1665</v>
      </c>
      <c r="C2836" s="110" t="s">
        <v>338</v>
      </c>
      <c r="D2836" s="109">
        <v>1</v>
      </c>
      <c r="E2836" s="109">
        <v>1200</v>
      </c>
      <c r="F2836" s="109">
        <v>1200</v>
      </c>
      <c r="G2836" s="108" t="s">
        <v>1664</v>
      </c>
      <c r="H2836" s="111" t="s">
        <v>16</v>
      </c>
    </row>
    <row r="2837" spans="1:8" ht="33" x14ac:dyDescent="0.2">
      <c r="A2837" s="108">
        <v>3</v>
      </c>
      <c r="B2837" s="108" t="s">
        <v>1663</v>
      </c>
      <c r="C2837" s="110" t="s">
        <v>338</v>
      </c>
      <c r="D2837" s="109">
        <v>1</v>
      </c>
      <c r="E2837" s="109">
        <v>1000</v>
      </c>
      <c r="F2837" s="109">
        <v>1000</v>
      </c>
      <c r="G2837" s="108" t="s">
        <v>1662</v>
      </c>
      <c r="H2837" s="111" t="s">
        <v>16</v>
      </c>
    </row>
    <row r="2838" spans="1:8" ht="33" x14ac:dyDescent="0.2">
      <c r="A2838" s="108">
        <v>4</v>
      </c>
      <c r="B2838" s="108" t="s">
        <v>1661</v>
      </c>
      <c r="C2838" s="110" t="s">
        <v>338</v>
      </c>
      <c r="D2838" s="109">
        <v>1</v>
      </c>
      <c r="E2838" s="109">
        <v>1600</v>
      </c>
      <c r="F2838" s="109">
        <v>1600</v>
      </c>
      <c r="G2838" s="108" t="s">
        <v>1660</v>
      </c>
      <c r="H2838" s="111" t="s">
        <v>16</v>
      </c>
    </row>
    <row r="2839" spans="1:8" ht="33" x14ac:dyDescent="0.2">
      <c r="A2839" s="108">
        <v>5</v>
      </c>
      <c r="B2839" s="108" t="s">
        <v>1518</v>
      </c>
      <c r="C2839" s="110" t="s">
        <v>14</v>
      </c>
      <c r="D2839" s="109">
        <v>1</v>
      </c>
      <c r="E2839" s="109">
        <v>147</v>
      </c>
      <c r="F2839" s="109">
        <v>147</v>
      </c>
      <c r="G2839" s="108" t="s">
        <v>1517</v>
      </c>
      <c r="H2839" s="111" t="s">
        <v>16</v>
      </c>
    </row>
    <row r="2840" spans="1:8" ht="33" x14ac:dyDescent="0.2">
      <c r="A2840" s="108"/>
      <c r="B2840" s="108" t="s">
        <v>1516</v>
      </c>
      <c r="C2840" s="110" t="s">
        <v>338</v>
      </c>
      <c r="D2840" s="109">
        <v>1</v>
      </c>
      <c r="E2840" s="109"/>
      <c r="F2840" s="109">
        <v>5047</v>
      </c>
      <c r="G2840" s="108"/>
      <c r="H2840" s="111" t="s">
        <v>16</v>
      </c>
    </row>
    <row r="2841" spans="1:8" ht="33" x14ac:dyDescent="0.2">
      <c r="A2841" s="108"/>
      <c r="B2841" s="108" t="s">
        <v>1515</v>
      </c>
      <c r="C2841" s="110" t="s">
        <v>338</v>
      </c>
      <c r="D2841" s="109"/>
      <c r="E2841" s="109"/>
      <c r="F2841" s="109">
        <v>5047</v>
      </c>
      <c r="G2841" s="108"/>
      <c r="H2841" s="111" t="s">
        <v>16</v>
      </c>
    </row>
    <row r="2842" spans="1:8" ht="16.5" x14ac:dyDescent="0.2">
      <c r="A2842" s="108"/>
      <c r="B2842" s="108"/>
      <c r="C2842" s="110"/>
      <c r="D2842" s="109"/>
      <c r="E2842" s="109"/>
      <c r="F2842" s="109"/>
      <c r="G2842" s="108"/>
    </row>
    <row r="2843" spans="1:8" ht="33" x14ac:dyDescent="0.2">
      <c r="A2843" s="108" t="s">
        <v>1659</v>
      </c>
      <c r="B2843" s="108" t="s">
        <v>1658</v>
      </c>
      <c r="C2843" s="110" t="s">
        <v>338</v>
      </c>
      <c r="D2843" s="109">
        <v>1</v>
      </c>
      <c r="E2843" s="109">
        <v>102100</v>
      </c>
      <c r="F2843" s="109"/>
      <c r="G2843" s="108" t="s">
        <v>1657</v>
      </c>
      <c r="H2843" s="111" t="s">
        <v>16</v>
      </c>
    </row>
    <row r="2844" spans="1:8" ht="33" x14ac:dyDescent="0.2">
      <c r="A2844" s="108">
        <v>1</v>
      </c>
      <c r="B2844" s="108" t="s">
        <v>1656</v>
      </c>
      <c r="C2844" s="110" t="s">
        <v>338</v>
      </c>
      <c r="D2844" s="109">
        <v>1.05</v>
      </c>
      <c r="E2844" s="109">
        <v>93000</v>
      </c>
      <c r="F2844" s="109">
        <v>97650</v>
      </c>
      <c r="G2844" s="108" t="s">
        <v>1655</v>
      </c>
      <c r="H2844" s="111" t="s">
        <v>16</v>
      </c>
    </row>
    <row r="2845" spans="1:8" ht="33" x14ac:dyDescent="0.2">
      <c r="A2845" s="108">
        <v>2</v>
      </c>
      <c r="B2845" s="108" t="s">
        <v>1654</v>
      </c>
      <c r="C2845" s="110" t="s">
        <v>338</v>
      </c>
      <c r="D2845" s="109">
        <v>1</v>
      </c>
      <c r="E2845" s="109">
        <v>2500</v>
      </c>
      <c r="F2845" s="109">
        <v>2500</v>
      </c>
      <c r="G2845" s="108" t="s">
        <v>1653</v>
      </c>
      <c r="H2845" s="111" t="s">
        <v>16</v>
      </c>
    </row>
    <row r="2846" spans="1:8" ht="33" x14ac:dyDescent="0.2">
      <c r="A2846" s="108">
        <v>3</v>
      </c>
      <c r="B2846" s="108" t="s">
        <v>1652</v>
      </c>
      <c r="C2846" s="110" t="s">
        <v>14</v>
      </c>
      <c r="D2846" s="109">
        <v>1</v>
      </c>
      <c r="E2846" s="109">
        <v>1950</v>
      </c>
      <c r="F2846" s="109">
        <v>1950</v>
      </c>
      <c r="G2846" s="108" t="s">
        <v>1651</v>
      </c>
      <c r="H2846" s="111" t="s">
        <v>16</v>
      </c>
    </row>
    <row r="2847" spans="1:8" ht="33" x14ac:dyDescent="0.2">
      <c r="A2847" s="108"/>
      <c r="B2847" s="108" t="s">
        <v>1516</v>
      </c>
      <c r="C2847" s="110" t="s">
        <v>338</v>
      </c>
      <c r="D2847" s="109">
        <v>1</v>
      </c>
      <c r="E2847" s="109"/>
      <c r="F2847" s="109">
        <v>102100</v>
      </c>
      <c r="G2847" s="108"/>
      <c r="H2847" s="111" t="s">
        <v>16</v>
      </c>
    </row>
    <row r="2848" spans="1:8" ht="33" x14ac:dyDescent="0.2">
      <c r="A2848" s="108"/>
      <c r="B2848" s="108" t="s">
        <v>1515</v>
      </c>
      <c r="C2848" s="110" t="s">
        <v>338</v>
      </c>
      <c r="D2848" s="109"/>
      <c r="E2848" s="109"/>
      <c r="F2848" s="109">
        <v>102100</v>
      </c>
      <c r="G2848" s="108"/>
      <c r="H2848" s="111" t="s">
        <v>16</v>
      </c>
    </row>
    <row r="2849" spans="1:8" ht="16.5" x14ac:dyDescent="0.2">
      <c r="A2849" s="108"/>
      <c r="B2849" s="108"/>
      <c r="C2849" s="110"/>
      <c r="D2849" s="109"/>
      <c r="E2849" s="109"/>
      <c r="F2849" s="109"/>
      <c r="G2849" s="108"/>
    </row>
    <row r="2850" spans="1:8" ht="33" x14ac:dyDescent="0.2">
      <c r="A2850" s="108" t="s">
        <v>1650</v>
      </c>
      <c r="B2850" s="108" t="s">
        <v>1649</v>
      </c>
      <c r="C2850" s="110" t="s">
        <v>30</v>
      </c>
      <c r="D2850" s="109">
        <v>18</v>
      </c>
      <c r="E2850" s="109">
        <v>27335.06</v>
      </c>
      <c r="F2850" s="109"/>
      <c r="G2850" s="108" t="s">
        <v>1648</v>
      </c>
      <c r="H2850" s="111" t="s">
        <v>16</v>
      </c>
    </row>
    <row r="2851" spans="1:8" ht="33" x14ac:dyDescent="0.2">
      <c r="A2851" s="108">
        <v>1</v>
      </c>
      <c r="B2851" s="108" t="s">
        <v>1647</v>
      </c>
      <c r="C2851" s="110" t="s">
        <v>30</v>
      </c>
      <c r="D2851" s="109">
        <v>18</v>
      </c>
      <c r="E2851" s="109">
        <v>16650</v>
      </c>
      <c r="F2851" s="109">
        <v>299700</v>
      </c>
      <c r="G2851" s="108" t="s">
        <v>1646</v>
      </c>
      <c r="H2851" s="111" t="s">
        <v>16</v>
      </c>
    </row>
    <row r="2852" spans="1:8" ht="33" x14ac:dyDescent="0.2">
      <c r="A2852" s="108">
        <v>2</v>
      </c>
      <c r="B2852" s="108" t="s">
        <v>1645</v>
      </c>
      <c r="C2852" s="110" t="s">
        <v>14</v>
      </c>
      <c r="D2852" s="109">
        <v>1</v>
      </c>
      <c r="E2852" s="109">
        <v>152000</v>
      </c>
      <c r="F2852" s="109">
        <v>152000</v>
      </c>
      <c r="G2852" s="108" t="s">
        <v>1644</v>
      </c>
      <c r="H2852" s="111" t="s">
        <v>16</v>
      </c>
    </row>
    <row r="2853" spans="1:8" ht="33" x14ac:dyDescent="0.2">
      <c r="A2853" s="108">
        <v>3</v>
      </c>
      <c r="B2853" s="108" t="s">
        <v>1643</v>
      </c>
      <c r="C2853" s="110" t="s">
        <v>14</v>
      </c>
      <c r="D2853" s="109">
        <v>1</v>
      </c>
      <c r="E2853" s="109">
        <v>26000.02</v>
      </c>
      <c r="F2853" s="109">
        <v>26000.02</v>
      </c>
      <c r="G2853" s="108" t="s">
        <v>1642</v>
      </c>
      <c r="H2853" s="111" t="s">
        <v>16</v>
      </c>
    </row>
    <row r="2854" spans="1:8" ht="33" x14ac:dyDescent="0.2">
      <c r="A2854" s="108">
        <v>4</v>
      </c>
      <c r="B2854" s="108" t="s">
        <v>1518</v>
      </c>
      <c r="C2854" s="110" t="s">
        <v>14</v>
      </c>
      <c r="D2854" s="109">
        <v>1</v>
      </c>
      <c r="E2854" s="109">
        <v>14331</v>
      </c>
      <c r="F2854" s="109">
        <v>14331</v>
      </c>
      <c r="G2854" s="108" t="s">
        <v>1517</v>
      </c>
      <c r="H2854" s="111" t="s">
        <v>16</v>
      </c>
    </row>
    <row r="2855" spans="1:8" ht="33" x14ac:dyDescent="0.2">
      <c r="A2855" s="108"/>
      <c r="B2855" s="108" t="s">
        <v>1516</v>
      </c>
      <c r="C2855" s="110" t="s">
        <v>30</v>
      </c>
      <c r="D2855" s="109">
        <v>18</v>
      </c>
      <c r="E2855" s="109"/>
      <c r="F2855" s="109">
        <v>492031.02</v>
      </c>
      <c r="G2855" s="108"/>
      <c r="H2855" s="111" t="s">
        <v>16</v>
      </c>
    </row>
    <row r="2856" spans="1:8" ht="33" x14ac:dyDescent="0.2">
      <c r="A2856" s="108"/>
      <c r="B2856" s="108" t="s">
        <v>1515</v>
      </c>
      <c r="C2856" s="110" t="s">
        <v>30</v>
      </c>
      <c r="D2856" s="109"/>
      <c r="E2856" s="109"/>
      <c r="F2856" s="109">
        <v>27335.06</v>
      </c>
      <c r="G2856" s="108"/>
      <c r="H2856" s="111" t="s">
        <v>16</v>
      </c>
    </row>
    <row r="2857" spans="1:8" ht="16.5" x14ac:dyDescent="0.2">
      <c r="A2857" s="108"/>
      <c r="B2857" s="108"/>
      <c r="C2857" s="110"/>
      <c r="D2857" s="109"/>
      <c r="E2857" s="109"/>
      <c r="F2857" s="109"/>
      <c r="G2857" s="108"/>
    </row>
    <row r="2858" spans="1:8" ht="33" x14ac:dyDescent="0.2">
      <c r="A2858" s="108" t="s">
        <v>1641</v>
      </c>
      <c r="B2858" s="108" t="s">
        <v>1640</v>
      </c>
      <c r="C2858" s="110" t="s">
        <v>1014</v>
      </c>
      <c r="D2858" s="109">
        <v>1</v>
      </c>
      <c r="E2858" s="109">
        <v>6035.8</v>
      </c>
      <c r="F2858" s="109"/>
      <c r="G2858" s="108" t="s">
        <v>1639</v>
      </c>
      <c r="H2858" s="111" t="s">
        <v>16</v>
      </c>
    </row>
    <row r="2859" spans="1:8" ht="33" x14ac:dyDescent="0.2">
      <c r="A2859" s="108">
        <v>1</v>
      </c>
      <c r="B2859" s="108" t="s">
        <v>1638</v>
      </c>
      <c r="C2859" s="110" t="s">
        <v>925</v>
      </c>
      <c r="D2859" s="109">
        <v>1</v>
      </c>
      <c r="E2859" s="109">
        <v>5200</v>
      </c>
      <c r="F2859" s="109">
        <v>5200</v>
      </c>
      <c r="G2859" s="108" t="s">
        <v>1637</v>
      </c>
      <c r="H2859" s="111" t="s">
        <v>16</v>
      </c>
    </row>
    <row r="2860" spans="1:8" ht="33" x14ac:dyDescent="0.2">
      <c r="A2860" s="108">
        <v>2</v>
      </c>
      <c r="B2860" s="108" t="s">
        <v>1636</v>
      </c>
      <c r="C2860" s="110" t="s">
        <v>14</v>
      </c>
      <c r="D2860" s="109">
        <v>1</v>
      </c>
      <c r="E2860" s="109">
        <v>200</v>
      </c>
      <c r="F2860" s="109">
        <v>200</v>
      </c>
      <c r="G2860" s="108" t="s">
        <v>1635</v>
      </c>
      <c r="H2860" s="111" t="s">
        <v>16</v>
      </c>
    </row>
    <row r="2861" spans="1:8" ht="33" x14ac:dyDescent="0.2">
      <c r="A2861" s="108">
        <v>3</v>
      </c>
      <c r="B2861" s="108" t="s">
        <v>1634</v>
      </c>
      <c r="C2861" s="110" t="s">
        <v>14</v>
      </c>
      <c r="D2861" s="109">
        <v>1</v>
      </c>
      <c r="E2861" s="109">
        <v>460</v>
      </c>
      <c r="F2861" s="109">
        <v>460</v>
      </c>
      <c r="G2861" s="108" t="s">
        <v>1633</v>
      </c>
      <c r="H2861" s="111" t="s">
        <v>16</v>
      </c>
    </row>
    <row r="2862" spans="1:8" ht="33" x14ac:dyDescent="0.2">
      <c r="A2862" s="108">
        <v>4</v>
      </c>
      <c r="B2862" s="108" t="s">
        <v>1518</v>
      </c>
      <c r="C2862" s="110" t="s">
        <v>14</v>
      </c>
      <c r="D2862" s="109">
        <v>1</v>
      </c>
      <c r="E2862" s="109">
        <v>175.8</v>
      </c>
      <c r="F2862" s="109">
        <v>175.8</v>
      </c>
      <c r="G2862" s="108" t="s">
        <v>1517</v>
      </c>
      <c r="H2862" s="111" t="s">
        <v>16</v>
      </c>
    </row>
    <row r="2863" spans="1:8" ht="33" x14ac:dyDescent="0.2">
      <c r="A2863" s="108"/>
      <c r="B2863" s="108" t="s">
        <v>1516</v>
      </c>
      <c r="C2863" s="110" t="s">
        <v>1014</v>
      </c>
      <c r="D2863" s="109">
        <v>1</v>
      </c>
      <c r="E2863" s="109"/>
      <c r="F2863" s="109">
        <v>6035.8</v>
      </c>
      <c r="G2863" s="108"/>
      <c r="H2863" s="111" t="s">
        <v>16</v>
      </c>
    </row>
    <row r="2864" spans="1:8" ht="33" x14ac:dyDescent="0.2">
      <c r="A2864" s="108"/>
      <c r="B2864" s="108" t="s">
        <v>1515</v>
      </c>
      <c r="C2864" s="110" t="s">
        <v>1014</v>
      </c>
      <c r="D2864" s="109"/>
      <c r="E2864" s="109"/>
      <c r="F2864" s="109">
        <v>6035.8</v>
      </c>
      <c r="G2864" s="108"/>
      <c r="H2864" s="111" t="s">
        <v>16</v>
      </c>
    </row>
    <row r="2865" spans="1:8" ht="16.5" x14ac:dyDescent="0.2">
      <c r="A2865" s="108"/>
      <c r="B2865" s="108"/>
      <c r="C2865" s="110"/>
      <c r="D2865" s="109"/>
      <c r="E2865" s="109"/>
      <c r="F2865" s="109"/>
      <c r="G2865" s="108"/>
    </row>
    <row r="2866" spans="1:8" ht="42.75" x14ac:dyDescent="0.2">
      <c r="A2866" s="108" t="s">
        <v>1632</v>
      </c>
      <c r="B2866" s="108" t="s">
        <v>1631</v>
      </c>
      <c r="C2866" s="110" t="s">
        <v>162</v>
      </c>
      <c r="D2866" s="109">
        <v>1</v>
      </c>
      <c r="E2866" s="109">
        <v>40891</v>
      </c>
      <c r="F2866" s="109"/>
      <c r="G2866" s="108" t="s">
        <v>1630</v>
      </c>
      <c r="H2866" s="111" t="s">
        <v>16</v>
      </c>
    </row>
    <row r="2867" spans="1:8" ht="33" x14ac:dyDescent="0.2">
      <c r="A2867" s="108">
        <v>1</v>
      </c>
      <c r="B2867" s="108" t="s">
        <v>1629</v>
      </c>
      <c r="C2867" s="110" t="s">
        <v>162</v>
      </c>
      <c r="D2867" s="109">
        <v>1</v>
      </c>
      <c r="E2867" s="109">
        <v>29000</v>
      </c>
      <c r="F2867" s="109">
        <v>29000</v>
      </c>
      <c r="G2867" s="108" t="s">
        <v>1628</v>
      </c>
      <c r="H2867" s="111" t="s">
        <v>16</v>
      </c>
    </row>
    <row r="2868" spans="1:8" ht="33" x14ac:dyDescent="0.2">
      <c r="A2868" s="108">
        <v>2</v>
      </c>
      <c r="B2868" s="108" t="s">
        <v>1603</v>
      </c>
      <c r="C2868" s="110" t="s">
        <v>14</v>
      </c>
      <c r="D2868" s="109">
        <v>1</v>
      </c>
      <c r="E2868" s="109">
        <v>700</v>
      </c>
      <c r="F2868" s="109">
        <v>700</v>
      </c>
      <c r="G2868" s="108" t="s">
        <v>1602</v>
      </c>
      <c r="H2868" s="111" t="s">
        <v>16</v>
      </c>
    </row>
    <row r="2869" spans="1:8" ht="33" x14ac:dyDescent="0.2">
      <c r="A2869" s="108">
        <v>3</v>
      </c>
      <c r="B2869" s="108" t="s">
        <v>1601</v>
      </c>
      <c r="C2869" s="110" t="s">
        <v>162</v>
      </c>
      <c r="D2869" s="109">
        <v>1</v>
      </c>
      <c r="E2869" s="109">
        <v>10000</v>
      </c>
      <c r="F2869" s="109">
        <v>10000</v>
      </c>
      <c r="G2869" s="108" t="s">
        <v>1600</v>
      </c>
      <c r="H2869" s="111" t="s">
        <v>16</v>
      </c>
    </row>
    <row r="2870" spans="1:8" ht="33" x14ac:dyDescent="0.2">
      <c r="A2870" s="108">
        <v>4</v>
      </c>
      <c r="B2870" s="108" t="s">
        <v>1518</v>
      </c>
      <c r="C2870" s="110" t="s">
        <v>14</v>
      </c>
      <c r="D2870" s="109">
        <v>1</v>
      </c>
      <c r="E2870" s="109">
        <v>1191</v>
      </c>
      <c r="F2870" s="109">
        <v>1191</v>
      </c>
      <c r="G2870" s="108" t="s">
        <v>1517</v>
      </c>
      <c r="H2870" s="111" t="s">
        <v>16</v>
      </c>
    </row>
    <row r="2871" spans="1:8" ht="33" x14ac:dyDescent="0.2">
      <c r="A2871" s="108"/>
      <c r="B2871" s="108" t="s">
        <v>1516</v>
      </c>
      <c r="C2871" s="110" t="s">
        <v>162</v>
      </c>
      <c r="D2871" s="109">
        <v>1</v>
      </c>
      <c r="E2871" s="109"/>
      <c r="F2871" s="109">
        <v>40891</v>
      </c>
      <c r="G2871" s="108"/>
      <c r="H2871" s="111" t="s">
        <v>16</v>
      </c>
    </row>
    <row r="2872" spans="1:8" ht="33" x14ac:dyDescent="0.2">
      <c r="A2872" s="108"/>
      <c r="B2872" s="108" t="s">
        <v>1515</v>
      </c>
      <c r="C2872" s="110" t="s">
        <v>162</v>
      </c>
      <c r="D2872" s="109"/>
      <c r="E2872" s="109"/>
      <c r="F2872" s="109">
        <v>40891</v>
      </c>
      <c r="G2872" s="108"/>
      <c r="H2872" s="111" t="s">
        <v>16</v>
      </c>
    </row>
    <row r="2873" spans="1:8" ht="16.5" x14ac:dyDescent="0.2">
      <c r="A2873" s="108"/>
      <c r="B2873" s="108"/>
      <c r="C2873" s="110"/>
      <c r="D2873" s="109"/>
      <c r="E2873" s="109"/>
      <c r="F2873" s="109"/>
      <c r="G2873" s="108"/>
    </row>
    <row r="2874" spans="1:8" ht="33" x14ac:dyDescent="0.2">
      <c r="A2874" s="108" t="s">
        <v>1627</v>
      </c>
      <c r="B2874" s="108" t="s">
        <v>1626</v>
      </c>
      <c r="C2874" s="110" t="s">
        <v>162</v>
      </c>
      <c r="D2874" s="109">
        <v>1</v>
      </c>
      <c r="E2874" s="109">
        <v>31415</v>
      </c>
      <c r="F2874" s="109"/>
      <c r="G2874" s="108" t="s">
        <v>1625</v>
      </c>
      <c r="H2874" s="111" t="s">
        <v>16</v>
      </c>
    </row>
    <row r="2875" spans="1:8" ht="33" x14ac:dyDescent="0.2">
      <c r="A2875" s="108">
        <v>1</v>
      </c>
      <c r="B2875" s="108" t="s">
        <v>1624</v>
      </c>
      <c r="C2875" s="110" t="s">
        <v>162</v>
      </c>
      <c r="D2875" s="109">
        <v>1</v>
      </c>
      <c r="E2875" s="109">
        <v>22000</v>
      </c>
      <c r="F2875" s="109">
        <v>22000</v>
      </c>
      <c r="G2875" s="108" t="s">
        <v>1623</v>
      </c>
      <c r="H2875" s="111" t="s">
        <v>16</v>
      </c>
    </row>
    <row r="2876" spans="1:8" ht="33" x14ac:dyDescent="0.2">
      <c r="A2876" s="108">
        <v>2</v>
      </c>
      <c r="B2876" s="108" t="s">
        <v>1603</v>
      </c>
      <c r="C2876" s="110" t="s">
        <v>14</v>
      </c>
      <c r="D2876" s="109">
        <v>1</v>
      </c>
      <c r="E2876" s="109">
        <v>500</v>
      </c>
      <c r="F2876" s="109">
        <v>500</v>
      </c>
      <c r="G2876" s="108" t="s">
        <v>1602</v>
      </c>
      <c r="H2876" s="111" t="s">
        <v>16</v>
      </c>
    </row>
    <row r="2877" spans="1:8" ht="33" x14ac:dyDescent="0.2">
      <c r="A2877" s="108">
        <v>3</v>
      </c>
      <c r="B2877" s="108" t="s">
        <v>1601</v>
      </c>
      <c r="C2877" s="110" t="s">
        <v>162</v>
      </c>
      <c r="D2877" s="109">
        <v>1</v>
      </c>
      <c r="E2877" s="109">
        <v>8000</v>
      </c>
      <c r="F2877" s="109">
        <v>8000</v>
      </c>
      <c r="G2877" s="108" t="s">
        <v>1600</v>
      </c>
      <c r="H2877" s="111" t="s">
        <v>16</v>
      </c>
    </row>
    <row r="2878" spans="1:8" ht="33" x14ac:dyDescent="0.2">
      <c r="A2878" s="108">
        <v>4</v>
      </c>
      <c r="B2878" s="108" t="s">
        <v>1518</v>
      </c>
      <c r="C2878" s="110" t="s">
        <v>14</v>
      </c>
      <c r="D2878" s="109">
        <v>1</v>
      </c>
      <c r="E2878" s="109">
        <v>915</v>
      </c>
      <c r="F2878" s="109">
        <v>915</v>
      </c>
      <c r="G2878" s="108" t="s">
        <v>1517</v>
      </c>
      <c r="H2878" s="111" t="s">
        <v>16</v>
      </c>
    </row>
    <row r="2879" spans="1:8" ht="33" x14ac:dyDescent="0.2">
      <c r="A2879" s="108"/>
      <c r="B2879" s="108" t="s">
        <v>1516</v>
      </c>
      <c r="C2879" s="110" t="s">
        <v>162</v>
      </c>
      <c r="D2879" s="109">
        <v>1</v>
      </c>
      <c r="E2879" s="109"/>
      <c r="F2879" s="109">
        <v>31415</v>
      </c>
      <c r="G2879" s="108"/>
      <c r="H2879" s="111" t="s">
        <v>16</v>
      </c>
    </row>
    <row r="2880" spans="1:8" ht="33" x14ac:dyDescent="0.2">
      <c r="A2880" s="108"/>
      <c r="B2880" s="108" t="s">
        <v>1515</v>
      </c>
      <c r="C2880" s="110" t="s">
        <v>162</v>
      </c>
      <c r="D2880" s="109"/>
      <c r="E2880" s="109"/>
      <c r="F2880" s="109">
        <v>31415</v>
      </c>
      <c r="G2880" s="108"/>
      <c r="H2880" s="111" t="s">
        <v>16</v>
      </c>
    </row>
    <row r="2881" spans="1:8" ht="16.5" x14ac:dyDescent="0.2">
      <c r="A2881" s="108"/>
      <c r="B2881" s="108"/>
      <c r="C2881" s="110"/>
      <c r="D2881" s="109"/>
      <c r="E2881" s="109"/>
      <c r="F2881" s="109"/>
      <c r="G2881" s="108"/>
    </row>
    <row r="2882" spans="1:8" ht="33" x14ac:dyDescent="0.2">
      <c r="A2882" s="108" t="s">
        <v>1622</v>
      </c>
      <c r="B2882" s="108" t="s">
        <v>1621</v>
      </c>
      <c r="C2882" s="110" t="s">
        <v>23</v>
      </c>
      <c r="D2882" s="109">
        <v>1</v>
      </c>
      <c r="E2882" s="109">
        <v>2927.78</v>
      </c>
      <c r="F2882" s="109"/>
      <c r="G2882" s="108" t="s">
        <v>1620</v>
      </c>
      <c r="H2882" s="111" t="s">
        <v>16</v>
      </c>
    </row>
    <row r="2883" spans="1:8" ht="33" x14ac:dyDescent="0.2">
      <c r="A2883" s="108">
        <v>1</v>
      </c>
      <c r="B2883" s="108" t="s">
        <v>1619</v>
      </c>
      <c r="C2883" s="110" t="s">
        <v>23</v>
      </c>
      <c r="D2883" s="109">
        <v>1</v>
      </c>
      <c r="E2883" s="109">
        <v>2300</v>
      </c>
      <c r="F2883" s="109">
        <v>2300</v>
      </c>
      <c r="G2883" s="108" t="s">
        <v>1618</v>
      </c>
      <c r="H2883" s="111" t="s">
        <v>16</v>
      </c>
    </row>
    <row r="2884" spans="1:8" ht="33" x14ac:dyDescent="0.2">
      <c r="A2884" s="108">
        <v>2</v>
      </c>
      <c r="B2884" s="108" t="s">
        <v>1610</v>
      </c>
      <c r="C2884" s="110" t="s">
        <v>97</v>
      </c>
      <c r="D2884" s="109">
        <v>0.7</v>
      </c>
      <c r="E2884" s="109">
        <v>375</v>
      </c>
      <c r="F2884" s="109">
        <v>262.5</v>
      </c>
      <c r="G2884" s="108" t="s">
        <v>1609</v>
      </c>
      <c r="H2884" s="111" t="s">
        <v>16</v>
      </c>
    </row>
    <row r="2885" spans="1:8" ht="33" x14ac:dyDescent="0.2">
      <c r="A2885" s="108">
        <v>3</v>
      </c>
      <c r="B2885" s="108" t="s">
        <v>1527</v>
      </c>
      <c r="C2885" s="110" t="s">
        <v>97</v>
      </c>
      <c r="D2885" s="109">
        <v>1</v>
      </c>
      <c r="E2885" s="109">
        <v>280</v>
      </c>
      <c r="F2885" s="109">
        <v>280</v>
      </c>
      <c r="G2885" s="108" t="s">
        <v>1535</v>
      </c>
      <c r="H2885" s="111" t="s">
        <v>16</v>
      </c>
    </row>
    <row r="2886" spans="1:8" ht="33" x14ac:dyDescent="0.2">
      <c r="A2886" s="108">
        <v>4</v>
      </c>
      <c r="B2886" s="108" t="s">
        <v>1518</v>
      </c>
      <c r="C2886" s="110" t="s">
        <v>14</v>
      </c>
      <c r="D2886" s="109">
        <v>1</v>
      </c>
      <c r="E2886" s="109">
        <v>85.28</v>
      </c>
      <c r="F2886" s="109">
        <v>85.28</v>
      </c>
      <c r="G2886" s="108" t="s">
        <v>1517</v>
      </c>
      <c r="H2886" s="111" t="s">
        <v>16</v>
      </c>
    </row>
    <row r="2887" spans="1:8" ht="33" x14ac:dyDescent="0.2">
      <c r="A2887" s="108"/>
      <c r="B2887" s="108" t="s">
        <v>1516</v>
      </c>
      <c r="C2887" s="110" t="s">
        <v>23</v>
      </c>
      <c r="D2887" s="109">
        <v>1</v>
      </c>
      <c r="E2887" s="109"/>
      <c r="F2887" s="109">
        <v>2927.78</v>
      </c>
      <c r="G2887" s="108"/>
      <c r="H2887" s="111" t="s">
        <v>16</v>
      </c>
    </row>
    <row r="2888" spans="1:8" ht="33" x14ac:dyDescent="0.2">
      <c r="A2888" s="108"/>
      <c r="B2888" s="108" t="s">
        <v>1515</v>
      </c>
      <c r="C2888" s="110" t="s">
        <v>23</v>
      </c>
      <c r="D2888" s="109"/>
      <c r="E2888" s="109"/>
      <c r="F2888" s="109">
        <v>2927.78</v>
      </c>
      <c r="G2888" s="108"/>
      <c r="H2888" s="111" t="s">
        <v>16</v>
      </c>
    </row>
    <row r="2889" spans="1:8" ht="16.5" x14ac:dyDescent="0.2">
      <c r="A2889" s="108"/>
      <c r="B2889" s="108"/>
      <c r="C2889" s="110"/>
      <c r="D2889" s="109"/>
      <c r="E2889" s="109"/>
      <c r="F2889" s="109"/>
      <c r="G2889" s="108"/>
    </row>
    <row r="2890" spans="1:8" ht="33" x14ac:dyDescent="0.2">
      <c r="A2890" s="108" t="s">
        <v>1617</v>
      </c>
      <c r="B2890" s="108" t="s">
        <v>1616</v>
      </c>
      <c r="C2890" s="110" t="s">
        <v>50</v>
      </c>
      <c r="D2890" s="109">
        <v>1000</v>
      </c>
      <c r="E2890" s="109">
        <v>794.9</v>
      </c>
      <c r="F2890" s="109"/>
      <c r="G2890" s="108" t="s">
        <v>1615</v>
      </c>
      <c r="H2890" s="111" t="s">
        <v>16</v>
      </c>
    </row>
    <row r="2891" spans="1:8" ht="33" x14ac:dyDescent="0.2">
      <c r="A2891" s="108">
        <v>1</v>
      </c>
      <c r="B2891" s="108" t="s">
        <v>1614</v>
      </c>
      <c r="C2891" s="110" t="s">
        <v>50</v>
      </c>
      <c r="D2891" s="109">
        <v>1000</v>
      </c>
      <c r="E2891" s="109">
        <v>750</v>
      </c>
      <c r="F2891" s="109">
        <v>750000</v>
      </c>
      <c r="G2891" s="108" t="s">
        <v>1613</v>
      </c>
      <c r="H2891" s="111" t="s">
        <v>16</v>
      </c>
    </row>
    <row r="2892" spans="1:8" ht="33" x14ac:dyDescent="0.2">
      <c r="A2892" s="108">
        <v>2</v>
      </c>
      <c r="B2892" s="108" t="s">
        <v>1612</v>
      </c>
      <c r="C2892" s="110" t="s">
        <v>14</v>
      </c>
      <c r="D2892" s="109">
        <v>1</v>
      </c>
      <c r="E2892" s="109">
        <v>1500</v>
      </c>
      <c r="F2892" s="109">
        <v>1500</v>
      </c>
      <c r="G2892" s="108" t="s">
        <v>1611</v>
      </c>
      <c r="H2892" s="111" t="s">
        <v>16</v>
      </c>
    </row>
    <row r="2893" spans="1:8" ht="33" x14ac:dyDescent="0.2">
      <c r="A2893" s="108">
        <v>3</v>
      </c>
      <c r="B2893" s="108" t="s">
        <v>1610</v>
      </c>
      <c r="C2893" s="110" t="s">
        <v>97</v>
      </c>
      <c r="D2893" s="109">
        <v>54</v>
      </c>
      <c r="E2893" s="109">
        <v>375</v>
      </c>
      <c r="F2893" s="109">
        <v>20250</v>
      </c>
      <c r="G2893" s="108" t="s">
        <v>1609</v>
      </c>
      <c r="H2893" s="111" t="s">
        <v>16</v>
      </c>
    </row>
    <row r="2894" spans="1:8" ht="33" x14ac:dyDescent="0.2">
      <c r="A2894" s="108">
        <v>4</v>
      </c>
      <c r="B2894" s="108" t="s">
        <v>1518</v>
      </c>
      <c r="C2894" s="110" t="s">
        <v>14</v>
      </c>
      <c r="D2894" s="109">
        <v>1</v>
      </c>
      <c r="E2894" s="109">
        <v>23152.5</v>
      </c>
      <c r="F2894" s="109">
        <v>23152.5</v>
      </c>
      <c r="G2894" s="108" t="s">
        <v>1517</v>
      </c>
      <c r="H2894" s="111" t="s">
        <v>16</v>
      </c>
    </row>
    <row r="2895" spans="1:8" ht="33" x14ac:dyDescent="0.2">
      <c r="A2895" s="108"/>
      <c r="B2895" s="108" t="s">
        <v>1516</v>
      </c>
      <c r="C2895" s="110" t="s">
        <v>50</v>
      </c>
      <c r="D2895" s="109">
        <v>1000</v>
      </c>
      <c r="E2895" s="109"/>
      <c r="F2895" s="109">
        <v>794902.5</v>
      </c>
      <c r="G2895" s="108"/>
      <c r="H2895" s="111" t="s">
        <v>16</v>
      </c>
    </row>
    <row r="2896" spans="1:8" ht="33" x14ac:dyDescent="0.2">
      <c r="A2896" s="108"/>
      <c r="B2896" s="108" t="s">
        <v>1515</v>
      </c>
      <c r="C2896" s="110" t="s">
        <v>50</v>
      </c>
      <c r="D2896" s="109"/>
      <c r="E2896" s="109"/>
      <c r="F2896" s="109">
        <v>794.9</v>
      </c>
      <c r="G2896" s="108"/>
      <c r="H2896" s="111" t="s">
        <v>16</v>
      </c>
    </row>
    <row r="2897" spans="1:8" ht="16.5" x14ac:dyDescent="0.2">
      <c r="A2897" s="108"/>
      <c r="B2897" s="108"/>
      <c r="C2897" s="110"/>
      <c r="D2897" s="109"/>
      <c r="E2897" s="109"/>
      <c r="F2897" s="109"/>
      <c r="G2897" s="108"/>
    </row>
    <row r="2898" spans="1:8" ht="33" x14ac:dyDescent="0.2">
      <c r="A2898" s="108" t="s">
        <v>1608</v>
      </c>
      <c r="B2898" s="108" t="s">
        <v>1607</v>
      </c>
      <c r="C2898" s="110" t="s">
        <v>162</v>
      </c>
      <c r="D2898" s="109">
        <v>1</v>
      </c>
      <c r="E2898" s="109">
        <v>31415</v>
      </c>
      <c r="F2898" s="109"/>
      <c r="G2898" s="108" t="s">
        <v>1606</v>
      </c>
      <c r="H2898" s="111" t="s">
        <v>16</v>
      </c>
    </row>
    <row r="2899" spans="1:8" ht="33" x14ac:dyDescent="0.2">
      <c r="A2899" s="108">
        <v>1</v>
      </c>
      <c r="B2899" s="108" t="s">
        <v>1605</v>
      </c>
      <c r="C2899" s="110" t="s">
        <v>162</v>
      </c>
      <c r="D2899" s="109">
        <v>1</v>
      </c>
      <c r="E2899" s="109">
        <v>22000</v>
      </c>
      <c r="F2899" s="109">
        <v>22000</v>
      </c>
      <c r="G2899" s="108" t="s">
        <v>1604</v>
      </c>
      <c r="H2899" s="111" t="s">
        <v>16</v>
      </c>
    </row>
    <row r="2900" spans="1:8" ht="33" x14ac:dyDescent="0.2">
      <c r="A2900" s="108">
        <v>2</v>
      </c>
      <c r="B2900" s="108" t="s">
        <v>1603</v>
      </c>
      <c r="C2900" s="110" t="s">
        <v>14</v>
      </c>
      <c r="D2900" s="109">
        <v>1</v>
      </c>
      <c r="E2900" s="109">
        <v>500</v>
      </c>
      <c r="F2900" s="109">
        <v>500</v>
      </c>
      <c r="G2900" s="108" t="s">
        <v>1602</v>
      </c>
      <c r="H2900" s="111" t="s">
        <v>16</v>
      </c>
    </row>
    <row r="2901" spans="1:8" ht="33" x14ac:dyDescent="0.2">
      <c r="A2901" s="108">
        <v>3</v>
      </c>
      <c r="B2901" s="108" t="s">
        <v>1601</v>
      </c>
      <c r="C2901" s="110" t="s">
        <v>162</v>
      </c>
      <c r="D2901" s="109">
        <v>1</v>
      </c>
      <c r="E2901" s="109">
        <v>8000</v>
      </c>
      <c r="F2901" s="109">
        <v>8000</v>
      </c>
      <c r="G2901" s="108" t="s">
        <v>1600</v>
      </c>
      <c r="H2901" s="111" t="s">
        <v>16</v>
      </c>
    </row>
    <row r="2902" spans="1:8" ht="33" x14ac:dyDescent="0.2">
      <c r="A2902" s="108">
        <v>4</v>
      </c>
      <c r="B2902" s="108" t="s">
        <v>1518</v>
      </c>
      <c r="C2902" s="110" t="s">
        <v>14</v>
      </c>
      <c r="D2902" s="109">
        <v>1</v>
      </c>
      <c r="E2902" s="109">
        <v>915</v>
      </c>
      <c r="F2902" s="109">
        <v>915</v>
      </c>
      <c r="G2902" s="108" t="s">
        <v>1517</v>
      </c>
      <c r="H2902" s="111" t="s">
        <v>16</v>
      </c>
    </row>
    <row r="2903" spans="1:8" ht="33" x14ac:dyDescent="0.2">
      <c r="A2903" s="108"/>
      <c r="B2903" s="108" t="s">
        <v>1516</v>
      </c>
      <c r="C2903" s="110" t="s">
        <v>162</v>
      </c>
      <c r="D2903" s="109">
        <v>1</v>
      </c>
      <c r="E2903" s="109"/>
      <c r="F2903" s="109">
        <v>31415</v>
      </c>
      <c r="G2903" s="108"/>
      <c r="H2903" s="111" t="s">
        <v>16</v>
      </c>
    </row>
    <row r="2904" spans="1:8" ht="33" x14ac:dyDescent="0.2">
      <c r="A2904" s="108"/>
      <c r="B2904" s="108" t="s">
        <v>1515</v>
      </c>
      <c r="C2904" s="110" t="s">
        <v>162</v>
      </c>
      <c r="D2904" s="109"/>
      <c r="E2904" s="109"/>
      <c r="F2904" s="109">
        <v>31415</v>
      </c>
      <c r="G2904" s="108"/>
      <c r="H2904" s="111" t="s">
        <v>16</v>
      </c>
    </row>
    <row r="2905" spans="1:8" ht="16.5" x14ac:dyDescent="0.2">
      <c r="A2905" s="108"/>
      <c r="B2905" s="108"/>
      <c r="C2905" s="110"/>
      <c r="D2905" s="109"/>
      <c r="E2905" s="109"/>
      <c r="F2905" s="109"/>
      <c r="G2905" s="108"/>
    </row>
    <row r="2906" spans="1:8" ht="33" x14ac:dyDescent="0.2">
      <c r="A2906" s="108" t="s">
        <v>1599</v>
      </c>
      <c r="B2906" s="108" t="s">
        <v>1598</v>
      </c>
      <c r="C2906" s="110" t="s">
        <v>50</v>
      </c>
      <c r="D2906" s="109">
        <v>10</v>
      </c>
      <c r="E2906" s="109">
        <v>327.55</v>
      </c>
      <c r="F2906" s="109"/>
      <c r="G2906" s="108" t="s">
        <v>1597</v>
      </c>
      <c r="H2906" s="111" t="s">
        <v>16</v>
      </c>
    </row>
    <row r="2907" spans="1:8" ht="33" x14ac:dyDescent="0.2">
      <c r="A2907" s="108">
        <v>1</v>
      </c>
      <c r="B2907" s="108" t="s">
        <v>1596</v>
      </c>
      <c r="C2907" s="110" t="s">
        <v>23</v>
      </c>
      <c r="D2907" s="109">
        <v>0.15</v>
      </c>
      <c r="E2907" s="109">
        <v>3733.75</v>
      </c>
      <c r="F2907" s="109">
        <v>560.05999999999995</v>
      </c>
      <c r="G2907" s="108" t="s">
        <v>1595</v>
      </c>
      <c r="H2907" s="111" t="s">
        <v>16</v>
      </c>
    </row>
    <row r="2908" spans="1:8" ht="33" x14ac:dyDescent="0.2">
      <c r="A2908" s="108">
        <v>2</v>
      </c>
      <c r="B2908" s="108" t="s">
        <v>1594</v>
      </c>
      <c r="C2908" s="110" t="s">
        <v>97</v>
      </c>
      <c r="D2908" s="109">
        <v>4</v>
      </c>
      <c r="E2908" s="109">
        <v>375</v>
      </c>
      <c r="F2908" s="109">
        <v>1500</v>
      </c>
      <c r="G2908" s="108" t="s">
        <v>1593</v>
      </c>
      <c r="H2908" s="111" t="s">
        <v>16</v>
      </c>
    </row>
    <row r="2909" spans="1:8" ht="33" x14ac:dyDescent="0.2">
      <c r="A2909" s="108">
        <v>3</v>
      </c>
      <c r="B2909" s="108" t="s">
        <v>1527</v>
      </c>
      <c r="C2909" s="110" t="s">
        <v>97</v>
      </c>
      <c r="D2909" s="109">
        <v>4</v>
      </c>
      <c r="E2909" s="109">
        <v>280</v>
      </c>
      <c r="F2909" s="109">
        <v>1120</v>
      </c>
      <c r="G2909" s="108" t="s">
        <v>1535</v>
      </c>
      <c r="H2909" s="111" t="s">
        <v>16</v>
      </c>
    </row>
    <row r="2910" spans="1:8" ht="33" x14ac:dyDescent="0.2">
      <c r="A2910" s="108">
        <v>4</v>
      </c>
      <c r="B2910" s="108" t="s">
        <v>1543</v>
      </c>
      <c r="C2910" s="110" t="s">
        <v>14</v>
      </c>
      <c r="D2910" s="109">
        <v>1</v>
      </c>
      <c r="E2910" s="109">
        <v>95.4</v>
      </c>
      <c r="F2910" s="109">
        <v>95.4</v>
      </c>
      <c r="G2910" s="108" t="s">
        <v>1542</v>
      </c>
      <c r="H2910" s="111" t="s">
        <v>16</v>
      </c>
    </row>
    <row r="2911" spans="1:8" ht="33" x14ac:dyDescent="0.2">
      <c r="A2911" s="108"/>
      <c r="B2911" s="108" t="s">
        <v>1516</v>
      </c>
      <c r="C2911" s="110" t="s">
        <v>50</v>
      </c>
      <c r="D2911" s="109">
        <v>10</v>
      </c>
      <c r="E2911" s="109"/>
      <c r="F2911" s="109">
        <v>3275.46</v>
      </c>
      <c r="G2911" s="108"/>
      <c r="H2911" s="111" t="s">
        <v>16</v>
      </c>
    </row>
    <row r="2912" spans="1:8" ht="33" x14ac:dyDescent="0.2">
      <c r="A2912" s="108"/>
      <c r="B2912" s="108" t="s">
        <v>1515</v>
      </c>
      <c r="C2912" s="110" t="s">
        <v>50</v>
      </c>
      <c r="D2912" s="109"/>
      <c r="E2912" s="109"/>
      <c r="F2912" s="109">
        <v>327.55</v>
      </c>
      <c r="G2912" s="108"/>
      <c r="H2912" s="111" t="s">
        <v>16</v>
      </c>
    </row>
    <row r="2913" spans="1:8" ht="16.5" x14ac:dyDescent="0.2">
      <c r="A2913" s="108"/>
      <c r="B2913" s="108"/>
      <c r="C2913" s="110"/>
      <c r="D2913" s="109"/>
      <c r="E2913" s="109"/>
      <c r="F2913" s="109"/>
      <c r="G2913" s="108"/>
    </row>
    <row r="2914" spans="1:8" ht="57" x14ac:dyDescent="0.2">
      <c r="A2914" s="108" t="s">
        <v>1592</v>
      </c>
      <c r="B2914" s="108" t="s">
        <v>1591</v>
      </c>
      <c r="C2914" s="110" t="s">
        <v>110</v>
      </c>
      <c r="D2914" s="109">
        <v>1000</v>
      </c>
      <c r="E2914" s="109">
        <v>60</v>
      </c>
      <c r="F2914" s="109"/>
      <c r="G2914" s="108" t="s">
        <v>1590</v>
      </c>
      <c r="H2914" s="111" t="s">
        <v>16</v>
      </c>
    </row>
    <row r="2915" spans="1:8" ht="33" x14ac:dyDescent="0.2">
      <c r="A2915" s="108">
        <v>1</v>
      </c>
      <c r="B2915" s="108" t="s">
        <v>1589</v>
      </c>
      <c r="C2915" s="110" t="s">
        <v>14</v>
      </c>
      <c r="D2915" s="109">
        <v>1</v>
      </c>
      <c r="E2915" s="109">
        <v>9000</v>
      </c>
      <c r="F2915" s="109">
        <v>9000</v>
      </c>
      <c r="G2915" s="108" t="s">
        <v>1588</v>
      </c>
      <c r="H2915" s="111" t="s">
        <v>16</v>
      </c>
    </row>
    <row r="2916" spans="1:8" ht="33" x14ac:dyDescent="0.2">
      <c r="A2916" s="108">
        <v>2</v>
      </c>
      <c r="B2916" s="108" t="s">
        <v>1587</v>
      </c>
      <c r="C2916" s="110" t="s">
        <v>97</v>
      </c>
      <c r="D2916" s="109">
        <v>2</v>
      </c>
      <c r="E2916" s="109">
        <v>1365</v>
      </c>
      <c r="F2916" s="109">
        <v>2730</v>
      </c>
      <c r="G2916" s="108" t="s">
        <v>1586</v>
      </c>
      <c r="H2916" s="111" t="s">
        <v>16</v>
      </c>
    </row>
    <row r="2917" spans="1:8" ht="33" x14ac:dyDescent="0.2">
      <c r="A2917" s="108">
        <v>3</v>
      </c>
      <c r="B2917" s="108" t="s">
        <v>1585</v>
      </c>
      <c r="C2917" s="110" t="s">
        <v>97</v>
      </c>
      <c r="D2917" s="109">
        <v>2</v>
      </c>
      <c r="E2917" s="109">
        <v>375</v>
      </c>
      <c r="F2917" s="109">
        <v>750</v>
      </c>
      <c r="G2917" s="108" t="s">
        <v>1584</v>
      </c>
      <c r="H2917" s="111" t="s">
        <v>16</v>
      </c>
    </row>
    <row r="2918" spans="1:8" ht="57" x14ac:dyDescent="0.2">
      <c r="A2918" s="108">
        <v>4</v>
      </c>
      <c r="B2918" s="108" t="s">
        <v>1583</v>
      </c>
      <c r="C2918" s="110" t="s">
        <v>412</v>
      </c>
      <c r="D2918" s="109">
        <v>1000</v>
      </c>
      <c r="E2918" s="109">
        <v>45.77</v>
      </c>
      <c r="F2918" s="109">
        <v>45770</v>
      </c>
      <c r="G2918" s="108" t="s">
        <v>1582</v>
      </c>
      <c r="H2918" s="111" t="s">
        <v>16</v>
      </c>
    </row>
    <row r="2919" spans="1:8" ht="33" x14ac:dyDescent="0.2">
      <c r="A2919" s="108">
        <v>5</v>
      </c>
      <c r="B2919" s="108" t="s">
        <v>1518</v>
      </c>
      <c r="C2919" s="110" t="s">
        <v>14</v>
      </c>
      <c r="D2919" s="109">
        <v>1</v>
      </c>
      <c r="E2919" s="109">
        <v>1747.5</v>
      </c>
      <c r="F2919" s="109">
        <v>1747.5</v>
      </c>
      <c r="G2919" s="108" t="s">
        <v>1517</v>
      </c>
      <c r="H2919" s="111" t="s">
        <v>16</v>
      </c>
    </row>
    <row r="2920" spans="1:8" ht="33" x14ac:dyDescent="0.2">
      <c r="A2920" s="108"/>
      <c r="B2920" s="108" t="s">
        <v>1516</v>
      </c>
      <c r="C2920" s="110" t="s">
        <v>110</v>
      </c>
      <c r="D2920" s="109">
        <v>1000</v>
      </c>
      <c r="E2920" s="109"/>
      <c r="F2920" s="109">
        <v>59997.5</v>
      </c>
      <c r="G2920" s="108"/>
      <c r="H2920" s="111" t="s">
        <v>16</v>
      </c>
    </row>
    <row r="2921" spans="1:8" ht="33" x14ac:dyDescent="0.2">
      <c r="A2921" s="108"/>
      <c r="B2921" s="108" t="s">
        <v>1515</v>
      </c>
      <c r="C2921" s="110" t="s">
        <v>110</v>
      </c>
      <c r="D2921" s="109"/>
      <c r="E2921" s="109"/>
      <c r="F2921" s="109">
        <v>60</v>
      </c>
      <c r="G2921" s="108"/>
      <c r="H2921" s="111" t="s">
        <v>16</v>
      </c>
    </row>
    <row r="2922" spans="1:8" ht="16.5" x14ac:dyDescent="0.2">
      <c r="A2922" s="108"/>
      <c r="B2922" s="108"/>
      <c r="C2922" s="110"/>
      <c r="D2922" s="109"/>
      <c r="E2922" s="109"/>
      <c r="F2922" s="109"/>
      <c r="G2922" s="108"/>
    </row>
    <row r="2923" spans="1:8" ht="33" x14ac:dyDescent="0.2">
      <c r="A2923" s="108" t="s">
        <v>1581</v>
      </c>
      <c r="B2923" s="108" t="s">
        <v>1580</v>
      </c>
      <c r="C2923" s="110" t="s">
        <v>325</v>
      </c>
      <c r="D2923" s="109">
        <v>1</v>
      </c>
      <c r="E2923" s="109">
        <v>517.47</v>
      </c>
      <c r="F2923" s="109"/>
      <c r="G2923" s="108" t="s">
        <v>1579</v>
      </c>
      <c r="H2923" s="111" t="s">
        <v>16</v>
      </c>
    </row>
    <row r="2924" spans="1:8" ht="42.75" x14ac:dyDescent="0.2">
      <c r="A2924" s="108">
        <v>1</v>
      </c>
      <c r="B2924" s="108" t="s">
        <v>1578</v>
      </c>
      <c r="C2924" s="110" t="s">
        <v>559</v>
      </c>
      <c r="D2924" s="109">
        <v>3</v>
      </c>
      <c r="E2924" s="109">
        <v>72</v>
      </c>
      <c r="F2924" s="109">
        <v>216</v>
      </c>
      <c r="G2924" s="108" t="s">
        <v>1577</v>
      </c>
      <c r="H2924" s="111" t="s">
        <v>16</v>
      </c>
    </row>
    <row r="2925" spans="1:8" ht="33" x14ac:dyDescent="0.2">
      <c r="A2925" s="108">
        <v>2</v>
      </c>
      <c r="B2925" s="108" t="s">
        <v>1566</v>
      </c>
      <c r="C2925" s="110" t="s">
        <v>97</v>
      </c>
      <c r="D2925" s="109">
        <v>0.44</v>
      </c>
      <c r="E2925" s="109">
        <v>280</v>
      </c>
      <c r="F2925" s="109">
        <v>123.2</v>
      </c>
      <c r="G2925" s="108" t="s">
        <v>1565</v>
      </c>
      <c r="H2925" s="111" t="s">
        <v>16</v>
      </c>
    </row>
    <row r="2926" spans="1:8" ht="42.75" x14ac:dyDescent="0.2">
      <c r="A2926" s="108">
        <v>3</v>
      </c>
      <c r="B2926" s="108" t="s">
        <v>666</v>
      </c>
      <c r="C2926" s="110" t="s">
        <v>325</v>
      </c>
      <c r="D2926" s="109">
        <v>1</v>
      </c>
      <c r="E2926" s="109">
        <v>40</v>
      </c>
      <c r="F2926" s="109">
        <v>40</v>
      </c>
      <c r="G2926" s="108" t="s">
        <v>667</v>
      </c>
      <c r="H2926" s="111" t="s">
        <v>16</v>
      </c>
    </row>
    <row r="2927" spans="1:8" ht="33" x14ac:dyDescent="0.2">
      <c r="A2927" s="108">
        <v>4</v>
      </c>
      <c r="B2927" s="108" t="s">
        <v>1564</v>
      </c>
      <c r="C2927" s="110" t="s">
        <v>97</v>
      </c>
      <c r="D2927" s="109">
        <v>0.44</v>
      </c>
      <c r="E2927" s="109">
        <v>280</v>
      </c>
      <c r="F2927" s="109">
        <v>123.2</v>
      </c>
      <c r="G2927" s="108" t="s">
        <v>1563</v>
      </c>
      <c r="H2927" s="111" t="s">
        <v>16</v>
      </c>
    </row>
    <row r="2928" spans="1:8" ht="33" x14ac:dyDescent="0.2">
      <c r="A2928" s="108">
        <v>5</v>
      </c>
      <c r="B2928" s="108" t="s">
        <v>1518</v>
      </c>
      <c r="C2928" s="110" t="s">
        <v>14</v>
      </c>
      <c r="D2928" s="109">
        <v>1</v>
      </c>
      <c r="E2928" s="109">
        <v>15.07</v>
      </c>
      <c r="F2928" s="109">
        <v>15.07</v>
      </c>
      <c r="G2928" s="108" t="s">
        <v>1517</v>
      </c>
      <c r="H2928" s="111" t="s">
        <v>16</v>
      </c>
    </row>
    <row r="2929" spans="1:8" ht="33" x14ac:dyDescent="0.2">
      <c r="A2929" s="108"/>
      <c r="B2929" s="108" t="s">
        <v>1516</v>
      </c>
      <c r="C2929" s="110" t="s">
        <v>325</v>
      </c>
      <c r="D2929" s="109">
        <v>1</v>
      </c>
      <c r="E2929" s="109"/>
      <c r="F2929" s="109">
        <v>517.47</v>
      </c>
      <c r="G2929" s="108"/>
      <c r="H2929" s="111" t="s">
        <v>16</v>
      </c>
    </row>
    <row r="2930" spans="1:8" ht="33" x14ac:dyDescent="0.2">
      <c r="A2930" s="108"/>
      <c r="B2930" s="108" t="s">
        <v>1515</v>
      </c>
      <c r="C2930" s="110" t="s">
        <v>325</v>
      </c>
      <c r="D2930" s="109"/>
      <c r="E2930" s="109"/>
      <c r="F2930" s="109">
        <v>517.47</v>
      </c>
      <c r="G2930" s="108"/>
      <c r="H2930" s="111" t="s">
        <v>16</v>
      </c>
    </row>
    <row r="2931" spans="1:8" ht="16.5" x14ac:dyDescent="0.2">
      <c r="A2931" s="108"/>
      <c r="B2931" s="108"/>
      <c r="C2931" s="110"/>
      <c r="D2931" s="109"/>
      <c r="E2931" s="109"/>
      <c r="F2931" s="109"/>
      <c r="G2931" s="108"/>
    </row>
    <row r="2932" spans="1:8" ht="33" x14ac:dyDescent="0.2">
      <c r="A2932" s="108" t="s">
        <v>1576</v>
      </c>
      <c r="B2932" s="108" t="s">
        <v>1575</v>
      </c>
      <c r="C2932" s="110" t="s">
        <v>325</v>
      </c>
      <c r="D2932" s="109">
        <v>1</v>
      </c>
      <c r="E2932" s="109">
        <v>721.41</v>
      </c>
      <c r="F2932" s="109"/>
      <c r="G2932" s="108" t="s">
        <v>1574</v>
      </c>
      <c r="H2932" s="111" t="s">
        <v>16</v>
      </c>
    </row>
    <row r="2933" spans="1:8" ht="42.75" x14ac:dyDescent="0.2">
      <c r="A2933" s="108">
        <v>1</v>
      </c>
      <c r="B2933" s="108" t="s">
        <v>1573</v>
      </c>
      <c r="C2933" s="110" t="s">
        <v>559</v>
      </c>
      <c r="D2933" s="109">
        <v>3</v>
      </c>
      <c r="E2933" s="109">
        <v>138</v>
      </c>
      <c r="F2933" s="109">
        <v>414</v>
      </c>
      <c r="G2933" s="108" t="s">
        <v>1572</v>
      </c>
      <c r="H2933" s="111" t="s">
        <v>16</v>
      </c>
    </row>
    <row r="2934" spans="1:8" ht="33" x14ac:dyDescent="0.2">
      <c r="A2934" s="108">
        <v>2</v>
      </c>
      <c r="B2934" s="108" t="s">
        <v>1566</v>
      </c>
      <c r="C2934" s="110" t="s">
        <v>97</v>
      </c>
      <c r="D2934" s="109">
        <v>0.44</v>
      </c>
      <c r="E2934" s="109">
        <v>280</v>
      </c>
      <c r="F2934" s="109">
        <v>123.2</v>
      </c>
      <c r="G2934" s="108" t="s">
        <v>1565</v>
      </c>
      <c r="H2934" s="111" t="s">
        <v>16</v>
      </c>
    </row>
    <row r="2935" spans="1:8" ht="42.75" x14ac:dyDescent="0.2">
      <c r="A2935" s="108">
        <v>3</v>
      </c>
      <c r="B2935" s="108" t="s">
        <v>666</v>
      </c>
      <c r="C2935" s="110" t="s">
        <v>325</v>
      </c>
      <c r="D2935" s="109">
        <v>1</v>
      </c>
      <c r="E2935" s="109">
        <v>40</v>
      </c>
      <c r="F2935" s="109">
        <v>40</v>
      </c>
      <c r="G2935" s="108" t="s">
        <v>667</v>
      </c>
      <c r="H2935" s="111" t="s">
        <v>16</v>
      </c>
    </row>
    <row r="2936" spans="1:8" ht="33" x14ac:dyDescent="0.2">
      <c r="A2936" s="108">
        <v>4</v>
      </c>
      <c r="B2936" s="108" t="s">
        <v>1564</v>
      </c>
      <c r="C2936" s="110" t="s">
        <v>97</v>
      </c>
      <c r="D2936" s="109">
        <v>0.44</v>
      </c>
      <c r="E2936" s="109">
        <v>280</v>
      </c>
      <c r="F2936" s="109">
        <v>123.2</v>
      </c>
      <c r="G2936" s="108" t="s">
        <v>1563</v>
      </c>
      <c r="H2936" s="111" t="s">
        <v>16</v>
      </c>
    </row>
    <row r="2937" spans="1:8" ht="33" x14ac:dyDescent="0.2">
      <c r="A2937" s="108">
        <v>5</v>
      </c>
      <c r="B2937" s="108" t="s">
        <v>1518</v>
      </c>
      <c r="C2937" s="110" t="s">
        <v>14</v>
      </c>
      <c r="D2937" s="109">
        <v>1</v>
      </c>
      <c r="E2937" s="109">
        <v>21.01</v>
      </c>
      <c r="F2937" s="109">
        <v>21.01</v>
      </c>
      <c r="G2937" s="108" t="s">
        <v>1517</v>
      </c>
      <c r="H2937" s="111" t="s">
        <v>16</v>
      </c>
    </row>
    <row r="2938" spans="1:8" ht="33" x14ac:dyDescent="0.2">
      <c r="A2938" s="108"/>
      <c r="B2938" s="108" t="s">
        <v>1516</v>
      </c>
      <c r="C2938" s="110" t="s">
        <v>325</v>
      </c>
      <c r="D2938" s="109">
        <v>1</v>
      </c>
      <c r="E2938" s="109"/>
      <c r="F2938" s="109">
        <v>721.41000000000008</v>
      </c>
      <c r="G2938" s="108"/>
      <c r="H2938" s="111" t="s">
        <v>16</v>
      </c>
    </row>
    <row r="2939" spans="1:8" ht="33" x14ac:dyDescent="0.2">
      <c r="A2939" s="108"/>
      <c r="B2939" s="108" t="s">
        <v>1515</v>
      </c>
      <c r="C2939" s="110" t="s">
        <v>325</v>
      </c>
      <c r="D2939" s="109"/>
      <c r="E2939" s="109"/>
      <c r="F2939" s="109">
        <v>721.41</v>
      </c>
      <c r="G2939" s="108"/>
      <c r="H2939" s="111" t="s">
        <v>16</v>
      </c>
    </row>
    <row r="2940" spans="1:8" ht="16.5" x14ac:dyDescent="0.2">
      <c r="A2940" s="108"/>
      <c r="B2940" s="108"/>
      <c r="C2940" s="110"/>
      <c r="D2940" s="109"/>
      <c r="E2940" s="109"/>
      <c r="F2940" s="109"/>
      <c r="G2940" s="108"/>
    </row>
    <row r="2941" spans="1:8" ht="33" x14ac:dyDescent="0.2">
      <c r="A2941" s="108" t="s">
        <v>1571</v>
      </c>
      <c r="B2941" s="108" t="s">
        <v>1570</v>
      </c>
      <c r="C2941" s="110" t="s">
        <v>325</v>
      </c>
      <c r="D2941" s="109">
        <v>1</v>
      </c>
      <c r="E2941" s="109">
        <v>888.27</v>
      </c>
      <c r="F2941" s="109"/>
      <c r="G2941" s="108" t="s">
        <v>1569</v>
      </c>
      <c r="H2941" s="111" t="s">
        <v>16</v>
      </c>
    </row>
    <row r="2942" spans="1:8" ht="42.75" x14ac:dyDescent="0.2">
      <c r="A2942" s="108">
        <v>1</v>
      </c>
      <c r="B2942" s="108" t="s">
        <v>1568</v>
      </c>
      <c r="C2942" s="110" t="s">
        <v>559</v>
      </c>
      <c r="D2942" s="109">
        <v>3</v>
      </c>
      <c r="E2942" s="109">
        <v>192</v>
      </c>
      <c r="F2942" s="109">
        <v>576</v>
      </c>
      <c r="G2942" s="108" t="s">
        <v>1567</v>
      </c>
      <c r="H2942" s="111" t="s">
        <v>16</v>
      </c>
    </row>
    <row r="2943" spans="1:8" ht="33" x14ac:dyDescent="0.2">
      <c r="A2943" s="108">
        <v>2</v>
      </c>
      <c r="B2943" s="108" t="s">
        <v>1566</v>
      </c>
      <c r="C2943" s="110" t="s">
        <v>97</v>
      </c>
      <c r="D2943" s="109">
        <v>0.44</v>
      </c>
      <c r="E2943" s="109">
        <v>280</v>
      </c>
      <c r="F2943" s="109">
        <v>123.2</v>
      </c>
      <c r="G2943" s="108" t="s">
        <v>1565</v>
      </c>
      <c r="H2943" s="111" t="s">
        <v>16</v>
      </c>
    </row>
    <row r="2944" spans="1:8" ht="42.75" x14ac:dyDescent="0.2">
      <c r="A2944" s="108">
        <v>3</v>
      </c>
      <c r="B2944" s="108" t="s">
        <v>666</v>
      </c>
      <c r="C2944" s="110" t="s">
        <v>325</v>
      </c>
      <c r="D2944" s="109">
        <v>1</v>
      </c>
      <c r="E2944" s="109">
        <v>40</v>
      </c>
      <c r="F2944" s="109">
        <v>40</v>
      </c>
      <c r="G2944" s="108" t="s">
        <v>667</v>
      </c>
      <c r="H2944" s="111" t="s">
        <v>16</v>
      </c>
    </row>
    <row r="2945" spans="1:8" ht="33" x14ac:dyDescent="0.2">
      <c r="A2945" s="108">
        <v>4</v>
      </c>
      <c r="B2945" s="108" t="s">
        <v>1564</v>
      </c>
      <c r="C2945" s="110" t="s">
        <v>97</v>
      </c>
      <c r="D2945" s="109">
        <v>0.44</v>
      </c>
      <c r="E2945" s="109">
        <v>280</v>
      </c>
      <c r="F2945" s="109">
        <v>123.2</v>
      </c>
      <c r="G2945" s="108" t="s">
        <v>1563</v>
      </c>
      <c r="H2945" s="111" t="s">
        <v>16</v>
      </c>
    </row>
    <row r="2946" spans="1:8" ht="33" x14ac:dyDescent="0.2">
      <c r="A2946" s="108">
        <v>5</v>
      </c>
      <c r="B2946" s="108" t="s">
        <v>1518</v>
      </c>
      <c r="C2946" s="110" t="s">
        <v>14</v>
      </c>
      <c r="D2946" s="109">
        <v>1</v>
      </c>
      <c r="E2946" s="109">
        <v>25.87</v>
      </c>
      <c r="F2946" s="109">
        <v>25.87</v>
      </c>
      <c r="G2946" s="108" t="s">
        <v>1517</v>
      </c>
      <c r="H2946" s="111" t="s">
        <v>16</v>
      </c>
    </row>
    <row r="2947" spans="1:8" ht="33" x14ac:dyDescent="0.2">
      <c r="A2947" s="108"/>
      <c r="B2947" s="108" t="s">
        <v>1516</v>
      </c>
      <c r="C2947" s="110" t="s">
        <v>325</v>
      </c>
      <c r="D2947" s="109">
        <v>1</v>
      </c>
      <c r="E2947" s="109"/>
      <c r="F2947" s="109">
        <v>888.2700000000001</v>
      </c>
      <c r="G2947" s="108"/>
      <c r="H2947" s="111" t="s">
        <v>16</v>
      </c>
    </row>
    <row r="2948" spans="1:8" ht="33" x14ac:dyDescent="0.2">
      <c r="A2948" s="108"/>
      <c r="B2948" s="108" t="s">
        <v>1515</v>
      </c>
      <c r="C2948" s="110" t="s">
        <v>325</v>
      </c>
      <c r="D2948" s="109"/>
      <c r="E2948" s="109"/>
      <c r="F2948" s="109">
        <v>888.27</v>
      </c>
      <c r="G2948" s="108"/>
      <c r="H2948" s="111" t="s">
        <v>16</v>
      </c>
    </row>
    <row r="2949" spans="1:8" ht="16.5" x14ac:dyDescent="0.2">
      <c r="A2949" s="108"/>
      <c r="B2949" s="108"/>
      <c r="C2949" s="110"/>
      <c r="D2949" s="109"/>
      <c r="E2949" s="109"/>
      <c r="F2949" s="109"/>
      <c r="G2949" s="108"/>
    </row>
    <row r="2950" spans="1:8" ht="33" x14ac:dyDescent="0.2">
      <c r="A2950" s="108" t="s">
        <v>1562</v>
      </c>
      <c r="B2950" s="108" t="s">
        <v>1560</v>
      </c>
      <c r="C2950" s="110" t="s">
        <v>103</v>
      </c>
      <c r="D2950" s="109">
        <v>1</v>
      </c>
      <c r="E2950" s="109">
        <v>1042.4100000000001</v>
      </c>
      <c r="F2950" s="109"/>
      <c r="G2950" s="108" t="s">
        <v>1561</v>
      </c>
      <c r="H2950" s="111" t="s">
        <v>16</v>
      </c>
    </row>
    <row r="2951" spans="1:8" ht="33" x14ac:dyDescent="0.2">
      <c r="A2951" s="108">
        <v>1</v>
      </c>
      <c r="B2951" s="108" t="s">
        <v>1560</v>
      </c>
      <c r="C2951" s="110" t="s">
        <v>34</v>
      </c>
      <c r="D2951" s="109">
        <v>1</v>
      </c>
      <c r="E2951" s="109">
        <v>53.05</v>
      </c>
      <c r="F2951" s="109">
        <v>53.05</v>
      </c>
      <c r="G2951" s="108" t="s">
        <v>1559</v>
      </c>
      <c r="H2951" s="111" t="s">
        <v>16</v>
      </c>
    </row>
    <row r="2952" spans="1:8" ht="33" x14ac:dyDescent="0.2">
      <c r="A2952" s="108">
        <v>2</v>
      </c>
      <c r="B2952" s="108" t="s">
        <v>1558</v>
      </c>
      <c r="C2952" s="110" t="s">
        <v>34</v>
      </c>
      <c r="D2952" s="109">
        <v>1</v>
      </c>
      <c r="E2952" s="109">
        <v>488</v>
      </c>
      <c r="F2952" s="109">
        <v>488</v>
      </c>
      <c r="G2952" s="108" t="s">
        <v>1557</v>
      </c>
      <c r="H2952" s="111" t="s">
        <v>16</v>
      </c>
    </row>
    <row r="2953" spans="1:8" ht="33" x14ac:dyDescent="0.2">
      <c r="A2953" s="108">
        <v>3</v>
      </c>
      <c r="B2953" s="108" t="s">
        <v>1527</v>
      </c>
      <c r="C2953" s="110" t="s">
        <v>97</v>
      </c>
      <c r="D2953" s="109">
        <v>0.7</v>
      </c>
      <c r="E2953" s="109">
        <v>280</v>
      </c>
      <c r="F2953" s="109">
        <v>196</v>
      </c>
      <c r="G2953" s="108" t="s">
        <v>1535</v>
      </c>
      <c r="H2953" s="111" t="s">
        <v>16</v>
      </c>
    </row>
    <row r="2954" spans="1:8" ht="33" x14ac:dyDescent="0.2">
      <c r="A2954" s="108">
        <v>4</v>
      </c>
      <c r="B2954" s="108" t="s">
        <v>1556</v>
      </c>
      <c r="C2954" s="110" t="s">
        <v>34</v>
      </c>
      <c r="D2954" s="109">
        <v>1</v>
      </c>
      <c r="E2954" s="109">
        <v>275</v>
      </c>
      <c r="F2954" s="109">
        <v>275</v>
      </c>
      <c r="G2954" s="108" t="s">
        <v>1555</v>
      </c>
      <c r="H2954" s="111" t="s">
        <v>16</v>
      </c>
    </row>
    <row r="2955" spans="1:8" ht="33" x14ac:dyDescent="0.2">
      <c r="A2955" s="108">
        <v>5</v>
      </c>
      <c r="B2955" s="108" t="s">
        <v>1518</v>
      </c>
      <c r="C2955" s="110" t="s">
        <v>14</v>
      </c>
      <c r="D2955" s="109">
        <v>1</v>
      </c>
      <c r="E2955" s="109">
        <v>30.36</v>
      </c>
      <c r="F2955" s="109">
        <v>30.36</v>
      </c>
      <c r="G2955" s="108" t="s">
        <v>1517</v>
      </c>
      <c r="H2955" s="111" t="s">
        <v>16</v>
      </c>
    </row>
    <row r="2956" spans="1:8" ht="33" x14ac:dyDescent="0.2">
      <c r="A2956" s="108"/>
      <c r="B2956" s="108" t="s">
        <v>1516</v>
      </c>
      <c r="C2956" s="110" t="s">
        <v>103</v>
      </c>
      <c r="D2956" s="109">
        <v>1</v>
      </c>
      <c r="E2956" s="109"/>
      <c r="F2956" s="109">
        <v>1042.4099999999999</v>
      </c>
      <c r="G2956" s="108"/>
      <c r="H2956" s="111" t="s">
        <v>16</v>
      </c>
    </row>
    <row r="2957" spans="1:8" ht="33" x14ac:dyDescent="0.2">
      <c r="A2957" s="108"/>
      <c r="B2957" s="108" t="s">
        <v>1515</v>
      </c>
      <c r="C2957" s="110" t="s">
        <v>103</v>
      </c>
      <c r="D2957" s="109"/>
      <c r="E2957" s="109"/>
      <c r="F2957" s="109">
        <v>1042.4100000000001</v>
      </c>
      <c r="G2957" s="108"/>
      <c r="H2957" s="111" t="s">
        <v>16</v>
      </c>
    </row>
    <row r="2958" spans="1:8" ht="16.5" x14ac:dyDescent="0.2">
      <c r="A2958" s="108"/>
      <c r="B2958" s="108"/>
      <c r="C2958" s="110"/>
      <c r="D2958" s="109"/>
      <c r="E2958" s="109"/>
      <c r="F2958" s="109"/>
      <c r="G2958" s="108"/>
    </row>
    <row r="2959" spans="1:8" ht="33" x14ac:dyDescent="0.2">
      <c r="A2959" s="108" t="s">
        <v>1554</v>
      </c>
      <c r="B2959" s="108" t="s">
        <v>1553</v>
      </c>
      <c r="C2959" s="110" t="s">
        <v>81</v>
      </c>
      <c r="D2959" s="109">
        <v>1</v>
      </c>
      <c r="E2959" s="109">
        <v>4673.29</v>
      </c>
      <c r="F2959" s="109"/>
      <c r="G2959" s="108" t="s">
        <v>1552</v>
      </c>
      <c r="H2959" s="111" t="s">
        <v>16</v>
      </c>
    </row>
    <row r="2960" spans="1:8" ht="33" x14ac:dyDescent="0.2">
      <c r="A2960" s="108">
        <v>1</v>
      </c>
      <c r="B2960" s="108" t="s">
        <v>106</v>
      </c>
      <c r="C2960" s="110" t="s">
        <v>103</v>
      </c>
      <c r="D2960" s="109">
        <v>0.36</v>
      </c>
      <c r="E2960" s="109">
        <v>346.08</v>
      </c>
      <c r="F2960" s="109">
        <v>124.59</v>
      </c>
      <c r="G2960" s="108" t="s">
        <v>1551</v>
      </c>
      <c r="H2960" s="111" t="s">
        <v>16</v>
      </c>
    </row>
    <row r="2961" spans="1:8" ht="85.5" x14ac:dyDescent="0.2">
      <c r="A2961" s="108">
        <v>2</v>
      </c>
      <c r="B2961" s="108" t="s">
        <v>119</v>
      </c>
      <c r="C2961" s="110" t="s">
        <v>50</v>
      </c>
      <c r="D2961" s="109">
        <v>2.64</v>
      </c>
      <c r="E2961" s="109">
        <v>533.64</v>
      </c>
      <c r="F2961" s="109">
        <v>1408.81</v>
      </c>
      <c r="G2961" s="108" t="s">
        <v>1550</v>
      </c>
      <c r="H2961" s="111" t="s">
        <v>16</v>
      </c>
    </row>
    <row r="2962" spans="1:8" ht="33" x14ac:dyDescent="0.2">
      <c r="A2962" s="108">
        <v>3</v>
      </c>
      <c r="B2962" s="108" t="s">
        <v>1533</v>
      </c>
      <c r="C2962" s="110" t="s">
        <v>338</v>
      </c>
      <c r="D2962" s="109">
        <v>0.04</v>
      </c>
      <c r="E2962" s="109">
        <v>23764.6</v>
      </c>
      <c r="F2962" s="109">
        <v>950.58</v>
      </c>
      <c r="G2962" s="108" t="s">
        <v>1549</v>
      </c>
      <c r="H2962" s="111" t="s">
        <v>16</v>
      </c>
    </row>
    <row r="2963" spans="1:8" ht="33" x14ac:dyDescent="0.2">
      <c r="A2963" s="108">
        <v>4</v>
      </c>
      <c r="B2963" s="108" t="s">
        <v>392</v>
      </c>
      <c r="C2963" s="110" t="s">
        <v>23</v>
      </c>
      <c r="D2963" s="109">
        <v>0.04</v>
      </c>
      <c r="E2963" s="109">
        <v>3115.13</v>
      </c>
      <c r="F2963" s="109">
        <v>124.61</v>
      </c>
      <c r="G2963" s="108" t="s">
        <v>1548</v>
      </c>
      <c r="H2963" s="111" t="s">
        <v>16</v>
      </c>
    </row>
    <row r="2964" spans="1:8" ht="33" x14ac:dyDescent="0.2">
      <c r="A2964" s="108">
        <v>5</v>
      </c>
      <c r="B2964" s="108" t="s">
        <v>116</v>
      </c>
      <c r="C2964" s="110" t="s">
        <v>23</v>
      </c>
      <c r="D2964" s="109">
        <v>0.32</v>
      </c>
      <c r="E2964" s="109">
        <v>3321.13</v>
      </c>
      <c r="F2964" s="109">
        <v>1062.76</v>
      </c>
      <c r="G2964" s="108" t="s">
        <v>1547</v>
      </c>
      <c r="H2964" s="111" t="s">
        <v>16</v>
      </c>
    </row>
    <row r="2965" spans="1:8" ht="33" x14ac:dyDescent="0.2">
      <c r="A2965" s="108">
        <v>6</v>
      </c>
      <c r="B2965" s="108" t="s">
        <v>1546</v>
      </c>
      <c r="C2965" s="110" t="s">
        <v>23</v>
      </c>
      <c r="D2965" s="109">
        <v>0.01</v>
      </c>
      <c r="E2965" s="109">
        <v>23582</v>
      </c>
      <c r="F2965" s="109">
        <v>235.82</v>
      </c>
      <c r="G2965" s="108" t="s">
        <v>1545</v>
      </c>
      <c r="H2965" s="111" t="s">
        <v>16</v>
      </c>
    </row>
    <row r="2966" spans="1:8" ht="33" x14ac:dyDescent="0.2">
      <c r="A2966" s="108">
        <v>7</v>
      </c>
      <c r="B2966" s="108" t="s">
        <v>1529</v>
      </c>
      <c r="C2966" s="110" t="s">
        <v>97</v>
      </c>
      <c r="D2966" s="109">
        <v>1</v>
      </c>
      <c r="E2966" s="109">
        <v>350</v>
      </c>
      <c r="F2966" s="109">
        <v>350</v>
      </c>
      <c r="G2966" s="108" t="s">
        <v>1544</v>
      </c>
      <c r="H2966" s="111" t="s">
        <v>16</v>
      </c>
    </row>
    <row r="2967" spans="1:8" ht="33" x14ac:dyDescent="0.2">
      <c r="A2967" s="108">
        <v>8</v>
      </c>
      <c r="B2967" s="108" t="s">
        <v>1527</v>
      </c>
      <c r="C2967" s="110" t="s">
        <v>97</v>
      </c>
      <c r="D2967" s="109">
        <v>1</v>
      </c>
      <c r="E2967" s="109">
        <v>280</v>
      </c>
      <c r="F2967" s="109">
        <v>280</v>
      </c>
      <c r="G2967" s="108" t="s">
        <v>1535</v>
      </c>
      <c r="H2967" s="111" t="s">
        <v>16</v>
      </c>
    </row>
    <row r="2968" spans="1:8" ht="33" x14ac:dyDescent="0.2">
      <c r="A2968" s="108">
        <v>9</v>
      </c>
      <c r="B2968" s="108" t="s">
        <v>1543</v>
      </c>
      <c r="C2968" s="110" t="s">
        <v>14</v>
      </c>
      <c r="D2968" s="109">
        <v>1</v>
      </c>
      <c r="E2968" s="109">
        <v>136.12</v>
      </c>
      <c r="F2968" s="109">
        <v>136.12</v>
      </c>
      <c r="G2968" s="108" t="s">
        <v>1542</v>
      </c>
      <c r="H2968" s="111" t="s">
        <v>16</v>
      </c>
    </row>
    <row r="2969" spans="1:8" ht="33" x14ac:dyDescent="0.2">
      <c r="A2969" s="108"/>
      <c r="B2969" s="108" t="s">
        <v>1516</v>
      </c>
      <c r="C2969" s="110" t="s">
        <v>81</v>
      </c>
      <c r="D2969" s="109">
        <v>1</v>
      </c>
      <c r="E2969" s="109"/>
      <c r="F2969" s="109">
        <v>4673.29</v>
      </c>
      <c r="G2969" s="108"/>
      <c r="H2969" s="111" t="s">
        <v>16</v>
      </c>
    </row>
    <row r="2970" spans="1:8" ht="33" x14ac:dyDescent="0.2">
      <c r="A2970" s="108"/>
      <c r="B2970" s="108" t="s">
        <v>1515</v>
      </c>
      <c r="C2970" s="110" t="s">
        <v>81</v>
      </c>
      <c r="D2970" s="109"/>
      <c r="E2970" s="109"/>
      <c r="F2970" s="109">
        <v>4673.29</v>
      </c>
      <c r="G2970" s="108"/>
      <c r="H2970" s="111" t="s">
        <v>16</v>
      </c>
    </row>
    <row r="2971" spans="1:8" ht="16.5" x14ac:dyDescent="0.2">
      <c r="A2971" s="108"/>
      <c r="B2971" s="108"/>
      <c r="C2971" s="110"/>
      <c r="D2971" s="109"/>
      <c r="E2971" s="109"/>
      <c r="F2971" s="109"/>
      <c r="G2971" s="108"/>
    </row>
    <row r="2972" spans="1:8" ht="33" x14ac:dyDescent="0.2">
      <c r="A2972" s="108" t="s">
        <v>1541</v>
      </c>
      <c r="B2972" s="108" t="s">
        <v>1540</v>
      </c>
      <c r="C2972" s="110" t="s">
        <v>14</v>
      </c>
      <c r="D2972" s="109">
        <v>1</v>
      </c>
      <c r="E2972" s="109">
        <v>29608.31</v>
      </c>
      <c r="F2972" s="109"/>
      <c r="G2972" s="108" t="s">
        <v>1539</v>
      </c>
      <c r="H2972" s="111" t="s">
        <v>16</v>
      </c>
    </row>
    <row r="2973" spans="1:8" ht="33" x14ac:dyDescent="0.2">
      <c r="A2973" s="108">
        <v>1</v>
      </c>
      <c r="B2973" s="108" t="s">
        <v>1538</v>
      </c>
      <c r="C2973" s="110" t="s">
        <v>932</v>
      </c>
      <c r="D2973" s="109">
        <v>1</v>
      </c>
      <c r="E2973" s="109">
        <v>12790</v>
      </c>
      <c r="F2973" s="109">
        <v>12790</v>
      </c>
      <c r="G2973" s="108" t="s">
        <v>1537</v>
      </c>
      <c r="H2973" s="111" t="s">
        <v>16</v>
      </c>
    </row>
    <row r="2974" spans="1:8" ht="71.25" x14ac:dyDescent="0.2">
      <c r="A2974" s="108">
        <v>2</v>
      </c>
      <c r="B2974" s="108" t="s">
        <v>125</v>
      </c>
      <c r="C2974" s="110" t="s">
        <v>110</v>
      </c>
      <c r="D2974" s="109">
        <v>24.33</v>
      </c>
      <c r="E2974" s="109">
        <v>60</v>
      </c>
      <c r="F2974" s="109">
        <v>1459.8</v>
      </c>
      <c r="G2974" s="108" t="s">
        <v>1536</v>
      </c>
      <c r="H2974" s="111" t="s">
        <v>16</v>
      </c>
    </row>
    <row r="2975" spans="1:8" ht="33" x14ac:dyDescent="0.2">
      <c r="A2975" s="108">
        <v>3</v>
      </c>
      <c r="B2975" s="108" t="s">
        <v>128</v>
      </c>
      <c r="C2975" s="110" t="s">
        <v>110</v>
      </c>
      <c r="D2975" s="109">
        <v>24.33</v>
      </c>
      <c r="E2975" s="109">
        <v>31.9</v>
      </c>
      <c r="F2975" s="109">
        <v>776.13</v>
      </c>
      <c r="G2975" s="108" t="s">
        <v>129</v>
      </c>
      <c r="H2975" s="111" t="s">
        <v>16</v>
      </c>
    </row>
    <row r="2976" spans="1:8" ht="33" x14ac:dyDescent="0.2">
      <c r="A2976" s="108">
        <v>4</v>
      </c>
      <c r="B2976" s="108" t="s">
        <v>1527</v>
      </c>
      <c r="C2976" s="110" t="s">
        <v>97</v>
      </c>
      <c r="D2976" s="109">
        <v>49</v>
      </c>
      <c r="E2976" s="109">
        <v>280</v>
      </c>
      <c r="F2976" s="109">
        <v>13720</v>
      </c>
      <c r="G2976" s="108" t="s">
        <v>1535</v>
      </c>
      <c r="H2976" s="111" t="s">
        <v>16</v>
      </c>
    </row>
    <row r="2977" spans="1:8" ht="33" x14ac:dyDescent="0.2">
      <c r="A2977" s="108">
        <v>5</v>
      </c>
      <c r="B2977" s="108" t="s">
        <v>1518</v>
      </c>
      <c r="C2977" s="110" t="s">
        <v>14</v>
      </c>
      <c r="D2977" s="109">
        <v>1</v>
      </c>
      <c r="E2977" s="109">
        <v>862.38</v>
      </c>
      <c r="F2977" s="109">
        <v>862.38</v>
      </c>
      <c r="G2977" s="108" t="s">
        <v>1517</v>
      </c>
      <c r="H2977" s="111" t="s">
        <v>16</v>
      </c>
    </row>
    <row r="2978" spans="1:8" ht="33" x14ac:dyDescent="0.2">
      <c r="A2978" s="108"/>
      <c r="B2978" s="108" t="s">
        <v>1516</v>
      </c>
      <c r="C2978" s="110" t="s">
        <v>14</v>
      </c>
      <c r="D2978" s="109">
        <v>1</v>
      </c>
      <c r="E2978" s="109"/>
      <c r="F2978" s="109">
        <v>29608.31</v>
      </c>
      <c r="G2978" s="108"/>
      <c r="H2978" s="111" t="s">
        <v>16</v>
      </c>
    </row>
    <row r="2979" spans="1:8" ht="33" x14ac:dyDescent="0.2">
      <c r="A2979" s="108"/>
      <c r="B2979" s="108" t="s">
        <v>1515</v>
      </c>
      <c r="C2979" s="110" t="s">
        <v>14</v>
      </c>
      <c r="D2979" s="109"/>
      <c r="E2979" s="109"/>
      <c r="F2979" s="109">
        <v>29608.31</v>
      </c>
      <c r="G2979" s="108"/>
      <c r="H2979" s="111" t="s">
        <v>16</v>
      </c>
    </row>
    <row r="2980" spans="1:8" ht="16.5" x14ac:dyDescent="0.2">
      <c r="A2980" s="108"/>
      <c r="B2980" s="108"/>
      <c r="C2980" s="110"/>
      <c r="D2980" s="109"/>
      <c r="E2980" s="109"/>
      <c r="F2980" s="109"/>
      <c r="G2980" s="108"/>
    </row>
    <row r="2981" spans="1:8" ht="33" x14ac:dyDescent="0.2">
      <c r="A2981" s="108" t="s">
        <v>1534</v>
      </c>
      <c r="B2981" s="108" t="s">
        <v>1533</v>
      </c>
      <c r="C2981" s="110" t="s">
        <v>338</v>
      </c>
      <c r="D2981" s="109">
        <v>1</v>
      </c>
      <c r="E2981" s="109">
        <v>23764.6</v>
      </c>
      <c r="F2981" s="109"/>
      <c r="G2981" s="108" t="s">
        <v>1532</v>
      </c>
      <c r="H2981" s="111" t="s">
        <v>16</v>
      </c>
    </row>
    <row r="2982" spans="1:8" ht="42.75" x14ac:dyDescent="0.2">
      <c r="A2982" s="108">
        <v>1</v>
      </c>
      <c r="B2982" s="108" t="s">
        <v>1531</v>
      </c>
      <c r="C2982" s="110" t="s">
        <v>338</v>
      </c>
      <c r="D2982" s="109">
        <v>1.1000000000000001</v>
      </c>
      <c r="E2982" s="109">
        <v>15979.52</v>
      </c>
      <c r="F2982" s="109">
        <v>17577.47</v>
      </c>
      <c r="G2982" s="108" t="s">
        <v>1530</v>
      </c>
      <c r="H2982" s="111" t="s">
        <v>16</v>
      </c>
    </row>
    <row r="2983" spans="1:8" ht="33" x14ac:dyDescent="0.2">
      <c r="A2983" s="108">
        <v>2</v>
      </c>
      <c r="B2983" s="108" t="s">
        <v>1529</v>
      </c>
      <c r="C2983" s="110" t="s">
        <v>1522</v>
      </c>
      <c r="D2983" s="109">
        <v>1</v>
      </c>
      <c r="E2983" s="109">
        <v>2950</v>
      </c>
      <c r="F2983" s="109">
        <v>2950</v>
      </c>
      <c r="G2983" s="108" t="s">
        <v>1528</v>
      </c>
      <c r="H2983" s="111" t="s">
        <v>16</v>
      </c>
    </row>
    <row r="2984" spans="1:8" ht="33" x14ac:dyDescent="0.2">
      <c r="A2984" s="108">
        <v>3</v>
      </c>
      <c r="B2984" s="108" t="s">
        <v>1527</v>
      </c>
      <c r="C2984" s="110" t="s">
        <v>1522</v>
      </c>
      <c r="D2984" s="109">
        <v>0.4</v>
      </c>
      <c r="E2984" s="109">
        <v>2400</v>
      </c>
      <c r="F2984" s="109">
        <v>960</v>
      </c>
      <c r="G2984" s="108" t="s">
        <v>1526</v>
      </c>
      <c r="H2984" s="111" t="s">
        <v>16</v>
      </c>
    </row>
    <row r="2985" spans="1:8" ht="33" x14ac:dyDescent="0.2">
      <c r="A2985" s="108">
        <v>4</v>
      </c>
      <c r="B2985" s="108" t="s">
        <v>1525</v>
      </c>
      <c r="C2985" s="110" t="s">
        <v>110</v>
      </c>
      <c r="D2985" s="109">
        <v>4</v>
      </c>
      <c r="E2985" s="109">
        <v>19.97</v>
      </c>
      <c r="F2985" s="109">
        <v>79.88</v>
      </c>
      <c r="G2985" s="108" t="s">
        <v>1524</v>
      </c>
      <c r="H2985" s="111" t="s">
        <v>16</v>
      </c>
    </row>
    <row r="2986" spans="1:8" ht="33" x14ac:dyDescent="0.2">
      <c r="A2986" s="108">
        <v>5</v>
      </c>
      <c r="B2986" s="108" t="s">
        <v>1523</v>
      </c>
      <c r="C2986" s="110" t="s">
        <v>1522</v>
      </c>
      <c r="D2986" s="109">
        <v>0.9</v>
      </c>
      <c r="E2986" s="109">
        <v>1498.09</v>
      </c>
      <c r="F2986" s="109">
        <v>1348.28</v>
      </c>
      <c r="G2986" s="108" t="s">
        <v>1521</v>
      </c>
      <c r="H2986" s="111" t="s">
        <v>16</v>
      </c>
    </row>
    <row r="2987" spans="1:8" ht="33" x14ac:dyDescent="0.2">
      <c r="A2987" s="108">
        <v>6</v>
      </c>
      <c r="B2987" s="108" t="s">
        <v>1520</v>
      </c>
      <c r="C2987" s="110" t="s">
        <v>97</v>
      </c>
      <c r="D2987" s="109">
        <v>0.1</v>
      </c>
      <c r="E2987" s="109">
        <v>1567.99</v>
      </c>
      <c r="F2987" s="109">
        <v>156.80000000000001</v>
      </c>
      <c r="G2987" s="108" t="s">
        <v>1519</v>
      </c>
      <c r="H2987" s="111" t="s">
        <v>16</v>
      </c>
    </row>
    <row r="2988" spans="1:8" ht="33" x14ac:dyDescent="0.2">
      <c r="A2988" s="108">
        <v>7</v>
      </c>
      <c r="B2988" s="108" t="s">
        <v>1518</v>
      </c>
      <c r="C2988" s="110" t="s">
        <v>14</v>
      </c>
      <c r="D2988" s="109">
        <v>1</v>
      </c>
      <c r="E2988" s="109">
        <v>692.17</v>
      </c>
      <c r="F2988" s="109">
        <v>692.17</v>
      </c>
      <c r="G2988" s="108" t="s">
        <v>1517</v>
      </c>
      <c r="H2988" s="111" t="s">
        <v>16</v>
      </c>
    </row>
    <row r="2989" spans="1:8" ht="33" x14ac:dyDescent="0.2">
      <c r="A2989" s="108"/>
      <c r="B2989" s="108" t="s">
        <v>1516</v>
      </c>
      <c r="C2989" s="110" t="s">
        <v>338</v>
      </c>
      <c r="D2989" s="109">
        <v>1</v>
      </c>
      <c r="E2989" s="109"/>
      <c r="F2989" s="109">
        <v>23764.6</v>
      </c>
      <c r="G2989" s="108"/>
      <c r="H2989" s="111" t="s">
        <v>16</v>
      </c>
    </row>
    <row r="2990" spans="1:8" ht="33" x14ac:dyDescent="0.2">
      <c r="A2990" s="108"/>
      <c r="B2990" s="108" t="s">
        <v>1515</v>
      </c>
      <c r="C2990" s="110" t="s">
        <v>338</v>
      </c>
      <c r="D2990" s="109"/>
      <c r="E2990" s="109"/>
      <c r="F2990" s="109">
        <v>23764.6</v>
      </c>
      <c r="G2990" s="108"/>
      <c r="H2990" s="111" t="s">
        <v>16</v>
      </c>
    </row>
    <row r="2991" spans="1:8" ht="16.5" x14ac:dyDescent="0.2">
      <c r="A2991" s="108"/>
      <c r="B2991" s="108"/>
      <c r="C2991" s="110"/>
      <c r="D2991" s="109"/>
      <c r="E2991" s="109"/>
      <c r="F2991" s="109"/>
      <c r="G2991" s="108"/>
    </row>
  </sheetData>
  <sheetProtection formatCells="0" formatColumns="0" formatRows="0"/>
  <mergeCells count="5">
    <mergeCell ref="A5:G5"/>
    <mergeCell ref="A1:G1"/>
    <mergeCell ref="A2:G2"/>
    <mergeCell ref="A3:G3"/>
    <mergeCell ref="A4:G4"/>
  </mergeCells>
  <phoneticPr fontId="2" type="noConversion"/>
  <printOptions horizontalCentered="1"/>
  <pageMargins left="0.47244094488188981" right="0.31496062992125984" top="0.47244094488188981" bottom="0.78740157480314965" header="0.51181102362204722" footer="0.51181102362204722"/>
  <pageSetup paperSize="9" orientation="portrait" r:id="rId1"/>
  <headerFooter alignWithMargins="0">
    <oddHeader>&amp;R&amp;"標楷體,標準"
第&amp;"Times New Roman,標準"&amp;P&amp;"標楷體,標準"頁,共&amp;"Times New Roman,標準"&amp;N&amp;"標楷體,標準"頁 &amp;"新細明體,標準"          &amp;L&amp;G</oddHeader>
    <oddFooter xml:space="preserve">&amp;C&amp;"標楷體,標準"編製：　　　　　　　　　　　　　　　校核： 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7971-FCDF-4CE4-9FC7-579EA74ED674}">
  <sheetPr>
    <tabColor theme="8" tint="0.39997558519241921"/>
  </sheetPr>
  <dimension ref="A1:AL506"/>
  <sheetViews>
    <sheetView view="pageBreakPreview" topLeftCell="A6" zoomScale="80" zoomScaleNormal="80" zoomScaleSheetLayoutView="80" workbookViewId="0">
      <pane ySplit="1200" activePane="bottomLeft"/>
      <selection activeCell="F6" sqref="F1:F1048576"/>
      <selection pane="bottomLeft" activeCell="Z7" sqref="Z7"/>
    </sheetView>
  </sheetViews>
  <sheetFormatPr defaultColWidth="8.5" defaultRowHeight="19.5" x14ac:dyDescent="0.3"/>
  <cols>
    <col min="1" max="1" width="5.25" style="72" customWidth="1"/>
    <col min="2" max="2" width="26.25" style="73" customWidth="1"/>
    <col min="3" max="3" width="5.5" style="73" customWidth="1"/>
    <col min="4" max="4" width="12.75" style="73" customWidth="1"/>
    <col min="5" max="5" width="14" style="73" customWidth="1"/>
    <col min="6" max="6" width="14.375" style="73" customWidth="1"/>
    <col min="7" max="7" width="10.75" style="73" customWidth="1"/>
    <col min="8" max="8" width="15.375" style="73" customWidth="1"/>
    <col min="9" max="9" width="14.75" style="73" customWidth="1"/>
    <col min="10" max="10" width="23" style="73" customWidth="1"/>
    <col min="11" max="11" width="10.875" style="73" customWidth="1"/>
    <col min="12" max="12" width="1.5" style="73" customWidth="1"/>
    <col min="13" max="15" width="11.5" style="2" customWidth="1"/>
    <col min="16" max="16" width="1.25" style="96" customWidth="1"/>
    <col min="17" max="17" width="4.25" style="3" hidden="1" customWidth="1"/>
    <col min="18" max="18" width="35.25" hidden="1" customWidth="1"/>
    <col min="19" max="19" width="5.75" hidden="1" customWidth="1"/>
    <col min="20" max="20" width="9" hidden="1" customWidth="1"/>
    <col min="21" max="21" width="9.375" hidden="1" customWidth="1"/>
    <col min="22" max="22" width="12" hidden="1" customWidth="1"/>
    <col min="23" max="23" width="11.375" customWidth="1"/>
    <col min="24" max="24" width="11.75" customWidth="1"/>
    <col min="25" max="25" width="12.875" customWidth="1"/>
    <col min="26" max="26" width="12" customWidth="1"/>
    <col min="27" max="27" width="5.25" style="34" customWidth="1"/>
    <col min="28" max="28" width="1.125" customWidth="1"/>
    <col min="29" max="32" width="1.125" style="181" customWidth="1"/>
    <col min="33" max="33" width="1.125" style="71" customWidth="1"/>
    <col min="34" max="34" width="16.5" style="185" customWidth="1"/>
    <col min="35" max="35" width="15.375" style="70" customWidth="1"/>
    <col min="36" max="36" width="8.375" style="70" customWidth="1"/>
    <col min="37" max="37" width="1.625" style="70" customWidth="1"/>
    <col min="38" max="38" width="16.375" style="70" bestFit="1" customWidth="1"/>
    <col min="39" max="224" width="8.5" style="70"/>
    <col min="225" max="225" width="5.25" style="70" customWidth="1"/>
    <col min="226" max="226" width="26.25" style="70" customWidth="1"/>
    <col min="227" max="227" width="5.5" style="70" customWidth="1"/>
    <col min="228" max="228" width="8.5" style="70"/>
    <col min="229" max="230" width="10.875" style="70" customWidth="1"/>
    <col min="231" max="231" width="15.25" style="70" customWidth="1"/>
    <col min="232" max="232" width="0.75" style="70" customWidth="1"/>
    <col min="233" max="235" width="0.625" style="70" customWidth="1"/>
    <col min="236" max="480" width="8.5" style="70"/>
    <col min="481" max="481" width="5.25" style="70" customWidth="1"/>
    <col min="482" max="482" width="26.25" style="70" customWidth="1"/>
    <col min="483" max="483" width="5.5" style="70" customWidth="1"/>
    <col min="484" max="484" width="8.5" style="70"/>
    <col min="485" max="486" width="10.875" style="70" customWidth="1"/>
    <col min="487" max="487" width="15.25" style="70" customWidth="1"/>
    <col min="488" max="488" width="0.75" style="70" customWidth="1"/>
    <col min="489" max="491" width="0.625" style="70" customWidth="1"/>
    <col min="492" max="736" width="8.5" style="70"/>
    <col min="737" max="737" width="5.25" style="70" customWidth="1"/>
    <col min="738" max="738" width="26.25" style="70" customWidth="1"/>
    <col min="739" max="739" width="5.5" style="70" customWidth="1"/>
    <col min="740" max="740" width="8.5" style="70"/>
    <col min="741" max="742" width="10.875" style="70" customWidth="1"/>
    <col min="743" max="743" width="15.25" style="70" customWidth="1"/>
    <col min="744" max="744" width="0.75" style="70" customWidth="1"/>
    <col min="745" max="747" width="0.625" style="70" customWidth="1"/>
    <col min="748" max="992" width="8.5" style="70"/>
    <col min="993" max="993" width="5.25" style="70" customWidth="1"/>
    <col min="994" max="994" width="26.25" style="70" customWidth="1"/>
    <col min="995" max="995" width="5.5" style="70" customWidth="1"/>
    <col min="996" max="996" width="8.5" style="70"/>
    <col min="997" max="998" width="10.875" style="70" customWidth="1"/>
    <col min="999" max="999" width="15.25" style="70" customWidth="1"/>
    <col min="1000" max="1000" width="0.75" style="70" customWidth="1"/>
    <col min="1001" max="1003" width="0.625" style="70" customWidth="1"/>
    <col min="1004" max="1248" width="8.5" style="70"/>
    <col min="1249" max="1249" width="5.25" style="70" customWidth="1"/>
    <col min="1250" max="1250" width="26.25" style="70" customWidth="1"/>
    <col min="1251" max="1251" width="5.5" style="70" customWidth="1"/>
    <col min="1252" max="1252" width="8.5" style="70"/>
    <col min="1253" max="1254" width="10.875" style="70" customWidth="1"/>
    <col min="1255" max="1255" width="15.25" style="70" customWidth="1"/>
    <col min="1256" max="1256" width="0.75" style="70" customWidth="1"/>
    <col min="1257" max="1259" width="0.625" style="70" customWidth="1"/>
    <col min="1260" max="1504" width="8.5" style="70"/>
    <col min="1505" max="1505" width="5.25" style="70" customWidth="1"/>
    <col min="1506" max="1506" width="26.25" style="70" customWidth="1"/>
    <col min="1507" max="1507" width="5.5" style="70" customWidth="1"/>
    <col min="1508" max="1508" width="8.5" style="70"/>
    <col min="1509" max="1510" width="10.875" style="70" customWidth="1"/>
    <col min="1511" max="1511" width="15.25" style="70" customWidth="1"/>
    <col min="1512" max="1512" width="0.75" style="70" customWidth="1"/>
    <col min="1513" max="1515" width="0.625" style="70" customWidth="1"/>
    <col min="1516" max="1760" width="8.5" style="70"/>
    <col min="1761" max="1761" width="5.25" style="70" customWidth="1"/>
    <col min="1762" max="1762" width="26.25" style="70" customWidth="1"/>
    <col min="1763" max="1763" width="5.5" style="70" customWidth="1"/>
    <col min="1764" max="1764" width="8.5" style="70"/>
    <col min="1765" max="1766" width="10.875" style="70" customWidth="1"/>
    <col min="1767" max="1767" width="15.25" style="70" customWidth="1"/>
    <col min="1768" max="1768" width="0.75" style="70" customWidth="1"/>
    <col min="1769" max="1771" width="0.625" style="70" customWidth="1"/>
    <col min="1772" max="2016" width="8.5" style="70"/>
    <col min="2017" max="2017" width="5.25" style="70" customWidth="1"/>
    <col min="2018" max="2018" width="26.25" style="70" customWidth="1"/>
    <col min="2019" max="2019" width="5.5" style="70" customWidth="1"/>
    <col min="2020" max="2020" width="8.5" style="70"/>
    <col min="2021" max="2022" width="10.875" style="70" customWidth="1"/>
    <col min="2023" max="2023" width="15.25" style="70" customWidth="1"/>
    <col min="2024" max="2024" width="0.75" style="70" customWidth="1"/>
    <col min="2025" max="2027" width="0.625" style="70" customWidth="1"/>
    <col min="2028" max="2272" width="8.5" style="70"/>
    <col min="2273" max="2273" width="5.25" style="70" customWidth="1"/>
    <col min="2274" max="2274" width="26.25" style="70" customWidth="1"/>
    <col min="2275" max="2275" width="5.5" style="70" customWidth="1"/>
    <col min="2276" max="2276" width="8.5" style="70"/>
    <col min="2277" max="2278" width="10.875" style="70" customWidth="1"/>
    <col min="2279" max="2279" width="15.25" style="70" customWidth="1"/>
    <col min="2280" max="2280" width="0.75" style="70" customWidth="1"/>
    <col min="2281" max="2283" width="0.625" style="70" customWidth="1"/>
    <col min="2284" max="2528" width="8.5" style="70"/>
    <col min="2529" max="2529" width="5.25" style="70" customWidth="1"/>
    <col min="2530" max="2530" width="26.25" style="70" customWidth="1"/>
    <col min="2531" max="2531" width="5.5" style="70" customWidth="1"/>
    <col min="2532" max="2532" width="8.5" style="70"/>
    <col min="2533" max="2534" width="10.875" style="70" customWidth="1"/>
    <col min="2535" max="2535" width="15.25" style="70" customWidth="1"/>
    <col min="2536" max="2536" width="0.75" style="70" customWidth="1"/>
    <col min="2537" max="2539" width="0.625" style="70" customWidth="1"/>
    <col min="2540" max="2784" width="8.5" style="70"/>
    <col min="2785" max="2785" width="5.25" style="70" customWidth="1"/>
    <col min="2786" max="2786" width="26.25" style="70" customWidth="1"/>
    <col min="2787" max="2787" width="5.5" style="70" customWidth="1"/>
    <col min="2788" max="2788" width="8.5" style="70"/>
    <col min="2789" max="2790" width="10.875" style="70" customWidth="1"/>
    <col min="2791" max="2791" width="15.25" style="70" customWidth="1"/>
    <col min="2792" max="2792" width="0.75" style="70" customWidth="1"/>
    <col min="2793" max="2795" width="0.625" style="70" customWidth="1"/>
    <col min="2796" max="3040" width="8.5" style="70"/>
    <col min="3041" max="3041" width="5.25" style="70" customWidth="1"/>
    <col min="3042" max="3042" width="26.25" style="70" customWidth="1"/>
    <col min="3043" max="3043" width="5.5" style="70" customWidth="1"/>
    <col min="3044" max="3044" width="8.5" style="70"/>
    <col min="3045" max="3046" width="10.875" style="70" customWidth="1"/>
    <col min="3047" max="3047" width="15.25" style="70" customWidth="1"/>
    <col min="3048" max="3048" width="0.75" style="70" customWidth="1"/>
    <col min="3049" max="3051" width="0.625" style="70" customWidth="1"/>
    <col min="3052" max="3296" width="8.5" style="70"/>
    <col min="3297" max="3297" width="5.25" style="70" customWidth="1"/>
    <col min="3298" max="3298" width="26.25" style="70" customWidth="1"/>
    <col min="3299" max="3299" width="5.5" style="70" customWidth="1"/>
    <col min="3300" max="3300" width="8.5" style="70"/>
    <col min="3301" max="3302" width="10.875" style="70" customWidth="1"/>
    <col min="3303" max="3303" width="15.25" style="70" customWidth="1"/>
    <col min="3304" max="3304" width="0.75" style="70" customWidth="1"/>
    <col min="3305" max="3307" width="0.625" style="70" customWidth="1"/>
    <col min="3308" max="3552" width="8.5" style="70"/>
    <col min="3553" max="3553" width="5.25" style="70" customWidth="1"/>
    <col min="3554" max="3554" width="26.25" style="70" customWidth="1"/>
    <col min="3555" max="3555" width="5.5" style="70" customWidth="1"/>
    <col min="3556" max="3556" width="8.5" style="70"/>
    <col min="3557" max="3558" width="10.875" style="70" customWidth="1"/>
    <col min="3559" max="3559" width="15.25" style="70" customWidth="1"/>
    <col min="3560" max="3560" width="0.75" style="70" customWidth="1"/>
    <col min="3561" max="3563" width="0.625" style="70" customWidth="1"/>
    <col min="3564" max="3808" width="8.5" style="70"/>
    <col min="3809" max="3809" width="5.25" style="70" customWidth="1"/>
    <col min="3810" max="3810" width="26.25" style="70" customWidth="1"/>
    <col min="3811" max="3811" width="5.5" style="70" customWidth="1"/>
    <col min="3812" max="3812" width="8.5" style="70"/>
    <col min="3813" max="3814" width="10.875" style="70" customWidth="1"/>
    <col min="3815" max="3815" width="15.25" style="70" customWidth="1"/>
    <col min="3816" max="3816" width="0.75" style="70" customWidth="1"/>
    <col min="3817" max="3819" width="0.625" style="70" customWidth="1"/>
    <col min="3820" max="4064" width="8.5" style="70"/>
    <col min="4065" max="4065" width="5.25" style="70" customWidth="1"/>
    <col min="4066" max="4066" width="26.25" style="70" customWidth="1"/>
    <col min="4067" max="4067" width="5.5" style="70" customWidth="1"/>
    <col min="4068" max="4068" width="8.5" style="70"/>
    <col min="4069" max="4070" width="10.875" style="70" customWidth="1"/>
    <col min="4071" max="4071" width="15.25" style="70" customWidth="1"/>
    <col min="4072" max="4072" width="0.75" style="70" customWidth="1"/>
    <col min="4073" max="4075" width="0.625" style="70" customWidth="1"/>
    <col min="4076" max="4320" width="8.5" style="70"/>
    <col min="4321" max="4321" width="5.25" style="70" customWidth="1"/>
    <col min="4322" max="4322" width="26.25" style="70" customWidth="1"/>
    <col min="4323" max="4323" width="5.5" style="70" customWidth="1"/>
    <col min="4324" max="4324" width="8.5" style="70"/>
    <col min="4325" max="4326" width="10.875" style="70" customWidth="1"/>
    <col min="4327" max="4327" width="15.25" style="70" customWidth="1"/>
    <col min="4328" max="4328" width="0.75" style="70" customWidth="1"/>
    <col min="4329" max="4331" width="0.625" style="70" customWidth="1"/>
    <col min="4332" max="4576" width="8.5" style="70"/>
    <col min="4577" max="4577" width="5.25" style="70" customWidth="1"/>
    <col min="4578" max="4578" width="26.25" style="70" customWidth="1"/>
    <col min="4579" max="4579" width="5.5" style="70" customWidth="1"/>
    <col min="4580" max="4580" width="8.5" style="70"/>
    <col min="4581" max="4582" width="10.875" style="70" customWidth="1"/>
    <col min="4583" max="4583" width="15.25" style="70" customWidth="1"/>
    <col min="4584" max="4584" width="0.75" style="70" customWidth="1"/>
    <col min="4585" max="4587" width="0.625" style="70" customWidth="1"/>
    <col min="4588" max="4832" width="8.5" style="70"/>
    <col min="4833" max="4833" width="5.25" style="70" customWidth="1"/>
    <col min="4834" max="4834" width="26.25" style="70" customWidth="1"/>
    <col min="4835" max="4835" width="5.5" style="70" customWidth="1"/>
    <col min="4836" max="4836" width="8.5" style="70"/>
    <col min="4837" max="4838" width="10.875" style="70" customWidth="1"/>
    <col min="4839" max="4839" width="15.25" style="70" customWidth="1"/>
    <col min="4840" max="4840" width="0.75" style="70" customWidth="1"/>
    <col min="4841" max="4843" width="0.625" style="70" customWidth="1"/>
    <col min="4844" max="5088" width="8.5" style="70"/>
    <col min="5089" max="5089" width="5.25" style="70" customWidth="1"/>
    <col min="5090" max="5090" width="26.25" style="70" customWidth="1"/>
    <col min="5091" max="5091" width="5.5" style="70" customWidth="1"/>
    <col min="5092" max="5092" width="8.5" style="70"/>
    <col min="5093" max="5094" width="10.875" style="70" customWidth="1"/>
    <col min="5095" max="5095" width="15.25" style="70" customWidth="1"/>
    <col min="5096" max="5096" width="0.75" style="70" customWidth="1"/>
    <col min="5097" max="5099" width="0.625" style="70" customWidth="1"/>
    <col min="5100" max="5344" width="8.5" style="70"/>
    <col min="5345" max="5345" width="5.25" style="70" customWidth="1"/>
    <col min="5346" max="5346" width="26.25" style="70" customWidth="1"/>
    <col min="5347" max="5347" width="5.5" style="70" customWidth="1"/>
    <col min="5348" max="5348" width="8.5" style="70"/>
    <col min="5349" max="5350" width="10.875" style="70" customWidth="1"/>
    <col min="5351" max="5351" width="15.25" style="70" customWidth="1"/>
    <col min="5352" max="5352" width="0.75" style="70" customWidth="1"/>
    <col min="5353" max="5355" width="0.625" style="70" customWidth="1"/>
    <col min="5356" max="5600" width="8.5" style="70"/>
    <col min="5601" max="5601" width="5.25" style="70" customWidth="1"/>
    <col min="5602" max="5602" width="26.25" style="70" customWidth="1"/>
    <col min="5603" max="5603" width="5.5" style="70" customWidth="1"/>
    <col min="5604" max="5604" width="8.5" style="70"/>
    <col min="5605" max="5606" width="10.875" style="70" customWidth="1"/>
    <col min="5607" max="5607" width="15.25" style="70" customWidth="1"/>
    <col min="5608" max="5608" width="0.75" style="70" customWidth="1"/>
    <col min="5609" max="5611" width="0.625" style="70" customWidth="1"/>
    <col min="5612" max="5856" width="8.5" style="70"/>
    <col min="5857" max="5857" width="5.25" style="70" customWidth="1"/>
    <col min="5858" max="5858" width="26.25" style="70" customWidth="1"/>
    <col min="5859" max="5859" width="5.5" style="70" customWidth="1"/>
    <col min="5860" max="5860" width="8.5" style="70"/>
    <col min="5861" max="5862" width="10.875" style="70" customWidth="1"/>
    <col min="5863" max="5863" width="15.25" style="70" customWidth="1"/>
    <col min="5864" max="5864" width="0.75" style="70" customWidth="1"/>
    <col min="5865" max="5867" width="0.625" style="70" customWidth="1"/>
    <col min="5868" max="6112" width="8.5" style="70"/>
    <col min="6113" max="6113" width="5.25" style="70" customWidth="1"/>
    <col min="6114" max="6114" width="26.25" style="70" customWidth="1"/>
    <col min="6115" max="6115" width="5.5" style="70" customWidth="1"/>
    <col min="6116" max="6116" width="8.5" style="70"/>
    <col min="6117" max="6118" width="10.875" style="70" customWidth="1"/>
    <col min="6119" max="6119" width="15.25" style="70" customWidth="1"/>
    <col min="6120" max="6120" width="0.75" style="70" customWidth="1"/>
    <col min="6121" max="6123" width="0.625" style="70" customWidth="1"/>
    <col min="6124" max="6368" width="8.5" style="70"/>
    <col min="6369" max="6369" width="5.25" style="70" customWidth="1"/>
    <col min="6370" max="6370" width="26.25" style="70" customWidth="1"/>
    <col min="6371" max="6371" width="5.5" style="70" customWidth="1"/>
    <col min="6372" max="6372" width="8.5" style="70"/>
    <col min="6373" max="6374" width="10.875" style="70" customWidth="1"/>
    <col min="6375" max="6375" width="15.25" style="70" customWidth="1"/>
    <col min="6376" max="6376" width="0.75" style="70" customWidth="1"/>
    <col min="6377" max="6379" width="0.625" style="70" customWidth="1"/>
    <col min="6380" max="6624" width="8.5" style="70"/>
    <col min="6625" max="6625" width="5.25" style="70" customWidth="1"/>
    <col min="6626" max="6626" width="26.25" style="70" customWidth="1"/>
    <col min="6627" max="6627" width="5.5" style="70" customWidth="1"/>
    <col min="6628" max="6628" width="8.5" style="70"/>
    <col min="6629" max="6630" width="10.875" style="70" customWidth="1"/>
    <col min="6631" max="6631" width="15.25" style="70" customWidth="1"/>
    <col min="6632" max="6632" width="0.75" style="70" customWidth="1"/>
    <col min="6633" max="6635" width="0.625" style="70" customWidth="1"/>
    <col min="6636" max="6880" width="8.5" style="70"/>
    <col min="6881" max="6881" width="5.25" style="70" customWidth="1"/>
    <col min="6882" max="6882" width="26.25" style="70" customWidth="1"/>
    <col min="6883" max="6883" width="5.5" style="70" customWidth="1"/>
    <col min="6884" max="6884" width="8.5" style="70"/>
    <col min="6885" max="6886" width="10.875" style="70" customWidth="1"/>
    <col min="6887" max="6887" width="15.25" style="70" customWidth="1"/>
    <col min="6888" max="6888" width="0.75" style="70" customWidth="1"/>
    <col min="6889" max="6891" width="0.625" style="70" customWidth="1"/>
    <col min="6892" max="7136" width="8.5" style="70"/>
    <col min="7137" max="7137" width="5.25" style="70" customWidth="1"/>
    <col min="7138" max="7138" width="26.25" style="70" customWidth="1"/>
    <col min="7139" max="7139" width="5.5" style="70" customWidth="1"/>
    <col min="7140" max="7140" width="8.5" style="70"/>
    <col min="7141" max="7142" width="10.875" style="70" customWidth="1"/>
    <col min="7143" max="7143" width="15.25" style="70" customWidth="1"/>
    <col min="7144" max="7144" width="0.75" style="70" customWidth="1"/>
    <col min="7145" max="7147" width="0.625" style="70" customWidth="1"/>
    <col min="7148" max="7392" width="8.5" style="70"/>
    <col min="7393" max="7393" width="5.25" style="70" customWidth="1"/>
    <col min="7394" max="7394" width="26.25" style="70" customWidth="1"/>
    <col min="7395" max="7395" width="5.5" style="70" customWidth="1"/>
    <col min="7396" max="7396" width="8.5" style="70"/>
    <col min="7397" max="7398" width="10.875" style="70" customWidth="1"/>
    <col min="7399" max="7399" width="15.25" style="70" customWidth="1"/>
    <col min="7400" max="7400" width="0.75" style="70" customWidth="1"/>
    <col min="7401" max="7403" width="0.625" style="70" customWidth="1"/>
    <col min="7404" max="7648" width="8.5" style="70"/>
    <col min="7649" max="7649" width="5.25" style="70" customWidth="1"/>
    <col min="7650" max="7650" width="26.25" style="70" customWidth="1"/>
    <col min="7651" max="7651" width="5.5" style="70" customWidth="1"/>
    <col min="7652" max="7652" width="8.5" style="70"/>
    <col min="7653" max="7654" width="10.875" style="70" customWidth="1"/>
    <col min="7655" max="7655" width="15.25" style="70" customWidth="1"/>
    <col min="7656" max="7656" width="0.75" style="70" customWidth="1"/>
    <col min="7657" max="7659" width="0.625" style="70" customWidth="1"/>
    <col min="7660" max="7904" width="8.5" style="70"/>
    <col min="7905" max="7905" width="5.25" style="70" customWidth="1"/>
    <col min="7906" max="7906" width="26.25" style="70" customWidth="1"/>
    <col min="7907" max="7907" width="5.5" style="70" customWidth="1"/>
    <col min="7908" max="7908" width="8.5" style="70"/>
    <col min="7909" max="7910" width="10.875" style="70" customWidth="1"/>
    <col min="7911" max="7911" width="15.25" style="70" customWidth="1"/>
    <col min="7912" max="7912" width="0.75" style="70" customWidth="1"/>
    <col min="7913" max="7915" width="0.625" style="70" customWidth="1"/>
    <col min="7916" max="8160" width="8.5" style="70"/>
    <col min="8161" max="8161" width="5.25" style="70" customWidth="1"/>
    <col min="8162" max="8162" width="26.25" style="70" customWidth="1"/>
    <col min="8163" max="8163" width="5.5" style="70" customWidth="1"/>
    <col min="8164" max="8164" width="8.5" style="70"/>
    <col min="8165" max="8166" width="10.875" style="70" customWidth="1"/>
    <col min="8167" max="8167" width="15.25" style="70" customWidth="1"/>
    <col min="8168" max="8168" width="0.75" style="70" customWidth="1"/>
    <col min="8169" max="8171" width="0.625" style="70" customWidth="1"/>
    <col min="8172" max="8416" width="8.5" style="70"/>
    <col min="8417" max="8417" width="5.25" style="70" customWidth="1"/>
    <col min="8418" max="8418" width="26.25" style="70" customWidth="1"/>
    <col min="8419" max="8419" width="5.5" style="70" customWidth="1"/>
    <col min="8420" max="8420" width="8.5" style="70"/>
    <col min="8421" max="8422" width="10.875" style="70" customWidth="1"/>
    <col min="8423" max="8423" width="15.25" style="70" customWidth="1"/>
    <col min="8424" max="8424" width="0.75" style="70" customWidth="1"/>
    <col min="8425" max="8427" width="0.625" style="70" customWidth="1"/>
    <col min="8428" max="8672" width="8.5" style="70"/>
    <col min="8673" max="8673" width="5.25" style="70" customWidth="1"/>
    <col min="8674" max="8674" width="26.25" style="70" customWidth="1"/>
    <col min="8675" max="8675" width="5.5" style="70" customWidth="1"/>
    <col min="8676" max="8676" width="8.5" style="70"/>
    <col min="8677" max="8678" width="10.875" style="70" customWidth="1"/>
    <col min="8679" max="8679" width="15.25" style="70" customWidth="1"/>
    <col min="8680" max="8680" width="0.75" style="70" customWidth="1"/>
    <col min="8681" max="8683" width="0.625" style="70" customWidth="1"/>
    <col min="8684" max="8928" width="8.5" style="70"/>
    <col min="8929" max="8929" width="5.25" style="70" customWidth="1"/>
    <col min="8930" max="8930" width="26.25" style="70" customWidth="1"/>
    <col min="8931" max="8931" width="5.5" style="70" customWidth="1"/>
    <col min="8932" max="8932" width="8.5" style="70"/>
    <col min="8933" max="8934" width="10.875" style="70" customWidth="1"/>
    <col min="8935" max="8935" width="15.25" style="70" customWidth="1"/>
    <col min="8936" max="8936" width="0.75" style="70" customWidth="1"/>
    <col min="8937" max="8939" width="0.625" style="70" customWidth="1"/>
    <col min="8940" max="9184" width="8.5" style="70"/>
    <col min="9185" max="9185" width="5.25" style="70" customWidth="1"/>
    <col min="9186" max="9186" width="26.25" style="70" customWidth="1"/>
    <col min="9187" max="9187" width="5.5" style="70" customWidth="1"/>
    <col min="9188" max="9188" width="8.5" style="70"/>
    <col min="9189" max="9190" width="10.875" style="70" customWidth="1"/>
    <col min="9191" max="9191" width="15.25" style="70" customWidth="1"/>
    <col min="9192" max="9192" width="0.75" style="70" customWidth="1"/>
    <col min="9193" max="9195" width="0.625" style="70" customWidth="1"/>
    <col min="9196" max="9440" width="8.5" style="70"/>
    <col min="9441" max="9441" width="5.25" style="70" customWidth="1"/>
    <col min="9442" max="9442" width="26.25" style="70" customWidth="1"/>
    <col min="9443" max="9443" width="5.5" style="70" customWidth="1"/>
    <col min="9444" max="9444" width="8.5" style="70"/>
    <col min="9445" max="9446" width="10.875" style="70" customWidth="1"/>
    <col min="9447" max="9447" width="15.25" style="70" customWidth="1"/>
    <col min="9448" max="9448" width="0.75" style="70" customWidth="1"/>
    <col min="9449" max="9451" width="0.625" style="70" customWidth="1"/>
    <col min="9452" max="9696" width="8.5" style="70"/>
    <col min="9697" max="9697" width="5.25" style="70" customWidth="1"/>
    <col min="9698" max="9698" width="26.25" style="70" customWidth="1"/>
    <col min="9699" max="9699" width="5.5" style="70" customWidth="1"/>
    <col min="9700" max="9700" width="8.5" style="70"/>
    <col min="9701" max="9702" width="10.875" style="70" customWidth="1"/>
    <col min="9703" max="9703" width="15.25" style="70" customWidth="1"/>
    <col min="9704" max="9704" width="0.75" style="70" customWidth="1"/>
    <col min="9705" max="9707" width="0.625" style="70" customWidth="1"/>
    <col min="9708" max="9952" width="8.5" style="70"/>
    <col min="9953" max="9953" width="5.25" style="70" customWidth="1"/>
    <col min="9954" max="9954" width="26.25" style="70" customWidth="1"/>
    <col min="9955" max="9955" width="5.5" style="70" customWidth="1"/>
    <col min="9956" max="9956" width="8.5" style="70"/>
    <col min="9957" max="9958" width="10.875" style="70" customWidth="1"/>
    <col min="9959" max="9959" width="15.25" style="70" customWidth="1"/>
    <col min="9960" max="9960" width="0.75" style="70" customWidth="1"/>
    <col min="9961" max="9963" width="0.625" style="70" customWidth="1"/>
    <col min="9964" max="10208" width="8.5" style="70"/>
    <col min="10209" max="10209" width="5.25" style="70" customWidth="1"/>
    <col min="10210" max="10210" width="26.25" style="70" customWidth="1"/>
    <col min="10211" max="10211" width="5.5" style="70" customWidth="1"/>
    <col min="10212" max="10212" width="8.5" style="70"/>
    <col min="10213" max="10214" width="10.875" style="70" customWidth="1"/>
    <col min="10215" max="10215" width="15.25" style="70" customWidth="1"/>
    <col min="10216" max="10216" width="0.75" style="70" customWidth="1"/>
    <col min="10217" max="10219" width="0.625" style="70" customWidth="1"/>
    <col min="10220" max="10464" width="8.5" style="70"/>
    <col min="10465" max="10465" width="5.25" style="70" customWidth="1"/>
    <col min="10466" max="10466" width="26.25" style="70" customWidth="1"/>
    <col min="10467" max="10467" width="5.5" style="70" customWidth="1"/>
    <col min="10468" max="10468" width="8.5" style="70"/>
    <col min="10469" max="10470" width="10.875" style="70" customWidth="1"/>
    <col min="10471" max="10471" width="15.25" style="70" customWidth="1"/>
    <col min="10472" max="10472" width="0.75" style="70" customWidth="1"/>
    <col min="10473" max="10475" width="0.625" style="70" customWidth="1"/>
    <col min="10476" max="10720" width="8.5" style="70"/>
    <col min="10721" max="10721" width="5.25" style="70" customWidth="1"/>
    <col min="10722" max="10722" width="26.25" style="70" customWidth="1"/>
    <col min="10723" max="10723" width="5.5" style="70" customWidth="1"/>
    <col min="10724" max="10724" width="8.5" style="70"/>
    <col min="10725" max="10726" width="10.875" style="70" customWidth="1"/>
    <col min="10727" max="10727" width="15.25" style="70" customWidth="1"/>
    <col min="10728" max="10728" width="0.75" style="70" customWidth="1"/>
    <col min="10729" max="10731" width="0.625" style="70" customWidth="1"/>
    <col min="10732" max="10976" width="8.5" style="70"/>
    <col min="10977" max="10977" width="5.25" style="70" customWidth="1"/>
    <col min="10978" max="10978" width="26.25" style="70" customWidth="1"/>
    <col min="10979" max="10979" width="5.5" style="70" customWidth="1"/>
    <col min="10980" max="10980" width="8.5" style="70"/>
    <col min="10981" max="10982" width="10.875" style="70" customWidth="1"/>
    <col min="10983" max="10983" width="15.25" style="70" customWidth="1"/>
    <col min="10984" max="10984" width="0.75" style="70" customWidth="1"/>
    <col min="10985" max="10987" width="0.625" style="70" customWidth="1"/>
    <col min="10988" max="11232" width="8.5" style="70"/>
    <col min="11233" max="11233" width="5.25" style="70" customWidth="1"/>
    <col min="11234" max="11234" width="26.25" style="70" customWidth="1"/>
    <col min="11235" max="11235" width="5.5" style="70" customWidth="1"/>
    <col min="11236" max="11236" width="8.5" style="70"/>
    <col min="11237" max="11238" width="10.875" style="70" customWidth="1"/>
    <col min="11239" max="11239" width="15.25" style="70" customWidth="1"/>
    <col min="11240" max="11240" width="0.75" style="70" customWidth="1"/>
    <col min="11241" max="11243" width="0.625" style="70" customWidth="1"/>
    <col min="11244" max="11488" width="8.5" style="70"/>
    <col min="11489" max="11489" width="5.25" style="70" customWidth="1"/>
    <col min="11490" max="11490" width="26.25" style="70" customWidth="1"/>
    <col min="11491" max="11491" width="5.5" style="70" customWidth="1"/>
    <col min="11492" max="11492" width="8.5" style="70"/>
    <col min="11493" max="11494" width="10.875" style="70" customWidth="1"/>
    <col min="11495" max="11495" width="15.25" style="70" customWidth="1"/>
    <col min="11496" max="11496" width="0.75" style="70" customWidth="1"/>
    <col min="11497" max="11499" width="0.625" style="70" customWidth="1"/>
    <col min="11500" max="11744" width="8.5" style="70"/>
    <col min="11745" max="11745" width="5.25" style="70" customWidth="1"/>
    <col min="11746" max="11746" width="26.25" style="70" customWidth="1"/>
    <col min="11747" max="11747" width="5.5" style="70" customWidth="1"/>
    <col min="11748" max="11748" width="8.5" style="70"/>
    <col min="11749" max="11750" width="10.875" style="70" customWidth="1"/>
    <col min="11751" max="11751" width="15.25" style="70" customWidth="1"/>
    <col min="11752" max="11752" width="0.75" style="70" customWidth="1"/>
    <col min="11753" max="11755" width="0.625" style="70" customWidth="1"/>
    <col min="11756" max="12000" width="8.5" style="70"/>
    <col min="12001" max="12001" width="5.25" style="70" customWidth="1"/>
    <col min="12002" max="12002" width="26.25" style="70" customWidth="1"/>
    <col min="12003" max="12003" width="5.5" style="70" customWidth="1"/>
    <col min="12004" max="12004" width="8.5" style="70"/>
    <col min="12005" max="12006" width="10.875" style="70" customWidth="1"/>
    <col min="12007" max="12007" width="15.25" style="70" customWidth="1"/>
    <col min="12008" max="12008" width="0.75" style="70" customWidth="1"/>
    <col min="12009" max="12011" width="0.625" style="70" customWidth="1"/>
    <col min="12012" max="12256" width="8.5" style="70"/>
    <col min="12257" max="12257" width="5.25" style="70" customWidth="1"/>
    <col min="12258" max="12258" width="26.25" style="70" customWidth="1"/>
    <col min="12259" max="12259" width="5.5" style="70" customWidth="1"/>
    <col min="12260" max="12260" width="8.5" style="70"/>
    <col min="12261" max="12262" width="10.875" style="70" customWidth="1"/>
    <col min="12263" max="12263" width="15.25" style="70" customWidth="1"/>
    <col min="12264" max="12264" width="0.75" style="70" customWidth="1"/>
    <col min="12265" max="12267" width="0.625" style="70" customWidth="1"/>
    <col min="12268" max="12512" width="8.5" style="70"/>
    <col min="12513" max="12513" width="5.25" style="70" customWidth="1"/>
    <col min="12514" max="12514" width="26.25" style="70" customWidth="1"/>
    <col min="12515" max="12515" width="5.5" style="70" customWidth="1"/>
    <col min="12516" max="12516" width="8.5" style="70"/>
    <col min="12517" max="12518" width="10.875" style="70" customWidth="1"/>
    <col min="12519" max="12519" width="15.25" style="70" customWidth="1"/>
    <col min="12520" max="12520" width="0.75" style="70" customWidth="1"/>
    <col min="12521" max="12523" width="0.625" style="70" customWidth="1"/>
    <col min="12524" max="12768" width="8.5" style="70"/>
    <col min="12769" max="12769" width="5.25" style="70" customWidth="1"/>
    <col min="12770" max="12770" width="26.25" style="70" customWidth="1"/>
    <col min="12771" max="12771" width="5.5" style="70" customWidth="1"/>
    <col min="12772" max="12772" width="8.5" style="70"/>
    <col min="12773" max="12774" width="10.875" style="70" customWidth="1"/>
    <col min="12775" max="12775" width="15.25" style="70" customWidth="1"/>
    <col min="12776" max="12776" width="0.75" style="70" customWidth="1"/>
    <col min="12777" max="12779" width="0.625" style="70" customWidth="1"/>
    <col min="12780" max="13024" width="8.5" style="70"/>
    <col min="13025" max="13025" width="5.25" style="70" customWidth="1"/>
    <col min="13026" max="13026" width="26.25" style="70" customWidth="1"/>
    <col min="13027" max="13027" width="5.5" style="70" customWidth="1"/>
    <col min="13028" max="13028" width="8.5" style="70"/>
    <col min="13029" max="13030" width="10.875" style="70" customWidth="1"/>
    <col min="13031" max="13031" width="15.25" style="70" customWidth="1"/>
    <col min="13032" max="13032" width="0.75" style="70" customWidth="1"/>
    <col min="13033" max="13035" width="0.625" style="70" customWidth="1"/>
    <col min="13036" max="13280" width="8.5" style="70"/>
    <col min="13281" max="13281" width="5.25" style="70" customWidth="1"/>
    <col min="13282" max="13282" width="26.25" style="70" customWidth="1"/>
    <col min="13283" max="13283" width="5.5" style="70" customWidth="1"/>
    <col min="13284" max="13284" width="8.5" style="70"/>
    <col min="13285" max="13286" width="10.875" style="70" customWidth="1"/>
    <col min="13287" max="13287" width="15.25" style="70" customWidth="1"/>
    <col min="13288" max="13288" width="0.75" style="70" customWidth="1"/>
    <col min="13289" max="13291" width="0.625" style="70" customWidth="1"/>
    <col min="13292" max="13536" width="8.5" style="70"/>
    <col min="13537" max="13537" width="5.25" style="70" customWidth="1"/>
    <col min="13538" max="13538" width="26.25" style="70" customWidth="1"/>
    <col min="13539" max="13539" width="5.5" style="70" customWidth="1"/>
    <col min="13540" max="13540" width="8.5" style="70"/>
    <col min="13541" max="13542" width="10.875" style="70" customWidth="1"/>
    <col min="13543" max="13543" width="15.25" style="70" customWidth="1"/>
    <col min="13544" max="13544" width="0.75" style="70" customWidth="1"/>
    <col min="13545" max="13547" width="0.625" style="70" customWidth="1"/>
    <col min="13548" max="13792" width="8.5" style="70"/>
    <col min="13793" max="13793" width="5.25" style="70" customWidth="1"/>
    <col min="13794" max="13794" width="26.25" style="70" customWidth="1"/>
    <col min="13795" max="13795" width="5.5" style="70" customWidth="1"/>
    <col min="13796" max="13796" width="8.5" style="70"/>
    <col min="13797" max="13798" width="10.875" style="70" customWidth="1"/>
    <col min="13799" max="13799" width="15.25" style="70" customWidth="1"/>
    <col min="13800" max="13800" width="0.75" style="70" customWidth="1"/>
    <col min="13801" max="13803" width="0.625" style="70" customWidth="1"/>
    <col min="13804" max="14048" width="8.5" style="70"/>
    <col min="14049" max="14049" width="5.25" style="70" customWidth="1"/>
    <col min="14050" max="14050" width="26.25" style="70" customWidth="1"/>
    <col min="14051" max="14051" width="5.5" style="70" customWidth="1"/>
    <col min="14052" max="14052" width="8.5" style="70"/>
    <col min="14053" max="14054" width="10.875" style="70" customWidth="1"/>
    <col min="14055" max="14055" width="15.25" style="70" customWidth="1"/>
    <col min="14056" max="14056" width="0.75" style="70" customWidth="1"/>
    <col min="14057" max="14059" width="0.625" style="70" customWidth="1"/>
    <col min="14060" max="14304" width="8.5" style="70"/>
    <col min="14305" max="14305" width="5.25" style="70" customWidth="1"/>
    <col min="14306" max="14306" width="26.25" style="70" customWidth="1"/>
    <col min="14307" max="14307" width="5.5" style="70" customWidth="1"/>
    <col min="14308" max="14308" width="8.5" style="70"/>
    <col min="14309" max="14310" width="10.875" style="70" customWidth="1"/>
    <col min="14311" max="14311" width="15.25" style="70" customWidth="1"/>
    <col min="14312" max="14312" width="0.75" style="70" customWidth="1"/>
    <col min="14313" max="14315" width="0.625" style="70" customWidth="1"/>
    <col min="14316" max="14560" width="8.5" style="70"/>
    <col min="14561" max="14561" width="5.25" style="70" customWidth="1"/>
    <col min="14562" max="14562" width="26.25" style="70" customWidth="1"/>
    <col min="14563" max="14563" width="5.5" style="70" customWidth="1"/>
    <col min="14564" max="14564" width="8.5" style="70"/>
    <col min="14565" max="14566" width="10.875" style="70" customWidth="1"/>
    <col min="14567" max="14567" width="15.25" style="70" customWidth="1"/>
    <col min="14568" max="14568" width="0.75" style="70" customWidth="1"/>
    <col min="14569" max="14571" width="0.625" style="70" customWidth="1"/>
    <col min="14572" max="14816" width="8.5" style="70"/>
    <col min="14817" max="14817" width="5.25" style="70" customWidth="1"/>
    <col min="14818" max="14818" width="26.25" style="70" customWidth="1"/>
    <col min="14819" max="14819" width="5.5" style="70" customWidth="1"/>
    <col min="14820" max="14820" width="8.5" style="70"/>
    <col min="14821" max="14822" width="10.875" style="70" customWidth="1"/>
    <col min="14823" max="14823" width="15.25" style="70" customWidth="1"/>
    <col min="14824" max="14824" width="0.75" style="70" customWidth="1"/>
    <col min="14825" max="14827" width="0.625" style="70" customWidth="1"/>
    <col min="14828" max="15072" width="8.5" style="70"/>
    <col min="15073" max="15073" width="5.25" style="70" customWidth="1"/>
    <col min="15074" max="15074" width="26.25" style="70" customWidth="1"/>
    <col min="15075" max="15075" width="5.5" style="70" customWidth="1"/>
    <col min="15076" max="15076" width="8.5" style="70"/>
    <col min="15077" max="15078" width="10.875" style="70" customWidth="1"/>
    <col min="15079" max="15079" width="15.25" style="70" customWidth="1"/>
    <col min="15080" max="15080" width="0.75" style="70" customWidth="1"/>
    <col min="15081" max="15083" width="0.625" style="70" customWidth="1"/>
    <col min="15084" max="15328" width="8.5" style="70"/>
    <col min="15329" max="15329" width="5.25" style="70" customWidth="1"/>
    <col min="15330" max="15330" width="26.25" style="70" customWidth="1"/>
    <col min="15331" max="15331" width="5.5" style="70" customWidth="1"/>
    <col min="15332" max="15332" width="8.5" style="70"/>
    <col min="15333" max="15334" width="10.875" style="70" customWidth="1"/>
    <col min="15335" max="15335" width="15.25" style="70" customWidth="1"/>
    <col min="15336" max="15336" width="0.75" style="70" customWidth="1"/>
    <col min="15337" max="15339" width="0.625" style="70" customWidth="1"/>
    <col min="15340" max="15584" width="8.5" style="70"/>
    <col min="15585" max="15585" width="5.25" style="70" customWidth="1"/>
    <col min="15586" max="15586" width="26.25" style="70" customWidth="1"/>
    <col min="15587" max="15587" width="5.5" style="70" customWidth="1"/>
    <col min="15588" max="15588" width="8.5" style="70"/>
    <col min="15589" max="15590" width="10.875" style="70" customWidth="1"/>
    <col min="15591" max="15591" width="15.25" style="70" customWidth="1"/>
    <col min="15592" max="15592" width="0.75" style="70" customWidth="1"/>
    <col min="15593" max="15595" width="0.625" style="70" customWidth="1"/>
    <col min="15596" max="15840" width="8.5" style="70"/>
    <col min="15841" max="15841" width="5.25" style="70" customWidth="1"/>
    <col min="15842" max="15842" width="26.25" style="70" customWidth="1"/>
    <col min="15843" max="15843" width="5.5" style="70" customWidth="1"/>
    <col min="15844" max="15844" width="8.5" style="70"/>
    <col min="15845" max="15846" width="10.875" style="70" customWidth="1"/>
    <col min="15847" max="15847" width="15.25" style="70" customWidth="1"/>
    <col min="15848" max="15848" width="0.75" style="70" customWidth="1"/>
    <col min="15849" max="15851" width="0.625" style="70" customWidth="1"/>
    <col min="15852" max="16096" width="8.5" style="70"/>
    <col min="16097" max="16097" width="5.25" style="70" customWidth="1"/>
    <col min="16098" max="16098" width="26.25" style="70" customWidth="1"/>
    <col min="16099" max="16099" width="5.5" style="70" customWidth="1"/>
    <col min="16100" max="16100" width="8.5" style="70"/>
    <col min="16101" max="16102" width="10.875" style="70" customWidth="1"/>
    <col min="16103" max="16103" width="15.25" style="70" customWidth="1"/>
    <col min="16104" max="16104" width="0.75" style="70" customWidth="1"/>
    <col min="16105" max="16107" width="0.625" style="70" customWidth="1"/>
    <col min="16108" max="16384" width="8.5" style="70"/>
  </cols>
  <sheetData>
    <row r="1" spans="1:38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47"/>
      <c r="W1" s="99"/>
      <c r="X1" s="99"/>
      <c r="Y1" s="99"/>
      <c r="Z1" s="99"/>
      <c r="AA1" s="100"/>
    </row>
    <row r="2" spans="1:38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47"/>
    </row>
    <row r="3" spans="1:38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47"/>
      <c r="Q3" s="386" t="s">
        <v>0</v>
      </c>
      <c r="R3" s="387"/>
      <c r="S3" s="387"/>
      <c r="T3" s="387"/>
      <c r="U3" s="387"/>
      <c r="V3" s="387"/>
      <c r="W3" s="387"/>
      <c r="X3" s="387"/>
      <c r="Y3" s="387"/>
      <c r="Z3" s="387"/>
      <c r="AA3" s="387"/>
    </row>
    <row r="4" spans="1:38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48"/>
      <c r="Q4" s="389">
        <v>26</v>
      </c>
      <c r="R4" s="387"/>
      <c r="S4" s="387"/>
      <c r="T4" s="387"/>
      <c r="U4" s="387"/>
      <c r="V4" s="387"/>
      <c r="W4" s="387"/>
      <c r="X4" s="387"/>
      <c r="Y4" s="387"/>
      <c r="Z4" s="387"/>
      <c r="AA4" s="387"/>
    </row>
    <row r="5" spans="1:38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93" t="s">
        <v>4</v>
      </c>
      <c r="K5" s="393"/>
      <c r="L5" s="74"/>
      <c r="M5" s="394" t="s">
        <v>3158</v>
      </c>
      <c r="N5" s="394"/>
      <c r="O5" s="394"/>
      <c r="P5" s="96"/>
      <c r="Q5" s="395" t="s">
        <v>2</v>
      </c>
      <c r="R5" s="396"/>
      <c r="S5" s="396"/>
      <c r="T5" s="396"/>
      <c r="U5" s="396"/>
      <c r="V5" s="396"/>
      <c r="W5" s="396"/>
      <c r="X5" s="396"/>
      <c r="Y5" s="4" t="s">
        <v>1361</v>
      </c>
      <c r="Z5" s="380">
        <v>45961</v>
      </c>
      <c r="AA5" s="381"/>
      <c r="AB5"/>
      <c r="AC5" s="181"/>
      <c r="AD5" s="181"/>
      <c r="AE5" s="181"/>
      <c r="AF5" s="181"/>
    </row>
    <row r="6" spans="1:38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1" t="s">
        <v>9</v>
      </c>
      <c r="J6" s="51" t="s">
        <v>3068</v>
      </c>
      <c r="K6" s="50" t="s">
        <v>11</v>
      </c>
      <c r="L6" s="47"/>
      <c r="M6" s="1" t="s">
        <v>1423</v>
      </c>
      <c r="N6" s="1" t="s">
        <v>1424</v>
      </c>
      <c r="O6" s="1" t="s">
        <v>1425</v>
      </c>
      <c r="P6" s="97"/>
      <c r="Q6" s="5" t="s">
        <v>5</v>
      </c>
      <c r="R6" s="6" t="s">
        <v>1362</v>
      </c>
      <c r="S6" s="6" t="s">
        <v>7</v>
      </c>
      <c r="T6" s="6" t="s">
        <v>1363</v>
      </c>
      <c r="U6" s="6" t="s">
        <v>1364</v>
      </c>
      <c r="V6" s="6" t="s">
        <v>1365</v>
      </c>
      <c r="W6" s="6" t="s">
        <v>1366</v>
      </c>
      <c r="X6" s="214" t="s">
        <v>1367</v>
      </c>
      <c r="Y6" s="214" t="s">
        <v>1368</v>
      </c>
      <c r="Z6" s="214" t="s">
        <v>1369</v>
      </c>
      <c r="AA6" s="7" t="s">
        <v>1370</v>
      </c>
      <c r="AB6" s="36"/>
      <c r="AH6" s="222">
        <f>AJ7</f>
        <v>0.87256299999999998</v>
      </c>
      <c r="AI6" s="104">
        <f>AJ9</f>
        <v>2.1549927832899756E-2</v>
      </c>
      <c r="AJ6" s="197" t="s">
        <v>1513</v>
      </c>
      <c r="AL6" s="68" t="s">
        <v>3110</v>
      </c>
    </row>
    <row r="7" spans="1:38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>
        <v>383773907</v>
      </c>
      <c r="K7" s="53" t="s">
        <v>15</v>
      </c>
      <c r="L7" s="73"/>
      <c r="M7" s="39">
        <v>1</v>
      </c>
      <c r="N7" s="39">
        <v>14809200.000000067</v>
      </c>
      <c r="O7" s="39">
        <v>326596600</v>
      </c>
      <c r="P7" s="98"/>
      <c r="Q7" s="8" t="s">
        <v>12</v>
      </c>
      <c r="R7" s="9" t="s">
        <v>13</v>
      </c>
      <c r="S7" s="10" t="s">
        <v>14</v>
      </c>
      <c r="T7" s="11">
        <v>1</v>
      </c>
      <c r="U7" s="11"/>
      <c r="V7" s="11">
        <f>V8+V377+V407+V447+V451+V472+V492+V495+V496+V498</f>
        <v>383773907</v>
      </c>
      <c r="W7" s="11">
        <f>IF(Y7=0,0,1)</f>
        <v>1</v>
      </c>
      <c r="X7" s="11">
        <f>IF(Z7=0,0,1)</f>
        <v>1</v>
      </c>
      <c r="Y7" s="11">
        <f>Y8+Y377+Y407+Y447+Y451+Y472+Y492+Y495+Y496+Y498</f>
        <v>8270299.9999999823</v>
      </c>
      <c r="Z7" s="11">
        <f>ROUNDDOWN((Z8+Z377+Z407+Z447+Z451+Z472+Z492+Z496+Z498+(Z8+Z377+Z407+Z447+Z451+Z472+Z492)*0.1095000004)/1000,1)*1000</f>
        <v>334866900</v>
      </c>
      <c r="AA7" s="12" t="s">
        <v>15</v>
      </c>
      <c r="AB7" s="232"/>
      <c r="AC7" s="182"/>
      <c r="AD7" s="182"/>
      <c r="AE7" s="182"/>
      <c r="AF7" s="182"/>
      <c r="AG7" s="101"/>
      <c r="AH7" s="187"/>
      <c r="AI7" s="126">
        <f>V7</f>
        <v>383773907</v>
      </c>
      <c r="AJ7" s="201">
        <f>ROUND(Z7/AI7,6)</f>
        <v>0.87256299999999998</v>
      </c>
    </row>
    <row r="8" spans="1:38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>
        <v>291889770.98000002</v>
      </c>
      <c r="K8" s="86" t="s">
        <v>15</v>
      </c>
      <c r="L8" s="73"/>
      <c r="M8" s="42">
        <v>1</v>
      </c>
      <c r="N8" s="42">
        <v>12250192.640000001</v>
      </c>
      <c r="O8" s="42">
        <v>246468446.49999997</v>
      </c>
      <c r="P8" s="98"/>
      <c r="Q8" s="13" t="s">
        <v>1371</v>
      </c>
      <c r="R8" s="14" t="s">
        <v>18</v>
      </c>
      <c r="S8" s="15" t="s">
        <v>14</v>
      </c>
      <c r="T8" s="16">
        <v>1</v>
      </c>
      <c r="U8" s="16"/>
      <c r="V8" s="16">
        <f>V9+V38+V133+V177+V202+V220+V237+V327+V369</f>
        <v>291889770.98000008</v>
      </c>
      <c r="W8" s="16">
        <f t="shared" ref="W8:X9" si="0">IF(Y8=0,0,1)</f>
        <v>1</v>
      </c>
      <c r="X8" s="16">
        <f t="shared" si="0"/>
        <v>1</v>
      </c>
      <c r="Y8" s="16">
        <f>Y9+Y38+Y133+Y177+Y202+Y220+Y237+Y327+Y369</f>
        <v>6688914.5600000005</v>
      </c>
      <c r="Z8" s="16">
        <f>Z9+Z38+Z133+Z177+Z202+Z220+Z237+Z327+Z369</f>
        <v>253157361.06</v>
      </c>
      <c r="AA8" s="17" t="s">
        <v>15</v>
      </c>
      <c r="AB8" s="40" t="s">
        <v>16</v>
      </c>
      <c r="AC8" s="183"/>
      <c r="AD8" s="183"/>
      <c r="AE8" s="183"/>
      <c r="AF8" s="183"/>
      <c r="AG8" s="101"/>
      <c r="AH8" s="188"/>
      <c r="AJ8" s="124" t="s">
        <v>1514</v>
      </c>
    </row>
    <row r="9" spans="1:38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>
        <v>90137193.75</v>
      </c>
      <c r="K9" s="80" t="s">
        <v>15</v>
      </c>
      <c r="L9" s="73"/>
      <c r="M9" s="45">
        <v>1</v>
      </c>
      <c r="N9" s="45">
        <v>2260174.2999999993</v>
      </c>
      <c r="O9" s="45">
        <v>78729414.010000005</v>
      </c>
      <c r="P9" s="98"/>
      <c r="Q9" s="18" t="s">
        <v>1372</v>
      </c>
      <c r="R9" s="19" t="s">
        <v>20</v>
      </c>
      <c r="S9" s="20" t="s">
        <v>14</v>
      </c>
      <c r="T9" s="21">
        <v>1</v>
      </c>
      <c r="U9" s="21"/>
      <c r="V9" s="21">
        <f>SUMIFS(AD:AD,AE:AE,AE9)</f>
        <v>90137193.75000003</v>
      </c>
      <c r="W9" s="21">
        <f t="shared" si="0"/>
        <v>1</v>
      </c>
      <c r="X9" s="21">
        <f t="shared" si="0"/>
        <v>1</v>
      </c>
      <c r="Y9" s="21">
        <f>SUMIFS(Y:Y,AF:AF,AE9)</f>
        <v>729976.26000000082</v>
      </c>
      <c r="Z9" s="21">
        <f>SUMIFS(Z:Z,AF:AF,AE9)</f>
        <v>79459390.270000011</v>
      </c>
      <c r="AA9" s="22" t="s">
        <v>15</v>
      </c>
      <c r="AB9" s="43" t="s">
        <v>16</v>
      </c>
      <c r="AC9" s="184">
        <f>IF(U9=0,T9,U9)</f>
        <v>1</v>
      </c>
      <c r="AD9" s="184"/>
      <c r="AE9" s="181">
        <v>1.1000000000000001</v>
      </c>
      <c r="AF9" s="181"/>
      <c r="AG9" s="101"/>
      <c r="AH9" s="189" t="s">
        <v>3061</v>
      </c>
      <c r="AJ9" s="125">
        <f>Y7/AI7</f>
        <v>2.1549927832899756E-2</v>
      </c>
      <c r="AL9" s="101" t="s">
        <v>3062</v>
      </c>
    </row>
    <row r="10" spans="1:38" s="69" customFormat="1" ht="39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 t="s">
        <v>15</v>
      </c>
      <c r="I10" s="75">
        <v>193.12</v>
      </c>
      <c r="J10" s="75">
        <v>105184.74</v>
      </c>
      <c r="K10" s="91" t="s">
        <v>24</v>
      </c>
      <c r="L10" s="73"/>
      <c r="M10" s="46">
        <v>408.7</v>
      </c>
      <c r="N10" s="46">
        <v>0</v>
      </c>
      <c r="O10" s="46">
        <v>78928.14</v>
      </c>
      <c r="P10" s="98"/>
      <c r="Q10" s="23" t="s">
        <v>1421</v>
      </c>
      <c r="R10" s="24" t="s">
        <v>22</v>
      </c>
      <c r="S10" s="25" t="s">
        <v>23</v>
      </c>
      <c r="T10" s="26">
        <v>544.66</v>
      </c>
      <c r="U10" s="26">
        <v>544.66</v>
      </c>
      <c r="V10" s="26">
        <v>193.12</v>
      </c>
      <c r="W10" s="209">
        <f>AH10-M10</f>
        <v>67.599999999999966</v>
      </c>
      <c r="X10" s="127">
        <f>W10+M10</f>
        <v>476.29999999999995</v>
      </c>
      <c r="Y10" s="127">
        <f t="shared" ref="Y10:Y37" si="1">Z10-O10</f>
        <v>13054.919999999998</v>
      </c>
      <c r="Z10" s="127">
        <f>ROUND(V10*X10,2)</f>
        <v>91983.06</v>
      </c>
      <c r="AA10" s="33" t="s">
        <v>15</v>
      </c>
      <c r="AB10" s="36" t="s">
        <v>16</v>
      </c>
      <c r="AC10" s="181">
        <f>IF(U10="",T10,U10)</f>
        <v>544.66</v>
      </c>
      <c r="AD10" s="181">
        <f t="shared" ref="AD10:AD37" si="2">ROUND(V10*AC10,2)</f>
        <v>105184.74</v>
      </c>
      <c r="AE10" s="181">
        <v>1.1000000000000001</v>
      </c>
      <c r="AF10" s="181">
        <v>1.1000000000000001</v>
      </c>
      <c r="AG10" s="101" t="str">
        <f>IF(X10&gt;AI10,"超估","")</f>
        <v/>
      </c>
      <c r="AH10" s="191">
        <f>408.7+67.6</f>
        <v>476.29999999999995</v>
      </c>
      <c r="AI10" s="69">
        <f>IF(G10=0,IF(F10=0,IF(E10=0,D10,E10),F10),G10)</f>
        <v>544.66</v>
      </c>
    </row>
    <row r="11" spans="1:38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 t="s">
        <v>15</v>
      </c>
      <c r="I11" s="75">
        <v>1046.22</v>
      </c>
      <c r="J11" s="75">
        <v>7417092.9900000002</v>
      </c>
      <c r="K11" s="91" t="s">
        <v>27</v>
      </c>
      <c r="L11" s="73"/>
      <c r="M11" s="46">
        <v>6798.3099999999995</v>
      </c>
      <c r="N11" s="46">
        <v>0</v>
      </c>
      <c r="O11" s="46">
        <v>7112527.8899999997</v>
      </c>
      <c r="P11" s="98"/>
      <c r="Q11" s="23" t="s">
        <v>1426</v>
      </c>
      <c r="R11" s="24" t="s">
        <v>26</v>
      </c>
      <c r="S11" s="25" t="s">
        <v>23</v>
      </c>
      <c r="T11" s="26">
        <v>7089.42</v>
      </c>
      <c r="U11" s="26">
        <v>7089.42</v>
      </c>
      <c r="V11" s="26">
        <v>1046.22</v>
      </c>
      <c r="W11" s="243">
        <f>AH11-M11</f>
        <v>102.5</v>
      </c>
      <c r="X11" s="26">
        <f t="shared" ref="X11:X74" si="3">W11+M11</f>
        <v>6900.8099999999995</v>
      </c>
      <c r="Y11" s="26">
        <f t="shared" si="1"/>
        <v>107237.55000000075</v>
      </c>
      <c r="Z11" s="26">
        <f t="shared" ref="Z11:Z74" si="4">ROUND(V11*X11,2)</f>
        <v>7219765.4400000004</v>
      </c>
      <c r="AA11" s="33" t="s">
        <v>15</v>
      </c>
      <c r="AB11" s="36" t="s">
        <v>16</v>
      </c>
      <c r="AC11" s="181">
        <f t="shared" ref="AC11:AC74" si="5">IF(U11="",T11,U11)</f>
        <v>7089.42</v>
      </c>
      <c r="AD11" s="181">
        <f t="shared" si="2"/>
        <v>7417092.9900000002</v>
      </c>
      <c r="AE11" s="181">
        <v>1.1000000000000001</v>
      </c>
      <c r="AF11" s="181">
        <v>1.1000000000000001</v>
      </c>
      <c r="AG11" s="101" t="str">
        <f t="shared" ref="AG11:AG74" si="6">IF(X11&gt;AI11,"超估","")</f>
        <v/>
      </c>
      <c r="AH11" s="191">
        <f>6531.11+35.5+231.7+102.5</f>
        <v>6900.8099999999995</v>
      </c>
      <c r="AI11" s="69">
        <f t="shared" ref="AI11:AI74" si="7">IF(G11=0,IF(F11=0,IF(E11=0,D11,E11),F11),G11)</f>
        <v>7089.42</v>
      </c>
    </row>
    <row r="12" spans="1:38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 t="s">
        <v>15</v>
      </c>
      <c r="I12" s="75">
        <v>6200</v>
      </c>
      <c r="J12" s="75">
        <v>28619200</v>
      </c>
      <c r="K12" s="91" t="s">
        <v>31</v>
      </c>
      <c r="L12" s="73"/>
      <c r="M12" s="46">
        <v>4610.7</v>
      </c>
      <c r="N12" s="46">
        <v>0</v>
      </c>
      <c r="O12" s="46">
        <v>28586340</v>
      </c>
      <c r="P12" s="98"/>
      <c r="Q12" s="23" t="s">
        <v>1402</v>
      </c>
      <c r="R12" s="24" t="s">
        <v>29</v>
      </c>
      <c r="S12" s="25" t="s">
        <v>30</v>
      </c>
      <c r="T12" s="26">
        <v>4616</v>
      </c>
      <c r="U12" s="26">
        <v>4616</v>
      </c>
      <c r="V12" s="26">
        <v>6200</v>
      </c>
      <c r="W12" s="127">
        <f t="shared" ref="W12:W75" si="8">AH12-M12</f>
        <v>0</v>
      </c>
      <c r="X12" s="127">
        <f t="shared" si="3"/>
        <v>4610.7</v>
      </c>
      <c r="Y12" s="127">
        <f t="shared" si="1"/>
        <v>0</v>
      </c>
      <c r="Z12" s="127">
        <f t="shared" si="4"/>
        <v>28586340</v>
      </c>
      <c r="AA12" s="33" t="s">
        <v>15</v>
      </c>
      <c r="AB12" s="36" t="s">
        <v>16</v>
      </c>
      <c r="AC12" s="181">
        <f t="shared" si="5"/>
        <v>4616</v>
      </c>
      <c r="AD12" s="181">
        <f t="shared" si="2"/>
        <v>28619200</v>
      </c>
      <c r="AE12" s="181">
        <v>1.1000000000000001</v>
      </c>
      <c r="AF12" s="181">
        <v>1.1000000000000001</v>
      </c>
      <c r="AG12" s="101" t="str">
        <f t="shared" si="6"/>
        <v/>
      </c>
      <c r="AH12" s="192">
        <v>4610.7</v>
      </c>
      <c r="AI12" s="69">
        <f t="shared" si="7"/>
        <v>4616</v>
      </c>
    </row>
    <row r="13" spans="1:38" s="69" customFormat="1" ht="58.5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 t="s">
        <v>15</v>
      </c>
      <c r="I13" s="75">
        <v>48.28</v>
      </c>
      <c r="J13" s="75">
        <v>1533324.52</v>
      </c>
      <c r="K13" s="91" t="s">
        <v>35</v>
      </c>
      <c r="L13" s="73"/>
      <c r="M13" s="46">
        <v>29683.999999999996</v>
      </c>
      <c r="N13" s="46">
        <v>15719.969999999972</v>
      </c>
      <c r="O13" s="46">
        <v>1433143.52</v>
      </c>
      <c r="P13" s="98"/>
      <c r="Q13" s="23" t="s">
        <v>1373</v>
      </c>
      <c r="R13" s="24" t="s">
        <v>33</v>
      </c>
      <c r="S13" s="25" t="s">
        <v>34</v>
      </c>
      <c r="T13" s="26">
        <v>29759</v>
      </c>
      <c r="U13" s="26">
        <v>31759</v>
      </c>
      <c r="V13" s="26">
        <v>48.28</v>
      </c>
      <c r="W13" s="128">
        <f>AH13-M13</f>
        <v>0</v>
      </c>
      <c r="X13" s="127">
        <f>W13+M13</f>
        <v>29683.999999999996</v>
      </c>
      <c r="Y13" s="127">
        <f t="shared" si="1"/>
        <v>0</v>
      </c>
      <c r="Z13" s="127">
        <f t="shared" si="4"/>
        <v>1433143.52</v>
      </c>
      <c r="AA13" s="27" t="s">
        <v>15</v>
      </c>
      <c r="AB13" s="262" t="s">
        <v>16</v>
      </c>
      <c r="AC13" s="263">
        <f t="shared" si="5"/>
        <v>31759</v>
      </c>
      <c r="AD13" s="263">
        <f t="shared" si="2"/>
        <v>1533324.52</v>
      </c>
      <c r="AE13" s="263">
        <v>1.1000000000000001</v>
      </c>
      <c r="AF13" s="263">
        <v>1.1000000000000001</v>
      </c>
      <c r="AG13" s="71" t="str">
        <f t="shared" si="6"/>
        <v/>
      </c>
      <c r="AH13" s="194">
        <f>28942.8+415.6+325.6</f>
        <v>29683.999999999996</v>
      </c>
      <c r="AI13" s="69">
        <f t="shared" si="7"/>
        <v>31759</v>
      </c>
    </row>
    <row r="14" spans="1:38" s="69" customFormat="1" ht="39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 t="s">
        <v>15</v>
      </c>
      <c r="I14" s="75">
        <v>599.75</v>
      </c>
      <c r="J14" s="75">
        <v>438681.14</v>
      </c>
      <c r="K14" s="91" t="s">
        <v>38</v>
      </c>
      <c r="L14" s="73"/>
      <c r="M14" s="46">
        <v>731.43999999999994</v>
      </c>
      <c r="N14" s="46">
        <v>0</v>
      </c>
      <c r="O14" s="46">
        <v>438681.14</v>
      </c>
      <c r="P14" s="98"/>
      <c r="Q14" s="23" t="s">
        <v>1393</v>
      </c>
      <c r="R14" s="24" t="s">
        <v>37</v>
      </c>
      <c r="S14" s="25" t="s">
        <v>23</v>
      </c>
      <c r="T14" s="26">
        <v>731.44</v>
      </c>
      <c r="U14" s="26">
        <v>731.44</v>
      </c>
      <c r="V14" s="26">
        <v>599.75</v>
      </c>
      <c r="W14" s="127">
        <f t="shared" si="8"/>
        <v>0</v>
      </c>
      <c r="X14" s="127">
        <f t="shared" si="3"/>
        <v>731.43999999999994</v>
      </c>
      <c r="Y14" s="127">
        <f t="shared" si="1"/>
        <v>0</v>
      </c>
      <c r="Z14" s="127">
        <f t="shared" si="4"/>
        <v>438681.14</v>
      </c>
      <c r="AA14" s="33" t="s">
        <v>15</v>
      </c>
      <c r="AB14" s="262" t="s">
        <v>16</v>
      </c>
      <c r="AC14" s="263">
        <f t="shared" si="5"/>
        <v>731.44</v>
      </c>
      <c r="AD14" s="263">
        <f t="shared" si="2"/>
        <v>438681.14</v>
      </c>
      <c r="AE14" s="263">
        <v>1.1000000000000001</v>
      </c>
      <c r="AF14" s="263">
        <v>1.1000000000000001</v>
      </c>
      <c r="AG14" s="71" t="str">
        <f t="shared" si="6"/>
        <v/>
      </c>
      <c r="AH14" s="194">
        <f>519.43+212.01</f>
        <v>731.43999999999994</v>
      </c>
      <c r="AI14" s="69">
        <f t="shared" si="7"/>
        <v>731.44</v>
      </c>
    </row>
    <row r="15" spans="1:38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 t="s">
        <v>15</v>
      </c>
      <c r="I15" s="75">
        <v>104.64</v>
      </c>
      <c r="J15" s="75">
        <v>786788.16</v>
      </c>
      <c r="K15" s="91" t="s">
        <v>41</v>
      </c>
      <c r="L15" s="73"/>
      <c r="M15" s="46">
        <v>2471.6</v>
      </c>
      <c r="N15" s="46">
        <v>0</v>
      </c>
      <c r="O15" s="46">
        <v>258628.22</v>
      </c>
      <c r="P15" s="98"/>
      <c r="Q15" s="23" t="s">
        <v>1403</v>
      </c>
      <c r="R15" s="24" t="s">
        <v>40</v>
      </c>
      <c r="S15" s="25" t="s">
        <v>23</v>
      </c>
      <c r="T15" s="26">
        <v>7519</v>
      </c>
      <c r="U15" s="26">
        <v>7519</v>
      </c>
      <c r="V15" s="26">
        <v>104.64</v>
      </c>
      <c r="W15" s="243">
        <f t="shared" si="8"/>
        <v>967</v>
      </c>
      <c r="X15" s="127">
        <f t="shared" si="3"/>
        <v>3438.6</v>
      </c>
      <c r="Y15" s="127">
        <f t="shared" si="1"/>
        <v>101186.87999999998</v>
      </c>
      <c r="Z15" s="127">
        <f t="shared" si="4"/>
        <v>359815.1</v>
      </c>
      <c r="AA15" s="33" t="s">
        <v>15</v>
      </c>
      <c r="AB15" s="36" t="s">
        <v>16</v>
      </c>
      <c r="AC15" s="181">
        <f t="shared" si="5"/>
        <v>7519</v>
      </c>
      <c r="AD15" s="181">
        <f t="shared" si="2"/>
        <v>786788.16</v>
      </c>
      <c r="AE15" s="181">
        <v>1.1000000000000001</v>
      </c>
      <c r="AF15" s="181">
        <v>1.1000000000000001</v>
      </c>
      <c r="AG15" s="101" t="str">
        <f t="shared" si="6"/>
        <v/>
      </c>
      <c r="AH15" s="191">
        <f>2219+252.6+967</f>
        <v>3438.6</v>
      </c>
      <c r="AI15" s="69">
        <f t="shared" si="7"/>
        <v>7519</v>
      </c>
    </row>
    <row r="16" spans="1:38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 t="s">
        <v>15</v>
      </c>
      <c r="I16" s="75">
        <v>1027.43</v>
      </c>
      <c r="J16" s="75">
        <v>22850043.199999999</v>
      </c>
      <c r="K16" s="91" t="s">
        <v>44</v>
      </c>
      <c r="L16" s="73"/>
      <c r="M16" s="46">
        <v>20242</v>
      </c>
      <c r="N16" s="46">
        <v>1183599.3599999994</v>
      </c>
      <c r="O16" s="46">
        <v>20797238.059999999</v>
      </c>
      <c r="P16" s="98"/>
      <c r="Q16" s="23" t="s">
        <v>1427</v>
      </c>
      <c r="R16" s="24" t="s">
        <v>43</v>
      </c>
      <c r="S16" s="25" t="s">
        <v>34</v>
      </c>
      <c r="T16" s="26">
        <v>22240</v>
      </c>
      <c r="U16" s="26">
        <v>22240</v>
      </c>
      <c r="V16" s="26">
        <v>1027.43</v>
      </c>
      <c r="W16" s="243">
        <f t="shared" si="8"/>
        <v>0</v>
      </c>
      <c r="X16" s="121">
        <f t="shared" si="3"/>
        <v>20242</v>
      </c>
      <c r="Y16" s="127">
        <f t="shared" si="1"/>
        <v>0</v>
      </c>
      <c r="Z16" s="127">
        <f t="shared" si="4"/>
        <v>20797238.059999999</v>
      </c>
      <c r="AA16" s="33" t="s">
        <v>15</v>
      </c>
      <c r="AB16" s="36" t="s">
        <v>16</v>
      </c>
      <c r="AC16" s="181">
        <f t="shared" si="5"/>
        <v>22240</v>
      </c>
      <c r="AD16" s="181">
        <f t="shared" si="2"/>
        <v>22850043.199999999</v>
      </c>
      <c r="AE16" s="181">
        <v>1.1000000000000001</v>
      </c>
      <c r="AF16" s="181">
        <v>1.1000000000000001</v>
      </c>
      <c r="AG16" s="101" t="str">
        <f t="shared" si="6"/>
        <v/>
      </c>
      <c r="AH16" s="191">
        <f>19090+12*96</f>
        <v>20242</v>
      </c>
      <c r="AI16" s="69">
        <f t="shared" si="7"/>
        <v>22240</v>
      </c>
    </row>
    <row r="17" spans="1:35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 t="s">
        <v>15</v>
      </c>
      <c r="I17" s="75">
        <v>1085.04</v>
      </c>
      <c r="J17" s="75">
        <v>7302774.9199999999</v>
      </c>
      <c r="K17" s="91" t="s">
        <v>47</v>
      </c>
      <c r="L17" s="73"/>
      <c r="M17" s="46">
        <v>4956</v>
      </c>
      <c r="N17" s="46">
        <v>0</v>
      </c>
      <c r="O17" s="46">
        <v>5377458.2400000002</v>
      </c>
      <c r="P17" s="98"/>
      <c r="Q17" s="23" t="s">
        <v>1428</v>
      </c>
      <c r="R17" s="24" t="s">
        <v>46</v>
      </c>
      <c r="S17" s="25" t="s">
        <v>23</v>
      </c>
      <c r="T17" s="26">
        <v>6730.42</v>
      </c>
      <c r="U17" s="26">
        <v>6730.42</v>
      </c>
      <c r="V17" s="26">
        <v>1085.04</v>
      </c>
      <c r="W17" s="127">
        <f t="shared" si="8"/>
        <v>0</v>
      </c>
      <c r="X17" s="121">
        <f t="shared" si="3"/>
        <v>4956</v>
      </c>
      <c r="Y17" s="127">
        <f t="shared" si="1"/>
        <v>0</v>
      </c>
      <c r="Z17" s="127">
        <f t="shared" si="4"/>
        <v>5377458.2400000002</v>
      </c>
      <c r="AA17" s="33" t="s">
        <v>15</v>
      </c>
      <c r="AB17" s="36" t="s">
        <v>16</v>
      </c>
      <c r="AC17" s="181">
        <f t="shared" si="5"/>
        <v>6730.42</v>
      </c>
      <c r="AD17" s="181">
        <f t="shared" si="2"/>
        <v>7302774.9199999999</v>
      </c>
      <c r="AE17" s="181">
        <v>1.1000000000000001</v>
      </c>
      <c r="AF17" s="181">
        <v>1.1000000000000001</v>
      </c>
      <c r="AG17" s="101" t="str">
        <f t="shared" si="6"/>
        <v/>
      </c>
      <c r="AH17" s="190">
        <v>4956</v>
      </c>
      <c r="AI17" s="69">
        <f t="shared" si="7"/>
        <v>6730.42</v>
      </c>
    </row>
    <row r="18" spans="1:35" s="69" customFormat="1" ht="78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 t="s">
        <v>15</v>
      </c>
      <c r="I18" s="75">
        <v>30.45</v>
      </c>
      <c r="J18" s="75">
        <v>113745.98</v>
      </c>
      <c r="K18" s="91" t="s">
        <v>51</v>
      </c>
      <c r="L18" s="73"/>
      <c r="M18" s="46">
        <v>3723.2</v>
      </c>
      <c r="N18" s="46">
        <v>49426.44</v>
      </c>
      <c r="O18" s="46">
        <v>113371.44</v>
      </c>
      <c r="P18" s="98"/>
      <c r="Q18" s="23" t="s">
        <v>1387</v>
      </c>
      <c r="R18" s="24" t="s">
        <v>49</v>
      </c>
      <c r="S18" s="25" t="s">
        <v>50</v>
      </c>
      <c r="T18" s="26">
        <v>3735.5</v>
      </c>
      <c r="U18" s="26">
        <v>3735.5</v>
      </c>
      <c r="V18" s="26">
        <v>30.45</v>
      </c>
      <c r="W18" s="209">
        <f t="shared" si="8"/>
        <v>0</v>
      </c>
      <c r="X18" s="127">
        <f t="shared" si="3"/>
        <v>3723.2</v>
      </c>
      <c r="Y18" s="127">
        <f t="shared" si="1"/>
        <v>0</v>
      </c>
      <c r="Z18" s="127">
        <f t="shared" si="4"/>
        <v>113371.44</v>
      </c>
      <c r="AA18" s="33" t="s">
        <v>15</v>
      </c>
      <c r="AB18" s="36" t="s">
        <v>16</v>
      </c>
      <c r="AC18" s="181">
        <f t="shared" si="5"/>
        <v>3735.5</v>
      </c>
      <c r="AD18" s="181">
        <f t="shared" si="2"/>
        <v>113745.98</v>
      </c>
      <c r="AE18" s="181">
        <v>1.1000000000000001</v>
      </c>
      <c r="AF18" s="181">
        <v>1.1000000000000001</v>
      </c>
      <c r="AG18" s="101" t="str">
        <f t="shared" si="6"/>
        <v/>
      </c>
      <c r="AH18" s="194">
        <f>2100+1623.2</f>
        <v>3723.2</v>
      </c>
      <c r="AI18" s="69">
        <f t="shared" si="7"/>
        <v>3735.5</v>
      </c>
    </row>
    <row r="19" spans="1:35" s="69" customFormat="1" ht="58.5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 t="s">
        <v>15</v>
      </c>
      <c r="I19" s="75">
        <v>28.48</v>
      </c>
      <c r="J19" s="75">
        <v>290638.40000000002</v>
      </c>
      <c r="K19" s="91" t="s">
        <v>54</v>
      </c>
      <c r="L19" s="73"/>
      <c r="M19" s="46">
        <v>7924.7999999999993</v>
      </c>
      <c r="N19" s="46">
        <v>125021.49999999999</v>
      </c>
      <c r="O19" s="46">
        <v>225698.3</v>
      </c>
      <c r="P19" s="255"/>
      <c r="Q19" s="23" t="s">
        <v>1405</v>
      </c>
      <c r="R19" s="24" t="s">
        <v>53</v>
      </c>
      <c r="S19" s="25" t="s">
        <v>50</v>
      </c>
      <c r="T19" s="26">
        <v>10205</v>
      </c>
      <c r="U19" s="26">
        <v>10205</v>
      </c>
      <c r="V19" s="26">
        <v>28.48</v>
      </c>
      <c r="W19" s="209">
        <f t="shared" si="8"/>
        <v>0</v>
      </c>
      <c r="X19" s="127">
        <f t="shared" si="3"/>
        <v>7924.7999999999993</v>
      </c>
      <c r="Y19" s="127">
        <f t="shared" si="1"/>
        <v>0</v>
      </c>
      <c r="Z19" s="127">
        <f t="shared" si="4"/>
        <v>225698.3</v>
      </c>
      <c r="AA19" s="33" t="s">
        <v>15</v>
      </c>
      <c r="AB19" s="36" t="s">
        <v>16</v>
      </c>
      <c r="AC19" s="181">
        <f t="shared" si="5"/>
        <v>10205</v>
      </c>
      <c r="AD19" s="181">
        <f t="shared" si="2"/>
        <v>290638.40000000002</v>
      </c>
      <c r="AE19" s="181">
        <v>1.1000000000000001</v>
      </c>
      <c r="AF19" s="181">
        <v>1.1000000000000001</v>
      </c>
      <c r="AG19" s="101" t="str">
        <f t="shared" si="6"/>
        <v/>
      </c>
      <c r="AH19" s="194">
        <f>300+2363.8+198*2.2*2+128*2.2*2+3826.6</f>
        <v>7924.7999999999993</v>
      </c>
      <c r="AI19" s="69">
        <f t="shared" si="7"/>
        <v>10205</v>
      </c>
    </row>
    <row r="20" spans="1:35" s="69" customFormat="1" ht="58.5" x14ac:dyDescent="0.3">
      <c r="A20" s="130" t="s">
        <v>55</v>
      </c>
      <c r="B20" s="131" t="s">
        <v>56</v>
      </c>
      <c r="C20" s="132" t="s">
        <v>30</v>
      </c>
      <c r="D20" s="133">
        <v>142.6</v>
      </c>
      <c r="E20" s="75"/>
      <c r="F20" s="75"/>
      <c r="G20" s="75"/>
      <c r="H20" s="75" t="s">
        <v>15</v>
      </c>
      <c r="I20" s="75">
        <v>65.400000000000006</v>
      </c>
      <c r="J20" s="75">
        <v>9326.0400000000009</v>
      </c>
      <c r="K20" s="91" t="s">
        <v>57</v>
      </c>
      <c r="L20" s="73"/>
      <c r="M20" s="46">
        <v>142.19999999999999</v>
      </c>
      <c r="N20" s="46">
        <v>0</v>
      </c>
      <c r="O20" s="46">
        <v>9299.8799999999992</v>
      </c>
      <c r="P20" s="98"/>
      <c r="Q20" s="23" t="s">
        <v>1406</v>
      </c>
      <c r="R20" s="24" t="s">
        <v>56</v>
      </c>
      <c r="S20" s="25" t="s">
        <v>30</v>
      </c>
      <c r="T20" s="26">
        <v>142.6</v>
      </c>
      <c r="U20" s="26">
        <v>142.6</v>
      </c>
      <c r="V20" s="26">
        <v>65.400000000000006</v>
      </c>
      <c r="W20" s="209">
        <f t="shared" si="8"/>
        <v>0</v>
      </c>
      <c r="X20" s="127">
        <f t="shared" si="3"/>
        <v>142.19999999999999</v>
      </c>
      <c r="Y20" s="127">
        <f t="shared" si="1"/>
        <v>0</v>
      </c>
      <c r="Z20" s="127">
        <f t="shared" si="4"/>
        <v>9299.8799999999992</v>
      </c>
      <c r="AA20" s="33" t="s">
        <v>15</v>
      </c>
      <c r="AB20" s="36" t="s">
        <v>16</v>
      </c>
      <c r="AC20" s="181">
        <f t="shared" si="5"/>
        <v>142.6</v>
      </c>
      <c r="AD20" s="181">
        <f t="shared" si="2"/>
        <v>9326.0400000000009</v>
      </c>
      <c r="AE20" s="181">
        <v>1.1000000000000001</v>
      </c>
      <c r="AF20" s="181">
        <v>1.1000000000000001</v>
      </c>
      <c r="AG20" s="101" t="str">
        <f t="shared" si="6"/>
        <v/>
      </c>
      <c r="AH20" s="192">
        <f>73+69.2</f>
        <v>142.19999999999999</v>
      </c>
      <c r="AI20" s="69">
        <f t="shared" si="7"/>
        <v>142.6</v>
      </c>
    </row>
    <row r="21" spans="1:35" s="69" customFormat="1" ht="39" x14ac:dyDescent="0.3">
      <c r="A21" s="130" t="s">
        <v>58</v>
      </c>
      <c r="B21" s="131" t="s">
        <v>59</v>
      </c>
      <c r="C21" s="132" t="s">
        <v>50</v>
      </c>
      <c r="D21" s="133">
        <v>8459.2999999999993</v>
      </c>
      <c r="E21" s="75"/>
      <c r="F21" s="75"/>
      <c r="G21" s="75"/>
      <c r="H21" s="75" t="s">
        <v>15</v>
      </c>
      <c r="I21" s="75">
        <v>20.190000000000001</v>
      </c>
      <c r="J21" s="75">
        <v>170793.27</v>
      </c>
      <c r="K21" s="91" t="s">
        <v>60</v>
      </c>
      <c r="L21" s="73"/>
      <c r="M21" s="46">
        <v>7834</v>
      </c>
      <c r="N21" s="46">
        <v>0</v>
      </c>
      <c r="O21" s="46">
        <v>158168.46</v>
      </c>
      <c r="P21" s="98"/>
      <c r="Q21" s="23" t="s">
        <v>1414</v>
      </c>
      <c r="R21" s="24" t="s">
        <v>59</v>
      </c>
      <c r="S21" s="25" t="s">
        <v>50</v>
      </c>
      <c r="T21" s="26">
        <v>8459.2999999999993</v>
      </c>
      <c r="U21" s="26">
        <v>8459.2999999999993</v>
      </c>
      <c r="V21" s="26">
        <v>20.190000000000001</v>
      </c>
      <c r="W21" s="243">
        <f t="shared" si="8"/>
        <v>625.29999999999927</v>
      </c>
      <c r="X21" s="127">
        <f t="shared" si="3"/>
        <v>8459.2999999999993</v>
      </c>
      <c r="Y21" s="127">
        <f t="shared" si="1"/>
        <v>12624.809999999998</v>
      </c>
      <c r="Z21" s="127">
        <f t="shared" si="4"/>
        <v>170793.27</v>
      </c>
      <c r="AA21" s="33" t="s">
        <v>15</v>
      </c>
      <c r="AB21" s="36" t="s">
        <v>16</v>
      </c>
      <c r="AC21" s="181">
        <f t="shared" si="5"/>
        <v>8459.2999999999993</v>
      </c>
      <c r="AD21" s="181">
        <f t="shared" si="2"/>
        <v>170793.27</v>
      </c>
      <c r="AE21" s="181">
        <v>1.1000000000000001</v>
      </c>
      <c r="AF21" s="181">
        <v>1.1000000000000001</v>
      </c>
      <c r="AG21" s="101" t="str">
        <f t="shared" si="6"/>
        <v/>
      </c>
      <c r="AH21" s="191">
        <f>7834+625.3</f>
        <v>8459.2999999999993</v>
      </c>
      <c r="AI21" s="69">
        <f t="shared" si="7"/>
        <v>8459.2999999999993</v>
      </c>
    </row>
    <row r="22" spans="1:35" s="69" customFormat="1" ht="39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 t="s">
        <v>15</v>
      </c>
      <c r="I22" s="75">
        <v>2492.81</v>
      </c>
      <c r="J22" s="75">
        <v>3163126.61</v>
      </c>
      <c r="K22" s="91" t="s">
        <v>63</v>
      </c>
      <c r="L22" s="73"/>
      <c r="M22" s="46">
        <v>432</v>
      </c>
      <c r="N22" s="46">
        <v>157047.02999999991</v>
      </c>
      <c r="O22" s="46">
        <v>1076893.92</v>
      </c>
      <c r="P22" s="98"/>
      <c r="Q22" s="23" t="s">
        <v>1429</v>
      </c>
      <c r="R22" s="24" t="s">
        <v>62</v>
      </c>
      <c r="S22" s="25" t="s">
        <v>23</v>
      </c>
      <c r="T22" s="26">
        <v>1268.9000000000001</v>
      </c>
      <c r="U22" s="26">
        <v>1268.9000000000001</v>
      </c>
      <c r="V22" s="26">
        <v>2492.81</v>
      </c>
      <c r="W22" s="243">
        <f t="shared" si="8"/>
        <v>60</v>
      </c>
      <c r="X22" s="121">
        <f t="shared" si="3"/>
        <v>492</v>
      </c>
      <c r="Y22" s="26">
        <f t="shared" si="1"/>
        <v>149568.60000000009</v>
      </c>
      <c r="Z22" s="26">
        <f t="shared" si="4"/>
        <v>1226462.52</v>
      </c>
      <c r="AA22" s="33" t="s">
        <v>15</v>
      </c>
      <c r="AB22" s="36" t="s">
        <v>16</v>
      </c>
      <c r="AC22" s="181">
        <f t="shared" si="5"/>
        <v>1268.9000000000001</v>
      </c>
      <c r="AD22" s="181">
        <f t="shared" si="2"/>
        <v>3163126.61</v>
      </c>
      <c r="AE22" s="181">
        <v>1.1000000000000001</v>
      </c>
      <c r="AF22" s="181">
        <v>1.1000000000000001</v>
      </c>
      <c r="AG22" s="101" t="str">
        <f t="shared" si="6"/>
        <v/>
      </c>
      <c r="AH22" s="191">
        <f>369+63+60</f>
        <v>492</v>
      </c>
      <c r="AI22" s="69">
        <f t="shared" si="7"/>
        <v>1268.9000000000001</v>
      </c>
    </row>
    <row r="23" spans="1:35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 t="s">
        <v>15</v>
      </c>
      <c r="I23" s="75">
        <v>521.17999999999995</v>
      </c>
      <c r="J23" s="75">
        <v>343457.62</v>
      </c>
      <c r="K23" s="91" t="s">
        <v>67</v>
      </c>
      <c r="L23" s="73"/>
      <c r="M23" s="46">
        <v>659</v>
      </c>
      <c r="N23" s="46">
        <v>0</v>
      </c>
      <c r="O23" s="46">
        <v>343457.62</v>
      </c>
      <c r="P23" s="98"/>
      <c r="Q23" s="23" t="s">
        <v>1430</v>
      </c>
      <c r="R23" s="24" t="s">
        <v>65</v>
      </c>
      <c r="S23" s="25" t="s">
        <v>66</v>
      </c>
      <c r="T23" s="26">
        <v>659</v>
      </c>
      <c r="U23" s="26">
        <v>659</v>
      </c>
      <c r="V23" s="26">
        <v>521.17999999999995</v>
      </c>
      <c r="W23" s="127">
        <f t="shared" si="8"/>
        <v>0</v>
      </c>
      <c r="X23" s="127">
        <f t="shared" si="3"/>
        <v>659</v>
      </c>
      <c r="Y23" s="127">
        <f t="shared" si="1"/>
        <v>0</v>
      </c>
      <c r="Z23" s="127">
        <f t="shared" si="4"/>
        <v>343457.62</v>
      </c>
      <c r="AA23" s="33" t="s">
        <v>15</v>
      </c>
      <c r="AB23" s="36" t="s">
        <v>16</v>
      </c>
      <c r="AC23" s="181">
        <f t="shared" si="5"/>
        <v>659</v>
      </c>
      <c r="AD23" s="181">
        <f t="shared" si="2"/>
        <v>343457.62</v>
      </c>
      <c r="AE23" s="181">
        <v>1.1000000000000001</v>
      </c>
      <c r="AF23" s="181">
        <v>1.1000000000000001</v>
      </c>
      <c r="AG23" s="101" t="str">
        <f t="shared" si="6"/>
        <v/>
      </c>
      <c r="AH23" s="192">
        <v>659</v>
      </c>
      <c r="AI23" s="69">
        <f t="shared" si="7"/>
        <v>659</v>
      </c>
    </row>
    <row r="24" spans="1:35" s="69" customFormat="1" ht="39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 t="s">
        <v>15</v>
      </c>
      <c r="I24" s="75">
        <v>289.69</v>
      </c>
      <c r="J24" s="75">
        <v>73378.48</v>
      </c>
      <c r="K24" s="91" t="s">
        <v>70</v>
      </c>
      <c r="L24" s="73"/>
      <c r="M24" s="46">
        <v>250</v>
      </c>
      <c r="N24" s="46">
        <v>0</v>
      </c>
      <c r="O24" s="46">
        <v>72422.5</v>
      </c>
      <c r="P24" s="98"/>
      <c r="Q24" s="23" t="s">
        <v>1431</v>
      </c>
      <c r="R24" s="24" t="s">
        <v>69</v>
      </c>
      <c r="S24" s="25" t="s">
        <v>30</v>
      </c>
      <c r="T24" s="26">
        <v>253.3</v>
      </c>
      <c r="U24" s="26">
        <v>253.3</v>
      </c>
      <c r="V24" s="26">
        <v>289.69</v>
      </c>
      <c r="W24" s="127">
        <f t="shared" si="8"/>
        <v>0</v>
      </c>
      <c r="X24" s="127">
        <f t="shared" si="3"/>
        <v>250</v>
      </c>
      <c r="Y24" s="127">
        <f t="shared" si="1"/>
        <v>0</v>
      </c>
      <c r="Z24" s="127">
        <f t="shared" si="4"/>
        <v>72422.5</v>
      </c>
      <c r="AA24" s="33" t="s">
        <v>15</v>
      </c>
      <c r="AB24" s="36" t="s">
        <v>16</v>
      </c>
      <c r="AC24" s="181">
        <f t="shared" si="5"/>
        <v>253.3</v>
      </c>
      <c r="AD24" s="181">
        <f t="shared" si="2"/>
        <v>73378.48</v>
      </c>
      <c r="AE24" s="181">
        <v>1.1000000000000001</v>
      </c>
      <c r="AF24" s="181">
        <v>1.1000000000000001</v>
      </c>
      <c r="AG24" s="101" t="str">
        <f t="shared" si="6"/>
        <v/>
      </c>
      <c r="AH24" s="190">
        <v>250</v>
      </c>
      <c r="AI24" s="69">
        <f t="shared" si="7"/>
        <v>253.3</v>
      </c>
    </row>
    <row r="25" spans="1:35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 t="s">
        <v>15</v>
      </c>
      <c r="I25" s="75">
        <v>3311.45</v>
      </c>
      <c r="J25" s="75">
        <v>264916</v>
      </c>
      <c r="K25" s="91" t="s">
        <v>74</v>
      </c>
      <c r="L25" s="73"/>
      <c r="M25" s="46">
        <v>0</v>
      </c>
      <c r="N25" s="46">
        <v>0</v>
      </c>
      <c r="O25" s="46">
        <v>0</v>
      </c>
      <c r="P25" s="98"/>
      <c r="Q25" s="23" t="s">
        <v>1395</v>
      </c>
      <c r="R25" s="24" t="s">
        <v>72</v>
      </c>
      <c r="S25" s="25" t="s">
        <v>73</v>
      </c>
      <c r="T25" s="26">
        <v>80</v>
      </c>
      <c r="U25" s="26">
        <v>80</v>
      </c>
      <c r="V25" s="26">
        <v>3311.45</v>
      </c>
      <c r="W25" s="199">
        <f t="shared" si="8"/>
        <v>30</v>
      </c>
      <c r="X25" s="26">
        <f t="shared" si="3"/>
        <v>30</v>
      </c>
      <c r="Y25" s="26">
        <f t="shared" si="1"/>
        <v>99343.5</v>
      </c>
      <c r="Z25" s="26">
        <f t="shared" si="4"/>
        <v>99343.5</v>
      </c>
      <c r="AA25" s="33" t="s">
        <v>15</v>
      </c>
      <c r="AB25" s="36" t="s">
        <v>16</v>
      </c>
      <c r="AC25" s="181">
        <f t="shared" si="5"/>
        <v>80</v>
      </c>
      <c r="AD25" s="181">
        <f t="shared" si="2"/>
        <v>264916</v>
      </c>
      <c r="AE25" s="181">
        <v>1.1000000000000001</v>
      </c>
      <c r="AF25" s="181">
        <v>1.1000000000000001</v>
      </c>
      <c r="AG25" s="101" t="str">
        <f t="shared" si="6"/>
        <v/>
      </c>
      <c r="AH25" s="193">
        <f>30</f>
        <v>30</v>
      </c>
      <c r="AI25" s="69">
        <f t="shared" si="7"/>
        <v>80</v>
      </c>
    </row>
    <row r="26" spans="1:35" s="69" customFormat="1" ht="33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 t="s">
        <v>15</v>
      </c>
      <c r="I26" s="75">
        <v>3082.28</v>
      </c>
      <c r="J26" s="75">
        <v>3939153.84</v>
      </c>
      <c r="K26" s="91" t="s">
        <v>78</v>
      </c>
      <c r="L26" s="73"/>
      <c r="M26" s="46">
        <v>1153</v>
      </c>
      <c r="N26" s="46">
        <v>0</v>
      </c>
      <c r="O26" s="46">
        <v>3553868.84</v>
      </c>
      <c r="P26" s="98"/>
      <c r="Q26" s="23" t="s">
        <v>1432</v>
      </c>
      <c r="R26" s="24" t="s">
        <v>76</v>
      </c>
      <c r="S26" s="25" t="s">
        <v>77</v>
      </c>
      <c r="T26" s="26">
        <v>1278</v>
      </c>
      <c r="U26" s="26">
        <v>1278</v>
      </c>
      <c r="V26" s="26">
        <v>3082.28</v>
      </c>
      <c r="W26" s="128">
        <f t="shared" si="8"/>
        <v>0</v>
      </c>
      <c r="X26" s="121">
        <f t="shared" si="3"/>
        <v>1153</v>
      </c>
      <c r="Y26" s="26">
        <f t="shared" si="1"/>
        <v>0</v>
      </c>
      <c r="Z26" s="26">
        <f t="shared" si="4"/>
        <v>3553868.84</v>
      </c>
      <c r="AA26" s="33" t="s">
        <v>15</v>
      </c>
      <c r="AB26" s="36" t="s">
        <v>16</v>
      </c>
      <c r="AC26" s="181">
        <f t="shared" si="5"/>
        <v>1278</v>
      </c>
      <c r="AD26" s="181">
        <f t="shared" si="2"/>
        <v>3939153.84</v>
      </c>
      <c r="AE26" s="181">
        <v>1.1000000000000001</v>
      </c>
      <c r="AF26" s="181">
        <v>1.1000000000000001</v>
      </c>
      <c r="AG26" s="101" t="str">
        <f t="shared" si="6"/>
        <v/>
      </c>
      <c r="AH26" s="192">
        <v>1153</v>
      </c>
      <c r="AI26" s="69">
        <f t="shared" si="7"/>
        <v>1278</v>
      </c>
    </row>
    <row r="27" spans="1:35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 t="s">
        <v>15</v>
      </c>
      <c r="I27" s="75">
        <v>1200</v>
      </c>
      <c r="J27" s="75">
        <v>36000</v>
      </c>
      <c r="K27" s="91" t="s">
        <v>82</v>
      </c>
      <c r="L27" s="73"/>
      <c r="M27" s="46">
        <v>0</v>
      </c>
      <c r="N27" s="46">
        <v>0</v>
      </c>
      <c r="O27" s="46">
        <v>0</v>
      </c>
      <c r="P27" s="98"/>
      <c r="Q27" s="23" t="s">
        <v>1433</v>
      </c>
      <c r="R27" s="24" t="s">
        <v>80</v>
      </c>
      <c r="S27" s="25" t="s">
        <v>81</v>
      </c>
      <c r="T27" s="26">
        <v>30</v>
      </c>
      <c r="U27" s="26">
        <v>30</v>
      </c>
      <c r="V27" s="26">
        <v>1200</v>
      </c>
      <c r="W27" s="26">
        <f t="shared" si="8"/>
        <v>0</v>
      </c>
      <c r="X27" s="26">
        <f t="shared" si="3"/>
        <v>0</v>
      </c>
      <c r="Y27" s="26">
        <f t="shared" si="1"/>
        <v>0</v>
      </c>
      <c r="Z27" s="26">
        <f t="shared" si="4"/>
        <v>0</v>
      </c>
      <c r="AA27" s="33" t="s">
        <v>15</v>
      </c>
      <c r="AB27" s="36" t="s">
        <v>16</v>
      </c>
      <c r="AC27" s="181">
        <f t="shared" si="5"/>
        <v>30</v>
      </c>
      <c r="AD27" s="181">
        <f t="shared" si="2"/>
        <v>36000</v>
      </c>
      <c r="AE27" s="181">
        <v>1.1000000000000001</v>
      </c>
      <c r="AF27" s="181">
        <v>1.1000000000000001</v>
      </c>
      <c r="AG27" s="101" t="str">
        <f t="shared" si="6"/>
        <v/>
      </c>
      <c r="AH27" s="192">
        <v>0</v>
      </c>
      <c r="AI27" s="69">
        <f t="shared" si="7"/>
        <v>30</v>
      </c>
    </row>
    <row r="28" spans="1:35" s="69" customFormat="1" ht="33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 t="s">
        <v>15</v>
      </c>
      <c r="I28" s="75">
        <v>3000</v>
      </c>
      <c r="J28" s="75">
        <v>36000</v>
      </c>
      <c r="K28" s="91" t="s">
        <v>85</v>
      </c>
      <c r="L28" s="73"/>
      <c r="M28" s="46">
        <v>12</v>
      </c>
      <c r="N28" s="46">
        <v>0</v>
      </c>
      <c r="O28" s="46">
        <v>36000</v>
      </c>
      <c r="P28" s="98"/>
      <c r="Q28" s="23" t="s">
        <v>1382</v>
      </c>
      <c r="R28" s="24" t="s">
        <v>84</v>
      </c>
      <c r="S28" s="25" t="s">
        <v>81</v>
      </c>
      <c r="T28" s="26">
        <v>12</v>
      </c>
      <c r="U28" s="26">
        <v>12</v>
      </c>
      <c r="V28" s="26">
        <v>3000</v>
      </c>
      <c r="W28" s="127">
        <f t="shared" si="8"/>
        <v>0</v>
      </c>
      <c r="X28" s="127">
        <f t="shared" si="3"/>
        <v>12</v>
      </c>
      <c r="Y28" s="127">
        <f t="shared" si="1"/>
        <v>0</v>
      </c>
      <c r="Z28" s="127">
        <f t="shared" si="4"/>
        <v>36000</v>
      </c>
      <c r="AA28" s="33" t="s">
        <v>15</v>
      </c>
      <c r="AB28" s="36" t="s">
        <v>16</v>
      </c>
      <c r="AC28" s="181">
        <f t="shared" si="5"/>
        <v>12</v>
      </c>
      <c r="AD28" s="181">
        <f t="shared" si="2"/>
        <v>36000</v>
      </c>
      <c r="AE28" s="181">
        <v>1.1000000000000001</v>
      </c>
      <c r="AF28" s="181">
        <v>1.1000000000000001</v>
      </c>
      <c r="AG28" s="101" t="str">
        <f t="shared" si="6"/>
        <v/>
      </c>
      <c r="AH28" s="192">
        <v>12</v>
      </c>
      <c r="AI28" s="69">
        <f t="shared" si="7"/>
        <v>12</v>
      </c>
    </row>
    <row r="29" spans="1:35" s="69" customFormat="1" ht="33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 t="s">
        <v>15</v>
      </c>
      <c r="I29" s="75">
        <v>3000</v>
      </c>
      <c r="J29" s="75">
        <v>60000</v>
      </c>
      <c r="K29" s="91" t="s">
        <v>88</v>
      </c>
      <c r="L29" s="73"/>
      <c r="M29" s="46">
        <v>20</v>
      </c>
      <c r="N29" s="46">
        <v>0</v>
      </c>
      <c r="O29" s="46">
        <v>60000</v>
      </c>
      <c r="P29" s="98"/>
      <c r="Q29" s="23" t="s">
        <v>1434</v>
      </c>
      <c r="R29" s="24" t="s">
        <v>87</v>
      </c>
      <c r="S29" s="25" t="s">
        <v>81</v>
      </c>
      <c r="T29" s="26">
        <v>20</v>
      </c>
      <c r="U29" s="26">
        <v>20</v>
      </c>
      <c r="V29" s="26">
        <v>3000</v>
      </c>
      <c r="W29" s="127">
        <f t="shared" si="8"/>
        <v>0</v>
      </c>
      <c r="X29" s="127">
        <f t="shared" si="3"/>
        <v>20</v>
      </c>
      <c r="Y29" s="127">
        <f t="shared" si="1"/>
        <v>0</v>
      </c>
      <c r="Z29" s="127">
        <f t="shared" si="4"/>
        <v>60000</v>
      </c>
      <c r="AA29" s="33" t="s">
        <v>15</v>
      </c>
      <c r="AB29" s="36" t="s">
        <v>16</v>
      </c>
      <c r="AC29" s="181">
        <f t="shared" si="5"/>
        <v>20</v>
      </c>
      <c r="AD29" s="181">
        <f t="shared" si="2"/>
        <v>60000</v>
      </c>
      <c r="AE29" s="181">
        <v>1.1000000000000001</v>
      </c>
      <c r="AF29" s="181">
        <v>1.1000000000000001</v>
      </c>
      <c r="AG29" s="101" t="str">
        <f t="shared" si="6"/>
        <v/>
      </c>
      <c r="AH29" s="192">
        <v>20</v>
      </c>
      <c r="AI29" s="69">
        <f t="shared" si="7"/>
        <v>20</v>
      </c>
    </row>
    <row r="30" spans="1:35" s="69" customFormat="1" ht="33" x14ac:dyDescent="0.3">
      <c r="A30" s="130" t="s">
        <v>89</v>
      </c>
      <c r="B30" s="131" t="s">
        <v>90</v>
      </c>
      <c r="C30" s="132" t="s">
        <v>81</v>
      </c>
      <c r="D30" s="133">
        <v>19</v>
      </c>
      <c r="E30" s="75"/>
      <c r="F30" s="75"/>
      <c r="G30" s="75"/>
      <c r="H30" s="75" t="s">
        <v>15</v>
      </c>
      <c r="I30" s="75">
        <v>3000</v>
      </c>
      <c r="J30" s="75">
        <v>57000</v>
      </c>
      <c r="K30" s="91" t="s">
        <v>91</v>
      </c>
      <c r="L30" s="73"/>
      <c r="M30" s="46">
        <v>16</v>
      </c>
      <c r="N30" s="46">
        <v>0</v>
      </c>
      <c r="O30" s="46">
        <v>48000</v>
      </c>
      <c r="P30" s="98"/>
      <c r="Q30" s="23" t="s">
        <v>1388</v>
      </c>
      <c r="R30" s="24" t="s">
        <v>90</v>
      </c>
      <c r="S30" s="25" t="s">
        <v>81</v>
      </c>
      <c r="T30" s="26">
        <v>19</v>
      </c>
      <c r="U30" s="26">
        <v>19</v>
      </c>
      <c r="V30" s="26">
        <v>3000</v>
      </c>
      <c r="W30" s="127">
        <f t="shared" si="8"/>
        <v>0</v>
      </c>
      <c r="X30" s="127">
        <f t="shared" si="3"/>
        <v>16</v>
      </c>
      <c r="Y30" s="127">
        <f t="shared" si="1"/>
        <v>0</v>
      </c>
      <c r="Z30" s="127">
        <f t="shared" si="4"/>
        <v>48000</v>
      </c>
      <c r="AA30" s="33" t="s">
        <v>15</v>
      </c>
      <c r="AB30" s="36" t="s">
        <v>16</v>
      </c>
      <c r="AC30" s="181">
        <f t="shared" si="5"/>
        <v>19</v>
      </c>
      <c r="AD30" s="181">
        <f t="shared" si="2"/>
        <v>57000</v>
      </c>
      <c r="AE30" s="181">
        <v>1.1000000000000001</v>
      </c>
      <c r="AF30" s="181">
        <v>1.1000000000000001</v>
      </c>
      <c r="AG30" s="101" t="str">
        <f t="shared" si="6"/>
        <v/>
      </c>
      <c r="AH30" s="194">
        <v>16</v>
      </c>
      <c r="AI30" s="69">
        <f t="shared" si="7"/>
        <v>19</v>
      </c>
    </row>
    <row r="31" spans="1:35" s="69" customFormat="1" ht="39" x14ac:dyDescent="0.3">
      <c r="A31" s="130" t="s">
        <v>92</v>
      </c>
      <c r="B31" s="131" t="s">
        <v>93</v>
      </c>
      <c r="C31" s="132" t="s">
        <v>14</v>
      </c>
      <c r="D31" s="133">
        <v>1</v>
      </c>
      <c r="E31" s="75"/>
      <c r="F31" s="75"/>
      <c r="G31" s="75"/>
      <c r="H31" s="75" t="s">
        <v>15</v>
      </c>
      <c r="I31" s="75">
        <v>400000</v>
      </c>
      <c r="J31" s="75">
        <v>400000</v>
      </c>
      <c r="K31" s="91" t="s">
        <v>94</v>
      </c>
      <c r="L31" s="73"/>
      <c r="M31" s="46">
        <v>1</v>
      </c>
      <c r="N31" s="46">
        <v>0</v>
      </c>
      <c r="O31" s="46">
        <v>400000</v>
      </c>
      <c r="P31" s="98"/>
      <c r="Q31" s="23" t="s">
        <v>1389</v>
      </c>
      <c r="R31" s="24" t="s">
        <v>93</v>
      </c>
      <c r="S31" s="25" t="s">
        <v>14</v>
      </c>
      <c r="T31" s="26">
        <v>1</v>
      </c>
      <c r="U31" s="26">
        <v>1</v>
      </c>
      <c r="V31" s="26">
        <v>400000</v>
      </c>
      <c r="W31" s="127">
        <f t="shared" si="8"/>
        <v>0</v>
      </c>
      <c r="X31" s="127">
        <f t="shared" si="3"/>
        <v>1</v>
      </c>
      <c r="Y31" s="127">
        <f t="shared" si="1"/>
        <v>0</v>
      </c>
      <c r="Z31" s="127">
        <f t="shared" si="4"/>
        <v>400000</v>
      </c>
      <c r="AA31" s="33" t="s">
        <v>15</v>
      </c>
      <c r="AB31" s="36" t="s">
        <v>16</v>
      </c>
      <c r="AC31" s="181">
        <f t="shared" si="5"/>
        <v>1</v>
      </c>
      <c r="AD31" s="181">
        <f t="shared" si="2"/>
        <v>400000</v>
      </c>
      <c r="AE31" s="181">
        <v>1.1000000000000001</v>
      </c>
      <c r="AF31" s="181">
        <v>1.1000000000000001</v>
      </c>
      <c r="AG31" s="101" t="str">
        <f t="shared" si="6"/>
        <v/>
      </c>
      <c r="AH31" s="192">
        <f>0.5+0.5</f>
        <v>1</v>
      </c>
      <c r="AI31" s="69">
        <f t="shared" si="7"/>
        <v>1</v>
      </c>
    </row>
    <row r="32" spans="1:35" s="69" customFormat="1" ht="58.5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6" t="s">
        <v>15</v>
      </c>
      <c r="I32" s="75">
        <v>280</v>
      </c>
      <c r="J32" s="75">
        <v>8624000</v>
      </c>
      <c r="K32" s="91" t="s">
        <v>98</v>
      </c>
      <c r="L32" s="73"/>
      <c r="M32" s="46">
        <v>19024</v>
      </c>
      <c r="N32" s="46">
        <v>549360</v>
      </c>
      <c r="O32" s="46">
        <v>5326720</v>
      </c>
      <c r="P32" s="98"/>
      <c r="Q32" s="23" t="s">
        <v>1390</v>
      </c>
      <c r="R32" s="24" t="s">
        <v>96</v>
      </c>
      <c r="S32" s="25" t="s">
        <v>97</v>
      </c>
      <c r="T32" s="26">
        <v>30800</v>
      </c>
      <c r="U32" s="26">
        <v>30800</v>
      </c>
      <c r="V32" s="26">
        <v>280</v>
      </c>
      <c r="W32" s="243">
        <f t="shared" si="8"/>
        <v>882</v>
      </c>
      <c r="X32" s="26">
        <f t="shared" si="3"/>
        <v>19906</v>
      </c>
      <c r="Y32" s="26">
        <f t="shared" si="1"/>
        <v>246960</v>
      </c>
      <c r="Z32" s="26">
        <f t="shared" si="4"/>
        <v>5573680</v>
      </c>
      <c r="AA32" s="33" t="s">
        <v>15</v>
      </c>
      <c r="AB32" s="36" t="s">
        <v>16</v>
      </c>
      <c r="AC32" s="181">
        <f t="shared" si="5"/>
        <v>30800</v>
      </c>
      <c r="AD32" s="181">
        <f t="shared" si="2"/>
        <v>8624000</v>
      </c>
      <c r="AE32" s="181">
        <v>1.1000000000000001</v>
      </c>
      <c r="AF32" s="181">
        <v>1.1000000000000001</v>
      </c>
      <c r="AG32" s="101" t="str">
        <f t="shared" si="6"/>
        <v/>
      </c>
      <c r="AH32" s="191">
        <f>13162+1120+1160+1620+1962+882</f>
        <v>19906</v>
      </c>
      <c r="AI32" s="69">
        <f t="shared" si="7"/>
        <v>30800</v>
      </c>
    </row>
    <row r="33" spans="1:35" s="69" customFormat="1" ht="39" x14ac:dyDescent="0.3">
      <c r="A33" s="134" t="s">
        <v>1302</v>
      </c>
      <c r="B33" s="135" t="s">
        <v>1303</v>
      </c>
      <c r="C33" s="204" t="s">
        <v>50</v>
      </c>
      <c r="D33" s="216"/>
      <c r="E33" s="59">
        <v>2405</v>
      </c>
      <c r="F33" s="59"/>
      <c r="G33" s="59"/>
      <c r="H33" s="59" t="s">
        <v>15</v>
      </c>
      <c r="I33" s="58">
        <v>70.23</v>
      </c>
      <c r="J33" s="59">
        <v>168903.15</v>
      </c>
      <c r="K33" s="92"/>
      <c r="L33" s="73"/>
      <c r="M33" s="46">
        <v>2405</v>
      </c>
      <c r="N33" s="46">
        <v>0</v>
      </c>
      <c r="O33" s="46">
        <v>168903.15</v>
      </c>
      <c r="P33" s="98"/>
      <c r="Q33" s="23" t="s">
        <v>1391</v>
      </c>
      <c r="R33" s="24" t="s">
        <v>1435</v>
      </c>
      <c r="S33" s="25" t="s">
        <v>50</v>
      </c>
      <c r="T33" s="26">
        <v>0</v>
      </c>
      <c r="U33" s="26">
        <v>2405</v>
      </c>
      <c r="V33" s="26">
        <v>70.23</v>
      </c>
      <c r="W33" s="127">
        <f t="shared" si="8"/>
        <v>0</v>
      </c>
      <c r="X33" s="127">
        <f t="shared" si="3"/>
        <v>2405</v>
      </c>
      <c r="Y33" s="127">
        <f t="shared" si="1"/>
        <v>0</v>
      </c>
      <c r="Z33" s="127">
        <f t="shared" si="4"/>
        <v>168903.15</v>
      </c>
      <c r="AA33" s="27" t="s">
        <v>15</v>
      </c>
      <c r="AB33" s="36" t="s">
        <v>16</v>
      </c>
      <c r="AC33" s="181">
        <f t="shared" si="5"/>
        <v>2405</v>
      </c>
      <c r="AD33" s="181">
        <f t="shared" si="2"/>
        <v>168903.15</v>
      </c>
      <c r="AE33" s="181">
        <v>1.1000000000000001</v>
      </c>
      <c r="AF33" s="181">
        <v>1.1000000000000001</v>
      </c>
      <c r="AG33" s="101" t="str">
        <f t="shared" si="6"/>
        <v/>
      </c>
      <c r="AH33" s="190">
        <v>2405</v>
      </c>
      <c r="AI33" s="69">
        <f t="shared" si="7"/>
        <v>2405</v>
      </c>
    </row>
    <row r="34" spans="1:35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 t="s">
        <v>15</v>
      </c>
      <c r="I34" s="61">
        <v>20000</v>
      </c>
      <c r="J34" s="62">
        <v>3000000</v>
      </c>
      <c r="K34" s="93"/>
      <c r="M34" s="46">
        <v>136</v>
      </c>
      <c r="N34" s="46">
        <v>180000</v>
      </c>
      <c r="O34" s="46">
        <v>2720000</v>
      </c>
      <c r="P34" s="98"/>
      <c r="Q34" s="23" t="s">
        <v>1436</v>
      </c>
      <c r="R34" s="24" t="s">
        <v>1437</v>
      </c>
      <c r="S34" s="25" t="s">
        <v>1358</v>
      </c>
      <c r="T34" s="26">
        <v>0</v>
      </c>
      <c r="U34" s="26">
        <v>150</v>
      </c>
      <c r="V34" s="26">
        <v>20000</v>
      </c>
      <c r="W34" s="243">
        <f t="shared" si="8"/>
        <v>0</v>
      </c>
      <c r="X34" s="26">
        <f t="shared" si="3"/>
        <v>136</v>
      </c>
      <c r="Y34" s="26">
        <f t="shared" si="1"/>
        <v>0</v>
      </c>
      <c r="Z34" s="26">
        <f t="shared" si="4"/>
        <v>2720000</v>
      </c>
      <c r="AA34" s="27"/>
      <c r="AB34" s="36" t="s">
        <v>16</v>
      </c>
      <c r="AC34" s="181">
        <f t="shared" si="5"/>
        <v>150</v>
      </c>
      <c r="AD34" s="181">
        <f t="shared" si="2"/>
        <v>3000000</v>
      </c>
      <c r="AE34" s="181">
        <v>1.1000000000000001</v>
      </c>
      <c r="AF34" s="181">
        <v>1.1000000000000001</v>
      </c>
      <c r="AG34" s="101" t="str">
        <f t="shared" si="6"/>
        <v/>
      </c>
      <c r="AH34" s="191">
        <f>127+9</f>
        <v>136</v>
      </c>
      <c r="AI34" s="69">
        <f t="shared" si="7"/>
        <v>150</v>
      </c>
    </row>
    <row r="35" spans="1:35" ht="42" customHeight="1" x14ac:dyDescent="0.3">
      <c r="A35" s="134" t="s">
        <v>1306</v>
      </c>
      <c r="B35" s="217" t="s">
        <v>1307</v>
      </c>
      <c r="C35" s="204" t="s">
        <v>50</v>
      </c>
      <c r="D35" s="216"/>
      <c r="E35" s="63"/>
      <c r="F35" s="62">
        <v>138.05000000000001</v>
      </c>
      <c r="G35" s="62"/>
      <c r="H35" s="62" t="s">
        <v>15</v>
      </c>
      <c r="I35" s="61">
        <v>165.22</v>
      </c>
      <c r="J35" s="62">
        <v>22808.62</v>
      </c>
      <c r="K35" s="93"/>
      <c r="M35" s="46">
        <v>138.05000000000001</v>
      </c>
      <c r="N35" s="46">
        <v>0</v>
      </c>
      <c r="O35" s="46">
        <v>22808.62</v>
      </c>
      <c r="P35" s="98"/>
      <c r="Q35" s="23" t="s">
        <v>1374</v>
      </c>
      <c r="R35" s="24" t="s">
        <v>1375</v>
      </c>
      <c r="S35" s="25" t="s">
        <v>50</v>
      </c>
      <c r="T35" s="26">
        <v>0</v>
      </c>
      <c r="U35" s="26">
        <v>138.05000000000001</v>
      </c>
      <c r="V35" s="26">
        <v>165.22</v>
      </c>
      <c r="W35" s="127">
        <f t="shared" si="8"/>
        <v>0</v>
      </c>
      <c r="X35" s="127">
        <f t="shared" si="3"/>
        <v>138.05000000000001</v>
      </c>
      <c r="Y35" s="127">
        <f t="shared" si="1"/>
        <v>0</v>
      </c>
      <c r="Z35" s="127">
        <f t="shared" si="4"/>
        <v>22808.62</v>
      </c>
      <c r="AA35" s="27"/>
      <c r="AB35" s="36" t="s">
        <v>16</v>
      </c>
      <c r="AC35" s="181">
        <f t="shared" si="5"/>
        <v>138.05000000000001</v>
      </c>
      <c r="AD35" s="181">
        <f t="shared" si="2"/>
        <v>22808.62</v>
      </c>
      <c r="AE35" s="181">
        <v>1.1000000000000001</v>
      </c>
      <c r="AF35" s="181">
        <v>1.1000000000000001</v>
      </c>
      <c r="AG35" s="101" t="str">
        <f t="shared" si="6"/>
        <v/>
      </c>
      <c r="AH35" s="190">
        <v>138.05000000000001</v>
      </c>
      <c r="AI35" s="69">
        <f t="shared" si="7"/>
        <v>138.05000000000001</v>
      </c>
    </row>
    <row r="36" spans="1:35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62">
        <v>2000</v>
      </c>
      <c r="G36" s="62"/>
      <c r="H36" s="62" t="s">
        <v>15</v>
      </c>
      <c r="I36" s="61">
        <v>100</v>
      </c>
      <c r="J36" s="62">
        <v>200000</v>
      </c>
      <c r="K36" s="93"/>
      <c r="M36" s="46">
        <v>2000</v>
      </c>
      <c r="N36" s="46">
        <v>0</v>
      </c>
      <c r="O36" s="46">
        <v>200000</v>
      </c>
      <c r="P36" s="98"/>
      <c r="Q36" s="23" t="s">
        <v>1376</v>
      </c>
      <c r="R36" s="24" t="s">
        <v>1377</v>
      </c>
      <c r="S36" s="25" t="s">
        <v>34</v>
      </c>
      <c r="T36" s="26">
        <v>0</v>
      </c>
      <c r="U36" s="26">
        <v>2000</v>
      </c>
      <c r="V36" s="26">
        <v>100</v>
      </c>
      <c r="W36" s="127">
        <f t="shared" si="8"/>
        <v>0</v>
      </c>
      <c r="X36" s="127">
        <f t="shared" si="3"/>
        <v>2000</v>
      </c>
      <c r="Y36" s="127">
        <f t="shared" si="1"/>
        <v>0</v>
      </c>
      <c r="Z36" s="127">
        <f t="shared" si="4"/>
        <v>200000</v>
      </c>
      <c r="AA36" s="27"/>
      <c r="AB36" s="36" t="s">
        <v>16</v>
      </c>
      <c r="AC36" s="181">
        <f t="shared" si="5"/>
        <v>2000</v>
      </c>
      <c r="AD36" s="181">
        <f t="shared" si="2"/>
        <v>200000</v>
      </c>
      <c r="AE36" s="181">
        <v>1.1000000000000001</v>
      </c>
      <c r="AF36" s="181">
        <v>1.1000000000000001</v>
      </c>
      <c r="AG36" s="101" t="str">
        <f t="shared" si="6"/>
        <v/>
      </c>
      <c r="AH36" s="190">
        <v>2000</v>
      </c>
      <c r="AI36" s="69">
        <f t="shared" si="7"/>
        <v>2000</v>
      </c>
    </row>
    <row r="37" spans="1:35" ht="33" x14ac:dyDescent="0.3">
      <c r="A37" s="134" t="s">
        <v>1310</v>
      </c>
      <c r="B37" s="217" t="s">
        <v>1311</v>
      </c>
      <c r="C37" s="204" t="s">
        <v>50</v>
      </c>
      <c r="D37" s="216"/>
      <c r="E37" s="63"/>
      <c r="F37" s="62">
        <v>3324.02</v>
      </c>
      <c r="G37" s="62"/>
      <c r="H37" s="62" t="s">
        <v>15</v>
      </c>
      <c r="I37" s="61">
        <v>33.35</v>
      </c>
      <c r="J37" s="62">
        <v>110856.07</v>
      </c>
      <c r="K37" s="93"/>
      <c r="M37" s="46">
        <v>3324.02</v>
      </c>
      <c r="N37" s="46">
        <v>0</v>
      </c>
      <c r="O37" s="46">
        <v>110856.07</v>
      </c>
      <c r="P37" s="98"/>
      <c r="Q37" s="23" t="s">
        <v>1378</v>
      </c>
      <c r="R37" s="24" t="s">
        <v>1379</v>
      </c>
      <c r="S37" s="25" t="s">
        <v>50</v>
      </c>
      <c r="T37" s="26">
        <v>0</v>
      </c>
      <c r="U37" s="26">
        <v>3324.02</v>
      </c>
      <c r="V37" s="26">
        <v>33.35</v>
      </c>
      <c r="W37" s="127">
        <f t="shared" si="8"/>
        <v>0</v>
      </c>
      <c r="X37" s="127">
        <f t="shared" si="3"/>
        <v>3324.02</v>
      </c>
      <c r="Y37" s="127">
        <f t="shared" si="1"/>
        <v>0</v>
      </c>
      <c r="Z37" s="127">
        <f t="shared" si="4"/>
        <v>110856.07</v>
      </c>
      <c r="AA37" s="27"/>
      <c r="AB37" s="36" t="s">
        <v>16</v>
      </c>
      <c r="AC37" s="181">
        <f t="shared" si="5"/>
        <v>3324.02</v>
      </c>
      <c r="AD37" s="181">
        <f t="shared" si="2"/>
        <v>110856.07</v>
      </c>
      <c r="AE37" s="181">
        <v>1.1000000000000001</v>
      </c>
      <c r="AF37" s="181">
        <v>1.1000000000000001</v>
      </c>
      <c r="AG37" s="101" t="str">
        <f t="shared" si="6"/>
        <v/>
      </c>
      <c r="AH37" s="190">
        <v>3324.02</v>
      </c>
      <c r="AI37" s="69">
        <f t="shared" si="7"/>
        <v>3324.02</v>
      </c>
    </row>
    <row r="38" spans="1:35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4" t="s">
        <v>15</v>
      </c>
      <c r="I38" s="82"/>
      <c r="J38" s="82">
        <v>42752872.340000004</v>
      </c>
      <c r="K38" s="94" t="s">
        <v>15</v>
      </c>
      <c r="L38" s="73"/>
      <c r="M38" s="45">
        <v>1</v>
      </c>
      <c r="N38" s="45">
        <v>3410269.1800000006</v>
      </c>
      <c r="O38" s="45">
        <v>27246029.720000003</v>
      </c>
      <c r="P38" s="98"/>
      <c r="Q38" s="18" t="s">
        <v>1380</v>
      </c>
      <c r="R38" s="19" t="s">
        <v>100</v>
      </c>
      <c r="S38" s="20" t="s">
        <v>14</v>
      </c>
      <c r="T38" s="21">
        <v>1</v>
      </c>
      <c r="U38" s="21"/>
      <c r="V38" s="21">
        <f>SUMIFS(AD:AD,AE:AE,AE38)</f>
        <v>42752872.340000033</v>
      </c>
      <c r="W38" s="21">
        <f t="shared" ref="W38:X38" si="9">IF(Y38=0,0,1)</f>
        <v>1</v>
      </c>
      <c r="X38" s="21">
        <f t="shared" si="9"/>
        <v>1</v>
      </c>
      <c r="Y38" s="21">
        <f>SUMIFS(Y:Y,AF:AF,AE38)</f>
        <v>3324358.27</v>
      </c>
      <c r="Z38" s="21">
        <f>SUMIFS(Z:Z,AF:AF,AE38)</f>
        <v>30570387.990000002</v>
      </c>
      <c r="AA38" s="22" t="s">
        <v>15</v>
      </c>
      <c r="AB38" s="43" t="s">
        <v>16</v>
      </c>
      <c r="AC38" s="181">
        <f t="shared" si="5"/>
        <v>1</v>
      </c>
      <c r="AD38" s="184"/>
      <c r="AE38" s="181">
        <v>1.2</v>
      </c>
      <c r="AF38" s="181"/>
      <c r="AG38" s="101" t="str">
        <f t="shared" si="6"/>
        <v/>
      </c>
      <c r="AH38" s="190">
        <v>1</v>
      </c>
      <c r="AI38" s="69">
        <f t="shared" si="7"/>
        <v>1</v>
      </c>
    </row>
    <row r="39" spans="1:35" s="69" customFormat="1" ht="39" x14ac:dyDescent="0.3">
      <c r="A39" s="55" t="s">
        <v>101</v>
      </c>
      <c r="B39" s="53" t="s">
        <v>102</v>
      </c>
      <c r="C39" s="54" t="s">
        <v>103</v>
      </c>
      <c r="D39" s="75">
        <v>2347.79</v>
      </c>
      <c r="E39" s="75"/>
      <c r="F39" s="75"/>
      <c r="G39" s="75"/>
      <c r="H39" s="75" t="s">
        <v>15</v>
      </c>
      <c r="I39" s="75">
        <v>320.74</v>
      </c>
      <c r="J39" s="75">
        <v>753030.16</v>
      </c>
      <c r="K39" s="91" t="s">
        <v>104</v>
      </c>
      <c r="L39" s="73"/>
      <c r="M39" s="46">
        <v>1554.6299999999999</v>
      </c>
      <c r="N39" s="46">
        <v>75790.870000000054</v>
      </c>
      <c r="O39" s="46">
        <v>498632.03</v>
      </c>
      <c r="P39" s="98"/>
      <c r="Q39" s="23" t="s">
        <v>1421</v>
      </c>
      <c r="R39" s="24" t="s">
        <v>102</v>
      </c>
      <c r="S39" s="25" t="s">
        <v>103</v>
      </c>
      <c r="T39" s="26">
        <v>2347.79</v>
      </c>
      <c r="U39" s="26">
        <v>2347.79</v>
      </c>
      <c r="V39" s="26">
        <f t="shared" ref="V39:V102" si="10">I39</f>
        <v>320.74</v>
      </c>
      <c r="W39" s="243">
        <f t="shared" si="8"/>
        <v>234.76</v>
      </c>
      <c r="X39" s="26">
        <f t="shared" si="3"/>
        <v>1789.3899999999999</v>
      </c>
      <c r="Y39" s="26">
        <f t="shared" ref="Y39:Y102" si="11">Z39-O39</f>
        <v>75296.919999999925</v>
      </c>
      <c r="Z39" s="26">
        <f t="shared" si="4"/>
        <v>573928.94999999995</v>
      </c>
      <c r="AA39" s="33" t="s">
        <v>15</v>
      </c>
      <c r="AB39" s="36" t="s">
        <v>16</v>
      </c>
      <c r="AC39" s="181">
        <f t="shared" si="5"/>
        <v>2347.79</v>
      </c>
      <c r="AD39" s="181">
        <f>ROUND(V39*AC39,2)</f>
        <v>753030.16</v>
      </c>
      <c r="AE39" s="181">
        <v>1.2</v>
      </c>
      <c r="AF39" s="181">
        <v>1.2</v>
      </c>
      <c r="AG39" s="101" t="str">
        <f t="shared" si="6"/>
        <v/>
      </c>
      <c r="AH39" s="191">
        <f>822+115.6+380.73+236.3+234.76</f>
        <v>1789.3899999999999</v>
      </c>
      <c r="AI39" s="69">
        <f t="shared" si="7"/>
        <v>2347.79</v>
      </c>
    </row>
    <row r="40" spans="1:35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 t="s">
        <v>15</v>
      </c>
      <c r="I40" s="75">
        <v>346.08</v>
      </c>
      <c r="J40" s="75">
        <v>261553.42</v>
      </c>
      <c r="K40" s="91" t="s">
        <v>107</v>
      </c>
      <c r="L40" s="73"/>
      <c r="M40" s="46">
        <v>85.8</v>
      </c>
      <c r="N40" s="46">
        <v>21733.82</v>
      </c>
      <c r="O40" s="46">
        <v>29693.66</v>
      </c>
      <c r="P40" s="98"/>
      <c r="Q40" s="23" t="s">
        <v>1426</v>
      </c>
      <c r="R40" s="24" t="s">
        <v>106</v>
      </c>
      <c r="S40" s="25" t="s">
        <v>103</v>
      </c>
      <c r="T40" s="26">
        <v>755.76</v>
      </c>
      <c r="U40" s="26">
        <v>755.76</v>
      </c>
      <c r="V40" s="26">
        <f t="shared" si="10"/>
        <v>346.08</v>
      </c>
      <c r="W40" s="243">
        <f t="shared" si="8"/>
        <v>344.2</v>
      </c>
      <c r="X40" s="26">
        <f t="shared" si="3"/>
        <v>430</v>
      </c>
      <c r="Y40" s="26">
        <f t="shared" si="11"/>
        <v>119120.73999999999</v>
      </c>
      <c r="Z40" s="26">
        <f t="shared" si="4"/>
        <v>148814.39999999999</v>
      </c>
      <c r="AA40" s="33" t="s">
        <v>15</v>
      </c>
      <c r="AB40" s="36" t="s">
        <v>16</v>
      </c>
      <c r="AC40" s="181">
        <f t="shared" si="5"/>
        <v>755.76</v>
      </c>
      <c r="AD40" s="181">
        <f t="shared" ref="AD40:AD103" si="12">ROUND(V40*AC40,2)</f>
        <v>261553.42</v>
      </c>
      <c r="AE40" s="181">
        <v>1.2</v>
      </c>
      <c r="AF40" s="181">
        <v>1.2</v>
      </c>
      <c r="AG40" s="101" t="str">
        <f t="shared" si="6"/>
        <v/>
      </c>
      <c r="AH40" s="191">
        <f>23+62.8+344.2</f>
        <v>430</v>
      </c>
      <c r="AI40" s="69">
        <f t="shared" si="7"/>
        <v>755.76</v>
      </c>
    </row>
    <row r="41" spans="1:35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 t="s">
        <v>15</v>
      </c>
      <c r="I41" s="75">
        <v>36.4</v>
      </c>
      <c r="J41" s="75">
        <v>1355298.67</v>
      </c>
      <c r="K41" s="91" t="s">
        <v>111</v>
      </c>
      <c r="L41" s="73"/>
      <c r="M41" s="46">
        <v>24086.3</v>
      </c>
      <c r="N41" s="46">
        <v>84637.279999999912</v>
      </c>
      <c r="O41" s="46">
        <v>876741.32</v>
      </c>
      <c r="P41" s="98"/>
      <c r="Q41" s="23" t="s">
        <v>1402</v>
      </c>
      <c r="R41" s="24" t="s">
        <v>109</v>
      </c>
      <c r="S41" s="25" t="s">
        <v>110</v>
      </c>
      <c r="T41" s="26">
        <v>37233.480000000003</v>
      </c>
      <c r="U41" s="26">
        <v>37233.480000000003</v>
      </c>
      <c r="V41" s="26">
        <f t="shared" si="10"/>
        <v>36.4</v>
      </c>
      <c r="W41" s="243">
        <f t="shared" si="8"/>
        <v>4076.7000000000007</v>
      </c>
      <c r="X41" s="26">
        <f t="shared" si="3"/>
        <v>28163</v>
      </c>
      <c r="Y41" s="26">
        <f t="shared" si="11"/>
        <v>148391.88</v>
      </c>
      <c r="Z41" s="26">
        <f t="shared" si="4"/>
        <v>1025133.2</v>
      </c>
      <c r="AA41" s="33" t="s">
        <v>15</v>
      </c>
      <c r="AB41" s="36" t="s">
        <v>16</v>
      </c>
      <c r="AC41" s="181">
        <f t="shared" si="5"/>
        <v>37233.480000000003</v>
      </c>
      <c r="AD41" s="181">
        <f t="shared" si="12"/>
        <v>1355298.67</v>
      </c>
      <c r="AE41" s="181">
        <v>1.2</v>
      </c>
      <c r="AF41" s="181">
        <v>1.2</v>
      </c>
      <c r="AG41" s="101" t="str">
        <f t="shared" si="6"/>
        <v/>
      </c>
      <c r="AH41" s="191">
        <f>4011.3+10712+7037.8+2325.2+4076.7</f>
        <v>28163</v>
      </c>
      <c r="AI41" s="69">
        <f t="shared" si="7"/>
        <v>37233.480000000003</v>
      </c>
    </row>
    <row r="42" spans="1:35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 t="s">
        <v>15</v>
      </c>
      <c r="I42" s="75">
        <v>3115.13</v>
      </c>
      <c r="J42" s="75">
        <v>918901.05</v>
      </c>
      <c r="K42" s="91" t="s">
        <v>114</v>
      </c>
      <c r="L42" s="73"/>
      <c r="M42" s="46">
        <v>217.41000000000003</v>
      </c>
      <c r="N42" s="46">
        <v>17756.239999999991</v>
      </c>
      <c r="O42" s="46">
        <v>677260.41</v>
      </c>
      <c r="P42" s="98"/>
      <c r="Q42" s="23" t="s">
        <v>1373</v>
      </c>
      <c r="R42" s="24" t="s">
        <v>392</v>
      </c>
      <c r="S42" s="25" t="s">
        <v>23</v>
      </c>
      <c r="T42" s="26">
        <v>294.98</v>
      </c>
      <c r="U42" s="26">
        <v>294.98</v>
      </c>
      <c r="V42" s="26">
        <f t="shared" si="10"/>
        <v>3115.13</v>
      </c>
      <c r="W42" s="243">
        <f t="shared" si="8"/>
        <v>30.689999999999998</v>
      </c>
      <c r="X42" s="26">
        <f t="shared" si="3"/>
        <v>248.10000000000002</v>
      </c>
      <c r="Y42" s="26">
        <f t="shared" si="11"/>
        <v>95603.339999999967</v>
      </c>
      <c r="Z42" s="26">
        <f t="shared" si="4"/>
        <v>772863.75</v>
      </c>
      <c r="AA42" s="33" t="s">
        <v>15</v>
      </c>
      <c r="AB42" s="36" t="s">
        <v>16</v>
      </c>
      <c r="AC42" s="181">
        <f t="shared" si="5"/>
        <v>294.98</v>
      </c>
      <c r="AD42" s="181">
        <f t="shared" si="12"/>
        <v>918901.05</v>
      </c>
      <c r="AE42" s="181">
        <v>1.2</v>
      </c>
      <c r="AF42" s="181">
        <v>1.2</v>
      </c>
      <c r="AG42" s="101" t="str">
        <f t="shared" si="6"/>
        <v/>
      </c>
      <c r="AH42" s="191">
        <f>36.6+39.2+23.9+112.01+5.7+30.69</f>
        <v>248.10000000000002</v>
      </c>
      <c r="AI42" s="69">
        <f t="shared" si="7"/>
        <v>294.98</v>
      </c>
    </row>
    <row r="43" spans="1:35" s="69" customFormat="1" ht="39" x14ac:dyDescent="0.3">
      <c r="A43" s="55" t="s">
        <v>115</v>
      </c>
      <c r="B43" s="53" t="s">
        <v>116</v>
      </c>
      <c r="C43" s="54" t="s">
        <v>23</v>
      </c>
      <c r="D43" s="75">
        <v>846.68</v>
      </c>
      <c r="E43" s="75"/>
      <c r="F43" s="75"/>
      <c r="G43" s="75"/>
      <c r="H43" s="75" t="s">
        <v>15</v>
      </c>
      <c r="I43" s="75">
        <v>3321.13</v>
      </c>
      <c r="J43" s="75">
        <v>2811934.35</v>
      </c>
      <c r="K43" s="91" t="s">
        <v>117</v>
      </c>
      <c r="L43" s="73"/>
      <c r="M43" s="46">
        <v>663.39999999999986</v>
      </c>
      <c r="N43" s="46">
        <v>306540.30000000005</v>
      </c>
      <c r="O43" s="46">
        <v>2203237.64</v>
      </c>
      <c r="P43" s="98"/>
      <c r="Q43" s="23" t="s">
        <v>1393</v>
      </c>
      <c r="R43" s="24" t="s">
        <v>116</v>
      </c>
      <c r="S43" s="25" t="s">
        <v>23</v>
      </c>
      <c r="T43" s="26">
        <v>846.68</v>
      </c>
      <c r="U43" s="26">
        <v>846.68</v>
      </c>
      <c r="V43" s="26">
        <f t="shared" si="10"/>
        <v>3321.13</v>
      </c>
      <c r="W43" s="243">
        <f t="shared" si="8"/>
        <v>145</v>
      </c>
      <c r="X43" s="26">
        <f t="shared" si="3"/>
        <v>808.39999999999986</v>
      </c>
      <c r="Y43" s="26">
        <f t="shared" si="11"/>
        <v>481563.85000000009</v>
      </c>
      <c r="Z43" s="26">
        <f t="shared" si="4"/>
        <v>2684801.49</v>
      </c>
      <c r="AA43" s="33" t="s">
        <v>15</v>
      </c>
      <c r="AB43" s="36" t="s">
        <v>16</v>
      </c>
      <c r="AC43" s="181">
        <f t="shared" si="5"/>
        <v>846.68</v>
      </c>
      <c r="AD43" s="181">
        <f t="shared" si="12"/>
        <v>2811934.35</v>
      </c>
      <c r="AE43" s="181">
        <v>1.2</v>
      </c>
      <c r="AF43" s="181">
        <v>1.2</v>
      </c>
      <c r="AG43" s="101" t="str">
        <f t="shared" si="6"/>
        <v/>
      </c>
      <c r="AH43" s="191">
        <f>282.3+157.6+131.2+92.3+145</f>
        <v>808.39999999999986</v>
      </c>
      <c r="AI43" s="69">
        <f t="shared" si="7"/>
        <v>846.68</v>
      </c>
    </row>
    <row r="44" spans="1:35" s="69" customFormat="1" ht="26.1" customHeight="1" x14ac:dyDescent="0.3">
      <c r="A44" s="55" t="s">
        <v>118</v>
      </c>
      <c r="B44" s="53" t="s">
        <v>119</v>
      </c>
      <c r="C44" s="54" t="s">
        <v>50</v>
      </c>
      <c r="D44" s="75">
        <v>2387.33</v>
      </c>
      <c r="E44" s="75"/>
      <c r="F44" s="75"/>
      <c r="G44" s="75"/>
      <c r="H44" s="75" t="s">
        <v>15</v>
      </c>
      <c r="I44" s="75">
        <v>533.64</v>
      </c>
      <c r="J44" s="75">
        <v>1273974.78</v>
      </c>
      <c r="K44" s="91" t="s">
        <v>120</v>
      </c>
      <c r="L44" s="73"/>
      <c r="M44" s="46">
        <v>2047.54</v>
      </c>
      <c r="N44" s="46">
        <v>64677.170000000042</v>
      </c>
      <c r="O44" s="46">
        <v>1092649.25</v>
      </c>
      <c r="P44" s="98"/>
      <c r="Q44" s="23" t="s">
        <v>1403</v>
      </c>
      <c r="R44" s="24" t="s">
        <v>119</v>
      </c>
      <c r="S44" s="25" t="s">
        <v>50</v>
      </c>
      <c r="T44" s="26">
        <v>2387.33</v>
      </c>
      <c r="U44" s="26">
        <v>2387.33</v>
      </c>
      <c r="V44" s="26">
        <f t="shared" si="10"/>
        <v>533.64</v>
      </c>
      <c r="W44" s="243">
        <f t="shared" si="8"/>
        <v>311.34999999999991</v>
      </c>
      <c r="X44" s="26">
        <f t="shared" si="3"/>
        <v>2358.89</v>
      </c>
      <c r="Y44" s="26">
        <f t="shared" si="11"/>
        <v>166148.81000000006</v>
      </c>
      <c r="Z44" s="26">
        <f t="shared" si="4"/>
        <v>1258798.06</v>
      </c>
      <c r="AA44" s="33" t="s">
        <v>15</v>
      </c>
      <c r="AB44" s="36" t="s">
        <v>16</v>
      </c>
      <c r="AC44" s="181">
        <f t="shared" si="5"/>
        <v>2387.33</v>
      </c>
      <c r="AD44" s="181">
        <f t="shared" si="12"/>
        <v>1273974.78</v>
      </c>
      <c r="AE44" s="181">
        <v>1.2</v>
      </c>
      <c r="AF44" s="181">
        <v>1.2</v>
      </c>
      <c r="AG44" s="101" t="str">
        <f t="shared" si="6"/>
        <v/>
      </c>
      <c r="AH44" s="191">
        <f>815.4+226.8+231.1+653.04+121.2+311.35</f>
        <v>2358.89</v>
      </c>
      <c r="AI44" s="69">
        <f t="shared" si="7"/>
        <v>2387.33</v>
      </c>
    </row>
    <row r="45" spans="1:35" s="69" customFormat="1" ht="26.1" customHeight="1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 t="s">
        <v>15</v>
      </c>
      <c r="I45" s="75">
        <v>1299.8900000000001</v>
      </c>
      <c r="J45" s="75">
        <v>1770710.16</v>
      </c>
      <c r="K45" s="91" t="s">
        <v>123</v>
      </c>
      <c r="L45" s="73"/>
      <c r="M45" s="46">
        <v>640</v>
      </c>
      <c r="N45" s="46">
        <v>385417.38</v>
      </c>
      <c r="O45" s="46">
        <v>831929.6</v>
      </c>
      <c r="P45" s="98"/>
      <c r="Q45" s="23" t="s">
        <v>1427</v>
      </c>
      <c r="R45" s="24" t="s">
        <v>122</v>
      </c>
      <c r="S45" s="25" t="s">
        <v>50</v>
      </c>
      <c r="T45" s="26">
        <v>1362.2</v>
      </c>
      <c r="U45" s="26">
        <v>1362.2</v>
      </c>
      <c r="V45" s="26">
        <f t="shared" si="10"/>
        <v>1299.8900000000001</v>
      </c>
      <c r="W45" s="243">
        <f t="shared" si="8"/>
        <v>402.20000000000005</v>
      </c>
      <c r="X45" s="26">
        <f t="shared" si="3"/>
        <v>1042.2</v>
      </c>
      <c r="Y45" s="26">
        <f t="shared" si="11"/>
        <v>522815.76000000013</v>
      </c>
      <c r="Z45" s="26">
        <f t="shared" si="4"/>
        <v>1354745.36</v>
      </c>
      <c r="AA45" s="33" t="s">
        <v>15</v>
      </c>
      <c r="AB45" s="36" t="s">
        <v>16</v>
      </c>
      <c r="AC45" s="181">
        <f t="shared" si="5"/>
        <v>1362.2</v>
      </c>
      <c r="AD45" s="181">
        <f t="shared" si="12"/>
        <v>1770710.16</v>
      </c>
      <c r="AE45" s="181">
        <v>1.2</v>
      </c>
      <c r="AF45" s="181">
        <v>1.2</v>
      </c>
      <c r="AG45" s="101" t="str">
        <f t="shared" si="6"/>
        <v/>
      </c>
      <c r="AH45" s="191">
        <f>165+139.2+39.3+296.5+402.2</f>
        <v>1042.2</v>
      </c>
      <c r="AI45" s="69">
        <f t="shared" si="7"/>
        <v>1362.2</v>
      </c>
    </row>
    <row r="46" spans="1:35" s="69" customFormat="1" ht="26.1" customHeight="1" x14ac:dyDescent="0.3">
      <c r="A46" s="130" t="s">
        <v>124</v>
      </c>
      <c r="B46" s="131" t="s">
        <v>125</v>
      </c>
      <c r="C46" s="132" t="s">
        <v>110</v>
      </c>
      <c r="D46" s="133">
        <v>4781.5600000000004</v>
      </c>
      <c r="E46" s="75"/>
      <c r="F46" s="75"/>
      <c r="G46" s="75"/>
      <c r="H46" s="75" t="s">
        <v>15</v>
      </c>
      <c r="I46" s="75">
        <v>60</v>
      </c>
      <c r="J46" s="75">
        <v>286893.59999999998</v>
      </c>
      <c r="K46" s="91" t="s">
        <v>126</v>
      </c>
      <c r="L46" s="73"/>
      <c r="M46" s="46">
        <v>4781.5</v>
      </c>
      <c r="N46" s="46">
        <v>0</v>
      </c>
      <c r="O46" s="46">
        <v>286890</v>
      </c>
      <c r="P46" s="98"/>
      <c r="Q46" s="23" t="s">
        <v>1428</v>
      </c>
      <c r="R46" s="24" t="s">
        <v>125</v>
      </c>
      <c r="S46" s="25" t="s">
        <v>110</v>
      </c>
      <c r="T46" s="26">
        <v>4781.5600000000004</v>
      </c>
      <c r="U46" s="26">
        <v>4781.5600000000004</v>
      </c>
      <c r="V46" s="26">
        <f t="shared" si="10"/>
        <v>60</v>
      </c>
      <c r="W46" s="209">
        <f t="shared" si="8"/>
        <v>0</v>
      </c>
      <c r="X46" s="127">
        <f t="shared" si="3"/>
        <v>4781.5</v>
      </c>
      <c r="Y46" s="127">
        <f t="shared" si="11"/>
        <v>0</v>
      </c>
      <c r="Z46" s="127">
        <f t="shared" si="4"/>
        <v>286890</v>
      </c>
      <c r="AA46" s="33" t="s">
        <v>15</v>
      </c>
      <c r="AB46" s="36" t="s">
        <v>16</v>
      </c>
      <c r="AC46" s="181">
        <f t="shared" si="5"/>
        <v>4781.5600000000004</v>
      </c>
      <c r="AD46" s="181">
        <f t="shared" si="12"/>
        <v>286893.59999999998</v>
      </c>
      <c r="AE46" s="181">
        <v>1.2</v>
      </c>
      <c r="AF46" s="181">
        <v>1.2</v>
      </c>
      <c r="AG46" s="101" t="str">
        <f t="shared" si="6"/>
        <v/>
      </c>
      <c r="AH46" s="191">
        <f>3546.4+1235.1</f>
        <v>4781.5</v>
      </c>
      <c r="AI46" s="69">
        <f t="shared" si="7"/>
        <v>4781.5600000000004</v>
      </c>
    </row>
    <row r="47" spans="1:35" s="69" customFormat="1" ht="39" x14ac:dyDescent="0.3">
      <c r="A47" s="130" t="s">
        <v>127</v>
      </c>
      <c r="B47" s="131" t="s">
        <v>128</v>
      </c>
      <c r="C47" s="132" t="s">
        <v>110</v>
      </c>
      <c r="D47" s="133">
        <v>4781.5600000000004</v>
      </c>
      <c r="E47" s="75"/>
      <c r="F47" s="75"/>
      <c r="G47" s="75"/>
      <c r="H47" s="75" t="s">
        <v>15</v>
      </c>
      <c r="I47" s="75">
        <v>31.9</v>
      </c>
      <c r="J47" s="75">
        <v>152531.76</v>
      </c>
      <c r="K47" s="91" t="s">
        <v>129</v>
      </c>
      <c r="L47" s="73"/>
      <c r="M47" s="46">
        <v>4781.5</v>
      </c>
      <c r="N47" s="46">
        <v>0</v>
      </c>
      <c r="O47" s="46">
        <v>152529.85</v>
      </c>
      <c r="P47" s="98"/>
      <c r="Q47" s="23" t="s">
        <v>1387</v>
      </c>
      <c r="R47" s="24" t="s">
        <v>128</v>
      </c>
      <c r="S47" s="25" t="s">
        <v>110</v>
      </c>
      <c r="T47" s="26">
        <v>4781.5600000000004</v>
      </c>
      <c r="U47" s="26">
        <v>4781.5600000000004</v>
      </c>
      <c r="V47" s="26">
        <f t="shared" si="10"/>
        <v>31.9</v>
      </c>
      <c r="W47" s="209">
        <f t="shared" si="8"/>
        <v>0</v>
      </c>
      <c r="X47" s="127">
        <f t="shared" si="3"/>
        <v>4781.5</v>
      </c>
      <c r="Y47" s="127">
        <f t="shared" si="11"/>
        <v>0</v>
      </c>
      <c r="Z47" s="127">
        <f t="shared" si="4"/>
        <v>152529.85</v>
      </c>
      <c r="AA47" s="33" t="s">
        <v>15</v>
      </c>
      <c r="AB47" s="36" t="s">
        <v>16</v>
      </c>
      <c r="AC47" s="181">
        <f t="shared" si="5"/>
        <v>4781.5600000000004</v>
      </c>
      <c r="AD47" s="181">
        <f t="shared" si="12"/>
        <v>152531.76</v>
      </c>
      <c r="AE47" s="181">
        <v>1.2</v>
      </c>
      <c r="AF47" s="181">
        <v>1.2</v>
      </c>
      <c r="AG47" s="101" t="str">
        <f t="shared" si="6"/>
        <v/>
      </c>
      <c r="AH47" s="191">
        <f>AH46</f>
        <v>4781.5</v>
      </c>
      <c r="AI47" s="69">
        <f t="shared" si="7"/>
        <v>4781.5600000000004</v>
      </c>
    </row>
    <row r="48" spans="1:35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 t="s">
        <v>15</v>
      </c>
      <c r="I48" s="75">
        <v>107.31</v>
      </c>
      <c r="J48" s="75">
        <v>246905.29</v>
      </c>
      <c r="K48" s="91" t="s">
        <v>132</v>
      </c>
      <c r="L48" s="73"/>
      <c r="M48" s="46">
        <v>1855</v>
      </c>
      <c r="N48" s="46">
        <v>0</v>
      </c>
      <c r="O48" s="46">
        <v>199060.05</v>
      </c>
      <c r="P48" s="98"/>
      <c r="Q48" s="23" t="s">
        <v>1405</v>
      </c>
      <c r="R48" s="24" t="s">
        <v>131</v>
      </c>
      <c r="S48" s="25" t="s">
        <v>110</v>
      </c>
      <c r="T48" s="26">
        <v>2300.86</v>
      </c>
      <c r="U48" s="26">
        <v>2300.86</v>
      </c>
      <c r="V48" s="26">
        <f t="shared" si="10"/>
        <v>107.31</v>
      </c>
      <c r="W48" s="128">
        <f t="shared" si="8"/>
        <v>0</v>
      </c>
      <c r="X48" s="26">
        <f t="shared" si="3"/>
        <v>1855</v>
      </c>
      <c r="Y48" s="26">
        <f t="shared" si="11"/>
        <v>0</v>
      </c>
      <c r="Z48" s="26">
        <f t="shared" si="4"/>
        <v>199060.05</v>
      </c>
      <c r="AA48" s="33" t="s">
        <v>15</v>
      </c>
      <c r="AB48" s="36" t="s">
        <v>16</v>
      </c>
      <c r="AC48" s="181">
        <f t="shared" si="5"/>
        <v>2300.86</v>
      </c>
      <c r="AD48" s="181">
        <f t="shared" si="12"/>
        <v>246905.29</v>
      </c>
      <c r="AE48" s="181">
        <v>1.2</v>
      </c>
      <c r="AF48" s="181">
        <v>1.2</v>
      </c>
      <c r="AG48" s="101" t="str">
        <f t="shared" si="6"/>
        <v/>
      </c>
      <c r="AH48" s="191">
        <v>1855</v>
      </c>
      <c r="AI48" s="69">
        <f t="shared" si="7"/>
        <v>2300.86</v>
      </c>
    </row>
    <row r="49" spans="1:35" s="69" customFormat="1" ht="33" x14ac:dyDescent="0.3">
      <c r="A49" s="55" t="s">
        <v>133</v>
      </c>
      <c r="B49" s="215" t="s">
        <v>134</v>
      </c>
      <c r="C49" s="54" t="s">
        <v>50</v>
      </c>
      <c r="D49" s="75">
        <v>5207.01</v>
      </c>
      <c r="E49" s="75"/>
      <c r="F49" s="75"/>
      <c r="G49" s="75"/>
      <c r="H49" s="75" t="s">
        <v>15</v>
      </c>
      <c r="I49" s="75">
        <v>2964</v>
      </c>
      <c r="J49" s="75">
        <v>15433577.640000001</v>
      </c>
      <c r="K49" s="137" t="s">
        <v>135</v>
      </c>
      <c r="L49" s="73"/>
      <c r="M49" s="46">
        <v>3374.1899999999996</v>
      </c>
      <c r="N49" s="46">
        <v>1598188.8000000007</v>
      </c>
      <c r="O49" s="46">
        <v>10001099.16</v>
      </c>
      <c r="P49" s="98"/>
      <c r="Q49" s="23" t="s">
        <v>1406</v>
      </c>
      <c r="R49" s="24" t="s">
        <v>134</v>
      </c>
      <c r="S49" s="25" t="s">
        <v>50</v>
      </c>
      <c r="T49" s="26">
        <v>5207.01</v>
      </c>
      <c r="U49" s="26">
        <v>5207.01</v>
      </c>
      <c r="V49" s="26">
        <f t="shared" si="10"/>
        <v>2964</v>
      </c>
      <c r="W49" s="243">
        <f t="shared" si="8"/>
        <v>0</v>
      </c>
      <c r="X49" s="26">
        <f t="shared" si="3"/>
        <v>3374.1899999999996</v>
      </c>
      <c r="Y49" s="26">
        <f t="shared" si="11"/>
        <v>0</v>
      </c>
      <c r="Z49" s="26">
        <f t="shared" si="4"/>
        <v>10001099.16</v>
      </c>
      <c r="AA49" s="33" t="s">
        <v>15</v>
      </c>
      <c r="AB49" s="36" t="s">
        <v>16</v>
      </c>
      <c r="AC49" s="181">
        <f t="shared" si="5"/>
        <v>5207.01</v>
      </c>
      <c r="AD49" s="181">
        <f t="shared" si="12"/>
        <v>15433577.640000001</v>
      </c>
      <c r="AE49" s="181">
        <v>1.2</v>
      </c>
      <c r="AF49" s="181">
        <v>1.2</v>
      </c>
      <c r="AG49" s="101" t="str">
        <f t="shared" si="6"/>
        <v/>
      </c>
      <c r="AH49" s="191">
        <f>1759.3+212.2+210.7+652.79+539.2</f>
        <v>3374.1899999999996</v>
      </c>
      <c r="AI49" s="69">
        <f t="shared" si="7"/>
        <v>5207.01</v>
      </c>
    </row>
    <row r="50" spans="1:35" s="69" customFormat="1" ht="39" x14ac:dyDescent="0.3">
      <c r="A50" s="55" t="s">
        <v>136</v>
      </c>
      <c r="B50" s="53" t="s">
        <v>3138</v>
      </c>
      <c r="C50" s="54" t="s">
        <v>50</v>
      </c>
      <c r="D50" s="75">
        <v>693.8</v>
      </c>
      <c r="E50" s="75"/>
      <c r="F50" s="75"/>
      <c r="G50" s="75"/>
      <c r="H50" s="75" t="s">
        <v>15</v>
      </c>
      <c r="I50" s="75">
        <v>3961.57</v>
      </c>
      <c r="J50" s="75">
        <v>2748537.27</v>
      </c>
      <c r="K50" s="137" t="s">
        <v>138</v>
      </c>
      <c r="L50" s="73"/>
      <c r="M50" s="46">
        <v>519.79999999999995</v>
      </c>
      <c r="N50" s="46">
        <v>0</v>
      </c>
      <c r="O50" s="46">
        <v>2059224.09</v>
      </c>
      <c r="P50" s="98"/>
      <c r="Q50" s="23" t="s">
        <v>1414</v>
      </c>
      <c r="R50" s="24" t="s">
        <v>137</v>
      </c>
      <c r="S50" s="25" t="s">
        <v>50</v>
      </c>
      <c r="T50" s="26">
        <v>693.8</v>
      </c>
      <c r="U50" s="26">
        <v>693.8</v>
      </c>
      <c r="V50" s="26">
        <f t="shared" si="10"/>
        <v>3961.57</v>
      </c>
      <c r="W50" s="243">
        <f>AH50-M50</f>
        <v>0</v>
      </c>
      <c r="X50" s="26">
        <f t="shared" si="3"/>
        <v>519.79999999999995</v>
      </c>
      <c r="Y50" s="26">
        <f t="shared" si="11"/>
        <v>0</v>
      </c>
      <c r="Z50" s="26">
        <f t="shared" si="4"/>
        <v>2059224.09</v>
      </c>
      <c r="AA50" s="33" t="s">
        <v>15</v>
      </c>
      <c r="AB50" s="36" t="s">
        <v>16</v>
      </c>
      <c r="AC50" s="181">
        <f t="shared" si="5"/>
        <v>693.8</v>
      </c>
      <c r="AD50" s="181">
        <f t="shared" si="12"/>
        <v>2748537.27</v>
      </c>
      <c r="AE50" s="181">
        <v>1.2</v>
      </c>
      <c r="AF50" s="181">
        <v>1.2</v>
      </c>
      <c r="AG50" s="101" t="str">
        <f t="shared" si="6"/>
        <v/>
      </c>
      <c r="AH50" s="191">
        <f>286.8+233</f>
        <v>519.79999999999995</v>
      </c>
      <c r="AI50" s="69">
        <f t="shared" si="7"/>
        <v>693.8</v>
      </c>
    </row>
    <row r="51" spans="1:35" s="69" customFormat="1" ht="26.1" customHeight="1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 t="s">
        <v>15</v>
      </c>
      <c r="I51" s="75">
        <v>3965.81</v>
      </c>
      <c r="J51" s="75">
        <v>1488090.89</v>
      </c>
      <c r="K51" s="137" t="s">
        <v>141</v>
      </c>
      <c r="L51" s="73"/>
      <c r="M51" s="46">
        <v>0</v>
      </c>
      <c r="N51" s="46">
        <v>0</v>
      </c>
      <c r="O51" s="46">
        <v>0</v>
      </c>
      <c r="P51" s="98"/>
      <c r="Q51" s="23" t="s">
        <v>1429</v>
      </c>
      <c r="R51" s="24" t="s">
        <v>140</v>
      </c>
      <c r="S51" s="25" t="s">
        <v>50</v>
      </c>
      <c r="T51" s="26">
        <v>375.23</v>
      </c>
      <c r="U51" s="26">
        <v>375.23</v>
      </c>
      <c r="V51" s="26">
        <f t="shared" si="10"/>
        <v>3965.81</v>
      </c>
      <c r="W51" s="199">
        <f t="shared" si="8"/>
        <v>215</v>
      </c>
      <c r="X51" s="26">
        <f t="shared" si="3"/>
        <v>215</v>
      </c>
      <c r="Y51" s="26">
        <f t="shared" si="11"/>
        <v>852649.15</v>
      </c>
      <c r="Z51" s="26">
        <f t="shared" si="4"/>
        <v>852649.15</v>
      </c>
      <c r="AA51" s="33" t="s">
        <v>15</v>
      </c>
      <c r="AB51" s="36" t="s">
        <v>16</v>
      </c>
      <c r="AC51" s="181">
        <f t="shared" si="5"/>
        <v>375.23</v>
      </c>
      <c r="AD51" s="181">
        <f t="shared" si="12"/>
        <v>1488090.89</v>
      </c>
      <c r="AE51" s="181">
        <v>1.2</v>
      </c>
      <c r="AF51" s="181">
        <v>1.2</v>
      </c>
      <c r="AG51" s="101" t="str">
        <f t="shared" si="6"/>
        <v/>
      </c>
      <c r="AH51" s="191">
        <f>215</f>
        <v>215</v>
      </c>
      <c r="AI51" s="69">
        <f t="shared" si="7"/>
        <v>375.23</v>
      </c>
    </row>
    <row r="52" spans="1:35" s="69" customFormat="1" ht="26.1" customHeight="1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 t="s">
        <v>15</v>
      </c>
      <c r="I52" s="75">
        <v>773.88</v>
      </c>
      <c r="J52" s="75">
        <v>26931.02</v>
      </c>
      <c r="K52" s="91" t="s">
        <v>144</v>
      </c>
      <c r="L52" s="73"/>
      <c r="M52" s="46">
        <v>0</v>
      </c>
      <c r="N52" s="46">
        <v>0</v>
      </c>
      <c r="O52" s="46">
        <v>0</v>
      </c>
      <c r="P52" s="98"/>
      <c r="Q52" s="23" t="s">
        <v>1430</v>
      </c>
      <c r="R52" s="24" t="s">
        <v>143</v>
      </c>
      <c r="S52" s="25" t="s">
        <v>50</v>
      </c>
      <c r="T52" s="26">
        <v>34.799999999999997</v>
      </c>
      <c r="U52" s="26">
        <v>34.799999999999997</v>
      </c>
      <c r="V52" s="26">
        <f t="shared" si="10"/>
        <v>773.88</v>
      </c>
      <c r="W52" s="26">
        <f t="shared" si="8"/>
        <v>0</v>
      </c>
      <c r="X52" s="26">
        <f t="shared" si="3"/>
        <v>0</v>
      </c>
      <c r="Y52" s="26">
        <f t="shared" si="11"/>
        <v>0</v>
      </c>
      <c r="Z52" s="26">
        <f t="shared" si="4"/>
        <v>0</v>
      </c>
      <c r="AA52" s="33" t="s">
        <v>15</v>
      </c>
      <c r="AB52" s="36" t="s">
        <v>16</v>
      </c>
      <c r="AC52" s="181">
        <f t="shared" si="5"/>
        <v>34.799999999999997</v>
      </c>
      <c r="AD52" s="181">
        <f t="shared" si="12"/>
        <v>26931.02</v>
      </c>
      <c r="AE52" s="181">
        <v>1.2</v>
      </c>
      <c r="AF52" s="181">
        <v>1.2</v>
      </c>
      <c r="AG52" s="101" t="str">
        <f t="shared" si="6"/>
        <v/>
      </c>
      <c r="AH52" s="190">
        <v>0</v>
      </c>
      <c r="AI52" s="69">
        <f t="shared" si="7"/>
        <v>34.799999999999997</v>
      </c>
    </row>
    <row r="53" spans="1:35" s="69" customFormat="1" ht="26.1" customHeight="1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 t="s">
        <v>15</v>
      </c>
      <c r="I53" s="75">
        <v>948.4</v>
      </c>
      <c r="J53" s="75">
        <v>11361.83</v>
      </c>
      <c r="K53" s="91" t="s">
        <v>147</v>
      </c>
      <c r="L53" s="73"/>
      <c r="M53" s="46">
        <v>0</v>
      </c>
      <c r="N53" s="46">
        <v>0</v>
      </c>
      <c r="O53" s="46">
        <v>0</v>
      </c>
      <c r="P53" s="98"/>
      <c r="Q53" s="23" t="s">
        <v>1431</v>
      </c>
      <c r="R53" s="24" t="s">
        <v>146</v>
      </c>
      <c r="S53" s="25" t="s">
        <v>50</v>
      </c>
      <c r="T53" s="26">
        <v>11.98</v>
      </c>
      <c r="U53" s="26">
        <v>11.98</v>
      </c>
      <c r="V53" s="26">
        <f t="shared" si="10"/>
        <v>948.4</v>
      </c>
      <c r="W53" s="26">
        <f t="shared" si="8"/>
        <v>0</v>
      </c>
      <c r="X53" s="26">
        <f t="shared" si="3"/>
        <v>0</v>
      </c>
      <c r="Y53" s="26">
        <f t="shared" si="11"/>
        <v>0</v>
      </c>
      <c r="Z53" s="26">
        <f t="shared" si="4"/>
        <v>0</v>
      </c>
      <c r="AA53" s="33" t="s">
        <v>15</v>
      </c>
      <c r="AB53" s="36" t="s">
        <v>16</v>
      </c>
      <c r="AC53" s="181">
        <f t="shared" si="5"/>
        <v>11.98</v>
      </c>
      <c r="AD53" s="181">
        <f t="shared" si="12"/>
        <v>11361.83</v>
      </c>
      <c r="AE53" s="181">
        <v>1.2</v>
      </c>
      <c r="AF53" s="181">
        <v>1.2</v>
      </c>
      <c r="AG53" s="101" t="str">
        <f t="shared" si="6"/>
        <v/>
      </c>
      <c r="AH53" s="190">
        <v>0</v>
      </c>
      <c r="AI53" s="69">
        <f t="shared" si="7"/>
        <v>11.98</v>
      </c>
    </row>
    <row r="54" spans="1:35" s="69" customFormat="1" ht="26.1" customHeight="1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 t="s">
        <v>15</v>
      </c>
      <c r="I54" s="75">
        <v>6163.46</v>
      </c>
      <c r="J54" s="75">
        <v>870650.36</v>
      </c>
      <c r="K54" s="91" t="s">
        <v>150</v>
      </c>
      <c r="L54" s="73"/>
      <c r="M54" s="46">
        <v>12</v>
      </c>
      <c r="N54" s="46">
        <v>0</v>
      </c>
      <c r="O54" s="46">
        <v>73961.52</v>
      </c>
      <c r="P54" s="98"/>
      <c r="Q54" s="23" t="s">
        <v>1395</v>
      </c>
      <c r="R54" s="24" t="s">
        <v>149</v>
      </c>
      <c r="S54" s="25" t="s">
        <v>50</v>
      </c>
      <c r="T54" s="26">
        <v>141.26</v>
      </c>
      <c r="U54" s="26">
        <v>141.26</v>
      </c>
      <c r="V54" s="26">
        <f t="shared" si="10"/>
        <v>6163.46</v>
      </c>
      <c r="W54" s="128">
        <f t="shared" si="8"/>
        <v>0</v>
      </c>
      <c r="X54" s="26">
        <f t="shared" si="3"/>
        <v>12</v>
      </c>
      <c r="Y54" s="26">
        <f t="shared" si="11"/>
        <v>0</v>
      </c>
      <c r="Z54" s="26">
        <f t="shared" si="4"/>
        <v>73961.52</v>
      </c>
      <c r="AA54" s="33" t="s">
        <v>15</v>
      </c>
      <c r="AB54" s="36" t="s">
        <v>16</v>
      </c>
      <c r="AC54" s="181">
        <f t="shared" si="5"/>
        <v>141.26</v>
      </c>
      <c r="AD54" s="181">
        <f t="shared" si="12"/>
        <v>870650.36</v>
      </c>
      <c r="AE54" s="181">
        <v>1.2</v>
      </c>
      <c r="AF54" s="181">
        <v>1.2</v>
      </c>
      <c r="AG54" s="101" t="str">
        <f t="shared" si="6"/>
        <v/>
      </c>
      <c r="AH54" s="191">
        <f>12</f>
        <v>12</v>
      </c>
      <c r="AI54" s="69">
        <f t="shared" si="7"/>
        <v>141.26</v>
      </c>
    </row>
    <row r="55" spans="1:35" s="69" customFormat="1" ht="26.1" customHeight="1" x14ac:dyDescent="0.3">
      <c r="A55" s="130" t="s">
        <v>151</v>
      </c>
      <c r="B55" s="131" t="s">
        <v>152</v>
      </c>
      <c r="C55" s="132" t="s">
        <v>81</v>
      </c>
      <c r="D55" s="133">
        <v>1</v>
      </c>
      <c r="E55" s="75"/>
      <c r="F55" s="75"/>
      <c r="G55" s="75"/>
      <c r="H55" s="75" t="s">
        <v>15</v>
      </c>
      <c r="I55" s="75">
        <v>169519.61</v>
      </c>
      <c r="J55" s="75">
        <v>169519.61</v>
      </c>
      <c r="K55" s="91" t="s">
        <v>153</v>
      </c>
      <c r="L55" s="73"/>
      <c r="M55" s="46">
        <v>1</v>
      </c>
      <c r="N55" s="46">
        <v>169519.61</v>
      </c>
      <c r="O55" s="46">
        <v>169519.61</v>
      </c>
      <c r="P55" s="98"/>
      <c r="Q55" s="23" t="s">
        <v>1432</v>
      </c>
      <c r="R55" s="24" t="s">
        <v>152</v>
      </c>
      <c r="S55" s="25" t="s">
        <v>81</v>
      </c>
      <c r="T55" s="26">
        <v>1</v>
      </c>
      <c r="U55" s="26">
        <v>1</v>
      </c>
      <c r="V55" s="26">
        <f t="shared" si="10"/>
        <v>169519.61</v>
      </c>
      <c r="W55" s="209">
        <f t="shared" si="8"/>
        <v>0</v>
      </c>
      <c r="X55" s="127">
        <f t="shared" si="3"/>
        <v>1</v>
      </c>
      <c r="Y55" s="127">
        <f t="shared" si="11"/>
        <v>0</v>
      </c>
      <c r="Z55" s="127">
        <f t="shared" si="4"/>
        <v>169519.61</v>
      </c>
      <c r="AA55" s="33" t="s">
        <v>15</v>
      </c>
      <c r="AB55" s="36" t="s">
        <v>16</v>
      </c>
      <c r="AC55" s="181">
        <f t="shared" si="5"/>
        <v>1</v>
      </c>
      <c r="AD55" s="181">
        <f t="shared" si="12"/>
        <v>169519.61</v>
      </c>
      <c r="AE55" s="181">
        <v>1.2</v>
      </c>
      <c r="AF55" s="181">
        <v>1.2</v>
      </c>
      <c r="AG55" s="101" t="str">
        <f t="shared" si="6"/>
        <v/>
      </c>
      <c r="AH55" s="194">
        <f>1</f>
        <v>1</v>
      </c>
      <c r="AI55" s="69">
        <f t="shared" si="7"/>
        <v>1</v>
      </c>
    </row>
    <row r="56" spans="1:35" s="69" customFormat="1" ht="26.1" customHeight="1" x14ac:dyDescent="0.3">
      <c r="A56" s="130" t="s">
        <v>154</v>
      </c>
      <c r="B56" s="131" t="s">
        <v>155</v>
      </c>
      <c r="C56" s="132" t="s">
        <v>81</v>
      </c>
      <c r="D56" s="133">
        <v>1</v>
      </c>
      <c r="E56" s="75"/>
      <c r="F56" s="75"/>
      <c r="G56" s="75"/>
      <c r="H56" s="75" t="s">
        <v>15</v>
      </c>
      <c r="I56" s="75">
        <v>350211.64</v>
      </c>
      <c r="J56" s="75">
        <v>350211.64</v>
      </c>
      <c r="K56" s="91" t="s">
        <v>156</v>
      </c>
      <c r="L56" s="73"/>
      <c r="M56" s="46">
        <v>1</v>
      </c>
      <c r="N56" s="46">
        <v>0</v>
      </c>
      <c r="O56" s="46">
        <v>350211.64</v>
      </c>
      <c r="P56" s="98"/>
      <c r="Q56" s="23" t="s">
        <v>1433</v>
      </c>
      <c r="R56" s="24" t="s">
        <v>155</v>
      </c>
      <c r="S56" s="25" t="s">
        <v>81</v>
      </c>
      <c r="T56" s="26">
        <v>1</v>
      </c>
      <c r="U56" s="26">
        <v>1</v>
      </c>
      <c r="V56" s="26">
        <f t="shared" si="10"/>
        <v>350211.64</v>
      </c>
      <c r="W56" s="209">
        <f t="shared" si="8"/>
        <v>0</v>
      </c>
      <c r="X56" s="127">
        <f t="shared" si="3"/>
        <v>1</v>
      </c>
      <c r="Y56" s="127">
        <f t="shared" si="11"/>
        <v>0</v>
      </c>
      <c r="Z56" s="127">
        <f t="shared" si="4"/>
        <v>350211.64</v>
      </c>
      <c r="AA56" s="33" t="s">
        <v>15</v>
      </c>
      <c r="AB56" s="36" t="s">
        <v>16</v>
      </c>
      <c r="AC56" s="181">
        <f t="shared" si="5"/>
        <v>1</v>
      </c>
      <c r="AD56" s="181">
        <f t="shared" si="12"/>
        <v>350211.64</v>
      </c>
      <c r="AE56" s="181">
        <v>1.2</v>
      </c>
      <c r="AF56" s="181">
        <v>1.2</v>
      </c>
      <c r="AG56" s="101" t="str">
        <f t="shared" si="6"/>
        <v/>
      </c>
      <c r="AH56" s="194">
        <f>1</f>
        <v>1</v>
      </c>
      <c r="AI56" s="69">
        <f t="shared" si="7"/>
        <v>1</v>
      </c>
    </row>
    <row r="57" spans="1:35" s="69" customFormat="1" ht="26.1" customHeight="1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 t="s">
        <v>15</v>
      </c>
      <c r="I57" s="75">
        <v>309726.87</v>
      </c>
      <c r="J57" s="75">
        <v>309726.87</v>
      </c>
      <c r="K57" s="91" t="s">
        <v>159</v>
      </c>
      <c r="L57" s="73"/>
      <c r="M57" s="46">
        <v>0</v>
      </c>
      <c r="N57" s="46">
        <v>0</v>
      </c>
      <c r="O57" s="46">
        <v>0</v>
      </c>
      <c r="P57" s="98"/>
      <c r="Q57" s="23" t="s">
        <v>1382</v>
      </c>
      <c r="R57" s="24" t="s">
        <v>158</v>
      </c>
      <c r="S57" s="25" t="s">
        <v>81</v>
      </c>
      <c r="T57" s="26">
        <v>1</v>
      </c>
      <c r="U57" s="26">
        <v>1</v>
      </c>
      <c r="V57" s="26">
        <f t="shared" si="10"/>
        <v>309726.87</v>
      </c>
      <c r="W57" s="26">
        <f t="shared" si="8"/>
        <v>0</v>
      </c>
      <c r="X57" s="26">
        <f t="shared" si="3"/>
        <v>0</v>
      </c>
      <c r="Y57" s="26">
        <f t="shared" si="11"/>
        <v>0</v>
      </c>
      <c r="Z57" s="26">
        <f t="shared" si="4"/>
        <v>0</v>
      </c>
      <c r="AA57" s="33" t="s">
        <v>15</v>
      </c>
      <c r="AB57" s="36" t="s">
        <v>16</v>
      </c>
      <c r="AC57" s="181">
        <f t="shared" si="5"/>
        <v>1</v>
      </c>
      <c r="AD57" s="181">
        <f t="shared" si="12"/>
        <v>309726.87</v>
      </c>
      <c r="AE57" s="181">
        <v>1.2</v>
      </c>
      <c r="AF57" s="181">
        <v>1.2</v>
      </c>
      <c r="AG57" s="101" t="str">
        <f t="shared" si="6"/>
        <v/>
      </c>
      <c r="AH57" s="192">
        <v>0</v>
      </c>
      <c r="AI57" s="69">
        <f t="shared" si="7"/>
        <v>1</v>
      </c>
    </row>
    <row r="58" spans="1:35" s="69" customFormat="1" ht="26.1" customHeight="1" x14ac:dyDescent="0.3">
      <c r="A58" s="130" t="s">
        <v>160</v>
      </c>
      <c r="B58" s="131" t="s">
        <v>161</v>
      </c>
      <c r="C58" s="132" t="s">
        <v>162</v>
      </c>
      <c r="D58" s="133">
        <v>19</v>
      </c>
      <c r="E58" s="75"/>
      <c r="F58" s="75"/>
      <c r="G58" s="75"/>
      <c r="H58" s="75" t="s">
        <v>15</v>
      </c>
      <c r="I58" s="75">
        <v>1134.56</v>
      </c>
      <c r="J58" s="75">
        <v>21556.639999999999</v>
      </c>
      <c r="K58" s="91" t="s">
        <v>163</v>
      </c>
      <c r="L58" s="73"/>
      <c r="M58" s="46">
        <v>19</v>
      </c>
      <c r="N58" s="46">
        <v>5672.7999999999993</v>
      </c>
      <c r="O58" s="46">
        <v>21556.639999999999</v>
      </c>
      <c r="P58" s="98"/>
      <c r="Q58" s="23" t="s">
        <v>1434</v>
      </c>
      <c r="R58" s="24" t="s">
        <v>161</v>
      </c>
      <c r="S58" s="25" t="s">
        <v>162</v>
      </c>
      <c r="T58" s="26">
        <v>19</v>
      </c>
      <c r="U58" s="26">
        <v>19</v>
      </c>
      <c r="V58" s="26">
        <f t="shared" si="10"/>
        <v>1134.56</v>
      </c>
      <c r="W58" s="209">
        <f t="shared" si="8"/>
        <v>0</v>
      </c>
      <c r="X58" s="127">
        <f t="shared" si="3"/>
        <v>19</v>
      </c>
      <c r="Y58" s="127">
        <f t="shared" si="11"/>
        <v>0</v>
      </c>
      <c r="Z58" s="127">
        <f t="shared" si="4"/>
        <v>21556.639999999999</v>
      </c>
      <c r="AA58" s="33" t="s">
        <v>15</v>
      </c>
      <c r="AB58" s="36" t="s">
        <v>16</v>
      </c>
      <c r="AC58" s="181">
        <f t="shared" si="5"/>
        <v>19</v>
      </c>
      <c r="AD58" s="181">
        <f t="shared" si="12"/>
        <v>21556.639999999999</v>
      </c>
      <c r="AE58" s="181">
        <v>1.2</v>
      </c>
      <c r="AF58" s="181">
        <v>1.2</v>
      </c>
      <c r="AG58" s="101" t="str">
        <f t="shared" si="6"/>
        <v/>
      </c>
      <c r="AH58" s="194">
        <f>14+5</f>
        <v>19</v>
      </c>
      <c r="AI58" s="69">
        <f t="shared" si="7"/>
        <v>19</v>
      </c>
    </row>
    <row r="59" spans="1:35" s="69" customFormat="1" ht="26.1" customHeight="1" x14ac:dyDescent="0.3">
      <c r="A59" s="130" t="s">
        <v>164</v>
      </c>
      <c r="B59" s="131" t="s">
        <v>165</v>
      </c>
      <c r="C59" s="132" t="s">
        <v>103</v>
      </c>
      <c r="D59" s="133">
        <v>179.11</v>
      </c>
      <c r="E59" s="75"/>
      <c r="F59" s="75"/>
      <c r="G59" s="75"/>
      <c r="H59" s="75" t="s">
        <v>15</v>
      </c>
      <c r="I59" s="120">
        <v>145.21</v>
      </c>
      <c r="J59" s="75">
        <v>26008.560000000001</v>
      </c>
      <c r="K59" s="91" t="s">
        <v>166</v>
      </c>
      <c r="L59" s="73"/>
      <c r="M59" s="46">
        <v>0</v>
      </c>
      <c r="N59" s="46">
        <v>0</v>
      </c>
      <c r="O59" s="46">
        <v>0</v>
      </c>
      <c r="P59" s="98"/>
      <c r="Q59" s="23" t="s">
        <v>1388</v>
      </c>
      <c r="R59" s="24" t="s">
        <v>165</v>
      </c>
      <c r="S59" s="25" t="s">
        <v>103</v>
      </c>
      <c r="T59" s="26">
        <v>179.11</v>
      </c>
      <c r="U59" s="26">
        <v>179.11</v>
      </c>
      <c r="V59" s="26">
        <f t="shared" si="10"/>
        <v>145.21</v>
      </c>
      <c r="W59" s="199">
        <f t="shared" si="8"/>
        <v>179.11</v>
      </c>
      <c r="X59" s="127">
        <f t="shared" si="3"/>
        <v>179.11</v>
      </c>
      <c r="Y59" s="127">
        <f t="shared" si="11"/>
        <v>26008.560000000001</v>
      </c>
      <c r="Z59" s="127">
        <f t="shared" si="4"/>
        <v>26008.560000000001</v>
      </c>
      <c r="AA59" s="33" t="s">
        <v>15</v>
      </c>
      <c r="AB59" s="36" t="s">
        <v>16</v>
      </c>
      <c r="AC59" s="181">
        <f t="shared" si="5"/>
        <v>179.11</v>
      </c>
      <c r="AD59" s="181">
        <f t="shared" si="12"/>
        <v>26008.560000000001</v>
      </c>
      <c r="AE59" s="181">
        <v>1.2</v>
      </c>
      <c r="AF59" s="181">
        <v>1.2</v>
      </c>
      <c r="AG59" s="101" t="str">
        <f t="shared" si="6"/>
        <v/>
      </c>
      <c r="AH59" s="191">
        <f>179.11</f>
        <v>179.11</v>
      </c>
      <c r="AI59" s="69">
        <f t="shared" si="7"/>
        <v>179.11</v>
      </c>
    </row>
    <row r="60" spans="1:35" s="69" customFormat="1" ht="26.1" customHeight="1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 t="s">
        <v>15</v>
      </c>
      <c r="I60" s="75">
        <v>2755.97</v>
      </c>
      <c r="J60" s="75">
        <v>2176665.11</v>
      </c>
      <c r="K60" s="91" t="s">
        <v>169</v>
      </c>
      <c r="L60" s="73"/>
      <c r="M60" s="46">
        <v>569</v>
      </c>
      <c r="N60" s="46">
        <v>0</v>
      </c>
      <c r="O60" s="46">
        <v>1568146.93</v>
      </c>
      <c r="P60" s="98"/>
      <c r="Q60" s="23" t="s">
        <v>1389</v>
      </c>
      <c r="R60" s="24" t="s">
        <v>168</v>
      </c>
      <c r="S60" s="25" t="s">
        <v>30</v>
      </c>
      <c r="T60" s="26">
        <v>789.8</v>
      </c>
      <c r="U60" s="26">
        <v>789.8</v>
      </c>
      <c r="V60" s="26">
        <f t="shared" si="10"/>
        <v>2755.97</v>
      </c>
      <c r="W60" s="243">
        <f t="shared" si="8"/>
        <v>0</v>
      </c>
      <c r="X60" s="26">
        <f t="shared" si="3"/>
        <v>569</v>
      </c>
      <c r="Y60" s="26">
        <f t="shared" si="11"/>
        <v>0</v>
      </c>
      <c r="Z60" s="26">
        <f t="shared" si="4"/>
        <v>1568146.93</v>
      </c>
      <c r="AA60" s="33" t="s">
        <v>15</v>
      </c>
      <c r="AB60" s="36" t="s">
        <v>16</v>
      </c>
      <c r="AC60" s="181">
        <f t="shared" si="5"/>
        <v>789.8</v>
      </c>
      <c r="AD60" s="181">
        <f t="shared" si="12"/>
        <v>2176665.11</v>
      </c>
      <c r="AE60" s="181">
        <v>1.2</v>
      </c>
      <c r="AF60" s="181">
        <v>1.2</v>
      </c>
      <c r="AG60" s="101" t="str">
        <f t="shared" si="6"/>
        <v/>
      </c>
      <c r="AH60" s="191">
        <f>164+313.8+91.2</f>
        <v>569</v>
      </c>
      <c r="AI60" s="69">
        <f t="shared" si="7"/>
        <v>789.8</v>
      </c>
    </row>
    <row r="61" spans="1:35" s="69" customFormat="1" ht="26.1" customHeight="1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 t="s">
        <v>15</v>
      </c>
      <c r="I61" s="75">
        <v>576.79999999999995</v>
      </c>
      <c r="J61" s="75">
        <v>18053.84</v>
      </c>
      <c r="K61" s="91" t="s">
        <v>172</v>
      </c>
      <c r="L61" s="73"/>
      <c r="M61" s="46">
        <v>0</v>
      </c>
      <c r="N61" s="46">
        <v>0</v>
      </c>
      <c r="O61" s="46">
        <v>0</v>
      </c>
      <c r="P61" s="98"/>
      <c r="Q61" s="23" t="s">
        <v>1390</v>
      </c>
      <c r="R61" s="24" t="s">
        <v>171</v>
      </c>
      <c r="S61" s="25" t="s">
        <v>30</v>
      </c>
      <c r="T61" s="26">
        <v>31.3</v>
      </c>
      <c r="U61" s="26">
        <v>31.3</v>
      </c>
      <c r="V61" s="26">
        <f t="shared" si="10"/>
        <v>576.79999999999995</v>
      </c>
      <c r="W61" s="26">
        <f t="shared" si="8"/>
        <v>0</v>
      </c>
      <c r="X61" s="26">
        <f t="shared" si="3"/>
        <v>0</v>
      </c>
      <c r="Y61" s="26">
        <f t="shared" si="11"/>
        <v>0</v>
      </c>
      <c r="Z61" s="26">
        <f t="shared" si="4"/>
        <v>0</v>
      </c>
      <c r="AA61" s="33" t="s">
        <v>15</v>
      </c>
      <c r="AB61" s="36" t="s">
        <v>16</v>
      </c>
      <c r="AC61" s="181">
        <f t="shared" si="5"/>
        <v>31.3</v>
      </c>
      <c r="AD61" s="181">
        <f t="shared" si="12"/>
        <v>18053.84</v>
      </c>
      <c r="AE61" s="181">
        <v>1.2</v>
      </c>
      <c r="AF61" s="181">
        <v>1.2</v>
      </c>
      <c r="AG61" s="101" t="str">
        <f t="shared" si="6"/>
        <v/>
      </c>
      <c r="AH61" s="190">
        <v>0</v>
      </c>
      <c r="AI61" s="69">
        <f t="shared" si="7"/>
        <v>31.3</v>
      </c>
    </row>
    <row r="62" spans="1:35" s="69" customFormat="1" ht="26.1" customHeight="1" x14ac:dyDescent="0.3">
      <c r="A62" s="55" t="s">
        <v>173</v>
      </c>
      <c r="B62" s="215" t="s">
        <v>174</v>
      </c>
      <c r="C62" s="54" t="s">
        <v>30</v>
      </c>
      <c r="D62" s="75">
        <v>360.35</v>
      </c>
      <c r="E62" s="75"/>
      <c r="F62" s="75"/>
      <c r="G62" s="75"/>
      <c r="H62" s="75" t="s">
        <v>15</v>
      </c>
      <c r="I62" s="75">
        <v>615.34</v>
      </c>
      <c r="J62" s="75">
        <v>221737.77</v>
      </c>
      <c r="K62" s="91" t="s">
        <v>175</v>
      </c>
      <c r="L62" s="73"/>
      <c r="M62" s="46">
        <v>230</v>
      </c>
      <c r="N62" s="46">
        <v>0</v>
      </c>
      <c r="O62" s="46">
        <v>141528.20000000001</v>
      </c>
      <c r="P62" s="98"/>
      <c r="Q62" s="23" t="s">
        <v>1391</v>
      </c>
      <c r="R62" s="24" t="s">
        <v>174</v>
      </c>
      <c r="S62" s="25" t="s">
        <v>30</v>
      </c>
      <c r="T62" s="26">
        <v>360.35</v>
      </c>
      <c r="U62" s="26">
        <v>360.35</v>
      </c>
      <c r="V62" s="26">
        <f t="shared" si="10"/>
        <v>615.34</v>
      </c>
      <c r="W62" s="243">
        <f t="shared" si="8"/>
        <v>62</v>
      </c>
      <c r="X62" s="26">
        <f t="shared" si="3"/>
        <v>292</v>
      </c>
      <c r="Y62" s="26">
        <f t="shared" si="11"/>
        <v>38151.079999999987</v>
      </c>
      <c r="Z62" s="26">
        <f t="shared" si="4"/>
        <v>179679.28</v>
      </c>
      <c r="AA62" s="33" t="s">
        <v>15</v>
      </c>
      <c r="AB62" s="36" t="s">
        <v>16</v>
      </c>
      <c r="AC62" s="181">
        <f t="shared" si="5"/>
        <v>360.35</v>
      </c>
      <c r="AD62" s="181">
        <f t="shared" si="12"/>
        <v>221737.77</v>
      </c>
      <c r="AE62" s="181">
        <v>1.2</v>
      </c>
      <c r="AF62" s="181">
        <v>1.2</v>
      </c>
      <c r="AG62" s="101" t="str">
        <f t="shared" si="6"/>
        <v/>
      </c>
      <c r="AH62" s="191">
        <f>132+98+62</f>
        <v>292</v>
      </c>
      <c r="AI62" s="69">
        <f t="shared" si="7"/>
        <v>360.35</v>
      </c>
    </row>
    <row r="63" spans="1:35" s="69" customFormat="1" ht="26.1" customHeight="1" x14ac:dyDescent="0.3">
      <c r="A63" s="55" t="s">
        <v>176</v>
      </c>
      <c r="B63" s="215" t="s">
        <v>177</v>
      </c>
      <c r="C63" s="54" t="s">
        <v>30</v>
      </c>
      <c r="D63" s="75">
        <v>691.14</v>
      </c>
      <c r="E63" s="75"/>
      <c r="F63" s="75"/>
      <c r="G63" s="75"/>
      <c r="H63" s="75" t="s">
        <v>15</v>
      </c>
      <c r="I63" s="75">
        <v>685.3</v>
      </c>
      <c r="J63" s="75">
        <v>473638.24</v>
      </c>
      <c r="K63" s="91" t="s">
        <v>178</v>
      </c>
      <c r="L63" s="73"/>
      <c r="M63" s="46">
        <v>560.70000000000005</v>
      </c>
      <c r="N63" s="46">
        <v>0</v>
      </c>
      <c r="O63" s="46">
        <v>384247.71</v>
      </c>
      <c r="P63" s="98"/>
      <c r="Q63" s="23" t="s">
        <v>1436</v>
      </c>
      <c r="R63" s="24" t="s">
        <v>177</v>
      </c>
      <c r="S63" s="25" t="s">
        <v>30</v>
      </c>
      <c r="T63" s="26">
        <v>691.14</v>
      </c>
      <c r="U63" s="26">
        <v>691.14</v>
      </c>
      <c r="V63" s="26">
        <f t="shared" si="10"/>
        <v>685.3</v>
      </c>
      <c r="W63" s="243">
        <f t="shared" si="8"/>
        <v>109.29999999999995</v>
      </c>
      <c r="X63" s="26">
        <f t="shared" si="3"/>
        <v>670</v>
      </c>
      <c r="Y63" s="26">
        <f t="shared" si="11"/>
        <v>74903.289999999979</v>
      </c>
      <c r="Z63" s="26">
        <f t="shared" si="4"/>
        <v>459151</v>
      </c>
      <c r="AA63" s="33" t="s">
        <v>15</v>
      </c>
      <c r="AB63" s="36" t="s">
        <v>16</v>
      </c>
      <c r="AC63" s="181">
        <f t="shared" si="5"/>
        <v>691.14</v>
      </c>
      <c r="AD63" s="181">
        <f t="shared" si="12"/>
        <v>473638.24</v>
      </c>
      <c r="AE63" s="181">
        <v>1.2</v>
      </c>
      <c r="AF63" s="181">
        <v>1.2</v>
      </c>
      <c r="AG63" s="101" t="str">
        <f t="shared" si="6"/>
        <v/>
      </c>
      <c r="AH63" s="191">
        <f>421+139.7+109.3</f>
        <v>670</v>
      </c>
      <c r="AI63" s="69">
        <f t="shared" si="7"/>
        <v>691.14</v>
      </c>
    </row>
    <row r="64" spans="1:35" s="69" customFormat="1" ht="26.1" customHeight="1" x14ac:dyDescent="0.3">
      <c r="A64" s="55" t="s">
        <v>179</v>
      </c>
      <c r="B64" s="215" t="s">
        <v>180</v>
      </c>
      <c r="C64" s="54" t="s">
        <v>30</v>
      </c>
      <c r="D64" s="75">
        <v>890.62</v>
      </c>
      <c r="E64" s="75"/>
      <c r="F64" s="75"/>
      <c r="G64" s="75"/>
      <c r="H64" s="75" t="s">
        <v>15</v>
      </c>
      <c r="I64" s="75">
        <v>699.72</v>
      </c>
      <c r="J64" s="75">
        <v>623184.63</v>
      </c>
      <c r="K64" s="91" t="s">
        <v>181</v>
      </c>
      <c r="L64" s="73"/>
      <c r="M64" s="46">
        <v>876.5</v>
      </c>
      <c r="N64" s="46">
        <v>43382.640000000014</v>
      </c>
      <c r="O64" s="46">
        <v>613304.57999999996</v>
      </c>
      <c r="P64" s="98"/>
      <c r="Q64" s="23" t="s">
        <v>1374</v>
      </c>
      <c r="R64" s="24" t="s">
        <v>180</v>
      </c>
      <c r="S64" s="25" t="s">
        <v>30</v>
      </c>
      <c r="T64" s="26">
        <v>890.62</v>
      </c>
      <c r="U64" s="26">
        <v>890.62</v>
      </c>
      <c r="V64" s="26">
        <f t="shared" si="10"/>
        <v>699.72</v>
      </c>
      <c r="W64" s="128">
        <f t="shared" si="8"/>
        <v>0</v>
      </c>
      <c r="X64" s="26">
        <f t="shared" si="3"/>
        <v>876.5</v>
      </c>
      <c r="Y64" s="26">
        <f t="shared" si="11"/>
        <v>0</v>
      </c>
      <c r="Z64" s="26">
        <f t="shared" si="4"/>
        <v>613304.57999999996</v>
      </c>
      <c r="AA64" s="33" t="s">
        <v>15</v>
      </c>
      <c r="AB64" s="36" t="s">
        <v>16</v>
      </c>
      <c r="AC64" s="181">
        <f t="shared" si="5"/>
        <v>890.62</v>
      </c>
      <c r="AD64" s="181">
        <f t="shared" si="12"/>
        <v>623184.63</v>
      </c>
      <c r="AE64" s="181">
        <v>1.2</v>
      </c>
      <c r="AF64" s="181">
        <v>1.2</v>
      </c>
      <c r="AG64" s="101" t="str">
        <f t="shared" si="6"/>
        <v/>
      </c>
      <c r="AH64" s="194">
        <f>457+192+52.1+113.4+62</f>
        <v>876.5</v>
      </c>
      <c r="AI64" s="69">
        <f t="shared" si="7"/>
        <v>890.62</v>
      </c>
    </row>
    <row r="65" spans="1:35" s="69" customFormat="1" ht="26.1" customHeight="1" x14ac:dyDescent="0.3">
      <c r="A65" s="55" t="s">
        <v>182</v>
      </c>
      <c r="B65" s="215" t="s">
        <v>183</v>
      </c>
      <c r="C65" s="54" t="s">
        <v>30</v>
      </c>
      <c r="D65" s="75">
        <v>85.77</v>
      </c>
      <c r="E65" s="75"/>
      <c r="F65" s="75"/>
      <c r="G65" s="75"/>
      <c r="H65" s="75" t="s">
        <v>15</v>
      </c>
      <c r="I65" s="75">
        <v>1199.33</v>
      </c>
      <c r="J65" s="75">
        <v>102866.53</v>
      </c>
      <c r="K65" s="91" t="s">
        <v>184</v>
      </c>
      <c r="L65" s="73"/>
      <c r="M65" s="46">
        <v>80.5</v>
      </c>
      <c r="N65" s="46">
        <v>50371.860000000008</v>
      </c>
      <c r="O65" s="46">
        <v>96546.07</v>
      </c>
      <c r="P65" s="98"/>
      <c r="Q65" s="23" t="s">
        <v>1376</v>
      </c>
      <c r="R65" s="24" t="s">
        <v>183</v>
      </c>
      <c r="S65" s="25" t="s">
        <v>30</v>
      </c>
      <c r="T65" s="26">
        <v>85.77</v>
      </c>
      <c r="U65" s="26">
        <v>85.77</v>
      </c>
      <c r="V65" s="26">
        <f t="shared" si="10"/>
        <v>1199.33</v>
      </c>
      <c r="W65" s="128">
        <f t="shared" si="8"/>
        <v>0</v>
      </c>
      <c r="X65" s="26">
        <f t="shared" si="3"/>
        <v>80.5</v>
      </c>
      <c r="Y65" s="26">
        <f t="shared" si="11"/>
        <v>0</v>
      </c>
      <c r="Z65" s="26">
        <f t="shared" si="4"/>
        <v>96546.07</v>
      </c>
      <c r="AA65" s="33" t="s">
        <v>15</v>
      </c>
      <c r="AB65" s="36" t="s">
        <v>16</v>
      </c>
      <c r="AC65" s="181">
        <f t="shared" si="5"/>
        <v>85.77</v>
      </c>
      <c r="AD65" s="181">
        <f t="shared" si="12"/>
        <v>102866.53</v>
      </c>
      <c r="AE65" s="181">
        <v>1.2</v>
      </c>
      <c r="AF65" s="181">
        <v>1.2</v>
      </c>
      <c r="AG65" s="101" t="str">
        <f t="shared" si="6"/>
        <v/>
      </c>
      <c r="AH65" s="194">
        <f>12+26.5+42</f>
        <v>80.5</v>
      </c>
      <c r="AI65" s="69">
        <f t="shared" si="7"/>
        <v>85.77</v>
      </c>
    </row>
    <row r="66" spans="1:35" s="69" customFormat="1" ht="26.1" customHeight="1" x14ac:dyDescent="0.3">
      <c r="A66" s="55" t="s">
        <v>185</v>
      </c>
      <c r="B66" s="53" t="s">
        <v>186</v>
      </c>
      <c r="C66" s="54" t="s">
        <v>30</v>
      </c>
      <c r="D66" s="75">
        <v>187.82</v>
      </c>
      <c r="E66" s="75"/>
      <c r="F66" s="75"/>
      <c r="G66" s="75"/>
      <c r="H66" s="75" t="s">
        <v>15</v>
      </c>
      <c r="I66" s="75">
        <v>57.68</v>
      </c>
      <c r="J66" s="75">
        <v>10833.46</v>
      </c>
      <c r="K66" s="91" t="s">
        <v>187</v>
      </c>
      <c r="L66" s="73"/>
      <c r="M66" s="46">
        <v>181.8</v>
      </c>
      <c r="N66" s="46">
        <v>2837.8499999999995</v>
      </c>
      <c r="O66" s="46">
        <v>10486.22</v>
      </c>
      <c r="P66" s="98"/>
      <c r="Q66" s="23" t="s">
        <v>1378</v>
      </c>
      <c r="R66" s="24" t="s">
        <v>186</v>
      </c>
      <c r="S66" s="25" t="s">
        <v>30</v>
      </c>
      <c r="T66" s="26">
        <v>187.82</v>
      </c>
      <c r="U66" s="26">
        <v>187.82</v>
      </c>
      <c r="V66" s="26">
        <f t="shared" si="10"/>
        <v>57.68</v>
      </c>
      <c r="W66" s="128">
        <f t="shared" si="8"/>
        <v>0</v>
      </c>
      <c r="X66" s="26">
        <f t="shared" si="3"/>
        <v>181.8</v>
      </c>
      <c r="Y66" s="26">
        <f t="shared" si="11"/>
        <v>0</v>
      </c>
      <c r="Z66" s="26">
        <f t="shared" si="4"/>
        <v>10486.22</v>
      </c>
      <c r="AA66" s="33" t="s">
        <v>15</v>
      </c>
      <c r="AB66" s="36" t="s">
        <v>16</v>
      </c>
      <c r="AC66" s="181">
        <f t="shared" si="5"/>
        <v>187.82</v>
      </c>
      <c r="AD66" s="181">
        <f t="shared" si="12"/>
        <v>10833.46</v>
      </c>
      <c r="AE66" s="181">
        <v>1.2</v>
      </c>
      <c r="AF66" s="181">
        <v>1.2</v>
      </c>
      <c r="AG66" s="101" t="str">
        <f t="shared" si="6"/>
        <v/>
      </c>
      <c r="AH66" s="194">
        <f>132.6+49.2</f>
        <v>181.8</v>
      </c>
      <c r="AI66" s="69">
        <f t="shared" si="7"/>
        <v>187.82</v>
      </c>
    </row>
    <row r="67" spans="1:35" s="69" customFormat="1" ht="26.1" customHeight="1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 t="s">
        <v>15</v>
      </c>
      <c r="I67" s="75">
        <v>138.84</v>
      </c>
      <c r="J67" s="75">
        <v>2611.58</v>
      </c>
      <c r="K67" s="91" t="s">
        <v>190</v>
      </c>
      <c r="L67" s="73"/>
      <c r="M67" s="46">
        <v>0</v>
      </c>
      <c r="N67" s="46">
        <v>0</v>
      </c>
      <c r="O67" s="46">
        <v>0</v>
      </c>
      <c r="P67" s="98"/>
      <c r="Q67" s="23" t="s">
        <v>1438</v>
      </c>
      <c r="R67" s="24" t="s">
        <v>189</v>
      </c>
      <c r="S67" s="25" t="s">
        <v>30</v>
      </c>
      <c r="T67" s="26">
        <v>18.809999999999999</v>
      </c>
      <c r="U67" s="26">
        <v>18.809999999999999</v>
      </c>
      <c r="V67" s="26">
        <f t="shared" si="10"/>
        <v>138.84</v>
      </c>
      <c r="W67" s="26">
        <f t="shared" si="8"/>
        <v>0</v>
      </c>
      <c r="X67" s="26">
        <f t="shared" si="3"/>
        <v>0</v>
      </c>
      <c r="Y67" s="26">
        <f t="shared" si="11"/>
        <v>0</v>
      </c>
      <c r="Z67" s="26">
        <f t="shared" si="4"/>
        <v>0</v>
      </c>
      <c r="AA67" s="33" t="s">
        <v>15</v>
      </c>
      <c r="AB67" s="36" t="s">
        <v>16</v>
      </c>
      <c r="AC67" s="181">
        <f t="shared" si="5"/>
        <v>18.809999999999999</v>
      </c>
      <c r="AD67" s="181">
        <f t="shared" si="12"/>
        <v>2611.58</v>
      </c>
      <c r="AE67" s="181">
        <v>1.2</v>
      </c>
      <c r="AF67" s="181">
        <v>1.2</v>
      </c>
      <c r="AG67" s="101" t="str">
        <f t="shared" si="6"/>
        <v/>
      </c>
      <c r="AH67" s="190">
        <v>0</v>
      </c>
      <c r="AI67" s="69">
        <f t="shared" si="7"/>
        <v>18.809999999999999</v>
      </c>
    </row>
    <row r="68" spans="1:35" s="69" customFormat="1" ht="26.1" customHeight="1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 t="s">
        <v>15</v>
      </c>
      <c r="I68" s="75">
        <v>2145.42</v>
      </c>
      <c r="J68" s="75">
        <v>43938.2</v>
      </c>
      <c r="K68" s="91" t="s">
        <v>193</v>
      </c>
      <c r="L68" s="73"/>
      <c r="M68" s="46">
        <v>19.5</v>
      </c>
      <c r="N68" s="46">
        <v>9225.3100000000013</v>
      </c>
      <c r="O68" s="46">
        <v>41835.69</v>
      </c>
      <c r="P68" s="98"/>
      <c r="Q68" s="23" t="s">
        <v>1439</v>
      </c>
      <c r="R68" s="24" t="s">
        <v>192</v>
      </c>
      <c r="S68" s="25" t="s">
        <v>50</v>
      </c>
      <c r="T68" s="26">
        <v>20.48</v>
      </c>
      <c r="U68" s="26">
        <v>20.48</v>
      </c>
      <c r="V68" s="26">
        <f t="shared" si="10"/>
        <v>2145.42</v>
      </c>
      <c r="W68" s="243">
        <f t="shared" si="8"/>
        <v>0</v>
      </c>
      <c r="X68" s="26">
        <f t="shared" si="3"/>
        <v>19.5</v>
      </c>
      <c r="Y68" s="26">
        <f t="shared" si="11"/>
        <v>0</v>
      </c>
      <c r="Z68" s="26">
        <f t="shared" si="4"/>
        <v>41835.69</v>
      </c>
      <c r="AA68" s="33" t="s">
        <v>15</v>
      </c>
      <c r="AB68" s="36" t="s">
        <v>16</v>
      </c>
      <c r="AC68" s="181">
        <f t="shared" si="5"/>
        <v>20.48</v>
      </c>
      <c r="AD68" s="181">
        <f t="shared" si="12"/>
        <v>43938.2</v>
      </c>
      <c r="AE68" s="181">
        <v>1.2</v>
      </c>
      <c r="AF68" s="181">
        <v>1.2</v>
      </c>
      <c r="AG68" s="101" t="str">
        <f t="shared" si="6"/>
        <v/>
      </c>
      <c r="AH68" s="191">
        <f>15.2+4.3</f>
        <v>19.5</v>
      </c>
      <c r="AI68" s="69">
        <f t="shared" si="7"/>
        <v>20.48</v>
      </c>
    </row>
    <row r="69" spans="1:35" s="69" customFormat="1" ht="26.1" customHeight="1" x14ac:dyDescent="0.3">
      <c r="A69" s="55" t="s">
        <v>194</v>
      </c>
      <c r="B69" s="215" t="s">
        <v>195</v>
      </c>
      <c r="C69" s="54" t="s">
        <v>30</v>
      </c>
      <c r="D69" s="75">
        <v>354.7</v>
      </c>
      <c r="E69" s="75"/>
      <c r="F69" s="75"/>
      <c r="G69" s="75"/>
      <c r="H69" s="75" t="s">
        <v>15</v>
      </c>
      <c r="I69" s="75">
        <v>511.4</v>
      </c>
      <c r="J69" s="75">
        <v>181393.58</v>
      </c>
      <c r="K69" s="91" t="s">
        <v>3143</v>
      </c>
      <c r="L69" s="73"/>
      <c r="M69" s="46">
        <v>178.2</v>
      </c>
      <c r="N69" s="46">
        <v>0</v>
      </c>
      <c r="O69" s="46">
        <v>91131.48</v>
      </c>
      <c r="P69" s="98"/>
      <c r="Q69" s="23" t="s">
        <v>1440</v>
      </c>
      <c r="R69" s="24" t="s">
        <v>195</v>
      </c>
      <c r="S69" s="25" t="s">
        <v>30</v>
      </c>
      <c r="T69" s="26">
        <v>354.7</v>
      </c>
      <c r="U69" s="26">
        <v>354.7</v>
      </c>
      <c r="V69" s="26">
        <f t="shared" si="10"/>
        <v>511.4</v>
      </c>
      <c r="W69" s="243">
        <f t="shared" si="8"/>
        <v>107.09999999999997</v>
      </c>
      <c r="X69" s="26">
        <f t="shared" si="3"/>
        <v>285.29999999999995</v>
      </c>
      <c r="Y69" s="26">
        <f t="shared" si="11"/>
        <v>54770.940000000017</v>
      </c>
      <c r="Z69" s="26">
        <f t="shared" si="4"/>
        <v>145902.42000000001</v>
      </c>
      <c r="AA69" s="33" t="s">
        <v>15</v>
      </c>
      <c r="AB69" s="36" t="s">
        <v>16</v>
      </c>
      <c r="AC69" s="181">
        <f t="shared" si="5"/>
        <v>354.7</v>
      </c>
      <c r="AD69" s="181">
        <f t="shared" si="12"/>
        <v>181393.58</v>
      </c>
      <c r="AE69" s="181">
        <v>1.2</v>
      </c>
      <c r="AF69" s="181">
        <v>1.2</v>
      </c>
      <c r="AG69" s="101" t="str">
        <f t="shared" si="6"/>
        <v/>
      </c>
      <c r="AH69" s="191">
        <f>127+51.2+107.1</f>
        <v>285.29999999999995</v>
      </c>
      <c r="AI69" s="69">
        <f t="shared" si="7"/>
        <v>354.7</v>
      </c>
    </row>
    <row r="70" spans="1:35" s="69" customFormat="1" ht="26.1" customHeight="1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 t="s">
        <v>15</v>
      </c>
      <c r="I70" s="75">
        <v>578.86</v>
      </c>
      <c r="J70" s="75">
        <v>25875.040000000001</v>
      </c>
      <c r="K70" s="91" t="s">
        <v>199</v>
      </c>
      <c r="L70" s="73"/>
      <c r="M70" s="46">
        <v>0</v>
      </c>
      <c r="N70" s="46">
        <v>0</v>
      </c>
      <c r="O70" s="46">
        <v>0</v>
      </c>
      <c r="P70" s="98"/>
      <c r="Q70" s="23" t="s">
        <v>1441</v>
      </c>
      <c r="R70" s="24" t="s">
        <v>198</v>
      </c>
      <c r="S70" s="25" t="s">
        <v>30</v>
      </c>
      <c r="T70" s="26">
        <v>44.7</v>
      </c>
      <c r="U70" s="26">
        <v>44.7</v>
      </c>
      <c r="V70" s="26">
        <f t="shared" si="10"/>
        <v>578.86</v>
      </c>
      <c r="W70" s="199">
        <f t="shared" si="8"/>
        <v>32</v>
      </c>
      <c r="X70" s="26">
        <f t="shared" si="3"/>
        <v>32</v>
      </c>
      <c r="Y70" s="26">
        <f t="shared" si="11"/>
        <v>18523.52</v>
      </c>
      <c r="Z70" s="26">
        <f t="shared" si="4"/>
        <v>18523.52</v>
      </c>
      <c r="AA70" s="33" t="s">
        <v>15</v>
      </c>
      <c r="AB70" s="36" t="s">
        <v>16</v>
      </c>
      <c r="AC70" s="181">
        <f t="shared" si="5"/>
        <v>44.7</v>
      </c>
      <c r="AD70" s="181">
        <f t="shared" si="12"/>
        <v>25875.040000000001</v>
      </c>
      <c r="AE70" s="181">
        <v>1.2</v>
      </c>
      <c r="AF70" s="181">
        <v>1.2</v>
      </c>
      <c r="AG70" s="101" t="str">
        <f t="shared" si="6"/>
        <v/>
      </c>
      <c r="AH70" s="191">
        <f>32</f>
        <v>32</v>
      </c>
      <c r="AI70" s="69">
        <f t="shared" si="7"/>
        <v>44.7</v>
      </c>
    </row>
    <row r="71" spans="1:35" s="69" customFormat="1" ht="26.1" customHeight="1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 t="s">
        <v>15</v>
      </c>
      <c r="I71" s="75">
        <v>723.06</v>
      </c>
      <c r="J71" s="75">
        <v>22414.86</v>
      </c>
      <c r="K71" s="91" t="s">
        <v>202</v>
      </c>
      <c r="L71" s="73"/>
      <c r="M71" s="46">
        <v>0</v>
      </c>
      <c r="N71" s="46">
        <v>0</v>
      </c>
      <c r="O71" s="46">
        <v>0</v>
      </c>
      <c r="P71" s="98"/>
      <c r="Q71" s="23" t="s">
        <v>1442</v>
      </c>
      <c r="R71" s="24" t="s">
        <v>201</v>
      </c>
      <c r="S71" s="25" t="s">
        <v>30</v>
      </c>
      <c r="T71" s="26">
        <v>31</v>
      </c>
      <c r="U71" s="26">
        <v>31</v>
      </c>
      <c r="V71" s="26">
        <f t="shared" si="10"/>
        <v>723.06</v>
      </c>
      <c r="W71" s="26">
        <f t="shared" si="8"/>
        <v>0</v>
      </c>
      <c r="X71" s="26">
        <f t="shared" si="3"/>
        <v>0</v>
      </c>
      <c r="Y71" s="26">
        <f t="shared" si="11"/>
        <v>0</v>
      </c>
      <c r="Z71" s="26">
        <f t="shared" si="4"/>
        <v>0</v>
      </c>
      <c r="AA71" s="33" t="s">
        <v>15</v>
      </c>
      <c r="AB71" s="36" t="s">
        <v>16</v>
      </c>
      <c r="AC71" s="181">
        <f t="shared" si="5"/>
        <v>31</v>
      </c>
      <c r="AD71" s="181">
        <f t="shared" si="12"/>
        <v>22414.86</v>
      </c>
      <c r="AE71" s="181">
        <v>1.2</v>
      </c>
      <c r="AF71" s="181">
        <v>1.2</v>
      </c>
      <c r="AG71" s="101" t="str">
        <f t="shared" si="6"/>
        <v/>
      </c>
      <c r="AH71" s="264">
        <v>0</v>
      </c>
      <c r="AI71" s="69">
        <f t="shared" si="7"/>
        <v>31</v>
      </c>
    </row>
    <row r="72" spans="1:35" s="69" customFormat="1" ht="26.1" customHeight="1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 t="s">
        <v>15</v>
      </c>
      <c r="I72" s="75">
        <v>829.15</v>
      </c>
      <c r="J72" s="75">
        <v>15007.62</v>
      </c>
      <c r="K72" s="91" t="s">
        <v>205</v>
      </c>
      <c r="L72" s="73"/>
      <c r="M72" s="46">
        <v>0</v>
      </c>
      <c r="N72" s="46">
        <v>0</v>
      </c>
      <c r="O72" s="46">
        <v>0</v>
      </c>
      <c r="P72" s="98"/>
      <c r="Q72" s="23" t="s">
        <v>1443</v>
      </c>
      <c r="R72" s="24" t="s">
        <v>204</v>
      </c>
      <c r="S72" s="25" t="s">
        <v>30</v>
      </c>
      <c r="T72" s="26">
        <v>18.100000000000001</v>
      </c>
      <c r="U72" s="26">
        <v>18.100000000000001</v>
      </c>
      <c r="V72" s="26">
        <f t="shared" si="10"/>
        <v>829.15</v>
      </c>
      <c r="W72" s="199">
        <f t="shared" si="8"/>
        <v>7</v>
      </c>
      <c r="X72" s="26">
        <f t="shared" si="3"/>
        <v>7</v>
      </c>
      <c r="Y72" s="26">
        <f t="shared" si="11"/>
        <v>5804.05</v>
      </c>
      <c r="Z72" s="26">
        <f t="shared" si="4"/>
        <v>5804.05</v>
      </c>
      <c r="AA72" s="33" t="s">
        <v>15</v>
      </c>
      <c r="AB72" s="36" t="s">
        <v>16</v>
      </c>
      <c r="AC72" s="181">
        <f t="shared" si="5"/>
        <v>18.100000000000001</v>
      </c>
      <c r="AD72" s="181">
        <f t="shared" si="12"/>
        <v>15007.62</v>
      </c>
      <c r="AE72" s="181">
        <v>1.2</v>
      </c>
      <c r="AF72" s="181">
        <v>1.2</v>
      </c>
      <c r="AG72" s="101" t="str">
        <f t="shared" si="6"/>
        <v/>
      </c>
      <c r="AH72" s="191">
        <f>7</f>
        <v>7</v>
      </c>
      <c r="AI72" s="69">
        <f t="shared" si="7"/>
        <v>18.100000000000001</v>
      </c>
    </row>
    <row r="73" spans="1:35" s="69" customFormat="1" ht="26.1" customHeight="1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 t="s">
        <v>15</v>
      </c>
      <c r="I73" s="75">
        <v>443.93</v>
      </c>
      <c r="J73" s="75">
        <v>80084.97</v>
      </c>
      <c r="K73" s="91" t="s">
        <v>208</v>
      </c>
      <c r="L73" s="73"/>
      <c r="M73" s="46">
        <v>0</v>
      </c>
      <c r="N73" s="46">
        <v>0</v>
      </c>
      <c r="O73" s="46">
        <v>0</v>
      </c>
      <c r="P73" s="98"/>
      <c r="Q73" s="23" t="s">
        <v>1444</v>
      </c>
      <c r="R73" s="24" t="s">
        <v>207</v>
      </c>
      <c r="S73" s="25" t="s">
        <v>30</v>
      </c>
      <c r="T73" s="26">
        <v>180.4</v>
      </c>
      <c r="U73" s="26">
        <v>180.4</v>
      </c>
      <c r="V73" s="26">
        <f t="shared" si="10"/>
        <v>443.93</v>
      </c>
      <c r="W73" s="26">
        <f t="shared" si="8"/>
        <v>0</v>
      </c>
      <c r="X73" s="26">
        <f t="shared" si="3"/>
        <v>0</v>
      </c>
      <c r="Y73" s="26">
        <f t="shared" si="11"/>
        <v>0</v>
      </c>
      <c r="Z73" s="26">
        <f t="shared" si="4"/>
        <v>0</v>
      </c>
      <c r="AA73" s="33" t="s">
        <v>15</v>
      </c>
      <c r="AB73" s="36" t="s">
        <v>16</v>
      </c>
      <c r="AC73" s="181">
        <f t="shared" si="5"/>
        <v>180.4</v>
      </c>
      <c r="AD73" s="181">
        <f t="shared" si="12"/>
        <v>80084.97</v>
      </c>
      <c r="AE73" s="181">
        <v>1.2</v>
      </c>
      <c r="AF73" s="181">
        <v>1.2</v>
      </c>
      <c r="AG73" s="101" t="str">
        <f t="shared" si="6"/>
        <v/>
      </c>
      <c r="AH73" s="264">
        <v>0</v>
      </c>
      <c r="AI73" s="69">
        <f t="shared" si="7"/>
        <v>180.4</v>
      </c>
    </row>
    <row r="74" spans="1:35" s="69" customFormat="1" ht="26.1" customHeight="1" x14ac:dyDescent="0.3">
      <c r="A74" s="55" t="s">
        <v>209</v>
      </c>
      <c r="B74" s="53" t="s">
        <v>210</v>
      </c>
      <c r="C74" s="54" t="s">
        <v>30</v>
      </c>
      <c r="D74" s="75">
        <v>25.6</v>
      </c>
      <c r="E74" s="75"/>
      <c r="F74" s="75"/>
      <c r="G74" s="75"/>
      <c r="H74" s="75" t="s">
        <v>15</v>
      </c>
      <c r="I74" s="75">
        <v>578.86</v>
      </c>
      <c r="J74" s="75">
        <v>14818.82</v>
      </c>
      <c r="K74" s="91" t="s">
        <v>211</v>
      </c>
      <c r="L74" s="73"/>
      <c r="M74" s="46">
        <v>0</v>
      </c>
      <c r="N74" s="46">
        <v>0</v>
      </c>
      <c r="O74" s="46">
        <v>0</v>
      </c>
      <c r="P74" s="98"/>
      <c r="Q74" s="23" t="s">
        <v>1408</v>
      </c>
      <c r="R74" s="24" t="s">
        <v>210</v>
      </c>
      <c r="S74" s="25" t="s">
        <v>30</v>
      </c>
      <c r="T74" s="26">
        <v>25.6</v>
      </c>
      <c r="U74" s="26">
        <v>25.6</v>
      </c>
      <c r="V74" s="26">
        <f t="shared" si="10"/>
        <v>578.86</v>
      </c>
      <c r="W74" s="199">
        <f t="shared" si="8"/>
        <v>24</v>
      </c>
      <c r="X74" s="26">
        <f t="shared" si="3"/>
        <v>24</v>
      </c>
      <c r="Y74" s="26">
        <f t="shared" si="11"/>
        <v>13892.64</v>
      </c>
      <c r="Z74" s="26">
        <f t="shared" si="4"/>
        <v>13892.64</v>
      </c>
      <c r="AA74" s="33" t="s">
        <v>15</v>
      </c>
      <c r="AB74" s="36" t="s">
        <v>16</v>
      </c>
      <c r="AC74" s="181">
        <f t="shared" si="5"/>
        <v>25.6</v>
      </c>
      <c r="AD74" s="181">
        <f t="shared" si="12"/>
        <v>14818.82</v>
      </c>
      <c r="AE74" s="181">
        <v>1.2</v>
      </c>
      <c r="AF74" s="181">
        <v>1.2</v>
      </c>
      <c r="AG74" s="101" t="str">
        <f t="shared" si="6"/>
        <v/>
      </c>
      <c r="AH74" s="191">
        <f>24</f>
        <v>24</v>
      </c>
      <c r="AI74" s="69">
        <f t="shared" si="7"/>
        <v>25.6</v>
      </c>
    </row>
    <row r="75" spans="1:35" s="69" customFormat="1" ht="26.1" customHeight="1" x14ac:dyDescent="0.3">
      <c r="A75" s="55" t="s">
        <v>212</v>
      </c>
      <c r="B75" s="215" t="s">
        <v>213</v>
      </c>
      <c r="C75" s="54" t="s">
        <v>81</v>
      </c>
      <c r="D75" s="75">
        <v>7</v>
      </c>
      <c r="E75" s="75"/>
      <c r="F75" s="75"/>
      <c r="G75" s="75"/>
      <c r="H75" s="75" t="s">
        <v>15</v>
      </c>
      <c r="I75" s="75">
        <v>17307.09</v>
      </c>
      <c r="J75" s="75">
        <v>121149.63</v>
      </c>
      <c r="K75" s="91" t="s">
        <v>214</v>
      </c>
      <c r="L75" s="73"/>
      <c r="M75" s="46">
        <v>3</v>
      </c>
      <c r="N75" s="46">
        <v>0</v>
      </c>
      <c r="O75" s="46">
        <v>51921.27</v>
      </c>
      <c r="P75" s="98"/>
      <c r="Q75" s="23" t="s">
        <v>1409</v>
      </c>
      <c r="R75" s="24" t="s">
        <v>213</v>
      </c>
      <c r="S75" s="25" t="s">
        <v>81</v>
      </c>
      <c r="T75" s="26">
        <v>7</v>
      </c>
      <c r="U75" s="26">
        <v>7</v>
      </c>
      <c r="V75" s="26">
        <f t="shared" si="10"/>
        <v>17307.09</v>
      </c>
      <c r="W75" s="243">
        <f t="shared" si="8"/>
        <v>3</v>
      </c>
      <c r="X75" s="26">
        <f t="shared" ref="X75:X132" si="13">W75+M75</f>
        <v>6</v>
      </c>
      <c r="Y75" s="26">
        <f t="shared" si="11"/>
        <v>51921.27</v>
      </c>
      <c r="Z75" s="26">
        <f t="shared" ref="Z75:Z138" si="14">ROUND(V75*X75,2)</f>
        <v>103842.54</v>
      </c>
      <c r="AA75" s="33" t="s">
        <v>15</v>
      </c>
      <c r="AB75" s="36" t="s">
        <v>16</v>
      </c>
      <c r="AC75" s="181">
        <f t="shared" ref="AC75:AC138" si="15">IF(U75="",T75,U75)</f>
        <v>7</v>
      </c>
      <c r="AD75" s="181">
        <f t="shared" si="12"/>
        <v>121149.63</v>
      </c>
      <c r="AE75" s="181">
        <v>1.2</v>
      </c>
      <c r="AF75" s="181">
        <v>1.2</v>
      </c>
      <c r="AG75" s="101" t="str">
        <f t="shared" ref="AG75:AG138" si="16">IF(X75&gt;AI75,"超估","")</f>
        <v/>
      </c>
      <c r="AH75" s="191">
        <f>3+3</f>
        <v>6</v>
      </c>
      <c r="AI75" s="69">
        <f t="shared" ref="AI75:AI138" si="17">IF(G75=0,IF(F75=0,IF(E75=0,D75,E75),F75),G75)</f>
        <v>7</v>
      </c>
    </row>
    <row r="76" spans="1:35" s="69" customFormat="1" ht="26.1" customHeight="1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 t="s">
        <v>15</v>
      </c>
      <c r="I76" s="75">
        <v>443.93</v>
      </c>
      <c r="J76" s="75">
        <v>3462.65</v>
      </c>
      <c r="K76" s="91" t="s">
        <v>217</v>
      </c>
      <c r="L76" s="73"/>
      <c r="M76" s="46">
        <v>0</v>
      </c>
      <c r="N76" s="46">
        <v>0</v>
      </c>
      <c r="O76" s="46">
        <v>0</v>
      </c>
      <c r="P76" s="98"/>
      <c r="Q76" s="23" t="s">
        <v>1410</v>
      </c>
      <c r="R76" s="24" t="s">
        <v>216</v>
      </c>
      <c r="S76" s="25" t="s">
        <v>30</v>
      </c>
      <c r="T76" s="26">
        <v>7.8</v>
      </c>
      <c r="U76" s="26">
        <v>7.8</v>
      </c>
      <c r="V76" s="26">
        <f t="shared" si="10"/>
        <v>443.93</v>
      </c>
      <c r="W76" s="26">
        <f t="shared" ref="W76:W132" si="18">AH76-M76</f>
        <v>0</v>
      </c>
      <c r="X76" s="26">
        <f t="shared" si="13"/>
        <v>0</v>
      </c>
      <c r="Y76" s="26">
        <f t="shared" si="11"/>
        <v>0</v>
      </c>
      <c r="Z76" s="26">
        <f t="shared" si="14"/>
        <v>0</v>
      </c>
      <c r="AA76" s="33" t="s">
        <v>15</v>
      </c>
      <c r="AB76" s="36" t="s">
        <v>16</v>
      </c>
      <c r="AC76" s="181">
        <f t="shared" si="15"/>
        <v>7.8</v>
      </c>
      <c r="AD76" s="181">
        <f t="shared" si="12"/>
        <v>3462.65</v>
      </c>
      <c r="AE76" s="181">
        <v>1.2</v>
      </c>
      <c r="AF76" s="181">
        <v>1.2</v>
      </c>
      <c r="AG76" s="101" t="str">
        <f t="shared" si="16"/>
        <v/>
      </c>
      <c r="AH76" s="190">
        <v>0</v>
      </c>
      <c r="AI76" s="69">
        <f t="shared" si="17"/>
        <v>7.8</v>
      </c>
    </row>
    <row r="77" spans="1:35" s="69" customFormat="1" ht="26.1" customHeight="1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 t="s">
        <v>15</v>
      </c>
      <c r="I77" s="75">
        <v>13705.7</v>
      </c>
      <c r="J77" s="75">
        <v>27411.4</v>
      </c>
      <c r="K77" s="91" t="s">
        <v>220</v>
      </c>
      <c r="L77" s="73"/>
      <c r="M77" s="46">
        <v>0</v>
      </c>
      <c r="N77" s="46">
        <v>0</v>
      </c>
      <c r="O77" s="46">
        <v>0</v>
      </c>
      <c r="P77" s="98"/>
      <c r="Q77" s="23" t="s">
        <v>1411</v>
      </c>
      <c r="R77" s="24" t="s">
        <v>219</v>
      </c>
      <c r="S77" s="25" t="s">
        <v>81</v>
      </c>
      <c r="T77" s="26">
        <v>2</v>
      </c>
      <c r="U77" s="26">
        <v>2</v>
      </c>
      <c r="V77" s="26">
        <f t="shared" si="10"/>
        <v>13705.7</v>
      </c>
      <c r="W77" s="26">
        <f t="shared" si="18"/>
        <v>0</v>
      </c>
      <c r="X77" s="26">
        <f t="shared" si="13"/>
        <v>0</v>
      </c>
      <c r="Y77" s="26">
        <f t="shared" si="11"/>
        <v>0</v>
      </c>
      <c r="Z77" s="26">
        <f t="shared" si="14"/>
        <v>0</v>
      </c>
      <c r="AA77" s="33" t="s">
        <v>15</v>
      </c>
      <c r="AB77" s="36" t="s">
        <v>16</v>
      </c>
      <c r="AC77" s="181">
        <f t="shared" si="15"/>
        <v>2</v>
      </c>
      <c r="AD77" s="181">
        <f t="shared" si="12"/>
        <v>27411.4</v>
      </c>
      <c r="AE77" s="181">
        <v>1.2</v>
      </c>
      <c r="AF77" s="181">
        <v>1.2</v>
      </c>
      <c r="AG77" s="101" t="str">
        <f t="shared" si="16"/>
        <v/>
      </c>
      <c r="AH77" s="190">
        <v>0</v>
      </c>
      <c r="AI77" s="69">
        <f t="shared" si="17"/>
        <v>2</v>
      </c>
    </row>
    <row r="78" spans="1:35" s="69" customFormat="1" ht="26.1" customHeight="1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 t="s">
        <v>15</v>
      </c>
      <c r="I78" s="75">
        <v>25126.95</v>
      </c>
      <c r="J78" s="75">
        <v>75380.850000000006</v>
      </c>
      <c r="K78" s="91" t="s">
        <v>223</v>
      </c>
      <c r="L78" s="73"/>
      <c r="M78" s="46">
        <v>0</v>
      </c>
      <c r="N78" s="46">
        <v>0</v>
      </c>
      <c r="O78" s="46">
        <v>0</v>
      </c>
      <c r="P78" s="98"/>
      <c r="Q78" s="23" t="s">
        <v>1445</v>
      </c>
      <c r="R78" s="24" t="s">
        <v>222</v>
      </c>
      <c r="S78" s="25" t="s">
        <v>81</v>
      </c>
      <c r="T78" s="26">
        <v>3</v>
      </c>
      <c r="U78" s="26">
        <v>3</v>
      </c>
      <c r="V78" s="26">
        <f t="shared" si="10"/>
        <v>25126.95</v>
      </c>
      <c r="W78" s="26">
        <f t="shared" si="18"/>
        <v>0</v>
      </c>
      <c r="X78" s="26">
        <f t="shared" si="13"/>
        <v>0</v>
      </c>
      <c r="Y78" s="26">
        <f t="shared" si="11"/>
        <v>0</v>
      </c>
      <c r="Z78" s="26">
        <f t="shared" si="14"/>
        <v>0</v>
      </c>
      <c r="AA78" s="33" t="s">
        <v>15</v>
      </c>
      <c r="AB78" s="36" t="s">
        <v>16</v>
      </c>
      <c r="AC78" s="181">
        <f t="shared" si="15"/>
        <v>3</v>
      </c>
      <c r="AD78" s="181">
        <f t="shared" si="12"/>
        <v>75380.850000000006</v>
      </c>
      <c r="AE78" s="181">
        <v>1.2</v>
      </c>
      <c r="AF78" s="181">
        <v>1.2</v>
      </c>
      <c r="AG78" s="101" t="str">
        <f t="shared" si="16"/>
        <v/>
      </c>
      <c r="AH78" s="190">
        <v>0</v>
      </c>
      <c r="AI78" s="69">
        <f t="shared" si="17"/>
        <v>3</v>
      </c>
    </row>
    <row r="79" spans="1:35" s="69" customFormat="1" ht="26.1" customHeight="1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 t="s">
        <v>15</v>
      </c>
      <c r="I79" s="75">
        <v>2901.57</v>
      </c>
      <c r="J79" s="75">
        <v>52228.26</v>
      </c>
      <c r="K79" s="91" t="s">
        <v>226</v>
      </c>
      <c r="L79" s="73"/>
      <c r="M79" s="46">
        <v>0</v>
      </c>
      <c r="N79" s="46">
        <v>0</v>
      </c>
      <c r="O79" s="46">
        <v>0</v>
      </c>
      <c r="P79" s="98"/>
      <c r="Q79" s="23" t="s">
        <v>1383</v>
      </c>
      <c r="R79" s="24" t="s">
        <v>225</v>
      </c>
      <c r="S79" s="25" t="s">
        <v>30</v>
      </c>
      <c r="T79" s="26">
        <v>18</v>
      </c>
      <c r="U79" s="26">
        <v>18</v>
      </c>
      <c r="V79" s="26">
        <f t="shared" si="10"/>
        <v>2901.57</v>
      </c>
      <c r="W79" s="199">
        <f t="shared" si="18"/>
        <v>12</v>
      </c>
      <c r="X79" s="26">
        <f t="shared" si="13"/>
        <v>12</v>
      </c>
      <c r="Y79" s="26">
        <f t="shared" si="11"/>
        <v>34818.839999999997</v>
      </c>
      <c r="Z79" s="26">
        <f t="shared" si="14"/>
        <v>34818.839999999997</v>
      </c>
      <c r="AA79" s="33" t="s">
        <v>15</v>
      </c>
      <c r="AB79" s="36" t="s">
        <v>16</v>
      </c>
      <c r="AC79" s="181">
        <f t="shared" si="15"/>
        <v>18</v>
      </c>
      <c r="AD79" s="181">
        <f t="shared" si="12"/>
        <v>52228.26</v>
      </c>
      <c r="AE79" s="181">
        <v>1.2</v>
      </c>
      <c r="AF79" s="181">
        <v>1.2</v>
      </c>
      <c r="AG79" s="101" t="str">
        <f t="shared" si="16"/>
        <v/>
      </c>
      <c r="AH79" s="191">
        <f>12</f>
        <v>12</v>
      </c>
      <c r="AI79" s="69">
        <f t="shared" si="17"/>
        <v>18</v>
      </c>
    </row>
    <row r="80" spans="1:35" s="69" customFormat="1" ht="26.1" customHeight="1" x14ac:dyDescent="0.3">
      <c r="A80" s="130" t="s">
        <v>227</v>
      </c>
      <c r="B80" s="131" t="s">
        <v>228</v>
      </c>
      <c r="C80" s="132" t="s">
        <v>30</v>
      </c>
      <c r="D80" s="133">
        <v>17.100000000000001</v>
      </c>
      <c r="E80" s="75"/>
      <c r="F80" s="75"/>
      <c r="G80" s="75"/>
      <c r="H80" s="75" t="s">
        <v>15</v>
      </c>
      <c r="I80" s="75">
        <v>1762.96</v>
      </c>
      <c r="J80" s="75">
        <v>30146.62</v>
      </c>
      <c r="K80" s="91" t="s">
        <v>229</v>
      </c>
      <c r="L80" s="73"/>
      <c r="M80" s="46">
        <v>17.100000000000001</v>
      </c>
      <c r="N80" s="46">
        <v>0</v>
      </c>
      <c r="O80" s="46">
        <v>30146.62</v>
      </c>
      <c r="P80" s="98"/>
      <c r="Q80" s="23" t="s">
        <v>1384</v>
      </c>
      <c r="R80" s="24" t="s">
        <v>228</v>
      </c>
      <c r="S80" s="25" t="s">
        <v>30</v>
      </c>
      <c r="T80" s="26">
        <v>17.100000000000001</v>
      </c>
      <c r="U80" s="26">
        <v>17.100000000000001</v>
      </c>
      <c r="V80" s="26">
        <f t="shared" si="10"/>
        <v>1762.96</v>
      </c>
      <c r="W80" s="127">
        <f t="shared" si="18"/>
        <v>0</v>
      </c>
      <c r="X80" s="127">
        <f t="shared" si="13"/>
        <v>17.100000000000001</v>
      </c>
      <c r="Y80" s="127">
        <f t="shared" si="11"/>
        <v>0</v>
      </c>
      <c r="Z80" s="127">
        <f t="shared" si="14"/>
        <v>30146.62</v>
      </c>
      <c r="AA80" s="33" t="s">
        <v>15</v>
      </c>
      <c r="AB80" s="36" t="s">
        <v>16</v>
      </c>
      <c r="AC80" s="181">
        <f t="shared" si="15"/>
        <v>17.100000000000001</v>
      </c>
      <c r="AD80" s="181">
        <f t="shared" si="12"/>
        <v>30146.62</v>
      </c>
      <c r="AE80" s="181">
        <v>1.2</v>
      </c>
      <c r="AF80" s="181">
        <v>1.2</v>
      </c>
      <c r="AG80" s="101" t="str">
        <f t="shared" si="16"/>
        <v/>
      </c>
      <c r="AH80" s="194">
        <v>17.100000000000001</v>
      </c>
      <c r="AI80" s="69">
        <f t="shared" si="17"/>
        <v>17.100000000000001</v>
      </c>
    </row>
    <row r="81" spans="1:35" s="69" customFormat="1" ht="26.1" customHeight="1" x14ac:dyDescent="0.3">
      <c r="A81" s="130" t="s">
        <v>230</v>
      </c>
      <c r="B81" s="131" t="s">
        <v>231</v>
      </c>
      <c r="C81" s="132" t="s">
        <v>30</v>
      </c>
      <c r="D81" s="133">
        <v>77.400000000000006</v>
      </c>
      <c r="E81" s="75"/>
      <c r="F81" s="75"/>
      <c r="G81" s="75"/>
      <c r="H81" s="75" t="s">
        <v>15</v>
      </c>
      <c r="I81" s="75">
        <v>1224.3</v>
      </c>
      <c r="J81" s="75">
        <v>94760.82</v>
      </c>
      <c r="K81" s="91" t="s">
        <v>232</v>
      </c>
      <c r="L81" s="73"/>
      <c r="M81" s="46">
        <v>56</v>
      </c>
      <c r="N81" s="46">
        <v>0</v>
      </c>
      <c r="O81" s="46">
        <v>68560.800000000003</v>
      </c>
      <c r="P81" s="98"/>
      <c r="Q81" s="23" t="s">
        <v>1385</v>
      </c>
      <c r="R81" s="24" t="s">
        <v>231</v>
      </c>
      <c r="S81" s="25" t="s">
        <v>30</v>
      </c>
      <c r="T81" s="26">
        <v>77.400000000000006</v>
      </c>
      <c r="U81" s="26">
        <v>77.400000000000006</v>
      </c>
      <c r="V81" s="26">
        <f t="shared" si="10"/>
        <v>1224.3</v>
      </c>
      <c r="W81" s="243">
        <f t="shared" si="18"/>
        <v>21.400000000000006</v>
      </c>
      <c r="X81" s="127">
        <f t="shared" si="13"/>
        <v>77.400000000000006</v>
      </c>
      <c r="Y81" s="127">
        <f t="shared" si="11"/>
        <v>26200.020000000004</v>
      </c>
      <c r="Z81" s="127">
        <f t="shared" si="14"/>
        <v>94760.82</v>
      </c>
      <c r="AA81" s="33" t="s">
        <v>15</v>
      </c>
      <c r="AB81" s="36" t="s">
        <v>16</v>
      </c>
      <c r="AC81" s="181">
        <f t="shared" si="15"/>
        <v>77.400000000000006</v>
      </c>
      <c r="AD81" s="181">
        <f t="shared" si="12"/>
        <v>94760.82</v>
      </c>
      <c r="AE81" s="181">
        <v>1.2</v>
      </c>
      <c r="AF81" s="181">
        <v>1.2</v>
      </c>
      <c r="AG81" s="101" t="str">
        <f t="shared" si="16"/>
        <v/>
      </c>
      <c r="AH81" s="191">
        <f>56+21.4</f>
        <v>77.400000000000006</v>
      </c>
      <c r="AI81" s="69">
        <f t="shared" si="17"/>
        <v>77.400000000000006</v>
      </c>
    </row>
    <row r="82" spans="1:35" s="69" customFormat="1" ht="26.1" customHeight="1" x14ac:dyDescent="0.3">
      <c r="A82" s="55" t="s">
        <v>233</v>
      </c>
      <c r="B82" s="215" t="s">
        <v>234</v>
      </c>
      <c r="C82" s="54" t="s">
        <v>30</v>
      </c>
      <c r="D82" s="75">
        <v>32.5</v>
      </c>
      <c r="E82" s="75"/>
      <c r="F82" s="75"/>
      <c r="G82" s="75"/>
      <c r="H82" s="75" t="s">
        <v>15</v>
      </c>
      <c r="I82" s="75">
        <v>1148.7</v>
      </c>
      <c r="J82" s="75">
        <v>37332.75</v>
      </c>
      <c r="K82" s="91" t="s">
        <v>235</v>
      </c>
      <c r="L82" s="73"/>
      <c r="M82" s="46">
        <v>0</v>
      </c>
      <c r="N82" s="46">
        <v>0</v>
      </c>
      <c r="O82" s="46">
        <v>0</v>
      </c>
      <c r="P82" s="98"/>
      <c r="Q82" s="23" t="s">
        <v>1446</v>
      </c>
      <c r="R82" s="24" t="s">
        <v>234</v>
      </c>
      <c r="S82" s="25" t="s">
        <v>30</v>
      </c>
      <c r="T82" s="26">
        <v>32.5</v>
      </c>
      <c r="U82" s="26">
        <v>32.5</v>
      </c>
      <c r="V82" s="26">
        <f t="shared" si="10"/>
        <v>1148.7</v>
      </c>
      <c r="W82" s="26">
        <f t="shared" si="18"/>
        <v>0</v>
      </c>
      <c r="X82" s="26">
        <f t="shared" si="13"/>
        <v>0</v>
      </c>
      <c r="Y82" s="26">
        <f t="shared" si="11"/>
        <v>0</v>
      </c>
      <c r="Z82" s="26">
        <f t="shared" si="14"/>
        <v>0</v>
      </c>
      <c r="AA82" s="33" t="s">
        <v>15</v>
      </c>
      <c r="AB82" s="36" t="s">
        <v>16</v>
      </c>
      <c r="AC82" s="181">
        <f t="shared" si="15"/>
        <v>32.5</v>
      </c>
      <c r="AD82" s="181">
        <f t="shared" si="12"/>
        <v>37332.75</v>
      </c>
      <c r="AE82" s="181">
        <v>1.2</v>
      </c>
      <c r="AF82" s="181">
        <v>1.2</v>
      </c>
      <c r="AG82" s="101" t="str">
        <f t="shared" si="16"/>
        <v/>
      </c>
      <c r="AH82" s="190">
        <v>0</v>
      </c>
      <c r="AI82" s="69">
        <f t="shared" si="17"/>
        <v>32.5</v>
      </c>
    </row>
    <row r="83" spans="1:35" s="69" customFormat="1" ht="26.1" customHeight="1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 t="s">
        <v>15</v>
      </c>
      <c r="I83" s="75">
        <v>19780.169999999998</v>
      </c>
      <c r="J83" s="75">
        <v>19780.169999999998</v>
      </c>
      <c r="K83" s="91" t="s">
        <v>238</v>
      </c>
      <c r="L83" s="73"/>
      <c r="M83" s="46">
        <v>0</v>
      </c>
      <c r="N83" s="46">
        <v>0</v>
      </c>
      <c r="O83" s="46">
        <v>0</v>
      </c>
      <c r="P83" s="98"/>
      <c r="Q83" s="23" t="s">
        <v>1447</v>
      </c>
      <c r="R83" s="24" t="s">
        <v>237</v>
      </c>
      <c r="S83" s="25" t="s">
        <v>81</v>
      </c>
      <c r="T83" s="26">
        <v>1</v>
      </c>
      <c r="U83" s="26">
        <v>1</v>
      </c>
      <c r="V83" s="26">
        <f t="shared" si="10"/>
        <v>19780.169999999998</v>
      </c>
      <c r="W83" s="26">
        <f t="shared" si="18"/>
        <v>0</v>
      </c>
      <c r="X83" s="26">
        <f t="shared" si="13"/>
        <v>0</v>
      </c>
      <c r="Y83" s="26">
        <f t="shared" si="11"/>
        <v>0</v>
      </c>
      <c r="Z83" s="26">
        <f t="shared" si="14"/>
        <v>0</v>
      </c>
      <c r="AA83" s="33" t="s">
        <v>15</v>
      </c>
      <c r="AB83" s="36" t="s">
        <v>16</v>
      </c>
      <c r="AC83" s="181">
        <f t="shared" si="15"/>
        <v>1</v>
      </c>
      <c r="AD83" s="181">
        <f t="shared" si="12"/>
        <v>19780.169999999998</v>
      </c>
      <c r="AE83" s="181">
        <v>1.2</v>
      </c>
      <c r="AF83" s="181">
        <v>1.2</v>
      </c>
      <c r="AG83" s="101" t="str">
        <f t="shared" si="16"/>
        <v/>
      </c>
      <c r="AH83" s="190">
        <v>0</v>
      </c>
      <c r="AI83" s="69">
        <f t="shared" si="17"/>
        <v>1</v>
      </c>
    </row>
    <row r="84" spans="1:35" s="69" customFormat="1" ht="26.1" customHeight="1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 t="s">
        <v>15</v>
      </c>
      <c r="I84" s="75">
        <v>1218.03</v>
      </c>
      <c r="J84" s="75">
        <v>1218.03</v>
      </c>
      <c r="K84" s="91" t="s">
        <v>241</v>
      </c>
      <c r="L84" s="73"/>
      <c r="M84" s="46">
        <v>0</v>
      </c>
      <c r="N84" s="46">
        <v>0</v>
      </c>
      <c r="O84" s="46">
        <v>0</v>
      </c>
      <c r="P84" s="98"/>
      <c r="Q84" s="23" t="s">
        <v>1448</v>
      </c>
      <c r="R84" s="24" t="s">
        <v>240</v>
      </c>
      <c r="S84" s="25" t="s">
        <v>81</v>
      </c>
      <c r="T84" s="26">
        <v>1</v>
      </c>
      <c r="U84" s="26">
        <v>1</v>
      </c>
      <c r="V84" s="26">
        <f t="shared" si="10"/>
        <v>1218.03</v>
      </c>
      <c r="W84" s="26">
        <f t="shared" si="18"/>
        <v>0</v>
      </c>
      <c r="X84" s="26">
        <f t="shared" si="13"/>
        <v>0</v>
      </c>
      <c r="Y84" s="26">
        <f t="shared" si="11"/>
        <v>0</v>
      </c>
      <c r="Z84" s="26">
        <f t="shared" si="14"/>
        <v>0</v>
      </c>
      <c r="AA84" s="33" t="s">
        <v>15</v>
      </c>
      <c r="AB84" s="36" t="s">
        <v>16</v>
      </c>
      <c r="AC84" s="181">
        <f t="shared" si="15"/>
        <v>1</v>
      </c>
      <c r="AD84" s="181">
        <f t="shared" si="12"/>
        <v>1218.03</v>
      </c>
      <c r="AE84" s="181">
        <v>1.2</v>
      </c>
      <c r="AF84" s="181">
        <v>1.2</v>
      </c>
      <c r="AG84" s="101" t="str">
        <f t="shared" si="16"/>
        <v/>
      </c>
      <c r="AH84" s="190">
        <v>0</v>
      </c>
      <c r="AI84" s="69">
        <f t="shared" si="17"/>
        <v>1</v>
      </c>
    </row>
    <row r="85" spans="1:35" s="69" customFormat="1" ht="26.1" customHeight="1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 t="s">
        <v>15</v>
      </c>
      <c r="I85" s="75">
        <v>3110.7</v>
      </c>
      <c r="J85" s="75">
        <v>3110.7</v>
      </c>
      <c r="K85" s="91" t="s">
        <v>244</v>
      </c>
      <c r="L85" s="73"/>
      <c r="M85" s="46">
        <v>0</v>
      </c>
      <c r="N85" s="46">
        <v>0</v>
      </c>
      <c r="O85" s="46">
        <v>0</v>
      </c>
      <c r="P85" s="98"/>
      <c r="Q85" s="23" t="s">
        <v>1449</v>
      </c>
      <c r="R85" s="24" t="s">
        <v>243</v>
      </c>
      <c r="S85" s="25" t="s">
        <v>81</v>
      </c>
      <c r="T85" s="26">
        <v>1</v>
      </c>
      <c r="U85" s="26">
        <v>1</v>
      </c>
      <c r="V85" s="26">
        <f t="shared" si="10"/>
        <v>3110.7</v>
      </c>
      <c r="W85" s="26">
        <f t="shared" si="18"/>
        <v>0</v>
      </c>
      <c r="X85" s="26">
        <f t="shared" si="13"/>
        <v>0</v>
      </c>
      <c r="Y85" s="26">
        <f t="shared" si="11"/>
        <v>0</v>
      </c>
      <c r="Z85" s="26">
        <f t="shared" si="14"/>
        <v>0</v>
      </c>
      <c r="AA85" s="33" t="s">
        <v>15</v>
      </c>
      <c r="AB85" s="36" t="s">
        <v>16</v>
      </c>
      <c r="AC85" s="181">
        <f t="shared" si="15"/>
        <v>1</v>
      </c>
      <c r="AD85" s="181">
        <f t="shared" si="12"/>
        <v>3110.7</v>
      </c>
      <c r="AE85" s="181">
        <v>1.2</v>
      </c>
      <c r="AF85" s="181">
        <v>1.2</v>
      </c>
      <c r="AG85" s="101" t="str">
        <f t="shared" si="16"/>
        <v/>
      </c>
      <c r="AH85" s="190">
        <v>0</v>
      </c>
      <c r="AI85" s="69">
        <f t="shared" si="17"/>
        <v>1</v>
      </c>
    </row>
    <row r="86" spans="1:35" s="69" customFormat="1" ht="26.1" customHeight="1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 t="s">
        <v>15</v>
      </c>
      <c r="I86" s="75">
        <v>1251.0999999999999</v>
      </c>
      <c r="J86" s="75">
        <v>1251.0999999999999</v>
      </c>
      <c r="K86" s="91" t="s">
        <v>247</v>
      </c>
      <c r="L86" s="73"/>
      <c r="M86" s="46">
        <v>0</v>
      </c>
      <c r="N86" s="46">
        <v>0</v>
      </c>
      <c r="O86" s="46">
        <v>0</v>
      </c>
      <c r="P86" s="98"/>
      <c r="Q86" s="23" t="s">
        <v>1450</v>
      </c>
      <c r="R86" s="24" t="s">
        <v>246</v>
      </c>
      <c r="S86" s="25" t="s">
        <v>81</v>
      </c>
      <c r="T86" s="26">
        <v>1</v>
      </c>
      <c r="U86" s="26">
        <v>1</v>
      </c>
      <c r="V86" s="26">
        <f t="shared" si="10"/>
        <v>1251.0999999999999</v>
      </c>
      <c r="W86" s="26">
        <f t="shared" si="18"/>
        <v>0</v>
      </c>
      <c r="X86" s="26">
        <f t="shared" si="13"/>
        <v>0</v>
      </c>
      <c r="Y86" s="26">
        <f t="shared" si="11"/>
        <v>0</v>
      </c>
      <c r="Z86" s="26">
        <f t="shared" si="14"/>
        <v>0</v>
      </c>
      <c r="AA86" s="33" t="s">
        <v>15</v>
      </c>
      <c r="AB86" s="36" t="s">
        <v>16</v>
      </c>
      <c r="AC86" s="181">
        <f t="shared" si="15"/>
        <v>1</v>
      </c>
      <c r="AD86" s="181">
        <f t="shared" si="12"/>
        <v>1251.0999999999999</v>
      </c>
      <c r="AE86" s="181">
        <v>1.2</v>
      </c>
      <c r="AF86" s="181">
        <v>1.2</v>
      </c>
      <c r="AG86" s="101" t="str">
        <f t="shared" si="16"/>
        <v/>
      </c>
      <c r="AH86" s="190">
        <v>0</v>
      </c>
      <c r="AI86" s="69">
        <f t="shared" si="17"/>
        <v>1</v>
      </c>
    </row>
    <row r="87" spans="1:35" s="69" customFormat="1" ht="26.1" customHeight="1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 t="s">
        <v>15</v>
      </c>
      <c r="I87" s="75">
        <v>9500.58</v>
      </c>
      <c r="J87" s="75">
        <v>9500.58</v>
      </c>
      <c r="K87" s="91" t="s">
        <v>250</v>
      </c>
      <c r="L87" s="73"/>
      <c r="M87" s="46">
        <v>0</v>
      </c>
      <c r="N87" s="46">
        <v>0</v>
      </c>
      <c r="O87" s="46">
        <v>0</v>
      </c>
      <c r="P87" s="98"/>
      <c r="Q87" s="23" t="s">
        <v>1451</v>
      </c>
      <c r="R87" s="24" t="s">
        <v>249</v>
      </c>
      <c r="S87" s="25" t="s">
        <v>81</v>
      </c>
      <c r="T87" s="26">
        <v>1</v>
      </c>
      <c r="U87" s="26">
        <v>1</v>
      </c>
      <c r="V87" s="26">
        <f t="shared" si="10"/>
        <v>9500.58</v>
      </c>
      <c r="W87" s="26">
        <f t="shared" si="18"/>
        <v>0</v>
      </c>
      <c r="X87" s="26">
        <f t="shared" si="13"/>
        <v>0</v>
      </c>
      <c r="Y87" s="26">
        <f t="shared" si="11"/>
        <v>0</v>
      </c>
      <c r="Z87" s="26">
        <f t="shared" si="14"/>
        <v>0</v>
      </c>
      <c r="AA87" s="33" t="s">
        <v>15</v>
      </c>
      <c r="AB87" s="36" t="s">
        <v>16</v>
      </c>
      <c r="AC87" s="181">
        <f t="shared" si="15"/>
        <v>1</v>
      </c>
      <c r="AD87" s="181">
        <f t="shared" si="12"/>
        <v>9500.58</v>
      </c>
      <c r="AE87" s="181">
        <v>1.2</v>
      </c>
      <c r="AF87" s="181">
        <v>1.2</v>
      </c>
      <c r="AG87" s="101" t="str">
        <f t="shared" si="16"/>
        <v/>
      </c>
      <c r="AH87" s="190">
        <v>0</v>
      </c>
      <c r="AI87" s="69">
        <f t="shared" si="17"/>
        <v>1</v>
      </c>
    </row>
    <row r="88" spans="1:35" s="69" customFormat="1" ht="26.1" customHeight="1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 t="s">
        <v>15</v>
      </c>
      <c r="I88" s="75">
        <v>3871.43</v>
      </c>
      <c r="J88" s="75">
        <v>3871.43</v>
      </c>
      <c r="K88" s="91" t="s">
        <v>253</v>
      </c>
      <c r="L88" s="73"/>
      <c r="M88" s="46">
        <v>0</v>
      </c>
      <c r="N88" s="46">
        <v>0</v>
      </c>
      <c r="O88" s="46">
        <v>0</v>
      </c>
      <c r="P88" s="98"/>
      <c r="Q88" s="23" t="s">
        <v>1452</v>
      </c>
      <c r="R88" s="24" t="s">
        <v>252</v>
      </c>
      <c r="S88" s="25" t="s">
        <v>81</v>
      </c>
      <c r="T88" s="26">
        <v>1</v>
      </c>
      <c r="U88" s="26">
        <v>1</v>
      </c>
      <c r="V88" s="26">
        <f t="shared" si="10"/>
        <v>3871.43</v>
      </c>
      <c r="W88" s="26">
        <f t="shared" si="18"/>
        <v>0</v>
      </c>
      <c r="X88" s="26">
        <f t="shared" si="13"/>
        <v>0</v>
      </c>
      <c r="Y88" s="26">
        <f t="shared" si="11"/>
        <v>0</v>
      </c>
      <c r="Z88" s="26">
        <f t="shared" si="14"/>
        <v>0</v>
      </c>
      <c r="AA88" s="33" t="s">
        <v>15</v>
      </c>
      <c r="AB88" s="36" t="s">
        <v>16</v>
      </c>
      <c r="AC88" s="181">
        <f t="shared" si="15"/>
        <v>1</v>
      </c>
      <c r="AD88" s="181">
        <f t="shared" si="12"/>
        <v>3871.43</v>
      </c>
      <c r="AE88" s="181">
        <v>1.2</v>
      </c>
      <c r="AF88" s="181">
        <v>1.2</v>
      </c>
      <c r="AG88" s="101" t="str">
        <f t="shared" si="16"/>
        <v/>
      </c>
      <c r="AH88" s="190">
        <v>0</v>
      </c>
      <c r="AI88" s="69">
        <f t="shared" si="17"/>
        <v>1</v>
      </c>
    </row>
    <row r="89" spans="1:35" s="69" customFormat="1" ht="26.1" customHeight="1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 t="s">
        <v>15</v>
      </c>
      <c r="I89" s="75">
        <v>25380.34</v>
      </c>
      <c r="J89" s="75">
        <v>25380.34</v>
      </c>
      <c r="K89" s="91" t="s">
        <v>256</v>
      </c>
      <c r="L89" s="73"/>
      <c r="M89" s="46">
        <v>0</v>
      </c>
      <c r="N89" s="46">
        <v>0</v>
      </c>
      <c r="O89" s="46">
        <v>0</v>
      </c>
      <c r="P89" s="98"/>
      <c r="Q89" s="23" t="s">
        <v>1453</v>
      </c>
      <c r="R89" s="24" t="s">
        <v>255</v>
      </c>
      <c r="S89" s="25" t="s">
        <v>81</v>
      </c>
      <c r="T89" s="26">
        <v>1</v>
      </c>
      <c r="U89" s="26">
        <v>1</v>
      </c>
      <c r="V89" s="26">
        <f t="shared" si="10"/>
        <v>25380.34</v>
      </c>
      <c r="W89" s="26">
        <f t="shared" si="18"/>
        <v>0</v>
      </c>
      <c r="X89" s="26">
        <f t="shared" si="13"/>
        <v>0</v>
      </c>
      <c r="Y89" s="26">
        <f t="shared" si="11"/>
        <v>0</v>
      </c>
      <c r="Z89" s="26">
        <f t="shared" si="14"/>
        <v>0</v>
      </c>
      <c r="AA89" s="33" t="s">
        <v>15</v>
      </c>
      <c r="AB89" s="36" t="s">
        <v>16</v>
      </c>
      <c r="AC89" s="181">
        <f t="shared" si="15"/>
        <v>1</v>
      </c>
      <c r="AD89" s="181">
        <f t="shared" si="12"/>
        <v>25380.34</v>
      </c>
      <c r="AE89" s="181">
        <v>1.2</v>
      </c>
      <c r="AF89" s="181">
        <v>1.2</v>
      </c>
      <c r="AG89" s="101" t="str">
        <f t="shared" si="16"/>
        <v/>
      </c>
      <c r="AH89" s="190">
        <v>0</v>
      </c>
      <c r="AI89" s="69">
        <f t="shared" si="17"/>
        <v>1</v>
      </c>
    </row>
    <row r="90" spans="1:35" s="69" customFormat="1" ht="26.1" customHeight="1" x14ac:dyDescent="0.3">
      <c r="A90" s="130" t="s">
        <v>257</v>
      </c>
      <c r="B90" s="131" t="s">
        <v>258</v>
      </c>
      <c r="C90" s="132" t="s">
        <v>30</v>
      </c>
      <c r="D90" s="133">
        <v>13.9</v>
      </c>
      <c r="E90" s="75"/>
      <c r="F90" s="75"/>
      <c r="G90" s="75"/>
      <c r="H90" s="75" t="s">
        <v>15</v>
      </c>
      <c r="I90" s="75">
        <v>1285.31</v>
      </c>
      <c r="J90" s="75">
        <v>17865.810000000001</v>
      </c>
      <c r="K90" s="91" t="s">
        <v>259</v>
      </c>
      <c r="L90" s="73"/>
      <c r="M90" s="46">
        <v>13.9</v>
      </c>
      <c r="N90" s="46">
        <v>0</v>
      </c>
      <c r="O90" s="46">
        <v>17865.810000000001</v>
      </c>
      <c r="P90" s="98"/>
      <c r="Q90" s="23" t="s">
        <v>1454</v>
      </c>
      <c r="R90" s="24" t="s">
        <v>258</v>
      </c>
      <c r="S90" s="25" t="s">
        <v>30</v>
      </c>
      <c r="T90" s="26">
        <v>13.9</v>
      </c>
      <c r="U90" s="26">
        <v>13.9</v>
      </c>
      <c r="V90" s="26">
        <f t="shared" si="10"/>
        <v>1285.31</v>
      </c>
      <c r="W90" s="209">
        <f t="shared" si="18"/>
        <v>0</v>
      </c>
      <c r="X90" s="127">
        <f t="shared" si="13"/>
        <v>13.9</v>
      </c>
      <c r="Y90" s="127">
        <f t="shared" si="11"/>
        <v>0</v>
      </c>
      <c r="Z90" s="127">
        <f t="shared" si="14"/>
        <v>17865.810000000001</v>
      </c>
      <c r="AA90" s="33" t="s">
        <v>15</v>
      </c>
      <c r="AB90" s="36" t="s">
        <v>16</v>
      </c>
      <c r="AC90" s="181">
        <f t="shared" si="15"/>
        <v>13.9</v>
      </c>
      <c r="AD90" s="181">
        <f t="shared" si="12"/>
        <v>17865.810000000001</v>
      </c>
      <c r="AE90" s="181">
        <v>1.2</v>
      </c>
      <c r="AF90" s="181">
        <v>1.2</v>
      </c>
      <c r="AG90" s="101" t="str">
        <f t="shared" si="16"/>
        <v/>
      </c>
      <c r="AH90" s="191">
        <f>13.9</f>
        <v>13.9</v>
      </c>
      <c r="AI90" s="69">
        <f t="shared" si="17"/>
        <v>13.9</v>
      </c>
    </row>
    <row r="91" spans="1:35" s="69" customFormat="1" ht="26.1" customHeight="1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 t="s">
        <v>15</v>
      </c>
      <c r="I91" s="75">
        <v>1976.06</v>
      </c>
      <c r="J91" s="75">
        <v>186046.05</v>
      </c>
      <c r="K91" s="91" t="s">
        <v>262</v>
      </c>
      <c r="L91" s="73"/>
      <c r="M91" s="46">
        <v>26.7</v>
      </c>
      <c r="N91" s="46">
        <v>0</v>
      </c>
      <c r="O91" s="46">
        <v>52760.800000000003</v>
      </c>
      <c r="P91" s="98"/>
      <c r="Q91" s="23" t="s">
        <v>1455</v>
      </c>
      <c r="R91" s="24" t="s">
        <v>261</v>
      </c>
      <c r="S91" s="25" t="s">
        <v>30</v>
      </c>
      <c r="T91" s="26">
        <v>94.15</v>
      </c>
      <c r="U91" s="26">
        <v>94.15</v>
      </c>
      <c r="V91" s="26">
        <f t="shared" si="10"/>
        <v>1976.06</v>
      </c>
      <c r="W91" s="243">
        <f t="shared" si="18"/>
        <v>61.399999999999991</v>
      </c>
      <c r="X91" s="26">
        <f t="shared" si="13"/>
        <v>88.1</v>
      </c>
      <c r="Y91" s="26">
        <f t="shared" si="11"/>
        <v>121330.09000000001</v>
      </c>
      <c r="Z91" s="26">
        <f t="shared" si="14"/>
        <v>174090.89</v>
      </c>
      <c r="AA91" s="33" t="s">
        <v>15</v>
      </c>
      <c r="AB91" s="36" t="s">
        <v>16</v>
      </c>
      <c r="AC91" s="181">
        <f t="shared" si="15"/>
        <v>94.15</v>
      </c>
      <c r="AD91" s="181">
        <f t="shared" si="12"/>
        <v>186046.05</v>
      </c>
      <c r="AE91" s="181">
        <v>1.2</v>
      </c>
      <c r="AF91" s="181">
        <v>1.2</v>
      </c>
      <c r="AG91" s="101" t="str">
        <f t="shared" si="16"/>
        <v/>
      </c>
      <c r="AH91" s="191">
        <f>26.7+61.4</f>
        <v>88.1</v>
      </c>
      <c r="AI91" s="69">
        <f t="shared" si="17"/>
        <v>94.15</v>
      </c>
    </row>
    <row r="92" spans="1:35" s="69" customFormat="1" ht="26.1" customHeight="1" x14ac:dyDescent="0.3">
      <c r="A92" s="130" t="s">
        <v>263</v>
      </c>
      <c r="B92" s="131" t="s">
        <v>264</v>
      </c>
      <c r="C92" s="132" t="s">
        <v>30</v>
      </c>
      <c r="D92" s="133">
        <v>13.5</v>
      </c>
      <c r="E92" s="75"/>
      <c r="F92" s="75"/>
      <c r="G92" s="75"/>
      <c r="H92" s="75" t="s">
        <v>15</v>
      </c>
      <c r="I92" s="75">
        <v>1889.54</v>
      </c>
      <c r="J92" s="75">
        <v>25508.79</v>
      </c>
      <c r="K92" s="91" t="s">
        <v>265</v>
      </c>
      <c r="L92" s="73"/>
      <c r="M92" s="46">
        <v>11.5</v>
      </c>
      <c r="N92" s="46">
        <v>0</v>
      </c>
      <c r="O92" s="46">
        <v>21729.71</v>
      </c>
      <c r="P92" s="98"/>
      <c r="Q92" s="23" t="s">
        <v>1456</v>
      </c>
      <c r="R92" s="24" t="s">
        <v>264</v>
      </c>
      <c r="S92" s="25" t="s">
        <v>30</v>
      </c>
      <c r="T92" s="26">
        <v>13.5</v>
      </c>
      <c r="U92" s="26">
        <v>13.5</v>
      </c>
      <c r="V92" s="26">
        <f t="shared" si="10"/>
        <v>1889.54</v>
      </c>
      <c r="W92" s="243">
        <f t="shared" si="18"/>
        <v>1.5999999999999996</v>
      </c>
      <c r="X92" s="127">
        <f t="shared" si="13"/>
        <v>13.1</v>
      </c>
      <c r="Y92" s="127">
        <f t="shared" si="11"/>
        <v>3023.260000000002</v>
      </c>
      <c r="Z92" s="127">
        <f t="shared" si="14"/>
        <v>24752.97</v>
      </c>
      <c r="AA92" s="33" t="s">
        <v>15</v>
      </c>
      <c r="AB92" s="36" t="s">
        <v>16</v>
      </c>
      <c r="AC92" s="181">
        <f t="shared" si="15"/>
        <v>13.5</v>
      </c>
      <c r="AD92" s="181">
        <f t="shared" si="12"/>
        <v>25508.79</v>
      </c>
      <c r="AE92" s="181">
        <v>1.2</v>
      </c>
      <c r="AF92" s="181">
        <v>1.2</v>
      </c>
      <c r="AG92" s="101" t="str">
        <f t="shared" si="16"/>
        <v/>
      </c>
      <c r="AH92" s="191">
        <f>11.5+1.6</f>
        <v>13.1</v>
      </c>
      <c r="AI92" s="69">
        <f t="shared" si="17"/>
        <v>13.5</v>
      </c>
    </row>
    <row r="93" spans="1:35" s="69" customFormat="1" ht="33" x14ac:dyDescent="0.3">
      <c r="A93" s="130" t="s">
        <v>266</v>
      </c>
      <c r="B93" s="131" t="s">
        <v>267</v>
      </c>
      <c r="C93" s="132" t="s">
        <v>30</v>
      </c>
      <c r="D93" s="133">
        <v>13.7</v>
      </c>
      <c r="E93" s="75"/>
      <c r="F93" s="75"/>
      <c r="G93" s="75"/>
      <c r="H93" s="75" t="s">
        <v>15</v>
      </c>
      <c r="I93" s="75">
        <v>1778.66</v>
      </c>
      <c r="J93" s="75">
        <v>24367.64</v>
      </c>
      <c r="K93" s="91" t="s">
        <v>268</v>
      </c>
      <c r="L93" s="73"/>
      <c r="M93" s="46">
        <v>13.7</v>
      </c>
      <c r="N93" s="46">
        <v>0</v>
      </c>
      <c r="O93" s="46">
        <v>24367.64</v>
      </c>
      <c r="P93" s="98"/>
      <c r="Q93" s="23" t="s">
        <v>1457</v>
      </c>
      <c r="R93" s="24" t="s">
        <v>267</v>
      </c>
      <c r="S93" s="25" t="s">
        <v>30</v>
      </c>
      <c r="T93" s="26">
        <v>13.7</v>
      </c>
      <c r="U93" s="26">
        <v>13.7</v>
      </c>
      <c r="V93" s="26">
        <f t="shared" si="10"/>
        <v>1778.66</v>
      </c>
      <c r="W93" s="209">
        <f t="shared" si="18"/>
        <v>0</v>
      </c>
      <c r="X93" s="127">
        <f t="shared" si="13"/>
        <v>13.7</v>
      </c>
      <c r="Y93" s="127">
        <f t="shared" si="11"/>
        <v>0</v>
      </c>
      <c r="Z93" s="127">
        <f t="shared" si="14"/>
        <v>24367.64</v>
      </c>
      <c r="AA93" s="33" t="s">
        <v>15</v>
      </c>
      <c r="AB93" s="36" t="s">
        <v>16</v>
      </c>
      <c r="AC93" s="181">
        <f t="shared" si="15"/>
        <v>13.7</v>
      </c>
      <c r="AD93" s="181">
        <f t="shared" si="12"/>
        <v>24367.64</v>
      </c>
      <c r="AE93" s="181">
        <v>1.2</v>
      </c>
      <c r="AF93" s="181">
        <v>1.2</v>
      </c>
      <c r="AG93" s="101" t="str">
        <f t="shared" si="16"/>
        <v/>
      </c>
      <c r="AH93" s="191">
        <f>13.7</f>
        <v>13.7</v>
      </c>
      <c r="AI93" s="69">
        <f t="shared" si="17"/>
        <v>13.7</v>
      </c>
    </row>
    <row r="94" spans="1:35" s="69" customFormat="1" ht="26.1" customHeight="1" x14ac:dyDescent="0.3">
      <c r="A94" s="130" t="s">
        <v>269</v>
      </c>
      <c r="B94" s="131" t="s">
        <v>270</v>
      </c>
      <c r="C94" s="132" t="s">
        <v>30</v>
      </c>
      <c r="D94" s="133">
        <v>17.920000000000002</v>
      </c>
      <c r="E94" s="75"/>
      <c r="F94" s="75"/>
      <c r="G94" s="75"/>
      <c r="H94" s="75" t="s">
        <v>15</v>
      </c>
      <c r="I94" s="75">
        <v>2939.14</v>
      </c>
      <c r="J94" s="75">
        <v>52669.39</v>
      </c>
      <c r="K94" s="91" t="s">
        <v>271</v>
      </c>
      <c r="L94" s="73"/>
      <c r="M94" s="46">
        <v>16.8</v>
      </c>
      <c r="N94" s="46">
        <v>0</v>
      </c>
      <c r="O94" s="46">
        <v>49377.55</v>
      </c>
      <c r="P94" s="98"/>
      <c r="Q94" s="23" t="s">
        <v>1458</v>
      </c>
      <c r="R94" s="24" t="s">
        <v>270</v>
      </c>
      <c r="S94" s="25" t="s">
        <v>30</v>
      </c>
      <c r="T94" s="26">
        <v>17.920000000000002</v>
      </c>
      <c r="U94" s="26">
        <v>17.920000000000002</v>
      </c>
      <c r="V94" s="26">
        <f t="shared" si="10"/>
        <v>2939.14</v>
      </c>
      <c r="W94" s="243">
        <f t="shared" si="18"/>
        <v>1.1000000000000014</v>
      </c>
      <c r="X94" s="127">
        <f t="shared" si="13"/>
        <v>17.900000000000002</v>
      </c>
      <c r="Y94" s="127">
        <f t="shared" si="11"/>
        <v>3233.0599999999977</v>
      </c>
      <c r="Z94" s="127">
        <f t="shared" si="14"/>
        <v>52610.61</v>
      </c>
      <c r="AA94" s="33" t="s">
        <v>15</v>
      </c>
      <c r="AB94" s="36" t="s">
        <v>16</v>
      </c>
      <c r="AC94" s="181">
        <f t="shared" si="15"/>
        <v>17.920000000000002</v>
      </c>
      <c r="AD94" s="181">
        <f t="shared" si="12"/>
        <v>52669.39</v>
      </c>
      <c r="AE94" s="181">
        <v>1.2</v>
      </c>
      <c r="AF94" s="181">
        <v>1.2</v>
      </c>
      <c r="AG94" s="101" t="str">
        <f t="shared" si="16"/>
        <v/>
      </c>
      <c r="AH94" s="191">
        <f>16.8+1.1</f>
        <v>17.900000000000002</v>
      </c>
      <c r="AI94" s="69">
        <f t="shared" si="17"/>
        <v>17.920000000000002</v>
      </c>
    </row>
    <row r="95" spans="1:35" s="69" customFormat="1" ht="26.1" customHeight="1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 t="s">
        <v>15</v>
      </c>
      <c r="I95" s="75">
        <v>23030.799999999999</v>
      </c>
      <c r="J95" s="75">
        <v>23030.799999999999</v>
      </c>
      <c r="K95" s="91" t="s">
        <v>274</v>
      </c>
      <c r="L95" s="73"/>
      <c r="M95" s="46">
        <v>0</v>
      </c>
      <c r="N95" s="46">
        <v>0</v>
      </c>
      <c r="O95" s="46">
        <v>0</v>
      </c>
      <c r="P95" s="98"/>
      <c r="Q95" s="23" t="s">
        <v>1459</v>
      </c>
      <c r="R95" s="24" t="s">
        <v>273</v>
      </c>
      <c r="S95" s="25" t="s">
        <v>81</v>
      </c>
      <c r="T95" s="26">
        <v>1</v>
      </c>
      <c r="U95" s="26">
        <v>1</v>
      </c>
      <c r="V95" s="26">
        <f t="shared" si="10"/>
        <v>23030.799999999999</v>
      </c>
      <c r="W95" s="26">
        <f t="shared" si="18"/>
        <v>0</v>
      </c>
      <c r="X95" s="26">
        <f t="shared" si="13"/>
        <v>0</v>
      </c>
      <c r="Y95" s="26">
        <f t="shared" si="11"/>
        <v>0</v>
      </c>
      <c r="Z95" s="26">
        <f t="shared" si="14"/>
        <v>0</v>
      </c>
      <c r="AA95" s="33" t="s">
        <v>15</v>
      </c>
      <c r="AB95" s="36" t="s">
        <v>16</v>
      </c>
      <c r="AC95" s="181">
        <f t="shared" si="15"/>
        <v>1</v>
      </c>
      <c r="AD95" s="181">
        <f t="shared" si="12"/>
        <v>23030.799999999999</v>
      </c>
      <c r="AE95" s="181">
        <v>1.2</v>
      </c>
      <c r="AF95" s="181">
        <v>1.2</v>
      </c>
      <c r="AG95" s="101" t="str">
        <f t="shared" si="16"/>
        <v/>
      </c>
      <c r="AH95" s="190">
        <v>0</v>
      </c>
      <c r="AI95" s="69">
        <f t="shared" si="17"/>
        <v>1</v>
      </c>
    </row>
    <row r="96" spans="1:35" s="69" customFormat="1" ht="26.1" customHeight="1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 t="s">
        <v>15</v>
      </c>
      <c r="I96" s="75">
        <v>18605.919999999998</v>
      </c>
      <c r="J96" s="75">
        <v>37211.839999999997</v>
      </c>
      <c r="K96" s="91" t="s">
        <v>277</v>
      </c>
      <c r="L96" s="73"/>
      <c r="M96" s="46">
        <v>0</v>
      </c>
      <c r="N96" s="46">
        <v>0</v>
      </c>
      <c r="O96" s="46">
        <v>0</v>
      </c>
      <c r="P96" s="98"/>
      <c r="Q96" s="23" t="s">
        <v>1460</v>
      </c>
      <c r="R96" s="24" t="s">
        <v>276</v>
      </c>
      <c r="S96" s="25" t="s">
        <v>81</v>
      </c>
      <c r="T96" s="26">
        <v>2</v>
      </c>
      <c r="U96" s="26">
        <v>2</v>
      </c>
      <c r="V96" s="26">
        <f t="shared" si="10"/>
        <v>18605.919999999998</v>
      </c>
      <c r="W96" s="26">
        <f t="shared" si="18"/>
        <v>0</v>
      </c>
      <c r="X96" s="26">
        <f t="shared" si="13"/>
        <v>0</v>
      </c>
      <c r="Y96" s="26">
        <f t="shared" si="11"/>
        <v>0</v>
      </c>
      <c r="Z96" s="26">
        <f t="shared" si="14"/>
        <v>0</v>
      </c>
      <c r="AA96" s="33" t="s">
        <v>15</v>
      </c>
      <c r="AB96" s="36" t="s">
        <v>16</v>
      </c>
      <c r="AC96" s="181">
        <f t="shared" si="15"/>
        <v>2</v>
      </c>
      <c r="AD96" s="181">
        <f t="shared" si="12"/>
        <v>37211.839999999997</v>
      </c>
      <c r="AE96" s="181">
        <v>1.2</v>
      </c>
      <c r="AF96" s="181">
        <v>1.2</v>
      </c>
      <c r="AG96" s="101" t="str">
        <f t="shared" si="16"/>
        <v/>
      </c>
      <c r="AH96" s="190">
        <v>0</v>
      </c>
      <c r="AI96" s="69">
        <f t="shared" si="17"/>
        <v>2</v>
      </c>
    </row>
    <row r="97" spans="1:35" s="69" customFormat="1" ht="26.1" customHeight="1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 t="s">
        <v>15</v>
      </c>
      <c r="I97" s="75">
        <v>18605.919999999998</v>
      </c>
      <c r="J97" s="75">
        <v>18605.919999999998</v>
      </c>
      <c r="K97" s="91" t="s">
        <v>280</v>
      </c>
      <c r="L97" s="73"/>
      <c r="M97" s="46">
        <v>0</v>
      </c>
      <c r="N97" s="46">
        <v>0</v>
      </c>
      <c r="O97" s="46">
        <v>0</v>
      </c>
      <c r="P97" s="98"/>
      <c r="Q97" s="23" t="s">
        <v>1461</v>
      </c>
      <c r="R97" s="24" t="s">
        <v>279</v>
      </c>
      <c r="S97" s="25" t="s">
        <v>81</v>
      </c>
      <c r="T97" s="26">
        <v>1</v>
      </c>
      <c r="U97" s="26">
        <v>1</v>
      </c>
      <c r="V97" s="26">
        <f t="shared" si="10"/>
        <v>18605.919999999998</v>
      </c>
      <c r="W97" s="26">
        <f t="shared" si="18"/>
        <v>0</v>
      </c>
      <c r="X97" s="26">
        <f t="shared" si="13"/>
        <v>0</v>
      </c>
      <c r="Y97" s="26">
        <f t="shared" si="11"/>
        <v>0</v>
      </c>
      <c r="Z97" s="26">
        <f t="shared" si="14"/>
        <v>0</v>
      </c>
      <c r="AA97" s="33" t="s">
        <v>15</v>
      </c>
      <c r="AB97" s="36" t="s">
        <v>16</v>
      </c>
      <c r="AC97" s="181">
        <f t="shared" si="15"/>
        <v>1</v>
      </c>
      <c r="AD97" s="181">
        <f t="shared" si="12"/>
        <v>18605.919999999998</v>
      </c>
      <c r="AE97" s="181">
        <v>1.2</v>
      </c>
      <c r="AF97" s="181">
        <v>1.2</v>
      </c>
      <c r="AG97" s="101" t="str">
        <f t="shared" si="16"/>
        <v/>
      </c>
      <c r="AH97" s="190">
        <v>0</v>
      </c>
      <c r="AI97" s="69">
        <f t="shared" si="17"/>
        <v>1</v>
      </c>
    </row>
    <row r="98" spans="1:35" s="69" customFormat="1" ht="26.1" customHeight="1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 t="s">
        <v>15</v>
      </c>
      <c r="I98" s="75">
        <v>11655.48</v>
      </c>
      <c r="J98" s="75">
        <v>34966.44</v>
      </c>
      <c r="K98" s="91" t="s">
        <v>283</v>
      </c>
      <c r="L98" s="73"/>
      <c r="M98" s="46">
        <v>0</v>
      </c>
      <c r="N98" s="46">
        <v>0</v>
      </c>
      <c r="O98" s="46">
        <v>0</v>
      </c>
      <c r="P98" s="98"/>
      <c r="Q98" s="23" t="s">
        <v>1462</v>
      </c>
      <c r="R98" s="24" t="s">
        <v>282</v>
      </c>
      <c r="S98" s="25" t="s">
        <v>81</v>
      </c>
      <c r="T98" s="26">
        <v>3</v>
      </c>
      <c r="U98" s="26">
        <v>3</v>
      </c>
      <c r="V98" s="26">
        <f t="shared" si="10"/>
        <v>11655.48</v>
      </c>
      <c r="W98" s="26">
        <f t="shared" si="18"/>
        <v>0</v>
      </c>
      <c r="X98" s="26">
        <f t="shared" si="13"/>
        <v>0</v>
      </c>
      <c r="Y98" s="26">
        <f t="shared" si="11"/>
        <v>0</v>
      </c>
      <c r="Z98" s="26">
        <f t="shared" si="14"/>
        <v>0</v>
      </c>
      <c r="AA98" s="33" t="s">
        <v>15</v>
      </c>
      <c r="AB98" s="36" t="s">
        <v>16</v>
      </c>
      <c r="AC98" s="181">
        <f t="shared" si="15"/>
        <v>3</v>
      </c>
      <c r="AD98" s="181">
        <f t="shared" si="12"/>
        <v>34966.44</v>
      </c>
      <c r="AE98" s="181">
        <v>1.2</v>
      </c>
      <c r="AF98" s="181">
        <v>1.2</v>
      </c>
      <c r="AG98" s="101" t="str">
        <f t="shared" si="16"/>
        <v/>
      </c>
      <c r="AH98" s="190">
        <v>0</v>
      </c>
      <c r="AI98" s="69">
        <f t="shared" si="17"/>
        <v>3</v>
      </c>
    </row>
    <row r="99" spans="1:35" s="69" customFormat="1" ht="26.1" customHeight="1" x14ac:dyDescent="0.3">
      <c r="A99" s="246" t="s">
        <v>284</v>
      </c>
      <c r="B99" s="247" t="s">
        <v>285</v>
      </c>
      <c r="C99" s="248" t="s">
        <v>81</v>
      </c>
      <c r="D99" s="249">
        <v>4</v>
      </c>
      <c r="E99" s="75"/>
      <c r="F99" s="75"/>
      <c r="G99" s="75"/>
      <c r="H99" s="75" t="s">
        <v>15</v>
      </c>
      <c r="I99" s="75">
        <v>25108.91</v>
      </c>
      <c r="J99" s="75">
        <v>100435.64</v>
      </c>
      <c r="K99" s="91" t="s">
        <v>286</v>
      </c>
      <c r="L99" s="73"/>
      <c r="M99" s="46">
        <v>0</v>
      </c>
      <c r="N99" s="46">
        <v>0</v>
      </c>
      <c r="O99" s="46">
        <v>0</v>
      </c>
      <c r="P99" s="98"/>
      <c r="Q99" s="23" t="s">
        <v>1463</v>
      </c>
      <c r="R99" s="24" t="s">
        <v>285</v>
      </c>
      <c r="S99" s="25" t="s">
        <v>81</v>
      </c>
      <c r="T99" s="26">
        <v>4</v>
      </c>
      <c r="U99" s="26">
        <v>4</v>
      </c>
      <c r="V99" s="26">
        <f t="shared" si="10"/>
        <v>25108.91</v>
      </c>
      <c r="W99" s="26">
        <f t="shared" si="18"/>
        <v>0</v>
      </c>
      <c r="X99" s="26">
        <f t="shared" si="13"/>
        <v>0</v>
      </c>
      <c r="Y99" s="26">
        <f t="shared" si="11"/>
        <v>0</v>
      </c>
      <c r="Z99" s="26">
        <f t="shared" si="14"/>
        <v>0</v>
      </c>
      <c r="AA99" s="33" t="s">
        <v>15</v>
      </c>
      <c r="AB99" s="36" t="s">
        <v>16</v>
      </c>
      <c r="AC99" s="181">
        <f t="shared" si="15"/>
        <v>4</v>
      </c>
      <c r="AD99" s="181">
        <f t="shared" si="12"/>
        <v>100435.64</v>
      </c>
      <c r="AE99" s="181">
        <v>1.2</v>
      </c>
      <c r="AF99" s="181">
        <v>1.2</v>
      </c>
      <c r="AG99" s="101" t="str">
        <f t="shared" si="16"/>
        <v/>
      </c>
      <c r="AH99" s="190">
        <v>0</v>
      </c>
      <c r="AI99" s="69">
        <f t="shared" si="17"/>
        <v>4</v>
      </c>
    </row>
    <row r="100" spans="1:35" s="69" customFormat="1" ht="26.1" customHeight="1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 t="s">
        <v>15</v>
      </c>
      <c r="I100" s="75">
        <v>22416.92</v>
      </c>
      <c r="J100" s="75">
        <v>112084.6</v>
      </c>
      <c r="K100" s="91" t="s">
        <v>289</v>
      </c>
      <c r="L100" s="73"/>
      <c r="M100" s="46">
        <v>0</v>
      </c>
      <c r="N100" s="46">
        <v>0</v>
      </c>
      <c r="O100" s="46">
        <v>0</v>
      </c>
      <c r="P100" s="98"/>
      <c r="Q100" s="23" t="s">
        <v>1464</v>
      </c>
      <c r="R100" s="24" t="s">
        <v>288</v>
      </c>
      <c r="S100" s="25" t="s">
        <v>81</v>
      </c>
      <c r="T100" s="26">
        <v>5</v>
      </c>
      <c r="U100" s="26">
        <v>5</v>
      </c>
      <c r="V100" s="26">
        <f t="shared" si="10"/>
        <v>22416.92</v>
      </c>
      <c r="W100" s="26">
        <f t="shared" si="18"/>
        <v>0</v>
      </c>
      <c r="X100" s="26">
        <f t="shared" si="13"/>
        <v>0</v>
      </c>
      <c r="Y100" s="26">
        <f t="shared" si="11"/>
        <v>0</v>
      </c>
      <c r="Z100" s="26">
        <f t="shared" si="14"/>
        <v>0</v>
      </c>
      <c r="AA100" s="33" t="s">
        <v>15</v>
      </c>
      <c r="AB100" s="36" t="s">
        <v>16</v>
      </c>
      <c r="AC100" s="181">
        <f t="shared" si="15"/>
        <v>5</v>
      </c>
      <c r="AD100" s="181">
        <f t="shared" si="12"/>
        <v>112084.6</v>
      </c>
      <c r="AE100" s="181">
        <v>1.2</v>
      </c>
      <c r="AF100" s="181">
        <v>1.2</v>
      </c>
      <c r="AG100" s="101" t="str">
        <f t="shared" si="16"/>
        <v/>
      </c>
      <c r="AH100" s="190">
        <v>0</v>
      </c>
      <c r="AI100" s="69">
        <f t="shared" si="17"/>
        <v>5</v>
      </c>
    </row>
    <row r="101" spans="1:35" s="69" customFormat="1" ht="26.1" customHeight="1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 t="s">
        <v>15</v>
      </c>
      <c r="I101" s="75">
        <v>21724.76</v>
      </c>
      <c r="J101" s="75">
        <v>21724.76</v>
      </c>
      <c r="K101" s="91" t="s">
        <v>292</v>
      </c>
      <c r="L101" s="73"/>
      <c r="M101" s="46">
        <v>0</v>
      </c>
      <c r="N101" s="46">
        <v>0</v>
      </c>
      <c r="O101" s="46">
        <v>0</v>
      </c>
      <c r="P101" s="98"/>
      <c r="Q101" s="23" t="s">
        <v>1465</v>
      </c>
      <c r="R101" s="24" t="s">
        <v>291</v>
      </c>
      <c r="S101" s="25" t="s">
        <v>81</v>
      </c>
      <c r="T101" s="26">
        <v>1</v>
      </c>
      <c r="U101" s="26">
        <v>1</v>
      </c>
      <c r="V101" s="26">
        <f t="shared" si="10"/>
        <v>21724.76</v>
      </c>
      <c r="W101" s="26">
        <f t="shared" si="18"/>
        <v>0</v>
      </c>
      <c r="X101" s="26">
        <f t="shared" si="13"/>
        <v>0</v>
      </c>
      <c r="Y101" s="26">
        <f t="shared" si="11"/>
        <v>0</v>
      </c>
      <c r="Z101" s="26">
        <f t="shared" si="14"/>
        <v>0</v>
      </c>
      <c r="AA101" s="33" t="s">
        <v>15</v>
      </c>
      <c r="AB101" s="36" t="s">
        <v>16</v>
      </c>
      <c r="AC101" s="181">
        <f t="shared" si="15"/>
        <v>1</v>
      </c>
      <c r="AD101" s="181">
        <f t="shared" si="12"/>
        <v>21724.76</v>
      </c>
      <c r="AE101" s="181">
        <v>1.2</v>
      </c>
      <c r="AF101" s="181">
        <v>1.2</v>
      </c>
      <c r="AG101" s="101" t="str">
        <f t="shared" si="16"/>
        <v/>
      </c>
      <c r="AH101" s="190">
        <v>0</v>
      </c>
      <c r="AI101" s="69">
        <f t="shared" si="17"/>
        <v>1</v>
      </c>
    </row>
    <row r="102" spans="1:35" s="69" customFormat="1" ht="26.1" customHeight="1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 t="s">
        <v>15</v>
      </c>
      <c r="I102" s="75">
        <v>17341.04</v>
      </c>
      <c r="J102" s="75">
        <v>34682.080000000002</v>
      </c>
      <c r="K102" s="91" t="s">
        <v>295</v>
      </c>
      <c r="L102" s="73"/>
      <c r="M102" s="46">
        <v>0</v>
      </c>
      <c r="N102" s="46">
        <v>0</v>
      </c>
      <c r="O102" s="46">
        <v>0</v>
      </c>
      <c r="P102" s="98"/>
      <c r="Q102" s="23" t="s">
        <v>1466</v>
      </c>
      <c r="R102" s="24" t="s">
        <v>294</v>
      </c>
      <c r="S102" s="25" t="s">
        <v>81</v>
      </c>
      <c r="T102" s="26">
        <v>2</v>
      </c>
      <c r="U102" s="26">
        <v>2</v>
      </c>
      <c r="V102" s="26">
        <f t="shared" si="10"/>
        <v>17341.04</v>
      </c>
      <c r="W102" s="26">
        <f t="shared" si="18"/>
        <v>0</v>
      </c>
      <c r="X102" s="26">
        <f t="shared" si="13"/>
        <v>0</v>
      </c>
      <c r="Y102" s="26">
        <f t="shared" si="11"/>
        <v>0</v>
      </c>
      <c r="Z102" s="26">
        <f t="shared" si="14"/>
        <v>0</v>
      </c>
      <c r="AA102" s="33" t="s">
        <v>15</v>
      </c>
      <c r="AB102" s="36" t="s">
        <v>16</v>
      </c>
      <c r="AC102" s="181">
        <f t="shared" si="15"/>
        <v>2</v>
      </c>
      <c r="AD102" s="181">
        <f t="shared" si="12"/>
        <v>34682.080000000002</v>
      </c>
      <c r="AE102" s="181">
        <v>1.2</v>
      </c>
      <c r="AF102" s="181">
        <v>1.2</v>
      </c>
      <c r="AG102" s="101" t="str">
        <f t="shared" si="16"/>
        <v/>
      </c>
      <c r="AH102" s="190">
        <v>0</v>
      </c>
      <c r="AI102" s="69">
        <f t="shared" si="17"/>
        <v>2</v>
      </c>
    </row>
    <row r="103" spans="1:35" s="69" customFormat="1" ht="26.1" customHeight="1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 t="s">
        <v>15</v>
      </c>
      <c r="I103" s="75">
        <v>17341.04</v>
      </c>
      <c r="J103" s="75">
        <v>17341.04</v>
      </c>
      <c r="K103" s="91" t="s">
        <v>298</v>
      </c>
      <c r="L103" s="73"/>
      <c r="M103" s="46">
        <v>0</v>
      </c>
      <c r="N103" s="46">
        <v>0</v>
      </c>
      <c r="O103" s="46">
        <v>0</v>
      </c>
      <c r="P103" s="98"/>
      <c r="Q103" s="23" t="s">
        <v>1467</v>
      </c>
      <c r="R103" s="24" t="s">
        <v>297</v>
      </c>
      <c r="S103" s="25" t="s">
        <v>81</v>
      </c>
      <c r="T103" s="26">
        <v>1</v>
      </c>
      <c r="U103" s="26">
        <v>1</v>
      </c>
      <c r="V103" s="26">
        <f t="shared" ref="V103:V166" si="19">I103</f>
        <v>17341.04</v>
      </c>
      <c r="W103" s="26">
        <f t="shared" si="18"/>
        <v>0</v>
      </c>
      <c r="X103" s="26">
        <f t="shared" si="13"/>
        <v>0</v>
      </c>
      <c r="Y103" s="26">
        <f t="shared" ref="Y103:Y132" si="20">Z103-O103</f>
        <v>0</v>
      </c>
      <c r="Z103" s="26">
        <f t="shared" si="14"/>
        <v>0</v>
      </c>
      <c r="AA103" s="33" t="s">
        <v>15</v>
      </c>
      <c r="AB103" s="36" t="s">
        <v>16</v>
      </c>
      <c r="AC103" s="181">
        <f t="shared" si="15"/>
        <v>1</v>
      </c>
      <c r="AD103" s="181">
        <f t="shared" si="12"/>
        <v>17341.04</v>
      </c>
      <c r="AE103" s="181">
        <v>1.2</v>
      </c>
      <c r="AF103" s="181">
        <v>1.2</v>
      </c>
      <c r="AG103" s="101" t="str">
        <f t="shared" si="16"/>
        <v/>
      </c>
      <c r="AH103" s="190">
        <v>0</v>
      </c>
      <c r="AI103" s="69">
        <f t="shared" si="17"/>
        <v>1</v>
      </c>
    </row>
    <row r="104" spans="1:35" s="69" customFormat="1" ht="26.1" customHeight="1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 t="s">
        <v>15</v>
      </c>
      <c r="I104" s="75">
        <v>17341.04</v>
      </c>
      <c r="J104" s="75">
        <v>104046.24</v>
      </c>
      <c r="K104" s="91" t="s">
        <v>301</v>
      </c>
      <c r="L104" s="73"/>
      <c r="M104" s="46">
        <v>0</v>
      </c>
      <c r="N104" s="46">
        <v>0</v>
      </c>
      <c r="O104" s="46">
        <v>0</v>
      </c>
      <c r="P104" s="98"/>
      <c r="Q104" s="23" t="s">
        <v>1468</v>
      </c>
      <c r="R104" s="24" t="s">
        <v>300</v>
      </c>
      <c r="S104" s="25" t="s">
        <v>81</v>
      </c>
      <c r="T104" s="26">
        <v>6</v>
      </c>
      <c r="U104" s="26">
        <v>6</v>
      </c>
      <c r="V104" s="26">
        <f t="shared" si="19"/>
        <v>17341.04</v>
      </c>
      <c r="W104" s="26">
        <f t="shared" si="18"/>
        <v>0</v>
      </c>
      <c r="X104" s="26">
        <f t="shared" si="13"/>
        <v>0</v>
      </c>
      <c r="Y104" s="26">
        <f t="shared" si="20"/>
        <v>0</v>
      </c>
      <c r="Z104" s="26">
        <f t="shared" si="14"/>
        <v>0</v>
      </c>
      <c r="AA104" s="33" t="s">
        <v>15</v>
      </c>
      <c r="AB104" s="36" t="s">
        <v>16</v>
      </c>
      <c r="AC104" s="181">
        <f t="shared" si="15"/>
        <v>6</v>
      </c>
      <c r="AD104" s="181">
        <f t="shared" ref="AD104:AD132" si="21">ROUND(V104*AC104,2)</f>
        <v>104046.24</v>
      </c>
      <c r="AE104" s="181">
        <v>1.2</v>
      </c>
      <c r="AF104" s="181">
        <v>1.2</v>
      </c>
      <c r="AG104" s="101" t="str">
        <f t="shared" si="16"/>
        <v/>
      </c>
      <c r="AH104" s="190">
        <v>0</v>
      </c>
      <c r="AI104" s="69">
        <f t="shared" si="17"/>
        <v>6</v>
      </c>
    </row>
    <row r="105" spans="1:35" s="69" customFormat="1" ht="26.1" customHeight="1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 t="s">
        <v>15</v>
      </c>
      <c r="I105" s="75">
        <v>17497.64</v>
      </c>
      <c r="J105" s="75">
        <v>34995.279999999999</v>
      </c>
      <c r="K105" s="91" t="s">
        <v>304</v>
      </c>
      <c r="L105" s="73"/>
      <c r="M105" s="46">
        <v>0</v>
      </c>
      <c r="N105" s="46">
        <v>0</v>
      </c>
      <c r="O105" s="46">
        <v>0</v>
      </c>
      <c r="P105" s="98"/>
      <c r="Q105" s="23" t="s">
        <v>1469</v>
      </c>
      <c r="R105" s="24" t="s">
        <v>303</v>
      </c>
      <c r="S105" s="25" t="s">
        <v>81</v>
      </c>
      <c r="T105" s="26">
        <v>2</v>
      </c>
      <c r="U105" s="26">
        <v>2</v>
      </c>
      <c r="V105" s="26">
        <f t="shared" si="19"/>
        <v>17497.64</v>
      </c>
      <c r="W105" s="26">
        <f t="shared" si="18"/>
        <v>0</v>
      </c>
      <c r="X105" s="26">
        <f t="shared" si="13"/>
        <v>0</v>
      </c>
      <c r="Y105" s="26">
        <f t="shared" si="20"/>
        <v>0</v>
      </c>
      <c r="Z105" s="26">
        <f t="shared" si="14"/>
        <v>0</v>
      </c>
      <c r="AA105" s="33" t="s">
        <v>15</v>
      </c>
      <c r="AB105" s="36" t="s">
        <v>16</v>
      </c>
      <c r="AC105" s="181">
        <f t="shared" si="15"/>
        <v>2</v>
      </c>
      <c r="AD105" s="181">
        <f t="shared" si="21"/>
        <v>34995.279999999999</v>
      </c>
      <c r="AE105" s="181">
        <v>1.2</v>
      </c>
      <c r="AF105" s="181">
        <v>1.2</v>
      </c>
      <c r="AG105" s="101" t="str">
        <f t="shared" si="16"/>
        <v/>
      </c>
      <c r="AH105" s="190">
        <v>0</v>
      </c>
      <c r="AI105" s="69">
        <f t="shared" si="17"/>
        <v>2</v>
      </c>
    </row>
    <row r="106" spans="1:35" s="69" customFormat="1" ht="26.1" customHeight="1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 t="s">
        <v>15</v>
      </c>
      <c r="I106" s="75">
        <v>1501.74</v>
      </c>
      <c r="J106" s="75">
        <v>3003.48</v>
      </c>
      <c r="K106" s="91" t="s">
        <v>307</v>
      </c>
      <c r="L106" s="73"/>
      <c r="M106" s="46">
        <v>0</v>
      </c>
      <c r="N106" s="46">
        <v>0</v>
      </c>
      <c r="O106" s="46">
        <v>0</v>
      </c>
      <c r="P106" s="98"/>
      <c r="Q106" s="23" t="s">
        <v>1470</v>
      </c>
      <c r="R106" s="24" t="s">
        <v>306</v>
      </c>
      <c r="S106" s="25" t="s">
        <v>81</v>
      </c>
      <c r="T106" s="26">
        <v>2</v>
      </c>
      <c r="U106" s="26">
        <v>2</v>
      </c>
      <c r="V106" s="26">
        <f t="shared" si="19"/>
        <v>1501.74</v>
      </c>
      <c r="W106" s="26">
        <f t="shared" si="18"/>
        <v>0</v>
      </c>
      <c r="X106" s="26">
        <f t="shared" si="13"/>
        <v>0</v>
      </c>
      <c r="Y106" s="26">
        <f t="shared" si="20"/>
        <v>0</v>
      </c>
      <c r="Z106" s="26">
        <f t="shared" si="14"/>
        <v>0</v>
      </c>
      <c r="AA106" s="33" t="s">
        <v>15</v>
      </c>
      <c r="AB106" s="36" t="s">
        <v>16</v>
      </c>
      <c r="AC106" s="181">
        <f t="shared" si="15"/>
        <v>2</v>
      </c>
      <c r="AD106" s="181">
        <f t="shared" si="21"/>
        <v>3003.48</v>
      </c>
      <c r="AE106" s="181">
        <v>1.2</v>
      </c>
      <c r="AF106" s="181">
        <v>1.2</v>
      </c>
      <c r="AG106" s="101" t="str">
        <f t="shared" si="16"/>
        <v/>
      </c>
      <c r="AH106" s="190">
        <v>0</v>
      </c>
      <c r="AI106" s="69">
        <f t="shared" si="17"/>
        <v>2</v>
      </c>
    </row>
    <row r="107" spans="1:35" s="69" customFormat="1" ht="26.1" customHeight="1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 t="s">
        <v>15</v>
      </c>
      <c r="I107" s="75">
        <v>994.98</v>
      </c>
      <c r="J107" s="75">
        <v>994.98</v>
      </c>
      <c r="K107" s="91" t="s">
        <v>310</v>
      </c>
      <c r="L107" s="73"/>
      <c r="M107" s="46">
        <v>0</v>
      </c>
      <c r="N107" s="46">
        <v>0</v>
      </c>
      <c r="O107" s="46">
        <v>0</v>
      </c>
      <c r="P107" s="98"/>
      <c r="Q107" s="23" t="s">
        <v>1471</v>
      </c>
      <c r="R107" s="24" t="s">
        <v>309</v>
      </c>
      <c r="S107" s="25" t="s">
        <v>81</v>
      </c>
      <c r="T107" s="26">
        <v>1</v>
      </c>
      <c r="U107" s="26">
        <v>1</v>
      </c>
      <c r="V107" s="26">
        <f t="shared" si="19"/>
        <v>994.98</v>
      </c>
      <c r="W107" s="26">
        <f t="shared" si="18"/>
        <v>0</v>
      </c>
      <c r="X107" s="26">
        <f t="shared" si="13"/>
        <v>0</v>
      </c>
      <c r="Y107" s="26">
        <f t="shared" si="20"/>
        <v>0</v>
      </c>
      <c r="Z107" s="26">
        <f t="shared" si="14"/>
        <v>0</v>
      </c>
      <c r="AA107" s="33" t="s">
        <v>15</v>
      </c>
      <c r="AB107" s="36" t="s">
        <v>16</v>
      </c>
      <c r="AC107" s="181">
        <f t="shared" si="15"/>
        <v>1</v>
      </c>
      <c r="AD107" s="181">
        <f t="shared" si="21"/>
        <v>994.98</v>
      </c>
      <c r="AE107" s="181">
        <v>1.2</v>
      </c>
      <c r="AF107" s="181">
        <v>1.2</v>
      </c>
      <c r="AG107" s="101" t="str">
        <f t="shared" si="16"/>
        <v/>
      </c>
      <c r="AH107" s="190">
        <v>0</v>
      </c>
      <c r="AI107" s="69">
        <f t="shared" si="17"/>
        <v>1</v>
      </c>
    </row>
    <row r="108" spans="1:35" s="69" customFormat="1" ht="26.1" customHeight="1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 t="s">
        <v>15</v>
      </c>
      <c r="I108" s="75">
        <v>331.66</v>
      </c>
      <c r="J108" s="75">
        <v>3979.92</v>
      </c>
      <c r="K108" s="91" t="s">
        <v>313</v>
      </c>
      <c r="L108" s="73"/>
      <c r="M108" s="46">
        <v>0</v>
      </c>
      <c r="N108" s="46">
        <v>0</v>
      </c>
      <c r="O108" s="46">
        <v>0</v>
      </c>
      <c r="P108" s="98"/>
      <c r="Q108" s="23" t="s">
        <v>1472</v>
      </c>
      <c r="R108" s="24" t="s">
        <v>312</v>
      </c>
      <c r="S108" s="25" t="s">
        <v>81</v>
      </c>
      <c r="T108" s="26">
        <v>12</v>
      </c>
      <c r="U108" s="26">
        <v>12</v>
      </c>
      <c r="V108" s="26">
        <f t="shared" si="19"/>
        <v>331.66</v>
      </c>
      <c r="W108" s="26">
        <f t="shared" si="18"/>
        <v>0</v>
      </c>
      <c r="X108" s="26">
        <f t="shared" si="13"/>
        <v>0</v>
      </c>
      <c r="Y108" s="26">
        <f t="shared" si="20"/>
        <v>0</v>
      </c>
      <c r="Z108" s="26">
        <f t="shared" si="14"/>
        <v>0</v>
      </c>
      <c r="AA108" s="33" t="s">
        <v>15</v>
      </c>
      <c r="AB108" s="36" t="s">
        <v>16</v>
      </c>
      <c r="AC108" s="181">
        <f t="shared" si="15"/>
        <v>12</v>
      </c>
      <c r="AD108" s="181">
        <f t="shared" si="21"/>
        <v>3979.92</v>
      </c>
      <c r="AE108" s="181">
        <v>1.2</v>
      </c>
      <c r="AF108" s="181">
        <v>1.2</v>
      </c>
      <c r="AG108" s="101" t="str">
        <f t="shared" si="16"/>
        <v/>
      </c>
      <c r="AH108" s="190">
        <v>0</v>
      </c>
      <c r="AI108" s="69">
        <f t="shared" si="17"/>
        <v>12</v>
      </c>
    </row>
    <row r="109" spans="1:35" s="69" customFormat="1" ht="26.1" customHeight="1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 t="s">
        <v>15</v>
      </c>
      <c r="I109" s="75">
        <v>1096.44</v>
      </c>
      <c r="J109" s="75">
        <v>2192.88</v>
      </c>
      <c r="K109" s="91" t="s">
        <v>316</v>
      </c>
      <c r="L109" s="73"/>
      <c r="M109" s="46">
        <v>0</v>
      </c>
      <c r="N109" s="46">
        <v>0</v>
      </c>
      <c r="O109" s="46">
        <v>0</v>
      </c>
      <c r="P109" s="98"/>
      <c r="Q109" s="23" t="s">
        <v>1473</v>
      </c>
      <c r="R109" s="24" t="s">
        <v>315</v>
      </c>
      <c r="S109" s="25" t="s">
        <v>81</v>
      </c>
      <c r="T109" s="26">
        <v>2</v>
      </c>
      <c r="U109" s="26">
        <v>2</v>
      </c>
      <c r="V109" s="26">
        <f t="shared" si="19"/>
        <v>1096.44</v>
      </c>
      <c r="W109" s="26">
        <f t="shared" si="18"/>
        <v>0</v>
      </c>
      <c r="X109" s="26">
        <f t="shared" si="13"/>
        <v>0</v>
      </c>
      <c r="Y109" s="26">
        <f t="shared" si="20"/>
        <v>0</v>
      </c>
      <c r="Z109" s="26">
        <f t="shared" si="14"/>
        <v>0</v>
      </c>
      <c r="AA109" s="33" t="s">
        <v>15</v>
      </c>
      <c r="AB109" s="36" t="s">
        <v>16</v>
      </c>
      <c r="AC109" s="181">
        <f t="shared" si="15"/>
        <v>2</v>
      </c>
      <c r="AD109" s="181">
        <f t="shared" si="21"/>
        <v>2192.88</v>
      </c>
      <c r="AE109" s="181">
        <v>1.2</v>
      </c>
      <c r="AF109" s="181">
        <v>1.2</v>
      </c>
      <c r="AG109" s="101" t="str">
        <f t="shared" si="16"/>
        <v/>
      </c>
      <c r="AH109" s="190">
        <v>0</v>
      </c>
      <c r="AI109" s="69">
        <f t="shared" si="17"/>
        <v>2</v>
      </c>
    </row>
    <row r="110" spans="1:35" s="69" customFormat="1" ht="26.1" customHeight="1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 t="s">
        <v>15</v>
      </c>
      <c r="I110" s="75">
        <v>952.24</v>
      </c>
      <c r="J110" s="75">
        <v>3808.96</v>
      </c>
      <c r="K110" s="91" t="s">
        <v>319</v>
      </c>
      <c r="L110" s="73"/>
      <c r="M110" s="46">
        <v>0</v>
      </c>
      <c r="N110" s="46">
        <v>0</v>
      </c>
      <c r="O110" s="46">
        <v>0</v>
      </c>
      <c r="P110" s="98"/>
      <c r="Q110" s="23" t="s">
        <v>1474</v>
      </c>
      <c r="R110" s="24" t="s">
        <v>318</v>
      </c>
      <c r="S110" s="25" t="s">
        <v>81</v>
      </c>
      <c r="T110" s="26">
        <v>4</v>
      </c>
      <c r="U110" s="26">
        <v>4</v>
      </c>
      <c r="V110" s="26">
        <f t="shared" si="19"/>
        <v>952.24</v>
      </c>
      <c r="W110" s="26">
        <f t="shared" si="18"/>
        <v>0</v>
      </c>
      <c r="X110" s="26">
        <f t="shared" si="13"/>
        <v>0</v>
      </c>
      <c r="Y110" s="26">
        <f t="shared" si="20"/>
        <v>0</v>
      </c>
      <c r="Z110" s="26">
        <f t="shared" si="14"/>
        <v>0</v>
      </c>
      <c r="AA110" s="33" t="s">
        <v>15</v>
      </c>
      <c r="AB110" s="36" t="s">
        <v>16</v>
      </c>
      <c r="AC110" s="181">
        <f t="shared" si="15"/>
        <v>4</v>
      </c>
      <c r="AD110" s="181">
        <f t="shared" si="21"/>
        <v>3808.96</v>
      </c>
      <c r="AE110" s="181">
        <v>1.2</v>
      </c>
      <c r="AF110" s="181">
        <v>1.2</v>
      </c>
      <c r="AG110" s="101" t="str">
        <f t="shared" si="16"/>
        <v/>
      </c>
      <c r="AH110" s="190">
        <v>0</v>
      </c>
      <c r="AI110" s="69">
        <f t="shared" si="17"/>
        <v>4</v>
      </c>
    </row>
    <row r="111" spans="1:35" s="69" customFormat="1" ht="49.5" x14ac:dyDescent="0.3">
      <c r="A111" s="130" t="s">
        <v>320</v>
      </c>
      <c r="B111" s="240" t="s">
        <v>321</v>
      </c>
      <c r="C111" s="132" t="s">
        <v>50</v>
      </c>
      <c r="D111" s="133">
        <v>676.98</v>
      </c>
      <c r="E111" s="75">
        <v>773.78</v>
      </c>
      <c r="F111" s="75"/>
      <c r="G111" s="75"/>
      <c r="H111" s="75" t="s">
        <v>15</v>
      </c>
      <c r="I111" s="75">
        <v>647.70000000000005</v>
      </c>
      <c r="J111" s="75">
        <v>501177.31</v>
      </c>
      <c r="K111" s="91" t="s">
        <v>322</v>
      </c>
      <c r="L111" s="73"/>
      <c r="M111" s="46">
        <v>585.92999999999995</v>
      </c>
      <c r="N111" s="46">
        <v>149683.46999999997</v>
      </c>
      <c r="O111" s="46">
        <v>379506.86</v>
      </c>
      <c r="P111" s="98"/>
      <c r="Q111" s="23" t="s">
        <v>1475</v>
      </c>
      <c r="R111" s="24" t="s">
        <v>321</v>
      </c>
      <c r="S111" s="25" t="s">
        <v>50</v>
      </c>
      <c r="T111" s="26">
        <v>676.98</v>
      </c>
      <c r="U111" s="26">
        <v>773.78</v>
      </c>
      <c r="V111" s="26">
        <f t="shared" si="19"/>
        <v>647.70000000000005</v>
      </c>
      <c r="W111" s="243">
        <f t="shared" si="18"/>
        <v>91.049999999999955</v>
      </c>
      <c r="X111" s="127">
        <f t="shared" si="13"/>
        <v>676.9799999999999</v>
      </c>
      <c r="Y111" s="127">
        <f t="shared" si="20"/>
        <v>58973.090000000026</v>
      </c>
      <c r="Z111" s="127">
        <f t="shared" si="14"/>
        <v>438479.95</v>
      </c>
      <c r="AA111" s="27" t="s">
        <v>15</v>
      </c>
      <c r="AB111" s="36" t="s">
        <v>16</v>
      </c>
      <c r="AC111" s="181">
        <f t="shared" si="15"/>
        <v>773.78</v>
      </c>
      <c r="AD111" s="181">
        <f t="shared" si="21"/>
        <v>501177.31</v>
      </c>
      <c r="AE111" s="181">
        <v>1.2</v>
      </c>
      <c r="AF111" s="181">
        <v>1.2</v>
      </c>
      <c r="AG111" s="101" t="str">
        <f t="shared" si="16"/>
        <v/>
      </c>
      <c r="AH111" s="191">
        <f>354.83+231.1+91.05</f>
        <v>676.9799999999999</v>
      </c>
      <c r="AI111" s="69">
        <f t="shared" si="17"/>
        <v>773.78</v>
      </c>
    </row>
    <row r="112" spans="1:35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 t="s">
        <v>15</v>
      </c>
      <c r="I112" s="75">
        <v>10413.299999999999</v>
      </c>
      <c r="J112" s="75">
        <v>20826.599999999999</v>
      </c>
      <c r="K112" s="91" t="s">
        <v>326</v>
      </c>
      <c r="L112" s="73"/>
      <c r="M112" s="46">
        <v>0</v>
      </c>
      <c r="N112" s="46">
        <v>0</v>
      </c>
      <c r="O112" s="46">
        <v>0</v>
      </c>
      <c r="P112" s="98"/>
      <c r="Q112" s="23" t="s">
        <v>1476</v>
      </c>
      <c r="R112" s="24" t="s">
        <v>324</v>
      </c>
      <c r="S112" s="25" t="s">
        <v>325</v>
      </c>
      <c r="T112" s="26">
        <v>2</v>
      </c>
      <c r="U112" s="26">
        <v>2</v>
      </c>
      <c r="V112" s="26">
        <f t="shared" si="19"/>
        <v>10413.299999999999</v>
      </c>
      <c r="W112" s="26">
        <f t="shared" si="18"/>
        <v>0</v>
      </c>
      <c r="X112" s="26">
        <f t="shared" si="13"/>
        <v>0</v>
      </c>
      <c r="Y112" s="26">
        <f t="shared" si="20"/>
        <v>0</v>
      </c>
      <c r="Z112" s="26">
        <f t="shared" si="14"/>
        <v>0</v>
      </c>
      <c r="AA112" s="33" t="s">
        <v>15</v>
      </c>
      <c r="AB112" s="36" t="s">
        <v>16</v>
      </c>
      <c r="AC112" s="181">
        <f t="shared" si="15"/>
        <v>2</v>
      </c>
      <c r="AD112" s="181">
        <f t="shared" si="21"/>
        <v>20826.599999999999</v>
      </c>
      <c r="AE112" s="181">
        <v>1.2</v>
      </c>
      <c r="AF112" s="181">
        <v>1.2</v>
      </c>
      <c r="AG112" s="101" t="str">
        <f t="shared" si="16"/>
        <v/>
      </c>
      <c r="AH112" s="190">
        <v>0</v>
      </c>
      <c r="AI112" s="69">
        <f t="shared" si="17"/>
        <v>2</v>
      </c>
    </row>
    <row r="113" spans="1:35" s="69" customFormat="1" ht="33" x14ac:dyDescent="0.3">
      <c r="A113" s="130" t="s">
        <v>327</v>
      </c>
      <c r="B113" s="131" t="s">
        <v>328</v>
      </c>
      <c r="C113" s="132" t="s">
        <v>81</v>
      </c>
      <c r="D113" s="133">
        <v>1</v>
      </c>
      <c r="E113" s="75"/>
      <c r="F113" s="75"/>
      <c r="G113" s="75"/>
      <c r="H113" s="75" t="s">
        <v>15</v>
      </c>
      <c r="I113" s="75">
        <v>101421.35</v>
      </c>
      <c r="J113" s="75">
        <v>101421.35</v>
      </c>
      <c r="K113" s="91" t="s">
        <v>329</v>
      </c>
      <c r="L113" s="73"/>
      <c r="M113" s="46">
        <v>1</v>
      </c>
      <c r="N113" s="46">
        <v>0</v>
      </c>
      <c r="O113" s="46">
        <v>101421.35</v>
      </c>
      <c r="P113" s="98"/>
      <c r="Q113" s="23" t="s">
        <v>1477</v>
      </c>
      <c r="R113" s="24" t="s">
        <v>328</v>
      </c>
      <c r="S113" s="25" t="s">
        <v>81</v>
      </c>
      <c r="T113" s="26">
        <v>1</v>
      </c>
      <c r="U113" s="26">
        <v>1</v>
      </c>
      <c r="V113" s="26">
        <f t="shared" si="19"/>
        <v>101421.35</v>
      </c>
      <c r="W113" s="127">
        <f t="shared" si="18"/>
        <v>0</v>
      </c>
      <c r="X113" s="127">
        <f t="shared" si="13"/>
        <v>1</v>
      </c>
      <c r="Y113" s="127">
        <f t="shared" si="20"/>
        <v>0</v>
      </c>
      <c r="Z113" s="127">
        <f t="shared" si="14"/>
        <v>101421.35</v>
      </c>
      <c r="AA113" s="33" t="s">
        <v>15</v>
      </c>
      <c r="AB113" s="36" t="s">
        <v>16</v>
      </c>
      <c r="AC113" s="181">
        <f t="shared" si="15"/>
        <v>1</v>
      </c>
      <c r="AD113" s="181">
        <f t="shared" si="21"/>
        <v>101421.35</v>
      </c>
      <c r="AE113" s="181">
        <v>1.2</v>
      </c>
      <c r="AF113" s="181">
        <v>1.2</v>
      </c>
      <c r="AG113" s="101" t="str">
        <f t="shared" si="16"/>
        <v/>
      </c>
      <c r="AH113" s="190">
        <v>1</v>
      </c>
      <c r="AI113" s="69">
        <f t="shared" si="17"/>
        <v>1</v>
      </c>
    </row>
    <row r="114" spans="1:35" s="69" customFormat="1" ht="33" x14ac:dyDescent="0.3">
      <c r="A114" s="55" t="s">
        <v>330</v>
      </c>
      <c r="B114" s="53" t="s">
        <v>331</v>
      </c>
      <c r="C114" s="54" t="s">
        <v>325</v>
      </c>
      <c r="D114" s="75">
        <v>3</v>
      </c>
      <c r="E114" s="75"/>
      <c r="F114" s="75"/>
      <c r="G114" s="75"/>
      <c r="H114" s="75" t="s">
        <v>15</v>
      </c>
      <c r="I114" s="75">
        <v>4575.26</v>
      </c>
      <c r="J114" s="75">
        <v>13725.78</v>
      </c>
      <c r="K114" s="91" t="s">
        <v>332</v>
      </c>
      <c r="L114" s="73"/>
      <c r="M114" s="46">
        <v>0</v>
      </c>
      <c r="N114" s="46">
        <v>0</v>
      </c>
      <c r="O114" s="46">
        <v>0</v>
      </c>
      <c r="P114" s="98"/>
      <c r="Q114" s="23" t="s">
        <v>1478</v>
      </c>
      <c r="R114" s="24" t="s">
        <v>331</v>
      </c>
      <c r="S114" s="25" t="s">
        <v>325</v>
      </c>
      <c r="T114" s="26">
        <v>3</v>
      </c>
      <c r="U114" s="26">
        <v>3</v>
      </c>
      <c r="V114" s="26">
        <f t="shared" si="19"/>
        <v>4575.26</v>
      </c>
      <c r="W114" s="26">
        <f t="shared" si="18"/>
        <v>0</v>
      </c>
      <c r="X114" s="26">
        <f t="shared" si="13"/>
        <v>0</v>
      </c>
      <c r="Y114" s="26">
        <f t="shared" si="20"/>
        <v>0</v>
      </c>
      <c r="Z114" s="26">
        <f t="shared" si="14"/>
        <v>0</v>
      </c>
      <c r="AA114" s="33" t="s">
        <v>15</v>
      </c>
      <c r="AB114" s="36" t="s">
        <v>16</v>
      </c>
      <c r="AC114" s="181">
        <f t="shared" si="15"/>
        <v>3</v>
      </c>
      <c r="AD114" s="181">
        <f t="shared" si="21"/>
        <v>13725.78</v>
      </c>
      <c r="AE114" s="181">
        <v>1.2</v>
      </c>
      <c r="AF114" s="181">
        <v>1.2</v>
      </c>
      <c r="AG114" s="101" t="str">
        <f t="shared" si="16"/>
        <v/>
      </c>
      <c r="AH114" s="190">
        <v>0</v>
      </c>
      <c r="AI114" s="69">
        <f t="shared" si="17"/>
        <v>3</v>
      </c>
    </row>
    <row r="115" spans="1:35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 t="s">
        <v>15</v>
      </c>
      <c r="I115" s="75">
        <v>12634.43</v>
      </c>
      <c r="J115" s="75">
        <v>12634.43</v>
      </c>
      <c r="K115" s="91" t="s">
        <v>335</v>
      </c>
      <c r="L115" s="73"/>
      <c r="M115" s="46">
        <v>0</v>
      </c>
      <c r="N115" s="46">
        <v>0</v>
      </c>
      <c r="O115" s="46">
        <v>0</v>
      </c>
      <c r="P115" s="98"/>
      <c r="Q115" s="23" t="s">
        <v>1479</v>
      </c>
      <c r="R115" s="24" t="s">
        <v>334</v>
      </c>
      <c r="S115" s="25" t="s">
        <v>81</v>
      </c>
      <c r="T115" s="26">
        <v>1</v>
      </c>
      <c r="U115" s="26">
        <v>1</v>
      </c>
      <c r="V115" s="26">
        <f t="shared" si="19"/>
        <v>12634.43</v>
      </c>
      <c r="W115" s="26">
        <f t="shared" si="18"/>
        <v>0</v>
      </c>
      <c r="X115" s="26">
        <f t="shared" si="13"/>
        <v>0</v>
      </c>
      <c r="Y115" s="26">
        <f t="shared" si="20"/>
        <v>0</v>
      </c>
      <c r="Z115" s="26">
        <f t="shared" si="14"/>
        <v>0</v>
      </c>
      <c r="AA115" s="33" t="s">
        <v>15</v>
      </c>
      <c r="AB115" s="36" t="s">
        <v>16</v>
      </c>
      <c r="AC115" s="181">
        <f t="shared" si="15"/>
        <v>1</v>
      </c>
      <c r="AD115" s="181">
        <f t="shared" si="21"/>
        <v>12634.43</v>
      </c>
      <c r="AE115" s="181">
        <v>1.2</v>
      </c>
      <c r="AF115" s="181">
        <v>1.2</v>
      </c>
      <c r="AG115" s="101" t="str">
        <f t="shared" si="16"/>
        <v/>
      </c>
      <c r="AH115" s="190">
        <v>0</v>
      </c>
      <c r="AI115" s="69">
        <f t="shared" si="17"/>
        <v>1</v>
      </c>
    </row>
    <row r="116" spans="1:35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 t="s">
        <v>15</v>
      </c>
      <c r="I116" s="75">
        <v>15300</v>
      </c>
      <c r="J116" s="75">
        <v>974304</v>
      </c>
      <c r="K116" s="91" t="s">
        <v>339</v>
      </c>
      <c r="L116" s="73"/>
      <c r="M116" s="46">
        <v>57.5</v>
      </c>
      <c r="N116" s="46">
        <v>0</v>
      </c>
      <c r="O116" s="46">
        <v>879750</v>
      </c>
      <c r="P116" s="98"/>
      <c r="Q116" s="23" t="s">
        <v>1480</v>
      </c>
      <c r="R116" s="24" t="s">
        <v>337</v>
      </c>
      <c r="S116" s="25" t="s">
        <v>338</v>
      </c>
      <c r="T116" s="26">
        <v>63.68</v>
      </c>
      <c r="U116" s="26">
        <v>63.68</v>
      </c>
      <c r="V116" s="26">
        <f t="shared" si="19"/>
        <v>15300</v>
      </c>
      <c r="W116" s="243">
        <f t="shared" si="18"/>
        <v>0</v>
      </c>
      <c r="X116" s="26">
        <f t="shared" si="13"/>
        <v>57.5</v>
      </c>
      <c r="Y116" s="26">
        <f t="shared" si="20"/>
        <v>0</v>
      </c>
      <c r="Z116" s="26">
        <f t="shared" si="14"/>
        <v>879750</v>
      </c>
      <c r="AA116" s="33" t="s">
        <v>15</v>
      </c>
      <c r="AB116" s="36" t="s">
        <v>16</v>
      </c>
      <c r="AC116" s="181">
        <f t="shared" si="15"/>
        <v>63.68</v>
      </c>
      <c r="AD116" s="181">
        <f t="shared" si="21"/>
        <v>974304</v>
      </c>
      <c r="AE116" s="181">
        <v>1.2</v>
      </c>
      <c r="AF116" s="181">
        <v>1.2</v>
      </c>
      <c r="AG116" s="101" t="str">
        <f t="shared" si="16"/>
        <v/>
      </c>
      <c r="AH116" s="191">
        <f>35.7+21.8</f>
        <v>57.5</v>
      </c>
      <c r="AI116" s="69">
        <f t="shared" si="17"/>
        <v>63.68</v>
      </c>
    </row>
    <row r="117" spans="1:35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 t="s">
        <v>15</v>
      </c>
      <c r="I117" s="75">
        <v>4498.58</v>
      </c>
      <c r="J117" s="75">
        <v>278911.96000000002</v>
      </c>
      <c r="K117" s="91" t="s">
        <v>342</v>
      </c>
      <c r="L117" s="73"/>
      <c r="M117" s="46">
        <v>19</v>
      </c>
      <c r="N117" s="46">
        <v>0</v>
      </c>
      <c r="O117" s="46">
        <v>85473.02</v>
      </c>
      <c r="P117" s="98"/>
      <c r="Q117" s="23" t="s">
        <v>1481</v>
      </c>
      <c r="R117" s="24" t="s">
        <v>341</v>
      </c>
      <c r="S117" s="25" t="s">
        <v>81</v>
      </c>
      <c r="T117" s="26">
        <v>62</v>
      </c>
      <c r="U117" s="26">
        <v>62</v>
      </c>
      <c r="V117" s="26">
        <f t="shared" si="19"/>
        <v>4498.58</v>
      </c>
      <c r="W117" s="243">
        <f t="shared" si="18"/>
        <v>21</v>
      </c>
      <c r="X117" s="26">
        <f t="shared" si="13"/>
        <v>40</v>
      </c>
      <c r="Y117" s="26">
        <f t="shared" si="20"/>
        <v>94470.180000000008</v>
      </c>
      <c r="Z117" s="26">
        <f t="shared" si="14"/>
        <v>179943.2</v>
      </c>
      <c r="AA117" s="33" t="s">
        <v>15</v>
      </c>
      <c r="AB117" s="36" t="s">
        <v>16</v>
      </c>
      <c r="AC117" s="181">
        <f t="shared" si="15"/>
        <v>62</v>
      </c>
      <c r="AD117" s="181">
        <f t="shared" si="21"/>
        <v>278911.96000000002</v>
      </c>
      <c r="AE117" s="181">
        <v>1.2</v>
      </c>
      <c r="AF117" s="181">
        <v>1.2</v>
      </c>
      <c r="AG117" s="101" t="str">
        <f t="shared" si="16"/>
        <v/>
      </c>
      <c r="AH117" s="191">
        <f>16+3+21</f>
        <v>40</v>
      </c>
      <c r="AI117" s="69">
        <f t="shared" si="17"/>
        <v>62</v>
      </c>
    </row>
    <row r="118" spans="1:35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 t="s">
        <v>15</v>
      </c>
      <c r="I118" s="75">
        <v>3353.68</v>
      </c>
      <c r="J118" s="75">
        <v>50305.2</v>
      </c>
      <c r="K118" s="91" t="s">
        <v>345</v>
      </c>
      <c r="L118" s="73"/>
      <c r="M118" s="46">
        <v>8</v>
      </c>
      <c r="N118" s="46">
        <v>0</v>
      </c>
      <c r="O118" s="46">
        <v>26829.439999999999</v>
      </c>
      <c r="P118" s="98"/>
      <c r="Q118" s="23" t="s">
        <v>1482</v>
      </c>
      <c r="R118" s="24" t="s">
        <v>344</v>
      </c>
      <c r="S118" s="25" t="s">
        <v>81</v>
      </c>
      <c r="T118" s="26">
        <v>15</v>
      </c>
      <c r="U118" s="26">
        <v>15</v>
      </c>
      <c r="V118" s="26">
        <f t="shared" si="19"/>
        <v>3353.68</v>
      </c>
      <c r="W118" s="243">
        <f t="shared" si="18"/>
        <v>4</v>
      </c>
      <c r="X118" s="26">
        <f t="shared" si="13"/>
        <v>12</v>
      </c>
      <c r="Y118" s="26">
        <f t="shared" si="20"/>
        <v>13414.720000000005</v>
      </c>
      <c r="Z118" s="26">
        <f t="shared" si="14"/>
        <v>40244.160000000003</v>
      </c>
      <c r="AA118" s="33" t="s">
        <v>15</v>
      </c>
      <c r="AB118" s="36" t="s">
        <v>16</v>
      </c>
      <c r="AC118" s="181">
        <f t="shared" si="15"/>
        <v>15</v>
      </c>
      <c r="AD118" s="181">
        <f t="shared" si="21"/>
        <v>50305.2</v>
      </c>
      <c r="AE118" s="181">
        <v>1.2</v>
      </c>
      <c r="AF118" s="181">
        <v>1.2</v>
      </c>
      <c r="AG118" s="101" t="str">
        <f t="shared" si="16"/>
        <v/>
      </c>
      <c r="AH118" s="191">
        <f>2+6+4</f>
        <v>12</v>
      </c>
      <c r="AI118" s="69">
        <f t="shared" si="17"/>
        <v>15</v>
      </c>
    </row>
    <row r="119" spans="1:35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 t="s">
        <v>15</v>
      </c>
      <c r="I119" s="75">
        <v>9874.4</v>
      </c>
      <c r="J119" s="75">
        <v>128367.2</v>
      </c>
      <c r="K119" s="91" t="s">
        <v>348</v>
      </c>
      <c r="L119" s="73"/>
      <c r="M119" s="46">
        <v>0</v>
      </c>
      <c r="N119" s="46">
        <v>0</v>
      </c>
      <c r="O119" s="46">
        <v>0</v>
      </c>
      <c r="P119" s="98"/>
      <c r="Q119" s="23" t="s">
        <v>1483</v>
      </c>
      <c r="R119" s="24" t="s">
        <v>347</v>
      </c>
      <c r="S119" s="25" t="s">
        <v>30</v>
      </c>
      <c r="T119" s="26">
        <v>13</v>
      </c>
      <c r="U119" s="26">
        <v>13</v>
      </c>
      <c r="V119" s="26">
        <f t="shared" si="19"/>
        <v>9874.4</v>
      </c>
      <c r="W119" s="243">
        <f t="shared" si="18"/>
        <v>7</v>
      </c>
      <c r="X119" s="26">
        <f t="shared" si="13"/>
        <v>7</v>
      </c>
      <c r="Y119" s="26">
        <f t="shared" si="20"/>
        <v>69120.800000000003</v>
      </c>
      <c r="Z119" s="26">
        <f t="shared" si="14"/>
        <v>69120.800000000003</v>
      </c>
      <c r="AA119" s="33" t="s">
        <v>15</v>
      </c>
      <c r="AB119" s="36" t="s">
        <v>16</v>
      </c>
      <c r="AC119" s="181">
        <f t="shared" si="15"/>
        <v>13</v>
      </c>
      <c r="AD119" s="181">
        <f t="shared" si="21"/>
        <v>128367.2</v>
      </c>
      <c r="AE119" s="181">
        <v>1.2</v>
      </c>
      <c r="AF119" s="181">
        <v>1.2</v>
      </c>
      <c r="AG119" s="101" t="str">
        <f t="shared" si="16"/>
        <v/>
      </c>
      <c r="AH119" s="191">
        <f>7</f>
        <v>7</v>
      </c>
      <c r="AI119" s="69">
        <f t="shared" si="17"/>
        <v>13</v>
      </c>
    </row>
    <row r="120" spans="1:35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 t="s">
        <v>15</v>
      </c>
      <c r="I120" s="75">
        <v>6554.37</v>
      </c>
      <c r="J120" s="75">
        <v>273317.23</v>
      </c>
      <c r="K120" s="91" t="s">
        <v>351</v>
      </c>
      <c r="L120" s="73"/>
      <c r="M120" s="46">
        <v>8.6</v>
      </c>
      <c r="N120" s="46">
        <v>56367.58</v>
      </c>
      <c r="O120" s="46">
        <v>56367.58</v>
      </c>
      <c r="P120" s="98"/>
      <c r="Q120" s="23" t="s">
        <v>1484</v>
      </c>
      <c r="R120" s="24" t="s">
        <v>350</v>
      </c>
      <c r="S120" s="25" t="s">
        <v>30</v>
      </c>
      <c r="T120" s="26">
        <v>41.7</v>
      </c>
      <c r="U120" s="26">
        <v>41.7</v>
      </c>
      <c r="V120" s="26">
        <f t="shared" si="19"/>
        <v>6554.37</v>
      </c>
      <c r="W120" s="243">
        <f t="shared" si="18"/>
        <v>0</v>
      </c>
      <c r="X120" s="26">
        <f t="shared" si="13"/>
        <v>8.6</v>
      </c>
      <c r="Y120" s="26">
        <f t="shared" si="20"/>
        <v>0</v>
      </c>
      <c r="Z120" s="26">
        <f t="shared" si="14"/>
        <v>56367.58</v>
      </c>
      <c r="AA120" s="33" t="s">
        <v>15</v>
      </c>
      <c r="AB120" s="36" t="s">
        <v>16</v>
      </c>
      <c r="AC120" s="181">
        <f t="shared" si="15"/>
        <v>41.7</v>
      </c>
      <c r="AD120" s="181">
        <f t="shared" si="21"/>
        <v>273317.23</v>
      </c>
      <c r="AE120" s="181">
        <v>1.2</v>
      </c>
      <c r="AF120" s="181">
        <v>1.2</v>
      </c>
      <c r="AG120" s="101" t="str">
        <f t="shared" si="16"/>
        <v/>
      </c>
      <c r="AH120" s="191">
        <f>8.6</f>
        <v>8.6</v>
      </c>
      <c r="AI120" s="69">
        <f t="shared" si="17"/>
        <v>41.7</v>
      </c>
    </row>
    <row r="121" spans="1:35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 t="s">
        <v>15</v>
      </c>
      <c r="I121" s="75">
        <v>8390.73</v>
      </c>
      <c r="J121" s="75">
        <v>10907.95</v>
      </c>
      <c r="K121" s="91" t="s">
        <v>354</v>
      </c>
      <c r="L121" s="73"/>
      <c r="M121" s="46">
        <v>0</v>
      </c>
      <c r="N121" s="46">
        <v>0</v>
      </c>
      <c r="O121" s="46">
        <v>0</v>
      </c>
      <c r="P121" s="98"/>
      <c r="Q121" s="23" t="s">
        <v>1485</v>
      </c>
      <c r="R121" s="24" t="s">
        <v>353</v>
      </c>
      <c r="S121" s="25" t="s">
        <v>30</v>
      </c>
      <c r="T121" s="26">
        <v>1.3</v>
      </c>
      <c r="U121" s="26">
        <v>1.3</v>
      </c>
      <c r="V121" s="26">
        <f t="shared" si="19"/>
        <v>8390.73</v>
      </c>
      <c r="W121" s="26">
        <f t="shared" si="18"/>
        <v>0</v>
      </c>
      <c r="X121" s="26">
        <f t="shared" si="13"/>
        <v>0</v>
      </c>
      <c r="Y121" s="26">
        <f t="shared" si="20"/>
        <v>0</v>
      </c>
      <c r="Z121" s="26">
        <f t="shared" si="14"/>
        <v>0</v>
      </c>
      <c r="AA121" s="33" t="s">
        <v>15</v>
      </c>
      <c r="AB121" s="36" t="s">
        <v>16</v>
      </c>
      <c r="AC121" s="181">
        <f t="shared" si="15"/>
        <v>1.3</v>
      </c>
      <c r="AD121" s="181">
        <f t="shared" si="21"/>
        <v>10907.95</v>
      </c>
      <c r="AE121" s="181">
        <v>1.2</v>
      </c>
      <c r="AF121" s="181">
        <v>1.2</v>
      </c>
      <c r="AG121" s="101" t="str">
        <f t="shared" si="16"/>
        <v/>
      </c>
      <c r="AH121" s="190">
        <v>0</v>
      </c>
      <c r="AI121" s="69">
        <f t="shared" si="17"/>
        <v>1.3</v>
      </c>
    </row>
    <row r="122" spans="1:35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 t="s">
        <v>15</v>
      </c>
      <c r="I122" s="75">
        <v>671.99</v>
      </c>
      <c r="J122" s="75">
        <v>82184.38</v>
      </c>
      <c r="K122" s="91" t="s">
        <v>357</v>
      </c>
      <c r="L122" s="73"/>
      <c r="M122" s="46">
        <v>0</v>
      </c>
      <c r="N122" s="46">
        <v>0</v>
      </c>
      <c r="O122" s="46">
        <v>0</v>
      </c>
      <c r="P122" s="98"/>
      <c r="Q122" s="23" t="s">
        <v>1486</v>
      </c>
      <c r="R122" s="24" t="s">
        <v>356</v>
      </c>
      <c r="S122" s="25" t="s">
        <v>30</v>
      </c>
      <c r="T122" s="26">
        <v>122.3</v>
      </c>
      <c r="U122" s="26">
        <v>122.3</v>
      </c>
      <c r="V122" s="26">
        <f t="shared" si="19"/>
        <v>671.99</v>
      </c>
      <c r="W122" s="26">
        <f t="shared" si="18"/>
        <v>0</v>
      </c>
      <c r="X122" s="26">
        <f t="shared" si="13"/>
        <v>0</v>
      </c>
      <c r="Y122" s="26">
        <f t="shared" si="20"/>
        <v>0</v>
      </c>
      <c r="Z122" s="26">
        <f t="shared" si="14"/>
        <v>0</v>
      </c>
      <c r="AA122" s="33" t="s">
        <v>15</v>
      </c>
      <c r="AB122" s="36" t="s">
        <v>16</v>
      </c>
      <c r="AC122" s="181">
        <f t="shared" si="15"/>
        <v>122.3</v>
      </c>
      <c r="AD122" s="181">
        <f t="shared" si="21"/>
        <v>82184.38</v>
      </c>
      <c r="AE122" s="181">
        <v>1.2</v>
      </c>
      <c r="AF122" s="181">
        <v>1.2</v>
      </c>
      <c r="AG122" s="101" t="str">
        <f t="shared" si="16"/>
        <v/>
      </c>
      <c r="AH122" s="190">
        <v>0</v>
      </c>
      <c r="AI122" s="69">
        <f t="shared" si="17"/>
        <v>122.3</v>
      </c>
    </row>
    <row r="123" spans="1:35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 t="s">
        <v>15</v>
      </c>
      <c r="I123" s="75">
        <v>935.67</v>
      </c>
      <c r="J123" s="75">
        <v>94512.03</v>
      </c>
      <c r="K123" s="91" t="s">
        <v>360</v>
      </c>
      <c r="L123" s="73"/>
      <c r="M123" s="46">
        <v>0</v>
      </c>
      <c r="N123" s="46">
        <v>0</v>
      </c>
      <c r="O123" s="46">
        <v>0</v>
      </c>
      <c r="P123" s="98"/>
      <c r="Q123" s="23" t="s">
        <v>1487</v>
      </c>
      <c r="R123" s="24" t="s">
        <v>359</v>
      </c>
      <c r="S123" s="25" t="s">
        <v>30</v>
      </c>
      <c r="T123" s="26">
        <v>101.01</v>
      </c>
      <c r="U123" s="26">
        <v>101.01</v>
      </c>
      <c r="V123" s="26">
        <f t="shared" si="19"/>
        <v>935.67</v>
      </c>
      <c r="W123" s="26">
        <f t="shared" si="18"/>
        <v>0</v>
      </c>
      <c r="X123" s="26">
        <f t="shared" si="13"/>
        <v>0</v>
      </c>
      <c r="Y123" s="26">
        <f t="shared" si="20"/>
        <v>0</v>
      </c>
      <c r="Z123" s="26">
        <f t="shared" si="14"/>
        <v>0</v>
      </c>
      <c r="AA123" s="33" t="s">
        <v>15</v>
      </c>
      <c r="AB123" s="36" t="s">
        <v>16</v>
      </c>
      <c r="AC123" s="181">
        <f t="shared" si="15"/>
        <v>101.01</v>
      </c>
      <c r="AD123" s="181">
        <f t="shared" si="21"/>
        <v>94512.03</v>
      </c>
      <c r="AE123" s="181">
        <v>1.2</v>
      </c>
      <c r="AF123" s="181">
        <v>1.2</v>
      </c>
      <c r="AG123" s="101" t="str">
        <f t="shared" si="16"/>
        <v/>
      </c>
      <c r="AH123" s="190">
        <v>0</v>
      </c>
      <c r="AI123" s="69">
        <f t="shared" si="17"/>
        <v>101.01</v>
      </c>
    </row>
    <row r="124" spans="1:35" s="69" customFormat="1" ht="33" x14ac:dyDescent="0.3">
      <c r="A124" s="55" t="s">
        <v>361</v>
      </c>
      <c r="B124" s="211" t="s">
        <v>362</v>
      </c>
      <c r="C124" s="54" t="s">
        <v>30</v>
      </c>
      <c r="D124" s="75">
        <v>489</v>
      </c>
      <c r="E124" s="75"/>
      <c r="F124" s="75"/>
      <c r="G124" s="75"/>
      <c r="H124" s="75" t="s">
        <v>15</v>
      </c>
      <c r="I124" s="75">
        <v>658.31</v>
      </c>
      <c r="J124" s="75">
        <v>321913.59000000003</v>
      </c>
      <c r="K124" s="91" t="s">
        <v>363</v>
      </c>
      <c r="L124" s="73"/>
      <c r="M124" s="46">
        <v>277.7</v>
      </c>
      <c r="N124" s="46">
        <v>0</v>
      </c>
      <c r="O124" s="46">
        <v>182812.69</v>
      </c>
      <c r="P124" s="98"/>
      <c r="Q124" s="23" t="s">
        <v>1488</v>
      </c>
      <c r="R124" s="24" t="s">
        <v>362</v>
      </c>
      <c r="S124" s="25" t="s">
        <v>30</v>
      </c>
      <c r="T124" s="26">
        <v>489</v>
      </c>
      <c r="U124" s="26">
        <v>489</v>
      </c>
      <c r="V124" s="26">
        <f t="shared" si="19"/>
        <v>658.31</v>
      </c>
      <c r="W124" s="243">
        <f t="shared" si="18"/>
        <v>100</v>
      </c>
      <c r="X124" s="26">
        <f t="shared" si="13"/>
        <v>377.7</v>
      </c>
      <c r="Y124" s="26">
        <f t="shared" si="20"/>
        <v>65831</v>
      </c>
      <c r="Z124" s="26">
        <f t="shared" si="14"/>
        <v>248643.69</v>
      </c>
      <c r="AA124" s="33" t="s">
        <v>15</v>
      </c>
      <c r="AB124" s="36" t="s">
        <v>16</v>
      </c>
      <c r="AC124" s="181">
        <f t="shared" si="15"/>
        <v>489</v>
      </c>
      <c r="AD124" s="181">
        <f t="shared" si="21"/>
        <v>321913.59000000003</v>
      </c>
      <c r="AE124" s="181">
        <v>1.2</v>
      </c>
      <c r="AF124" s="181">
        <v>1.2</v>
      </c>
      <c r="AG124" s="101" t="str">
        <f t="shared" si="16"/>
        <v/>
      </c>
      <c r="AH124" s="191">
        <f>277.7+100</f>
        <v>377.7</v>
      </c>
      <c r="AI124" s="69">
        <f t="shared" si="17"/>
        <v>489</v>
      </c>
    </row>
    <row r="125" spans="1:35" s="69" customFormat="1" ht="33" x14ac:dyDescent="0.3">
      <c r="A125" s="55" t="s">
        <v>364</v>
      </c>
      <c r="B125" s="211" t="s">
        <v>3111</v>
      </c>
      <c r="C125" s="54" t="s">
        <v>30</v>
      </c>
      <c r="D125" s="75">
        <v>216</v>
      </c>
      <c r="E125" s="75"/>
      <c r="F125" s="75"/>
      <c r="G125" s="75"/>
      <c r="H125" s="75" t="s">
        <v>15</v>
      </c>
      <c r="I125" s="75">
        <v>730.41</v>
      </c>
      <c r="J125" s="75">
        <v>157768.56</v>
      </c>
      <c r="K125" s="91" t="s">
        <v>366</v>
      </c>
      <c r="L125" s="73"/>
      <c r="M125" s="46">
        <v>120</v>
      </c>
      <c r="N125" s="46">
        <v>0</v>
      </c>
      <c r="O125" s="46">
        <v>87649.2</v>
      </c>
      <c r="P125" s="98"/>
      <c r="Q125" s="23" t="s">
        <v>1489</v>
      </c>
      <c r="R125" s="24" t="s">
        <v>365</v>
      </c>
      <c r="S125" s="25" t="s">
        <v>30</v>
      </c>
      <c r="T125" s="26">
        <v>216</v>
      </c>
      <c r="U125" s="26">
        <v>216</v>
      </c>
      <c r="V125" s="26">
        <f t="shared" si="19"/>
        <v>730.41</v>
      </c>
      <c r="W125" s="243">
        <f t="shared" si="18"/>
        <v>60</v>
      </c>
      <c r="X125" s="26">
        <f t="shared" si="13"/>
        <v>180</v>
      </c>
      <c r="Y125" s="26">
        <f t="shared" si="20"/>
        <v>43824.599999999991</v>
      </c>
      <c r="Z125" s="26">
        <f t="shared" si="14"/>
        <v>131473.79999999999</v>
      </c>
      <c r="AA125" s="33" t="s">
        <v>15</v>
      </c>
      <c r="AB125" s="36" t="s">
        <v>16</v>
      </c>
      <c r="AC125" s="181">
        <f t="shared" si="15"/>
        <v>216</v>
      </c>
      <c r="AD125" s="181">
        <f t="shared" si="21"/>
        <v>157768.56</v>
      </c>
      <c r="AE125" s="181">
        <v>1.2</v>
      </c>
      <c r="AF125" s="181">
        <v>1.2</v>
      </c>
      <c r="AG125" s="101" t="str">
        <f t="shared" si="16"/>
        <v/>
      </c>
      <c r="AH125" s="191">
        <f>120+60</f>
        <v>180</v>
      </c>
      <c r="AI125" s="69">
        <f t="shared" si="17"/>
        <v>216</v>
      </c>
    </row>
    <row r="126" spans="1:35" s="69" customFormat="1" ht="33" x14ac:dyDescent="0.3">
      <c r="A126" s="130" t="s">
        <v>367</v>
      </c>
      <c r="B126" s="131" t="s">
        <v>368</v>
      </c>
      <c r="C126" s="132" t="s">
        <v>30</v>
      </c>
      <c r="D126" s="133">
        <v>45.16</v>
      </c>
      <c r="E126" s="75"/>
      <c r="F126" s="75"/>
      <c r="G126" s="75"/>
      <c r="H126" s="75" t="s">
        <v>15</v>
      </c>
      <c r="I126" s="75">
        <v>406.4</v>
      </c>
      <c r="J126" s="75">
        <v>18353.02</v>
      </c>
      <c r="K126" s="91" t="s">
        <v>369</v>
      </c>
      <c r="L126" s="73"/>
      <c r="M126" s="46">
        <v>45.1</v>
      </c>
      <c r="N126" s="46">
        <v>18328.64</v>
      </c>
      <c r="O126" s="46">
        <v>18328.64</v>
      </c>
      <c r="P126" s="98"/>
      <c r="Q126" s="23" t="s">
        <v>1398</v>
      </c>
      <c r="R126" s="24" t="s">
        <v>368</v>
      </c>
      <c r="S126" s="25" t="s">
        <v>30</v>
      </c>
      <c r="T126" s="26">
        <v>45.16</v>
      </c>
      <c r="U126" s="26">
        <v>45.16</v>
      </c>
      <c r="V126" s="26">
        <f t="shared" si="19"/>
        <v>406.4</v>
      </c>
      <c r="W126" s="127">
        <f t="shared" si="18"/>
        <v>0</v>
      </c>
      <c r="X126" s="127">
        <f t="shared" si="13"/>
        <v>45.1</v>
      </c>
      <c r="Y126" s="127">
        <f t="shared" si="20"/>
        <v>0</v>
      </c>
      <c r="Z126" s="127">
        <f t="shared" si="14"/>
        <v>18328.64</v>
      </c>
      <c r="AA126" s="33" t="s">
        <v>15</v>
      </c>
      <c r="AB126" s="36" t="s">
        <v>16</v>
      </c>
      <c r="AC126" s="181">
        <f t="shared" si="15"/>
        <v>45.16</v>
      </c>
      <c r="AD126" s="181">
        <f t="shared" si="21"/>
        <v>18353.02</v>
      </c>
      <c r="AE126" s="181">
        <v>1.2</v>
      </c>
      <c r="AF126" s="181">
        <v>1.2</v>
      </c>
      <c r="AG126" s="101" t="str">
        <f t="shared" si="16"/>
        <v/>
      </c>
      <c r="AH126" s="194">
        <f>45.1</f>
        <v>45.1</v>
      </c>
      <c r="AI126" s="69">
        <f t="shared" si="17"/>
        <v>45.16</v>
      </c>
    </row>
    <row r="127" spans="1:35" s="69" customFormat="1" ht="33" x14ac:dyDescent="0.3">
      <c r="A127" s="55" t="s">
        <v>370</v>
      </c>
      <c r="B127" s="211" t="s">
        <v>371</v>
      </c>
      <c r="C127" s="54" t="s">
        <v>30</v>
      </c>
      <c r="D127" s="75">
        <v>116.8</v>
      </c>
      <c r="E127" s="75"/>
      <c r="F127" s="75"/>
      <c r="G127" s="75"/>
      <c r="H127" s="75" t="s">
        <v>15</v>
      </c>
      <c r="I127" s="75">
        <v>457.9</v>
      </c>
      <c r="J127" s="75">
        <v>53482.720000000001</v>
      </c>
      <c r="K127" s="91" t="s">
        <v>372</v>
      </c>
      <c r="L127" s="73"/>
      <c r="M127" s="46">
        <v>83.2</v>
      </c>
      <c r="N127" s="46">
        <v>0</v>
      </c>
      <c r="O127" s="46">
        <v>38097.279999999999</v>
      </c>
      <c r="P127" s="98"/>
      <c r="Q127" s="23" t="s">
        <v>1399</v>
      </c>
      <c r="R127" s="24" t="s">
        <v>371</v>
      </c>
      <c r="S127" s="25" t="s">
        <v>30</v>
      </c>
      <c r="T127" s="26">
        <v>116.8</v>
      </c>
      <c r="U127" s="26">
        <v>116.8</v>
      </c>
      <c r="V127" s="26">
        <f t="shared" si="19"/>
        <v>457.9</v>
      </c>
      <c r="W127" s="243">
        <f t="shared" si="18"/>
        <v>0</v>
      </c>
      <c r="X127" s="26">
        <f t="shared" si="13"/>
        <v>83.2</v>
      </c>
      <c r="Y127" s="26">
        <f t="shared" si="20"/>
        <v>0</v>
      </c>
      <c r="Z127" s="26">
        <f t="shared" si="14"/>
        <v>38097.279999999999</v>
      </c>
      <c r="AA127" s="33" t="s">
        <v>15</v>
      </c>
      <c r="AB127" s="36" t="s">
        <v>16</v>
      </c>
      <c r="AC127" s="181">
        <f t="shared" si="15"/>
        <v>116.8</v>
      </c>
      <c r="AD127" s="181">
        <f t="shared" si="21"/>
        <v>53482.720000000001</v>
      </c>
      <c r="AE127" s="181">
        <v>1.2</v>
      </c>
      <c r="AF127" s="181">
        <v>1.2</v>
      </c>
      <c r="AG127" s="101" t="str">
        <f t="shared" si="16"/>
        <v/>
      </c>
      <c r="AH127" s="191">
        <f>52+31.2</f>
        <v>83.2</v>
      </c>
      <c r="AI127" s="69">
        <f t="shared" si="17"/>
        <v>116.8</v>
      </c>
    </row>
    <row r="128" spans="1:35" s="69" customFormat="1" ht="39" x14ac:dyDescent="0.3">
      <c r="A128" s="130" t="s">
        <v>373</v>
      </c>
      <c r="B128" s="131" t="s">
        <v>374</v>
      </c>
      <c r="C128" s="132" t="s">
        <v>30</v>
      </c>
      <c r="D128" s="133">
        <v>25.8</v>
      </c>
      <c r="E128" s="75"/>
      <c r="F128" s="75"/>
      <c r="G128" s="75"/>
      <c r="H128" s="75" t="s">
        <v>15</v>
      </c>
      <c r="I128" s="75">
        <v>499.1</v>
      </c>
      <c r="J128" s="75">
        <v>12876.78</v>
      </c>
      <c r="K128" s="91" t="s">
        <v>375</v>
      </c>
      <c r="L128" s="73"/>
      <c r="M128" s="46">
        <v>0</v>
      </c>
      <c r="N128" s="46">
        <v>0</v>
      </c>
      <c r="O128" s="46">
        <v>0</v>
      </c>
      <c r="P128" s="98"/>
      <c r="Q128" s="23" t="s">
        <v>1490</v>
      </c>
      <c r="R128" s="24" t="s">
        <v>374</v>
      </c>
      <c r="S128" s="25" t="s">
        <v>30</v>
      </c>
      <c r="T128" s="26">
        <v>25.8</v>
      </c>
      <c r="U128" s="26">
        <v>25.8</v>
      </c>
      <c r="V128" s="26">
        <f t="shared" si="19"/>
        <v>499.1</v>
      </c>
      <c r="W128" s="199">
        <f t="shared" si="18"/>
        <v>21</v>
      </c>
      <c r="X128" s="127">
        <f t="shared" si="13"/>
        <v>21</v>
      </c>
      <c r="Y128" s="127">
        <f t="shared" si="20"/>
        <v>10481.1</v>
      </c>
      <c r="Z128" s="127">
        <f t="shared" si="14"/>
        <v>10481.1</v>
      </c>
      <c r="AA128" s="33" t="s">
        <v>15</v>
      </c>
      <c r="AB128" s="36" t="s">
        <v>16</v>
      </c>
      <c r="AC128" s="181">
        <f t="shared" si="15"/>
        <v>25.8</v>
      </c>
      <c r="AD128" s="181">
        <f t="shared" si="21"/>
        <v>12876.78</v>
      </c>
      <c r="AE128" s="181">
        <v>1.2</v>
      </c>
      <c r="AF128" s="181">
        <v>1.2</v>
      </c>
      <c r="AG128" s="101" t="str">
        <f t="shared" si="16"/>
        <v/>
      </c>
      <c r="AH128" s="191">
        <f>21</f>
        <v>21</v>
      </c>
      <c r="AI128" s="69">
        <f t="shared" si="17"/>
        <v>25.8</v>
      </c>
    </row>
    <row r="129" spans="1:38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 t="s">
        <v>15</v>
      </c>
      <c r="I129" s="75">
        <v>545.85</v>
      </c>
      <c r="J129" s="75">
        <v>29415.86</v>
      </c>
      <c r="K129" s="91" t="s">
        <v>378</v>
      </c>
      <c r="L129" s="73"/>
      <c r="M129" s="46">
        <v>0</v>
      </c>
      <c r="N129" s="46">
        <v>0</v>
      </c>
      <c r="O129" s="46">
        <v>0</v>
      </c>
      <c r="P129" s="98"/>
      <c r="Q129" s="23" t="s">
        <v>1491</v>
      </c>
      <c r="R129" s="24" t="s">
        <v>377</v>
      </c>
      <c r="S129" s="25" t="s">
        <v>30</v>
      </c>
      <c r="T129" s="26">
        <v>53.89</v>
      </c>
      <c r="U129" s="26">
        <v>53.89</v>
      </c>
      <c r="V129" s="26">
        <f t="shared" si="19"/>
        <v>545.85</v>
      </c>
      <c r="W129" s="199">
        <f t="shared" si="18"/>
        <v>40</v>
      </c>
      <c r="X129" s="26">
        <f t="shared" si="13"/>
        <v>40</v>
      </c>
      <c r="Y129" s="26">
        <f t="shared" si="20"/>
        <v>21834</v>
      </c>
      <c r="Z129" s="26">
        <f t="shared" si="14"/>
        <v>21834</v>
      </c>
      <c r="AA129" s="33" t="s">
        <v>15</v>
      </c>
      <c r="AB129" s="36" t="s">
        <v>16</v>
      </c>
      <c r="AC129" s="181">
        <f t="shared" si="15"/>
        <v>53.89</v>
      </c>
      <c r="AD129" s="181">
        <f t="shared" si="21"/>
        <v>29415.86</v>
      </c>
      <c r="AE129" s="181">
        <v>1.2</v>
      </c>
      <c r="AF129" s="181">
        <v>1.2</v>
      </c>
      <c r="AG129" s="101" t="str">
        <f t="shared" si="16"/>
        <v/>
      </c>
      <c r="AH129" s="191">
        <f>40</f>
        <v>40</v>
      </c>
      <c r="AI129" s="69">
        <f t="shared" si="17"/>
        <v>53.89</v>
      </c>
    </row>
    <row r="130" spans="1:38" s="69" customFormat="1" ht="33" x14ac:dyDescent="0.3">
      <c r="A130" s="130" t="s">
        <v>379</v>
      </c>
      <c r="B130" s="131" t="s">
        <v>3156</v>
      </c>
      <c r="C130" s="132" t="s">
        <v>30</v>
      </c>
      <c r="D130" s="133">
        <v>21</v>
      </c>
      <c r="E130" s="75"/>
      <c r="F130" s="75"/>
      <c r="G130" s="75"/>
      <c r="H130" s="75" t="s">
        <v>15</v>
      </c>
      <c r="I130" s="75">
        <v>644.09</v>
      </c>
      <c r="J130" s="75">
        <v>13525.89</v>
      </c>
      <c r="K130" s="91" t="s">
        <v>381</v>
      </c>
      <c r="L130" s="73"/>
      <c r="M130" s="46">
        <v>0</v>
      </c>
      <c r="N130" s="46">
        <v>0</v>
      </c>
      <c r="O130" s="46">
        <v>0</v>
      </c>
      <c r="P130" s="98"/>
      <c r="Q130" s="23" t="s">
        <v>1492</v>
      </c>
      <c r="R130" s="24" t="s">
        <v>380</v>
      </c>
      <c r="S130" s="25" t="s">
        <v>30</v>
      </c>
      <c r="T130" s="26">
        <v>21</v>
      </c>
      <c r="U130" s="26">
        <v>21</v>
      </c>
      <c r="V130" s="26">
        <f t="shared" si="19"/>
        <v>644.09</v>
      </c>
      <c r="W130" s="199">
        <f t="shared" si="18"/>
        <v>19</v>
      </c>
      <c r="X130" s="127">
        <f t="shared" si="13"/>
        <v>19</v>
      </c>
      <c r="Y130" s="127">
        <f t="shared" si="20"/>
        <v>12237.71</v>
      </c>
      <c r="Z130" s="127">
        <f t="shared" si="14"/>
        <v>12237.71</v>
      </c>
      <c r="AA130" s="33" t="s">
        <v>15</v>
      </c>
      <c r="AB130" s="36" t="s">
        <v>16</v>
      </c>
      <c r="AC130" s="181">
        <f t="shared" si="15"/>
        <v>21</v>
      </c>
      <c r="AD130" s="181">
        <f t="shared" si="21"/>
        <v>13525.89</v>
      </c>
      <c r="AE130" s="181">
        <v>1.2</v>
      </c>
      <c r="AF130" s="181">
        <v>1.2</v>
      </c>
      <c r="AG130" s="101" t="str">
        <f t="shared" si="16"/>
        <v/>
      </c>
      <c r="AH130" s="191">
        <f>19</f>
        <v>19</v>
      </c>
      <c r="AI130" s="69">
        <f t="shared" si="17"/>
        <v>21</v>
      </c>
    </row>
    <row r="131" spans="1:38" s="69" customFormat="1" ht="33" x14ac:dyDescent="0.3">
      <c r="A131" s="130" t="s">
        <v>382</v>
      </c>
      <c r="B131" s="131" t="s">
        <v>383</v>
      </c>
      <c r="C131" s="132" t="s">
        <v>30</v>
      </c>
      <c r="D131" s="133">
        <v>275.60000000000002</v>
      </c>
      <c r="E131" s="75"/>
      <c r="F131" s="75"/>
      <c r="G131" s="75"/>
      <c r="H131" s="75" t="s">
        <v>15</v>
      </c>
      <c r="I131" s="75">
        <v>7340.41</v>
      </c>
      <c r="J131" s="75">
        <v>2023017</v>
      </c>
      <c r="K131" s="91" t="s">
        <v>384</v>
      </c>
      <c r="L131" s="73"/>
      <c r="M131" s="46">
        <v>230</v>
      </c>
      <c r="N131" s="46">
        <v>350137.56000000006</v>
      </c>
      <c r="O131" s="46">
        <v>1688294.3</v>
      </c>
      <c r="P131" s="98"/>
      <c r="Q131" s="23" t="s">
        <v>1493</v>
      </c>
      <c r="R131" s="24" t="s">
        <v>383</v>
      </c>
      <c r="S131" s="25" t="s">
        <v>30</v>
      </c>
      <c r="T131" s="26">
        <v>275.60000000000002</v>
      </c>
      <c r="U131" s="26">
        <v>275.60000000000002</v>
      </c>
      <c r="V131" s="26">
        <f t="shared" si="19"/>
        <v>7340.41</v>
      </c>
      <c r="W131" s="127">
        <f t="shared" si="18"/>
        <v>0</v>
      </c>
      <c r="X131" s="127">
        <f t="shared" si="13"/>
        <v>230</v>
      </c>
      <c r="Y131" s="127">
        <f t="shared" si="20"/>
        <v>0</v>
      </c>
      <c r="Z131" s="127">
        <f t="shared" si="14"/>
        <v>1688294.3</v>
      </c>
      <c r="AA131" s="33" t="s">
        <v>15</v>
      </c>
      <c r="AB131" s="36" t="s">
        <v>16</v>
      </c>
      <c r="AC131" s="181">
        <f t="shared" si="15"/>
        <v>275.60000000000002</v>
      </c>
      <c r="AD131" s="181">
        <f t="shared" si="21"/>
        <v>2023017</v>
      </c>
      <c r="AE131" s="181">
        <v>1.2</v>
      </c>
      <c r="AF131" s="181">
        <v>1.2</v>
      </c>
      <c r="AG131" s="101" t="str">
        <f t="shared" si="16"/>
        <v/>
      </c>
      <c r="AH131" s="194">
        <f>182.3+47.7</f>
        <v>230</v>
      </c>
      <c r="AI131" s="69">
        <f t="shared" si="17"/>
        <v>275.60000000000002</v>
      </c>
    </row>
    <row r="132" spans="1:38" s="69" customFormat="1" ht="33" x14ac:dyDescent="0.3">
      <c r="A132" s="130" t="s">
        <v>385</v>
      </c>
      <c r="B132" s="131" t="s">
        <v>386</v>
      </c>
      <c r="C132" s="132" t="s">
        <v>81</v>
      </c>
      <c r="D132" s="133">
        <v>1</v>
      </c>
      <c r="E132" s="75"/>
      <c r="F132" s="75"/>
      <c r="G132" s="75"/>
      <c r="H132" s="75" t="s">
        <v>15</v>
      </c>
      <c r="I132" s="75">
        <v>913345.81</v>
      </c>
      <c r="J132" s="75">
        <v>913345.81</v>
      </c>
      <c r="K132" s="91" t="s">
        <v>387</v>
      </c>
      <c r="L132" s="73"/>
      <c r="M132" s="46">
        <v>1</v>
      </c>
      <c r="N132" s="46">
        <v>0</v>
      </c>
      <c r="O132" s="46">
        <v>913345.81</v>
      </c>
      <c r="P132" s="98"/>
      <c r="Q132" s="23" t="s">
        <v>1494</v>
      </c>
      <c r="R132" s="24" t="s">
        <v>386</v>
      </c>
      <c r="S132" s="25" t="s">
        <v>81</v>
      </c>
      <c r="T132" s="26">
        <v>1</v>
      </c>
      <c r="U132" s="26">
        <v>1</v>
      </c>
      <c r="V132" s="26">
        <f t="shared" si="19"/>
        <v>913345.81</v>
      </c>
      <c r="W132" s="127">
        <f t="shared" si="18"/>
        <v>0</v>
      </c>
      <c r="X132" s="127">
        <f t="shared" si="13"/>
        <v>1</v>
      </c>
      <c r="Y132" s="127">
        <f t="shared" si="20"/>
        <v>0</v>
      </c>
      <c r="Z132" s="127">
        <f t="shared" si="14"/>
        <v>913345.81</v>
      </c>
      <c r="AA132" s="33" t="s">
        <v>15</v>
      </c>
      <c r="AB132" s="36" t="s">
        <v>16</v>
      </c>
      <c r="AC132" s="181">
        <f t="shared" si="15"/>
        <v>1</v>
      </c>
      <c r="AD132" s="181">
        <f t="shared" si="21"/>
        <v>913345.81</v>
      </c>
      <c r="AE132" s="181">
        <v>1.2</v>
      </c>
      <c r="AF132" s="181">
        <v>1.2</v>
      </c>
      <c r="AG132" s="101" t="str">
        <f t="shared" si="16"/>
        <v/>
      </c>
      <c r="AH132" s="194">
        <v>1</v>
      </c>
      <c r="AI132" s="69">
        <f t="shared" si="17"/>
        <v>1</v>
      </c>
    </row>
    <row r="133" spans="1:38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 t="s">
        <v>15</v>
      </c>
      <c r="I133" s="82"/>
      <c r="J133" s="82">
        <v>62087911.219999999</v>
      </c>
      <c r="K133" s="94" t="s">
        <v>15</v>
      </c>
      <c r="L133" s="73"/>
      <c r="M133" s="45">
        <v>1</v>
      </c>
      <c r="N133" s="45">
        <v>940475.31</v>
      </c>
      <c r="O133" s="45">
        <v>59722889.330000013</v>
      </c>
      <c r="P133" s="98"/>
      <c r="Q133" s="18" t="s">
        <v>1381</v>
      </c>
      <c r="R133" s="19" t="s">
        <v>389</v>
      </c>
      <c r="S133" s="20" t="s">
        <v>14</v>
      </c>
      <c r="T133" s="21">
        <v>1</v>
      </c>
      <c r="U133" s="21"/>
      <c r="V133" s="21">
        <f>SUMIFS(AD:AD,AE:AE,AE133)</f>
        <v>62087911.219999999</v>
      </c>
      <c r="W133" s="21">
        <f t="shared" ref="W133:X133" si="22">IF(Y133=0,0,1)</f>
        <v>1</v>
      </c>
      <c r="X133" s="21">
        <f t="shared" si="22"/>
        <v>1</v>
      </c>
      <c r="Y133" s="21">
        <f>SUMIFS(Y:Y,AF:AF,AE133)</f>
        <v>955504.85000000021</v>
      </c>
      <c r="Z133" s="21">
        <f>SUMIFS(Z:Z,AF:AF,AE133)</f>
        <v>60678394.180000022</v>
      </c>
      <c r="AA133" s="22" t="s">
        <v>15</v>
      </c>
      <c r="AB133" s="43" t="s">
        <v>16</v>
      </c>
      <c r="AC133" s="181">
        <f t="shared" si="15"/>
        <v>1</v>
      </c>
      <c r="AD133" s="184"/>
      <c r="AE133" s="184">
        <v>1.3</v>
      </c>
      <c r="AF133" s="184"/>
      <c r="AG133" s="101" t="str">
        <f t="shared" si="16"/>
        <v/>
      </c>
      <c r="AH133" s="190">
        <v>1</v>
      </c>
      <c r="AI133" s="69">
        <f t="shared" si="17"/>
        <v>1</v>
      </c>
    </row>
    <row r="134" spans="1:38" s="69" customFormat="1" ht="39" x14ac:dyDescent="0.3">
      <c r="A134" s="130" t="s">
        <v>390</v>
      </c>
      <c r="B134" s="131" t="s">
        <v>102</v>
      </c>
      <c r="C134" s="132" t="s">
        <v>103</v>
      </c>
      <c r="D134" s="133">
        <v>274.45</v>
      </c>
      <c r="E134" s="75"/>
      <c r="F134" s="75"/>
      <c r="G134" s="75"/>
      <c r="H134" s="75" t="s">
        <v>15</v>
      </c>
      <c r="I134" s="75">
        <v>320.74</v>
      </c>
      <c r="J134" s="75">
        <v>88027.09</v>
      </c>
      <c r="K134" s="91" t="s">
        <v>104</v>
      </c>
      <c r="L134" s="73"/>
      <c r="M134" s="46">
        <v>225</v>
      </c>
      <c r="N134" s="46">
        <v>0</v>
      </c>
      <c r="O134" s="46">
        <v>72166.5</v>
      </c>
      <c r="P134" s="98"/>
      <c r="Q134" s="23" t="s">
        <v>1421</v>
      </c>
      <c r="R134" s="24" t="s">
        <v>102</v>
      </c>
      <c r="S134" s="25" t="s">
        <v>103</v>
      </c>
      <c r="T134" s="26">
        <v>274.45</v>
      </c>
      <c r="U134" s="26">
        <v>274.45</v>
      </c>
      <c r="V134" s="26">
        <f t="shared" si="19"/>
        <v>320.74</v>
      </c>
      <c r="W134" s="127">
        <f t="shared" ref="W134:W176" si="23">AH134-M134</f>
        <v>0</v>
      </c>
      <c r="X134" s="127">
        <f t="shared" ref="X134:X176" si="24">W134+M134</f>
        <v>225</v>
      </c>
      <c r="Y134" s="127">
        <f t="shared" ref="Y134:Y176" si="25">Z134-O134</f>
        <v>0</v>
      </c>
      <c r="Z134" s="127">
        <f t="shared" si="14"/>
        <v>72166.5</v>
      </c>
      <c r="AA134" s="33" t="s">
        <v>15</v>
      </c>
      <c r="AB134" s="36" t="s">
        <v>16</v>
      </c>
      <c r="AC134" s="181">
        <f t="shared" si="15"/>
        <v>274.45</v>
      </c>
      <c r="AD134" s="181">
        <f t="shared" ref="AD134:AD176" si="26">ROUND(V134*AC134,2)</f>
        <v>88027.09</v>
      </c>
      <c r="AE134" s="181">
        <v>1.3</v>
      </c>
      <c r="AF134" s="181">
        <v>1.3</v>
      </c>
      <c r="AG134" s="101" t="str">
        <f t="shared" si="16"/>
        <v/>
      </c>
      <c r="AH134" s="190">
        <v>225</v>
      </c>
      <c r="AI134" s="69">
        <f t="shared" si="17"/>
        <v>274.45</v>
      </c>
    </row>
    <row r="135" spans="1:38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 t="s">
        <v>15</v>
      </c>
      <c r="I135" s="75">
        <v>3115.13</v>
      </c>
      <c r="J135" s="75">
        <v>137751.04999999999</v>
      </c>
      <c r="K135" s="91" t="s">
        <v>114</v>
      </c>
      <c r="L135" s="73"/>
      <c r="M135" s="46">
        <v>22.59</v>
      </c>
      <c r="N135" s="46">
        <v>18067.759999999995</v>
      </c>
      <c r="O135" s="46">
        <v>70370.789999999994</v>
      </c>
      <c r="P135" s="98"/>
      <c r="Q135" s="23" t="s">
        <v>1426</v>
      </c>
      <c r="R135" s="24" t="s">
        <v>392</v>
      </c>
      <c r="S135" s="25" t="s">
        <v>23</v>
      </c>
      <c r="T135" s="26">
        <v>44.22</v>
      </c>
      <c r="U135" s="26">
        <v>44.22</v>
      </c>
      <c r="V135" s="26">
        <f t="shared" si="19"/>
        <v>3115.13</v>
      </c>
      <c r="W135" s="243">
        <f t="shared" si="23"/>
        <v>0</v>
      </c>
      <c r="X135" s="26">
        <f t="shared" si="24"/>
        <v>22.59</v>
      </c>
      <c r="Y135" s="26">
        <f t="shared" si="25"/>
        <v>0</v>
      </c>
      <c r="Z135" s="26">
        <f t="shared" si="14"/>
        <v>70370.789999999994</v>
      </c>
      <c r="AA135" s="33" t="s">
        <v>15</v>
      </c>
      <c r="AB135" s="36" t="s">
        <v>16</v>
      </c>
      <c r="AC135" s="181">
        <f t="shared" si="15"/>
        <v>44.22</v>
      </c>
      <c r="AD135" s="181">
        <f t="shared" si="26"/>
        <v>137751.04999999999</v>
      </c>
      <c r="AE135" s="181">
        <v>1.3</v>
      </c>
      <c r="AF135" s="181">
        <v>1.3</v>
      </c>
      <c r="AG135" s="101" t="str">
        <f t="shared" si="16"/>
        <v/>
      </c>
      <c r="AH135" s="191">
        <f>16.79+5.8</f>
        <v>22.59</v>
      </c>
      <c r="AI135" s="69">
        <f t="shared" si="17"/>
        <v>44.22</v>
      </c>
    </row>
    <row r="136" spans="1:38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 t="s">
        <v>15</v>
      </c>
      <c r="I136" s="75">
        <v>3321.13</v>
      </c>
      <c r="J136" s="75">
        <v>318728.84999999998</v>
      </c>
      <c r="K136" s="91" t="s">
        <v>117</v>
      </c>
      <c r="L136" s="73"/>
      <c r="M136" s="46">
        <v>52.4</v>
      </c>
      <c r="N136" s="46">
        <v>86017.26</v>
      </c>
      <c r="O136" s="46">
        <v>174027.21</v>
      </c>
      <c r="P136" s="98"/>
      <c r="Q136" s="23" t="s">
        <v>1402</v>
      </c>
      <c r="R136" s="24" t="s">
        <v>116</v>
      </c>
      <c r="S136" s="25" t="s">
        <v>23</v>
      </c>
      <c r="T136" s="26">
        <v>95.97</v>
      </c>
      <c r="U136" s="26">
        <v>95.97</v>
      </c>
      <c r="V136" s="26">
        <f t="shared" si="19"/>
        <v>3321.13</v>
      </c>
      <c r="W136" s="243">
        <f t="shared" si="23"/>
        <v>0</v>
      </c>
      <c r="X136" s="26">
        <f t="shared" si="24"/>
        <v>52.4</v>
      </c>
      <c r="Y136" s="26">
        <f t="shared" si="25"/>
        <v>0</v>
      </c>
      <c r="Z136" s="26">
        <f t="shared" si="14"/>
        <v>174027.21</v>
      </c>
      <c r="AA136" s="33" t="s">
        <v>15</v>
      </c>
      <c r="AB136" s="36" t="s">
        <v>16</v>
      </c>
      <c r="AC136" s="181">
        <f t="shared" si="15"/>
        <v>95.97</v>
      </c>
      <c r="AD136" s="181">
        <f t="shared" si="26"/>
        <v>318728.84999999998</v>
      </c>
      <c r="AE136" s="181">
        <v>1.3</v>
      </c>
      <c r="AF136" s="181">
        <v>1.3</v>
      </c>
      <c r="AG136" s="101" t="str">
        <f t="shared" si="16"/>
        <v/>
      </c>
      <c r="AH136" s="191">
        <f>26.5+25.9</f>
        <v>52.4</v>
      </c>
      <c r="AI136" s="69">
        <f t="shared" si="17"/>
        <v>95.97</v>
      </c>
    </row>
    <row r="137" spans="1:38" s="69" customFormat="1" ht="39" x14ac:dyDescent="0.3">
      <c r="A137" s="130" t="s">
        <v>394</v>
      </c>
      <c r="B137" s="131" t="s">
        <v>395</v>
      </c>
      <c r="C137" s="132" t="s">
        <v>23</v>
      </c>
      <c r="D137" s="133">
        <v>1216.8</v>
      </c>
      <c r="E137" s="75"/>
      <c r="F137" s="75"/>
      <c r="G137" s="75"/>
      <c r="H137" s="133">
        <v>709.04</v>
      </c>
      <c r="I137" s="75">
        <v>3643.73</v>
      </c>
      <c r="J137" s="75">
        <v>2583550.3199999998</v>
      </c>
      <c r="K137" s="91" t="s">
        <v>396</v>
      </c>
      <c r="L137" s="73"/>
      <c r="M137" s="46">
        <v>645.58000000000004</v>
      </c>
      <c r="N137" s="46">
        <v>0</v>
      </c>
      <c r="O137" s="46">
        <v>2352319.21</v>
      </c>
      <c r="P137" s="98"/>
      <c r="Q137" s="23" t="s">
        <v>1373</v>
      </c>
      <c r="R137" s="24" t="s">
        <v>395</v>
      </c>
      <c r="S137" s="25" t="s">
        <v>23</v>
      </c>
      <c r="T137" s="26">
        <v>1216.8</v>
      </c>
      <c r="U137" s="26">
        <v>709.04</v>
      </c>
      <c r="V137" s="26">
        <f t="shared" si="19"/>
        <v>3643.73</v>
      </c>
      <c r="W137" s="128">
        <f t="shared" si="23"/>
        <v>0</v>
      </c>
      <c r="X137" s="127">
        <f t="shared" si="24"/>
        <v>645.58000000000004</v>
      </c>
      <c r="Y137" s="127">
        <f t="shared" si="25"/>
        <v>0</v>
      </c>
      <c r="Z137" s="127">
        <f t="shared" si="14"/>
        <v>2352319.21</v>
      </c>
      <c r="AA137" s="33" t="s">
        <v>15</v>
      </c>
      <c r="AB137" s="36" t="s">
        <v>16</v>
      </c>
      <c r="AC137" s="181">
        <f t="shared" si="15"/>
        <v>709.04</v>
      </c>
      <c r="AD137" s="181">
        <f t="shared" si="26"/>
        <v>2583550.3199999998</v>
      </c>
      <c r="AE137" s="181">
        <v>1.3</v>
      </c>
      <c r="AF137" s="181">
        <v>1.3</v>
      </c>
      <c r="AG137" s="101" t="str">
        <f t="shared" si="16"/>
        <v/>
      </c>
      <c r="AH137" s="192">
        <v>645.58000000000004</v>
      </c>
      <c r="AI137" s="69">
        <f t="shared" si="17"/>
        <v>1216.8</v>
      </c>
      <c r="AL137" s="195">
        <v>388.56</v>
      </c>
    </row>
    <row r="138" spans="1:38" s="69" customFormat="1" ht="33" x14ac:dyDescent="0.3">
      <c r="A138" s="130" t="s">
        <v>397</v>
      </c>
      <c r="B138" s="122" t="s">
        <v>109</v>
      </c>
      <c r="C138" s="132" t="s">
        <v>110</v>
      </c>
      <c r="D138" s="133">
        <v>4788.7700000000004</v>
      </c>
      <c r="E138" s="75"/>
      <c r="F138" s="75"/>
      <c r="G138" s="75"/>
      <c r="H138" s="75" t="s">
        <v>15</v>
      </c>
      <c r="I138" s="75">
        <v>36.4</v>
      </c>
      <c r="J138" s="75">
        <v>174311.23</v>
      </c>
      <c r="K138" s="91" t="s">
        <v>111</v>
      </c>
      <c r="L138" s="73"/>
      <c r="M138" s="46">
        <v>4778</v>
      </c>
      <c r="N138" s="46">
        <v>0</v>
      </c>
      <c r="O138" s="46">
        <v>173919.2</v>
      </c>
      <c r="P138" s="98"/>
      <c r="Q138" s="23" t="s">
        <v>1393</v>
      </c>
      <c r="R138" s="24" t="s">
        <v>109</v>
      </c>
      <c r="S138" s="25" t="s">
        <v>110</v>
      </c>
      <c r="T138" s="26">
        <v>4788.7700000000004</v>
      </c>
      <c r="U138" s="26">
        <v>4788.7700000000004</v>
      </c>
      <c r="V138" s="26">
        <f t="shared" si="19"/>
        <v>36.4</v>
      </c>
      <c r="W138" s="127">
        <f t="shared" si="23"/>
        <v>0</v>
      </c>
      <c r="X138" s="127">
        <f t="shared" si="24"/>
        <v>4778</v>
      </c>
      <c r="Y138" s="127">
        <f t="shared" si="25"/>
        <v>0</v>
      </c>
      <c r="Z138" s="127">
        <f t="shared" si="14"/>
        <v>173919.2</v>
      </c>
      <c r="AA138" s="33" t="s">
        <v>15</v>
      </c>
      <c r="AB138" s="36" t="s">
        <v>16</v>
      </c>
      <c r="AC138" s="181">
        <f t="shared" si="15"/>
        <v>4788.7700000000004</v>
      </c>
      <c r="AD138" s="181">
        <f t="shared" si="26"/>
        <v>174311.23</v>
      </c>
      <c r="AE138" s="181">
        <v>1.3</v>
      </c>
      <c r="AF138" s="181">
        <v>1.3</v>
      </c>
      <c r="AG138" s="101" t="str">
        <f t="shared" si="16"/>
        <v/>
      </c>
      <c r="AH138" s="192">
        <v>4778</v>
      </c>
      <c r="AI138" s="69">
        <f t="shared" si="17"/>
        <v>4788.7700000000004</v>
      </c>
      <c r="AL138" s="195">
        <v>4788.7700000000004</v>
      </c>
    </row>
    <row r="139" spans="1:38" s="69" customFormat="1" ht="33" x14ac:dyDescent="0.3">
      <c r="A139" s="130" t="s">
        <v>398</v>
      </c>
      <c r="B139" s="122" t="s">
        <v>399</v>
      </c>
      <c r="C139" s="132" t="s">
        <v>110</v>
      </c>
      <c r="D139" s="133">
        <v>205535.32</v>
      </c>
      <c r="E139" s="75"/>
      <c r="F139" s="75"/>
      <c r="G139" s="75"/>
      <c r="H139" s="75" t="s">
        <v>15</v>
      </c>
      <c r="I139" s="75">
        <v>38.71</v>
      </c>
      <c r="J139" s="75">
        <v>7956272.2400000002</v>
      </c>
      <c r="K139" s="91" t="s">
        <v>400</v>
      </c>
      <c r="L139" s="73"/>
      <c r="M139" s="46">
        <v>202264.52</v>
      </c>
      <c r="N139" s="46">
        <v>0</v>
      </c>
      <c r="O139" s="46">
        <v>7829659.5700000003</v>
      </c>
      <c r="P139" s="98"/>
      <c r="Q139" s="23" t="s">
        <v>1403</v>
      </c>
      <c r="R139" s="24" t="s">
        <v>399</v>
      </c>
      <c r="S139" s="25" t="s">
        <v>110</v>
      </c>
      <c r="T139" s="26">
        <v>205535.32</v>
      </c>
      <c r="U139" s="26">
        <v>205535.32</v>
      </c>
      <c r="V139" s="26">
        <f t="shared" si="19"/>
        <v>38.71</v>
      </c>
      <c r="W139" s="128">
        <f t="shared" si="23"/>
        <v>0</v>
      </c>
      <c r="X139" s="127">
        <f t="shared" si="24"/>
        <v>202264.52</v>
      </c>
      <c r="Y139" s="127">
        <f t="shared" si="25"/>
        <v>0</v>
      </c>
      <c r="Z139" s="127">
        <f t="shared" ref="Z139:Z203" si="27">ROUND(V139*X139,2)</f>
        <v>7829659.5700000003</v>
      </c>
      <c r="AA139" s="33" t="s">
        <v>15</v>
      </c>
      <c r="AB139" s="36" t="s">
        <v>16</v>
      </c>
      <c r="AC139" s="181">
        <f t="shared" ref="AC139:AC202" si="28">IF(U139="",T139,U139)</f>
        <v>205535.32</v>
      </c>
      <c r="AD139" s="181">
        <f t="shared" si="26"/>
        <v>7956272.2400000002</v>
      </c>
      <c r="AE139" s="181">
        <v>1.3</v>
      </c>
      <c r="AF139" s="181">
        <v>1.3</v>
      </c>
      <c r="AG139" s="101" t="str">
        <f t="shared" ref="AG139:AG202" si="29">IF(X139&gt;AI139,"超估","")</f>
        <v/>
      </c>
      <c r="AH139" s="190">
        <v>202264.52</v>
      </c>
      <c r="AI139" s="69">
        <f t="shared" ref="AI139:AI202" si="30">IF(G139=0,IF(F139=0,IF(E139=0,D139,E139),F139),G139)</f>
        <v>205535.32</v>
      </c>
      <c r="AL139" s="195">
        <v>72641</v>
      </c>
    </row>
    <row r="140" spans="1:38" s="69" customFormat="1" ht="33" x14ac:dyDescent="0.3">
      <c r="A140" s="130" t="s">
        <v>401</v>
      </c>
      <c r="B140" s="131" t="s">
        <v>402</v>
      </c>
      <c r="C140" s="132" t="s">
        <v>50</v>
      </c>
      <c r="D140" s="133">
        <v>320.89999999999998</v>
      </c>
      <c r="E140" s="75"/>
      <c r="F140" s="75"/>
      <c r="G140" s="75"/>
      <c r="H140" s="133">
        <v>351.33</v>
      </c>
      <c r="I140" s="75">
        <v>1154.98</v>
      </c>
      <c r="J140" s="75">
        <v>405779.12</v>
      </c>
      <c r="K140" s="91" t="s">
        <v>403</v>
      </c>
      <c r="L140" s="73"/>
      <c r="M140" s="46">
        <v>320.08999999999997</v>
      </c>
      <c r="N140" s="46">
        <v>0</v>
      </c>
      <c r="O140" s="46">
        <v>369697.55</v>
      </c>
      <c r="P140" s="98"/>
      <c r="Q140" s="23" t="s">
        <v>1427</v>
      </c>
      <c r="R140" s="24" t="s">
        <v>402</v>
      </c>
      <c r="S140" s="25" t="s">
        <v>50</v>
      </c>
      <c r="T140" s="26">
        <v>320.89999999999998</v>
      </c>
      <c r="U140" s="26">
        <v>351.33</v>
      </c>
      <c r="V140" s="26">
        <f t="shared" si="19"/>
        <v>1154.98</v>
      </c>
      <c r="W140" s="128">
        <f t="shared" si="23"/>
        <v>0</v>
      </c>
      <c r="X140" s="127">
        <f t="shared" si="24"/>
        <v>320.08999999999997</v>
      </c>
      <c r="Y140" s="127">
        <f t="shared" si="25"/>
        <v>0</v>
      </c>
      <c r="Z140" s="127">
        <f t="shared" si="27"/>
        <v>369697.55</v>
      </c>
      <c r="AA140" s="33" t="s">
        <v>15</v>
      </c>
      <c r="AB140" s="36" t="s">
        <v>16</v>
      </c>
      <c r="AC140" s="181">
        <f t="shared" si="28"/>
        <v>351.33</v>
      </c>
      <c r="AD140" s="181">
        <f t="shared" si="26"/>
        <v>405779.12</v>
      </c>
      <c r="AE140" s="181">
        <v>1.3</v>
      </c>
      <c r="AF140" s="181">
        <v>1.3</v>
      </c>
      <c r="AG140" s="101" t="str">
        <f t="shared" si="29"/>
        <v/>
      </c>
      <c r="AH140" s="191">
        <v>320.08999999999997</v>
      </c>
      <c r="AI140" s="69">
        <f t="shared" si="30"/>
        <v>320.89999999999998</v>
      </c>
      <c r="AL140" s="195">
        <v>351.34</v>
      </c>
    </row>
    <row r="141" spans="1:38" s="69" customFormat="1" ht="57.75" x14ac:dyDescent="0.3">
      <c r="A141" s="130" t="s">
        <v>404</v>
      </c>
      <c r="B141" s="131" t="s">
        <v>405</v>
      </c>
      <c r="C141" s="132" t="s">
        <v>50</v>
      </c>
      <c r="D141" s="133">
        <v>493.85</v>
      </c>
      <c r="E141" s="203"/>
      <c r="F141" s="203"/>
      <c r="G141" s="203"/>
      <c r="H141" s="133">
        <v>574.89</v>
      </c>
      <c r="I141" s="75">
        <v>982.98</v>
      </c>
      <c r="J141" s="75">
        <v>565105.37</v>
      </c>
      <c r="K141" s="91" t="s">
        <v>406</v>
      </c>
      <c r="L141" s="73"/>
      <c r="M141" s="46">
        <v>493.85</v>
      </c>
      <c r="N141" s="46">
        <v>0</v>
      </c>
      <c r="O141" s="46">
        <v>485444.67</v>
      </c>
      <c r="P141" s="98"/>
      <c r="Q141" s="23" t="s">
        <v>1428</v>
      </c>
      <c r="R141" s="24" t="s">
        <v>405</v>
      </c>
      <c r="S141" s="25" t="s">
        <v>50</v>
      </c>
      <c r="T141" s="26">
        <v>493.85</v>
      </c>
      <c r="U141" s="26">
        <v>574.89</v>
      </c>
      <c r="V141" s="26">
        <f t="shared" si="19"/>
        <v>982.98</v>
      </c>
      <c r="W141" s="128">
        <f t="shared" si="23"/>
        <v>0</v>
      </c>
      <c r="X141" s="127">
        <f t="shared" si="24"/>
        <v>493.85</v>
      </c>
      <c r="Y141" s="127">
        <f t="shared" si="25"/>
        <v>0</v>
      </c>
      <c r="Z141" s="127">
        <f t="shared" si="27"/>
        <v>485444.67</v>
      </c>
      <c r="AA141" s="33" t="s">
        <v>15</v>
      </c>
      <c r="AB141" s="36" t="s">
        <v>16</v>
      </c>
      <c r="AC141" s="181">
        <f t="shared" si="28"/>
        <v>574.89</v>
      </c>
      <c r="AD141" s="181">
        <f t="shared" si="26"/>
        <v>565105.37</v>
      </c>
      <c r="AE141" s="181">
        <v>1.3</v>
      </c>
      <c r="AF141" s="181">
        <v>1.3</v>
      </c>
      <c r="AG141" s="101" t="str">
        <f t="shared" si="29"/>
        <v/>
      </c>
      <c r="AH141" s="192">
        <v>493.85</v>
      </c>
      <c r="AI141" s="69">
        <f t="shared" si="30"/>
        <v>493.85</v>
      </c>
      <c r="AL141" s="195">
        <v>574.89200000000017</v>
      </c>
    </row>
    <row r="142" spans="1:38" s="69" customFormat="1" ht="41.25" x14ac:dyDescent="0.3">
      <c r="A142" s="130" t="s">
        <v>407</v>
      </c>
      <c r="B142" s="131" t="s">
        <v>408</v>
      </c>
      <c r="C142" s="132" t="s">
        <v>50</v>
      </c>
      <c r="D142" s="133">
        <v>126.48</v>
      </c>
      <c r="E142" s="203"/>
      <c r="F142" s="203"/>
      <c r="G142" s="203"/>
      <c r="H142" s="133">
        <v>138</v>
      </c>
      <c r="I142" s="75">
        <v>804.79</v>
      </c>
      <c r="J142" s="75">
        <v>111061.02</v>
      </c>
      <c r="K142" s="91" t="s">
        <v>409</v>
      </c>
      <c r="L142" s="73"/>
      <c r="M142" s="46">
        <v>126.48</v>
      </c>
      <c r="N142" s="46">
        <v>0</v>
      </c>
      <c r="O142" s="46">
        <v>101789.84</v>
      </c>
      <c r="P142" s="98"/>
      <c r="Q142" s="23" t="s">
        <v>1387</v>
      </c>
      <c r="R142" s="24" t="s">
        <v>408</v>
      </c>
      <c r="S142" s="25" t="s">
        <v>50</v>
      </c>
      <c r="T142" s="26">
        <v>126.48</v>
      </c>
      <c r="U142" s="26">
        <v>138</v>
      </c>
      <c r="V142" s="26">
        <f t="shared" si="19"/>
        <v>804.79</v>
      </c>
      <c r="W142" s="128">
        <f t="shared" si="23"/>
        <v>0</v>
      </c>
      <c r="X142" s="127">
        <f t="shared" si="24"/>
        <v>126.48</v>
      </c>
      <c r="Y142" s="127">
        <f t="shared" si="25"/>
        <v>0</v>
      </c>
      <c r="Z142" s="127">
        <f t="shared" si="27"/>
        <v>101789.84</v>
      </c>
      <c r="AA142" s="33" t="s">
        <v>15</v>
      </c>
      <c r="AB142" s="36" t="s">
        <v>16</v>
      </c>
      <c r="AC142" s="181">
        <f t="shared" si="28"/>
        <v>138</v>
      </c>
      <c r="AD142" s="181">
        <f t="shared" si="26"/>
        <v>111061.02</v>
      </c>
      <c r="AE142" s="181">
        <v>1.3</v>
      </c>
      <c r="AF142" s="181">
        <v>1.3</v>
      </c>
      <c r="AG142" s="101" t="str">
        <f t="shared" si="29"/>
        <v/>
      </c>
      <c r="AH142" s="192">
        <v>126.48</v>
      </c>
      <c r="AI142" s="69">
        <f t="shared" si="30"/>
        <v>126.48</v>
      </c>
      <c r="AL142" s="195">
        <v>120</v>
      </c>
    </row>
    <row r="143" spans="1:38" s="69" customFormat="1" ht="33" x14ac:dyDescent="0.3">
      <c r="A143" s="265" t="s">
        <v>410</v>
      </c>
      <c r="B143" s="131" t="s">
        <v>411</v>
      </c>
      <c r="C143" s="132" t="s">
        <v>412</v>
      </c>
      <c r="D143" s="133">
        <v>12205</v>
      </c>
      <c r="E143" s="75"/>
      <c r="F143" s="75"/>
      <c r="G143" s="75"/>
      <c r="H143" s="75" t="s">
        <v>15</v>
      </c>
      <c r="I143" s="75">
        <v>75</v>
      </c>
      <c r="J143" s="75">
        <v>915375</v>
      </c>
      <c r="K143" s="91" t="s">
        <v>413</v>
      </c>
      <c r="L143" s="73"/>
      <c r="M143" s="46">
        <v>10986.099999999999</v>
      </c>
      <c r="N143" s="46">
        <v>317542.5</v>
      </c>
      <c r="O143" s="46">
        <v>823957.5</v>
      </c>
      <c r="P143" s="98"/>
      <c r="Q143" s="23" t="s">
        <v>1405</v>
      </c>
      <c r="R143" s="24" t="s">
        <v>411</v>
      </c>
      <c r="S143" s="25" t="s">
        <v>412</v>
      </c>
      <c r="T143" s="26">
        <v>12205</v>
      </c>
      <c r="U143" s="26">
        <v>12205</v>
      </c>
      <c r="V143" s="26">
        <f t="shared" si="19"/>
        <v>75</v>
      </c>
      <c r="W143" s="243">
        <f t="shared" si="23"/>
        <v>623</v>
      </c>
      <c r="X143" s="127">
        <f t="shared" si="24"/>
        <v>11609.099999999999</v>
      </c>
      <c r="Y143" s="127">
        <f t="shared" si="25"/>
        <v>46725</v>
      </c>
      <c r="Z143" s="127">
        <f t="shared" si="27"/>
        <v>870682.5</v>
      </c>
      <c r="AA143" s="33" t="s">
        <v>15</v>
      </c>
      <c r="AB143" s="36" t="s">
        <v>16</v>
      </c>
      <c r="AC143" s="181">
        <f t="shared" si="28"/>
        <v>12205</v>
      </c>
      <c r="AD143" s="181">
        <f t="shared" si="26"/>
        <v>915375</v>
      </c>
      <c r="AE143" s="181">
        <v>1.3</v>
      </c>
      <c r="AF143" s="181">
        <v>1.3</v>
      </c>
      <c r="AG143" s="101" t="str">
        <f t="shared" si="29"/>
        <v/>
      </c>
      <c r="AH143" s="191">
        <f>6752.2+4233.9+623</f>
        <v>11609.099999999999</v>
      </c>
      <c r="AI143" s="69">
        <f t="shared" si="30"/>
        <v>12205</v>
      </c>
    </row>
    <row r="144" spans="1:38" s="69" customFormat="1" ht="33" x14ac:dyDescent="0.3">
      <c r="A144" s="265" t="s">
        <v>414</v>
      </c>
      <c r="B144" s="131" t="s">
        <v>125</v>
      </c>
      <c r="C144" s="132" t="s">
        <v>110</v>
      </c>
      <c r="D144" s="133">
        <v>8317</v>
      </c>
      <c r="E144" s="75"/>
      <c r="F144" s="75"/>
      <c r="G144" s="75"/>
      <c r="H144" s="75" t="s">
        <v>15</v>
      </c>
      <c r="I144" s="75">
        <v>60</v>
      </c>
      <c r="J144" s="75">
        <v>499020</v>
      </c>
      <c r="K144" s="91" t="s">
        <v>126</v>
      </c>
      <c r="L144" s="73"/>
      <c r="M144" s="46">
        <v>7910.2</v>
      </c>
      <c r="N144" s="46">
        <v>143412</v>
      </c>
      <c r="O144" s="46">
        <v>474612</v>
      </c>
      <c r="P144" s="98"/>
      <c r="Q144" s="23" t="s">
        <v>1406</v>
      </c>
      <c r="R144" s="24" t="s">
        <v>125</v>
      </c>
      <c r="S144" s="25" t="s">
        <v>110</v>
      </c>
      <c r="T144" s="26">
        <v>8317</v>
      </c>
      <c r="U144" s="26">
        <v>8317</v>
      </c>
      <c r="V144" s="26">
        <f t="shared" si="19"/>
        <v>60</v>
      </c>
      <c r="W144" s="243">
        <f t="shared" si="23"/>
        <v>382.00000000000091</v>
      </c>
      <c r="X144" s="127">
        <f t="shared" si="24"/>
        <v>8292.2000000000007</v>
      </c>
      <c r="Y144" s="127">
        <f t="shared" si="25"/>
        <v>22920</v>
      </c>
      <c r="Z144" s="127">
        <f t="shared" si="27"/>
        <v>497532</v>
      </c>
      <c r="AA144" s="33" t="s">
        <v>15</v>
      </c>
      <c r="AB144" s="36" t="s">
        <v>16</v>
      </c>
      <c r="AC144" s="181">
        <f t="shared" si="28"/>
        <v>8317</v>
      </c>
      <c r="AD144" s="181">
        <f t="shared" si="26"/>
        <v>499020</v>
      </c>
      <c r="AE144" s="181">
        <v>1.3</v>
      </c>
      <c r="AF144" s="181">
        <v>1.3</v>
      </c>
      <c r="AG144" s="101" t="str">
        <f t="shared" si="29"/>
        <v/>
      </c>
      <c r="AH144" s="191">
        <f>5520+2390.2+382</f>
        <v>8292.2000000000007</v>
      </c>
      <c r="AI144" s="69">
        <f t="shared" si="30"/>
        <v>8317</v>
      </c>
    </row>
    <row r="145" spans="1:35" s="69" customFormat="1" ht="39" x14ac:dyDescent="0.3">
      <c r="A145" s="265" t="s">
        <v>415</v>
      </c>
      <c r="B145" s="131" t="s">
        <v>3147</v>
      </c>
      <c r="C145" s="132" t="s">
        <v>110</v>
      </c>
      <c r="D145" s="133">
        <v>8317</v>
      </c>
      <c r="E145" s="75"/>
      <c r="F145" s="75"/>
      <c r="G145" s="75"/>
      <c r="H145" s="75" t="s">
        <v>15</v>
      </c>
      <c r="I145" s="75">
        <v>31.9</v>
      </c>
      <c r="J145" s="75">
        <v>265312.3</v>
      </c>
      <c r="K145" s="91" t="s">
        <v>3148</v>
      </c>
      <c r="L145" s="73"/>
      <c r="M145" s="46">
        <v>7910.2</v>
      </c>
      <c r="N145" s="46">
        <v>76247.38</v>
      </c>
      <c r="O145" s="46">
        <v>252335.38</v>
      </c>
      <c r="P145" s="98"/>
      <c r="Q145" s="23" t="s">
        <v>1414</v>
      </c>
      <c r="R145" s="24" t="s">
        <v>128</v>
      </c>
      <c r="S145" s="25" t="s">
        <v>110</v>
      </c>
      <c r="T145" s="26">
        <v>8317</v>
      </c>
      <c r="U145" s="26">
        <v>8317</v>
      </c>
      <c r="V145" s="26">
        <f t="shared" si="19"/>
        <v>31.9</v>
      </c>
      <c r="W145" s="243">
        <f t="shared" si="23"/>
        <v>382.00000000000091</v>
      </c>
      <c r="X145" s="127">
        <f t="shared" si="24"/>
        <v>8292.2000000000007</v>
      </c>
      <c r="Y145" s="127">
        <f t="shared" si="25"/>
        <v>12185.799999999988</v>
      </c>
      <c r="Z145" s="127">
        <f t="shared" si="27"/>
        <v>264521.18</v>
      </c>
      <c r="AA145" s="33" t="s">
        <v>15</v>
      </c>
      <c r="AB145" s="36" t="s">
        <v>16</v>
      </c>
      <c r="AC145" s="181">
        <f t="shared" si="28"/>
        <v>8317</v>
      </c>
      <c r="AD145" s="181">
        <f t="shared" si="26"/>
        <v>265312.3</v>
      </c>
      <c r="AE145" s="181">
        <v>1.3</v>
      </c>
      <c r="AF145" s="181">
        <v>1.3</v>
      </c>
      <c r="AG145" s="101" t="str">
        <f t="shared" si="29"/>
        <v/>
      </c>
      <c r="AH145" s="191">
        <f>AH144</f>
        <v>8292.2000000000007</v>
      </c>
      <c r="AI145" s="69">
        <f t="shared" si="30"/>
        <v>8317</v>
      </c>
    </row>
    <row r="146" spans="1:35" s="69" customFormat="1" ht="39" x14ac:dyDescent="0.3">
      <c r="A146" s="265" t="s">
        <v>416</v>
      </c>
      <c r="B146" s="131" t="s">
        <v>417</v>
      </c>
      <c r="C146" s="132" t="s">
        <v>110</v>
      </c>
      <c r="D146" s="133">
        <v>1087</v>
      </c>
      <c r="E146" s="75"/>
      <c r="F146" s="75"/>
      <c r="G146" s="75"/>
      <c r="H146" s="75" t="s">
        <v>15</v>
      </c>
      <c r="I146" s="75">
        <v>278.10000000000002</v>
      </c>
      <c r="J146" s="75">
        <v>302294.7</v>
      </c>
      <c r="K146" s="91" t="s">
        <v>418</v>
      </c>
      <c r="L146" s="73"/>
      <c r="M146" s="46">
        <v>526.1</v>
      </c>
      <c r="N146" s="46">
        <v>146308.41</v>
      </c>
      <c r="O146" s="46">
        <v>146308.41</v>
      </c>
      <c r="P146" s="98"/>
      <c r="Q146" s="23" t="s">
        <v>1429</v>
      </c>
      <c r="R146" s="24" t="s">
        <v>417</v>
      </c>
      <c r="S146" s="25" t="s">
        <v>110</v>
      </c>
      <c r="T146" s="26">
        <v>1087</v>
      </c>
      <c r="U146" s="26">
        <v>1087</v>
      </c>
      <c r="V146" s="26">
        <f t="shared" si="19"/>
        <v>278.10000000000002</v>
      </c>
      <c r="W146" s="243">
        <f t="shared" si="23"/>
        <v>533.70000000000016</v>
      </c>
      <c r="X146" s="127">
        <f t="shared" si="24"/>
        <v>1059.8000000000002</v>
      </c>
      <c r="Y146" s="127">
        <f t="shared" si="25"/>
        <v>148421.97</v>
      </c>
      <c r="Z146" s="127">
        <f t="shared" si="27"/>
        <v>294730.38</v>
      </c>
      <c r="AA146" s="33" t="s">
        <v>15</v>
      </c>
      <c r="AB146" s="36" t="s">
        <v>16</v>
      </c>
      <c r="AC146" s="181">
        <f t="shared" si="28"/>
        <v>1087</v>
      </c>
      <c r="AD146" s="181">
        <f t="shared" si="26"/>
        <v>302294.7</v>
      </c>
      <c r="AE146" s="181">
        <v>1.3</v>
      </c>
      <c r="AF146" s="181">
        <v>1.3</v>
      </c>
      <c r="AG146" s="101" t="str">
        <f t="shared" si="29"/>
        <v/>
      </c>
      <c r="AH146" s="191">
        <f>526.1+533.7</f>
        <v>1059.8000000000002</v>
      </c>
      <c r="AI146" s="69">
        <f t="shared" si="30"/>
        <v>1087</v>
      </c>
    </row>
    <row r="147" spans="1:35" s="69" customFormat="1" ht="58.5" x14ac:dyDescent="0.3">
      <c r="A147" s="265" t="s">
        <v>419</v>
      </c>
      <c r="B147" s="131" t="s">
        <v>420</v>
      </c>
      <c r="C147" s="132" t="s">
        <v>50</v>
      </c>
      <c r="D147" s="133">
        <v>172</v>
      </c>
      <c r="E147" s="75"/>
      <c r="F147" s="75"/>
      <c r="G147" s="75"/>
      <c r="H147" s="75" t="s">
        <v>15</v>
      </c>
      <c r="I147" s="75">
        <v>1400</v>
      </c>
      <c r="J147" s="75">
        <v>240800</v>
      </c>
      <c r="K147" s="91" t="s">
        <v>421</v>
      </c>
      <c r="L147" s="73"/>
      <c r="M147" s="46">
        <v>69.599999999999994</v>
      </c>
      <c r="N147" s="46">
        <v>97440</v>
      </c>
      <c r="O147" s="46">
        <v>97440</v>
      </c>
      <c r="P147" s="98"/>
      <c r="Q147" s="23" t="s">
        <v>1430</v>
      </c>
      <c r="R147" s="24" t="s">
        <v>420</v>
      </c>
      <c r="S147" s="25" t="s">
        <v>50</v>
      </c>
      <c r="T147" s="26">
        <v>172</v>
      </c>
      <c r="U147" s="26">
        <v>172</v>
      </c>
      <c r="V147" s="26">
        <f t="shared" si="19"/>
        <v>1400</v>
      </c>
      <c r="W147" s="243">
        <f t="shared" si="23"/>
        <v>101.79999999999998</v>
      </c>
      <c r="X147" s="127">
        <f t="shared" si="24"/>
        <v>171.39999999999998</v>
      </c>
      <c r="Y147" s="127">
        <f t="shared" si="25"/>
        <v>142520</v>
      </c>
      <c r="Z147" s="127">
        <f t="shared" si="27"/>
        <v>239960</v>
      </c>
      <c r="AA147" s="33" t="s">
        <v>15</v>
      </c>
      <c r="AB147" s="36" t="s">
        <v>16</v>
      </c>
      <c r="AC147" s="181">
        <f t="shared" si="28"/>
        <v>172</v>
      </c>
      <c r="AD147" s="181">
        <f t="shared" si="26"/>
        <v>240800</v>
      </c>
      <c r="AE147" s="181">
        <v>1.3</v>
      </c>
      <c r="AF147" s="181">
        <v>1.3</v>
      </c>
      <c r="AG147" s="101" t="str">
        <f t="shared" si="29"/>
        <v/>
      </c>
      <c r="AH147" s="191">
        <f>69.6+101.8</f>
        <v>171.39999999999998</v>
      </c>
      <c r="AI147" s="69">
        <f t="shared" si="30"/>
        <v>172</v>
      </c>
    </row>
    <row r="148" spans="1:35" s="69" customFormat="1" ht="97.5" x14ac:dyDescent="0.3">
      <c r="A148" s="130" t="s">
        <v>422</v>
      </c>
      <c r="B148" s="131" t="s">
        <v>3070</v>
      </c>
      <c r="C148" s="132" t="s">
        <v>110</v>
      </c>
      <c r="D148" s="133">
        <v>150400</v>
      </c>
      <c r="E148" s="75"/>
      <c r="F148" s="75"/>
      <c r="G148" s="75"/>
      <c r="H148" s="75">
        <v>154935.98000000001</v>
      </c>
      <c r="I148" s="75">
        <v>107.31</v>
      </c>
      <c r="J148" s="75">
        <v>16626180.01</v>
      </c>
      <c r="K148" s="91" t="s">
        <v>132</v>
      </c>
      <c r="L148" s="73"/>
      <c r="M148" s="46">
        <v>150350.57999999999</v>
      </c>
      <c r="N148" s="46">
        <v>0</v>
      </c>
      <c r="O148" s="46">
        <v>16134120.74</v>
      </c>
      <c r="P148" s="98"/>
      <c r="Q148" s="23" t="s">
        <v>1431</v>
      </c>
      <c r="R148" s="24" t="s">
        <v>131</v>
      </c>
      <c r="S148" s="25" t="s">
        <v>110</v>
      </c>
      <c r="T148" s="26">
        <v>150400</v>
      </c>
      <c r="U148" s="26">
        <v>154935.98000000001</v>
      </c>
      <c r="V148" s="26">
        <f t="shared" si="19"/>
        <v>107.31</v>
      </c>
      <c r="W148" s="243">
        <f t="shared" si="23"/>
        <v>4196.5</v>
      </c>
      <c r="X148" s="127">
        <f t="shared" si="24"/>
        <v>154547.07999999999</v>
      </c>
      <c r="Y148" s="127">
        <f t="shared" si="25"/>
        <v>450326.41000000015</v>
      </c>
      <c r="Z148" s="127">
        <f t="shared" si="27"/>
        <v>16584447.15</v>
      </c>
      <c r="AA148" s="33" t="s">
        <v>15</v>
      </c>
      <c r="AB148" s="36" t="s">
        <v>16</v>
      </c>
      <c r="AC148" s="181">
        <f t="shared" si="28"/>
        <v>154935.98000000001</v>
      </c>
      <c r="AD148" s="181">
        <f t="shared" si="26"/>
        <v>16626180.01</v>
      </c>
      <c r="AE148" s="181">
        <v>1.3</v>
      </c>
      <c r="AF148" s="181">
        <v>1.3</v>
      </c>
      <c r="AG148" s="101" t="str">
        <f t="shared" si="29"/>
        <v>超估</v>
      </c>
      <c r="AH148" s="191">
        <f>150350.58+4196.5</f>
        <v>154547.07999999999</v>
      </c>
      <c r="AI148" s="69">
        <f t="shared" si="30"/>
        <v>150400</v>
      </c>
    </row>
    <row r="149" spans="1:35" s="69" customFormat="1" ht="39" x14ac:dyDescent="0.3">
      <c r="A149" s="130" t="s">
        <v>423</v>
      </c>
      <c r="B149" s="131" t="s">
        <v>424</v>
      </c>
      <c r="C149" s="132" t="s">
        <v>50</v>
      </c>
      <c r="D149" s="133">
        <v>1140.1600000000001</v>
      </c>
      <c r="E149" s="75"/>
      <c r="F149" s="75"/>
      <c r="G149" s="75"/>
      <c r="H149" s="75" t="s">
        <v>15</v>
      </c>
      <c r="I149" s="75">
        <v>692.16</v>
      </c>
      <c r="J149" s="75">
        <v>789173.15</v>
      </c>
      <c r="K149" s="91" t="s">
        <v>425</v>
      </c>
      <c r="L149" s="73"/>
      <c r="M149" s="46">
        <v>1139.5999999999999</v>
      </c>
      <c r="N149" s="46">
        <v>0</v>
      </c>
      <c r="O149" s="46">
        <v>788785.54</v>
      </c>
      <c r="P149" s="98"/>
      <c r="Q149" s="23" t="s">
        <v>1395</v>
      </c>
      <c r="R149" s="24" t="s">
        <v>424</v>
      </c>
      <c r="S149" s="25" t="s">
        <v>50</v>
      </c>
      <c r="T149" s="26">
        <v>1140.1600000000001</v>
      </c>
      <c r="U149" s="26">
        <v>1140.1600000000001</v>
      </c>
      <c r="V149" s="26">
        <f t="shared" si="19"/>
        <v>692.16</v>
      </c>
      <c r="W149" s="127">
        <f t="shared" si="23"/>
        <v>0</v>
      </c>
      <c r="X149" s="127">
        <f t="shared" si="24"/>
        <v>1139.5999999999999</v>
      </c>
      <c r="Y149" s="127">
        <f t="shared" si="25"/>
        <v>0</v>
      </c>
      <c r="Z149" s="127">
        <f t="shared" si="27"/>
        <v>788785.54</v>
      </c>
      <c r="AA149" s="33" t="s">
        <v>15</v>
      </c>
      <c r="AB149" s="36" t="s">
        <v>16</v>
      </c>
      <c r="AC149" s="181">
        <f t="shared" si="28"/>
        <v>1140.1600000000001</v>
      </c>
      <c r="AD149" s="181">
        <f t="shared" si="26"/>
        <v>789173.15</v>
      </c>
      <c r="AE149" s="181">
        <v>1.3</v>
      </c>
      <c r="AF149" s="181">
        <v>1.3</v>
      </c>
      <c r="AG149" s="101" t="str">
        <f t="shared" si="29"/>
        <v/>
      </c>
      <c r="AH149" s="191">
        <v>1139.5999999999999</v>
      </c>
      <c r="AI149" s="69">
        <f t="shared" si="30"/>
        <v>1140.1600000000001</v>
      </c>
    </row>
    <row r="150" spans="1:35" s="69" customFormat="1" ht="58.5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203"/>
      <c r="F150" s="203"/>
      <c r="G150" s="203"/>
      <c r="H150" s="203" t="s">
        <v>15</v>
      </c>
      <c r="I150" s="75">
        <v>48.28</v>
      </c>
      <c r="J150" s="75">
        <v>25472.05</v>
      </c>
      <c r="K150" s="91" t="s">
        <v>35</v>
      </c>
      <c r="L150" s="73"/>
      <c r="M150" s="46">
        <v>527.59</v>
      </c>
      <c r="N150" s="46">
        <v>0</v>
      </c>
      <c r="O150" s="46">
        <v>25472.05</v>
      </c>
      <c r="P150" s="98"/>
      <c r="Q150" s="23" t="s">
        <v>1432</v>
      </c>
      <c r="R150" s="24" t="s">
        <v>33</v>
      </c>
      <c r="S150" s="25" t="s">
        <v>34</v>
      </c>
      <c r="T150" s="26">
        <v>527.59</v>
      </c>
      <c r="U150" s="26">
        <v>527.59</v>
      </c>
      <c r="V150" s="26">
        <f t="shared" si="19"/>
        <v>48.28</v>
      </c>
      <c r="W150" s="127">
        <f t="shared" si="23"/>
        <v>0</v>
      </c>
      <c r="X150" s="127">
        <f t="shared" si="24"/>
        <v>527.59</v>
      </c>
      <c r="Y150" s="127">
        <f t="shared" si="25"/>
        <v>0</v>
      </c>
      <c r="Z150" s="127">
        <f t="shared" si="27"/>
        <v>25472.05</v>
      </c>
      <c r="AA150" s="33" t="s">
        <v>15</v>
      </c>
      <c r="AB150" s="36" t="s">
        <v>16</v>
      </c>
      <c r="AC150" s="181">
        <f t="shared" si="28"/>
        <v>527.59</v>
      </c>
      <c r="AD150" s="181">
        <f t="shared" si="26"/>
        <v>25472.05</v>
      </c>
      <c r="AE150" s="181">
        <v>1.3</v>
      </c>
      <c r="AF150" s="181">
        <v>1.3</v>
      </c>
      <c r="AG150" s="101" t="str">
        <f t="shared" si="29"/>
        <v/>
      </c>
      <c r="AH150" s="190">
        <v>527.59</v>
      </c>
      <c r="AI150" s="69">
        <f t="shared" si="30"/>
        <v>527.59</v>
      </c>
    </row>
    <row r="151" spans="1:35" s="69" customFormat="1" ht="58.5" x14ac:dyDescent="0.3">
      <c r="A151" s="130" t="s">
        <v>427</v>
      </c>
      <c r="B151" s="131" t="s">
        <v>428</v>
      </c>
      <c r="C151" s="132" t="s">
        <v>34</v>
      </c>
      <c r="D151" s="133">
        <v>355.42</v>
      </c>
      <c r="E151" s="203"/>
      <c r="F151" s="203"/>
      <c r="G151" s="203"/>
      <c r="H151" s="203" t="s">
        <v>15</v>
      </c>
      <c r="I151" s="75">
        <v>721.06</v>
      </c>
      <c r="J151" s="75">
        <v>256279.15</v>
      </c>
      <c r="K151" s="91" t="s">
        <v>429</v>
      </c>
      <c r="L151" s="73"/>
      <c r="M151" s="46">
        <v>0</v>
      </c>
      <c r="N151" s="46">
        <v>0</v>
      </c>
      <c r="O151" s="46">
        <v>0</v>
      </c>
      <c r="P151" s="98"/>
      <c r="Q151" s="23" t="s">
        <v>1433</v>
      </c>
      <c r="R151" s="24" t="s">
        <v>428</v>
      </c>
      <c r="S151" s="25" t="s">
        <v>34</v>
      </c>
      <c r="T151" s="26">
        <v>355.42</v>
      </c>
      <c r="U151" s="26">
        <v>355.42</v>
      </c>
      <c r="V151" s="26">
        <f t="shared" si="19"/>
        <v>721.06</v>
      </c>
      <c r="W151" s="127">
        <f t="shared" si="23"/>
        <v>0</v>
      </c>
      <c r="X151" s="127">
        <f t="shared" si="24"/>
        <v>0</v>
      </c>
      <c r="Y151" s="127">
        <f t="shared" si="25"/>
        <v>0</v>
      </c>
      <c r="Z151" s="127">
        <f t="shared" si="27"/>
        <v>0</v>
      </c>
      <c r="AA151" s="33" t="s">
        <v>15</v>
      </c>
      <c r="AB151" s="36" t="s">
        <v>16</v>
      </c>
      <c r="AC151" s="181">
        <f t="shared" si="28"/>
        <v>355.42</v>
      </c>
      <c r="AD151" s="181">
        <f t="shared" si="26"/>
        <v>256279.15</v>
      </c>
      <c r="AE151" s="181">
        <v>1.3</v>
      </c>
      <c r="AF151" s="181">
        <v>1.3</v>
      </c>
      <c r="AG151" s="101" t="str">
        <f t="shared" si="29"/>
        <v/>
      </c>
      <c r="AH151" s="190">
        <v>0</v>
      </c>
      <c r="AI151" s="69">
        <f t="shared" si="30"/>
        <v>355.42</v>
      </c>
    </row>
    <row r="152" spans="1:35" s="69" customFormat="1" ht="33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203" t="s">
        <v>15</v>
      </c>
      <c r="I152" s="75">
        <v>28</v>
      </c>
      <c r="J152" s="75">
        <v>914900</v>
      </c>
      <c r="K152" s="91" t="s">
        <v>432</v>
      </c>
      <c r="L152" s="73"/>
      <c r="M152" s="46">
        <v>27409</v>
      </c>
      <c r="N152" s="46">
        <v>55440</v>
      </c>
      <c r="O152" s="46">
        <v>767452</v>
      </c>
      <c r="P152" s="98"/>
      <c r="Q152" s="23" t="s">
        <v>1382</v>
      </c>
      <c r="R152" s="24" t="s">
        <v>431</v>
      </c>
      <c r="S152" s="25" t="s">
        <v>50</v>
      </c>
      <c r="T152" s="26">
        <v>272</v>
      </c>
      <c r="U152" s="26">
        <v>32675</v>
      </c>
      <c r="V152" s="26">
        <f t="shared" si="19"/>
        <v>28</v>
      </c>
      <c r="W152" s="243">
        <f t="shared" si="23"/>
        <v>1855</v>
      </c>
      <c r="X152" s="26">
        <f t="shared" si="24"/>
        <v>29264</v>
      </c>
      <c r="Y152" s="26">
        <f t="shared" si="25"/>
        <v>51940</v>
      </c>
      <c r="Z152" s="26">
        <f t="shared" si="27"/>
        <v>819392</v>
      </c>
      <c r="AA152" s="27" t="s">
        <v>15</v>
      </c>
      <c r="AB152" s="36" t="s">
        <v>16</v>
      </c>
      <c r="AC152" s="181">
        <f t="shared" si="28"/>
        <v>32675</v>
      </c>
      <c r="AD152" s="181">
        <f t="shared" si="26"/>
        <v>914900</v>
      </c>
      <c r="AE152" s="181">
        <v>1.3</v>
      </c>
      <c r="AF152" s="181">
        <v>1.3</v>
      </c>
      <c r="AG152" s="101" t="str">
        <f t="shared" si="29"/>
        <v/>
      </c>
      <c r="AH152" s="191">
        <f>22573+928+1928+1980+1855</f>
        <v>29264</v>
      </c>
      <c r="AI152" s="69">
        <f t="shared" si="30"/>
        <v>32675</v>
      </c>
    </row>
    <row r="153" spans="1:35" s="69" customFormat="1" ht="39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203"/>
      <c r="F153" s="203"/>
      <c r="G153" s="203"/>
      <c r="H153" s="203" t="s">
        <v>15</v>
      </c>
      <c r="I153" s="75">
        <v>19012.060000000001</v>
      </c>
      <c r="J153" s="75">
        <v>14144972.640000001</v>
      </c>
      <c r="K153" s="91" t="s">
        <v>435</v>
      </c>
      <c r="L153" s="73"/>
      <c r="M153" s="46">
        <v>744</v>
      </c>
      <c r="N153" s="46">
        <v>0</v>
      </c>
      <c r="O153" s="46">
        <v>14144972.640000001</v>
      </c>
      <c r="P153" s="98"/>
      <c r="Q153" s="23" t="s">
        <v>1434</v>
      </c>
      <c r="R153" s="24" t="s">
        <v>434</v>
      </c>
      <c r="S153" s="25" t="s">
        <v>30</v>
      </c>
      <c r="T153" s="26">
        <v>744</v>
      </c>
      <c r="U153" s="26">
        <v>744</v>
      </c>
      <c r="V153" s="26">
        <f t="shared" si="19"/>
        <v>19012.060000000001</v>
      </c>
      <c r="W153" s="127">
        <f t="shared" si="23"/>
        <v>0</v>
      </c>
      <c r="X153" s="127">
        <f t="shared" si="24"/>
        <v>744</v>
      </c>
      <c r="Y153" s="127">
        <f t="shared" si="25"/>
        <v>0</v>
      </c>
      <c r="Z153" s="127">
        <f t="shared" si="27"/>
        <v>14144972.640000001</v>
      </c>
      <c r="AA153" s="33" t="s">
        <v>15</v>
      </c>
      <c r="AB153" s="36" t="s">
        <v>16</v>
      </c>
      <c r="AC153" s="181">
        <f t="shared" si="28"/>
        <v>744</v>
      </c>
      <c r="AD153" s="181">
        <f t="shared" si="26"/>
        <v>14144972.640000001</v>
      </c>
      <c r="AE153" s="181">
        <v>1.3</v>
      </c>
      <c r="AF153" s="181">
        <v>1.3</v>
      </c>
      <c r="AG153" s="101" t="str">
        <f t="shared" si="29"/>
        <v/>
      </c>
      <c r="AH153" s="190">
        <v>744</v>
      </c>
      <c r="AI153" s="69">
        <f t="shared" si="30"/>
        <v>744</v>
      </c>
    </row>
    <row r="154" spans="1:35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 t="s">
        <v>15</v>
      </c>
      <c r="I154" s="75">
        <v>373.1</v>
      </c>
      <c r="J154" s="75">
        <v>50741.599999999999</v>
      </c>
      <c r="K154" s="91" t="s">
        <v>438</v>
      </c>
      <c r="L154" s="73"/>
      <c r="M154" s="46">
        <v>112</v>
      </c>
      <c r="N154" s="46">
        <v>0</v>
      </c>
      <c r="O154" s="46">
        <v>41787.199999999997</v>
      </c>
      <c r="P154" s="98"/>
      <c r="Q154" s="23" t="s">
        <v>1388</v>
      </c>
      <c r="R154" s="24" t="s">
        <v>437</v>
      </c>
      <c r="S154" s="25" t="s">
        <v>50</v>
      </c>
      <c r="T154" s="26">
        <v>136</v>
      </c>
      <c r="U154" s="26">
        <v>136</v>
      </c>
      <c r="V154" s="26">
        <f t="shared" si="19"/>
        <v>373.1</v>
      </c>
      <c r="W154" s="128">
        <f t="shared" si="23"/>
        <v>0</v>
      </c>
      <c r="X154" s="26">
        <f t="shared" si="24"/>
        <v>112</v>
      </c>
      <c r="Y154" s="26">
        <f t="shared" si="25"/>
        <v>0</v>
      </c>
      <c r="Z154" s="26">
        <f t="shared" si="27"/>
        <v>41787.199999999997</v>
      </c>
      <c r="AA154" s="33" t="s">
        <v>15</v>
      </c>
      <c r="AB154" s="36" t="s">
        <v>16</v>
      </c>
      <c r="AC154" s="181">
        <f t="shared" si="28"/>
        <v>136</v>
      </c>
      <c r="AD154" s="181">
        <f t="shared" si="26"/>
        <v>50741.599999999999</v>
      </c>
      <c r="AE154" s="181">
        <v>1.3</v>
      </c>
      <c r="AF154" s="181">
        <v>1.3</v>
      </c>
      <c r="AG154" s="101" t="str">
        <f t="shared" si="29"/>
        <v/>
      </c>
      <c r="AH154" s="191">
        <v>112</v>
      </c>
      <c r="AI154" s="69">
        <f t="shared" si="30"/>
        <v>136</v>
      </c>
    </row>
    <row r="155" spans="1:35" s="69" customFormat="1" ht="39" x14ac:dyDescent="0.3">
      <c r="A155" s="130" t="s">
        <v>439</v>
      </c>
      <c r="B155" s="131" t="s">
        <v>440</v>
      </c>
      <c r="C155" s="132" t="s">
        <v>50</v>
      </c>
      <c r="D155" s="133">
        <v>136</v>
      </c>
      <c r="E155" s="75"/>
      <c r="F155" s="75"/>
      <c r="G155" s="75"/>
      <c r="H155" s="75" t="s">
        <v>15</v>
      </c>
      <c r="I155" s="75">
        <v>616.53</v>
      </c>
      <c r="J155" s="75">
        <v>83848.08</v>
      </c>
      <c r="K155" s="91" t="s">
        <v>441</v>
      </c>
      <c r="L155" s="73"/>
      <c r="M155" s="46">
        <v>122.8</v>
      </c>
      <c r="N155" s="46">
        <v>0</v>
      </c>
      <c r="O155" s="46">
        <v>75709.88</v>
      </c>
      <c r="P155" s="98"/>
      <c r="Q155" s="23" t="s">
        <v>1389</v>
      </c>
      <c r="R155" s="24" t="s">
        <v>440</v>
      </c>
      <c r="S155" s="25" t="s">
        <v>50</v>
      </c>
      <c r="T155" s="26">
        <v>136</v>
      </c>
      <c r="U155" s="26">
        <v>136</v>
      </c>
      <c r="V155" s="26">
        <f t="shared" si="19"/>
        <v>616.53</v>
      </c>
      <c r="W155" s="243">
        <f t="shared" si="23"/>
        <v>0</v>
      </c>
      <c r="X155" s="127">
        <f t="shared" si="24"/>
        <v>122.8</v>
      </c>
      <c r="Y155" s="127">
        <f t="shared" si="25"/>
        <v>0</v>
      </c>
      <c r="Z155" s="127">
        <f t="shared" si="27"/>
        <v>75709.88</v>
      </c>
      <c r="AA155" s="33" t="s">
        <v>15</v>
      </c>
      <c r="AB155" s="36" t="s">
        <v>16</v>
      </c>
      <c r="AC155" s="181">
        <f t="shared" si="28"/>
        <v>136</v>
      </c>
      <c r="AD155" s="181">
        <f t="shared" si="26"/>
        <v>83848.08</v>
      </c>
      <c r="AE155" s="181">
        <v>1.3</v>
      </c>
      <c r="AF155" s="181">
        <v>1.3</v>
      </c>
      <c r="AG155" s="101" t="str">
        <f t="shared" si="29"/>
        <v/>
      </c>
      <c r="AH155" s="191">
        <f>122.8</f>
        <v>122.8</v>
      </c>
      <c r="AI155" s="69">
        <f t="shared" si="30"/>
        <v>136</v>
      </c>
    </row>
    <row r="156" spans="1:35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 t="s">
        <v>15</v>
      </c>
      <c r="I156" s="75">
        <v>2664.06</v>
      </c>
      <c r="J156" s="75">
        <v>9590.6200000000008</v>
      </c>
      <c r="K156" s="91" t="s">
        <v>444</v>
      </c>
      <c r="L156" s="73"/>
      <c r="M156" s="46">
        <v>0</v>
      </c>
      <c r="N156" s="46">
        <v>0</v>
      </c>
      <c r="O156" s="46">
        <v>0</v>
      </c>
      <c r="P156" s="98"/>
      <c r="Q156" s="23" t="s">
        <v>1390</v>
      </c>
      <c r="R156" s="24" t="s">
        <v>443</v>
      </c>
      <c r="S156" s="25" t="s">
        <v>50</v>
      </c>
      <c r="T156" s="26">
        <v>3.6</v>
      </c>
      <c r="U156" s="26">
        <v>3.6</v>
      </c>
      <c r="V156" s="26">
        <f t="shared" si="19"/>
        <v>2664.06</v>
      </c>
      <c r="W156" s="26">
        <f t="shared" si="23"/>
        <v>0</v>
      </c>
      <c r="X156" s="26">
        <f t="shared" si="24"/>
        <v>0</v>
      </c>
      <c r="Y156" s="26">
        <f t="shared" si="25"/>
        <v>0</v>
      </c>
      <c r="Z156" s="26">
        <f t="shared" si="27"/>
        <v>0</v>
      </c>
      <c r="AA156" s="33" t="s">
        <v>15</v>
      </c>
      <c r="AB156" s="36" t="s">
        <v>16</v>
      </c>
      <c r="AC156" s="181">
        <f t="shared" si="28"/>
        <v>3.6</v>
      </c>
      <c r="AD156" s="181">
        <f t="shared" si="26"/>
        <v>9590.6200000000008</v>
      </c>
      <c r="AE156" s="181">
        <v>1.3</v>
      </c>
      <c r="AF156" s="181">
        <v>1.3</v>
      </c>
      <c r="AG156" s="101" t="str">
        <f t="shared" si="29"/>
        <v/>
      </c>
      <c r="AH156" s="190">
        <v>0</v>
      </c>
      <c r="AI156" s="69">
        <f t="shared" si="30"/>
        <v>3.6</v>
      </c>
    </row>
    <row r="157" spans="1:35" s="69" customFormat="1" ht="39" x14ac:dyDescent="0.3">
      <c r="A157" s="130" t="s">
        <v>445</v>
      </c>
      <c r="B157" s="131" t="s">
        <v>446</v>
      </c>
      <c r="C157" s="132" t="s">
        <v>30</v>
      </c>
      <c r="D157" s="133">
        <v>44</v>
      </c>
      <c r="E157" s="75"/>
      <c r="F157" s="75"/>
      <c r="G157" s="75"/>
      <c r="H157" s="75" t="s">
        <v>15</v>
      </c>
      <c r="I157" s="75">
        <v>5183.22</v>
      </c>
      <c r="J157" s="75">
        <v>228061.68</v>
      </c>
      <c r="K157" s="137" t="s">
        <v>447</v>
      </c>
      <c r="L157" s="73"/>
      <c r="M157" s="46">
        <v>43.7</v>
      </c>
      <c r="N157" s="46">
        <v>0</v>
      </c>
      <c r="O157" s="46">
        <v>226506.71</v>
      </c>
      <c r="P157" s="98"/>
      <c r="Q157" s="23" t="s">
        <v>1391</v>
      </c>
      <c r="R157" s="24" t="s">
        <v>446</v>
      </c>
      <c r="S157" s="25" t="s">
        <v>30</v>
      </c>
      <c r="T157" s="26">
        <v>44</v>
      </c>
      <c r="U157" s="26">
        <v>44</v>
      </c>
      <c r="V157" s="26">
        <f t="shared" si="19"/>
        <v>5183.22</v>
      </c>
      <c r="W157" s="127">
        <f t="shared" si="23"/>
        <v>0</v>
      </c>
      <c r="X157" s="127">
        <f t="shared" si="24"/>
        <v>43.7</v>
      </c>
      <c r="Y157" s="127">
        <f t="shared" si="25"/>
        <v>0</v>
      </c>
      <c r="Z157" s="127">
        <f t="shared" si="27"/>
        <v>226506.71</v>
      </c>
      <c r="AA157" s="33" t="s">
        <v>15</v>
      </c>
      <c r="AB157" s="36" t="s">
        <v>16</v>
      </c>
      <c r="AC157" s="181">
        <f t="shared" si="28"/>
        <v>44</v>
      </c>
      <c r="AD157" s="181">
        <f t="shared" si="26"/>
        <v>228061.68</v>
      </c>
      <c r="AE157" s="181">
        <v>1.3</v>
      </c>
      <c r="AF157" s="181">
        <v>1.3</v>
      </c>
      <c r="AG157" s="101" t="str">
        <f t="shared" si="29"/>
        <v/>
      </c>
      <c r="AH157" s="194">
        <f>AH160</f>
        <v>43.7</v>
      </c>
      <c r="AI157" s="69">
        <f t="shared" si="30"/>
        <v>44</v>
      </c>
    </row>
    <row r="158" spans="1:35" s="69" customFormat="1" ht="39" x14ac:dyDescent="0.3">
      <c r="A158" s="130" t="s">
        <v>448</v>
      </c>
      <c r="B158" s="131" t="s">
        <v>449</v>
      </c>
      <c r="C158" s="132" t="s">
        <v>30</v>
      </c>
      <c r="D158" s="133">
        <v>94.14</v>
      </c>
      <c r="E158" s="75"/>
      <c r="F158" s="75"/>
      <c r="G158" s="75"/>
      <c r="H158" s="75" t="s">
        <v>15</v>
      </c>
      <c r="I158" s="75">
        <v>9392.57</v>
      </c>
      <c r="J158" s="75">
        <v>884216.54</v>
      </c>
      <c r="K158" s="137" t="s">
        <v>450</v>
      </c>
      <c r="L158" s="73"/>
      <c r="M158" s="46">
        <v>93.1</v>
      </c>
      <c r="N158" s="46">
        <v>0</v>
      </c>
      <c r="O158" s="46">
        <v>874448.27</v>
      </c>
      <c r="P158" s="98"/>
      <c r="Q158" s="23" t="s">
        <v>1436</v>
      </c>
      <c r="R158" s="24" t="s">
        <v>449</v>
      </c>
      <c r="S158" s="25" t="s">
        <v>30</v>
      </c>
      <c r="T158" s="26">
        <v>94.14</v>
      </c>
      <c r="U158" s="26">
        <v>94.14</v>
      </c>
      <c r="V158" s="26">
        <f t="shared" si="19"/>
        <v>9392.57</v>
      </c>
      <c r="W158" s="127">
        <f t="shared" si="23"/>
        <v>0</v>
      </c>
      <c r="X158" s="127">
        <f t="shared" si="24"/>
        <v>93.1</v>
      </c>
      <c r="Y158" s="127">
        <f t="shared" si="25"/>
        <v>0</v>
      </c>
      <c r="Z158" s="127">
        <f t="shared" si="27"/>
        <v>874448.27</v>
      </c>
      <c r="AA158" s="33" t="s">
        <v>15</v>
      </c>
      <c r="AB158" s="36" t="s">
        <v>16</v>
      </c>
      <c r="AC158" s="181">
        <f t="shared" si="28"/>
        <v>94.14</v>
      </c>
      <c r="AD158" s="181">
        <f t="shared" si="26"/>
        <v>884216.54</v>
      </c>
      <c r="AE158" s="181">
        <v>1.3</v>
      </c>
      <c r="AF158" s="181">
        <v>1.3</v>
      </c>
      <c r="AG158" s="101" t="str">
        <f t="shared" si="29"/>
        <v/>
      </c>
      <c r="AH158" s="194">
        <f>75+18.1</f>
        <v>93.1</v>
      </c>
      <c r="AI158" s="69">
        <f t="shared" si="30"/>
        <v>94.14</v>
      </c>
    </row>
    <row r="159" spans="1:35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 t="s">
        <v>15</v>
      </c>
      <c r="I159" s="75">
        <v>2388.5700000000002</v>
      </c>
      <c r="J159" s="75">
        <v>272296.98</v>
      </c>
      <c r="K159" s="137" t="s">
        <v>453</v>
      </c>
      <c r="L159" s="73"/>
      <c r="M159" s="46">
        <v>68</v>
      </c>
      <c r="N159" s="46">
        <v>0</v>
      </c>
      <c r="O159" s="46">
        <v>162422.76</v>
      </c>
      <c r="P159" s="98"/>
      <c r="Q159" s="23" t="s">
        <v>1374</v>
      </c>
      <c r="R159" s="24" t="s">
        <v>452</v>
      </c>
      <c r="S159" s="25" t="s">
        <v>30</v>
      </c>
      <c r="T159" s="26">
        <v>114</v>
      </c>
      <c r="U159" s="26">
        <v>114</v>
      </c>
      <c r="V159" s="26">
        <f t="shared" si="19"/>
        <v>2388.5700000000002</v>
      </c>
      <c r="W159" s="243">
        <f t="shared" si="23"/>
        <v>0</v>
      </c>
      <c r="X159" s="26">
        <f t="shared" si="24"/>
        <v>68</v>
      </c>
      <c r="Y159" s="26">
        <f t="shared" si="25"/>
        <v>0</v>
      </c>
      <c r="Z159" s="26">
        <f t="shared" si="27"/>
        <v>162422.76</v>
      </c>
      <c r="AA159" s="33" t="s">
        <v>15</v>
      </c>
      <c r="AB159" s="36" t="s">
        <v>16</v>
      </c>
      <c r="AC159" s="181">
        <f t="shared" si="28"/>
        <v>114</v>
      </c>
      <c r="AD159" s="181">
        <f t="shared" si="26"/>
        <v>272296.98</v>
      </c>
      <c r="AE159" s="181">
        <v>1.3</v>
      </c>
      <c r="AF159" s="181">
        <v>1.3</v>
      </c>
      <c r="AG159" s="101" t="str">
        <f t="shared" si="29"/>
        <v/>
      </c>
      <c r="AH159" s="191">
        <f>68</f>
        <v>68</v>
      </c>
      <c r="AI159" s="69">
        <f t="shared" si="30"/>
        <v>114</v>
      </c>
    </row>
    <row r="160" spans="1:35" s="69" customFormat="1" ht="39" x14ac:dyDescent="0.3">
      <c r="A160" s="130" t="s">
        <v>454</v>
      </c>
      <c r="B160" s="131" t="s">
        <v>455</v>
      </c>
      <c r="C160" s="132" t="s">
        <v>30</v>
      </c>
      <c r="D160" s="133">
        <v>44</v>
      </c>
      <c r="E160" s="75"/>
      <c r="F160" s="75"/>
      <c r="G160" s="75"/>
      <c r="H160" s="75" t="s">
        <v>15</v>
      </c>
      <c r="I160" s="75">
        <v>80192.710000000006</v>
      </c>
      <c r="J160" s="75">
        <v>3528479.24</v>
      </c>
      <c r="K160" s="137" t="s">
        <v>456</v>
      </c>
      <c r="L160" s="73"/>
      <c r="M160" s="46">
        <v>43.7</v>
      </c>
      <c r="N160" s="46">
        <v>0</v>
      </c>
      <c r="O160" s="46">
        <v>3504421.43</v>
      </c>
      <c r="P160" s="98"/>
      <c r="Q160" s="23" t="s">
        <v>1376</v>
      </c>
      <c r="R160" s="24" t="s">
        <v>455</v>
      </c>
      <c r="S160" s="25" t="s">
        <v>30</v>
      </c>
      <c r="T160" s="26">
        <v>44</v>
      </c>
      <c r="U160" s="26">
        <v>44</v>
      </c>
      <c r="V160" s="26">
        <f t="shared" si="19"/>
        <v>80192.710000000006</v>
      </c>
      <c r="W160" s="127">
        <f t="shared" si="23"/>
        <v>0</v>
      </c>
      <c r="X160" s="127">
        <f t="shared" si="24"/>
        <v>43.7</v>
      </c>
      <c r="Y160" s="127">
        <f t="shared" si="25"/>
        <v>0</v>
      </c>
      <c r="Z160" s="127">
        <f t="shared" si="27"/>
        <v>3504421.43</v>
      </c>
      <c r="AA160" s="33" t="s">
        <v>15</v>
      </c>
      <c r="AB160" s="36" t="s">
        <v>16</v>
      </c>
      <c r="AC160" s="181">
        <f t="shared" si="28"/>
        <v>44</v>
      </c>
      <c r="AD160" s="181">
        <f t="shared" si="26"/>
        <v>3528479.24</v>
      </c>
      <c r="AE160" s="181">
        <v>1.3</v>
      </c>
      <c r="AF160" s="181">
        <v>1.3</v>
      </c>
      <c r="AG160" s="101" t="str">
        <f t="shared" si="29"/>
        <v/>
      </c>
      <c r="AH160" s="194">
        <f>35+9-0.3</f>
        <v>43.7</v>
      </c>
      <c r="AI160" s="69">
        <f t="shared" si="30"/>
        <v>44</v>
      </c>
    </row>
    <row r="161" spans="1:35" s="69" customFormat="1" ht="58.5" x14ac:dyDescent="0.3">
      <c r="A161" s="130" t="s">
        <v>457</v>
      </c>
      <c r="B161" s="131" t="s">
        <v>458</v>
      </c>
      <c r="C161" s="132" t="s">
        <v>30</v>
      </c>
      <c r="D161" s="133">
        <v>90</v>
      </c>
      <c r="E161" s="75"/>
      <c r="F161" s="75"/>
      <c r="G161" s="75"/>
      <c r="H161" s="75" t="s">
        <v>15</v>
      </c>
      <c r="I161" s="75">
        <v>9257.1299999999992</v>
      </c>
      <c r="J161" s="75">
        <v>833141.7</v>
      </c>
      <c r="K161" s="137" t="s">
        <v>459</v>
      </c>
      <c r="L161" s="73"/>
      <c r="M161" s="46">
        <v>90</v>
      </c>
      <c r="N161" s="46">
        <v>0</v>
      </c>
      <c r="O161" s="46">
        <v>833141.7</v>
      </c>
      <c r="P161" s="98"/>
      <c r="Q161" s="23" t="s">
        <v>1378</v>
      </c>
      <c r="R161" s="24" t="s">
        <v>458</v>
      </c>
      <c r="S161" s="25" t="s">
        <v>30</v>
      </c>
      <c r="T161" s="26">
        <v>90</v>
      </c>
      <c r="U161" s="26">
        <v>90</v>
      </c>
      <c r="V161" s="26">
        <f t="shared" si="19"/>
        <v>9257.1299999999992</v>
      </c>
      <c r="W161" s="127">
        <f t="shared" si="23"/>
        <v>0</v>
      </c>
      <c r="X161" s="127">
        <f t="shared" si="24"/>
        <v>90</v>
      </c>
      <c r="Y161" s="127">
        <f t="shared" si="25"/>
        <v>0</v>
      </c>
      <c r="Z161" s="127">
        <f t="shared" si="27"/>
        <v>833141.7</v>
      </c>
      <c r="AA161" s="33" t="s">
        <v>15</v>
      </c>
      <c r="AB161" s="36" t="s">
        <v>16</v>
      </c>
      <c r="AC161" s="181">
        <f t="shared" si="28"/>
        <v>90</v>
      </c>
      <c r="AD161" s="181">
        <f t="shared" si="26"/>
        <v>833141.7</v>
      </c>
      <c r="AE161" s="181">
        <v>1.3</v>
      </c>
      <c r="AF161" s="181">
        <v>1.3</v>
      </c>
      <c r="AG161" s="101" t="str">
        <f t="shared" si="29"/>
        <v/>
      </c>
      <c r="AH161" s="194">
        <f>70+20</f>
        <v>90</v>
      </c>
      <c r="AI161" s="69">
        <f t="shared" si="30"/>
        <v>90</v>
      </c>
    </row>
    <row r="162" spans="1:35" s="69" customFormat="1" ht="33" x14ac:dyDescent="0.3">
      <c r="A162" s="130" t="s">
        <v>460</v>
      </c>
      <c r="B162" s="131" t="s">
        <v>461</v>
      </c>
      <c r="C162" s="132" t="s">
        <v>81</v>
      </c>
      <c r="D162" s="133">
        <v>1</v>
      </c>
      <c r="E162" s="75"/>
      <c r="F162" s="75"/>
      <c r="G162" s="75"/>
      <c r="H162" s="75" t="s">
        <v>15</v>
      </c>
      <c r="I162" s="75">
        <v>58649</v>
      </c>
      <c r="J162" s="75">
        <v>58649</v>
      </c>
      <c r="K162" s="137" t="s">
        <v>462</v>
      </c>
      <c r="L162" s="73"/>
      <c r="M162" s="46">
        <v>1</v>
      </c>
      <c r="N162" s="46">
        <v>0</v>
      </c>
      <c r="O162" s="46">
        <v>58649</v>
      </c>
      <c r="P162" s="98"/>
      <c r="Q162" s="23" t="s">
        <v>1438</v>
      </c>
      <c r="R162" s="24" t="s">
        <v>461</v>
      </c>
      <c r="S162" s="25" t="s">
        <v>81</v>
      </c>
      <c r="T162" s="26">
        <v>1</v>
      </c>
      <c r="U162" s="26">
        <v>1</v>
      </c>
      <c r="V162" s="26">
        <f t="shared" si="19"/>
        <v>58649</v>
      </c>
      <c r="W162" s="127">
        <f t="shared" si="23"/>
        <v>0</v>
      </c>
      <c r="X162" s="127">
        <f t="shared" si="24"/>
        <v>1</v>
      </c>
      <c r="Y162" s="127">
        <f t="shared" si="25"/>
        <v>0</v>
      </c>
      <c r="Z162" s="127">
        <f t="shared" si="27"/>
        <v>58649</v>
      </c>
      <c r="AA162" s="33" t="s">
        <v>15</v>
      </c>
      <c r="AB162" s="36" t="s">
        <v>16</v>
      </c>
      <c r="AC162" s="181">
        <f t="shared" si="28"/>
        <v>1</v>
      </c>
      <c r="AD162" s="181">
        <f t="shared" si="26"/>
        <v>58649</v>
      </c>
      <c r="AE162" s="181">
        <v>1.3</v>
      </c>
      <c r="AF162" s="181">
        <v>1.3</v>
      </c>
      <c r="AG162" s="101" t="str">
        <f t="shared" si="29"/>
        <v/>
      </c>
      <c r="AH162" s="194">
        <f>1</f>
        <v>1</v>
      </c>
      <c r="AI162" s="69">
        <f t="shared" si="30"/>
        <v>1</v>
      </c>
    </row>
    <row r="163" spans="1:35" s="69" customFormat="1" ht="33" x14ac:dyDescent="0.3">
      <c r="A163" s="130" t="s">
        <v>463</v>
      </c>
      <c r="B163" s="131" t="s">
        <v>464</v>
      </c>
      <c r="C163" s="132" t="s">
        <v>81</v>
      </c>
      <c r="D163" s="133">
        <v>1</v>
      </c>
      <c r="E163" s="75"/>
      <c r="F163" s="75"/>
      <c r="G163" s="75"/>
      <c r="H163" s="75" t="s">
        <v>15</v>
      </c>
      <c r="I163" s="75">
        <v>107614.5</v>
      </c>
      <c r="J163" s="75">
        <v>107614.5</v>
      </c>
      <c r="K163" s="137" t="s">
        <v>465</v>
      </c>
      <c r="L163" s="73"/>
      <c r="M163" s="46">
        <v>0.8</v>
      </c>
      <c r="N163" s="46">
        <v>0</v>
      </c>
      <c r="O163" s="46">
        <v>86091.6</v>
      </c>
      <c r="P163" s="98"/>
      <c r="Q163" s="23" t="s">
        <v>1439</v>
      </c>
      <c r="R163" s="24" t="s">
        <v>464</v>
      </c>
      <c r="S163" s="25" t="s">
        <v>81</v>
      </c>
      <c r="T163" s="26">
        <v>1</v>
      </c>
      <c r="U163" s="26">
        <v>1</v>
      </c>
      <c r="V163" s="26">
        <f t="shared" si="19"/>
        <v>107614.5</v>
      </c>
      <c r="W163" s="243">
        <f t="shared" si="23"/>
        <v>0.19999999999999996</v>
      </c>
      <c r="X163" s="127">
        <f t="shared" si="24"/>
        <v>1</v>
      </c>
      <c r="Y163" s="127">
        <f t="shared" si="25"/>
        <v>21522.899999999994</v>
      </c>
      <c r="Z163" s="127">
        <f t="shared" si="27"/>
        <v>107614.5</v>
      </c>
      <c r="AA163" s="33" t="s">
        <v>15</v>
      </c>
      <c r="AB163" s="36" t="s">
        <v>16</v>
      </c>
      <c r="AC163" s="181">
        <f t="shared" si="28"/>
        <v>1</v>
      </c>
      <c r="AD163" s="181">
        <f t="shared" si="26"/>
        <v>107614.5</v>
      </c>
      <c r="AE163" s="181">
        <v>1.3</v>
      </c>
      <c r="AF163" s="181">
        <v>1.3</v>
      </c>
      <c r="AG163" s="101" t="str">
        <f t="shared" si="29"/>
        <v/>
      </c>
      <c r="AH163" s="191">
        <f>0.8+0.2</f>
        <v>1</v>
      </c>
      <c r="AI163" s="69">
        <f t="shared" si="30"/>
        <v>1</v>
      </c>
    </row>
    <row r="164" spans="1:35" s="69" customFormat="1" ht="33" x14ac:dyDescent="0.3">
      <c r="A164" s="130" t="s">
        <v>466</v>
      </c>
      <c r="B164" s="131" t="s">
        <v>467</v>
      </c>
      <c r="C164" s="132" t="s">
        <v>30</v>
      </c>
      <c r="D164" s="133">
        <v>13.2</v>
      </c>
      <c r="E164" s="75"/>
      <c r="F164" s="75"/>
      <c r="G164" s="75"/>
      <c r="H164" s="75" t="s">
        <v>15</v>
      </c>
      <c r="I164" s="75">
        <v>2809.33</v>
      </c>
      <c r="J164" s="75">
        <v>37083.160000000003</v>
      </c>
      <c r="K164" s="137" t="s">
        <v>468</v>
      </c>
      <c r="L164" s="73"/>
      <c r="M164" s="46">
        <v>0</v>
      </c>
      <c r="N164" s="46">
        <v>0</v>
      </c>
      <c r="O164" s="46">
        <v>0</v>
      </c>
      <c r="P164" s="98"/>
      <c r="Q164" s="23" t="s">
        <v>1440</v>
      </c>
      <c r="R164" s="24" t="s">
        <v>467</v>
      </c>
      <c r="S164" s="25" t="s">
        <v>30</v>
      </c>
      <c r="T164" s="26">
        <v>13.2</v>
      </c>
      <c r="U164" s="26">
        <v>13.2</v>
      </c>
      <c r="V164" s="26">
        <f t="shared" si="19"/>
        <v>2809.33</v>
      </c>
      <c r="W164" s="199">
        <f t="shared" si="23"/>
        <v>12.9</v>
      </c>
      <c r="X164" s="127">
        <f t="shared" si="24"/>
        <v>12.9</v>
      </c>
      <c r="Y164" s="127">
        <f t="shared" si="25"/>
        <v>36240.36</v>
      </c>
      <c r="Z164" s="127">
        <f t="shared" si="27"/>
        <v>36240.36</v>
      </c>
      <c r="AA164" s="33" t="s">
        <v>15</v>
      </c>
      <c r="AB164" s="36" t="s">
        <v>16</v>
      </c>
      <c r="AC164" s="181">
        <f t="shared" si="28"/>
        <v>13.2</v>
      </c>
      <c r="AD164" s="181">
        <f t="shared" si="26"/>
        <v>37083.160000000003</v>
      </c>
      <c r="AE164" s="181">
        <v>1.3</v>
      </c>
      <c r="AF164" s="181">
        <v>1.3</v>
      </c>
      <c r="AG164" s="101" t="str">
        <f t="shared" si="29"/>
        <v/>
      </c>
      <c r="AH164" s="191">
        <f>12.9</f>
        <v>12.9</v>
      </c>
      <c r="AI164" s="69">
        <f t="shared" si="30"/>
        <v>13.2</v>
      </c>
    </row>
    <row r="165" spans="1:35" s="69" customFormat="1" ht="39" x14ac:dyDescent="0.3">
      <c r="A165" s="130" t="s">
        <v>469</v>
      </c>
      <c r="B165" s="131" t="s">
        <v>470</v>
      </c>
      <c r="C165" s="132" t="s">
        <v>30</v>
      </c>
      <c r="D165" s="133">
        <v>3</v>
      </c>
      <c r="E165" s="75"/>
      <c r="F165" s="75"/>
      <c r="G165" s="75"/>
      <c r="H165" s="75" t="s">
        <v>15</v>
      </c>
      <c r="I165" s="75">
        <v>2433.89</v>
      </c>
      <c r="J165" s="75">
        <v>7301.67</v>
      </c>
      <c r="K165" s="137" t="s">
        <v>471</v>
      </c>
      <c r="L165" s="73"/>
      <c r="M165" s="46">
        <v>0</v>
      </c>
      <c r="N165" s="46">
        <v>0</v>
      </c>
      <c r="O165" s="46">
        <v>0</v>
      </c>
      <c r="P165" s="98"/>
      <c r="Q165" s="23" t="s">
        <v>1441</v>
      </c>
      <c r="R165" s="24" t="s">
        <v>470</v>
      </c>
      <c r="S165" s="25" t="s">
        <v>30</v>
      </c>
      <c r="T165" s="26">
        <v>3</v>
      </c>
      <c r="U165" s="26">
        <v>3</v>
      </c>
      <c r="V165" s="26">
        <f t="shared" si="19"/>
        <v>2433.89</v>
      </c>
      <c r="W165" s="199">
        <f t="shared" si="23"/>
        <v>2.8</v>
      </c>
      <c r="X165" s="127">
        <f t="shared" si="24"/>
        <v>2.8</v>
      </c>
      <c r="Y165" s="127">
        <f t="shared" si="25"/>
        <v>6814.89</v>
      </c>
      <c r="Z165" s="127">
        <f t="shared" si="27"/>
        <v>6814.89</v>
      </c>
      <c r="AA165" s="33" t="s">
        <v>15</v>
      </c>
      <c r="AB165" s="36" t="s">
        <v>16</v>
      </c>
      <c r="AC165" s="181">
        <f t="shared" si="28"/>
        <v>3</v>
      </c>
      <c r="AD165" s="181">
        <f t="shared" si="26"/>
        <v>7301.67</v>
      </c>
      <c r="AE165" s="181">
        <v>1.3</v>
      </c>
      <c r="AF165" s="181">
        <v>1.3</v>
      </c>
      <c r="AG165" s="101" t="str">
        <f t="shared" si="29"/>
        <v/>
      </c>
      <c r="AH165" s="191">
        <f>2.8</f>
        <v>2.8</v>
      </c>
      <c r="AI165" s="69">
        <f t="shared" si="30"/>
        <v>3</v>
      </c>
    </row>
    <row r="166" spans="1:35" s="69" customFormat="1" ht="39" x14ac:dyDescent="0.3">
      <c r="A166" s="130" t="s">
        <v>472</v>
      </c>
      <c r="B166" s="131" t="s">
        <v>473</v>
      </c>
      <c r="C166" s="132" t="s">
        <v>30</v>
      </c>
      <c r="D166" s="133">
        <v>6</v>
      </c>
      <c r="E166" s="75"/>
      <c r="F166" s="75"/>
      <c r="G166" s="75"/>
      <c r="H166" s="75" t="s">
        <v>15</v>
      </c>
      <c r="I166" s="75">
        <v>2888.64</v>
      </c>
      <c r="J166" s="75">
        <v>17331.84</v>
      </c>
      <c r="K166" s="137" t="s">
        <v>474</v>
      </c>
      <c r="L166" s="73"/>
      <c r="M166" s="46">
        <v>0</v>
      </c>
      <c r="N166" s="46">
        <v>0</v>
      </c>
      <c r="O166" s="46">
        <v>0</v>
      </c>
      <c r="P166" s="98"/>
      <c r="Q166" s="23" t="s">
        <v>1442</v>
      </c>
      <c r="R166" s="24" t="s">
        <v>473</v>
      </c>
      <c r="S166" s="25" t="s">
        <v>30</v>
      </c>
      <c r="T166" s="26">
        <v>6</v>
      </c>
      <c r="U166" s="26">
        <v>6</v>
      </c>
      <c r="V166" s="26">
        <f t="shared" si="19"/>
        <v>2888.64</v>
      </c>
      <c r="W166" s="199">
        <f t="shared" si="23"/>
        <v>5.5</v>
      </c>
      <c r="X166" s="127">
        <f t="shared" si="24"/>
        <v>5.5</v>
      </c>
      <c r="Y166" s="127">
        <f t="shared" si="25"/>
        <v>15887.52</v>
      </c>
      <c r="Z166" s="127">
        <f t="shared" si="27"/>
        <v>15887.52</v>
      </c>
      <c r="AA166" s="33" t="s">
        <v>15</v>
      </c>
      <c r="AB166" s="36" t="s">
        <v>16</v>
      </c>
      <c r="AC166" s="181">
        <f t="shared" si="28"/>
        <v>6</v>
      </c>
      <c r="AD166" s="181">
        <f t="shared" si="26"/>
        <v>17331.84</v>
      </c>
      <c r="AE166" s="181">
        <v>1.3</v>
      </c>
      <c r="AF166" s="181">
        <v>1.3</v>
      </c>
      <c r="AG166" s="101" t="str">
        <f t="shared" si="29"/>
        <v/>
      </c>
      <c r="AH166" s="191">
        <f>5.5</f>
        <v>5.5</v>
      </c>
      <c r="AI166" s="69">
        <f t="shared" si="30"/>
        <v>6</v>
      </c>
    </row>
    <row r="167" spans="1:35" s="69" customFormat="1" ht="58.5" x14ac:dyDescent="0.3">
      <c r="A167" s="130" t="s">
        <v>475</v>
      </c>
      <c r="B167" s="131" t="s">
        <v>476</v>
      </c>
      <c r="C167" s="132" t="s">
        <v>14</v>
      </c>
      <c r="D167" s="133">
        <v>1</v>
      </c>
      <c r="E167" s="75"/>
      <c r="F167" s="75"/>
      <c r="G167" s="75"/>
      <c r="H167" s="75" t="s">
        <v>15</v>
      </c>
      <c r="I167" s="75">
        <v>430876.81</v>
      </c>
      <c r="J167" s="75">
        <v>430876.81</v>
      </c>
      <c r="K167" s="137" t="s">
        <v>477</v>
      </c>
      <c r="L167" s="73"/>
      <c r="M167" s="46">
        <v>1</v>
      </c>
      <c r="N167" s="46">
        <v>0</v>
      </c>
      <c r="O167" s="46">
        <v>430876.81</v>
      </c>
      <c r="P167" s="98"/>
      <c r="Q167" s="23" t="s">
        <v>1443</v>
      </c>
      <c r="R167" s="24" t="s">
        <v>476</v>
      </c>
      <c r="S167" s="25" t="s">
        <v>14</v>
      </c>
      <c r="T167" s="26">
        <v>1</v>
      </c>
      <c r="U167" s="26">
        <v>1</v>
      </c>
      <c r="V167" s="26">
        <f t="shared" ref="V167:V176" si="31">I167</f>
        <v>430876.81</v>
      </c>
      <c r="W167" s="127">
        <f t="shared" si="23"/>
        <v>0</v>
      </c>
      <c r="X167" s="127">
        <f t="shared" si="24"/>
        <v>1</v>
      </c>
      <c r="Y167" s="127">
        <f t="shared" si="25"/>
        <v>0</v>
      </c>
      <c r="Z167" s="127">
        <f t="shared" si="27"/>
        <v>430876.81</v>
      </c>
      <c r="AA167" s="33" t="s">
        <v>15</v>
      </c>
      <c r="AB167" s="36" t="s">
        <v>16</v>
      </c>
      <c r="AC167" s="181">
        <f t="shared" si="28"/>
        <v>1</v>
      </c>
      <c r="AD167" s="181">
        <f t="shared" si="26"/>
        <v>430876.81</v>
      </c>
      <c r="AE167" s="181">
        <v>1.3</v>
      </c>
      <c r="AF167" s="181">
        <v>1.3</v>
      </c>
      <c r="AG167" s="101" t="str">
        <f t="shared" si="29"/>
        <v/>
      </c>
      <c r="AH167" s="194">
        <v>1</v>
      </c>
      <c r="AI167" s="69">
        <f t="shared" si="30"/>
        <v>1</v>
      </c>
    </row>
    <row r="168" spans="1:35" s="69" customFormat="1" ht="39" x14ac:dyDescent="0.3">
      <c r="A168" s="130" t="s">
        <v>478</v>
      </c>
      <c r="B168" s="131" t="s">
        <v>479</v>
      </c>
      <c r="C168" s="132" t="s">
        <v>81</v>
      </c>
      <c r="D168" s="133">
        <v>1</v>
      </c>
      <c r="E168" s="75"/>
      <c r="F168" s="75"/>
      <c r="G168" s="75"/>
      <c r="H168" s="75" t="s">
        <v>15</v>
      </c>
      <c r="I168" s="75">
        <v>29563.21</v>
      </c>
      <c r="J168" s="75">
        <v>29563.21</v>
      </c>
      <c r="K168" s="137" t="s">
        <v>480</v>
      </c>
      <c r="L168" s="73"/>
      <c r="M168" s="46">
        <v>1</v>
      </c>
      <c r="N168" s="46">
        <v>0</v>
      </c>
      <c r="O168" s="46">
        <v>29563.21</v>
      </c>
      <c r="P168" s="98"/>
      <c r="Q168" s="23" t="s">
        <v>1444</v>
      </c>
      <c r="R168" s="24" t="s">
        <v>479</v>
      </c>
      <c r="S168" s="25" t="s">
        <v>81</v>
      </c>
      <c r="T168" s="26">
        <v>1</v>
      </c>
      <c r="U168" s="26">
        <v>1</v>
      </c>
      <c r="V168" s="26">
        <f t="shared" si="31"/>
        <v>29563.21</v>
      </c>
      <c r="W168" s="127">
        <f t="shared" si="23"/>
        <v>0</v>
      </c>
      <c r="X168" s="127">
        <f t="shared" si="24"/>
        <v>1</v>
      </c>
      <c r="Y168" s="127">
        <f t="shared" si="25"/>
        <v>0</v>
      </c>
      <c r="Z168" s="127">
        <f t="shared" si="27"/>
        <v>29563.21</v>
      </c>
      <c r="AA168" s="33" t="s">
        <v>15</v>
      </c>
      <c r="AB168" s="36" t="s">
        <v>16</v>
      </c>
      <c r="AC168" s="181">
        <f t="shared" si="28"/>
        <v>1</v>
      </c>
      <c r="AD168" s="181">
        <f t="shared" si="26"/>
        <v>29563.21</v>
      </c>
      <c r="AE168" s="181">
        <v>1.3</v>
      </c>
      <c r="AF168" s="181">
        <v>1.3</v>
      </c>
      <c r="AG168" s="101" t="str">
        <f t="shared" si="29"/>
        <v/>
      </c>
      <c r="AH168" s="194">
        <v>1</v>
      </c>
      <c r="AI168" s="69">
        <f t="shared" si="30"/>
        <v>1</v>
      </c>
    </row>
    <row r="169" spans="1:35" s="69" customFormat="1" ht="33" x14ac:dyDescent="0.3">
      <c r="A169" s="130" t="s">
        <v>481</v>
      </c>
      <c r="B169" s="131" t="s">
        <v>482</v>
      </c>
      <c r="C169" s="132" t="s">
        <v>81</v>
      </c>
      <c r="D169" s="133">
        <v>1</v>
      </c>
      <c r="E169" s="75"/>
      <c r="F169" s="75"/>
      <c r="G169" s="75"/>
      <c r="H169" s="75" t="s">
        <v>15</v>
      </c>
      <c r="I169" s="75">
        <v>1061152.75</v>
      </c>
      <c r="J169" s="75">
        <v>1061152.75</v>
      </c>
      <c r="K169" s="137" t="s">
        <v>483</v>
      </c>
      <c r="L169" s="73"/>
      <c r="M169" s="46">
        <v>1</v>
      </c>
      <c r="N169" s="46">
        <v>0</v>
      </c>
      <c r="O169" s="46">
        <v>1061152.75</v>
      </c>
      <c r="P169" s="98"/>
      <c r="Q169" s="23" t="s">
        <v>1408</v>
      </c>
      <c r="R169" s="24" t="s">
        <v>482</v>
      </c>
      <c r="S169" s="25" t="s">
        <v>81</v>
      </c>
      <c r="T169" s="26">
        <v>1</v>
      </c>
      <c r="U169" s="26">
        <v>1</v>
      </c>
      <c r="V169" s="26">
        <f t="shared" si="31"/>
        <v>1061152.75</v>
      </c>
      <c r="W169" s="127">
        <f t="shared" si="23"/>
        <v>0</v>
      </c>
      <c r="X169" s="127">
        <f t="shared" si="24"/>
        <v>1</v>
      </c>
      <c r="Y169" s="127">
        <f t="shared" si="25"/>
        <v>0</v>
      </c>
      <c r="Z169" s="127">
        <f t="shared" si="27"/>
        <v>1061152.75</v>
      </c>
      <c r="AA169" s="33" t="s">
        <v>15</v>
      </c>
      <c r="AB169" s="36" t="s">
        <v>16</v>
      </c>
      <c r="AC169" s="181">
        <f t="shared" si="28"/>
        <v>1</v>
      </c>
      <c r="AD169" s="181">
        <f t="shared" si="26"/>
        <v>1061152.75</v>
      </c>
      <c r="AE169" s="181">
        <v>1.3</v>
      </c>
      <c r="AF169" s="181">
        <v>1.3</v>
      </c>
      <c r="AG169" s="101" t="str">
        <f t="shared" si="29"/>
        <v/>
      </c>
      <c r="AH169" s="194">
        <v>1</v>
      </c>
      <c r="AI169" s="69">
        <f t="shared" si="30"/>
        <v>1</v>
      </c>
    </row>
    <row r="170" spans="1:35" s="69" customFormat="1" ht="33" x14ac:dyDescent="0.3">
      <c r="A170" s="130" t="s">
        <v>484</v>
      </c>
      <c r="B170" s="131" t="s">
        <v>485</v>
      </c>
      <c r="C170" s="132" t="s">
        <v>81</v>
      </c>
      <c r="D170" s="133">
        <v>1</v>
      </c>
      <c r="E170" s="75"/>
      <c r="F170" s="75"/>
      <c r="G170" s="75"/>
      <c r="H170" s="75" t="s">
        <v>15</v>
      </c>
      <c r="I170" s="75">
        <v>2431046.88</v>
      </c>
      <c r="J170" s="75">
        <v>2431046.88</v>
      </c>
      <c r="K170" s="137" t="s">
        <v>486</v>
      </c>
      <c r="L170" s="73"/>
      <c r="M170" s="46">
        <v>1</v>
      </c>
      <c r="N170" s="46">
        <v>0</v>
      </c>
      <c r="O170" s="46">
        <v>2431046.88</v>
      </c>
      <c r="P170" s="98"/>
      <c r="Q170" s="23" t="s">
        <v>1409</v>
      </c>
      <c r="R170" s="24" t="s">
        <v>485</v>
      </c>
      <c r="S170" s="25" t="s">
        <v>81</v>
      </c>
      <c r="T170" s="26">
        <v>1</v>
      </c>
      <c r="U170" s="26">
        <v>1</v>
      </c>
      <c r="V170" s="26">
        <f t="shared" si="31"/>
        <v>2431046.88</v>
      </c>
      <c r="W170" s="127">
        <f t="shared" si="23"/>
        <v>0</v>
      </c>
      <c r="X170" s="127">
        <f t="shared" si="24"/>
        <v>1</v>
      </c>
      <c r="Y170" s="127">
        <f t="shared" si="25"/>
        <v>0</v>
      </c>
      <c r="Z170" s="127">
        <f t="shared" si="27"/>
        <v>2431046.88</v>
      </c>
      <c r="AA170" s="33" t="s">
        <v>15</v>
      </c>
      <c r="AB170" s="36" t="s">
        <v>16</v>
      </c>
      <c r="AC170" s="181">
        <f t="shared" si="28"/>
        <v>1</v>
      </c>
      <c r="AD170" s="181">
        <f t="shared" si="26"/>
        <v>2431046.88</v>
      </c>
      <c r="AE170" s="181">
        <v>1.3</v>
      </c>
      <c r="AF170" s="181">
        <v>1.3</v>
      </c>
      <c r="AG170" s="101" t="str">
        <f t="shared" si="29"/>
        <v/>
      </c>
      <c r="AH170" s="194">
        <v>1</v>
      </c>
      <c r="AI170" s="69">
        <f t="shared" si="30"/>
        <v>1</v>
      </c>
    </row>
    <row r="171" spans="1:35" s="69" customFormat="1" ht="33" x14ac:dyDescent="0.3">
      <c r="A171" s="134" t="s">
        <v>1312</v>
      </c>
      <c r="B171" s="135" t="s">
        <v>1313</v>
      </c>
      <c r="C171" s="204" t="s">
        <v>14</v>
      </c>
      <c r="D171" s="133"/>
      <c r="E171" s="59">
        <v>1</v>
      </c>
      <c r="F171" s="77"/>
      <c r="G171" s="77"/>
      <c r="H171" s="77" t="s">
        <v>15</v>
      </c>
      <c r="I171" s="77">
        <v>87950.62</v>
      </c>
      <c r="J171" s="59">
        <v>87950.62</v>
      </c>
      <c r="K171" s="92"/>
      <c r="L171" s="73"/>
      <c r="M171" s="46">
        <v>1</v>
      </c>
      <c r="N171" s="46">
        <v>0</v>
      </c>
      <c r="O171" s="46">
        <v>87950.62</v>
      </c>
      <c r="P171" s="98"/>
      <c r="Q171" s="23" t="s">
        <v>1410</v>
      </c>
      <c r="R171" s="24" t="s">
        <v>1495</v>
      </c>
      <c r="S171" s="25" t="s">
        <v>14</v>
      </c>
      <c r="T171" s="26">
        <v>0</v>
      </c>
      <c r="U171" s="26">
        <v>1</v>
      </c>
      <c r="V171" s="26">
        <f t="shared" si="31"/>
        <v>87950.62</v>
      </c>
      <c r="W171" s="127">
        <f t="shared" si="23"/>
        <v>0</v>
      </c>
      <c r="X171" s="127">
        <f t="shared" si="24"/>
        <v>1</v>
      </c>
      <c r="Y171" s="127">
        <f t="shared" si="25"/>
        <v>0</v>
      </c>
      <c r="Z171" s="127">
        <f t="shared" si="27"/>
        <v>87950.62</v>
      </c>
      <c r="AA171" s="27"/>
      <c r="AB171" s="36" t="s">
        <v>16</v>
      </c>
      <c r="AC171" s="181">
        <f t="shared" si="28"/>
        <v>1</v>
      </c>
      <c r="AD171" s="181">
        <f t="shared" si="26"/>
        <v>87950.62</v>
      </c>
      <c r="AE171" s="181">
        <v>1.3</v>
      </c>
      <c r="AF171" s="181">
        <v>1.3</v>
      </c>
      <c r="AG171" s="101" t="str">
        <f t="shared" si="29"/>
        <v/>
      </c>
      <c r="AH171" s="190">
        <v>1</v>
      </c>
      <c r="AI171" s="69">
        <f t="shared" si="30"/>
        <v>1</v>
      </c>
    </row>
    <row r="172" spans="1:35" s="69" customFormat="1" ht="33" x14ac:dyDescent="0.3">
      <c r="A172" s="134" t="s">
        <v>1314</v>
      </c>
      <c r="B172" s="135" t="s">
        <v>1315</v>
      </c>
      <c r="C172" s="204" t="s">
        <v>30</v>
      </c>
      <c r="D172" s="133"/>
      <c r="E172" s="59">
        <v>24</v>
      </c>
      <c r="F172" s="77"/>
      <c r="G172" s="77"/>
      <c r="H172" s="77" t="s">
        <v>15</v>
      </c>
      <c r="I172" s="77">
        <v>4257.93</v>
      </c>
      <c r="J172" s="59">
        <v>102190.32</v>
      </c>
      <c r="K172" s="92"/>
      <c r="L172" s="73"/>
      <c r="M172" s="46">
        <v>24</v>
      </c>
      <c r="N172" s="46">
        <v>0</v>
      </c>
      <c r="O172" s="46">
        <v>102190.32</v>
      </c>
      <c r="P172" s="98"/>
      <c r="Q172" s="23" t="s">
        <v>1411</v>
      </c>
      <c r="R172" s="24" t="s">
        <v>1496</v>
      </c>
      <c r="S172" s="25" t="s">
        <v>30</v>
      </c>
      <c r="T172" s="26">
        <v>0</v>
      </c>
      <c r="U172" s="26">
        <v>24</v>
      </c>
      <c r="V172" s="26">
        <f t="shared" si="31"/>
        <v>4257.93</v>
      </c>
      <c r="W172" s="127">
        <f t="shared" si="23"/>
        <v>0</v>
      </c>
      <c r="X172" s="127">
        <f t="shared" si="24"/>
        <v>24</v>
      </c>
      <c r="Y172" s="127">
        <f t="shared" si="25"/>
        <v>0</v>
      </c>
      <c r="Z172" s="127">
        <f t="shared" si="27"/>
        <v>102190.32</v>
      </c>
      <c r="AA172" s="27"/>
      <c r="AB172" s="36" t="s">
        <v>16</v>
      </c>
      <c r="AC172" s="181">
        <f t="shared" si="28"/>
        <v>24</v>
      </c>
      <c r="AD172" s="181">
        <f t="shared" si="26"/>
        <v>102190.32</v>
      </c>
      <c r="AE172" s="181">
        <v>1.3</v>
      </c>
      <c r="AF172" s="181">
        <v>1.3</v>
      </c>
      <c r="AG172" s="101" t="str">
        <f t="shared" si="29"/>
        <v/>
      </c>
      <c r="AH172" s="190">
        <v>24</v>
      </c>
      <c r="AI172" s="69">
        <f t="shared" si="30"/>
        <v>24</v>
      </c>
    </row>
    <row r="173" spans="1:35" s="69" customFormat="1" ht="33" x14ac:dyDescent="0.3">
      <c r="A173" s="134" t="s">
        <v>1316</v>
      </c>
      <c r="B173" s="135" t="s">
        <v>1317</v>
      </c>
      <c r="C173" s="204" t="s">
        <v>513</v>
      </c>
      <c r="D173" s="133"/>
      <c r="E173" s="59">
        <v>1</v>
      </c>
      <c r="F173" s="77"/>
      <c r="G173" s="205"/>
      <c r="H173" s="205" t="s">
        <v>15</v>
      </c>
      <c r="I173" s="77">
        <v>200835.11</v>
      </c>
      <c r="J173" s="59">
        <v>200835.11</v>
      </c>
      <c r="K173" s="92"/>
      <c r="L173" s="73"/>
      <c r="M173" s="46">
        <v>1</v>
      </c>
      <c r="N173" s="46">
        <v>0</v>
      </c>
      <c r="O173" s="46">
        <v>200835.11</v>
      </c>
      <c r="P173" s="98"/>
      <c r="Q173" s="23" t="s">
        <v>1445</v>
      </c>
      <c r="R173" s="24" t="s">
        <v>1497</v>
      </c>
      <c r="S173" s="25" t="s">
        <v>513</v>
      </c>
      <c r="T173" s="26">
        <v>0</v>
      </c>
      <c r="U173" s="26">
        <v>1</v>
      </c>
      <c r="V173" s="26">
        <f t="shared" si="31"/>
        <v>200835.11</v>
      </c>
      <c r="W173" s="127">
        <f t="shared" si="23"/>
        <v>0</v>
      </c>
      <c r="X173" s="127">
        <f t="shared" si="24"/>
        <v>1</v>
      </c>
      <c r="Y173" s="127">
        <f t="shared" si="25"/>
        <v>0</v>
      </c>
      <c r="Z173" s="127">
        <f t="shared" si="27"/>
        <v>200835.11</v>
      </c>
      <c r="AA173" s="27"/>
      <c r="AB173" s="36" t="s">
        <v>16</v>
      </c>
      <c r="AC173" s="181">
        <f t="shared" si="28"/>
        <v>1</v>
      </c>
      <c r="AD173" s="181">
        <f t="shared" si="26"/>
        <v>200835.11</v>
      </c>
      <c r="AE173" s="181">
        <v>1.3</v>
      </c>
      <c r="AF173" s="181">
        <v>1.3</v>
      </c>
      <c r="AG173" s="101" t="str">
        <f t="shared" si="29"/>
        <v/>
      </c>
      <c r="AH173" s="190">
        <v>1</v>
      </c>
      <c r="AI173" s="69">
        <f t="shared" si="30"/>
        <v>1</v>
      </c>
    </row>
    <row r="174" spans="1:35" ht="33" x14ac:dyDescent="0.3">
      <c r="A174" s="134" t="s">
        <v>1318</v>
      </c>
      <c r="B174" s="135" t="s">
        <v>1319</v>
      </c>
      <c r="C174" s="204" t="s">
        <v>412</v>
      </c>
      <c r="D174" s="133"/>
      <c r="E174" s="78"/>
      <c r="F174" s="116">
        <v>150400</v>
      </c>
      <c r="G174" s="116"/>
      <c r="H174" s="116">
        <v>154935.98000000001</v>
      </c>
      <c r="I174" s="167">
        <v>16.21</v>
      </c>
      <c r="J174" s="62">
        <v>2511512.2400000002</v>
      </c>
      <c r="K174" s="93"/>
      <c r="M174" s="46">
        <v>150350.57999999999</v>
      </c>
      <c r="N174" s="46">
        <v>0</v>
      </c>
      <c r="O174" s="46">
        <v>2437182.9</v>
      </c>
      <c r="P174" s="98"/>
      <c r="Q174" s="23" t="s">
        <v>1383</v>
      </c>
      <c r="R174" s="24" t="s">
        <v>1319</v>
      </c>
      <c r="S174" s="25" t="s">
        <v>412</v>
      </c>
      <c r="T174" s="26">
        <v>0</v>
      </c>
      <c r="U174" s="26">
        <v>154935.98000000001</v>
      </c>
      <c r="V174" s="26">
        <f t="shared" si="31"/>
        <v>16.21</v>
      </c>
      <c r="W174" s="127">
        <f t="shared" si="23"/>
        <v>0</v>
      </c>
      <c r="X174" s="127">
        <f t="shared" si="24"/>
        <v>150350.57999999999</v>
      </c>
      <c r="Y174" s="127">
        <f t="shared" si="25"/>
        <v>0</v>
      </c>
      <c r="Z174" s="127">
        <f t="shared" si="27"/>
        <v>2437182.9</v>
      </c>
      <c r="AA174" s="27"/>
      <c r="AB174" s="36" t="s">
        <v>16</v>
      </c>
      <c r="AC174" s="181">
        <f t="shared" si="28"/>
        <v>154935.98000000001</v>
      </c>
      <c r="AD174" s="181">
        <f t="shared" si="26"/>
        <v>2511512.2400000002</v>
      </c>
      <c r="AE174" s="181">
        <v>1.3</v>
      </c>
      <c r="AF174" s="181">
        <v>1.3</v>
      </c>
      <c r="AG174" s="101" t="str">
        <f t="shared" si="29"/>
        <v/>
      </c>
      <c r="AH174" s="194">
        <v>150350.57999999999</v>
      </c>
      <c r="AI174" s="69">
        <f t="shared" si="30"/>
        <v>150400</v>
      </c>
    </row>
    <row r="175" spans="1:35" ht="33" x14ac:dyDescent="0.3">
      <c r="A175" s="134" t="s">
        <v>1320</v>
      </c>
      <c r="B175" s="135" t="s">
        <v>1321</v>
      </c>
      <c r="C175" s="204" t="s">
        <v>325</v>
      </c>
      <c r="D175" s="133"/>
      <c r="E175" s="78"/>
      <c r="F175" s="62">
        <v>18</v>
      </c>
      <c r="G175" s="62"/>
      <c r="H175" s="62" t="s">
        <v>15</v>
      </c>
      <c r="I175" s="167">
        <v>79588.210000000006</v>
      </c>
      <c r="J175" s="62">
        <v>1432587.78</v>
      </c>
      <c r="K175" s="93"/>
      <c r="M175" s="46">
        <v>18</v>
      </c>
      <c r="N175" s="46">
        <v>0</v>
      </c>
      <c r="O175" s="46">
        <v>1432587.78</v>
      </c>
      <c r="P175" s="98"/>
      <c r="Q175" s="23" t="s">
        <v>1384</v>
      </c>
      <c r="R175" s="24" t="s">
        <v>1321</v>
      </c>
      <c r="S175" s="25" t="s">
        <v>325</v>
      </c>
      <c r="T175" s="26">
        <v>0</v>
      </c>
      <c r="U175" s="26">
        <v>18</v>
      </c>
      <c r="V175" s="26">
        <f t="shared" si="31"/>
        <v>79588.210000000006</v>
      </c>
      <c r="W175" s="127">
        <f t="shared" si="23"/>
        <v>0</v>
      </c>
      <c r="X175" s="127">
        <f t="shared" si="24"/>
        <v>18</v>
      </c>
      <c r="Y175" s="127">
        <f t="shared" si="25"/>
        <v>0</v>
      </c>
      <c r="Z175" s="127">
        <f t="shared" si="27"/>
        <v>1432587.78</v>
      </c>
      <c r="AA175" s="27"/>
      <c r="AB175" s="36" t="s">
        <v>16</v>
      </c>
      <c r="AC175" s="181">
        <f t="shared" si="28"/>
        <v>18</v>
      </c>
      <c r="AD175" s="181">
        <f t="shared" si="26"/>
        <v>1432587.78</v>
      </c>
      <c r="AE175" s="181">
        <v>1.3</v>
      </c>
      <c r="AF175" s="181">
        <v>1.3</v>
      </c>
      <c r="AG175" s="101" t="str">
        <f t="shared" si="29"/>
        <v/>
      </c>
      <c r="AH175" s="194">
        <v>18</v>
      </c>
      <c r="AI175" s="69">
        <f t="shared" si="30"/>
        <v>18</v>
      </c>
    </row>
    <row r="176" spans="1:35" ht="39" x14ac:dyDescent="0.3">
      <c r="A176" s="134" t="s">
        <v>1322</v>
      </c>
      <c r="B176" s="135" t="s">
        <v>1323</v>
      </c>
      <c r="C176" s="204" t="s">
        <v>325</v>
      </c>
      <c r="D176" s="133"/>
      <c r="E176" s="78"/>
      <c r="F176" s="62">
        <v>2</v>
      </c>
      <c r="G176" s="62"/>
      <c r="H176" s="62">
        <v>3</v>
      </c>
      <c r="I176" s="167">
        <v>120491.2</v>
      </c>
      <c r="J176" s="62">
        <v>361473.6</v>
      </c>
      <c r="K176" s="93"/>
      <c r="M176" s="46">
        <v>3</v>
      </c>
      <c r="N176" s="46">
        <v>0</v>
      </c>
      <c r="O176" s="46">
        <v>361473.6</v>
      </c>
      <c r="P176" s="98"/>
      <c r="Q176" s="23" t="s">
        <v>1385</v>
      </c>
      <c r="R176" s="24" t="s">
        <v>1323</v>
      </c>
      <c r="S176" s="25" t="s">
        <v>325</v>
      </c>
      <c r="T176" s="26">
        <v>0</v>
      </c>
      <c r="U176" s="26">
        <v>3</v>
      </c>
      <c r="V176" s="26">
        <f t="shared" si="31"/>
        <v>120491.2</v>
      </c>
      <c r="W176" s="127">
        <f t="shared" si="23"/>
        <v>0</v>
      </c>
      <c r="X176" s="127">
        <f t="shared" si="24"/>
        <v>3</v>
      </c>
      <c r="Y176" s="127">
        <f t="shared" si="25"/>
        <v>0</v>
      </c>
      <c r="Z176" s="127">
        <f t="shared" si="27"/>
        <v>361473.6</v>
      </c>
      <c r="AA176" s="27"/>
      <c r="AB176" s="36" t="s">
        <v>16</v>
      </c>
      <c r="AC176" s="181">
        <f t="shared" si="28"/>
        <v>3</v>
      </c>
      <c r="AD176" s="181">
        <f t="shared" si="26"/>
        <v>361473.6</v>
      </c>
      <c r="AE176" s="181">
        <v>1.3</v>
      </c>
      <c r="AF176" s="181">
        <v>1.3</v>
      </c>
      <c r="AG176" s="101" t="str">
        <f t="shared" si="29"/>
        <v>超估</v>
      </c>
      <c r="AH176" s="194">
        <v>3</v>
      </c>
      <c r="AI176" s="69">
        <f t="shared" si="30"/>
        <v>2</v>
      </c>
    </row>
    <row r="177" spans="1:35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4"/>
      <c r="H177" s="84" t="s">
        <v>15</v>
      </c>
      <c r="I177" s="82"/>
      <c r="J177" s="82">
        <v>25916103.719999999</v>
      </c>
      <c r="K177" s="94" t="s">
        <v>15</v>
      </c>
      <c r="L177" s="73"/>
      <c r="M177" s="45">
        <v>1</v>
      </c>
      <c r="N177" s="45">
        <v>0</v>
      </c>
      <c r="O177" s="45">
        <v>22861804.32</v>
      </c>
      <c r="P177" s="98"/>
      <c r="Q177" s="18" t="s">
        <v>1386</v>
      </c>
      <c r="R177" s="19" t="s">
        <v>488</v>
      </c>
      <c r="S177" s="20" t="s">
        <v>14</v>
      </c>
      <c r="T177" s="21">
        <v>1</v>
      </c>
      <c r="U177" s="21"/>
      <c r="V177" s="21">
        <f>SUMIFS(AD:AD,AE:AE,AE177)</f>
        <v>25916103.719999999</v>
      </c>
      <c r="W177" s="21">
        <f t="shared" ref="W177:X177" si="32">IF(Y177=0,0,1)</f>
        <v>1</v>
      </c>
      <c r="X177" s="21">
        <f t="shared" si="32"/>
        <v>1</v>
      </c>
      <c r="Y177" s="21">
        <f>SUMIFS(Y:Y,AF:AF,AE177)</f>
        <v>735448.55999999982</v>
      </c>
      <c r="Z177" s="21">
        <f>SUMIFS(Z:Z,AF:AF,AE177)</f>
        <v>23597252.879999999</v>
      </c>
      <c r="AA177" s="22" t="s">
        <v>15</v>
      </c>
      <c r="AB177" s="43" t="s">
        <v>16</v>
      </c>
      <c r="AC177" s="181">
        <f t="shared" si="28"/>
        <v>1</v>
      </c>
      <c r="AD177" s="184"/>
      <c r="AE177" s="184">
        <v>1.4</v>
      </c>
      <c r="AF177" s="184"/>
      <c r="AG177" s="101" t="str">
        <f t="shared" si="29"/>
        <v/>
      </c>
      <c r="AH177" s="190">
        <v>1</v>
      </c>
      <c r="AI177" s="69">
        <f t="shared" si="30"/>
        <v>1</v>
      </c>
    </row>
    <row r="178" spans="1:35" s="69" customFormat="1" ht="39" x14ac:dyDescent="0.3">
      <c r="A178" s="130" t="s">
        <v>489</v>
      </c>
      <c r="B178" s="131" t="s">
        <v>392</v>
      </c>
      <c r="C178" s="132" t="s">
        <v>23</v>
      </c>
      <c r="D178" s="133">
        <v>20</v>
      </c>
      <c r="E178" s="75"/>
      <c r="F178" s="75"/>
      <c r="G178" s="75"/>
      <c r="H178" s="75" t="s">
        <v>15</v>
      </c>
      <c r="I178" s="75">
        <v>3115.13</v>
      </c>
      <c r="J178" s="75">
        <v>62302.6</v>
      </c>
      <c r="K178" s="91" t="s">
        <v>114</v>
      </c>
      <c r="L178" s="73"/>
      <c r="M178" s="46">
        <v>19.45</v>
      </c>
      <c r="N178" s="46">
        <v>0</v>
      </c>
      <c r="O178" s="46">
        <v>60589.279999999999</v>
      </c>
      <c r="P178" s="98"/>
      <c r="Q178" s="23" t="s">
        <v>1421</v>
      </c>
      <c r="R178" s="24" t="s">
        <v>392</v>
      </c>
      <c r="S178" s="25" t="s">
        <v>23</v>
      </c>
      <c r="T178" s="26">
        <v>20</v>
      </c>
      <c r="U178" s="26">
        <v>20</v>
      </c>
      <c r="V178" s="26">
        <f t="shared" ref="V178:V201" si="33">I178</f>
        <v>3115.13</v>
      </c>
      <c r="W178" s="127">
        <f t="shared" ref="W178:W201" si="34">AH178-M178</f>
        <v>0</v>
      </c>
      <c r="X178" s="127">
        <f t="shared" ref="X178:X241" si="35">W178+M178</f>
        <v>19.45</v>
      </c>
      <c r="Y178" s="127">
        <f t="shared" ref="Y178:Y201" si="36">Z178-O178</f>
        <v>0</v>
      </c>
      <c r="Z178" s="127">
        <f t="shared" si="27"/>
        <v>60589.279999999999</v>
      </c>
      <c r="AA178" s="33" t="s">
        <v>15</v>
      </c>
      <c r="AB178" s="36" t="s">
        <v>16</v>
      </c>
      <c r="AC178" s="181">
        <f t="shared" si="28"/>
        <v>20</v>
      </c>
      <c r="AD178" s="181">
        <f t="shared" ref="AD178:AD219" si="37">ROUND(V178*AC178,2)</f>
        <v>62302.6</v>
      </c>
      <c r="AE178" s="181">
        <v>1.4</v>
      </c>
      <c r="AF178" s="181">
        <v>1.4</v>
      </c>
      <c r="AG178" s="101" t="str">
        <f t="shared" si="29"/>
        <v/>
      </c>
      <c r="AH178" s="194">
        <v>19.45</v>
      </c>
      <c r="AI178" s="69">
        <f t="shared" si="30"/>
        <v>20</v>
      </c>
    </row>
    <row r="179" spans="1:35" s="69" customFormat="1" ht="39" x14ac:dyDescent="0.3">
      <c r="A179" s="130" t="s">
        <v>490</v>
      </c>
      <c r="B179" s="131" t="s">
        <v>116</v>
      </c>
      <c r="C179" s="132" t="s">
        <v>23</v>
      </c>
      <c r="D179" s="133">
        <v>354</v>
      </c>
      <c r="E179" s="75"/>
      <c r="F179" s="75"/>
      <c r="G179" s="75"/>
      <c r="H179" s="75" t="s">
        <v>15</v>
      </c>
      <c r="I179" s="75">
        <v>3321.13</v>
      </c>
      <c r="J179" s="75">
        <v>1175680.02</v>
      </c>
      <c r="K179" s="91" t="s">
        <v>117</v>
      </c>
      <c r="L179" s="73"/>
      <c r="M179" s="46">
        <v>326.60000000000002</v>
      </c>
      <c r="N179" s="46">
        <v>0</v>
      </c>
      <c r="O179" s="46">
        <v>1084681.06</v>
      </c>
      <c r="P179" s="98"/>
      <c r="Q179" s="23" t="s">
        <v>1426</v>
      </c>
      <c r="R179" s="24" t="s">
        <v>116</v>
      </c>
      <c r="S179" s="25" t="s">
        <v>23</v>
      </c>
      <c r="T179" s="26">
        <v>354</v>
      </c>
      <c r="U179" s="26">
        <v>354</v>
      </c>
      <c r="V179" s="26">
        <f t="shared" si="33"/>
        <v>3321.13</v>
      </c>
      <c r="W179" s="26">
        <f t="shared" si="34"/>
        <v>0</v>
      </c>
      <c r="X179" s="127">
        <f t="shared" si="35"/>
        <v>326.60000000000002</v>
      </c>
      <c r="Y179" s="127">
        <f t="shared" si="36"/>
        <v>0</v>
      </c>
      <c r="Z179" s="127">
        <f t="shared" si="27"/>
        <v>1084681.06</v>
      </c>
      <c r="AA179" s="33" t="s">
        <v>15</v>
      </c>
      <c r="AB179" s="36" t="s">
        <v>16</v>
      </c>
      <c r="AC179" s="181">
        <f t="shared" si="28"/>
        <v>354</v>
      </c>
      <c r="AD179" s="181">
        <f t="shared" si="37"/>
        <v>1175680.02</v>
      </c>
      <c r="AE179" s="181">
        <v>1.4</v>
      </c>
      <c r="AF179" s="181">
        <v>1.4</v>
      </c>
      <c r="AG179" s="101" t="str">
        <f t="shared" si="29"/>
        <v/>
      </c>
      <c r="AH179" s="194">
        <v>326.60000000000002</v>
      </c>
      <c r="AI179" s="69">
        <f t="shared" si="30"/>
        <v>354</v>
      </c>
    </row>
    <row r="180" spans="1:35" s="69" customFormat="1" ht="39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203"/>
      <c r="F180" s="203"/>
      <c r="G180" s="203"/>
      <c r="H180" s="203" t="s">
        <v>15</v>
      </c>
      <c r="I180" s="75">
        <v>3643.73</v>
      </c>
      <c r="J180" s="75">
        <v>0</v>
      </c>
      <c r="K180" s="91" t="s">
        <v>396</v>
      </c>
      <c r="L180" s="73"/>
      <c r="M180" s="46">
        <v>0</v>
      </c>
      <c r="N180" s="46">
        <v>0</v>
      </c>
      <c r="O180" s="46">
        <v>0</v>
      </c>
      <c r="P180" s="98"/>
      <c r="Q180" s="23" t="s">
        <v>1402</v>
      </c>
      <c r="R180" s="24" t="s">
        <v>395</v>
      </c>
      <c r="S180" s="25" t="s">
        <v>23</v>
      </c>
      <c r="T180" s="26">
        <v>690</v>
      </c>
      <c r="U180" s="26">
        <v>0</v>
      </c>
      <c r="V180" s="26">
        <f t="shared" si="33"/>
        <v>3643.73</v>
      </c>
      <c r="W180" s="127">
        <f t="shared" si="34"/>
        <v>0</v>
      </c>
      <c r="X180" s="127">
        <f t="shared" si="35"/>
        <v>0</v>
      </c>
      <c r="Y180" s="127">
        <f t="shared" si="36"/>
        <v>0</v>
      </c>
      <c r="Z180" s="127">
        <f t="shared" si="27"/>
        <v>0</v>
      </c>
      <c r="AA180" s="33" t="s">
        <v>15</v>
      </c>
      <c r="AB180" s="36" t="s">
        <v>16</v>
      </c>
      <c r="AC180" s="181">
        <f t="shared" si="28"/>
        <v>0</v>
      </c>
      <c r="AD180" s="181">
        <f t="shared" si="37"/>
        <v>0</v>
      </c>
      <c r="AE180" s="181">
        <v>1.4</v>
      </c>
      <c r="AF180" s="181">
        <v>1.4</v>
      </c>
      <c r="AG180" s="101" t="str">
        <f t="shared" si="29"/>
        <v/>
      </c>
      <c r="AH180" s="194">
        <v>0</v>
      </c>
      <c r="AI180" s="69">
        <f t="shared" si="30"/>
        <v>690</v>
      </c>
    </row>
    <row r="181" spans="1:35" s="69" customFormat="1" ht="33" customHeight="1" x14ac:dyDescent="0.3">
      <c r="A181" s="130" t="s">
        <v>492</v>
      </c>
      <c r="B181" s="131" t="s">
        <v>493</v>
      </c>
      <c r="C181" s="132" t="s">
        <v>23</v>
      </c>
      <c r="D181" s="133">
        <v>1065</v>
      </c>
      <c r="E181" s="203"/>
      <c r="F181" s="203"/>
      <c r="G181" s="203"/>
      <c r="H181" s="203">
        <v>1900.83</v>
      </c>
      <c r="I181" s="75">
        <v>200</v>
      </c>
      <c r="J181" s="75">
        <v>380166</v>
      </c>
      <c r="K181" s="91" t="s">
        <v>494</v>
      </c>
      <c r="L181" s="73"/>
      <c r="M181" s="46">
        <v>1815.71</v>
      </c>
      <c r="N181" s="46">
        <v>0</v>
      </c>
      <c r="O181" s="46">
        <v>363142</v>
      </c>
      <c r="P181" s="98"/>
      <c r="Q181" s="23" t="s">
        <v>1373</v>
      </c>
      <c r="R181" s="24" t="s">
        <v>493</v>
      </c>
      <c r="S181" s="25" t="s">
        <v>23</v>
      </c>
      <c r="T181" s="26">
        <v>1065</v>
      </c>
      <c r="U181" s="26">
        <v>1900.83</v>
      </c>
      <c r="V181" s="26">
        <f t="shared" si="33"/>
        <v>200</v>
      </c>
      <c r="W181" s="26">
        <f>AH181-M181</f>
        <v>0</v>
      </c>
      <c r="X181" s="127">
        <f t="shared" si="35"/>
        <v>1815.71</v>
      </c>
      <c r="Y181" s="127">
        <f t="shared" si="36"/>
        <v>0</v>
      </c>
      <c r="Z181" s="127">
        <f t="shared" si="27"/>
        <v>363142</v>
      </c>
      <c r="AA181" s="33" t="s">
        <v>15</v>
      </c>
      <c r="AB181" s="36" t="s">
        <v>16</v>
      </c>
      <c r="AC181" s="181">
        <f t="shared" si="28"/>
        <v>1900.83</v>
      </c>
      <c r="AD181" s="181">
        <f t="shared" si="37"/>
        <v>380166</v>
      </c>
      <c r="AE181" s="181">
        <v>1.4</v>
      </c>
      <c r="AF181" s="181">
        <v>1.4</v>
      </c>
      <c r="AG181" s="101" t="str">
        <f t="shared" si="29"/>
        <v>超估</v>
      </c>
      <c r="AH181" s="194">
        <v>1815.71</v>
      </c>
      <c r="AI181" s="69">
        <f t="shared" si="30"/>
        <v>1065</v>
      </c>
    </row>
    <row r="182" spans="1:35" s="69" customFormat="1" ht="57.75" x14ac:dyDescent="0.3">
      <c r="A182" s="130" t="s">
        <v>495</v>
      </c>
      <c r="B182" s="131" t="s">
        <v>405</v>
      </c>
      <c r="C182" s="132" t="s">
        <v>50</v>
      </c>
      <c r="D182" s="133">
        <v>1229</v>
      </c>
      <c r="E182" s="203"/>
      <c r="F182" s="203"/>
      <c r="G182" s="203"/>
      <c r="H182" s="203">
        <v>1437.49</v>
      </c>
      <c r="I182" s="75">
        <v>982.98</v>
      </c>
      <c r="J182" s="75">
        <v>1413023.92</v>
      </c>
      <c r="K182" s="91" t="s">
        <v>406</v>
      </c>
      <c r="L182" s="73"/>
      <c r="M182" s="46">
        <v>1349</v>
      </c>
      <c r="N182" s="46">
        <v>0</v>
      </c>
      <c r="O182" s="46">
        <v>1326040.02</v>
      </c>
      <c r="P182" s="98"/>
      <c r="Q182" s="23" t="s">
        <v>1393</v>
      </c>
      <c r="R182" s="24" t="s">
        <v>405</v>
      </c>
      <c r="S182" s="25" t="s">
        <v>50</v>
      </c>
      <c r="T182" s="26">
        <v>1229</v>
      </c>
      <c r="U182" s="26">
        <v>1437.49</v>
      </c>
      <c r="V182" s="26">
        <f t="shared" si="33"/>
        <v>982.98</v>
      </c>
      <c r="W182" s="243">
        <f t="shared" si="34"/>
        <v>86.799999999999955</v>
      </c>
      <c r="X182" s="127">
        <f t="shared" si="35"/>
        <v>1435.8</v>
      </c>
      <c r="Y182" s="127">
        <f t="shared" si="36"/>
        <v>85322.659999999916</v>
      </c>
      <c r="Z182" s="127">
        <f t="shared" si="27"/>
        <v>1411362.68</v>
      </c>
      <c r="AA182" s="33" t="s">
        <v>15</v>
      </c>
      <c r="AB182" s="36" t="s">
        <v>16</v>
      </c>
      <c r="AC182" s="181">
        <f t="shared" si="28"/>
        <v>1437.49</v>
      </c>
      <c r="AD182" s="181">
        <f t="shared" si="37"/>
        <v>1413023.92</v>
      </c>
      <c r="AE182" s="181">
        <v>1.4</v>
      </c>
      <c r="AF182" s="181">
        <v>1.4</v>
      </c>
      <c r="AG182" s="101" t="str">
        <f t="shared" si="29"/>
        <v>超估</v>
      </c>
      <c r="AH182" s="191">
        <f>1349+86.8</f>
        <v>1435.8</v>
      </c>
      <c r="AI182" s="69">
        <f t="shared" si="30"/>
        <v>1229</v>
      </c>
    </row>
    <row r="183" spans="1:35" s="69" customFormat="1" ht="41.25" x14ac:dyDescent="0.3">
      <c r="A183" s="130" t="s">
        <v>496</v>
      </c>
      <c r="B183" s="131" t="s">
        <v>408</v>
      </c>
      <c r="C183" s="132" t="s">
        <v>50</v>
      </c>
      <c r="D183" s="133">
        <v>285</v>
      </c>
      <c r="E183" s="203"/>
      <c r="F183" s="203"/>
      <c r="G183" s="203"/>
      <c r="H183" s="203">
        <v>685.45</v>
      </c>
      <c r="I183" s="75">
        <v>804.79</v>
      </c>
      <c r="J183" s="75">
        <v>551643.31000000006</v>
      </c>
      <c r="K183" s="91" t="s">
        <v>409</v>
      </c>
      <c r="L183" s="73"/>
      <c r="M183" s="46">
        <v>551</v>
      </c>
      <c r="N183" s="46">
        <v>0</v>
      </c>
      <c r="O183" s="46">
        <v>443439.29</v>
      </c>
      <c r="P183" s="98"/>
      <c r="Q183" s="23" t="s">
        <v>1403</v>
      </c>
      <c r="R183" s="24" t="s">
        <v>408</v>
      </c>
      <c r="S183" s="25" t="s">
        <v>50</v>
      </c>
      <c r="T183" s="26">
        <v>285</v>
      </c>
      <c r="U183" s="26">
        <v>685.45</v>
      </c>
      <c r="V183" s="26">
        <f t="shared" si="33"/>
        <v>804.79</v>
      </c>
      <c r="W183" s="243">
        <f t="shared" si="34"/>
        <v>133.20000000000005</v>
      </c>
      <c r="X183" s="209">
        <f t="shared" si="35"/>
        <v>684.2</v>
      </c>
      <c r="Y183" s="127">
        <f t="shared" si="36"/>
        <v>107198.02999999997</v>
      </c>
      <c r="Z183" s="127">
        <f t="shared" si="27"/>
        <v>550637.31999999995</v>
      </c>
      <c r="AA183" s="33" t="s">
        <v>15</v>
      </c>
      <c r="AB183" s="36" t="s">
        <v>16</v>
      </c>
      <c r="AC183" s="181">
        <f t="shared" si="28"/>
        <v>685.45</v>
      </c>
      <c r="AD183" s="181">
        <f t="shared" si="37"/>
        <v>551643.31000000006</v>
      </c>
      <c r="AE183" s="181">
        <v>1.4</v>
      </c>
      <c r="AF183" s="181">
        <v>1.4</v>
      </c>
      <c r="AG183" s="101" t="str">
        <f t="shared" si="29"/>
        <v>超估</v>
      </c>
      <c r="AH183" s="191">
        <f>551+133.2</f>
        <v>684.2</v>
      </c>
      <c r="AI183" s="69">
        <f t="shared" si="30"/>
        <v>285</v>
      </c>
    </row>
    <row r="184" spans="1:35" s="69" customFormat="1" ht="39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203"/>
      <c r="F184" s="203"/>
      <c r="G184" s="203"/>
      <c r="H184" s="203">
        <v>18482.54</v>
      </c>
      <c r="I184" s="75">
        <v>36.4</v>
      </c>
      <c r="J184" s="75">
        <v>672764.46</v>
      </c>
      <c r="K184" s="91" t="s">
        <v>111</v>
      </c>
      <c r="L184" s="73"/>
      <c r="M184" s="46">
        <v>13110.94</v>
      </c>
      <c r="N184" s="46">
        <v>0</v>
      </c>
      <c r="O184" s="46">
        <v>477238.22</v>
      </c>
      <c r="P184" s="98"/>
      <c r="Q184" s="23" t="s">
        <v>1427</v>
      </c>
      <c r="R184" s="24" t="s">
        <v>109</v>
      </c>
      <c r="S184" s="25" t="s">
        <v>110</v>
      </c>
      <c r="T184" s="26">
        <v>13716</v>
      </c>
      <c r="U184" s="26">
        <v>18482.54</v>
      </c>
      <c r="V184" s="26">
        <f t="shared" si="33"/>
        <v>36.4</v>
      </c>
      <c r="W184" s="199">
        <f t="shared" si="34"/>
        <v>5365.0000000000018</v>
      </c>
      <c r="X184" s="127">
        <f t="shared" si="35"/>
        <v>18475.940000000002</v>
      </c>
      <c r="Y184" s="127">
        <f t="shared" si="36"/>
        <v>195286</v>
      </c>
      <c r="Z184" s="127">
        <f t="shared" si="27"/>
        <v>672524.22</v>
      </c>
      <c r="AA184" s="33" t="s">
        <v>15</v>
      </c>
      <c r="AB184" s="36" t="s">
        <v>16</v>
      </c>
      <c r="AC184" s="181">
        <f t="shared" si="28"/>
        <v>18482.54</v>
      </c>
      <c r="AD184" s="181">
        <f t="shared" si="37"/>
        <v>672764.46</v>
      </c>
      <c r="AE184" s="181">
        <v>1.4</v>
      </c>
      <c r="AF184" s="181">
        <v>1.4</v>
      </c>
      <c r="AG184" s="101" t="str">
        <f t="shared" si="29"/>
        <v>超估</v>
      </c>
      <c r="AH184" s="191">
        <f>13110.94+5365</f>
        <v>18475.940000000002</v>
      </c>
      <c r="AI184" s="69">
        <f t="shared" si="30"/>
        <v>13716</v>
      </c>
    </row>
    <row r="185" spans="1:35" s="69" customFormat="1" ht="39" x14ac:dyDescent="0.3">
      <c r="A185" s="130" t="s">
        <v>498</v>
      </c>
      <c r="B185" s="131" t="s">
        <v>399</v>
      </c>
      <c r="C185" s="132" t="s">
        <v>110</v>
      </c>
      <c r="D185" s="133">
        <v>13810</v>
      </c>
      <c r="E185" s="203"/>
      <c r="F185" s="203"/>
      <c r="G185" s="203"/>
      <c r="H185" s="203">
        <v>36577.19</v>
      </c>
      <c r="I185" s="75">
        <v>38.71</v>
      </c>
      <c r="J185" s="75">
        <v>1415903.02</v>
      </c>
      <c r="K185" s="91" t="s">
        <v>400</v>
      </c>
      <c r="L185" s="73"/>
      <c r="M185" s="46">
        <v>28173</v>
      </c>
      <c r="N185" s="46">
        <v>0</v>
      </c>
      <c r="O185" s="46">
        <v>1090576.83</v>
      </c>
      <c r="P185" s="98"/>
      <c r="Q185" s="23" t="s">
        <v>1428</v>
      </c>
      <c r="R185" s="24" t="s">
        <v>399</v>
      </c>
      <c r="S185" s="25" t="s">
        <v>110</v>
      </c>
      <c r="T185" s="26">
        <v>13810</v>
      </c>
      <c r="U185" s="26">
        <v>36577.19</v>
      </c>
      <c r="V185" s="26">
        <f t="shared" si="33"/>
        <v>38.71</v>
      </c>
      <c r="W185" s="243">
        <f t="shared" si="34"/>
        <v>8310.8000000000029</v>
      </c>
      <c r="X185" s="127">
        <f t="shared" si="35"/>
        <v>36483.800000000003</v>
      </c>
      <c r="Y185" s="127">
        <f t="shared" si="36"/>
        <v>321711.06999999983</v>
      </c>
      <c r="Z185" s="127">
        <f t="shared" si="27"/>
        <v>1412287.9</v>
      </c>
      <c r="AA185" s="33" t="s">
        <v>15</v>
      </c>
      <c r="AB185" s="36" t="s">
        <v>16</v>
      </c>
      <c r="AC185" s="181">
        <f t="shared" si="28"/>
        <v>36577.19</v>
      </c>
      <c r="AD185" s="181">
        <f t="shared" si="37"/>
        <v>1415903.02</v>
      </c>
      <c r="AE185" s="181">
        <v>1.4</v>
      </c>
      <c r="AF185" s="181">
        <v>1.4</v>
      </c>
      <c r="AG185" s="101" t="str">
        <f t="shared" si="29"/>
        <v>超估</v>
      </c>
      <c r="AH185" s="191">
        <f>28173+8310.8</f>
        <v>36483.800000000003</v>
      </c>
      <c r="AI185" s="69">
        <f t="shared" si="30"/>
        <v>13810</v>
      </c>
    </row>
    <row r="186" spans="1:35" s="69" customFormat="1" ht="33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203"/>
      <c r="F186" s="203">
        <v>754.47</v>
      </c>
      <c r="G186" s="203"/>
      <c r="H186" s="203">
        <v>762.55</v>
      </c>
      <c r="I186" s="75">
        <v>2510.79</v>
      </c>
      <c r="J186" s="75">
        <v>1914602.91</v>
      </c>
      <c r="K186" s="91" t="s">
        <v>501</v>
      </c>
      <c r="L186" s="73"/>
      <c r="M186" s="46">
        <v>754.3</v>
      </c>
      <c r="N186" s="46">
        <v>0</v>
      </c>
      <c r="O186" s="46">
        <v>1893888.9</v>
      </c>
      <c r="P186" s="98"/>
      <c r="Q186" s="23" t="s">
        <v>1387</v>
      </c>
      <c r="R186" s="24" t="s">
        <v>500</v>
      </c>
      <c r="S186" s="25" t="s">
        <v>50</v>
      </c>
      <c r="T186" s="26">
        <v>699</v>
      </c>
      <c r="U186" s="26">
        <v>762.55</v>
      </c>
      <c r="V186" s="26">
        <f t="shared" si="33"/>
        <v>2510.79</v>
      </c>
      <c r="W186" s="26">
        <f t="shared" si="34"/>
        <v>0</v>
      </c>
      <c r="X186" s="127">
        <f t="shared" si="35"/>
        <v>754.3</v>
      </c>
      <c r="Y186" s="127">
        <f t="shared" si="36"/>
        <v>0</v>
      </c>
      <c r="Z186" s="127">
        <f t="shared" si="27"/>
        <v>1893888.9</v>
      </c>
      <c r="AA186" s="27"/>
      <c r="AB186" s="36" t="s">
        <v>16</v>
      </c>
      <c r="AC186" s="181">
        <f t="shared" si="28"/>
        <v>762.55</v>
      </c>
      <c r="AD186" s="181">
        <f t="shared" si="37"/>
        <v>1914602.91</v>
      </c>
      <c r="AE186" s="181">
        <v>1.4</v>
      </c>
      <c r="AF186" s="181">
        <v>1.4</v>
      </c>
      <c r="AG186" s="101" t="str">
        <f t="shared" si="29"/>
        <v/>
      </c>
      <c r="AH186" s="194">
        <v>754.3</v>
      </c>
      <c r="AI186" s="69">
        <f t="shared" si="30"/>
        <v>754.47</v>
      </c>
    </row>
    <row r="187" spans="1:35" s="69" customFormat="1" ht="39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203"/>
      <c r="F187" s="203"/>
      <c r="G187" s="203"/>
      <c r="H187" s="203">
        <v>318.56</v>
      </c>
      <c r="I187" s="75">
        <v>3298.06</v>
      </c>
      <c r="J187" s="75">
        <v>1050629.99</v>
      </c>
      <c r="K187" s="91" t="s">
        <v>504</v>
      </c>
      <c r="L187" s="73"/>
      <c r="M187" s="46">
        <v>304.60000000000002</v>
      </c>
      <c r="N187" s="46">
        <v>0</v>
      </c>
      <c r="O187" s="46">
        <v>1004589.08</v>
      </c>
      <c r="P187" s="98"/>
      <c r="Q187" s="23" t="s">
        <v>1405</v>
      </c>
      <c r="R187" s="24" t="s">
        <v>503</v>
      </c>
      <c r="S187" s="25" t="s">
        <v>103</v>
      </c>
      <c r="T187" s="26">
        <v>275</v>
      </c>
      <c r="U187" s="26">
        <v>318.56</v>
      </c>
      <c r="V187" s="26">
        <f t="shared" si="33"/>
        <v>3298.06</v>
      </c>
      <c r="W187" s="26">
        <f t="shared" si="34"/>
        <v>0</v>
      </c>
      <c r="X187" s="127">
        <f t="shared" si="35"/>
        <v>304.60000000000002</v>
      </c>
      <c r="Y187" s="127">
        <f t="shared" si="36"/>
        <v>0</v>
      </c>
      <c r="Z187" s="127">
        <f t="shared" si="27"/>
        <v>1004589.08</v>
      </c>
      <c r="AA187" s="33"/>
      <c r="AB187" s="36" t="s">
        <v>16</v>
      </c>
      <c r="AC187" s="181">
        <f t="shared" si="28"/>
        <v>318.56</v>
      </c>
      <c r="AD187" s="181">
        <f t="shared" si="37"/>
        <v>1050629.99</v>
      </c>
      <c r="AE187" s="181">
        <v>1.4</v>
      </c>
      <c r="AF187" s="181">
        <v>1.4</v>
      </c>
      <c r="AG187" s="101" t="str">
        <f t="shared" si="29"/>
        <v>超估</v>
      </c>
      <c r="AH187" s="194">
        <v>304.60000000000002</v>
      </c>
      <c r="AI187" s="69">
        <f t="shared" si="30"/>
        <v>275</v>
      </c>
    </row>
    <row r="188" spans="1:35" s="69" customFormat="1" ht="39" x14ac:dyDescent="0.3">
      <c r="A188" s="130" t="s">
        <v>505</v>
      </c>
      <c r="B188" s="131" t="s">
        <v>506</v>
      </c>
      <c r="C188" s="132" t="s">
        <v>50</v>
      </c>
      <c r="D188" s="133">
        <v>203</v>
      </c>
      <c r="E188" s="75"/>
      <c r="F188" s="75"/>
      <c r="G188" s="75"/>
      <c r="H188" s="75">
        <v>418.05</v>
      </c>
      <c r="I188" s="75">
        <v>2952.19</v>
      </c>
      <c r="J188" s="75">
        <v>1234163.03</v>
      </c>
      <c r="K188" s="91" t="s">
        <v>507</v>
      </c>
      <c r="L188" s="73"/>
      <c r="M188" s="46">
        <v>392.5</v>
      </c>
      <c r="N188" s="46">
        <v>0</v>
      </c>
      <c r="O188" s="46">
        <v>1158734.58</v>
      </c>
      <c r="P188" s="98"/>
      <c r="Q188" s="23" t="s">
        <v>1406</v>
      </c>
      <c r="R188" s="24" t="s">
        <v>506</v>
      </c>
      <c r="S188" s="25" t="s">
        <v>50</v>
      </c>
      <c r="T188" s="26">
        <v>203</v>
      </c>
      <c r="U188" s="26">
        <v>418.05</v>
      </c>
      <c r="V188" s="26">
        <f t="shared" si="33"/>
        <v>2952.19</v>
      </c>
      <c r="W188" s="26">
        <f t="shared" si="34"/>
        <v>0</v>
      </c>
      <c r="X188" s="127">
        <f t="shared" si="35"/>
        <v>392.5</v>
      </c>
      <c r="Y188" s="127">
        <f t="shared" si="36"/>
        <v>0</v>
      </c>
      <c r="Z188" s="127">
        <f t="shared" si="27"/>
        <v>1158734.58</v>
      </c>
      <c r="AA188" s="33" t="s">
        <v>15</v>
      </c>
      <c r="AB188" s="36" t="s">
        <v>16</v>
      </c>
      <c r="AC188" s="181">
        <f t="shared" si="28"/>
        <v>418.05</v>
      </c>
      <c r="AD188" s="181">
        <f t="shared" si="37"/>
        <v>1234163.03</v>
      </c>
      <c r="AE188" s="181">
        <v>1.4</v>
      </c>
      <c r="AF188" s="181">
        <v>1.4</v>
      </c>
      <c r="AG188" s="101" t="str">
        <f t="shared" si="29"/>
        <v>超估</v>
      </c>
      <c r="AH188" s="194">
        <v>392.5</v>
      </c>
      <c r="AI188" s="69">
        <f t="shared" si="30"/>
        <v>203</v>
      </c>
    </row>
    <row r="189" spans="1:35" s="69" customFormat="1" ht="33" x14ac:dyDescent="0.3">
      <c r="A189" s="130" t="s">
        <v>508</v>
      </c>
      <c r="B189" s="131" t="s">
        <v>509</v>
      </c>
      <c r="C189" s="132" t="s">
        <v>50</v>
      </c>
      <c r="D189" s="133">
        <v>405</v>
      </c>
      <c r="E189" s="75"/>
      <c r="F189" s="75"/>
      <c r="G189" s="75"/>
      <c r="H189" s="75" t="s">
        <v>15</v>
      </c>
      <c r="I189" s="75">
        <v>1454.57</v>
      </c>
      <c r="J189" s="75">
        <v>589100.85</v>
      </c>
      <c r="K189" s="91" t="s">
        <v>510</v>
      </c>
      <c r="L189" s="73"/>
      <c r="M189" s="46">
        <v>405</v>
      </c>
      <c r="N189" s="46">
        <v>0</v>
      </c>
      <c r="O189" s="46">
        <v>589100.85</v>
      </c>
      <c r="P189" s="98"/>
      <c r="Q189" s="23" t="s">
        <v>1414</v>
      </c>
      <c r="R189" s="24" t="s">
        <v>509</v>
      </c>
      <c r="S189" s="25" t="s">
        <v>50</v>
      </c>
      <c r="T189" s="26">
        <v>405</v>
      </c>
      <c r="U189" s="26">
        <v>405</v>
      </c>
      <c r="V189" s="26">
        <f t="shared" si="33"/>
        <v>1454.57</v>
      </c>
      <c r="W189" s="127">
        <f t="shared" si="34"/>
        <v>0</v>
      </c>
      <c r="X189" s="127">
        <f t="shared" si="35"/>
        <v>405</v>
      </c>
      <c r="Y189" s="127">
        <f t="shared" si="36"/>
        <v>0</v>
      </c>
      <c r="Z189" s="127">
        <f t="shared" si="27"/>
        <v>589100.85</v>
      </c>
      <c r="AA189" s="33" t="s">
        <v>15</v>
      </c>
      <c r="AB189" s="36" t="s">
        <v>16</v>
      </c>
      <c r="AC189" s="181">
        <f t="shared" si="28"/>
        <v>405</v>
      </c>
      <c r="AD189" s="181">
        <f t="shared" si="37"/>
        <v>589100.85</v>
      </c>
      <c r="AE189" s="181">
        <v>1.4</v>
      </c>
      <c r="AF189" s="181">
        <v>1.4</v>
      </c>
      <c r="AG189" s="101" t="str">
        <f t="shared" si="29"/>
        <v/>
      </c>
      <c r="AH189" s="194">
        <v>405</v>
      </c>
      <c r="AI189" s="69">
        <f t="shared" si="30"/>
        <v>405</v>
      </c>
    </row>
    <row r="190" spans="1:35" s="69" customFormat="1" ht="58.5" x14ac:dyDescent="0.3">
      <c r="A190" s="130" t="s">
        <v>511</v>
      </c>
      <c r="B190" s="131" t="s">
        <v>512</v>
      </c>
      <c r="C190" s="132" t="s">
        <v>513</v>
      </c>
      <c r="D190" s="133">
        <v>372</v>
      </c>
      <c r="E190" s="75"/>
      <c r="F190" s="75"/>
      <c r="G190" s="75"/>
      <c r="H190" s="75" t="s">
        <v>15</v>
      </c>
      <c r="I190" s="75">
        <v>435</v>
      </c>
      <c r="J190" s="75">
        <v>161820</v>
      </c>
      <c r="K190" s="91" t="s">
        <v>514</v>
      </c>
      <c r="L190" s="73"/>
      <c r="M190" s="46">
        <v>292</v>
      </c>
      <c r="N190" s="46">
        <v>0</v>
      </c>
      <c r="O190" s="46">
        <v>127020</v>
      </c>
      <c r="P190" s="98"/>
      <c r="Q190" s="23" t="s">
        <v>1429</v>
      </c>
      <c r="R190" s="24" t="s">
        <v>512</v>
      </c>
      <c r="S190" s="25" t="s">
        <v>513</v>
      </c>
      <c r="T190" s="26">
        <v>372</v>
      </c>
      <c r="U190" s="26">
        <v>372</v>
      </c>
      <c r="V190" s="26">
        <f t="shared" si="33"/>
        <v>435</v>
      </c>
      <c r="W190" s="127">
        <f t="shared" si="34"/>
        <v>0</v>
      </c>
      <c r="X190" s="127">
        <f t="shared" si="35"/>
        <v>292</v>
      </c>
      <c r="Y190" s="127">
        <f t="shared" si="36"/>
        <v>0</v>
      </c>
      <c r="Z190" s="127">
        <f t="shared" si="27"/>
        <v>127020</v>
      </c>
      <c r="AA190" s="33" t="s">
        <v>15</v>
      </c>
      <c r="AB190" s="36" t="s">
        <v>16</v>
      </c>
      <c r="AC190" s="181">
        <f t="shared" si="28"/>
        <v>372</v>
      </c>
      <c r="AD190" s="181">
        <f t="shared" si="37"/>
        <v>161820</v>
      </c>
      <c r="AE190" s="181">
        <v>1.4</v>
      </c>
      <c r="AF190" s="181">
        <v>1.4</v>
      </c>
      <c r="AG190" s="101" t="str">
        <f t="shared" si="29"/>
        <v/>
      </c>
      <c r="AH190" s="194">
        <v>292</v>
      </c>
      <c r="AI190" s="69">
        <f t="shared" si="30"/>
        <v>372</v>
      </c>
    </row>
    <row r="191" spans="1:35" s="69" customFormat="1" ht="33" x14ac:dyDescent="0.3">
      <c r="A191" s="130" t="s">
        <v>515</v>
      </c>
      <c r="B191" s="131" t="s">
        <v>516</v>
      </c>
      <c r="C191" s="132" t="s">
        <v>50</v>
      </c>
      <c r="D191" s="133">
        <v>1984</v>
      </c>
      <c r="E191" s="75"/>
      <c r="F191" s="75"/>
      <c r="G191" s="75"/>
      <c r="H191" s="75" t="s">
        <v>15</v>
      </c>
      <c r="I191" s="75">
        <v>885.8</v>
      </c>
      <c r="J191" s="75">
        <v>1757427.2</v>
      </c>
      <c r="K191" s="91" t="s">
        <v>517</v>
      </c>
      <c r="L191" s="73"/>
      <c r="M191" s="46">
        <v>1796.5</v>
      </c>
      <c r="N191" s="46">
        <v>0</v>
      </c>
      <c r="O191" s="46">
        <v>1591339.7</v>
      </c>
      <c r="P191" s="98"/>
      <c r="Q191" s="23" t="s">
        <v>1430</v>
      </c>
      <c r="R191" s="24" t="s">
        <v>516</v>
      </c>
      <c r="S191" s="25" t="s">
        <v>50</v>
      </c>
      <c r="T191" s="26">
        <v>1984</v>
      </c>
      <c r="U191" s="26">
        <v>1984</v>
      </c>
      <c r="V191" s="26">
        <f t="shared" si="33"/>
        <v>885.8</v>
      </c>
      <c r="W191" s="127">
        <f t="shared" si="34"/>
        <v>0</v>
      </c>
      <c r="X191" s="127">
        <f t="shared" si="35"/>
        <v>1796.5</v>
      </c>
      <c r="Y191" s="127">
        <f t="shared" si="36"/>
        <v>0</v>
      </c>
      <c r="Z191" s="127">
        <f t="shared" si="27"/>
        <v>1591339.7</v>
      </c>
      <c r="AA191" s="33" t="s">
        <v>15</v>
      </c>
      <c r="AB191" s="36" t="s">
        <v>16</v>
      </c>
      <c r="AC191" s="181">
        <f t="shared" si="28"/>
        <v>1984</v>
      </c>
      <c r="AD191" s="181">
        <f t="shared" si="37"/>
        <v>1757427.2</v>
      </c>
      <c r="AE191" s="181">
        <v>1.4</v>
      </c>
      <c r="AF191" s="181">
        <v>1.4</v>
      </c>
      <c r="AG191" s="101" t="str">
        <f t="shared" si="29"/>
        <v/>
      </c>
      <c r="AH191" s="190">
        <v>1796.5</v>
      </c>
      <c r="AI191" s="69">
        <f t="shared" si="30"/>
        <v>1984</v>
      </c>
    </row>
    <row r="192" spans="1:35" s="69" customFormat="1" ht="33" x14ac:dyDescent="0.3">
      <c r="A192" s="130" t="s">
        <v>518</v>
      </c>
      <c r="B192" s="131" t="s">
        <v>189</v>
      </c>
      <c r="C192" s="132" t="s">
        <v>30</v>
      </c>
      <c r="D192" s="133">
        <v>45</v>
      </c>
      <c r="E192" s="75"/>
      <c r="F192" s="75"/>
      <c r="G192" s="75"/>
      <c r="H192" s="75" t="s">
        <v>15</v>
      </c>
      <c r="I192" s="75">
        <v>138.84</v>
      </c>
      <c r="J192" s="75">
        <v>6247.8</v>
      </c>
      <c r="K192" s="91" t="s">
        <v>190</v>
      </c>
      <c r="L192" s="73"/>
      <c r="M192" s="46">
        <v>36.96</v>
      </c>
      <c r="N192" s="46">
        <v>0</v>
      </c>
      <c r="O192" s="46">
        <v>5131.53</v>
      </c>
      <c r="P192" s="98"/>
      <c r="Q192" s="23" t="s">
        <v>1431</v>
      </c>
      <c r="R192" s="24" t="s">
        <v>189</v>
      </c>
      <c r="S192" s="25" t="s">
        <v>30</v>
      </c>
      <c r="T192" s="26">
        <v>45</v>
      </c>
      <c r="U192" s="26">
        <v>45</v>
      </c>
      <c r="V192" s="26">
        <f t="shared" si="33"/>
        <v>138.84</v>
      </c>
      <c r="W192" s="127">
        <f t="shared" si="34"/>
        <v>0</v>
      </c>
      <c r="X192" s="127">
        <f t="shared" si="35"/>
        <v>36.96</v>
      </c>
      <c r="Y192" s="127">
        <f t="shared" si="36"/>
        <v>0</v>
      </c>
      <c r="Z192" s="127">
        <f t="shared" si="27"/>
        <v>5131.53</v>
      </c>
      <c r="AA192" s="33" t="s">
        <v>15</v>
      </c>
      <c r="AB192" s="36" t="s">
        <v>16</v>
      </c>
      <c r="AC192" s="181">
        <f t="shared" si="28"/>
        <v>45</v>
      </c>
      <c r="AD192" s="181">
        <f t="shared" si="37"/>
        <v>6247.8</v>
      </c>
      <c r="AE192" s="181">
        <v>1.4</v>
      </c>
      <c r="AF192" s="181">
        <v>1.4</v>
      </c>
      <c r="AG192" s="101" t="str">
        <f t="shared" si="29"/>
        <v/>
      </c>
      <c r="AH192" s="194">
        <v>36.96</v>
      </c>
      <c r="AI192" s="69">
        <f t="shared" si="30"/>
        <v>45</v>
      </c>
    </row>
    <row r="193" spans="1:38" s="69" customFormat="1" ht="33" x14ac:dyDescent="0.3">
      <c r="A193" s="130" t="s">
        <v>519</v>
      </c>
      <c r="B193" s="131" t="s">
        <v>520</v>
      </c>
      <c r="C193" s="132" t="s">
        <v>30</v>
      </c>
      <c r="D193" s="133">
        <v>62</v>
      </c>
      <c r="E193" s="75"/>
      <c r="F193" s="75"/>
      <c r="G193" s="75"/>
      <c r="H193" s="76" t="s">
        <v>15</v>
      </c>
      <c r="I193" s="75">
        <v>326.3</v>
      </c>
      <c r="J193" s="75">
        <v>20230.599999999999</v>
      </c>
      <c r="K193" s="91" t="s">
        <v>521</v>
      </c>
      <c r="L193" s="73"/>
      <c r="M193" s="46">
        <v>59</v>
      </c>
      <c r="N193" s="46">
        <v>0</v>
      </c>
      <c r="O193" s="46">
        <v>19251.7</v>
      </c>
      <c r="P193" s="98"/>
      <c r="Q193" s="23" t="s">
        <v>1395</v>
      </c>
      <c r="R193" s="24" t="s">
        <v>520</v>
      </c>
      <c r="S193" s="25" t="s">
        <v>30</v>
      </c>
      <c r="T193" s="26">
        <v>62</v>
      </c>
      <c r="U193" s="26">
        <v>62</v>
      </c>
      <c r="V193" s="26">
        <f t="shared" si="33"/>
        <v>326.3</v>
      </c>
      <c r="W193" s="127">
        <f t="shared" si="34"/>
        <v>0</v>
      </c>
      <c r="X193" s="127">
        <f t="shared" si="35"/>
        <v>59</v>
      </c>
      <c r="Y193" s="127">
        <f t="shared" si="36"/>
        <v>0</v>
      </c>
      <c r="Z193" s="127">
        <f t="shared" si="27"/>
        <v>19251.7</v>
      </c>
      <c r="AA193" s="33" t="s">
        <v>15</v>
      </c>
      <c r="AB193" s="36" t="s">
        <v>16</v>
      </c>
      <c r="AC193" s="181">
        <f t="shared" si="28"/>
        <v>62</v>
      </c>
      <c r="AD193" s="181">
        <f t="shared" si="37"/>
        <v>20230.599999999999</v>
      </c>
      <c r="AE193" s="181">
        <v>1.4</v>
      </c>
      <c r="AF193" s="181">
        <v>1.4</v>
      </c>
      <c r="AG193" s="101" t="str">
        <f t="shared" si="29"/>
        <v/>
      </c>
      <c r="AH193" s="194">
        <v>59</v>
      </c>
      <c r="AI193" s="69">
        <f t="shared" si="30"/>
        <v>62</v>
      </c>
    </row>
    <row r="194" spans="1:38" s="69" customFormat="1" ht="39" x14ac:dyDescent="0.3">
      <c r="A194" s="55" t="s">
        <v>522</v>
      </c>
      <c r="B194" s="53" t="s">
        <v>424</v>
      </c>
      <c r="C194" s="54" t="s">
        <v>50</v>
      </c>
      <c r="D194" s="75">
        <v>275</v>
      </c>
      <c r="E194" s="75"/>
      <c r="F194" s="75"/>
      <c r="G194" s="161"/>
      <c r="H194" s="158">
        <v>2016.9</v>
      </c>
      <c r="I194" s="166">
        <v>692.16</v>
      </c>
      <c r="J194" s="75">
        <v>1396017.5</v>
      </c>
      <c r="K194" s="91" t="s">
        <v>425</v>
      </c>
      <c r="L194" s="73"/>
      <c r="M194" s="46">
        <v>275</v>
      </c>
      <c r="N194" s="46">
        <v>0</v>
      </c>
      <c r="O194" s="46">
        <v>190344</v>
      </c>
      <c r="P194" s="98"/>
      <c r="Q194" s="23" t="s">
        <v>1432</v>
      </c>
      <c r="R194" s="24" t="s">
        <v>424</v>
      </c>
      <c r="S194" s="25" t="s">
        <v>50</v>
      </c>
      <c r="T194" s="26">
        <v>275</v>
      </c>
      <c r="U194" s="26">
        <v>2016.9</v>
      </c>
      <c r="V194" s="26">
        <f t="shared" si="33"/>
        <v>692.16</v>
      </c>
      <c r="W194" s="128">
        <f t="shared" si="34"/>
        <v>0</v>
      </c>
      <c r="X194" s="26">
        <f t="shared" si="35"/>
        <v>275</v>
      </c>
      <c r="Y194" s="26">
        <f t="shared" si="36"/>
        <v>0</v>
      </c>
      <c r="Z194" s="26">
        <f t="shared" si="27"/>
        <v>190344</v>
      </c>
      <c r="AA194" s="33" t="s">
        <v>15</v>
      </c>
      <c r="AB194" s="36" t="s">
        <v>16</v>
      </c>
      <c r="AC194" s="181">
        <f t="shared" si="28"/>
        <v>2016.9</v>
      </c>
      <c r="AD194" s="181">
        <f t="shared" si="37"/>
        <v>1396017.5</v>
      </c>
      <c r="AE194" s="181">
        <v>1.4</v>
      </c>
      <c r="AF194" s="181">
        <v>1.4</v>
      </c>
      <c r="AG194" s="101" t="str">
        <f t="shared" si="29"/>
        <v/>
      </c>
      <c r="AH194" s="191">
        <v>275</v>
      </c>
      <c r="AI194" s="69">
        <f t="shared" si="30"/>
        <v>275</v>
      </c>
    </row>
    <row r="195" spans="1:38" s="69" customFormat="1" ht="41.25" x14ac:dyDescent="0.3">
      <c r="A195" s="130" t="s">
        <v>523</v>
      </c>
      <c r="B195" s="131" t="s">
        <v>524</v>
      </c>
      <c r="C195" s="132" t="s">
        <v>30</v>
      </c>
      <c r="D195" s="133">
        <v>429</v>
      </c>
      <c r="E195" s="75"/>
      <c r="F195" s="75"/>
      <c r="G195" s="161"/>
      <c r="H195" s="158" t="s">
        <v>15</v>
      </c>
      <c r="I195" s="166">
        <v>1707.13</v>
      </c>
      <c r="J195" s="75">
        <v>0</v>
      </c>
      <c r="K195" s="91" t="s">
        <v>525</v>
      </c>
      <c r="L195" s="73"/>
      <c r="M195" s="46">
        <v>0</v>
      </c>
      <c r="N195" s="46">
        <v>0</v>
      </c>
      <c r="O195" s="46">
        <v>0</v>
      </c>
      <c r="P195" s="98"/>
      <c r="Q195" s="23" t="s">
        <v>1433</v>
      </c>
      <c r="R195" s="24" t="s">
        <v>524</v>
      </c>
      <c r="S195" s="25" t="s">
        <v>30</v>
      </c>
      <c r="T195" s="26">
        <v>429</v>
      </c>
      <c r="U195" s="26">
        <v>0</v>
      </c>
      <c r="V195" s="26">
        <f t="shared" si="33"/>
        <v>1707.13</v>
      </c>
      <c r="W195" s="127">
        <f t="shared" si="34"/>
        <v>0</v>
      </c>
      <c r="X195" s="127">
        <f t="shared" si="35"/>
        <v>0</v>
      </c>
      <c r="Y195" s="127">
        <f t="shared" si="36"/>
        <v>0</v>
      </c>
      <c r="Z195" s="127">
        <f t="shared" si="27"/>
        <v>0</v>
      </c>
      <c r="AA195" s="33" t="s">
        <v>15</v>
      </c>
      <c r="AB195" s="36" t="s">
        <v>16</v>
      </c>
      <c r="AC195" s="181">
        <f t="shared" si="28"/>
        <v>0</v>
      </c>
      <c r="AD195" s="181">
        <f t="shared" si="37"/>
        <v>0</v>
      </c>
      <c r="AE195" s="181">
        <v>1.4</v>
      </c>
      <c r="AF195" s="181">
        <v>1.4</v>
      </c>
      <c r="AG195" s="101" t="str">
        <f t="shared" si="29"/>
        <v/>
      </c>
      <c r="AH195" s="190">
        <v>0</v>
      </c>
      <c r="AI195" s="69">
        <f t="shared" si="30"/>
        <v>429</v>
      </c>
    </row>
    <row r="196" spans="1:38" s="69" customFormat="1" ht="39" x14ac:dyDescent="0.3">
      <c r="A196" s="130" t="s">
        <v>526</v>
      </c>
      <c r="B196" s="131" t="s">
        <v>527</v>
      </c>
      <c r="C196" s="132" t="s">
        <v>34</v>
      </c>
      <c r="D196" s="133">
        <v>1597.5</v>
      </c>
      <c r="E196" s="75"/>
      <c r="F196" s="75"/>
      <c r="G196" s="161"/>
      <c r="H196" s="158">
        <v>2059.1999999999998</v>
      </c>
      <c r="I196" s="166">
        <v>49</v>
      </c>
      <c r="J196" s="75">
        <v>100900.8</v>
      </c>
      <c r="K196" s="91" t="s">
        <v>528</v>
      </c>
      <c r="L196" s="73"/>
      <c r="M196" s="46">
        <v>1530</v>
      </c>
      <c r="N196" s="46">
        <v>0</v>
      </c>
      <c r="O196" s="46">
        <v>74970</v>
      </c>
      <c r="P196" s="98"/>
      <c r="Q196" s="23" t="s">
        <v>1382</v>
      </c>
      <c r="R196" s="24" t="s">
        <v>527</v>
      </c>
      <c r="S196" s="25" t="s">
        <v>34</v>
      </c>
      <c r="T196" s="26">
        <v>1597.5</v>
      </c>
      <c r="U196" s="26">
        <v>2059.1999999999998</v>
      </c>
      <c r="V196" s="26">
        <f t="shared" si="33"/>
        <v>49</v>
      </c>
      <c r="W196" s="243">
        <f t="shared" si="34"/>
        <v>529.19999999999982</v>
      </c>
      <c r="X196" s="127">
        <f t="shared" si="35"/>
        <v>2059.1999999999998</v>
      </c>
      <c r="Y196" s="127">
        <f t="shared" si="36"/>
        <v>25930.800000000003</v>
      </c>
      <c r="Z196" s="127">
        <f t="shared" si="27"/>
        <v>100900.8</v>
      </c>
      <c r="AA196" s="33" t="s">
        <v>15</v>
      </c>
      <c r="AB196" s="36" t="s">
        <v>16</v>
      </c>
      <c r="AC196" s="181">
        <f t="shared" si="28"/>
        <v>2059.1999999999998</v>
      </c>
      <c r="AD196" s="181">
        <f t="shared" si="37"/>
        <v>100900.8</v>
      </c>
      <c r="AE196" s="181">
        <v>1.4</v>
      </c>
      <c r="AF196" s="181">
        <v>1.4</v>
      </c>
      <c r="AG196" s="101" t="str">
        <f t="shared" si="29"/>
        <v>超估</v>
      </c>
      <c r="AH196" s="191">
        <f>1530+529.2</f>
        <v>2059.1999999999998</v>
      </c>
      <c r="AI196" s="69">
        <f t="shared" si="30"/>
        <v>1597.5</v>
      </c>
    </row>
    <row r="197" spans="1:38" s="69" customFormat="1" ht="39" x14ac:dyDescent="0.3">
      <c r="A197" s="134" t="s">
        <v>1324</v>
      </c>
      <c r="B197" s="135" t="s">
        <v>1325</v>
      </c>
      <c r="C197" s="204" t="s">
        <v>23</v>
      </c>
      <c r="D197" s="216"/>
      <c r="E197" s="117">
        <v>1362.5</v>
      </c>
      <c r="F197" s="77"/>
      <c r="G197" s="226"/>
      <c r="H197" s="230" t="s">
        <v>15</v>
      </c>
      <c r="I197" s="178">
        <v>926.62</v>
      </c>
      <c r="J197" s="59">
        <v>1262519.75</v>
      </c>
      <c r="K197" s="92"/>
      <c r="L197" s="73"/>
      <c r="M197" s="46">
        <v>1345</v>
      </c>
      <c r="N197" s="46">
        <v>0</v>
      </c>
      <c r="O197" s="46">
        <v>1246303.8999999999</v>
      </c>
      <c r="P197" s="98"/>
      <c r="Q197" s="23" t="s">
        <v>1434</v>
      </c>
      <c r="R197" s="24" t="s">
        <v>1498</v>
      </c>
      <c r="S197" s="25" t="s">
        <v>23</v>
      </c>
      <c r="T197" s="26">
        <v>0</v>
      </c>
      <c r="U197" s="26">
        <v>1362.5</v>
      </c>
      <c r="V197" s="26">
        <f t="shared" si="33"/>
        <v>926.62</v>
      </c>
      <c r="W197" s="127">
        <f t="shared" si="34"/>
        <v>0</v>
      </c>
      <c r="X197" s="127">
        <f t="shared" si="35"/>
        <v>1345</v>
      </c>
      <c r="Y197" s="127">
        <f t="shared" si="36"/>
        <v>0</v>
      </c>
      <c r="Z197" s="127">
        <f t="shared" si="27"/>
        <v>1246303.8999999999</v>
      </c>
      <c r="AA197" s="27"/>
      <c r="AB197" s="36" t="s">
        <v>16</v>
      </c>
      <c r="AC197" s="181">
        <f t="shared" si="28"/>
        <v>1362.5</v>
      </c>
      <c r="AD197" s="181">
        <f t="shared" si="37"/>
        <v>1262519.75</v>
      </c>
      <c r="AE197" s="181">
        <v>1.4</v>
      </c>
      <c r="AF197" s="181">
        <v>1.4</v>
      </c>
      <c r="AG197" s="101" t="str">
        <f t="shared" si="29"/>
        <v/>
      </c>
      <c r="AH197" s="194">
        <v>1345</v>
      </c>
      <c r="AI197" s="69">
        <f t="shared" si="30"/>
        <v>1362.5</v>
      </c>
    </row>
    <row r="198" spans="1:38" ht="39" x14ac:dyDescent="0.3">
      <c r="A198" s="134" t="s">
        <v>1326</v>
      </c>
      <c r="B198" s="135" t="s">
        <v>3136</v>
      </c>
      <c r="C198" s="204" t="s">
        <v>50</v>
      </c>
      <c r="D198" s="216"/>
      <c r="E198" s="78"/>
      <c r="F198" s="62">
        <v>548.70000000000005</v>
      </c>
      <c r="G198" s="163"/>
      <c r="H198" s="62">
        <v>805.73</v>
      </c>
      <c r="I198" s="167">
        <v>3120.78</v>
      </c>
      <c r="J198" s="62">
        <v>2514506.0699999998</v>
      </c>
      <c r="K198" s="93"/>
      <c r="M198" s="46">
        <v>672.3</v>
      </c>
      <c r="N198" s="46">
        <v>0</v>
      </c>
      <c r="O198" s="46">
        <v>2098100.39</v>
      </c>
      <c r="P198" s="98"/>
      <c r="Q198" s="23" t="s">
        <v>1388</v>
      </c>
      <c r="R198" s="24" t="s">
        <v>1327</v>
      </c>
      <c r="S198" s="25" t="s">
        <v>50</v>
      </c>
      <c r="T198" s="26">
        <v>0</v>
      </c>
      <c r="U198" s="26">
        <v>805.73</v>
      </c>
      <c r="V198" s="26">
        <f t="shared" si="33"/>
        <v>3120.78</v>
      </c>
      <c r="W198" s="128">
        <f t="shared" si="34"/>
        <v>0</v>
      </c>
      <c r="X198" s="127">
        <f t="shared" si="35"/>
        <v>672.3</v>
      </c>
      <c r="Y198" s="127">
        <f t="shared" si="36"/>
        <v>0</v>
      </c>
      <c r="Z198" s="127">
        <f>ROUND(V198*X198,2)</f>
        <v>2098100.39</v>
      </c>
      <c r="AA198" s="27"/>
      <c r="AB198" s="36" t="s">
        <v>16</v>
      </c>
      <c r="AC198" s="181">
        <f t="shared" si="28"/>
        <v>805.73</v>
      </c>
      <c r="AD198" s="181">
        <f t="shared" si="37"/>
        <v>2514506.0699999998</v>
      </c>
      <c r="AE198" s="181">
        <v>1.4</v>
      </c>
      <c r="AF198" s="181">
        <v>1.4</v>
      </c>
      <c r="AG198" s="101" t="str">
        <f t="shared" si="29"/>
        <v>超估</v>
      </c>
      <c r="AH198" s="191">
        <v>672.3</v>
      </c>
      <c r="AI198" s="69">
        <f t="shared" si="30"/>
        <v>548.70000000000005</v>
      </c>
    </row>
    <row r="199" spans="1:38" ht="49.5" x14ac:dyDescent="0.3">
      <c r="A199" s="134" t="s">
        <v>1328</v>
      </c>
      <c r="B199" s="139" t="s">
        <v>1329</v>
      </c>
      <c r="C199" s="204" t="s">
        <v>30</v>
      </c>
      <c r="D199" s="216"/>
      <c r="E199" s="78"/>
      <c r="F199" s="62">
        <v>410</v>
      </c>
      <c r="G199" s="163"/>
      <c r="H199" s="62" t="s">
        <v>15</v>
      </c>
      <c r="I199" s="167">
        <v>5733.63</v>
      </c>
      <c r="J199" s="62">
        <v>2350788.2999999998</v>
      </c>
      <c r="K199" s="93"/>
      <c r="M199" s="46">
        <v>410</v>
      </c>
      <c r="N199" s="46">
        <v>0</v>
      </c>
      <c r="O199" s="46">
        <v>2350788.2999999998</v>
      </c>
      <c r="P199" s="98"/>
      <c r="Q199" s="23" t="s">
        <v>1389</v>
      </c>
      <c r="R199" s="24" t="s">
        <v>1329</v>
      </c>
      <c r="S199" s="25" t="s">
        <v>30</v>
      </c>
      <c r="T199" s="26">
        <v>0</v>
      </c>
      <c r="U199" s="26">
        <v>410</v>
      </c>
      <c r="V199" s="26">
        <f t="shared" si="33"/>
        <v>5733.63</v>
      </c>
      <c r="W199" s="127">
        <f t="shared" si="34"/>
        <v>0</v>
      </c>
      <c r="X199" s="127">
        <f t="shared" si="35"/>
        <v>410</v>
      </c>
      <c r="Y199" s="127">
        <f t="shared" si="36"/>
        <v>0</v>
      </c>
      <c r="Z199" s="127">
        <f t="shared" si="27"/>
        <v>2350788.2999999998</v>
      </c>
      <c r="AA199" s="27"/>
      <c r="AB199" s="36" t="s">
        <v>16</v>
      </c>
      <c r="AC199" s="181">
        <f t="shared" si="28"/>
        <v>410</v>
      </c>
      <c r="AD199" s="181">
        <f t="shared" si="37"/>
        <v>2350788.2999999998</v>
      </c>
      <c r="AE199" s="181">
        <v>1.4</v>
      </c>
      <c r="AF199" s="181">
        <v>1.4</v>
      </c>
      <c r="AG199" s="101" t="str">
        <f t="shared" si="29"/>
        <v/>
      </c>
      <c r="AH199" s="190">
        <v>410</v>
      </c>
      <c r="AI199" s="69">
        <f t="shared" si="30"/>
        <v>410</v>
      </c>
    </row>
    <row r="200" spans="1:38" ht="58.5" x14ac:dyDescent="0.3">
      <c r="A200" s="134" t="s">
        <v>1330</v>
      </c>
      <c r="B200" s="135" t="s">
        <v>3135</v>
      </c>
      <c r="C200" s="204" t="s">
        <v>23</v>
      </c>
      <c r="D200" s="216"/>
      <c r="E200" s="78"/>
      <c r="F200" s="62">
        <v>690</v>
      </c>
      <c r="G200" s="163"/>
      <c r="H200" s="62">
        <v>1526.83</v>
      </c>
      <c r="I200" s="167">
        <v>3832.97</v>
      </c>
      <c r="J200" s="62">
        <v>5852293.5899999999</v>
      </c>
      <c r="K200" s="93"/>
      <c r="M200" s="46">
        <v>1469.66</v>
      </c>
      <c r="N200" s="46">
        <v>0</v>
      </c>
      <c r="O200" s="46">
        <v>5633162.6900000004</v>
      </c>
      <c r="P200" s="98"/>
      <c r="Q200" s="23" t="s">
        <v>1390</v>
      </c>
      <c r="R200" s="24" t="s">
        <v>1331</v>
      </c>
      <c r="S200" s="25" t="s">
        <v>23</v>
      </c>
      <c r="T200" s="26">
        <v>0</v>
      </c>
      <c r="U200" s="26">
        <v>1526.83</v>
      </c>
      <c r="V200" s="26">
        <f t="shared" si="33"/>
        <v>3832.97</v>
      </c>
      <c r="W200" s="128">
        <f t="shared" si="34"/>
        <v>0</v>
      </c>
      <c r="X200" s="127">
        <f t="shared" si="35"/>
        <v>1469.66</v>
      </c>
      <c r="Y200" s="127">
        <f t="shared" si="36"/>
        <v>0</v>
      </c>
      <c r="Z200" s="127">
        <f t="shared" si="27"/>
        <v>5633162.6900000004</v>
      </c>
      <c r="AA200" s="27"/>
      <c r="AB200" s="36" t="s">
        <v>16</v>
      </c>
      <c r="AC200" s="181">
        <f t="shared" si="28"/>
        <v>1526.83</v>
      </c>
      <c r="AD200" s="181">
        <f t="shared" si="37"/>
        <v>5852293.5899999999</v>
      </c>
      <c r="AE200" s="181">
        <v>1.4</v>
      </c>
      <c r="AF200" s="181">
        <v>1.4</v>
      </c>
      <c r="AG200" s="101" t="str">
        <f t="shared" si="29"/>
        <v>超估</v>
      </c>
      <c r="AH200" s="191">
        <v>1469.66</v>
      </c>
      <c r="AI200" s="69">
        <f t="shared" si="30"/>
        <v>690</v>
      </c>
    </row>
    <row r="201" spans="1:38" ht="33" x14ac:dyDescent="0.3">
      <c r="A201" s="134" t="s">
        <v>1332</v>
      </c>
      <c r="B201" s="135" t="s">
        <v>1333</v>
      </c>
      <c r="C201" s="204" t="s">
        <v>50</v>
      </c>
      <c r="D201" s="216"/>
      <c r="E201" s="78"/>
      <c r="F201" s="62">
        <v>48</v>
      </c>
      <c r="G201" s="163"/>
      <c r="H201" s="62" t="s">
        <v>15</v>
      </c>
      <c r="I201" s="167">
        <v>695.25</v>
      </c>
      <c r="J201" s="62">
        <v>33372</v>
      </c>
      <c r="K201" s="93"/>
      <c r="M201" s="46">
        <v>48</v>
      </c>
      <c r="N201" s="46">
        <v>0</v>
      </c>
      <c r="O201" s="46">
        <v>33372</v>
      </c>
      <c r="P201" s="98"/>
      <c r="Q201" s="23" t="s">
        <v>1391</v>
      </c>
      <c r="R201" s="24" t="s">
        <v>1333</v>
      </c>
      <c r="S201" s="25" t="s">
        <v>50</v>
      </c>
      <c r="T201" s="26">
        <v>0</v>
      </c>
      <c r="U201" s="26">
        <v>48</v>
      </c>
      <c r="V201" s="26">
        <f t="shared" si="33"/>
        <v>695.25</v>
      </c>
      <c r="W201" s="127">
        <f t="shared" si="34"/>
        <v>0</v>
      </c>
      <c r="X201" s="127">
        <f t="shared" si="35"/>
        <v>48</v>
      </c>
      <c r="Y201" s="127">
        <f t="shared" si="36"/>
        <v>0</v>
      </c>
      <c r="Z201" s="127">
        <f t="shared" si="27"/>
        <v>33372</v>
      </c>
      <c r="AA201" s="27"/>
      <c r="AB201" s="36" t="s">
        <v>16</v>
      </c>
      <c r="AC201" s="181">
        <f t="shared" si="28"/>
        <v>48</v>
      </c>
      <c r="AD201" s="181">
        <f t="shared" si="37"/>
        <v>33372</v>
      </c>
      <c r="AE201" s="181">
        <v>1.4</v>
      </c>
      <c r="AF201" s="181">
        <v>1.4</v>
      </c>
      <c r="AG201" s="101" t="str">
        <f t="shared" si="29"/>
        <v/>
      </c>
      <c r="AH201" s="190">
        <v>48</v>
      </c>
      <c r="AI201" s="69">
        <f t="shared" si="30"/>
        <v>48</v>
      </c>
    </row>
    <row r="202" spans="1:38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227"/>
      <c r="H202" s="231" t="s">
        <v>15</v>
      </c>
      <c r="I202" s="228"/>
      <c r="J202" s="82">
        <v>33543936.84</v>
      </c>
      <c r="K202" s="94" t="s">
        <v>15</v>
      </c>
      <c r="L202" s="73"/>
      <c r="M202" s="45">
        <v>1</v>
      </c>
      <c r="N202" s="45">
        <v>0</v>
      </c>
      <c r="O202" s="45">
        <v>32526947.079999998</v>
      </c>
      <c r="P202" s="98"/>
      <c r="Q202" s="18" t="s">
        <v>1392</v>
      </c>
      <c r="R202" s="19" t="s">
        <v>530</v>
      </c>
      <c r="S202" s="20" t="s">
        <v>14</v>
      </c>
      <c r="T202" s="21">
        <v>1</v>
      </c>
      <c r="U202" s="21"/>
      <c r="V202" s="21">
        <f>SUMIFS(AD:AD,AE:AE,AE202)</f>
        <v>33543936.840000004</v>
      </c>
      <c r="W202" s="21">
        <f t="shared" ref="W202:X202" si="38">IF(Y202=0,0,1)</f>
        <v>0</v>
      </c>
      <c r="X202" s="21">
        <f t="shared" si="38"/>
        <v>1</v>
      </c>
      <c r="Y202" s="21">
        <f>SUMIFS(Y:Y,AF:AF,AE202)</f>
        <v>0</v>
      </c>
      <c r="Z202" s="21">
        <f>SUMIFS(Z:Z,AF:AF,AE202)</f>
        <v>32526947.079999998</v>
      </c>
      <c r="AA202" s="22" t="s">
        <v>15</v>
      </c>
      <c r="AB202" s="43" t="s">
        <v>16</v>
      </c>
      <c r="AC202" s="181">
        <f t="shared" si="28"/>
        <v>1</v>
      </c>
      <c r="AD202" s="181"/>
      <c r="AE202" s="184">
        <v>1.5</v>
      </c>
      <c r="AF202" s="184"/>
      <c r="AG202" s="101" t="str">
        <f t="shared" si="29"/>
        <v/>
      </c>
      <c r="AH202" s="190">
        <v>1</v>
      </c>
      <c r="AI202" s="69">
        <f t="shared" si="30"/>
        <v>1</v>
      </c>
    </row>
    <row r="203" spans="1:38" s="69" customFormat="1" ht="49.5" customHeight="1" x14ac:dyDescent="0.3">
      <c r="A203" s="130" t="s">
        <v>531</v>
      </c>
      <c r="B203" s="131" t="s">
        <v>392</v>
      </c>
      <c r="C203" s="132" t="s">
        <v>23</v>
      </c>
      <c r="D203" s="133">
        <v>250</v>
      </c>
      <c r="E203" s="75"/>
      <c r="F203" s="75"/>
      <c r="G203" s="75"/>
      <c r="H203" s="239">
        <v>11.7</v>
      </c>
      <c r="I203" s="75">
        <v>3115.13</v>
      </c>
      <c r="J203" s="75">
        <v>36447.019999999997</v>
      </c>
      <c r="K203" s="91" t="s">
        <v>114</v>
      </c>
      <c r="L203" s="73"/>
      <c r="M203" s="46">
        <v>11.7</v>
      </c>
      <c r="N203" s="46">
        <v>0</v>
      </c>
      <c r="O203" s="46">
        <v>36447.019999999997</v>
      </c>
      <c r="P203" s="98"/>
      <c r="Q203" s="23" t="s">
        <v>1421</v>
      </c>
      <c r="R203" s="24" t="s">
        <v>392</v>
      </c>
      <c r="S203" s="25" t="s">
        <v>23</v>
      </c>
      <c r="T203" s="26">
        <v>250</v>
      </c>
      <c r="U203" s="26">
        <v>11.7</v>
      </c>
      <c r="V203" s="26">
        <v>3115.13</v>
      </c>
      <c r="W203" s="127">
        <f t="shared" ref="W203:W219" si="39">AH203-M203</f>
        <v>0</v>
      </c>
      <c r="X203" s="127">
        <f t="shared" si="35"/>
        <v>11.7</v>
      </c>
      <c r="Y203" s="127">
        <f t="shared" ref="Y203:Y219" si="40">Z203-O203</f>
        <v>0</v>
      </c>
      <c r="Z203" s="127">
        <f t="shared" si="27"/>
        <v>36447.019999999997</v>
      </c>
      <c r="AA203" s="33" t="s">
        <v>15</v>
      </c>
      <c r="AB203" s="36" t="s">
        <v>16</v>
      </c>
      <c r="AC203" s="181">
        <f t="shared" ref="AC203:AC266" si="41">IF(U203="",T203,U203)</f>
        <v>11.7</v>
      </c>
      <c r="AD203" s="181">
        <f t="shared" si="37"/>
        <v>36447.019999999997</v>
      </c>
      <c r="AE203" s="181">
        <v>1.5</v>
      </c>
      <c r="AF203" s="181">
        <v>1.5</v>
      </c>
      <c r="AG203" s="101" t="str">
        <f t="shared" ref="AG203:AG266" si="42">IF(X203&gt;AI203,"超估","")</f>
        <v/>
      </c>
      <c r="AH203" s="190">
        <v>11.7</v>
      </c>
      <c r="AI203" s="69">
        <f t="shared" ref="AI203:AI266" si="43">IF(G203=0,IF(F203=0,IF(E203=0,D203,E203),F203),G203)</f>
        <v>250</v>
      </c>
    </row>
    <row r="204" spans="1:38" s="69" customFormat="1" ht="49.5" customHeight="1" x14ac:dyDescent="0.3">
      <c r="A204" s="130" t="s">
        <v>532</v>
      </c>
      <c r="B204" s="131" t="s">
        <v>116</v>
      </c>
      <c r="C204" s="132" t="s">
        <v>23</v>
      </c>
      <c r="D204" s="133">
        <v>2474</v>
      </c>
      <c r="E204" s="75"/>
      <c r="F204" s="75"/>
      <c r="G204" s="75"/>
      <c r="H204" s="75">
        <v>2593.6999999999998</v>
      </c>
      <c r="I204" s="75">
        <v>3321.13</v>
      </c>
      <c r="J204" s="75">
        <v>8614014.8800000008</v>
      </c>
      <c r="K204" s="91" t="s">
        <v>117</v>
      </c>
      <c r="L204" s="73"/>
      <c r="M204" s="46">
        <v>2473.35</v>
      </c>
      <c r="N204" s="46">
        <v>0</v>
      </c>
      <c r="O204" s="46">
        <v>8214316.8899999997</v>
      </c>
      <c r="P204" s="98"/>
      <c r="Q204" s="23" t="s">
        <v>1426</v>
      </c>
      <c r="R204" s="24" t="s">
        <v>116</v>
      </c>
      <c r="S204" s="25" t="s">
        <v>23</v>
      </c>
      <c r="T204" s="26">
        <v>2474</v>
      </c>
      <c r="U204" s="26">
        <v>2593.6999999999998</v>
      </c>
      <c r="V204" s="26">
        <v>3321.13</v>
      </c>
      <c r="W204" s="127">
        <f t="shared" si="39"/>
        <v>0</v>
      </c>
      <c r="X204" s="127">
        <f t="shared" si="35"/>
        <v>2473.35</v>
      </c>
      <c r="Y204" s="127">
        <f t="shared" si="40"/>
        <v>0</v>
      </c>
      <c r="Z204" s="127">
        <f t="shared" ref="Z204:Z267" si="44">ROUND(V204*X204,2)</f>
        <v>8214316.8899999997</v>
      </c>
      <c r="AA204" s="33" t="s">
        <v>15</v>
      </c>
      <c r="AB204" s="36" t="s">
        <v>16</v>
      </c>
      <c r="AC204" s="181">
        <f t="shared" si="41"/>
        <v>2593.6999999999998</v>
      </c>
      <c r="AD204" s="181">
        <f t="shared" si="37"/>
        <v>8614014.8800000008</v>
      </c>
      <c r="AE204" s="181">
        <v>1.5</v>
      </c>
      <c r="AF204" s="181">
        <v>1.5</v>
      </c>
      <c r="AG204" s="101" t="str">
        <f t="shared" si="42"/>
        <v/>
      </c>
      <c r="AH204" s="194">
        <v>2473.35</v>
      </c>
      <c r="AI204" s="69">
        <f t="shared" si="43"/>
        <v>2474</v>
      </c>
      <c r="AL204" s="196">
        <v>2782.2855</v>
      </c>
    </row>
    <row r="205" spans="1:38" s="69" customFormat="1" ht="49.5" customHeight="1" x14ac:dyDescent="0.3">
      <c r="A205" s="130" t="s">
        <v>533</v>
      </c>
      <c r="B205" s="131" t="s">
        <v>534</v>
      </c>
      <c r="C205" s="132" t="s">
        <v>23</v>
      </c>
      <c r="D205" s="133">
        <v>1187</v>
      </c>
      <c r="E205" s="75"/>
      <c r="F205" s="75"/>
      <c r="G205" s="75"/>
      <c r="H205" s="75">
        <v>1256.1500000000001</v>
      </c>
      <c r="I205" s="75">
        <v>1749.25</v>
      </c>
      <c r="J205" s="75">
        <v>2197320.39</v>
      </c>
      <c r="K205" s="91" t="s">
        <v>535</v>
      </c>
      <c r="L205" s="73"/>
      <c r="M205" s="46">
        <v>1187</v>
      </c>
      <c r="N205" s="46">
        <v>0</v>
      </c>
      <c r="O205" s="46">
        <v>2076359.75</v>
      </c>
      <c r="P205" s="98"/>
      <c r="Q205" s="23" t="s">
        <v>1402</v>
      </c>
      <c r="R205" s="24" t="s">
        <v>534</v>
      </c>
      <c r="S205" s="25" t="s">
        <v>23</v>
      </c>
      <c r="T205" s="26">
        <v>1187</v>
      </c>
      <c r="U205" s="26">
        <v>1256.1500000000001</v>
      </c>
      <c r="V205" s="26">
        <v>1749.25</v>
      </c>
      <c r="W205" s="127">
        <f t="shared" si="39"/>
        <v>0</v>
      </c>
      <c r="X205" s="127">
        <f t="shared" si="35"/>
        <v>1187</v>
      </c>
      <c r="Y205" s="127">
        <f t="shared" si="40"/>
        <v>0</v>
      </c>
      <c r="Z205" s="127">
        <f t="shared" si="44"/>
        <v>2076359.75</v>
      </c>
      <c r="AA205" s="33" t="s">
        <v>15</v>
      </c>
      <c r="AB205" s="36" t="s">
        <v>16</v>
      </c>
      <c r="AC205" s="181">
        <f t="shared" si="41"/>
        <v>1256.1500000000001</v>
      </c>
      <c r="AD205" s="181">
        <f t="shared" si="37"/>
        <v>2197320.39</v>
      </c>
      <c r="AE205" s="181">
        <v>1.5</v>
      </c>
      <c r="AF205" s="181">
        <v>1.5</v>
      </c>
      <c r="AG205" s="101" t="str">
        <f t="shared" si="42"/>
        <v/>
      </c>
      <c r="AH205" s="194">
        <v>1187</v>
      </c>
      <c r="AI205" s="69">
        <f t="shared" si="43"/>
        <v>1187</v>
      </c>
      <c r="AL205" s="195">
        <v>1161.5828000000001</v>
      </c>
    </row>
    <row r="206" spans="1:38" s="69" customFormat="1" ht="39" x14ac:dyDescent="0.3">
      <c r="A206" s="130" t="s">
        <v>536</v>
      </c>
      <c r="B206" s="131" t="s">
        <v>493</v>
      </c>
      <c r="C206" s="132" t="s">
        <v>23</v>
      </c>
      <c r="D206" s="133">
        <v>3911</v>
      </c>
      <c r="E206" s="75"/>
      <c r="F206" s="75"/>
      <c r="G206" s="75"/>
      <c r="H206" s="75" t="s">
        <v>15</v>
      </c>
      <c r="I206" s="75">
        <v>200</v>
      </c>
      <c r="J206" s="75">
        <v>782200</v>
      </c>
      <c r="K206" s="91" t="s">
        <v>494</v>
      </c>
      <c r="L206" s="73"/>
      <c r="M206" s="46">
        <v>3672.05</v>
      </c>
      <c r="N206" s="46">
        <v>0</v>
      </c>
      <c r="O206" s="46">
        <v>734410</v>
      </c>
      <c r="P206" s="98"/>
      <c r="Q206" s="23" t="s">
        <v>1373</v>
      </c>
      <c r="R206" s="24" t="s">
        <v>493</v>
      </c>
      <c r="S206" s="25" t="s">
        <v>23</v>
      </c>
      <c r="T206" s="26">
        <v>3911</v>
      </c>
      <c r="U206" s="26">
        <v>3911</v>
      </c>
      <c r="V206" s="26">
        <v>200</v>
      </c>
      <c r="W206" s="127">
        <f t="shared" si="39"/>
        <v>0</v>
      </c>
      <c r="X206" s="127">
        <f t="shared" si="35"/>
        <v>3672.05</v>
      </c>
      <c r="Y206" s="127">
        <f t="shared" si="40"/>
        <v>0</v>
      </c>
      <c r="Z206" s="127">
        <f t="shared" si="44"/>
        <v>734410</v>
      </c>
      <c r="AA206" s="33" t="s">
        <v>15</v>
      </c>
      <c r="AB206" s="36" t="s">
        <v>16</v>
      </c>
      <c r="AC206" s="181">
        <f t="shared" si="41"/>
        <v>3911</v>
      </c>
      <c r="AD206" s="181">
        <f t="shared" si="37"/>
        <v>782200</v>
      </c>
      <c r="AE206" s="181">
        <v>1.5</v>
      </c>
      <c r="AF206" s="181">
        <v>1.5</v>
      </c>
      <c r="AG206" s="101" t="str">
        <f t="shared" si="42"/>
        <v/>
      </c>
      <c r="AH206" s="194">
        <v>3672.05</v>
      </c>
      <c r="AI206" s="69">
        <f t="shared" si="43"/>
        <v>3911</v>
      </c>
      <c r="AL206" s="198">
        <f>AL203+AL204+AL205</f>
        <v>3943.8683000000001</v>
      </c>
    </row>
    <row r="207" spans="1:38" s="69" customFormat="1" ht="57.75" x14ac:dyDescent="0.3">
      <c r="A207" s="130" t="s">
        <v>537</v>
      </c>
      <c r="B207" s="131" t="s">
        <v>405</v>
      </c>
      <c r="C207" s="132" t="s">
        <v>50</v>
      </c>
      <c r="D207" s="133">
        <v>3820</v>
      </c>
      <c r="E207" s="75"/>
      <c r="F207" s="75">
        <v>4730</v>
      </c>
      <c r="G207" s="75"/>
      <c r="H207" s="75">
        <v>5411.06</v>
      </c>
      <c r="I207" s="75">
        <v>982.98</v>
      </c>
      <c r="J207" s="75">
        <v>5318963.76</v>
      </c>
      <c r="K207" s="91" t="s">
        <v>406</v>
      </c>
      <c r="L207" s="73"/>
      <c r="M207" s="46">
        <v>5409.2</v>
      </c>
      <c r="N207" s="46">
        <v>0</v>
      </c>
      <c r="O207" s="46">
        <v>5317135.42</v>
      </c>
      <c r="P207" s="98"/>
      <c r="Q207" s="23" t="s">
        <v>1393</v>
      </c>
      <c r="R207" s="24" t="s">
        <v>405</v>
      </c>
      <c r="S207" s="25" t="s">
        <v>50</v>
      </c>
      <c r="T207" s="26">
        <v>3820</v>
      </c>
      <c r="U207" s="26">
        <v>5411.06</v>
      </c>
      <c r="V207" s="26">
        <v>982.98</v>
      </c>
      <c r="W207" s="127">
        <f t="shared" si="39"/>
        <v>0</v>
      </c>
      <c r="X207" s="127">
        <f t="shared" si="35"/>
        <v>5409.2</v>
      </c>
      <c r="Y207" s="127">
        <f t="shared" si="40"/>
        <v>0</v>
      </c>
      <c r="Z207" s="127">
        <f t="shared" si="44"/>
        <v>5317135.42</v>
      </c>
      <c r="AA207" s="27" t="s">
        <v>15</v>
      </c>
      <c r="AB207" s="36" t="s">
        <v>16</v>
      </c>
      <c r="AC207" s="181">
        <f t="shared" si="41"/>
        <v>5411.06</v>
      </c>
      <c r="AD207" s="181">
        <f t="shared" si="37"/>
        <v>5318963.76</v>
      </c>
      <c r="AE207" s="181">
        <v>1.5</v>
      </c>
      <c r="AF207" s="181">
        <v>1.5</v>
      </c>
      <c r="AG207" s="101" t="str">
        <f t="shared" si="42"/>
        <v>超估</v>
      </c>
      <c r="AH207" s="191">
        <v>5409.2</v>
      </c>
      <c r="AI207" s="69">
        <f t="shared" si="43"/>
        <v>4730</v>
      </c>
      <c r="AL207" s="195">
        <v>5411.06</v>
      </c>
    </row>
    <row r="208" spans="1:38" s="69" customFormat="1" ht="41.25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203"/>
      <c r="F208" s="203"/>
      <c r="G208" s="203"/>
      <c r="H208" s="203">
        <v>1811.33</v>
      </c>
      <c r="I208" s="75">
        <v>804.79</v>
      </c>
      <c r="J208" s="75">
        <v>1457740.27</v>
      </c>
      <c r="K208" s="91" t="s">
        <v>409</v>
      </c>
      <c r="L208" s="73"/>
      <c r="M208" s="46">
        <v>1796.3</v>
      </c>
      <c r="N208" s="46">
        <v>0</v>
      </c>
      <c r="O208" s="46">
        <v>1445644.28</v>
      </c>
      <c r="P208" s="98"/>
      <c r="Q208" s="23" t="s">
        <v>1403</v>
      </c>
      <c r="R208" s="24" t="s">
        <v>408</v>
      </c>
      <c r="S208" s="25" t="s">
        <v>50</v>
      </c>
      <c r="T208" s="26">
        <v>800</v>
      </c>
      <c r="U208" s="26">
        <v>1811.33</v>
      </c>
      <c r="V208" s="26">
        <v>804.79</v>
      </c>
      <c r="W208" s="127">
        <f t="shared" si="39"/>
        <v>0</v>
      </c>
      <c r="X208" s="127">
        <f t="shared" si="35"/>
        <v>1796.3</v>
      </c>
      <c r="Y208" s="127">
        <f t="shared" si="40"/>
        <v>0</v>
      </c>
      <c r="Z208" s="127">
        <f t="shared" si="44"/>
        <v>1445644.28</v>
      </c>
      <c r="AA208" s="33" t="s">
        <v>15</v>
      </c>
      <c r="AB208" s="36" t="s">
        <v>16</v>
      </c>
      <c r="AC208" s="181">
        <f t="shared" si="41"/>
        <v>1811.33</v>
      </c>
      <c r="AD208" s="181">
        <f t="shared" si="37"/>
        <v>1457740.27</v>
      </c>
      <c r="AE208" s="181">
        <v>1.5</v>
      </c>
      <c r="AF208" s="181">
        <v>1.5</v>
      </c>
      <c r="AG208" s="101" t="str">
        <f t="shared" si="42"/>
        <v>超估</v>
      </c>
      <c r="AH208" s="191">
        <v>1796.3</v>
      </c>
      <c r="AI208" s="69">
        <f t="shared" si="43"/>
        <v>800</v>
      </c>
    </row>
    <row r="209" spans="1:35" s="69" customFormat="1" ht="41.25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203"/>
      <c r="F209" s="203"/>
      <c r="G209" s="203"/>
      <c r="H209" s="203">
        <v>1210.32</v>
      </c>
      <c r="I209" s="75">
        <v>533.64</v>
      </c>
      <c r="J209" s="75">
        <v>645875.16</v>
      </c>
      <c r="K209" s="91" t="s">
        <v>120</v>
      </c>
      <c r="L209" s="73"/>
      <c r="M209" s="46">
        <v>1121.2</v>
      </c>
      <c r="N209" s="46">
        <v>0</v>
      </c>
      <c r="O209" s="46">
        <v>598317.17000000004</v>
      </c>
      <c r="P209" s="98"/>
      <c r="Q209" s="23" t="s">
        <v>1427</v>
      </c>
      <c r="R209" s="24" t="s">
        <v>119</v>
      </c>
      <c r="S209" s="25" t="s">
        <v>50</v>
      </c>
      <c r="T209" s="26">
        <v>258</v>
      </c>
      <c r="U209" s="26">
        <v>1210.32</v>
      </c>
      <c r="V209" s="26">
        <v>533.64</v>
      </c>
      <c r="W209" s="127">
        <f t="shared" si="39"/>
        <v>0</v>
      </c>
      <c r="X209" s="127">
        <f t="shared" si="35"/>
        <v>1121.2</v>
      </c>
      <c r="Y209" s="127">
        <f t="shared" si="40"/>
        <v>0</v>
      </c>
      <c r="Z209" s="127">
        <f t="shared" si="44"/>
        <v>598317.17000000004</v>
      </c>
      <c r="AA209" s="33" t="s">
        <v>15</v>
      </c>
      <c r="AB209" s="36" t="s">
        <v>16</v>
      </c>
      <c r="AC209" s="181">
        <f t="shared" si="41"/>
        <v>1210.32</v>
      </c>
      <c r="AD209" s="181">
        <f t="shared" si="37"/>
        <v>645875.16</v>
      </c>
      <c r="AE209" s="181">
        <v>1.5</v>
      </c>
      <c r="AF209" s="181">
        <v>1.5</v>
      </c>
      <c r="AG209" s="101" t="str">
        <f t="shared" si="42"/>
        <v>超估</v>
      </c>
      <c r="AH209" s="191">
        <v>1121.2</v>
      </c>
      <c r="AI209" s="69">
        <f t="shared" si="43"/>
        <v>258</v>
      </c>
    </row>
    <row r="210" spans="1:35" s="69" customFormat="1" ht="39" x14ac:dyDescent="0.3">
      <c r="A210" s="130" t="s">
        <v>540</v>
      </c>
      <c r="B210" s="131" t="s">
        <v>109</v>
      </c>
      <c r="C210" s="132" t="s">
        <v>110</v>
      </c>
      <c r="D210" s="133">
        <v>133401</v>
      </c>
      <c r="E210" s="203"/>
      <c r="F210" s="203"/>
      <c r="G210" s="203"/>
      <c r="H210" s="203">
        <v>153939.46</v>
      </c>
      <c r="I210" s="75">
        <v>36.4</v>
      </c>
      <c r="J210" s="75">
        <v>5603396.3399999999</v>
      </c>
      <c r="K210" s="91" t="s">
        <v>111</v>
      </c>
      <c r="L210" s="73"/>
      <c r="M210" s="46">
        <v>153669.92000000001</v>
      </c>
      <c r="N210" s="46">
        <v>0</v>
      </c>
      <c r="O210" s="46">
        <v>5593585.0899999999</v>
      </c>
      <c r="P210" s="98"/>
      <c r="Q210" s="23" t="s">
        <v>1428</v>
      </c>
      <c r="R210" s="24" t="s">
        <v>109</v>
      </c>
      <c r="S210" s="25" t="s">
        <v>110</v>
      </c>
      <c r="T210" s="26">
        <v>133401</v>
      </c>
      <c r="U210" s="26">
        <v>153939.46</v>
      </c>
      <c r="V210" s="26">
        <v>36.4</v>
      </c>
      <c r="W210" s="127">
        <f t="shared" si="39"/>
        <v>0</v>
      </c>
      <c r="X210" s="127">
        <f t="shared" si="35"/>
        <v>153669.92000000001</v>
      </c>
      <c r="Y210" s="127">
        <f t="shared" si="40"/>
        <v>0</v>
      </c>
      <c r="Z210" s="127">
        <f t="shared" si="44"/>
        <v>5593585.0899999999</v>
      </c>
      <c r="AA210" s="33" t="s">
        <v>15</v>
      </c>
      <c r="AB210" s="36" t="s">
        <v>16</v>
      </c>
      <c r="AC210" s="181">
        <f t="shared" si="41"/>
        <v>153939.46</v>
      </c>
      <c r="AD210" s="181">
        <f t="shared" si="37"/>
        <v>5603396.3399999999</v>
      </c>
      <c r="AE210" s="181">
        <v>1.5</v>
      </c>
      <c r="AF210" s="181">
        <v>1.5</v>
      </c>
      <c r="AG210" s="101" t="str">
        <f t="shared" si="42"/>
        <v>超估</v>
      </c>
      <c r="AH210" s="191">
        <v>153669.92000000001</v>
      </c>
      <c r="AI210" s="69">
        <f t="shared" si="43"/>
        <v>133401</v>
      </c>
    </row>
    <row r="211" spans="1:35" s="69" customFormat="1" ht="39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203"/>
      <c r="F211" s="203"/>
      <c r="G211" s="203"/>
      <c r="H211" s="203">
        <v>185226.6</v>
      </c>
      <c r="I211" s="75">
        <v>38.71</v>
      </c>
      <c r="J211" s="75">
        <v>7170121.6900000004</v>
      </c>
      <c r="K211" s="91" t="s">
        <v>400</v>
      </c>
      <c r="L211" s="73"/>
      <c r="M211" s="46">
        <v>185029</v>
      </c>
      <c r="N211" s="46">
        <v>0</v>
      </c>
      <c r="O211" s="46">
        <v>7162472.5899999999</v>
      </c>
      <c r="P211" s="98"/>
      <c r="Q211" s="23" t="s">
        <v>1387</v>
      </c>
      <c r="R211" s="24" t="s">
        <v>399</v>
      </c>
      <c r="S211" s="25" t="s">
        <v>110</v>
      </c>
      <c r="T211" s="26">
        <v>118802</v>
      </c>
      <c r="U211" s="26">
        <v>185226.6</v>
      </c>
      <c r="V211" s="26">
        <v>38.71</v>
      </c>
      <c r="W211" s="127">
        <f t="shared" si="39"/>
        <v>0</v>
      </c>
      <c r="X211" s="127">
        <f t="shared" si="35"/>
        <v>185029</v>
      </c>
      <c r="Y211" s="127">
        <f t="shared" si="40"/>
        <v>0</v>
      </c>
      <c r="Z211" s="127">
        <f t="shared" si="44"/>
        <v>7162472.5899999999</v>
      </c>
      <c r="AA211" s="33" t="s">
        <v>15</v>
      </c>
      <c r="AB211" s="36" t="s">
        <v>16</v>
      </c>
      <c r="AC211" s="181">
        <f t="shared" si="41"/>
        <v>185226.6</v>
      </c>
      <c r="AD211" s="181">
        <f t="shared" si="37"/>
        <v>7170121.6900000004</v>
      </c>
      <c r="AE211" s="181">
        <v>1.5</v>
      </c>
      <c r="AF211" s="181">
        <v>1.5</v>
      </c>
      <c r="AG211" s="101" t="str">
        <f t="shared" si="42"/>
        <v>超估</v>
      </c>
      <c r="AH211" s="191">
        <v>185029</v>
      </c>
      <c r="AI211" s="69">
        <f t="shared" si="43"/>
        <v>118802</v>
      </c>
    </row>
    <row r="212" spans="1:35" s="69" customFormat="1" ht="58.5" x14ac:dyDescent="0.3">
      <c r="A212" s="130" t="s">
        <v>542</v>
      </c>
      <c r="B212" s="131" t="s">
        <v>543</v>
      </c>
      <c r="C212" s="132" t="s">
        <v>30</v>
      </c>
      <c r="D212" s="133">
        <v>129</v>
      </c>
      <c r="E212" s="75"/>
      <c r="F212" s="75"/>
      <c r="G212" s="75"/>
      <c r="H212" s="75" t="s">
        <v>15</v>
      </c>
      <c r="I212" s="75">
        <v>2865.95</v>
      </c>
      <c r="J212" s="75">
        <v>369707.55</v>
      </c>
      <c r="K212" s="91" t="s">
        <v>544</v>
      </c>
      <c r="L212" s="73"/>
      <c r="M212" s="46">
        <v>78</v>
      </c>
      <c r="N212" s="46">
        <v>0</v>
      </c>
      <c r="O212" s="46">
        <v>223544.1</v>
      </c>
      <c r="P212" s="98"/>
      <c r="Q212" s="23" t="s">
        <v>1405</v>
      </c>
      <c r="R212" s="24" t="s">
        <v>543</v>
      </c>
      <c r="S212" s="25" t="s">
        <v>30</v>
      </c>
      <c r="T212" s="26">
        <v>129</v>
      </c>
      <c r="U212" s="26">
        <v>129</v>
      </c>
      <c r="V212" s="26">
        <v>2865.95</v>
      </c>
      <c r="W212" s="209">
        <f t="shared" si="39"/>
        <v>0</v>
      </c>
      <c r="X212" s="127">
        <f t="shared" si="35"/>
        <v>78</v>
      </c>
      <c r="Y212" s="127">
        <f t="shared" si="40"/>
        <v>0</v>
      </c>
      <c r="Z212" s="127">
        <f t="shared" si="44"/>
        <v>223544.1</v>
      </c>
      <c r="AA212" s="33" t="s">
        <v>15</v>
      </c>
      <c r="AB212" s="36" t="s">
        <v>16</v>
      </c>
      <c r="AC212" s="181">
        <f t="shared" si="41"/>
        <v>129</v>
      </c>
      <c r="AD212" s="181">
        <f t="shared" si="37"/>
        <v>369707.55</v>
      </c>
      <c r="AE212" s="181">
        <v>1.5</v>
      </c>
      <c r="AF212" s="181">
        <v>1.5</v>
      </c>
      <c r="AG212" s="101" t="str">
        <f t="shared" si="42"/>
        <v/>
      </c>
      <c r="AH212" s="191">
        <f>36+42</f>
        <v>78</v>
      </c>
      <c r="AI212" s="69">
        <f t="shared" si="43"/>
        <v>129</v>
      </c>
    </row>
    <row r="213" spans="1:35" s="69" customFormat="1" ht="58.5" x14ac:dyDescent="0.3">
      <c r="A213" s="130" t="s">
        <v>545</v>
      </c>
      <c r="B213" s="131" t="s">
        <v>546</v>
      </c>
      <c r="C213" s="132" t="s">
        <v>81</v>
      </c>
      <c r="D213" s="133">
        <v>54</v>
      </c>
      <c r="E213" s="75"/>
      <c r="F213" s="75"/>
      <c r="G213" s="75"/>
      <c r="H213" s="75" t="s">
        <v>15</v>
      </c>
      <c r="I213" s="75">
        <v>1478.05</v>
      </c>
      <c r="J213" s="75">
        <v>79814.7</v>
      </c>
      <c r="K213" s="91" t="s">
        <v>547</v>
      </c>
      <c r="L213" s="73"/>
      <c r="M213" s="46">
        <v>33</v>
      </c>
      <c r="N213" s="46">
        <v>0</v>
      </c>
      <c r="O213" s="46">
        <v>48775.65</v>
      </c>
      <c r="P213" s="98"/>
      <c r="Q213" s="23" t="s">
        <v>1406</v>
      </c>
      <c r="R213" s="24" t="s">
        <v>546</v>
      </c>
      <c r="S213" s="25" t="s">
        <v>81</v>
      </c>
      <c r="T213" s="26">
        <v>54</v>
      </c>
      <c r="U213" s="26">
        <v>54</v>
      </c>
      <c r="V213" s="26">
        <v>1478.05</v>
      </c>
      <c r="W213" s="209">
        <f t="shared" si="39"/>
        <v>0</v>
      </c>
      <c r="X213" s="127">
        <f t="shared" si="35"/>
        <v>33</v>
      </c>
      <c r="Y213" s="127">
        <f t="shared" si="40"/>
        <v>0</v>
      </c>
      <c r="Z213" s="127">
        <f t="shared" si="44"/>
        <v>48775.65</v>
      </c>
      <c r="AA213" s="33" t="s">
        <v>15</v>
      </c>
      <c r="AB213" s="36" t="s">
        <v>16</v>
      </c>
      <c r="AC213" s="181">
        <f t="shared" si="41"/>
        <v>54</v>
      </c>
      <c r="AD213" s="181">
        <f t="shared" si="37"/>
        <v>79814.7</v>
      </c>
      <c r="AE213" s="181">
        <v>1.5</v>
      </c>
      <c r="AF213" s="181">
        <v>1.5</v>
      </c>
      <c r="AG213" s="101" t="str">
        <f t="shared" si="42"/>
        <v/>
      </c>
      <c r="AH213" s="191">
        <f>18+15</f>
        <v>33</v>
      </c>
      <c r="AI213" s="69">
        <f t="shared" si="43"/>
        <v>54</v>
      </c>
    </row>
    <row r="214" spans="1:35" s="69" customFormat="1" ht="49.5" x14ac:dyDescent="0.3">
      <c r="A214" s="130" t="s">
        <v>548</v>
      </c>
      <c r="B214" s="240" t="s">
        <v>549</v>
      </c>
      <c r="C214" s="132" t="s">
        <v>30</v>
      </c>
      <c r="D214" s="133">
        <v>170</v>
      </c>
      <c r="E214" s="75"/>
      <c r="F214" s="75"/>
      <c r="G214" s="75"/>
      <c r="H214" s="75" t="s">
        <v>15</v>
      </c>
      <c r="I214" s="75">
        <v>151.72</v>
      </c>
      <c r="J214" s="75">
        <v>25792.400000000001</v>
      </c>
      <c r="K214" s="91" t="s">
        <v>550</v>
      </c>
      <c r="L214" s="73"/>
      <c r="M214" s="46">
        <v>91</v>
      </c>
      <c r="N214" s="46">
        <v>0</v>
      </c>
      <c r="O214" s="46">
        <v>13806.52</v>
      </c>
      <c r="P214" s="98"/>
      <c r="Q214" s="23" t="s">
        <v>1414</v>
      </c>
      <c r="R214" s="24" t="s">
        <v>549</v>
      </c>
      <c r="S214" s="25" t="s">
        <v>30</v>
      </c>
      <c r="T214" s="26">
        <v>170</v>
      </c>
      <c r="U214" s="26">
        <v>170</v>
      </c>
      <c r="V214" s="26">
        <v>151.72</v>
      </c>
      <c r="W214" s="209">
        <f t="shared" si="39"/>
        <v>0</v>
      </c>
      <c r="X214" s="127">
        <f t="shared" si="35"/>
        <v>91</v>
      </c>
      <c r="Y214" s="127">
        <f t="shared" si="40"/>
        <v>0</v>
      </c>
      <c r="Z214" s="127">
        <f t="shared" si="44"/>
        <v>13806.52</v>
      </c>
      <c r="AA214" s="33" t="s">
        <v>15</v>
      </c>
      <c r="AB214" s="36" t="s">
        <v>16</v>
      </c>
      <c r="AC214" s="181">
        <f t="shared" si="41"/>
        <v>170</v>
      </c>
      <c r="AD214" s="181">
        <f t="shared" si="37"/>
        <v>25792.400000000001</v>
      </c>
      <c r="AE214" s="181">
        <v>1.5</v>
      </c>
      <c r="AF214" s="181">
        <v>1.5</v>
      </c>
      <c r="AG214" s="101" t="str">
        <f t="shared" si="42"/>
        <v/>
      </c>
      <c r="AH214" s="191">
        <f>36+55</f>
        <v>91</v>
      </c>
      <c r="AI214" s="69">
        <f t="shared" si="43"/>
        <v>170</v>
      </c>
    </row>
    <row r="215" spans="1:35" s="69" customFormat="1" ht="33" x14ac:dyDescent="0.3">
      <c r="A215" s="55" t="s">
        <v>551</v>
      </c>
      <c r="B215" s="138" t="s">
        <v>552</v>
      </c>
      <c r="C215" s="54" t="s">
        <v>325</v>
      </c>
      <c r="D215" s="75">
        <v>4</v>
      </c>
      <c r="E215" s="75"/>
      <c r="F215" s="75"/>
      <c r="G215" s="75"/>
      <c r="H215" s="75">
        <v>6</v>
      </c>
      <c r="I215" s="75">
        <v>15779.6</v>
      </c>
      <c r="J215" s="75">
        <v>94677.6</v>
      </c>
      <c r="K215" s="91" t="s">
        <v>553</v>
      </c>
      <c r="L215" s="73"/>
      <c r="M215" s="46">
        <v>4</v>
      </c>
      <c r="N215" s="46">
        <v>0</v>
      </c>
      <c r="O215" s="46">
        <v>63118.400000000001</v>
      </c>
      <c r="P215" s="98"/>
      <c r="Q215" s="23" t="s">
        <v>1429</v>
      </c>
      <c r="R215" s="24" t="s">
        <v>552</v>
      </c>
      <c r="S215" s="25" t="s">
        <v>325</v>
      </c>
      <c r="T215" s="26">
        <v>4</v>
      </c>
      <c r="U215" s="26">
        <v>6</v>
      </c>
      <c r="V215" s="26">
        <v>15779.6</v>
      </c>
      <c r="W215" s="243">
        <f t="shared" si="39"/>
        <v>0</v>
      </c>
      <c r="X215" s="26">
        <f t="shared" si="35"/>
        <v>4</v>
      </c>
      <c r="Y215" s="26">
        <f t="shared" si="40"/>
        <v>0</v>
      </c>
      <c r="Z215" s="26">
        <f t="shared" si="44"/>
        <v>63118.400000000001</v>
      </c>
      <c r="AA215" s="33" t="s">
        <v>15</v>
      </c>
      <c r="AB215" s="36" t="s">
        <v>16</v>
      </c>
      <c r="AC215" s="181">
        <f t="shared" si="41"/>
        <v>6</v>
      </c>
      <c r="AD215" s="181">
        <f t="shared" si="37"/>
        <v>94677.6</v>
      </c>
      <c r="AE215" s="181">
        <v>1.5</v>
      </c>
      <c r="AF215" s="181">
        <v>1.5</v>
      </c>
      <c r="AG215" s="101" t="str">
        <f t="shared" si="42"/>
        <v/>
      </c>
      <c r="AH215" s="191">
        <f>2+2</f>
        <v>4</v>
      </c>
      <c r="AI215" s="69">
        <f t="shared" si="43"/>
        <v>4</v>
      </c>
    </row>
    <row r="216" spans="1:35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 t="s">
        <v>15</v>
      </c>
      <c r="I216" s="75">
        <v>138.84</v>
      </c>
      <c r="J216" s="75">
        <v>62894.52</v>
      </c>
      <c r="K216" s="91" t="s">
        <v>190</v>
      </c>
      <c r="L216" s="73"/>
      <c r="M216" s="46">
        <v>376</v>
      </c>
      <c r="N216" s="46">
        <v>0</v>
      </c>
      <c r="O216" s="46">
        <v>52203.839999999997</v>
      </c>
      <c r="P216" s="98"/>
      <c r="Q216" s="23" t="s">
        <v>1430</v>
      </c>
      <c r="R216" s="24" t="s">
        <v>189</v>
      </c>
      <c r="S216" s="25" t="s">
        <v>30</v>
      </c>
      <c r="T216" s="26">
        <v>453</v>
      </c>
      <c r="U216" s="26">
        <v>453</v>
      </c>
      <c r="V216" s="26">
        <v>138.84</v>
      </c>
      <c r="W216" s="243">
        <f t="shared" si="39"/>
        <v>0</v>
      </c>
      <c r="X216" s="26">
        <f t="shared" si="35"/>
        <v>376</v>
      </c>
      <c r="Y216" s="26">
        <f t="shared" si="40"/>
        <v>0</v>
      </c>
      <c r="Z216" s="26">
        <f t="shared" si="44"/>
        <v>52203.839999999997</v>
      </c>
      <c r="AA216" s="33" t="s">
        <v>15</v>
      </c>
      <c r="AB216" s="36" t="s">
        <v>16</v>
      </c>
      <c r="AC216" s="181">
        <f t="shared" si="41"/>
        <v>453</v>
      </c>
      <c r="AD216" s="181">
        <f t="shared" si="37"/>
        <v>62894.52</v>
      </c>
      <c r="AE216" s="181">
        <v>1.5</v>
      </c>
      <c r="AF216" s="181">
        <v>1.5</v>
      </c>
      <c r="AG216" s="101" t="str">
        <f t="shared" si="42"/>
        <v/>
      </c>
      <c r="AH216" s="191">
        <f>285+91</f>
        <v>376</v>
      </c>
      <c r="AI216" s="69">
        <f t="shared" si="43"/>
        <v>453</v>
      </c>
    </row>
    <row r="217" spans="1:35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 t="s">
        <v>15</v>
      </c>
      <c r="I217" s="75">
        <v>326.3</v>
      </c>
      <c r="J217" s="75">
        <v>548184</v>
      </c>
      <c r="K217" s="91" t="s">
        <v>521</v>
      </c>
      <c r="L217" s="73"/>
      <c r="M217" s="46">
        <v>1298</v>
      </c>
      <c r="N217" s="46">
        <v>0</v>
      </c>
      <c r="O217" s="46">
        <v>423537.4</v>
      </c>
      <c r="P217" s="98"/>
      <c r="Q217" s="23" t="s">
        <v>1431</v>
      </c>
      <c r="R217" s="24" t="s">
        <v>520</v>
      </c>
      <c r="S217" s="25" t="s">
        <v>30</v>
      </c>
      <c r="T217" s="26">
        <v>1680</v>
      </c>
      <c r="U217" s="26">
        <v>1680</v>
      </c>
      <c r="V217" s="26">
        <v>326.3</v>
      </c>
      <c r="W217" s="243">
        <f t="shared" si="39"/>
        <v>0</v>
      </c>
      <c r="X217" s="26">
        <f t="shared" si="35"/>
        <v>1298</v>
      </c>
      <c r="Y217" s="26">
        <f t="shared" si="40"/>
        <v>0</v>
      </c>
      <c r="Z217" s="26">
        <f t="shared" si="44"/>
        <v>423537.4</v>
      </c>
      <c r="AA217" s="33" t="s">
        <v>15</v>
      </c>
      <c r="AB217" s="36" t="s">
        <v>16</v>
      </c>
      <c r="AC217" s="181">
        <f t="shared" si="41"/>
        <v>1680</v>
      </c>
      <c r="AD217" s="181">
        <f t="shared" si="37"/>
        <v>548184</v>
      </c>
      <c r="AE217" s="181">
        <v>1.5</v>
      </c>
      <c r="AF217" s="181">
        <v>1.5</v>
      </c>
      <c r="AG217" s="101" t="str">
        <f t="shared" si="42"/>
        <v/>
      </c>
      <c r="AH217" s="191">
        <f>936+362</f>
        <v>1298</v>
      </c>
      <c r="AI217" s="69">
        <f t="shared" si="43"/>
        <v>1680</v>
      </c>
    </row>
    <row r="218" spans="1:35" s="69" customFormat="1" ht="39" x14ac:dyDescent="0.3">
      <c r="A218" s="130" t="s">
        <v>556</v>
      </c>
      <c r="B218" s="131" t="s">
        <v>424</v>
      </c>
      <c r="C218" s="132" t="s">
        <v>50</v>
      </c>
      <c r="D218" s="133">
        <v>756</v>
      </c>
      <c r="E218" s="75"/>
      <c r="F218" s="75"/>
      <c r="G218" s="75"/>
      <c r="H218" s="75" t="s">
        <v>15</v>
      </c>
      <c r="I218" s="75">
        <v>692.16</v>
      </c>
      <c r="J218" s="75">
        <v>523272.96000000002</v>
      </c>
      <c r="K218" s="91" t="s">
        <v>425</v>
      </c>
      <c r="L218" s="73"/>
      <c r="M218" s="46">
        <v>756</v>
      </c>
      <c r="N218" s="46">
        <v>0</v>
      </c>
      <c r="O218" s="46">
        <v>523272.96000000002</v>
      </c>
      <c r="P218" s="98"/>
      <c r="Q218" s="23" t="s">
        <v>1395</v>
      </c>
      <c r="R218" s="24" t="s">
        <v>424</v>
      </c>
      <c r="S218" s="25" t="s">
        <v>50</v>
      </c>
      <c r="T218" s="26">
        <v>756</v>
      </c>
      <c r="U218" s="26">
        <v>756</v>
      </c>
      <c r="V218" s="26">
        <v>692.16</v>
      </c>
      <c r="W218" s="127">
        <f t="shared" si="39"/>
        <v>0</v>
      </c>
      <c r="X218" s="127">
        <f t="shared" si="35"/>
        <v>756</v>
      </c>
      <c r="Y218" s="127">
        <f t="shared" si="40"/>
        <v>0</v>
      </c>
      <c r="Z218" s="127">
        <f t="shared" si="44"/>
        <v>523272.96000000002</v>
      </c>
      <c r="AA218" s="33" t="s">
        <v>15</v>
      </c>
      <c r="AB218" s="36" t="s">
        <v>16</v>
      </c>
      <c r="AC218" s="181">
        <f t="shared" si="41"/>
        <v>756</v>
      </c>
      <c r="AD218" s="181">
        <f t="shared" si="37"/>
        <v>523272.96000000002</v>
      </c>
      <c r="AE218" s="181">
        <v>1.5</v>
      </c>
      <c r="AF218" s="181">
        <v>1.5</v>
      </c>
      <c r="AG218" s="101" t="str">
        <f t="shared" si="42"/>
        <v/>
      </c>
      <c r="AH218" s="191">
        <v>756</v>
      </c>
      <c r="AI218" s="69">
        <f t="shared" si="43"/>
        <v>756</v>
      </c>
    </row>
    <row r="219" spans="1:35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 t="s">
        <v>15</v>
      </c>
      <c r="I219" s="75">
        <v>422.3</v>
      </c>
      <c r="J219" s="75">
        <v>13513.6</v>
      </c>
      <c r="K219" s="91" t="s">
        <v>560</v>
      </c>
      <c r="L219" s="73"/>
      <c r="M219" s="46">
        <v>0</v>
      </c>
      <c r="N219" s="46">
        <v>0</v>
      </c>
      <c r="O219" s="46">
        <v>0</v>
      </c>
      <c r="P219" s="98"/>
      <c r="Q219" s="23" t="s">
        <v>1432</v>
      </c>
      <c r="R219" s="24" t="s">
        <v>558</v>
      </c>
      <c r="S219" s="25" t="s">
        <v>559</v>
      </c>
      <c r="T219" s="26">
        <v>32</v>
      </c>
      <c r="U219" s="26">
        <v>32</v>
      </c>
      <c r="V219" s="26">
        <v>422.3</v>
      </c>
      <c r="W219" s="26">
        <f t="shared" si="39"/>
        <v>0</v>
      </c>
      <c r="X219" s="26">
        <f t="shared" si="35"/>
        <v>0</v>
      </c>
      <c r="Y219" s="26">
        <f t="shared" si="40"/>
        <v>0</v>
      </c>
      <c r="Z219" s="26">
        <f t="shared" si="44"/>
        <v>0</v>
      </c>
      <c r="AA219" s="33" t="s">
        <v>15</v>
      </c>
      <c r="AB219" s="36" t="s">
        <v>16</v>
      </c>
      <c r="AC219" s="181">
        <f t="shared" si="41"/>
        <v>32</v>
      </c>
      <c r="AD219" s="181">
        <f t="shared" si="37"/>
        <v>13513.6</v>
      </c>
      <c r="AE219" s="181">
        <v>1.5</v>
      </c>
      <c r="AF219" s="181">
        <v>1.5</v>
      </c>
      <c r="AG219" s="101" t="str">
        <f t="shared" si="42"/>
        <v/>
      </c>
      <c r="AH219" s="190">
        <v>0</v>
      </c>
      <c r="AI219" s="69">
        <f t="shared" si="43"/>
        <v>32</v>
      </c>
    </row>
    <row r="220" spans="1:35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 t="s">
        <v>15</v>
      </c>
      <c r="I220" s="82"/>
      <c r="J220" s="82">
        <v>13861675.58</v>
      </c>
      <c r="K220" s="94" t="s">
        <v>15</v>
      </c>
      <c r="L220" s="73"/>
      <c r="M220" s="45">
        <v>1</v>
      </c>
      <c r="N220" s="45">
        <v>3891151.8100000005</v>
      </c>
      <c r="O220" s="45">
        <v>11873294.829999998</v>
      </c>
      <c r="P220" s="98"/>
      <c r="Q220" s="18" t="s">
        <v>1394</v>
      </c>
      <c r="R220" s="19" t="s">
        <v>562</v>
      </c>
      <c r="S220" s="20" t="s">
        <v>14</v>
      </c>
      <c r="T220" s="21">
        <v>1</v>
      </c>
      <c r="U220" s="21"/>
      <c r="V220" s="21">
        <f>SUMIFS(AD:AD,AE:AE,AE220)</f>
        <v>13861675.579999998</v>
      </c>
      <c r="W220" s="21">
        <f t="shared" ref="W220:X220" si="45">IF(Y220=0,0,1)</f>
        <v>0</v>
      </c>
      <c r="X220" s="21">
        <f t="shared" si="45"/>
        <v>1</v>
      </c>
      <c r="Y220" s="21">
        <f>SUMIFS(Y:Y,AF:AF,AE220)</f>
        <v>0</v>
      </c>
      <c r="Z220" s="21">
        <f>SUMIFS(Z:Z,AF:AF,AE220)</f>
        <v>11873294.829999998</v>
      </c>
      <c r="AA220" s="22" t="s">
        <v>15</v>
      </c>
      <c r="AB220" s="43" t="s">
        <v>16</v>
      </c>
      <c r="AC220" s="181">
        <f t="shared" si="41"/>
        <v>1</v>
      </c>
      <c r="AD220" s="184"/>
      <c r="AE220" s="184">
        <v>1.6</v>
      </c>
      <c r="AF220" s="184"/>
      <c r="AG220" s="101" t="str">
        <f t="shared" si="42"/>
        <v/>
      </c>
      <c r="AH220" s="190">
        <v>1</v>
      </c>
      <c r="AI220" s="69">
        <f t="shared" si="43"/>
        <v>1</v>
      </c>
    </row>
    <row r="221" spans="1:35" s="69" customFormat="1" ht="58.5" x14ac:dyDescent="0.3">
      <c r="A221" s="130" t="s">
        <v>563</v>
      </c>
      <c r="B221" s="131" t="s">
        <v>564</v>
      </c>
      <c r="C221" s="132" t="s">
        <v>23</v>
      </c>
      <c r="D221" s="133">
        <v>256</v>
      </c>
      <c r="E221" s="75"/>
      <c r="F221" s="75"/>
      <c r="G221" s="75"/>
      <c r="H221" s="75">
        <v>380.68</v>
      </c>
      <c r="I221" s="75">
        <v>7517.56</v>
      </c>
      <c r="J221" s="75">
        <v>2861784.74</v>
      </c>
      <c r="K221" s="91" t="s">
        <v>565</v>
      </c>
      <c r="L221" s="73"/>
      <c r="M221" s="46">
        <v>380.68</v>
      </c>
      <c r="N221" s="46">
        <v>1778504.3400000003</v>
      </c>
      <c r="O221" s="46">
        <v>2861784.74</v>
      </c>
      <c r="P221" s="98"/>
      <c r="Q221" s="23" t="s">
        <v>1421</v>
      </c>
      <c r="R221" s="24" t="s">
        <v>564</v>
      </c>
      <c r="S221" s="25" t="s">
        <v>23</v>
      </c>
      <c r="T221" s="26">
        <v>256</v>
      </c>
      <c r="U221" s="26">
        <v>380.68</v>
      </c>
      <c r="V221" s="26">
        <v>7517.56</v>
      </c>
      <c r="W221" s="261">
        <f t="shared" ref="W221:W236" si="46">AH221-M221</f>
        <v>0</v>
      </c>
      <c r="X221" s="127">
        <f t="shared" si="35"/>
        <v>380.68</v>
      </c>
      <c r="Y221" s="127">
        <f t="shared" ref="Y221:Y236" si="47">Z221-O221</f>
        <v>0</v>
      </c>
      <c r="Z221" s="127">
        <f t="shared" si="44"/>
        <v>2861784.74</v>
      </c>
      <c r="AA221" s="33" t="s">
        <v>15</v>
      </c>
      <c r="AB221" s="36" t="s">
        <v>16</v>
      </c>
      <c r="AC221" s="181">
        <f t="shared" si="41"/>
        <v>380.68</v>
      </c>
      <c r="AD221" s="181">
        <f t="shared" ref="AD221:AD236" si="48">ROUND(V221*AC221,2)</f>
        <v>2861784.74</v>
      </c>
      <c r="AE221" s="181">
        <v>1.6</v>
      </c>
      <c r="AF221" s="181">
        <v>1.6</v>
      </c>
      <c r="AG221" s="101" t="str">
        <f t="shared" si="42"/>
        <v>超估</v>
      </c>
      <c r="AH221" s="191">
        <f>380.68</f>
        <v>380.68</v>
      </c>
      <c r="AI221" s="69">
        <f t="shared" si="43"/>
        <v>256</v>
      </c>
    </row>
    <row r="222" spans="1:35" s="69" customFormat="1" ht="58.5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917.25</v>
      </c>
      <c r="I222" s="75">
        <v>7496.96</v>
      </c>
      <c r="J222" s="75">
        <v>6876586.5599999996</v>
      </c>
      <c r="K222" s="91" t="s">
        <v>568</v>
      </c>
      <c r="L222" s="73"/>
      <c r="M222" s="46">
        <v>688.1</v>
      </c>
      <c r="N222" s="46">
        <v>1880237.5699999998</v>
      </c>
      <c r="O222" s="46">
        <v>5158658.18</v>
      </c>
      <c r="P222" s="98"/>
      <c r="Q222" s="23" t="s">
        <v>1426</v>
      </c>
      <c r="R222" s="24" t="s">
        <v>567</v>
      </c>
      <c r="S222" s="25" t="s">
        <v>23</v>
      </c>
      <c r="T222" s="26">
        <v>766</v>
      </c>
      <c r="U222" s="26">
        <v>917.25</v>
      </c>
      <c r="V222" s="26">
        <v>7496.96</v>
      </c>
      <c r="W222" s="257">
        <f t="shared" si="46"/>
        <v>0</v>
      </c>
      <c r="X222" s="26">
        <f t="shared" si="35"/>
        <v>688.1</v>
      </c>
      <c r="Y222" s="26">
        <f t="shared" si="47"/>
        <v>0</v>
      </c>
      <c r="Z222" s="26">
        <f t="shared" si="44"/>
        <v>5158658.18</v>
      </c>
      <c r="AA222" s="33" t="s">
        <v>15</v>
      </c>
      <c r="AB222" s="36" t="s">
        <v>16</v>
      </c>
      <c r="AC222" s="181">
        <f t="shared" si="41"/>
        <v>917.25</v>
      </c>
      <c r="AD222" s="181">
        <f t="shared" si="48"/>
        <v>6876586.5599999996</v>
      </c>
      <c r="AE222" s="181">
        <v>1.6</v>
      </c>
      <c r="AF222" s="181">
        <v>1.6</v>
      </c>
      <c r="AG222" s="101" t="str">
        <f t="shared" si="42"/>
        <v/>
      </c>
      <c r="AH222" s="191">
        <f>437.3+1672*0.15</f>
        <v>688.1</v>
      </c>
      <c r="AI222" s="69">
        <f t="shared" si="43"/>
        <v>766</v>
      </c>
    </row>
    <row r="223" spans="1:35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 t="s">
        <v>15</v>
      </c>
      <c r="I223" s="75">
        <v>11.6</v>
      </c>
      <c r="J223" s="75">
        <v>59194.8</v>
      </c>
      <c r="K223" s="91" t="s">
        <v>571</v>
      </c>
      <c r="L223" s="73"/>
      <c r="M223" s="46">
        <v>2634</v>
      </c>
      <c r="N223" s="46">
        <v>21297.600000000002</v>
      </c>
      <c r="O223" s="46">
        <v>30554.400000000001</v>
      </c>
      <c r="P223" s="98"/>
      <c r="Q223" s="23" t="s">
        <v>1402</v>
      </c>
      <c r="R223" s="24" t="s">
        <v>570</v>
      </c>
      <c r="S223" s="25" t="s">
        <v>50</v>
      </c>
      <c r="T223" s="26">
        <v>5103</v>
      </c>
      <c r="U223" s="26">
        <v>5103</v>
      </c>
      <c r="V223" s="26">
        <v>11.6</v>
      </c>
      <c r="W223" s="257">
        <f t="shared" si="46"/>
        <v>0</v>
      </c>
      <c r="X223" s="26">
        <f t="shared" si="35"/>
        <v>2634</v>
      </c>
      <c r="Y223" s="26">
        <f t="shared" si="47"/>
        <v>0</v>
      </c>
      <c r="Z223" s="26">
        <f t="shared" si="44"/>
        <v>30554.400000000001</v>
      </c>
      <c r="AA223" s="33" t="s">
        <v>15</v>
      </c>
      <c r="AB223" s="36" t="s">
        <v>16</v>
      </c>
      <c r="AC223" s="181">
        <f t="shared" si="41"/>
        <v>5103</v>
      </c>
      <c r="AD223" s="181">
        <f t="shared" si="48"/>
        <v>59194.8</v>
      </c>
      <c r="AE223" s="181">
        <v>1.6</v>
      </c>
      <c r="AF223" s="181">
        <v>1.6</v>
      </c>
      <c r="AG223" s="101" t="str">
        <f t="shared" si="42"/>
        <v/>
      </c>
      <c r="AH223" s="191">
        <f>798+1836</f>
        <v>2634</v>
      </c>
      <c r="AI223" s="69">
        <f t="shared" si="43"/>
        <v>5103</v>
      </c>
    </row>
    <row r="224" spans="1:35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6734.4</v>
      </c>
      <c r="I224" s="75">
        <v>42.46</v>
      </c>
      <c r="J224" s="75">
        <v>285942.62</v>
      </c>
      <c r="K224" s="91" t="s">
        <v>574</v>
      </c>
      <c r="L224" s="73"/>
      <c r="M224" s="46">
        <v>4306</v>
      </c>
      <c r="N224" s="46">
        <v>81735.500000000015</v>
      </c>
      <c r="O224" s="46">
        <v>182832.76</v>
      </c>
      <c r="P224" s="98"/>
      <c r="Q224" s="23" t="s">
        <v>1373</v>
      </c>
      <c r="R224" s="24" t="s">
        <v>573</v>
      </c>
      <c r="S224" s="25" t="s">
        <v>50</v>
      </c>
      <c r="T224" s="26">
        <v>5103</v>
      </c>
      <c r="U224" s="26">
        <v>6734.4</v>
      </c>
      <c r="V224" s="26">
        <v>42.46</v>
      </c>
      <c r="W224" s="257">
        <f t="shared" si="46"/>
        <v>0</v>
      </c>
      <c r="X224" s="26">
        <f t="shared" si="35"/>
        <v>4306</v>
      </c>
      <c r="Y224" s="26">
        <f t="shared" si="47"/>
        <v>0</v>
      </c>
      <c r="Z224" s="26">
        <f t="shared" si="44"/>
        <v>182832.76</v>
      </c>
      <c r="AA224" s="33" t="s">
        <v>15</v>
      </c>
      <c r="AB224" s="36" t="s">
        <v>16</v>
      </c>
      <c r="AC224" s="181">
        <f t="shared" si="41"/>
        <v>6734.4</v>
      </c>
      <c r="AD224" s="181">
        <f t="shared" si="48"/>
        <v>285942.62</v>
      </c>
      <c r="AE224" s="181">
        <v>1.6</v>
      </c>
      <c r="AF224" s="181">
        <v>1.6</v>
      </c>
      <c r="AG224" s="101" t="str">
        <f t="shared" si="42"/>
        <v/>
      </c>
      <c r="AH224" s="191">
        <f>2381+1925</f>
        <v>4306</v>
      </c>
      <c r="AI224" s="69">
        <f t="shared" si="43"/>
        <v>5103</v>
      </c>
    </row>
    <row r="225" spans="1:35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19027.2</v>
      </c>
      <c r="I225" s="75">
        <v>15.96</v>
      </c>
      <c r="J225" s="75">
        <v>303674.11</v>
      </c>
      <c r="K225" s="91" t="s">
        <v>577</v>
      </c>
      <c r="L225" s="73"/>
      <c r="M225" s="46">
        <v>15118</v>
      </c>
      <c r="N225" s="46">
        <v>113826.72</v>
      </c>
      <c r="O225" s="46">
        <v>241283.28</v>
      </c>
      <c r="P225" s="98"/>
      <c r="Q225" s="23" t="s">
        <v>1393</v>
      </c>
      <c r="R225" s="24" t="s">
        <v>576</v>
      </c>
      <c r="S225" s="25" t="s">
        <v>50</v>
      </c>
      <c r="T225" s="26">
        <v>15307</v>
      </c>
      <c r="U225" s="26">
        <v>19027.2</v>
      </c>
      <c r="V225" s="26">
        <v>15.96</v>
      </c>
      <c r="W225" s="257">
        <f t="shared" si="46"/>
        <v>0</v>
      </c>
      <c r="X225" s="26">
        <f t="shared" si="35"/>
        <v>15118</v>
      </c>
      <c r="Y225" s="26">
        <f t="shared" si="47"/>
        <v>0</v>
      </c>
      <c r="Z225" s="26">
        <f t="shared" si="44"/>
        <v>241283.28</v>
      </c>
      <c r="AA225" s="33" t="s">
        <v>15</v>
      </c>
      <c r="AB225" s="36" t="s">
        <v>16</v>
      </c>
      <c r="AC225" s="181">
        <f t="shared" si="41"/>
        <v>19027.2</v>
      </c>
      <c r="AD225" s="181">
        <f t="shared" si="48"/>
        <v>303674.11</v>
      </c>
      <c r="AE225" s="181">
        <v>1.6</v>
      </c>
      <c r="AF225" s="181">
        <v>1.6</v>
      </c>
      <c r="AG225" s="101" t="str">
        <f t="shared" si="42"/>
        <v/>
      </c>
      <c r="AH225" s="191">
        <f>7986+1500+5632</f>
        <v>15118</v>
      </c>
      <c r="AI225" s="69">
        <f t="shared" si="43"/>
        <v>15307</v>
      </c>
    </row>
    <row r="226" spans="1:35" s="69" customFormat="1" ht="39" x14ac:dyDescent="0.3">
      <c r="A226" s="130" t="s">
        <v>578</v>
      </c>
      <c r="B226" s="131" t="s">
        <v>392</v>
      </c>
      <c r="C226" s="132" t="s">
        <v>23</v>
      </c>
      <c r="D226" s="133">
        <v>24</v>
      </c>
      <c r="E226" s="75"/>
      <c r="F226" s="75"/>
      <c r="G226" s="75"/>
      <c r="H226" s="75" t="s">
        <v>15</v>
      </c>
      <c r="I226" s="75">
        <v>3115.13</v>
      </c>
      <c r="J226" s="75">
        <v>74763.12</v>
      </c>
      <c r="K226" s="91" t="s">
        <v>114</v>
      </c>
      <c r="L226" s="73"/>
      <c r="M226" s="46">
        <v>24</v>
      </c>
      <c r="N226" s="46">
        <v>0</v>
      </c>
      <c r="O226" s="46">
        <v>74763.12</v>
      </c>
      <c r="P226" s="98"/>
      <c r="Q226" s="23" t="s">
        <v>1403</v>
      </c>
      <c r="R226" s="24" t="s">
        <v>392</v>
      </c>
      <c r="S226" s="25" t="s">
        <v>23</v>
      </c>
      <c r="T226" s="26">
        <v>24</v>
      </c>
      <c r="U226" s="26">
        <v>24</v>
      </c>
      <c r="V226" s="26">
        <v>3115.13</v>
      </c>
      <c r="W226" s="127">
        <f t="shared" si="46"/>
        <v>0</v>
      </c>
      <c r="X226" s="127">
        <f t="shared" si="35"/>
        <v>24</v>
      </c>
      <c r="Y226" s="127">
        <f t="shared" si="47"/>
        <v>0</v>
      </c>
      <c r="Z226" s="127">
        <f t="shared" si="44"/>
        <v>74763.12</v>
      </c>
      <c r="AA226" s="33" t="s">
        <v>15</v>
      </c>
      <c r="AB226" s="36" t="s">
        <v>16</v>
      </c>
      <c r="AC226" s="181">
        <f t="shared" si="41"/>
        <v>24</v>
      </c>
      <c r="AD226" s="181">
        <f t="shared" si="48"/>
        <v>74763.12</v>
      </c>
      <c r="AE226" s="181">
        <v>1.6</v>
      </c>
      <c r="AF226" s="181">
        <v>1.6</v>
      </c>
      <c r="AG226" s="101" t="str">
        <f t="shared" si="42"/>
        <v/>
      </c>
      <c r="AH226" s="191">
        <f>5+19</f>
        <v>24</v>
      </c>
      <c r="AI226" s="69">
        <f t="shared" si="43"/>
        <v>24</v>
      </c>
    </row>
    <row r="227" spans="1:35" s="69" customFormat="1" ht="39" x14ac:dyDescent="0.3">
      <c r="A227" s="130" t="s">
        <v>579</v>
      </c>
      <c r="B227" s="131" t="s">
        <v>116</v>
      </c>
      <c r="C227" s="132" t="s">
        <v>23</v>
      </c>
      <c r="D227" s="133">
        <v>237</v>
      </c>
      <c r="E227" s="75"/>
      <c r="F227" s="75"/>
      <c r="G227" s="75"/>
      <c r="H227" s="75" t="s">
        <v>15</v>
      </c>
      <c r="I227" s="75">
        <v>3321.13</v>
      </c>
      <c r="J227" s="75">
        <v>787107.81</v>
      </c>
      <c r="K227" s="91" t="s">
        <v>117</v>
      </c>
      <c r="L227" s="73"/>
      <c r="M227" s="46">
        <v>237</v>
      </c>
      <c r="N227" s="46">
        <v>0</v>
      </c>
      <c r="O227" s="46">
        <v>787107.81</v>
      </c>
      <c r="P227" s="98"/>
      <c r="Q227" s="23" t="s">
        <v>1427</v>
      </c>
      <c r="R227" s="24" t="s">
        <v>116</v>
      </c>
      <c r="S227" s="25" t="s">
        <v>23</v>
      </c>
      <c r="T227" s="26">
        <v>237</v>
      </c>
      <c r="U227" s="26">
        <v>237</v>
      </c>
      <c r="V227" s="26">
        <v>3321.13</v>
      </c>
      <c r="W227" s="127">
        <f t="shared" si="46"/>
        <v>0</v>
      </c>
      <c r="X227" s="127">
        <f t="shared" si="35"/>
        <v>237</v>
      </c>
      <c r="Y227" s="127">
        <f t="shared" si="47"/>
        <v>0</v>
      </c>
      <c r="Z227" s="127">
        <f t="shared" si="44"/>
        <v>787107.81</v>
      </c>
      <c r="AA227" s="33" t="s">
        <v>15</v>
      </c>
      <c r="AB227" s="36" t="s">
        <v>16</v>
      </c>
      <c r="AC227" s="181">
        <f t="shared" si="41"/>
        <v>237</v>
      </c>
      <c r="AD227" s="181">
        <f t="shared" si="48"/>
        <v>787107.81</v>
      </c>
      <c r="AE227" s="181">
        <v>1.6</v>
      </c>
      <c r="AF227" s="181">
        <v>1.6</v>
      </c>
      <c r="AG227" s="101" t="str">
        <f t="shared" si="42"/>
        <v/>
      </c>
      <c r="AH227" s="191">
        <f>120.35+103.6+13.05</f>
        <v>237</v>
      </c>
      <c r="AI227" s="69">
        <f t="shared" si="43"/>
        <v>237</v>
      </c>
    </row>
    <row r="228" spans="1:35" s="69" customFormat="1" ht="39" x14ac:dyDescent="0.3">
      <c r="A228" s="130" t="s">
        <v>580</v>
      </c>
      <c r="B228" s="131" t="s">
        <v>493</v>
      </c>
      <c r="C228" s="132" t="s">
        <v>23</v>
      </c>
      <c r="D228" s="133">
        <v>261</v>
      </c>
      <c r="E228" s="75"/>
      <c r="F228" s="75"/>
      <c r="G228" s="75"/>
      <c r="H228" s="75" t="s">
        <v>15</v>
      </c>
      <c r="I228" s="75">
        <v>200</v>
      </c>
      <c r="J228" s="75">
        <v>52200</v>
      </c>
      <c r="K228" s="91" t="s">
        <v>494</v>
      </c>
      <c r="L228" s="73"/>
      <c r="M228" s="46">
        <v>261</v>
      </c>
      <c r="N228" s="46">
        <v>0</v>
      </c>
      <c r="O228" s="46">
        <v>52200</v>
      </c>
      <c r="P228" s="98"/>
      <c r="Q228" s="23" t="s">
        <v>1428</v>
      </c>
      <c r="R228" s="24" t="s">
        <v>493</v>
      </c>
      <c r="S228" s="25" t="s">
        <v>23</v>
      </c>
      <c r="T228" s="26">
        <v>261</v>
      </c>
      <c r="U228" s="26">
        <v>261</v>
      </c>
      <c r="V228" s="26">
        <v>200</v>
      </c>
      <c r="W228" s="127">
        <f t="shared" si="46"/>
        <v>0</v>
      </c>
      <c r="X228" s="127">
        <f t="shared" si="35"/>
        <v>261</v>
      </c>
      <c r="Y228" s="127">
        <f t="shared" si="47"/>
        <v>0</v>
      </c>
      <c r="Z228" s="127">
        <f t="shared" si="44"/>
        <v>52200</v>
      </c>
      <c r="AA228" s="33" t="s">
        <v>15</v>
      </c>
      <c r="AB228" s="36" t="s">
        <v>16</v>
      </c>
      <c r="AC228" s="181">
        <f t="shared" si="41"/>
        <v>261</v>
      </c>
      <c r="AD228" s="181">
        <f t="shared" si="48"/>
        <v>52200</v>
      </c>
      <c r="AE228" s="181">
        <v>1.6</v>
      </c>
      <c r="AF228" s="181">
        <v>1.6</v>
      </c>
      <c r="AG228" s="101" t="str">
        <f t="shared" si="42"/>
        <v/>
      </c>
      <c r="AH228" s="191">
        <f>AH226+AH227</f>
        <v>261</v>
      </c>
      <c r="AI228" s="69">
        <f t="shared" si="43"/>
        <v>261</v>
      </c>
    </row>
    <row r="229" spans="1:35" s="69" customFormat="1" ht="33" x14ac:dyDescent="0.3">
      <c r="A229" s="130" t="s">
        <v>581</v>
      </c>
      <c r="B229" s="131" t="s">
        <v>582</v>
      </c>
      <c r="C229" s="132" t="s">
        <v>50</v>
      </c>
      <c r="D229" s="133">
        <v>745</v>
      </c>
      <c r="E229" s="75"/>
      <c r="F229" s="75"/>
      <c r="G229" s="75"/>
      <c r="H229" s="75" t="s">
        <v>15</v>
      </c>
      <c r="I229" s="75">
        <v>698.31</v>
      </c>
      <c r="J229" s="75">
        <v>520240.95</v>
      </c>
      <c r="K229" s="91" t="s">
        <v>583</v>
      </c>
      <c r="L229" s="73"/>
      <c r="M229" s="46">
        <v>745</v>
      </c>
      <c r="N229" s="46">
        <v>0</v>
      </c>
      <c r="O229" s="46">
        <v>520240.95</v>
      </c>
      <c r="P229" s="98"/>
      <c r="Q229" s="23" t="s">
        <v>1387</v>
      </c>
      <c r="R229" s="24" t="s">
        <v>582</v>
      </c>
      <c r="S229" s="25" t="s">
        <v>50</v>
      </c>
      <c r="T229" s="26">
        <v>745</v>
      </c>
      <c r="U229" s="26">
        <v>745</v>
      </c>
      <c r="V229" s="26">
        <v>698.31</v>
      </c>
      <c r="W229" s="127">
        <f t="shared" si="46"/>
        <v>0</v>
      </c>
      <c r="X229" s="127">
        <f t="shared" si="35"/>
        <v>745</v>
      </c>
      <c r="Y229" s="127">
        <f t="shared" si="47"/>
        <v>0</v>
      </c>
      <c r="Z229" s="127">
        <f t="shared" si="44"/>
        <v>520240.95</v>
      </c>
      <c r="AA229" s="33" t="s">
        <v>15</v>
      </c>
      <c r="AB229" s="36" t="s">
        <v>16</v>
      </c>
      <c r="AC229" s="181">
        <f t="shared" si="41"/>
        <v>745</v>
      </c>
      <c r="AD229" s="181">
        <f t="shared" si="48"/>
        <v>520240.95</v>
      </c>
      <c r="AE229" s="181">
        <v>1.6</v>
      </c>
      <c r="AF229" s="181">
        <v>1.6</v>
      </c>
      <c r="AG229" s="101" t="str">
        <f t="shared" si="42"/>
        <v/>
      </c>
      <c r="AH229" s="191">
        <f>256+312+177</f>
        <v>745</v>
      </c>
      <c r="AI229" s="69">
        <f t="shared" si="43"/>
        <v>745</v>
      </c>
    </row>
    <row r="230" spans="1:35" s="69" customFormat="1" ht="41.25" x14ac:dyDescent="0.3">
      <c r="A230" s="130" t="s">
        <v>584</v>
      </c>
      <c r="B230" s="131" t="s">
        <v>119</v>
      </c>
      <c r="C230" s="132" t="s">
        <v>50</v>
      </c>
      <c r="D230" s="133">
        <v>915</v>
      </c>
      <c r="E230" s="75"/>
      <c r="F230" s="75"/>
      <c r="G230" s="75"/>
      <c r="H230" s="75" t="s">
        <v>15</v>
      </c>
      <c r="I230" s="75">
        <v>533.64</v>
      </c>
      <c r="J230" s="75">
        <v>488280.6</v>
      </c>
      <c r="K230" s="91" t="s">
        <v>120</v>
      </c>
      <c r="L230" s="73"/>
      <c r="M230" s="46">
        <v>915</v>
      </c>
      <c r="N230" s="46">
        <v>0</v>
      </c>
      <c r="O230" s="46">
        <v>488280.6</v>
      </c>
      <c r="P230" s="98"/>
      <c r="Q230" s="23" t="s">
        <v>1405</v>
      </c>
      <c r="R230" s="24" t="s">
        <v>119</v>
      </c>
      <c r="S230" s="25" t="s">
        <v>50</v>
      </c>
      <c r="T230" s="26">
        <v>915</v>
      </c>
      <c r="U230" s="26">
        <v>915</v>
      </c>
      <c r="V230" s="26">
        <v>533.64</v>
      </c>
      <c r="W230" s="127">
        <f t="shared" si="46"/>
        <v>0</v>
      </c>
      <c r="X230" s="127">
        <f t="shared" si="35"/>
        <v>915</v>
      </c>
      <c r="Y230" s="127">
        <f t="shared" si="47"/>
        <v>0</v>
      </c>
      <c r="Z230" s="127">
        <f t="shared" si="44"/>
        <v>488280.6</v>
      </c>
      <c r="AA230" s="33" t="s">
        <v>15</v>
      </c>
      <c r="AB230" s="36" t="s">
        <v>16</v>
      </c>
      <c r="AC230" s="181">
        <f t="shared" si="41"/>
        <v>915</v>
      </c>
      <c r="AD230" s="181">
        <f t="shared" si="48"/>
        <v>488280.6</v>
      </c>
      <c r="AE230" s="181">
        <v>1.6</v>
      </c>
      <c r="AF230" s="181">
        <v>1.6</v>
      </c>
      <c r="AG230" s="101" t="str">
        <f t="shared" si="42"/>
        <v/>
      </c>
      <c r="AH230" s="191">
        <f>254.5+622+38.5</f>
        <v>915</v>
      </c>
      <c r="AI230" s="69">
        <f t="shared" si="43"/>
        <v>915</v>
      </c>
    </row>
    <row r="231" spans="1:35" s="69" customFormat="1" ht="33" x14ac:dyDescent="0.3">
      <c r="A231" s="130" t="s">
        <v>585</v>
      </c>
      <c r="B231" s="131" t="s">
        <v>109</v>
      </c>
      <c r="C231" s="132" t="s">
        <v>110</v>
      </c>
      <c r="D231" s="133">
        <v>9227</v>
      </c>
      <c r="E231" s="75"/>
      <c r="F231" s="75"/>
      <c r="G231" s="75"/>
      <c r="H231" s="75" t="s">
        <v>15</v>
      </c>
      <c r="I231" s="75">
        <v>36.4</v>
      </c>
      <c r="J231" s="75">
        <v>335862.8</v>
      </c>
      <c r="K231" s="91" t="s">
        <v>111</v>
      </c>
      <c r="L231" s="73"/>
      <c r="M231" s="46">
        <v>9227</v>
      </c>
      <c r="N231" s="46">
        <v>0</v>
      </c>
      <c r="O231" s="46">
        <v>335862.8</v>
      </c>
      <c r="P231" s="98"/>
      <c r="Q231" s="23" t="s">
        <v>1406</v>
      </c>
      <c r="R231" s="24" t="s">
        <v>109</v>
      </c>
      <c r="S231" s="25" t="s">
        <v>110</v>
      </c>
      <c r="T231" s="26">
        <v>9227</v>
      </c>
      <c r="U231" s="26">
        <v>9227</v>
      </c>
      <c r="V231" s="26">
        <v>36.4</v>
      </c>
      <c r="W231" s="127">
        <f t="shared" si="46"/>
        <v>0</v>
      </c>
      <c r="X231" s="127">
        <f t="shared" si="35"/>
        <v>9227</v>
      </c>
      <c r="Y231" s="127">
        <f t="shared" si="47"/>
        <v>0</v>
      </c>
      <c r="Z231" s="127">
        <f t="shared" si="44"/>
        <v>335862.8</v>
      </c>
      <c r="AA231" s="33" t="s">
        <v>15</v>
      </c>
      <c r="AB231" s="36" t="s">
        <v>16</v>
      </c>
      <c r="AC231" s="181">
        <f t="shared" si="41"/>
        <v>9227</v>
      </c>
      <c r="AD231" s="181">
        <f t="shared" si="48"/>
        <v>335862.8</v>
      </c>
      <c r="AE231" s="181">
        <v>1.6</v>
      </c>
      <c r="AF231" s="181">
        <v>1.6</v>
      </c>
      <c r="AG231" s="101" t="str">
        <f t="shared" si="42"/>
        <v/>
      </c>
      <c r="AH231" s="191">
        <v>9227</v>
      </c>
      <c r="AI231" s="69">
        <f t="shared" si="43"/>
        <v>9227</v>
      </c>
    </row>
    <row r="232" spans="1:35" s="69" customFormat="1" ht="58.5" x14ac:dyDescent="0.3">
      <c r="A232" s="130" t="s">
        <v>586</v>
      </c>
      <c r="B232" s="131" t="s">
        <v>587</v>
      </c>
      <c r="C232" s="132" t="s">
        <v>513</v>
      </c>
      <c r="D232" s="133">
        <v>189</v>
      </c>
      <c r="E232" s="75"/>
      <c r="F232" s="75"/>
      <c r="G232" s="75"/>
      <c r="H232" s="75" t="s">
        <v>15</v>
      </c>
      <c r="I232" s="75">
        <v>40</v>
      </c>
      <c r="J232" s="75">
        <v>7560</v>
      </c>
      <c r="K232" s="91" t="s">
        <v>588</v>
      </c>
      <c r="L232" s="73"/>
      <c r="M232" s="46">
        <v>0</v>
      </c>
      <c r="N232" s="46">
        <v>0</v>
      </c>
      <c r="O232" s="46">
        <v>0</v>
      </c>
      <c r="P232" s="98"/>
      <c r="Q232" s="23" t="s">
        <v>1414</v>
      </c>
      <c r="R232" s="24" t="s">
        <v>587</v>
      </c>
      <c r="S232" s="25" t="s">
        <v>513</v>
      </c>
      <c r="T232" s="26">
        <v>189</v>
      </c>
      <c r="U232" s="26">
        <v>189</v>
      </c>
      <c r="V232" s="26">
        <v>40</v>
      </c>
      <c r="W232" s="127">
        <f t="shared" si="46"/>
        <v>0</v>
      </c>
      <c r="X232" s="127">
        <f t="shared" si="35"/>
        <v>0</v>
      </c>
      <c r="Y232" s="127">
        <f t="shared" si="47"/>
        <v>0</v>
      </c>
      <c r="Z232" s="127">
        <f t="shared" si="44"/>
        <v>0</v>
      </c>
      <c r="AA232" s="33" t="s">
        <v>15</v>
      </c>
      <c r="AB232" s="36" t="s">
        <v>16</v>
      </c>
      <c r="AC232" s="181">
        <f t="shared" si="41"/>
        <v>189</v>
      </c>
      <c r="AD232" s="181">
        <f t="shared" si="48"/>
        <v>7560</v>
      </c>
      <c r="AE232" s="181">
        <v>1.6</v>
      </c>
      <c r="AF232" s="181">
        <v>1.6</v>
      </c>
      <c r="AG232" s="101" t="str">
        <f t="shared" si="42"/>
        <v/>
      </c>
      <c r="AH232" s="190">
        <v>0</v>
      </c>
      <c r="AI232" s="69">
        <f t="shared" si="43"/>
        <v>189</v>
      </c>
    </row>
    <row r="233" spans="1:35" s="69" customFormat="1" ht="58.5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 t="s">
        <v>15</v>
      </c>
      <c r="I233" s="75">
        <v>3615.3</v>
      </c>
      <c r="J233" s="75">
        <v>426605.4</v>
      </c>
      <c r="K233" s="91" t="s">
        <v>591</v>
      </c>
      <c r="L233" s="73"/>
      <c r="M233" s="46">
        <v>108</v>
      </c>
      <c r="N233" s="46">
        <v>0</v>
      </c>
      <c r="O233" s="46">
        <v>390452.4</v>
      </c>
      <c r="P233" s="98"/>
      <c r="Q233" s="23" t="s">
        <v>1429</v>
      </c>
      <c r="R233" s="24" t="s">
        <v>590</v>
      </c>
      <c r="S233" s="25" t="s">
        <v>325</v>
      </c>
      <c r="T233" s="26">
        <v>118</v>
      </c>
      <c r="U233" s="26">
        <v>118</v>
      </c>
      <c r="V233" s="26">
        <v>3615.3</v>
      </c>
      <c r="W233" s="243">
        <f t="shared" si="46"/>
        <v>0</v>
      </c>
      <c r="X233" s="26">
        <f t="shared" si="35"/>
        <v>108</v>
      </c>
      <c r="Y233" s="26">
        <f t="shared" si="47"/>
        <v>0</v>
      </c>
      <c r="Z233" s="26">
        <f t="shared" si="44"/>
        <v>390452.4</v>
      </c>
      <c r="AA233" s="33" t="s">
        <v>15</v>
      </c>
      <c r="AB233" s="36" t="s">
        <v>16</v>
      </c>
      <c r="AC233" s="181">
        <f t="shared" si="41"/>
        <v>118</v>
      </c>
      <c r="AD233" s="181">
        <f t="shared" si="48"/>
        <v>426605.4</v>
      </c>
      <c r="AE233" s="181">
        <v>1.6</v>
      </c>
      <c r="AF233" s="181">
        <v>1.6</v>
      </c>
      <c r="AG233" s="101" t="str">
        <f t="shared" si="42"/>
        <v/>
      </c>
      <c r="AH233" s="191">
        <f>40+42+26</f>
        <v>108</v>
      </c>
      <c r="AI233" s="69">
        <f t="shared" si="43"/>
        <v>118</v>
      </c>
    </row>
    <row r="234" spans="1:35" s="69" customFormat="1" ht="58.5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 t="s">
        <v>15</v>
      </c>
      <c r="I234" s="75">
        <v>113.98</v>
      </c>
      <c r="J234" s="75">
        <v>316066.53999999998</v>
      </c>
      <c r="K234" s="91" t="s">
        <v>594</v>
      </c>
      <c r="L234" s="73"/>
      <c r="M234" s="46">
        <v>2487</v>
      </c>
      <c r="N234" s="46">
        <v>0</v>
      </c>
      <c r="O234" s="46">
        <v>283468.26</v>
      </c>
      <c r="P234" s="98"/>
      <c r="Q234" s="23" t="s">
        <v>1430</v>
      </c>
      <c r="R234" s="24" t="s">
        <v>593</v>
      </c>
      <c r="S234" s="25" t="s">
        <v>110</v>
      </c>
      <c r="T234" s="26">
        <v>2773</v>
      </c>
      <c r="U234" s="26">
        <v>2773</v>
      </c>
      <c r="V234" s="26">
        <v>113.98</v>
      </c>
      <c r="W234" s="243">
        <f t="shared" si="46"/>
        <v>0</v>
      </c>
      <c r="X234" s="26">
        <f t="shared" si="35"/>
        <v>2487</v>
      </c>
      <c r="Y234" s="26">
        <f t="shared" si="47"/>
        <v>0</v>
      </c>
      <c r="Z234" s="26">
        <f t="shared" si="44"/>
        <v>283468.26</v>
      </c>
      <c r="AA234" s="33" t="s">
        <v>15</v>
      </c>
      <c r="AB234" s="36" t="s">
        <v>16</v>
      </c>
      <c r="AC234" s="181">
        <f t="shared" si="41"/>
        <v>2773</v>
      </c>
      <c r="AD234" s="181">
        <f t="shared" si="48"/>
        <v>316066.53999999998</v>
      </c>
      <c r="AE234" s="181">
        <v>1.6</v>
      </c>
      <c r="AF234" s="181">
        <v>1.6</v>
      </c>
      <c r="AG234" s="101" t="str">
        <f t="shared" si="42"/>
        <v/>
      </c>
      <c r="AH234" s="191">
        <f>940+962+585</f>
        <v>2487</v>
      </c>
      <c r="AI234" s="69">
        <f t="shared" si="43"/>
        <v>2773</v>
      </c>
    </row>
    <row r="235" spans="1:35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6" t="s">
        <v>15</v>
      </c>
      <c r="I235" s="75">
        <v>138.84</v>
      </c>
      <c r="J235" s="75">
        <v>15550.08</v>
      </c>
      <c r="K235" s="91" t="s">
        <v>190</v>
      </c>
      <c r="L235" s="73"/>
      <c r="M235" s="46">
        <v>112</v>
      </c>
      <c r="N235" s="46">
        <v>15550.08</v>
      </c>
      <c r="O235" s="46">
        <v>15550.08</v>
      </c>
      <c r="P235" s="98"/>
      <c r="Q235" s="23" t="s">
        <v>1431</v>
      </c>
      <c r="R235" s="24" t="s">
        <v>189</v>
      </c>
      <c r="S235" s="25" t="s">
        <v>30</v>
      </c>
      <c r="T235" s="26">
        <v>112</v>
      </c>
      <c r="U235" s="26">
        <v>112</v>
      </c>
      <c r="V235" s="26">
        <v>138.84</v>
      </c>
      <c r="W235" s="243">
        <f t="shared" si="46"/>
        <v>0</v>
      </c>
      <c r="X235" s="127">
        <f t="shared" si="35"/>
        <v>112</v>
      </c>
      <c r="Y235" s="127">
        <f t="shared" si="47"/>
        <v>0</v>
      </c>
      <c r="Z235" s="127">
        <f t="shared" si="44"/>
        <v>15550.08</v>
      </c>
      <c r="AA235" s="33" t="s">
        <v>15</v>
      </c>
      <c r="AB235" s="36" t="s">
        <v>16</v>
      </c>
      <c r="AC235" s="181">
        <f t="shared" si="41"/>
        <v>112</v>
      </c>
      <c r="AD235" s="181">
        <f t="shared" si="48"/>
        <v>15550.08</v>
      </c>
      <c r="AE235" s="181">
        <v>1.6</v>
      </c>
      <c r="AF235" s="181">
        <v>1.6</v>
      </c>
      <c r="AG235" s="101" t="str">
        <f t="shared" si="42"/>
        <v/>
      </c>
      <c r="AH235" s="191">
        <f>112</f>
        <v>112</v>
      </c>
      <c r="AI235" s="69">
        <f t="shared" si="43"/>
        <v>112</v>
      </c>
    </row>
    <row r="236" spans="1:35" ht="39" x14ac:dyDescent="0.3">
      <c r="A236" s="134" t="s">
        <v>1334</v>
      </c>
      <c r="B236" s="135" t="s">
        <v>1335</v>
      </c>
      <c r="C236" s="204" t="s">
        <v>50</v>
      </c>
      <c r="D236" s="133"/>
      <c r="E236" s="78"/>
      <c r="F236" s="62">
        <v>518.22</v>
      </c>
      <c r="G236" s="140"/>
      <c r="H236" s="62" t="s">
        <v>15</v>
      </c>
      <c r="I236" s="167">
        <v>868.85</v>
      </c>
      <c r="J236" s="62">
        <v>450255.45</v>
      </c>
      <c r="K236" s="93"/>
      <c r="M236" s="46">
        <v>518.22</v>
      </c>
      <c r="N236" s="46">
        <v>0</v>
      </c>
      <c r="O236" s="46">
        <v>450255.45</v>
      </c>
      <c r="P236" s="98"/>
      <c r="Q236" s="23" t="s">
        <v>1395</v>
      </c>
      <c r="R236" s="24" t="s">
        <v>1396</v>
      </c>
      <c r="S236" s="25" t="s">
        <v>50</v>
      </c>
      <c r="T236" s="26">
        <v>0</v>
      </c>
      <c r="U236" s="26">
        <v>518.22</v>
      </c>
      <c r="V236" s="26">
        <v>868.85</v>
      </c>
      <c r="W236" s="209">
        <f t="shared" si="46"/>
        <v>0</v>
      </c>
      <c r="X236" s="127">
        <f t="shared" si="35"/>
        <v>518.22</v>
      </c>
      <c r="Y236" s="127">
        <f t="shared" si="47"/>
        <v>0</v>
      </c>
      <c r="Z236" s="127">
        <f t="shared" si="44"/>
        <v>450255.45</v>
      </c>
      <c r="AA236" s="27"/>
      <c r="AB236" s="36" t="s">
        <v>16</v>
      </c>
      <c r="AC236" s="181">
        <f t="shared" si="41"/>
        <v>518.22</v>
      </c>
      <c r="AD236" s="181">
        <f t="shared" si="48"/>
        <v>450255.45</v>
      </c>
      <c r="AE236" s="181">
        <v>1.6</v>
      </c>
      <c r="AF236" s="181">
        <v>1.6</v>
      </c>
      <c r="AG236" s="101" t="str">
        <f t="shared" si="42"/>
        <v/>
      </c>
      <c r="AH236" s="191">
        <f>143.5+296.2+78.52</f>
        <v>518.22</v>
      </c>
      <c r="AI236" s="69">
        <f t="shared" si="43"/>
        <v>518.22</v>
      </c>
    </row>
    <row r="237" spans="1:35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4" t="s">
        <v>15</v>
      </c>
      <c r="I237" s="82"/>
      <c r="J237" s="82">
        <v>7859013.9699999997</v>
      </c>
      <c r="K237" s="94" t="s">
        <v>15</v>
      </c>
      <c r="L237" s="73"/>
      <c r="M237" s="45">
        <v>1</v>
      </c>
      <c r="N237" s="45">
        <v>344615.33999999997</v>
      </c>
      <c r="O237" s="45">
        <v>3422914.66</v>
      </c>
      <c r="P237" s="98"/>
      <c r="Q237" s="18" t="s">
        <v>1397</v>
      </c>
      <c r="R237" s="19" t="s">
        <v>597</v>
      </c>
      <c r="S237" s="20" t="s">
        <v>14</v>
      </c>
      <c r="T237" s="21">
        <v>1</v>
      </c>
      <c r="U237" s="21"/>
      <c r="V237" s="21">
        <f>SUMIFS(AD:AD,AE:AE,AE237)</f>
        <v>7859013.9699999997</v>
      </c>
      <c r="W237" s="21">
        <f t="shared" ref="W237:X237" si="49">IF(Y237=0,0,1)</f>
        <v>1</v>
      </c>
      <c r="X237" s="21">
        <f t="shared" si="49"/>
        <v>1</v>
      </c>
      <c r="Y237" s="21">
        <f>SUMIFS(Y:Y,AF:AF,AE237)</f>
        <v>645769.28</v>
      </c>
      <c r="Z237" s="21">
        <f>SUMIFS(Z:Z,AF:AF,AE237)</f>
        <v>4068683.94</v>
      </c>
      <c r="AA237" s="22" t="s">
        <v>15</v>
      </c>
      <c r="AB237" s="43" t="s">
        <v>16</v>
      </c>
      <c r="AC237" s="181">
        <f t="shared" si="41"/>
        <v>1</v>
      </c>
      <c r="AD237" s="184"/>
      <c r="AE237" s="184">
        <v>1.7</v>
      </c>
      <c r="AF237" s="184"/>
      <c r="AG237" s="101" t="str">
        <f t="shared" si="42"/>
        <v/>
      </c>
      <c r="AH237" s="190">
        <v>1</v>
      </c>
      <c r="AI237" s="69">
        <f t="shared" si="43"/>
        <v>1</v>
      </c>
    </row>
    <row r="238" spans="1:35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 t="s">
        <v>15</v>
      </c>
      <c r="I238" s="75">
        <v>704.52</v>
      </c>
      <c r="J238" s="75">
        <v>1829427.08</v>
      </c>
      <c r="K238" s="91" t="s">
        <v>600</v>
      </c>
      <c r="L238" s="73"/>
      <c r="M238" s="46">
        <v>1273</v>
      </c>
      <c r="N238" s="46">
        <v>276171.83999999997</v>
      </c>
      <c r="O238" s="46">
        <v>896853.96</v>
      </c>
      <c r="P238" s="98"/>
      <c r="Q238" s="23" t="s">
        <v>1421</v>
      </c>
      <c r="R238" s="24" t="s">
        <v>599</v>
      </c>
      <c r="S238" s="25" t="s">
        <v>103</v>
      </c>
      <c r="T238" s="26">
        <v>2596.6999999999998</v>
      </c>
      <c r="U238" s="26">
        <v>2596.6999999999998</v>
      </c>
      <c r="V238" s="26">
        <v>704.52</v>
      </c>
      <c r="W238" s="243">
        <f t="shared" ref="W238:W301" si="50">AH238-M238</f>
        <v>112</v>
      </c>
      <c r="X238" s="26">
        <f t="shared" si="35"/>
        <v>1385</v>
      </c>
      <c r="Y238" s="26">
        <f t="shared" ref="Y238:Y301" si="51">Z238-O238</f>
        <v>78906.239999999991</v>
      </c>
      <c r="Z238" s="26">
        <f t="shared" si="44"/>
        <v>975760.2</v>
      </c>
      <c r="AA238" s="33" t="s">
        <v>15</v>
      </c>
      <c r="AB238" s="36" t="s">
        <v>16</v>
      </c>
      <c r="AC238" s="181">
        <f t="shared" si="41"/>
        <v>2596.6999999999998</v>
      </c>
      <c r="AD238" s="181">
        <f t="shared" ref="AD238:AD301" si="52">ROUND(V238*AC238,2)</f>
        <v>1829427.08</v>
      </c>
      <c r="AE238" s="181">
        <v>1.7</v>
      </c>
      <c r="AF238" s="181">
        <v>1.7</v>
      </c>
      <c r="AG238" s="101" t="str">
        <f t="shared" si="42"/>
        <v/>
      </c>
      <c r="AH238" s="191">
        <f>316+565+392+112</f>
        <v>1385</v>
      </c>
      <c r="AI238" s="69">
        <f t="shared" si="43"/>
        <v>2596.6999999999998</v>
      </c>
    </row>
    <row r="239" spans="1:35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 t="s">
        <v>15</v>
      </c>
      <c r="I239" s="75">
        <v>400</v>
      </c>
      <c r="J239" s="75">
        <v>50400</v>
      </c>
      <c r="K239" s="91" t="s">
        <v>603</v>
      </c>
      <c r="L239" s="73"/>
      <c r="M239" s="46">
        <v>0</v>
      </c>
      <c r="N239" s="46">
        <v>0</v>
      </c>
      <c r="O239" s="46">
        <v>0</v>
      </c>
      <c r="P239" s="98"/>
      <c r="Q239" s="23" t="s">
        <v>1426</v>
      </c>
      <c r="R239" s="24" t="s">
        <v>602</v>
      </c>
      <c r="S239" s="25" t="s">
        <v>559</v>
      </c>
      <c r="T239" s="26">
        <v>126</v>
      </c>
      <c r="U239" s="26">
        <v>126</v>
      </c>
      <c r="V239" s="26">
        <v>400</v>
      </c>
      <c r="W239" s="26">
        <f t="shared" si="50"/>
        <v>0</v>
      </c>
      <c r="X239" s="26">
        <f t="shared" si="35"/>
        <v>0</v>
      </c>
      <c r="Y239" s="26">
        <f t="shared" si="51"/>
        <v>0</v>
      </c>
      <c r="Z239" s="26">
        <f t="shared" si="44"/>
        <v>0</v>
      </c>
      <c r="AA239" s="33" t="s">
        <v>15</v>
      </c>
      <c r="AB239" s="36" t="s">
        <v>16</v>
      </c>
      <c r="AC239" s="181">
        <f t="shared" si="41"/>
        <v>126</v>
      </c>
      <c r="AD239" s="181">
        <f t="shared" si="52"/>
        <v>50400</v>
      </c>
      <c r="AE239" s="181">
        <v>1.7</v>
      </c>
      <c r="AF239" s="181">
        <v>1.7</v>
      </c>
      <c r="AG239" s="101" t="str">
        <f t="shared" si="42"/>
        <v/>
      </c>
      <c r="AH239" s="190">
        <v>0</v>
      </c>
      <c r="AI239" s="69">
        <f t="shared" si="43"/>
        <v>126</v>
      </c>
    </row>
    <row r="240" spans="1:35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 t="s">
        <v>15</v>
      </c>
      <c r="I240" s="75">
        <v>3569.95</v>
      </c>
      <c r="J240" s="75">
        <v>42839.4</v>
      </c>
      <c r="K240" s="91" t="s">
        <v>607</v>
      </c>
      <c r="L240" s="73"/>
      <c r="M240" s="46">
        <v>0</v>
      </c>
      <c r="N240" s="46">
        <v>0</v>
      </c>
      <c r="O240" s="46">
        <v>0</v>
      </c>
      <c r="P240" s="98"/>
      <c r="Q240" s="23" t="s">
        <v>1402</v>
      </c>
      <c r="R240" s="24" t="s">
        <v>605</v>
      </c>
      <c r="S240" s="25" t="s">
        <v>606</v>
      </c>
      <c r="T240" s="26">
        <v>12</v>
      </c>
      <c r="U240" s="26">
        <v>12</v>
      </c>
      <c r="V240" s="26">
        <v>3569.95</v>
      </c>
      <c r="W240" s="26">
        <f t="shared" si="50"/>
        <v>0</v>
      </c>
      <c r="X240" s="26">
        <f t="shared" si="35"/>
        <v>0</v>
      </c>
      <c r="Y240" s="26">
        <f t="shared" si="51"/>
        <v>0</v>
      </c>
      <c r="Z240" s="26">
        <f t="shared" si="44"/>
        <v>0</v>
      </c>
      <c r="AA240" s="33" t="s">
        <v>15</v>
      </c>
      <c r="AB240" s="36" t="s">
        <v>16</v>
      </c>
      <c r="AC240" s="181">
        <f t="shared" si="41"/>
        <v>12</v>
      </c>
      <c r="AD240" s="181">
        <f t="shared" si="52"/>
        <v>42839.4</v>
      </c>
      <c r="AE240" s="181">
        <v>1.7</v>
      </c>
      <c r="AF240" s="181">
        <v>1.7</v>
      </c>
      <c r="AG240" s="101" t="str">
        <f t="shared" si="42"/>
        <v/>
      </c>
      <c r="AH240" s="190">
        <v>0</v>
      </c>
      <c r="AI240" s="69">
        <f t="shared" si="43"/>
        <v>12</v>
      </c>
    </row>
    <row r="241" spans="1:35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 t="s">
        <v>15</v>
      </c>
      <c r="I241" s="75">
        <v>4083.1</v>
      </c>
      <c r="J241" s="75">
        <v>73495.8</v>
      </c>
      <c r="K241" s="91" t="s">
        <v>610</v>
      </c>
      <c r="L241" s="73"/>
      <c r="M241" s="46">
        <v>5</v>
      </c>
      <c r="N241" s="46">
        <v>0</v>
      </c>
      <c r="O241" s="46">
        <v>20415.5</v>
      </c>
      <c r="P241" s="98"/>
      <c r="Q241" s="23" t="s">
        <v>1373</v>
      </c>
      <c r="R241" s="24" t="s">
        <v>609</v>
      </c>
      <c r="S241" s="25" t="s">
        <v>606</v>
      </c>
      <c r="T241" s="26">
        <v>18</v>
      </c>
      <c r="U241" s="26">
        <v>18</v>
      </c>
      <c r="V241" s="26">
        <v>4083.1</v>
      </c>
      <c r="W241" s="26">
        <f t="shared" si="50"/>
        <v>0</v>
      </c>
      <c r="X241" s="26">
        <f t="shared" si="35"/>
        <v>5</v>
      </c>
      <c r="Y241" s="26">
        <f t="shared" si="51"/>
        <v>0</v>
      </c>
      <c r="Z241" s="26">
        <f t="shared" si="44"/>
        <v>20415.5</v>
      </c>
      <c r="AA241" s="33" t="s">
        <v>15</v>
      </c>
      <c r="AB241" s="36" t="s">
        <v>16</v>
      </c>
      <c r="AC241" s="181">
        <f t="shared" si="41"/>
        <v>18</v>
      </c>
      <c r="AD241" s="181">
        <f t="shared" si="52"/>
        <v>73495.8</v>
      </c>
      <c r="AE241" s="181">
        <v>1.7</v>
      </c>
      <c r="AF241" s="181">
        <v>1.7</v>
      </c>
      <c r="AG241" s="101" t="str">
        <f t="shared" si="42"/>
        <v/>
      </c>
      <c r="AH241" s="190">
        <v>5</v>
      </c>
      <c r="AI241" s="69">
        <f t="shared" si="43"/>
        <v>18</v>
      </c>
    </row>
    <row r="242" spans="1:35" s="69" customFormat="1" ht="39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203"/>
      <c r="F242" s="203"/>
      <c r="G242" s="203"/>
      <c r="H242" s="203" t="s">
        <v>15</v>
      </c>
      <c r="I242" s="75">
        <v>7408.5</v>
      </c>
      <c r="J242" s="75">
        <v>37042.5</v>
      </c>
      <c r="K242" s="91" t="s">
        <v>613</v>
      </c>
      <c r="L242" s="73"/>
      <c r="M242" s="46">
        <v>5</v>
      </c>
      <c r="N242" s="46">
        <v>0</v>
      </c>
      <c r="O242" s="46">
        <v>37042.5</v>
      </c>
      <c r="P242" s="98"/>
      <c r="Q242" s="23" t="s">
        <v>1393</v>
      </c>
      <c r="R242" s="24" t="s">
        <v>612</v>
      </c>
      <c r="S242" s="25" t="s">
        <v>606</v>
      </c>
      <c r="T242" s="26">
        <v>5</v>
      </c>
      <c r="U242" s="26">
        <v>5</v>
      </c>
      <c r="V242" s="26">
        <v>7408.5</v>
      </c>
      <c r="W242" s="127">
        <f t="shared" si="50"/>
        <v>0</v>
      </c>
      <c r="X242" s="127">
        <f t="shared" ref="X242:X305" si="53">W242+M242</f>
        <v>5</v>
      </c>
      <c r="Y242" s="127">
        <f t="shared" si="51"/>
        <v>0</v>
      </c>
      <c r="Z242" s="127">
        <f t="shared" si="44"/>
        <v>37042.5</v>
      </c>
      <c r="AA242" s="33" t="s">
        <v>15</v>
      </c>
      <c r="AB242" s="36" t="s">
        <v>16</v>
      </c>
      <c r="AC242" s="181">
        <f t="shared" si="41"/>
        <v>5</v>
      </c>
      <c r="AD242" s="181">
        <f t="shared" si="52"/>
        <v>37042.5</v>
      </c>
      <c r="AE242" s="181">
        <v>1.7</v>
      </c>
      <c r="AF242" s="181">
        <v>1.7</v>
      </c>
      <c r="AG242" s="101" t="str">
        <f t="shared" si="42"/>
        <v/>
      </c>
      <c r="AH242" s="190">
        <v>5</v>
      </c>
      <c r="AI242" s="69">
        <f t="shared" si="43"/>
        <v>5</v>
      </c>
    </row>
    <row r="243" spans="1:35" s="69" customFormat="1" ht="39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203"/>
      <c r="F243" s="203"/>
      <c r="G243" s="203"/>
      <c r="H243" s="203" t="s">
        <v>15</v>
      </c>
      <c r="I243" s="75">
        <v>10319.280000000001</v>
      </c>
      <c r="J243" s="75">
        <v>51596.4</v>
      </c>
      <c r="K243" s="91" t="s">
        <v>616</v>
      </c>
      <c r="L243" s="73"/>
      <c r="M243" s="46">
        <v>5</v>
      </c>
      <c r="N243" s="46">
        <v>0</v>
      </c>
      <c r="O243" s="46">
        <v>51596.4</v>
      </c>
      <c r="P243" s="98"/>
      <c r="Q243" s="23" t="s">
        <v>1403</v>
      </c>
      <c r="R243" s="24" t="s">
        <v>615</v>
      </c>
      <c r="S243" s="25" t="s">
        <v>606</v>
      </c>
      <c r="T243" s="26">
        <v>5</v>
      </c>
      <c r="U243" s="26">
        <v>5</v>
      </c>
      <c r="V243" s="26">
        <v>10319.280000000001</v>
      </c>
      <c r="W243" s="127">
        <f t="shared" si="50"/>
        <v>0</v>
      </c>
      <c r="X243" s="127">
        <f t="shared" si="53"/>
        <v>5</v>
      </c>
      <c r="Y243" s="127">
        <f t="shared" si="51"/>
        <v>0</v>
      </c>
      <c r="Z243" s="127">
        <f t="shared" si="44"/>
        <v>51596.4</v>
      </c>
      <c r="AA243" s="33" t="s">
        <v>15</v>
      </c>
      <c r="AB243" s="36" t="s">
        <v>16</v>
      </c>
      <c r="AC243" s="181">
        <f t="shared" si="41"/>
        <v>5</v>
      </c>
      <c r="AD243" s="181">
        <f t="shared" si="52"/>
        <v>51596.4</v>
      </c>
      <c r="AE243" s="181">
        <v>1.7</v>
      </c>
      <c r="AF243" s="181">
        <v>1.7</v>
      </c>
      <c r="AG243" s="101" t="str">
        <f t="shared" si="42"/>
        <v/>
      </c>
      <c r="AH243" s="190">
        <v>5</v>
      </c>
      <c r="AI243" s="69">
        <f t="shared" si="43"/>
        <v>5</v>
      </c>
    </row>
    <row r="244" spans="1:35" s="69" customFormat="1" ht="39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203"/>
      <c r="F244" s="203"/>
      <c r="G244" s="203"/>
      <c r="H244" s="203" t="s">
        <v>15</v>
      </c>
      <c r="I244" s="75">
        <v>15164.14</v>
      </c>
      <c r="J244" s="75">
        <v>30328.28</v>
      </c>
      <c r="K244" s="91" t="s">
        <v>619</v>
      </c>
      <c r="L244" s="73"/>
      <c r="M244" s="46">
        <v>2</v>
      </c>
      <c r="N244" s="46">
        <v>0</v>
      </c>
      <c r="O244" s="46">
        <v>30328.28</v>
      </c>
      <c r="P244" s="98"/>
      <c r="Q244" s="23" t="s">
        <v>1427</v>
      </c>
      <c r="R244" s="24" t="s">
        <v>618</v>
      </c>
      <c r="S244" s="25" t="s">
        <v>606</v>
      </c>
      <c r="T244" s="26">
        <v>2</v>
      </c>
      <c r="U244" s="26">
        <v>2</v>
      </c>
      <c r="V244" s="26">
        <v>15164.14</v>
      </c>
      <c r="W244" s="127">
        <f t="shared" si="50"/>
        <v>0</v>
      </c>
      <c r="X244" s="127">
        <f t="shared" si="53"/>
        <v>2</v>
      </c>
      <c r="Y244" s="127">
        <f t="shared" si="51"/>
        <v>0</v>
      </c>
      <c r="Z244" s="127">
        <f t="shared" si="44"/>
        <v>30328.28</v>
      </c>
      <c r="AA244" s="33" t="s">
        <v>15</v>
      </c>
      <c r="AB244" s="36" t="s">
        <v>16</v>
      </c>
      <c r="AC244" s="181">
        <f t="shared" si="41"/>
        <v>2</v>
      </c>
      <c r="AD244" s="181">
        <f t="shared" si="52"/>
        <v>30328.28</v>
      </c>
      <c r="AE244" s="181">
        <v>1.7</v>
      </c>
      <c r="AF244" s="181">
        <v>1.7</v>
      </c>
      <c r="AG244" s="101" t="str">
        <f t="shared" si="42"/>
        <v/>
      </c>
      <c r="AH244" s="190">
        <v>2</v>
      </c>
      <c r="AI244" s="69">
        <f t="shared" si="43"/>
        <v>2</v>
      </c>
    </row>
    <row r="245" spans="1:35" s="69" customFormat="1" ht="39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203"/>
      <c r="F245" s="203"/>
      <c r="G245" s="203"/>
      <c r="H245" s="203" t="s">
        <v>15</v>
      </c>
      <c r="I245" s="75">
        <v>21803.06</v>
      </c>
      <c r="J245" s="75">
        <v>130818.36</v>
      </c>
      <c r="K245" s="91" t="s">
        <v>622</v>
      </c>
      <c r="L245" s="73"/>
      <c r="M245" s="46">
        <v>6</v>
      </c>
      <c r="N245" s="46">
        <v>0</v>
      </c>
      <c r="O245" s="46">
        <v>130818.36</v>
      </c>
      <c r="P245" s="98"/>
      <c r="Q245" s="23" t="s">
        <v>1428</v>
      </c>
      <c r="R245" s="24" t="s">
        <v>621</v>
      </c>
      <c r="S245" s="25" t="s">
        <v>606</v>
      </c>
      <c r="T245" s="26">
        <v>6</v>
      </c>
      <c r="U245" s="26">
        <v>6</v>
      </c>
      <c r="V245" s="26">
        <v>21803.06</v>
      </c>
      <c r="W245" s="127">
        <f t="shared" si="50"/>
        <v>0</v>
      </c>
      <c r="X245" s="127">
        <f t="shared" si="53"/>
        <v>6</v>
      </c>
      <c r="Y245" s="127">
        <f t="shared" si="51"/>
        <v>0</v>
      </c>
      <c r="Z245" s="127">
        <f t="shared" si="44"/>
        <v>130818.36</v>
      </c>
      <c r="AA245" s="33" t="s">
        <v>15</v>
      </c>
      <c r="AB245" s="36" t="s">
        <v>16</v>
      </c>
      <c r="AC245" s="181">
        <f t="shared" si="41"/>
        <v>6</v>
      </c>
      <c r="AD245" s="181">
        <f t="shared" si="52"/>
        <v>130818.36</v>
      </c>
      <c r="AE245" s="181">
        <v>1.7</v>
      </c>
      <c r="AF245" s="181">
        <v>1.7</v>
      </c>
      <c r="AG245" s="101" t="str">
        <f t="shared" si="42"/>
        <v/>
      </c>
      <c r="AH245" s="190">
        <v>6</v>
      </c>
      <c r="AI245" s="69">
        <f t="shared" si="43"/>
        <v>6</v>
      </c>
    </row>
    <row r="246" spans="1:35" s="69" customFormat="1" ht="39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203"/>
      <c r="F246" s="203"/>
      <c r="G246" s="203"/>
      <c r="H246" s="203" t="s">
        <v>15</v>
      </c>
      <c r="I246" s="75">
        <v>26196.51</v>
      </c>
      <c r="J246" s="75">
        <v>78589.53</v>
      </c>
      <c r="K246" s="91" t="s">
        <v>625</v>
      </c>
      <c r="L246" s="73"/>
      <c r="M246" s="46">
        <v>3</v>
      </c>
      <c r="N246" s="46">
        <v>0</v>
      </c>
      <c r="O246" s="46">
        <v>78589.53</v>
      </c>
      <c r="P246" s="98"/>
      <c r="Q246" s="23" t="s">
        <v>1387</v>
      </c>
      <c r="R246" s="24" t="s">
        <v>624</v>
      </c>
      <c r="S246" s="25" t="s">
        <v>606</v>
      </c>
      <c r="T246" s="26">
        <v>3</v>
      </c>
      <c r="U246" s="26">
        <v>3</v>
      </c>
      <c r="V246" s="26">
        <v>26196.51</v>
      </c>
      <c r="W246" s="127">
        <f t="shared" si="50"/>
        <v>0</v>
      </c>
      <c r="X246" s="127">
        <f t="shared" si="53"/>
        <v>3</v>
      </c>
      <c r="Y246" s="127">
        <f t="shared" si="51"/>
        <v>0</v>
      </c>
      <c r="Z246" s="127">
        <f t="shared" si="44"/>
        <v>78589.53</v>
      </c>
      <c r="AA246" s="33" t="s">
        <v>15</v>
      </c>
      <c r="AB246" s="36" t="s">
        <v>16</v>
      </c>
      <c r="AC246" s="181">
        <f t="shared" si="41"/>
        <v>3</v>
      </c>
      <c r="AD246" s="181">
        <f t="shared" si="52"/>
        <v>78589.53</v>
      </c>
      <c r="AE246" s="181">
        <v>1.7</v>
      </c>
      <c r="AF246" s="181">
        <v>1.7</v>
      </c>
      <c r="AG246" s="101" t="str">
        <f t="shared" si="42"/>
        <v/>
      </c>
      <c r="AH246" s="190">
        <v>3</v>
      </c>
      <c r="AI246" s="69">
        <f t="shared" si="43"/>
        <v>3</v>
      </c>
    </row>
    <row r="247" spans="1:35" s="69" customFormat="1" ht="39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203"/>
      <c r="F247" s="203"/>
      <c r="G247" s="203"/>
      <c r="H247" s="203" t="s">
        <v>15</v>
      </c>
      <c r="I247" s="75">
        <v>29984.85</v>
      </c>
      <c r="J247" s="75">
        <v>59969.7</v>
      </c>
      <c r="K247" s="91" t="s">
        <v>628</v>
      </c>
      <c r="L247" s="73"/>
      <c r="M247" s="46">
        <v>2</v>
      </c>
      <c r="N247" s="46">
        <v>0</v>
      </c>
      <c r="O247" s="46">
        <v>59969.7</v>
      </c>
      <c r="P247" s="98"/>
      <c r="Q247" s="23" t="s">
        <v>1405</v>
      </c>
      <c r="R247" s="24" t="s">
        <v>627</v>
      </c>
      <c r="S247" s="25" t="s">
        <v>606</v>
      </c>
      <c r="T247" s="26">
        <v>2</v>
      </c>
      <c r="U247" s="26">
        <v>2</v>
      </c>
      <c r="V247" s="26">
        <v>29984.85</v>
      </c>
      <c r="W247" s="127">
        <f t="shared" si="50"/>
        <v>0</v>
      </c>
      <c r="X247" s="127">
        <f t="shared" si="53"/>
        <v>2</v>
      </c>
      <c r="Y247" s="127">
        <f t="shared" si="51"/>
        <v>0</v>
      </c>
      <c r="Z247" s="127">
        <f t="shared" si="44"/>
        <v>59969.7</v>
      </c>
      <c r="AA247" s="33" t="s">
        <v>15</v>
      </c>
      <c r="AB247" s="36" t="s">
        <v>16</v>
      </c>
      <c r="AC247" s="181">
        <f t="shared" si="41"/>
        <v>2</v>
      </c>
      <c r="AD247" s="181">
        <f t="shared" si="52"/>
        <v>59969.7</v>
      </c>
      <c r="AE247" s="181">
        <v>1.7</v>
      </c>
      <c r="AF247" s="181">
        <v>1.7</v>
      </c>
      <c r="AG247" s="101" t="str">
        <f t="shared" si="42"/>
        <v/>
      </c>
      <c r="AH247" s="190">
        <v>2</v>
      </c>
      <c r="AI247" s="69">
        <f t="shared" si="43"/>
        <v>2</v>
      </c>
    </row>
    <row r="248" spans="1:35" s="69" customFormat="1" ht="39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203"/>
      <c r="F248" s="203"/>
      <c r="G248" s="203"/>
      <c r="H248" s="203" t="s">
        <v>15</v>
      </c>
      <c r="I248" s="75">
        <v>38914.949999999997</v>
      </c>
      <c r="J248" s="75">
        <v>116744.85</v>
      </c>
      <c r="K248" s="91" t="s">
        <v>631</v>
      </c>
      <c r="L248" s="73"/>
      <c r="M248" s="46">
        <v>3</v>
      </c>
      <c r="N248" s="46">
        <v>0</v>
      </c>
      <c r="O248" s="46">
        <v>116744.85</v>
      </c>
      <c r="P248" s="98"/>
      <c r="Q248" s="23" t="s">
        <v>1406</v>
      </c>
      <c r="R248" s="24" t="s">
        <v>630</v>
      </c>
      <c r="S248" s="25" t="s">
        <v>606</v>
      </c>
      <c r="T248" s="26">
        <v>3</v>
      </c>
      <c r="U248" s="26">
        <v>3</v>
      </c>
      <c r="V248" s="26">
        <v>38914.949999999997</v>
      </c>
      <c r="W248" s="127">
        <f t="shared" si="50"/>
        <v>0</v>
      </c>
      <c r="X248" s="127">
        <f t="shared" si="53"/>
        <v>3</v>
      </c>
      <c r="Y248" s="127">
        <f t="shared" si="51"/>
        <v>0</v>
      </c>
      <c r="Z248" s="127">
        <f t="shared" si="44"/>
        <v>116744.85</v>
      </c>
      <c r="AA248" s="33" t="s">
        <v>15</v>
      </c>
      <c r="AB248" s="36" t="s">
        <v>16</v>
      </c>
      <c r="AC248" s="181">
        <f t="shared" si="41"/>
        <v>3</v>
      </c>
      <c r="AD248" s="181">
        <f t="shared" si="52"/>
        <v>116744.85</v>
      </c>
      <c r="AE248" s="181">
        <v>1.7</v>
      </c>
      <c r="AF248" s="181">
        <v>1.7</v>
      </c>
      <c r="AG248" s="101" t="str">
        <f t="shared" si="42"/>
        <v/>
      </c>
      <c r="AH248" s="190">
        <v>3</v>
      </c>
      <c r="AI248" s="69">
        <f t="shared" si="43"/>
        <v>3</v>
      </c>
    </row>
    <row r="249" spans="1:35" s="69" customFormat="1" ht="39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203"/>
      <c r="F249" s="203"/>
      <c r="G249" s="203"/>
      <c r="H249" s="203" t="s">
        <v>15</v>
      </c>
      <c r="I249" s="75">
        <v>43624.88</v>
      </c>
      <c r="J249" s="75">
        <v>130874.64</v>
      </c>
      <c r="K249" s="91" t="s">
        <v>634</v>
      </c>
      <c r="L249" s="73"/>
      <c r="M249" s="46">
        <v>3</v>
      </c>
      <c r="N249" s="46">
        <v>0</v>
      </c>
      <c r="O249" s="46">
        <v>130874.64</v>
      </c>
      <c r="P249" s="98"/>
      <c r="Q249" s="23" t="s">
        <v>1414</v>
      </c>
      <c r="R249" s="24" t="s">
        <v>633</v>
      </c>
      <c r="S249" s="25" t="s">
        <v>606</v>
      </c>
      <c r="T249" s="26">
        <v>3</v>
      </c>
      <c r="U249" s="26">
        <v>3</v>
      </c>
      <c r="V249" s="26">
        <v>43624.88</v>
      </c>
      <c r="W249" s="127">
        <f t="shared" si="50"/>
        <v>0</v>
      </c>
      <c r="X249" s="127">
        <f t="shared" si="53"/>
        <v>3</v>
      </c>
      <c r="Y249" s="127">
        <f t="shared" si="51"/>
        <v>0</v>
      </c>
      <c r="Z249" s="127">
        <f t="shared" si="44"/>
        <v>130874.64</v>
      </c>
      <c r="AA249" s="33" t="s">
        <v>15</v>
      </c>
      <c r="AB249" s="36" t="s">
        <v>16</v>
      </c>
      <c r="AC249" s="181">
        <f t="shared" si="41"/>
        <v>3</v>
      </c>
      <c r="AD249" s="181">
        <f t="shared" si="52"/>
        <v>130874.64</v>
      </c>
      <c r="AE249" s="181">
        <v>1.7</v>
      </c>
      <c r="AF249" s="181">
        <v>1.7</v>
      </c>
      <c r="AG249" s="101" t="str">
        <f t="shared" si="42"/>
        <v/>
      </c>
      <c r="AH249" s="190">
        <v>3</v>
      </c>
      <c r="AI249" s="69">
        <f t="shared" si="43"/>
        <v>3</v>
      </c>
    </row>
    <row r="250" spans="1:35" s="69" customFormat="1" ht="39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203"/>
      <c r="F250" s="203"/>
      <c r="G250" s="203"/>
      <c r="H250" s="203" t="s">
        <v>15</v>
      </c>
      <c r="I250" s="75">
        <v>73088.800000000003</v>
      </c>
      <c r="J250" s="75">
        <v>73088.800000000003</v>
      </c>
      <c r="K250" s="91" t="s">
        <v>637</v>
      </c>
      <c r="L250" s="73"/>
      <c r="M250" s="46">
        <v>1</v>
      </c>
      <c r="N250" s="46">
        <v>0</v>
      </c>
      <c r="O250" s="46">
        <v>73088.800000000003</v>
      </c>
      <c r="P250" s="98"/>
      <c r="Q250" s="23" t="s">
        <v>1429</v>
      </c>
      <c r="R250" s="24" t="s">
        <v>636</v>
      </c>
      <c r="S250" s="25" t="s">
        <v>606</v>
      </c>
      <c r="T250" s="26">
        <v>1</v>
      </c>
      <c r="U250" s="26">
        <v>1</v>
      </c>
      <c r="V250" s="26">
        <v>73088.800000000003</v>
      </c>
      <c r="W250" s="127">
        <f t="shared" si="50"/>
        <v>0</v>
      </c>
      <c r="X250" s="127">
        <f t="shared" si="53"/>
        <v>1</v>
      </c>
      <c r="Y250" s="127">
        <f t="shared" si="51"/>
        <v>0</v>
      </c>
      <c r="Z250" s="127">
        <f t="shared" si="44"/>
        <v>73088.800000000003</v>
      </c>
      <c r="AA250" s="33" t="s">
        <v>15</v>
      </c>
      <c r="AB250" s="36" t="s">
        <v>16</v>
      </c>
      <c r="AC250" s="181">
        <f t="shared" si="41"/>
        <v>1</v>
      </c>
      <c r="AD250" s="181">
        <f t="shared" si="52"/>
        <v>73088.800000000003</v>
      </c>
      <c r="AE250" s="181">
        <v>1.7</v>
      </c>
      <c r="AF250" s="181">
        <v>1.7</v>
      </c>
      <c r="AG250" s="101" t="str">
        <f t="shared" si="42"/>
        <v/>
      </c>
      <c r="AH250" s="190">
        <v>1</v>
      </c>
      <c r="AI250" s="69">
        <f t="shared" si="43"/>
        <v>1</v>
      </c>
    </row>
    <row r="251" spans="1:35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 t="s">
        <v>15</v>
      </c>
      <c r="I251" s="75">
        <v>22814.5</v>
      </c>
      <c r="J251" s="75">
        <v>136887</v>
      </c>
      <c r="K251" s="91" t="s">
        <v>640</v>
      </c>
      <c r="L251" s="73"/>
      <c r="M251" s="46">
        <v>3</v>
      </c>
      <c r="N251" s="46">
        <v>68443.5</v>
      </c>
      <c r="O251" s="46">
        <v>68443.5</v>
      </c>
      <c r="P251" s="98"/>
      <c r="Q251" s="23" t="s">
        <v>1430</v>
      </c>
      <c r="R251" s="24" t="s">
        <v>639</v>
      </c>
      <c r="S251" s="25" t="s">
        <v>606</v>
      </c>
      <c r="T251" s="26">
        <v>6</v>
      </c>
      <c r="U251" s="26">
        <v>6</v>
      </c>
      <c r="V251" s="26">
        <v>22814.5</v>
      </c>
      <c r="W251" s="243">
        <f t="shared" si="50"/>
        <v>0</v>
      </c>
      <c r="X251" s="26">
        <f t="shared" si="53"/>
        <v>3</v>
      </c>
      <c r="Y251" s="26">
        <f t="shared" si="51"/>
        <v>0</v>
      </c>
      <c r="Z251" s="26">
        <f t="shared" si="44"/>
        <v>68443.5</v>
      </c>
      <c r="AA251" s="33" t="s">
        <v>15</v>
      </c>
      <c r="AB251" s="36" t="s">
        <v>16</v>
      </c>
      <c r="AC251" s="181">
        <f t="shared" si="41"/>
        <v>6</v>
      </c>
      <c r="AD251" s="181">
        <f t="shared" si="52"/>
        <v>136887</v>
      </c>
      <c r="AE251" s="181">
        <v>1.7</v>
      </c>
      <c r="AF251" s="181">
        <v>1.7</v>
      </c>
      <c r="AG251" s="101" t="str">
        <f t="shared" si="42"/>
        <v/>
      </c>
      <c r="AH251" s="191">
        <f>3</f>
        <v>3</v>
      </c>
      <c r="AI251" s="69">
        <f t="shared" si="43"/>
        <v>6</v>
      </c>
    </row>
    <row r="252" spans="1:35" s="69" customFormat="1" ht="58.5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203"/>
      <c r="F252" s="203"/>
      <c r="G252" s="203"/>
      <c r="H252" s="203">
        <v>8</v>
      </c>
      <c r="I252" s="75">
        <v>1963.3</v>
      </c>
      <c r="J252" s="75">
        <v>15706.4</v>
      </c>
      <c r="K252" s="91" t="s">
        <v>643</v>
      </c>
      <c r="L252" s="73"/>
      <c r="M252" s="46">
        <v>3</v>
      </c>
      <c r="N252" s="46">
        <v>0</v>
      </c>
      <c r="O252" s="46">
        <v>5889.9</v>
      </c>
      <c r="P252" s="98"/>
      <c r="Q252" s="23" t="s">
        <v>1431</v>
      </c>
      <c r="R252" s="24" t="s">
        <v>642</v>
      </c>
      <c r="S252" s="25" t="s">
        <v>606</v>
      </c>
      <c r="T252" s="26">
        <v>3</v>
      </c>
      <c r="U252" s="26">
        <v>8</v>
      </c>
      <c r="V252" s="26">
        <v>1963.3</v>
      </c>
      <c r="W252" s="127">
        <f t="shared" si="50"/>
        <v>0</v>
      </c>
      <c r="X252" s="127">
        <f t="shared" si="53"/>
        <v>3</v>
      </c>
      <c r="Y252" s="127">
        <f t="shared" si="51"/>
        <v>0</v>
      </c>
      <c r="Z252" s="127">
        <f t="shared" si="44"/>
        <v>5889.9</v>
      </c>
      <c r="AA252" s="33" t="s">
        <v>15</v>
      </c>
      <c r="AB252" s="36" t="s">
        <v>16</v>
      </c>
      <c r="AC252" s="181">
        <f t="shared" si="41"/>
        <v>8</v>
      </c>
      <c r="AD252" s="181">
        <f t="shared" si="52"/>
        <v>15706.4</v>
      </c>
      <c r="AE252" s="181">
        <v>1.7</v>
      </c>
      <c r="AF252" s="181">
        <v>1.7</v>
      </c>
      <c r="AG252" s="101" t="str">
        <f t="shared" si="42"/>
        <v/>
      </c>
      <c r="AH252" s="190">
        <v>3</v>
      </c>
      <c r="AI252" s="69">
        <f t="shared" si="43"/>
        <v>3</v>
      </c>
    </row>
    <row r="253" spans="1:35" s="69" customFormat="1" ht="58.5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203"/>
      <c r="F253" s="203"/>
      <c r="G253" s="203"/>
      <c r="H253" s="203">
        <v>10</v>
      </c>
      <c r="I253" s="75">
        <v>2216.6</v>
      </c>
      <c r="J253" s="75">
        <v>22166</v>
      </c>
      <c r="K253" s="91" t="s">
        <v>646</v>
      </c>
      <c r="L253" s="73"/>
      <c r="M253" s="46">
        <v>5</v>
      </c>
      <c r="N253" s="46">
        <v>0</v>
      </c>
      <c r="O253" s="46">
        <v>11083</v>
      </c>
      <c r="P253" s="98"/>
      <c r="Q253" s="23" t="s">
        <v>1395</v>
      </c>
      <c r="R253" s="24" t="s">
        <v>645</v>
      </c>
      <c r="S253" s="25" t="s">
        <v>606</v>
      </c>
      <c r="T253" s="26">
        <v>5</v>
      </c>
      <c r="U253" s="26">
        <v>10</v>
      </c>
      <c r="V253" s="26">
        <v>2216.6</v>
      </c>
      <c r="W253" s="127">
        <f t="shared" si="50"/>
        <v>0</v>
      </c>
      <c r="X253" s="127">
        <f t="shared" si="53"/>
        <v>5</v>
      </c>
      <c r="Y253" s="127">
        <f t="shared" si="51"/>
        <v>0</v>
      </c>
      <c r="Z253" s="127">
        <f t="shared" si="44"/>
        <v>11083</v>
      </c>
      <c r="AA253" s="33" t="s">
        <v>15</v>
      </c>
      <c r="AB253" s="36" t="s">
        <v>16</v>
      </c>
      <c r="AC253" s="181">
        <f t="shared" si="41"/>
        <v>10</v>
      </c>
      <c r="AD253" s="181">
        <f t="shared" si="52"/>
        <v>22166</v>
      </c>
      <c r="AE253" s="181">
        <v>1.7</v>
      </c>
      <c r="AF253" s="181">
        <v>1.7</v>
      </c>
      <c r="AG253" s="101" t="str">
        <f t="shared" si="42"/>
        <v/>
      </c>
      <c r="AH253" s="190">
        <v>5</v>
      </c>
      <c r="AI253" s="69">
        <f t="shared" si="43"/>
        <v>5</v>
      </c>
    </row>
    <row r="254" spans="1:35" s="69" customFormat="1" ht="58.5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203" t="s">
        <v>15</v>
      </c>
      <c r="I254" s="75">
        <v>2999.02</v>
      </c>
      <c r="J254" s="75">
        <v>50983.34</v>
      </c>
      <c r="K254" s="91" t="s">
        <v>649</v>
      </c>
      <c r="L254" s="73"/>
      <c r="M254" s="46">
        <v>7</v>
      </c>
      <c r="N254" s="46">
        <v>0</v>
      </c>
      <c r="O254" s="46">
        <v>20993.14</v>
      </c>
      <c r="P254" s="98"/>
      <c r="Q254" s="23" t="s">
        <v>1432</v>
      </c>
      <c r="R254" s="24" t="s">
        <v>648</v>
      </c>
      <c r="S254" s="25" t="s">
        <v>606</v>
      </c>
      <c r="T254" s="26">
        <v>7</v>
      </c>
      <c r="U254" s="26">
        <v>17</v>
      </c>
      <c r="V254" s="26">
        <v>2999.02</v>
      </c>
      <c r="W254" s="26">
        <f t="shared" si="50"/>
        <v>0</v>
      </c>
      <c r="X254" s="26">
        <f t="shared" si="53"/>
        <v>7</v>
      </c>
      <c r="Y254" s="26">
        <f t="shared" si="51"/>
        <v>0</v>
      </c>
      <c r="Z254" s="26">
        <f t="shared" si="44"/>
        <v>20993.14</v>
      </c>
      <c r="AA254" s="27" t="s">
        <v>15</v>
      </c>
      <c r="AB254" s="36" t="s">
        <v>16</v>
      </c>
      <c r="AC254" s="181">
        <f t="shared" si="41"/>
        <v>17</v>
      </c>
      <c r="AD254" s="181">
        <f t="shared" si="52"/>
        <v>50983.34</v>
      </c>
      <c r="AE254" s="181">
        <v>1.7</v>
      </c>
      <c r="AF254" s="181">
        <v>1.7</v>
      </c>
      <c r="AG254" s="101" t="str">
        <f t="shared" si="42"/>
        <v/>
      </c>
      <c r="AH254" s="190">
        <v>7</v>
      </c>
      <c r="AI254" s="69">
        <f t="shared" si="43"/>
        <v>17</v>
      </c>
    </row>
    <row r="255" spans="1:35" s="69" customFormat="1" ht="58.5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203"/>
      <c r="F255" s="203"/>
      <c r="G255" s="203"/>
      <c r="H255" s="203" t="s">
        <v>15</v>
      </c>
      <c r="I255" s="75">
        <v>4720.5600000000004</v>
      </c>
      <c r="J255" s="75">
        <v>14161.68</v>
      </c>
      <c r="K255" s="91" t="s">
        <v>652</v>
      </c>
      <c r="L255" s="73"/>
      <c r="M255" s="46">
        <v>3</v>
      </c>
      <c r="N255" s="46">
        <v>0</v>
      </c>
      <c r="O255" s="46">
        <v>14161.68</v>
      </c>
      <c r="P255" s="98"/>
      <c r="Q255" s="23" t="s">
        <v>1433</v>
      </c>
      <c r="R255" s="24" t="s">
        <v>651</v>
      </c>
      <c r="S255" s="25" t="s">
        <v>606</v>
      </c>
      <c r="T255" s="26">
        <v>3</v>
      </c>
      <c r="U255" s="26">
        <v>3</v>
      </c>
      <c r="V255" s="26">
        <v>4720.5600000000004</v>
      </c>
      <c r="W255" s="127">
        <f t="shared" si="50"/>
        <v>0</v>
      </c>
      <c r="X255" s="127">
        <f t="shared" si="53"/>
        <v>3</v>
      </c>
      <c r="Y255" s="127">
        <f t="shared" si="51"/>
        <v>0</v>
      </c>
      <c r="Z255" s="127">
        <f t="shared" si="44"/>
        <v>14161.68</v>
      </c>
      <c r="AA255" s="33" t="s">
        <v>15</v>
      </c>
      <c r="AB255" s="36" t="s">
        <v>16</v>
      </c>
      <c r="AC255" s="181">
        <f t="shared" si="41"/>
        <v>3</v>
      </c>
      <c r="AD255" s="181">
        <f t="shared" si="52"/>
        <v>14161.68</v>
      </c>
      <c r="AE255" s="181">
        <v>1.7</v>
      </c>
      <c r="AF255" s="181">
        <v>1.7</v>
      </c>
      <c r="AG255" s="101" t="str">
        <f t="shared" si="42"/>
        <v/>
      </c>
      <c r="AH255" s="190">
        <v>3</v>
      </c>
      <c r="AI255" s="69">
        <f t="shared" si="43"/>
        <v>3</v>
      </c>
    </row>
    <row r="256" spans="1:35" s="69" customFormat="1" ht="58.5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203"/>
      <c r="F256" s="203"/>
      <c r="G256" s="203"/>
      <c r="H256" s="203">
        <v>5</v>
      </c>
      <c r="I256" s="75">
        <v>5897.9</v>
      </c>
      <c r="J256" s="75">
        <v>29489.5</v>
      </c>
      <c r="K256" s="91" t="s">
        <v>655</v>
      </c>
      <c r="L256" s="73"/>
      <c r="M256" s="46">
        <v>4</v>
      </c>
      <c r="N256" s="46">
        <v>0</v>
      </c>
      <c r="O256" s="46">
        <v>23591.599999999999</v>
      </c>
      <c r="P256" s="98"/>
      <c r="Q256" s="23" t="s">
        <v>1382</v>
      </c>
      <c r="R256" s="24" t="s">
        <v>654</v>
      </c>
      <c r="S256" s="25" t="s">
        <v>606</v>
      </c>
      <c r="T256" s="26">
        <v>4</v>
      </c>
      <c r="U256" s="26">
        <v>5</v>
      </c>
      <c r="V256" s="26">
        <v>5897.9</v>
      </c>
      <c r="W256" s="127">
        <f t="shared" si="50"/>
        <v>0</v>
      </c>
      <c r="X256" s="127">
        <f t="shared" si="53"/>
        <v>4</v>
      </c>
      <c r="Y256" s="127">
        <f t="shared" si="51"/>
        <v>0</v>
      </c>
      <c r="Z256" s="127">
        <f t="shared" si="44"/>
        <v>23591.599999999999</v>
      </c>
      <c r="AA256" s="33" t="s">
        <v>15</v>
      </c>
      <c r="AB256" s="36" t="s">
        <v>16</v>
      </c>
      <c r="AC256" s="181">
        <f t="shared" si="41"/>
        <v>5</v>
      </c>
      <c r="AD256" s="181">
        <f t="shared" si="52"/>
        <v>29489.5</v>
      </c>
      <c r="AE256" s="181">
        <v>1.7</v>
      </c>
      <c r="AF256" s="181">
        <v>1.7</v>
      </c>
      <c r="AG256" s="101" t="str">
        <f t="shared" si="42"/>
        <v/>
      </c>
      <c r="AH256" s="190">
        <v>4</v>
      </c>
      <c r="AI256" s="69">
        <f t="shared" si="43"/>
        <v>4</v>
      </c>
    </row>
    <row r="257" spans="1:35" s="69" customFormat="1" ht="58.5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203"/>
      <c r="F257" s="203"/>
      <c r="G257" s="203"/>
      <c r="H257" s="203" t="s">
        <v>15</v>
      </c>
      <c r="I257" s="75">
        <v>9356.16</v>
      </c>
      <c r="J257" s="75">
        <v>9356.16</v>
      </c>
      <c r="K257" s="91" t="s">
        <v>658</v>
      </c>
      <c r="L257" s="73"/>
      <c r="M257" s="46">
        <v>1</v>
      </c>
      <c r="N257" s="46">
        <v>0</v>
      </c>
      <c r="O257" s="46">
        <v>9356.16</v>
      </c>
      <c r="P257" s="98"/>
      <c r="Q257" s="23" t="s">
        <v>1434</v>
      </c>
      <c r="R257" s="24" t="s">
        <v>657</v>
      </c>
      <c r="S257" s="25" t="s">
        <v>606</v>
      </c>
      <c r="T257" s="26">
        <v>1</v>
      </c>
      <c r="U257" s="26">
        <v>1</v>
      </c>
      <c r="V257" s="26">
        <v>9356.16</v>
      </c>
      <c r="W257" s="127">
        <f t="shared" si="50"/>
        <v>0</v>
      </c>
      <c r="X257" s="127">
        <f t="shared" si="53"/>
        <v>1</v>
      </c>
      <c r="Y257" s="127">
        <f t="shared" si="51"/>
        <v>0</v>
      </c>
      <c r="Z257" s="127">
        <f t="shared" si="44"/>
        <v>9356.16</v>
      </c>
      <c r="AA257" s="33" t="s">
        <v>15</v>
      </c>
      <c r="AB257" s="36" t="s">
        <v>16</v>
      </c>
      <c r="AC257" s="181">
        <f t="shared" si="41"/>
        <v>1</v>
      </c>
      <c r="AD257" s="181">
        <f t="shared" si="52"/>
        <v>9356.16</v>
      </c>
      <c r="AE257" s="181">
        <v>1.7</v>
      </c>
      <c r="AF257" s="181">
        <v>1.7</v>
      </c>
      <c r="AG257" s="101" t="str">
        <f t="shared" si="42"/>
        <v/>
      </c>
      <c r="AH257" s="190">
        <v>1</v>
      </c>
      <c r="AI257" s="69">
        <f t="shared" si="43"/>
        <v>1</v>
      </c>
    </row>
    <row r="258" spans="1:35" s="69" customFormat="1" ht="58.5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203"/>
      <c r="F258" s="203"/>
      <c r="G258" s="203"/>
      <c r="H258" s="203" t="s">
        <v>15</v>
      </c>
      <c r="I258" s="75">
        <v>13184.01</v>
      </c>
      <c r="J258" s="75">
        <v>13184.01</v>
      </c>
      <c r="K258" s="91" t="s">
        <v>661</v>
      </c>
      <c r="L258" s="73"/>
      <c r="M258" s="46">
        <v>1</v>
      </c>
      <c r="N258" s="46">
        <v>0</v>
      </c>
      <c r="O258" s="46">
        <v>13184.01</v>
      </c>
      <c r="P258" s="98"/>
      <c r="Q258" s="23" t="s">
        <v>1388</v>
      </c>
      <c r="R258" s="24" t="s">
        <v>660</v>
      </c>
      <c r="S258" s="25" t="s">
        <v>606</v>
      </c>
      <c r="T258" s="26">
        <v>1</v>
      </c>
      <c r="U258" s="26">
        <v>1</v>
      </c>
      <c r="V258" s="26">
        <v>13184.01</v>
      </c>
      <c r="W258" s="127">
        <f t="shared" si="50"/>
        <v>0</v>
      </c>
      <c r="X258" s="127">
        <f t="shared" si="53"/>
        <v>1</v>
      </c>
      <c r="Y258" s="127">
        <f t="shared" si="51"/>
        <v>0</v>
      </c>
      <c r="Z258" s="127">
        <f t="shared" si="44"/>
        <v>13184.01</v>
      </c>
      <c r="AA258" s="33" t="s">
        <v>15</v>
      </c>
      <c r="AB258" s="36" t="s">
        <v>16</v>
      </c>
      <c r="AC258" s="181">
        <f t="shared" si="41"/>
        <v>1</v>
      </c>
      <c r="AD258" s="181">
        <f t="shared" si="52"/>
        <v>13184.01</v>
      </c>
      <c r="AE258" s="181">
        <v>1.7</v>
      </c>
      <c r="AF258" s="181">
        <v>1.7</v>
      </c>
      <c r="AG258" s="101" t="str">
        <f t="shared" si="42"/>
        <v/>
      </c>
      <c r="AH258" s="190">
        <v>1</v>
      </c>
      <c r="AI258" s="69">
        <f t="shared" si="43"/>
        <v>1</v>
      </c>
    </row>
    <row r="259" spans="1:35" s="69" customFormat="1" ht="39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203"/>
      <c r="F259" s="203"/>
      <c r="G259" s="203"/>
      <c r="H259" s="203" t="s">
        <v>15</v>
      </c>
      <c r="I259" s="75">
        <v>1859.87</v>
      </c>
      <c r="J259" s="75">
        <v>87432.49</v>
      </c>
      <c r="K259" s="91" t="s">
        <v>664</v>
      </c>
      <c r="L259" s="73"/>
      <c r="M259" s="46">
        <v>47.01</v>
      </c>
      <c r="N259" s="46">
        <v>0</v>
      </c>
      <c r="O259" s="46">
        <v>87432.49</v>
      </c>
      <c r="P259" s="98"/>
      <c r="Q259" s="23" t="s">
        <v>1389</v>
      </c>
      <c r="R259" s="24" t="s">
        <v>663</v>
      </c>
      <c r="S259" s="25" t="s">
        <v>30</v>
      </c>
      <c r="T259" s="26">
        <v>47.01</v>
      </c>
      <c r="U259" s="26">
        <v>47.01</v>
      </c>
      <c r="V259" s="26">
        <v>1859.87</v>
      </c>
      <c r="W259" s="127">
        <f t="shared" si="50"/>
        <v>0</v>
      </c>
      <c r="X259" s="127">
        <f t="shared" si="53"/>
        <v>47.01</v>
      </c>
      <c r="Y259" s="127">
        <f t="shared" si="51"/>
        <v>0</v>
      </c>
      <c r="Z259" s="127">
        <f t="shared" si="44"/>
        <v>87432.49</v>
      </c>
      <c r="AA259" s="33" t="s">
        <v>15</v>
      </c>
      <c r="AB259" s="36" t="s">
        <v>16</v>
      </c>
      <c r="AC259" s="181">
        <f t="shared" si="41"/>
        <v>47.01</v>
      </c>
      <c r="AD259" s="181">
        <f t="shared" si="52"/>
        <v>87432.49</v>
      </c>
      <c r="AE259" s="181">
        <v>1.7</v>
      </c>
      <c r="AF259" s="181">
        <v>1.7</v>
      </c>
      <c r="AG259" s="101" t="str">
        <f t="shared" si="42"/>
        <v/>
      </c>
      <c r="AH259" s="190">
        <v>47.01</v>
      </c>
      <c r="AI259" s="69">
        <f t="shared" si="43"/>
        <v>47.01</v>
      </c>
    </row>
    <row r="260" spans="1:35" s="69" customFormat="1" ht="58.5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203"/>
      <c r="F260" s="203"/>
      <c r="G260" s="203"/>
      <c r="H260" s="203" t="s">
        <v>15</v>
      </c>
      <c r="I260" s="75">
        <v>40</v>
      </c>
      <c r="J260" s="75">
        <v>2520</v>
      </c>
      <c r="K260" s="91" t="s">
        <v>667</v>
      </c>
      <c r="L260" s="73"/>
      <c r="M260" s="46">
        <v>63</v>
      </c>
      <c r="N260" s="46">
        <v>0</v>
      </c>
      <c r="O260" s="46">
        <v>2520</v>
      </c>
      <c r="P260" s="98"/>
      <c r="Q260" s="23" t="s">
        <v>1390</v>
      </c>
      <c r="R260" s="24" t="s">
        <v>666</v>
      </c>
      <c r="S260" s="25" t="s">
        <v>325</v>
      </c>
      <c r="T260" s="26">
        <v>63</v>
      </c>
      <c r="U260" s="26">
        <v>63</v>
      </c>
      <c r="V260" s="26">
        <v>40</v>
      </c>
      <c r="W260" s="127">
        <f t="shared" si="50"/>
        <v>0</v>
      </c>
      <c r="X260" s="127">
        <f t="shared" si="53"/>
        <v>63</v>
      </c>
      <c r="Y260" s="127">
        <f t="shared" si="51"/>
        <v>0</v>
      </c>
      <c r="Z260" s="127">
        <f t="shared" si="44"/>
        <v>2520</v>
      </c>
      <c r="AA260" s="33" t="s">
        <v>15</v>
      </c>
      <c r="AB260" s="36" t="s">
        <v>16</v>
      </c>
      <c r="AC260" s="181">
        <f t="shared" si="41"/>
        <v>63</v>
      </c>
      <c r="AD260" s="181">
        <f t="shared" si="52"/>
        <v>2520</v>
      </c>
      <c r="AE260" s="181">
        <v>1.7</v>
      </c>
      <c r="AF260" s="181">
        <v>1.7</v>
      </c>
      <c r="AG260" s="101" t="str">
        <f t="shared" si="42"/>
        <v/>
      </c>
      <c r="AH260" s="190">
        <v>63</v>
      </c>
      <c r="AI260" s="69">
        <f t="shared" si="43"/>
        <v>63</v>
      </c>
    </row>
    <row r="261" spans="1:35" s="69" customFormat="1" ht="58.5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203"/>
      <c r="F261" s="203"/>
      <c r="G261" s="203"/>
      <c r="H261" s="203" t="s">
        <v>15</v>
      </c>
      <c r="I261" s="75">
        <v>35</v>
      </c>
      <c r="J261" s="75">
        <v>11025</v>
      </c>
      <c r="K261" s="91" t="s">
        <v>670</v>
      </c>
      <c r="L261" s="73"/>
      <c r="M261" s="46">
        <v>315</v>
      </c>
      <c r="N261" s="46">
        <v>0</v>
      </c>
      <c r="O261" s="46">
        <v>11025</v>
      </c>
      <c r="P261" s="98"/>
      <c r="Q261" s="23" t="s">
        <v>1391</v>
      </c>
      <c r="R261" s="24" t="s">
        <v>669</v>
      </c>
      <c r="S261" s="25" t="s">
        <v>162</v>
      </c>
      <c r="T261" s="26">
        <v>315</v>
      </c>
      <c r="U261" s="26">
        <v>315</v>
      </c>
      <c r="V261" s="26">
        <v>35</v>
      </c>
      <c r="W261" s="127">
        <f t="shared" si="50"/>
        <v>0</v>
      </c>
      <c r="X261" s="127">
        <f t="shared" si="53"/>
        <v>315</v>
      </c>
      <c r="Y261" s="127">
        <f t="shared" si="51"/>
        <v>0</v>
      </c>
      <c r="Z261" s="127">
        <f t="shared" si="44"/>
        <v>11025</v>
      </c>
      <c r="AA261" s="33" t="s">
        <v>15</v>
      </c>
      <c r="AB261" s="36" t="s">
        <v>16</v>
      </c>
      <c r="AC261" s="181">
        <f t="shared" si="41"/>
        <v>315</v>
      </c>
      <c r="AD261" s="181">
        <f t="shared" si="52"/>
        <v>11025</v>
      </c>
      <c r="AE261" s="181">
        <v>1.7</v>
      </c>
      <c r="AF261" s="181">
        <v>1.7</v>
      </c>
      <c r="AG261" s="101" t="str">
        <f t="shared" si="42"/>
        <v/>
      </c>
      <c r="AH261" s="190">
        <v>315</v>
      </c>
      <c r="AI261" s="69">
        <f t="shared" si="43"/>
        <v>315</v>
      </c>
    </row>
    <row r="262" spans="1:35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 t="s">
        <v>15</v>
      </c>
      <c r="I262" s="75">
        <v>10</v>
      </c>
      <c r="J262" s="75">
        <v>12000</v>
      </c>
      <c r="K262" s="91" t="s">
        <v>673</v>
      </c>
      <c r="L262" s="73"/>
      <c r="M262" s="46">
        <v>0</v>
      </c>
      <c r="N262" s="46">
        <v>0</v>
      </c>
      <c r="O262" s="46">
        <v>0</v>
      </c>
      <c r="P262" s="98"/>
      <c r="Q262" s="23" t="s">
        <v>1436</v>
      </c>
      <c r="R262" s="24" t="s">
        <v>672</v>
      </c>
      <c r="S262" s="25" t="s">
        <v>30</v>
      </c>
      <c r="T262" s="26">
        <v>1200</v>
      </c>
      <c r="U262" s="26">
        <v>1200</v>
      </c>
      <c r="V262" s="26">
        <v>10</v>
      </c>
      <c r="W262" s="26">
        <f t="shared" si="50"/>
        <v>0</v>
      </c>
      <c r="X262" s="26">
        <f t="shared" si="53"/>
        <v>0</v>
      </c>
      <c r="Y262" s="26">
        <f t="shared" si="51"/>
        <v>0</v>
      </c>
      <c r="Z262" s="26">
        <f t="shared" si="44"/>
        <v>0</v>
      </c>
      <c r="AA262" s="33" t="s">
        <v>15</v>
      </c>
      <c r="AB262" s="36" t="s">
        <v>16</v>
      </c>
      <c r="AC262" s="181">
        <f t="shared" si="41"/>
        <v>1200</v>
      </c>
      <c r="AD262" s="181">
        <f t="shared" si="52"/>
        <v>12000</v>
      </c>
      <c r="AE262" s="181">
        <v>1.7</v>
      </c>
      <c r="AF262" s="181">
        <v>1.7</v>
      </c>
      <c r="AG262" s="101" t="str">
        <f t="shared" si="42"/>
        <v/>
      </c>
      <c r="AH262" s="190">
        <v>0</v>
      </c>
      <c r="AI262" s="69">
        <f t="shared" si="43"/>
        <v>1200</v>
      </c>
    </row>
    <row r="263" spans="1:35" s="69" customFormat="1" ht="33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203"/>
      <c r="F263" s="203"/>
      <c r="G263" s="203"/>
      <c r="H263" s="203" t="s">
        <v>15</v>
      </c>
      <c r="I263" s="75">
        <v>531</v>
      </c>
      <c r="J263" s="75">
        <v>16381.35</v>
      </c>
      <c r="K263" s="91" t="s">
        <v>676</v>
      </c>
      <c r="L263" s="73"/>
      <c r="M263" s="46">
        <v>30.85</v>
      </c>
      <c r="N263" s="46">
        <v>0</v>
      </c>
      <c r="O263" s="46">
        <v>16381.35</v>
      </c>
      <c r="P263" s="98"/>
      <c r="Q263" s="23" t="s">
        <v>1374</v>
      </c>
      <c r="R263" s="24" t="s">
        <v>675</v>
      </c>
      <c r="S263" s="25" t="s">
        <v>50</v>
      </c>
      <c r="T263" s="26">
        <v>30.85</v>
      </c>
      <c r="U263" s="26">
        <v>30.85</v>
      </c>
      <c r="V263" s="26">
        <v>531</v>
      </c>
      <c r="W263" s="127">
        <f t="shared" si="50"/>
        <v>0</v>
      </c>
      <c r="X263" s="127">
        <f t="shared" si="53"/>
        <v>30.85</v>
      </c>
      <c r="Y263" s="127">
        <f t="shared" si="51"/>
        <v>0</v>
      </c>
      <c r="Z263" s="127">
        <f t="shared" si="44"/>
        <v>16381.35</v>
      </c>
      <c r="AA263" s="33" t="s">
        <v>15</v>
      </c>
      <c r="AB263" s="36" t="s">
        <v>16</v>
      </c>
      <c r="AC263" s="181">
        <f t="shared" si="41"/>
        <v>30.85</v>
      </c>
      <c r="AD263" s="181">
        <f t="shared" si="52"/>
        <v>16381.35</v>
      </c>
      <c r="AE263" s="181">
        <v>1.7</v>
      </c>
      <c r="AF263" s="181">
        <v>1.7</v>
      </c>
      <c r="AG263" s="101" t="str">
        <f t="shared" si="42"/>
        <v/>
      </c>
      <c r="AH263" s="190">
        <v>30.85</v>
      </c>
      <c r="AI263" s="69">
        <f t="shared" si="43"/>
        <v>30.85</v>
      </c>
    </row>
    <row r="264" spans="1:35" s="69" customFormat="1" ht="33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203"/>
      <c r="F264" s="203"/>
      <c r="G264" s="203"/>
      <c r="H264" s="225" t="s">
        <v>15</v>
      </c>
      <c r="I264" s="75">
        <v>3386.57</v>
      </c>
      <c r="J264" s="75">
        <v>12530.31</v>
      </c>
      <c r="K264" s="91" t="s">
        <v>679</v>
      </c>
      <c r="L264" s="73"/>
      <c r="M264" s="46">
        <v>3.7</v>
      </c>
      <c r="N264" s="46">
        <v>0</v>
      </c>
      <c r="O264" s="46">
        <v>12530.31</v>
      </c>
      <c r="P264" s="98"/>
      <c r="Q264" s="23" t="s">
        <v>1376</v>
      </c>
      <c r="R264" s="24" t="s">
        <v>678</v>
      </c>
      <c r="S264" s="25" t="s">
        <v>23</v>
      </c>
      <c r="T264" s="26">
        <v>3.7</v>
      </c>
      <c r="U264" s="26">
        <v>3.7</v>
      </c>
      <c r="V264" s="26">
        <v>3386.57</v>
      </c>
      <c r="W264" s="127">
        <f t="shared" si="50"/>
        <v>0</v>
      </c>
      <c r="X264" s="127">
        <f t="shared" si="53"/>
        <v>3.7</v>
      </c>
      <c r="Y264" s="127">
        <f t="shared" si="51"/>
        <v>0</v>
      </c>
      <c r="Z264" s="127">
        <f t="shared" si="44"/>
        <v>12530.31</v>
      </c>
      <c r="AA264" s="33" t="s">
        <v>15</v>
      </c>
      <c r="AB264" s="36" t="s">
        <v>16</v>
      </c>
      <c r="AC264" s="181">
        <f t="shared" si="41"/>
        <v>3.7</v>
      </c>
      <c r="AD264" s="181">
        <f t="shared" si="52"/>
        <v>12530.31</v>
      </c>
      <c r="AE264" s="181">
        <v>1.7</v>
      </c>
      <c r="AF264" s="181">
        <v>1.7</v>
      </c>
      <c r="AG264" s="101" t="str">
        <f t="shared" si="42"/>
        <v/>
      </c>
      <c r="AH264" s="190">
        <v>3.7</v>
      </c>
      <c r="AI264" s="69">
        <f t="shared" si="43"/>
        <v>3.7</v>
      </c>
    </row>
    <row r="265" spans="1:35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161"/>
      <c r="H265" s="158" t="s">
        <v>15</v>
      </c>
      <c r="I265" s="166">
        <v>108000</v>
      </c>
      <c r="J265" s="75">
        <v>108000</v>
      </c>
      <c r="K265" s="91" t="s">
        <v>682</v>
      </c>
      <c r="L265" s="73"/>
      <c r="M265" s="46">
        <v>0</v>
      </c>
      <c r="N265" s="46">
        <v>0</v>
      </c>
      <c r="O265" s="46">
        <v>0</v>
      </c>
      <c r="P265" s="98"/>
      <c r="Q265" s="23" t="s">
        <v>1378</v>
      </c>
      <c r="R265" s="24" t="s">
        <v>681</v>
      </c>
      <c r="S265" s="25" t="s">
        <v>14</v>
      </c>
      <c r="T265" s="26">
        <v>1</v>
      </c>
      <c r="U265" s="26">
        <v>1</v>
      </c>
      <c r="V265" s="26">
        <v>108000</v>
      </c>
      <c r="W265" s="26">
        <f t="shared" si="50"/>
        <v>0</v>
      </c>
      <c r="X265" s="26">
        <f t="shared" si="53"/>
        <v>0</v>
      </c>
      <c r="Y265" s="26">
        <f t="shared" si="51"/>
        <v>0</v>
      </c>
      <c r="Z265" s="26">
        <f t="shared" si="44"/>
        <v>0</v>
      </c>
      <c r="AA265" s="33" t="s">
        <v>15</v>
      </c>
      <c r="AB265" s="36" t="s">
        <v>16</v>
      </c>
      <c r="AC265" s="181">
        <f t="shared" si="41"/>
        <v>1</v>
      </c>
      <c r="AD265" s="181">
        <f t="shared" si="52"/>
        <v>108000</v>
      </c>
      <c r="AE265" s="181">
        <v>1.7</v>
      </c>
      <c r="AF265" s="181">
        <v>1.7</v>
      </c>
      <c r="AG265" s="101" t="str">
        <f t="shared" si="42"/>
        <v/>
      </c>
      <c r="AH265" s="190">
        <v>0</v>
      </c>
      <c r="AI265" s="69">
        <f t="shared" si="43"/>
        <v>1</v>
      </c>
    </row>
    <row r="266" spans="1:35" s="69" customFormat="1" ht="39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161"/>
      <c r="H266" s="158" t="s">
        <v>15</v>
      </c>
      <c r="I266" s="166">
        <v>500</v>
      </c>
      <c r="J266" s="75">
        <v>724160</v>
      </c>
      <c r="K266" s="91" t="s">
        <v>685</v>
      </c>
      <c r="L266" s="73"/>
      <c r="M266" s="46">
        <v>0</v>
      </c>
      <c r="N266" s="46">
        <v>0</v>
      </c>
      <c r="O266" s="46">
        <v>0</v>
      </c>
      <c r="P266" s="98"/>
      <c r="Q266" s="23" t="s">
        <v>1438</v>
      </c>
      <c r="R266" s="24" t="s">
        <v>684</v>
      </c>
      <c r="S266" s="25" t="s">
        <v>50</v>
      </c>
      <c r="T266" s="26">
        <v>1448.32</v>
      </c>
      <c r="U266" s="26">
        <v>1448.32</v>
      </c>
      <c r="V266" s="26">
        <v>500</v>
      </c>
      <c r="W266" s="199">
        <f t="shared" si="50"/>
        <v>0</v>
      </c>
      <c r="X266" s="26">
        <f t="shared" si="53"/>
        <v>0</v>
      </c>
      <c r="Y266" s="26">
        <f t="shared" si="51"/>
        <v>0</v>
      </c>
      <c r="Z266" s="26">
        <f t="shared" si="44"/>
        <v>0</v>
      </c>
      <c r="AA266" s="33" t="s">
        <v>15</v>
      </c>
      <c r="AB266" s="36" t="s">
        <v>16</v>
      </c>
      <c r="AC266" s="181">
        <f t="shared" si="41"/>
        <v>1448.32</v>
      </c>
      <c r="AD266" s="181">
        <f t="shared" si="52"/>
        <v>724160</v>
      </c>
      <c r="AE266" s="181">
        <v>1.7</v>
      </c>
      <c r="AF266" s="181">
        <v>1.7</v>
      </c>
      <c r="AG266" s="101" t="str">
        <f t="shared" si="42"/>
        <v/>
      </c>
      <c r="AH266" s="191">
        <v>0</v>
      </c>
      <c r="AI266" s="69">
        <f t="shared" si="43"/>
        <v>1448.32</v>
      </c>
    </row>
    <row r="267" spans="1:35" s="69" customFormat="1" ht="49.5" x14ac:dyDescent="0.3">
      <c r="A267" s="55" t="s">
        <v>686</v>
      </c>
      <c r="B267" s="138" t="s">
        <v>687</v>
      </c>
      <c r="C267" s="54" t="s">
        <v>606</v>
      </c>
      <c r="D267" s="75">
        <v>42</v>
      </c>
      <c r="E267" s="75"/>
      <c r="F267" s="75"/>
      <c r="G267" s="161"/>
      <c r="H267" s="158" t="s">
        <v>15</v>
      </c>
      <c r="I267" s="166">
        <v>10176.969999999999</v>
      </c>
      <c r="J267" s="75">
        <v>427432.74</v>
      </c>
      <c r="K267" s="91" t="s">
        <v>688</v>
      </c>
      <c r="L267" s="73"/>
      <c r="M267" s="46">
        <v>0</v>
      </c>
      <c r="N267" s="46">
        <v>0</v>
      </c>
      <c r="O267" s="46">
        <v>0</v>
      </c>
      <c r="P267" s="98"/>
      <c r="Q267" s="23" t="s">
        <v>1439</v>
      </c>
      <c r="R267" s="24" t="s">
        <v>687</v>
      </c>
      <c r="S267" s="25" t="s">
        <v>606</v>
      </c>
      <c r="T267" s="26">
        <v>42</v>
      </c>
      <c r="U267" s="26">
        <v>42</v>
      </c>
      <c r="V267" s="26">
        <v>10176.969999999999</v>
      </c>
      <c r="W267" s="243">
        <f t="shared" si="50"/>
        <v>32</v>
      </c>
      <c r="X267" s="26">
        <f t="shared" si="53"/>
        <v>32</v>
      </c>
      <c r="Y267" s="26">
        <f t="shared" si="51"/>
        <v>325663.03999999998</v>
      </c>
      <c r="Z267" s="26">
        <f t="shared" si="44"/>
        <v>325663.03999999998</v>
      </c>
      <c r="AA267" s="33" t="s">
        <v>15</v>
      </c>
      <c r="AB267" s="36" t="s">
        <v>16</v>
      </c>
      <c r="AC267" s="181">
        <f t="shared" ref="AC267:AC330" si="54">IF(U267="",T267,U267)</f>
        <v>42</v>
      </c>
      <c r="AD267" s="181">
        <f t="shared" si="52"/>
        <v>427432.74</v>
      </c>
      <c r="AE267" s="181">
        <v>1.7</v>
      </c>
      <c r="AF267" s="181">
        <v>1.7</v>
      </c>
      <c r="AG267" s="101" t="str">
        <f t="shared" ref="AG267:AG330" si="55">IF(X267&gt;AI267,"超估","")</f>
        <v/>
      </c>
      <c r="AH267" s="191">
        <f>32</f>
        <v>32</v>
      </c>
      <c r="AI267" s="69">
        <f t="shared" ref="AI267:AI330" si="56">IF(G267=0,IF(F267=0,IF(E267=0,D267,E267),F267),G267)</f>
        <v>42</v>
      </c>
    </row>
    <row r="268" spans="1:35" s="69" customFormat="1" ht="49.5" x14ac:dyDescent="0.3">
      <c r="A268" s="55" t="s">
        <v>689</v>
      </c>
      <c r="B268" s="138" t="s">
        <v>690</v>
      </c>
      <c r="C268" s="54" t="s">
        <v>606</v>
      </c>
      <c r="D268" s="75">
        <v>19</v>
      </c>
      <c r="E268" s="75"/>
      <c r="F268" s="75"/>
      <c r="G268" s="161"/>
      <c r="H268" s="158" t="s">
        <v>15</v>
      </c>
      <c r="I268" s="166">
        <v>13526.18</v>
      </c>
      <c r="J268" s="75">
        <v>256997.42</v>
      </c>
      <c r="K268" s="91" t="s">
        <v>691</v>
      </c>
      <c r="L268" s="73"/>
      <c r="M268" s="46">
        <v>0</v>
      </c>
      <c r="N268" s="46">
        <v>0</v>
      </c>
      <c r="O268" s="46">
        <v>0</v>
      </c>
      <c r="P268" s="98"/>
      <c r="Q268" s="23" t="s">
        <v>1440</v>
      </c>
      <c r="R268" s="24" t="s">
        <v>690</v>
      </c>
      <c r="S268" s="25" t="s">
        <v>606</v>
      </c>
      <c r="T268" s="26">
        <v>19</v>
      </c>
      <c r="U268" s="26">
        <v>19</v>
      </c>
      <c r="V268" s="26">
        <v>13526.18</v>
      </c>
      <c r="W268" s="26">
        <f t="shared" si="50"/>
        <v>0</v>
      </c>
      <c r="X268" s="26">
        <f t="shared" si="53"/>
        <v>0</v>
      </c>
      <c r="Y268" s="26">
        <f t="shared" si="51"/>
        <v>0</v>
      </c>
      <c r="Z268" s="26">
        <f t="shared" ref="Z268:Z331" si="57">ROUND(V268*X268,2)</f>
        <v>0</v>
      </c>
      <c r="AA268" s="33" t="s">
        <v>15</v>
      </c>
      <c r="AB268" s="36" t="s">
        <v>16</v>
      </c>
      <c r="AC268" s="181">
        <f t="shared" si="54"/>
        <v>19</v>
      </c>
      <c r="AD268" s="181">
        <f t="shared" si="52"/>
        <v>256997.42</v>
      </c>
      <c r="AE268" s="181">
        <v>1.7</v>
      </c>
      <c r="AF268" s="181">
        <v>1.7</v>
      </c>
      <c r="AG268" s="101" t="str">
        <f t="shared" si="55"/>
        <v/>
      </c>
      <c r="AH268" s="190">
        <v>0</v>
      </c>
      <c r="AI268" s="69">
        <f t="shared" si="56"/>
        <v>19</v>
      </c>
    </row>
    <row r="269" spans="1:35" s="69" customFormat="1" ht="49.5" x14ac:dyDescent="0.3">
      <c r="A269" s="55" t="s">
        <v>692</v>
      </c>
      <c r="B269" s="138" t="s">
        <v>693</v>
      </c>
      <c r="C269" s="54" t="s">
        <v>606</v>
      </c>
      <c r="D269" s="75">
        <v>8</v>
      </c>
      <c r="E269" s="75"/>
      <c r="F269" s="75"/>
      <c r="G269" s="161"/>
      <c r="H269" s="158" t="s">
        <v>15</v>
      </c>
      <c r="I269" s="166">
        <v>8660.64</v>
      </c>
      <c r="J269" s="75">
        <v>69285.119999999995</v>
      </c>
      <c r="K269" s="91" t="s">
        <v>694</v>
      </c>
      <c r="L269" s="73"/>
      <c r="M269" s="46">
        <v>0</v>
      </c>
      <c r="N269" s="46">
        <v>0</v>
      </c>
      <c r="O269" s="46">
        <v>0</v>
      </c>
      <c r="P269" s="98"/>
      <c r="Q269" s="23" t="s">
        <v>1441</v>
      </c>
      <c r="R269" s="24" t="s">
        <v>693</v>
      </c>
      <c r="S269" s="25" t="s">
        <v>606</v>
      </c>
      <c r="T269" s="26">
        <v>8</v>
      </c>
      <c r="U269" s="26">
        <v>8</v>
      </c>
      <c r="V269" s="26">
        <v>8660.64</v>
      </c>
      <c r="W269" s="26">
        <f t="shared" si="50"/>
        <v>0</v>
      </c>
      <c r="X269" s="26">
        <f t="shared" si="53"/>
        <v>0</v>
      </c>
      <c r="Y269" s="26">
        <f t="shared" si="51"/>
        <v>0</v>
      </c>
      <c r="Z269" s="26">
        <f t="shared" si="57"/>
        <v>0</v>
      </c>
      <c r="AA269" s="33" t="s">
        <v>15</v>
      </c>
      <c r="AB269" s="36" t="s">
        <v>16</v>
      </c>
      <c r="AC269" s="181">
        <f t="shared" si="54"/>
        <v>8</v>
      </c>
      <c r="AD269" s="181">
        <f t="shared" si="52"/>
        <v>69285.119999999995</v>
      </c>
      <c r="AE269" s="181">
        <v>1.7</v>
      </c>
      <c r="AF269" s="181">
        <v>1.7</v>
      </c>
      <c r="AG269" s="101" t="str">
        <f t="shared" si="55"/>
        <v/>
      </c>
      <c r="AH269" s="190">
        <v>0</v>
      </c>
      <c r="AI269" s="69">
        <f t="shared" si="56"/>
        <v>8</v>
      </c>
    </row>
    <row r="270" spans="1:35" s="69" customFormat="1" ht="49.5" x14ac:dyDescent="0.3">
      <c r="A270" s="55" t="s">
        <v>695</v>
      </c>
      <c r="B270" s="138" t="s">
        <v>696</v>
      </c>
      <c r="C270" s="54" t="s">
        <v>606</v>
      </c>
      <c r="D270" s="75">
        <v>8</v>
      </c>
      <c r="E270" s="75"/>
      <c r="F270" s="75"/>
      <c r="G270" s="161"/>
      <c r="H270" s="158" t="s">
        <v>15</v>
      </c>
      <c r="I270" s="166">
        <v>17930.64</v>
      </c>
      <c r="J270" s="75">
        <v>143445.12</v>
      </c>
      <c r="K270" s="91" t="s">
        <v>697</v>
      </c>
      <c r="L270" s="73"/>
      <c r="M270" s="46">
        <v>0</v>
      </c>
      <c r="N270" s="46">
        <v>0</v>
      </c>
      <c r="O270" s="46">
        <v>0</v>
      </c>
      <c r="P270" s="98"/>
      <c r="Q270" s="23" t="s">
        <v>1442</v>
      </c>
      <c r="R270" s="24" t="s">
        <v>696</v>
      </c>
      <c r="S270" s="25" t="s">
        <v>606</v>
      </c>
      <c r="T270" s="26">
        <v>8</v>
      </c>
      <c r="U270" s="26">
        <v>8</v>
      </c>
      <c r="V270" s="26">
        <v>17930.64</v>
      </c>
      <c r="W270" s="26">
        <f t="shared" si="50"/>
        <v>0</v>
      </c>
      <c r="X270" s="26">
        <f t="shared" si="53"/>
        <v>0</v>
      </c>
      <c r="Y270" s="26">
        <f t="shared" si="51"/>
        <v>0</v>
      </c>
      <c r="Z270" s="26">
        <f t="shared" si="57"/>
        <v>0</v>
      </c>
      <c r="AA270" s="33" t="s">
        <v>15</v>
      </c>
      <c r="AB270" s="36" t="s">
        <v>16</v>
      </c>
      <c r="AC270" s="181">
        <f t="shared" si="54"/>
        <v>8</v>
      </c>
      <c r="AD270" s="181">
        <f t="shared" si="52"/>
        <v>143445.12</v>
      </c>
      <c r="AE270" s="181">
        <v>1.7</v>
      </c>
      <c r="AF270" s="181">
        <v>1.7</v>
      </c>
      <c r="AG270" s="101" t="str">
        <f t="shared" si="55"/>
        <v/>
      </c>
      <c r="AH270" s="190">
        <v>0</v>
      </c>
      <c r="AI270" s="69">
        <f t="shared" si="56"/>
        <v>8</v>
      </c>
    </row>
    <row r="271" spans="1:35" s="69" customFormat="1" ht="49.5" x14ac:dyDescent="0.3">
      <c r="A271" s="55" t="s">
        <v>698</v>
      </c>
      <c r="B271" s="138" t="s">
        <v>699</v>
      </c>
      <c r="C271" s="54" t="s">
        <v>606</v>
      </c>
      <c r="D271" s="75">
        <v>14</v>
      </c>
      <c r="E271" s="75"/>
      <c r="F271" s="75"/>
      <c r="G271" s="161"/>
      <c r="H271" s="158" t="s">
        <v>15</v>
      </c>
      <c r="I271" s="166">
        <v>5272.95</v>
      </c>
      <c r="J271" s="75">
        <v>73821.3</v>
      </c>
      <c r="K271" s="91" t="s">
        <v>700</v>
      </c>
      <c r="L271" s="73"/>
      <c r="M271" s="46">
        <v>0</v>
      </c>
      <c r="N271" s="46">
        <v>0</v>
      </c>
      <c r="O271" s="46">
        <v>0</v>
      </c>
      <c r="P271" s="98"/>
      <c r="Q271" s="23" t="s">
        <v>1443</v>
      </c>
      <c r="R271" s="24" t="s">
        <v>699</v>
      </c>
      <c r="S271" s="25" t="s">
        <v>606</v>
      </c>
      <c r="T271" s="26">
        <v>14</v>
      </c>
      <c r="U271" s="26">
        <v>14</v>
      </c>
      <c r="V271" s="26">
        <v>5272.95</v>
      </c>
      <c r="W271" s="26">
        <f t="shared" si="50"/>
        <v>0</v>
      </c>
      <c r="X271" s="26">
        <f t="shared" si="53"/>
        <v>0</v>
      </c>
      <c r="Y271" s="26">
        <f t="shared" si="51"/>
        <v>0</v>
      </c>
      <c r="Z271" s="26">
        <f t="shared" si="57"/>
        <v>0</v>
      </c>
      <c r="AA271" s="33" t="s">
        <v>15</v>
      </c>
      <c r="AB271" s="36" t="s">
        <v>16</v>
      </c>
      <c r="AC271" s="181">
        <f t="shared" si="54"/>
        <v>14</v>
      </c>
      <c r="AD271" s="181">
        <f t="shared" si="52"/>
        <v>73821.3</v>
      </c>
      <c r="AE271" s="181">
        <v>1.7</v>
      </c>
      <c r="AF271" s="181">
        <v>1.7</v>
      </c>
      <c r="AG271" s="101" t="str">
        <f t="shared" si="55"/>
        <v/>
      </c>
      <c r="AH271" s="190">
        <v>0</v>
      </c>
      <c r="AI271" s="69">
        <f t="shared" si="56"/>
        <v>14</v>
      </c>
    </row>
    <row r="272" spans="1:35" s="69" customFormat="1" ht="49.5" x14ac:dyDescent="0.3">
      <c r="A272" s="55" t="s">
        <v>701</v>
      </c>
      <c r="B272" s="138" t="s">
        <v>702</v>
      </c>
      <c r="C272" s="54" t="s">
        <v>606</v>
      </c>
      <c r="D272" s="75">
        <v>15</v>
      </c>
      <c r="E272" s="75"/>
      <c r="F272" s="75"/>
      <c r="G272" s="161"/>
      <c r="H272" s="158" t="s">
        <v>15</v>
      </c>
      <c r="I272" s="166">
        <v>5272.95</v>
      </c>
      <c r="J272" s="75">
        <v>79094.25</v>
      </c>
      <c r="K272" s="91" t="s">
        <v>703</v>
      </c>
      <c r="L272" s="73"/>
      <c r="M272" s="46">
        <v>0</v>
      </c>
      <c r="N272" s="46">
        <v>0</v>
      </c>
      <c r="O272" s="46">
        <v>0</v>
      </c>
      <c r="P272" s="98"/>
      <c r="Q272" s="23" t="s">
        <v>1444</v>
      </c>
      <c r="R272" s="24" t="s">
        <v>702</v>
      </c>
      <c r="S272" s="25" t="s">
        <v>606</v>
      </c>
      <c r="T272" s="26">
        <v>15</v>
      </c>
      <c r="U272" s="26">
        <v>15</v>
      </c>
      <c r="V272" s="26">
        <v>5272.95</v>
      </c>
      <c r="W272" s="26">
        <f t="shared" si="50"/>
        <v>0</v>
      </c>
      <c r="X272" s="26">
        <f t="shared" si="53"/>
        <v>0</v>
      </c>
      <c r="Y272" s="26">
        <f t="shared" si="51"/>
        <v>0</v>
      </c>
      <c r="Z272" s="26">
        <f t="shared" si="57"/>
        <v>0</v>
      </c>
      <c r="AA272" s="33" t="s">
        <v>15</v>
      </c>
      <c r="AB272" s="36" t="s">
        <v>16</v>
      </c>
      <c r="AC272" s="181">
        <f t="shared" si="54"/>
        <v>15</v>
      </c>
      <c r="AD272" s="181">
        <f t="shared" si="52"/>
        <v>79094.25</v>
      </c>
      <c r="AE272" s="181">
        <v>1.7</v>
      </c>
      <c r="AF272" s="181">
        <v>1.7</v>
      </c>
      <c r="AG272" s="101" t="str">
        <f t="shared" si="55"/>
        <v/>
      </c>
      <c r="AH272" s="190">
        <v>0</v>
      </c>
      <c r="AI272" s="69">
        <f t="shared" si="56"/>
        <v>15</v>
      </c>
    </row>
    <row r="273" spans="1:35" s="69" customFormat="1" ht="49.5" x14ac:dyDescent="0.3">
      <c r="A273" s="55" t="s">
        <v>704</v>
      </c>
      <c r="B273" s="138" t="s">
        <v>705</v>
      </c>
      <c r="C273" s="54" t="s">
        <v>606</v>
      </c>
      <c r="D273" s="75">
        <v>1</v>
      </c>
      <c r="E273" s="75"/>
      <c r="F273" s="75"/>
      <c r="G273" s="161"/>
      <c r="H273" s="158" t="s">
        <v>15</v>
      </c>
      <c r="I273" s="166">
        <v>7859.47</v>
      </c>
      <c r="J273" s="75">
        <v>7859.47</v>
      </c>
      <c r="K273" s="91" t="s">
        <v>706</v>
      </c>
      <c r="L273" s="73"/>
      <c r="M273" s="46">
        <v>0</v>
      </c>
      <c r="N273" s="46">
        <v>0</v>
      </c>
      <c r="O273" s="46">
        <v>0</v>
      </c>
      <c r="P273" s="98"/>
      <c r="Q273" s="23" t="s">
        <v>1408</v>
      </c>
      <c r="R273" s="24" t="s">
        <v>705</v>
      </c>
      <c r="S273" s="25" t="s">
        <v>606</v>
      </c>
      <c r="T273" s="26">
        <v>1</v>
      </c>
      <c r="U273" s="26">
        <v>1</v>
      </c>
      <c r="V273" s="26">
        <v>7859.47</v>
      </c>
      <c r="W273" s="26">
        <f t="shared" si="50"/>
        <v>0</v>
      </c>
      <c r="X273" s="26">
        <f t="shared" si="53"/>
        <v>0</v>
      </c>
      <c r="Y273" s="26">
        <f t="shared" si="51"/>
        <v>0</v>
      </c>
      <c r="Z273" s="26">
        <f t="shared" si="57"/>
        <v>0</v>
      </c>
      <c r="AA273" s="33" t="s">
        <v>15</v>
      </c>
      <c r="AB273" s="36" t="s">
        <v>16</v>
      </c>
      <c r="AC273" s="181">
        <f t="shared" si="54"/>
        <v>1</v>
      </c>
      <c r="AD273" s="181">
        <f t="shared" si="52"/>
        <v>7859.47</v>
      </c>
      <c r="AE273" s="181">
        <v>1.7</v>
      </c>
      <c r="AF273" s="181">
        <v>1.7</v>
      </c>
      <c r="AG273" s="101" t="str">
        <f t="shared" si="55"/>
        <v/>
      </c>
      <c r="AH273" s="190">
        <v>0</v>
      </c>
      <c r="AI273" s="69">
        <f t="shared" si="56"/>
        <v>1</v>
      </c>
    </row>
    <row r="274" spans="1:35" s="69" customFormat="1" ht="49.5" x14ac:dyDescent="0.3">
      <c r="A274" s="55" t="s">
        <v>707</v>
      </c>
      <c r="B274" s="138" t="s">
        <v>708</v>
      </c>
      <c r="C274" s="54" t="s">
        <v>606</v>
      </c>
      <c r="D274" s="75">
        <v>1</v>
      </c>
      <c r="E274" s="75"/>
      <c r="F274" s="75"/>
      <c r="G274" s="161"/>
      <c r="H274" s="158" t="s">
        <v>15</v>
      </c>
      <c r="I274" s="166">
        <v>5839.45</v>
      </c>
      <c r="J274" s="75">
        <v>5839.45</v>
      </c>
      <c r="K274" s="91" t="s">
        <v>709</v>
      </c>
      <c r="L274" s="73"/>
      <c r="M274" s="46">
        <v>0</v>
      </c>
      <c r="N274" s="46">
        <v>0</v>
      </c>
      <c r="O274" s="46">
        <v>0</v>
      </c>
      <c r="P274" s="98"/>
      <c r="Q274" s="23" t="s">
        <v>1409</v>
      </c>
      <c r="R274" s="24" t="s">
        <v>708</v>
      </c>
      <c r="S274" s="25" t="s">
        <v>606</v>
      </c>
      <c r="T274" s="26">
        <v>1</v>
      </c>
      <c r="U274" s="26">
        <v>1</v>
      </c>
      <c r="V274" s="26">
        <v>5839.45</v>
      </c>
      <c r="W274" s="26">
        <f t="shared" si="50"/>
        <v>0</v>
      </c>
      <c r="X274" s="26">
        <f t="shared" si="53"/>
        <v>0</v>
      </c>
      <c r="Y274" s="26">
        <f t="shared" si="51"/>
        <v>0</v>
      </c>
      <c r="Z274" s="26">
        <f t="shared" si="57"/>
        <v>0</v>
      </c>
      <c r="AA274" s="33" t="s">
        <v>15</v>
      </c>
      <c r="AB274" s="36" t="s">
        <v>16</v>
      </c>
      <c r="AC274" s="181">
        <f t="shared" si="54"/>
        <v>1</v>
      </c>
      <c r="AD274" s="181">
        <f t="shared" si="52"/>
        <v>5839.45</v>
      </c>
      <c r="AE274" s="181">
        <v>1.7</v>
      </c>
      <c r="AF274" s="181">
        <v>1.7</v>
      </c>
      <c r="AG274" s="101" t="str">
        <f t="shared" si="55"/>
        <v/>
      </c>
      <c r="AH274" s="190">
        <v>0</v>
      </c>
      <c r="AI274" s="69">
        <f t="shared" si="56"/>
        <v>1</v>
      </c>
    </row>
    <row r="275" spans="1:35" s="69" customFormat="1" ht="49.5" x14ac:dyDescent="0.3">
      <c r="A275" s="55" t="s">
        <v>710</v>
      </c>
      <c r="B275" s="138" t="s">
        <v>711</v>
      </c>
      <c r="C275" s="54" t="s">
        <v>606</v>
      </c>
      <c r="D275" s="75">
        <v>1</v>
      </c>
      <c r="E275" s="75"/>
      <c r="F275" s="75"/>
      <c r="G275" s="161"/>
      <c r="H275" s="158" t="s">
        <v>15</v>
      </c>
      <c r="I275" s="166">
        <v>7189.97</v>
      </c>
      <c r="J275" s="75">
        <v>7189.97</v>
      </c>
      <c r="K275" s="91" t="s">
        <v>712</v>
      </c>
      <c r="L275" s="73"/>
      <c r="M275" s="46">
        <v>0</v>
      </c>
      <c r="N275" s="46">
        <v>0</v>
      </c>
      <c r="O275" s="46">
        <v>0</v>
      </c>
      <c r="P275" s="98"/>
      <c r="Q275" s="23" t="s">
        <v>1410</v>
      </c>
      <c r="R275" s="24" t="s">
        <v>711</v>
      </c>
      <c r="S275" s="25" t="s">
        <v>606</v>
      </c>
      <c r="T275" s="26">
        <v>1</v>
      </c>
      <c r="U275" s="26">
        <v>1</v>
      </c>
      <c r="V275" s="26">
        <v>7189.97</v>
      </c>
      <c r="W275" s="26">
        <f t="shared" si="50"/>
        <v>0</v>
      </c>
      <c r="X275" s="26">
        <f t="shared" si="53"/>
        <v>0</v>
      </c>
      <c r="Y275" s="26">
        <f t="shared" si="51"/>
        <v>0</v>
      </c>
      <c r="Z275" s="26">
        <f t="shared" si="57"/>
        <v>0</v>
      </c>
      <c r="AA275" s="33" t="s">
        <v>15</v>
      </c>
      <c r="AB275" s="36" t="s">
        <v>16</v>
      </c>
      <c r="AC275" s="181">
        <f t="shared" si="54"/>
        <v>1</v>
      </c>
      <c r="AD275" s="181">
        <f t="shared" si="52"/>
        <v>7189.97</v>
      </c>
      <c r="AE275" s="181">
        <v>1.7</v>
      </c>
      <c r="AF275" s="181">
        <v>1.7</v>
      </c>
      <c r="AG275" s="101" t="str">
        <f t="shared" si="55"/>
        <v/>
      </c>
      <c r="AH275" s="190">
        <v>0</v>
      </c>
      <c r="AI275" s="69">
        <f t="shared" si="56"/>
        <v>1</v>
      </c>
    </row>
    <row r="276" spans="1:35" s="69" customFormat="1" ht="49.5" x14ac:dyDescent="0.3">
      <c r="A276" s="55" t="s">
        <v>713</v>
      </c>
      <c r="B276" s="138" t="s">
        <v>714</v>
      </c>
      <c r="C276" s="54" t="s">
        <v>606</v>
      </c>
      <c r="D276" s="75">
        <v>4</v>
      </c>
      <c r="E276" s="75"/>
      <c r="F276" s="75"/>
      <c r="G276" s="161"/>
      <c r="H276" s="158" t="s">
        <v>15</v>
      </c>
      <c r="I276" s="166">
        <v>4860.95</v>
      </c>
      <c r="J276" s="75">
        <v>19443.8</v>
      </c>
      <c r="K276" s="91" t="s">
        <v>715</v>
      </c>
      <c r="L276" s="73"/>
      <c r="M276" s="46">
        <v>0</v>
      </c>
      <c r="N276" s="46">
        <v>0</v>
      </c>
      <c r="O276" s="46">
        <v>0</v>
      </c>
      <c r="P276" s="98"/>
      <c r="Q276" s="23" t="s">
        <v>1411</v>
      </c>
      <c r="R276" s="24" t="s">
        <v>714</v>
      </c>
      <c r="S276" s="25" t="s">
        <v>606</v>
      </c>
      <c r="T276" s="26">
        <v>4</v>
      </c>
      <c r="U276" s="26">
        <v>4</v>
      </c>
      <c r="V276" s="26">
        <v>4860.95</v>
      </c>
      <c r="W276" s="26">
        <f t="shared" si="50"/>
        <v>0</v>
      </c>
      <c r="X276" s="26">
        <f t="shared" si="53"/>
        <v>0</v>
      </c>
      <c r="Y276" s="26">
        <f t="shared" si="51"/>
        <v>0</v>
      </c>
      <c r="Z276" s="26">
        <f t="shared" si="57"/>
        <v>0</v>
      </c>
      <c r="AA276" s="33" t="s">
        <v>15</v>
      </c>
      <c r="AB276" s="36" t="s">
        <v>16</v>
      </c>
      <c r="AC276" s="181">
        <f t="shared" si="54"/>
        <v>4</v>
      </c>
      <c r="AD276" s="181">
        <f t="shared" si="52"/>
        <v>19443.8</v>
      </c>
      <c r="AE276" s="181">
        <v>1.7</v>
      </c>
      <c r="AF276" s="181">
        <v>1.7</v>
      </c>
      <c r="AG276" s="101" t="str">
        <f t="shared" si="55"/>
        <v/>
      </c>
      <c r="AH276" s="190">
        <v>0</v>
      </c>
      <c r="AI276" s="69">
        <f t="shared" si="56"/>
        <v>4</v>
      </c>
    </row>
    <row r="277" spans="1:35" s="69" customFormat="1" ht="49.5" x14ac:dyDescent="0.3">
      <c r="A277" s="55" t="s">
        <v>716</v>
      </c>
      <c r="B277" s="138" t="s">
        <v>717</v>
      </c>
      <c r="C277" s="54" t="s">
        <v>606</v>
      </c>
      <c r="D277" s="75">
        <v>1</v>
      </c>
      <c r="E277" s="75"/>
      <c r="F277" s="75"/>
      <c r="G277" s="161"/>
      <c r="H277" s="158" t="s">
        <v>15</v>
      </c>
      <c r="I277" s="166">
        <v>14800.45</v>
      </c>
      <c r="J277" s="75">
        <v>14800.45</v>
      </c>
      <c r="K277" s="91" t="s">
        <v>718</v>
      </c>
      <c r="L277" s="73"/>
      <c r="M277" s="46">
        <v>0</v>
      </c>
      <c r="N277" s="46">
        <v>0</v>
      </c>
      <c r="O277" s="46">
        <v>0</v>
      </c>
      <c r="P277" s="98"/>
      <c r="Q277" s="23" t="s">
        <v>1445</v>
      </c>
      <c r="R277" s="24" t="s">
        <v>717</v>
      </c>
      <c r="S277" s="25" t="s">
        <v>606</v>
      </c>
      <c r="T277" s="26">
        <v>1</v>
      </c>
      <c r="U277" s="26">
        <v>1</v>
      </c>
      <c r="V277" s="26">
        <v>14800.45</v>
      </c>
      <c r="W277" s="26">
        <f t="shared" si="50"/>
        <v>0</v>
      </c>
      <c r="X277" s="26">
        <f t="shared" si="53"/>
        <v>0</v>
      </c>
      <c r="Y277" s="26">
        <f t="shared" si="51"/>
        <v>0</v>
      </c>
      <c r="Z277" s="26">
        <f t="shared" si="57"/>
        <v>0</v>
      </c>
      <c r="AA277" s="33" t="s">
        <v>15</v>
      </c>
      <c r="AB277" s="36" t="s">
        <v>16</v>
      </c>
      <c r="AC277" s="181">
        <f t="shared" si="54"/>
        <v>1</v>
      </c>
      <c r="AD277" s="181">
        <f t="shared" si="52"/>
        <v>14800.45</v>
      </c>
      <c r="AE277" s="181">
        <v>1.7</v>
      </c>
      <c r="AF277" s="181">
        <v>1.7</v>
      </c>
      <c r="AG277" s="101" t="str">
        <f t="shared" si="55"/>
        <v/>
      </c>
      <c r="AH277" s="190">
        <v>0</v>
      </c>
      <c r="AI277" s="69">
        <f t="shared" si="56"/>
        <v>1</v>
      </c>
    </row>
    <row r="278" spans="1:35" s="69" customFormat="1" ht="49.5" x14ac:dyDescent="0.3">
      <c r="A278" s="55" t="s">
        <v>719</v>
      </c>
      <c r="B278" s="138" t="s">
        <v>720</v>
      </c>
      <c r="C278" s="54" t="s">
        <v>606</v>
      </c>
      <c r="D278" s="75">
        <v>1</v>
      </c>
      <c r="E278" s="75"/>
      <c r="F278" s="75"/>
      <c r="G278" s="161"/>
      <c r="H278" s="158" t="s">
        <v>15</v>
      </c>
      <c r="I278" s="166">
        <v>6661.47</v>
      </c>
      <c r="J278" s="75">
        <v>6661.47</v>
      </c>
      <c r="K278" s="91" t="s">
        <v>721</v>
      </c>
      <c r="L278" s="73"/>
      <c r="M278" s="46">
        <v>0</v>
      </c>
      <c r="N278" s="46">
        <v>0</v>
      </c>
      <c r="O278" s="46">
        <v>0</v>
      </c>
      <c r="P278" s="98"/>
      <c r="Q278" s="23" t="s">
        <v>1383</v>
      </c>
      <c r="R278" s="24" t="s">
        <v>720</v>
      </c>
      <c r="S278" s="25" t="s">
        <v>606</v>
      </c>
      <c r="T278" s="26">
        <v>1</v>
      </c>
      <c r="U278" s="26">
        <v>1</v>
      </c>
      <c r="V278" s="26">
        <v>6661.47</v>
      </c>
      <c r="W278" s="26">
        <f t="shared" si="50"/>
        <v>0</v>
      </c>
      <c r="X278" s="26">
        <f t="shared" si="53"/>
        <v>0</v>
      </c>
      <c r="Y278" s="26">
        <f t="shared" si="51"/>
        <v>0</v>
      </c>
      <c r="Z278" s="26">
        <f t="shared" si="57"/>
        <v>0</v>
      </c>
      <c r="AA278" s="33" t="s">
        <v>15</v>
      </c>
      <c r="AB278" s="36" t="s">
        <v>16</v>
      </c>
      <c r="AC278" s="181">
        <f t="shared" si="54"/>
        <v>1</v>
      </c>
      <c r="AD278" s="181">
        <f t="shared" si="52"/>
        <v>6661.47</v>
      </c>
      <c r="AE278" s="181">
        <v>1.7</v>
      </c>
      <c r="AF278" s="181">
        <v>1.7</v>
      </c>
      <c r="AG278" s="101" t="str">
        <f t="shared" si="55"/>
        <v/>
      </c>
      <c r="AH278" s="190">
        <v>0</v>
      </c>
      <c r="AI278" s="69">
        <f t="shared" si="56"/>
        <v>1</v>
      </c>
    </row>
    <row r="279" spans="1:35" s="69" customFormat="1" ht="49.5" x14ac:dyDescent="0.3">
      <c r="A279" s="55" t="s">
        <v>722</v>
      </c>
      <c r="B279" s="138" t="s">
        <v>723</v>
      </c>
      <c r="C279" s="54" t="s">
        <v>606</v>
      </c>
      <c r="D279" s="75">
        <v>1</v>
      </c>
      <c r="E279" s="75"/>
      <c r="F279" s="75"/>
      <c r="G279" s="161"/>
      <c r="H279" s="158" t="s">
        <v>15</v>
      </c>
      <c r="I279" s="166">
        <v>15584.47</v>
      </c>
      <c r="J279" s="75">
        <v>15584.47</v>
      </c>
      <c r="K279" s="91" t="s">
        <v>724</v>
      </c>
      <c r="L279" s="73"/>
      <c r="M279" s="46">
        <v>0</v>
      </c>
      <c r="N279" s="46">
        <v>0</v>
      </c>
      <c r="O279" s="46">
        <v>0</v>
      </c>
      <c r="P279" s="98"/>
      <c r="Q279" s="23" t="s">
        <v>1384</v>
      </c>
      <c r="R279" s="24" t="s">
        <v>723</v>
      </c>
      <c r="S279" s="25" t="s">
        <v>606</v>
      </c>
      <c r="T279" s="26">
        <v>1</v>
      </c>
      <c r="U279" s="26">
        <v>1</v>
      </c>
      <c r="V279" s="26">
        <v>15584.47</v>
      </c>
      <c r="W279" s="26">
        <f t="shared" si="50"/>
        <v>0</v>
      </c>
      <c r="X279" s="26">
        <f t="shared" si="53"/>
        <v>0</v>
      </c>
      <c r="Y279" s="26">
        <f t="shared" si="51"/>
        <v>0</v>
      </c>
      <c r="Z279" s="26">
        <f t="shared" si="57"/>
        <v>0</v>
      </c>
      <c r="AA279" s="33" t="s">
        <v>15</v>
      </c>
      <c r="AB279" s="36" t="s">
        <v>16</v>
      </c>
      <c r="AC279" s="181">
        <f t="shared" si="54"/>
        <v>1</v>
      </c>
      <c r="AD279" s="181">
        <f t="shared" si="52"/>
        <v>15584.47</v>
      </c>
      <c r="AE279" s="181">
        <v>1.7</v>
      </c>
      <c r="AF279" s="181">
        <v>1.7</v>
      </c>
      <c r="AG279" s="101" t="str">
        <f t="shared" si="55"/>
        <v/>
      </c>
      <c r="AH279" s="190">
        <v>0</v>
      </c>
      <c r="AI279" s="69">
        <f t="shared" si="56"/>
        <v>1</v>
      </c>
    </row>
    <row r="280" spans="1:35" s="69" customFormat="1" ht="49.5" x14ac:dyDescent="0.3">
      <c r="A280" s="55" t="s">
        <v>725</v>
      </c>
      <c r="B280" s="138" t="s">
        <v>726</v>
      </c>
      <c r="C280" s="54" t="s">
        <v>606</v>
      </c>
      <c r="D280" s="75">
        <v>4</v>
      </c>
      <c r="E280" s="75"/>
      <c r="F280" s="75"/>
      <c r="G280" s="161"/>
      <c r="H280" s="158" t="s">
        <v>15</v>
      </c>
      <c r="I280" s="166">
        <v>3949.4</v>
      </c>
      <c r="J280" s="75">
        <v>15797.6</v>
      </c>
      <c r="K280" s="91" t="s">
        <v>727</v>
      </c>
      <c r="L280" s="73"/>
      <c r="M280" s="46">
        <v>0</v>
      </c>
      <c r="N280" s="46">
        <v>0</v>
      </c>
      <c r="O280" s="46">
        <v>0</v>
      </c>
      <c r="P280" s="98"/>
      <c r="Q280" s="23" t="s">
        <v>1385</v>
      </c>
      <c r="R280" s="24" t="s">
        <v>726</v>
      </c>
      <c r="S280" s="25" t="s">
        <v>606</v>
      </c>
      <c r="T280" s="26">
        <v>4</v>
      </c>
      <c r="U280" s="26">
        <v>4</v>
      </c>
      <c r="V280" s="26">
        <v>3949.4</v>
      </c>
      <c r="W280" s="26">
        <f t="shared" si="50"/>
        <v>0</v>
      </c>
      <c r="X280" s="26">
        <f t="shared" si="53"/>
        <v>0</v>
      </c>
      <c r="Y280" s="26">
        <f t="shared" si="51"/>
        <v>0</v>
      </c>
      <c r="Z280" s="26">
        <f t="shared" si="57"/>
        <v>0</v>
      </c>
      <c r="AA280" s="33" t="s">
        <v>15</v>
      </c>
      <c r="AB280" s="36" t="s">
        <v>16</v>
      </c>
      <c r="AC280" s="181">
        <f t="shared" si="54"/>
        <v>4</v>
      </c>
      <c r="AD280" s="181">
        <f t="shared" si="52"/>
        <v>15797.6</v>
      </c>
      <c r="AE280" s="181">
        <v>1.7</v>
      </c>
      <c r="AF280" s="181">
        <v>1.7</v>
      </c>
      <c r="AG280" s="101" t="str">
        <f t="shared" si="55"/>
        <v/>
      </c>
      <c r="AH280" s="190">
        <v>0</v>
      </c>
      <c r="AI280" s="69">
        <f t="shared" si="56"/>
        <v>4</v>
      </c>
    </row>
    <row r="281" spans="1:35" s="69" customFormat="1" ht="33" x14ac:dyDescent="0.3">
      <c r="A281" s="55" t="s">
        <v>728</v>
      </c>
      <c r="B281" s="138" t="s">
        <v>729</v>
      </c>
      <c r="C281" s="54" t="s">
        <v>606</v>
      </c>
      <c r="D281" s="75">
        <v>1</v>
      </c>
      <c r="E281" s="75"/>
      <c r="F281" s="75"/>
      <c r="G281" s="161"/>
      <c r="H281" s="158" t="s">
        <v>15</v>
      </c>
      <c r="I281" s="166">
        <v>227.07</v>
      </c>
      <c r="J281" s="75">
        <v>227.07</v>
      </c>
      <c r="K281" s="91" t="s">
        <v>730</v>
      </c>
      <c r="L281" s="73"/>
      <c r="M281" s="46">
        <v>0</v>
      </c>
      <c r="N281" s="46">
        <v>0</v>
      </c>
      <c r="O281" s="46">
        <v>0</v>
      </c>
      <c r="P281" s="98"/>
      <c r="Q281" s="23" t="s">
        <v>1446</v>
      </c>
      <c r="R281" s="24" t="s">
        <v>729</v>
      </c>
      <c r="S281" s="25" t="s">
        <v>606</v>
      </c>
      <c r="T281" s="26">
        <v>1</v>
      </c>
      <c r="U281" s="26">
        <v>1</v>
      </c>
      <c r="V281" s="26">
        <v>227.07</v>
      </c>
      <c r="W281" s="26">
        <f t="shared" si="50"/>
        <v>0</v>
      </c>
      <c r="X281" s="26">
        <f t="shared" si="53"/>
        <v>0</v>
      </c>
      <c r="Y281" s="26">
        <f t="shared" si="51"/>
        <v>0</v>
      </c>
      <c r="Z281" s="26">
        <f t="shared" si="57"/>
        <v>0</v>
      </c>
      <c r="AA281" s="33" t="s">
        <v>15</v>
      </c>
      <c r="AB281" s="36" t="s">
        <v>16</v>
      </c>
      <c r="AC281" s="181">
        <f t="shared" si="54"/>
        <v>1</v>
      </c>
      <c r="AD281" s="181">
        <f t="shared" si="52"/>
        <v>227.07</v>
      </c>
      <c r="AE281" s="181">
        <v>1.7</v>
      </c>
      <c r="AF281" s="181">
        <v>1.7</v>
      </c>
      <c r="AG281" s="101" t="str">
        <f t="shared" si="55"/>
        <v/>
      </c>
      <c r="AH281" s="190">
        <v>0</v>
      </c>
      <c r="AI281" s="69">
        <f t="shared" si="56"/>
        <v>1</v>
      </c>
    </row>
    <row r="282" spans="1:35" s="69" customFormat="1" ht="33" x14ac:dyDescent="0.3">
      <c r="A282" s="55" t="s">
        <v>731</v>
      </c>
      <c r="B282" s="138" t="s">
        <v>732</v>
      </c>
      <c r="C282" s="54" t="s">
        <v>606</v>
      </c>
      <c r="D282" s="75">
        <v>1</v>
      </c>
      <c r="E282" s="75"/>
      <c r="F282" s="75"/>
      <c r="G282" s="161"/>
      <c r="H282" s="158" t="s">
        <v>15</v>
      </c>
      <c r="I282" s="166">
        <v>277.02999999999997</v>
      </c>
      <c r="J282" s="75">
        <v>277.02999999999997</v>
      </c>
      <c r="K282" s="91" t="s">
        <v>733</v>
      </c>
      <c r="L282" s="73"/>
      <c r="M282" s="46">
        <v>0</v>
      </c>
      <c r="N282" s="46">
        <v>0</v>
      </c>
      <c r="O282" s="46">
        <v>0</v>
      </c>
      <c r="P282" s="98"/>
      <c r="Q282" s="23" t="s">
        <v>1447</v>
      </c>
      <c r="R282" s="24" t="s">
        <v>732</v>
      </c>
      <c r="S282" s="25" t="s">
        <v>606</v>
      </c>
      <c r="T282" s="26">
        <v>1</v>
      </c>
      <c r="U282" s="26">
        <v>1</v>
      </c>
      <c r="V282" s="26">
        <v>277.02999999999997</v>
      </c>
      <c r="W282" s="26">
        <f t="shared" si="50"/>
        <v>0</v>
      </c>
      <c r="X282" s="26">
        <f t="shared" si="53"/>
        <v>0</v>
      </c>
      <c r="Y282" s="26">
        <f t="shared" si="51"/>
        <v>0</v>
      </c>
      <c r="Z282" s="26">
        <f t="shared" si="57"/>
        <v>0</v>
      </c>
      <c r="AA282" s="33" t="s">
        <v>15</v>
      </c>
      <c r="AB282" s="36" t="s">
        <v>16</v>
      </c>
      <c r="AC282" s="181">
        <f t="shared" si="54"/>
        <v>1</v>
      </c>
      <c r="AD282" s="181">
        <f t="shared" si="52"/>
        <v>277.02999999999997</v>
      </c>
      <c r="AE282" s="181">
        <v>1.7</v>
      </c>
      <c r="AF282" s="181">
        <v>1.7</v>
      </c>
      <c r="AG282" s="101" t="str">
        <f t="shared" si="55"/>
        <v/>
      </c>
      <c r="AH282" s="190">
        <v>0</v>
      </c>
      <c r="AI282" s="69">
        <f t="shared" si="56"/>
        <v>1</v>
      </c>
    </row>
    <row r="283" spans="1:35" s="69" customFormat="1" ht="33" x14ac:dyDescent="0.3">
      <c r="A283" s="55" t="s">
        <v>734</v>
      </c>
      <c r="B283" s="138" t="s">
        <v>735</v>
      </c>
      <c r="C283" s="54" t="s">
        <v>606</v>
      </c>
      <c r="D283" s="75">
        <v>1</v>
      </c>
      <c r="E283" s="75"/>
      <c r="F283" s="75"/>
      <c r="G283" s="161"/>
      <c r="H283" s="158" t="s">
        <v>15</v>
      </c>
      <c r="I283" s="166">
        <v>286.3</v>
      </c>
      <c r="J283" s="75">
        <v>286.3</v>
      </c>
      <c r="K283" s="91" t="s">
        <v>736</v>
      </c>
      <c r="L283" s="73"/>
      <c r="M283" s="46">
        <v>0</v>
      </c>
      <c r="N283" s="46">
        <v>0</v>
      </c>
      <c r="O283" s="46">
        <v>0</v>
      </c>
      <c r="P283" s="98"/>
      <c r="Q283" s="23" t="s">
        <v>1448</v>
      </c>
      <c r="R283" s="24" t="s">
        <v>735</v>
      </c>
      <c r="S283" s="25" t="s">
        <v>606</v>
      </c>
      <c r="T283" s="26">
        <v>1</v>
      </c>
      <c r="U283" s="26">
        <v>1</v>
      </c>
      <c r="V283" s="26">
        <v>286.3</v>
      </c>
      <c r="W283" s="26">
        <f t="shared" si="50"/>
        <v>0</v>
      </c>
      <c r="X283" s="26">
        <f t="shared" si="53"/>
        <v>0</v>
      </c>
      <c r="Y283" s="26">
        <f t="shared" si="51"/>
        <v>0</v>
      </c>
      <c r="Z283" s="26">
        <f t="shared" si="57"/>
        <v>0</v>
      </c>
      <c r="AA283" s="33" t="s">
        <v>15</v>
      </c>
      <c r="AB283" s="36" t="s">
        <v>16</v>
      </c>
      <c r="AC283" s="181">
        <f t="shared" si="54"/>
        <v>1</v>
      </c>
      <c r="AD283" s="181">
        <f t="shared" si="52"/>
        <v>286.3</v>
      </c>
      <c r="AE283" s="181">
        <v>1.7</v>
      </c>
      <c r="AF283" s="181">
        <v>1.7</v>
      </c>
      <c r="AG283" s="101" t="str">
        <f t="shared" si="55"/>
        <v/>
      </c>
      <c r="AH283" s="190">
        <v>0</v>
      </c>
      <c r="AI283" s="69">
        <f t="shared" si="56"/>
        <v>1</v>
      </c>
    </row>
    <row r="284" spans="1:35" s="69" customFormat="1" ht="33" x14ac:dyDescent="0.3">
      <c r="A284" s="55" t="s">
        <v>737</v>
      </c>
      <c r="B284" s="138" t="s">
        <v>738</v>
      </c>
      <c r="C284" s="54" t="s">
        <v>606</v>
      </c>
      <c r="D284" s="75">
        <v>1</v>
      </c>
      <c r="E284" s="75"/>
      <c r="F284" s="75"/>
      <c r="G284" s="161"/>
      <c r="H284" s="158" t="s">
        <v>15</v>
      </c>
      <c r="I284" s="166">
        <v>134.37</v>
      </c>
      <c r="J284" s="75">
        <v>134.37</v>
      </c>
      <c r="K284" s="91" t="s">
        <v>739</v>
      </c>
      <c r="L284" s="73"/>
      <c r="M284" s="46">
        <v>0</v>
      </c>
      <c r="N284" s="46">
        <v>0</v>
      </c>
      <c r="O284" s="46">
        <v>0</v>
      </c>
      <c r="P284" s="98"/>
      <c r="Q284" s="23" t="s">
        <v>1449</v>
      </c>
      <c r="R284" s="24" t="s">
        <v>738</v>
      </c>
      <c r="S284" s="25" t="s">
        <v>606</v>
      </c>
      <c r="T284" s="26">
        <v>1</v>
      </c>
      <c r="U284" s="26">
        <v>1</v>
      </c>
      <c r="V284" s="26">
        <v>134.37</v>
      </c>
      <c r="W284" s="26">
        <f t="shared" si="50"/>
        <v>0</v>
      </c>
      <c r="X284" s="26">
        <f t="shared" si="53"/>
        <v>0</v>
      </c>
      <c r="Y284" s="26">
        <f t="shared" si="51"/>
        <v>0</v>
      </c>
      <c r="Z284" s="26">
        <f t="shared" si="57"/>
        <v>0</v>
      </c>
      <c r="AA284" s="33" t="s">
        <v>15</v>
      </c>
      <c r="AB284" s="36" t="s">
        <v>16</v>
      </c>
      <c r="AC284" s="181">
        <f t="shared" si="54"/>
        <v>1</v>
      </c>
      <c r="AD284" s="181">
        <f t="shared" si="52"/>
        <v>134.37</v>
      </c>
      <c r="AE284" s="181">
        <v>1.7</v>
      </c>
      <c r="AF284" s="181">
        <v>1.7</v>
      </c>
      <c r="AG284" s="101" t="str">
        <f t="shared" si="55"/>
        <v/>
      </c>
      <c r="AH284" s="190">
        <v>0</v>
      </c>
      <c r="AI284" s="69">
        <f t="shared" si="56"/>
        <v>1</v>
      </c>
    </row>
    <row r="285" spans="1:35" s="69" customFormat="1" ht="33" x14ac:dyDescent="0.3">
      <c r="A285" s="55" t="s">
        <v>740</v>
      </c>
      <c r="B285" s="138" t="s">
        <v>741</v>
      </c>
      <c r="C285" s="54" t="s">
        <v>606</v>
      </c>
      <c r="D285" s="75">
        <v>1</v>
      </c>
      <c r="E285" s="75"/>
      <c r="F285" s="75"/>
      <c r="G285" s="161"/>
      <c r="H285" s="158" t="s">
        <v>15</v>
      </c>
      <c r="I285" s="166">
        <v>142.1</v>
      </c>
      <c r="J285" s="75">
        <v>142.1</v>
      </c>
      <c r="K285" s="91" t="s">
        <v>742</v>
      </c>
      <c r="L285" s="73"/>
      <c r="M285" s="46">
        <v>0</v>
      </c>
      <c r="N285" s="46">
        <v>0</v>
      </c>
      <c r="O285" s="46">
        <v>0</v>
      </c>
      <c r="P285" s="98"/>
      <c r="Q285" s="23" t="s">
        <v>1450</v>
      </c>
      <c r="R285" s="24" t="s">
        <v>741</v>
      </c>
      <c r="S285" s="25" t="s">
        <v>606</v>
      </c>
      <c r="T285" s="26">
        <v>1</v>
      </c>
      <c r="U285" s="26">
        <v>1</v>
      </c>
      <c r="V285" s="26">
        <v>142.1</v>
      </c>
      <c r="W285" s="26">
        <f t="shared" si="50"/>
        <v>0</v>
      </c>
      <c r="X285" s="26">
        <f t="shared" si="53"/>
        <v>0</v>
      </c>
      <c r="Y285" s="26">
        <f t="shared" si="51"/>
        <v>0</v>
      </c>
      <c r="Z285" s="26">
        <f t="shared" si="57"/>
        <v>0</v>
      </c>
      <c r="AA285" s="33" t="s">
        <v>15</v>
      </c>
      <c r="AB285" s="36" t="s">
        <v>16</v>
      </c>
      <c r="AC285" s="181">
        <f t="shared" si="54"/>
        <v>1</v>
      </c>
      <c r="AD285" s="181">
        <f t="shared" si="52"/>
        <v>142.1</v>
      </c>
      <c r="AE285" s="181">
        <v>1.7</v>
      </c>
      <c r="AF285" s="181">
        <v>1.7</v>
      </c>
      <c r="AG285" s="101" t="str">
        <f t="shared" si="55"/>
        <v/>
      </c>
      <c r="AH285" s="190">
        <v>0</v>
      </c>
      <c r="AI285" s="69">
        <f t="shared" si="56"/>
        <v>1</v>
      </c>
    </row>
    <row r="286" spans="1:35" s="69" customFormat="1" ht="33" x14ac:dyDescent="0.3">
      <c r="A286" s="55" t="s">
        <v>743</v>
      </c>
      <c r="B286" s="138" t="s">
        <v>744</v>
      </c>
      <c r="C286" s="54" t="s">
        <v>606</v>
      </c>
      <c r="D286" s="75">
        <v>1</v>
      </c>
      <c r="E286" s="75"/>
      <c r="F286" s="75"/>
      <c r="G286" s="161"/>
      <c r="H286" s="158" t="s">
        <v>15</v>
      </c>
      <c r="I286" s="166">
        <v>90.32</v>
      </c>
      <c r="J286" s="75">
        <v>90.32</v>
      </c>
      <c r="K286" s="91" t="s">
        <v>745</v>
      </c>
      <c r="L286" s="73"/>
      <c r="M286" s="46">
        <v>0</v>
      </c>
      <c r="N286" s="46">
        <v>0</v>
      </c>
      <c r="O286" s="46">
        <v>0</v>
      </c>
      <c r="P286" s="98"/>
      <c r="Q286" s="23" t="s">
        <v>1451</v>
      </c>
      <c r="R286" s="24" t="s">
        <v>744</v>
      </c>
      <c r="S286" s="25" t="s">
        <v>606</v>
      </c>
      <c r="T286" s="26">
        <v>1</v>
      </c>
      <c r="U286" s="26">
        <v>1</v>
      </c>
      <c r="V286" s="26">
        <v>90.32</v>
      </c>
      <c r="W286" s="26">
        <f t="shared" si="50"/>
        <v>0</v>
      </c>
      <c r="X286" s="26">
        <f t="shared" si="53"/>
        <v>0</v>
      </c>
      <c r="Y286" s="26">
        <f t="shared" si="51"/>
        <v>0</v>
      </c>
      <c r="Z286" s="26">
        <f t="shared" si="57"/>
        <v>0</v>
      </c>
      <c r="AA286" s="33" t="s">
        <v>15</v>
      </c>
      <c r="AB286" s="36" t="s">
        <v>16</v>
      </c>
      <c r="AC286" s="181">
        <f t="shared" si="54"/>
        <v>1</v>
      </c>
      <c r="AD286" s="181">
        <f t="shared" si="52"/>
        <v>90.32</v>
      </c>
      <c r="AE286" s="181">
        <v>1.7</v>
      </c>
      <c r="AF286" s="181">
        <v>1.7</v>
      </c>
      <c r="AG286" s="101" t="str">
        <f t="shared" si="55"/>
        <v/>
      </c>
      <c r="AH286" s="190">
        <v>0</v>
      </c>
      <c r="AI286" s="69">
        <f t="shared" si="56"/>
        <v>1</v>
      </c>
    </row>
    <row r="287" spans="1:35" s="69" customFormat="1" ht="33" x14ac:dyDescent="0.3">
      <c r="A287" s="55" t="s">
        <v>746</v>
      </c>
      <c r="B287" s="138" t="s">
        <v>747</v>
      </c>
      <c r="C287" s="54" t="s">
        <v>606</v>
      </c>
      <c r="D287" s="75">
        <v>1</v>
      </c>
      <c r="E287" s="75"/>
      <c r="F287" s="75"/>
      <c r="G287" s="161"/>
      <c r="H287" s="158" t="s">
        <v>15</v>
      </c>
      <c r="I287" s="166">
        <v>125.1</v>
      </c>
      <c r="J287" s="75">
        <v>125.1</v>
      </c>
      <c r="K287" s="91" t="s">
        <v>748</v>
      </c>
      <c r="L287" s="73"/>
      <c r="M287" s="46">
        <v>0</v>
      </c>
      <c r="N287" s="46">
        <v>0</v>
      </c>
      <c r="O287" s="46">
        <v>0</v>
      </c>
      <c r="P287" s="98"/>
      <c r="Q287" s="23" t="s">
        <v>1452</v>
      </c>
      <c r="R287" s="24" t="s">
        <v>747</v>
      </c>
      <c r="S287" s="25" t="s">
        <v>606</v>
      </c>
      <c r="T287" s="26">
        <v>1</v>
      </c>
      <c r="U287" s="26">
        <v>1</v>
      </c>
      <c r="V287" s="26">
        <v>125.1</v>
      </c>
      <c r="W287" s="26">
        <f t="shared" si="50"/>
        <v>0</v>
      </c>
      <c r="X287" s="26">
        <f t="shared" si="53"/>
        <v>0</v>
      </c>
      <c r="Y287" s="26">
        <f t="shared" si="51"/>
        <v>0</v>
      </c>
      <c r="Z287" s="26">
        <f t="shared" si="57"/>
        <v>0</v>
      </c>
      <c r="AA287" s="33" t="s">
        <v>15</v>
      </c>
      <c r="AB287" s="36" t="s">
        <v>16</v>
      </c>
      <c r="AC287" s="181">
        <f t="shared" si="54"/>
        <v>1</v>
      </c>
      <c r="AD287" s="181">
        <f t="shared" si="52"/>
        <v>125.1</v>
      </c>
      <c r="AE287" s="181">
        <v>1.7</v>
      </c>
      <c r="AF287" s="181">
        <v>1.7</v>
      </c>
      <c r="AG287" s="101" t="str">
        <f t="shared" si="55"/>
        <v/>
      </c>
      <c r="AH287" s="190">
        <v>0</v>
      </c>
      <c r="AI287" s="69">
        <f t="shared" si="56"/>
        <v>1</v>
      </c>
    </row>
    <row r="288" spans="1:35" s="69" customFormat="1" ht="33" x14ac:dyDescent="0.3">
      <c r="A288" s="55" t="s">
        <v>749</v>
      </c>
      <c r="B288" s="138" t="s">
        <v>750</v>
      </c>
      <c r="C288" s="54" t="s">
        <v>606</v>
      </c>
      <c r="D288" s="75">
        <v>1</v>
      </c>
      <c r="E288" s="75"/>
      <c r="F288" s="75"/>
      <c r="G288" s="161"/>
      <c r="H288" s="158" t="s">
        <v>15</v>
      </c>
      <c r="I288" s="166">
        <v>137.04</v>
      </c>
      <c r="J288" s="75">
        <v>137.04</v>
      </c>
      <c r="K288" s="91" t="s">
        <v>751</v>
      </c>
      <c r="L288" s="73"/>
      <c r="M288" s="46">
        <v>0</v>
      </c>
      <c r="N288" s="46">
        <v>0</v>
      </c>
      <c r="O288" s="46">
        <v>0</v>
      </c>
      <c r="P288" s="98"/>
      <c r="Q288" s="23" t="s">
        <v>1453</v>
      </c>
      <c r="R288" s="24" t="s">
        <v>750</v>
      </c>
      <c r="S288" s="25" t="s">
        <v>606</v>
      </c>
      <c r="T288" s="26">
        <v>1</v>
      </c>
      <c r="U288" s="26">
        <v>1</v>
      </c>
      <c r="V288" s="26">
        <v>137.04</v>
      </c>
      <c r="W288" s="26">
        <f t="shared" si="50"/>
        <v>0</v>
      </c>
      <c r="X288" s="26">
        <f t="shared" si="53"/>
        <v>0</v>
      </c>
      <c r="Y288" s="26">
        <f t="shared" si="51"/>
        <v>0</v>
      </c>
      <c r="Z288" s="26">
        <f t="shared" si="57"/>
        <v>0</v>
      </c>
      <c r="AA288" s="33" t="s">
        <v>15</v>
      </c>
      <c r="AB288" s="36" t="s">
        <v>16</v>
      </c>
      <c r="AC288" s="181">
        <f t="shared" si="54"/>
        <v>1</v>
      </c>
      <c r="AD288" s="181">
        <f t="shared" si="52"/>
        <v>137.04</v>
      </c>
      <c r="AE288" s="181">
        <v>1.7</v>
      </c>
      <c r="AF288" s="181">
        <v>1.7</v>
      </c>
      <c r="AG288" s="101" t="str">
        <f t="shared" si="55"/>
        <v/>
      </c>
      <c r="AH288" s="190">
        <v>0</v>
      </c>
      <c r="AI288" s="69">
        <f t="shared" si="56"/>
        <v>1</v>
      </c>
    </row>
    <row r="289" spans="1:35" s="69" customFormat="1" ht="33" x14ac:dyDescent="0.3">
      <c r="A289" s="55" t="s">
        <v>752</v>
      </c>
      <c r="B289" s="138" t="s">
        <v>753</v>
      </c>
      <c r="C289" s="54" t="s">
        <v>606</v>
      </c>
      <c r="D289" s="75">
        <v>1</v>
      </c>
      <c r="E289" s="75"/>
      <c r="F289" s="75"/>
      <c r="G289" s="161"/>
      <c r="H289" s="158" t="s">
        <v>15</v>
      </c>
      <c r="I289" s="166">
        <v>107.12</v>
      </c>
      <c r="J289" s="75">
        <v>107.12</v>
      </c>
      <c r="K289" s="91" t="s">
        <v>754</v>
      </c>
      <c r="L289" s="73"/>
      <c r="M289" s="46">
        <v>0</v>
      </c>
      <c r="N289" s="46">
        <v>0</v>
      </c>
      <c r="O289" s="46">
        <v>0</v>
      </c>
      <c r="P289" s="98"/>
      <c r="Q289" s="23" t="s">
        <v>1454</v>
      </c>
      <c r="R289" s="24" t="s">
        <v>753</v>
      </c>
      <c r="S289" s="25" t="s">
        <v>606</v>
      </c>
      <c r="T289" s="26">
        <v>1</v>
      </c>
      <c r="U289" s="26">
        <v>1</v>
      </c>
      <c r="V289" s="26">
        <v>107.12</v>
      </c>
      <c r="W289" s="26">
        <f t="shared" si="50"/>
        <v>0</v>
      </c>
      <c r="X289" s="26">
        <f t="shared" si="53"/>
        <v>0</v>
      </c>
      <c r="Y289" s="26">
        <f t="shared" si="51"/>
        <v>0</v>
      </c>
      <c r="Z289" s="26">
        <f t="shared" si="57"/>
        <v>0</v>
      </c>
      <c r="AA289" s="33" t="s">
        <v>15</v>
      </c>
      <c r="AB289" s="36" t="s">
        <v>16</v>
      </c>
      <c r="AC289" s="181">
        <f t="shared" si="54"/>
        <v>1</v>
      </c>
      <c r="AD289" s="181">
        <f t="shared" si="52"/>
        <v>107.12</v>
      </c>
      <c r="AE289" s="181">
        <v>1.7</v>
      </c>
      <c r="AF289" s="181">
        <v>1.7</v>
      </c>
      <c r="AG289" s="101" t="str">
        <f t="shared" si="55"/>
        <v/>
      </c>
      <c r="AH289" s="190">
        <v>0</v>
      </c>
      <c r="AI289" s="69">
        <f t="shared" si="56"/>
        <v>1</v>
      </c>
    </row>
    <row r="290" spans="1:35" s="69" customFormat="1" ht="33" x14ac:dyDescent="0.3">
      <c r="A290" s="55" t="s">
        <v>755</v>
      </c>
      <c r="B290" s="138" t="s">
        <v>756</v>
      </c>
      <c r="C290" s="54" t="s">
        <v>606</v>
      </c>
      <c r="D290" s="75">
        <v>1</v>
      </c>
      <c r="E290" s="75"/>
      <c r="F290" s="75"/>
      <c r="G290" s="161"/>
      <c r="H290" s="158" t="s">
        <v>15</v>
      </c>
      <c r="I290" s="166">
        <v>124.17</v>
      </c>
      <c r="J290" s="75">
        <v>124.17</v>
      </c>
      <c r="K290" s="91" t="s">
        <v>757</v>
      </c>
      <c r="L290" s="73"/>
      <c r="M290" s="46">
        <v>0</v>
      </c>
      <c r="N290" s="46">
        <v>0</v>
      </c>
      <c r="O290" s="46">
        <v>0</v>
      </c>
      <c r="P290" s="98"/>
      <c r="Q290" s="23" t="s">
        <v>1455</v>
      </c>
      <c r="R290" s="24" t="s">
        <v>756</v>
      </c>
      <c r="S290" s="25" t="s">
        <v>606</v>
      </c>
      <c r="T290" s="26">
        <v>1</v>
      </c>
      <c r="U290" s="26">
        <v>1</v>
      </c>
      <c r="V290" s="26">
        <v>124.17</v>
      </c>
      <c r="W290" s="26">
        <f t="shared" si="50"/>
        <v>0</v>
      </c>
      <c r="X290" s="26">
        <f t="shared" si="53"/>
        <v>0</v>
      </c>
      <c r="Y290" s="26">
        <f t="shared" si="51"/>
        <v>0</v>
      </c>
      <c r="Z290" s="26">
        <f t="shared" si="57"/>
        <v>0</v>
      </c>
      <c r="AA290" s="33" t="s">
        <v>15</v>
      </c>
      <c r="AB290" s="36" t="s">
        <v>16</v>
      </c>
      <c r="AC290" s="181">
        <f t="shared" si="54"/>
        <v>1</v>
      </c>
      <c r="AD290" s="181">
        <f t="shared" si="52"/>
        <v>124.17</v>
      </c>
      <c r="AE290" s="181">
        <v>1.7</v>
      </c>
      <c r="AF290" s="181">
        <v>1.7</v>
      </c>
      <c r="AG290" s="101" t="str">
        <f t="shared" si="55"/>
        <v/>
      </c>
      <c r="AH290" s="190">
        <v>0</v>
      </c>
      <c r="AI290" s="69">
        <f t="shared" si="56"/>
        <v>1</v>
      </c>
    </row>
    <row r="291" spans="1:35" s="69" customFormat="1" ht="33" x14ac:dyDescent="0.3">
      <c r="A291" s="55" t="s">
        <v>758</v>
      </c>
      <c r="B291" s="138" t="s">
        <v>759</v>
      </c>
      <c r="C291" s="54" t="s">
        <v>606</v>
      </c>
      <c r="D291" s="75">
        <v>1</v>
      </c>
      <c r="E291" s="75"/>
      <c r="F291" s="75"/>
      <c r="G291" s="161"/>
      <c r="H291" s="158" t="s">
        <v>15</v>
      </c>
      <c r="I291" s="166">
        <v>121.59</v>
      </c>
      <c r="J291" s="75">
        <v>121.59</v>
      </c>
      <c r="K291" s="91" t="s">
        <v>760</v>
      </c>
      <c r="L291" s="73"/>
      <c r="M291" s="46">
        <v>0</v>
      </c>
      <c r="N291" s="46">
        <v>0</v>
      </c>
      <c r="O291" s="46">
        <v>0</v>
      </c>
      <c r="P291" s="98"/>
      <c r="Q291" s="23" t="s">
        <v>1456</v>
      </c>
      <c r="R291" s="24" t="s">
        <v>759</v>
      </c>
      <c r="S291" s="25" t="s">
        <v>606</v>
      </c>
      <c r="T291" s="26">
        <v>1</v>
      </c>
      <c r="U291" s="26">
        <v>1</v>
      </c>
      <c r="V291" s="26">
        <v>121.59</v>
      </c>
      <c r="W291" s="26">
        <f t="shared" si="50"/>
        <v>0</v>
      </c>
      <c r="X291" s="26">
        <f t="shared" si="53"/>
        <v>0</v>
      </c>
      <c r="Y291" s="26">
        <f t="shared" si="51"/>
        <v>0</v>
      </c>
      <c r="Z291" s="26">
        <f t="shared" si="57"/>
        <v>0</v>
      </c>
      <c r="AA291" s="33" t="s">
        <v>15</v>
      </c>
      <c r="AB291" s="36" t="s">
        <v>16</v>
      </c>
      <c r="AC291" s="181">
        <f t="shared" si="54"/>
        <v>1</v>
      </c>
      <c r="AD291" s="181">
        <f t="shared" si="52"/>
        <v>121.59</v>
      </c>
      <c r="AE291" s="181">
        <v>1.7</v>
      </c>
      <c r="AF291" s="181">
        <v>1.7</v>
      </c>
      <c r="AG291" s="101" t="str">
        <f t="shared" si="55"/>
        <v/>
      </c>
      <c r="AH291" s="190">
        <v>0</v>
      </c>
      <c r="AI291" s="69">
        <f t="shared" si="56"/>
        <v>1</v>
      </c>
    </row>
    <row r="292" spans="1:35" s="69" customFormat="1" ht="33" x14ac:dyDescent="0.3">
      <c r="A292" s="55" t="s">
        <v>761</v>
      </c>
      <c r="B292" s="138" t="s">
        <v>762</v>
      </c>
      <c r="C292" s="54" t="s">
        <v>606</v>
      </c>
      <c r="D292" s="75">
        <v>1</v>
      </c>
      <c r="E292" s="75"/>
      <c r="F292" s="75"/>
      <c r="G292" s="161"/>
      <c r="H292" s="158" t="s">
        <v>15</v>
      </c>
      <c r="I292" s="166">
        <v>154.51</v>
      </c>
      <c r="J292" s="75">
        <v>154.51</v>
      </c>
      <c r="K292" s="91" t="s">
        <v>763</v>
      </c>
      <c r="L292" s="73"/>
      <c r="M292" s="46">
        <v>0</v>
      </c>
      <c r="N292" s="46">
        <v>0</v>
      </c>
      <c r="O292" s="46">
        <v>0</v>
      </c>
      <c r="P292" s="98"/>
      <c r="Q292" s="23" t="s">
        <v>1457</v>
      </c>
      <c r="R292" s="24" t="s">
        <v>762</v>
      </c>
      <c r="S292" s="25" t="s">
        <v>606</v>
      </c>
      <c r="T292" s="26">
        <v>1</v>
      </c>
      <c r="U292" s="26">
        <v>1</v>
      </c>
      <c r="V292" s="26">
        <v>154.51</v>
      </c>
      <c r="W292" s="26">
        <f t="shared" si="50"/>
        <v>0</v>
      </c>
      <c r="X292" s="26">
        <f t="shared" si="53"/>
        <v>0</v>
      </c>
      <c r="Y292" s="26">
        <f t="shared" si="51"/>
        <v>0</v>
      </c>
      <c r="Z292" s="26">
        <f t="shared" si="57"/>
        <v>0</v>
      </c>
      <c r="AA292" s="33" t="s">
        <v>15</v>
      </c>
      <c r="AB292" s="36" t="s">
        <v>16</v>
      </c>
      <c r="AC292" s="181">
        <f t="shared" si="54"/>
        <v>1</v>
      </c>
      <c r="AD292" s="181">
        <f t="shared" si="52"/>
        <v>154.51</v>
      </c>
      <c r="AE292" s="181">
        <v>1.7</v>
      </c>
      <c r="AF292" s="181">
        <v>1.7</v>
      </c>
      <c r="AG292" s="101" t="str">
        <f t="shared" si="55"/>
        <v/>
      </c>
      <c r="AH292" s="190">
        <v>0</v>
      </c>
      <c r="AI292" s="69">
        <f t="shared" si="56"/>
        <v>1</v>
      </c>
    </row>
    <row r="293" spans="1:35" s="69" customFormat="1" ht="33" x14ac:dyDescent="0.3">
      <c r="A293" s="55" t="s">
        <v>764</v>
      </c>
      <c r="B293" s="138" t="s">
        <v>765</v>
      </c>
      <c r="C293" s="54" t="s">
        <v>606</v>
      </c>
      <c r="D293" s="75">
        <v>1</v>
      </c>
      <c r="E293" s="75"/>
      <c r="F293" s="75"/>
      <c r="G293" s="161"/>
      <c r="H293" s="158" t="s">
        <v>15</v>
      </c>
      <c r="I293" s="166">
        <v>36.549999999999997</v>
      </c>
      <c r="J293" s="75">
        <v>36.549999999999997</v>
      </c>
      <c r="K293" s="91" t="s">
        <v>766</v>
      </c>
      <c r="L293" s="73"/>
      <c r="M293" s="46">
        <v>0</v>
      </c>
      <c r="N293" s="46">
        <v>0</v>
      </c>
      <c r="O293" s="46">
        <v>0</v>
      </c>
      <c r="P293" s="98"/>
      <c r="Q293" s="23" t="s">
        <v>1458</v>
      </c>
      <c r="R293" s="24" t="s">
        <v>765</v>
      </c>
      <c r="S293" s="25" t="s">
        <v>606</v>
      </c>
      <c r="T293" s="26">
        <v>1</v>
      </c>
      <c r="U293" s="26">
        <v>1</v>
      </c>
      <c r="V293" s="26">
        <v>36.549999999999997</v>
      </c>
      <c r="W293" s="26">
        <f t="shared" si="50"/>
        <v>0</v>
      </c>
      <c r="X293" s="26">
        <f t="shared" si="53"/>
        <v>0</v>
      </c>
      <c r="Y293" s="26">
        <f t="shared" si="51"/>
        <v>0</v>
      </c>
      <c r="Z293" s="26">
        <f t="shared" si="57"/>
        <v>0</v>
      </c>
      <c r="AA293" s="33" t="s">
        <v>15</v>
      </c>
      <c r="AB293" s="36" t="s">
        <v>16</v>
      </c>
      <c r="AC293" s="181">
        <f t="shared" si="54"/>
        <v>1</v>
      </c>
      <c r="AD293" s="181">
        <f t="shared" si="52"/>
        <v>36.549999999999997</v>
      </c>
      <c r="AE293" s="181">
        <v>1.7</v>
      </c>
      <c r="AF293" s="181">
        <v>1.7</v>
      </c>
      <c r="AG293" s="101" t="str">
        <f t="shared" si="55"/>
        <v/>
      </c>
      <c r="AH293" s="190">
        <v>0</v>
      </c>
      <c r="AI293" s="69">
        <f t="shared" si="56"/>
        <v>1</v>
      </c>
    </row>
    <row r="294" spans="1:35" s="69" customFormat="1" ht="33" x14ac:dyDescent="0.3">
      <c r="A294" s="55" t="s">
        <v>767</v>
      </c>
      <c r="B294" s="138" t="s">
        <v>768</v>
      </c>
      <c r="C294" s="54" t="s">
        <v>606</v>
      </c>
      <c r="D294" s="75">
        <v>1</v>
      </c>
      <c r="E294" s="75"/>
      <c r="F294" s="75"/>
      <c r="G294" s="161"/>
      <c r="H294" s="158" t="s">
        <v>15</v>
      </c>
      <c r="I294" s="166">
        <v>27.8</v>
      </c>
      <c r="J294" s="75">
        <v>27.8</v>
      </c>
      <c r="K294" s="91" t="s">
        <v>769</v>
      </c>
      <c r="L294" s="73"/>
      <c r="M294" s="46">
        <v>0</v>
      </c>
      <c r="N294" s="46">
        <v>0</v>
      </c>
      <c r="O294" s="46">
        <v>0</v>
      </c>
      <c r="P294" s="98"/>
      <c r="Q294" s="23" t="s">
        <v>1459</v>
      </c>
      <c r="R294" s="24" t="s">
        <v>768</v>
      </c>
      <c r="S294" s="25" t="s">
        <v>606</v>
      </c>
      <c r="T294" s="26">
        <v>1</v>
      </c>
      <c r="U294" s="26">
        <v>1</v>
      </c>
      <c r="V294" s="26">
        <v>27.8</v>
      </c>
      <c r="W294" s="26">
        <f t="shared" si="50"/>
        <v>0</v>
      </c>
      <c r="X294" s="26">
        <f t="shared" si="53"/>
        <v>0</v>
      </c>
      <c r="Y294" s="26">
        <f t="shared" si="51"/>
        <v>0</v>
      </c>
      <c r="Z294" s="26">
        <f t="shared" si="57"/>
        <v>0</v>
      </c>
      <c r="AA294" s="33" t="s">
        <v>15</v>
      </c>
      <c r="AB294" s="36" t="s">
        <v>16</v>
      </c>
      <c r="AC294" s="181">
        <f t="shared" si="54"/>
        <v>1</v>
      </c>
      <c r="AD294" s="181">
        <f t="shared" si="52"/>
        <v>27.8</v>
      </c>
      <c r="AE294" s="181">
        <v>1.7</v>
      </c>
      <c r="AF294" s="181">
        <v>1.7</v>
      </c>
      <c r="AG294" s="101" t="str">
        <f t="shared" si="55"/>
        <v/>
      </c>
      <c r="AH294" s="190">
        <v>0</v>
      </c>
      <c r="AI294" s="69">
        <f t="shared" si="56"/>
        <v>1</v>
      </c>
    </row>
    <row r="295" spans="1:35" s="69" customFormat="1" ht="33" x14ac:dyDescent="0.3">
      <c r="A295" s="55" t="s">
        <v>770</v>
      </c>
      <c r="B295" s="138" t="s">
        <v>771</v>
      </c>
      <c r="C295" s="54" t="s">
        <v>606</v>
      </c>
      <c r="D295" s="75">
        <v>1</v>
      </c>
      <c r="E295" s="75"/>
      <c r="F295" s="75"/>
      <c r="G295" s="161"/>
      <c r="H295" s="158" t="s">
        <v>15</v>
      </c>
      <c r="I295" s="166">
        <v>105.13</v>
      </c>
      <c r="J295" s="75">
        <v>105.13</v>
      </c>
      <c r="K295" s="91" t="s">
        <v>772</v>
      </c>
      <c r="L295" s="73"/>
      <c r="M295" s="46">
        <v>0</v>
      </c>
      <c r="N295" s="46">
        <v>0</v>
      </c>
      <c r="O295" s="46">
        <v>0</v>
      </c>
      <c r="P295" s="98"/>
      <c r="Q295" s="23" t="s">
        <v>1460</v>
      </c>
      <c r="R295" s="24" t="s">
        <v>771</v>
      </c>
      <c r="S295" s="25" t="s">
        <v>606</v>
      </c>
      <c r="T295" s="26">
        <v>1</v>
      </c>
      <c r="U295" s="26">
        <v>1</v>
      </c>
      <c r="V295" s="26">
        <v>105.13</v>
      </c>
      <c r="W295" s="26">
        <f t="shared" si="50"/>
        <v>0</v>
      </c>
      <c r="X295" s="26">
        <f t="shared" si="53"/>
        <v>0</v>
      </c>
      <c r="Y295" s="26">
        <f t="shared" si="51"/>
        <v>0</v>
      </c>
      <c r="Z295" s="26">
        <f t="shared" si="57"/>
        <v>0</v>
      </c>
      <c r="AA295" s="33" t="s">
        <v>15</v>
      </c>
      <c r="AB295" s="36" t="s">
        <v>16</v>
      </c>
      <c r="AC295" s="181">
        <f t="shared" si="54"/>
        <v>1</v>
      </c>
      <c r="AD295" s="181">
        <f t="shared" si="52"/>
        <v>105.13</v>
      </c>
      <c r="AE295" s="181">
        <v>1.7</v>
      </c>
      <c r="AF295" s="181">
        <v>1.7</v>
      </c>
      <c r="AG295" s="101" t="str">
        <f t="shared" si="55"/>
        <v/>
      </c>
      <c r="AH295" s="190">
        <v>0</v>
      </c>
      <c r="AI295" s="69">
        <f t="shared" si="56"/>
        <v>1</v>
      </c>
    </row>
    <row r="296" spans="1:35" s="69" customFormat="1" ht="33" x14ac:dyDescent="0.3">
      <c r="A296" s="55" t="s">
        <v>773</v>
      </c>
      <c r="B296" s="138" t="s">
        <v>774</v>
      </c>
      <c r="C296" s="54" t="s">
        <v>606</v>
      </c>
      <c r="D296" s="75">
        <v>1</v>
      </c>
      <c r="E296" s="75"/>
      <c r="F296" s="75"/>
      <c r="G296" s="161"/>
      <c r="H296" s="158" t="s">
        <v>15</v>
      </c>
      <c r="I296" s="166">
        <v>53.12</v>
      </c>
      <c r="J296" s="75">
        <v>53.12</v>
      </c>
      <c r="K296" s="91" t="s">
        <v>775</v>
      </c>
      <c r="L296" s="73"/>
      <c r="M296" s="46">
        <v>0</v>
      </c>
      <c r="N296" s="46">
        <v>0</v>
      </c>
      <c r="O296" s="46">
        <v>0</v>
      </c>
      <c r="P296" s="98"/>
      <c r="Q296" s="23" t="s">
        <v>1461</v>
      </c>
      <c r="R296" s="24" t="s">
        <v>774</v>
      </c>
      <c r="S296" s="25" t="s">
        <v>606</v>
      </c>
      <c r="T296" s="26">
        <v>1</v>
      </c>
      <c r="U296" s="26">
        <v>1</v>
      </c>
      <c r="V296" s="26">
        <v>53.12</v>
      </c>
      <c r="W296" s="26">
        <f t="shared" si="50"/>
        <v>0</v>
      </c>
      <c r="X296" s="26">
        <f t="shared" si="53"/>
        <v>0</v>
      </c>
      <c r="Y296" s="26">
        <f t="shared" si="51"/>
        <v>0</v>
      </c>
      <c r="Z296" s="26">
        <f t="shared" si="57"/>
        <v>0</v>
      </c>
      <c r="AA296" s="33" t="s">
        <v>15</v>
      </c>
      <c r="AB296" s="36" t="s">
        <v>16</v>
      </c>
      <c r="AC296" s="181">
        <f t="shared" si="54"/>
        <v>1</v>
      </c>
      <c r="AD296" s="181">
        <f t="shared" si="52"/>
        <v>53.12</v>
      </c>
      <c r="AE296" s="181">
        <v>1.7</v>
      </c>
      <c r="AF296" s="181">
        <v>1.7</v>
      </c>
      <c r="AG296" s="101" t="str">
        <f t="shared" si="55"/>
        <v/>
      </c>
      <c r="AH296" s="190">
        <v>0</v>
      </c>
      <c r="AI296" s="69">
        <f t="shared" si="56"/>
        <v>1</v>
      </c>
    </row>
    <row r="297" spans="1:35" s="69" customFormat="1" ht="33" x14ac:dyDescent="0.3">
      <c r="A297" s="55" t="s">
        <v>776</v>
      </c>
      <c r="B297" s="138" t="s">
        <v>777</v>
      </c>
      <c r="C297" s="54" t="s">
        <v>606</v>
      </c>
      <c r="D297" s="75">
        <v>1</v>
      </c>
      <c r="E297" s="75"/>
      <c r="F297" s="75"/>
      <c r="G297" s="161"/>
      <c r="H297" s="158" t="s">
        <v>15</v>
      </c>
      <c r="I297" s="166">
        <v>36.380000000000003</v>
      </c>
      <c r="J297" s="75">
        <v>36.380000000000003</v>
      </c>
      <c r="K297" s="91" t="s">
        <v>778</v>
      </c>
      <c r="L297" s="73"/>
      <c r="M297" s="46">
        <v>0</v>
      </c>
      <c r="N297" s="46">
        <v>0</v>
      </c>
      <c r="O297" s="46">
        <v>0</v>
      </c>
      <c r="P297" s="98"/>
      <c r="Q297" s="23" t="s">
        <v>1462</v>
      </c>
      <c r="R297" s="24" t="s">
        <v>777</v>
      </c>
      <c r="S297" s="25" t="s">
        <v>606</v>
      </c>
      <c r="T297" s="26">
        <v>1</v>
      </c>
      <c r="U297" s="26">
        <v>1</v>
      </c>
      <c r="V297" s="26">
        <v>36.380000000000003</v>
      </c>
      <c r="W297" s="26">
        <f t="shared" si="50"/>
        <v>0</v>
      </c>
      <c r="X297" s="26">
        <f t="shared" si="53"/>
        <v>0</v>
      </c>
      <c r="Y297" s="26">
        <f t="shared" si="51"/>
        <v>0</v>
      </c>
      <c r="Z297" s="26">
        <f t="shared" si="57"/>
        <v>0</v>
      </c>
      <c r="AA297" s="33" t="s">
        <v>15</v>
      </c>
      <c r="AB297" s="36" t="s">
        <v>16</v>
      </c>
      <c r="AC297" s="181">
        <f t="shared" si="54"/>
        <v>1</v>
      </c>
      <c r="AD297" s="181">
        <f t="shared" si="52"/>
        <v>36.380000000000003</v>
      </c>
      <c r="AE297" s="181">
        <v>1.7</v>
      </c>
      <c r="AF297" s="181">
        <v>1.7</v>
      </c>
      <c r="AG297" s="101" t="str">
        <f t="shared" si="55"/>
        <v/>
      </c>
      <c r="AH297" s="190">
        <v>0</v>
      </c>
      <c r="AI297" s="69">
        <f t="shared" si="56"/>
        <v>1</v>
      </c>
    </row>
    <row r="298" spans="1:35" s="69" customFormat="1" ht="33" x14ac:dyDescent="0.3">
      <c r="A298" s="55" t="s">
        <v>779</v>
      </c>
      <c r="B298" s="138" t="s">
        <v>780</v>
      </c>
      <c r="C298" s="54" t="s">
        <v>606</v>
      </c>
      <c r="D298" s="75">
        <v>1</v>
      </c>
      <c r="E298" s="75"/>
      <c r="F298" s="75"/>
      <c r="G298" s="161"/>
      <c r="H298" s="158" t="s">
        <v>15</v>
      </c>
      <c r="I298" s="166">
        <v>59.74</v>
      </c>
      <c r="J298" s="75">
        <v>59.74</v>
      </c>
      <c r="K298" s="91" t="s">
        <v>781</v>
      </c>
      <c r="L298" s="73"/>
      <c r="M298" s="46">
        <v>0</v>
      </c>
      <c r="N298" s="46">
        <v>0</v>
      </c>
      <c r="O298" s="46">
        <v>0</v>
      </c>
      <c r="P298" s="98"/>
      <c r="Q298" s="23" t="s">
        <v>1463</v>
      </c>
      <c r="R298" s="24" t="s">
        <v>780</v>
      </c>
      <c r="S298" s="25" t="s">
        <v>606</v>
      </c>
      <c r="T298" s="26">
        <v>1</v>
      </c>
      <c r="U298" s="26">
        <v>1</v>
      </c>
      <c r="V298" s="26">
        <v>59.74</v>
      </c>
      <c r="W298" s="26">
        <f t="shared" si="50"/>
        <v>0</v>
      </c>
      <c r="X298" s="26">
        <f t="shared" si="53"/>
        <v>0</v>
      </c>
      <c r="Y298" s="26">
        <f t="shared" si="51"/>
        <v>0</v>
      </c>
      <c r="Z298" s="26">
        <f t="shared" si="57"/>
        <v>0</v>
      </c>
      <c r="AA298" s="33" t="s">
        <v>15</v>
      </c>
      <c r="AB298" s="36" t="s">
        <v>16</v>
      </c>
      <c r="AC298" s="181">
        <f t="shared" si="54"/>
        <v>1</v>
      </c>
      <c r="AD298" s="181">
        <f t="shared" si="52"/>
        <v>59.74</v>
      </c>
      <c r="AE298" s="181">
        <v>1.7</v>
      </c>
      <c r="AF298" s="181">
        <v>1.7</v>
      </c>
      <c r="AG298" s="101" t="str">
        <f t="shared" si="55"/>
        <v/>
      </c>
      <c r="AH298" s="190">
        <v>0</v>
      </c>
      <c r="AI298" s="69">
        <f t="shared" si="56"/>
        <v>1</v>
      </c>
    </row>
    <row r="299" spans="1:35" s="69" customFormat="1" ht="33" x14ac:dyDescent="0.3">
      <c r="A299" s="55" t="s">
        <v>782</v>
      </c>
      <c r="B299" s="138" t="s">
        <v>783</v>
      </c>
      <c r="C299" s="54" t="s">
        <v>606</v>
      </c>
      <c r="D299" s="75">
        <v>1</v>
      </c>
      <c r="E299" s="75"/>
      <c r="F299" s="75"/>
      <c r="G299" s="161"/>
      <c r="H299" s="158" t="s">
        <v>15</v>
      </c>
      <c r="I299" s="166">
        <v>80.41</v>
      </c>
      <c r="J299" s="75">
        <v>80.41</v>
      </c>
      <c r="K299" s="91" t="s">
        <v>784</v>
      </c>
      <c r="L299" s="73"/>
      <c r="M299" s="46">
        <v>0</v>
      </c>
      <c r="N299" s="46">
        <v>0</v>
      </c>
      <c r="O299" s="46">
        <v>0</v>
      </c>
      <c r="P299" s="98"/>
      <c r="Q299" s="23" t="s">
        <v>1464</v>
      </c>
      <c r="R299" s="24" t="s">
        <v>783</v>
      </c>
      <c r="S299" s="25" t="s">
        <v>606</v>
      </c>
      <c r="T299" s="26">
        <v>1</v>
      </c>
      <c r="U299" s="26">
        <v>1</v>
      </c>
      <c r="V299" s="26">
        <v>80.41</v>
      </c>
      <c r="W299" s="26">
        <f t="shared" si="50"/>
        <v>0</v>
      </c>
      <c r="X299" s="26">
        <f t="shared" si="53"/>
        <v>0</v>
      </c>
      <c r="Y299" s="26">
        <f t="shared" si="51"/>
        <v>0</v>
      </c>
      <c r="Z299" s="26">
        <f t="shared" si="57"/>
        <v>0</v>
      </c>
      <c r="AA299" s="33" t="s">
        <v>15</v>
      </c>
      <c r="AB299" s="36" t="s">
        <v>16</v>
      </c>
      <c r="AC299" s="181">
        <f t="shared" si="54"/>
        <v>1</v>
      </c>
      <c r="AD299" s="181">
        <f t="shared" si="52"/>
        <v>80.41</v>
      </c>
      <c r="AE299" s="181">
        <v>1.7</v>
      </c>
      <c r="AF299" s="181">
        <v>1.7</v>
      </c>
      <c r="AG299" s="101" t="str">
        <f t="shared" si="55"/>
        <v/>
      </c>
      <c r="AH299" s="190">
        <v>0</v>
      </c>
      <c r="AI299" s="69">
        <f t="shared" si="56"/>
        <v>1</v>
      </c>
    </row>
    <row r="300" spans="1:35" s="69" customFormat="1" ht="33" x14ac:dyDescent="0.3">
      <c r="A300" s="55" t="s">
        <v>785</v>
      </c>
      <c r="B300" s="138" t="s">
        <v>786</v>
      </c>
      <c r="C300" s="54" t="s">
        <v>606</v>
      </c>
      <c r="D300" s="75">
        <v>1</v>
      </c>
      <c r="E300" s="75"/>
      <c r="F300" s="75"/>
      <c r="G300" s="161"/>
      <c r="H300" s="158" t="s">
        <v>15</v>
      </c>
      <c r="I300" s="166">
        <v>64.959999999999994</v>
      </c>
      <c r="J300" s="75">
        <v>64.959999999999994</v>
      </c>
      <c r="K300" s="91" t="s">
        <v>787</v>
      </c>
      <c r="L300" s="73"/>
      <c r="M300" s="46">
        <v>0</v>
      </c>
      <c r="N300" s="46">
        <v>0</v>
      </c>
      <c r="O300" s="46">
        <v>0</v>
      </c>
      <c r="P300" s="98"/>
      <c r="Q300" s="23" t="s">
        <v>1465</v>
      </c>
      <c r="R300" s="24" t="s">
        <v>786</v>
      </c>
      <c r="S300" s="25" t="s">
        <v>606</v>
      </c>
      <c r="T300" s="26">
        <v>1</v>
      </c>
      <c r="U300" s="26">
        <v>1</v>
      </c>
      <c r="V300" s="26">
        <v>64.959999999999994</v>
      </c>
      <c r="W300" s="26">
        <f t="shared" si="50"/>
        <v>0</v>
      </c>
      <c r="X300" s="26">
        <f t="shared" si="53"/>
        <v>0</v>
      </c>
      <c r="Y300" s="26">
        <f t="shared" si="51"/>
        <v>0</v>
      </c>
      <c r="Z300" s="26">
        <f t="shared" si="57"/>
        <v>0</v>
      </c>
      <c r="AA300" s="33" t="s">
        <v>15</v>
      </c>
      <c r="AB300" s="36" t="s">
        <v>16</v>
      </c>
      <c r="AC300" s="181">
        <f t="shared" si="54"/>
        <v>1</v>
      </c>
      <c r="AD300" s="181">
        <f t="shared" si="52"/>
        <v>64.959999999999994</v>
      </c>
      <c r="AE300" s="181">
        <v>1.7</v>
      </c>
      <c r="AF300" s="181">
        <v>1.7</v>
      </c>
      <c r="AG300" s="101" t="str">
        <f t="shared" si="55"/>
        <v/>
      </c>
      <c r="AH300" s="190">
        <v>0</v>
      </c>
      <c r="AI300" s="69">
        <f t="shared" si="56"/>
        <v>1</v>
      </c>
    </row>
    <row r="301" spans="1:35" s="69" customFormat="1" ht="33" x14ac:dyDescent="0.3">
      <c r="A301" s="55" t="s">
        <v>788</v>
      </c>
      <c r="B301" s="138" t="s">
        <v>789</v>
      </c>
      <c r="C301" s="54" t="s">
        <v>606</v>
      </c>
      <c r="D301" s="75">
        <v>1</v>
      </c>
      <c r="E301" s="75"/>
      <c r="F301" s="75"/>
      <c r="G301" s="161"/>
      <c r="H301" s="158" t="s">
        <v>15</v>
      </c>
      <c r="I301" s="166">
        <v>95.86</v>
      </c>
      <c r="J301" s="75">
        <v>95.86</v>
      </c>
      <c r="K301" s="91" t="s">
        <v>790</v>
      </c>
      <c r="L301" s="73"/>
      <c r="M301" s="46">
        <v>0</v>
      </c>
      <c r="N301" s="46">
        <v>0</v>
      </c>
      <c r="O301" s="46">
        <v>0</v>
      </c>
      <c r="P301" s="98"/>
      <c r="Q301" s="23" t="s">
        <v>1466</v>
      </c>
      <c r="R301" s="24" t="s">
        <v>789</v>
      </c>
      <c r="S301" s="25" t="s">
        <v>606</v>
      </c>
      <c r="T301" s="26">
        <v>1</v>
      </c>
      <c r="U301" s="26">
        <v>1</v>
      </c>
      <c r="V301" s="26">
        <v>95.86</v>
      </c>
      <c r="W301" s="26">
        <f t="shared" si="50"/>
        <v>0</v>
      </c>
      <c r="X301" s="26">
        <f t="shared" si="53"/>
        <v>0</v>
      </c>
      <c r="Y301" s="26">
        <f t="shared" si="51"/>
        <v>0</v>
      </c>
      <c r="Z301" s="26">
        <f t="shared" si="57"/>
        <v>0</v>
      </c>
      <c r="AA301" s="33" t="s">
        <v>15</v>
      </c>
      <c r="AB301" s="36" t="s">
        <v>16</v>
      </c>
      <c r="AC301" s="181">
        <f t="shared" si="54"/>
        <v>1</v>
      </c>
      <c r="AD301" s="181">
        <f t="shared" si="52"/>
        <v>95.86</v>
      </c>
      <c r="AE301" s="181">
        <v>1.7</v>
      </c>
      <c r="AF301" s="181">
        <v>1.7</v>
      </c>
      <c r="AG301" s="101" t="str">
        <f t="shared" si="55"/>
        <v/>
      </c>
      <c r="AH301" s="190">
        <v>0</v>
      </c>
      <c r="AI301" s="69">
        <f t="shared" si="56"/>
        <v>1</v>
      </c>
    </row>
    <row r="302" spans="1:35" s="69" customFormat="1" ht="33" x14ac:dyDescent="0.3">
      <c r="A302" s="55" t="s">
        <v>791</v>
      </c>
      <c r="B302" s="138" t="s">
        <v>792</v>
      </c>
      <c r="C302" s="54" t="s">
        <v>606</v>
      </c>
      <c r="D302" s="75">
        <v>1</v>
      </c>
      <c r="E302" s="75"/>
      <c r="F302" s="75"/>
      <c r="G302" s="161"/>
      <c r="H302" s="158" t="s">
        <v>15</v>
      </c>
      <c r="I302" s="166">
        <v>93.29</v>
      </c>
      <c r="J302" s="75">
        <v>93.29</v>
      </c>
      <c r="K302" s="91" t="s">
        <v>793</v>
      </c>
      <c r="L302" s="73"/>
      <c r="M302" s="46">
        <v>0</v>
      </c>
      <c r="N302" s="46">
        <v>0</v>
      </c>
      <c r="O302" s="46">
        <v>0</v>
      </c>
      <c r="P302" s="98"/>
      <c r="Q302" s="23" t="s">
        <v>1467</v>
      </c>
      <c r="R302" s="24" t="s">
        <v>792</v>
      </c>
      <c r="S302" s="25" t="s">
        <v>606</v>
      </c>
      <c r="T302" s="26">
        <v>1</v>
      </c>
      <c r="U302" s="26">
        <v>1</v>
      </c>
      <c r="V302" s="26">
        <v>93.29</v>
      </c>
      <c r="W302" s="26">
        <f t="shared" ref="W302:W326" si="58">AH302-M302</f>
        <v>0</v>
      </c>
      <c r="X302" s="26">
        <f t="shared" si="53"/>
        <v>0</v>
      </c>
      <c r="Y302" s="26">
        <f t="shared" ref="Y302:Y326" si="59">Z302-O302</f>
        <v>0</v>
      </c>
      <c r="Z302" s="26">
        <f t="shared" si="57"/>
        <v>0</v>
      </c>
      <c r="AA302" s="33" t="s">
        <v>15</v>
      </c>
      <c r="AB302" s="36" t="s">
        <v>16</v>
      </c>
      <c r="AC302" s="181">
        <f t="shared" si="54"/>
        <v>1</v>
      </c>
      <c r="AD302" s="181">
        <f t="shared" ref="AD302:AD365" si="60">ROUND(V302*AC302,2)</f>
        <v>93.29</v>
      </c>
      <c r="AE302" s="181">
        <v>1.7</v>
      </c>
      <c r="AF302" s="181">
        <v>1.7</v>
      </c>
      <c r="AG302" s="101" t="str">
        <f t="shared" si="55"/>
        <v/>
      </c>
      <c r="AH302" s="190">
        <v>0</v>
      </c>
      <c r="AI302" s="69">
        <f t="shared" si="56"/>
        <v>1</v>
      </c>
    </row>
    <row r="303" spans="1:35" s="69" customFormat="1" ht="33" x14ac:dyDescent="0.3">
      <c r="A303" s="55" t="s">
        <v>794</v>
      </c>
      <c r="B303" s="138" t="s">
        <v>795</v>
      </c>
      <c r="C303" s="54" t="s">
        <v>606</v>
      </c>
      <c r="D303" s="75">
        <v>1</v>
      </c>
      <c r="E303" s="75"/>
      <c r="F303" s="75"/>
      <c r="G303" s="161"/>
      <c r="H303" s="158" t="s">
        <v>15</v>
      </c>
      <c r="I303" s="166">
        <v>93.8</v>
      </c>
      <c r="J303" s="75">
        <v>93.8</v>
      </c>
      <c r="K303" s="91" t="s">
        <v>796</v>
      </c>
      <c r="L303" s="73"/>
      <c r="M303" s="46">
        <v>0</v>
      </c>
      <c r="N303" s="46">
        <v>0</v>
      </c>
      <c r="O303" s="46">
        <v>0</v>
      </c>
      <c r="P303" s="98"/>
      <c r="Q303" s="23" t="s">
        <v>1468</v>
      </c>
      <c r="R303" s="24" t="s">
        <v>795</v>
      </c>
      <c r="S303" s="25" t="s">
        <v>606</v>
      </c>
      <c r="T303" s="26">
        <v>1</v>
      </c>
      <c r="U303" s="26">
        <v>1</v>
      </c>
      <c r="V303" s="26">
        <v>93.8</v>
      </c>
      <c r="W303" s="26">
        <f t="shared" si="58"/>
        <v>0</v>
      </c>
      <c r="X303" s="26">
        <f t="shared" si="53"/>
        <v>0</v>
      </c>
      <c r="Y303" s="26">
        <f t="shared" si="59"/>
        <v>0</v>
      </c>
      <c r="Z303" s="26">
        <f t="shared" si="57"/>
        <v>0</v>
      </c>
      <c r="AA303" s="33" t="s">
        <v>15</v>
      </c>
      <c r="AB303" s="36" t="s">
        <v>16</v>
      </c>
      <c r="AC303" s="181">
        <f t="shared" si="54"/>
        <v>1</v>
      </c>
      <c r="AD303" s="181">
        <f t="shared" si="60"/>
        <v>93.8</v>
      </c>
      <c r="AE303" s="181">
        <v>1.7</v>
      </c>
      <c r="AF303" s="181">
        <v>1.7</v>
      </c>
      <c r="AG303" s="101" t="str">
        <f t="shared" si="55"/>
        <v/>
      </c>
      <c r="AH303" s="190">
        <v>0</v>
      </c>
      <c r="AI303" s="69">
        <f t="shared" si="56"/>
        <v>1</v>
      </c>
    </row>
    <row r="304" spans="1:35" s="69" customFormat="1" ht="33" x14ac:dyDescent="0.3">
      <c r="A304" s="55" t="s">
        <v>797</v>
      </c>
      <c r="B304" s="138" t="s">
        <v>798</v>
      </c>
      <c r="C304" s="54" t="s">
        <v>606</v>
      </c>
      <c r="D304" s="75">
        <v>1</v>
      </c>
      <c r="E304" s="75"/>
      <c r="F304" s="75"/>
      <c r="G304" s="161"/>
      <c r="H304" s="158" t="s">
        <v>15</v>
      </c>
      <c r="I304" s="166">
        <v>63.35</v>
      </c>
      <c r="J304" s="75">
        <v>63.35</v>
      </c>
      <c r="K304" s="91" t="s">
        <v>799</v>
      </c>
      <c r="L304" s="73"/>
      <c r="M304" s="46">
        <v>0</v>
      </c>
      <c r="N304" s="46">
        <v>0</v>
      </c>
      <c r="O304" s="46">
        <v>0</v>
      </c>
      <c r="P304" s="98"/>
      <c r="Q304" s="23" t="s">
        <v>1469</v>
      </c>
      <c r="R304" s="24" t="s">
        <v>798</v>
      </c>
      <c r="S304" s="25" t="s">
        <v>606</v>
      </c>
      <c r="T304" s="26">
        <v>1</v>
      </c>
      <c r="U304" s="26">
        <v>1</v>
      </c>
      <c r="V304" s="26">
        <v>63.35</v>
      </c>
      <c r="W304" s="26">
        <f t="shared" si="58"/>
        <v>0</v>
      </c>
      <c r="X304" s="26">
        <f t="shared" si="53"/>
        <v>0</v>
      </c>
      <c r="Y304" s="26">
        <f t="shared" si="59"/>
        <v>0</v>
      </c>
      <c r="Z304" s="26">
        <f t="shared" si="57"/>
        <v>0</v>
      </c>
      <c r="AA304" s="33" t="s">
        <v>15</v>
      </c>
      <c r="AB304" s="36" t="s">
        <v>16</v>
      </c>
      <c r="AC304" s="181">
        <f t="shared" si="54"/>
        <v>1</v>
      </c>
      <c r="AD304" s="181">
        <f t="shared" si="60"/>
        <v>63.35</v>
      </c>
      <c r="AE304" s="181">
        <v>1.7</v>
      </c>
      <c r="AF304" s="181">
        <v>1.7</v>
      </c>
      <c r="AG304" s="101" t="str">
        <f t="shared" si="55"/>
        <v/>
      </c>
      <c r="AH304" s="190">
        <v>0</v>
      </c>
      <c r="AI304" s="69">
        <f t="shared" si="56"/>
        <v>1</v>
      </c>
    </row>
    <row r="305" spans="1:35" s="69" customFormat="1" ht="33" x14ac:dyDescent="0.3">
      <c r="A305" s="55" t="s">
        <v>800</v>
      </c>
      <c r="B305" s="138" t="s">
        <v>801</v>
      </c>
      <c r="C305" s="54" t="s">
        <v>606</v>
      </c>
      <c r="D305" s="75">
        <v>1</v>
      </c>
      <c r="E305" s="75"/>
      <c r="F305" s="75"/>
      <c r="G305" s="161"/>
      <c r="H305" s="158" t="s">
        <v>15</v>
      </c>
      <c r="I305" s="166">
        <v>156.05000000000001</v>
      </c>
      <c r="J305" s="75">
        <v>156.05000000000001</v>
      </c>
      <c r="K305" s="91" t="s">
        <v>802</v>
      </c>
      <c r="L305" s="73"/>
      <c r="M305" s="46">
        <v>0</v>
      </c>
      <c r="N305" s="46">
        <v>0</v>
      </c>
      <c r="O305" s="46">
        <v>0</v>
      </c>
      <c r="P305" s="98"/>
      <c r="Q305" s="23" t="s">
        <v>1470</v>
      </c>
      <c r="R305" s="24" t="s">
        <v>801</v>
      </c>
      <c r="S305" s="25" t="s">
        <v>606</v>
      </c>
      <c r="T305" s="26">
        <v>1</v>
      </c>
      <c r="U305" s="26">
        <v>1</v>
      </c>
      <c r="V305" s="26">
        <v>156.05000000000001</v>
      </c>
      <c r="W305" s="26">
        <f t="shared" si="58"/>
        <v>0</v>
      </c>
      <c r="X305" s="26">
        <f t="shared" si="53"/>
        <v>0</v>
      </c>
      <c r="Y305" s="26">
        <f t="shared" si="59"/>
        <v>0</v>
      </c>
      <c r="Z305" s="26">
        <f t="shared" si="57"/>
        <v>0</v>
      </c>
      <c r="AA305" s="33" t="s">
        <v>15</v>
      </c>
      <c r="AB305" s="36" t="s">
        <v>16</v>
      </c>
      <c r="AC305" s="181">
        <f t="shared" si="54"/>
        <v>1</v>
      </c>
      <c r="AD305" s="181">
        <f t="shared" si="60"/>
        <v>156.05000000000001</v>
      </c>
      <c r="AE305" s="181">
        <v>1.7</v>
      </c>
      <c r="AF305" s="181">
        <v>1.7</v>
      </c>
      <c r="AG305" s="101" t="str">
        <f t="shared" si="55"/>
        <v/>
      </c>
      <c r="AH305" s="190">
        <v>0</v>
      </c>
      <c r="AI305" s="69">
        <f t="shared" si="56"/>
        <v>1</v>
      </c>
    </row>
    <row r="306" spans="1:35" s="69" customFormat="1" ht="33" x14ac:dyDescent="0.3">
      <c r="A306" s="55" t="s">
        <v>803</v>
      </c>
      <c r="B306" s="138" t="s">
        <v>804</v>
      </c>
      <c r="C306" s="54" t="s">
        <v>606</v>
      </c>
      <c r="D306" s="75">
        <v>1</v>
      </c>
      <c r="E306" s="75"/>
      <c r="F306" s="75"/>
      <c r="G306" s="161"/>
      <c r="H306" s="158" t="s">
        <v>15</v>
      </c>
      <c r="I306" s="166">
        <v>69.08</v>
      </c>
      <c r="J306" s="75">
        <v>69.08</v>
      </c>
      <c r="K306" s="91" t="s">
        <v>805</v>
      </c>
      <c r="L306" s="73"/>
      <c r="M306" s="46">
        <v>0</v>
      </c>
      <c r="N306" s="46">
        <v>0</v>
      </c>
      <c r="O306" s="46">
        <v>0</v>
      </c>
      <c r="P306" s="98"/>
      <c r="Q306" s="23" t="s">
        <v>1471</v>
      </c>
      <c r="R306" s="24" t="s">
        <v>804</v>
      </c>
      <c r="S306" s="25" t="s">
        <v>606</v>
      </c>
      <c r="T306" s="26">
        <v>1</v>
      </c>
      <c r="U306" s="26">
        <v>1</v>
      </c>
      <c r="V306" s="26">
        <v>69.08</v>
      </c>
      <c r="W306" s="26">
        <f t="shared" si="58"/>
        <v>0</v>
      </c>
      <c r="X306" s="26">
        <f t="shared" ref="X306:X370" si="61">W306+M306</f>
        <v>0</v>
      </c>
      <c r="Y306" s="26">
        <f t="shared" si="59"/>
        <v>0</v>
      </c>
      <c r="Z306" s="26">
        <f t="shared" si="57"/>
        <v>0</v>
      </c>
      <c r="AA306" s="33" t="s">
        <v>15</v>
      </c>
      <c r="AB306" s="36" t="s">
        <v>16</v>
      </c>
      <c r="AC306" s="181">
        <f t="shared" si="54"/>
        <v>1</v>
      </c>
      <c r="AD306" s="181">
        <f t="shared" si="60"/>
        <v>69.08</v>
      </c>
      <c r="AE306" s="181">
        <v>1.7</v>
      </c>
      <c r="AF306" s="181">
        <v>1.7</v>
      </c>
      <c r="AG306" s="101" t="str">
        <f t="shared" si="55"/>
        <v/>
      </c>
      <c r="AH306" s="190">
        <v>0</v>
      </c>
      <c r="AI306" s="69">
        <f t="shared" si="56"/>
        <v>1</v>
      </c>
    </row>
    <row r="307" spans="1:35" s="69" customFormat="1" ht="33" x14ac:dyDescent="0.3">
      <c r="A307" s="55" t="s">
        <v>806</v>
      </c>
      <c r="B307" s="138" t="s">
        <v>807</v>
      </c>
      <c r="C307" s="54" t="s">
        <v>606</v>
      </c>
      <c r="D307" s="75">
        <v>1</v>
      </c>
      <c r="E307" s="75"/>
      <c r="F307" s="75"/>
      <c r="G307" s="161"/>
      <c r="H307" s="158" t="s">
        <v>15</v>
      </c>
      <c r="I307" s="166">
        <v>55.62</v>
      </c>
      <c r="J307" s="75">
        <v>55.62</v>
      </c>
      <c r="K307" s="91" t="s">
        <v>808</v>
      </c>
      <c r="L307" s="73"/>
      <c r="M307" s="46">
        <v>0</v>
      </c>
      <c r="N307" s="46">
        <v>0</v>
      </c>
      <c r="O307" s="46">
        <v>0</v>
      </c>
      <c r="P307" s="98"/>
      <c r="Q307" s="23" t="s">
        <v>1472</v>
      </c>
      <c r="R307" s="24" t="s">
        <v>807</v>
      </c>
      <c r="S307" s="25" t="s">
        <v>606</v>
      </c>
      <c r="T307" s="26">
        <v>1</v>
      </c>
      <c r="U307" s="26">
        <v>1</v>
      </c>
      <c r="V307" s="26">
        <v>55.62</v>
      </c>
      <c r="W307" s="26">
        <f t="shared" si="58"/>
        <v>0</v>
      </c>
      <c r="X307" s="26">
        <f t="shared" si="61"/>
        <v>0</v>
      </c>
      <c r="Y307" s="26">
        <f t="shared" si="59"/>
        <v>0</v>
      </c>
      <c r="Z307" s="26">
        <f t="shared" si="57"/>
        <v>0</v>
      </c>
      <c r="AA307" s="33" t="s">
        <v>15</v>
      </c>
      <c r="AB307" s="36" t="s">
        <v>16</v>
      </c>
      <c r="AC307" s="181">
        <f t="shared" si="54"/>
        <v>1</v>
      </c>
      <c r="AD307" s="181">
        <f t="shared" si="60"/>
        <v>55.62</v>
      </c>
      <c r="AE307" s="181">
        <v>1.7</v>
      </c>
      <c r="AF307" s="181">
        <v>1.7</v>
      </c>
      <c r="AG307" s="101" t="str">
        <f t="shared" si="55"/>
        <v/>
      </c>
      <c r="AH307" s="190">
        <v>0</v>
      </c>
      <c r="AI307" s="69">
        <f t="shared" si="56"/>
        <v>1</v>
      </c>
    </row>
    <row r="308" spans="1:35" s="69" customFormat="1" ht="33" x14ac:dyDescent="0.3">
      <c r="A308" s="55" t="s">
        <v>809</v>
      </c>
      <c r="B308" s="138" t="s">
        <v>810</v>
      </c>
      <c r="C308" s="54" t="s">
        <v>606</v>
      </c>
      <c r="D308" s="75">
        <v>1</v>
      </c>
      <c r="E308" s="75"/>
      <c r="F308" s="75"/>
      <c r="G308" s="161"/>
      <c r="H308" s="158" t="s">
        <v>15</v>
      </c>
      <c r="I308" s="166">
        <v>91.67</v>
      </c>
      <c r="J308" s="75">
        <v>91.67</v>
      </c>
      <c r="K308" s="91" t="s">
        <v>811</v>
      </c>
      <c r="L308" s="73"/>
      <c r="M308" s="46">
        <v>0</v>
      </c>
      <c r="N308" s="46">
        <v>0</v>
      </c>
      <c r="O308" s="46">
        <v>0</v>
      </c>
      <c r="P308" s="98"/>
      <c r="Q308" s="23" t="s">
        <v>1473</v>
      </c>
      <c r="R308" s="24" t="s">
        <v>810</v>
      </c>
      <c r="S308" s="25" t="s">
        <v>606</v>
      </c>
      <c r="T308" s="26">
        <v>1</v>
      </c>
      <c r="U308" s="26">
        <v>1</v>
      </c>
      <c r="V308" s="26">
        <v>91.67</v>
      </c>
      <c r="W308" s="26">
        <f t="shared" si="58"/>
        <v>0</v>
      </c>
      <c r="X308" s="26">
        <f t="shared" si="61"/>
        <v>0</v>
      </c>
      <c r="Y308" s="26">
        <f t="shared" si="59"/>
        <v>0</v>
      </c>
      <c r="Z308" s="26">
        <f t="shared" si="57"/>
        <v>0</v>
      </c>
      <c r="AA308" s="33" t="s">
        <v>15</v>
      </c>
      <c r="AB308" s="36" t="s">
        <v>16</v>
      </c>
      <c r="AC308" s="181">
        <f t="shared" si="54"/>
        <v>1</v>
      </c>
      <c r="AD308" s="181">
        <f t="shared" si="60"/>
        <v>91.67</v>
      </c>
      <c r="AE308" s="181">
        <v>1.7</v>
      </c>
      <c r="AF308" s="181">
        <v>1.7</v>
      </c>
      <c r="AG308" s="101" t="str">
        <f t="shared" si="55"/>
        <v/>
      </c>
      <c r="AH308" s="190">
        <v>0</v>
      </c>
      <c r="AI308" s="69">
        <f t="shared" si="56"/>
        <v>1</v>
      </c>
    </row>
    <row r="309" spans="1:35" s="69" customFormat="1" ht="33" x14ac:dyDescent="0.3">
      <c r="A309" s="55" t="s">
        <v>812</v>
      </c>
      <c r="B309" s="138" t="s">
        <v>813</v>
      </c>
      <c r="C309" s="54" t="s">
        <v>606</v>
      </c>
      <c r="D309" s="75">
        <v>1</v>
      </c>
      <c r="E309" s="75"/>
      <c r="F309" s="75"/>
      <c r="G309" s="161"/>
      <c r="H309" s="158" t="s">
        <v>15</v>
      </c>
      <c r="I309" s="166">
        <v>68.5</v>
      </c>
      <c r="J309" s="75">
        <v>68.5</v>
      </c>
      <c r="K309" s="91" t="s">
        <v>814</v>
      </c>
      <c r="L309" s="73"/>
      <c r="M309" s="46">
        <v>0</v>
      </c>
      <c r="N309" s="46">
        <v>0</v>
      </c>
      <c r="O309" s="46">
        <v>0</v>
      </c>
      <c r="P309" s="98"/>
      <c r="Q309" s="23" t="s">
        <v>1474</v>
      </c>
      <c r="R309" s="24" t="s">
        <v>813</v>
      </c>
      <c r="S309" s="25" t="s">
        <v>606</v>
      </c>
      <c r="T309" s="26">
        <v>1</v>
      </c>
      <c r="U309" s="26">
        <v>1</v>
      </c>
      <c r="V309" s="26">
        <v>68.5</v>
      </c>
      <c r="W309" s="26">
        <f t="shared" si="58"/>
        <v>0</v>
      </c>
      <c r="X309" s="26">
        <f t="shared" si="61"/>
        <v>0</v>
      </c>
      <c r="Y309" s="26">
        <f t="shared" si="59"/>
        <v>0</v>
      </c>
      <c r="Z309" s="26">
        <f t="shared" si="57"/>
        <v>0</v>
      </c>
      <c r="AA309" s="33" t="s">
        <v>15</v>
      </c>
      <c r="AB309" s="36" t="s">
        <v>16</v>
      </c>
      <c r="AC309" s="181">
        <f t="shared" si="54"/>
        <v>1</v>
      </c>
      <c r="AD309" s="181">
        <f t="shared" si="60"/>
        <v>68.5</v>
      </c>
      <c r="AE309" s="181">
        <v>1.7</v>
      </c>
      <c r="AF309" s="181">
        <v>1.7</v>
      </c>
      <c r="AG309" s="101" t="str">
        <f t="shared" si="55"/>
        <v/>
      </c>
      <c r="AH309" s="190">
        <v>0</v>
      </c>
      <c r="AI309" s="69">
        <f t="shared" si="56"/>
        <v>1</v>
      </c>
    </row>
    <row r="310" spans="1:35" s="69" customFormat="1" ht="33" x14ac:dyDescent="0.3">
      <c r="A310" s="55" t="s">
        <v>815</v>
      </c>
      <c r="B310" s="138" t="s">
        <v>816</v>
      </c>
      <c r="C310" s="54" t="s">
        <v>606</v>
      </c>
      <c r="D310" s="75">
        <v>1</v>
      </c>
      <c r="E310" s="75"/>
      <c r="F310" s="75"/>
      <c r="G310" s="161"/>
      <c r="H310" s="158" t="s">
        <v>15</v>
      </c>
      <c r="I310" s="166">
        <v>58.2</v>
      </c>
      <c r="J310" s="75">
        <v>58.2</v>
      </c>
      <c r="K310" s="91" t="s">
        <v>817</v>
      </c>
      <c r="L310" s="73"/>
      <c r="M310" s="46">
        <v>0</v>
      </c>
      <c r="N310" s="46">
        <v>0</v>
      </c>
      <c r="O310" s="46">
        <v>0</v>
      </c>
      <c r="P310" s="98"/>
      <c r="Q310" s="23" t="s">
        <v>1475</v>
      </c>
      <c r="R310" s="24" t="s">
        <v>816</v>
      </c>
      <c r="S310" s="25" t="s">
        <v>606</v>
      </c>
      <c r="T310" s="26">
        <v>1</v>
      </c>
      <c r="U310" s="26">
        <v>1</v>
      </c>
      <c r="V310" s="26">
        <v>58.2</v>
      </c>
      <c r="W310" s="26">
        <f t="shared" si="58"/>
        <v>0</v>
      </c>
      <c r="X310" s="26">
        <f t="shared" si="61"/>
        <v>0</v>
      </c>
      <c r="Y310" s="26">
        <f t="shared" si="59"/>
        <v>0</v>
      </c>
      <c r="Z310" s="26">
        <f t="shared" si="57"/>
        <v>0</v>
      </c>
      <c r="AA310" s="33" t="s">
        <v>15</v>
      </c>
      <c r="AB310" s="36" t="s">
        <v>16</v>
      </c>
      <c r="AC310" s="181">
        <f t="shared" si="54"/>
        <v>1</v>
      </c>
      <c r="AD310" s="181">
        <f t="shared" si="60"/>
        <v>58.2</v>
      </c>
      <c r="AE310" s="181">
        <v>1.7</v>
      </c>
      <c r="AF310" s="181">
        <v>1.7</v>
      </c>
      <c r="AG310" s="101" t="str">
        <f t="shared" si="55"/>
        <v/>
      </c>
      <c r="AH310" s="190">
        <v>0</v>
      </c>
      <c r="AI310" s="69">
        <f t="shared" si="56"/>
        <v>1</v>
      </c>
    </row>
    <row r="311" spans="1:35" s="69" customFormat="1" ht="33" x14ac:dyDescent="0.3">
      <c r="A311" s="55" t="s">
        <v>818</v>
      </c>
      <c r="B311" s="138" t="s">
        <v>819</v>
      </c>
      <c r="C311" s="54" t="s">
        <v>606</v>
      </c>
      <c r="D311" s="75">
        <v>1</v>
      </c>
      <c r="E311" s="75"/>
      <c r="F311" s="75"/>
      <c r="G311" s="161"/>
      <c r="H311" s="158" t="s">
        <v>15</v>
      </c>
      <c r="I311" s="166">
        <v>70.040000000000006</v>
      </c>
      <c r="J311" s="75">
        <v>70.040000000000006</v>
      </c>
      <c r="K311" s="91" t="s">
        <v>820</v>
      </c>
      <c r="L311" s="73"/>
      <c r="M311" s="46">
        <v>0</v>
      </c>
      <c r="N311" s="46">
        <v>0</v>
      </c>
      <c r="O311" s="46">
        <v>0</v>
      </c>
      <c r="P311" s="98"/>
      <c r="Q311" s="23" t="s">
        <v>1476</v>
      </c>
      <c r="R311" s="24" t="s">
        <v>819</v>
      </c>
      <c r="S311" s="25" t="s">
        <v>606</v>
      </c>
      <c r="T311" s="26">
        <v>1</v>
      </c>
      <c r="U311" s="26">
        <v>1</v>
      </c>
      <c r="V311" s="26">
        <v>70.040000000000006</v>
      </c>
      <c r="W311" s="26">
        <f t="shared" si="58"/>
        <v>0</v>
      </c>
      <c r="X311" s="26">
        <f t="shared" si="61"/>
        <v>0</v>
      </c>
      <c r="Y311" s="26">
        <f t="shared" si="59"/>
        <v>0</v>
      </c>
      <c r="Z311" s="26">
        <f t="shared" si="57"/>
        <v>0</v>
      </c>
      <c r="AA311" s="33" t="s">
        <v>15</v>
      </c>
      <c r="AB311" s="36" t="s">
        <v>16</v>
      </c>
      <c r="AC311" s="181">
        <f t="shared" si="54"/>
        <v>1</v>
      </c>
      <c r="AD311" s="181">
        <f t="shared" si="60"/>
        <v>70.040000000000006</v>
      </c>
      <c r="AE311" s="181">
        <v>1.7</v>
      </c>
      <c r="AF311" s="181">
        <v>1.7</v>
      </c>
      <c r="AG311" s="101" t="str">
        <f t="shared" si="55"/>
        <v/>
      </c>
      <c r="AH311" s="190">
        <v>0</v>
      </c>
      <c r="AI311" s="69">
        <f t="shared" si="56"/>
        <v>1</v>
      </c>
    </row>
    <row r="312" spans="1:35" s="69" customFormat="1" ht="33" x14ac:dyDescent="0.3">
      <c r="A312" s="55" t="s">
        <v>821</v>
      </c>
      <c r="B312" s="138" t="s">
        <v>822</v>
      </c>
      <c r="C312" s="54" t="s">
        <v>606</v>
      </c>
      <c r="D312" s="75">
        <v>1</v>
      </c>
      <c r="E312" s="75"/>
      <c r="F312" s="75"/>
      <c r="G312" s="161"/>
      <c r="H312" s="158" t="s">
        <v>15</v>
      </c>
      <c r="I312" s="166">
        <v>61.29</v>
      </c>
      <c r="J312" s="75">
        <v>61.29</v>
      </c>
      <c r="K312" s="91" t="s">
        <v>823</v>
      </c>
      <c r="L312" s="73"/>
      <c r="M312" s="46">
        <v>0</v>
      </c>
      <c r="N312" s="46">
        <v>0</v>
      </c>
      <c r="O312" s="46">
        <v>0</v>
      </c>
      <c r="P312" s="98"/>
      <c r="Q312" s="23" t="s">
        <v>1477</v>
      </c>
      <c r="R312" s="24" t="s">
        <v>822</v>
      </c>
      <c r="S312" s="25" t="s">
        <v>606</v>
      </c>
      <c r="T312" s="26">
        <v>1</v>
      </c>
      <c r="U312" s="26">
        <v>1</v>
      </c>
      <c r="V312" s="26">
        <v>61.29</v>
      </c>
      <c r="W312" s="26">
        <f t="shared" si="58"/>
        <v>0</v>
      </c>
      <c r="X312" s="26">
        <f t="shared" si="61"/>
        <v>0</v>
      </c>
      <c r="Y312" s="26">
        <f t="shared" si="59"/>
        <v>0</v>
      </c>
      <c r="Z312" s="26">
        <f t="shared" si="57"/>
        <v>0</v>
      </c>
      <c r="AA312" s="33" t="s">
        <v>15</v>
      </c>
      <c r="AB312" s="36" t="s">
        <v>16</v>
      </c>
      <c r="AC312" s="181">
        <f t="shared" si="54"/>
        <v>1</v>
      </c>
      <c r="AD312" s="181">
        <f t="shared" si="60"/>
        <v>61.29</v>
      </c>
      <c r="AE312" s="181">
        <v>1.7</v>
      </c>
      <c r="AF312" s="181">
        <v>1.7</v>
      </c>
      <c r="AG312" s="101" t="str">
        <f t="shared" si="55"/>
        <v/>
      </c>
      <c r="AH312" s="190">
        <v>0</v>
      </c>
      <c r="AI312" s="69">
        <f t="shared" si="56"/>
        <v>1</v>
      </c>
    </row>
    <row r="313" spans="1:35" s="69" customFormat="1" ht="33" x14ac:dyDescent="0.3">
      <c r="A313" s="55" t="s">
        <v>824</v>
      </c>
      <c r="B313" s="138" t="s">
        <v>825</v>
      </c>
      <c r="C313" s="54" t="s">
        <v>606</v>
      </c>
      <c r="D313" s="75">
        <v>1</v>
      </c>
      <c r="E313" s="75"/>
      <c r="F313" s="75"/>
      <c r="G313" s="161"/>
      <c r="H313" s="158" t="s">
        <v>15</v>
      </c>
      <c r="I313" s="166">
        <v>59.74</v>
      </c>
      <c r="J313" s="75">
        <v>59.74</v>
      </c>
      <c r="K313" s="91" t="s">
        <v>826</v>
      </c>
      <c r="L313" s="73"/>
      <c r="M313" s="46">
        <v>0</v>
      </c>
      <c r="N313" s="46">
        <v>0</v>
      </c>
      <c r="O313" s="46">
        <v>0</v>
      </c>
      <c r="P313" s="98"/>
      <c r="Q313" s="23" t="s">
        <v>1478</v>
      </c>
      <c r="R313" s="24" t="s">
        <v>825</v>
      </c>
      <c r="S313" s="25" t="s">
        <v>606</v>
      </c>
      <c r="T313" s="26">
        <v>1</v>
      </c>
      <c r="U313" s="26">
        <v>1</v>
      </c>
      <c r="V313" s="26">
        <v>59.74</v>
      </c>
      <c r="W313" s="26">
        <f t="shared" si="58"/>
        <v>0</v>
      </c>
      <c r="X313" s="26">
        <f t="shared" si="61"/>
        <v>0</v>
      </c>
      <c r="Y313" s="26">
        <f t="shared" si="59"/>
        <v>0</v>
      </c>
      <c r="Z313" s="26">
        <f t="shared" si="57"/>
        <v>0</v>
      </c>
      <c r="AA313" s="33" t="s">
        <v>15</v>
      </c>
      <c r="AB313" s="36" t="s">
        <v>16</v>
      </c>
      <c r="AC313" s="181">
        <f t="shared" si="54"/>
        <v>1</v>
      </c>
      <c r="AD313" s="181">
        <f t="shared" si="60"/>
        <v>59.74</v>
      </c>
      <c r="AE313" s="181">
        <v>1.7</v>
      </c>
      <c r="AF313" s="181">
        <v>1.7</v>
      </c>
      <c r="AG313" s="101" t="str">
        <f t="shared" si="55"/>
        <v/>
      </c>
      <c r="AH313" s="190">
        <v>0</v>
      </c>
      <c r="AI313" s="69">
        <f t="shared" si="56"/>
        <v>1</v>
      </c>
    </row>
    <row r="314" spans="1:35" s="69" customFormat="1" ht="33" x14ac:dyDescent="0.3">
      <c r="A314" s="55" t="s">
        <v>827</v>
      </c>
      <c r="B314" s="138" t="s">
        <v>828</v>
      </c>
      <c r="C314" s="54" t="s">
        <v>606</v>
      </c>
      <c r="D314" s="75">
        <v>1</v>
      </c>
      <c r="E314" s="75"/>
      <c r="F314" s="75"/>
      <c r="G314" s="161"/>
      <c r="H314" s="158" t="s">
        <v>15</v>
      </c>
      <c r="I314" s="166">
        <v>69.58</v>
      </c>
      <c r="J314" s="75">
        <v>69.58</v>
      </c>
      <c r="K314" s="91" t="s">
        <v>829</v>
      </c>
      <c r="L314" s="73"/>
      <c r="M314" s="46">
        <v>0</v>
      </c>
      <c r="N314" s="46">
        <v>0</v>
      </c>
      <c r="O314" s="46">
        <v>0</v>
      </c>
      <c r="P314" s="98"/>
      <c r="Q314" s="23" t="s">
        <v>1479</v>
      </c>
      <c r="R314" s="24" t="s">
        <v>828</v>
      </c>
      <c r="S314" s="25" t="s">
        <v>606</v>
      </c>
      <c r="T314" s="26">
        <v>1</v>
      </c>
      <c r="U314" s="26">
        <v>1</v>
      </c>
      <c r="V314" s="26">
        <v>69.58</v>
      </c>
      <c r="W314" s="26">
        <f t="shared" si="58"/>
        <v>0</v>
      </c>
      <c r="X314" s="26">
        <f t="shared" si="61"/>
        <v>0</v>
      </c>
      <c r="Y314" s="26">
        <f t="shared" si="59"/>
        <v>0</v>
      </c>
      <c r="Z314" s="26">
        <f t="shared" si="57"/>
        <v>0</v>
      </c>
      <c r="AA314" s="33" t="s">
        <v>15</v>
      </c>
      <c r="AB314" s="36" t="s">
        <v>16</v>
      </c>
      <c r="AC314" s="181">
        <f t="shared" si="54"/>
        <v>1</v>
      </c>
      <c r="AD314" s="181">
        <f t="shared" si="60"/>
        <v>69.58</v>
      </c>
      <c r="AE314" s="181">
        <v>1.7</v>
      </c>
      <c r="AF314" s="181">
        <v>1.7</v>
      </c>
      <c r="AG314" s="101" t="str">
        <f t="shared" si="55"/>
        <v/>
      </c>
      <c r="AH314" s="190">
        <v>0</v>
      </c>
      <c r="AI314" s="69">
        <f t="shared" si="56"/>
        <v>1</v>
      </c>
    </row>
    <row r="315" spans="1:35" s="69" customFormat="1" ht="33" x14ac:dyDescent="0.3">
      <c r="A315" s="55" t="s">
        <v>830</v>
      </c>
      <c r="B315" s="138" t="s">
        <v>831</v>
      </c>
      <c r="C315" s="54" t="s">
        <v>606</v>
      </c>
      <c r="D315" s="75">
        <v>1</v>
      </c>
      <c r="E315" s="75"/>
      <c r="F315" s="75"/>
      <c r="G315" s="161"/>
      <c r="H315" s="158" t="s">
        <v>15</v>
      </c>
      <c r="I315" s="166">
        <v>112.84</v>
      </c>
      <c r="J315" s="75">
        <v>112.84</v>
      </c>
      <c r="K315" s="91" t="s">
        <v>832</v>
      </c>
      <c r="L315" s="73"/>
      <c r="M315" s="46">
        <v>0</v>
      </c>
      <c r="N315" s="46">
        <v>0</v>
      </c>
      <c r="O315" s="46">
        <v>0</v>
      </c>
      <c r="P315" s="98"/>
      <c r="Q315" s="23" t="s">
        <v>1480</v>
      </c>
      <c r="R315" s="24" t="s">
        <v>831</v>
      </c>
      <c r="S315" s="25" t="s">
        <v>606</v>
      </c>
      <c r="T315" s="26">
        <v>1</v>
      </c>
      <c r="U315" s="26">
        <v>1</v>
      </c>
      <c r="V315" s="26">
        <v>112.84</v>
      </c>
      <c r="W315" s="26">
        <f t="shared" si="58"/>
        <v>0</v>
      </c>
      <c r="X315" s="26">
        <f t="shared" si="61"/>
        <v>0</v>
      </c>
      <c r="Y315" s="26">
        <f t="shared" si="59"/>
        <v>0</v>
      </c>
      <c r="Z315" s="26">
        <f t="shared" si="57"/>
        <v>0</v>
      </c>
      <c r="AA315" s="33" t="s">
        <v>15</v>
      </c>
      <c r="AB315" s="36" t="s">
        <v>16</v>
      </c>
      <c r="AC315" s="181">
        <f t="shared" si="54"/>
        <v>1</v>
      </c>
      <c r="AD315" s="181">
        <f t="shared" si="60"/>
        <v>112.84</v>
      </c>
      <c r="AE315" s="181">
        <v>1.7</v>
      </c>
      <c r="AF315" s="181">
        <v>1.7</v>
      </c>
      <c r="AG315" s="101" t="str">
        <f t="shared" si="55"/>
        <v/>
      </c>
      <c r="AH315" s="190">
        <v>0</v>
      </c>
      <c r="AI315" s="69">
        <f t="shared" si="56"/>
        <v>1</v>
      </c>
    </row>
    <row r="316" spans="1:35" s="69" customFormat="1" ht="33" x14ac:dyDescent="0.3">
      <c r="A316" s="55" t="s">
        <v>833</v>
      </c>
      <c r="B316" s="138" t="s">
        <v>834</v>
      </c>
      <c r="C316" s="54" t="s">
        <v>606</v>
      </c>
      <c r="D316" s="75">
        <v>1</v>
      </c>
      <c r="E316" s="75"/>
      <c r="F316" s="75"/>
      <c r="G316" s="161"/>
      <c r="H316" s="158" t="s">
        <v>15</v>
      </c>
      <c r="I316" s="166">
        <v>102.54</v>
      </c>
      <c r="J316" s="75">
        <v>102.54</v>
      </c>
      <c r="K316" s="91" t="s">
        <v>835</v>
      </c>
      <c r="L316" s="73"/>
      <c r="M316" s="46">
        <v>0</v>
      </c>
      <c r="N316" s="46">
        <v>0</v>
      </c>
      <c r="O316" s="46">
        <v>0</v>
      </c>
      <c r="P316" s="98"/>
      <c r="Q316" s="23" t="s">
        <v>1481</v>
      </c>
      <c r="R316" s="24" t="s">
        <v>834</v>
      </c>
      <c r="S316" s="25" t="s">
        <v>606</v>
      </c>
      <c r="T316" s="26">
        <v>1</v>
      </c>
      <c r="U316" s="26">
        <v>1</v>
      </c>
      <c r="V316" s="26">
        <v>102.54</v>
      </c>
      <c r="W316" s="26">
        <f t="shared" si="58"/>
        <v>0</v>
      </c>
      <c r="X316" s="26">
        <f t="shared" si="61"/>
        <v>0</v>
      </c>
      <c r="Y316" s="26">
        <f t="shared" si="59"/>
        <v>0</v>
      </c>
      <c r="Z316" s="26">
        <f t="shared" si="57"/>
        <v>0</v>
      </c>
      <c r="AA316" s="33" t="s">
        <v>15</v>
      </c>
      <c r="AB316" s="36" t="s">
        <v>16</v>
      </c>
      <c r="AC316" s="181">
        <f t="shared" si="54"/>
        <v>1</v>
      </c>
      <c r="AD316" s="181">
        <f t="shared" si="60"/>
        <v>102.54</v>
      </c>
      <c r="AE316" s="181">
        <v>1.7</v>
      </c>
      <c r="AF316" s="181">
        <v>1.7</v>
      </c>
      <c r="AG316" s="101" t="str">
        <f t="shared" si="55"/>
        <v/>
      </c>
      <c r="AH316" s="190">
        <v>0</v>
      </c>
      <c r="AI316" s="69">
        <f t="shared" si="56"/>
        <v>1</v>
      </c>
    </row>
    <row r="317" spans="1:35" s="69" customFormat="1" ht="33" x14ac:dyDescent="0.3">
      <c r="A317" s="55" t="s">
        <v>836</v>
      </c>
      <c r="B317" s="138" t="s">
        <v>837</v>
      </c>
      <c r="C317" s="54" t="s">
        <v>606</v>
      </c>
      <c r="D317" s="75">
        <v>1</v>
      </c>
      <c r="E317" s="75"/>
      <c r="F317" s="75"/>
      <c r="G317" s="161"/>
      <c r="H317" s="158" t="s">
        <v>15</v>
      </c>
      <c r="I317" s="166">
        <v>82.99</v>
      </c>
      <c r="J317" s="75">
        <v>82.99</v>
      </c>
      <c r="K317" s="91" t="s">
        <v>838</v>
      </c>
      <c r="L317" s="73"/>
      <c r="M317" s="46">
        <v>0</v>
      </c>
      <c r="N317" s="46">
        <v>0</v>
      </c>
      <c r="O317" s="46">
        <v>0</v>
      </c>
      <c r="P317" s="98"/>
      <c r="Q317" s="23" t="s">
        <v>1482</v>
      </c>
      <c r="R317" s="24" t="s">
        <v>837</v>
      </c>
      <c r="S317" s="25" t="s">
        <v>606</v>
      </c>
      <c r="T317" s="26">
        <v>1</v>
      </c>
      <c r="U317" s="26">
        <v>1</v>
      </c>
      <c r="V317" s="26">
        <v>82.99</v>
      </c>
      <c r="W317" s="26">
        <f t="shared" si="58"/>
        <v>0</v>
      </c>
      <c r="X317" s="26">
        <f t="shared" si="61"/>
        <v>0</v>
      </c>
      <c r="Y317" s="26">
        <f t="shared" si="59"/>
        <v>0</v>
      </c>
      <c r="Z317" s="26">
        <f t="shared" si="57"/>
        <v>0</v>
      </c>
      <c r="AA317" s="33" t="s">
        <v>15</v>
      </c>
      <c r="AB317" s="36" t="s">
        <v>16</v>
      </c>
      <c r="AC317" s="181">
        <f t="shared" si="54"/>
        <v>1</v>
      </c>
      <c r="AD317" s="181">
        <f t="shared" si="60"/>
        <v>82.99</v>
      </c>
      <c r="AE317" s="181">
        <v>1.7</v>
      </c>
      <c r="AF317" s="181">
        <v>1.7</v>
      </c>
      <c r="AG317" s="101" t="str">
        <f t="shared" si="55"/>
        <v/>
      </c>
      <c r="AH317" s="190">
        <v>0</v>
      </c>
      <c r="AI317" s="69">
        <f t="shared" si="56"/>
        <v>1</v>
      </c>
    </row>
    <row r="318" spans="1:35" s="69" customFormat="1" ht="33" x14ac:dyDescent="0.3">
      <c r="A318" s="55" t="s">
        <v>839</v>
      </c>
      <c r="B318" s="138" t="s">
        <v>840</v>
      </c>
      <c r="C318" s="54" t="s">
        <v>606</v>
      </c>
      <c r="D318" s="75">
        <v>1</v>
      </c>
      <c r="E318" s="75"/>
      <c r="F318" s="75"/>
      <c r="G318" s="161"/>
      <c r="H318" s="158" t="s">
        <v>15</v>
      </c>
      <c r="I318" s="166">
        <v>80.41</v>
      </c>
      <c r="J318" s="75">
        <v>80.41</v>
      </c>
      <c r="K318" s="91" t="s">
        <v>841</v>
      </c>
      <c r="L318" s="73"/>
      <c r="M318" s="46">
        <v>0</v>
      </c>
      <c r="N318" s="46">
        <v>0</v>
      </c>
      <c r="O318" s="46">
        <v>0</v>
      </c>
      <c r="P318" s="98"/>
      <c r="Q318" s="23" t="s">
        <v>1483</v>
      </c>
      <c r="R318" s="24" t="s">
        <v>840</v>
      </c>
      <c r="S318" s="25" t="s">
        <v>606</v>
      </c>
      <c r="T318" s="26">
        <v>1</v>
      </c>
      <c r="U318" s="26">
        <v>1</v>
      </c>
      <c r="V318" s="26">
        <v>80.41</v>
      </c>
      <c r="W318" s="26">
        <f t="shared" si="58"/>
        <v>0</v>
      </c>
      <c r="X318" s="26">
        <f t="shared" si="61"/>
        <v>0</v>
      </c>
      <c r="Y318" s="26">
        <f t="shared" si="59"/>
        <v>0</v>
      </c>
      <c r="Z318" s="26">
        <f t="shared" si="57"/>
        <v>0</v>
      </c>
      <c r="AA318" s="33" t="s">
        <v>15</v>
      </c>
      <c r="AB318" s="36" t="s">
        <v>16</v>
      </c>
      <c r="AC318" s="181">
        <f t="shared" si="54"/>
        <v>1</v>
      </c>
      <c r="AD318" s="181">
        <f t="shared" si="60"/>
        <v>80.41</v>
      </c>
      <c r="AE318" s="181">
        <v>1.7</v>
      </c>
      <c r="AF318" s="181">
        <v>1.7</v>
      </c>
      <c r="AG318" s="101" t="str">
        <f t="shared" si="55"/>
        <v/>
      </c>
      <c r="AH318" s="190">
        <v>0</v>
      </c>
      <c r="AI318" s="69">
        <f t="shared" si="56"/>
        <v>1</v>
      </c>
    </row>
    <row r="319" spans="1:35" s="69" customFormat="1" ht="33" x14ac:dyDescent="0.3">
      <c r="A319" s="55" t="s">
        <v>842</v>
      </c>
      <c r="B319" s="138" t="s">
        <v>843</v>
      </c>
      <c r="C319" s="54" t="s">
        <v>606</v>
      </c>
      <c r="D319" s="75">
        <v>1</v>
      </c>
      <c r="E319" s="75"/>
      <c r="F319" s="75"/>
      <c r="G319" s="161"/>
      <c r="H319" s="158" t="s">
        <v>15</v>
      </c>
      <c r="I319" s="166">
        <v>101.01</v>
      </c>
      <c r="J319" s="75">
        <v>101.01</v>
      </c>
      <c r="K319" s="91" t="s">
        <v>844</v>
      </c>
      <c r="L319" s="73"/>
      <c r="M319" s="46">
        <v>0</v>
      </c>
      <c r="N319" s="46">
        <v>0</v>
      </c>
      <c r="O319" s="46">
        <v>0</v>
      </c>
      <c r="P319" s="98"/>
      <c r="Q319" s="23" t="s">
        <v>1484</v>
      </c>
      <c r="R319" s="24" t="s">
        <v>843</v>
      </c>
      <c r="S319" s="25" t="s">
        <v>606</v>
      </c>
      <c r="T319" s="26">
        <v>1</v>
      </c>
      <c r="U319" s="26">
        <v>1</v>
      </c>
      <c r="V319" s="26">
        <v>101.01</v>
      </c>
      <c r="W319" s="26">
        <f t="shared" si="58"/>
        <v>0</v>
      </c>
      <c r="X319" s="26">
        <f t="shared" si="61"/>
        <v>0</v>
      </c>
      <c r="Y319" s="26">
        <f t="shared" si="59"/>
        <v>0</v>
      </c>
      <c r="Z319" s="26">
        <f t="shared" si="57"/>
        <v>0</v>
      </c>
      <c r="AA319" s="33" t="s">
        <v>15</v>
      </c>
      <c r="AB319" s="36" t="s">
        <v>16</v>
      </c>
      <c r="AC319" s="181">
        <f t="shared" si="54"/>
        <v>1</v>
      </c>
      <c r="AD319" s="181">
        <f t="shared" si="60"/>
        <v>101.01</v>
      </c>
      <c r="AE319" s="181">
        <v>1.7</v>
      </c>
      <c r="AF319" s="181">
        <v>1.7</v>
      </c>
      <c r="AG319" s="101" t="str">
        <f t="shared" si="55"/>
        <v/>
      </c>
      <c r="AH319" s="190">
        <v>0</v>
      </c>
      <c r="AI319" s="69">
        <f t="shared" si="56"/>
        <v>1</v>
      </c>
    </row>
    <row r="320" spans="1:35" s="69" customFormat="1" ht="33" x14ac:dyDescent="0.3">
      <c r="A320" s="55" t="s">
        <v>845</v>
      </c>
      <c r="B320" s="138" t="s">
        <v>846</v>
      </c>
      <c r="C320" s="54" t="s">
        <v>606</v>
      </c>
      <c r="D320" s="75">
        <v>1</v>
      </c>
      <c r="E320" s="75"/>
      <c r="F320" s="75"/>
      <c r="G320" s="161"/>
      <c r="H320" s="158" t="s">
        <v>15</v>
      </c>
      <c r="I320" s="166">
        <v>76.290000000000006</v>
      </c>
      <c r="J320" s="75">
        <v>76.290000000000006</v>
      </c>
      <c r="K320" s="91" t="s">
        <v>847</v>
      </c>
      <c r="L320" s="73"/>
      <c r="M320" s="46">
        <v>0</v>
      </c>
      <c r="N320" s="46">
        <v>0</v>
      </c>
      <c r="O320" s="46">
        <v>0</v>
      </c>
      <c r="P320" s="98"/>
      <c r="Q320" s="23" t="s">
        <v>1485</v>
      </c>
      <c r="R320" s="24" t="s">
        <v>846</v>
      </c>
      <c r="S320" s="25" t="s">
        <v>606</v>
      </c>
      <c r="T320" s="26">
        <v>1</v>
      </c>
      <c r="U320" s="26">
        <v>1</v>
      </c>
      <c r="V320" s="26">
        <v>76.290000000000006</v>
      </c>
      <c r="W320" s="26">
        <f t="shared" si="58"/>
        <v>0</v>
      </c>
      <c r="X320" s="26">
        <f t="shared" si="61"/>
        <v>0</v>
      </c>
      <c r="Y320" s="26">
        <f t="shared" si="59"/>
        <v>0</v>
      </c>
      <c r="Z320" s="26">
        <f t="shared" si="57"/>
        <v>0</v>
      </c>
      <c r="AA320" s="33" t="s">
        <v>15</v>
      </c>
      <c r="AB320" s="36" t="s">
        <v>16</v>
      </c>
      <c r="AC320" s="181">
        <f t="shared" si="54"/>
        <v>1</v>
      </c>
      <c r="AD320" s="181">
        <f t="shared" si="60"/>
        <v>76.290000000000006</v>
      </c>
      <c r="AE320" s="181">
        <v>1.7</v>
      </c>
      <c r="AF320" s="181">
        <v>1.7</v>
      </c>
      <c r="AG320" s="101" t="str">
        <f t="shared" si="55"/>
        <v/>
      </c>
      <c r="AH320" s="190">
        <v>0</v>
      </c>
      <c r="AI320" s="69">
        <f t="shared" si="56"/>
        <v>1</v>
      </c>
    </row>
    <row r="321" spans="1:35" s="69" customFormat="1" ht="33" x14ac:dyDescent="0.3">
      <c r="A321" s="55" t="s">
        <v>848</v>
      </c>
      <c r="B321" s="138" t="s">
        <v>849</v>
      </c>
      <c r="C321" s="54" t="s">
        <v>606</v>
      </c>
      <c r="D321" s="75">
        <v>1</v>
      </c>
      <c r="E321" s="75"/>
      <c r="F321" s="75"/>
      <c r="G321" s="161"/>
      <c r="H321" s="158" t="s">
        <v>15</v>
      </c>
      <c r="I321" s="166">
        <v>73.650000000000006</v>
      </c>
      <c r="J321" s="75">
        <v>73.650000000000006</v>
      </c>
      <c r="K321" s="91" t="s">
        <v>850</v>
      </c>
      <c r="L321" s="73"/>
      <c r="M321" s="46">
        <v>0</v>
      </c>
      <c r="N321" s="46">
        <v>0</v>
      </c>
      <c r="O321" s="46">
        <v>0</v>
      </c>
      <c r="P321" s="98"/>
      <c r="Q321" s="23" t="s">
        <v>1486</v>
      </c>
      <c r="R321" s="24" t="s">
        <v>849</v>
      </c>
      <c r="S321" s="25" t="s">
        <v>606</v>
      </c>
      <c r="T321" s="26">
        <v>1</v>
      </c>
      <c r="U321" s="26">
        <v>1</v>
      </c>
      <c r="V321" s="26">
        <v>73.650000000000006</v>
      </c>
      <c r="W321" s="26">
        <f t="shared" si="58"/>
        <v>0</v>
      </c>
      <c r="X321" s="26">
        <f t="shared" si="61"/>
        <v>0</v>
      </c>
      <c r="Y321" s="26">
        <f t="shared" si="59"/>
        <v>0</v>
      </c>
      <c r="Z321" s="26">
        <f t="shared" si="57"/>
        <v>0</v>
      </c>
      <c r="AA321" s="33" t="s">
        <v>15</v>
      </c>
      <c r="AB321" s="36" t="s">
        <v>16</v>
      </c>
      <c r="AC321" s="181">
        <f t="shared" si="54"/>
        <v>1</v>
      </c>
      <c r="AD321" s="181">
        <f t="shared" si="60"/>
        <v>73.650000000000006</v>
      </c>
      <c r="AE321" s="181">
        <v>1.7</v>
      </c>
      <c r="AF321" s="181">
        <v>1.7</v>
      </c>
      <c r="AG321" s="101" t="str">
        <f t="shared" si="55"/>
        <v/>
      </c>
      <c r="AH321" s="190">
        <v>0</v>
      </c>
      <c r="AI321" s="69">
        <f t="shared" si="56"/>
        <v>1</v>
      </c>
    </row>
    <row r="322" spans="1:35" s="69" customFormat="1" ht="39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161"/>
      <c r="H322" s="158" t="s">
        <v>15</v>
      </c>
      <c r="I322" s="166">
        <v>43.78</v>
      </c>
      <c r="J322" s="75">
        <v>43.78</v>
      </c>
      <c r="K322" s="91" t="s">
        <v>853</v>
      </c>
      <c r="L322" s="73"/>
      <c r="M322" s="46">
        <v>0</v>
      </c>
      <c r="N322" s="46">
        <v>0</v>
      </c>
      <c r="O322" s="46">
        <v>0</v>
      </c>
      <c r="P322" s="98"/>
      <c r="Q322" s="23" t="s">
        <v>1487</v>
      </c>
      <c r="R322" s="24" t="s">
        <v>852</v>
      </c>
      <c r="S322" s="25" t="s">
        <v>50</v>
      </c>
      <c r="T322" s="26">
        <v>1</v>
      </c>
      <c r="U322" s="26">
        <v>1</v>
      </c>
      <c r="V322" s="26">
        <v>43.78</v>
      </c>
      <c r="W322" s="26">
        <f t="shared" si="58"/>
        <v>0</v>
      </c>
      <c r="X322" s="26">
        <f t="shared" si="61"/>
        <v>0</v>
      </c>
      <c r="Y322" s="26">
        <f t="shared" si="59"/>
        <v>0</v>
      </c>
      <c r="Z322" s="26">
        <f t="shared" si="57"/>
        <v>0</v>
      </c>
      <c r="AA322" s="33" t="s">
        <v>15</v>
      </c>
      <c r="AB322" s="36" t="s">
        <v>16</v>
      </c>
      <c r="AC322" s="181">
        <f t="shared" si="54"/>
        <v>1</v>
      </c>
      <c r="AD322" s="181">
        <f t="shared" si="60"/>
        <v>43.78</v>
      </c>
      <c r="AE322" s="181">
        <v>1.7</v>
      </c>
      <c r="AF322" s="181">
        <v>1.7</v>
      </c>
      <c r="AG322" s="101" t="str">
        <f t="shared" si="55"/>
        <v/>
      </c>
      <c r="AH322" s="190">
        <v>0</v>
      </c>
      <c r="AI322" s="69">
        <f t="shared" si="56"/>
        <v>1</v>
      </c>
    </row>
    <row r="323" spans="1:35" s="69" customFormat="1" ht="39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161"/>
      <c r="H323" s="158" t="s">
        <v>15</v>
      </c>
      <c r="I323" s="166">
        <v>28.11</v>
      </c>
      <c r="J323" s="75">
        <v>28.11</v>
      </c>
      <c r="K323" s="91" t="s">
        <v>857</v>
      </c>
      <c r="L323" s="73"/>
      <c r="M323" s="46">
        <v>0</v>
      </c>
      <c r="N323" s="46">
        <v>0</v>
      </c>
      <c r="O323" s="46">
        <v>0</v>
      </c>
      <c r="P323" s="98"/>
      <c r="Q323" s="23" t="s">
        <v>1488</v>
      </c>
      <c r="R323" s="24" t="s">
        <v>855</v>
      </c>
      <c r="S323" s="25" t="s">
        <v>856</v>
      </c>
      <c r="T323" s="26">
        <v>1</v>
      </c>
      <c r="U323" s="26">
        <v>1</v>
      </c>
      <c r="V323" s="26">
        <v>28.11</v>
      </c>
      <c r="W323" s="26">
        <f t="shared" si="58"/>
        <v>0</v>
      </c>
      <c r="X323" s="26">
        <f t="shared" si="61"/>
        <v>0</v>
      </c>
      <c r="Y323" s="26">
        <f t="shared" si="59"/>
        <v>0</v>
      </c>
      <c r="Z323" s="26">
        <f t="shared" si="57"/>
        <v>0</v>
      </c>
      <c r="AA323" s="33" t="s">
        <v>15</v>
      </c>
      <c r="AB323" s="36" t="s">
        <v>16</v>
      </c>
      <c r="AC323" s="181">
        <f t="shared" si="54"/>
        <v>1</v>
      </c>
      <c r="AD323" s="181">
        <f t="shared" si="60"/>
        <v>28.11</v>
      </c>
      <c r="AE323" s="181">
        <v>1.7</v>
      </c>
      <c r="AF323" s="181">
        <v>1.7</v>
      </c>
      <c r="AG323" s="101" t="str">
        <f t="shared" si="55"/>
        <v/>
      </c>
      <c r="AH323" s="190">
        <v>0</v>
      </c>
      <c r="AI323" s="69">
        <f t="shared" si="56"/>
        <v>1</v>
      </c>
    </row>
    <row r="324" spans="1:35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224"/>
      <c r="H324" s="158" t="s">
        <v>15</v>
      </c>
      <c r="I324" s="166">
        <v>245.47</v>
      </c>
      <c r="J324" s="75">
        <v>245.47</v>
      </c>
      <c r="K324" s="91" t="s">
        <v>860</v>
      </c>
      <c r="L324" s="73"/>
      <c r="M324" s="46">
        <v>0</v>
      </c>
      <c r="N324" s="46">
        <v>0</v>
      </c>
      <c r="O324" s="46">
        <v>0</v>
      </c>
      <c r="P324" s="98"/>
      <c r="Q324" s="23" t="s">
        <v>1489</v>
      </c>
      <c r="R324" s="24" t="s">
        <v>859</v>
      </c>
      <c r="S324" s="25" t="s">
        <v>50</v>
      </c>
      <c r="T324" s="26">
        <v>1</v>
      </c>
      <c r="U324" s="26">
        <v>1</v>
      </c>
      <c r="V324" s="26">
        <v>245.47</v>
      </c>
      <c r="W324" s="26">
        <f t="shared" si="58"/>
        <v>0</v>
      </c>
      <c r="X324" s="26">
        <f t="shared" si="61"/>
        <v>0</v>
      </c>
      <c r="Y324" s="26">
        <f t="shared" si="59"/>
        <v>0</v>
      </c>
      <c r="Z324" s="26">
        <f t="shared" si="57"/>
        <v>0</v>
      </c>
      <c r="AA324" s="33" t="s">
        <v>15</v>
      </c>
      <c r="AB324" s="36" t="s">
        <v>16</v>
      </c>
      <c r="AC324" s="181">
        <f t="shared" si="54"/>
        <v>1</v>
      </c>
      <c r="AD324" s="181">
        <f t="shared" si="60"/>
        <v>245.47</v>
      </c>
      <c r="AE324" s="181">
        <v>1.7</v>
      </c>
      <c r="AF324" s="181">
        <v>1.7</v>
      </c>
      <c r="AG324" s="101" t="str">
        <f t="shared" si="55"/>
        <v/>
      </c>
      <c r="AH324" s="190">
        <v>0</v>
      </c>
      <c r="AI324" s="69">
        <f t="shared" si="56"/>
        <v>1</v>
      </c>
    </row>
    <row r="325" spans="1:35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163"/>
      <c r="H325" s="62" t="s">
        <v>15</v>
      </c>
      <c r="I325" s="167">
        <v>839.94</v>
      </c>
      <c r="J325" s="62">
        <v>61718.79</v>
      </c>
      <c r="K325" s="93"/>
      <c r="M325" s="46">
        <v>0</v>
      </c>
      <c r="N325" s="46">
        <v>0</v>
      </c>
      <c r="O325" s="46">
        <v>0</v>
      </c>
      <c r="P325" s="98"/>
      <c r="Q325" s="23" t="s">
        <v>1398</v>
      </c>
      <c r="R325" s="24" t="s">
        <v>1337</v>
      </c>
      <c r="S325" s="25" t="s">
        <v>30</v>
      </c>
      <c r="T325" s="26">
        <v>0</v>
      </c>
      <c r="U325" s="26">
        <v>73.48</v>
      </c>
      <c r="V325" s="26">
        <v>839.94</v>
      </c>
      <c r="W325" s="26">
        <f t="shared" si="58"/>
        <v>0</v>
      </c>
      <c r="X325" s="26">
        <f t="shared" si="61"/>
        <v>0</v>
      </c>
      <c r="Y325" s="26">
        <f t="shared" si="59"/>
        <v>0</v>
      </c>
      <c r="Z325" s="26">
        <f>ROUND(V325*X325,2)</f>
        <v>0</v>
      </c>
      <c r="AA325" s="27"/>
      <c r="AB325" s="36" t="s">
        <v>16</v>
      </c>
      <c r="AC325" s="181">
        <f t="shared" si="54"/>
        <v>73.48</v>
      </c>
      <c r="AD325" s="181">
        <f t="shared" si="60"/>
        <v>61718.79</v>
      </c>
      <c r="AE325" s="181">
        <v>1.7</v>
      </c>
      <c r="AF325" s="181">
        <v>1.7</v>
      </c>
      <c r="AG325" s="101" t="str">
        <f t="shared" si="55"/>
        <v/>
      </c>
      <c r="AH325" s="190">
        <v>0</v>
      </c>
      <c r="AI325" s="69">
        <f t="shared" si="56"/>
        <v>73.48</v>
      </c>
    </row>
    <row r="326" spans="1:35" ht="39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163"/>
      <c r="H326" s="62" t="s">
        <v>15</v>
      </c>
      <c r="I326" s="167">
        <v>150</v>
      </c>
      <c r="J326" s="62">
        <v>2678400</v>
      </c>
      <c r="K326" s="93"/>
      <c r="M326" s="46">
        <v>10000</v>
      </c>
      <c r="N326" s="46">
        <v>0</v>
      </c>
      <c r="O326" s="46">
        <v>1500000</v>
      </c>
      <c r="P326" s="98"/>
      <c r="Q326" s="23" t="s">
        <v>1399</v>
      </c>
      <c r="R326" s="24" t="s">
        <v>1339</v>
      </c>
      <c r="S326" s="25" t="s">
        <v>1359</v>
      </c>
      <c r="T326" s="26">
        <v>0</v>
      </c>
      <c r="U326" s="26">
        <v>17856</v>
      </c>
      <c r="V326" s="26">
        <v>150</v>
      </c>
      <c r="W326" s="243">
        <f t="shared" si="58"/>
        <v>1608</v>
      </c>
      <c r="X326" s="26">
        <f t="shared" si="61"/>
        <v>11608</v>
      </c>
      <c r="Y326" s="26">
        <f t="shared" si="59"/>
        <v>241200</v>
      </c>
      <c r="Z326" s="26">
        <f t="shared" si="57"/>
        <v>1741200</v>
      </c>
      <c r="AA326" s="27"/>
      <c r="AB326" s="36" t="s">
        <v>16</v>
      </c>
      <c r="AC326" s="181">
        <f t="shared" si="54"/>
        <v>17856</v>
      </c>
      <c r="AD326" s="181">
        <f t="shared" si="60"/>
        <v>2678400</v>
      </c>
      <c r="AE326" s="181">
        <v>1.7</v>
      </c>
      <c r="AF326" s="181">
        <v>1.7</v>
      </c>
      <c r="AG326" s="101" t="str">
        <f t="shared" si="55"/>
        <v/>
      </c>
      <c r="AH326" s="191">
        <f>10000+1608</f>
        <v>11608</v>
      </c>
      <c r="AI326" s="69">
        <f t="shared" si="56"/>
        <v>17856</v>
      </c>
    </row>
    <row r="327" spans="1:35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4" t="s">
        <v>15</v>
      </c>
      <c r="I327" s="82"/>
      <c r="J327" s="82">
        <v>5831452.4900000002</v>
      </c>
      <c r="K327" s="94" t="s">
        <v>15</v>
      </c>
      <c r="L327" s="73"/>
      <c r="M327" s="45">
        <v>1</v>
      </c>
      <c r="N327" s="45">
        <v>1274808.1999999997</v>
      </c>
      <c r="O327" s="45">
        <v>3025666.2800000007</v>
      </c>
      <c r="P327" s="98"/>
      <c r="Q327" s="18" t="s">
        <v>1400</v>
      </c>
      <c r="R327" s="19" t="s">
        <v>862</v>
      </c>
      <c r="S327" s="20" t="s">
        <v>14</v>
      </c>
      <c r="T327" s="21">
        <v>1</v>
      </c>
      <c r="U327" s="21"/>
      <c r="V327" s="21">
        <f>SUMIFS(AD:AD,AE:AE,AE327)</f>
        <v>5831452.4899999993</v>
      </c>
      <c r="W327" s="21">
        <f t="shared" ref="W327:X327" si="62">IF(Y327=0,0,1)</f>
        <v>1</v>
      </c>
      <c r="X327" s="21">
        <f t="shared" si="62"/>
        <v>1</v>
      </c>
      <c r="Y327" s="21">
        <f>SUMIFS(Y:Y,AF:AF,AE327)</f>
        <v>75400</v>
      </c>
      <c r="Z327" s="21">
        <f>SUMIFS(Z:Z,AF:AF,AE327)</f>
        <v>3101066.2800000007</v>
      </c>
      <c r="AA327" s="22" t="s">
        <v>15</v>
      </c>
      <c r="AB327" s="43" t="s">
        <v>16</v>
      </c>
      <c r="AC327" s="181">
        <f t="shared" si="54"/>
        <v>1</v>
      </c>
      <c r="AD327" s="184"/>
      <c r="AE327" s="184">
        <v>1.8</v>
      </c>
      <c r="AF327" s="184"/>
      <c r="AG327" s="101" t="str">
        <f t="shared" si="55"/>
        <v/>
      </c>
      <c r="AH327" s="190">
        <v>1</v>
      </c>
      <c r="AI327" s="69">
        <f t="shared" si="56"/>
        <v>1</v>
      </c>
    </row>
    <row r="328" spans="1:35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 t="s">
        <v>15</v>
      </c>
      <c r="I328" s="75">
        <v>69458</v>
      </c>
      <c r="J328" s="75">
        <v>69458</v>
      </c>
      <c r="K328" s="91" t="s">
        <v>865</v>
      </c>
      <c r="L328" s="73"/>
      <c r="M328" s="46">
        <v>0</v>
      </c>
      <c r="N328" s="46">
        <v>0</v>
      </c>
      <c r="O328" s="46">
        <v>0</v>
      </c>
      <c r="P328" s="98"/>
      <c r="Q328" s="23" t="s">
        <v>1421</v>
      </c>
      <c r="R328" s="24" t="s">
        <v>864</v>
      </c>
      <c r="S328" s="25" t="s">
        <v>14</v>
      </c>
      <c r="T328" s="26">
        <v>1</v>
      </c>
      <c r="U328" s="26">
        <v>1</v>
      </c>
      <c r="V328" s="26">
        <v>69458</v>
      </c>
      <c r="W328" s="26">
        <f t="shared" ref="W328:W368" si="63">AH328-M328</f>
        <v>0</v>
      </c>
      <c r="X328" s="26">
        <f t="shared" si="61"/>
        <v>0</v>
      </c>
      <c r="Y328" s="26">
        <f t="shared" ref="Y328:Y368" si="64">Z328-O328</f>
        <v>0</v>
      </c>
      <c r="Z328" s="26">
        <f t="shared" si="57"/>
        <v>0</v>
      </c>
      <c r="AA328" s="33" t="s">
        <v>15</v>
      </c>
      <c r="AB328" s="36" t="s">
        <v>16</v>
      </c>
      <c r="AC328" s="181">
        <f t="shared" si="54"/>
        <v>1</v>
      </c>
      <c r="AD328" s="181">
        <f t="shared" si="60"/>
        <v>69458</v>
      </c>
      <c r="AE328" s="181">
        <v>1.8</v>
      </c>
      <c r="AF328" s="181">
        <v>1.8</v>
      </c>
      <c r="AG328" s="101" t="str">
        <f t="shared" si="55"/>
        <v/>
      </c>
      <c r="AH328" s="190">
        <v>0</v>
      </c>
      <c r="AI328" s="69">
        <f t="shared" si="56"/>
        <v>1</v>
      </c>
    </row>
    <row r="329" spans="1:35" s="69" customFormat="1" ht="39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 t="s">
        <v>15</v>
      </c>
      <c r="I329" s="75">
        <v>94852.479999999996</v>
      </c>
      <c r="J329" s="75">
        <v>94852.479999999996</v>
      </c>
      <c r="K329" s="91" t="s">
        <v>868</v>
      </c>
      <c r="L329" s="73"/>
      <c r="M329" s="46">
        <v>0</v>
      </c>
      <c r="N329" s="46">
        <v>0</v>
      </c>
      <c r="O329" s="46">
        <v>0</v>
      </c>
      <c r="P329" s="98"/>
      <c r="Q329" s="23" t="s">
        <v>1426</v>
      </c>
      <c r="R329" s="24" t="s">
        <v>867</v>
      </c>
      <c r="S329" s="25" t="s">
        <v>14</v>
      </c>
      <c r="T329" s="26">
        <v>1</v>
      </c>
      <c r="U329" s="26">
        <v>1</v>
      </c>
      <c r="V329" s="26">
        <v>94852.479999999996</v>
      </c>
      <c r="W329" s="26">
        <f t="shared" si="63"/>
        <v>0</v>
      </c>
      <c r="X329" s="26">
        <f t="shared" si="61"/>
        <v>0</v>
      </c>
      <c r="Y329" s="26">
        <f t="shared" si="64"/>
        <v>0</v>
      </c>
      <c r="Z329" s="26">
        <f t="shared" si="57"/>
        <v>0</v>
      </c>
      <c r="AA329" s="33" t="s">
        <v>15</v>
      </c>
      <c r="AB329" s="36" t="s">
        <v>16</v>
      </c>
      <c r="AC329" s="181">
        <f t="shared" si="54"/>
        <v>1</v>
      </c>
      <c r="AD329" s="181">
        <f t="shared" si="60"/>
        <v>94852.479999999996</v>
      </c>
      <c r="AE329" s="181">
        <v>1.8</v>
      </c>
      <c r="AF329" s="181">
        <v>1.8</v>
      </c>
      <c r="AG329" s="101" t="str">
        <f t="shared" si="55"/>
        <v/>
      </c>
      <c r="AH329" s="190">
        <v>0</v>
      </c>
      <c r="AI329" s="69">
        <f t="shared" si="56"/>
        <v>1</v>
      </c>
    </row>
    <row r="330" spans="1:35" s="69" customFormat="1" ht="39" x14ac:dyDescent="0.3">
      <c r="A330" s="130" t="s">
        <v>869</v>
      </c>
      <c r="B330" s="131" t="s">
        <v>870</v>
      </c>
      <c r="C330" s="132" t="s">
        <v>14</v>
      </c>
      <c r="D330" s="133">
        <v>1</v>
      </c>
      <c r="E330" s="75"/>
      <c r="F330" s="75"/>
      <c r="G330" s="75"/>
      <c r="H330" s="75" t="s">
        <v>15</v>
      </c>
      <c r="I330" s="75">
        <v>251510</v>
      </c>
      <c r="J330" s="75">
        <v>251510</v>
      </c>
      <c r="K330" s="91" t="s">
        <v>871</v>
      </c>
      <c r="L330" s="73"/>
      <c r="M330" s="46">
        <v>1</v>
      </c>
      <c r="N330" s="46">
        <v>251510</v>
      </c>
      <c r="O330" s="46">
        <v>251510</v>
      </c>
      <c r="P330" s="98"/>
      <c r="Q330" s="23" t="s">
        <v>1402</v>
      </c>
      <c r="R330" s="24" t="s">
        <v>870</v>
      </c>
      <c r="S330" s="25" t="s">
        <v>14</v>
      </c>
      <c r="T330" s="26">
        <v>1</v>
      </c>
      <c r="U330" s="26">
        <v>1</v>
      </c>
      <c r="V330" s="26">
        <v>251510</v>
      </c>
      <c r="W330" s="243">
        <f t="shared" si="63"/>
        <v>0</v>
      </c>
      <c r="X330" s="127">
        <f t="shared" si="61"/>
        <v>1</v>
      </c>
      <c r="Y330" s="127">
        <f t="shared" si="64"/>
        <v>0</v>
      </c>
      <c r="Z330" s="127">
        <f t="shared" si="57"/>
        <v>251510</v>
      </c>
      <c r="AA330" s="33" t="s">
        <v>15</v>
      </c>
      <c r="AB330" s="36" t="s">
        <v>16</v>
      </c>
      <c r="AC330" s="181">
        <f t="shared" si="54"/>
        <v>1</v>
      </c>
      <c r="AD330" s="181">
        <f t="shared" si="60"/>
        <v>251510</v>
      </c>
      <c r="AE330" s="181">
        <v>1.8</v>
      </c>
      <c r="AF330" s="181">
        <v>1.8</v>
      </c>
      <c r="AG330" s="101" t="str">
        <f t="shared" si="55"/>
        <v/>
      </c>
      <c r="AH330" s="191">
        <v>1</v>
      </c>
      <c r="AI330" s="69">
        <f t="shared" si="56"/>
        <v>1</v>
      </c>
    </row>
    <row r="331" spans="1:35" s="69" customFormat="1" ht="39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 t="s">
        <v>15</v>
      </c>
      <c r="I331" s="75">
        <v>174688.22</v>
      </c>
      <c r="J331" s="75">
        <v>174688.22</v>
      </c>
      <c r="K331" s="91" t="s">
        <v>874</v>
      </c>
      <c r="L331" s="73"/>
      <c r="M331" s="46">
        <v>0</v>
      </c>
      <c r="N331" s="46">
        <v>0</v>
      </c>
      <c r="O331" s="46">
        <v>0</v>
      </c>
      <c r="P331" s="98"/>
      <c r="Q331" s="23" t="s">
        <v>1373</v>
      </c>
      <c r="R331" s="24" t="s">
        <v>873</v>
      </c>
      <c r="S331" s="25" t="s">
        <v>14</v>
      </c>
      <c r="T331" s="26">
        <v>1</v>
      </c>
      <c r="U331" s="26">
        <v>1</v>
      </c>
      <c r="V331" s="26">
        <v>174688.22</v>
      </c>
      <c r="W331" s="26">
        <f t="shared" si="63"/>
        <v>0</v>
      </c>
      <c r="X331" s="26">
        <f t="shared" si="61"/>
        <v>0</v>
      </c>
      <c r="Y331" s="26">
        <f t="shared" si="64"/>
        <v>0</v>
      </c>
      <c r="Z331" s="26">
        <f t="shared" si="57"/>
        <v>0</v>
      </c>
      <c r="AA331" s="33" t="s">
        <v>15</v>
      </c>
      <c r="AB331" s="36" t="s">
        <v>16</v>
      </c>
      <c r="AC331" s="181">
        <f t="shared" ref="AC331:AC412" si="65">IF(U331="",T331,U331)</f>
        <v>1</v>
      </c>
      <c r="AD331" s="181">
        <f t="shared" si="60"/>
        <v>174688.22</v>
      </c>
      <c r="AE331" s="181">
        <v>1.8</v>
      </c>
      <c r="AF331" s="181">
        <v>1.8</v>
      </c>
      <c r="AG331" s="101" t="str">
        <f t="shared" ref="AG331:AG412" si="66">IF(X331&gt;AI331,"超估","")</f>
        <v/>
      </c>
      <c r="AH331" s="190">
        <v>0</v>
      </c>
      <c r="AI331" s="69">
        <f t="shared" ref="AI331:AI394" si="67">IF(G331=0,IF(F331=0,IF(E331=0,D331,E331),F331),G331)</f>
        <v>1</v>
      </c>
    </row>
    <row r="332" spans="1:35" s="69" customFormat="1" ht="39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 t="s">
        <v>15</v>
      </c>
      <c r="I332" s="75">
        <v>21221.84</v>
      </c>
      <c r="J332" s="75">
        <v>21221.84</v>
      </c>
      <c r="K332" s="91" t="s">
        <v>877</v>
      </c>
      <c r="L332" s="73"/>
      <c r="M332" s="46">
        <v>0</v>
      </c>
      <c r="N332" s="46">
        <v>0</v>
      </c>
      <c r="O332" s="46">
        <v>0</v>
      </c>
      <c r="P332" s="98"/>
      <c r="Q332" s="23" t="s">
        <v>1393</v>
      </c>
      <c r="R332" s="24" t="s">
        <v>876</v>
      </c>
      <c r="S332" s="25" t="s">
        <v>14</v>
      </c>
      <c r="T332" s="26">
        <v>1</v>
      </c>
      <c r="U332" s="26">
        <v>1</v>
      </c>
      <c r="V332" s="26">
        <v>21221.84</v>
      </c>
      <c r="W332" s="26">
        <f t="shared" si="63"/>
        <v>0</v>
      </c>
      <c r="X332" s="26">
        <f t="shared" si="61"/>
        <v>0</v>
      </c>
      <c r="Y332" s="26">
        <f t="shared" si="64"/>
        <v>0</v>
      </c>
      <c r="Z332" s="26">
        <f t="shared" ref="Z332:Z368" si="68">ROUND(V332*X332,2)</f>
        <v>0</v>
      </c>
      <c r="AA332" s="33" t="s">
        <v>15</v>
      </c>
      <c r="AB332" s="36" t="s">
        <v>16</v>
      </c>
      <c r="AC332" s="181">
        <f t="shared" si="65"/>
        <v>1</v>
      </c>
      <c r="AD332" s="181">
        <f t="shared" si="60"/>
        <v>21221.84</v>
      </c>
      <c r="AE332" s="181">
        <v>1.8</v>
      </c>
      <c r="AF332" s="181">
        <v>1.8</v>
      </c>
      <c r="AG332" s="101" t="str">
        <f t="shared" si="66"/>
        <v/>
      </c>
      <c r="AH332" s="190">
        <v>0</v>
      </c>
      <c r="AI332" s="69">
        <f t="shared" si="67"/>
        <v>1</v>
      </c>
    </row>
    <row r="333" spans="1:35" s="69" customFormat="1" ht="58.5" x14ac:dyDescent="0.3">
      <c r="A333" s="130" t="s">
        <v>878</v>
      </c>
      <c r="B333" s="131" t="s">
        <v>879</v>
      </c>
      <c r="C333" s="132" t="s">
        <v>3144</v>
      </c>
      <c r="D333" s="133">
        <v>12</v>
      </c>
      <c r="E333" s="75"/>
      <c r="F333" s="75"/>
      <c r="G333" s="75"/>
      <c r="H333" s="75" t="s">
        <v>15</v>
      </c>
      <c r="I333" s="75">
        <v>42800</v>
      </c>
      <c r="J333" s="75">
        <v>513600</v>
      </c>
      <c r="K333" s="91" t="s">
        <v>880</v>
      </c>
      <c r="L333" s="73"/>
      <c r="M333" s="46">
        <v>12</v>
      </c>
      <c r="N333" s="46">
        <v>0</v>
      </c>
      <c r="O333" s="46">
        <v>513600</v>
      </c>
      <c r="P333" s="98"/>
      <c r="Q333" s="23" t="s">
        <v>1403</v>
      </c>
      <c r="R333" s="24" t="s">
        <v>879</v>
      </c>
      <c r="S333" s="25" t="s">
        <v>81</v>
      </c>
      <c r="T333" s="26">
        <v>12</v>
      </c>
      <c r="U333" s="26">
        <v>12</v>
      </c>
      <c r="V333" s="26">
        <v>42800</v>
      </c>
      <c r="W333" s="209">
        <f t="shared" si="63"/>
        <v>0</v>
      </c>
      <c r="X333" s="127">
        <f t="shared" si="61"/>
        <v>12</v>
      </c>
      <c r="Y333" s="127">
        <f t="shared" si="64"/>
        <v>0</v>
      </c>
      <c r="Z333" s="127">
        <f t="shared" si="68"/>
        <v>513600</v>
      </c>
      <c r="AA333" s="33" t="s">
        <v>15</v>
      </c>
      <c r="AB333" s="36" t="s">
        <v>16</v>
      </c>
      <c r="AC333" s="181">
        <f t="shared" si="65"/>
        <v>12</v>
      </c>
      <c r="AD333" s="181">
        <f t="shared" si="60"/>
        <v>513600</v>
      </c>
      <c r="AE333" s="181">
        <v>1.8</v>
      </c>
      <c r="AF333" s="181">
        <v>1.8</v>
      </c>
      <c r="AG333" s="101" t="str">
        <f t="shared" si="66"/>
        <v/>
      </c>
      <c r="AH333" s="191">
        <f>4+8</f>
        <v>12</v>
      </c>
      <c r="AI333" s="69">
        <f t="shared" si="67"/>
        <v>12</v>
      </c>
    </row>
    <row r="334" spans="1:35" s="69" customFormat="1" ht="58.5" x14ac:dyDescent="0.3">
      <c r="A334" s="130" t="s">
        <v>881</v>
      </c>
      <c r="B334" s="131" t="s">
        <v>882</v>
      </c>
      <c r="C334" s="132" t="s">
        <v>81</v>
      </c>
      <c r="D334" s="133">
        <v>7</v>
      </c>
      <c r="E334" s="75"/>
      <c r="F334" s="75"/>
      <c r="G334" s="75"/>
      <c r="H334" s="75" t="s">
        <v>15</v>
      </c>
      <c r="I334" s="75">
        <v>60400</v>
      </c>
      <c r="J334" s="75">
        <v>422800</v>
      </c>
      <c r="K334" s="91" t="s">
        <v>883</v>
      </c>
      <c r="L334" s="73"/>
      <c r="M334" s="46">
        <v>6</v>
      </c>
      <c r="N334" s="46">
        <v>0</v>
      </c>
      <c r="O334" s="46">
        <v>362400</v>
      </c>
      <c r="P334" s="98"/>
      <c r="Q334" s="23" t="s">
        <v>1427</v>
      </c>
      <c r="R334" s="24" t="s">
        <v>882</v>
      </c>
      <c r="S334" s="25" t="s">
        <v>81</v>
      </c>
      <c r="T334" s="26">
        <v>7</v>
      </c>
      <c r="U334" s="26">
        <v>7</v>
      </c>
      <c r="V334" s="26">
        <v>60400</v>
      </c>
      <c r="W334" s="243">
        <f t="shared" si="63"/>
        <v>1</v>
      </c>
      <c r="X334" s="127">
        <f t="shared" si="61"/>
        <v>7</v>
      </c>
      <c r="Y334" s="127">
        <f t="shared" si="64"/>
        <v>60400</v>
      </c>
      <c r="Z334" s="127">
        <f t="shared" si="68"/>
        <v>422800</v>
      </c>
      <c r="AA334" s="33" t="s">
        <v>15</v>
      </c>
      <c r="AB334" s="36" t="s">
        <v>16</v>
      </c>
      <c r="AC334" s="181">
        <f t="shared" si="65"/>
        <v>7</v>
      </c>
      <c r="AD334" s="181">
        <f t="shared" si="60"/>
        <v>422800</v>
      </c>
      <c r="AE334" s="181">
        <v>1.8</v>
      </c>
      <c r="AF334" s="181">
        <v>1.8</v>
      </c>
      <c r="AG334" s="101" t="str">
        <f t="shared" si="66"/>
        <v/>
      </c>
      <c r="AH334" s="191">
        <f>5+1+1</f>
        <v>7</v>
      </c>
      <c r="AI334" s="69">
        <f t="shared" si="67"/>
        <v>7</v>
      </c>
    </row>
    <row r="335" spans="1:35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 t="s">
        <v>15</v>
      </c>
      <c r="I335" s="75">
        <v>35000</v>
      </c>
      <c r="J335" s="75">
        <v>455000</v>
      </c>
      <c r="K335" s="91" t="s">
        <v>886</v>
      </c>
      <c r="L335" s="73"/>
      <c r="M335" s="46">
        <v>5</v>
      </c>
      <c r="N335" s="46">
        <v>175000</v>
      </c>
      <c r="O335" s="46">
        <v>175000</v>
      </c>
      <c r="P335" s="98"/>
      <c r="Q335" s="23" t="s">
        <v>1428</v>
      </c>
      <c r="R335" s="24" t="s">
        <v>885</v>
      </c>
      <c r="S335" s="25" t="s">
        <v>81</v>
      </c>
      <c r="T335" s="26">
        <v>13</v>
      </c>
      <c r="U335" s="26">
        <v>13</v>
      </c>
      <c r="V335" s="26">
        <v>35000</v>
      </c>
      <c r="W335" s="243">
        <f t="shared" si="63"/>
        <v>0</v>
      </c>
      <c r="X335" s="26">
        <f t="shared" si="61"/>
        <v>5</v>
      </c>
      <c r="Y335" s="26">
        <f t="shared" si="64"/>
        <v>0</v>
      </c>
      <c r="Z335" s="26">
        <f t="shared" si="68"/>
        <v>175000</v>
      </c>
      <c r="AA335" s="33" t="s">
        <v>15</v>
      </c>
      <c r="AB335" s="36" t="s">
        <v>16</v>
      </c>
      <c r="AC335" s="181">
        <f t="shared" si="65"/>
        <v>13</v>
      </c>
      <c r="AD335" s="181">
        <f t="shared" si="60"/>
        <v>455000</v>
      </c>
      <c r="AE335" s="181">
        <v>1.8</v>
      </c>
      <c r="AF335" s="181">
        <v>1.8</v>
      </c>
      <c r="AG335" s="101" t="str">
        <f t="shared" si="66"/>
        <v/>
      </c>
      <c r="AH335" s="191">
        <f>5</f>
        <v>5</v>
      </c>
      <c r="AI335" s="69">
        <f t="shared" si="67"/>
        <v>13</v>
      </c>
    </row>
    <row r="336" spans="1:35" s="69" customFormat="1" ht="58.5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 t="s">
        <v>15</v>
      </c>
      <c r="I336" s="75">
        <v>10000</v>
      </c>
      <c r="J336" s="75">
        <v>130000</v>
      </c>
      <c r="K336" s="91" t="s">
        <v>889</v>
      </c>
      <c r="L336" s="73"/>
      <c r="M336" s="46">
        <v>0</v>
      </c>
      <c r="N336" s="46">
        <v>0</v>
      </c>
      <c r="O336" s="46">
        <v>0</v>
      </c>
      <c r="P336" s="98"/>
      <c r="Q336" s="23" t="s">
        <v>1387</v>
      </c>
      <c r="R336" s="24" t="s">
        <v>888</v>
      </c>
      <c r="S336" s="25" t="s">
        <v>81</v>
      </c>
      <c r="T336" s="26">
        <v>13</v>
      </c>
      <c r="U336" s="26">
        <v>13</v>
      </c>
      <c r="V336" s="26">
        <v>10000</v>
      </c>
      <c r="W336" s="26">
        <f t="shared" si="63"/>
        <v>0</v>
      </c>
      <c r="X336" s="26">
        <f t="shared" si="61"/>
        <v>0</v>
      </c>
      <c r="Y336" s="26">
        <f t="shared" si="64"/>
        <v>0</v>
      </c>
      <c r="Z336" s="26">
        <f t="shared" si="68"/>
        <v>0</v>
      </c>
      <c r="AA336" s="33" t="s">
        <v>15</v>
      </c>
      <c r="AB336" s="36" t="s">
        <v>16</v>
      </c>
      <c r="AC336" s="181">
        <f t="shared" si="65"/>
        <v>13</v>
      </c>
      <c r="AD336" s="181">
        <f t="shared" si="60"/>
        <v>130000</v>
      </c>
      <c r="AE336" s="181">
        <v>1.8</v>
      </c>
      <c r="AF336" s="181">
        <v>1.8</v>
      </c>
      <c r="AG336" s="101" t="str">
        <f t="shared" si="66"/>
        <v/>
      </c>
      <c r="AH336" s="190">
        <v>0</v>
      </c>
      <c r="AI336" s="69">
        <f t="shared" si="67"/>
        <v>13</v>
      </c>
    </row>
    <row r="337" spans="1:35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 t="s">
        <v>15</v>
      </c>
      <c r="I337" s="75">
        <v>1500</v>
      </c>
      <c r="J337" s="75">
        <v>3000</v>
      </c>
      <c r="K337" s="91" t="s">
        <v>892</v>
      </c>
      <c r="L337" s="73"/>
      <c r="M337" s="46">
        <v>0</v>
      </c>
      <c r="N337" s="46">
        <v>0</v>
      </c>
      <c r="O337" s="46">
        <v>0</v>
      </c>
      <c r="P337" s="98"/>
      <c r="Q337" s="23" t="s">
        <v>1405</v>
      </c>
      <c r="R337" s="24" t="s">
        <v>891</v>
      </c>
      <c r="S337" s="25" t="s">
        <v>325</v>
      </c>
      <c r="T337" s="26">
        <v>2</v>
      </c>
      <c r="U337" s="26">
        <v>2</v>
      </c>
      <c r="V337" s="26">
        <v>1500</v>
      </c>
      <c r="W337" s="26">
        <f t="shared" si="63"/>
        <v>0</v>
      </c>
      <c r="X337" s="26">
        <f t="shared" si="61"/>
        <v>0</v>
      </c>
      <c r="Y337" s="26">
        <f t="shared" si="64"/>
        <v>0</v>
      </c>
      <c r="Z337" s="26">
        <f t="shared" si="68"/>
        <v>0</v>
      </c>
      <c r="AA337" s="33" t="s">
        <v>15</v>
      </c>
      <c r="AB337" s="36" t="s">
        <v>16</v>
      </c>
      <c r="AC337" s="181">
        <f t="shared" si="65"/>
        <v>2</v>
      </c>
      <c r="AD337" s="181">
        <f t="shared" si="60"/>
        <v>3000</v>
      </c>
      <c r="AE337" s="181">
        <v>1.8</v>
      </c>
      <c r="AF337" s="181">
        <v>1.8</v>
      </c>
      <c r="AG337" s="101" t="str">
        <f t="shared" si="66"/>
        <v/>
      </c>
      <c r="AH337" s="190">
        <v>0</v>
      </c>
      <c r="AI337" s="69">
        <f t="shared" si="67"/>
        <v>2</v>
      </c>
    </row>
    <row r="338" spans="1:35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 t="s">
        <v>15</v>
      </c>
      <c r="I338" s="75">
        <v>4000</v>
      </c>
      <c r="J338" s="75">
        <v>8000</v>
      </c>
      <c r="K338" s="91" t="s">
        <v>895</v>
      </c>
      <c r="L338" s="73"/>
      <c r="M338" s="46">
        <v>0</v>
      </c>
      <c r="N338" s="46">
        <v>0</v>
      </c>
      <c r="O338" s="46">
        <v>0</v>
      </c>
      <c r="P338" s="98"/>
      <c r="Q338" s="23" t="s">
        <v>1406</v>
      </c>
      <c r="R338" s="24" t="s">
        <v>894</v>
      </c>
      <c r="S338" s="25" t="s">
        <v>325</v>
      </c>
      <c r="T338" s="26">
        <v>2</v>
      </c>
      <c r="U338" s="26">
        <v>2</v>
      </c>
      <c r="V338" s="26">
        <v>4000</v>
      </c>
      <c r="W338" s="26">
        <f t="shared" si="63"/>
        <v>0</v>
      </c>
      <c r="X338" s="26">
        <f t="shared" si="61"/>
        <v>0</v>
      </c>
      <c r="Y338" s="26">
        <f t="shared" si="64"/>
        <v>0</v>
      </c>
      <c r="Z338" s="26">
        <f t="shared" si="68"/>
        <v>0</v>
      </c>
      <c r="AA338" s="33" t="s">
        <v>15</v>
      </c>
      <c r="AB338" s="36" t="s">
        <v>16</v>
      </c>
      <c r="AC338" s="181">
        <f t="shared" si="65"/>
        <v>2</v>
      </c>
      <c r="AD338" s="181">
        <f t="shared" si="60"/>
        <v>8000</v>
      </c>
      <c r="AE338" s="181">
        <v>1.8</v>
      </c>
      <c r="AF338" s="181">
        <v>1.8</v>
      </c>
      <c r="AG338" s="101" t="str">
        <f t="shared" si="66"/>
        <v/>
      </c>
      <c r="AH338" s="190">
        <v>0</v>
      </c>
      <c r="AI338" s="69">
        <f t="shared" si="67"/>
        <v>2</v>
      </c>
    </row>
    <row r="339" spans="1:35" s="69" customFormat="1" ht="33" x14ac:dyDescent="0.3">
      <c r="A339" s="258" t="s">
        <v>896</v>
      </c>
      <c r="B339" s="215" t="s">
        <v>897</v>
      </c>
      <c r="C339" s="259" t="s">
        <v>30</v>
      </c>
      <c r="D339" s="260">
        <v>216.55</v>
      </c>
      <c r="E339" s="75"/>
      <c r="F339" s="75"/>
      <c r="G339" s="75"/>
      <c r="H339" s="75" t="s">
        <v>15</v>
      </c>
      <c r="I339" s="75">
        <v>800</v>
      </c>
      <c r="J339" s="75">
        <v>173240</v>
      </c>
      <c r="K339" s="91" t="s">
        <v>898</v>
      </c>
      <c r="L339" s="73"/>
      <c r="M339" s="46">
        <v>115</v>
      </c>
      <c r="N339" s="46">
        <v>92000</v>
      </c>
      <c r="O339" s="46">
        <v>92000</v>
      </c>
      <c r="P339" s="98"/>
      <c r="Q339" s="23" t="s">
        <v>1414</v>
      </c>
      <c r="R339" s="24" t="s">
        <v>897</v>
      </c>
      <c r="S339" s="25" t="s">
        <v>30</v>
      </c>
      <c r="T339" s="26">
        <v>216.55</v>
      </c>
      <c r="U339" s="26">
        <v>216.55</v>
      </c>
      <c r="V339" s="26">
        <v>800</v>
      </c>
      <c r="W339" s="243">
        <f t="shared" si="63"/>
        <v>0</v>
      </c>
      <c r="X339" s="26">
        <f t="shared" si="61"/>
        <v>115</v>
      </c>
      <c r="Y339" s="26">
        <f t="shared" si="64"/>
        <v>0</v>
      </c>
      <c r="Z339" s="26">
        <f t="shared" si="68"/>
        <v>92000</v>
      </c>
      <c r="AA339" s="33" t="s">
        <v>15</v>
      </c>
      <c r="AB339" s="36" t="s">
        <v>16</v>
      </c>
      <c r="AC339" s="181">
        <f t="shared" si="65"/>
        <v>216.55</v>
      </c>
      <c r="AD339" s="181">
        <f t="shared" si="60"/>
        <v>173240</v>
      </c>
      <c r="AE339" s="181">
        <v>1.8</v>
      </c>
      <c r="AF339" s="181">
        <v>1.8</v>
      </c>
      <c r="AG339" s="101" t="str">
        <f t="shared" si="66"/>
        <v/>
      </c>
      <c r="AH339" s="191">
        <f>115</f>
        <v>115</v>
      </c>
      <c r="AI339" s="69">
        <f t="shared" si="67"/>
        <v>216.55</v>
      </c>
    </row>
    <row r="340" spans="1:35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 t="s">
        <v>15</v>
      </c>
      <c r="I340" s="75">
        <v>11300</v>
      </c>
      <c r="J340" s="75">
        <v>56500</v>
      </c>
      <c r="K340" s="91" t="s">
        <v>901</v>
      </c>
      <c r="L340" s="73"/>
      <c r="M340" s="46">
        <v>0</v>
      </c>
      <c r="N340" s="46">
        <v>0</v>
      </c>
      <c r="O340" s="46">
        <v>0</v>
      </c>
      <c r="P340" s="98"/>
      <c r="Q340" s="23" t="s">
        <v>1429</v>
      </c>
      <c r="R340" s="24" t="s">
        <v>900</v>
      </c>
      <c r="S340" s="25" t="s">
        <v>325</v>
      </c>
      <c r="T340" s="26">
        <v>5</v>
      </c>
      <c r="U340" s="26">
        <v>5</v>
      </c>
      <c r="V340" s="26">
        <v>11300</v>
      </c>
      <c r="W340" s="26">
        <f t="shared" si="63"/>
        <v>0</v>
      </c>
      <c r="X340" s="26">
        <f t="shared" si="61"/>
        <v>0</v>
      </c>
      <c r="Y340" s="26">
        <f t="shared" si="64"/>
        <v>0</v>
      </c>
      <c r="Z340" s="26">
        <f t="shared" si="68"/>
        <v>0</v>
      </c>
      <c r="AA340" s="33" t="s">
        <v>15</v>
      </c>
      <c r="AB340" s="36" t="s">
        <v>16</v>
      </c>
      <c r="AC340" s="181">
        <f t="shared" si="65"/>
        <v>5</v>
      </c>
      <c r="AD340" s="181">
        <f t="shared" si="60"/>
        <v>56500</v>
      </c>
      <c r="AE340" s="181">
        <v>1.8</v>
      </c>
      <c r="AF340" s="181">
        <v>1.8</v>
      </c>
      <c r="AG340" s="101" t="str">
        <f t="shared" si="66"/>
        <v/>
      </c>
      <c r="AH340" s="190">
        <v>0</v>
      </c>
      <c r="AI340" s="69">
        <f t="shared" si="67"/>
        <v>5</v>
      </c>
    </row>
    <row r="341" spans="1:35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 t="s">
        <v>15</v>
      </c>
      <c r="I341" s="75">
        <v>13500</v>
      </c>
      <c r="J341" s="75">
        <v>108000</v>
      </c>
      <c r="K341" s="91" t="s">
        <v>904</v>
      </c>
      <c r="L341" s="73"/>
      <c r="M341" s="46">
        <v>0</v>
      </c>
      <c r="N341" s="46">
        <v>0</v>
      </c>
      <c r="O341" s="46">
        <v>0</v>
      </c>
      <c r="P341" s="98"/>
      <c r="Q341" s="23" t="s">
        <v>1430</v>
      </c>
      <c r="R341" s="24" t="s">
        <v>903</v>
      </c>
      <c r="S341" s="25" t="s">
        <v>325</v>
      </c>
      <c r="T341" s="26">
        <v>8</v>
      </c>
      <c r="U341" s="26">
        <v>8</v>
      </c>
      <c r="V341" s="26">
        <v>13500</v>
      </c>
      <c r="W341" s="26">
        <f t="shared" si="63"/>
        <v>0</v>
      </c>
      <c r="X341" s="26">
        <f t="shared" si="61"/>
        <v>0</v>
      </c>
      <c r="Y341" s="26">
        <f t="shared" si="64"/>
        <v>0</v>
      </c>
      <c r="Z341" s="26">
        <f t="shared" si="68"/>
        <v>0</v>
      </c>
      <c r="AA341" s="33" t="s">
        <v>15</v>
      </c>
      <c r="AB341" s="36" t="s">
        <v>16</v>
      </c>
      <c r="AC341" s="181">
        <f t="shared" si="65"/>
        <v>8</v>
      </c>
      <c r="AD341" s="181">
        <f t="shared" si="60"/>
        <v>108000</v>
      </c>
      <c r="AE341" s="181">
        <v>1.8</v>
      </c>
      <c r="AF341" s="181">
        <v>1.8</v>
      </c>
      <c r="AG341" s="101" t="str">
        <f t="shared" si="66"/>
        <v/>
      </c>
      <c r="AH341" s="190">
        <v>0</v>
      </c>
      <c r="AI341" s="69">
        <f t="shared" si="67"/>
        <v>8</v>
      </c>
    </row>
    <row r="342" spans="1:35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 t="s">
        <v>15</v>
      </c>
      <c r="I342" s="75">
        <v>112963.49</v>
      </c>
      <c r="J342" s="75">
        <v>112963.49</v>
      </c>
      <c r="K342" s="91" t="s">
        <v>907</v>
      </c>
      <c r="L342" s="73"/>
      <c r="M342" s="46">
        <v>0</v>
      </c>
      <c r="N342" s="46">
        <v>0</v>
      </c>
      <c r="O342" s="46">
        <v>0</v>
      </c>
      <c r="P342" s="98"/>
      <c r="Q342" s="23" t="s">
        <v>1431</v>
      </c>
      <c r="R342" s="24" t="s">
        <v>906</v>
      </c>
      <c r="S342" s="25" t="s">
        <v>73</v>
      </c>
      <c r="T342" s="26">
        <v>1</v>
      </c>
      <c r="U342" s="26">
        <v>1</v>
      </c>
      <c r="V342" s="26">
        <v>112963.49</v>
      </c>
      <c r="W342" s="26">
        <f t="shared" si="63"/>
        <v>0</v>
      </c>
      <c r="X342" s="26">
        <f t="shared" si="61"/>
        <v>0</v>
      </c>
      <c r="Y342" s="26">
        <f t="shared" si="64"/>
        <v>0</v>
      </c>
      <c r="Z342" s="26">
        <f t="shared" si="68"/>
        <v>0</v>
      </c>
      <c r="AA342" s="33" t="s">
        <v>15</v>
      </c>
      <c r="AB342" s="36" t="s">
        <v>16</v>
      </c>
      <c r="AC342" s="181">
        <f t="shared" si="65"/>
        <v>1</v>
      </c>
      <c r="AD342" s="181">
        <f t="shared" si="60"/>
        <v>112963.49</v>
      </c>
      <c r="AE342" s="181">
        <v>1.8</v>
      </c>
      <c r="AF342" s="181">
        <v>1.8</v>
      </c>
      <c r="AG342" s="101" t="str">
        <f t="shared" si="66"/>
        <v/>
      </c>
      <c r="AH342" s="190">
        <v>0</v>
      </c>
      <c r="AI342" s="69">
        <f t="shared" si="67"/>
        <v>1</v>
      </c>
    </row>
    <row r="343" spans="1:35" s="69" customFormat="1" ht="33" x14ac:dyDescent="0.3">
      <c r="A343" s="246" t="s">
        <v>908</v>
      </c>
      <c r="B343" s="247" t="s">
        <v>909</v>
      </c>
      <c r="C343" s="248" t="s">
        <v>14</v>
      </c>
      <c r="D343" s="249">
        <v>1</v>
      </c>
      <c r="E343" s="75"/>
      <c r="F343" s="75"/>
      <c r="G343" s="75"/>
      <c r="H343" s="75" t="s">
        <v>15</v>
      </c>
      <c r="I343" s="75">
        <v>322500</v>
      </c>
      <c r="J343" s="75">
        <v>322500</v>
      </c>
      <c r="K343" s="91" t="s">
        <v>910</v>
      </c>
      <c r="L343" s="73"/>
      <c r="M343" s="46">
        <v>0</v>
      </c>
      <c r="N343" s="46">
        <v>0</v>
      </c>
      <c r="O343" s="46">
        <v>0</v>
      </c>
      <c r="P343" s="98"/>
      <c r="Q343" s="23" t="s">
        <v>1395</v>
      </c>
      <c r="R343" s="24" t="s">
        <v>909</v>
      </c>
      <c r="S343" s="25" t="s">
        <v>14</v>
      </c>
      <c r="T343" s="26">
        <v>1</v>
      </c>
      <c r="U343" s="26">
        <v>1</v>
      </c>
      <c r="V343" s="26">
        <v>322500</v>
      </c>
      <c r="W343" s="26">
        <f t="shared" si="63"/>
        <v>0</v>
      </c>
      <c r="X343" s="26">
        <f t="shared" si="61"/>
        <v>0</v>
      </c>
      <c r="Y343" s="26">
        <f t="shared" si="64"/>
        <v>0</v>
      </c>
      <c r="Z343" s="26">
        <f t="shared" si="68"/>
        <v>0</v>
      </c>
      <c r="AA343" s="33" t="s">
        <v>15</v>
      </c>
      <c r="AB343" s="36" t="s">
        <v>16</v>
      </c>
      <c r="AC343" s="181">
        <f t="shared" si="65"/>
        <v>1</v>
      </c>
      <c r="AD343" s="181">
        <f t="shared" si="60"/>
        <v>322500</v>
      </c>
      <c r="AE343" s="181">
        <v>1.8</v>
      </c>
      <c r="AF343" s="181">
        <v>1.8</v>
      </c>
      <c r="AG343" s="101" t="str">
        <f t="shared" si="66"/>
        <v/>
      </c>
      <c r="AH343" s="190">
        <v>0</v>
      </c>
      <c r="AI343" s="69">
        <f t="shared" si="67"/>
        <v>1</v>
      </c>
    </row>
    <row r="344" spans="1:35" s="69" customFormat="1" ht="33" x14ac:dyDescent="0.3">
      <c r="A344" s="246" t="s">
        <v>911</v>
      </c>
      <c r="B344" s="247" t="s">
        <v>912</v>
      </c>
      <c r="C344" s="248" t="s">
        <v>325</v>
      </c>
      <c r="D344" s="249">
        <v>7</v>
      </c>
      <c r="E344" s="75"/>
      <c r="F344" s="75"/>
      <c r="G344" s="75"/>
      <c r="H344" s="75" t="s">
        <v>15</v>
      </c>
      <c r="I344" s="75">
        <v>15500</v>
      </c>
      <c r="J344" s="75">
        <v>108500</v>
      </c>
      <c r="K344" s="91" t="s">
        <v>913</v>
      </c>
      <c r="L344" s="73"/>
      <c r="M344" s="46">
        <v>0</v>
      </c>
      <c r="N344" s="46">
        <v>0</v>
      </c>
      <c r="O344" s="46">
        <v>0</v>
      </c>
      <c r="P344" s="98"/>
      <c r="Q344" s="23" t="s">
        <v>1432</v>
      </c>
      <c r="R344" s="24" t="s">
        <v>912</v>
      </c>
      <c r="S344" s="25" t="s">
        <v>325</v>
      </c>
      <c r="T344" s="26">
        <v>7</v>
      </c>
      <c r="U344" s="26">
        <v>7</v>
      </c>
      <c r="V344" s="26">
        <v>15500</v>
      </c>
      <c r="W344" s="26">
        <f t="shared" si="63"/>
        <v>0</v>
      </c>
      <c r="X344" s="26">
        <f t="shared" si="61"/>
        <v>0</v>
      </c>
      <c r="Y344" s="26">
        <f t="shared" si="64"/>
        <v>0</v>
      </c>
      <c r="Z344" s="26">
        <f t="shared" si="68"/>
        <v>0</v>
      </c>
      <c r="AA344" s="33" t="s">
        <v>15</v>
      </c>
      <c r="AB344" s="36" t="s">
        <v>16</v>
      </c>
      <c r="AC344" s="181">
        <f t="shared" si="65"/>
        <v>7</v>
      </c>
      <c r="AD344" s="181">
        <f t="shared" si="60"/>
        <v>108500</v>
      </c>
      <c r="AE344" s="181">
        <v>1.8</v>
      </c>
      <c r="AF344" s="181">
        <v>1.8</v>
      </c>
      <c r="AG344" s="101" t="str">
        <f t="shared" si="66"/>
        <v/>
      </c>
      <c r="AH344" s="190">
        <v>0</v>
      </c>
      <c r="AI344" s="69">
        <f t="shared" si="67"/>
        <v>7</v>
      </c>
    </row>
    <row r="345" spans="1:35" s="69" customFormat="1" ht="33" x14ac:dyDescent="0.3">
      <c r="A345" s="246" t="s">
        <v>914</v>
      </c>
      <c r="B345" s="247" t="s">
        <v>915</v>
      </c>
      <c r="C345" s="248" t="s">
        <v>325</v>
      </c>
      <c r="D345" s="249">
        <v>2</v>
      </c>
      <c r="E345" s="75"/>
      <c r="F345" s="75"/>
      <c r="G345" s="75"/>
      <c r="H345" s="75" t="s">
        <v>15</v>
      </c>
      <c r="I345" s="75">
        <v>113300</v>
      </c>
      <c r="J345" s="75">
        <v>226600</v>
      </c>
      <c r="K345" s="91" t="s">
        <v>916</v>
      </c>
      <c r="L345" s="73"/>
      <c r="M345" s="46">
        <v>0</v>
      </c>
      <c r="N345" s="46">
        <v>0</v>
      </c>
      <c r="O345" s="46">
        <v>0</v>
      </c>
      <c r="P345" s="98"/>
      <c r="Q345" s="23" t="s">
        <v>1433</v>
      </c>
      <c r="R345" s="24" t="s">
        <v>915</v>
      </c>
      <c r="S345" s="25" t="s">
        <v>325</v>
      </c>
      <c r="T345" s="26">
        <v>2</v>
      </c>
      <c r="U345" s="26">
        <v>2</v>
      </c>
      <c r="V345" s="26">
        <v>113300</v>
      </c>
      <c r="W345" s="26">
        <f t="shared" si="63"/>
        <v>0</v>
      </c>
      <c r="X345" s="26">
        <f t="shared" si="61"/>
        <v>0</v>
      </c>
      <c r="Y345" s="26">
        <f t="shared" si="64"/>
        <v>0</v>
      </c>
      <c r="Z345" s="26">
        <f t="shared" si="68"/>
        <v>0</v>
      </c>
      <c r="AA345" s="33" t="s">
        <v>15</v>
      </c>
      <c r="AB345" s="36" t="s">
        <v>16</v>
      </c>
      <c r="AC345" s="181">
        <f t="shared" si="65"/>
        <v>2</v>
      </c>
      <c r="AD345" s="181">
        <f t="shared" si="60"/>
        <v>226600</v>
      </c>
      <c r="AE345" s="181">
        <v>1.8</v>
      </c>
      <c r="AF345" s="181">
        <v>1.8</v>
      </c>
      <c r="AG345" s="101" t="str">
        <f t="shared" si="66"/>
        <v/>
      </c>
      <c r="AH345" s="190">
        <v>0</v>
      </c>
      <c r="AI345" s="69">
        <f t="shared" si="67"/>
        <v>2</v>
      </c>
    </row>
    <row r="346" spans="1:35" s="69" customFormat="1" ht="33" x14ac:dyDescent="0.3">
      <c r="A346" s="130" t="s">
        <v>917</v>
      </c>
      <c r="B346" s="131" t="s">
        <v>918</v>
      </c>
      <c r="C346" s="132" t="s">
        <v>325</v>
      </c>
      <c r="D346" s="133">
        <v>9</v>
      </c>
      <c r="E346" s="75"/>
      <c r="F346" s="75"/>
      <c r="G346" s="75"/>
      <c r="H346" s="75" t="s">
        <v>15</v>
      </c>
      <c r="I346" s="75">
        <v>100000</v>
      </c>
      <c r="J346" s="75">
        <v>900000</v>
      </c>
      <c r="K346" s="91" t="s">
        <v>919</v>
      </c>
      <c r="L346" s="73"/>
      <c r="M346" s="46">
        <v>9</v>
      </c>
      <c r="N346" s="46">
        <v>300000</v>
      </c>
      <c r="O346" s="46">
        <v>900000</v>
      </c>
      <c r="P346" s="98"/>
      <c r="Q346" s="23" t="s">
        <v>1382</v>
      </c>
      <c r="R346" s="24" t="s">
        <v>918</v>
      </c>
      <c r="S346" s="25" t="s">
        <v>325</v>
      </c>
      <c r="T346" s="26">
        <v>9</v>
      </c>
      <c r="U346" s="26">
        <v>9</v>
      </c>
      <c r="V346" s="26">
        <v>100000</v>
      </c>
      <c r="W346" s="243">
        <f t="shared" si="63"/>
        <v>0</v>
      </c>
      <c r="X346" s="127">
        <f t="shared" si="61"/>
        <v>9</v>
      </c>
      <c r="Y346" s="127">
        <f t="shared" si="64"/>
        <v>0</v>
      </c>
      <c r="Z346" s="127">
        <f t="shared" si="68"/>
        <v>900000</v>
      </c>
      <c r="AA346" s="33" t="s">
        <v>15</v>
      </c>
      <c r="AB346" s="36" t="s">
        <v>16</v>
      </c>
      <c r="AC346" s="181">
        <f t="shared" si="65"/>
        <v>9</v>
      </c>
      <c r="AD346" s="181">
        <f t="shared" si="60"/>
        <v>900000</v>
      </c>
      <c r="AE346" s="181">
        <v>1.8</v>
      </c>
      <c r="AF346" s="181">
        <v>1.8</v>
      </c>
      <c r="AG346" s="101" t="str">
        <f t="shared" si="66"/>
        <v/>
      </c>
      <c r="AH346" s="191">
        <f>1+2+3+3</f>
        <v>9</v>
      </c>
      <c r="AI346" s="69">
        <f t="shared" si="67"/>
        <v>9</v>
      </c>
    </row>
    <row r="347" spans="1:35" s="69" customFormat="1" ht="33" x14ac:dyDescent="0.3">
      <c r="A347" s="130" t="s">
        <v>920</v>
      </c>
      <c r="B347" s="131" t="s">
        <v>921</v>
      </c>
      <c r="C347" s="132" t="s">
        <v>81</v>
      </c>
      <c r="D347" s="133">
        <v>2</v>
      </c>
      <c r="E347" s="75"/>
      <c r="F347" s="75"/>
      <c r="G347" s="75"/>
      <c r="H347" s="75" t="s">
        <v>15</v>
      </c>
      <c r="I347" s="75">
        <v>15000</v>
      </c>
      <c r="J347" s="75">
        <v>30000</v>
      </c>
      <c r="K347" s="91" t="s">
        <v>922</v>
      </c>
      <c r="L347" s="73"/>
      <c r="M347" s="46">
        <v>1</v>
      </c>
      <c r="N347" s="46">
        <v>0</v>
      </c>
      <c r="O347" s="46">
        <v>15000</v>
      </c>
      <c r="P347" s="98"/>
      <c r="Q347" s="23" t="s">
        <v>1434</v>
      </c>
      <c r="R347" s="24" t="s">
        <v>921</v>
      </c>
      <c r="S347" s="25" t="s">
        <v>81</v>
      </c>
      <c r="T347" s="26">
        <v>2</v>
      </c>
      <c r="U347" s="26">
        <v>2</v>
      </c>
      <c r="V347" s="26">
        <v>15000</v>
      </c>
      <c r="W347" s="243">
        <f t="shared" si="63"/>
        <v>1</v>
      </c>
      <c r="X347" s="127">
        <f t="shared" si="61"/>
        <v>2</v>
      </c>
      <c r="Y347" s="127">
        <f t="shared" si="64"/>
        <v>15000</v>
      </c>
      <c r="Z347" s="127">
        <f t="shared" si="68"/>
        <v>30000</v>
      </c>
      <c r="AA347" s="33" t="s">
        <v>15</v>
      </c>
      <c r="AB347" s="36" t="s">
        <v>16</v>
      </c>
      <c r="AC347" s="181">
        <f t="shared" si="65"/>
        <v>2</v>
      </c>
      <c r="AD347" s="181">
        <f t="shared" si="60"/>
        <v>30000</v>
      </c>
      <c r="AE347" s="181">
        <v>1.8</v>
      </c>
      <c r="AF347" s="181">
        <v>1.8</v>
      </c>
      <c r="AG347" s="101" t="str">
        <f t="shared" si="66"/>
        <v/>
      </c>
      <c r="AH347" s="191">
        <f>1+1</f>
        <v>2</v>
      </c>
      <c r="AI347" s="69">
        <f t="shared" si="67"/>
        <v>2</v>
      </c>
    </row>
    <row r="348" spans="1:35" s="69" customFormat="1" ht="39" x14ac:dyDescent="0.3">
      <c r="A348" s="55" t="s">
        <v>923</v>
      </c>
      <c r="B348" s="53" t="s">
        <v>3157</v>
      </c>
      <c r="C348" s="54" t="s">
        <v>925</v>
      </c>
      <c r="D348" s="75">
        <v>1</v>
      </c>
      <c r="E348" s="75"/>
      <c r="F348" s="75"/>
      <c r="G348" s="75"/>
      <c r="H348" s="75" t="s">
        <v>15</v>
      </c>
      <c r="I348" s="75">
        <v>15000</v>
      </c>
      <c r="J348" s="75">
        <v>15000</v>
      </c>
      <c r="K348" s="91" t="s">
        <v>926</v>
      </c>
      <c r="L348" s="73"/>
      <c r="M348" s="46">
        <v>0</v>
      </c>
      <c r="N348" s="46">
        <v>0</v>
      </c>
      <c r="O348" s="46">
        <v>0</v>
      </c>
      <c r="P348" s="98"/>
      <c r="Q348" s="23" t="s">
        <v>1388</v>
      </c>
      <c r="R348" s="24" t="s">
        <v>924</v>
      </c>
      <c r="S348" s="25" t="s">
        <v>925</v>
      </c>
      <c r="T348" s="26">
        <v>1</v>
      </c>
      <c r="U348" s="26">
        <v>1</v>
      </c>
      <c r="V348" s="26">
        <v>15000</v>
      </c>
      <c r="W348" s="26">
        <f t="shared" si="63"/>
        <v>0</v>
      </c>
      <c r="X348" s="26">
        <f t="shared" si="61"/>
        <v>0</v>
      </c>
      <c r="Y348" s="26">
        <f t="shared" si="64"/>
        <v>0</v>
      </c>
      <c r="Z348" s="26">
        <f t="shared" si="68"/>
        <v>0</v>
      </c>
      <c r="AA348" s="33" t="s">
        <v>15</v>
      </c>
      <c r="AB348" s="36" t="s">
        <v>16</v>
      </c>
      <c r="AC348" s="181">
        <f t="shared" si="65"/>
        <v>1</v>
      </c>
      <c r="AD348" s="181">
        <f t="shared" si="60"/>
        <v>15000</v>
      </c>
      <c r="AE348" s="181">
        <v>1.8</v>
      </c>
      <c r="AF348" s="181">
        <v>1.8</v>
      </c>
      <c r="AG348" s="101" t="str">
        <f t="shared" si="66"/>
        <v/>
      </c>
      <c r="AH348" s="190">
        <v>0</v>
      </c>
      <c r="AI348" s="69">
        <f t="shared" si="67"/>
        <v>1</v>
      </c>
    </row>
    <row r="349" spans="1:35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 t="s">
        <v>15</v>
      </c>
      <c r="I349" s="75">
        <v>1500</v>
      </c>
      <c r="J349" s="75">
        <v>1500</v>
      </c>
      <c r="K349" s="91" t="s">
        <v>929</v>
      </c>
      <c r="L349" s="73"/>
      <c r="M349" s="46">
        <v>0</v>
      </c>
      <c r="N349" s="46">
        <v>0</v>
      </c>
      <c r="O349" s="46">
        <v>0</v>
      </c>
      <c r="P349" s="98"/>
      <c r="Q349" s="23" t="s">
        <v>1389</v>
      </c>
      <c r="R349" s="24" t="s">
        <v>928</v>
      </c>
      <c r="S349" s="25" t="s">
        <v>325</v>
      </c>
      <c r="T349" s="26">
        <v>1</v>
      </c>
      <c r="U349" s="26">
        <v>1</v>
      </c>
      <c r="V349" s="26">
        <v>1500</v>
      </c>
      <c r="W349" s="26">
        <f t="shared" si="63"/>
        <v>0</v>
      </c>
      <c r="X349" s="26">
        <f t="shared" si="61"/>
        <v>0</v>
      </c>
      <c r="Y349" s="26">
        <f t="shared" si="64"/>
        <v>0</v>
      </c>
      <c r="Z349" s="26">
        <f t="shared" si="68"/>
        <v>0</v>
      </c>
      <c r="AA349" s="33" t="s">
        <v>15</v>
      </c>
      <c r="AB349" s="36" t="s">
        <v>16</v>
      </c>
      <c r="AC349" s="181">
        <f t="shared" si="65"/>
        <v>1</v>
      </c>
      <c r="AD349" s="181">
        <f t="shared" si="60"/>
        <v>1500</v>
      </c>
      <c r="AE349" s="181">
        <v>1.8</v>
      </c>
      <c r="AF349" s="181">
        <v>1.8</v>
      </c>
      <c r="AG349" s="101" t="str">
        <f t="shared" si="66"/>
        <v/>
      </c>
      <c r="AH349" s="190">
        <v>0</v>
      </c>
      <c r="AI349" s="69">
        <f t="shared" si="67"/>
        <v>1</v>
      </c>
    </row>
    <row r="350" spans="1:35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 t="s">
        <v>15</v>
      </c>
      <c r="I350" s="75">
        <v>2600</v>
      </c>
      <c r="J350" s="75">
        <v>7800</v>
      </c>
      <c r="K350" s="91" t="s">
        <v>933</v>
      </c>
      <c r="L350" s="73"/>
      <c r="M350" s="46">
        <v>0</v>
      </c>
      <c r="N350" s="46">
        <v>0</v>
      </c>
      <c r="O350" s="46">
        <v>0</v>
      </c>
      <c r="P350" s="98"/>
      <c r="Q350" s="23" t="s">
        <v>1390</v>
      </c>
      <c r="R350" s="24" t="s">
        <v>931</v>
      </c>
      <c r="S350" s="25" t="s">
        <v>932</v>
      </c>
      <c r="T350" s="26">
        <v>3</v>
      </c>
      <c r="U350" s="26">
        <v>3</v>
      </c>
      <c r="V350" s="26">
        <v>2600</v>
      </c>
      <c r="W350" s="26">
        <f t="shared" si="63"/>
        <v>0</v>
      </c>
      <c r="X350" s="26">
        <f t="shared" si="61"/>
        <v>0</v>
      </c>
      <c r="Y350" s="26">
        <f t="shared" si="64"/>
        <v>0</v>
      </c>
      <c r="Z350" s="26">
        <f t="shared" si="68"/>
        <v>0</v>
      </c>
      <c r="AA350" s="33" t="s">
        <v>15</v>
      </c>
      <c r="AB350" s="36" t="s">
        <v>16</v>
      </c>
      <c r="AC350" s="181">
        <f t="shared" si="65"/>
        <v>3</v>
      </c>
      <c r="AD350" s="181">
        <f t="shared" si="60"/>
        <v>7800</v>
      </c>
      <c r="AE350" s="181">
        <v>1.8</v>
      </c>
      <c r="AF350" s="181">
        <v>1.8</v>
      </c>
      <c r="AG350" s="101" t="str">
        <f t="shared" si="66"/>
        <v/>
      </c>
      <c r="AH350" s="190">
        <v>0</v>
      </c>
      <c r="AI350" s="69">
        <f t="shared" si="67"/>
        <v>3</v>
      </c>
    </row>
    <row r="351" spans="1:35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 t="s">
        <v>15</v>
      </c>
      <c r="I351" s="75">
        <v>4460</v>
      </c>
      <c r="J351" s="75">
        <v>169480</v>
      </c>
      <c r="K351" s="91" t="s">
        <v>936</v>
      </c>
      <c r="L351" s="73"/>
      <c r="M351" s="46">
        <v>31</v>
      </c>
      <c r="N351" s="46">
        <v>138260</v>
      </c>
      <c r="O351" s="46">
        <v>138260</v>
      </c>
      <c r="P351" s="98"/>
      <c r="Q351" s="23" t="s">
        <v>1391</v>
      </c>
      <c r="R351" s="24" t="s">
        <v>935</v>
      </c>
      <c r="S351" s="25" t="s">
        <v>932</v>
      </c>
      <c r="T351" s="26">
        <v>38</v>
      </c>
      <c r="U351" s="26">
        <v>38</v>
      </c>
      <c r="V351" s="26">
        <v>4460</v>
      </c>
      <c r="W351" s="243">
        <f t="shared" si="63"/>
        <v>0</v>
      </c>
      <c r="X351" s="26">
        <f t="shared" si="61"/>
        <v>31</v>
      </c>
      <c r="Y351" s="26">
        <f t="shared" si="64"/>
        <v>0</v>
      </c>
      <c r="Z351" s="26">
        <f t="shared" si="68"/>
        <v>138260</v>
      </c>
      <c r="AA351" s="33" t="s">
        <v>15</v>
      </c>
      <c r="AB351" s="36" t="s">
        <v>16</v>
      </c>
      <c r="AC351" s="181">
        <f t="shared" si="65"/>
        <v>38</v>
      </c>
      <c r="AD351" s="181">
        <f t="shared" si="60"/>
        <v>169480</v>
      </c>
      <c r="AE351" s="181">
        <v>1.8</v>
      </c>
      <c r="AF351" s="181">
        <v>1.8</v>
      </c>
      <c r="AG351" s="101" t="str">
        <f t="shared" si="66"/>
        <v/>
      </c>
      <c r="AH351" s="191">
        <f>31</f>
        <v>31</v>
      </c>
      <c r="AI351" s="69">
        <f t="shared" si="67"/>
        <v>38</v>
      </c>
    </row>
    <row r="352" spans="1:35" s="69" customFormat="1" ht="39" x14ac:dyDescent="0.3">
      <c r="A352" s="55" t="s">
        <v>937</v>
      </c>
      <c r="B352" s="118" t="s">
        <v>938</v>
      </c>
      <c r="C352" s="119" t="s">
        <v>30</v>
      </c>
      <c r="D352" s="120">
        <v>1352</v>
      </c>
      <c r="E352" s="75"/>
      <c r="F352" s="75"/>
      <c r="G352" s="75"/>
      <c r="H352" s="75" t="s">
        <v>15</v>
      </c>
      <c r="I352" s="75">
        <v>30.59</v>
      </c>
      <c r="J352" s="75">
        <v>41357.68</v>
      </c>
      <c r="K352" s="91" t="s">
        <v>939</v>
      </c>
      <c r="L352" s="73"/>
      <c r="M352" s="46">
        <v>1083</v>
      </c>
      <c r="N352" s="46">
        <v>33128.97</v>
      </c>
      <c r="O352" s="46">
        <v>33128.97</v>
      </c>
      <c r="P352" s="98"/>
      <c r="Q352" s="23" t="s">
        <v>1436</v>
      </c>
      <c r="R352" s="24" t="s">
        <v>938</v>
      </c>
      <c r="S352" s="25" t="s">
        <v>30</v>
      </c>
      <c r="T352" s="26">
        <v>1352</v>
      </c>
      <c r="U352" s="26">
        <v>1352</v>
      </c>
      <c r="V352" s="26">
        <v>30.59</v>
      </c>
      <c r="W352" s="243">
        <f t="shared" si="63"/>
        <v>0</v>
      </c>
      <c r="X352" s="26">
        <f t="shared" si="61"/>
        <v>1083</v>
      </c>
      <c r="Y352" s="26">
        <f t="shared" si="64"/>
        <v>0</v>
      </c>
      <c r="Z352" s="26">
        <f t="shared" si="68"/>
        <v>33128.97</v>
      </c>
      <c r="AA352" s="33" t="s">
        <v>15</v>
      </c>
      <c r="AB352" s="36" t="s">
        <v>16</v>
      </c>
      <c r="AC352" s="181">
        <f t="shared" si="65"/>
        <v>1352</v>
      </c>
      <c r="AD352" s="181">
        <f t="shared" si="60"/>
        <v>41357.68</v>
      </c>
      <c r="AE352" s="181">
        <v>1.8</v>
      </c>
      <c r="AF352" s="181">
        <v>1.8</v>
      </c>
      <c r="AG352" s="101" t="str">
        <f t="shared" si="66"/>
        <v/>
      </c>
      <c r="AH352" s="191">
        <f>1083</f>
        <v>1083</v>
      </c>
      <c r="AI352" s="69">
        <f t="shared" si="67"/>
        <v>1352</v>
      </c>
    </row>
    <row r="353" spans="1:35" s="69" customFormat="1" ht="58.5" x14ac:dyDescent="0.3">
      <c r="A353" s="55" t="s">
        <v>940</v>
      </c>
      <c r="B353" s="118" t="s">
        <v>941</v>
      </c>
      <c r="C353" s="119" t="s">
        <v>30</v>
      </c>
      <c r="D353" s="120">
        <v>300</v>
      </c>
      <c r="E353" s="75"/>
      <c r="F353" s="75"/>
      <c r="G353" s="75"/>
      <c r="H353" s="75" t="s">
        <v>15</v>
      </c>
      <c r="I353" s="75">
        <v>972.45</v>
      </c>
      <c r="J353" s="75">
        <v>291735</v>
      </c>
      <c r="K353" s="91" t="s">
        <v>942</v>
      </c>
      <c r="L353" s="73"/>
      <c r="M353" s="46">
        <v>0</v>
      </c>
      <c r="N353" s="46">
        <v>0</v>
      </c>
      <c r="O353" s="46">
        <v>0</v>
      </c>
      <c r="P353" s="98"/>
      <c r="Q353" s="23" t="s">
        <v>1374</v>
      </c>
      <c r="R353" s="24" t="s">
        <v>941</v>
      </c>
      <c r="S353" s="25" t="s">
        <v>30</v>
      </c>
      <c r="T353" s="26">
        <v>300</v>
      </c>
      <c r="U353" s="26">
        <v>300</v>
      </c>
      <c r="V353" s="26">
        <v>972.45</v>
      </c>
      <c r="W353" s="26">
        <f t="shared" si="63"/>
        <v>0</v>
      </c>
      <c r="X353" s="26">
        <f t="shared" si="61"/>
        <v>0</v>
      </c>
      <c r="Y353" s="26">
        <f t="shared" si="64"/>
        <v>0</v>
      </c>
      <c r="Z353" s="26">
        <f t="shared" si="68"/>
        <v>0</v>
      </c>
      <c r="AA353" s="33" t="s">
        <v>15</v>
      </c>
      <c r="AB353" s="36" t="s">
        <v>16</v>
      </c>
      <c r="AC353" s="181">
        <f t="shared" si="65"/>
        <v>300</v>
      </c>
      <c r="AD353" s="181">
        <f t="shared" si="60"/>
        <v>291735</v>
      </c>
      <c r="AE353" s="181">
        <v>1.8</v>
      </c>
      <c r="AF353" s="181">
        <v>1.8</v>
      </c>
      <c r="AG353" s="101" t="str">
        <f t="shared" si="66"/>
        <v/>
      </c>
      <c r="AH353" s="190">
        <v>0</v>
      </c>
      <c r="AI353" s="69">
        <f t="shared" si="67"/>
        <v>300</v>
      </c>
    </row>
    <row r="354" spans="1:35" s="69" customFormat="1" ht="58.5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 t="s">
        <v>15</v>
      </c>
      <c r="I354" s="75">
        <v>628.34</v>
      </c>
      <c r="J354" s="75">
        <v>158341.68</v>
      </c>
      <c r="K354" s="91" t="s">
        <v>945</v>
      </c>
      <c r="L354" s="73"/>
      <c r="M354" s="46">
        <v>0</v>
      </c>
      <c r="N354" s="46">
        <v>0</v>
      </c>
      <c r="O354" s="46">
        <v>0</v>
      </c>
      <c r="P354" s="98"/>
      <c r="Q354" s="23" t="s">
        <v>1376</v>
      </c>
      <c r="R354" s="24" t="s">
        <v>944</v>
      </c>
      <c r="S354" s="25" t="s">
        <v>30</v>
      </c>
      <c r="T354" s="26">
        <v>252</v>
      </c>
      <c r="U354" s="26">
        <v>252</v>
      </c>
      <c r="V354" s="26">
        <v>628.34</v>
      </c>
      <c r="W354" s="26">
        <f t="shared" si="63"/>
        <v>0</v>
      </c>
      <c r="X354" s="26">
        <f t="shared" si="61"/>
        <v>0</v>
      </c>
      <c r="Y354" s="26">
        <f t="shared" si="64"/>
        <v>0</v>
      </c>
      <c r="Z354" s="26">
        <f t="shared" si="68"/>
        <v>0</v>
      </c>
      <c r="AA354" s="33" t="s">
        <v>15</v>
      </c>
      <c r="AB354" s="36" t="s">
        <v>16</v>
      </c>
      <c r="AC354" s="181">
        <f t="shared" si="65"/>
        <v>252</v>
      </c>
      <c r="AD354" s="181">
        <f t="shared" si="60"/>
        <v>158341.68</v>
      </c>
      <c r="AE354" s="181">
        <v>1.8</v>
      </c>
      <c r="AF354" s="181">
        <v>1.8</v>
      </c>
      <c r="AG354" s="101" t="str">
        <f t="shared" si="66"/>
        <v/>
      </c>
      <c r="AH354" s="190">
        <v>0</v>
      </c>
      <c r="AI354" s="69">
        <f t="shared" si="67"/>
        <v>252</v>
      </c>
    </row>
    <row r="355" spans="1:35" s="69" customFormat="1" ht="58.5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 t="s">
        <v>15</v>
      </c>
      <c r="I355" s="75">
        <v>497.09</v>
      </c>
      <c r="J355" s="75">
        <v>17895.240000000002</v>
      </c>
      <c r="K355" s="91" t="s">
        <v>948</v>
      </c>
      <c r="L355" s="73"/>
      <c r="M355" s="46">
        <v>0</v>
      </c>
      <c r="N355" s="46">
        <v>0</v>
      </c>
      <c r="O355" s="46">
        <v>0</v>
      </c>
      <c r="P355" s="98"/>
      <c r="Q355" s="23" t="s">
        <v>1378</v>
      </c>
      <c r="R355" s="24" t="s">
        <v>947</v>
      </c>
      <c r="S355" s="25" t="s">
        <v>30</v>
      </c>
      <c r="T355" s="26">
        <v>36</v>
      </c>
      <c r="U355" s="26">
        <v>36</v>
      </c>
      <c r="V355" s="26">
        <v>497.09</v>
      </c>
      <c r="W355" s="26">
        <f t="shared" si="63"/>
        <v>0</v>
      </c>
      <c r="X355" s="26">
        <f t="shared" si="61"/>
        <v>0</v>
      </c>
      <c r="Y355" s="26">
        <f t="shared" si="64"/>
        <v>0</v>
      </c>
      <c r="Z355" s="26">
        <f t="shared" si="68"/>
        <v>0</v>
      </c>
      <c r="AA355" s="33" t="s">
        <v>15</v>
      </c>
      <c r="AB355" s="36" t="s">
        <v>16</v>
      </c>
      <c r="AC355" s="181">
        <f t="shared" si="65"/>
        <v>36</v>
      </c>
      <c r="AD355" s="181">
        <f t="shared" si="60"/>
        <v>17895.240000000002</v>
      </c>
      <c r="AE355" s="181">
        <v>1.8</v>
      </c>
      <c r="AF355" s="181">
        <v>1.8</v>
      </c>
      <c r="AG355" s="101" t="str">
        <f t="shared" si="66"/>
        <v/>
      </c>
      <c r="AH355" s="190">
        <v>0</v>
      </c>
      <c r="AI355" s="69">
        <f t="shared" si="67"/>
        <v>36</v>
      </c>
    </row>
    <row r="356" spans="1:35" s="69" customFormat="1" ht="58.5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 t="s">
        <v>15</v>
      </c>
      <c r="I356" s="75">
        <v>270.2</v>
      </c>
      <c r="J356" s="75">
        <v>42961.8</v>
      </c>
      <c r="K356" s="91" t="s">
        <v>951</v>
      </c>
      <c r="L356" s="73"/>
      <c r="M356" s="46">
        <v>0</v>
      </c>
      <c r="N356" s="46">
        <v>0</v>
      </c>
      <c r="O356" s="46">
        <v>0</v>
      </c>
      <c r="P356" s="98"/>
      <c r="Q356" s="23" t="s">
        <v>1438</v>
      </c>
      <c r="R356" s="24" t="s">
        <v>950</v>
      </c>
      <c r="S356" s="25" t="s">
        <v>30</v>
      </c>
      <c r="T356" s="26">
        <v>159</v>
      </c>
      <c r="U356" s="26">
        <v>159</v>
      </c>
      <c r="V356" s="26">
        <v>270.2</v>
      </c>
      <c r="W356" s="26">
        <f t="shared" si="63"/>
        <v>0</v>
      </c>
      <c r="X356" s="26">
        <f t="shared" si="61"/>
        <v>0</v>
      </c>
      <c r="Y356" s="26">
        <f t="shared" si="64"/>
        <v>0</v>
      </c>
      <c r="Z356" s="26">
        <f t="shared" si="68"/>
        <v>0</v>
      </c>
      <c r="AA356" s="33" t="s">
        <v>15</v>
      </c>
      <c r="AB356" s="36" t="s">
        <v>16</v>
      </c>
      <c r="AC356" s="181">
        <f t="shared" si="65"/>
        <v>159</v>
      </c>
      <c r="AD356" s="181">
        <f t="shared" si="60"/>
        <v>42961.8</v>
      </c>
      <c r="AE356" s="181">
        <v>1.8</v>
      </c>
      <c r="AF356" s="181">
        <v>1.8</v>
      </c>
      <c r="AG356" s="101" t="str">
        <f t="shared" si="66"/>
        <v/>
      </c>
      <c r="AH356" s="190">
        <v>0</v>
      </c>
      <c r="AI356" s="69">
        <f t="shared" si="67"/>
        <v>159</v>
      </c>
    </row>
    <row r="357" spans="1:35" s="69" customFormat="1" ht="58.5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 t="s">
        <v>15</v>
      </c>
      <c r="I357" s="75">
        <v>152.94</v>
      </c>
      <c r="J357" s="75">
        <v>183375.06</v>
      </c>
      <c r="K357" s="91" t="s">
        <v>954</v>
      </c>
      <c r="L357" s="73"/>
      <c r="M357" s="46">
        <v>1169</v>
      </c>
      <c r="N357" s="46">
        <v>92543.989999999991</v>
      </c>
      <c r="O357" s="46">
        <v>178786.86</v>
      </c>
      <c r="P357" s="98"/>
      <c r="Q357" s="23" t="s">
        <v>1439</v>
      </c>
      <c r="R357" s="24" t="s">
        <v>953</v>
      </c>
      <c r="S357" s="25" t="s">
        <v>30</v>
      </c>
      <c r="T357" s="26">
        <v>1199</v>
      </c>
      <c r="U357" s="26">
        <v>1199</v>
      </c>
      <c r="V357" s="26">
        <v>152.94</v>
      </c>
      <c r="W357" s="243">
        <f t="shared" si="63"/>
        <v>0</v>
      </c>
      <c r="X357" s="26">
        <f t="shared" si="61"/>
        <v>1169</v>
      </c>
      <c r="Y357" s="26">
        <f t="shared" si="64"/>
        <v>0</v>
      </c>
      <c r="Z357" s="26">
        <f t="shared" si="68"/>
        <v>178786.86</v>
      </c>
      <c r="AA357" s="33" t="s">
        <v>15</v>
      </c>
      <c r="AB357" s="36" t="s">
        <v>16</v>
      </c>
      <c r="AC357" s="181">
        <f t="shared" si="65"/>
        <v>1199</v>
      </c>
      <c r="AD357" s="181">
        <f t="shared" si="60"/>
        <v>183375.06</v>
      </c>
      <c r="AE357" s="181">
        <v>1.8</v>
      </c>
      <c r="AF357" s="181">
        <v>1.8</v>
      </c>
      <c r="AG357" s="101" t="str">
        <f t="shared" si="66"/>
        <v/>
      </c>
      <c r="AH357" s="191">
        <f>427+136.9+605.1</f>
        <v>1169</v>
      </c>
      <c r="AI357" s="69">
        <f t="shared" si="67"/>
        <v>1199</v>
      </c>
    </row>
    <row r="358" spans="1:35" s="69" customFormat="1" ht="33" x14ac:dyDescent="0.3">
      <c r="A358" s="130" t="s">
        <v>955</v>
      </c>
      <c r="B358" s="240" t="s">
        <v>956</v>
      </c>
      <c r="C358" s="132" t="s">
        <v>30</v>
      </c>
      <c r="D358" s="133">
        <v>144</v>
      </c>
      <c r="E358" s="75"/>
      <c r="F358" s="75"/>
      <c r="G358" s="75"/>
      <c r="H358" s="75" t="s">
        <v>15</v>
      </c>
      <c r="I358" s="75">
        <v>228.14</v>
      </c>
      <c r="J358" s="75">
        <v>32852.160000000003</v>
      </c>
      <c r="K358" s="91" t="s">
        <v>957</v>
      </c>
      <c r="L358" s="73"/>
      <c r="M358" s="46">
        <v>144</v>
      </c>
      <c r="N358" s="46">
        <v>15741.660000000003</v>
      </c>
      <c r="O358" s="46">
        <v>32852.160000000003</v>
      </c>
      <c r="P358" s="98"/>
      <c r="Q358" s="23" t="s">
        <v>1440</v>
      </c>
      <c r="R358" s="24" t="s">
        <v>956</v>
      </c>
      <c r="S358" s="25" t="s">
        <v>30</v>
      </c>
      <c r="T358" s="26">
        <v>144</v>
      </c>
      <c r="U358" s="26">
        <v>144</v>
      </c>
      <c r="V358" s="26">
        <v>228.14</v>
      </c>
      <c r="W358" s="243">
        <f t="shared" si="63"/>
        <v>0</v>
      </c>
      <c r="X358" s="127">
        <f t="shared" si="61"/>
        <v>144</v>
      </c>
      <c r="Y358" s="127">
        <f t="shared" si="64"/>
        <v>0</v>
      </c>
      <c r="Z358" s="127">
        <f t="shared" si="68"/>
        <v>32852.160000000003</v>
      </c>
      <c r="AA358" s="33" t="s">
        <v>15</v>
      </c>
      <c r="AB358" s="36" t="s">
        <v>16</v>
      </c>
      <c r="AC358" s="181">
        <f t="shared" si="65"/>
        <v>144</v>
      </c>
      <c r="AD358" s="181">
        <f t="shared" si="60"/>
        <v>32852.160000000003</v>
      </c>
      <c r="AE358" s="181">
        <v>1.8</v>
      </c>
      <c r="AF358" s="181">
        <v>1.8</v>
      </c>
      <c r="AG358" s="101" t="str">
        <f t="shared" si="66"/>
        <v/>
      </c>
      <c r="AH358" s="191">
        <f>75+69</f>
        <v>144</v>
      </c>
      <c r="AI358" s="69">
        <f t="shared" si="67"/>
        <v>144</v>
      </c>
    </row>
    <row r="359" spans="1:35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 t="s">
        <v>15</v>
      </c>
      <c r="I359" s="75">
        <v>90448.13</v>
      </c>
      <c r="J359" s="75">
        <v>90448.13</v>
      </c>
      <c r="K359" s="91" t="s">
        <v>960</v>
      </c>
      <c r="L359" s="73"/>
      <c r="M359" s="46">
        <v>0</v>
      </c>
      <c r="N359" s="46">
        <v>0</v>
      </c>
      <c r="O359" s="46">
        <v>0</v>
      </c>
      <c r="P359" s="98"/>
      <c r="Q359" s="23" t="s">
        <v>1441</v>
      </c>
      <c r="R359" s="24" t="s">
        <v>959</v>
      </c>
      <c r="S359" s="25" t="s">
        <v>14</v>
      </c>
      <c r="T359" s="26">
        <v>1</v>
      </c>
      <c r="U359" s="26">
        <v>1</v>
      </c>
      <c r="V359" s="26">
        <v>90448.13</v>
      </c>
      <c r="W359" s="26">
        <f t="shared" si="63"/>
        <v>0</v>
      </c>
      <c r="X359" s="26">
        <f t="shared" si="61"/>
        <v>0</v>
      </c>
      <c r="Y359" s="26">
        <f t="shared" si="64"/>
        <v>0</v>
      </c>
      <c r="Z359" s="26">
        <f t="shared" si="68"/>
        <v>0</v>
      </c>
      <c r="AA359" s="33" t="s">
        <v>15</v>
      </c>
      <c r="AB359" s="36" t="s">
        <v>16</v>
      </c>
      <c r="AC359" s="181">
        <f t="shared" si="65"/>
        <v>1</v>
      </c>
      <c r="AD359" s="181">
        <f t="shared" si="60"/>
        <v>90448.13</v>
      </c>
      <c r="AE359" s="181">
        <v>1.8</v>
      </c>
      <c r="AF359" s="181">
        <v>1.8</v>
      </c>
      <c r="AG359" s="101" t="str">
        <f t="shared" si="66"/>
        <v/>
      </c>
      <c r="AH359" s="190">
        <v>0</v>
      </c>
      <c r="AI359" s="69">
        <f t="shared" si="67"/>
        <v>1</v>
      </c>
    </row>
    <row r="360" spans="1:35" s="69" customFormat="1" ht="42.75" x14ac:dyDescent="0.3">
      <c r="A360" s="55" t="s">
        <v>961</v>
      </c>
      <c r="B360" s="254" t="s">
        <v>962</v>
      </c>
      <c r="C360" s="54" t="s">
        <v>30</v>
      </c>
      <c r="D360" s="75">
        <v>2702</v>
      </c>
      <c r="E360" s="75"/>
      <c r="F360" s="75"/>
      <c r="G360" s="75"/>
      <c r="H360" s="75" t="s">
        <v>15</v>
      </c>
      <c r="I360" s="75">
        <v>81.569999999999993</v>
      </c>
      <c r="J360" s="75">
        <v>220402.14</v>
      </c>
      <c r="K360" s="91" t="s">
        <v>963</v>
      </c>
      <c r="L360" s="73"/>
      <c r="M360" s="46">
        <v>2166</v>
      </c>
      <c r="N360" s="46">
        <v>84685.97</v>
      </c>
      <c r="O360" s="46">
        <v>176680.62</v>
      </c>
      <c r="P360" s="98"/>
      <c r="Q360" s="23" t="s">
        <v>1442</v>
      </c>
      <c r="R360" s="24" t="s">
        <v>962</v>
      </c>
      <c r="S360" s="25" t="s">
        <v>30</v>
      </c>
      <c r="T360" s="26">
        <v>2702</v>
      </c>
      <c r="U360" s="26">
        <v>2702</v>
      </c>
      <c r="V360" s="26">
        <v>81.569999999999993</v>
      </c>
      <c r="W360" s="243">
        <f t="shared" si="63"/>
        <v>0</v>
      </c>
      <c r="X360" s="26">
        <f t="shared" si="61"/>
        <v>2166</v>
      </c>
      <c r="Y360" s="26">
        <f t="shared" si="64"/>
        <v>0</v>
      </c>
      <c r="Z360" s="26">
        <f t="shared" si="68"/>
        <v>176680.62</v>
      </c>
      <c r="AA360" s="33" t="s">
        <v>15</v>
      </c>
      <c r="AB360" s="36" t="s">
        <v>16</v>
      </c>
      <c r="AC360" s="181">
        <f t="shared" si="65"/>
        <v>2702</v>
      </c>
      <c r="AD360" s="181">
        <f t="shared" si="60"/>
        <v>220402.14</v>
      </c>
      <c r="AE360" s="181">
        <v>1.8</v>
      </c>
      <c r="AF360" s="181">
        <v>1.8</v>
      </c>
      <c r="AG360" s="101" t="str">
        <f t="shared" si="66"/>
        <v/>
      </c>
      <c r="AH360" s="191">
        <f>1127.8+1038.2</f>
        <v>2166</v>
      </c>
      <c r="AI360" s="69">
        <f t="shared" si="67"/>
        <v>2702</v>
      </c>
    </row>
    <row r="361" spans="1:35" s="69" customFormat="1" ht="39" x14ac:dyDescent="0.3">
      <c r="A361" s="130" t="s">
        <v>964</v>
      </c>
      <c r="B361" s="131" t="s">
        <v>965</v>
      </c>
      <c r="C361" s="132" t="s">
        <v>14</v>
      </c>
      <c r="D361" s="133">
        <v>1</v>
      </c>
      <c r="E361" s="75"/>
      <c r="F361" s="75"/>
      <c r="G361" s="75"/>
      <c r="H361" s="75" t="s">
        <v>15</v>
      </c>
      <c r="I361" s="75">
        <v>25939</v>
      </c>
      <c r="J361" s="75">
        <v>25939</v>
      </c>
      <c r="K361" s="91" t="s">
        <v>966</v>
      </c>
      <c r="L361" s="73"/>
      <c r="M361" s="46">
        <v>1</v>
      </c>
      <c r="N361" s="46">
        <v>25939</v>
      </c>
      <c r="O361" s="46">
        <v>25939</v>
      </c>
      <c r="P361" s="98"/>
      <c r="Q361" s="23" t="s">
        <v>1443</v>
      </c>
      <c r="R361" s="24" t="s">
        <v>965</v>
      </c>
      <c r="S361" s="25" t="s">
        <v>14</v>
      </c>
      <c r="T361" s="26">
        <v>1</v>
      </c>
      <c r="U361" s="26">
        <v>1</v>
      </c>
      <c r="V361" s="26">
        <v>25939</v>
      </c>
      <c r="W361" s="199">
        <f t="shared" si="63"/>
        <v>0</v>
      </c>
      <c r="X361" s="127">
        <f t="shared" si="61"/>
        <v>1</v>
      </c>
      <c r="Y361" s="127">
        <f t="shared" si="64"/>
        <v>0</v>
      </c>
      <c r="Z361" s="127">
        <f t="shared" si="68"/>
        <v>25939</v>
      </c>
      <c r="AA361" s="33" t="s">
        <v>15</v>
      </c>
      <c r="AB361" s="36" t="s">
        <v>16</v>
      </c>
      <c r="AC361" s="181">
        <f t="shared" si="65"/>
        <v>1</v>
      </c>
      <c r="AD361" s="181">
        <f t="shared" si="60"/>
        <v>25939</v>
      </c>
      <c r="AE361" s="181">
        <v>1.8</v>
      </c>
      <c r="AF361" s="181">
        <v>1.8</v>
      </c>
      <c r="AG361" s="101" t="str">
        <f t="shared" si="66"/>
        <v/>
      </c>
      <c r="AH361" s="191">
        <v>1</v>
      </c>
      <c r="AI361" s="69">
        <f t="shared" si="67"/>
        <v>1</v>
      </c>
    </row>
    <row r="362" spans="1:35" s="69" customFormat="1" ht="58.5" x14ac:dyDescent="0.3">
      <c r="A362" s="55" t="s">
        <v>967</v>
      </c>
      <c r="B362" s="215" t="s">
        <v>3159</v>
      </c>
      <c r="C362" s="54" t="s">
        <v>30</v>
      </c>
      <c r="D362" s="75">
        <v>1272</v>
      </c>
      <c r="E362" s="75"/>
      <c r="F362" s="75"/>
      <c r="G362" s="75"/>
      <c r="H362" s="75" t="s">
        <v>15</v>
      </c>
      <c r="I362" s="75">
        <v>36.96</v>
      </c>
      <c r="J362" s="75">
        <v>47013.120000000003</v>
      </c>
      <c r="K362" s="91" t="s">
        <v>969</v>
      </c>
      <c r="L362" s="73"/>
      <c r="M362" s="46">
        <v>427.8</v>
      </c>
      <c r="N362" s="46">
        <v>0</v>
      </c>
      <c r="O362" s="46">
        <v>15811.49</v>
      </c>
      <c r="P362" s="98"/>
      <c r="Q362" s="23" t="s">
        <v>1444</v>
      </c>
      <c r="R362" s="24" t="s">
        <v>968</v>
      </c>
      <c r="S362" s="25" t="s">
        <v>30</v>
      </c>
      <c r="T362" s="26">
        <v>1272</v>
      </c>
      <c r="U362" s="26">
        <v>1272</v>
      </c>
      <c r="V362" s="26">
        <v>36.96</v>
      </c>
      <c r="W362" s="243">
        <f t="shared" si="63"/>
        <v>0</v>
      </c>
      <c r="X362" s="26">
        <f t="shared" si="61"/>
        <v>427.8</v>
      </c>
      <c r="Y362" s="26">
        <f t="shared" si="64"/>
        <v>0</v>
      </c>
      <c r="Z362" s="26">
        <f t="shared" si="68"/>
        <v>15811.49</v>
      </c>
      <c r="AA362" s="33" t="s">
        <v>15</v>
      </c>
      <c r="AB362" s="36" t="s">
        <v>16</v>
      </c>
      <c r="AC362" s="181">
        <f t="shared" si="65"/>
        <v>1272</v>
      </c>
      <c r="AD362" s="181">
        <f t="shared" si="60"/>
        <v>47013.120000000003</v>
      </c>
      <c r="AE362" s="181">
        <v>1.8</v>
      </c>
      <c r="AF362" s="181">
        <v>1.8</v>
      </c>
      <c r="AG362" s="101" t="str">
        <f t="shared" si="66"/>
        <v/>
      </c>
      <c r="AH362" s="191">
        <f>365.5+62.3</f>
        <v>427.8</v>
      </c>
      <c r="AI362" s="69">
        <f t="shared" si="67"/>
        <v>1272</v>
      </c>
    </row>
    <row r="363" spans="1:35" s="69" customFormat="1" ht="58.5" x14ac:dyDescent="0.3">
      <c r="A363" s="55" t="s">
        <v>970</v>
      </c>
      <c r="B363" s="215" t="s">
        <v>971</v>
      </c>
      <c r="C363" s="54" t="s">
        <v>30</v>
      </c>
      <c r="D363" s="75">
        <v>1470</v>
      </c>
      <c r="E363" s="75"/>
      <c r="F363" s="75"/>
      <c r="G363" s="75"/>
      <c r="H363" s="75" t="s">
        <v>15</v>
      </c>
      <c r="I363" s="75">
        <v>62.45</v>
      </c>
      <c r="J363" s="75">
        <v>91801.5</v>
      </c>
      <c r="K363" s="91" t="s">
        <v>972</v>
      </c>
      <c r="L363" s="73"/>
      <c r="M363" s="46">
        <v>1083</v>
      </c>
      <c r="N363" s="46">
        <v>32417.790000000008</v>
      </c>
      <c r="O363" s="46">
        <v>67633.350000000006</v>
      </c>
      <c r="P363" s="98"/>
      <c r="Q363" s="23" t="s">
        <v>1408</v>
      </c>
      <c r="R363" s="24" t="s">
        <v>971</v>
      </c>
      <c r="S363" s="25" t="s">
        <v>30</v>
      </c>
      <c r="T363" s="26">
        <v>1470</v>
      </c>
      <c r="U363" s="26">
        <v>1470</v>
      </c>
      <c r="V363" s="26">
        <v>62.45</v>
      </c>
      <c r="W363" s="243">
        <f t="shared" si="63"/>
        <v>0</v>
      </c>
      <c r="X363" s="26">
        <f t="shared" si="61"/>
        <v>1083</v>
      </c>
      <c r="Y363" s="26">
        <f t="shared" si="64"/>
        <v>0</v>
      </c>
      <c r="Z363" s="26">
        <f t="shared" si="68"/>
        <v>67633.350000000006</v>
      </c>
      <c r="AA363" s="33" t="s">
        <v>15</v>
      </c>
      <c r="AB363" s="36" t="s">
        <v>16</v>
      </c>
      <c r="AC363" s="181">
        <f t="shared" si="65"/>
        <v>1470</v>
      </c>
      <c r="AD363" s="181">
        <f t="shared" si="60"/>
        <v>91801.5</v>
      </c>
      <c r="AE363" s="181">
        <v>1.8</v>
      </c>
      <c r="AF363" s="181">
        <v>1.8</v>
      </c>
      <c r="AG363" s="101" t="str">
        <f t="shared" si="66"/>
        <v/>
      </c>
      <c r="AH363" s="191">
        <f>427+136.9+519.1</f>
        <v>1083</v>
      </c>
      <c r="AI363" s="69">
        <f t="shared" si="67"/>
        <v>1470</v>
      </c>
    </row>
    <row r="364" spans="1:35" s="69" customFormat="1" ht="58.5" x14ac:dyDescent="0.3">
      <c r="A364" s="130" t="s">
        <v>973</v>
      </c>
      <c r="B364" s="131" t="s">
        <v>974</v>
      </c>
      <c r="C364" s="132" t="s">
        <v>30</v>
      </c>
      <c r="D364" s="133">
        <v>407</v>
      </c>
      <c r="E364" s="75"/>
      <c r="F364" s="75"/>
      <c r="G364" s="75"/>
      <c r="H364" s="75" t="s">
        <v>15</v>
      </c>
      <c r="I364" s="75">
        <v>90.49</v>
      </c>
      <c r="J364" s="75">
        <v>36829.43</v>
      </c>
      <c r="K364" s="91" t="s">
        <v>975</v>
      </c>
      <c r="L364" s="73"/>
      <c r="M364" s="46">
        <v>407</v>
      </c>
      <c r="N364" s="46">
        <v>23346.42</v>
      </c>
      <c r="O364" s="46">
        <v>36829.43</v>
      </c>
      <c r="P364" s="98"/>
      <c r="Q364" s="23" t="s">
        <v>1409</v>
      </c>
      <c r="R364" s="24" t="s">
        <v>974</v>
      </c>
      <c r="S364" s="25" t="s">
        <v>30</v>
      </c>
      <c r="T364" s="26">
        <v>407</v>
      </c>
      <c r="U364" s="26">
        <v>407</v>
      </c>
      <c r="V364" s="26">
        <v>90.49</v>
      </c>
      <c r="W364" s="243">
        <f t="shared" si="63"/>
        <v>0</v>
      </c>
      <c r="X364" s="127">
        <f t="shared" si="61"/>
        <v>407</v>
      </c>
      <c r="Y364" s="127">
        <f t="shared" si="64"/>
        <v>0</v>
      </c>
      <c r="Z364" s="127">
        <f t="shared" si="68"/>
        <v>36829.43</v>
      </c>
      <c r="AA364" s="33" t="s">
        <v>15</v>
      </c>
      <c r="AB364" s="36" t="s">
        <v>16</v>
      </c>
      <c r="AC364" s="181">
        <f t="shared" si="65"/>
        <v>407</v>
      </c>
      <c r="AD364" s="181">
        <f t="shared" si="60"/>
        <v>36829.43</v>
      </c>
      <c r="AE364" s="181">
        <v>1.8</v>
      </c>
      <c r="AF364" s="181">
        <v>1.8</v>
      </c>
      <c r="AG364" s="101" t="str">
        <f t="shared" si="66"/>
        <v/>
      </c>
      <c r="AH364" s="191">
        <f>149+258</f>
        <v>407</v>
      </c>
      <c r="AI364" s="69">
        <f t="shared" si="67"/>
        <v>407</v>
      </c>
    </row>
    <row r="365" spans="1:35" s="69" customFormat="1" ht="58.5" x14ac:dyDescent="0.3">
      <c r="A365" s="130" t="s">
        <v>976</v>
      </c>
      <c r="B365" s="131" t="s">
        <v>977</v>
      </c>
      <c r="C365" s="132" t="s">
        <v>30</v>
      </c>
      <c r="D365" s="133">
        <v>55</v>
      </c>
      <c r="E365" s="75"/>
      <c r="F365" s="75"/>
      <c r="G365" s="75"/>
      <c r="H365" s="75" t="s">
        <v>15</v>
      </c>
      <c r="I365" s="75">
        <v>186.08</v>
      </c>
      <c r="J365" s="75">
        <v>10234.4</v>
      </c>
      <c r="K365" s="91" t="s">
        <v>978</v>
      </c>
      <c r="L365" s="73"/>
      <c r="M365" s="46">
        <v>55</v>
      </c>
      <c r="N365" s="46">
        <v>10234.4</v>
      </c>
      <c r="O365" s="46">
        <v>10234.4</v>
      </c>
      <c r="P365" s="98"/>
      <c r="Q365" s="23" t="s">
        <v>1410</v>
      </c>
      <c r="R365" s="24" t="s">
        <v>977</v>
      </c>
      <c r="S365" s="25" t="s">
        <v>30</v>
      </c>
      <c r="T365" s="26">
        <v>55</v>
      </c>
      <c r="U365" s="26">
        <v>55</v>
      </c>
      <c r="V365" s="26">
        <v>186.08</v>
      </c>
      <c r="W365" s="243">
        <f t="shared" si="63"/>
        <v>0</v>
      </c>
      <c r="X365" s="127">
        <f t="shared" si="61"/>
        <v>55</v>
      </c>
      <c r="Y365" s="127">
        <f t="shared" si="64"/>
        <v>0</v>
      </c>
      <c r="Z365" s="127">
        <f t="shared" si="68"/>
        <v>10234.4</v>
      </c>
      <c r="AA365" s="33" t="s">
        <v>15</v>
      </c>
      <c r="AB365" s="36" t="s">
        <v>16</v>
      </c>
      <c r="AC365" s="181">
        <f t="shared" si="65"/>
        <v>55</v>
      </c>
      <c r="AD365" s="181">
        <f t="shared" si="60"/>
        <v>10234.4</v>
      </c>
      <c r="AE365" s="181">
        <v>1.8</v>
      </c>
      <c r="AF365" s="181">
        <v>1.8</v>
      </c>
      <c r="AG365" s="101" t="str">
        <f t="shared" si="66"/>
        <v/>
      </c>
      <c r="AH365" s="191">
        <f>55</f>
        <v>55</v>
      </c>
      <c r="AI365" s="69">
        <f t="shared" si="67"/>
        <v>55</v>
      </c>
    </row>
    <row r="366" spans="1:35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 t="s">
        <v>15</v>
      </c>
      <c r="I366" s="75">
        <v>51046</v>
      </c>
      <c r="J366" s="75">
        <v>51046</v>
      </c>
      <c r="K366" s="91" t="s">
        <v>981</v>
      </c>
      <c r="L366" s="73"/>
      <c r="M366" s="46">
        <v>0</v>
      </c>
      <c r="N366" s="46">
        <v>0</v>
      </c>
      <c r="O366" s="46">
        <v>0</v>
      </c>
      <c r="P366" s="98"/>
      <c r="Q366" s="23" t="s">
        <v>1411</v>
      </c>
      <c r="R366" s="24" t="s">
        <v>980</v>
      </c>
      <c r="S366" s="25" t="s">
        <v>14</v>
      </c>
      <c r="T366" s="26">
        <v>1</v>
      </c>
      <c r="U366" s="26">
        <v>1</v>
      </c>
      <c r="V366" s="26">
        <v>51046</v>
      </c>
      <c r="W366" s="26">
        <f t="shared" si="63"/>
        <v>0</v>
      </c>
      <c r="X366" s="26">
        <f t="shared" si="61"/>
        <v>0</v>
      </c>
      <c r="Y366" s="26">
        <f t="shared" si="64"/>
        <v>0</v>
      </c>
      <c r="Z366" s="26">
        <f t="shared" si="68"/>
        <v>0</v>
      </c>
      <c r="AA366" s="33" t="s">
        <v>15</v>
      </c>
      <c r="AB366" s="36" t="s">
        <v>16</v>
      </c>
      <c r="AC366" s="181">
        <f t="shared" si="65"/>
        <v>1</v>
      </c>
      <c r="AD366" s="181">
        <f t="shared" ref="AD366:AD368" si="69">ROUND(V366*AC366,2)</f>
        <v>51046</v>
      </c>
      <c r="AE366" s="181">
        <v>1.8</v>
      </c>
      <c r="AF366" s="181">
        <v>1.8</v>
      </c>
      <c r="AG366" s="101" t="str">
        <f t="shared" si="66"/>
        <v/>
      </c>
      <c r="AH366" s="190">
        <v>0</v>
      </c>
      <c r="AI366" s="69">
        <f t="shared" si="67"/>
        <v>1</v>
      </c>
    </row>
    <row r="367" spans="1:35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 t="s">
        <v>15</v>
      </c>
      <c r="I367" s="75">
        <v>671.66</v>
      </c>
      <c r="J367" s="75">
        <v>88659.12</v>
      </c>
      <c r="K367" s="91" t="s">
        <v>984</v>
      </c>
      <c r="L367" s="73"/>
      <c r="M367" s="46">
        <v>0</v>
      </c>
      <c r="N367" s="46">
        <v>0</v>
      </c>
      <c r="O367" s="46">
        <v>0</v>
      </c>
      <c r="P367" s="98"/>
      <c r="Q367" s="23" t="s">
        <v>1445</v>
      </c>
      <c r="R367" s="24" t="s">
        <v>983</v>
      </c>
      <c r="S367" s="25" t="s">
        <v>30</v>
      </c>
      <c r="T367" s="26">
        <v>132</v>
      </c>
      <c r="U367" s="26">
        <v>132</v>
      </c>
      <c r="V367" s="26">
        <v>671.66</v>
      </c>
      <c r="W367" s="26">
        <f t="shared" si="63"/>
        <v>0</v>
      </c>
      <c r="X367" s="26">
        <f t="shared" si="61"/>
        <v>0</v>
      </c>
      <c r="Y367" s="26">
        <f t="shared" si="64"/>
        <v>0</v>
      </c>
      <c r="Z367" s="26">
        <f t="shared" si="68"/>
        <v>0</v>
      </c>
      <c r="AA367" s="33" t="s">
        <v>15</v>
      </c>
      <c r="AB367" s="36" t="s">
        <v>16</v>
      </c>
      <c r="AC367" s="181">
        <f t="shared" si="65"/>
        <v>132</v>
      </c>
      <c r="AD367" s="181">
        <f t="shared" si="69"/>
        <v>88659.12</v>
      </c>
      <c r="AE367" s="181">
        <v>1.8</v>
      </c>
      <c r="AF367" s="181">
        <v>1.8</v>
      </c>
      <c r="AG367" s="101" t="str">
        <f t="shared" si="66"/>
        <v/>
      </c>
      <c r="AH367" s="190">
        <v>0</v>
      </c>
      <c r="AI367" s="69">
        <f t="shared" si="67"/>
        <v>132</v>
      </c>
    </row>
    <row r="368" spans="1:35" s="69" customFormat="1" ht="39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 t="s">
        <v>15</v>
      </c>
      <c r="I368" s="75">
        <v>24347</v>
      </c>
      <c r="J368" s="75">
        <v>24347</v>
      </c>
      <c r="K368" s="91" t="s">
        <v>987</v>
      </c>
      <c r="L368" s="73"/>
      <c r="M368" s="46">
        <v>0</v>
      </c>
      <c r="N368" s="46">
        <v>0</v>
      </c>
      <c r="O368" s="46">
        <v>0</v>
      </c>
      <c r="P368" s="98"/>
      <c r="Q368" s="23" t="s">
        <v>1383</v>
      </c>
      <c r="R368" s="24" t="s">
        <v>986</v>
      </c>
      <c r="S368" s="25" t="s">
        <v>14</v>
      </c>
      <c r="T368" s="26">
        <v>1</v>
      </c>
      <c r="U368" s="26">
        <v>1</v>
      </c>
      <c r="V368" s="26">
        <v>24347</v>
      </c>
      <c r="W368" s="26">
        <f t="shared" si="63"/>
        <v>0</v>
      </c>
      <c r="X368" s="26">
        <f t="shared" si="61"/>
        <v>0</v>
      </c>
      <c r="Y368" s="26">
        <f t="shared" si="64"/>
        <v>0</v>
      </c>
      <c r="Z368" s="26">
        <f t="shared" si="68"/>
        <v>0</v>
      </c>
      <c r="AA368" s="33" t="s">
        <v>15</v>
      </c>
      <c r="AB368" s="36" t="s">
        <v>16</v>
      </c>
      <c r="AC368" s="181">
        <f t="shared" si="65"/>
        <v>1</v>
      </c>
      <c r="AD368" s="181">
        <f t="shared" si="69"/>
        <v>24347</v>
      </c>
      <c r="AE368" s="181">
        <v>1.8</v>
      </c>
      <c r="AF368" s="181">
        <v>1.8</v>
      </c>
      <c r="AG368" s="101" t="str">
        <f t="shared" si="66"/>
        <v/>
      </c>
      <c r="AH368" s="190">
        <v>0</v>
      </c>
      <c r="AI368" s="69">
        <f t="shared" si="67"/>
        <v>1</v>
      </c>
    </row>
    <row r="369" spans="1:35" s="69" customFormat="1" ht="39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 t="s">
        <v>15</v>
      </c>
      <c r="I369" s="82"/>
      <c r="J369" s="82">
        <v>9899611.0700000003</v>
      </c>
      <c r="K369" s="94" t="s">
        <v>15</v>
      </c>
      <c r="L369" s="73"/>
      <c r="M369" s="45">
        <v>1</v>
      </c>
      <c r="N369" s="45">
        <v>128698.5</v>
      </c>
      <c r="O369" s="45">
        <v>7059486.2699999996</v>
      </c>
      <c r="P369" s="98"/>
      <c r="Q369" s="18" t="s">
        <v>1401</v>
      </c>
      <c r="R369" s="19" t="s">
        <v>989</v>
      </c>
      <c r="S369" s="20" t="s">
        <v>14</v>
      </c>
      <c r="T369" s="21">
        <v>1</v>
      </c>
      <c r="U369" s="21"/>
      <c r="V369" s="21">
        <f>SUMIFS(AD:AD,AE:AE,AE369)</f>
        <v>9899611.0700000003</v>
      </c>
      <c r="W369" s="21">
        <f t="shared" ref="W369:X369" si="70">IF(Y369=0,0,1)</f>
        <v>1</v>
      </c>
      <c r="X369" s="21">
        <f t="shared" si="70"/>
        <v>1</v>
      </c>
      <c r="Y369" s="21">
        <f>SUMIFS(Y:Y,AF:AF,AE369)</f>
        <v>222457.34000000008</v>
      </c>
      <c r="Z369" s="21">
        <f>SUMIFS(Z:Z,AF:AF,AE369)</f>
        <v>7281943.6099999994</v>
      </c>
      <c r="AA369" s="22" t="s">
        <v>15</v>
      </c>
      <c r="AB369" s="43" t="s">
        <v>16</v>
      </c>
      <c r="AC369" s="181">
        <f t="shared" si="65"/>
        <v>1</v>
      </c>
      <c r="AD369" s="184"/>
      <c r="AE369" s="184">
        <v>1.9</v>
      </c>
      <c r="AF369" s="184"/>
      <c r="AG369" s="101" t="str">
        <f t="shared" si="66"/>
        <v/>
      </c>
      <c r="AH369" s="190">
        <v>1</v>
      </c>
      <c r="AI369" s="69">
        <f t="shared" si="67"/>
        <v>1</v>
      </c>
    </row>
    <row r="370" spans="1:35" s="69" customFormat="1" ht="33" x14ac:dyDescent="0.3">
      <c r="A370" s="55" t="s">
        <v>990</v>
      </c>
      <c r="B370" s="138" t="s">
        <v>991</v>
      </c>
      <c r="C370" s="54" t="s">
        <v>30</v>
      </c>
      <c r="D370" s="75">
        <v>1088</v>
      </c>
      <c r="E370" s="75">
        <v>975</v>
      </c>
      <c r="F370" s="75"/>
      <c r="G370" s="75"/>
      <c r="H370" s="75">
        <v>2893</v>
      </c>
      <c r="I370" s="75">
        <v>247.2</v>
      </c>
      <c r="J370" s="75">
        <v>715149.6</v>
      </c>
      <c r="K370" s="91" t="s">
        <v>992</v>
      </c>
      <c r="L370" s="73"/>
      <c r="M370" s="46">
        <v>975</v>
      </c>
      <c r="N370" s="46">
        <v>0</v>
      </c>
      <c r="O370" s="46">
        <v>241020</v>
      </c>
      <c r="P370" s="98"/>
      <c r="Q370" s="23" t="s">
        <v>1421</v>
      </c>
      <c r="R370" s="24" t="s">
        <v>991</v>
      </c>
      <c r="S370" s="25" t="s">
        <v>30</v>
      </c>
      <c r="T370" s="26">
        <v>1088</v>
      </c>
      <c r="U370" s="26">
        <v>2893</v>
      </c>
      <c r="V370" s="26">
        <v>247.2</v>
      </c>
      <c r="W370" s="128">
        <f t="shared" ref="W370:W376" si="71">AH370-M370</f>
        <v>0</v>
      </c>
      <c r="X370" s="26">
        <f t="shared" si="61"/>
        <v>975</v>
      </c>
      <c r="Y370" s="26">
        <f t="shared" ref="Y370:Y376" si="72">Z370-O370</f>
        <v>0</v>
      </c>
      <c r="Z370" s="26">
        <f t="shared" ref="Z370:Z376" si="73">ROUND(V370*X370,2)</f>
        <v>241020</v>
      </c>
      <c r="AA370" s="27" t="s">
        <v>15</v>
      </c>
      <c r="AB370" s="36" t="s">
        <v>16</v>
      </c>
      <c r="AC370" s="181">
        <f t="shared" si="65"/>
        <v>2893</v>
      </c>
      <c r="AD370" s="181">
        <f t="shared" ref="AD370:AD376" si="74">ROUND(V370*AC370,2)</f>
        <v>715149.6</v>
      </c>
      <c r="AE370" s="181">
        <v>1.9</v>
      </c>
      <c r="AF370" s="181">
        <v>1.9</v>
      </c>
      <c r="AG370" s="101" t="str">
        <f t="shared" si="66"/>
        <v/>
      </c>
      <c r="AH370" s="191">
        <v>975</v>
      </c>
      <c r="AI370" s="69">
        <f t="shared" si="67"/>
        <v>975</v>
      </c>
    </row>
    <row r="371" spans="1:35" s="69" customFormat="1" ht="33" x14ac:dyDescent="0.3">
      <c r="A371" s="55" t="s">
        <v>993</v>
      </c>
      <c r="B371" s="138" t="s">
        <v>994</v>
      </c>
      <c r="C371" s="54" t="s">
        <v>30</v>
      </c>
      <c r="D371" s="75">
        <v>1088</v>
      </c>
      <c r="E371" s="75">
        <v>975</v>
      </c>
      <c r="F371" s="75"/>
      <c r="G371" s="75"/>
      <c r="H371" s="75">
        <v>2893</v>
      </c>
      <c r="I371" s="75">
        <v>236.9</v>
      </c>
      <c r="J371" s="75">
        <v>685351.7</v>
      </c>
      <c r="K371" s="91" t="s">
        <v>995</v>
      </c>
      <c r="L371" s="73"/>
      <c r="M371" s="46">
        <v>975</v>
      </c>
      <c r="N371" s="46">
        <v>0</v>
      </c>
      <c r="O371" s="46">
        <v>230977.5</v>
      </c>
      <c r="P371" s="98"/>
      <c r="Q371" s="23" t="s">
        <v>1426</v>
      </c>
      <c r="R371" s="24" t="s">
        <v>994</v>
      </c>
      <c r="S371" s="25" t="s">
        <v>30</v>
      </c>
      <c r="T371" s="26">
        <v>1088</v>
      </c>
      <c r="U371" s="26">
        <v>2893</v>
      </c>
      <c r="V371" s="26">
        <v>236.9</v>
      </c>
      <c r="W371" s="128">
        <f t="shared" si="71"/>
        <v>0</v>
      </c>
      <c r="X371" s="26">
        <f t="shared" ref="X371:X376" si="75">W371+M371</f>
        <v>975</v>
      </c>
      <c r="Y371" s="26">
        <f>Z371-O371</f>
        <v>0</v>
      </c>
      <c r="Z371" s="26">
        <f t="shared" si="73"/>
        <v>230977.5</v>
      </c>
      <c r="AA371" s="27" t="s">
        <v>15</v>
      </c>
      <c r="AB371" s="36" t="s">
        <v>16</v>
      </c>
      <c r="AC371" s="181">
        <f t="shared" si="65"/>
        <v>2893</v>
      </c>
      <c r="AD371" s="181">
        <f t="shared" si="74"/>
        <v>685351.7</v>
      </c>
      <c r="AE371" s="181">
        <v>1.9</v>
      </c>
      <c r="AF371" s="181">
        <v>1.9</v>
      </c>
      <c r="AG371" s="101" t="str">
        <f t="shared" si="66"/>
        <v/>
      </c>
      <c r="AH371" s="191">
        <v>975</v>
      </c>
      <c r="AI371" s="69">
        <f t="shared" si="67"/>
        <v>975</v>
      </c>
    </row>
    <row r="372" spans="1:35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9795.5</v>
      </c>
      <c r="I372" s="75">
        <v>252.35</v>
      </c>
      <c r="J372" s="75">
        <v>2471894.4300000002</v>
      </c>
      <c r="K372" s="91" t="s">
        <v>999</v>
      </c>
      <c r="L372" s="73"/>
      <c r="M372" s="46">
        <v>8974</v>
      </c>
      <c r="N372" s="46">
        <v>128698.5</v>
      </c>
      <c r="O372" s="46">
        <v>2264588.9</v>
      </c>
      <c r="P372" s="98"/>
      <c r="Q372" s="23" t="s">
        <v>1402</v>
      </c>
      <c r="R372" s="24" t="s">
        <v>997</v>
      </c>
      <c r="S372" s="25" t="s">
        <v>998</v>
      </c>
      <c r="T372" s="26">
        <v>6984</v>
      </c>
      <c r="U372" s="26">
        <v>9795.5</v>
      </c>
      <c r="V372" s="26">
        <v>252.35</v>
      </c>
      <c r="W372" s="243">
        <f t="shared" si="71"/>
        <v>210</v>
      </c>
      <c r="X372" s="26">
        <f t="shared" si="75"/>
        <v>9184</v>
      </c>
      <c r="Y372" s="26">
        <f t="shared" si="72"/>
        <v>52993.5</v>
      </c>
      <c r="Z372" s="26">
        <f t="shared" si="73"/>
        <v>2317582.4</v>
      </c>
      <c r="AA372" s="27" t="s">
        <v>15</v>
      </c>
      <c r="AB372" s="36" t="s">
        <v>16</v>
      </c>
      <c r="AC372" s="181">
        <f t="shared" si="65"/>
        <v>9795.5</v>
      </c>
      <c r="AD372" s="181">
        <f t="shared" si="74"/>
        <v>2471894.4300000002</v>
      </c>
      <c r="AE372" s="181">
        <v>1.9</v>
      </c>
      <c r="AF372" s="181">
        <v>1.9</v>
      </c>
      <c r="AG372" s="101" t="str">
        <f t="shared" si="66"/>
        <v>超估</v>
      </c>
      <c r="AH372" s="191">
        <f>7744+360+360+510+210</f>
        <v>9184</v>
      </c>
      <c r="AI372" s="69">
        <f t="shared" si="67"/>
        <v>8744</v>
      </c>
    </row>
    <row r="373" spans="1:35" s="69" customFormat="1" ht="49.5" x14ac:dyDescent="0.3">
      <c r="A373" s="55" t="s">
        <v>1000</v>
      </c>
      <c r="B373" s="138" t="s">
        <v>1001</v>
      </c>
      <c r="C373" s="54" t="s">
        <v>14</v>
      </c>
      <c r="D373" s="75">
        <v>1</v>
      </c>
      <c r="E373" s="75"/>
      <c r="F373" s="75"/>
      <c r="G373" s="75"/>
      <c r="H373" s="75" t="s">
        <v>15</v>
      </c>
      <c r="I373" s="75">
        <v>350000</v>
      </c>
      <c r="J373" s="75">
        <v>350000</v>
      </c>
      <c r="K373" s="91" t="s">
        <v>1002</v>
      </c>
      <c r="L373" s="73"/>
      <c r="M373" s="46">
        <v>1</v>
      </c>
      <c r="N373" s="46">
        <v>0</v>
      </c>
      <c r="O373" s="46">
        <v>157500</v>
      </c>
      <c r="P373" s="98"/>
      <c r="Q373" s="23" t="s">
        <v>1373</v>
      </c>
      <c r="R373" s="24" t="s">
        <v>1001</v>
      </c>
      <c r="S373" s="25" t="s">
        <v>14</v>
      </c>
      <c r="T373" s="26">
        <v>1</v>
      </c>
      <c r="U373" s="26">
        <v>1</v>
      </c>
      <c r="V373" s="26">
        <v>350000</v>
      </c>
      <c r="W373" s="26">
        <f>IF(Y373=0,0,1)</f>
        <v>0</v>
      </c>
      <c r="X373" s="26">
        <f>IF(Z373=0,0,1)</f>
        <v>1</v>
      </c>
      <c r="Y373" s="26">
        <f t="shared" si="72"/>
        <v>0</v>
      </c>
      <c r="Z373" s="26">
        <v>157500</v>
      </c>
      <c r="AA373" s="123">
        <f>Z373/J373</f>
        <v>0.45</v>
      </c>
      <c r="AB373" s="36" t="s">
        <v>16</v>
      </c>
      <c r="AC373" s="181">
        <f t="shared" si="65"/>
        <v>1</v>
      </c>
      <c r="AD373" s="181">
        <f t="shared" si="74"/>
        <v>350000</v>
      </c>
      <c r="AE373" s="181">
        <v>1.9</v>
      </c>
      <c r="AF373" s="181">
        <v>1.9</v>
      </c>
      <c r="AG373" s="101" t="str">
        <f t="shared" si="66"/>
        <v/>
      </c>
      <c r="AH373" s="190">
        <v>1</v>
      </c>
      <c r="AI373" s="69">
        <f t="shared" si="67"/>
        <v>1</v>
      </c>
    </row>
    <row r="374" spans="1:35" s="69" customFormat="1" ht="33" x14ac:dyDescent="0.3">
      <c r="A374" s="55" t="s">
        <v>1003</v>
      </c>
      <c r="B374" s="138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3149</v>
      </c>
      <c r="I374" s="75">
        <v>931.12</v>
      </c>
      <c r="J374" s="75">
        <v>2932096.88</v>
      </c>
      <c r="K374" s="91" t="s">
        <v>1005</v>
      </c>
      <c r="L374" s="73"/>
      <c r="M374" s="46">
        <v>2060</v>
      </c>
      <c r="N374" s="46">
        <v>0</v>
      </c>
      <c r="O374" s="46">
        <v>1918107.2</v>
      </c>
      <c r="P374" s="98"/>
      <c r="Q374" s="23" t="s">
        <v>1393</v>
      </c>
      <c r="R374" s="24" t="s">
        <v>1004</v>
      </c>
      <c r="S374" s="25" t="s">
        <v>97</v>
      </c>
      <c r="T374" s="26">
        <v>1</v>
      </c>
      <c r="U374" s="26">
        <v>3149</v>
      </c>
      <c r="V374" s="26">
        <v>931.12</v>
      </c>
      <c r="W374" s="243">
        <f t="shared" si="71"/>
        <v>182</v>
      </c>
      <c r="X374" s="26">
        <f t="shared" si="75"/>
        <v>2242</v>
      </c>
      <c r="Y374" s="26">
        <f t="shared" si="72"/>
        <v>169463.84000000008</v>
      </c>
      <c r="Z374" s="26">
        <f t="shared" si="73"/>
        <v>2087571.04</v>
      </c>
      <c r="AA374" s="27" t="s">
        <v>15</v>
      </c>
      <c r="AB374" s="36" t="s">
        <v>16</v>
      </c>
      <c r="AC374" s="181">
        <f t="shared" si="65"/>
        <v>3149</v>
      </c>
      <c r="AD374" s="181">
        <f t="shared" si="74"/>
        <v>2932096.88</v>
      </c>
      <c r="AE374" s="181">
        <v>1.9</v>
      </c>
      <c r="AF374" s="181">
        <v>1.9</v>
      </c>
      <c r="AG374" s="101" t="str">
        <f t="shared" si="66"/>
        <v/>
      </c>
      <c r="AH374" s="191">
        <f>2060+182</f>
        <v>2242</v>
      </c>
      <c r="AI374" s="69">
        <f t="shared" si="67"/>
        <v>2480</v>
      </c>
    </row>
    <row r="375" spans="1:35" s="69" customFormat="1" ht="33" x14ac:dyDescent="0.3">
      <c r="A375" s="55" t="s">
        <v>1006</v>
      </c>
      <c r="B375" s="53" t="s">
        <v>678</v>
      </c>
      <c r="C375" s="54" t="s">
        <v>23</v>
      </c>
      <c r="D375" s="75">
        <v>1</v>
      </c>
      <c r="E375" s="203">
        <v>91</v>
      </c>
      <c r="F375" s="203">
        <v>291</v>
      </c>
      <c r="G375" s="203"/>
      <c r="H375" s="203">
        <v>438</v>
      </c>
      <c r="I375" s="75">
        <v>3386.57</v>
      </c>
      <c r="J375" s="75">
        <v>1483317.66</v>
      </c>
      <c r="K375" s="91" t="s">
        <v>679</v>
      </c>
      <c r="L375" s="73"/>
      <c r="M375" s="46">
        <v>291</v>
      </c>
      <c r="N375" s="46">
        <v>0</v>
      </c>
      <c r="O375" s="46">
        <v>985491.87</v>
      </c>
      <c r="P375" s="98"/>
      <c r="Q375" s="23" t="s">
        <v>1403</v>
      </c>
      <c r="R375" s="24" t="s">
        <v>678</v>
      </c>
      <c r="S375" s="25" t="s">
        <v>23</v>
      </c>
      <c r="T375" s="26">
        <v>1</v>
      </c>
      <c r="U375" s="26">
        <v>438</v>
      </c>
      <c r="V375" s="26">
        <v>3386.57</v>
      </c>
      <c r="W375" s="128">
        <f t="shared" si="71"/>
        <v>0</v>
      </c>
      <c r="X375" s="26">
        <f t="shared" si="75"/>
        <v>291</v>
      </c>
      <c r="Y375" s="26">
        <f t="shared" si="72"/>
        <v>0</v>
      </c>
      <c r="Z375" s="26">
        <f t="shared" si="73"/>
        <v>985491.87</v>
      </c>
      <c r="AA375" s="27" t="s">
        <v>15</v>
      </c>
      <c r="AB375" s="36" t="s">
        <v>16</v>
      </c>
      <c r="AC375" s="181">
        <f t="shared" si="65"/>
        <v>438</v>
      </c>
      <c r="AD375" s="181">
        <f t="shared" si="74"/>
        <v>1483317.66</v>
      </c>
      <c r="AE375" s="181">
        <v>1.9</v>
      </c>
      <c r="AF375" s="181">
        <v>1.9</v>
      </c>
      <c r="AG375" s="101" t="str">
        <f t="shared" si="66"/>
        <v/>
      </c>
      <c r="AH375" s="190">
        <v>291</v>
      </c>
      <c r="AI375" s="69">
        <f t="shared" si="67"/>
        <v>291</v>
      </c>
    </row>
    <row r="376" spans="1:35" s="69" customFormat="1" ht="49.5" x14ac:dyDescent="0.3">
      <c r="A376" s="134" t="s">
        <v>1340</v>
      </c>
      <c r="B376" s="139" t="s">
        <v>3137</v>
      </c>
      <c r="C376" s="204" t="s">
        <v>30</v>
      </c>
      <c r="D376" s="133"/>
      <c r="E376" s="59">
        <v>130</v>
      </c>
      <c r="F376" s="77"/>
      <c r="G376" s="77"/>
      <c r="H376" s="77" t="s">
        <v>15</v>
      </c>
      <c r="I376" s="77">
        <v>9706.16</v>
      </c>
      <c r="J376" s="59">
        <v>1261800.8</v>
      </c>
      <c r="K376" s="92"/>
      <c r="L376" s="73"/>
      <c r="M376" s="46">
        <v>130</v>
      </c>
      <c r="N376" s="46">
        <v>0</v>
      </c>
      <c r="O376" s="46">
        <v>1261800.8</v>
      </c>
      <c r="P376" s="98"/>
      <c r="Q376" s="23" t="s">
        <v>1427</v>
      </c>
      <c r="R376" s="24" t="s">
        <v>1500</v>
      </c>
      <c r="S376" s="25" t="s">
        <v>30</v>
      </c>
      <c r="T376" s="26">
        <v>0</v>
      </c>
      <c r="U376" s="26">
        <v>130</v>
      </c>
      <c r="V376" s="26">
        <v>9706.16</v>
      </c>
      <c r="W376" s="127">
        <f t="shared" si="71"/>
        <v>0</v>
      </c>
      <c r="X376" s="127">
        <f t="shared" si="75"/>
        <v>130</v>
      </c>
      <c r="Y376" s="127">
        <f t="shared" si="72"/>
        <v>0</v>
      </c>
      <c r="Z376" s="127">
        <f t="shared" si="73"/>
        <v>1261800.8</v>
      </c>
      <c r="AA376" s="27"/>
      <c r="AB376" s="36" t="s">
        <v>16</v>
      </c>
      <c r="AC376" s="181">
        <f t="shared" si="65"/>
        <v>130</v>
      </c>
      <c r="AD376" s="181">
        <f t="shared" si="74"/>
        <v>1261800.8</v>
      </c>
      <c r="AE376" s="181">
        <v>1.9</v>
      </c>
      <c r="AF376" s="181">
        <v>1.9</v>
      </c>
      <c r="AG376" s="101" t="str">
        <f t="shared" si="66"/>
        <v/>
      </c>
      <c r="AH376" s="194">
        <v>130</v>
      </c>
      <c r="AI376" s="69">
        <f t="shared" si="67"/>
        <v>130</v>
      </c>
    </row>
    <row r="377" spans="1:35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 t="s">
        <v>15</v>
      </c>
      <c r="I377" s="88"/>
      <c r="J377" s="88">
        <v>27540238.109999999</v>
      </c>
      <c r="K377" s="95" t="s">
        <v>15</v>
      </c>
      <c r="L377" s="73"/>
      <c r="M377" s="42">
        <v>1</v>
      </c>
      <c r="N377" s="42">
        <v>425040</v>
      </c>
      <c r="O377" s="42">
        <v>24589829.300000004</v>
      </c>
      <c r="P377" s="98"/>
      <c r="Q377" s="13" t="s">
        <v>1404</v>
      </c>
      <c r="R377" s="14" t="s">
        <v>1008</v>
      </c>
      <c r="S377" s="15" t="s">
        <v>14</v>
      </c>
      <c r="T377" s="16">
        <v>1</v>
      </c>
      <c r="U377" s="16"/>
      <c r="V377" s="16">
        <f>SUMIFS(AD:AD,AE:AE,AE377)</f>
        <v>27540238.110000003</v>
      </c>
      <c r="W377" s="16">
        <f t="shared" ref="W377:X377" si="76">IF(Y377=0,0,1)</f>
        <v>1</v>
      </c>
      <c r="X377" s="16">
        <f t="shared" si="76"/>
        <v>1</v>
      </c>
      <c r="Y377" s="16">
        <f>SUMIFS(Y:Y,AF:AF,AE377)</f>
        <v>397218.4</v>
      </c>
      <c r="Z377" s="16">
        <f>SUMIFS(Z:Z,AF:AF,AE377)</f>
        <v>24987047.700000003</v>
      </c>
      <c r="AA377" s="17" t="s">
        <v>15</v>
      </c>
      <c r="AB377" s="40" t="s">
        <v>16</v>
      </c>
      <c r="AC377" s="181">
        <f t="shared" si="65"/>
        <v>1</v>
      </c>
      <c r="AD377" s="183"/>
      <c r="AE377" s="183">
        <v>2</v>
      </c>
      <c r="AF377" s="183"/>
      <c r="AG377" s="101" t="str">
        <f t="shared" si="66"/>
        <v/>
      </c>
      <c r="AH377" s="190">
        <v>1</v>
      </c>
      <c r="AI377" s="69">
        <f t="shared" si="67"/>
        <v>1</v>
      </c>
    </row>
    <row r="378" spans="1:35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 t="s">
        <v>15</v>
      </c>
      <c r="I378" s="75">
        <v>711302</v>
      </c>
      <c r="J378" s="75">
        <v>711302</v>
      </c>
      <c r="K378" s="91" t="s">
        <v>1011</v>
      </c>
      <c r="L378" s="73"/>
      <c r="M378" s="46">
        <v>0</v>
      </c>
      <c r="N378" s="46">
        <v>0</v>
      </c>
      <c r="O378" s="46">
        <v>0</v>
      </c>
      <c r="P378" s="98"/>
      <c r="Q378" s="23" t="s">
        <v>1421</v>
      </c>
      <c r="R378" s="24" t="s">
        <v>1010</v>
      </c>
      <c r="S378" s="25" t="s">
        <v>14</v>
      </c>
      <c r="T378" s="26">
        <v>1</v>
      </c>
      <c r="U378" s="26">
        <v>1</v>
      </c>
      <c r="V378" s="26">
        <v>711302</v>
      </c>
      <c r="W378" s="199">
        <f t="shared" ref="W378:W406" si="77">AH378-M378</f>
        <v>0.2</v>
      </c>
      <c r="X378" s="26">
        <f t="shared" ref="X378:X458" si="78">W378+M378</f>
        <v>0.2</v>
      </c>
      <c r="Y378" s="26">
        <f t="shared" ref="Y378:Y406" si="79">Z378-O378</f>
        <v>142260.4</v>
      </c>
      <c r="Z378" s="26">
        <f t="shared" ref="Z378:Z406" si="80">ROUND(V378*X378,2)</f>
        <v>142260.4</v>
      </c>
      <c r="AA378" s="33" t="s">
        <v>15</v>
      </c>
      <c r="AB378" s="36" t="s">
        <v>16</v>
      </c>
      <c r="AC378" s="181">
        <f t="shared" si="65"/>
        <v>1</v>
      </c>
      <c r="AD378" s="181">
        <f t="shared" ref="AD378:AD406" si="81">ROUND(V378*AC378,2)</f>
        <v>711302</v>
      </c>
      <c r="AE378" s="181">
        <v>2</v>
      </c>
      <c r="AF378" s="181">
        <v>2</v>
      </c>
      <c r="AG378" s="101" t="str">
        <f t="shared" si="66"/>
        <v/>
      </c>
      <c r="AH378" s="191">
        <f>0.2</f>
        <v>0.2</v>
      </c>
      <c r="AI378" s="69">
        <f t="shared" si="67"/>
        <v>1</v>
      </c>
    </row>
    <row r="379" spans="1:35" s="69" customFormat="1" ht="33" customHeight="1" x14ac:dyDescent="0.3">
      <c r="A379" s="55" t="s">
        <v>1012</v>
      </c>
      <c r="B379" s="53" t="s">
        <v>3153</v>
      </c>
      <c r="C379" s="54" t="s">
        <v>1014</v>
      </c>
      <c r="D379" s="75">
        <v>7</v>
      </c>
      <c r="E379" s="75"/>
      <c r="F379" s="75"/>
      <c r="G379" s="75"/>
      <c r="H379" s="76" t="s">
        <v>15</v>
      </c>
      <c r="I379" s="75">
        <v>50000</v>
      </c>
      <c r="J379" s="75">
        <v>350000</v>
      </c>
      <c r="K379" s="91" t="s">
        <v>1015</v>
      </c>
      <c r="L379" s="73"/>
      <c r="M379" s="46">
        <v>1</v>
      </c>
      <c r="N379" s="46">
        <v>50000</v>
      </c>
      <c r="O379" s="46">
        <v>50000</v>
      </c>
      <c r="P379" s="98"/>
      <c r="Q379" s="23" t="s">
        <v>1426</v>
      </c>
      <c r="R379" s="24" t="s">
        <v>1013</v>
      </c>
      <c r="S379" s="25" t="s">
        <v>1014</v>
      </c>
      <c r="T379" s="26">
        <v>7</v>
      </c>
      <c r="U379" s="26">
        <v>7</v>
      </c>
      <c r="V379" s="26">
        <v>50000</v>
      </c>
      <c r="W379" s="243">
        <f t="shared" si="77"/>
        <v>0</v>
      </c>
      <c r="X379" s="26">
        <f t="shared" si="78"/>
        <v>1</v>
      </c>
      <c r="Y379" s="26">
        <f t="shared" si="79"/>
        <v>0</v>
      </c>
      <c r="Z379" s="26">
        <f t="shared" si="80"/>
        <v>50000</v>
      </c>
      <c r="AA379" s="33" t="s">
        <v>15</v>
      </c>
      <c r="AB379" s="36" t="s">
        <v>16</v>
      </c>
      <c r="AC379" s="181">
        <f t="shared" si="65"/>
        <v>7</v>
      </c>
      <c r="AD379" s="181">
        <f t="shared" si="81"/>
        <v>350000</v>
      </c>
      <c r="AE379" s="181">
        <v>2</v>
      </c>
      <c r="AF379" s="181">
        <v>2</v>
      </c>
      <c r="AG379" s="101" t="str">
        <f t="shared" si="66"/>
        <v/>
      </c>
      <c r="AH379" s="191">
        <f>1</f>
        <v>1</v>
      </c>
      <c r="AI379" s="69">
        <f t="shared" si="67"/>
        <v>7</v>
      </c>
    </row>
    <row r="380" spans="1:35" s="69" customFormat="1" ht="33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75"/>
      <c r="F380" s="75">
        <v>400</v>
      </c>
      <c r="G380" s="224"/>
      <c r="H380" s="158" t="s">
        <v>15</v>
      </c>
      <c r="I380" s="166">
        <v>22500</v>
      </c>
      <c r="J380" s="75">
        <v>9000000</v>
      </c>
      <c r="K380" s="91" t="s">
        <v>1018</v>
      </c>
      <c r="L380" s="73"/>
      <c r="M380" s="46">
        <v>400</v>
      </c>
      <c r="N380" s="46">
        <v>0</v>
      </c>
      <c r="O380" s="46">
        <v>9000000</v>
      </c>
      <c r="P380" s="98"/>
      <c r="Q380" s="23" t="s">
        <v>1402</v>
      </c>
      <c r="R380" s="24" t="s">
        <v>1017</v>
      </c>
      <c r="S380" s="25" t="s">
        <v>50</v>
      </c>
      <c r="T380" s="26">
        <v>360</v>
      </c>
      <c r="U380" s="26">
        <v>400</v>
      </c>
      <c r="V380" s="26">
        <v>22500</v>
      </c>
      <c r="W380" s="127">
        <f t="shared" si="77"/>
        <v>0</v>
      </c>
      <c r="X380" s="127">
        <f t="shared" si="78"/>
        <v>400</v>
      </c>
      <c r="Y380" s="127">
        <f t="shared" si="79"/>
        <v>0</v>
      </c>
      <c r="Z380" s="127">
        <f t="shared" si="80"/>
        <v>9000000</v>
      </c>
      <c r="AA380" s="27" t="s">
        <v>15</v>
      </c>
      <c r="AB380" s="36" t="s">
        <v>16</v>
      </c>
      <c r="AC380" s="181">
        <f t="shared" si="65"/>
        <v>400</v>
      </c>
      <c r="AD380" s="181">
        <f t="shared" si="81"/>
        <v>9000000</v>
      </c>
      <c r="AE380" s="181">
        <v>2</v>
      </c>
      <c r="AF380" s="181">
        <v>2</v>
      </c>
      <c r="AG380" s="101" t="str">
        <f t="shared" si="66"/>
        <v/>
      </c>
      <c r="AH380" s="190">
        <v>400</v>
      </c>
      <c r="AI380" s="69">
        <f t="shared" si="67"/>
        <v>400</v>
      </c>
    </row>
    <row r="381" spans="1:35" s="69" customFormat="1" ht="49.5" x14ac:dyDescent="0.3">
      <c r="A381" s="55" t="s">
        <v>1019</v>
      </c>
      <c r="B381" s="138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235"/>
      <c r="H381" s="158" t="s">
        <v>15</v>
      </c>
      <c r="I381" s="166">
        <v>806</v>
      </c>
      <c r="J381" s="75">
        <v>2941900</v>
      </c>
      <c r="K381" s="91" t="s">
        <v>1022</v>
      </c>
      <c r="L381" s="73"/>
      <c r="M381" s="46">
        <v>2346</v>
      </c>
      <c r="N381" s="46">
        <v>72540</v>
      </c>
      <c r="O381" s="46">
        <v>1890876</v>
      </c>
      <c r="P381" s="98"/>
      <c r="Q381" s="23" t="s">
        <v>1373</v>
      </c>
      <c r="R381" s="24" t="s">
        <v>1020</v>
      </c>
      <c r="S381" s="25" t="s">
        <v>1021</v>
      </c>
      <c r="T381" s="26">
        <v>730</v>
      </c>
      <c r="U381" s="26">
        <v>3650</v>
      </c>
      <c r="V381" s="26">
        <v>806</v>
      </c>
      <c r="W381" s="250">
        <f t="shared" si="77"/>
        <v>93</v>
      </c>
      <c r="X381" s="26">
        <f t="shared" si="78"/>
        <v>2439</v>
      </c>
      <c r="Y381" s="26">
        <f t="shared" si="79"/>
        <v>74958</v>
      </c>
      <c r="Z381" s="26">
        <f t="shared" si="80"/>
        <v>1965834</v>
      </c>
      <c r="AA381" s="27" t="s">
        <v>15</v>
      </c>
      <c r="AB381" s="36" t="s">
        <v>16</v>
      </c>
      <c r="AC381" s="181">
        <f t="shared" si="65"/>
        <v>3650</v>
      </c>
      <c r="AD381" s="181">
        <f t="shared" si="81"/>
        <v>2941900</v>
      </c>
      <c r="AE381" s="181">
        <v>2</v>
      </c>
      <c r="AF381" s="181">
        <v>2</v>
      </c>
      <c r="AG381" s="101" t="str">
        <f t="shared" si="66"/>
        <v/>
      </c>
      <c r="AH381" s="191">
        <f>2070+93+93+90+93</f>
        <v>2439</v>
      </c>
      <c r="AI381" s="69">
        <f t="shared" si="67"/>
        <v>3650</v>
      </c>
    </row>
    <row r="382" spans="1:35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75">
        <v>4</v>
      </c>
      <c r="F382" s="161">
        <v>5</v>
      </c>
      <c r="G382" s="235"/>
      <c r="H382" s="158" t="s">
        <v>15</v>
      </c>
      <c r="I382" s="166">
        <v>50000</v>
      </c>
      <c r="J382" s="75">
        <v>250000</v>
      </c>
      <c r="K382" s="91" t="s">
        <v>1025</v>
      </c>
      <c r="L382" s="73"/>
      <c r="M382" s="46">
        <v>5</v>
      </c>
      <c r="N382" s="46">
        <v>0</v>
      </c>
      <c r="O382" s="46">
        <v>250000</v>
      </c>
      <c r="P382" s="98"/>
      <c r="Q382" s="23" t="s">
        <v>1393</v>
      </c>
      <c r="R382" s="24" t="s">
        <v>1024</v>
      </c>
      <c r="S382" s="25" t="s">
        <v>1014</v>
      </c>
      <c r="T382" s="26">
        <v>2</v>
      </c>
      <c r="U382" s="26">
        <v>5</v>
      </c>
      <c r="V382" s="26">
        <v>50000</v>
      </c>
      <c r="W382" s="127">
        <f t="shared" si="77"/>
        <v>0</v>
      </c>
      <c r="X382" s="127">
        <f t="shared" si="78"/>
        <v>5</v>
      </c>
      <c r="Y382" s="127">
        <f t="shared" si="79"/>
        <v>0</v>
      </c>
      <c r="Z382" s="127">
        <f t="shared" si="80"/>
        <v>250000</v>
      </c>
      <c r="AA382" s="27" t="s">
        <v>15</v>
      </c>
      <c r="AB382" s="36" t="s">
        <v>16</v>
      </c>
      <c r="AC382" s="181">
        <f t="shared" si="65"/>
        <v>5</v>
      </c>
      <c r="AD382" s="181">
        <f t="shared" si="81"/>
        <v>250000</v>
      </c>
      <c r="AE382" s="181">
        <v>2</v>
      </c>
      <c r="AF382" s="181">
        <v>2</v>
      </c>
      <c r="AG382" s="101" t="str">
        <f t="shared" si="66"/>
        <v/>
      </c>
      <c r="AH382" s="190">
        <v>5</v>
      </c>
      <c r="AI382" s="69">
        <f t="shared" si="67"/>
        <v>5</v>
      </c>
    </row>
    <row r="383" spans="1:35" s="69" customFormat="1" ht="36.75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235"/>
      <c r="H383" s="158" t="s">
        <v>15</v>
      </c>
      <c r="I383" s="166">
        <v>180000</v>
      </c>
      <c r="J383" s="75">
        <v>4320000</v>
      </c>
      <c r="K383" s="91" t="s">
        <v>1029</v>
      </c>
      <c r="L383" s="73"/>
      <c r="M383" s="46">
        <v>21</v>
      </c>
      <c r="N383" s="46">
        <v>180000</v>
      </c>
      <c r="O383" s="46">
        <v>3780000</v>
      </c>
      <c r="P383" s="98"/>
      <c r="Q383" s="23" t="s">
        <v>1403</v>
      </c>
      <c r="R383" s="24" t="s">
        <v>1027</v>
      </c>
      <c r="S383" s="25" t="s">
        <v>1028</v>
      </c>
      <c r="T383" s="26">
        <v>24</v>
      </c>
      <c r="U383" s="26">
        <v>24</v>
      </c>
      <c r="V383" s="26">
        <v>180000</v>
      </c>
      <c r="W383" s="250">
        <f t="shared" si="77"/>
        <v>1</v>
      </c>
      <c r="X383" s="26">
        <f t="shared" si="78"/>
        <v>22</v>
      </c>
      <c r="Y383" s="26">
        <f t="shared" si="79"/>
        <v>180000</v>
      </c>
      <c r="Z383" s="26">
        <f t="shared" si="80"/>
        <v>3960000</v>
      </c>
      <c r="AA383" s="33" t="s">
        <v>15</v>
      </c>
      <c r="AB383" s="36" t="s">
        <v>16</v>
      </c>
      <c r="AC383" s="181">
        <f t="shared" si="65"/>
        <v>24</v>
      </c>
      <c r="AD383" s="181">
        <f t="shared" si="81"/>
        <v>4320000</v>
      </c>
      <c r="AE383" s="181">
        <v>2</v>
      </c>
      <c r="AF383" s="181">
        <v>2</v>
      </c>
      <c r="AG383" s="101" t="str">
        <f t="shared" si="66"/>
        <v/>
      </c>
      <c r="AH383" s="191">
        <f>17+1+1+1+1+1</f>
        <v>22</v>
      </c>
      <c r="AI383" s="69">
        <f t="shared" si="67"/>
        <v>24</v>
      </c>
    </row>
    <row r="384" spans="1:35" s="69" customFormat="1" ht="34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235"/>
      <c r="H384" s="158" t="s">
        <v>15</v>
      </c>
      <c r="I384" s="166">
        <v>205982.81</v>
      </c>
      <c r="J384" s="75">
        <v>205982.81</v>
      </c>
      <c r="K384" s="91" t="s">
        <v>1032</v>
      </c>
      <c r="L384" s="73"/>
      <c r="M384" s="46">
        <v>0</v>
      </c>
      <c r="N384" s="46">
        <v>0</v>
      </c>
      <c r="O384" s="46">
        <v>0</v>
      </c>
      <c r="P384" s="98"/>
      <c r="Q384" s="23" t="s">
        <v>1427</v>
      </c>
      <c r="R384" s="24" t="s">
        <v>1031</v>
      </c>
      <c r="S384" s="25" t="s">
        <v>14</v>
      </c>
      <c r="T384" s="26">
        <v>1</v>
      </c>
      <c r="U384" s="26">
        <v>1</v>
      </c>
      <c r="V384" s="26">
        <v>205982.81</v>
      </c>
      <c r="W384" s="26">
        <f t="shared" si="77"/>
        <v>0</v>
      </c>
      <c r="X384" s="26">
        <f t="shared" si="78"/>
        <v>0</v>
      </c>
      <c r="Y384" s="26">
        <f t="shared" si="79"/>
        <v>0</v>
      </c>
      <c r="Z384" s="26">
        <f t="shared" si="80"/>
        <v>0</v>
      </c>
      <c r="AA384" s="33" t="s">
        <v>15</v>
      </c>
      <c r="AB384" s="36" t="s">
        <v>16</v>
      </c>
      <c r="AC384" s="181">
        <f t="shared" si="65"/>
        <v>1</v>
      </c>
      <c r="AD384" s="181">
        <f t="shared" si="81"/>
        <v>205982.81</v>
      </c>
      <c r="AE384" s="181">
        <v>2</v>
      </c>
      <c r="AF384" s="181">
        <v>2</v>
      </c>
      <c r="AG384" s="101" t="str">
        <f t="shared" si="66"/>
        <v/>
      </c>
      <c r="AH384" s="190">
        <v>0</v>
      </c>
      <c r="AI384" s="69">
        <f t="shared" si="67"/>
        <v>1</v>
      </c>
    </row>
    <row r="385" spans="1:35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75"/>
      <c r="F385" s="161"/>
      <c r="G385" s="235"/>
      <c r="H385" s="158" t="s">
        <v>15</v>
      </c>
      <c r="I385" s="166">
        <v>2425000</v>
      </c>
      <c r="J385" s="75">
        <v>2425000</v>
      </c>
      <c r="K385" s="91" t="s">
        <v>1035</v>
      </c>
      <c r="L385" s="73"/>
      <c r="M385" s="46">
        <v>1</v>
      </c>
      <c r="N385" s="46">
        <v>0</v>
      </c>
      <c r="O385" s="46">
        <v>2425000</v>
      </c>
      <c r="P385" s="98"/>
      <c r="Q385" s="23" t="s">
        <v>1428</v>
      </c>
      <c r="R385" s="24" t="s">
        <v>1034</v>
      </c>
      <c r="S385" s="25" t="s">
        <v>14</v>
      </c>
      <c r="T385" s="26">
        <v>1</v>
      </c>
      <c r="U385" s="26">
        <v>1</v>
      </c>
      <c r="V385" s="26">
        <v>2425000</v>
      </c>
      <c r="W385" s="127">
        <f t="shared" si="77"/>
        <v>0</v>
      </c>
      <c r="X385" s="127">
        <f t="shared" si="78"/>
        <v>1</v>
      </c>
      <c r="Y385" s="127">
        <f t="shared" si="79"/>
        <v>0</v>
      </c>
      <c r="Z385" s="127">
        <f t="shared" si="80"/>
        <v>2425000</v>
      </c>
      <c r="AA385" s="33" t="s">
        <v>1499</v>
      </c>
      <c r="AB385" s="36" t="s">
        <v>16</v>
      </c>
      <c r="AC385" s="181">
        <f t="shared" si="65"/>
        <v>1</v>
      </c>
      <c r="AD385" s="181">
        <f t="shared" si="81"/>
        <v>2425000</v>
      </c>
      <c r="AE385" s="181">
        <v>2</v>
      </c>
      <c r="AF385" s="181">
        <v>2</v>
      </c>
      <c r="AG385" s="101" t="str">
        <f t="shared" si="66"/>
        <v/>
      </c>
      <c r="AH385" s="190">
        <v>1</v>
      </c>
      <c r="AI385" s="69">
        <f t="shared" si="67"/>
        <v>1</v>
      </c>
    </row>
    <row r="386" spans="1:35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235"/>
      <c r="H386" s="158" t="s">
        <v>15</v>
      </c>
      <c r="I386" s="166">
        <v>350000</v>
      </c>
      <c r="J386" s="75">
        <v>350000</v>
      </c>
      <c r="K386" s="91" t="s">
        <v>1038</v>
      </c>
      <c r="L386" s="73"/>
      <c r="M386" s="46">
        <v>0.85</v>
      </c>
      <c r="N386" s="46">
        <v>122500</v>
      </c>
      <c r="O386" s="46">
        <v>297500</v>
      </c>
      <c r="P386" s="98"/>
      <c r="Q386" s="23" t="s">
        <v>1387</v>
      </c>
      <c r="R386" s="24" t="s">
        <v>1037</v>
      </c>
      <c r="S386" s="25" t="s">
        <v>14</v>
      </c>
      <c r="T386" s="26">
        <v>1</v>
      </c>
      <c r="U386" s="26">
        <v>1</v>
      </c>
      <c r="V386" s="26">
        <v>350000</v>
      </c>
      <c r="W386" s="243">
        <f t="shared" si="77"/>
        <v>0</v>
      </c>
      <c r="X386" s="26">
        <f t="shared" si="78"/>
        <v>0.85</v>
      </c>
      <c r="Y386" s="26">
        <f>Z386-O386</f>
        <v>0</v>
      </c>
      <c r="Z386" s="26">
        <f>ROUND(V386*X386,2)</f>
        <v>297500</v>
      </c>
      <c r="AA386" s="33" t="s">
        <v>15</v>
      </c>
      <c r="AB386" s="36" t="s">
        <v>16</v>
      </c>
      <c r="AC386" s="181">
        <f t="shared" si="65"/>
        <v>1</v>
      </c>
      <c r="AD386" s="181">
        <f t="shared" si="81"/>
        <v>350000</v>
      </c>
      <c r="AE386" s="181">
        <v>2</v>
      </c>
      <c r="AF386" s="181">
        <v>2</v>
      </c>
      <c r="AG386" s="101" t="str">
        <f t="shared" si="66"/>
        <v/>
      </c>
      <c r="AH386" s="191">
        <f>0.5+0.35</f>
        <v>0.85</v>
      </c>
      <c r="AI386" s="69">
        <f t="shared" si="67"/>
        <v>1</v>
      </c>
    </row>
    <row r="387" spans="1:35" ht="33" x14ac:dyDescent="0.3">
      <c r="A387" s="134" t="s">
        <v>1342</v>
      </c>
      <c r="B387" s="135" t="s">
        <v>1343</v>
      </c>
      <c r="C387" s="204" t="s">
        <v>50</v>
      </c>
      <c r="D387" s="133"/>
      <c r="E387" s="78"/>
      <c r="F387" s="163">
        <v>320</v>
      </c>
      <c r="G387" s="163"/>
      <c r="H387" s="62" t="s">
        <v>15</v>
      </c>
      <c r="I387" s="167">
        <v>10869.24</v>
      </c>
      <c r="J387" s="62">
        <v>3478156.8</v>
      </c>
      <c r="K387" s="93"/>
      <c r="M387" s="46">
        <v>320</v>
      </c>
      <c r="N387" s="46">
        <v>0</v>
      </c>
      <c r="O387" s="46">
        <v>3478156.8</v>
      </c>
      <c r="P387" s="98"/>
      <c r="Q387" s="23" t="s">
        <v>1405</v>
      </c>
      <c r="R387" s="24" t="s">
        <v>1343</v>
      </c>
      <c r="S387" s="25" t="s">
        <v>50</v>
      </c>
      <c r="T387" s="26">
        <v>0</v>
      </c>
      <c r="U387" s="26">
        <v>320</v>
      </c>
      <c r="V387" s="26">
        <v>10869.24</v>
      </c>
      <c r="W387" s="127">
        <f t="shared" si="77"/>
        <v>0</v>
      </c>
      <c r="X387" s="127">
        <f t="shared" si="78"/>
        <v>320</v>
      </c>
      <c r="Y387" s="127">
        <f t="shared" si="79"/>
        <v>0</v>
      </c>
      <c r="Z387" s="127">
        <f t="shared" si="80"/>
        <v>3478156.8</v>
      </c>
      <c r="AA387" s="27"/>
      <c r="AB387" s="36" t="s">
        <v>16</v>
      </c>
      <c r="AC387" s="181">
        <f t="shared" si="65"/>
        <v>320</v>
      </c>
      <c r="AD387" s="181">
        <f t="shared" si="81"/>
        <v>3478156.8</v>
      </c>
      <c r="AE387" s="181">
        <v>2</v>
      </c>
      <c r="AF387" s="181">
        <v>2</v>
      </c>
      <c r="AG387" s="101" t="str">
        <f t="shared" si="66"/>
        <v/>
      </c>
      <c r="AH387" s="194">
        <v>320</v>
      </c>
      <c r="AI387" s="69">
        <f t="shared" si="67"/>
        <v>320</v>
      </c>
    </row>
    <row r="388" spans="1:35" ht="33" x14ac:dyDescent="0.3">
      <c r="A388" s="144" t="s">
        <v>1344</v>
      </c>
      <c r="B388" s="145" t="s">
        <v>1345</v>
      </c>
      <c r="C388" s="206" t="s">
        <v>325</v>
      </c>
      <c r="D388" s="170"/>
      <c r="E388" s="147"/>
      <c r="F388" s="164">
        <v>2</v>
      </c>
      <c r="G388" s="163"/>
      <c r="H388" s="62" t="s">
        <v>15</v>
      </c>
      <c r="I388" s="168">
        <v>60995.57</v>
      </c>
      <c r="J388" s="148">
        <v>121991.14</v>
      </c>
      <c r="K388" s="149"/>
      <c r="M388" s="46">
        <v>2</v>
      </c>
      <c r="N388" s="46">
        <v>0</v>
      </c>
      <c r="O388" s="46">
        <v>121991.14</v>
      </c>
      <c r="P388" s="98"/>
      <c r="Q388" s="23" t="s">
        <v>1406</v>
      </c>
      <c r="R388" s="24" t="s">
        <v>1345</v>
      </c>
      <c r="S388" s="25" t="s">
        <v>325</v>
      </c>
      <c r="T388" s="26">
        <v>0</v>
      </c>
      <c r="U388" s="26">
        <v>2</v>
      </c>
      <c r="V388" s="26">
        <v>60995.57</v>
      </c>
      <c r="W388" s="127">
        <f t="shared" si="77"/>
        <v>0</v>
      </c>
      <c r="X388" s="127">
        <f t="shared" si="78"/>
        <v>2</v>
      </c>
      <c r="Y388" s="127">
        <f t="shared" si="79"/>
        <v>0</v>
      </c>
      <c r="Z388" s="127">
        <f t="shared" si="80"/>
        <v>121991.14</v>
      </c>
      <c r="AA388" s="27"/>
      <c r="AB388" s="36" t="s">
        <v>16</v>
      </c>
      <c r="AC388" s="181">
        <f t="shared" si="65"/>
        <v>2</v>
      </c>
      <c r="AD388" s="181">
        <f t="shared" si="81"/>
        <v>121991.14</v>
      </c>
      <c r="AE388" s="181">
        <v>2</v>
      </c>
      <c r="AF388" s="181">
        <v>2</v>
      </c>
      <c r="AG388" s="101" t="str">
        <f t="shared" si="66"/>
        <v/>
      </c>
      <c r="AH388" s="190">
        <v>2</v>
      </c>
      <c r="AI388" s="69">
        <f t="shared" si="67"/>
        <v>2</v>
      </c>
    </row>
    <row r="389" spans="1:35" ht="39" x14ac:dyDescent="0.3">
      <c r="A389" s="207" t="s">
        <v>3072</v>
      </c>
      <c r="B389" s="208" t="s">
        <v>3073</v>
      </c>
      <c r="C389" s="204" t="s">
        <v>97</v>
      </c>
      <c r="D389" s="171"/>
      <c r="E389" s="158"/>
      <c r="F389" s="165"/>
      <c r="G389" s="159">
        <v>220</v>
      </c>
      <c r="H389" s="223" t="s">
        <v>15</v>
      </c>
      <c r="I389" s="169">
        <v>1159.82</v>
      </c>
      <c r="J389" s="159">
        <v>255160.4</v>
      </c>
      <c r="K389" s="172"/>
      <c r="M389" s="46">
        <v>220</v>
      </c>
      <c r="N389" s="46">
        <v>0</v>
      </c>
      <c r="O389" s="46">
        <v>255160.4</v>
      </c>
      <c r="P389" s="98"/>
      <c r="Q389" s="23" t="s">
        <v>1414</v>
      </c>
      <c r="R389" s="24" t="s">
        <v>3073</v>
      </c>
      <c r="S389" s="25" t="s">
        <v>97</v>
      </c>
      <c r="T389" s="26"/>
      <c r="U389" s="26">
        <v>220</v>
      </c>
      <c r="V389" s="169">
        <v>1159.82</v>
      </c>
      <c r="W389" s="127">
        <f t="shared" si="77"/>
        <v>0</v>
      </c>
      <c r="X389" s="127">
        <f>W389+M389</f>
        <v>220</v>
      </c>
      <c r="Y389" s="127">
        <f t="shared" si="79"/>
        <v>0</v>
      </c>
      <c r="Z389" s="127">
        <f t="shared" si="80"/>
        <v>255160.4</v>
      </c>
      <c r="AA389" s="27"/>
      <c r="AB389" s="36"/>
      <c r="AC389" s="200">
        <v>220</v>
      </c>
      <c r="AD389" s="181">
        <f t="shared" si="81"/>
        <v>255160.4</v>
      </c>
      <c r="AE389" s="181">
        <v>2</v>
      </c>
      <c r="AF389" s="181">
        <v>2</v>
      </c>
      <c r="AG389" s="101"/>
      <c r="AH389" s="190">
        <v>220</v>
      </c>
      <c r="AI389" s="69">
        <f t="shared" si="67"/>
        <v>220</v>
      </c>
    </row>
    <row r="390" spans="1:35" ht="39" x14ac:dyDescent="0.3">
      <c r="A390" s="207" t="s">
        <v>3074</v>
      </c>
      <c r="B390" s="208" t="s">
        <v>3075</v>
      </c>
      <c r="C390" s="204" t="s">
        <v>97</v>
      </c>
      <c r="D390" s="171"/>
      <c r="E390" s="158"/>
      <c r="F390" s="165"/>
      <c r="G390" s="159">
        <v>264.5</v>
      </c>
      <c r="H390" s="223" t="s">
        <v>15</v>
      </c>
      <c r="I390" s="169">
        <v>689.89</v>
      </c>
      <c r="J390" s="159">
        <v>182475.91</v>
      </c>
      <c r="K390" s="172"/>
      <c r="M390" s="46">
        <v>264.5</v>
      </c>
      <c r="N390" s="46">
        <v>0</v>
      </c>
      <c r="O390" s="46">
        <v>182475.91</v>
      </c>
      <c r="P390" s="98"/>
      <c r="Q390" s="23" t="s">
        <v>1429</v>
      </c>
      <c r="R390" s="24" t="s">
        <v>3075</v>
      </c>
      <c r="S390" s="25" t="s">
        <v>97</v>
      </c>
      <c r="T390" s="26"/>
      <c r="U390" s="26">
        <v>264.5</v>
      </c>
      <c r="V390" s="169">
        <v>689.89</v>
      </c>
      <c r="W390" s="127">
        <f t="shared" si="77"/>
        <v>0</v>
      </c>
      <c r="X390" s="127">
        <f t="shared" ref="X390:X406" si="82">W390+M390</f>
        <v>264.5</v>
      </c>
      <c r="Y390" s="127">
        <f t="shared" si="79"/>
        <v>0</v>
      </c>
      <c r="Z390" s="127">
        <f t="shared" si="80"/>
        <v>182475.91</v>
      </c>
      <c r="AA390" s="27"/>
      <c r="AB390" s="36"/>
      <c r="AC390" s="200">
        <v>264.5</v>
      </c>
      <c r="AD390" s="181">
        <f t="shared" si="81"/>
        <v>182475.91</v>
      </c>
      <c r="AE390" s="181">
        <v>2</v>
      </c>
      <c r="AF390" s="181">
        <v>2</v>
      </c>
      <c r="AG390" s="101"/>
      <c r="AH390" s="190">
        <v>264.5</v>
      </c>
      <c r="AI390" s="69">
        <f t="shared" si="67"/>
        <v>264.5</v>
      </c>
    </row>
    <row r="391" spans="1:35" ht="49.5" x14ac:dyDescent="0.3">
      <c r="A391" s="207" t="s">
        <v>3076</v>
      </c>
      <c r="B391" s="241" t="s">
        <v>3077</v>
      </c>
      <c r="C391" s="204" t="s">
        <v>97</v>
      </c>
      <c r="D391" s="171"/>
      <c r="E391" s="158"/>
      <c r="F391" s="165"/>
      <c r="G391" s="159">
        <v>218.5</v>
      </c>
      <c r="H391" s="223" t="s">
        <v>15</v>
      </c>
      <c r="I391" s="169">
        <v>899.86</v>
      </c>
      <c r="J391" s="159">
        <v>196619.41</v>
      </c>
      <c r="K391" s="172"/>
      <c r="M391" s="46">
        <v>218.5</v>
      </c>
      <c r="N391" s="46">
        <v>0</v>
      </c>
      <c r="O391" s="46">
        <v>196619.41</v>
      </c>
      <c r="P391" s="98"/>
      <c r="Q391" s="23" t="s">
        <v>1430</v>
      </c>
      <c r="R391" s="24" t="s">
        <v>3077</v>
      </c>
      <c r="S391" s="25" t="s">
        <v>97</v>
      </c>
      <c r="T391" s="26"/>
      <c r="U391" s="26">
        <v>218.5</v>
      </c>
      <c r="V391" s="169">
        <v>899.86</v>
      </c>
      <c r="W391" s="127">
        <f t="shared" si="77"/>
        <v>0</v>
      </c>
      <c r="X391" s="127">
        <f t="shared" si="82"/>
        <v>218.5</v>
      </c>
      <c r="Y391" s="127">
        <f t="shared" si="79"/>
        <v>0</v>
      </c>
      <c r="Z391" s="127">
        <f t="shared" si="80"/>
        <v>196619.41</v>
      </c>
      <c r="AA391" s="27"/>
      <c r="AB391" s="36"/>
      <c r="AC391" s="200">
        <v>218.5</v>
      </c>
      <c r="AD391" s="181">
        <f t="shared" si="81"/>
        <v>196619.41</v>
      </c>
      <c r="AE391" s="181">
        <v>2</v>
      </c>
      <c r="AF391" s="181">
        <v>2</v>
      </c>
      <c r="AG391" s="101"/>
      <c r="AH391" s="190">
        <v>218.5</v>
      </c>
      <c r="AI391" s="69">
        <f t="shared" si="67"/>
        <v>218.5</v>
      </c>
    </row>
    <row r="392" spans="1:35" ht="39" x14ac:dyDescent="0.3">
      <c r="A392" s="207" t="s">
        <v>3078</v>
      </c>
      <c r="B392" s="208" t="s">
        <v>3079</v>
      </c>
      <c r="C392" s="204" t="s">
        <v>97</v>
      </c>
      <c r="D392" s="171"/>
      <c r="E392" s="158"/>
      <c r="F392" s="165"/>
      <c r="G392" s="159">
        <v>87.5</v>
      </c>
      <c r="H392" s="223" t="s">
        <v>15</v>
      </c>
      <c r="I392" s="169">
        <v>1499.76</v>
      </c>
      <c r="J392" s="159">
        <v>131229</v>
      </c>
      <c r="K392" s="172"/>
      <c r="M392" s="46">
        <v>87.5</v>
      </c>
      <c r="N392" s="46">
        <v>0</v>
      </c>
      <c r="O392" s="46">
        <v>131229</v>
      </c>
      <c r="P392" s="98"/>
      <c r="Q392" s="23" t="s">
        <v>1431</v>
      </c>
      <c r="R392" s="24" t="s">
        <v>3079</v>
      </c>
      <c r="S392" s="25" t="s">
        <v>97</v>
      </c>
      <c r="T392" s="26"/>
      <c r="U392" s="26">
        <v>87.5</v>
      </c>
      <c r="V392" s="169">
        <v>1499.76</v>
      </c>
      <c r="W392" s="127">
        <f t="shared" si="77"/>
        <v>0</v>
      </c>
      <c r="X392" s="127">
        <f t="shared" si="82"/>
        <v>87.5</v>
      </c>
      <c r="Y392" s="127">
        <f t="shared" si="79"/>
        <v>0</v>
      </c>
      <c r="Z392" s="127">
        <f t="shared" si="80"/>
        <v>131229</v>
      </c>
      <c r="AA392" s="27"/>
      <c r="AB392" s="36"/>
      <c r="AC392" s="200">
        <v>87.5</v>
      </c>
      <c r="AD392" s="181">
        <f t="shared" si="81"/>
        <v>131229</v>
      </c>
      <c r="AE392" s="181">
        <v>2</v>
      </c>
      <c r="AF392" s="181">
        <v>2</v>
      </c>
      <c r="AG392" s="101"/>
      <c r="AH392" s="190">
        <v>87.5</v>
      </c>
      <c r="AI392" s="69">
        <f t="shared" si="67"/>
        <v>87.5</v>
      </c>
    </row>
    <row r="393" spans="1:35" ht="39" x14ac:dyDescent="0.3">
      <c r="A393" s="207" t="s">
        <v>3080</v>
      </c>
      <c r="B393" s="208" t="s">
        <v>3081</v>
      </c>
      <c r="C393" s="204" t="s">
        <v>97</v>
      </c>
      <c r="D393" s="171"/>
      <c r="E393" s="158"/>
      <c r="F393" s="159"/>
      <c r="G393" s="159">
        <v>144.5</v>
      </c>
      <c r="H393" s="159" t="s">
        <v>15</v>
      </c>
      <c r="I393" s="158">
        <v>1419.78</v>
      </c>
      <c r="J393" s="159">
        <v>205158.21</v>
      </c>
      <c r="K393" s="172"/>
      <c r="M393" s="46">
        <v>144.5</v>
      </c>
      <c r="N393" s="46">
        <v>0</v>
      </c>
      <c r="O393" s="46">
        <v>205158.21</v>
      </c>
      <c r="P393" s="98"/>
      <c r="Q393" s="23" t="s">
        <v>1395</v>
      </c>
      <c r="R393" s="24" t="s">
        <v>3081</v>
      </c>
      <c r="S393" s="25" t="s">
        <v>97</v>
      </c>
      <c r="T393" s="26"/>
      <c r="U393" s="26">
        <v>144.5</v>
      </c>
      <c r="V393" s="158">
        <v>1419.78</v>
      </c>
      <c r="W393" s="127">
        <f t="shared" si="77"/>
        <v>0</v>
      </c>
      <c r="X393" s="127">
        <f t="shared" si="82"/>
        <v>144.5</v>
      </c>
      <c r="Y393" s="127">
        <f t="shared" si="79"/>
        <v>0</v>
      </c>
      <c r="Z393" s="127">
        <f t="shared" si="80"/>
        <v>205158.21</v>
      </c>
      <c r="AA393" s="27"/>
      <c r="AB393" s="36"/>
      <c r="AC393" s="200">
        <v>144.5</v>
      </c>
      <c r="AD393" s="181">
        <f t="shared" si="81"/>
        <v>205158.21</v>
      </c>
      <c r="AE393" s="181">
        <v>2</v>
      </c>
      <c r="AF393" s="181">
        <v>2</v>
      </c>
      <c r="AG393" s="101"/>
      <c r="AH393" s="190">
        <v>144.5</v>
      </c>
      <c r="AI393" s="69">
        <f t="shared" si="67"/>
        <v>144.5</v>
      </c>
    </row>
    <row r="394" spans="1:35" x14ac:dyDescent="0.3">
      <c r="A394" s="207" t="s">
        <v>3082</v>
      </c>
      <c r="B394" s="208" t="s">
        <v>3083</v>
      </c>
      <c r="C394" s="204" t="s">
        <v>97</v>
      </c>
      <c r="D394" s="171"/>
      <c r="E394" s="158"/>
      <c r="F394" s="159"/>
      <c r="G394" s="159">
        <v>27</v>
      </c>
      <c r="H394" s="159" t="s">
        <v>15</v>
      </c>
      <c r="I394" s="158">
        <v>2999.53</v>
      </c>
      <c r="J394" s="159">
        <v>80987.31</v>
      </c>
      <c r="K394" s="172"/>
      <c r="M394" s="46">
        <v>27</v>
      </c>
      <c r="N394" s="46">
        <v>0</v>
      </c>
      <c r="O394" s="46">
        <v>80987.31</v>
      </c>
      <c r="P394" s="98"/>
      <c r="Q394" s="23" t="s">
        <v>1432</v>
      </c>
      <c r="R394" s="24" t="s">
        <v>3083</v>
      </c>
      <c r="S394" s="25" t="s">
        <v>97</v>
      </c>
      <c r="T394" s="26"/>
      <c r="U394" s="26">
        <v>27</v>
      </c>
      <c r="V394" s="158">
        <v>2999.53</v>
      </c>
      <c r="W394" s="127">
        <f t="shared" si="77"/>
        <v>0</v>
      </c>
      <c r="X394" s="127">
        <f t="shared" si="82"/>
        <v>27</v>
      </c>
      <c r="Y394" s="127">
        <f t="shared" si="79"/>
        <v>0</v>
      </c>
      <c r="Z394" s="127">
        <f t="shared" si="80"/>
        <v>80987.31</v>
      </c>
      <c r="AA394" s="27"/>
      <c r="AB394" s="36"/>
      <c r="AC394" s="200">
        <v>27</v>
      </c>
      <c r="AD394" s="181">
        <f t="shared" si="81"/>
        <v>80987.31</v>
      </c>
      <c r="AE394" s="181">
        <v>2</v>
      </c>
      <c r="AF394" s="181">
        <v>2</v>
      </c>
      <c r="AG394" s="101"/>
      <c r="AH394" s="190">
        <v>27</v>
      </c>
      <c r="AI394" s="69">
        <f t="shared" si="67"/>
        <v>27</v>
      </c>
    </row>
    <row r="395" spans="1:35" x14ac:dyDescent="0.3">
      <c r="A395" s="207" t="s">
        <v>3084</v>
      </c>
      <c r="B395" s="208" t="s">
        <v>3085</v>
      </c>
      <c r="C395" s="204" t="s">
        <v>97</v>
      </c>
      <c r="D395" s="171"/>
      <c r="E395" s="158"/>
      <c r="F395" s="159"/>
      <c r="G395" s="159">
        <v>28</v>
      </c>
      <c r="H395" s="159" t="s">
        <v>15</v>
      </c>
      <c r="I395" s="158">
        <v>1364.78</v>
      </c>
      <c r="J395" s="159">
        <v>38213.839999999997</v>
      </c>
      <c r="K395" s="172"/>
      <c r="M395" s="46">
        <v>28</v>
      </c>
      <c r="N395" s="46">
        <v>0</v>
      </c>
      <c r="O395" s="46">
        <v>38213.839999999997</v>
      </c>
      <c r="P395" s="98"/>
      <c r="Q395" s="23" t="s">
        <v>1433</v>
      </c>
      <c r="R395" s="24" t="s">
        <v>3085</v>
      </c>
      <c r="S395" s="25" t="s">
        <v>97</v>
      </c>
      <c r="T395" s="26"/>
      <c r="U395" s="26">
        <v>28</v>
      </c>
      <c r="V395" s="158">
        <v>1364.78</v>
      </c>
      <c r="W395" s="127">
        <f t="shared" si="77"/>
        <v>0</v>
      </c>
      <c r="X395" s="127">
        <f t="shared" si="82"/>
        <v>28</v>
      </c>
      <c r="Y395" s="127">
        <f t="shared" si="79"/>
        <v>0</v>
      </c>
      <c r="Z395" s="127">
        <f t="shared" si="80"/>
        <v>38213.839999999997</v>
      </c>
      <c r="AA395" s="27"/>
      <c r="AB395" s="36"/>
      <c r="AC395" s="200">
        <v>28</v>
      </c>
      <c r="AD395" s="181">
        <f t="shared" si="81"/>
        <v>38213.839999999997</v>
      </c>
      <c r="AE395" s="181">
        <v>2</v>
      </c>
      <c r="AF395" s="181">
        <v>2</v>
      </c>
      <c r="AG395" s="101"/>
      <c r="AH395" s="190">
        <v>28</v>
      </c>
      <c r="AI395" s="69">
        <f t="shared" ref="AI395:AI459" si="83">IF(G395=0,IF(F395=0,IF(E395=0,D395,E395),F395),G395)</f>
        <v>28</v>
      </c>
    </row>
    <row r="396" spans="1:35" ht="39" x14ac:dyDescent="0.3">
      <c r="A396" s="207" t="s">
        <v>3086</v>
      </c>
      <c r="B396" s="208" t="s">
        <v>3087</v>
      </c>
      <c r="C396" s="204" t="s">
        <v>97</v>
      </c>
      <c r="D396" s="171"/>
      <c r="E396" s="158"/>
      <c r="F396" s="159"/>
      <c r="G396" s="159">
        <v>156</v>
      </c>
      <c r="H396" s="159" t="s">
        <v>15</v>
      </c>
      <c r="I396" s="158">
        <v>771.88</v>
      </c>
      <c r="J396" s="159">
        <v>120413.28</v>
      </c>
      <c r="K396" s="172"/>
      <c r="M396" s="46">
        <v>156</v>
      </c>
      <c r="N396" s="46">
        <v>0</v>
      </c>
      <c r="O396" s="46">
        <v>120413.28</v>
      </c>
      <c r="P396" s="98"/>
      <c r="Q396" s="23" t="s">
        <v>1382</v>
      </c>
      <c r="R396" s="24" t="s">
        <v>3087</v>
      </c>
      <c r="S396" s="25" t="s">
        <v>97</v>
      </c>
      <c r="T396" s="26"/>
      <c r="U396" s="26">
        <v>156</v>
      </c>
      <c r="V396" s="158">
        <v>771.88</v>
      </c>
      <c r="W396" s="127">
        <f t="shared" si="77"/>
        <v>0</v>
      </c>
      <c r="X396" s="127">
        <f t="shared" si="82"/>
        <v>156</v>
      </c>
      <c r="Y396" s="127">
        <f t="shared" si="79"/>
        <v>0</v>
      </c>
      <c r="Z396" s="127">
        <f t="shared" si="80"/>
        <v>120413.28</v>
      </c>
      <c r="AA396" s="27"/>
      <c r="AB396" s="36"/>
      <c r="AC396" s="200">
        <v>156</v>
      </c>
      <c r="AD396" s="181">
        <f t="shared" si="81"/>
        <v>120413.28</v>
      </c>
      <c r="AE396" s="181">
        <v>2</v>
      </c>
      <c r="AF396" s="181">
        <v>2</v>
      </c>
      <c r="AG396" s="101"/>
      <c r="AH396" s="190">
        <v>156</v>
      </c>
      <c r="AI396" s="69">
        <f t="shared" si="83"/>
        <v>156</v>
      </c>
    </row>
    <row r="397" spans="1:35" ht="39" x14ac:dyDescent="0.3">
      <c r="A397" s="207" t="s">
        <v>3088</v>
      </c>
      <c r="B397" s="208" t="s">
        <v>3089</v>
      </c>
      <c r="C397" s="204" t="s">
        <v>97</v>
      </c>
      <c r="D397" s="171"/>
      <c r="E397" s="158"/>
      <c r="F397" s="159"/>
      <c r="G397" s="242">
        <v>1917</v>
      </c>
      <c r="H397" s="219" t="s">
        <v>15</v>
      </c>
      <c r="I397" s="158">
        <v>400.94</v>
      </c>
      <c r="J397" s="159">
        <v>768601.98</v>
      </c>
      <c r="K397" s="172"/>
      <c r="M397" s="46">
        <v>1917</v>
      </c>
      <c r="N397" s="46">
        <v>0</v>
      </c>
      <c r="O397" s="46">
        <v>768601.98</v>
      </c>
      <c r="P397" s="98"/>
      <c r="Q397" s="23" t="s">
        <v>1434</v>
      </c>
      <c r="R397" s="24" t="s">
        <v>3089</v>
      </c>
      <c r="S397" s="25" t="s">
        <v>97</v>
      </c>
      <c r="T397" s="26"/>
      <c r="U397" s="26">
        <v>1917</v>
      </c>
      <c r="V397" s="158">
        <v>400.94</v>
      </c>
      <c r="W397" s="127">
        <f t="shared" si="77"/>
        <v>0</v>
      </c>
      <c r="X397" s="127">
        <f t="shared" si="82"/>
        <v>1917</v>
      </c>
      <c r="Y397" s="127">
        <f t="shared" si="79"/>
        <v>0</v>
      </c>
      <c r="Z397" s="127">
        <f t="shared" si="80"/>
        <v>768601.98</v>
      </c>
      <c r="AA397" s="27"/>
      <c r="AB397" s="36"/>
      <c r="AC397" s="200">
        <v>1917</v>
      </c>
      <c r="AD397" s="181">
        <f t="shared" si="81"/>
        <v>768601.98</v>
      </c>
      <c r="AE397" s="181">
        <v>2</v>
      </c>
      <c r="AF397" s="181">
        <v>2</v>
      </c>
      <c r="AG397" s="101"/>
      <c r="AH397" s="190">
        <v>1917</v>
      </c>
      <c r="AI397" s="69">
        <f t="shared" si="83"/>
        <v>1917</v>
      </c>
    </row>
    <row r="398" spans="1:35" x14ac:dyDescent="0.3">
      <c r="A398" s="207" t="s">
        <v>3090</v>
      </c>
      <c r="B398" s="208" t="s">
        <v>3091</v>
      </c>
      <c r="C398" s="204" t="s">
        <v>97</v>
      </c>
      <c r="D398" s="171"/>
      <c r="E398" s="158"/>
      <c r="F398" s="159"/>
      <c r="G398" s="159">
        <v>380</v>
      </c>
      <c r="H398" s="159" t="s">
        <v>15</v>
      </c>
      <c r="I398" s="158">
        <v>280.95999999999998</v>
      </c>
      <c r="J398" s="159">
        <v>106764.8</v>
      </c>
      <c r="K398" s="172"/>
      <c r="M398" s="46">
        <v>380</v>
      </c>
      <c r="N398" s="46">
        <v>0</v>
      </c>
      <c r="O398" s="46">
        <v>106764.8</v>
      </c>
      <c r="P398" s="98"/>
      <c r="Q398" s="23" t="s">
        <v>1388</v>
      </c>
      <c r="R398" s="24" t="s">
        <v>3091</v>
      </c>
      <c r="S398" s="25" t="s">
        <v>97</v>
      </c>
      <c r="T398" s="26"/>
      <c r="U398" s="26">
        <v>380</v>
      </c>
      <c r="V398" s="158">
        <v>280.95999999999998</v>
      </c>
      <c r="W398" s="127">
        <f t="shared" si="77"/>
        <v>0</v>
      </c>
      <c r="X398" s="127">
        <f t="shared" si="82"/>
        <v>380</v>
      </c>
      <c r="Y398" s="127">
        <f t="shared" si="79"/>
        <v>0</v>
      </c>
      <c r="Z398" s="127">
        <f t="shared" si="80"/>
        <v>106764.8</v>
      </c>
      <c r="AA398" s="27"/>
      <c r="AB398" s="36"/>
      <c r="AC398" s="200">
        <v>380</v>
      </c>
      <c r="AD398" s="181">
        <f t="shared" si="81"/>
        <v>106764.8</v>
      </c>
      <c r="AE398" s="181">
        <v>2</v>
      </c>
      <c r="AF398" s="181">
        <v>2</v>
      </c>
      <c r="AG398" s="101"/>
      <c r="AH398" s="190">
        <v>380</v>
      </c>
      <c r="AI398" s="69">
        <f t="shared" si="83"/>
        <v>380</v>
      </c>
    </row>
    <row r="399" spans="1:35" ht="33" x14ac:dyDescent="0.3">
      <c r="A399" s="207" t="s">
        <v>3092</v>
      </c>
      <c r="B399" s="241" t="s">
        <v>3093</v>
      </c>
      <c r="C399" s="204" t="s">
        <v>97</v>
      </c>
      <c r="D399" s="171"/>
      <c r="E399" s="158"/>
      <c r="F399" s="159"/>
      <c r="G399" s="159">
        <v>660.5</v>
      </c>
      <c r="H399" s="159" t="s">
        <v>15</v>
      </c>
      <c r="I399" s="158">
        <v>800.87</v>
      </c>
      <c r="J399" s="159">
        <v>528974.64</v>
      </c>
      <c r="K399" s="172"/>
      <c r="M399" s="46">
        <v>660.5</v>
      </c>
      <c r="N399" s="46">
        <v>0</v>
      </c>
      <c r="O399" s="46">
        <v>528974.64</v>
      </c>
      <c r="P399" s="98"/>
      <c r="Q399" s="23" t="s">
        <v>1389</v>
      </c>
      <c r="R399" s="24" t="s">
        <v>3093</v>
      </c>
      <c r="S399" s="25" t="s">
        <v>97</v>
      </c>
      <c r="T399" s="26"/>
      <c r="U399" s="26">
        <v>660.5</v>
      </c>
      <c r="V399" s="158">
        <v>800.87</v>
      </c>
      <c r="W399" s="127">
        <f t="shared" si="77"/>
        <v>0</v>
      </c>
      <c r="X399" s="127">
        <f t="shared" si="82"/>
        <v>660.5</v>
      </c>
      <c r="Y399" s="127">
        <f t="shared" si="79"/>
        <v>0</v>
      </c>
      <c r="Z399" s="127">
        <f t="shared" si="80"/>
        <v>528974.64</v>
      </c>
      <c r="AA399" s="27"/>
      <c r="AB399" s="36"/>
      <c r="AC399" s="200">
        <v>660.5</v>
      </c>
      <c r="AD399" s="181">
        <f t="shared" si="81"/>
        <v>528974.64</v>
      </c>
      <c r="AE399" s="181">
        <v>2</v>
      </c>
      <c r="AF399" s="181">
        <v>2</v>
      </c>
      <c r="AG399" s="101"/>
      <c r="AH399" s="190">
        <v>660.5</v>
      </c>
      <c r="AI399" s="69">
        <f t="shared" si="83"/>
        <v>660.5</v>
      </c>
    </row>
    <row r="400" spans="1:35" x14ac:dyDescent="0.3">
      <c r="A400" s="207" t="s">
        <v>3094</v>
      </c>
      <c r="B400" s="208" t="s">
        <v>3095</v>
      </c>
      <c r="C400" s="204" t="s">
        <v>97</v>
      </c>
      <c r="D400" s="171"/>
      <c r="E400" s="158"/>
      <c r="F400" s="159"/>
      <c r="G400" s="159">
        <v>288.5</v>
      </c>
      <c r="H400" s="159" t="s">
        <v>15</v>
      </c>
      <c r="I400" s="158">
        <v>561.91</v>
      </c>
      <c r="J400" s="159">
        <v>162111.04000000001</v>
      </c>
      <c r="K400" s="172"/>
      <c r="M400" s="46">
        <v>288.5</v>
      </c>
      <c r="N400" s="46">
        <v>0</v>
      </c>
      <c r="O400" s="46">
        <v>162111.04000000001</v>
      </c>
      <c r="P400" s="98"/>
      <c r="Q400" s="23" t="s">
        <v>1390</v>
      </c>
      <c r="R400" s="24" t="s">
        <v>3095</v>
      </c>
      <c r="S400" s="25" t="s">
        <v>97</v>
      </c>
      <c r="T400" s="26"/>
      <c r="U400" s="26">
        <v>288.5</v>
      </c>
      <c r="V400" s="158">
        <v>561.91</v>
      </c>
      <c r="W400" s="127">
        <f t="shared" si="77"/>
        <v>0</v>
      </c>
      <c r="X400" s="127">
        <f t="shared" si="82"/>
        <v>288.5</v>
      </c>
      <c r="Y400" s="127">
        <f t="shared" si="79"/>
        <v>0</v>
      </c>
      <c r="Z400" s="127">
        <f t="shared" si="80"/>
        <v>162111.04000000001</v>
      </c>
      <c r="AA400" s="27"/>
      <c r="AB400" s="36"/>
      <c r="AC400" s="200">
        <v>288.5</v>
      </c>
      <c r="AD400" s="181">
        <f t="shared" si="81"/>
        <v>162111.04000000001</v>
      </c>
      <c r="AE400" s="181">
        <v>2</v>
      </c>
      <c r="AF400" s="181">
        <v>2</v>
      </c>
      <c r="AG400" s="101"/>
      <c r="AH400" s="190">
        <v>288.5</v>
      </c>
      <c r="AI400" s="69">
        <f t="shared" si="83"/>
        <v>288.5</v>
      </c>
    </row>
    <row r="401" spans="1:38" ht="39" x14ac:dyDescent="0.3">
      <c r="A401" s="207" t="s">
        <v>3096</v>
      </c>
      <c r="B401" s="208" t="s">
        <v>3097</v>
      </c>
      <c r="C401" s="204" t="s">
        <v>97</v>
      </c>
      <c r="D401" s="171"/>
      <c r="E401" s="158"/>
      <c r="F401" s="159"/>
      <c r="G401" s="159">
        <v>438</v>
      </c>
      <c r="H401" s="159" t="s">
        <v>15</v>
      </c>
      <c r="I401" s="158">
        <v>519.91999999999996</v>
      </c>
      <c r="J401" s="159">
        <v>227724.96</v>
      </c>
      <c r="K401" s="172"/>
      <c r="M401" s="46">
        <v>438</v>
      </c>
      <c r="N401" s="46">
        <v>0</v>
      </c>
      <c r="O401" s="46">
        <v>227724.96</v>
      </c>
      <c r="P401" s="98"/>
      <c r="Q401" s="23" t="s">
        <v>1391</v>
      </c>
      <c r="R401" s="24" t="s">
        <v>3097</v>
      </c>
      <c r="S401" s="25" t="s">
        <v>97</v>
      </c>
      <c r="T401" s="26"/>
      <c r="U401" s="26">
        <v>438</v>
      </c>
      <c r="V401" s="158">
        <v>519.91999999999996</v>
      </c>
      <c r="W401" s="127">
        <f t="shared" si="77"/>
        <v>0</v>
      </c>
      <c r="X401" s="127">
        <f t="shared" si="82"/>
        <v>438</v>
      </c>
      <c r="Y401" s="127">
        <f t="shared" si="79"/>
        <v>0</v>
      </c>
      <c r="Z401" s="127">
        <f t="shared" si="80"/>
        <v>227724.96</v>
      </c>
      <c r="AA401" s="27"/>
      <c r="AB401" s="36"/>
      <c r="AC401" s="200">
        <v>438</v>
      </c>
      <c r="AD401" s="181">
        <f t="shared" si="81"/>
        <v>227724.96</v>
      </c>
      <c r="AE401" s="181">
        <v>2</v>
      </c>
      <c r="AF401" s="181">
        <v>2</v>
      </c>
      <c r="AG401" s="101"/>
      <c r="AH401" s="190">
        <v>438</v>
      </c>
      <c r="AI401" s="69">
        <f t="shared" si="83"/>
        <v>438</v>
      </c>
    </row>
    <row r="402" spans="1:38" ht="39" x14ac:dyDescent="0.3">
      <c r="A402" s="207" t="s">
        <v>3098</v>
      </c>
      <c r="B402" s="208" t="s">
        <v>3099</v>
      </c>
      <c r="C402" s="204" t="s">
        <v>97</v>
      </c>
      <c r="D402" s="171"/>
      <c r="E402" s="158"/>
      <c r="F402" s="159"/>
      <c r="G402" s="159">
        <v>54</v>
      </c>
      <c r="H402" s="159" t="s">
        <v>15</v>
      </c>
      <c r="I402" s="158">
        <v>1579.75</v>
      </c>
      <c r="J402" s="159">
        <v>85306.5</v>
      </c>
      <c r="K402" s="172"/>
      <c r="M402" s="46">
        <v>54</v>
      </c>
      <c r="N402" s="46">
        <v>0</v>
      </c>
      <c r="O402" s="46">
        <v>85306.5</v>
      </c>
      <c r="P402" s="98"/>
      <c r="Q402" s="23" t="s">
        <v>1436</v>
      </c>
      <c r="R402" s="24" t="s">
        <v>3099</v>
      </c>
      <c r="S402" s="25" t="s">
        <v>97</v>
      </c>
      <c r="T402" s="26"/>
      <c r="U402" s="26">
        <v>54</v>
      </c>
      <c r="V402" s="158">
        <v>1579.75</v>
      </c>
      <c r="W402" s="127">
        <f t="shared" si="77"/>
        <v>0</v>
      </c>
      <c r="X402" s="127">
        <f t="shared" si="82"/>
        <v>54</v>
      </c>
      <c r="Y402" s="127">
        <f t="shared" si="79"/>
        <v>0</v>
      </c>
      <c r="Z402" s="127">
        <f t="shared" si="80"/>
        <v>85306.5</v>
      </c>
      <c r="AA402" s="27"/>
      <c r="AB402" s="36"/>
      <c r="AC402" s="200">
        <v>54</v>
      </c>
      <c r="AD402" s="181">
        <f t="shared" si="81"/>
        <v>85306.5</v>
      </c>
      <c r="AE402" s="181">
        <v>2</v>
      </c>
      <c r="AF402" s="181">
        <v>2</v>
      </c>
      <c r="AG402" s="101"/>
      <c r="AH402" s="190">
        <v>54</v>
      </c>
      <c r="AI402" s="69">
        <f t="shared" si="83"/>
        <v>54</v>
      </c>
    </row>
    <row r="403" spans="1:38" ht="39" x14ac:dyDescent="0.3">
      <c r="A403" s="207" t="s">
        <v>3100</v>
      </c>
      <c r="B403" s="208" t="s">
        <v>3101</v>
      </c>
      <c r="C403" s="204" t="s">
        <v>97</v>
      </c>
      <c r="D403" s="171"/>
      <c r="E403" s="158"/>
      <c r="F403" s="159"/>
      <c r="G403" s="159">
        <v>519.5</v>
      </c>
      <c r="H403" s="159" t="s">
        <v>15</v>
      </c>
      <c r="I403" s="158">
        <v>209.97</v>
      </c>
      <c r="J403" s="159">
        <v>109079.42</v>
      </c>
      <c r="K403" s="172"/>
      <c r="M403" s="46">
        <v>519.5</v>
      </c>
      <c r="N403" s="46">
        <v>0</v>
      </c>
      <c r="O403" s="46">
        <v>109079.42</v>
      </c>
      <c r="P403" s="98"/>
      <c r="Q403" s="23" t="s">
        <v>1374</v>
      </c>
      <c r="R403" s="24" t="s">
        <v>3101</v>
      </c>
      <c r="S403" s="25" t="s">
        <v>97</v>
      </c>
      <c r="T403" s="26"/>
      <c r="U403" s="26">
        <v>519.5</v>
      </c>
      <c r="V403" s="158">
        <v>209.97</v>
      </c>
      <c r="W403" s="127">
        <f t="shared" si="77"/>
        <v>0</v>
      </c>
      <c r="X403" s="127">
        <f t="shared" si="82"/>
        <v>519.5</v>
      </c>
      <c r="Y403" s="127">
        <f t="shared" si="79"/>
        <v>0</v>
      </c>
      <c r="Z403" s="127">
        <f t="shared" si="80"/>
        <v>109079.42</v>
      </c>
      <c r="AA403" s="27"/>
      <c r="AB403" s="36"/>
      <c r="AC403" s="200">
        <v>519.5</v>
      </c>
      <c r="AD403" s="181">
        <f t="shared" si="81"/>
        <v>109079.42</v>
      </c>
      <c r="AE403" s="181">
        <v>2</v>
      </c>
      <c r="AF403" s="181">
        <v>2</v>
      </c>
      <c r="AG403" s="101"/>
      <c r="AH403" s="190">
        <v>519.5</v>
      </c>
      <c r="AI403" s="69">
        <f t="shared" si="83"/>
        <v>519.5</v>
      </c>
    </row>
    <row r="404" spans="1:38" ht="49.5" x14ac:dyDescent="0.3">
      <c r="A404" s="207" t="s">
        <v>3102</v>
      </c>
      <c r="B404" s="241" t="s">
        <v>3103</v>
      </c>
      <c r="C404" s="204" t="s">
        <v>66</v>
      </c>
      <c r="D404" s="171"/>
      <c r="E404" s="158"/>
      <c r="F404" s="159"/>
      <c r="G404" s="159">
        <v>5</v>
      </c>
      <c r="H404" s="159" t="s">
        <v>15</v>
      </c>
      <c r="I404" s="158">
        <v>10798.3</v>
      </c>
      <c r="J404" s="159">
        <v>53991.5</v>
      </c>
      <c r="K404" s="172"/>
      <c r="M404" s="46">
        <v>5</v>
      </c>
      <c r="N404" s="46">
        <v>0</v>
      </c>
      <c r="O404" s="46">
        <v>53991.5</v>
      </c>
      <c r="P404" s="98"/>
      <c r="Q404" s="23" t="s">
        <v>1376</v>
      </c>
      <c r="R404" s="24" t="s">
        <v>3103</v>
      </c>
      <c r="S404" s="25" t="s">
        <v>66</v>
      </c>
      <c r="T404" s="26"/>
      <c r="U404" s="26">
        <v>5</v>
      </c>
      <c r="V404" s="158">
        <v>10798.3</v>
      </c>
      <c r="W404" s="127">
        <f t="shared" si="77"/>
        <v>0</v>
      </c>
      <c r="X404" s="127">
        <f t="shared" si="82"/>
        <v>5</v>
      </c>
      <c r="Y404" s="127">
        <f t="shared" si="79"/>
        <v>0</v>
      </c>
      <c r="Z404" s="127">
        <f t="shared" si="80"/>
        <v>53991.5</v>
      </c>
      <c r="AA404" s="27"/>
      <c r="AB404" s="36"/>
      <c r="AC404" s="200">
        <v>5</v>
      </c>
      <c r="AD404" s="181">
        <f t="shared" si="81"/>
        <v>53991.5</v>
      </c>
      <c r="AE404" s="181">
        <v>2</v>
      </c>
      <c r="AF404" s="181">
        <v>2</v>
      </c>
      <c r="AG404" s="101"/>
      <c r="AH404" s="190">
        <v>5</v>
      </c>
      <c r="AI404" s="69">
        <f t="shared" si="83"/>
        <v>5</v>
      </c>
    </row>
    <row r="405" spans="1:38" ht="49.5" x14ac:dyDescent="0.3">
      <c r="A405" s="207" t="s">
        <v>3104</v>
      </c>
      <c r="B405" s="241" t="s">
        <v>3105</v>
      </c>
      <c r="C405" s="204" t="s">
        <v>66</v>
      </c>
      <c r="D405" s="171"/>
      <c r="E405" s="158"/>
      <c r="F405" s="159"/>
      <c r="G405" s="159">
        <v>6</v>
      </c>
      <c r="H405" s="159" t="s">
        <v>15</v>
      </c>
      <c r="I405" s="158">
        <v>7248.86</v>
      </c>
      <c r="J405" s="159">
        <v>43493.16</v>
      </c>
      <c r="K405" s="172"/>
      <c r="M405" s="46">
        <v>6</v>
      </c>
      <c r="N405" s="46">
        <v>0</v>
      </c>
      <c r="O405" s="46">
        <v>43493.16</v>
      </c>
      <c r="P405" s="98"/>
      <c r="Q405" s="23" t="s">
        <v>1378</v>
      </c>
      <c r="R405" s="24" t="s">
        <v>3105</v>
      </c>
      <c r="S405" s="25" t="s">
        <v>66</v>
      </c>
      <c r="T405" s="26"/>
      <c r="U405" s="26">
        <v>6</v>
      </c>
      <c r="V405" s="158">
        <v>7248.86</v>
      </c>
      <c r="W405" s="127">
        <f t="shared" si="77"/>
        <v>0</v>
      </c>
      <c r="X405" s="127">
        <f t="shared" si="82"/>
        <v>6</v>
      </c>
      <c r="Y405" s="127">
        <f t="shared" si="79"/>
        <v>0</v>
      </c>
      <c r="Z405" s="127">
        <f t="shared" si="80"/>
        <v>43493.16</v>
      </c>
      <c r="AA405" s="27"/>
      <c r="AB405" s="36"/>
      <c r="AC405" s="200">
        <v>6</v>
      </c>
      <c r="AD405" s="181">
        <f t="shared" si="81"/>
        <v>43493.16</v>
      </c>
      <c r="AE405" s="181">
        <v>2</v>
      </c>
      <c r="AF405" s="181">
        <v>2</v>
      </c>
      <c r="AG405" s="101"/>
      <c r="AH405" s="190">
        <v>6</v>
      </c>
      <c r="AI405" s="69">
        <f t="shared" si="83"/>
        <v>6</v>
      </c>
    </row>
    <row r="406" spans="1:38" ht="25.5" customHeight="1" x14ac:dyDescent="0.3">
      <c r="A406" s="233">
        <v>2.29</v>
      </c>
      <c r="B406" s="180" t="s">
        <v>1527</v>
      </c>
      <c r="C406" s="58" t="s">
        <v>97</v>
      </c>
      <c r="D406" s="230"/>
      <c r="E406" s="230"/>
      <c r="F406" s="59"/>
      <c r="G406" s="59"/>
      <c r="H406" s="59">
        <v>320</v>
      </c>
      <c r="I406" s="230">
        <v>280</v>
      </c>
      <c r="J406" s="59">
        <v>89600</v>
      </c>
      <c r="K406" s="234"/>
      <c r="M406" s="46">
        <v>0</v>
      </c>
      <c r="N406" s="46">
        <v>0</v>
      </c>
      <c r="O406" s="46">
        <v>0</v>
      </c>
      <c r="P406" s="98"/>
      <c r="Q406" s="23">
        <v>29</v>
      </c>
      <c r="R406" s="24" t="s">
        <v>1527</v>
      </c>
      <c r="S406" s="25" t="s">
        <v>97</v>
      </c>
      <c r="T406" s="26"/>
      <c r="U406" s="26">
        <v>320</v>
      </c>
      <c r="V406" s="158">
        <v>280</v>
      </c>
      <c r="W406" s="26">
        <f t="shared" si="77"/>
        <v>0</v>
      </c>
      <c r="X406" s="26">
        <f t="shared" si="82"/>
        <v>0</v>
      </c>
      <c r="Y406" s="26">
        <f t="shared" si="79"/>
        <v>0</v>
      </c>
      <c r="Z406" s="26">
        <f t="shared" si="80"/>
        <v>0</v>
      </c>
      <c r="AA406" s="27"/>
      <c r="AB406" s="36"/>
      <c r="AC406" s="200">
        <v>320</v>
      </c>
      <c r="AD406" s="181">
        <f t="shared" si="81"/>
        <v>89600</v>
      </c>
      <c r="AE406" s="200">
        <v>2</v>
      </c>
      <c r="AF406" s="200"/>
      <c r="AG406" s="101"/>
      <c r="AH406" s="190">
        <v>0</v>
      </c>
      <c r="AI406" s="69">
        <f t="shared" si="83"/>
        <v>0</v>
      </c>
    </row>
    <row r="407" spans="1:38" s="69" customFormat="1" ht="33" customHeight="1" x14ac:dyDescent="0.3">
      <c r="A407" s="150" t="s">
        <v>1039</v>
      </c>
      <c r="B407" s="151" t="s">
        <v>1040</v>
      </c>
      <c r="C407" s="152" t="s">
        <v>14</v>
      </c>
      <c r="D407" s="153">
        <v>1</v>
      </c>
      <c r="E407" s="153"/>
      <c r="F407" s="153"/>
      <c r="G407" s="153"/>
      <c r="H407" s="153"/>
      <c r="I407" s="153"/>
      <c r="J407" s="153">
        <v>3727423.71</v>
      </c>
      <c r="K407" s="154" t="s">
        <v>15</v>
      </c>
      <c r="L407" s="73"/>
      <c r="M407" s="42">
        <v>1</v>
      </c>
      <c r="N407" s="42">
        <v>0</v>
      </c>
      <c r="O407" s="42">
        <v>2608273.7099999995</v>
      </c>
      <c r="P407" s="98"/>
      <c r="Q407" s="13" t="s">
        <v>1407</v>
      </c>
      <c r="R407" s="14" t="s">
        <v>1040</v>
      </c>
      <c r="S407" s="15" t="s">
        <v>14</v>
      </c>
      <c r="T407" s="16">
        <v>1</v>
      </c>
      <c r="U407" s="16"/>
      <c r="V407" s="16">
        <f>SUMIFS(AD:AD,AE:AE,AE407)</f>
        <v>3727423.7099999995</v>
      </c>
      <c r="W407" s="16">
        <f t="shared" ref="W407:X407" si="84">IF(Y407=0,0,1)</f>
        <v>0</v>
      </c>
      <c r="X407" s="16">
        <f t="shared" si="84"/>
        <v>1</v>
      </c>
      <c r="Y407" s="16">
        <f>SUMIFS(Y:Y,AF:AF,AE407)</f>
        <v>0</v>
      </c>
      <c r="Z407" s="16">
        <f>SUMIFS(Z:Z,AF:AF,AE407)</f>
        <v>2608273.7099999995</v>
      </c>
      <c r="AA407" s="17" t="s">
        <v>15</v>
      </c>
      <c r="AB407" s="40" t="s">
        <v>16</v>
      </c>
      <c r="AC407" s="181">
        <f t="shared" si="65"/>
        <v>1</v>
      </c>
      <c r="AD407" s="183"/>
      <c r="AE407" s="183">
        <v>3</v>
      </c>
      <c r="AF407" s="183"/>
      <c r="AG407" s="101" t="str">
        <f t="shared" si="66"/>
        <v/>
      </c>
      <c r="AH407" s="190">
        <v>1</v>
      </c>
      <c r="AI407" s="69">
        <f t="shared" si="83"/>
        <v>1</v>
      </c>
    </row>
    <row r="408" spans="1:38" s="69" customFormat="1" ht="66" x14ac:dyDescent="0.3">
      <c r="A408" s="55" t="s">
        <v>1041</v>
      </c>
      <c r="B408" s="138" t="s">
        <v>1042</v>
      </c>
      <c r="C408" s="54" t="s">
        <v>162</v>
      </c>
      <c r="D408" s="75">
        <v>340</v>
      </c>
      <c r="E408" s="75"/>
      <c r="F408" s="75"/>
      <c r="G408" s="75"/>
      <c r="H408" s="75"/>
      <c r="I408" s="75">
        <v>300</v>
      </c>
      <c r="J408" s="75">
        <v>102000</v>
      </c>
      <c r="K408" s="91" t="s">
        <v>1043</v>
      </c>
      <c r="L408" s="73"/>
      <c r="M408" s="46">
        <v>219</v>
      </c>
      <c r="N408" s="46">
        <v>0</v>
      </c>
      <c r="O408" s="46">
        <v>65700</v>
      </c>
      <c r="P408" s="98"/>
      <c r="Q408" s="23" t="s">
        <v>1421</v>
      </c>
      <c r="R408" s="24" t="s">
        <v>1042</v>
      </c>
      <c r="S408" s="25" t="s">
        <v>162</v>
      </c>
      <c r="T408" s="26">
        <v>340</v>
      </c>
      <c r="U408" s="26">
        <v>340</v>
      </c>
      <c r="V408" s="26">
        <v>300</v>
      </c>
      <c r="W408" s="128">
        <f t="shared" ref="W408:W446" si="85">AH408-M408</f>
        <v>0</v>
      </c>
      <c r="X408" s="26">
        <f t="shared" si="78"/>
        <v>219</v>
      </c>
      <c r="Y408" s="26">
        <f t="shared" ref="Y408:Y446" si="86">Z408-O408</f>
        <v>0</v>
      </c>
      <c r="Z408" s="26">
        <f t="shared" ref="Z408:Z446" si="87">ROUND(V408*X408,2)</f>
        <v>65700</v>
      </c>
      <c r="AA408" s="33" t="s">
        <v>15</v>
      </c>
      <c r="AB408" s="36" t="s">
        <v>16</v>
      </c>
      <c r="AC408" s="181">
        <f t="shared" si="65"/>
        <v>340</v>
      </c>
      <c r="AD408" s="181">
        <f t="shared" ref="AD408:AD446" si="88">ROUND(V408*AC408,2)</f>
        <v>102000</v>
      </c>
      <c r="AE408" s="181">
        <v>3</v>
      </c>
      <c r="AF408" s="181">
        <v>3</v>
      </c>
      <c r="AG408" s="101" t="str">
        <f t="shared" si="66"/>
        <v/>
      </c>
      <c r="AH408" s="190">
        <v>219</v>
      </c>
      <c r="AI408" s="69">
        <f t="shared" si="83"/>
        <v>340</v>
      </c>
      <c r="AL408" s="69">
        <v>0</v>
      </c>
    </row>
    <row r="409" spans="1:38" s="69" customFormat="1" ht="49.5" x14ac:dyDescent="0.3">
      <c r="A409" s="55" t="s">
        <v>1044</v>
      </c>
      <c r="B409" s="138" t="s">
        <v>1045</v>
      </c>
      <c r="C409" s="54" t="s">
        <v>325</v>
      </c>
      <c r="D409" s="75">
        <v>68</v>
      </c>
      <c r="E409" s="75"/>
      <c r="F409" s="75"/>
      <c r="G409" s="75"/>
      <c r="H409" s="75"/>
      <c r="I409" s="75">
        <v>3000</v>
      </c>
      <c r="J409" s="75">
        <v>204000</v>
      </c>
      <c r="K409" s="91" t="s">
        <v>1046</v>
      </c>
      <c r="L409" s="73"/>
      <c r="M409" s="46">
        <v>52</v>
      </c>
      <c r="N409" s="46">
        <v>0</v>
      </c>
      <c r="O409" s="46">
        <v>156000</v>
      </c>
      <c r="P409" s="98"/>
      <c r="Q409" s="23" t="s">
        <v>1426</v>
      </c>
      <c r="R409" s="24" t="s">
        <v>1045</v>
      </c>
      <c r="S409" s="25" t="s">
        <v>325</v>
      </c>
      <c r="T409" s="26">
        <v>68</v>
      </c>
      <c r="U409" s="26">
        <v>68</v>
      </c>
      <c r="V409" s="26">
        <v>3000</v>
      </c>
      <c r="W409" s="128">
        <f t="shared" si="85"/>
        <v>0</v>
      </c>
      <c r="X409" s="26">
        <f t="shared" si="78"/>
        <v>52</v>
      </c>
      <c r="Y409" s="26">
        <f t="shared" si="86"/>
        <v>0</v>
      </c>
      <c r="Z409" s="26">
        <f t="shared" si="87"/>
        <v>156000</v>
      </c>
      <c r="AA409" s="33" t="s">
        <v>15</v>
      </c>
      <c r="AB409" s="36" t="s">
        <v>16</v>
      </c>
      <c r="AC409" s="181">
        <f t="shared" si="65"/>
        <v>68</v>
      </c>
      <c r="AD409" s="181">
        <f t="shared" si="88"/>
        <v>204000</v>
      </c>
      <c r="AE409" s="181">
        <v>3</v>
      </c>
      <c r="AF409" s="181">
        <v>3</v>
      </c>
      <c r="AG409" s="101" t="str">
        <f t="shared" si="66"/>
        <v/>
      </c>
      <c r="AH409" s="190">
        <v>52</v>
      </c>
      <c r="AI409" s="69">
        <f t="shared" si="83"/>
        <v>68</v>
      </c>
      <c r="AL409" s="69">
        <v>0</v>
      </c>
    </row>
    <row r="410" spans="1:38" s="69" customFormat="1" ht="33" x14ac:dyDescent="0.3">
      <c r="A410" s="55" t="s">
        <v>1047</v>
      </c>
      <c r="B410" s="138" t="s">
        <v>1048</v>
      </c>
      <c r="C410" s="54" t="s">
        <v>325</v>
      </c>
      <c r="D410" s="75">
        <v>68</v>
      </c>
      <c r="E410" s="75"/>
      <c r="F410" s="75"/>
      <c r="G410" s="75"/>
      <c r="H410" s="75"/>
      <c r="I410" s="75">
        <v>150</v>
      </c>
      <c r="J410" s="75">
        <v>10200</v>
      </c>
      <c r="K410" s="91" t="s">
        <v>1049</v>
      </c>
      <c r="L410" s="73"/>
      <c r="M410" s="46">
        <v>52</v>
      </c>
      <c r="N410" s="46">
        <v>0</v>
      </c>
      <c r="O410" s="46">
        <v>7800</v>
      </c>
      <c r="P410" s="98"/>
      <c r="Q410" s="23" t="s">
        <v>1402</v>
      </c>
      <c r="R410" s="24" t="s">
        <v>1048</v>
      </c>
      <c r="S410" s="25" t="s">
        <v>325</v>
      </c>
      <c r="T410" s="26">
        <v>68</v>
      </c>
      <c r="U410" s="26">
        <v>68</v>
      </c>
      <c r="V410" s="26">
        <v>150</v>
      </c>
      <c r="W410" s="128">
        <f t="shared" si="85"/>
        <v>0</v>
      </c>
      <c r="X410" s="26">
        <f t="shared" si="78"/>
        <v>52</v>
      </c>
      <c r="Y410" s="26">
        <f t="shared" si="86"/>
        <v>0</v>
      </c>
      <c r="Z410" s="26">
        <f t="shared" si="87"/>
        <v>7800</v>
      </c>
      <c r="AA410" s="33" t="s">
        <v>15</v>
      </c>
      <c r="AB410" s="36" t="s">
        <v>16</v>
      </c>
      <c r="AC410" s="181">
        <f t="shared" si="65"/>
        <v>68</v>
      </c>
      <c r="AD410" s="181">
        <f t="shared" si="88"/>
        <v>10200</v>
      </c>
      <c r="AE410" s="181">
        <v>3</v>
      </c>
      <c r="AF410" s="181">
        <v>3</v>
      </c>
      <c r="AG410" s="101" t="str">
        <f t="shared" si="66"/>
        <v/>
      </c>
      <c r="AH410" s="190">
        <v>52</v>
      </c>
      <c r="AI410" s="69">
        <f t="shared" si="83"/>
        <v>68</v>
      </c>
      <c r="AL410" s="69">
        <v>0</v>
      </c>
    </row>
    <row r="411" spans="1:38" s="69" customFormat="1" ht="49.5" x14ac:dyDescent="0.3">
      <c r="A411" s="55" t="s">
        <v>1050</v>
      </c>
      <c r="B411" s="138" t="s">
        <v>1051</v>
      </c>
      <c r="C411" s="54" t="s">
        <v>1052</v>
      </c>
      <c r="D411" s="75">
        <v>9</v>
      </c>
      <c r="E411" s="75"/>
      <c r="F411" s="75"/>
      <c r="G411" s="75"/>
      <c r="H411" s="75"/>
      <c r="I411" s="75">
        <v>1200</v>
      </c>
      <c r="J411" s="75">
        <v>10800</v>
      </c>
      <c r="K411" s="91" t="s">
        <v>1053</v>
      </c>
      <c r="L411" s="73"/>
      <c r="M411" s="46">
        <v>3</v>
      </c>
      <c r="N411" s="46">
        <v>0</v>
      </c>
      <c r="O411" s="46">
        <v>3600</v>
      </c>
      <c r="P411" s="98"/>
      <c r="Q411" s="23" t="s">
        <v>1373</v>
      </c>
      <c r="R411" s="24" t="s">
        <v>1051</v>
      </c>
      <c r="S411" s="25" t="s">
        <v>1052</v>
      </c>
      <c r="T411" s="26">
        <v>9</v>
      </c>
      <c r="U411" s="26">
        <v>9</v>
      </c>
      <c r="V411" s="26">
        <v>1200</v>
      </c>
      <c r="W411" s="243">
        <f t="shared" si="85"/>
        <v>0</v>
      </c>
      <c r="X411" s="26">
        <f t="shared" si="78"/>
        <v>3</v>
      </c>
      <c r="Y411" s="26">
        <f t="shared" si="86"/>
        <v>0</v>
      </c>
      <c r="Z411" s="26">
        <f t="shared" si="87"/>
        <v>3600</v>
      </c>
      <c r="AA411" s="33" t="s">
        <v>15</v>
      </c>
      <c r="AB411" s="36" t="s">
        <v>16</v>
      </c>
      <c r="AC411" s="181">
        <f t="shared" si="65"/>
        <v>9</v>
      </c>
      <c r="AD411" s="181">
        <f t="shared" si="88"/>
        <v>10800</v>
      </c>
      <c r="AE411" s="181">
        <v>3</v>
      </c>
      <c r="AF411" s="181">
        <v>3</v>
      </c>
      <c r="AG411" s="101" t="str">
        <f t="shared" si="66"/>
        <v/>
      </c>
      <c r="AH411" s="191">
        <f>3</f>
        <v>3</v>
      </c>
      <c r="AI411" s="69">
        <f t="shared" si="83"/>
        <v>9</v>
      </c>
      <c r="AL411" s="69">
        <v>0</v>
      </c>
    </row>
    <row r="412" spans="1:38" s="69" customFormat="1" ht="66" x14ac:dyDescent="0.3">
      <c r="A412" s="55" t="s">
        <v>1054</v>
      </c>
      <c r="B412" s="138" t="s">
        <v>3114</v>
      </c>
      <c r="C412" s="54" t="s">
        <v>325</v>
      </c>
      <c r="D412" s="75">
        <v>38</v>
      </c>
      <c r="E412" s="75"/>
      <c r="F412" s="75"/>
      <c r="G412" s="75"/>
      <c r="H412" s="75"/>
      <c r="I412" s="75">
        <v>650</v>
      </c>
      <c r="J412" s="75">
        <v>24700</v>
      </c>
      <c r="K412" s="91" t="s">
        <v>1056</v>
      </c>
      <c r="L412" s="73"/>
      <c r="M412" s="46">
        <v>25</v>
      </c>
      <c r="N412" s="46">
        <v>0</v>
      </c>
      <c r="O412" s="46">
        <v>16250</v>
      </c>
      <c r="P412" s="98"/>
      <c r="Q412" s="23" t="s">
        <v>1393</v>
      </c>
      <c r="R412" s="24" t="s">
        <v>1055</v>
      </c>
      <c r="S412" s="25" t="s">
        <v>325</v>
      </c>
      <c r="T412" s="26">
        <v>38</v>
      </c>
      <c r="U412" s="26">
        <v>38</v>
      </c>
      <c r="V412" s="26">
        <v>650</v>
      </c>
      <c r="W412" s="243">
        <f t="shared" si="85"/>
        <v>0</v>
      </c>
      <c r="X412" s="26">
        <f t="shared" si="78"/>
        <v>25</v>
      </c>
      <c r="Y412" s="26">
        <f t="shared" si="86"/>
        <v>0</v>
      </c>
      <c r="Z412" s="26">
        <f t="shared" si="87"/>
        <v>16250</v>
      </c>
      <c r="AA412" s="33" t="s">
        <v>15</v>
      </c>
      <c r="AB412" s="36" t="s">
        <v>16</v>
      </c>
      <c r="AC412" s="181">
        <f t="shared" si="65"/>
        <v>38</v>
      </c>
      <c r="AD412" s="181">
        <f t="shared" si="88"/>
        <v>24700</v>
      </c>
      <c r="AE412" s="181">
        <v>3</v>
      </c>
      <c r="AF412" s="181">
        <v>3</v>
      </c>
      <c r="AG412" s="101" t="str">
        <f t="shared" si="66"/>
        <v/>
      </c>
      <c r="AH412" s="191">
        <f>12+13</f>
        <v>25</v>
      </c>
      <c r="AI412" s="69">
        <f t="shared" si="83"/>
        <v>38</v>
      </c>
      <c r="AL412" s="69">
        <v>0</v>
      </c>
    </row>
    <row r="413" spans="1:38" s="69" customFormat="1" ht="66" customHeight="1" x14ac:dyDescent="0.3">
      <c r="A413" s="55" t="s">
        <v>1057</v>
      </c>
      <c r="B413" s="138" t="s">
        <v>3115</v>
      </c>
      <c r="C413" s="54" t="s">
        <v>325</v>
      </c>
      <c r="D413" s="75">
        <v>38</v>
      </c>
      <c r="E413" s="75"/>
      <c r="F413" s="75"/>
      <c r="G413" s="75"/>
      <c r="H413" s="75"/>
      <c r="I413" s="75">
        <v>1300</v>
      </c>
      <c r="J413" s="75">
        <v>49400</v>
      </c>
      <c r="K413" s="91" t="s">
        <v>1059</v>
      </c>
      <c r="L413" s="73"/>
      <c r="M413" s="46">
        <v>25</v>
      </c>
      <c r="N413" s="46">
        <v>0</v>
      </c>
      <c r="O413" s="46">
        <v>32500</v>
      </c>
      <c r="P413" s="98"/>
      <c r="Q413" s="23" t="s">
        <v>1403</v>
      </c>
      <c r="R413" s="24" t="s">
        <v>1058</v>
      </c>
      <c r="S413" s="25" t="s">
        <v>325</v>
      </c>
      <c r="T413" s="26">
        <v>38</v>
      </c>
      <c r="U413" s="26">
        <v>38</v>
      </c>
      <c r="V413" s="26">
        <v>1300</v>
      </c>
      <c r="W413" s="243">
        <f t="shared" si="85"/>
        <v>0</v>
      </c>
      <c r="X413" s="26">
        <f t="shared" si="78"/>
        <v>25</v>
      </c>
      <c r="Y413" s="26">
        <f t="shared" si="86"/>
        <v>0</v>
      </c>
      <c r="Z413" s="26">
        <f t="shared" si="87"/>
        <v>32500</v>
      </c>
      <c r="AA413" s="33" t="s">
        <v>15</v>
      </c>
      <c r="AB413" s="36" t="s">
        <v>16</v>
      </c>
      <c r="AC413" s="181">
        <f t="shared" ref="AC413:AC477" si="89">IF(U413="",T413,U413)</f>
        <v>38</v>
      </c>
      <c r="AD413" s="181">
        <f t="shared" si="88"/>
        <v>49400</v>
      </c>
      <c r="AE413" s="181">
        <v>3</v>
      </c>
      <c r="AF413" s="181">
        <v>3</v>
      </c>
      <c r="AG413" s="101" t="str">
        <f t="shared" ref="AG413:AG477" si="90">IF(X413&gt;AI413,"超估","")</f>
        <v/>
      </c>
      <c r="AH413" s="191">
        <f>AH412</f>
        <v>25</v>
      </c>
      <c r="AI413" s="69">
        <f t="shared" si="83"/>
        <v>38</v>
      </c>
      <c r="AL413" s="69">
        <v>0</v>
      </c>
    </row>
    <row r="414" spans="1:38" s="69" customFormat="1" ht="66" customHeight="1" x14ac:dyDescent="0.3">
      <c r="A414" s="55" t="s">
        <v>1060</v>
      </c>
      <c r="B414" s="138" t="s">
        <v>3116</v>
      </c>
      <c r="C414" s="54" t="s">
        <v>325</v>
      </c>
      <c r="D414" s="75">
        <v>7</v>
      </c>
      <c r="E414" s="75"/>
      <c r="F414" s="75"/>
      <c r="G414" s="75"/>
      <c r="H414" s="75"/>
      <c r="I414" s="75">
        <v>3500</v>
      </c>
      <c r="J414" s="75">
        <v>24500</v>
      </c>
      <c r="K414" s="91" t="s">
        <v>1062</v>
      </c>
      <c r="L414" s="73"/>
      <c r="M414" s="46">
        <v>0</v>
      </c>
      <c r="N414" s="46">
        <v>0</v>
      </c>
      <c r="O414" s="46">
        <v>0</v>
      </c>
      <c r="P414" s="98"/>
      <c r="Q414" s="23" t="s">
        <v>1427</v>
      </c>
      <c r="R414" s="24" t="s">
        <v>1061</v>
      </c>
      <c r="S414" s="25" t="s">
        <v>325</v>
      </c>
      <c r="T414" s="26">
        <v>7</v>
      </c>
      <c r="U414" s="26">
        <v>7</v>
      </c>
      <c r="V414" s="26">
        <v>3500</v>
      </c>
      <c r="W414" s="26">
        <f t="shared" si="85"/>
        <v>0</v>
      </c>
      <c r="X414" s="26">
        <f t="shared" si="78"/>
        <v>0</v>
      </c>
      <c r="Y414" s="26">
        <f t="shared" si="86"/>
        <v>0</v>
      </c>
      <c r="Z414" s="26">
        <f t="shared" si="87"/>
        <v>0</v>
      </c>
      <c r="AA414" s="33" t="s">
        <v>15</v>
      </c>
      <c r="AB414" s="36" t="s">
        <v>16</v>
      </c>
      <c r="AC414" s="181">
        <f t="shared" si="89"/>
        <v>7</v>
      </c>
      <c r="AD414" s="181">
        <f t="shared" si="88"/>
        <v>24500</v>
      </c>
      <c r="AE414" s="181">
        <v>3</v>
      </c>
      <c r="AF414" s="181">
        <v>3</v>
      </c>
      <c r="AG414" s="101" t="str">
        <f t="shared" si="90"/>
        <v/>
      </c>
      <c r="AH414" s="190">
        <v>0</v>
      </c>
      <c r="AI414" s="69">
        <f t="shared" si="83"/>
        <v>7</v>
      </c>
      <c r="AL414" s="69">
        <v>0</v>
      </c>
    </row>
    <row r="415" spans="1:38" s="69" customFormat="1" ht="66" customHeight="1" x14ac:dyDescent="0.3">
      <c r="A415" s="55" t="s">
        <v>1063</v>
      </c>
      <c r="B415" s="138" t="s">
        <v>1064</v>
      </c>
      <c r="C415" s="54" t="s">
        <v>325</v>
      </c>
      <c r="D415" s="75">
        <v>5</v>
      </c>
      <c r="E415" s="75"/>
      <c r="F415" s="75"/>
      <c r="G415" s="75"/>
      <c r="H415" s="75"/>
      <c r="I415" s="75">
        <v>700</v>
      </c>
      <c r="J415" s="75">
        <v>3500</v>
      </c>
      <c r="K415" s="91" t="s">
        <v>1065</v>
      </c>
      <c r="L415" s="73"/>
      <c r="M415" s="46">
        <v>0</v>
      </c>
      <c r="N415" s="46">
        <v>0</v>
      </c>
      <c r="O415" s="46">
        <v>0</v>
      </c>
      <c r="P415" s="98"/>
      <c r="Q415" s="23" t="s">
        <v>1428</v>
      </c>
      <c r="R415" s="24" t="s">
        <v>1064</v>
      </c>
      <c r="S415" s="25" t="s">
        <v>325</v>
      </c>
      <c r="T415" s="26">
        <v>5</v>
      </c>
      <c r="U415" s="26">
        <v>5</v>
      </c>
      <c r="V415" s="26">
        <v>700</v>
      </c>
      <c r="W415" s="26">
        <f t="shared" si="85"/>
        <v>0</v>
      </c>
      <c r="X415" s="26">
        <f t="shared" si="78"/>
        <v>0</v>
      </c>
      <c r="Y415" s="26">
        <f t="shared" si="86"/>
        <v>0</v>
      </c>
      <c r="Z415" s="26">
        <f t="shared" si="87"/>
        <v>0</v>
      </c>
      <c r="AA415" s="33" t="s">
        <v>15</v>
      </c>
      <c r="AB415" s="36" t="s">
        <v>16</v>
      </c>
      <c r="AC415" s="181">
        <f t="shared" si="89"/>
        <v>5</v>
      </c>
      <c r="AD415" s="181">
        <f t="shared" si="88"/>
        <v>3500</v>
      </c>
      <c r="AE415" s="181">
        <v>3</v>
      </c>
      <c r="AF415" s="181">
        <v>3</v>
      </c>
      <c r="AG415" s="101" t="str">
        <f t="shared" si="90"/>
        <v/>
      </c>
      <c r="AH415" s="190">
        <v>0</v>
      </c>
      <c r="AI415" s="69">
        <f t="shared" si="83"/>
        <v>5</v>
      </c>
      <c r="AL415" s="69">
        <v>0</v>
      </c>
    </row>
    <row r="416" spans="1:38" s="69" customFormat="1" ht="49.5" customHeight="1" x14ac:dyDescent="0.3">
      <c r="A416" s="55" t="s">
        <v>1066</v>
      </c>
      <c r="B416" s="138" t="s">
        <v>1067</v>
      </c>
      <c r="C416" s="54" t="s">
        <v>66</v>
      </c>
      <c r="D416" s="75">
        <v>1</v>
      </c>
      <c r="E416" s="75"/>
      <c r="F416" s="75"/>
      <c r="G416" s="75"/>
      <c r="H416" s="75"/>
      <c r="I416" s="75">
        <v>15000</v>
      </c>
      <c r="J416" s="75">
        <v>15000</v>
      </c>
      <c r="K416" s="91" t="s">
        <v>1068</v>
      </c>
      <c r="L416" s="73"/>
      <c r="M416" s="46">
        <v>0</v>
      </c>
      <c r="N416" s="46">
        <v>0</v>
      </c>
      <c r="O416" s="46">
        <v>0</v>
      </c>
      <c r="P416" s="98"/>
      <c r="Q416" s="23" t="s">
        <v>1387</v>
      </c>
      <c r="R416" s="24" t="s">
        <v>1067</v>
      </c>
      <c r="S416" s="25" t="s">
        <v>66</v>
      </c>
      <c r="T416" s="26">
        <v>1</v>
      </c>
      <c r="U416" s="26">
        <v>1</v>
      </c>
      <c r="V416" s="26">
        <v>15000</v>
      </c>
      <c r="W416" s="26">
        <f t="shared" si="85"/>
        <v>0</v>
      </c>
      <c r="X416" s="26">
        <f t="shared" si="78"/>
        <v>0</v>
      </c>
      <c r="Y416" s="26">
        <f t="shared" si="86"/>
        <v>0</v>
      </c>
      <c r="Z416" s="26">
        <f t="shared" si="87"/>
        <v>0</v>
      </c>
      <c r="AA416" s="33" t="s">
        <v>15</v>
      </c>
      <c r="AB416" s="36" t="s">
        <v>16</v>
      </c>
      <c r="AC416" s="181">
        <f t="shared" si="89"/>
        <v>1</v>
      </c>
      <c r="AD416" s="181">
        <f t="shared" si="88"/>
        <v>15000</v>
      </c>
      <c r="AE416" s="181">
        <v>3</v>
      </c>
      <c r="AF416" s="181">
        <v>3</v>
      </c>
      <c r="AG416" s="101" t="str">
        <f t="shared" si="90"/>
        <v/>
      </c>
      <c r="AH416" s="190">
        <v>0</v>
      </c>
      <c r="AI416" s="69">
        <f t="shared" si="83"/>
        <v>1</v>
      </c>
      <c r="AL416" s="69">
        <v>0</v>
      </c>
    </row>
    <row r="417" spans="1:38" s="69" customFormat="1" ht="49.5" customHeight="1" x14ac:dyDescent="0.3">
      <c r="A417" s="55" t="s">
        <v>1069</v>
      </c>
      <c r="B417" s="138" t="s">
        <v>1070</v>
      </c>
      <c r="C417" s="54" t="s">
        <v>325</v>
      </c>
      <c r="D417" s="75">
        <v>1</v>
      </c>
      <c r="E417" s="75"/>
      <c r="F417" s="75"/>
      <c r="G417" s="75"/>
      <c r="H417" s="75"/>
      <c r="I417" s="75">
        <v>6000</v>
      </c>
      <c r="J417" s="75">
        <v>6000</v>
      </c>
      <c r="K417" s="91" t="s">
        <v>1071</v>
      </c>
      <c r="L417" s="73"/>
      <c r="M417" s="46">
        <v>0</v>
      </c>
      <c r="N417" s="46">
        <v>0</v>
      </c>
      <c r="O417" s="46">
        <v>0</v>
      </c>
      <c r="P417" s="98"/>
      <c r="Q417" s="23" t="s">
        <v>1405</v>
      </c>
      <c r="R417" s="24" t="s">
        <v>1070</v>
      </c>
      <c r="S417" s="25" t="s">
        <v>325</v>
      </c>
      <c r="T417" s="26">
        <v>1</v>
      </c>
      <c r="U417" s="26">
        <v>1</v>
      </c>
      <c r="V417" s="26">
        <v>6000</v>
      </c>
      <c r="W417" s="26">
        <f t="shared" si="85"/>
        <v>0</v>
      </c>
      <c r="X417" s="26">
        <f t="shared" si="78"/>
        <v>0</v>
      </c>
      <c r="Y417" s="26">
        <f t="shared" si="86"/>
        <v>0</v>
      </c>
      <c r="Z417" s="26">
        <f t="shared" si="87"/>
        <v>0</v>
      </c>
      <c r="AA417" s="33" t="s">
        <v>15</v>
      </c>
      <c r="AB417" s="36" t="s">
        <v>16</v>
      </c>
      <c r="AC417" s="181">
        <f t="shared" si="89"/>
        <v>1</v>
      </c>
      <c r="AD417" s="181">
        <f t="shared" si="88"/>
        <v>6000</v>
      </c>
      <c r="AE417" s="181">
        <v>3</v>
      </c>
      <c r="AF417" s="181">
        <v>3</v>
      </c>
      <c r="AG417" s="101" t="str">
        <f t="shared" si="90"/>
        <v/>
      </c>
      <c r="AH417" s="190">
        <v>0</v>
      </c>
      <c r="AI417" s="69">
        <f t="shared" si="83"/>
        <v>1</v>
      </c>
      <c r="AL417" s="69">
        <v>0</v>
      </c>
    </row>
    <row r="418" spans="1:38" s="69" customFormat="1" ht="92.25" customHeight="1" x14ac:dyDescent="0.3">
      <c r="A418" s="130" t="s">
        <v>1072</v>
      </c>
      <c r="B418" s="240" t="s">
        <v>3141</v>
      </c>
      <c r="C418" s="132" t="s">
        <v>325</v>
      </c>
      <c r="D418" s="133">
        <v>1</v>
      </c>
      <c r="E418" s="75"/>
      <c r="F418" s="75"/>
      <c r="G418" s="75"/>
      <c r="H418" s="75"/>
      <c r="I418" s="75">
        <v>49500</v>
      </c>
      <c r="J418" s="75">
        <v>49500</v>
      </c>
      <c r="K418" s="91" t="s">
        <v>1074</v>
      </c>
      <c r="L418" s="73"/>
      <c r="M418" s="46">
        <v>1</v>
      </c>
      <c r="N418" s="46">
        <v>0</v>
      </c>
      <c r="O418" s="46">
        <v>49500</v>
      </c>
      <c r="P418" s="98"/>
      <c r="Q418" s="23" t="s">
        <v>1406</v>
      </c>
      <c r="R418" s="24" t="s">
        <v>1073</v>
      </c>
      <c r="S418" s="25" t="s">
        <v>325</v>
      </c>
      <c r="T418" s="26">
        <v>1</v>
      </c>
      <c r="U418" s="26">
        <v>1</v>
      </c>
      <c r="V418" s="26">
        <v>49500</v>
      </c>
      <c r="W418" s="243">
        <f t="shared" si="85"/>
        <v>0</v>
      </c>
      <c r="X418" s="127">
        <f t="shared" si="78"/>
        <v>1</v>
      </c>
      <c r="Y418" s="127">
        <f t="shared" si="86"/>
        <v>0</v>
      </c>
      <c r="Z418" s="127">
        <f t="shared" si="87"/>
        <v>49500</v>
      </c>
      <c r="AA418" s="33" t="s">
        <v>15</v>
      </c>
      <c r="AB418" s="36" t="s">
        <v>16</v>
      </c>
      <c r="AC418" s="181">
        <f t="shared" si="89"/>
        <v>1</v>
      </c>
      <c r="AD418" s="181">
        <f t="shared" si="88"/>
        <v>49500</v>
      </c>
      <c r="AE418" s="181">
        <v>3</v>
      </c>
      <c r="AF418" s="181">
        <v>3</v>
      </c>
      <c r="AG418" s="101" t="str">
        <f t="shared" si="90"/>
        <v/>
      </c>
      <c r="AH418" s="191">
        <v>1</v>
      </c>
      <c r="AI418" s="69">
        <f t="shared" si="83"/>
        <v>1</v>
      </c>
      <c r="AL418" s="69">
        <v>0</v>
      </c>
    </row>
    <row r="419" spans="1:38" s="69" customFormat="1" ht="66" customHeight="1" x14ac:dyDescent="0.3">
      <c r="A419" s="55" t="s">
        <v>1075</v>
      </c>
      <c r="B419" s="138" t="s">
        <v>3118</v>
      </c>
      <c r="C419" s="54" t="s">
        <v>325</v>
      </c>
      <c r="D419" s="75">
        <v>8</v>
      </c>
      <c r="E419" s="75"/>
      <c r="F419" s="75"/>
      <c r="G419" s="75"/>
      <c r="H419" s="75"/>
      <c r="I419" s="75">
        <v>3000</v>
      </c>
      <c r="J419" s="75">
        <v>24000</v>
      </c>
      <c r="K419" s="91" t="s">
        <v>1077</v>
      </c>
      <c r="L419" s="73"/>
      <c r="M419" s="46">
        <v>0</v>
      </c>
      <c r="N419" s="46">
        <v>0</v>
      </c>
      <c r="O419" s="46">
        <v>0</v>
      </c>
      <c r="P419" s="98"/>
      <c r="Q419" s="23" t="s">
        <v>1414</v>
      </c>
      <c r="R419" s="24" t="s">
        <v>1076</v>
      </c>
      <c r="S419" s="25" t="s">
        <v>325</v>
      </c>
      <c r="T419" s="26">
        <v>8</v>
      </c>
      <c r="U419" s="26">
        <v>8</v>
      </c>
      <c r="V419" s="26">
        <v>3000</v>
      </c>
      <c r="W419" s="26">
        <f t="shared" si="85"/>
        <v>0</v>
      </c>
      <c r="X419" s="26">
        <f t="shared" si="78"/>
        <v>0</v>
      </c>
      <c r="Y419" s="26">
        <f t="shared" si="86"/>
        <v>0</v>
      </c>
      <c r="Z419" s="26">
        <f t="shared" si="87"/>
        <v>0</v>
      </c>
      <c r="AA419" s="33" t="s">
        <v>15</v>
      </c>
      <c r="AB419" s="36" t="s">
        <v>16</v>
      </c>
      <c r="AC419" s="181">
        <f t="shared" si="89"/>
        <v>8</v>
      </c>
      <c r="AD419" s="181">
        <f t="shared" si="88"/>
        <v>24000</v>
      </c>
      <c r="AE419" s="181">
        <v>3</v>
      </c>
      <c r="AF419" s="181">
        <v>3</v>
      </c>
      <c r="AG419" s="101" t="str">
        <f t="shared" si="90"/>
        <v/>
      </c>
      <c r="AH419" s="190">
        <v>0</v>
      </c>
      <c r="AI419" s="69">
        <f t="shared" si="83"/>
        <v>8</v>
      </c>
      <c r="AL419" s="69">
        <v>0</v>
      </c>
    </row>
    <row r="420" spans="1:38" s="69" customFormat="1" ht="33" customHeight="1" x14ac:dyDescent="0.3">
      <c r="A420" s="130" t="s">
        <v>1078</v>
      </c>
      <c r="B420" s="240" t="s">
        <v>1079</v>
      </c>
      <c r="C420" s="132" t="s">
        <v>66</v>
      </c>
      <c r="D420" s="133">
        <v>75</v>
      </c>
      <c r="E420" s="75"/>
      <c r="F420" s="75"/>
      <c r="G420" s="75"/>
      <c r="H420" s="75"/>
      <c r="I420" s="75">
        <v>12000</v>
      </c>
      <c r="J420" s="75">
        <v>900000</v>
      </c>
      <c r="K420" s="91" t="s">
        <v>1080</v>
      </c>
      <c r="L420" s="73"/>
      <c r="M420" s="46">
        <v>75</v>
      </c>
      <c r="N420" s="46">
        <v>0</v>
      </c>
      <c r="O420" s="46">
        <v>900000</v>
      </c>
      <c r="P420" s="98"/>
      <c r="Q420" s="23" t="s">
        <v>1429</v>
      </c>
      <c r="R420" s="24" t="s">
        <v>1079</v>
      </c>
      <c r="S420" s="25" t="s">
        <v>66</v>
      </c>
      <c r="T420" s="26">
        <v>75</v>
      </c>
      <c r="U420" s="26">
        <v>75</v>
      </c>
      <c r="V420" s="26">
        <v>12000</v>
      </c>
      <c r="W420" s="243">
        <f t="shared" si="85"/>
        <v>0</v>
      </c>
      <c r="X420" s="127">
        <f t="shared" si="78"/>
        <v>75</v>
      </c>
      <c r="Y420" s="127">
        <f t="shared" si="86"/>
        <v>0</v>
      </c>
      <c r="Z420" s="127">
        <f t="shared" si="87"/>
        <v>900000</v>
      </c>
      <c r="AA420" s="33" t="s">
        <v>15</v>
      </c>
      <c r="AB420" s="36" t="s">
        <v>16</v>
      </c>
      <c r="AC420" s="181">
        <f t="shared" si="89"/>
        <v>75</v>
      </c>
      <c r="AD420" s="181">
        <f t="shared" si="88"/>
        <v>900000</v>
      </c>
      <c r="AE420" s="181">
        <v>3</v>
      </c>
      <c r="AF420" s="181">
        <v>3</v>
      </c>
      <c r="AG420" s="101" t="str">
        <f t="shared" si="90"/>
        <v/>
      </c>
      <c r="AH420" s="191">
        <f>50+25</f>
        <v>75</v>
      </c>
      <c r="AI420" s="69">
        <f t="shared" si="83"/>
        <v>75</v>
      </c>
      <c r="AL420" s="69">
        <v>0</v>
      </c>
    </row>
    <row r="421" spans="1:38" s="69" customFormat="1" ht="33" customHeight="1" x14ac:dyDescent="0.3">
      <c r="A421" s="130" t="s">
        <v>1081</v>
      </c>
      <c r="B421" s="240" t="s">
        <v>1082</v>
      </c>
      <c r="C421" s="132" t="s">
        <v>1014</v>
      </c>
      <c r="D421" s="133">
        <v>75</v>
      </c>
      <c r="E421" s="75"/>
      <c r="F421" s="75"/>
      <c r="G421" s="75"/>
      <c r="H421" s="75"/>
      <c r="I421" s="75">
        <v>1500</v>
      </c>
      <c r="J421" s="75">
        <v>112500</v>
      </c>
      <c r="K421" s="91" t="s">
        <v>1083</v>
      </c>
      <c r="L421" s="73"/>
      <c r="M421" s="46">
        <v>30</v>
      </c>
      <c r="N421" s="46">
        <v>0</v>
      </c>
      <c r="O421" s="46">
        <v>45000</v>
      </c>
      <c r="P421" s="98"/>
      <c r="Q421" s="23" t="s">
        <v>1430</v>
      </c>
      <c r="R421" s="24" t="s">
        <v>1082</v>
      </c>
      <c r="S421" s="25" t="s">
        <v>1014</v>
      </c>
      <c r="T421" s="26">
        <v>75</v>
      </c>
      <c r="U421" s="26">
        <v>75</v>
      </c>
      <c r="V421" s="26">
        <v>1500</v>
      </c>
      <c r="W421" s="243">
        <f t="shared" si="85"/>
        <v>0</v>
      </c>
      <c r="X421" s="127">
        <f t="shared" si="78"/>
        <v>30</v>
      </c>
      <c r="Y421" s="127">
        <f t="shared" si="86"/>
        <v>0</v>
      </c>
      <c r="Z421" s="127">
        <f t="shared" si="87"/>
        <v>45000</v>
      </c>
      <c r="AA421" s="33" t="s">
        <v>15</v>
      </c>
      <c r="AB421" s="36" t="s">
        <v>16</v>
      </c>
      <c r="AC421" s="181">
        <f t="shared" si="89"/>
        <v>75</v>
      </c>
      <c r="AD421" s="181">
        <f t="shared" si="88"/>
        <v>112500</v>
      </c>
      <c r="AE421" s="181">
        <v>3</v>
      </c>
      <c r="AF421" s="181">
        <v>3</v>
      </c>
      <c r="AG421" s="101" t="str">
        <f t="shared" si="90"/>
        <v/>
      </c>
      <c r="AH421" s="191">
        <f>30</f>
        <v>30</v>
      </c>
      <c r="AI421" s="69">
        <f t="shared" si="83"/>
        <v>75</v>
      </c>
      <c r="AL421" s="69">
        <v>0</v>
      </c>
    </row>
    <row r="422" spans="1:38" s="69" customFormat="1" ht="66" customHeight="1" x14ac:dyDescent="0.3">
      <c r="A422" s="55" t="s">
        <v>1084</v>
      </c>
      <c r="B422" s="138" t="s">
        <v>1085</v>
      </c>
      <c r="C422" s="54" t="s">
        <v>325</v>
      </c>
      <c r="D422" s="75">
        <v>1</v>
      </c>
      <c r="E422" s="75"/>
      <c r="F422" s="75"/>
      <c r="G422" s="75"/>
      <c r="H422" s="75"/>
      <c r="I422" s="75">
        <v>12000</v>
      </c>
      <c r="J422" s="75">
        <v>12000</v>
      </c>
      <c r="K422" s="91" t="s">
        <v>1086</v>
      </c>
      <c r="L422" s="73"/>
      <c r="M422" s="46">
        <v>0</v>
      </c>
      <c r="N422" s="46">
        <v>0</v>
      </c>
      <c r="O422" s="46">
        <v>0</v>
      </c>
      <c r="P422" s="98"/>
      <c r="Q422" s="23" t="s">
        <v>1431</v>
      </c>
      <c r="R422" s="24" t="s">
        <v>1085</v>
      </c>
      <c r="S422" s="25" t="s">
        <v>325</v>
      </c>
      <c r="T422" s="26">
        <v>1</v>
      </c>
      <c r="U422" s="26">
        <v>1</v>
      </c>
      <c r="V422" s="26">
        <v>12000</v>
      </c>
      <c r="W422" s="26">
        <f t="shared" si="85"/>
        <v>0</v>
      </c>
      <c r="X422" s="26">
        <f t="shared" si="78"/>
        <v>0</v>
      </c>
      <c r="Y422" s="26">
        <f t="shared" si="86"/>
        <v>0</v>
      </c>
      <c r="Z422" s="26">
        <f t="shared" si="87"/>
        <v>0</v>
      </c>
      <c r="AA422" s="33" t="s">
        <v>15</v>
      </c>
      <c r="AB422" s="36" t="s">
        <v>16</v>
      </c>
      <c r="AC422" s="181">
        <f t="shared" si="89"/>
        <v>1</v>
      </c>
      <c r="AD422" s="181">
        <f t="shared" si="88"/>
        <v>12000</v>
      </c>
      <c r="AE422" s="181">
        <v>3</v>
      </c>
      <c r="AF422" s="181">
        <v>3</v>
      </c>
      <c r="AG422" s="101" t="str">
        <f t="shared" si="90"/>
        <v/>
      </c>
      <c r="AH422" s="190">
        <v>0</v>
      </c>
      <c r="AI422" s="69">
        <f t="shared" si="83"/>
        <v>1</v>
      </c>
      <c r="AL422" s="69">
        <v>0</v>
      </c>
    </row>
    <row r="423" spans="1:38" s="69" customFormat="1" ht="49.5" customHeight="1" x14ac:dyDescent="0.3">
      <c r="A423" s="55" t="s">
        <v>1087</v>
      </c>
      <c r="B423" s="138" t="s">
        <v>1088</v>
      </c>
      <c r="C423" s="54" t="s">
        <v>325</v>
      </c>
      <c r="D423" s="75">
        <v>1</v>
      </c>
      <c r="E423" s="75"/>
      <c r="F423" s="75"/>
      <c r="G423" s="75"/>
      <c r="H423" s="75"/>
      <c r="I423" s="75">
        <v>2000</v>
      </c>
      <c r="J423" s="75">
        <v>2000</v>
      </c>
      <c r="K423" s="91" t="s">
        <v>1089</v>
      </c>
      <c r="L423" s="73"/>
      <c r="M423" s="46">
        <v>0</v>
      </c>
      <c r="N423" s="46">
        <v>0</v>
      </c>
      <c r="O423" s="46">
        <v>0</v>
      </c>
      <c r="P423" s="98"/>
      <c r="Q423" s="23" t="s">
        <v>1395</v>
      </c>
      <c r="R423" s="24" t="s">
        <v>1088</v>
      </c>
      <c r="S423" s="25" t="s">
        <v>325</v>
      </c>
      <c r="T423" s="26">
        <v>1</v>
      </c>
      <c r="U423" s="26">
        <v>1</v>
      </c>
      <c r="V423" s="26">
        <v>2000</v>
      </c>
      <c r="W423" s="26">
        <f t="shared" si="85"/>
        <v>0</v>
      </c>
      <c r="X423" s="26">
        <f t="shared" si="78"/>
        <v>0</v>
      </c>
      <c r="Y423" s="26">
        <f t="shared" si="86"/>
        <v>0</v>
      </c>
      <c r="Z423" s="26">
        <f t="shared" si="87"/>
        <v>0</v>
      </c>
      <c r="AA423" s="33" t="s">
        <v>15</v>
      </c>
      <c r="AB423" s="36" t="s">
        <v>16</v>
      </c>
      <c r="AC423" s="181">
        <f t="shared" si="89"/>
        <v>1</v>
      </c>
      <c r="AD423" s="181">
        <f t="shared" si="88"/>
        <v>2000</v>
      </c>
      <c r="AE423" s="181">
        <v>3</v>
      </c>
      <c r="AF423" s="181">
        <v>3</v>
      </c>
      <c r="AG423" s="101" t="str">
        <f t="shared" si="90"/>
        <v/>
      </c>
      <c r="AH423" s="190">
        <v>0</v>
      </c>
      <c r="AI423" s="69">
        <f t="shared" si="83"/>
        <v>1</v>
      </c>
      <c r="AL423" s="69">
        <v>0</v>
      </c>
    </row>
    <row r="424" spans="1:38" s="69" customFormat="1" ht="66" customHeight="1" x14ac:dyDescent="0.3">
      <c r="A424" s="55" t="s">
        <v>1090</v>
      </c>
      <c r="B424" s="138" t="s">
        <v>3119</v>
      </c>
      <c r="C424" s="54" t="s">
        <v>325</v>
      </c>
      <c r="D424" s="75">
        <v>14</v>
      </c>
      <c r="E424" s="75"/>
      <c r="F424" s="75"/>
      <c r="G424" s="75"/>
      <c r="H424" s="75"/>
      <c r="I424" s="75">
        <v>3000</v>
      </c>
      <c r="J424" s="75">
        <v>42000</v>
      </c>
      <c r="K424" s="91" t="s">
        <v>1092</v>
      </c>
      <c r="L424" s="73"/>
      <c r="M424" s="46">
        <v>8</v>
      </c>
      <c r="N424" s="46">
        <v>0</v>
      </c>
      <c r="O424" s="46">
        <v>24000</v>
      </c>
      <c r="P424" s="98"/>
      <c r="Q424" s="23" t="s">
        <v>1432</v>
      </c>
      <c r="R424" s="24" t="s">
        <v>1091</v>
      </c>
      <c r="S424" s="25" t="s">
        <v>325</v>
      </c>
      <c r="T424" s="26">
        <v>14</v>
      </c>
      <c r="U424" s="26">
        <v>14</v>
      </c>
      <c r="V424" s="26">
        <v>3000</v>
      </c>
      <c r="W424" s="243">
        <f t="shared" si="85"/>
        <v>0</v>
      </c>
      <c r="X424" s="26">
        <f t="shared" si="78"/>
        <v>8</v>
      </c>
      <c r="Y424" s="26">
        <f t="shared" si="86"/>
        <v>0</v>
      </c>
      <c r="Z424" s="26">
        <f t="shared" si="87"/>
        <v>24000</v>
      </c>
      <c r="AA424" s="33" t="s">
        <v>15</v>
      </c>
      <c r="AB424" s="36" t="s">
        <v>16</v>
      </c>
      <c r="AC424" s="181">
        <f t="shared" si="89"/>
        <v>14</v>
      </c>
      <c r="AD424" s="181">
        <f t="shared" si="88"/>
        <v>42000</v>
      </c>
      <c r="AE424" s="181">
        <v>3</v>
      </c>
      <c r="AF424" s="181">
        <v>3</v>
      </c>
      <c r="AG424" s="101" t="str">
        <f t="shared" si="90"/>
        <v/>
      </c>
      <c r="AH424" s="191">
        <f>8</f>
        <v>8</v>
      </c>
      <c r="AI424" s="69">
        <f t="shared" si="83"/>
        <v>14</v>
      </c>
      <c r="AL424" s="69">
        <v>0</v>
      </c>
    </row>
    <row r="425" spans="1:38" s="69" customFormat="1" ht="49.5" customHeight="1" x14ac:dyDescent="0.3">
      <c r="A425" s="130" t="s">
        <v>1093</v>
      </c>
      <c r="B425" s="240" t="s">
        <v>1094</v>
      </c>
      <c r="C425" s="132" t="s">
        <v>325</v>
      </c>
      <c r="D425" s="133">
        <v>3</v>
      </c>
      <c r="E425" s="75"/>
      <c r="F425" s="75"/>
      <c r="G425" s="75"/>
      <c r="H425" s="75"/>
      <c r="I425" s="75">
        <v>1400</v>
      </c>
      <c r="J425" s="75">
        <v>4200</v>
      </c>
      <c r="K425" s="91" t="s">
        <v>1095</v>
      </c>
      <c r="L425" s="73"/>
      <c r="M425" s="46">
        <v>3</v>
      </c>
      <c r="N425" s="46">
        <v>0</v>
      </c>
      <c r="O425" s="46">
        <v>4200</v>
      </c>
      <c r="P425" s="98"/>
      <c r="Q425" s="23" t="s">
        <v>1433</v>
      </c>
      <c r="R425" s="24" t="s">
        <v>1094</v>
      </c>
      <c r="S425" s="25" t="s">
        <v>325</v>
      </c>
      <c r="T425" s="26">
        <v>3</v>
      </c>
      <c r="U425" s="26">
        <v>3</v>
      </c>
      <c r="V425" s="26">
        <v>1400</v>
      </c>
      <c r="W425" s="243">
        <f t="shared" si="85"/>
        <v>0</v>
      </c>
      <c r="X425" s="127">
        <f t="shared" si="78"/>
        <v>3</v>
      </c>
      <c r="Y425" s="127">
        <f t="shared" si="86"/>
        <v>0</v>
      </c>
      <c r="Z425" s="127">
        <f t="shared" si="87"/>
        <v>4200</v>
      </c>
      <c r="AA425" s="33" t="s">
        <v>15</v>
      </c>
      <c r="AB425" s="36" t="s">
        <v>16</v>
      </c>
      <c r="AC425" s="181">
        <f t="shared" si="89"/>
        <v>3</v>
      </c>
      <c r="AD425" s="181">
        <f t="shared" si="88"/>
        <v>4200</v>
      </c>
      <c r="AE425" s="181">
        <v>3</v>
      </c>
      <c r="AF425" s="181">
        <v>3</v>
      </c>
      <c r="AG425" s="101" t="str">
        <f t="shared" si="90"/>
        <v/>
      </c>
      <c r="AH425" s="191">
        <f>3</f>
        <v>3</v>
      </c>
      <c r="AI425" s="69">
        <f t="shared" si="83"/>
        <v>3</v>
      </c>
      <c r="AL425" s="69">
        <v>0</v>
      </c>
    </row>
    <row r="426" spans="1:38" s="69" customFormat="1" ht="66" customHeight="1" x14ac:dyDescent="0.3">
      <c r="A426" s="55" t="s">
        <v>1096</v>
      </c>
      <c r="B426" s="138" t="s">
        <v>3140</v>
      </c>
      <c r="C426" s="54" t="s">
        <v>66</v>
      </c>
      <c r="D426" s="75">
        <v>5</v>
      </c>
      <c r="E426" s="75"/>
      <c r="F426" s="75"/>
      <c r="G426" s="75"/>
      <c r="H426" s="75"/>
      <c r="I426" s="75">
        <v>18000</v>
      </c>
      <c r="J426" s="75">
        <v>90000</v>
      </c>
      <c r="K426" s="91" t="s">
        <v>1098</v>
      </c>
      <c r="L426" s="73"/>
      <c r="M426" s="46">
        <v>0</v>
      </c>
      <c r="N426" s="46">
        <v>0</v>
      </c>
      <c r="O426" s="46">
        <v>0</v>
      </c>
      <c r="P426" s="98"/>
      <c r="Q426" s="23" t="s">
        <v>1382</v>
      </c>
      <c r="R426" s="24" t="s">
        <v>1097</v>
      </c>
      <c r="S426" s="25" t="s">
        <v>66</v>
      </c>
      <c r="T426" s="26">
        <v>5</v>
      </c>
      <c r="U426" s="26">
        <v>5</v>
      </c>
      <c r="V426" s="26">
        <v>18000</v>
      </c>
      <c r="W426" s="26">
        <f t="shared" si="85"/>
        <v>0</v>
      </c>
      <c r="X426" s="26">
        <f t="shared" si="78"/>
        <v>0</v>
      </c>
      <c r="Y426" s="26">
        <f t="shared" si="86"/>
        <v>0</v>
      </c>
      <c r="Z426" s="26">
        <f t="shared" si="87"/>
        <v>0</v>
      </c>
      <c r="AA426" s="33" t="s">
        <v>15</v>
      </c>
      <c r="AB426" s="36" t="s">
        <v>16</v>
      </c>
      <c r="AC426" s="181">
        <f t="shared" si="89"/>
        <v>5</v>
      </c>
      <c r="AD426" s="181">
        <f t="shared" si="88"/>
        <v>90000</v>
      </c>
      <c r="AE426" s="181">
        <v>3</v>
      </c>
      <c r="AF426" s="181">
        <v>3</v>
      </c>
      <c r="AG426" s="101" t="str">
        <f t="shared" si="90"/>
        <v/>
      </c>
      <c r="AH426" s="190">
        <v>0</v>
      </c>
      <c r="AI426" s="69">
        <f t="shared" si="83"/>
        <v>5</v>
      </c>
      <c r="AL426" s="69">
        <v>0</v>
      </c>
    </row>
    <row r="427" spans="1:38" s="69" customFormat="1" ht="49.5" customHeight="1" x14ac:dyDescent="0.3">
      <c r="A427" s="55" t="s">
        <v>1099</v>
      </c>
      <c r="B427" s="138" t="s">
        <v>1100</v>
      </c>
      <c r="C427" s="54" t="s">
        <v>66</v>
      </c>
      <c r="D427" s="75">
        <v>1</v>
      </c>
      <c r="E427" s="75"/>
      <c r="F427" s="75"/>
      <c r="G427" s="75"/>
      <c r="H427" s="75"/>
      <c r="I427" s="75">
        <v>9000</v>
      </c>
      <c r="J427" s="75">
        <v>9000</v>
      </c>
      <c r="K427" s="91" t="s">
        <v>1101</v>
      </c>
      <c r="L427" s="73"/>
      <c r="M427" s="46">
        <v>0</v>
      </c>
      <c r="N427" s="46">
        <v>0</v>
      </c>
      <c r="O427" s="46">
        <v>0</v>
      </c>
      <c r="P427" s="98"/>
      <c r="Q427" s="23" t="s">
        <v>1434</v>
      </c>
      <c r="R427" s="24" t="s">
        <v>1100</v>
      </c>
      <c r="S427" s="25" t="s">
        <v>66</v>
      </c>
      <c r="T427" s="26">
        <v>1</v>
      </c>
      <c r="U427" s="26">
        <v>1</v>
      </c>
      <c r="V427" s="26">
        <v>9000</v>
      </c>
      <c r="W427" s="26">
        <f t="shared" si="85"/>
        <v>0</v>
      </c>
      <c r="X427" s="26">
        <f t="shared" si="78"/>
        <v>0</v>
      </c>
      <c r="Y427" s="26">
        <f t="shared" si="86"/>
        <v>0</v>
      </c>
      <c r="Z427" s="26">
        <f t="shared" si="87"/>
        <v>0</v>
      </c>
      <c r="AA427" s="33" t="s">
        <v>15</v>
      </c>
      <c r="AB427" s="36" t="s">
        <v>16</v>
      </c>
      <c r="AC427" s="181">
        <f t="shared" si="89"/>
        <v>1</v>
      </c>
      <c r="AD427" s="181">
        <f t="shared" si="88"/>
        <v>9000</v>
      </c>
      <c r="AE427" s="181">
        <v>3</v>
      </c>
      <c r="AF427" s="181">
        <v>3</v>
      </c>
      <c r="AG427" s="101" t="str">
        <f t="shared" si="90"/>
        <v/>
      </c>
      <c r="AH427" s="190">
        <v>0</v>
      </c>
      <c r="AI427" s="69">
        <f t="shared" si="83"/>
        <v>1</v>
      </c>
      <c r="AL427" s="69">
        <v>0</v>
      </c>
    </row>
    <row r="428" spans="1:38" s="69" customFormat="1" ht="49.5" customHeight="1" x14ac:dyDescent="0.3">
      <c r="A428" s="55" t="s">
        <v>1102</v>
      </c>
      <c r="B428" s="138" t="s">
        <v>3120</v>
      </c>
      <c r="C428" s="54" t="s">
        <v>325</v>
      </c>
      <c r="D428" s="75">
        <v>3</v>
      </c>
      <c r="E428" s="75"/>
      <c r="F428" s="75"/>
      <c r="G428" s="75"/>
      <c r="H428" s="75"/>
      <c r="I428" s="75">
        <v>6000</v>
      </c>
      <c r="J428" s="75">
        <v>18000</v>
      </c>
      <c r="K428" s="91" t="s">
        <v>1104</v>
      </c>
      <c r="L428" s="73"/>
      <c r="M428" s="46">
        <v>1</v>
      </c>
      <c r="N428" s="46">
        <v>0</v>
      </c>
      <c r="O428" s="46">
        <v>6000</v>
      </c>
      <c r="P428" s="98"/>
      <c r="Q428" s="23" t="s">
        <v>1388</v>
      </c>
      <c r="R428" s="24" t="s">
        <v>1103</v>
      </c>
      <c r="S428" s="25" t="s">
        <v>325</v>
      </c>
      <c r="T428" s="26">
        <v>3</v>
      </c>
      <c r="U428" s="26">
        <v>3</v>
      </c>
      <c r="V428" s="26">
        <v>6000</v>
      </c>
      <c r="W428" s="243">
        <f t="shared" si="85"/>
        <v>0</v>
      </c>
      <c r="X428" s="26">
        <f t="shared" si="78"/>
        <v>1</v>
      </c>
      <c r="Y428" s="26">
        <f t="shared" si="86"/>
        <v>0</v>
      </c>
      <c r="Z428" s="26">
        <f t="shared" si="87"/>
        <v>6000</v>
      </c>
      <c r="AA428" s="33" t="s">
        <v>15</v>
      </c>
      <c r="AB428" s="36" t="s">
        <v>16</v>
      </c>
      <c r="AC428" s="181">
        <f t="shared" si="89"/>
        <v>3</v>
      </c>
      <c r="AD428" s="181">
        <f t="shared" si="88"/>
        <v>18000</v>
      </c>
      <c r="AE428" s="181">
        <v>3</v>
      </c>
      <c r="AF428" s="181">
        <v>3</v>
      </c>
      <c r="AG428" s="101" t="str">
        <f t="shared" si="90"/>
        <v/>
      </c>
      <c r="AH428" s="191">
        <f>1</f>
        <v>1</v>
      </c>
      <c r="AI428" s="69">
        <f t="shared" si="83"/>
        <v>3</v>
      </c>
      <c r="AL428" s="69">
        <v>0</v>
      </c>
    </row>
    <row r="429" spans="1:38" s="69" customFormat="1" ht="49.5" customHeight="1" x14ac:dyDescent="0.3">
      <c r="A429" s="130" t="s">
        <v>1105</v>
      </c>
      <c r="B429" s="240" t="s">
        <v>3121</v>
      </c>
      <c r="C429" s="132" t="s">
        <v>66</v>
      </c>
      <c r="D429" s="133">
        <v>1</v>
      </c>
      <c r="E429" s="75"/>
      <c r="F429" s="75"/>
      <c r="G429" s="75"/>
      <c r="H429" s="75"/>
      <c r="I429" s="75">
        <v>2500</v>
      </c>
      <c r="J429" s="75">
        <v>2500</v>
      </c>
      <c r="K429" s="91" t="s">
        <v>1107</v>
      </c>
      <c r="L429" s="73"/>
      <c r="M429" s="46">
        <v>1</v>
      </c>
      <c r="N429" s="46">
        <v>0</v>
      </c>
      <c r="O429" s="46">
        <v>2500</v>
      </c>
      <c r="P429" s="98"/>
      <c r="Q429" s="23" t="s">
        <v>1389</v>
      </c>
      <c r="R429" s="24" t="s">
        <v>1106</v>
      </c>
      <c r="S429" s="25" t="s">
        <v>66</v>
      </c>
      <c r="T429" s="26">
        <v>1</v>
      </c>
      <c r="U429" s="26">
        <v>1</v>
      </c>
      <c r="V429" s="26">
        <v>2500</v>
      </c>
      <c r="W429" s="243">
        <f t="shared" si="85"/>
        <v>0</v>
      </c>
      <c r="X429" s="127">
        <f t="shared" si="78"/>
        <v>1</v>
      </c>
      <c r="Y429" s="127">
        <f t="shared" si="86"/>
        <v>0</v>
      </c>
      <c r="Z429" s="127">
        <f t="shared" si="87"/>
        <v>2500</v>
      </c>
      <c r="AA429" s="33" t="s">
        <v>15</v>
      </c>
      <c r="AB429" s="36" t="s">
        <v>16</v>
      </c>
      <c r="AC429" s="181">
        <f t="shared" si="89"/>
        <v>1</v>
      </c>
      <c r="AD429" s="181">
        <f t="shared" si="88"/>
        <v>2500</v>
      </c>
      <c r="AE429" s="181">
        <v>3</v>
      </c>
      <c r="AF429" s="181">
        <v>3</v>
      </c>
      <c r="AG429" s="101" t="str">
        <f t="shared" si="90"/>
        <v/>
      </c>
      <c r="AH429" s="191">
        <f>1</f>
        <v>1</v>
      </c>
      <c r="AI429" s="69">
        <f t="shared" si="83"/>
        <v>1</v>
      </c>
      <c r="AL429" s="69">
        <v>0</v>
      </c>
    </row>
    <row r="430" spans="1:38" s="69" customFormat="1" ht="49.5" customHeight="1" x14ac:dyDescent="0.3">
      <c r="A430" s="130" t="s">
        <v>1108</v>
      </c>
      <c r="B430" s="240" t="s">
        <v>1109</v>
      </c>
      <c r="C430" s="132" t="s">
        <v>66</v>
      </c>
      <c r="D430" s="133">
        <v>1</v>
      </c>
      <c r="E430" s="75"/>
      <c r="F430" s="75"/>
      <c r="G430" s="75"/>
      <c r="H430" s="75"/>
      <c r="I430" s="75">
        <v>2500</v>
      </c>
      <c r="J430" s="75">
        <v>2500</v>
      </c>
      <c r="K430" s="91" t="s">
        <v>1110</v>
      </c>
      <c r="L430" s="73"/>
      <c r="M430" s="46">
        <v>1</v>
      </c>
      <c r="N430" s="46">
        <v>0</v>
      </c>
      <c r="O430" s="46">
        <v>2500</v>
      </c>
      <c r="P430" s="98"/>
      <c r="Q430" s="23" t="s">
        <v>1390</v>
      </c>
      <c r="R430" s="24" t="s">
        <v>1109</v>
      </c>
      <c r="S430" s="25" t="s">
        <v>66</v>
      </c>
      <c r="T430" s="26">
        <v>1</v>
      </c>
      <c r="U430" s="26">
        <v>1</v>
      </c>
      <c r="V430" s="26">
        <v>2500</v>
      </c>
      <c r="W430" s="243">
        <f t="shared" si="85"/>
        <v>0</v>
      </c>
      <c r="X430" s="127">
        <f t="shared" si="78"/>
        <v>1</v>
      </c>
      <c r="Y430" s="127">
        <f t="shared" si="86"/>
        <v>0</v>
      </c>
      <c r="Z430" s="127">
        <f t="shared" si="87"/>
        <v>2500</v>
      </c>
      <c r="AA430" s="33" t="s">
        <v>15</v>
      </c>
      <c r="AB430" s="36" t="s">
        <v>16</v>
      </c>
      <c r="AC430" s="181">
        <f t="shared" si="89"/>
        <v>1</v>
      </c>
      <c r="AD430" s="181">
        <f t="shared" si="88"/>
        <v>2500</v>
      </c>
      <c r="AE430" s="181">
        <v>3</v>
      </c>
      <c r="AF430" s="181">
        <v>3</v>
      </c>
      <c r="AG430" s="101" t="str">
        <f t="shared" si="90"/>
        <v/>
      </c>
      <c r="AH430" s="191">
        <f>1</f>
        <v>1</v>
      </c>
      <c r="AI430" s="69">
        <f t="shared" si="83"/>
        <v>1</v>
      </c>
      <c r="AL430" s="69">
        <v>0</v>
      </c>
    </row>
    <row r="431" spans="1:38" s="69" customFormat="1" ht="49.5" customHeight="1" x14ac:dyDescent="0.3">
      <c r="A431" s="55" t="s">
        <v>1111</v>
      </c>
      <c r="B431" s="138" t="s">
        <v>3122</v>
      </c>
      <c r="C431" s="54" t="s">
        <v>325</v>
      </c>
      <c r="D431" s="75">
        <v>4</v>
      </c>
      <c r="E431" s="75"/>
      <c r="F431" s="75"/>
      <c r="G431" s="75"/>
      <c r="H431" s="75"/>
      <c r="I431" s="75">
        <v>3000</v>
      </c>
      <c r="J431" s="75">
        <v>12000</v>
      </c>
      <c r="K431" s="91" t="s">
        <v>1113</v>
      </c>
      <c r="L431" s="73"/>
      <c r="M431" s="46">
        <v>2</v>
      </c>
      <c r="N431" s="46">
        <v>0</v>
      </c>
      <c r="O431" s="46">
        <v>6000</v>
      </c>
      <c r="P431" s="98"/>
      <c r="Q431" s="23" t="s">
        <v>1391</v>
      </c>
      <c r="R431" s="24" t="s">
        <v>1112</v>
      </c>
      <c r="S431" s="25" t="s">
        <v>325</v>
      </c>
      <c r="T431" s="26">
        <v>4</v>
      </c>
      <c r="U431" s="26">
        <v>4</v>
      </c>
      <c r="V431" s="26">
        <v>3000</v>
      </c>
      <c r="W431" s="243">
        <f t="shared" si="85"/>
        <v>0</v>
      </c>
      <c r="X431" s="26">
        <f t="shared" si="78"/>
        <v>2</v>
      </c>
      <c r="Y431" s="26">
        <f t="shared" si="86"/>
        <v>0</v>
      </c>
      <c r="Z431" s="26">
        <f t="shared" si="87"/>
        <v>6000</v>
      </c>
      <c r="AA431" s="33" t="s">
        <v>15</v>
      </c>
      <c r="AB431" s="36" t="s">
        <v>16</v>
      </c>
      <c r="AC431" s="181">
        <f t="shared" si="89"/>
        <v>4</v>
      </c>
      <c r="AD431" s="181">
        <f t="shared" si="88"/>
        <v>12000</v>
      </c>
      <c r="AE431" s="181">
        <v>3</v>
      </c>
      <c r="AF431" s="181">
        <v>3</v>
      </c>
      <c r="AG431" s="101" t="str">
        <f t="shared" si="90"/>
        <v/>
      </c>
      <c r="AH431" s="191">
        <f>2</f>
        <v>2</v>
      </c>
      <c r="AI431" s="69">
        <f t="shared" si="83"/>
        <v>4</v>
      </c>
      <c r="AL431" s="69">
        <v>0</v>
      </c>
    </row>
    <row r="432" spans="1:38" s="69" customFormat="1" ht="66" customHeight="1" x14ac:dyDescent="0.3">
      <c r="A432" s="130" t="s">
        <v>1114</v>
      </c>
      <c r="B432" s="240" t="s">
        <v>3123</v>
      </c>
      <c r="C432" s="132" t="s">
        <v>325</v>
      </c>
      <c r="D432" s="133">
        <v>2</v>
      </c>
      <c r="E432" s="75"/>
      <c r="F432" s="75"/>
      <c r="G432" s="75"/>
      <c r="H432" s="75"/>
      <c r="I432" s="75">
        <v>20000</v>
      </c>
      <c r="J432" s="75">
        <v>40000</v>
      </c>
      <c r="K432" s="91" t="s">
        <v>1116</v>
      </c>
      <c r="L432" s="73"/>
      <c r="M432" s="46">
        <v>2</v>
      </c>
      <c r="N432" s="46">
        <v>0</v>
      </c>
      <c r="O432" s="46">
        <v>40000</v>
      </c>
      <c r="P432" s="98"/>
      <c r="Q432" s="23" t="s">
        <v>1436</v>
      </c>
      <c r="R432" s="24" t="s">
        <v>1115</v>
      </c>
      <c r="S432" s="25" t="s">
        <v>325</v>
      </c>
      <c r="T432" s="26">
        <v>2</v>
      </c>
      <c r="U432" s="26">
        <v>2</v>
      </c>
      <c r="V432" s="26">
        <v>20000</v>
      </c>
      <c r="W432" s="243">
        <f t="shared" si="85"/>
        <v>0</v>
      </c>
      <c r="X432" s="127">
        <f t="shared" si="78"/>
        <v>2</v>
      </c>
      <c r="Y432" s="127">
        <f t="shared" si="86"/>
        <v>0</v>
      </c>
      <c r="Z432" s="127">
        <f t="shared" si="87"/>
        <v>40000</v>
      </c>
      <c r="AA432" s="33" t="s">
        <v>15</v>
      </c>
      <c r="AB432" s="36" t="s">
        <v>16</v>
      </c>
      <c r="AC432" s="181">
        <f t="shared" si="89"/>
        <v>2</v>
      </c>
      <c r="AD432" s="181">
        <f t="shared" si="88"/>
        <v>40000</v>
      </c>
      <c r="AE432" s="181">
        <v>3</v>
      </c>
      <c r="AF432" s="181">
        <v>3</v>
      </c>
      <c r="AG432" s="101" t="str">
        <f t="shared" si="90"/>
        <v/>
      </c>
      <c r="AH432" s="191">
        <f>2</f>
        <v>2</v>
      </c>
      <c r="AI432" s="69">
        <f t="shared" si="83"/>
        <v>2</v>
      </c>
      <c r="AL432" s="69">
        <v>0</v>
      </c>
    </row>
    <row r="433" spans="1:38" s="69" customFormat="1" ht="49.5" customHeight="1" x14ac:dyDescent="0.3">
      <c r="A433" s="55" t="s">
        <v>1117</v>
      </c>
      <c r="B433" s="138" t="s">
        <v>1118</v>
      </c>
      <c r="C433" s="54" t="s">
        <v>66</v>
      </c>
      <c r="D433" s="75">
        <v>1</v>
      </c>
      <c r="E433" s="75"/>
      <c r="F433" s="75"/>
      <c r="G433" s="75"/>
      <c r="H433" s="75"/>
      <c r="I433" s="75">
        <v>15000</v>
      </c>
      <c r="J433" s="75">
        <v>15000</v>
      </c>
      <c r="K433" s="91" t="s">
        <v>1119</v>
      </c>
      <c r="L433" s="73"/>
      <c r="M433" s="46">
        <v>0</v>
      </c>
      <c r="N433" s="46">
        <v>0</v>
      </c>
      <c r="O433" s="46">
        <v>0</v>
      </c>
      <c r="P433" s="98"/>
      <c r="Q433" s="23" t="s">
        <v>1374</v>
      </c>
      <c r="R433" s="24" t="s">
        <v>1118</v>
      </c>
      <c r="S433" s="25" t="s">
        <v>66</v>
      </c>
      <c r="T433" s="26">
        <v>1</v>
      </c>
      <c r="U433" s="26">
        <v>1</v>
      </c>
      <c r="V433" s="26">
        <v>15000</v>
      </c>
      <c r="W433" s="26">
        <f t="shared" si="85"/>
        <v>0</v>
      </c>
      <c r="X433" s="26">
        <f t="shared" si="78"/>
        <v>0</v>
      </c>
      <c r="Y433" s="26">
        <f t="shared" si="86"/>
        <v>0</v>
      </c>
      <c r="Z433" s="26">
        <f t="shared" si="87"/>
        <v>0</v>
      </c>
      <c r="AA433" s="33" t="s">
        <v>15</v>
      </c>
      <c r="AB433" s="36" t="s">
        <v>16</v>
      </c>
      <c r="AC433" s="181">
        <f t="shared" si="89"/>
        <v>1</v>
      </c>
      <c r="AD433" s="181">
        <f t="shared" si="88"/>
        <v>15000</v>
      </c>
      <c r="AE433" s="181">
        <v>3</v>
      </c>
      <c r="AF433" s="181">
        <v>3</v>
      </c>
      <c r="AG433" s="101" t="str">
        <f t="shared" si="90"/>
        <v/>
      </c>
      <c r="AH433" s="190">
        <v>0</v>
      </c>
      <c r="AI433" s="69">
        <f t="shared" si="83"/>
        <v>1</v>
      </c>
      <c r="AL433" s="69">
        <v>0</v>
      </c>
    </row>
    <row r="434" spans="1:38" s="69" customFormat="1" ht="49.5" customHeight="1" x14ac:dyDescent="0.3">
      <c r="A434" s="55" t="s">
        <v>1120</v>
      </c>
      <c r="B434" s="138" t="s">
        <v>1121</v>
      </c>
      <c r="C434" s="54" t="s">
        <v>1122</v>
      </c>
      <c r="D434" s="75">
        <v>3</v>
      </c>
      <c r="E434" s="75"/>
      <c r="F434" s="75"/>
      <c r="G434" s="75"/>
      <c r="H434" s="75"/>
      <c r="I434" s="75">
        <v>1300</v>
      </c>
      <c r="J434" s="75">
        <v>3900</v>
      </c>
      <c r="K434" s="91" t="s">
        <v>1123</v>
      </c>
      <c r="L434" s="73"/>
      <c r="M434" s="46">
        <v>0</v>
      </c>
      <c r="N434" s="46">
        <v>0</v>
      </c>
      <c r="O434" s="46">
        <v>0</v>
      </c>
      <c r="P434" s="98"/>
      <c r="Q434" s="23" t="s">
        <v>1376</v>
      </c>
      <c r="R434" s="24" t="s">
        <v>1121</v>
      </c>
      <c r="S434" s="25" t="s">
        <v>1122</v>
      </c>
      <c r="T434" s="26">
        <v>3</v>
      </c>
      <c r="U434" s="26">
        <v>3</v>
      </c>
      <c r="V434" s="26">
        <v>1300</v>
      </c>
      <c r="W434" s="26">
        <f t="shared" si="85"/>
        <v>0</v>
      </c>
      <c r="X434" s="26">
        <f t="shared" si="78"/>
        <v>0</v>
      </c>
      <c r="Y434" s="26">
        <f t="shared" si="86"/>
        <v>0</v>
      </c>
      <c r="Z434" s="26">
        <f t="shared" si="87"/>
        <v>0</v>
      </c>
      <c r="AA434" s="33" t="s">
        <v>15</v>
      </c>
      <c r="AB434" s="36" t="s">
        <v>16</v>
      </c>
      <c r="AC434" s="181">
        <f t="shared" si="89"/>
        <v>3</v>
      </c>
      <c r="AD434" s="181">
        <f t="shared" si="88"/>
        <v>3900</v>
      </c>
      <c r="AE434" s="181">
        <v>3</v>
      </c>
      <c r="AF434" s="181">
        <v>3</v>
      </c>
      <c r="AG434" s="101" t="str">
        <f t="shared" si="90"/>
        <v/>
      </c>
      <c r="AH434" s="190">
        <v>0</v>
      </c>
      <c r="AI434" s="69">
        <f t="shared" si="83"/>
        <v>3</v>
      </c>
      <c r="AL434" s="69">
        <v>0</v>
      </c>
    </row>
    <row r="435" spans="1:38" s="69" customFormat="1" ht="33" customHeight="1" x14ac:dyDescent="0.3">
      <c r="A435" s="55" t="s">
        <v>1124</v>
      </c>
      <c r="B435" s="138" t="s">
        <v>3124</v>
      </c>
      <c r="C435" s="54" t="s">
        <v>1122</v>
      </c>
      <c r="D435" s="75">
        <v>6</v>
      </c>
      <c r="E435" s="75"/>
      <c r="F435" s="75"/>
      <c r="G435" s="75"/>
      <c r="H435" s="75"/>
      <c r="I435" s="75">
        <v>1000</v>
      </c>
      <c r="J435" s="75">
        <v>6000</v>
      </c>
      <c r="K435" s="91" t="s">
        <v>1126</v>
      </c>
      <c r="L435" s="73"/>
      <c r="M435" s="46">
        <v>0</v>
      </c>
      <c r="N435" s="46">
        <v>0</v>
      </c>
      <c r="O435" s="46">
        <v>0</v>
      </c>
      <c r="P435" s="98"/>
      <c r="Q435" s="23" t="s">
        <v>1378</v>
      </c>
      <c r="R435" s="24" t="s">
        <v>1125</v>
      </c>
      <c r="S435" s="25" t="s">
        <v>1122</v>
      </c>
      <c r="T435" s="26">
        <v>6</v>
      </c>
      <c r="U435" s="26">
        <v>6</v>
      </c>
      <c r="V435" s="26">
        <v>1000</v>
      </c>
      <c r="W435" s="26">
        <f t="shared" si="85"/>
        <v>0</v>
      </c>
      <c r="X435" s="26">
        <f t="shared" si="78"/>
        <v>0</v>
      </c>
      <c r="Y435" s="26">
        <f t="shared" si="86"/>
        <v>0</v>
      </c>
      <c r="Z435" s="26">
        <f t="shared" si="87"/>
        <v>0</v>
      </c>
      <c r="AA435" s="33" t="s">
        <v>15</v>
      </c>
      <c r="AB435" s="36" t="s">
        <v>16</v>
      </c>
      <c r="AC435" s="181">
        <f t="shared" si="89"/>
        <v>6</v>
      </c>
      <c r="AD435" s="181">
        <f t="shared" si="88"/>
        <v>6000</v>
      </c>
      <c r="AE435" s="181">
        <v>3</v>
      </c>
      <c r="AF435" s="181">
        <v>3</v>
      </c>
      <c r="AG435" s="101" t="str">
        <f t="shared" si="90"/>
        <v/>
      </c>
      <c r="AH435" s="190">
        <v>0</v>
      </c>
      <c r="AI435" s="69">
        <f t="shared" si="83"/>
        <v>6</v>
      </c>
      <c r="AL435" s="69">
        <v>0</v>
      </c>
    </row>
    <row r="436" spans="1:38" s="69" customFormat="1" ht="33" customHeight="1" x14ac:dyDescent="0.3">
      <c r="A436" s="55" t="s">
        <v>1127</v>
      </c>
      <c r="B436" s="138" t="s">
        <v>1128</v>
      </c>
      <c r="C436" s="54" t="s">
        <v>325</v>
      </c>
      <c r="D436" s="75">
        <v>2</v>
      </c>
      <c r="E436" s="75"/>
      <c r="F436" s="75"/>
      <c r="G436" s="75"/>
      <c r="H436" s="75"/>
      <c r="I436" s="75">
        <v>9000</v>
      </c>
      <c r="J436" s="75">
        <v>18000</v>
      </c>
      <c r="K436" s="91" t="s">
        <v>1129</v>
      </c>
      <c r="L436" s="73"/>
      <c r="M436" s="46">
        <v>0</v>
      </c>
      <c r="N436" s="46">
        <v>0</v>
      </c>
      <c r="O436" s="46">
        <v>0</v>
      </c>
      <c r="P436" s="98"/>
      <c r="Q436" s="23" t="s">
        <v>1438</v>
      </c>
      <c r="R436" s="24" t="s">
        <v>1128</v>
      </c>
      <c r="S436" s="25" t="s">
        <v>325</v>
      </c>
      <c r="T436" s="26">
        <v>2</v>
      </c>
      <c r="U436" s="26">
        <v>2</v>
      </c>
      <c r="V436" s="26">
        <v>9000</v>
      </c>
      <c r="W436" s="26">
        <f t="shared" si="85"/>
        <v>0</v>
      </c>
      <c r="X436" s="26">
        <f t="shared" si="78"/>
        <v>0</v>
      </c>
      <c r="Y436" s="26">
        <f t="shared" si="86"/>
        <v>0</v>
      </c>
      <c r="Z436" s="26">
        <f t="shared" si="87"/>
        <v>0</v>
      </c>
      <c r="AA436" s="33" t="s">
        <v>15</v>
      </c>
      <c r="AB436" s="36" t="s">
        <v>16</v>
      </c>
      <c r="AC436" s="181">
        <f t="shared" si="89"/>
        <v>2</v>
      </c>
      <c r="AD436" s="181">
        <f t="shared" si="88"/>
        <v>18000</v>
      </c>
      <c r="AE436" s="181">
        <v>3</v>
      </c>
      <c r="AF436" s="181">
        <v>3</v>
      </c>
      <c r="AG436" s="101" t="str">
        <f t="shared" si="90"/>
        <v/>
      </c>
      <c r="AH436" s="190">
        <v>0</v>
      </c>
      <c r="AI436" s="69">
        <f t="shared" si="83"/>
        <v>2</v>
      </c>
      <c r="AL436" s="69">
        <v>0</v>
      </c>
    </row>
    <row r="437" spans="1:38" s="69" customFormat="1" ht="49.5" customHeight="1" x14ac:dyDescent="0.3">
      <c r="A437" s="55" t="s">
        <v>1130</v>
      </c>
      <c r="B437" s="138" t="s">
        <v>3127</v>
      </c>
      <c r="C437" s="54" t="s">
        <v>325</v>
      </c>
      <c r="D437" s="75">
        <v>3</v>
      </c>
      <c r="E437" s="75"/>
      <c r="F437" s="75"/>
      <c r="G437" s="75"/>
      <c r="H437" s="75"/>
      <c r="I437" s="75">
        <v>4200</v>
      </c>
      <c r="J437" s="75">
        <v>12600</v>
      </c>
      <c r="K437" s="91" t="s">
        <v>1132</v>
      </c>
      <c r="L437" s="73"/>
      <c r="M437" s="46">
        <v>2</v>
      </c>
      <c r="N437" s="46">
        <v>0</v>
      </c>
      <c r="O437" s="46">
        <v>8400</v>
      </c>
      <c r="P437" s="98"/>
      <c r="Q437" s="23" t="s">
        <v>1439</v>
      </c>
      <c r="R437" s="24" t="s">
        <v>1131</v>
      </c>
      <c r="S437" s="25" t="s">
        <v>325</v>
      </c>
      <c r="T437" s="26">
        <v>3</v>
      </c>
      <c r="U437" s="26">
        <v>3</v>
      </c>
      <c r="V437" s="26">
        <v>4200</v>
      </c>
      <c r="W437" s="243">
        <f t="shared" si="85"/>
        <v>0</v>
      </c>
      <c r="X437" s="26">
        <f t="shared" si="78"/>
        <v>2</v>
      </c>
      <c r="Y437" s="26">
        <f t="shared" si="86"/>
        <v>0</v>
      </c>
      <c r="Z437" s="26">
        <f t="shared" si="87"/>
        <v>8400</v>
      </c>
      <c r="AA437" s="33" t="s">
        <v>15</v>
      </c>
      <c r="AB437" s="36" t="s">
        <v>16</v>
      </c>
      <c r="AC437" s="181">
        <f t="shared" si="89"/>
        <v>3</v>
      </c>
      <c r="AD437" s="181">
        <f t="shared" si="88"/>
        <v>12600</v>
      </c>
      <c r="AE437" s="181">
        <v>3</v>
      </c>
      <c r="AF437" s="181">
        <v>3</v>
      </c>
      <c r="AG437" s="101" t="str">
        <f t="shared" si="90"/>
        <v/>
      </c>
      <c r="AH437" s="191">
        <f>2</f>
        <v>2</v>
      </c>
      <c r="AI437" s="69">
        <f t="shared" si="83"/>
        <v>3</v>
      </c>
    </row>
    <row r="438" spans="1:38" s="69" customFormat="1" ht="49.5" customHeight="1" x14ac:dyDescent="0.3">
      <c r="A438" s="130" t="s">
        <v>1133</v>
      </c>
      <c r="B438" s="240" t="s">
        <v>3126</v>
      </c>
      <c r="C438" s="132" t="s">
        <v>66</v>
      </c>
      <c r="D438" s="133">
        <v>4</v>
      </c>
      <c r="E438" s="75"/>
      <c r="F438" s="75"/>
      <c r="G438" s="75"/>
      <c r="H438" s="75"/>
      <c r="I438" s="75">
        <v>1000</v>
      </c>
      <c r="J438" s="75">
        <v>4000</v>
      </c>
      <c r="K438" s="91" t="s">
        <v>1135</v>
      </c>
      <c r="L438" s="73"/>
      <c r="M438" s="46">
        <v>4</v>
      </c>
      <c r="N438" s="46">
        <v>0</v>
      </c>
      <c r="O438" s="46">
        <v>4000</v>
      </c>
      <c r="P438" s="98"/>
      <c r="Q438" s="23" t="s">
        <v>1440</v>
      </c>
      <c r="R438" s="24" t="s">
        <v>1134</v>
      </c>
      <c r="S438" s="25" t="s">
        <v>66</v>
      </c>
      <c r="T438" s="26">
        <v>4</v>
      </c>
      <c r="U438" s="26">
        <v>4</v>
      </c>
      <c r="V438" s="26">
        <v>1000</v>
      </c>
      <c r="W438" s="243">
        <f t="shared" si="85"/>
        <v>0</v>
      </c>
      <c r="X438" s="127">
        <f t="shared" si="78"/>
        <v>4</v>
      </c>
      <c r="Y438" s="127">
        <f t="shared" si="86"/>
        <v>0</v>
      </c>
      <c r="Z438" s="127">
        <f t="shared" si="87"/>
        <v>4000</v>
      </c>
      <c r="AA438" s="33" t="s">
        <v>15</v>
      </c>
      <c r="AB438" s="36" t="s">
        <v>16</v>
      </c>
      <c r="AC438" s="181">
        <f t="shared" si="89"/>
        <v>4</v>
      </c>
      <c r="AD438" s="181">
        <f t="shared" si="88"/>
        <v>4000</v>
      </c>
      <c r="AE438" s="181">
        <v>3</v>
      </c>
      <c r="AF438" s="181">
        <v>3</v>
      </c>
      <c r="AG438" s="101" t="str">
        <f t="shared" si="90"/>
        <v/>
      </c>
      <c r="AH438" s="191">
        <f>4</f>
        <v>4</v>
      </c>
      <c r="AI438" s="69">
        <f t="shared" si="83"/>
        <v>4</v>
      </c>
    </row>
    <row r="439" spans="1:38" s="69" customFormat="1" ht="49.5" customHeight="1" x14ac:dyDescent="0.3">
      <c r="A439" s="55" t="s">
        <v>1136</v>
      </c>
      <c r="B439" s="138" t="s">
        <v>3125</v>
      </c>
      <c r="C439" s="54" t="s">
        <v>325</v>
      </c>
      <c r="D439" s="75">
        <v>15</v>
      </c>
      <c r="E439" s="75"/>
      <c r="F439" s="75"/>
      <c r="G439" s="75"/>
      <c r="H439" s="75"/>
      <c r="I439" s="75">
        <v>4500</v>
      </c>
      <c r="J439" s="75">
        <v>67500</v>
      </c>
      <c r="K439" s="91" t="s">
        <v>1138</v>
      </c>
      <c r="L439" s="73"/>
      <c r="M439" s="46">
        <v>9</v>
      </c>
      <c r="N439" s="46">
        <v>0</v>
      </c>
      <c r="O439" s="46">
        <v>40500</v>
      </c>
      <c r="P439" s="98"/>
      <c r="Q439" s="23" t="s">
        <v>1441</v>
      </c>
      <c r="R439" s="24" t="s">
        <v>1137</v>
      </c>
      <c r="S439" s="25" t="s">
        <v>325</v>
      </c>
      <c r="T439" s="26">
        <v>15</v>
      </c>
      <c r="U439" s="26">
        <v>15</v>
      </c>
      <c r="V439" s="26">
        <v>4500</v>
      </c>
      <c r="W439" s="243">
        <f t="shared" si="85"/>
        <v>0</v>
      </c>
      <c r="X439" s="26">
        <f t="shared" si="78"/>
        <v>9</v>
      </c>
      <c r="Y439" s="26">
        <f t="shared" si="86"/>
        <v>0</v>
      </c>
      <c r="Z439" s="26">
        <f t="shared" si="87"/>
        <v>40500</v>
      </c>
      <c r="AA439" s="33" t="s">
        <v>15</v>
      </c>
      <c r="AB439" s="36" t="s">
        <v>16</v>
      </c>
      <c r="AC439" s="181">
        <f t="shared" si="89"/>
        <v>15</v>
      </c>
      <c r="AD439" s="181">
        <f t="shared" si="88"/>
        <v>67500</v>
      </c>
      <c r="AE439" s="181">
        <v>3</v>
      </c>
      <c r="AF439" s="181">
        <v>3</v>
      </c>
      <c r="AG439" s="101" t="str">
        <f t="shared" si="90"/>
        <v/>
      </c>
      <c r="AH439" s="191">
        <f>9</f>
        <v>9</v>
      </c>
      <c r="AI439" s="69">
        <f t="shared" si="83"/>
        <v>15</v>
      </c>
    </row>
    <row r="440" spans="1:38" s="69" customFormat="1" ht="33" customHeight="1" x14ac:dyDescent="0.3">
      <c r="A440" s="55" t="s">
        <v>1139</v>
      </c>
      <c r="B440" s="138" t="s">
        <v>3128</v>
      </c>
      <c r="C440" s="54" t="s">
        <v>325</v>
      </c>
      <c r="D440" s="75">
        <v>2</v>
      </c>
      <c r="E440" s="75"/>
      <c r="F440" s="75"/>
      <c r="G440" s="75"/>
      <c r="H440" s="75"/>
      <c r="I440" s="75">
        <v>636300</v>
      </c>
      <c r="J440" s="75">
        <v>1272600</v>
      </c>
      <c r="K440" s="91" t="s">
        <v>1141</v>
      </c>
      <c r="L440" s="73"/>
      <c r="M440" s="46">
        <v>1</v>
      </c>
      <c r="N440" s="46">
        <v>0</v>
      </c>
      <c r="O440" s="46">
        <v>636300</v>
      </c>
      <c r="P440" s="98"/>
      <c r="Q440" s="23" t="s">
        <v>1442</v>
      </c>
      <c r="R440" s="24" t="s">
        <v>1140</v>
      </c>
      <c r="S440" s="25" t="s">
        <v>325</v>
      </c>
      <c r="T440" s="26">
        <v>2</v>
      </c>
      <c r="U440" s="26">
        <v>2</v>
      </c>
      <c r="V440" s="26">
        <v>636300</v>
      </c>
      <c r="W440" s="26">
        <f t="shared" si="85"/>
        <v>0</v>
      </c>
      <c r="X440" s="26">
        <f t="shared" si="78"/>
        <v>1</v>
      </c>
      <c r="Y440" s="26">
        <f t="shared" si="86"/>
        <v>0</v>
      </c>
      <c r="Z440" s="26">
        <f t="shared" si="87"/>
        <v>636300</v>
      </c>
      <c r="AA440" s="33" t="s">
        <v>15</v>
      </c>
      <c r="AB440" s="36" t="s">
        <v>16</v>
      </c>
      <c r="AC440" s="181">
        <f t="shared" si="89"/>
        <v>2</v>
      </c>
      <c r="AD440" s="181">
        <f t="shared" si="88"/>
        <v>1272600</v>
      </c>
      <c r="AE440" s="181">
        <v>3</v>
      </c>
      <c r="AF440" s="181">
        <v>3</v>
      </c>
      <c r="AG440" s="101" t="str">
        <f t="shared" si="90"/>
        <v/>
      </c>
      <c r="AH440" s="190">
        <v>1</v>
      </c>
      <c r="AI440" s="69">
        <f t="shared" si="83"/>
        <v>2</v>
      </c>
    </row>
    <row r="441" spans="1:38" s="69" customFormat="1" ht="49.5" customHeight="1" x14ac:dyDescent="0.3">
      <c r="A441" s="130" t="s">
        <v>1142</v>
      </c>
      <c r="B441" s="240" t="s">
        <v>3131</v>
      </c>
      <c r="C441" s="132" t="s">
        <v>1144</v>
      </c>
      <c r="D441" s="133">
        <v>4</v>
      </c>
      <c r="E441" s="75"/>
      <c r="F441" s="75"/>
      <c r="G441" s="75"/>
      <c r="H441" s="76"/>
      <c r="I441" s="75">
        <v>2000</v>
      </c>
      <c r="J441" s="75">
        <v>8000</v>
      </c>
      <c r="K441" s="91" t="s">
        <v>1145</v>
      </c>
      <c r="L441" s="73"/>
      <c r="M441" s="46">
        <v>4</v>
      </c>
      <c r="N441" s="46">
        <v>0</v>
      </c>
      <c r="O441" s="46">
        <v>8000</v>
      </c>
      <c r="P441" s="98"/>
      <c r="Q441" s="23" t="s">
        <v>1443</v>
      </c>
      <c r="R441" s="24" t="s">
        <v>1143</v>
      </c>
      <c r="S441" s="25" t="s">
        <v>1144</v>
      </c>
      <c r="T441" s="26">
        <v>4</v>
      </c>
      <c r="U441" s="26">
        <v>4</v>
      </c>
      <c r="V441" s="26">
        <v>2000</v>
      </c>
      <c r="W441" s="243">
        <f t="shared" si="85"/>
        <v>0</v>
      </c>
      <c r="X441" s="127">
        <f t="shared" si="78"/>
        <v>4</v>
      </c>
      <c r="Y441" s="127">
        <f t="shared" si="86"/>
        <v>0</v>
      </c>
      <c r="Z441" s="127">
        <f t="shared" si="87"/>
        <v>8000</v>
      </c>
      <c r="AA441" s="33" t="s">
        <v>15</v>
      </c>
      <c r="AB441" s="36" t="s">
        <v>16</v>
      </c>
      <c r="AC441" s="181">
        <f t="shared" si="89"/>
        <v>4</v>
      </c>
      <c r="AD441" s="181">
        <f t="shared" si="88"/>
        <v>8000</v>
      </c>
      <c r="AE441" s="181">
        <v>3</v>
      </c>
      <c r="AF441" s="181">
        <v>3</v>
      </c>
      <c r="AG441" s="101" t="str">
        <f t="shared" si="90"/>
        <v/>
      </c>
      <c r="AH441" s="191">
        <f>4</f>
        <v>4</v>
      </c>
      <c r="AI441" s="69">
        <f t="shared" si="83"/>
        <v>4</v>
      </c>
    </row>
    <row r="442" spans="1:38" s="69" customFormat="1" ht="33" x14ac:dyDescent="0.3">
      <c r="A442" s="134">
        <v>3.35</v>
      </c>
      <c r="B442" s="135" t="s">
        <v>1346</v>
      </c>
      <c r="C442" s="204" t="s">
        <v>325</v>
      </c>
      <c r="D442" s="133"/>
      <c r="E442" s="59">
        <v>1</v>
      </c>
      <c r="F442" s="77"/>
      <c r="G442" s="226"/>
      <c r="H442" s="230"/>
      <c r="I442" s="178">
        <v>119161.05</v>
      </c>
      <c r="J442" s="59">
        <v>119161.05</v>
      </c>
      <c r="K442" s="92"/>
      <c r="L442" s="73"/>
      <c r="M442" s="46">
        <v>1</v>
      </c>
      <c r="N442" s="46">
        <v>0</v>
      </c>
      <c r="O442" s="46">
        <v>119161.05</v>
      </c>
      <c r="P442" s="98"/>
      <c r="Q442" s="23" t="s">
        <v>1444</v>
      </c>
      <c r="R442" s="24" t="s">
        <v>1501</v>
      </c>
      <c r="S442" s="25" t="s">
        <v>325</v>
      </c>
      <c r="T442" s="26">
        <v>0</v>
      </c>
      <c r="U442" s="26">
        <v>1</v>
      </c>
      <c r="V442" s="26">
        <v>119161.05</v>
      </c>
      <c r="W442" s="127">
        <f t="shared" si="85"/>
        <v>0</v>
      </c>
      <c r="X442" s="127">
        <f t="shared" si="78"/>
        <v>1</v>
      </c>
      <c r="Y442" s="127">
        <f t="shared" si="86"/>
        <v>0</v>
      </c>
      <c r="Z442" s="127">
        <f t="shared" si="87"/>
        <v>119161.05</v>
      </c>
      <c r="AA442" s="27"/>
      <c r="AB442" s="36" t="s">
        <v>16</v>
      </c>
      <c r="AC442" s="181">
        <f t="shared" si="89"/>
        <v>1</v>
      </c>
      <c r="AD442" s="181">
        <f t="shared" si="88"/>
        <v>119161.05</v>
      </c>
      <c r="AE442" s="181">
        <v>3</v>
      </c>
      <c r="AF442" s="181">
        <v>3</v>
      </c>
      <c r="AG442" s="101" t="str">
        <f t="shared" si="90"/>
        <v/>
      </c>
      <c r="AH442" s="190">
        <v>1</v>
      </c>
      <c r="AI442" s="69">
        <f t="shared" si="83"/>
        <v>1</v>
      </c>
    </row>
    <row r="443" spans="1:38" ht="39" x14ac:dyDescent="0.3">
      <c r="A443" s="134" t="s">
        <v>1347</v>
      </c>
      <c r="B443" s="135" t="s">
        <v>1348</v>
      </c>
      <c r="C443" s="204" t="s">
        <v>325</v>
      </c>
      <c r="D443" s="133"/>
      <c r="E443" s="78"/>
      <c r="F443" s="62">
        <v>1</v>
      </c>
      <c r="G443" s="163"/>
      <c r="H443" s="62"/>
      <c r="I443" s="167">
        <v>74988.5</v>
      </c>
      <c r="J443" s="62">
        <v>74988.5</v>
      </c>
      <c r="K443" s="93"/>
      <c r="M443" s="46">
        <v>1</v>
      </c>
      <c r="N443" s="46">
        <v>0</v>
      </c>
      <c r="O443" s="46">
        <v>74988.5</v>
      </c>
      <c r="P443" s="98"/>
      <c r="Q443" s="23" t="s">
        <v>1408</v>
      </c>
      <c r="R443" s="24" t="s">
        <v>1348</v>
      </c>
      <c r="S443" s="25" t="s">
        <v>325</v>
      </c>
      <c r="T443" s="26">
        <v>0</v>
      </c>
      <c r="U443" s="26">
        <v>1</v>
      </c>
      <c r="V443" s="26">
        <v>74988.5</v>
      </c>
      <c r="W443" s="127">
        <f t="shared" si="85"/>
        <v>0</v>
      </c>
      <c r="X443" s="127">
        <f t="shared" si="78"/>
        <v>1</v>
      </c>
      <c r="Y443" s="127">
        <f t="shared" si="86"/>
        <v>0</v>
      </c>
      <c r="Z443" s="127">
        <f t="shared" si="87"/>
        <v>74988.5</v>
      </c>
      <c r="AA443" s="27"/>
      <c r="AB443" s="36" t="s">
        <v>16</v>
      </c>
      <c r="AC443" s="181">
        <f t="shared" si="89"/>
        <v>1</v>
      </c>
      <c r="AD443" s="181">
        <f t="shared" si="88"/>
        <v>74988.5</v>
      </c>
      <c r="AE443" s="181">
        <v>3</v>
      </c>
      <c r="AF443" s="181">
        <v>3</v>
      </c>
      <c r="AG443" s="101" t="str">
        <f t="shared" si="90"/>
        <v/>
      </c>
      <c r="AH443" s="190">
        <v>1</v>
      </c>
      <c r="AI443" s="69">
        <f t="shared" si="83"/>
        <v>1</v>
      </c>
    </row>
    <row r="444" spans="1:38" ht="66" x14ac:dyDescent="0.3">
      <c r="A444" s="134" t="s">
        <v>1349</v>
      </c>
      <c r="B444" s="139" t="s">
        <v>3132</v>
      </c>
      <c r="C444" s="204" t="s">
        <v>325</v>
      </c>
      <c r="D444" s="133"/>
      <c r="E444" s="78"/>
      <c r="F444" s="62">
        <v>2</v>
      </c>
      <c r="G444" s="163"/>
      <c r="H444" s="62"/>
      <c r="I444" s="167">
        <v>83493.929999999993</v>
      </c>
      <c r="J444" s="62">
        <v>166987.85999999999</v>
      </c>
      <c r="K444" s="93"/>
      <c r="M444" s="46">
        <v>2</v>
      </c>
      <c r="N444" s="46">
        <v>0</v>
      </c>
      <c r="O444" s="46">
        <v>166987.85999999999</v>
      </c>
      <c r="P444" s="98"/>
      <c r="Q444" s="23" t="s">
        <v>1409</v>
      </c>
      <c r="R444" s="24" t="s">
        <v>1350</v>
      </c>
      <c r="S444" s="25" t="s">
        <v>325</v>
      </c>
      <c r="T444" s="26">
        <v>0</v>
      </c>
      <c r="U444" s="26">
        <v>2</v>
      </c>
      <c r="V444" s="26">
        <v>83493.929999999993</v>
      </c>
      <c r="W444" s="127">
        <f t="shared" si="85"/>
        <v>0</v>
      </c>
      <c r="X444" s="127">
        <f t="shared" si="78"/>
        <v>2</v>
      </c>
      <c r="Y444" s="127">
        <f t="shared" si="86"/>
        <v>0</v>
      </c>
      <c r="Z444" s="127">
        <f t="shared" si="87"/>
        <v>166987.85999999999</v>
      </c>
      <c r="AA444" s="27"/>
      <c r="AB444" s="36" t="s">
        <v>16</v>
      </c>
      <c r="AC444" s="181">
        <f t="shared" si="89"/>
        <v>2</v>
      </c>
      <c r="AD444" s="181">
        <f t="shared" si="88"/>
        <v>166987.85999999999</v>
      </c>
      <c r="AE444" s="181">
        <v>3</v>
      </c>
      <c r="AF444" s="181">
        <v>3</v>
      </c>
      <c r="AG444" s="101" t="str">
        <f t="shared" si="90"/>
        <v/>
      </c>
      <c r="AH444" s="190">
        <v>2</v>
      </c>
      <c r="AI444" s="69">
        <f t="shared" si="83"/>
        <v>2</v>
      </c>
    </row>
    <row r="445" spans="1:38" ht="49.5" x14ac:dyDescent="0.3">
      <c r="A445" s="134" t="s">
        <v>1351</v>
      </c>
      <c r="B445" s="139" t="s">
        <v>3133</v>
      </c>
      <c r="C445" s="204" t="s">
        <v>325</v>
      </c>
      <c r="D445" s="133"/>
      <c r="E445" s="78"/>
      <c r="F445" s="62">
        <v>2</v>
      </c>
      <c r="G445" s="163"/>
      <c r="H445" s="62"/>
      <c r="I445" s="167">
        <v>76194.460000000006</v>
      </c>
      <c r="J445" s="62">
        <v>152388.92000000001</v>
      </c>
      <c r="K445" s="93"/>
      <c r="M445" s="46">
        <v>2</v>
      </c>
      <c r="N445" s="46">
        <v>0</v>
      </c>
      <c r="O445" s="46">
        <v>152388.92000000001</v>
      </c>
      <c r="P445" s="98"/>
      <c r="Q445" s="23" t="s">
        <v>1410</v>
      </c>
      <c r="R445" s="24" t="s">
        <v>1352</v>
      </c>
      <c r="S445" s="25" t="s">
        <v>325</v>
      </c>
      <c r="T445" s="26">
        <v>0</v>
      </c>
      <c r="U445" s="26">
        <v>2</v>
      </c>
      <c r="V445" s="26">
        <v>76194.460000000006</v>
      </c>
      <c r="W445" s="127">
        <f t="shared" si="85"/>
        <v>0</v>
      </c>
      <c r="X445" s="127">
        <f t="shared" si="78"/>
        <v>2</v>
      </c>
      <c r="Y445" s="127">
        <f t="shared" si="86"/>
        <v>0</v>
      </c>
      <c r="Z445" s="127">
        <f t="shared" si="87"/>
        <v>152388.92000000001</v>
      </c>
      <c r="AA445" s="27"/>
      <c r="AB445" s="36" t="s">
        <v>16</v>
      </c>
      <c r="AC445" s="181">
        <f t="shared" si="89"/>
        <v>2</v>
      </c>
      <c r="AD445" s="181">
        <f t="shared" si="88"/>
        <v>152388.92000000001</v>
      </c>
      <c r="AE445" s="181">
        <v>3</v>
      </c>
      <c r="AF445" s="181">
        <v>3</v>
      </c>
      <c r="AG445" s="101" t="str">
        <f t="shared" si="90"/>
        <v/>
      </c>
      <c r="AH445" s="190">
        <v>2</v>
      </c>
      <c r="AI445" s="69">
        <f t="shared" si="83"/>
        <v>2</v>
      </c>
    </row>
    <row r="446" spans="1:38" ht="49.5" x14ac:dyDescent="0.3">
      <c r="A446" s="134" t="s">
        <v>1353</v>
      </c>
      <c r="B446" s="139" t="s">
        <v>3134</v>
      </c>
      <c r="C446" s="204" t="s">
        <v>325</v>
      </c>
      <c r="D446" s="133"/>
      <c r="E446" s="78"/>
      <c r="F446" s="62">
        <v>2</v>
      </c>
      <c r="G446" s="163"/>
      <c r="H446" s="62"/>
      <c r="I446" s="167">
        <v>17998.689999999999</v>
      </c>
      <c r="J446" s="62">
        <v>35997.379999999997</v>
      </c>
      <c r="K446" s="93"/>
      <c r="M446" s="46">
        <v>2</v>
      </c>
      <c r="N446" s="46">
        <v>0</v>
      </c>
      <c r="O446" s="46">
        <v>35997.379999999997</v>
      </c>
      <c r="P446" s="98"/>
      <c r="Q446" s="23" t="s">
        <v>1411</v>
      </c>
      <c r="R446" s="24" t="s">
        <v>1354</v>
      </c>
      <c r="S446" s="25" t="s">
        <v>325</v>
      </c>
      <c r="T446" s="26">
        <v>0</v>
      </c>
      <c r="U446" s="26">
        <v>2</v>
      </c>
      <c r="V446" s="26">
        <v>17998.689999999999</v>
      </c>
      <c r="W446" s="127">
        <f t="shared" si="85"/>
        <v>0</v>
      </c>
      <c r="X446" s="127">
        <f t="shared" si="78"/>
        <v>2</v>
      </c>
      <c r="Y446" s="127">
        <f t="shared" si="86"/>
        <v>0</v>
      </c>
      <c r="Z446" s="127">
        <f t="shared" si="87"/>
        <v>35997.379999999997</v>
      </c>
      <c r="AA446" s="27"/>
      <c r="AB446" s="36" t="s">
        <v>16</v>
      </c>
      <c r="AC446" s="181">
        <f t="shared" si="89"/>
        <v>2</v>
      </c>
      <c r="AD446" s="181">
        <f t="shared" si="88"/>
        <v>35997.379999999997</v>
      </c>
      <c r="AE446" s="181">
        <v>3</v>
      </c>
      <c r="AF446" s="181">
        <v>3</v>
      </c>
      <c r="AG446" s="101" t="str">
        <f t="shared" si="90"/>
        <v/>
      </c>
      <c r="AH446" s="190">
        <v>2</v>
      </c>
      <c r="AI446" s="69">
        <f t="shared" si="83"/>
        <v>2</v>
      </c>
    </row>
    <row r="447" spans="1:38" s="69" customFormat="1" ht="33" customHeight="1" x14ac:dyDescent="0.3">
      <c r="A447" s="85" t="s">
        <v>1146</v>
      </c>
      <c r="B447" s="86" t="s">
        <v>1147</v>
      </c>
      <c r="C447" s="87" t="s">
        <v>14</v>
      </c>
      <c r="D447" s="88">
        <v>1</v>
      </c>
      <c r="E447" s="88"/>
      <c r="F447" s="88"/>
      <c r="G447" s="236"/>
      <c r="H447" s="238"/>
      <c r="I447" s="237"/>
      <c r="J447" s="88">
        <v>2798664.24</v>
      </c>
      <c r="K447" s="95" t="s">
        <v>15</v>
      </c>
      <c r="L447" s="73"/>
      <c r="M447" s="42">
        <v>1</v>
      </c>
      <c r="N447" s="42">
        <v>193204.04000000004</v>
      </c>
      <c r="O447" s="42">
        <v>1682324.02</v>
      </c>
      <c r="P447" s="98"/>
      <c r="Q447" s="13" t="s">
        <v>1412</v>
      </c>
      <c r="R447" s="14" t="s">
        <v>1147</v>
      </c>
      <c r="S447" s="15" t="s">
        <v>14</v>
      </c>
      <c r="T447" s="16">
        <v>1</v>
      </c>
      <c r="U447" s="16"/>
      <c r="V447" s="16">
        <f>SUMIFS(AD:AD,AE:AE,AE447)</f>
        <v>2798664.24</v>
      </c>
      <c r="W447" s="16">
        <f t="shared" ref="W447:X447" si="91">IF(Y447=0,0,1)</f>
        <v>1</v>
      </c>
      <c r="X447" s="16">
        <f t="shared" si="91"/>
        <v>1</v>
      </c>
      <c r="Y447" s="16">
        <f>SUMIFS(Y:Y,AF:AF,AE447)</f>
        <v>108898.82</v>
      </c>
      <c r="Z447" s="16">
        <f>SUMIFS(Z:Z,AF:AF,AE447)</f>
        <v>1791222.8399999999</v>
      </c>
      <c r="AA447" s="17" t="s">
        <v>15</v>
      </c>
      <c r="AB447" s="40" t="s">
        <v>16</v>
      </c>
      <c r="AC447" s="181">
        <f t="shared" si="89"/>
        <v>1</v>
      </c>
      <c r="AD447" s="183"/>
      <c r="AE447" s="183">
        <v>4</v>
      </c>
      <c r="AF447" s="183"/>
      <c r="AG447" s="101" t="str">
        <f t="shared" si="90"/>
        <v/>
      </c>
      <c r="AH447" s="190">
        <v>1</v>
      </c>
      <c r="AI447" s="69">
        <f t="shared" si="83"/>
        <v>1</v>
      </c>
    </row>
    <row r="448" spans="1:38" s="69" customFormat="1" ht="49.5" customHeight="1" x14ac:dyDescent="0.3">
      <c r="A448" s="55" t="s">
        <v>1148</v>
      </c>
      <c r="B448" s="53" t="s">
        <v>1149</v>
      </c>
      <c r="C448" s="54" t="s">
        <v>1150</v>
      </c>
      <c r="D448" s="75">
        <v>48</v>
      </c>
      <c r="E448" s="75"/>
      <c r="F448" s="75"/>
      <c r="G448" s="75"/>
      <c r="H448" s="229"/>
      <c r="I448" s="75">
        <v>13068.13</v>
      </c>
      <c r="J448" s="75">
        <v>627270.24</v>
      </c>
      <c r="K448" s="91" t="s">
        <v>1151</v>
      </c>
      <c r="L448" s="73"/>
      <c r="M448" s="46">
        <v>40</v>
      </c>
      <c r="N448" s="46">
        <v>26136.260000000009</v>
      </c>
      <c r="O448" s="46">
        <v>522725.2</v>
      </c>
      <c r="P448" s="98"/>
      <c r="Q448" s="23" t="s">
        <v>1421</v>
      </c>
      <c r="R448" s="24" t="s">
        <v>1149</v>
      </c>
      <c r="S448" s="25" t="s">
        <v>1150</v>
      </c>
      <c r="T448" s="26">
        <v>48</v>
      </c>
      <c r="U448" s="26">
        <v>48</v>
      </c>
      <c r="V448" s="26">
        <v>13068.13</v>
      </c>
      <c r="W448" s="250">
        <f t="shared" ref="W448:W450" si="92">AH448-M448</f>
        <v>2</v>
      </c>
      <c r="X448" s="26">
        <f t="shared" si="78"/>
        <v>42</v>
      </c>
      <c r="Y448" s="26">
        <f>Z448-O448</f>
        <v>26136.259999999951</v>
      </c>
      <c r="Z448" s="26">
        <f t="shared" ref="Z448:Z450" si="93">ROUND(V448*X448,2)</f>
        <v>548861.46</v>
      </c>
      <c r="AA448" s="33" t="s">
        <v>15</v>
      </c>
      <c r="AB448" s="36" t="s">
        <v>16</v>
      </c>
      <c r="AC448" s="181">
        <f t="shared" si="89"/>
        <v>48</v>
      </c>
      <c r="AD448" s="181">
        <f t="shared" ref="AD448:AD450" si="94">ROUND(V448*AC448,2)</f>
        <v>627270.24</v>
      </c>
      <c r="AE448" s="181">
        <v>4</v>
      </c>
      <c r="AF448" s="181">
        <v>4</v>
      </c>
      <c r="AG448" s="101" t="str">
        <f t="shared" si="90"/>
        <v/>
      </c>
      <c r="AH448" s="191">
        <f>32+2+2+2+2+2</f>
        <v>42</v>
      </c>
      <c r="AI448" s="69">
        <f t="shared" si="83"/>
        <v>48</v>
      </c>
    </row>
    <row r="449" spans="1:35" s="69" customFormat="1" ht="66" customHeight="1" x14ac:dyDescent="0.3">
      <c r="A449" s="55" t="s">
        <v>1152</v>
      </c>
      <c r="B449" s="53" t="s">
        <v>1153</v>
      </c>
      <c r="C449" s="54" t="s">
        <v>998</v>
      </c>
      <c r="D449" s="75">
        <v>6720</v>
      </c>
      <c r="E449" s="75"/>
      <c r="F449" s="75"/>
      <c r="G449" s="76"/>
      <c r="H449" s="75"/>
      <c r="I449" s="75">
        <v>54.57</v>
      </c>
      <c r="J449" s="75">
        <v>366710.4</v>
      </c>
      <c r="K449" s="91" t="s">
        <v>1154</v>
      </c>
      <c r="L449" s="73"/>
      <c r="M449" s="46">
        <v>4630</v>
      </c>
      <c r="N449" s="46">
        <v>68212.5</v>
      </c>
      <c r="O449" s="46">
        <v>252659.1</v>
      </c>
      <c r="P449" s="98"/>
      <c r="Q449" s="23" t="s">
        <v>1426</v>
      </c>
      <c r="R449" s="24" t="s">
        <v>1153</v>
      </c>
      <c r="S449" s="25" t="s">
        <v>998</v>
      </c>
      <c r="T449" s="26">
        <v>6720</v>
      </c>
      <c r="U449" s="26">
        <v>6720</v>
      </c>
      <c r="V449" s="26">
        <v>54.57</v>
      </c>
      <c r="W449" s="250">
        <f t="shared" si="92"/>
        <v>0</v>
      </c>
      <c r="X449" s="26">
        <f t="shared" si="78"/>
        <v>4630</v>
      </c>
      <c r="Y449" s="26">
        <f>Z449-O449</f>
        <v>0</v>
      </c>
      <c r="Z449" s="26">
        <f t="shared" si="93"/>
        <v>252659.1</v>
      </c>
      <c r="AA449" s="33" t="s">
        <v>15</v>
      </c>
      <c r="AB449" s="36" t="s">
        <v>16</v>
      </c>
      <c r="AC449" s="181">
        <f t="shared" si="89"/>
        <v>6720</v>
      </c>
      <c r="AD449" s="181">
        <f t="shared" si="94"/>
        <v>366710.4</v>
      </c>
      <c r="AE449" s="181">
        <v>4</v>
      </c>
      <c r="AF449" s="181">
        <v>4</v>
      </c>
      <c r="AG449" s="101" t="str">
        <f t="shared" si="90"/>
        <v/>
      </c>
      <c r="AH449" s="191">
        <f>2360+1020+1250</f>
        <v>4630</v>
      </c>
      <c r="AI449" s="69">
        <f t="shared" si="83"/>
        <v>6720</v>
      </c>
    </row>
    <row r="450" spans="1:35" s="69" customFormat="1" ht="33" x14ac:dyDescent="0.3">
      <c r="A450" s="66">
        <v>4.3</v>
      </c>
      <c r="B450" s="57" t="s">
        <v>1355</v>
      </c>
      <c r="C450" s="58" t="s">
        <v>1360</v>
      </c>
      <c r="D450" s="77"/>
      <c r="E450" s="117">
        <v>1570</v>
      </c>
      <c r="F450" s="59"/>
      <c r="G450" s="59"/>
      <c r="H450" s="142"/>
      <c r="I450" s="77">
        <v>1149.48</v>
      </c>
      <c r="J450" s="59">
        <v>1804683.6</v>
      </c>
      <c r="K450" s="92"/>
      <c r="L450" s="73"/>
      <c r="M450" s="46">
        <v>789</v>
      </c>
      <c r="N450" s="46">
        <v>98855.280000000028</v>
      </c>
      <c r="O450" s="46">
        <v>906939.72</v>
      </c>
      <c r="P450" s="98"/>
      <c r="Q450" s="23" t="s">
        <v>1402</v>
      </c>
      <c r="R450" s="24" t="s">
        <v>1502</v>
      </c>
      <c r="S450" s="25" t="s">
        <v>1360</v>
      </c>
      <c r="T450" s="26">
        <v>0</v>
      </c>
      <c r="U450" s="26">
        <v>1570</v>
      </c>
      <c r="V450" s="26">
        <v>1149.48</v>
      </c>
      <c r="W450" s="250">
        <f t="shared" si="92"/>
        <v>72</v>
      </c>
      <c r="X450" s="26">
        <f t="shared" si="78"/>
        <v>861</v>
      </c>
      <c r="Y450" s="26">
        <f>Z450-O450</f>
        <v>82762.560000000056</v>
      </c>
      <c r="Z450" s="26">
        <f t="shared" si="93"/>
        <v>989702.28</v>
      </c>
      <c r="AA450" s="27"/>
      <c r="AB450" s="36" t="s">
        <v>16</v>
      </c>
      <c r="AC450" s="181">
        <f t="shared" si="89"/>
        <v>1570</v>
      </c>
      <c r="AD450" s="181">
        <f t="shared" si="94"/>
        <v>1804683.6</v>
      </c>
      <c r="AE450" s="181">
        <v>4</v>
      </c>
      <c r="AF450" s="181">
        <v>4</v>
      </c>
      <c r="AG450" s="101" t="str">
        <f t="shared" si="90"/>
        <v/>
      </c>
      <c r="AH450" s="191">
        <f>591+56+56+86+72</f>
        <v>861</v>
      </c>
      <c r="AI450" s="69">
        <f t="shared" si="83"/>
        <v>1570</v>
      </c>
    </row>
    <row r="451" spans="1:35" s="69" customFormat="1" ht="33" customHeight="1" x14ac:dyDescent="0.3">
      <c r="A451" s="85" t="s">
        <v>1155</v>
      </c>
      <c r="B451" s="86" t="s">
        <v>1156</v>
      </c>
      <c r="C451" s="87" t="s">
        <v>14</v>
      </c>
      <c r="D451" s="88">
        <v>1</v>
      </c>
      <c r="E451" s="88"/>
      <c r="F451" s="88"/>
      <c r="G451" s="153"/>
      <c r="H451" s="88"/>
      <c r="I451" s="88"/>
      <c r="J451" s="88">
        <v>10715306.710000001</v>
      </c>
      <c r="K451" s="95" t="s">
        <v>15</v>
      </c>
      <c r="L451" s="73"/>
      <c r="M451" s="42">
        <v>1</v>
      </c>
      <c r="N451" s="42">
        <v>209387.71999999997</v>
      </c>
      <c r="O451" s="42">
        <v>10153592.060000001</v>
      </c>
      <c r="P451" s="98"/>
      <c r="Q451" s="13" t="s">
        <v>1413</v>
      </c>
      <c r="R451" s="14" t="s">
        <v>1156</v>
      </c>
      <c r="S451" s="15" t="s">
        <v>14</v>
      </c>
      <c r="T451" s="16">
        <v>1</v>
      </c>
      <c r="U451" s="16"/>
      <c r="V451" s="16">
        <f>SUMIFS(AD:AD,AE:AE,AE451)</f>
        <v>10715306.709999999</v>
      </c>
      <c r="W451" s="16">
        <f t="shared" ref="W451:X451" si="95">IF(Y451=0,0,1)</f>
        <v>1</v>
      </c>
      <c r="X451" s="16">
        <f t="shared" si="95"/>
        <v>1</v>
      </c>
      <c r="Y451" s="16">
        <f>SUMIFS(Y:Y,AF:AF,AE451)</f>
        <v>60932.199999999953</v>
      </c>
      <c r="Z451" s="16">
        <f>SUMIFS(Z:Z,AF:AF,AE451)</f>
        <v>10214524.26</v>
      </c>
      <c r="AA451" s="17" t="s">
        <v>15</v>
      </c>
      <c r="AB451" s="40" t="s">
        <v>16</v>
      </c>
      <c r="AC451" s="181">
        <f t="shared" si="89"/>
        <v>1</v>
      </c>
      <c r="AD451" s="183"/>
      <c r="AE451" s="183">
        <v>5</v>
      </c>
      <c r="AF451" s="183"/>
      <c r="AG451" s="101" t="str">
        <f t="shared" si="90"/>
        <v/>
      </c>
      <c r="AH451" s="190">
        <v>1</v>
      </c>
      <c r="AI451" s="69">
        <f t="shared" si="83"/>
        <v>1</v>
      </c>
    </row>
    <row r="452" spans="1:35" s="69" customFormat="1" ht="49.5" customHeight="1" x14ac:dyDescent="0.3">
      <c r="A452" s="130" t="s">
        <v>1157</v>
      </c>
      <c r="B452" s="240" t="s">
        <v>1158</v>
      </c>
      <c r="C452" s="132" t="s">
        <v>30</v>
      </c>
      <c r="D452" s="133">
        <v>1698.29</v>
      </c>
      <c r="E452" s="75"/>
      <c r="F452" s="75"/>
      <c r="G452" s="75"/>
      <c r="H452" s="75"/>
      <c r="I452" s="75">
        <v>3662.23</v>
      </c>
      <c r="J452" s="75">
        <v>6219528.5899999999</v>
      </c>
      <c r="K452" s="91" t="s">
        <v>1159</v>
      </c>
      <c r="L452" s="73"/>
      <c r="M452" s="46">
        <v>1698.29</v>
      </c>
      <c r="N452" s="46">
        <v>0</v>
      </c>
      <c r="O452" s="46">
        <v>6219528.5899999999</v>
      </c>
      <c r="P452" s="98"/>
      <c r="Q452" s="23" t="s">
        <v>1421</v>
      </c>
      <c r="R452" s="24" t="s">
        <v>1158</v>
      </c>
      <c r="S452" s="25" t="s">
        <v>30</v>
      </c>
      <c r="T452" s="26">
        <v>1698.29</v>
      </c>
      <c r="U452" s="26">
        <v>1698.29</v>
      </c>
      <c r="V452" s="26">
        <v>3662.23</v>
      </c>
      <c r="W452" s="127">
        <f t="shared" ref="W452:W471" si="96">AH452-M452</f>
        <v>0</v>
      </c>
      <c r="X452" s="127">
        <f t="shared" si="78"/>
        <v>1698.29</v>
      </c>
      <c r="Y452" s="127">
        <f t="shared" ref="Y452:Y471" si="97">Z452-O452</f>
        <v>0</v>
      </c>
      <c r="Z452" s="127">
        <f t="shared" ref="Z452:Z471" si="98">ROUND(V452*X452,2)</f>
        <v>6219528.5899999999</v>
      </c>
      <c r="AA452" s="33" t="s">
        <v>15</v>
      </c>
      <c r="AB452" s="36" t="s">
        <v>16</v>
      </c>
      <c r="AC452" s="181">
        <f t="shared" si="89"/>
        <v>1698.29</v>
      </c>
      <c r="AD452" s="181">
        <f t="shared" ref="AD452:AD471" si="99">ROUND(V452*AC452,2)</f>
        <v>6219528.5899999999</v>
      </c>
      <c r="AE452" s="181">
        <v>5</v>
      </c>
      <c r="AF452" s="181">
        <v>5</v>
      </c>
      <c r="AG452" s="101" t="str">
        <f t="shared" si="90"/>
        <v/>
      </c>
      <c r="AH452" s="190">
        <v>1698.29</v>
      </c>
      <c r="AI452" s="69">
        <f t="shared" si="83"/>
        <v>1698.29</v>
      </c>
    </row>
    <row r="453" spans="1:35" s="69" customFormat="1" ht="49.5" x14ac:dyDescent="0.3">
      <c r="A453" s="130" t="s">
        <v>1160</v>
      </c>
      <c r="B453" s="240" t="s">
        <v>1161</v>
      </c>
      <c r="C453" s="132" t="s">
        <v>50</v>
      </c>
      <c r="D453" s="133">
        <v>2123.4</v>
      </c>
      <c r="E453" s="75"/>
      <c r="F453" s="75"/>
      <c r="G453" s="75"/>
      <c r="H453" s="75"/>
      <c r="I453" s="75">
        <v>353</v>
      </c>
      <c r="J453" s="75">
        <v>749560.2</v>
      </c>
      <c r="K453" s="91" t="s">
        <v>1162</v>
      </c>
      <c r="L453" s="73"/>
      <c r="M453" s="46">
        <v>2123.4</v>
      </c>
      <c r="N453" s="46">
        <v>0</v>
      </c>
      <c r="O453" s="46">
        <v>749560.2</v>
      </c>
      <c r="P453" s="98"/>
      <c r="Q453" s="23" t="s">
        <v>1426</v>
      </c>
      <c r="R453" s="24" t="s">
        <v>1161</v>
      </c>
      <c r="S453" s="25" t="s">
        <v>50</v>
      </c>
      <c r="T453" s="26">
        <v>2123.4</v>
      </c>
      <c r="U453" s="26">
        <v>2123.4</v>
      </c>
      <c r="V453" s="26">
        <v>353</v>
      </c>
      <c r="W453" s="127">
        <f t="shared" si="96"/>
        <v>0</v>
      </c>
      <c r="X453" s="127">
        <v>2123.4</v>
      </c>
      <c r="Y453" s="127">
        <f t="shared" si="97"/>
        <v>0</v>
      </c>
      <c r="Z453" s="127">
        <f t="shared" si="98"/>
        <v>749560.2</v>
      </c>
      <c r="AA453" s="33" t="s">
        <v>15</v>
      </c>
      <c r="AB453" s="36" t="s">
        <v>16</v>
      </c>
      <c r="AC453" s="181">
        <f t="shared" si="89"/>
        <v>2123.4</v>
      </c>
      <c r="AD453" s="181">
        <f t="shared" si="99"/>
        <v>749560.2</v>
      </c>
      <c r="AE453" s="181">
        <v>5</v>
      </c>
      <c r="AF453" s="181">
        <v>5</v>
      </c>
      <c r="AG453" s="101" t="str">
        <f t="shared" si="90"/>
        <v/>
      </c>
      <c r="AH453" s="190">
        <v>2123.4</v>
      </c>
      <c r="AI453" s="69">
        <f t="shared" si="83"/>
        <v>2123.4</v>
      </c>
    </row>
    <row r="454" spans="1:35" s="69" customFormat="1" ht="42" customHeight="1" x14ac:dyDescent="0.3">
      <c r="A454" s="130" t="s">
        <v>1163</v>
      </c>
      <c r="B454" s="240" t="s">
        <v>1164</v>
      </c>
      <c r="C454" s="132" t="s">
        <v>162</v>
      </c>
      <c r="D454" s="133">
        <v>59</v>
      </c>
      <c r="E454" s="75"/>
      <c r="F454" s="75"/>
      <c r="G454" s="75"/>
      <c r="H454" s="75"/>
      <c r="I454" s="75">
        <v>217.02</v>
      </c>
      <c r="J454" s="75">
        <v>12804.18</v>
      </c>
      <c r="K454" s="91" t="s">
        <v>1165</v>
      </c>
      <c r="L454" s="73"/>
      <c r="M454" s="46">
        <v>59</v>
      </c>
      <c r="N454" s="46">
        <v>0</v>
      </c>
      <c r="O454" s="46">
        <v>12804.18</v>
      </c>
      <c r="P454" s="98"/>
      <c r="Q454" s="23" t="s">
        <v>1402</v>
      </c>
      <c r="R454" s="24" t="s">
        <v>1164</v>
      </c>
      <c r="S454" s="25" t="s">
        <v>162</v>
      </c>
      <c r="T454" s="26">
        <v>59</v>
      </c>
      <c r="U454" s="26">
        <v>59</v>
      </c>
      <c r="V454" s="26">
        <v>217.02</v>
      </c>
      <c r="W454" s="127">
        <f t="shared" si="96"/>
        <v>0</v>
      </c>
      <c r="X454" s="127">
        <f t="shared" si="78"/>
        <v>59</v>
      </c>
      <c r="Y454" s="127">
        <f t="shared" si="97"/>
        <v>0</v>
      </c>
      <c r="Z454" s="127">
        <f t="shared" si="98"/>
        <v>12804.18</v>
      </c>
      <c r="AA454" s="33" t="s">
        <v>15</v>
      </c>
      <c r="AB454" s="36" t="s">
        <v>16</v>
      </c>
      <c r="AC454" s="181">
        <f t="shared" si="89"/>
        <v>59</v>
      </c>
      <c r="AD454" s="181">
        <f t="shared" si="99"/>
        <v>12804.18</v>
      </c>
      <c r="AE454" s="181">
        <v>5</v>
      </c>
      <c r="AF454" s="181">
        <v>5</v>
      </c>
      <c r="AG454" s="101" t="str">
        <f t="shared" si="90"/>
        <v/>
      </c>
      <c r="AH454" s="194">
        <v>59</v>
      </c>
      <c r="AI454" s="69">
        <f t="shared" si="83"/>
        <v>59</v>
      </c>
    </row>
    <row r="455" spans="1:35" s="69" customFormat="1" ht="26.1" customHeight="1" x14ac:dyDescent="0.3">
      <c r="A455" s="130" t="s">
        <v>1166</v>
      </c>
      <c r="B455" s="131" t="s">
        <v>1167</v>
      </c>
      <c r="C455" s="132" t="s">
        <v>559</v>
      </c>
      <c r="D455" s="133">
        <v>30</v>
      </c>
      <c r="E455" s="75"/>
      <c r="F455" s="75"/>
      <c r="G455" s="75"/>
      <c r="H455" s="75"/>
      <c r="I455" s="75">
        <v>50</v>
      </c>
      <c r="J455" s="75">
        <v>1500</v>
      </c>
      <c r="K455" s="91" t="s">
        <v>1168</v>
      </c>
      <c r="L455" s="73"/>
      <c r="M455" s="46">
        <v>30</v>
      </c>
      <c r="N455" s="46">
        <v>0</v>
      </c>
      <c r="O455" s="46">
        <v>1500</v>
      </c>
      <c r="P455" s="98"/>
      <c r="Q455" s="23" t="s">
        <v>1373</v>
      </c>
      <c r="R455" s="24" t="s">
        <v>1167</v>
      </c>
      <c r="S455" s="25" t="s">
        <v>559</v>
      </c>
      <c r="T455" s="26">
        <v>30</v>
      </c>
      <c r="U455" s="26">
        <v>30</v>
      </c>
      <c r="V455" s="26">
        <v>50</v>
      </c>
      <c r="W455" s="127">
        <f t="shared" si="96"/>
        <v>0</v>
      </c>
      <c r="X455" s="127">
        <f t="shared" si="78"/>
        <v>30</v>
      </c>
      <c r="Y455" s="127">
        <f t="shared" si="97"/>
        <v>0</v>
      </c>
      <c r="Z455" s="127">
        <f t="shared" si="98"/>
        <v>1500</v>
      </c>
      <c r="AA455" s="33" t="s">
        <v>15</v>
      </c>
      <c r="AB455" s="36" t="s">
        <v>16</v>
      </c>
      <c r="AC455" s="181">
        <f t="shared" si="89"/>
        <v>30</v>
      </c>
      <c r="AD455" s="181">
        <f t="shared" si="99"/>
        <v>1500</v>
      </c>
      <c r="AE455" s="181">
        <v>5</v>
      </c>
      <c r="AF455" s="181">
        <v>5</v>
      </c>
      <c r="AG455" s="101" t="str">
        <f t="shared" si="90"/>
        <v/>
      </c>
      <c r="AH455" s="194">
        <v>30</v>
      </c>
      <c r="AI455" s="69">
        <f t="shared" si="83"/>
        <v>30</v>
      </c>
    </row>
    <row r="456" spans="1:35" s="69" customFormat="1" ht="26.1" customHeight="1" x14ac:dyDescent="0.3">
      <c r="A456" s="130" t="s">
        <v>1169</v>
      </c>
      <c r="B456" s="131" t="s">
        <v>1170</v>
      </c>
      <c r="C456" s="132" t="s">
        <v>81</v>
      </c>
      <c r="D456" s="133">
        <v>9</v>
      </c>
      <c r="E456" s="75"/>
      <c r="F456" s="75"/>
      <c r="G456" s="75"/>
      <c r="H456" s="75"/>
      <c r="I456" s="75">
        <v>1900.97</v>
      </c>
      <c r="J456" s="75">
        <v>17108.73</v>
      </c>
      <c r="K456" s="91" t="s">
        <v>1171</v>
      </c>
      <c r="L456" s="73"/>
      <c r="M456" s="46">
        <v>9</v>
      </c>
      <c r="N456" s="46">
        <v>0</v>
      </c>
      <c r="O456" s="46">
        <v>17108.73</v>
      </c>
      <c r="P456" s="98"/>
      <c r="Q456" s="23" t="s">
        <v>1393</v>
      </c>
      <c r="R456" s="24" t="s">
        <v>1170</v>
      </c>
      <c r="S456" s="25" t="s">
        <v>81</v>
      </c>
      <c r="T456" s="26">
        <v>9</v>
      </c>
      <c r="U456" s="26">
        <v>9</v>
      </c>
      <c r="V456" s="26">
        <v>1900.97</v>
      </c>
      <c r="W456" s="127">
        <f t="shared" si="96"/>
        <v>0</v>
      </c>
      <c r="X456" s="127">
        <f t="shared" si="78"/>
        <v>9</v>
      </c>
      <c r="Y456" s="127">
        <f t="shared" si="97"/>
        <v>0</v>
      </c>
      <c r="Z456" s="127">
        <f t="shared" si="98"/>
        <v>17108.73</v>
      </c>
      <c r="AA456" s="33" t="s">
        <v>15</v>
      </c>
      <c r="AB456" s="36" t="s">
        <v>16</v>
      </c>
      <c r="AC456" s="181">
        <f t="shared" si="89"/>
        <v>9</v>
      </c>
      <c r="AD456" s="181">
        <f t="shared" si="99"/>
        <v>17108.73</v>
      </c>
      <c r="AE456" s="181">
        <v>5</v>
      </c>
      <c r="AF456" s="181">
        <v>5</v>
      </c>
      <c r="AG456" s="101" t="str">
        <f t="shared" si="90"/>
        <v/>
      </c>
      <c r="AH456" s="190">
        <v>9</v>
      </c>
      <c r="AI456" s="69">
        <f t="shared" si="83"/>
        <v>9</v>
      </c>
    </row>
    <row r="457" spans="1:35" s="69" customFormat="1" ht="26.1" customHeight="1" x14ac:dyDescent="0.3">
      <c r="A457" s="130" t="s">
        <v>1172</v>
      </c>
      <c r="B457" s="131" t="s">
        <v>1173</v>
      </c>
      <c r="C457" s="132" t="s">
        <v>81</v>
      </c>
      <c r="D457" s="133">
        <v>5</v>
      </c>
      <c r="E457" s="75"/>
      <c r="F457" s="75"/>
      <c r="G457" s="75"/>
      <c r="H457" s="75"/>
      <c r="I457" s="75">
        <v>1230.75</v>
      </c>
      <c r="J457" s="75">
        <v>6153.75</v>
      </c>
      <c r="K457" s="91" t="s">
        <v>1174</v>
      </c>
      <c r="L457" s="73"/>
      <c r="M457" s="46">
        <v>5</v>
      </c>
      <c r="N457" s="46">
        <v>0</v>
      </c>
      <c r="O457" s="46">
        <v>6153.75</v>
      </c>
      <c r="P457" s="98"/>
      <c r="Q457" s="23" t="s">
        <v>1403</v>
      </c>
      <c r="R457" s="24" t="s">
        <v>1173</v>
      </c>
      <c r="S457" s="25" t="s">
        <v>81</v>
      </c>
      <c r="T457" s="26">
        <v>5</v>
      </c>
      <c r="U457" s="26">
        <v>5</v>
      </c>
      <c r="V457" s="26">
        <v>1230.75</v>
      </c>
      <c r="W457" s="127">
        <f t="shared" si="96"/>
        <v>0</v>
      </c>
      <c r="X457" s="127">
        <f t="shared" si="78"/>
        <v>5</v>
      </c>
      <c r="Y457" s="127">
        <f t="shared" si="97"/>
        <v>0</v>
      </c>
      <c r="Z457" s="127">
        <f t="shared" si="98"/>
        <v>6153.75</v>
      </c>
      <c r="AA457" s="33" t="s">
        <v>15</v>
      </c>
      <c r="AB457" s="36" t="s">
        <v>16</v>
      </c>
      <c r="AC457" s="181">
        <f t="shared" si="89"/>
        <v>5</v>
      </c>
      <c r="AD457" s="181">
        <f t="shared" si="99"/>
        <v>6153.75</v>
      </c>
      <c r="AE457" s="181">
        <v>5</v>
      </c>
      <c r="AF457" s="181">
        <v>5</v>
      </c>
      <c r="AG457" s="101" t="str">
        <f t="shared" si="90"/>
        <v/>
      </c>
      <c r="AH457" s="190">
        <v>5</v>
      </c>
      <c r="AI457" s="69">
        <f t="shared" si="83"/>
        <v>5</v>
      </c>
    </row>
    <row r="458" spans="1:35" s="69" customFormat="1" ht="33" x14ac:dyDescent="0.3">
      <c r="A458" s="55" t="s">
        <v>1175</v>
      </c>
      <c r="B458" s="53" t="s">
        <v>1176</v>
      </c>
      <c r="C458" s="54" t="s">
        <v>81</v>
      </c>
      <c r="D458" s="75">
        <v>756</v>
      </c>
      <c r="E458" s="75"/>
      <c r="F458" s="75"/>
      <c r="G458" s="75"/>
      <c r="H458" s="75"/>
      <c r="I458" s="75">
        <v>1666.11</v>
      </c>
      <c r="J458" s="75">
        <v>1259579.1599999999</v>
      </c>
      <c r="K458" s="91" t="s">
        <v>1177</v>
      </c>
      <c r="L458" s="73"/>
      <c r="M458" s="46">
        <v>623</v>
      </c>
      <c r="N458" s="46">
        <v>86637.719999999972</v>
      </c>
      <c r="O458" s="46">
        <v>1037986.53</v>
      </c>
      <c r="P458" s="98"/>
      <c r="Q458" s="23" t="s">
        <v>1427</v>
      </c>
      <c r="R458" s="24" t="s">
        <v>1176</v>
      </c>
      <c r="S458" s="25" t="s">
        <v>81</v>
      </c>
      <c r="T458" s="26">
        <v>756</v>
      </c>
      <c r="U458" s="26">
        <v>756</v>
      </c>
      <c r="V458" s="26">
        <v>1666.11</v>
      </c>
      <c r="W458" s="243">
        <f t="shared" si="96"/>
        <v>20</v>
      </c>
      <c r="X458" s="26">
        <f t="shared" si="78"/>
        <v>643</v>
      </c>
      <c r="Y458" s="26">
        <f t="shared" si="97"/>
        <v>33322.199999999953</v>
      </c>
      <c r="Z458" s="26">
        <f t="shared" si="98"/>
        <v>1071308.73</v>
      </c>
      <c r="AA458" s="33" t="s">
        <v>15</v>
      </c>
      <c r="AB458" s="36" t="s">
        <v>16</v>
      </c>
      <c r="AC458" s="181">
        <f t="shared" si="89"/>
        <v>756</v>
      </c>
      <c r="AD458" s="181">
        <f t="shared" si="99"/>
        <v>1259579.1599999999</v>
      </c>
      <c r="AE458" s="181">
        <v>5</v>
      </c>
      <c r="AF458" s="181">
        <v>5</v>
      </c>
      <c r="AG458" s="101" t="str">
        <f t="shared" si="90"/>
        <v/>
      </c>
      <c r="AH458" s="191">
        <f>471+52+26+22+52+20</f>
        <v>643</v>
      </c>
      <c r="AI458" s="69">
        <f t="shared" si="83"/>
        <v>756</v>
      </c>
    </row>
    <row r="459" spans="1:35" s="69" customFormat="1" ht="49.5" customHeight="1" x14ac:dyDescent="0.3">
      <c r="A459" s="130" t="s">
        <v>1178</v>
      </c>
      <c r="B459" s="240" t="s">
        <v>1179</v>
      </c>
      <c r="C459" s="132" t="s">
        <v>81</v>
      </c>
      <c r="D459" s="133">
        <v>2</v>
      </c>
      <c r="E459" s="75"/>
      <c r="F459" s="75"/>
      <c r="G459" s="75"/>
      <c r="H459" s="75"/>
      <c r="I459" s="75">
        <v>48513</v>
      </c>
      <c r="J459" s="75">
        <v>97026</v>
      </c>
      <c r="K459" s="91" t="s">
        <v>1180</v>
      </c>
      <c r="L459" s="73"/>
      <c r="M459" s="46">
        <v>2</v>
      </c>
      <c r="N459" s="46">
        <v>0</v>
      </c>
      <c r="O459" s="46">
        <v>97026</v>
      </c>
      <c r="P459" s="98"/>
      <c r="Q459" s="23" t="s">
        <v>1428</v>
      </c>
      <c r="R459" s="24" t="s">
        <v>1179</v>
      </c>
      <c r="S459" s="25" t="s">
        <v>81</v>
      </c>
      <c r="T459" s="26">
        <v>2</v>
      </c>
      <c r="U459" s="26">
        <v>2</v>
      </c>
      <c r="V459" s="26">
        <v>48513</v>
      </c>
      <c r="W459" s="127">
        <f t="shared" si="96"/>
        <v>0</v>
      </c>
      <c r="X459" s="127">
        <v>2</v>
      </c>
      <c r="Y459" s="127">
        <f t="shared" si="97"/>
        <v>0</v>
      </c>
      <c r="Z459" s="127">
        <f t="shared" si="98"/>
        <v>97026</v>
      </c>
      <c r="AA459" s="33" t="s">
        <v>15</v>
      </c>
      <c r="AB459" s="36" t="s">
        <v>16</v>
      </c>
      <c r="AC459" s="181">
        <f t="shared" si="89"/>
        <v>2</v>
      </c>
      <c r="AD459" s="181">
        <f t="shared" si="99"/>
        <v>97026</v>
      </c>
      <c r="AE459" s="181">
        <v>5</v>
      </c>
      <c r="AF459" s="181">
        <v>5</v>
      </c>
      <c r="AG459" s="101" t="str">
        <f t="shared" si="90"/>
        <v/>
      </c>
      <c r="AH459" s="190">
        <v>2</v>
      </c>
      <c r="AI459" s="69">
        <f t="shared" si="83"/>
        <v>2</v>
      </c>
    </row>
    <row r="460" spans="1:35" s="69" customFormat="1" ht="41.25" x14ac:dyDescent="0.3">
      <c r="A460" s="130" t="s">
        <v>1181</v>
      </c>
      <c r="B460" s="131" t="s">
        <v>1182</v>
      </c>
      <c r="C460" s="132" t="s">
        <v>1183</v>
      </c>
      <c r="D460" s="133">
        <v>18</v>
      </c>
      <c r="E460" s="75">
        <v>38</v>
      </c>
      <c r="F460" s="75"/>
      <c r="G460" s="75"/>
      <c r="H460" s="75"/>
      <c r="I460" s="75">
        <v>587.1</v>
      </c>
      <c r="J460" s="75">
        <v>22309.8</v>
      </c>
      <c r="K460" s="91" t="s">
        <v>1184</v>
      </c>
      <c r="L460" s="73"/>
      <c r="M460" s="46">
        <v>38</v>
      </c>
      <c r="N460" s="46">
        <v>0</v>
      </c>
      <c r="O460" s="46">
        <v>22309.8</v>
      </c>
      <c r="P460" s="98"/>
      <c r="Q460" s="23" t="s">
        <v>1387</v>
      </c>
      <c r="R460" s="24" t="s">
        <v>1182</v>
      </c>
      <c r="S460" s="25" t="s">
        <v>1183</v>
      </c>
      <c r="T460" s="26">
        <v>18</v>
      </c>
      <c r="U460" s="26">
        <v>38</v>
      </c>
      <c r="V460" s="26">
        <v>587.1</v>
      </c>
      <c r="W460" s="127">
        <f t="shared" si="96"/>
        <v>0</v>
      </c>
      <c r="X460" s="127">
        <f t="shared" ref="X460:X494" si="100">W460+M460</f>
        <v>38</v>
      </c>
      <c r="Y460" s="127">
        <f t="shared" si="97"/>
        <v>0</v>
      </c>
      <c r="Z460" s="127">
        <f t="shared" si="98"/>
        <v>22309.8</v>
      </c>
      <c r="AA460" s="27" t="s">
        <v>15</v>
      </c>
      <c r="AB460" s="36" t="s">
        <v>16</v>
      </c>
      <c r="AC460" s="181">
        <f t="shared" si="89"/>
        <v>38</v>
      </c>
      <c r="AD460" s="181">
        <f t="shared" si="99"/>
        <v>22309.8</v>
      </c>
      <c r="AE460" s="181">
        <v>5</v>
      </c>
      <c r="AF460" s="181">
        <v>5</v>
      </c>
      <c r="AG460" s="101" t="str">
        <f t="shared" si="90"/>
        <v/>
      </c>
      <c r="AH460" s="194">
        <v>38</v>
      </c>
      <c r="AI460" s="69">
        <f t="shared" ref="AI460:AI503" si="101">IF(G460=0,IF(F460=0,IF(E460=0,D460,E460),F460),G460)</f>
        <v>38</v>
      </c>
    </row>
    <row r="461" spans="1:35" s="69" customFormat="1" ht="49.5" customHeight="1" x14ac:dyDescent="0.3">
      <c r="A461" s="55" t="s">
        <v>1185</v>
      </c>
      <c r="B461" s="53" t="s">
        <v>1186</v>
      </c>
      <c r="C461" s="54" t="s">
        <v>162</v>
      </c>
      <c r="D461" s="75">
        <v>9</v>
      </c>
      <c r="E461" s="75"/>
      <c r="F461" s="75"/>
      <c r="G461" s="75"/>
      <c r="H461" s="75"/>
      <c r="I461" s="75">
        <v>664.14</v>
      </c>
      <c r="J461" s="75">
        <v>5977.26</v>
      </c>
      <c r="K461" s="91" t="s">
        <v>1187</v>
      </c>
      <c r="L461" s="73"/>
      <c r="M461" s="46">
        <v>0</v>
      </c>
      <c r="N461" s="46">
        <v>0</v>
      </c>
      <c r="O461" s="46">
        <v>0</v>
      </c>
      <c r="P461" s="98"/>
      <c r="Q461" s="23" t="s">
        <v>1405</v>
      </c>
      <c r="R461" s="24" t="s">
        <v>1186</v>
      </c>
      <c r="S461" s="25" t="s">
        <v>162</v>
      </c>
      <c r="T461" s="26">
        <v>9</v>
      </c>
      <c r="U461" s="26">
        <v>9</v>
      </c>
      <c r="V461" s="26">
        <v>664.14</v>
      </c>
      <c r="W461" s="26">
        <f t="shared" si="96"/>
        <v>0</v>
      </c>
      <c r="X461" s="26">
        <f t="shared" si="100"/>
        <v>0</v>
      </c>
      <c r="Y461" s="26">
        <f t="shared" si="97"/>
        <v>0</v>
      </c>
      <c r="Z461" s="26">
        <f t="shared" si="98"/>
        <v>0</v>
      </c>
      <c r="AA461" s="33" t="s">
        <v>15</v>
      </c>
      <c r="AB461" s="36" t="s">
        <v>16</v>
      </c>
      <c r="AC461" s="181">
        <f t="shared" si="89"/>
        <v>9</v>
      </c>
      <c r="AD461" s="181">
        <f t="shared" si="99"/>
        <v>5977.26</v>
      </c>
      <c r="AE461" s="181">
        <v>5</v>
      </c>
      <c r="AF461" s="181">
        <v>5</v>
      </c>
      <c r="AG461" s="101" t="str">
        <f t="shared" si="90"/>
        <v/>
      </c>
      <c r="AH461" s="190">
        <v>0</v>
      </c>
      <c r="AI461" s="69">
        <f t="shared" si="101"/>
        <v>9</v>
      </c>
    </row>
    <row r="462" spans="1:35" s="69" customFormat="1" ht="39" x14ac:dyDescent="0.3">
      <c r="A462" s="55" t="s">
        <v>1188</v>
      </c>
      <c r="B462" s="53" t="s">
        <v>1189</v>
      </c>
      <c r="C462" s="54" t="s">
        <v>81</v>
      </c>
      <c r="D462" s="75">
        <v>68</v>
      </c>
      <c r="E462" s="75"/>
      <c r="F462" s="75"/>
      <c r="G462" s="75"/>
      <c r="H462" s="75"/>
      <c r="I462" s="75">
        <v>847.07</v>
      </c>
      <c r="J462" s="75">
        <v>57600.76</v>
      </c>
      <c r="K462" s="91" t="s">
        <v>1190</v>
      </c>
      <c r="L462" s="73"/>
      <c r="M462" s="46">
        <v>40</v>
      </c>
      <c r="N462" s="46">
        <v>0</v>
      </c>
      <c r="O462" s="46">
        <v>33882.800000000003</v>
      </c>
      <c r="P462" s="98"/>
      <c r="Q462" s="23" t="s">
        <v>1406</v>
      </c>
      <c r="R462" s="24" t="s">
        <v>1189</v>
      </c>
      <c r="S462" s="25" t="s">
        <v>81</v>
      </c>
      <c r="T462" s="26">
        <v>68</v>
      </c>
      <c r="U462" s="26">
        <v>68</v>
      </c>
      <c r="V462" s="26">
        <v>847.07</v>
      </c>
      <c r="W462" s="128">
        <f t="shared" si="96"/>
        <v>0</v>
      </c>
      <c r="X462" s="26">
        <f t="shared" si="100"/>
        <v>40</v>
      </c>
      <c r="Y462" s="26">
        <f t="shared" si="97"/>
        <v>0</v>
      </c>
      <c r="Z462" s="26">
        <f t="shared" si="98"/>
        <v>33882.800000000003</v>
      </c>
      <c r="AA462" s="33" t="s">
        <v>15</v>
      </c>
      <c r="AB462" s="36" t="s">
        <v>16</v>
      </c>
      <c r="AC462" s="181">
        <f t="shared" si="89"/>
        <v>68</v>
      </c>
      <c r="AD462" s="181">
        <f t="shared" si="99"/>
        <v>57600.76</v>
      </c>
      <c r="AE462" s="181">
        <v>5</v>
      </c>
      <c r="AF462" s="181">
        <v>5</v>
      </c>
      <c r="AG462" s="101" t="str">
        <f t="shared" si="90"/>
        <v/>
      </c>
      <c r="AH462" s="190">
        <v>40</v>
      </c>
      <c r="AI462" s="69">
        <f t="shared" si="101"/>
        <v>68</v>
      </c>
    </row>
    <row r="463" spans="1:35" s="69" customFormat="1" ht="41.25" x14ac:dyDescent="0.3">
      <c r="A463" s="130" t="s">
        <v>1191</v>
      </c>
      <c r="B463" s="131" t="s">
        <v>1192</v>
      </c>
      <c r="C463" s="132" t="s">
        <v>30</v>
      </c>
      <c r="D463" s="133">
        <v>27.54</v>
      </c>
      <c r="E463" s="75"/>
      <c r="F463" s="75">
        <v>87.54</v>
      </c>
      <c r="G463" s="75"/>
      <c r="H463" s="75"/>
      <c r="I463" s="75">
        <v>293.74</v>
      </c>
      <c r="J463" s="75">
        <v>25714</v>
      </c>
      <c r="K463" s="91" t="s">
        <v>1193</v>
      </c>
      <c r="L463" s="73"/>
      <c r="M463" s="46">
        <v>87.54</v>
      </c>
      <c r="N463" s="46">
        <v>0</v>
      </c>
      <c r="O463" s="46">
        <v>25714</v>
      </c>
      <c r="P463" s="98"/>
      <c r="Q463" s="23" t="s">
        <v>1414</v>
      </c>
      <c r="R463" s="24" t="s">
        <v>1192</v>
      </c>
      <c r="S463" s="25" t="s">
        <v>30</v>
      </c>
      <c r="T463" s="26">
        <v>27.54</v>
      </c>
      <c r="U463" s="26">
        <v>87.54</v>
      </c>
      <c r="V463" s="26">
        <v>293.74</v>
      </c>
      <c r="W463" s="127">
        <f t="shared" si="96"/>
        <v>0</v>
      </c>
      <c r="X463" s="127">
        <f t="shared" si="100"/>
        <v>87.54</v>
      </c>
      <c r="Y463" s="127">
        <f t="shared" si="97"/>
        <v>0</v>
      </c>
      <c r="Z463" s="127">
        <f t="shared" si="98"/>
        <v>25714</v>
      </c>
      <c r="AA463" s="27" t="s">
        <v>15</v>
      </c>
      <c r="AB463" s="36" t="s">
        <v>16</v>
      </c>
      <c r="AC463" s="181">
        <f t="shared" si="89"/>
        <v>87.54</v>
      </c>
      <c r="AD463" s="181">
        <f t="shared" si="99"/>
        <v>25714</v>
      </c>
      <c r="AE463" s="181">
        <v>5</v>
      </c>
      <c r="AF463" s="181">
        <v>5</v>
      </c>
      <c r="AG463" s="101" t="str">
        <f t="shared" si="90"/>
        <v/>
      </c>
      <c r="AH463" s="190">
        <v>87.54</v>
      </c>
      <c r="AI463" s="69">
        <f t="shared" si="101"/>
        <v>87.54</v>
      </c>
    </row>
    <row r="464" spans="1:35" s="69" customFormat="1" ht="33" customHeight="1" x14ac:dyDescent="0.3">
      <c r="A464" s="130" t="s">
        <v>1194</v>
      </c>
      <c r="B464" s="131" t="s">
        <v>1195</v>
      </c>
      <c r="C464" s="132" t="s">
        <v>1196</v>
      </c>
      <c r="D464" s="133">
        <v>2</v>
      </c>
      <c r="E464" s="75"/>
      <c r="F464" s="75"/>
      <c r="G464" s="75"/>
      <c r="H464" s="75"/>
      <c r="I464" s="75">
        <v>10000</v>
      </c>
      <c r="J464" s="75">
        <v>20000</v>
      </c>
      <c r="K464" s="91" t="s">
        <v>1197</v>
      </c>
      <c r="L464" s="73"/>
      <c r="M464" s="46">
        <v>2</v>
      </c>
      <c r="N464" s="46">
        <v>0</v>
      </c>
      <c r="O464" s="46">
        <v>20000</v>
      </c>
      <c r="P464" s="98"/>
      <c r="Q464" s="23" t="s">
        <v>1429</v>
      </c>
      <c r="R464" s="24" t="s">
        <v>1195</v>
      </c>
      <c r="S464" s="25" t="s">
        <v>1196</v>
      </c>
      <c r="T464" s="26">
        <v>2</v>
      </c>
      <c r="U464" s="26">
        <v>2</v>
      </c>
      <c r="V464" s="26">
        <v>10000</v>
      </c>
      <c r="W464" s="127">
        <f t="shared" si="96"/>
        <v>0</v>
      </c>
      <c r="X464" s="127">
        <f t="shared" si="100"/>
        <v>2</v>
      </c>
      <c r="Y464" s="127">
        <f t="shared" si="97"/>
        <v>0</v>
      </c>
      <c r="Z464" s="127">
        <f t="shared" si="98"/>
        <v>20000</v>
      </c>
      <c r="AA464" s="33" t="s">
        <v>15</v>
      </c>
      <c r="AB464" s="36" t="s">
        <v>16</v>
      </c>
      <c r="AC464" s="181">
        <f t="shared" si="89"/>
        <v>2</v>
      </c>
      <c r="AD464" s="181">
        <f t="shared" si="99"/>
        <v>20000</v>
      </c>
      <c r="AE464" s="181">
        <v>5</v>
      </c>
      <c r="AF464" s="181">
        <v>5</v>
      </c>
      <c r="AG464" s="101" t="str">
        <f t="shared" si="90"/>
        <v/>
      </c>
      <c r="AH464" s="190">
        <v>2</v>
      </c>
      <c r="AI464" s="69">
        <f t="shared" si="101"/>
        <v>2</v>
      </c>
    </row>
    <row r="465" spans="1:35" s="69" customFormat="1" ht="33" customHeight="1" x14ac:dyDescent="0.3">
      <c r="A465" s="55" t="s">
        <v>1198</v>
      </c>
      <c r="B465" s="53" t="s">
        <v>1199</v>
      </c>
      <c r="C465" s="54" t="s">
        <v>30</v>
      </c>
      <c r="D465" s="75">
        <v>1064.31</v>
      </c>
      <c r="E465" s="75"/>
      <c r="F465" s="75"/>
      <c r="G465" s="75"/>
      <c r="H465" s="75"/>
      <c r="I465" s="75">
        <v>210</v>
      </c>
      <c r="J465" s="75">
        <v>223505.1</v>
      </c>
      <c r="K465" s="91" t="s">
        <v>1200</v>
      </c>
      <c r="L465" s="73"/>
      <c r="M465" s="46">
        <v>955</v>
      </c>
      <c r="N465" s="46">
        <v>0</v>
      </c>
      <c r="O465" s="46">
        <v>200550</v>
      </c>
      <c r="P465" s="98"/>
      <c r="Q465" s="23" t="s">
        <v>1430</v>
      </c>
      <c r="R465" s="24" t="s">
        <v>1199</v>
      </c>
      <c r="S465" s="25" t="s">
        <v>30</v>
      </c>
      <c r="T465" s="26">
        <v>1064.31</v>
      </c>
      <c r="U465" s="26">
        <v>1064.31</v>
      </c>
      <c r="V465" s="26">
        <v>210</v>
      </c>
      <c r="W465" s="128">
        <f t="shared" si="96"/>
        <v>0</v>
      </c>
      <c r="X465" s="26">
        <f t="shared" si="100"/>
        <v>955</v>
      </c>
      <c r="Y465" s="26">
        <f t="shared" si="97"/>
        <v>0</v>
      </c>
      <c r="Z465" s="26">
        <f t="shared" si="98"/>
        <v>200550</v>
      </c>
      <c r="AA465" s="33" t="s">
        <v>15</v>
      </c>
      <c r="AB465" s="36" t="s">
        <v>16</v>
      </c>
      <c r="AC465" s="181">
        <f t="shared" si="89"/>
        <v>1064.31</v>
      </c>
      <c r="AD465" s="181">
        <f t="shared" si="99"/>
        <v>223505.1</v>
      </c>
      <c r="AE465" s="181">
        <v>5</v>
      </c>
      <c r="AF465" s="181">
        <v>5</v>
      </c>
      <c r="AG465" s="101" t="str">
        <f t="shared" si="90"/>
        <v/>
      </c>
      <c r="AH465" s="191">
        <f>845+110</f>
        <v>955</v>
      </c>
      <c r="AI465" s="69">
        <f t="shared" si="101"/>
        <v>1064.31</v>
      </c>
    </row>
    <row r="466" spans="1:35" s="69" customFormat="1" ht="33" x14ac:dyDescent="0.3">
      <c r="A466" s="55" t="s">
        <v>1201</v>
      </c>
      <c r="B466" s="53" t="s">
        <v>1202</v>
      </c>
      <c r="C466" s="54" t="s">
        <v>30</v>
      </c>
      <c r="D466" s="75">
        <v>1910.54</v>
      </c>
      <c r="E466" s="75"/>
      <c r="F466" s="75"/>
      <c r="G466" s="75"/>
      <c r="H466" s="75"/>
      <c r="I466" s="75">
        <v>300</v>
      </c>
      <c r="J466" s="75">
        <v>573162</v>
      </c>
      <c r="K466" s="91" t="s">
        <v>1203</v>
      </c>
      <c r="L466" s="73"/>
      <c r="M466" s="46">
        <v>1507.3</v>
      </c>
      <c r="N466" s="46">
        <v>79590</v>
      </c>
      <c r="O466" s="46">
        <v>452190</v>
      </c>
      <c r="P466" s="98"/>
      <c r="Q466" s="23" t="s">
        <v>1431</v>
      </c>
      <c r="R466" s="24" t="s">
        <v>1202</v>
      </c>
      <c r="S466" s="25" t="s">
        <v>30</v>
      </c>
      <c r="T466" s="26">
        <v>1910.54</v>
      </c>
      <c r="U466" s="26">
        <v>1910.54</v>
      </c>
      <c r="V466" s="26">
        <v>300</v>
      </c>
      <c r="W466" s="243">
        <f t="shared" si="96"/>
        <v>67.5</v>
      </c>
      <c r="X466" s="26">
        <f t="shared" si="100"/>
        <v>1574.8</v>
      </c>
      <c r="Y466" s="26">
        <f t="shared" si="97"/>
        <v>20250</v>
      </c>
      <c r="Z466" s="26">
        <f t="shared" si="98"/>
        <v>472440</v>
      </c>
      <c r="AA466" s="33" t="s">
        <v>15</v>
      </c>
      <c r="AB466" s="36" t="s">
        <v>16</v>
      </c>
      <c r="AC466" s="181">
        <f t="shared" si="89"/>
        <v>1910.54</v>
      </c>
      <c r="AD466" s="181">
        <f t="shared" si="99"/>
        <v>573162</v>
      </c>
      <c r="AE466" s="181">
        <v>5</v>
      </c>
      <c r="AF466" s="181">
        <v>5</v>
      </c>
      <c r="AG466" s="101" t="str">
        <f t="shared" si="90"/>
        <v/>
      </c>
      <c r="AH466" s="191">
        <f>1106+136+265.3+67.5</f>
        <v>1574.8</v>
      </c>
      <c r="AI466" s="69">
        <f t="shared" si="101"/>
        <v>1910.54</v>
      </c>
    </row>
    <row r="467" spans="1:35" s="69" customFormat="1" ht="33" x14ac:dyDescent="0.3">
      <c r="A467" s="55" t="s">
        <v>1204</v>
      </c>
      <c r="B467" s="53" t="s">
        <v>1205</v>
      </c>
      <c r="C467" s="54" t="s">
        <v>30</v>
      </c>
      <c r="D467" s="75">
        <v>2738.45</v>
      </c>
      <c r="E467" s="75"/>
      <c r="F467" s="75"/>
      <c r="G467" s="75"/>
      <c r="H467" s="75"/>
      <c r="I467" s="75">
        <v>200</v>
      </c>
      <c r="J467" s="75">
        <v>547690</v>
      </c>
      <c r="K467" s="91" t="s">
        <v>1206</v>
      </c>
      <c r="L467" s="73"/>
      <c r="M467" s="46">
        <v>2122.5</v>
      </c>
      <c r="N467" s="46">
        <v>43160</v>
      </c>
      <c r="O467" s="46">
        <v>424500</v>
      </c>
      <c r="P467" s="98"/>
      <c r="Q467" s="23" t="s">
        <v>1395</v>
      </c>
      <c r="R467" s="24" t="s">
        <v>1205</v>
      </c>
      <c r="S467" s="25" t="s">
        <v>30</v>
      </c>
      <c r="T467" s="26">
        <v>2738.45</v>
      </c>
      <c r="U467" s="26">
        <v>2738.45</v>
      </c>
      <c r="V467" s="26">
        <v>200</v>
      </c>
      <c r="W467" s="243">
        <f t="shared" si="96"/>
        <v>36.800000000000182</v>
      </c>
      <c r="X467" s="26">
        <f t="shared" si="100"/>
        <v>2159.3000000000002</v>
      </c>
      <c r="Y467" s="26">
        <f t="shared" si="97"/>
        <v>7360</v>
      </c>
      <c r="Z467" s="26">
        <f t="shared" si="98"/>
        <v>431860</v>
      </c>
      <c r="AA467" s="33" t="s">
        <v>15</v>
      </c>
      <c r="AB467" s="36" t="s">
        <v>16</v>
      </c>
      <c r="AC467" s="181">
        <f t="shared" si="89"/>
        <v>2738.45</v>
      </c>
      <c r="AD467" s="181">
        <f t="shared" si="99"/>
        <v>547690</v>
      </c>
      <c r="AE467" s="181">
        <v>5</v>
      </c>
      <c r="AF467" s="181">
        <v>5</v>
      </c>
      <c r="AG467" s="101" t="str">
        <f t="shared" si="90"/>
        <v/>
      </c>
      <c r="AH467" s="191">
        <f>1256.3+192+337.2+121.2+215.8+36.8</f>
        <v>2159.3000000000002</v>
      </c>
      <c r="AI467" s="69">
        <f t="shared" si="101"/>
        <v>2738.45</v>
      </c>
    </row>
    <row r="468" spans="1:35" s="69" customFormat="1" ht="33" customHeight="1" x14ac:dyDescent="0.3">
      <c r="A468" s="55" t="s">
        <v>1207</v>
      </c>
      <c r="B468" s="53" t="s">
        <v>1208</v>
      </c>
      <c r="C468" s="54" t="s">
        <v>14</v>
      </c>
      <c r="D468" s="75">
        <v>1</v>
      </c>
      <c r="E468" s="75"/>
      <c r="F468" s="76"/>
      <c r="G468" s="76"/>
      <c r="H468" s="76"/>
      <c r="I468" s="75">
        <v>21460.9</v>
      </c>
      <c r="J468" s="75">
        <v>21460.9</v>
      </c>
      <c r="K468" s="91" t="s">
        <v>1209</v>
      </c>
      <c r="L468" s="73"/>
      <c r="M468" s="46">
        <v>0</v>
      </c>
      <c r="N468" s="46">
        <v>0</v>
      </c>
      <c r="O468" s="46">
        <v>0</v>
      </c>
      <c r="P468" s="98"/>
      <c r="Q468" s="23" t="s">
        <v>1432</v>
      </c>
      <c r="R468" s="24" t="s">
        <v>1208</v>
      </c>
      <c r="S468" s="25" t="s">
        <v>14</v>
      </c>
      <c r="T468" s="26">
        <v>1</v>
      </c>
      <c r="U468" s="26">
        <v>1</v>
      </c>
      <c r="V468" s="26">
        <v>21460.9</v>
      </c>
      <c r="W468" s="26">
        <f t="shared" si="96"/>
        <v>0</v>
      </c>
      <c r="X468" s="26">
        <f t="shared" si="100"/>
        <v>0</v>
      </c>
      <c r="Y468" s="136">
        <f t="shared" si="97"/>
        <v>0</v>
      </c>
      <c r="Z468" s="26">
        <f t="shared" si="98"/>
        <v>0</v>
      </c>
      <c r="AA468" s="33" t="s">
        <v>15</v>
      </c>
      <c r="AB468" s="36" t="s">
        <v>16</v>
      </c>
      <c r="AC468" s="181">
        <f t="shared" si="89"/>
        <v>1</v>
      </c>
      <c r="AD468" s="181">
        <f t="shared" si="99"/>
        <v>21460.9</v>
      </c>
      <c r="AE468" s="181">
        <v>5</v>
      </c>
      <c r="AF468" s="181">
        <v>5</v>
      </c>
      <c r="AG468" s="101" t="str">
        <f t="shared" si="90"/>
        <v/>
      </c>
      <c r="AH468" s="190">
        <v>0</v>
      </c>
      <c r="AI468" s="69">
        <f t="shared" si="101"/>
        <v>1</v>
      </c>
    </row>
    <row r="469" spans="1:35" s="69" customFormat="1" ht="39" x14ac:dyDescent="0.3">
      <c r="A469" s="251">
        <v>5.18</v>
      </c>
      <c r="B469" s="252" t="s">
        <v>1356</v>
      </c>
      <c r="C469" s="157" t="s">
        <v>97</v>
      </c>
      <c r="D469" s="253"/>
      <c r="E469" s="59">
        <v>720</v>
      </c>
      <c r="F469" s="180"/>
      <c r="G469" s="180"/>
      <c r="H469" s="180"/>
      <c r="I469" s="178">
        <v>273.11</v>
      </c>
      <c r="J469" s="59">
        <v>196639.2</v>
      </c>
      <c r="K469" s="92"/>
      <c r="L469" s="73"/>
      <c r="M469" s="46">
        <v>640</v>
      </c>
      <c r="N469" s="46">
        <v>0</v>
      </c>
      <c r="O469" s="46">
        <v>174790.39999999999</v>
      </c>
      <c r="P469" s="98"/>
      <c r="Q469" s="23" t="s">
        <v>1433</v>
      </c>
      <c r="R469" s="24" t="s">
        <v>1503</v>
      </c>
      <c r="S469" s="25" t="s">
        <v>97</v>
      </c>
      <c r="T469" s="26">
        <v>0</v>
      </c>
      <c r="U469" s="26">
        <v>720</v>
      </c>
      <c r="V469" s="26">
        <v>273.11</v>
      </c>
      <c r="W469" s="128">
        <f t="shared" si="96"/>
        <v>0</v>
      </c>
      <c r="X469" s="26">
        <f t="shared" si="100"/>
        <v>640</v>
      </c>
      <c r="Y469" s="26">
        <f t="shared" si="97"/>
        <v>0</v>
      </c>
      <c r="Z469" s="26">
        <f t="shared" si="98"/>
        <v>174790.39999999999</v>
      </c>
      <c r="AA469" s="27"/>
      <c r="AB469" s="36" t="s">
        <v>16</v>
      </c>
      <c r="AC469" s="181">
        <f t="shared" si="89"/>
        <v>720</v>
      </c>
      <c r="AD469" s="181">
        <f t="shared" si="99"/>
        <v>196639.2</v>
      </c>
      <c r="AE469" s="181">
        <v>5</v>
      </c>
      <c r="AF469" s="181">
        <v>5</v>
      </c>
      <c r="AG469" s="101" t="str">
        <f t="shared" si="90"/>
        <v/>
      </c>
      <c r="AH469" s="191">
        <v>640</v>
      </c>
      <c r="AI469" s="69">
        <f t="shared" si="101"/>
        <v>720</v>
      </c>
    </row>
    <row r="470" spans="1:35" s="69" customFormat="1" ht="39" x14ac:dyDescent="0.3">
      <c r="A470" s="144">
        <v>5.19</v>
      </c>
      <c r="B470" s="145" t="s">
        <v>1357</v>
      </c>
      <c r="C470" s="206" t="s">
        <v>30</v>
      </c>
      <c r="D470" s="221"/>
      <c r="E470" s="175">
        <v>212</v>
      </c>
      <c r="F470" s="180"/>
      <c r="G470" s="180"/>
      <c r="H470" s="180"/>
      <c r="I470" s="179">
        <v>1859.87</v>
      </c>
      <c r="J470" s="175">
        <v>394292.44</v>
      </c>
      <c r="K470" s="176"/>
      <c r="L470" s="73"/>
      <c r="M470" s="46">
        <v>212</v>
      </c>
      <c r="N470" s="46">
        <v>0</v>
      </c>
      <c r="O470" s="46">
        <v>394292.44</v>
      </c>
      <c r="P470" s="98"/>
      <c r="Q470" s="23" t="s">
        <v>1382</v>
      </c>
      <c r="R470" s="24" t="s">
        <v>1504</v>
      </c>
      <c r="S470" s="25" t="s">
        <v>30</v>
      </c>
      <c r="T470" s="26">
        <v>0</v>
      </c>
      <c r="U470" s="26">
        <v>212</v>
      </c>
      <c r="V470" s="26">
        <v>1859.87</v>
      </c>
      <c r="W470" s="127">
        <f t="shared" si="96"/>
        <v>0</v>
      </c>
      <c r="X470" s="127">
        <f t="shared" si="100"/>
        <v>212</v>
      </c>
      <c r="Y470" s="127">
        <f t="shared" si="97"/>
        <v>0</v>
      </c>
      <c r="Z470" s="127">
        <f t="shared" si="98"/>
        <v>394292.44</v>
      </c>
      <c r="AA470" s="27"/>
      <c r="AB470" s="36" t="s">
        <v>16</v>
      </c>
      <c r="AC470" s="181">
        <f t="shared" si="89"/>
        <v>212</v>
      </c>
      <c r="AD470" s="181">
        <f t="shared" si="99"/>
        <v>394292.44</v>
      </c>
      <c r="AE470" s="181">
        <v>5</v>
      </c>
      <c r="AF470" s="181">
        <v>5</v>
      </c>
      <c r="AG470" s="101" t="str">
        <f t="shared" si="90"/>
        <v/>
      </c>
      <c r="AH470" s="190">
        <v>212</v>
      </c>
      <c r="AI470" s="69">
        <f t="shared" si="101"/>
        <v>212</v>
      </c>
    </row>
    <row r="471" spans="1:35" s="69" customFormat="1" ht="39" x14ac:dyDescent="0.3">
      <c r="A471" s="210" t="s">
        <v>3106</v>
      </c>
      <c r="B471" s="208" t="s">
        <v>3107</v>
      </c>
      <c r="C471" s="204" t="s">
        <v>14</v>
      </c>
      <c r="D471" s="208"/>
      <c r="E471" s="159"/>
      <c r="F471" s="156"/>
      <c r="G471" s="156">
        <v>1</v>
      </c>
      <c r="H471" s="156"/>
      <c r="I471" s="158"/>
      <c r="J471" s="159">
        <v>263694.64</v>
      </c>
      <c r="K471" s="160"/>
      <c r="L471" s="73"/>
      <c r="M471" s="46">
        <v>1</v>
      </c>
      <c r="N471" s="46">
        <v>0</v>
      </c>
      <c r="O471" s="46">
        <v>263694.64</v>
      </c>
      <c r="P471" s="98"/>
      <c r="Q471" s="23" t="s">
        <v>3108</v>
      </c>
      <c r="R471" s="24" t="s">
        <v>3107</v>
      </c>
      <c r="S471" s="25" t="s">
        <v>14</v>
      </c>
      <c r="T471" s="26"/>
      <c r="U471" s="26">
        <v>1</v>
      </c>
      <c r="V471" s="26">
        <v>263694.64</v>
      </c>
      <c r="W471" s="127">
        <f t="shared" si="96"/>
        <v>0</v>
      </c>
      <c r="X471" s="127">
        <f t="shared" si="100"/>
        <v>1</v>
      </c>
      <c r="Y471" s="127">
        <f t="shared" si="97"/>
        <v>0</v>
      </c>
      <c r="Z471" s="127">
        <f t="shared" si="98"/>
        <v>263694.64</v>
      </c>
      <c r="AA471" s="27"/>
      <c r="AB471" s="36"/>
      <c r="AC471" s="181">
        <f t="shared" si="89"/>
        <v>1</v>
      </c>
      <c r="AD471" s="181">
        <f t="shared" si="99"/>
        <v>263694.64</v>
      </c>
      <c r="AE471" s="181">
        <v>5</v>
      </c>
      <c r="AF471" s="181">
        <v>5</v>
      </c>
      <c r="AG471" s="101"/>
      <c r="AH471" s="192">
        <v>1</v>
      </c>
      <c r="AI471" s="69">
        <f t="shared" si="101"/>
        <v>1</v>
      </c>
    </row>
    <row r="472" spans="1:35" s="69" customFormat="1" ht="33" x14ac:dyDescent="0.3">
      <c r="A472" s="150" t="s">
        <v>1210</v>
      </c>
      <c r="B472" s="151" t="s">
        <v>1211</v>
      </c>
      <c r="C472" s="152" t="s">
        <v>14</v>
      </c>
      <c r="D472" s="153">
        <v>1</v>
      </c>
      <c r="E472" s="153"/>
      <c r="F472" s="153"/>
      <c r="G472" s="153"/>
      <c r="H472" s="153"/>
      <c r="I472" s="153"/>
      <c r="J472" s="153">
        <v>3143726.96</v>
      </c>
      <c r="K472" s="154" t="s">
        <v>15</v>
      </c>
      <c r="L472" s="73"/>
      <c r="M472" s="42">
        <v>1</v>
      </c>
      <c r="N472" s="42">
        <v>144512.69</v>
      </c>
      <c r="O472" s="42">
        <v>2965010.8600000003</v>
      </c>
      <c r="P472" s="98"/>
      <c r="Q472" s="13" t="s">
        <v>1415</v>
      </c>
      <c r="R472" s="14" t="s">
        <v>1211</v>
      </c>
      <c r="S472" s="15" t="s">
        <v>14</v>
      </c>
      <c r="T472" s="16">
        <v>1</v>
      </c>
      <c r="U472" s="16"/>
      <c r="V472" s="16">
        <f>SUMIFS(AD:AD,AE:AE,AE472)</f>
        <v>3143726.9600000004</v>
      </c>
      <c r="W472" s="16">
        <f t="shared" ref="W472:X472" si="102">IF(Y472=0,0,1)</f>
        <v>1</v>
      </c>
      <c r="X472" s="16">
        <f t="shared" si="102"/>
        <v>1</v>
      </c>
      <c r="Y472" s="16">
        <f>SUMIFS(Y:Y,AF:AF,AE472)</f>
        <v>103191</v>
      </c>
      <c r="Z472" s="16">
        <f>SUMIFS(Z:Z,AF:AF,AE472)</f>
        <v>3068201.8600000003</v>
      </c>
      <c r="AA472" s="17" t="s">
        <v>15</v>
      </c>
      <c r="AB472" s="40" t="s">
        <v>16</v>
      </c>
      <c r="AC472" s="181">
        <f t="shared" si="89"/>
        <v>1</v>
      </c>
      <c r="AD472" s="183"/>
      <c r="AE472" s="183">
        <v>6</v>
      </c>
      <c r="AF472" s="183"/>
      <c r="AG472" s="101" t="str">
        <f t="shared" si="90"/>
        <v/>
      </c>
      <c r="AH472" s="190">
        <v>1</v>
      </c>
      <c r="AI472" s="69">
        <f t="shared" si="101"/>
        <v>1</v>
      </c>
    </row>
    <row r="473" spans="1:35" s="69" customFormat="1" ht="33" customHeight="1" x14ac:dyDescent="0.3">
      <c r="A473" s="130" t="s">
        <v>1212</v>
      </c>
      <c r="B473" s="131" t="s">
        <v>1213</v>
      </c>
      <c r="C473" s="132" t="s">
        <v>1014</v>
      </c>
      <c r="D473" s="133">
        <v>10</v>
      </c>
      <c r="E473" s="75"/>
      <c r="F473" s="75"/>
      <c r="G473" s="75"/>
      <c r="H473" s="75"/>
      <c r="I473" s="75">
        <v>770</v>
      </c>
      <c r="J473" s="75">
        <v>7700</v>
      </c>
      <c r="K473" s="91" t="s">
        <v>1214</v>
      </c>
      <c r="L473" s="73"/>
      <c r="M473" s="46">
        <v>10</v>
      </c>
      <c r="N473" s="46">
        <v>0</v>
      </c>
      <c r="O473" s="46">
        <v>7700</v>
      </c>
      <c r="P473" s="98"/>
      <c r="Q473" s="23" t="s">
        <v>1421</v>
      </c>
      <c r="R473" s="24" t="s">
        <v>1213</v>
      </c>
      <c r="S473" s="25" t="s">
        <v>1014</v>
      </c>
      <c r="T473" s="26">
        <v>10</v>
      </c>
      <c r="U473" s="26">
        <v>10</v>
      </c>
      <c r="V473" s="26">
        <v>770</v>
      </c>
      <c r="W473" s="127">
        <f t="shared" ref="W473:W491" si="103">AH473-M473</f>
        <v>0</v>
      </c>
      <c r="X473" s="127">
        <f t="shared" si="100"/>
        <v>10</v>
      </c>
      <c r="Y473" s="127">
        <f t="shared" ref="Y473:Y489" si="104">Z473-O473</f>
        <v>0</v>
      </c>
      <c r="Z473" s="127">
        <f t="shared" ref="Z473:Z490" si="105">ROUND(V473*X473,2)</f>
        <v>7700</v>
      </c>
      <c r="AA473" s="33" t="s">
        <v>15</v>
      </c>
      <c r="AB473" s="36" t="s">
        <v>16</v>
      </c>
      <c r="AC473" s="181">
        <f t="shared" si="89"/>
        <v>10</v>
      </c>
      <c r="AD473" s="181">
        <f t="shared" ref="AD473:AD491" si="106">ROUND(V473*AC473,2)</f>
        <v>7700</v>
      </c>
      <c r="AE473" s="181">
        <v>6</v>
      </c>
      <c r="AF473" s="181">
        <v>6</v>
      </c>
      <c r="AG473" s="101" t="str">
        <f t="shared" si="90"/>
        <v/>
      </c>
      <c r="AH473" s="190">
        <v>10</v>
      </c>
      <c r="AI473" s="69">
        <f t="shared" si="101"/>
        <v>10</v>
      </c>
    </row>
    <row r="474" spans="1:35" s="69" customFormat="1" ht="33" customHeight="1" x14ac:dyDescent="0.3">
      <c r="A474" s="130" t="s">
        <v>1215</v>
      </c>
      <c r="B474" s="131" t="s">
        <v>1216</v>
      </c>
      <c r="C474" s="132" t="s">
        <v>1217</v>
      </c>
      <c r="D474" s="133">
        <v>100</v>
      </c>
      <c r="E474" s="75"/>
      <c r="F474" s="75"/>
      <c r="G474" s="75"/>
      <c r="H474" s="75"/>
      <c r="I474" s="75">
        <v>201</v>
      </c>
      <c r="J474" s="75">
        <v>20100</v>
      </c>
      <c r="K474" s="91" t="s">
        <v>1218</v>
      </c>
      <c r="L474" s="73"/>
      <c r="M474" s="46">
        <v>100</v>
      </c>
      <c r="N474" s="46">
        <v>0</v>
      </c>
      <c r="O474" s="46">
        <v>20100</v>
      </c>
      <c r="P474" s="98"/>
      <c r="Q474" s="23" t="s">
        <v>1426</v>
      </c>
      <c r="R474" s="24" t="s">
        <v>1216</v>
      </c>
      <c r="S474" s="25" t="s">
        <v>1217</v>
      </c>
      <c r="T474" s="26">
        <v>100</v>
      </c>
      <c r="U474" s="26">
        <v>100</v>
      </c>
      <c r="V474" s="26">
        <v>201</v>
      </c>
      <c r="W474" s="127">
        <f t="shared" si="103"/>
        <v>0</v>
      </c>
      <c r="X474" s="127">
        <f t="shared" si="100"/>
        <v>100</v>
      </c>
      <c r="Y474" s="127">
        <f t="shared" si="104"/>
        <v>0</v>
      </c>
      <c r="Z474" s="127">
        <f t="shared" si="105"/>
        <v>20100</v>
      </c>
      <c r="AA474" s="33" t="s">
        <v>15</v>
      </c>
      <c r="AB474" s="36" t="s">
        <v>16</v>
      </c>
      <c r="AC474" s="181">
        <f t="shared" si="89"/>
        <v>100</v>
      </c>
      <c r="AD474" s="181">
        <f t="shared" si="106"/>
        <v>20100</v>
      </c>
      <c r="AE474" s="181">
        <v>6</v>
      </c>
      <c r="AF474" s="181">
        <v>6</v>
      </c>
      <c r="AG474" s="101" t="str">
        <f t="shared" si="90"/>
        <v/>
      </c>
      <c r="AH474" s="190">
        <v>100</v>
      </c>
      <c r="AI474" s="69">
        <f t="shared" si="101"/>
        <v>100</v>
      </c>
    </row>
    <row r="475" spans="1:35" s="69" customFormat="1" ht="39" x14ac:dyDescent="0.3">
      <c r="A475" s="130" t="s">
        <v>1219</v>
      </c>
      <c r="B475" s="131" t="s">
        <v>1220</v>
      </c>
      <c r="C475" s="132" t="s">
        <v>1221</v>
      </c>
      <c r="D475" s="133">
        <v>50</v>
      </c>
      <c r="E475" s="75"/>
      <c r="F475" s="75"/>
      <c r="G475" s="75"/>
      <c r="H475" s="75"/>
      <c r="I475" s="75">
        <v>300</v>
      </c>
      <c r="J475" s="75">
        <v>15000</v>
      </c>
      <c r="K475" s="91" t="s">
        <v>1222</v>
      </c>
      <c r="L475" s="73"/>
      <c r="M475" s="46">
        <v>50</v>
      </c>
      <c r="N475" s="46">
        <v>0</v>
      </c>
      <c r="O475" s="46">
        <v>15000</v>
      </c>
      <c r="P475" s="98"/>
      <c r="Q475" s="23" t="s">
        <v>1402</v>
      </c>
      <c r="R475" s="24" t="s">
        <v>1220</v>
      </c>
      <c r="S475" s="25" t="s">
        <v>1221</v>
      </c>
      <c r="T475" s="26">
        <v>50</v>
      </c>
      <c r="U475" s="26">
        <v>50</v>
      </c>
      <c r="V475" s="26">
        <v>300</v>
      </c>
      <c r="W475" s="127">
        <f t="shared" si="103"/>
        <v>0</v>
      </c>
      <c r="X475" s="127">
        <f t="shared" si="100"/>
        <v>50</v>
      </c>
      <c r="Y475" s="127">
        <f t="shared" si="104"/>
        <v>0</v>
      </c>
      <c r="Z475" s="127">
        <f t="shared" si="105"/>
        <v>15000</v>
      </c>
      <c r="AA475" s="33" t="s">
        <v>15</v>
      </c>
      <c r="AB475" s="36" t="s">
        <v>16</v>
      </c>
      <c r="AC475" s="181">
        <f t="shared" si="89"/>
        <v>50</v>
      </c>
      <c r="AD475" s="181">
        <f t="shared" si="106"/>
        <v>15000</v>
      </c>
      <c r="AE475" s="181">
        <v>6</v>
      </c>
      <c r="AF475" s="181">
        <v>6</v>
      </c>
      <c r="AG475" s="101" t="str">
        <f t="shared" si="90"/>
        <v/>
      </c>
      <c r="AH475" s="190">
        <v>50</v>
      </c>
      <c r="AI475" s="69">
        <f t="shared" si="101"/>
        <v>50</v>
      </c>
    </row>
    <row r="476" spans="1:35" s="69" customFormat="1" ht="33" customHeight="1" x14ac:dyDescent="0.3">
      <c r="A476" s="130" t="s">
        <v>1223</v>
      </c>
      <c r="B476" s="131" t="s">
        <v>1224</v>
      </c>
      <c r="C476" s="132" t="s">
        <v>325</v>
      </c>
      <c r="D476" s="133">
        <v>75</v>
      </c>
      <c r="E476" s="75"/>
      <c r="F476" s="75"/>
      <c r="G476" s="75"/>
      <c r="H476" s="75"/>
      <c r="I476" s="75">
        <v>650</v>
      </c>
      <c r="J476" s="75">
        <v>48750</v>
      </c>
      <c r="K476" s="91" t="s">
        <v>1225</v>
      </c>
      <c r="L476" s="73"/>
      <c r="M476" s="46">
        <v>75</v>
      </c>
      <c r="N476" s="46">
        <v>0</v>
      </c>
      <c r="O476" s="46">
        <v>48750</v>
      </c>
      <c r="P476" s="98"/>
      <c r="Q476" s="23" t="s">
        <v>1373</v>
      </c>
      <c r="R476" s="24" t="s">
        <v>1224</v>
      </c>
      <c r="S476" s="25" t="s">
        <v>325</v>
      </c>
      <c r="T476" s="26">
        <v>75</v>
      </c>
      <c r="U476" s="26">
        <v>75</v>
      </c>
      <c r="V476" s="26">
        <v>650</v>
      </c>
      <c r="W476" s="127">
        <f t="shared" si="103"/>
        <v>0</v>
      </c>
      <c r="X476" s="127">
        <f t="shared" si="100"/>
        <v>75</v>
      </c>
      <c r="Y476" s="127">
        <f t="shared" si="104"/>
        <v>0</v>
      </c>
      <c r="Z476" s="127">
        <f t="shared" si="105"/>
        <v>48750</v>
      </c>
      <c r="AA476" s="33" t="s">
        <v>15</v>
      </c>
      <c r="AB476" s="36" t="s">
        <v>16</v>
      </c>
      <c r="AC476" s="181">
        <f t="shared" si="89"/>
        <v>75</v>
      </c>
      <c r="AD476" s="181">
        <f t="shared" si="106"/>
        <v>48750</v>
      </c>
      <c r="AE476" s="181">
        <v>6</v>
      </c>
      <c r="AF476" s="181">
        <v>6</v>
      </c>
      <c r="AG476" s="101" t="str">
        <f t="shared" si="90"/>
        <v/>
      </c>
      <c r="AH476" s="190">
        <v>75</v>
      </c>
      <c r="AI476" s="69">
        <f t="shared" si="101"/>
        <v>75</v>
      </c>
    </row>
    <row r="477" spans="1:35" s="69" customFormat="1" ht="33" customHeight="1" x14ac:dyDescent="0.3">
      <c r="A477" s="130" t="s">
        <v>1226</v>
      </c>
      <c r="B477" s="131" t="s">
        <v>1227</v>
      </c>
      <c r="C477" s="132" t="s">
        <v>1228</v>
      </c>
      <c r="D477" s="133">
        <v>200</v>
      </c>
      <c r="E477" s="75"/>
      <c r="F477" s="75"/>
      <c r="G477" s="75"/>
      <c r="H477" s="75"/>
      <c r="I477" s="75">
        <v>28</v>
      </c>
      <c r="J477" s="75">
        <v>5600</v>
      </c>
      <c r="K477" s="91" t="s">
        <v>1229</v>
      </c>
      <c r="L477" s="73"/>
      <c r="M477" s="46">
        <v>200</v>
      </c>
      <c r="N477" s="46">
        <v>0</v>
      </c>
      <c r="O477" s="46">
        <v>5600</v>
      </c>
      <c r="P477" s="98"/>
      <c r="Q477" s="23" t="s">
        <v>1393</v>
      </c>
      <c r="R477" s="24" t="s">
        <v>1227</v>
      </c>
      <c r="S477" s="25" t="s">
        <v>1228</v>
      </c>
      <c r="T477" s="26">
        <v>200</v>
      </c>
      <c r="U477" s="26">
        <v>200</v>
      </c>
      <c r="V477" s="26">
        <v>28</v>
      </c>
      <c r="W477" s="127">
        <f t="shared" si="103"/>
        <v>0</v>
      </c>
      <c r="X477" s="127">
        <f t="shared" si="100"/>
        <v>200</v>
      </c>
      <c r="Y477" s="127">
        <f t="shared" si="104"/>
        <v>0</v>
      </c>
      <c r="Z477" s="127">
        <f t="shared" si="105"/>
        <v>5600</v>
      </c>
      <c r="AA477" s="33" t="s">
        <v>15</v>
      </c>
      <c r="AB477" s="36" t="s">
        <v>16</v>
      </c>
      <c r="AC477" s="181">
        <f t="shared" si="89"/>
        <v>200</v>
      </c>
      <c r="AD477" s="181">
        <f t="shared" si="106"/>
        <v>5600</v>
      </c>
      <c r="AE477" s="181">
        <v>6</v>
      </c>
      <c r="AF477" s="181">
        <v>6</v>
      </c>
      <c r="AG477" s="101" t="str">
        <f t="shared" si="90"/>
        <v/>
      </c>
      <c r="AH477" s="190">
        <v>200</v>
      </c>
      <c r="AI477" s="69">
        <f t="shared" si="101"/>
        <v>200</v>
      </c>
    </row>
    <row r="478" spans="1:35" s="69" customFormat="1" ht="33" customHeight="1" x14ac:dyDescent="0.3">
      <c r="A478" s="55" t="s">
        <v>1230</v>
      </c>
      <c r="B478" s="53" t="s">
        <v>1231</v>
      </c>
      <c r="C478" s="54" t="s">
        <v>1228</v>
      </c>
      <c r="D478" s="75">
        <v>100</v>
      </c>
      <c r="E478" s="75"/>
      <c r="F478" s="75"/>
      <c r="G478" s="75"/>
      <c r="H478" s="75"/>
      <c r="I478" s="75">
        <v>500</v>
      </c>
      <c r="J478" s="75">
        <v>50000</v>
      </c>
      <c r="K478" s="91" t="s">
        <v>1232</v>
      </c>
      <c r="L478" s="73"/>
      <c r="M478" s="46">
        <v>87</v>
      </c>
      <c r="N478" s="46">
        <v>12500</v>
      </c>
      <c r="O478" s="46">
        <v>43500</v>
      </c>
      <c r="P478" s="98"/>
      <c r="Q478" s="23" t="s">
        <v>1403</v>
      </c>
      <c r="R478" s="24" t="s">
        <v>1231</v>
      </c>
      <c r="S478" s="25" t="s">
        <v>1228</v>
      </c>
      <c r="T478" s="26">
        <v>100</v>
      </c>
      <c r="U478" s="26">
        <v>100</v>
      </c>
      <c r="V478" s="26">
        <v>500</v>
      </c>
      <c r="W478" s="243">
        <f t="shared" si="103"/>
        <v>0</v>
      </c>
      <c r="X478" s="26">
        <f t="shared" si="100"/>
        <v>87</v>
      </c>
      <c r="Y478" s="26">
        <f t="shared" si="104"/>
        <v>0</v>
      </c>
      <c r="Z478" s="26">
        <f t="shared" si="105"/>
        <v>43500</v>
      </c>
      <c r="AA478" s="33" t="s">
        <v>15</v>
      </c>
      <c r="AB478" s="36" t="s">
        <v>16</v>
      </c>
      <c r="AC478" s="181">
        <f t="shared" ref="AC478:AC499" si="107">IF(U478="",T478,U478)</f>
        <v>100</v>
      </c>
      <c r="AD478" s="181">
        <f t="shared" si="106"/>
        <v>50000</v>
      </c>
      <c r="AE478" s="181">
        <v>6</v>
      </c>
      <c r="AF478" s="181">
        <v>6</v>
      </c>
      <c r="AG478" s="101" t="str">
        <f t="shared" ref="AG478:AG503" si="108">IF(X478&gt;AI478,"超估","")</f>
        <v/>
      </c>
      <c r="AH478" s="191">
        <f>62+25</f>
        <v>87</v>
      </c>
      <c r="AI478" s="69">
        <f t="shared" si="101"/>
        <v>100</v>
      </c>
    </row>
    <row r="479" spans="1:35" s="69" customFormat="1" ht="33" customHeight="1" x14ac:dyDescent="0.3">
      <c r="A479" s="55" t="s">
        <v>1233</v>
      </c>
      <c r="B479" s="53" t="s">
        <v>1234</v>
      </c>
      <c r="C479" s="54" t="s">
        <v>1235</v>
      </c>
      <c r="D479" s="75">
        <v>75</v>
      </c>
      <c r="E479" s="75"/>
      <c r="F479" s="75"/>
      <c r="G479" s="75"/>
      <c r="H479" s="75"/>
      <c r="I479" s="75">
        <v>280</v>
      </c>
      <c r="J479" s="75">
        <v>21000</v>
      </c>
      <c r="K479" s="91" t="s">
        <v>1236</v>
      </c>
      <c r="L479" s="73"/>
      <c r="M479" s="46">
        <v>53</v>
      </c>
      <c r="N479" s="46">
        <v>4200</v>
      </c>
      <c r="O479" s="46">
        <v>14840</v>
      </c>
      <c r="P479" s="98"/>
      <c r="Q479" s="23" t="s">
        <v>1427</v>
      </c>
      <c r="R479" s="24" t="s">
        <v>1234</v>
      </c>
      <c r="S479" s="25" t="s">
        <v>1235</v>
      </c>
      <c r="T479" s="26">
        <v>75</v>
      </c>
      <c r="U479" s="26">
        <v>75</v>
      </c>
      <c r="V479" s="26">
        <v>280</v>
      </c>
      <c r="W479" s="243">
        <f t="shared" si="103"/>
        <v>0</v>
      </c>
      <c r="X479" s="26">
        <f t="shared" si="100"/>
        <v>53</v>
      </c>
      <c r="Y479" s="26">
        <f t="shared" si="104"/>
        <v>0</v>
      </c>
      <c r="Z479" s="26">
        <f t="shared" si="105"/>
        <v>14840</v>
      </c>
      <c r="AA479" s="33" t="s">
        <v>15</v>
      </c>
      <c r="AB479" s="36" t="s">
        <v>16</v>
      </c>
      <c r="AC479" s="181">
        <f t="shared" si="107"/>
        <v>75</v>
      </c>
      <c r="AD479" s="181">
        <f t="shared" si="106"/>
        <v>21000</v>
      </c>
      <c r="AE479" s="181">
        <v>6</v>
      </c>
      <c r="AF479" s="181">
        <v>6</v>
      </c>
      <c r="AG479" s="101" t="str">
        <f t="shared" si="108"/>
        <v/>
      </c>
      <c r="AH479" s="191">
        <f>38+15</f>
        <v>53</v>
      </c>
      <c r="AI479" s="69">
        <f t="shared" si="101"/>
        <v>75</v>
      </c>
    </row>
    <row r="480" spans="1:35" s="69" customFormat="1" ht="49.5" x14ac:dyDescent="0.3">
      <c r="A480" s="130" t="s">
        <v>1237</v>
      </c>
      <c r="B480" s="240" t="s">
        <v>1238</v>
      </c>
      <c r="C480" s="132" t="s">
        <v>1235</v>
      </c>
      <c r="D480" s="133">
        <v>50</v>
      </c>
      <c r="E480" s="75"/>
      <c r="F480" s="75"/>
      <c r="G480" s="75"/>
      <c r="H480" s="75"/>
      <c r="I480" s="75">
        <v>350</v>
      </c>
      <c r="J480" s="75">
        <v>17500</v>
      </c>
      <c r="K480" s="91" t="s">
        <v>1239</v>
      </c>
      <c r="L480" s="73"/>
      <c r="M480" s="46">
        <v>50</v>
      </c>
      <c r="N480" s="46">
        <v>0</v>
      </c>
      <c r="O480" s="46">
        <v>17500</v>
      </c>
      <c r="P480" s="98"/>
      <c r="Q480" s="23" t="s">
        <v>1428</v>
      </c>
      <c r="R480" s="24" t="s">
        <v>1238</v>
      </c>
      <c r="S480" s="25" t="s">
        <v>1235</v>
      </c>
      <c r="T480" s="26">
        <v>50</v>
      </c>
      <c r="U480" s="26">
        <v>50</v>
      </c>
      <c r="V480" s="26">
        <v>350</v>
      </c>
      <c r="W480" s="127">
        <f t="shared" si="103"/>
        <v>0</v>
      </c>
      <c r="X480" s="127">
        <f t="shared" si="100"/>
        <v>50</v>
      </c>
      <c r="Y480" s="127">
        <f t="shared" si="104"/>
        <v>0</v>
      </c>
      <c r="Z480" s="127">
        <f t="shared" si="105"/>
        <v>17500</v>
      </c>
      <c r="AA480" s="33" t="s">
        <v>15</v>
      </c>
      <c r="AB480" s="36" t="s">
        <v>16</v>
      </c>
      <c r="AC480" s="181">
        <f t="shared" si="107"/>
        <v>50</v>
      </c>
      <c r="AD480" s="181">
        <f t="shared" si="106"/>
        <v>17500</v>
      </c>
      <c r="AE480" s="181">
        <v>6</v>
      </c>
      <c r="AF480" s="181">
        <v>6</v>
      </c>
      <c r="AG480" s="101" t="str">
        <f t="shared" si="108"/>
        <v/>
      </c>
      <c r="AH480" s="190">
        <v>50</v>
      </c>
      <c r="AI480" s="69">
        <f t="shared" si="101"/>
        <v>50</v>
      </c>
    </row>
    <row r="481" spans="1:38" s="69" customFormat="1" ht="33" customHeight="1" x14ac:dyDescent="0.3">
      <c r="A481" s="130" t="s">
        <v>1240</v>
      </c>
      <c r="B481" s="131" t="s">
        <v>1241</v>
      </c>
      <c r="C481" s="132" t="s">
        <v>325</v>
      </c>
      <c r="D481" s="133">
        <v>10</v>
      </c>
      <c r="E481" s="75"/>
      <c r="F481" s="75"/>
      <c r="G481" s="75"/>
      <c r="H481" s="75"/>
      <c r="I481" s="75">
        <v>560</v>
      </c>
      <c r="J481" s="75">
        <v>5600</v>
      </c>
      <c r="K481" s="91" t="s">
        <v>1242</v>
      </c>
      <c r="L481" s="73"/>
      <c r="M481" s="46">
        <v>10</v>
      </c>
      <c r="N481" s="46">
        <v>0</v>
      </c>
      <c r="O481" s="46">
        <v>5600</v>
      </c>
      <c r="P481" s="98"/>
      <c r="Q481" s="23" t="s">
        <v>1387</v>
      </c>
      <c r="R481" s="24" t="s">
        <v>1241</v>
      </c>
      <c r="S481" s="25" t="s">
        <v>325</v>
      </c>
      <c r="T481" s="26">
        <v>10</v>
      </c>
      <c r="U481" s="26">
        <v>10</v>
      </c>
      <c r="V481" s="26">
        <v>560</v>
      </c>
      <c r="W481" s="127">
        <f t="shared" si="103"/>
        <v>0</v>
      </c>
      <c r="X481" s="127">
        <f t="shared" si="100"/>
        <v>10</v>
      </c>
      <c r="Y481" s="127">
        <f t="shared" si="104"/>
        <v>0</v>
      </c>
      <c r="Z481" s="127">
        <f t="shared" si="105"/>
        <v>5600</v>
      </c>
      <c r="AA481" s="33" t="s">
        <v>15</v>
      </c>
      <c r="AB481" s="36" t="s">
        <v>16</v>
      </c>
      <c r="AC481" s="181">
        <f t="shared" si="107"/>
        <v>10</v>
      </c>
      <c r="AD481" s="181">
        <f t="shared" si="106"/>
        <v>5600</v>
      </c>
      <c r="AE481" s="181">
        <v>6</v>
      </c>
      <c r="AF481" s="181">
        <v>6</v>
      </c>
      <c r="AG481" s="101" t="str">
        <f t="shared" si="108"/>
        <v/>
      </c>
      <c r="AH481" s="191">
        <v>10</v>
      </c>
      <c r="AI481" s="69">
        <f t="shared" si="101"/>
        <v>10</v>
      </c>
    </row>
    <row r="482" spans="1:38" s="69" customFormat="1" ht="33" customHeight="1" x14ac:dyDescent="0.3">
      <c r="A482" s="130" t="s">
        <v>1243</v>
      </c>
      <c r="B482" s="131" t="s">
        <v>1244</v>
      </c>
      <c r="C482" s="132" t="s">
        <v>162</v>
      </c>
      <c r="D482" s="133">
        <v>4</v>
      </c>
      <c r="E482" s="75"/>
      <c r="F482" s="75"/>
      <c r="G482" s="75"/>
      <c r="H482" s="75"/>
      <c r="I482" s="75">
        <v>250</v>
      </c>
      <c r="J482" s="75">
        <v>1000</v>
      </c>
      <c r="K482" s="91" t="s">
        <v>1245</v>
      </c>
      <c r="L482" s="73"/>
      <c r="M482" s="46">
        <v>4</v>
      </c>
      <c r="N482" s="46">
        <v>0</v>
      </c>
      <c r="O482" s="46">
        <v>1000</v>
      </c>
      <c r="P482" s="98"/>
      <c r="Q482" s="23" t="s">
        <v>1405</v>
      </c>
      <c r="R482" s="24" t="s">
        <v>1244</v>
      </c>
      <c r="S482" s="25" t="s">
        <v>162</v>
      </c>
      <c r="T482" s="26">
        <v>4</v>
      </c>
      <c r="U482" s="26">
        <v>4</v>
      </c>
      <c r="V482" s="26">
        <v>250</v>
      </c>
      <c r="W482" s="127">
        <f t="shared" si="103"/>
        <v>0</v>
      </c>
      <c r="X482" s="127">
        <f t="shared" si="100"/>
        <v>4</v>
      </c>
      <c r="Y482" s="127">
        <f t="shared" si="104"/>
        <v>0</v>
      </c>
      <c r="Z482" s="127">
        <f t="shared" si="105"/>
        <v>1000</v>
      </c>
      <c r="AA482" s="33" t="s">
        <v>15</v>
      </c>
      <c r="AB482" s="36" t="s">
        <v>16</v>
      </c>
      <c r="AC482" s="181">
        <f t="shared" si="107"/>
        <v>4</v>
      </c>
      <c r="AD482" s="181">
        <f t="shared" si="106"/>
        <v>1000</v>
      </c>
      <c r="AE482" s="181">
        <v>6</v>
      </c>
      <c r="AF482" s="181">
        <v>6</v>
      </c>
      <c r="AG482" s="101" t="str">
        <f t="shared" si="108"/>
        <v/>
      </c>
      <c r="AH482" s="190">
        <v>4</v>
      </c>
      <c r="AI482" s="69">
        <f t="shared" si="101"/>
        <v>4</v>
      </c>
    </row>
    <row r="483" spans="1:38" s="69" customFormat="1" ht="49.5" customHeight="1" x14ac:dyDescent="0.3">
      <c r="A483" s="130" t="s">
        <v>1246</v>
      </c>
      <c r="B483" s="240" t="s">
        <v>1247</v>
      </c>
      <c r="C483" s="132" t="s">
        <v>325</v>
      </c>
      <c r="D483" s="133">
        <v>5</v>
      </c>
      <c r="E483" s="75"/>
      <c r="F483" s="75"/>
      <c r="G483" s="75"/>
      <c r="H483" s="75"/>
      <c r="I483" s="75">
        <v>8300</v>
      </c>
      <c r="J483" s="75">
        <v>41500</v>
      </c>
      <c r="K483" s="91" t="s">
        <v>1248</v>
      </c>
      <c r="L483" s="73"/>
      <c r="M483" s="46">
        <v>5</v>
      </c>
      <c r="N483" s="46">
        <v>0</v>
      </c>
      <c r="O483" s="46">
        <v>41500</v>
      </c>
      <c r="P483" s="98"/>
      <c r="Q483" s="23" t="s">
        <v>1406</v>
      </c>
      <c r="R483" s="24" t="s">
        <v>1247</v>
      </c>
      <c r="S483" s="25" t="s">
        <v>325</v>
      </c>
      <c r="T483" s="26">
        <v>5</v>
      </c>
      <c r="U483" s="26">
        <v>5</v>
      </c>
      <c r="V483" s="26">
        <v>8300</v>
      </c>
      <c r="W483" s="127">
        <f t="shared" si="103"/>
        <v>0</v>
      </c>
      <c r="X483" s="127">
        <f t="shared" si="100"/>
        <v>5</v>
      </c>
      <c r="Y483" s="127">
        <f t="shared" si="104"/>
        <v>0</v>
      </c>
      <c r="Z483" s="127">
        <f t="shared" si="105"/>
        <v>41500</v>
      </c>
      <c r="AA483" s="33" t="s">
        <v>15</v>
      </c>
      <c r="AB483" s="36" t="s">
        <v>16</v>
      </c>
      <c r="AC483" s="181">
        <f t="shared" si="107"/>
        <v>5</v>
      </c>
      <c r="AD483" s="181">
        <f t="shared" si="106"/>
        <v>41500</v>
      </c>
      <c r="AE483" s="181">
        <v>6</v>
      </c>
      <c r="AF483" s="181">
        <v>6</v>
      </c>
      <c r="AG483" s="101" t="str">
        <f t="shared" si="108"/>
        <v/>
      </c>
      <c r="AH483" s="190">
        <v>5</v>
      </c>
      <c r="AI483" s="69">
        <f t="shared" si="101"/>
        <v>5</v>
      </c>
    </row>
    <row r="484" spans="1:38" s="69" customFormat="1" ht="33" customHeight="1" x14ac:dyDescent="0.3">
      <c r="A484" s="130" t="s">
        <v>1249</v>
      </c>
      <c r="B484" s="131" t="s">
        <v>1250</v>
      </c>
      <c r="C484" s="132" t="s">
        <v>325</v>
      </c>
      <c r="D484" s="133">
        <v>5</v>
      </c>
      <c r="E484" s="75"/>
      <c r="F484" s="75"/>
      <c r="G484" s="75"/>
      <c r="H484" s="75"/>
      <c r="I484" s="75">
        <v>1160</v>
      </c>
      <c r="J484" s="75">
        <v>5800</v>
      </c>
      <c r="K484" s="91" t="s">
        <v>1251</v>
      </c>
      <c r="L484" s="73"/>
      <c r="M484" s="46">
        <v>5</v>
      </c>
      <c r="N484" s="46">
        <v>0</v>
      </c>
      <c r="O484" s="46">
        <v>5800</v>
      </c>
      <c r="P484" s="98"/>
      <c r="Q484" s="23" t="s">
        <v>1414</v>
      </c>
      <c r="R484" s="24" t="s">
        <v>1250</v>
      </c>
      <c r="S484" s="25" t="s">
        <v>325</v>
      </c>
      <c r="T484" s="26">
        <v>5</v>
      </c>
      <c r="U484" s="26">
        <v>5</v>
      </c>
      <c r="V484" s="26">
        <v>1160</v>
      </c>
      <c r="W484" s="127">
        <f t="shared" si="103"/>
        <v>0</v>
      </c>
      <c r="X484" s="127">
        <f t="shared" si="100"/>
        <v>5</v>
      </c>
      <c r="Y484" s="127">
        <f t="shared" si="104"/>
        <v>0</v>
      </c>
      <c r="Z484" s="127">
        <f t="shared" si="105"/>
        <v>5800</v>
      </c>
      <c r="AA484" s="33" t="s">
        <v>15</v>
      </c>
      <c r="AB484" s="36" t="s">
        <v>16</v>
      </c>
      <c r="AC484" s="181">
        <f t="shared" si="107"/>
        <v>5</v>
      </c>
      <c r="AD484" s="181">
        <f t="shared" si="106"/>
        <v>5800</v>
      </c>
      <c r="AE484" s="181">
        <v>6</v>
      </c>
      <c r="AF484" s="181">
        <v>6</v>
      </c>
      <c r="AG484" s="101" t="str">
        <f t="shared" si="108"/>
        <v/>
      </c>
      <c r="AH484" s="190">
        <v>5</v>
      </c>
      <c r="AI484" s="69">
        <f t="shared" si="101"/>
        <v>5</v>
      </c>
    </row>
    <row r="485" spans="1:38" s="69" customFormat="1" ht="49.5" x14ac:dyDescent="0.3">
      <c r="A485" s="130" t="s">
        <v>1252</v>
      </c>
      <c r="B485" s="240" t="s">
        <v>1253</v>
      </c>
      <c r="C485" s="132" t="s">
        <v>325</v>
      </c>
      <c r="D485" s="133">
        <v>5</v>
      </c>
      <c r="E485" s="75"/>
      <c r="F485" s="75"/>
      <c r="G485" s="75"/>
      <c r="H485" s="75"/>
      <c r="I485" s="75">
        <v>600</v>
      </c>
      <c r="J485" s="75">
        <v>3000</v>
      </c>
      <c r="K485" s="91" t="s">
        <v>1254</v>
      </c>
      <c r="L485" s="73"/>
      <c r="M485" s="46">
        <v>5</v>
      </c>
      <c r="N485" s="46">
        <v>0</v>
      </c>
      <c r="O485" s="46">
        <v>3000</v>
      </c>
      <c r="P485" s="98"/>
      <c r="Q485" s="23" t="s">
        <v>1429</v>
      </c>
      <c r="R485" s="24" t="s">
        <v>1253</v>
      </c>
      <c r="S485" s="25" t="s">
        <v>325</v>
      </c>
      <c r="T485" s="26">
        <v>5</v>
      </c>
      <c r="U485" s="26">
        <v>5</v>
      </c>
      <c r="V485" s="26">
        <v>600</v>
      </c>
      <c r="W485" s="127">
        <f t="shared" si="103"/>
        <v>0</v>
      </c>
      <c r="X485" s="127">
        <f t="shared" si="100"/>
        <v>5</v>
      </c>
      <c r="Y485" s="127">
        <f t="shared" si="104"/>
        <v>0</v>
      </c>
      <c r="Z485" s="127">
        <f t="shared" si="105"/>
        <v>3000</v>
      </c>
      <c r="AA485" s="33" t="s">
        <v>15</v>
      </c>
      <c r="AB485" s="36" t="s">
        <v>16</v>
      </c>
      <c r="AC485" s="181">
        <f t="shared" si="107"/>
        <v>5</v>
      </c>
      <c r="AD485" s="181">
        <f t="shared" si="106"/>
        <v>3000</v>
      </c>
      <c r="AE485" s="181">
        <v>6</v>
      </c>
      <c r="AF485" s="181">
        <v>6</v>
      </c>
      <c r="AG485" s="101" t="str">
        <f t="shared" si="108"/>
        <v/>
      </c>
      <c r="AH485" s="190">
        <v>5</v>
      </c>
      <c r="AI485" s="69">
        <f t="shared" si="101"/>
        <v>5</v>
      </c>
    </row>
    <row r="486" spans="1:38" s="69" customFormat="1" ht="49.5" customHeight="1" x14ac:dyDescent="0.3">
      <c r="A486" s="130" t="s">
        <v>1255</v>
      </c>
      <c r="B486" s="240" t="s">
        <v>1256</v>
      </c>
      <c r="C486" s="132" t="s">
        <v>325</v>
      </c>
      <c r="D486" s="133">
        <v>5</v>
      </c>
      <c r="E486" s="75"/>
      <c r="F486" s="75"/>
      <c r="G486" s="75"/>
      <c r="H486" s="75"/>
      <c r="I486" s="75">
        <v>1800</v>
      </c>
      <c r="J486" s="75">
        <v>9000</v>
      </c>
      <c r="K486" s="91" t="s">
        <v>1257</v>
      </c>
      <c r="L486" s="73"/>
      <c r="M486" s="46">
        <v>5</v>
      </c>
      <c r="N486" s="46">
        <v>0</v>
      </c>
      <c r="O486" s="46">
        <v>9000</v>
      </c>
      <c r="P486" s="98"/>
      <c r="Q486" s="23" t="s">
        <v>1430</v>
      </c>
      <c r="R486" s="24" t="s">
        <v>1256</v>
      </c>
      <c r="S486" s="25" t="s">
        <v>325</v>
      </c>
      <c r="T486" s="26">
        <v>5</v>
      </c>
      <c r="U486" s="26">
        <v>5</v>
      </c>
      <c r="V486" s="26">
        <v>1800</v>
      </c>
      <c r="W486" s="127">
        <f t="shared" si="103"/>
        <v>0</v>
      </c>
      <c r="X486" s="127">
        <f t="shared" si="100"/>
        <v>5</v>
      </c>
      <c r="Y486" s="127">
        <f t="shared" si="104"/>
        <v>0</v>
      </c>
      <c r="Z486" s="127">
        <f t="shared" si="105"/>
        <v>9000</v>
      </c>
      <c r="AA486" s="33" t="s">
        <v>15</v>
      </c>
      <c r="AB486" s="36" t="s">
        <v>16</v>
      </c>
      <c r="AC486" s="181">
        <f t="shared" si="107"/>
        <v>5</v>
      </c>
      <c r="AD486" s="181">
        <f t="shared" si="106"/>
        <v>9000</v>
      </c>
      <c r="AE486" s="181">
        <v>6</v>
      </c>
      <c r="AF486" s="181">
        <v>6</v>
      </c>
      <c r="AG486" s="101" t="str">
        <f t="shared" si="108"/>
        <v/>
      </c>
      <c r="AH486" s="190">
        <v>5</v>
      </c>
      <c r="AI486" s="69">
        <f t="shared" si="101"/>
        <v>5</v>
      </c>
    </row>
    <row r="487" spans="1:38" s="69" customFormat="1" ht="39" x14ac:dyDescent="0.3">
      <c r="A487" s="55" t="s">
        <v>1258</v>
      </c>
      <c r="B487" s="53" t="s">
        <v>1259</v>
      </c>
      <c r="C487" s="54" t="s">
        <v>325</v>
      </c>
      <c r="D487" s="75">
        <v>80</v>
      </c>
      <c r="E487" s="75"/>
      <c r="F487" s="75"/>
      <c r="G487" s="75"/>
      <c r="H487" s="75"/>
      <c r="I487" s="75">
        <v>2200</v>
      </c>
      <c r="J487" s="75">
        <v>176000</v>
      </c>
      <c r="K487" s="91" t="s">
        <v>1260</v>
      </c>
      <c r="L487" s="73"/>
      <c r="M487" s="46">
        <v>70</v>
      </c>
      <c r="N487" s="46">
        <v>11000</v>
      </c>
      <c r="O487" s="46">
        <v>154000</v>
      </c>
      <c r="P487" s="98"/>
      <c r="Q487" s="23" t="s">
        <v>1431</v>
      </c>
      <c r="R487" s="24" t="s">
        <v>1259</v>
      </c>
      <c r="S487" s="25" t="s">
        <v>325</v>
      </c>
      <c r="T487" s="26">
        <v>80</v>
      </c>
      <c r="U487" s="26">
        <v>80</v>
      </c>
      <c r="V487" s="26">
        <v>2200</v>
      </c>
      <c r="W487" s="243">
        <f t="shared" si="103"/>
        <v>0</v>
      </c>
      <c r="X487" s="26">
        <f t="shared" si="100"/>
        <v>70</v>
      </c>
      <c r="Y487" s="26">
        <f t="shared" si="104"/>
        <v>0</v>
      </c>
      <c r="Z487" s="26">
        <f t="shared" si="105"/>
        <v>154000</v>
      </c>
      <c r="AA487" s="33" t="s">
        <v>15</v>
      </c>
      <c r="AB487" s="36" t="s">
        <v>16</v>
      </c>
      <c r="AC487" s="181">
        <f t="shared" si="107"/>
        <v>80</v>
      </c>
      <c r="AD487" s="181">
        <f t="shared" si="106"/>
        <v>176000</v>
      </c>
      <c r="AE487" s="181">
        <v>6</v>
      </c>
      <c r="AF487" s="181">
        <v>6</v>
      </c>
      <c r="AG487" s="101" t="str">
        <f t="shared" si="108"/>
        <v/>
      </c>
      <c r="AH487" s="191">
        <f>65+5</f>
        <v>70</v>
      </c>
      <c r="AI487" s="69">
        <f t="shared" si="101"/>
        <v>80</v>
      </c>
    </row>
    <row r="488" spans="1:38" s="69" customFormat="1" ht="42" x14ac:dyDescent="0.3">
      <c r="A488" s="130" t="s">
        <v>1261</v>
      </c>
      <c r="B488" s="131" t="s">
        <v>1262</v>
      </c>
      <c r="C488" s="132" t="s">
        <v>14</v>
      </c>
      <c r="D488" s="133">
        <v>1</v>
      </c>
      <c r="E488" s="75"/>
      <c r="F488" s="75"/>
      <c r="G488" s="75"/>
      <c r="H488" s="75"/>
      <c r="I488" s="75">
        <v>261478.99</v>
      </c>
      <c r="J488" s="75">
        <v>261478.99</v>
      </c>
      <c r="K488" s="91" t="s">
        <v>1263</v>
      </c>
      <c r="L488" s="73"/>
      <c r="M488" s="46">
        <v>1</v>
      </c>
      <c r="N488" s="46">
        <v>0</v>
      </c>
      <c r="O488" s="46">
        <v>261478.99</v>
      </c>
      <c r="P488" s="98"/>
      <c r="Q488" s="23" t="s">
        <v>1395</v>
      </c>
      <c r="R488" s="24" t="s">
        <v>1262</v>
      </c>
      <c r="S488" s="25" t="s">
        <v>14</v>
      </c>
      <c r="T488" s="26">
        <v>1</v>
      </c>
      <c r="U488" s="26">
        <v>1</v>
      </c>
      <c r="V488" s="26">
        <v>261478.99</v>
      </c>
      <c r="W488" s="127">
        <f t="shared" si="103"/>
        <v>0</v>
      </c>
      <c r="X488" s="127">
        <f t="shared" si="100"/>
        <v>1</v>
      </c>
      <c r="Y488" s="127">
        <f t="shared" si="104"/>
        <v>0</v>
      </c>
      <c r="Z488" s="127">
        <f t="shared" si="105"/>
        <v>261478.99</v>
      </c>
      <c r="AA488" s="33" t="s">
        <v>1499</v>
      </c>
      <c r="AB488" s="36" t="s">
        <v>16</v>
      </c>
      <c r="AC488" s="181">
        <f t="shared" si="107"/>
        <v>1</v>
      </c>
      <c r="AD488" s="181">
        <f t="shared" si="106"/>
        <v>261478.99</v>
      </c>
      <c r="AE488" s="181">
        <v>6</v>
      </c>
      <c r="AF488" s="181">
        <v>6</v>
      </c>
      <c r="AG488" s="101" t="str">
        <f t="shared" si="108"/>
        <v/>
      </c>
      <c r="AH488" s="190">
        <v>1</v>
      </c>
      <c r="AI488" s="69">
        <f t="shared" si="101"/>
        <v>1</v>
      </c>
    </row>
    <row r="489" spans="1:38" s="69" customFormat="1" ht="39" x14ac:dyDescent="0.3">
      <c r="A489" s="55" t="s">
        <v>1264</v>
      </c>
      <c r="B489" s="53" t="s">
        <v>1265</v>
      </c>
      <c r="C489" s="54" t="s">
        <v>30</v>
      </c>
      <c r="D489" s="75">
        <v>5000</v>
      </c>
      <c r="E489" s="75"/>
      <c r="F489" s="75"/>
      <c r="G489" s="75"/>
      <c r="H489" s="75"/>
      <c r="I489" s="75">
        <v>13</v>
      </c>
      <c r="J489" s="75">
        <v>65000</v>
      </c>
      <c r="K489" s="91" t="s">
        <v>1266</v>
      </c>
      <c r="L489" s="73"/>
      <c r="M489" s="46">
        <v>2505</v>
      </c>
      <c r="N489" s="46">
        <v>16315</v>
      </c>
      <c r="O489" s="46">
        <v>32565</v>
      </c>
      <c r="P489" s="98"/>
      <c r="Q489" s="23" t="s">
        <v>1432</v>
      </c>
      <c r="R489" s="24" t="s">
        <v>1265</v>
      </c>
      <c r="S489" s="25" t="s">
        <v>30</v>
      </c>
      <c r="T489" s="26">
        <v>5000</v>
      </c>
      <c r="U489" s="26">
        <v>5000</v>
      </c>
      <c r="V489" s="26">
        <v>13</v>
      </c>
      <c r="W489" s="243">
        <f t="shared" si="103"/>
        <v>635</v>
      </c>
      <c r="X489" s="26">
        <f t="shared" si="100"/>
        <v>3140</v>
      </c>
      <c r="Y489" s="26">
        <f t="shared" si="104"/>
        <v>8255</v>
      </c>
      <c r="Z489" s="26">
        <f t="shared" si="105"/>
        <v>40820</v>
      </c>
      <c r="AA489" s="33" t="s">
        <v>15</v>
      </c>
      <c r="AB489" s="36" t="s">
        <v>16</v>
      </c>
      <c r="AC489" s="181">
        <f t="shared" si="107"/>
        <v>5000</v>
      </c>
      <c r="AD489" s="181">
        <f t="shared" si="106"/>
        <v>65000</v>
      </c>
      <c r="AE489" s="181">
        <v>6</v>
      </c>
      <c r="AF489" s="181">
        <v>6</v>
      </c>
      <c r="AG489" s="101" t="str">
        <f t="shared" si="108"/>
        <v/>
      </c>
      <c r="AH489" s="191">
        <f>1250+1255+635</f>
        <v>3140</v>
      </c>
      <c r="AI489" s="69">
        <f t="shared" si="101"/>
        <v>5000</v>
      </c>
    </row>
    <row r="490" spans="1:38" s="69" customFormat="1" ht="39" x14ac:dyDescent="0.3">
      <c r="A490" s="55" t="s">
        <v>1267</v>
      </c>
      <c r="B490" s="53" t="s">
        <v>1268</v>
      </c>
      <c r="C490" s="54" t="s">
        <v>1269</v>
      </c>
      <c r="D490" s="75">
        <v>48</v>
      </c>
      <c r="E490" s="75"/>
      <c r="F490" s="75"/>
      <c r="G490" s="75"/>
      <c r="H490" s="75"/>
      <c r="I490" s="75">
        <v>47468</v>
      </c>
      <c r="J490" s="75">
        <v>2278464</v>
      </c>
      <c r="K490" s="91" t="s">
        <v>1270</v>
      </c>
      <c r="L490" s="73"/>
      <c r="M490" s="46">
        <v>46</v>
      </c>
      <c r="N490" s="46">
        <v>94936</v>
      </c>
      <c r="O490" s="46">
        <v>2183528</v>
      </c>
      <c r="P490" s="98"/>
      <c r="Q490" s="23" t="s">
        <v>1433</v>
      </c>
      <c r="R490" s="24" t="s">
        <v>1268</v>
      </c>
      <c r="S490" s="25" t="s">
        <v>1269</v>
      </c>
      <c r="T490" s="26">
        <v>48</v>
      </c>
      <c r="U490" s="26">
        <v>48</v>
      </c>
      <c r="V490" s="26">
        <v>47468</v>
      </c>
      <c r="W490" s="250">
        <f t="shared" si="103"/>
        <v>2</v>
      </c>
      <c r="X490" s="26">
        <f t="shared" si="100"/>
        <v>48</v>
      </c>
      <c r="Y490" s="26">
        <f>Z490-O490</f>
        <v>94936</v>
      </c>
      <c r="Z490" s="26">
        <f t="shared" si="105"/>
        <v>2278464</v>
      </c>
      <c r="AA490" s="33" t="s">
        <v>15</v>
      </c>
      <c r="AB490" s="36" t="s">
        <v>16</v>
      </c>
      <c r="AC490" s="181">
        <f t="shared" si="107"/>
        <v>48</v>
      </c>
      <c r="AD490" s="181">
        <f t="shared" si="106"/>
        <v>2278464</v>
      </c>
      <c r="AE490" s="181">
        <v>6</v>
      </c>
      <c r="AF490" s="181">
        <v>6</v>
      </c>
      <c r="AG490" s="101" t="str">
        <f t="shared" si="108"/>
        <v/>
      </c>
      <c r="AH490" s="191">
        <f>39+1+2+2+2+2</f>
        <v>48</v>
      </c>
      <c r="AI490" s="69">
        <f t="shared" si="101"/>
        <v>48</v>
      </c>
    </row>
    <row r="491" spans="1:38" s="69" customFormat="1" ht="39" x14ac:dyDescent="0.3">
      <c r="A491" s="55" t="s">
        <v>1271</v>
      </c>
      <c r="B491" s="53" t="s">
        <v>1272</v>
      </c>
      <c r="C491" s="54" t="s">
        <v>14</v>
      </c>
      <c r="D491" s="75">
        <v>1</v>
      </c>
      <c r="E491" s="75"/>
      <c r="F491" s="75"/>
      <c r="G491" s="75"/>
      <c r="H491" s="75"/>
      <c r="I491" s="75">
        <v>111233.97</v>
      </c>
      <c r="J491" s="75">
        <v>111233.97</v>
      </c>
      <c r="K491" s="91" t="s">
        <v>1273</v>
      </c>
      <c r="L491" s="73"/>
      <c r="M491" s="46">
        <v>0.85000000000000009</v>
      </c>
      <c r="N491" s="46">
        <v>5561.6900000000023</v>
      </c>
      <c r="O491" s="46">
        <v>94548.87</v>
      </c>
      <c r="P491" s="98"/>
      <c r="Q491" s="23" t="s">
        <v>1382</v>
      </c>
      <c r="R491" s="24" t="s">
        <v>1272</v>
      </c>
      <c r="S491" s="25" t="s">
        <v>14</v>
      </c>
      <c r="T491" s="26">
        <v>1</v>
      </c>
      <c r="U491" s="26">
        <v>1</v>
      </c>
      <c r="V491" s="26">
        <v>111233.97</v>
      </c>
      <c r="W491" s="243">
        <f t="shared" si="103"/>
        <v>0</v>
      </c>
      <c r="X491" s="26">
        <f t="shared" si="100"/>
        <v>0.85000000000000009</v>
      </c>
      <c r="Y491" s="136">
        <f>Z491-O491</f>
        <v>0</v>
      </c>
      <c r="Z491" s="26">
        <f>ROUND(V491*X491,2)</f>
        <v>94548.87</v>
      </c>
      <c r="AA491" s="33" t="s">
        <v>15</v>
      </c>
      <c r="AB491" s="36" t="s">
        <v>16</v>
      </c>
      <c r="AC491" s="181">
        <f t="shared" si="107"/>
        <v>1</v>
      </c>
      <c r="AD491" s="181">
        <f t="shared" si="106"/>
        <v>111233.97</v>
      </c>
      <c r="AE491" s="181">
        <v>6</v>
      </c>
      <c r="AF491" s="181">
        <v>6</v>
      </c>
      <c r="AG491" s="101" t="str">
        <f t="shared" si="108"/>
        <v/>
      </c>
      <c r="AH491" s="191">
        <f>0.8+0.05</f>
        <v>0.85000000000000009</v>
      </c>
      <c r="AI491" s="69">
        <f t="shared" si="101"/>
        <v>1</v>
      </c>
      <c r="AL491" s="69">
        <f>O491/Z491</f>
        <v>1</v>
      </c>
    </row>
    <row r="492" spans="1:38" s="69" customFormat="1" ht="33" x14ac:dyDescent="0.3">
      <c r="A492" s="85" t="s">
        <v>1274</v>
      </c>
      <c r="B492" s="86" t="s">
        <v>1275</v>
      </c>
      <c r="C492" s="87" t="s">
        <v>14</v>
      </c>
      <c r="D492" s="88">
        <v>1</v>
      </c>
      <c r="E492" s="88"/>
      <c r="F492" s="88"/>
      <c r="G492" s="88"/>
      <c r="H492" s="88"/>
      <c r="I492" s="88"/>
      <c r="J492" s="88">
        <v>2884379.96</v>
      </c>
      <c r="K492" s="95" t="s">
        <v>15</v>
      </c>
      <c r="L492" s="73"/>
      <c r="M492" s="42">
        <v>1</v>
      </c>
      <c r="N492" s="42">
        <v>125231.79999999999</v>
      </c>
      <c r="O492" s="42">
        <v>2698556.57</v>
      </c>
      <c r="P492" s="98"/>
      <c r="Q492" s="13" t="s">
        <v>1416</v>
      </c>
      <c r="R492" s="14" t="s">
        <v>1275</v>
      </c>
      <c r="S492" s="15" t="s">
        <v>14</v>
      </c>
      <c r="T492" s="16">
        <v>1</v>
      </c>
      <c r="U492" s="16"/>
      <c r="V492" s="16">
        <f>SUMIFS(AD:AD,AE:AE,AE492)</f>
        <v>2884379.96</v>
      </c>
      <c r="W492" s="16">
        <f t="shared" ref="W492:X492" si="109">IF(Y492=0,0,1)</f>
        <v>1</v>
      </c>
      <c r="X492" s="16">
        <f t="shared" si="109"/>
        <v>1</v>
      </c>
      <c r="Y492" s="16">
        <f>SUMIFS(Y:Y,AF:AF,AE492)</f>
        <v>94936</v>
      </c>
      <c r="Z492" s="16">
        <f>SUMIFS(Z:Z,AF:AF,AE492)</f>
        <v>2793492.57</v>
      </c>
      <c r="AA492" s="17" t="s">
        <v>15</v>
      </c>
      <c r="AB492" s="40" t="s">
        <v>16</v>
      </c>
      <c r="AC492" s="181">
        <f t="shared" si="107"/>
        <v>1</v>
      </c>
      <c r="AD492" s="183"/>
      <c r="AE492" s="183">
        <v>7</v>
      </c>
      <c r="AF492" s="183"/>
      <c r="AG492" s="101" t="str">
        <f t="shared" si="108"/>
        <v/>
      </c>
      <c r="AH492" s="190">
        <v>1</v>
      </c>
      <c r="AI492" s="69">
        <f t="shared" si="101"/>
        <v>1</v>
      </c>
    </row>
    <row r="493" spans="1:38" s="69" customFormat="1" ht="39" x14ac:dyDescent="0.3">
      <c r="A493" s="55" t="s">
        <v>1276</v>
      </c>
      <c r="B493" s="53" t="s">
        <v>1277</v>
      </c>
      <c r="C493" s="54" t="s">
        <v>1269</v>
      </c>
      <c r="D493" s="75">
        <v>48</v>
      </c>
      <c r="E493" s="75"/>
      <c r="F493" s="75"/>
      <c r="G493" s="75"/>
      <c r="H493" s="75"/>
      <c r="I493" s="75">
        <v>47468</v>
      </c>
      <c r="J493" s="75">
        <v>2278464</v>
      </c>
      <c r="K493" s="91" t="s">
        <v>1278</v>
      </c>
      <c r="L493" s="73"/>
      <c r="M493" s="46">
        <v>46</v>
      </c>
      <c r="N493" s="46">
        <v>94936</v>
      </c>
      <c r="O493" s="46">
        <v>2183528</v>
      </c>
      <c r="P493" s="98"/>
      <c r="Q493" s="23" t="s">
        <v>1421</v>
      </c>
      <c r="R493" s="24" t="s">
        <v>1277</v>
      </c>
      <c r="S493" s="25" t="s">
        <v>1269</v>
      </c>
      <c r="T493" s="26">
        <v>48</v>
      </c>
      <c r="U493" s="26">
        <v>48</v>
      </c>
      <c r="V493" s="26">
        <v>47468</v>
      </c>
      <c r="W493" s="250">
        <f t="shared" ref="W493:W494" si="110">AH493-M493</f>
        <v>2</v>
      </c>
      <c r="X493" s="26">
        <f t="shared" si="100"/>
        <v>48</v>
      </c>
      <c r="Y493" s="26">
        <f>Z493-O493</f>
        <v>94936</v>
      </c>
      <c r="Z493" s="26">
        <f t="shared" ref="Z493:Z494" si="111">ROUND(V493*X493,2)</f>
        <v>2278464</v>
      </c>
      <c r="AA493" s="33" t="s">
        <v>15</v>
      </c>
      <c r="AB493" s="36" t="s">
        <v>16</v>
      </c>
      <c r="AC493" s="181">
        <f t="shared" si="107"/>
        <v>48</v>
      </c>
      <c r="AD493" s="181">
        <f t="shared" ref="AD493:AD494" si="112">ROUND(V493*AC493,2)</f>
        <v>2278464</v>
      </c>
      <c r="AE493" s="181">
        <v>7</v>
      </c>
      <c r="AF493" s="181">
        <v>7</v>
      </c>
      <c r="AG493" s="101" t="str">
        <f t="shared" si="108"/>
        <v/>
      </c>
      <c r="AH493" s="191">
        <f>39+1+2+2+2+2</f>
        <v>48</v>
      </c>
      <c r="AI493" s="69">
        <f t="shared" si="101"/>
        <v>48</v>
      </c>
    </row>
    <row r="494" spans="1:38" s="69" customFormat="1" ht="33" x14ac:dyDescent="0.3">
      <c r="A494" s="55" t="s">
        <v>1279</v>
      </c>
      <c r="B494" s="53" t="s">
        <v>1280</v>
      </c>
      <c r="C494" s="54" t="s">
        <v>14</v>
      </c>
      <c r="D494" s="75">
        <v>1</v>
      </c>
      <c r="E494" s="75"/>
      <c r="F494" s="75"/>
      <c r="G494" s="75"/>
      <c r="H494" s="75"/>
      <c r="I494" s="75">
        <v>605915.96</v>
      </c>
      <c r="J494" s="75">
        <v>605915.96</v>
      </c>
      <c r="K494" s="91" t="s">
        <v>1281</v>
      </c>
      <c r="L494" s="73"/>
      <c r="M494" s="46">
        <v>0.85000000000000009</v>
      </c>
      <c r="N494" s="46">
        <v>30295.799999999988</v>
      </c>
      <c r="O494" s="46">
        <v>515028.57</v>
      </c>
      <c r="P494" s="98"/>
      <c r="Q494" s="23" t="s">
        <v>1426</v>
      </c>
      <c r="R494" s="24" t="s">
        <v>1280</v>
      </c>
      <c r="S494" s="25" t="s">
        <v>14</v>
      </c>
      <c r="T494" s="26">
        <v>1</v>
      </c>
      <c r="U494" s="26">
        <v>1</v>
      </c>
      <c r="V494" s="26">
        <v>605915.96</v>
      </c>
      <c r="W494" s="243">
        <f t="shared" si="110"/>
        <v>0</v>
      </c>
      <c r="X494" s="26">
        <f t="shared" si="100"/>
        <v>0.85000000000000009</v>
      </c>
      <c r="Y494" s="136">
        <f>Z494-O494</f>
        <v>0</v>
      </c>
      <c r="Z494" s="26">
        <f t="shared" si="111"/>
        <v>515028.57</v>
      </c>
      <c r="AA494" s="33" t="s">
        <v>15</v>
      </c>
      <c r="AB494" s="36" t="s">
        <v>16</v>
      </c>
      <c r="AC494" s="181">
        <f t="shared" si="107"/>
        <v>1</v>
      </c>
      <c r="AD494" s="181">
        <f t="shared" si="112"/>
        <v>605915.96</v>
      </c>
      <c r="AE494" s="181">
        <v>7</v>
      </c>
      <c r="AF494" s="181">
        <v>7</v>
      </c>
      <c r="AG494" s="101" t="str">
        <f t="shared" si="108"/>
        <v/>
      </c>
      <c r="AH494" s="191">
        <f>0.8+0.05</f>
        <v>0.85000000000000009</v>
      </c>
      <c r="AI494" s="69">
        <f t="shared" si="101"/>
        <v>1</v>
      </c>
      <c r="AL494" s="69">
        <f>O494/Z494</f>
        <v>1</v>
      </c>
    </row>
    <row r="495" spans="1:38" s="69" customFormat="1" ht="63" x14ac:dyDescent="0.3">
      <c r="A495" s="85" t="s">
        <v>1282</v>
      </c>
      <c r="B495" s="86" t="s">
        <v>1283</v>
      </c>
      <c r="C495" s="87" t="s">
        <v>14</v>
      </c>
      <c r="D495" s="88">
        <v>1</v>
      </c>
      <c r="E495" s="88"/>
      <c r="F495" s="88"/>
      <c r="G495" s="88"/>
      <c r="H495" s="88"/>
      <c r="I495" s="88"/>
      <c r="J495" s="88">
        <v>37525596.329999998</v>
      </c>
      <c r="K495" s="95" t="s">
        <v>1284</v>
      </c>
      <c r="L495" s="73"/>
      <c r="M495" s="42">
        <v>1</v>
      </c>
      <c r="N495" s="42">
        <v>1461631.1100000665</v>
      </c>
      <c r="O495" s="42">
        <v>31882666.980000019</v>
      </c>
      <c r="P495" s="98"/>
      <c r="Q495" s="28" t="s">
        <v>1417</v>
      </c>
      <c r="R495" s="29" t="s">
        <v>1283</v>
      </c>
      <c r="S495" s="30" t="s">
        <v>14</v>
      </c>
      <c r="T495" s="31">
        <v>1</v>
      </c>
      <c r="U495" s="31"/>
      <c r="V495" s="31">
        <v>37525596.329999998</v>
      </c>
      <c r="W495" s="31">
        <f t="shared" ref="W495:X496" si="113">IF(Y495=0,0,1)</f>
        <v>1</v>
      </c>
      <c r="X495" s="31">
        <f t="shared" si="113"/>
        <v>1</v>
      </c>
      <c r="Y495" s="31">
        <f>Z495-O495</f>
        <v>816209.01999998093</v>
      </c>
      <c r="Z495" s="31">
        <f>Z7-Z8-Z377-Z407-Z447-Z451-Z472-Z492-Z496-Z498</f>
        <v>32698876</v>
      </c>
      <c r="AA495" s="32" t="s">
        <v>1418</v>
      </c>
      <c r="AB495" s="40" t="s">
        <v>16</v>
      </c>
      <c r="AC495" s="181">
        <f t="shared" si="107"/>
        <v>1</v>
      </c>
      <c r="AD495" s="183"/>
      <c r="AE495" s="183">
        <v>8</v>
      </c>
      <c r="AF495" s="183"/>
      <c r="AG495" s="101" t="str">
        <f t="shared" si="108"/>
        <v/>
      </c>
      <c r="AH495" s="190">
        <v>1</v>
      </c>
      <c r="AI495" s="69">
        <f t="shared" si="101"/>
        <v>1</v>
      </c>
    </row>
    <row r="496" spans="1:38" s="69" customFormat="1" ht="157.5" x14ac:dyDescent="0.3">
      <c r="A496" s="85" t="s">
        <v>1285</v>
      </c>
      <c r="B496" s="86" t="s">
        <v>1286</v>
      </c>
      <c r="C496" s="87" t="s">
        <v>14</v>
      </c>
      <c r="D496" s="88">
        <v>1</v>
      </c>
      <c r="E496" s="88"/>
      <c r="F496" s="88"/>
      <c r="G496" s="88"/>
      <c r="H496" s="88"/>
      <c r="I496" s="88"/>
      <c r="J496" s="88">
        <v>3336000</v>
      </c>
      <c r="K496" s="95" t="s">
        <v>1287</v>
      </c>
      <c r="L496" s="73"/>
      <c r="M496" s="42">
        <v>1</v>
      </c>
      <c r="N496" s="42">
        <v>0</v>
      </c>
      <c r="O496" s="42">
        <v>3335100</v>
      </c>
      <c r="P496" s="98"/>
      <c r="Q496" s="13" t="s">
        <v>1419</v>
      </c>
      <c r="R496" s="14" t="s">
        <v>1286</v>
      </c>
      <c r="S496" s="15" t="s">
        <v>14</v>
      </c>
      <c r="T496" s="16">
        <v>1</v>
      </c>
      <c r="U496" s="16"/>
      <c r="V496" s="16">
        <f>SUMIFS(AD:AD,AE:AE,AE496)</f>
        <v>3336000</v>
      </c>
      <c r="W496" s="16">
        <f t="shared" si="113"/>
        <v>0</v>
      </c>
      <c r="X496" s="16">
        <f t="shared" si="113"/>
        <v>1</v>
      </c>
      <c r="Y496" s="16">
        <f>SUMIFS(Y:Y,AF:AF,AE496)</f>
        <v>0</v>
      </c>
      <c r="Z496" s="16">
        <f>SUMIFS(Z:Z,AF:AF,AE496)</f>
        <v>3335100</v>
      </c>
      <c r="AA496" s="17" t="s">
        <v>1287</v>
      </c>
      <c r="AB496" s="40" t="s">
        <v>16</v>
      </c>
      <c r="AC496" s="181">
        <f t="shared" si="107"/>
        <v>1</v>
      </c>
      <c r="AD496" s="183"/>
      <c r="AE496" s="183">
        <v>9</v>
      </c>
      <c r="AF496" s="183"/>
      <c r="AG496" s="101" t="str">
        <f t="shared" si="108"/>
        <v/>
      </c>
      <c r="AH496" s="190">
        <v>1</v>
      </c>
      <c r="AI496" s="69">
        <f t="shared" si="101"/>
        <v>1</v>
      </c>
    </row>
    <row r="497" spans="1:35" s="69" customFormat="1" ht="33" x14ac:dyDescent="0.3">
      <c r="A497" s="55" t="s">
        <v>1288</v>
      </c>
      <c r="B497" s="53" t="s">
        <v>1286</v>
      </c>
      <c r="C497" s="54" t="s">
        <v>23</v>
      </c>
      <c r="D497" s="75">
        <v>22240</v>
      </c>
      <c r="E497" s="75"/>
      <c r="F497" s="75"/>
      <c r="G497" s="75"/>
      <c r="H497" s="75"/>
      <c r="I497" s="75">
        <v>150</v>
      </c>
      <c r="J497" s="75">
        <v>3336000</v>
      </c>
      <c r="K497" s="91" t="s">
        <v>1289</v>
      </c>
      <c r="L497" s="73"/>
      <c r="M497" s="46">
        <v>22234</v>
      </c>
      <c r="N497" s="46">
        <v>0</v>
      </c>
      <c r="O497" s="46">
        <v>3335100</v>
      </c>
      <c r="P497" s="98"/>
      <c r="Q497" s="23" t="s">
        <v>1421</v>
      </c>
      <c r="R497" s="24" t="s">
        <v>1286</v>
      </c>
      <c r="S497" s="25" t="s">
        <v>23</v>
      </c>
      <c r="T497" s="26">
        <v>22240</v>
      </c>
      <c r="U497" s="26">
        <v>22240</v>
      </c>
      <c r="V497" s="26">
        <v>150</v>
      </c>
      <c r="W497" s="103">
        <f t="shared" ref="W497" si="114">AH497-M497</f>
        <v>0</v>
      </c>
      <c r="X497" s="26">
        <f t="shared" ref="X497" si="115">W497+M497</f>
        <v>22234</v>
      </c>
      <c r="Y497" s="26">
        <f>Z497-O497</f>
        <v>0</v>
      </c>
      <c r="Z497" s="26">
        <f>ROUND(V497*X497,2)</f>
        <v>3335100</v>
      </c>
      <c r="AA497" s="33" t="s">
        <v>15</v>
      </c>
      <c r="AB497" s="36" t="s">
        <v>16</v>
      </c>
      <c r="AC497" s="181">
        <f t="shared" si="107"/>
        <v>22240</v>
      </c>
      <c r="AD497" s="181">
        <f t="shared" ref="AD497" si="116">ROUND(V497*AC497,2)</f>
        <v>3336000</v>
      </c>
      <c r="AE497" s="181">
        <v>9</v>
      </c>
      <c r="AF497" s="181">
        <v>9</v>
      </c>
      <c r="AG497" s="101" t="str">
        <f t="shared" si="108"/>
        <v/>
      </c>
      <c r="AH497" s="190">
        <v>22234</v>
      </c>
      <c r="AI497" s="69">
        <f t="shared" si="101"/>
        <v>22240</v>
      </c>
    </row>
    <row r="498" spans="1:35" s="69" customFormat="1" ht="178.5" x14ac:dyDescent="0.3">
      <c r="A498" s="85" t="s">
        <v>1290</v>
      </c>
      <c r="B498" s="86" t="s">
        <v>1291</v>
      </c>
      <c r="C498" s="87" t="s">
        <v>14</v>
      </c>
      <c r="D498" s="88">
        <v>1</v>
      </c>
      <c r="E498" s="88"/>
      <c r="F498" s="88"/>
      <c r="G498" s="88"/>
      <c r="H498" s="88"/>
      <c r="I498" s="88"/>
      <c r="J498" s="88">
        <v>212800</v>
      </c>
      <c r="K498" s="95" t="s">
        <v>1292</v>
      </c>
      <c r="L498" s="73"/>
      <c r="M498" s="42">
        <v>1</v>
      </c>
      <c r="N498" s="42">
        <v>0</v>
      </c>
      <c r="O498" s="42">
        <v>212800</v>
      </c>
      <c r="P498" s="98"/>
      <c r="Q498" s="13" t="s">
        <v>1420</v>
      </c>
      <c r="R498" s="14" t="s">
        <v>1291</v>
      </c>
      <c r="S498" s="15" t="s">
        <v>14</v>
      </c>
      <c r="T498" s="16">
        <v>1</v>
      </c>
      <c r="U498" s="16"/>
      <c r="V498" s="16">
        <f>SUMIFS(AD:AD,AE:AE,AE498)</f>
        <v>212800</v>
      </c>
      <c r="W498" s="16">
        <f t="shared" ref="W498:X498" si="117">IF(Y498=0,0,1)</f>
        <v>0</v>
      </c>
      <c r="X498" s="16">
        <f t="shared" si="117"/>
        <v>1</v>
      </c>
      <c r="Y498" s="16">
        <f>SUMIFS(Y:Y,AF:AF,AE498)</f>
        <v>0</v>
      </c>
      <c r="Z498" s="16">
        <f>SUMIFS(Z:Z,AF:AF,AE498)</f>
        <v>212800</v>
      </c>
      <c r="AA498" s="17" t="s">
        <v>1292</v>
      </c>
      <c r="AB498" s="40" t="s">
        <v>16</v>
      </c>
      <c r="AC498" s="181">
        <f t="shared" si="107"/>
        <v>1</v>
      </c>
      <c r="AD498" s="183"/>
      <c r="AE498" s="183">
        <v>10</v>
      </c>
      <c r="AF498" s="183"/>
      <c r="AG498" s="101" t="str">
        <f t="shared" si="108"/>
        <v/>
      </c>
      <c r="AH498" s="190">
        <v>1</v>
      </c>
      <c r="AI498" s="69">
        <f t="shared" si="101"/>
        <v>1</v>
      </c>
    </row>
    <row r="499" spans="1:35" s="69" customFormat="1" ht="33" x14ac:dyDescent="0.3">
      <c r="A499" s="55" t="s">
        <v>1293</v>
      </c>
      <c r="B499" s="53" t="s">
        <v>1294</v>
      </c>
      <c r="C499" s="54" t="s">
        <v>50</v>
      </c>
      <c r="D499" s="75">
        <v>3800</v>
      </c>
      <c r="E499" s="75"/>
      <c r="F499" s="75"/>
      <c r="G499" s="75"/>
      <c r="H499" s="75"/>
      <c r="I499" s="75">
        <v>56</v>
      </c>
      <c r="J499" s="75">
        <v>212800</v>
      </c>
      <c r="K499" s="91" t="s">
        <v>1295</v>
      </c>
      <c r="L499" s="73"/>
      <c r="M499" s="46">
        <v>3800</v>
      </c>
      <c r="N499" s="46">
        <v>0</v>
      </c>
      <c r="O499" s="46">
        <v>212800</v>
      </c>
      <c r="P499" s="98"/>
      <c r="Q499" s="23" t="s">
        <v>1421</v>
      </c>
      <c r="R499" s="24" t="s">
        <v>1294</v>
      </c>
      <c r="S499" s="25" t="s">
        <v>50</v>
      </c>
      <c r="T499" s="26">
        <v>3800</v>
      </c>
      <c r="U499" s="26">
        <v>3800</v>
      </c>
      <c r="V499" s="26">
        <v>56</v>
      </c>
      <c r="W499" s="26">
        <f t="shared" ref="W499" si="118">AH499-M499</f>
        <v>0</v>
      </c>
      <c r="X499" s="26">
        <f t="shared" ref="X499" si="119">W499+M499</f>
        <v>3800</v>
      </c>
      <c r="Y499" s="26">
        <v>0</v>
      </c>
      <c r="Z499" s="26">
        <f t="shared" ref="Z499" si="120">ROUND(V499*X499,2)</f>
        <v>212800</v>
      </c>
      <c r="AA499" s="33" t="s">
        <v>15</v>
      </c>
      <c r="AB499" s="36" t="s">
        <v>16</v>
      </c>
      <c r="AC499" s="181">
        <f t="shared" si="107"/>
        <v>3800</v>
      </c>
      <c r="AD499" s="181">
        <f t="shared" ref="AD499" si="121">ROUND(V499*AC499,2)</f>
        <v>212800</v>
      </c>
      <c r="AE499" s="181">
        <v>10</v>
      </c>
      <c r="AF499" s="181">
        <v>10</v>
      </c>
      <c r="AG499" s="101" t="str">
        <f t="shared" si="108"/>
        <v/>
      </c>
      <c r="AH499" s="190">
        <v>3800</v>
      </c>
      <c r="AI499" s="69">
        <f t="shared" si="101"/>
        <v>3800</v>
      </c>
    </row>
    <row r="500" spans="1:35" s="69" customFormat="1" ht="33" x14ac:dyDescent="0.3">
      <c r="A500" s="52"/>
      <c r="B500" s="53" t="s">
        <v>1296</v>
      </c>
      <c r="C500" s="54"/>
      <c r="D500" s="75"/>
      <c r="E500" s="75"/>
      <c r="F500" s="75"/>
      <c r="G500" s="75"/>
      <c r="H500" s="75"/>
      <c r="I500" s="75"/>
      <c r="J500" s="75"/>
      <c r="K500" s="91"/>
      <c r="L500" s="73"/>
      <c r="M500" s="46"/>
      <c r="N500" s="46">
        <v>14809200.000000067</v>
      </c>
      <c r="O500" s="46">
        <v>326596600</v>
      </c>
      <c r="P500" s="98"/>
      <c r="Q500" s="23" t="s">
        <v>1421</v>
      </c>
      <c r="R500" s="24" t="s">
        <v>1422</v>
      </c>
      <c r="S500" s="25"/>
      <c r="T500" s="26"/>
      <c r="U500" s="26"/>
      <c r="V500" s="26"/>
      <c r="W500" s="26"/>
      <c r="X500" s="26"/>
      <c r="Y500" s="26">
        <f>Y8+Y377+Y407+Y447+Y451+Y472+Y492+Y495+Y496+Y498</f>
        <v>8270299.9999999823</v>
      </c>
      <c r="Z500" s="26">
        <f>ROUNDDOWN((Z8+Z377+Z407+Z447+Z451+Z472+Z492+Z496+Z498+(Z8+Z377+Z407+Z447+Z451+Z472+Z492)*0.1095000004)/1000,1)*1000</f>
        <v>334866900</v>
      </c>
      <c r="AA500" s="33"/>
      <c r="AB500" s="36" t="s">
        <v>16</v>
      </c>
      <c r="AC500" s="181"/>
      <c r="AD500" s="181"/>
      <c r="AE500" s="181"/>
      <c r="AF500" s="181"/>
      <c r="AG500" s="101" t="str">
        <f t="shared" si="108"/>
        <v/>
      </c>
      <c r="AH500" s="190"/>
      <c r="AI500" s="69">
        <f t="shared" si="101"/>
        <v>0</v>
      </c>
    </row>
    <row r="501" spans="1:35" s="69" customFormat="1" ht="33" x14ac:dyDescent="0.3">
      <c r="A501" s="52"/>
      <c r="B501" s="53" t="s">
        <v>1297</v>
      </c>
      <c r="C501" s="54"/>
      <c r="D501" s="75"/>
      <c r="E501" s="75"/>
      <c r="F501" s="75"/>
      <c r="G501" s="75"/>
      <c r="H501" s="75"/>
      <c r="I501" s="75"/>
      <c r="J501" s="75"/>
      <c r="K501" s="91"/>
      <c r="L501" s="73"/>
      <c r="M501" s="39"/>
      <c r="N501" s="39">
        <v>9675</v>
      </c>
      <c r="O501" s="39">
        <v>19291</v>
      </c>
      <c r="P501" s="98"/>
      <c r="Q501" s="8" t="s">
        <v>1505</v>
      </c>
      <c r="R501" s="9" t="s">
        <v>1506</v>
      </c>
      <c r="S501" s="10" t="s">
        <v>14</v>
      </c>
      <c r="T501" s="11"/>
      <c r="U501" s="11"/>
      <c r="V501" s="11"/>
      <c r="W501" s="11"/>
      <c r="X501" s="11"/>
      <c r="Y501" s="11">
        <v>9675</v>
      </c>
      <c r="Z501" s="11">
        <v>19291</v>
      </c>
      <c r="AA501" s="12" t="s">
        <v>15</v>
      </c>
      <c r="AB501" s="37" t="s">
        <v>16</v>
      </c>
      <c r="AC501" s="182"/>
      <c r="AD501" s="182">
        <v>295040.74</v>
      </c>
      <c r="AE501" s="182">
        <v>12929586.060000001</v>
      </c>
      <c r="AF501" s="182"/>
      <c r="AG501" s="101" t="str">
        <f t="shared" si="108"/>
        <v/>
      </c>
      <c r="AH501" s="190"/>
      <c r="AI501" s="69">
        <f t="shared" si="101"/>
        <v>0</v>
      </c>
    </row>
    <row r="502" spans="1:35" s="69" customFormat="1" ht="33" x14ac:dyDescent="0.3">
      <c r="A502" s="382" t="s">
        <v>1298</v>
      </c>
      <c r="B502" s="383"/>
      <c r="C502" s="383"/>
      <c r="D502" s="383"/>
      <c r="E502" s="383"/>
      <c r="F502" s="383"/>
      <c r="G502" s="383"/>
      <c r="H502" s="383"/>
      <c r="I502" s="383"/>
      <c r="J502" s="383"/>
      <c r="K502" s="384"/>
      <c r="L502" s="89"/>
      <c r="M502" s="46"/>
      <c r="N502" s="46">
        <v>2999475</v>
      </c>
      <c r="O502" s="46">
        <v>131240691</v>
      </c>
      <c r="P502" s="98"/>
      <c r="Q502" s="23" t="s">
        <v>1421</v>
      </c>
      <c r="R502" s="24" t="s">
        <v>1507</v>
      </c>
      <c r="S502" s="25"/>
      <c r="T502" s="26"/>
      <c r="U502" s="26"/>
      <c r="V502" s="26"/>
      <c r="W502" s="26"/>
      <c r="X502" s="26"/>
      <c r="Y502" s="26">
        <v>2999475</v>
      </c>
      <c r="Z502" s="26">
        <v>131240691</v>
      </c>
      <c r="AA502" s="33"/>
      <c r="AB502" s="36" t="s">
        <v>16</v>
      </c>
      <c r="AC502" s="181"/>
      <c r="AD502" s="181"/>
      <c r="AE502" s="181"/>
      <c r="AF502" s="181"/>
      <c r="AG502" s="101" t="str">
        <f t="shared" si="108"/>
        <v/>
      </c>
      <c r="AH502" s="190"/>
      <c r="AI502" s="69">
        <f t="shared" si="101"/>
        <v>0</v>
      </c>
    </row>
    <row r="503" spans="1:35" s="69" customFormat="1" ht="153" customHeight="1" x14ac:dyDescent="0.3">
      <c r="A503" s="390" t="s">
        <v>1299</v>
      </c>
      <c r="B503" s="391"/>
      <c r="C503" s="391"/>
      <c r="D503" s="391"/>
      <c r="E503" s="391"/>
      <c r="F503" s="391"/>
      <c r="G503" s="391"/>
      <c r="H503" s="391"/>
      <c r="I503" s="391"/>
      <c r="J503" s="391"/>
      <c r="K503" s="392"/>
      <c r="L503" s="90"/>
      <c r="M503" s="39"/>
      <c r="N503" s="39">
        <v>0</v>
      </c>
      <c r="O503" s="39">
        <v>737520</v>
      </c>
      <c r="P503" s="98"/>
      <c r="Q503" s="8" t="s">
        <v>1508</v>
      </c>
      <c r="R503" s="9" t="s">
        <v>1509</v>
      </c>
      <c r="S503" s="10" t="s">
        <v>14</v>
      </c>
      <c r="T503" s="11"/>
      <c r="U503" s="11"/>
      <c r="V503" s="11"/>
      <c r="W503" s="11"/>
      <c r="X503" s="11"/>
      <c r="Y503" s="11">
        <v>0</v>
      </c>
      <c r="Z503" s="11">
        <f>SUM(Z504:Z506)</f>
        <v>737520</v>
      </c>
      <c r="AA503" s="12" t="s">
        <v>15</v>
      </c>
      <c r="AB503" s="37" t="s">
        <v>16</v>
      </c>
      <c r="AC503" s="182"/>
      <c r="AD503" s="182"/>
      <c r="AE503" s="182"/>
      <c r="AF503" s="182"/>
      <c r="AG503" s="101" t="str">
        <f t="shared" si="108"/>
        <v/>
      </c>
      <c r="AH503" s="190"/>
      <c r="AI503" s="69">
        <f t="shared" si="101"/>
        <v>0</v>
      </c>
    </row>
    <row r="504" spans="1:35" ht="33" x14ac:dyDescent="0.3">
      <c r="M504" s="46">
        <v>519.42999999999995</v>
      </c>
      <c r="N504" s="46">
        <v>0</v>
      </c>
      <c r="O504" s="46">
        <v>298672</v>
      </c>
      <c r="P504" s="98"/>
      <c r="Q504" s="23" t="s">
        <v>1421</v>
      </c>
      <c r="R504" s="24" t="s">
        <v>1510</v>
      </c>
      <c r="S504" s="25" t="s">
        <v>23</v>
      </c>
      <c r="T504" s="26"/>
      <c r="U504" s="26"/>
      <c r="V504" s="26">
        <v>575</v>
      </c>
      <c r="W504" s="26">
        <f>X504-M504</f>
        <v>0</v>
      </c>
      <c r="X504" s="26">
        <v>519.42999999999995</v>
      </c>
      <c r="Y504" s="26">
        <f>Z504-O504</f>
        <v>0</v>
      </c>
      <c r="Z504" s="26">
        <f>ROUNDDOWN(V504*X504,0)</f>
        <v>298672</v>
      </c>
      <c r="AA504" s="33" t="s">
        <v>15</v>
      </c>
      <c r="AB504" s="36" t="s">
        <v>16</v>
      </c>
      <c r="AG504" s="101"/>
      <c r="AH504" s="185">
        <v>519.42999999999995</v>
      </c>
      <c r="AI504" s="69"/>
    </row>
    <row r="505" spans="1:35" ht="33" x14ac:dyDescent="0.3">
      <c r="M505" s="46">
        <v>0</v>
      </c>
      <c r="N505" s="46">
        <v>0</v>
      </c>
      <c r="O505" s="46">
        <v>0</v>
      </c>
      <c r="P505" s="98"/>
      <c r="Q505" s="23" t="s">
        <v>1426</v>
      </c>
      <c r="R505" s="24" t="s">
        <v>1511</v>
      </c>
      <c r="S505" s="25" t="s">
        <v>110</v>
      </c>
      <c r="T505" s="26"/>
      <c r="U505" s="26"/>
      <c r="V505" s="26">
        <v>20</v>
      </c>
      <c r="W505" s="26">
        <f>X505-M505</f>
        <v>0</v>
      </c>
      <c r="X505" s="26">
        <v>0</v>
      </c>
      <c r="Y505" s="26">
        <f>Z505-O505</f>
        <v>0</v>
      </c>
      <c r="Z505" s="26">
        <f>ROUNDDOWN(V505*X505,0)</f>
        <v>0</v>
      </c>
      <c r="AA505" s="33" t="s">
        <v>15</v>
      </c>
      <c r="AB505" s="36" t="s">
        <v>16</v>
      </c>
      <c r="AG505" s="101"/>
      <c r="AH505" s="185">
        <v>0</v>
      </c>
      <c r="AI505" s="69"/>
    </row>
    <row r="506" spans="1:35" ht="33" x14ac:dyDescent="0.3">
      <c r="M506" s="46">
        <v>54856</v>
      </c>
      <c r="N506" s="46">
        <v>0</v>
      </c>
      <c r="O506" s="46">
        <v>438848</v>
      </c>
      <c r="P506" s="98"/>
      <c r="Q506" s="23" t="s">
        <v>1402</v>
      </c>
      <c r="R506" s="24" t="s">
        <v>1512</v>
      </c>
      <c r="S506" s="25" t="s">
        <v>110</v>
      </c>
      <c r="T506" s="26"/>
      <c r="U506" s="26"/>
      <c r="V506" s="26">
        <v>8</v>
      </c>
      <c r="W506" s="26">
        <f>X506-M506</f>
        <v>0</v>
      </c>
      <c r="X506" s="26">
        <v>54856</v>
      </c>
      <c r="Y506" s="26">
        <f>Z506-O506</f>
        <v>0</v>
      </c>
      <c r="Z506" s="26">
        <f>ROUNDDOWN(V506*X506,0)</f>
        <v>438848</v>
      </c>
      <c r="AA506" s="33" t="s">
        <v>15</v>
      </c>
      <c r="AB506" s="36" t="s">
        <v>16</v>
      </c>
      <c r="AG506" s="101"/>
      <c r="AH506" s="185">
        <v>54856</v>
      </c>
      <c r="AI506" s="69"/>
    </row>
  </sheetData>
  <autoFilter ref="A6:K503" xr:uid="{745AA45A-1115-4D12-8076-1F56B440D015}"/>
  <mergeCells count="13">
    <mergeCell ref="A503:K503"/>
    <mergeCell ref="A5:I5"/>
    <mergeCell ref="J5:K5"/>
    <mergeCell ref="M5:O5"/>
    <mergeCell ref="Q5:X5"/>
    <mergeCell ref="Z5:AA5"/>
    <mergeCell ref="A502:K502"/>
    <mergeCell ref="A1:K1"/>
    <mergeCell ref="A2:K2"/>
    <mergeCell ref="A3:K3"/>
    <mergeCell ref="Q3:AA3"/>
    <mergeCell ref="A4:K4"/>
    <mergeCell ref="Q4:AA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D6A4-B5C9-4839-B256-839D47DB99CC}">
  <sheetPr>
    <tabColor theme="8" tint="0.39997558519241921"/>
  </sheetPr>
  <dimension ref="A1:AL506"/>
  <sheetViews>
    <sheetView view="pageBreakPreview" topLeftCell="A6" zoomScale="80" zoomScaleNormal="80" zoomScaleSheetLayoutView="80" workbookViewId="0">
      <pane ySplit="1200" topLeftCell="A493" activePane="bottomLeft"/>
      <selection activeCell="J7" sqref="J7"/>
      <selection pane="bottomLeft" activeCell="H490" sqref="H490"/>
    </sheetView>
  </sheetViews>
  <sheetFormatPr defaultColWidth="8.5" defaultRowHeight="19.5" x14ac:dyDescent="0.3"/>
  <cols>
    <col min="1" max="1" width="5.25" style="72" customWidth="1"/>
    <col min="2" max="2" width="26.25" style="73" customWidth="1"/>
    <col min="3" max="3" width="5.5" style="73" customWidth="1"/>
    <col min="4" max="4" width="12.75" style="73" customWidth="1"/>
    <col min="5" max="5" width="14" style="73" customWidth="1"/>
    <col min="6" max="6" width="14.375" style="73" customWidth="1"/>
    <col min="7" max="7" width="10.75" style="73" customWidth="1"/>
    <col min="8" max="8" width="15.375" style="73" customWidth="1"/>
    <col min="9" max="9" width="14.75" style="73" customWidth="1"/>
    <col min="10" max="10" width="23" style="73" customWidth="1"/>
    <col min="11" max="11" width="10.875" style="73" customWidth="1"/>
    <col min="12" max="12" width="1.5" style="73" customWidth="1"/>
    <col min="13" max="15" width="11.5" style="2" customWidth="1"/>
    <col min="16" max="16" width="1.25" style="96" customWidth="1"/>
    <col min="17" max="17" width="4.25" style="3" hidden="1" customWidth="1"/>
    <col min="18" max="18" width="35.25" hidden="1" customWidth="1"/>
    <col min="19" max="19" width="5.75" hidden="1" customWidth="1"/>
    <col min="20" max="20" width="9" hidden="1" customWidth="1"/>
    <col min="21" max="21" width="9.375" hidden="1" customWidth="1"/>
    <col min="22" max="22" width="12" hidden="1" customWidth="1"/>
    <col min="23" max="23" width="11.375" customWidth="1"/>
    <col min="24" max="24" width="11.75" customWidth="1"/>
    <col min="25" max="25" width="12.875" customWidth="1"/>
    <col min="26" max="26" width="12" customWidth="1"/>
    <col min="27" max="27" width="5.25" style="34" customWidth="1"/>
    <col min="28" max="28" width="1.125" customWidth="1"/>
    <col min="29" max="32" width="1.125" style="181" customWidth="1"/>
    <col min="33" max="33" width="1.125" style="71" customWidth="1"/>
    <col min="34" max="34" width="16.5" style="185" customWidth="1"/>
    <col min="35" max="35" width="15.375" style="70" customWidth="1"/>
    <col min="36" max="36" width="8.375" style="70" customWidth="1"/>
    <col min="37" max="37" width="1.625" style="70" customWidth="1"/>
    <col min="38" max="38" width="16.375" style="70" bestFit="1" customWidth="1"/>
    <col min="39" max="224" width="8.5" style="70"/>
    <col min="225" max="225" width="5.25" style="70" customWidth="1"/>
    <col min="226" max="226" width="26.25" style="70" customWidth="1"/>
    <col min="227" max="227" width="5.5" style="70" customWidth="1"/>
    <col min="228" max="228" width="8.5" style="70"/>
    <col min="229" max="230" width="10.875" style="70" customWidth="1"/>
    <col min="231" max="231" width="15.25" style="70" customWidth="1"/>
    <col min="232" max="232" width="0.75" style="70" customWidth="1"/>
    <col min="233" max="235" width="0.625" style="70" customWidth="1"/>
    <col min="236" max="480" width="8.5" style="70"/>
    <col min="481" max="481" width="5.25" style="70" customWidth="1"/>
    <col min="482" max="482" width="26.25" style="70" customWidth="1"/>
    <col min="483" max="483" width="5.5" style="70" customWidth="1"/>
    <col min="484" max="484" width="8.5" style="70"/>
    <col min="485" max="486" width="10.875" style="70" customWidth="1"/>
    <col min="487" max="487" width="15.25" style="70" customWidth="1"/>
    <col min="488" max="488" width="0.75" style="70" customWidth="1"/>
    <col min="489" max="491" width="0.625" style="70" customWidth="1"/>
    <col min="492" max="736" width="8.5" style="70"/>
    <col min="737" max="737" width="5.25" style="70" customWidth="1"/>
    <col min="738" max="738" width="26.25" style="70" customWidth="1"/>
    <col min="739" max="739" width="5.5" style="70" customWidth="1"/>
    <col min="740" max="740" width="8.5" style="70"/>
    <col min="741" max="742" width="10.875" style="70" customWidth="1"/>
    <col min="743" max="743" width="15.25" style="70" customWidth="1"/>
    <col min="744" max="744" width="0.75" style="70" customWidth="1"/>
    <col min="745" max="747" width="0.625" style="70" customWidth="1"/>
    <col min="748" max="992" width="8.5" style="70"/>
    <col min="993" max="993" width="5.25" style="70" customWidth="1"/>
    <col min="994" max="994" width="26.25" style="70" customWidth="1"/>
    <col min="995" max="995" width="5.5" style="70" customWidth="1"/>
    <col min="996" max="996" width="8.5" style="70"/>
    <col min="997" max="998" width="10.875" style="70" customWidth="1"/>
    <col min="999" max="999" width="15.25" style="70" customWidth="1"/>
    <col min="1000" max="1000" width="0.75" style="70" customWidth="1"/>
    <col min="1001" max="1003" width="0.625" style="70" customWidth="1"/>
    <col min="1004" max="1248" width="8.5" style="70"/>
    <col min="1249" max="1249" width="5.25" style="70" customWidth="1"/>
    <col min="1250" max="1250" width="26.25" style="70" customWidth="1"/>
    <col min="1251" max="1251" width="5.5" style="70" customWidth="1"/>
    <col min="1252" max="1252" width="8.5" style="70"/>
    <col min="1253" max="1254" width="10.875" style="70" customWidth="1"/>
    <col min="1255" max="1255" width="15.25" style="70" customWidth="1"/>
    <col min="1256" max="1256" width="0.75" style="70" customWidth="1"/>
    <col min="1257" max="1259" width="0.625" style="70" customWidth="1"/>
    <col min="1260" max="1504" width="8.5" style="70"/>
    <col min="1505" max="1505" width="5.25" style="70" customWidth="1"/>
    <col min="1506" max="1506" width="26.25" style="70" customWidth="1"/>
    <col min="1507" max="1507" width="5.5" style="70" customWidth="1"/>
    <col min="1508" max="1508" width="8.5" style="70"/>
    <col min="1509" max="1510" width="10.875" style="70" customWidth="1"/>
    <col min="1511" max="1511" width="15.25" style="70" customWidth="1"/>
    <col min="1512" max="1512" width="0.75" style="70" customWidth="1"/>
    <col min="1513" max="1515" width="0.625" style="70" customWidth="1"/>
    <col min="1516" max="1760" width="8.5" style="70"/>
    <col min="1761" max="1761" width="5.25" style="70" customWidth="1"/>
    <col min="1762" max="1762" width="26.25" style="70" customWidth="1"/>
    <col min="1763" max="1763" width="5.5" style="70" customWidth="1"/>
    <col min="1764" max="1764" width="8.5" style="70"/>
    <col min="1765" max="1766" width="10.875" style="70" customWidth="1"/>
    <col min="1767" max="1767" width="15.25" style="70" customWidth="1"/>
    <col min="1768" max="1768" width="0.75" style="70" customWidth="1"/>
    <col min="1769" max="1771" width="0.625" style="70" customWidth="1"/>
    <col min="1772" max="2016" width="8.5" style="70"/>
    <col min="2017" max="2017" width="5.25" style="70" customWidth="1"/>
    <col min="2018" max="2018" width="26.25" style="70" customWidth="1"/>
    <col min="2019" max="2019" width="5.5" style="70" customWidth="1"/>
    <col min="2020" max="2020" width="8.5" style="70"/>
    <col min="2021" max="2022" width="10.875" style="70" customWidth="1"/>
    <col min="2023" max="2023" width="15.25" style="70" customWidth="1"/>
    <col min="2024" max="2024" width="0.75" style="70" customWidth="1"/>
    <col min="2025" max="2027" width="0.625" style="70" customWidth="1"/>
    <col min="2028" max="2272" width="8.5" style="70"/>
    <col min="2273" max="2273" width="5.25" style="70" customWidth="1"/>
    <col min="2274" max="2274" width="26.25" style="70" customWidth="1"/>
    <col min="2275" max="2275" width="5.5" style="70" customWidth="1"/>
    <col min="2276" max="2276" width="8.5" style="70"/>
    <col min="2277" max="2278" width="10.875" style="70" customWidth="1"/>
    <col min="2279" max="2279" width="15.25" style="70" customWidth="1"/>
    <col min="2280" max="2280" width="0.75" style="70" customWidth="1"/>
    <col min="2281" max="2283" width="0.625" style="70" customWidth="1"/>
    <col min="2284" max="2528" width="8.5" style="70"/>
    <col min="2529" max="2529" width="5.25" style="70" customWidth="1"/>
    <col min="2530" max="2530" width="26.25" style="70" customWidth="1"/>
    <col min="2531" max="2531" width="5.5" style="70" customWidth="1"/>
    <col min="2532" max="2532" width="8.5" style="70"/>
    <col min="2533" max="2534" width="10.875" style="70" customWidth="1"/>
    <col min="2535" max="2535" width="15.25" style="70" customWidth="1"/>
    <col min="2536" max="2536" width="0.75" style="70" customWidth="1"/>
    <col min="2537" max="2539" width="0.625" style="70" customWidth="1"/>
    <col min="2540" max="2784" width="8.5" style="70"/>
    <col min="2785" max="2785" width="5.25" style="70" customWidth="1"/>
    <col min="2786" max="2786" width="26.25" style="70" customWidth="1"/>
    <col min="2787" max="2787" width="5.5" style="70" customWidth="1"/>
    <col min="2788" max="2788" width="8.5" style="70"/>
    <col min="2789" max="2790" width="10.875" style="70" customWidth="1"/>
    <col min="2791" max="2791" width="15.25" style="70" customWidth="1"/>
    <col min="2792" max="2792" width="0.75" style="70" customWidth="1"/>
    <col min="2793" max="2795" width="0.625" style="70" customWidth="1"/>
    <col min="2796" max="3040" width="8.5" style="70"/>
    <col min="3041" max="3041" width="5.25" style="70" customWidth="1"/>
    <col min="3042" max="3042" width="26.25" style="70" customWidth="1"/>
    <col min="3043" max="3043" width="5.5" style="70" customWidth="1"/>
    <col min="3044" max="3044" width="8.5" style="70"/>
    <col min="3045" max="3046" width="10.875" style="70" customWidth="1"/>
    <col min="3047" max="3047" width="15.25" style="70" customWidth="1"/>
    <col min="3048" max="3048" width="0.75" style="70" customWidth="1"/>
    <col min="3049" max="3051" width="0.625" style="70" customWidth="1"/>
    <col min="3052" max="3296" width="8.5" style="70"/>
    <col min="3297" max="3297" width="5.25" style="70" customWidth="1"/>
    <col min="3298" max="3298" width="26.25" style="70" customWidth="1"/>
    <col min="3299" max="3299" width="5.5" style="70" customWidth="1"/>
    <col min="3300" max="3300" width="8.5" style="70"/>
    <col min="3301" max="3302" width="10.875" style="70" customWidth="1"/>
    <col min="3303" max="3303" width="15.25" style="70" customWidth="1"/>
    <col min="3304" max="3304" width="0.75" style="70" customWidth="1"/>
    <col min="3305" max="3307" width="0.625" style="70" customWidth="1"/>
    <col min="3308" max="3552" width="8.5" style="70"/>
    <col min="3553" max="3553" width="5.25" style="70" customWidth="1"/>
    <col min="3554" max="3554" width="26.25" style="70" customWidth="1"/>
    <col min="3555" max="3555" width="5.5" style="70" customWidth="1"/>
    <col min="3556" max="3556" width="8.5" style="70"/>
    <col min="3557" max="3558" width="10.875" style="70" customWidth="1"/>
    <col min="3559" max="3559" width="15.25" style="70" customWidth="1"/>
    <col min="3560" max="3560" width="0.75" style="70" customWidth="1"/>
    <col min="3561" max="3563" width="0.625" style="70" customWidth="1"/>
    <col min="3564" max="3808" width="8.5" style="70"/>
    <col min="3809" max="3809" width="5.25" style="70" customWidth="1"/>
    <col min="3810" max="3810" width="26.25" style="70" customWidth="1"/>
    <col min="3811" max="3811" width="5.5" style="70" customWidth="1"/>
    <col min="3812" max="3812" width="8.5" style="70"/>
    <col min="3813" max="3814" width="10.875" style="70" customWidth="1"/>
    <col min="3815" max="3815" width="15.25" style="70" customWidth="1"/>
    <col min="3816" max="3816" width="0.75" style="70" customWidth="1"/>
    <col min="3817" max="3819" width="0.625" style="70" customWidth="1"/>
    <col min="3820" max="4064" width="8.5" style="70"/>
    <col min="4065" max="4065" width="5.25" style="70" customWidth="1"/>
    <col min="4066" max="4066" width="26.25" style="70" customWidth="1"/>
    <col min="4067" max="4067" width="5.5" style="70" customWidth="1"/>
    <col min="4068" max="4068" width="8.5" style="70"/>
    <col min="4069" max="4070" width="10.875" style="70" customWidth="1"/>
    <col min="4071" max="4071" width="15.25" style="70" customWidth="1"/>
    <col min="4072" max="4072" width="0.75" style="70" customWidth="1"/>
    <col min="4073" max="4075" width="0.625" style="70" customWidth="1"/>
    <col min="4076" max="4320" width="8.5" style="70"/>
    <col min="4321" max="4321" width="5.25" style="70" customWidth="1"/>
    <col min="4322" max="4322" width="26.25" style="70" customWidth="1"/>
    <col min="4323" max="4323" width="5.5" style="70" customWidth="1"/>
    <col min="4324" max="4324" width="8.5" style="70"/>
    <col min="4325" max="4326" width="10.875" style="70" customWidth="1"/>
    <col min="4327" max="4327" width="15.25" style="70" customWidth="1"/>
    <col min="4328" max="4328" width="0.75" style="70" customWidth="1"/>
    <col min="4329" max="4331" width="0.625" style="70" customWidth="1"/>
    <col min="4332" max="4576" width="8.5" style="70"/>
    <col min="4577" max="4577" width="5.25" style="70" customWidth="1"/>
    <col min="4578" max="4578" width="26.25" style="70" customWidth="1"/>
    <col min="4579" max="4579" width="5.5" style="70" customWidth="1"/>
    <col min="4580" max="4580" width="8.5" style="70"/>
    <col min="4581" max="4582" width="10.875" style="70" customWidth="1"/>
    <col min="4583" max="4583" width="15.25" style="70" customWidth="1"/>
    <col min="4584" max="4584" width="0.75" style="70" customWidth="1"/>
    <col min="4585" max="4587" width="0.625" style="70" customWidth="1"/>
    <col min="4588" max="4832" width="8.5" style="70"/>
    <col min="4833" max="4833" width="5.25" style="70" customWidth="1"/>
    <col min="4834" max="4834" width="26.25" style="70" customWidth="1"/>
    <col min="4835" max="4835" width="5.5" style="70" customWidth="1"/>
    <col min="4836" max="4836" width="8.5" style="70"/>
    <col min="4837" max="4838" width="10.875" style="70" customWidth="1"/>
    <col min="4839" max="4839" width="15.25" style="70" customWidth="1"/>
    <col min="4840" max="4840" width="0.75" style="70" customWidth="1"/>
    <col min="4841" max="4843" width="0.625" style="70" customWidth="1"/>
    <col min="4844" max="5088" width="8.5" style="70"/>
    <col min="5089" max="5089" width="5.25" style="70" customWidth="1"/>
    <col min="5090" max="5090" width="26.25" style="70" customWidth="1"/>
    <col min="5091" max="5091" width="5.5" style="70" customWidth="1"/>
    <col min="5092" max="5092" width="8.5" style="70"/>
    <col min="5093" max="5094" width="10.875" style="70" customWidth="1"/>
    <col min="5095" max="5095" width="15.25" style="70" customWidth="1"/>
    <col min="5096" max="5096" width="0.75" style="70" customWidth="1"/>
    <col min="5097" max="5099" width="0.625" style="70" customWidth="1"/>
    <col min="5100" max="5344" width="8.5" style="70"/>
    <col min="5345" max="5345" width="5.25" style="70" customWidth="1"/>
    <col min="5346" max="5346" width="26.25" style="70" customWidth="1"/>
    <col min="5347" max="5347" width="5.5" style="70" customWidth="1"/>
    <col min="5348" max="5348" width="8.5" style="70"/>
    <col min="5349" max="5350" width="10.875" style="70" customWidth="1"/>
    <col min="5351" max="5351" width="15.25" style="70" customWidth="1"/>
    <col min="5352" max="5352" width="0.75" style="70" customWidth="1"/>
    <col min="5353" max="5355" width="0.625" style="70" customWidth="1"/>
    <col min="5356" max="5600" width="8.5" style="70"/>
    <col min="5601" max="5601" width="5.25" style="70" customWidth="1"/>
    <col min="5602" max="5602" width="26.25" style="70" customWidth="1"/>
    <col min="5603" max="5603" width="5.5" style="70" customWidth="1"/>
    <col min="5604" max="5604" width="8.5" style="70"/>
    <col min="5605" max="5606" width="10.875" style="70" customWidth="1"/>
    <col min="5607" max="5607" width="15.25" style="70" customWidth="1"/>
    <col min="5608" max="5608" width="0.75" style="70" customWidth="1"/>
    <col min="5609" max="5611" width="0.625" style="70" customWidth="1"/>
    <col min="5612" max="5856" width="8.5" style="70"/>
    <col min="5857" max="5857" width="5.25" style="70" customWidth="1"/>
    <col min="5858" max="5858" width="26.25" style="70" customWidth="1"/>
    <col min="5859" max="5859" width="5.5" style="70" customWidth="1"/>
    <col min="5860" max="5860" width="8.5" style="70"/>
    <col min="5861" max="5862" width="10.875" style="70" customWidth="1"/>
    <col min="5863" max="5863" width="15.25" style="70" customWidth="1"/>
    <col min="5864" max="5864" width="0.75" style="70" customWidth="1"/>
    <col min="5865" max="5867" width="0.625" style="70" customWidth="1"/>
    <col min="5868" max="6112" width="8.5" style="70"/>
    <col min="6113" max="6113" width="5.25" style="70" customWidth="1"/>
    <col min="6114" max="6114" width="26.25" style="70" customWidth="1"/>
    <col min="6115" max="6115" width="5.5" style="70" customWidth="1"/>
    <col min="6116" max="6116" width="8.5" style="70"/>
    <col min="6117" max="6118" width="10.875" style="70" customWidth="1"/>
    <col min="6119" max="6119" width="15.25" style="70" customWidth="1"/>
    <col min="6120" max="6120" width="0.75" style="70" customWidth="1"/>
    <col min="6121" max="6123" width="0.625" style="70" customWidth="1"/>
    <col min="6124" max="6368" width="8.5" style="70"/>
    <col min="6369" max="6369" width="5.25" style="70" customWidth="1"/>
    <col min="6370" max="6370" width="26.25" style="70" customWidth="1"/>
    <col min="6371" max="6371" width="5.5" style="70" customWidth="1"/>
    <col min="6372" max="6372" width="8.5" style="70"/>
    <col min="6373" max="6374" width="10.875" style="70" customWidth="1"/>
    <col min="6375" max="6375" width="15.25" style="70" customWidth="1"/>
    <col min="6376" max="6376" width="0.75" style="70" customWidth="1"/>
    <col min="6377" max="6379" width="0.625" style="70" customWidth="1"/>
    <col min="6380" max="6624" width="8.5" style="70"/>
    <col min="6625" max="6625" width="5.25" style="70" customWidth="1"/>
    <col min="6626" max="6626" width="26.25" style="70" customWidth="1"/>
    <col min="6627" max="6627" width="5.5" style="70" customWidth="1"/>
    <col min="6628" max="6628" width="8.5" style="70"/>
    <col min="6629" max="6630" width="10.875" style="70" customWidth="1"/>
    <col min="6631" max="6631" width="15.25" style="70" customWidth="1"/>
    <col min="6632" max="6632" width="0.75" style="70" customWidth="1"/>
    <col min="6633" max="6635" width="0.625" style="70" customWidth="1"/>
    <col min="6636" max="6880" width="8.5" style="70"/>
    <col min="6881" max="6881" width="5.25" style="70" customWidth="1"/>
    <col min="6882" max="6882" width="26.25" style="70" customWidth="1"/>
    <col min="6883" max="6883" width="5.5" style="70" customWidth="1"/>
    <col min="6884" max="6884" width="8.5" style="70"/>
    <col min="6885" max="6886" width="10.875" style="70" customWidth="1"/>
    <col min="6887" max="6887" width="15.25" style="70" customWidth="1"/>
    <col min="6888" max="6888" width="0.75" style="70" customWidth="1"/>
    <col min="6889" max="6891" width="0.625" style="70" customWidth="1"/>
    <col min="6892" max="7136" width="8.5" style="70"/>
    <col min="7137" max="7137" width="5.25" style="70" customWidth="1"/>
    <col min="7138" max="7138" width="26.25" style="70" customWidth="1"/>
    <col min="7139" max="7139" width="5.5" style="70" customWidth="1"/>
    <col min="7140" max="7140" width="8.5" style="70"/>
    <col min="7141" max="7142" width="10.875" style="70" customWidth="1"/>
    <col min="7143" max="7143" width="15.25" style="70" customWidth="1"/>
    <col min="7144" max="7144" width="0.75" style="70" customWidth="1"/>
    <col min="7145" max="7147" width="0.625" style="70" customWidth="1"/>
    <col min="7148" max="7392" width="8.5" style="70"/>
    <col min="7393" max="7393" width="5.25" style="70" customWidth="1"/>
    <col min="7394" max="7394" width="26.25" style="70" customWidth="1"/>
    <col min="7395" max="7395" width="5.5" style="70" customWidth="1"/>
    <col min="7396" max="7396" width="8.5" style="70"/>
    <col min="7397" max="7398" width="10.875" style="70" customWidth="1"/>
    <col min="7399" max="7399" width="15.25" style="70" customWidth="1"/>
    <col min="7400" max="7400" width="0.75" style="70" customWidth="1"/>
    <col min="7401" max="7403" width="0.625" style="70" customWidth="1"/>
    <col min="7404" max="7648" width="8.5" style="70"/>
    <col min="7649" max="7649" width="5.25" style="70" customWidth="1"/>
    <col min="7650" max="7650" width="26.25" style="70" customWidth="1"/>
    <col min="7651" max="7651" width="5.5" style="70" customWidth="1"/>
    <col min="7652" max="7652" width="8.5" style="70"/>
    <col min="7653" max="7654" width="10.875" style="70" customWidth="1"/>
    <col min="7655" max="7655" width="15.25" style="70" customWidth="1"/>
    <col min="7656" max="7656" width="0.75" style="70" customWidth="1"/>
    <col min="7657" max="7659" width="0.625" style="70" customWidth="1"/>
    <col min="7660" max="7904" width="8.5" style="70"/>
    <col min="7905" max="7905" width="5.25" style="70" customWidth="1"/>
    <col min="7906" max="7906" width="26.25" style="70" customWidth="1"/>
    <col min="7907" max="7907" width="5.5" style="70" customWidth="1"/>
    <col min="7908" max="7908" width="8.5" style="70"/>
    <col min="7909" max="7910" width="10.875" style="70" customWidth="1"/>
    <col min="7911" max="7911" width="15.25" style="70" customWidth="1"/>
    <col min="7912" max="7912" width="0.75" style="70" customWidth="1"/>
    <col min="7913" max="7915" width="0.625" style="70" customWidth="1"/>
    <col min="7916" max="8160" width="8.5" style="70"/>
    <col min="8161" max="8161" width="5.25" style="70" customWidth="1"/>
    <col min="8162" max="8162" width="26.25" style="70" customWidth="1"/>
    <col min="8163" max="8163" width="5.5" style="70" customWidth="1"/>
    <col min="8164" max="8164" width="8.5" style="70"/>
    <col min="8165" max="8166" width="10.875" style="70" customWidth="1"/>
    <col min="8167" max="8167" width="15.25" style="70" customWidth="1"/>
    <col min="8168" max="8168" width="0.75" style="70" customWidth="1"/>
    <col min="8169" max="8171" width="0.625" style="70" customWidth="1"/>
    <col min="8172" max="8416" width="8.5" style="70"/>
    <col min="8417" max="8417" width="5.25" style="70" customWidth="1"/>
    <col min="8418" max="8418" width="26.25" style="70" customWidth="1"/>
    <col min="8419" max="8419" width="5.5" style="70" customWidth="1"/>
    <col min="8420" max="8420" width="8.5" style="70"/>
    <col min="8421" max="8422" width="10.875" style="70" customWidth="1"/>
    <col min="8423" max="8423" width="15.25" style="70" customWidth="1"/>
    <col min="8424" max="8424" width="0.75" style="70" customWidth="1"/>
    <col min="8425" max="8427" width="0.625" style="70" customWidth="1"/>
    <col min="8428" max="8672" width="8.5" style="70"/>
    <col min="8673" max="8673" width="5.25" style="70" customWidth="1"/>
    <col min="8674" max="8674" width="26.25" style="70" customWidth="1"/>
    <col min="8675" max="8675" width="5.5" style="70" customWidth="1"/>
    <col min="8676" max="8676" width="8.5" style="70"/>
    <col min="8677" max="8678" width="10.875" style="70" customWidth="1"/>
    <col min="8679" max="8679" width="15.25" style="70" customWidth="1"/>
    <col min="8680" max="8680" width="0.75" style="70" customWidth="1"/>
    <col min="8681" max="8683" width="0.625" style="70" customWidth="1"/>
    <col min="8684" max="8928" width="8.5" style="70"/>
    <col min="8929" max="8929" width="5.25" style="70" customWidth="1"/>
    <col min="8930" max="8930" width="26.25" style="70" customWidth="1"/>
    <col min="8931" max="8931" width="5.5" style="70" customWidth="1"/>
    <col min="8932" max="8932" width="8.5" style="70"/>
    <col min="8933" max="8934" width="10.875" style="70" customWidth="1"/>
    <col min="8935" max="8935" width="15.25" style="70" customWidth="1"/>
    <col min="8936" max="8936" width="0.75" style="70" customWidth="1"/>
    <col min="8937" max="8939" width="0.625" style="70" customWidth="1"/>
    <col min="8940" max="9184" width="8.5" style="70"/>
    <col min="9185" max="9185" width="5.25" style="70" customWidth="1"/>
    <col min="9186" max="9186" width="26.25" style="70" customWidth="1"/>
    <col min="9187" max="9187" width="5.5" style="70" customWidth="1"/>
    <col min="9188" max="9188" width="8.5" style="70"/>
    <col min="9189" max="9190" width="10.875" style="70" customWidth="1"/>
    <col min="9191" max="9191" width="15.25" style="70" customWidth="1"/>
    <col min="9192" max="9192" width="0.75" style="70" customWidth="1"/>
    <col min="9193" max="9195" width="0.625" style="70" customWidth="1"/>
    <col min="9196" max="9440" width="8.5" style="70"/>
    <col min="9441" max="9441" width="5.25" style="70" customWidth="1"/>
    <col min="9442" max="9442" width="26.25" style="70" customWidth="1"/>
    <col min="9443" max="9443" width="5.5" style="70" customWidth="1"/>
    <col min="9444" max="9444" width="8.5" style="70"/>
    <col min="9445" max="9446" width="10.875" style="70" customWidth="1"/>
    <col min="9447" max="9447" width="15.25" style="70" customWidth="1"/>
    <col min="9448" max="9448" width="0.75" style="70" customWidth="1"/>
    <col min="9449" max="9451" width="0.625" style="70" customWidth="1"/>
    <col min="9452" max="9696" width="8.5" style="70"/>
    <col min="9697" max="9697" width="5.25" style="70" customWidth="1"/>
    <col min="9698" max="9698" width="26.25" style="70" customWidth="1"/>
    <col min="9699" max="9699" width="5.5" style="70" customWidth="1"/>
    <col min="9700" max="9700" width="8.5" style="70"/>
    <col min="9701" max="9702" width="10.875" style="70" customWidth="1"/>
    <col min="9703" max="9703" width="15.25" style="70" customWidth="1"/>
    <col min="9704" max="9704" width="0.75" style="70" customWidth="1"/>
    <col min="9705" max="9707" width="0.625" style="70" customWidth="1"/>
    <col min="9708" max="9952" width="8.5" style="70"/>
    <col min="9953" max="9953" width="5.25" style="70" customWidth="1"/>
    <col min="9954" max="9954" width="26.25" style="70" customWidth="1"/>
    <col min="9955" max="9955" width="5.5" style="70" customWidth="1"/>
    <col min="9956" max="9956" width="8.5" style="70"/>
    <col min="9957" max="9958" width="10.875" style="70" customWidth="1"/>
    <col min="9959" max="9959" width="15.25" style="70" customWidth="1"/>
    <col min="9960" max="9960" width="0.75" style="70" customWidth="1"/>
    <col min="9961" max="9963" width="0.625" style="70" customWidth="1"/>
    <col min="9964" max="10208" width="8.5" style="70"/>
    <col min="10209" max="10209" width="5.25" style="70" customWidth="1"/>
    <col min="10210" max="10210" width="26.25" style="70" customWidth="1"/>
    <col min="10211" max="10211" width="5.5" style="70" customWidth="1"/>
    <col min="10212" max="10212" width="8.5" style="70"/>
    <col min="10213" max="10214" width="10.875" style="70" customWidth="1"/>
    <col min="10215" max="10215" width="15.25" style="70" customWidth="1"/>
    <col min="10216" max="10216" width="0.75" style="70" customWidth="1"/>
    <col min="10217" max="10219" width="0.625" style="70" customWidth="1"/>
    <col min="10220" max="10464" width="8.5" style="70"/>
    <col min="10465" max="10465" width="5.25" style="70" customWidth="1"/>
    <col min="10466" max="10466" width="26.25" style="70" customWidth="1"/>
    <col min="10467" max="10467" width="5.5" style="70" customWidth="1"/>
    <col min="10468" max="10468" width="8.5" style="70"/>
    <col min="10469" max="10470" width="10.875" style="70" customWidth="1"/>
    <col min="10471" max="10471" width="15.25" style="70" customWidth="1"/>
    <col min="10472" max="10472" width="0.75" style="70" customWidth="1"/>
    <col min="10473" max="10475" width="0.625" style="70" customWidth="1"/>
    <col min="10476" max="10720" width="8.5" style="70"/>
    <col min="10721" max="10721" width="5.25" style="70" customWidth="1"/>
    <col min="10722" max="10722" width="26.25" style="70" customWidth="1"/>
    <col min="10723" max="10723" width="5.5" style="70" customWidth="1"/>
    <col min="10724" max="10724" width="8.5" style="70"/>
    <col min="10725" max="10726" width="10.875" style="70" customWidth="1"/>
    <col min="10727" max="10727" width="15.25" style="70" customWidth="1"/>
    <col min="10728" max="10728" width="0.75" style="70" customWidth="1"/>
    <col min="10729" max="10731" width="0.625" style="70" customWidth="1"/>
    <col min="10732" max="10976" width="8.5" style="70"/>
    <col min="10977" max="10977" width="5.25" style="70" customWidth="1"/>
    <col min="10978" max="10978" width="26.25" style="70" customWidth="1"/>
    <col min="10979" max="10979" width="5.5" style="70" customWidth="1"/>
    <col min="10980" max="10980" width="8.5" style="70"/>
    <col min="10981" max="10982" width="10.875" style="70" customWidth="1"/>
    <col min="10983" max="10983" width="15.25" style="70" customWidth="1"/>
    <col min="10984" max="10984" width="0.75" style="70" customWidth="1"/>
    <col min="10985" max="10987" width="0.625" style="70" customWidth="1"/>
    <col min="10988" max="11232" width="8.5" style="70"/>
    <col min="11233" max="11233" width="5.25" style="70" customWidth="1"/>
    <col min="11234" max="11234" width="26.25" style="70" customWidth="1"/>
    <col min="11235" max="11235" width="5.5" style="70" customWidth="1"/>
    <col min="11236" max="11236" width="8.5" style="70"/>
    <col min="11237" max="11238" width="10.875" style="70" customWidth="1"/>
    <col min="11239" max="11239" width="15.25" style="70" customWidth="1"/>
    <col min="11240" max="11240" width="0.75" style="70" customWidth="1"/>
    <col min="11241" max="11243" width="0.625" style="70" customWidth="1"/>
    <col min="11244" max="11488" width="8.5" style="70"/>
    <col min="11489" max="11489" width="5.25" style="70" customWidth="1"/>
    <col min="11490" max="11490" width="26.25" style="70" customWidth="1"/>
    <col min="11491" max="11491" width="5.5" style="70" customWidth="1"/>
    <col min="11492" max="11492" width="8.5" style="70"/>
    <col min="11493" max="11494" width="10.875" style="70" customWidth="1"/>
    <col min="11495" max="11495" width="15.25" style="70" customWidth="1"/>
    <col min="11496" max="11496" width="0.75" style="70" customWidth="1"/>
    <col min="11497" max="11499" width="0.625" style="70" customWidth="1"/>
    <col min="11500" max="11744" width="8.5" style="70"/>
    <col min="11745" max="11745" width="5.25" style="70" customWidth="1"/>
    <col min="11746" max="11746" width="26.25" style="70" customWidth="1"/>
    <col min="11747" max="11747" width="5.5" style="70" customWidth="1"/>
    <col min="11748" max="11748" width="8.5" style="70"/>
    <col min="11749" max="11750" width="10.875" style="70" customWidth="1"/>
    <col min="11751" max="11751" width="15.25" style="70" customWidth="1"/>
    <col min="11752" max="11752" width="0.75" style="70" customWidth="1"/>
    <col min="11753" max="11755" width="0.625" style="70" customWidth="1"/>
    <col min="11756" max="12000" width="8.5" style="70"/>
    <col min="12001" max="12001" width="5.25" style="70" customWidth="1"/>
    <col min="12002" max="12002" width="26.25" style="70" customWidth="1"/>
    <col min="12003" max="12003" width="5.5" style="70" customWidth="1"/>
    <col min="12004" max="12004" width="8.5" style="70"/>
    <col min="12005" max="12006" width="10.875" style="70" customWidth="1"/>
    <col min="12007" max="12007" width="15.25" style="70" customWidth="1"/>
    <col min="12008" max="12008" width="0.75" style="70" customWidth="1"/>
    <col min="12009" max="12011" width="0.625" style="70" customWidth="1"/>
    <col min="12012" max="12256" width="8.5" style="70"/>
    <col min="12257" max="12257" width="5.25" style="70" customWidth="1"/>
    <col min="12258" max="12258" width="26.25" style="70" customWidth="1"/>
    <col min="12259" max="12259" width="5.5" style="70" customWidth="1"/>
    <col min="12260" max="12260" width="8.5" style="70"/>
    <col min="12261" max="12262" width="10.875" style="70" customWidth="1"/>
    <col min="12263" max="12263" width="15.25" style="70" customWidth="1"/>
    <col min="12264" max="12264" width="0.75" style="70" customWidth="1"/>
    <col min="12265" max="12267" width="0.625" style="70" customWidth="1"/>
    <col min="12268" max="12512" width="8.5" style="70"/>
    <col min="12513" max="12513" width="5.25" style="70" customWidth="1"/>
    <col min="12514" max="12514" width="26.25" style="70" customWidth="1"/>
    <col min="12515" max="12515" width="5.5" style="70" customWidth="1"/>
    <col min="12516" max="12516" width="8.5" style="70"/>
    <col min="12517" max="12518" width="10.875" style="70" customWidth="1"/>
    <col min="12519" max="12519" width="15.25" style="70" customWidth="1"/>
    <col min="12520" max="12520" width="0.75" style="70" customWidth="1"/>
    <col min="12521" max="12523" width="0.625" style="70" customWidth="1"/>
    <col min="12524" max="12768" width="8.5" style="70"/>
    <col min="12769" max="12769" width="5.25" style="70" customWidth="1"/>
    <col min="12770" max="12770" width="26.25" style="70" customWidth="1"/>
    <col min="12771" max="12771" width="5.5" style="70" customWidth="1"/>
    <col min="12772" max="12772" width="8.5" style="70"/>
    <col min="12773" max="12774" width="10.875" style="70" customWidth="1"/>
    <col min="12775" max="12775" width="15.25" style="70" customWidth="1"/>
    <col min="12776" max="12776" width="0.75" style="70" customWidth="1"/>
    <col min="12777" max="12779" width="0.625" style="70" customWidth="1"/>
    <col min="12780" max="13024" width="8.5" style="70"/>
    <col min="13025" max="13025" width="5.25" style="70" customWidth="1"/>
    <col min="13026" max="13026" width="26.25" style="70" customWidth="1"/>
    <col min="13027" max="13027" width="5.5" style="70" customWidth="1"/>
    <col min="13028" max="13028" width="8.5" style="70"/>
    <col min="13029" max="13030" width="10.875" style="70" customWidth="1"/>
    <col min="13031" max="13031" width="15.25" style="70" customWidth="1"/>
    <col min="13032" max="13032" width="0.75" style="70" customWidth="1"/>
    <col min="13033" max="13035" width="0.625" style="70" customWidth="1"/>
    <col min="13036" max="13280" width="8.5" style="70"/>
    <col min="13281" max="13281" width="5.25" style="70" customWidth="1"/>
    <col min="13282" max="13282" width="26.25" style="70" customWidth="1"/>
    <col min="13283" max="13283" width="5.5" style="70" customWidth="1"/>
    <col min="13284" max="13284" width="8.5" style="70"/>
    <col min="13285" max="13286" width="10.875" style="70" customWidth="1"/>
    <col min="13287" max="13287" width="15.25" style="70" customWidth="1"/>
    <col min="13288" max="13288" width="0.75" style="70" customWidth="1"/>
    <col min="13289" max="13291" width="0.625" style="70" customWidth="1"/>
    <col min="13292" max="13536" width="8.5" style="70"/>
    <col min="13537" max="13537" width="5.25" style="70" customWidth="1"/>
    <col min="13538" max="13538" width="26.25" style="70" customWidth="1"/>
    <col min="13539" max="13539" width="5.5" style="70" customWidth="1"/>
    <col min="13540" max="13540" width="8.5" style="70"/>
    <col min="13541" max="13542" width="10.875" style="70" customWidth="1"/>
    <col min="13543" max="13543" width="15.25" style="70" customWidth="1"/>
    <col min="13544" max="13544" width="0.75" style="70" customWidth="1"/>
    <col min="13545" max="13547" width="0.625" style="70" customWidth="1"/>
    <col min="13548" max="13792" width="8.5" style="70"/>
    <col min="13793" max="13793" width="5.25" style="70" customWidth="1"/>
    <col min="13794" max="13794" width="26.25" style="70" customWidth="1"/>
    <col min="13795" max="13795" width="5.5" style="70" customWidth="1"/>
    <col min="13796" max="13796" width="8.5" style="70"/>
    <col min="13797" max="13798" width="10.875" style="70" customWidth="1"/>
    <col min="13799" max="13799" width="15.25" style="70" customWidth="1"/>
    <col min="13800" max="13800" width="0.75" style="70" customWidth="1"/>
    <col min="13801" max="13803" width="0.625" style="70" customWidth="1"/>
    <col min="13804" max="14048" width="8.5" style="70"/>
    <col min="14049" max="14049" width="5.25" style="70" customWidth="1"/>
    <col min="14050" max="14050" width="26.25" style="70" customWidth="1"/>
    <col min="14051" max="14051" width="5.5" style="70" customWidth="1"/>
    <col min="14052" max="14052" width="8.5" style="70"/>
    <col min="14053" max="14054" width="10.875" style="70" customWidth="1"/>
    <col min="14055" max="14055" width="15.25" style="70" customWidth="1"/>
    <col min="14056" max="14056" width="0.75" style="70" customWidth="1"/>
    <col min="14057" max="14059" width="0.625" style="70" customWidth="1"/>
    <col min="14060" max="14304" width="8.5" style="70"/>
    <col min="14305" max="14305" width="5.25" style="70" customWidth="1"/>
    <col min="14306" max="14306" width="26.25" style="70" customWidth="1"/>
    <col min="14307" max="14307" width="5.5" style="70" customWidth="1"/>
    <col min="14308" max="14308" width="8.5" style="70"/>
    <col min="14309" max="14310" width="10.875" style="70" customWidth="1"/>
    <col min="14311" max="14311" width="15.25" style="70" customWidth="1"/>
    <col min="14312" max="14312" width="0.75" style="70" customWidth="1"/>
    <col min="14313" max="14315" width="0.625" style="70" customWidth="1"/>
    <col min="14316" max="14560" width="8.5" style="70"/>
    <col min="14561" max="14561" width="5.25" style="70" customWidth="1"/>
    <col min="14562" max="14562" width="26.25" style="70" customWidth="1"/>
    <col min="14563" max="14563" width="5.5" style="70" customWidth="1"/>
    <col min="14564" max="14564" width="8.5" style="70"/>
    <col min="14565" max="14566" width="10.875" style="70" customWidth="1"/>
    <col min="14567" max="14567" width="15.25" style="70" customWidth="1"/>
    <col min="14568" max="14568" width="0.75" style="70" customWidth="1"/>
    <col min="14569" max="14571" width="0.625" style="70" customWidth="1"/>
    <col min="14572" max="14816" width="8.5" style="70"/>
    <col min="14817" max="14817" width="5.25" style="70" customWidth="1"/>
    <col min="14818" max="14818" width="26.25" style="70" customWidth="1"/>
    <col min="14819" max="14819" width="5.5" style="70" customWidth="1"/>
    <col min="14820" max="14820" width="8.5" style="70"/>
    <col min="14821" max="14822" width="10.875" style="70" customWidth="1"/>
    <col min="14823" max="14823" width="15.25" style="70" customWidth="1"/>
    <col min="14824" max="14824" width="0.75" style="70" customWidth="1"/>
    <col min="14825" max="14827" width="0.625" style="70" customWidth="1"/>
    <col min="14828" max="15072" width="8.5" style="70"/>
    <col min="15073" max="15073" width="5.25" style="70" customWidth="1"/>
    <col min="15074" max="15074" width="26.25" style="70" customWidth="1"/>
    <col min="15075" max="15075" width="5.5" style="70" customWidth="1"/>
    <col min="15076" max="15076" width="8.5" style="70"/>
    <col min="15077" max="15078" width="10.875" style="70" customWidth="1"/>
    <col min="15079" max="15079" width="15.25" style="70" customWidth="1"/>
    <col min="15080" max="15080" width="0.75" style="70" customWidth="1"/>
    <col min="15081" max="15083" width="0.625" style="70" customWidth="1"/>
    <col min="15084" max="15328" width="8.5" style="70"/>
    <col min="15329" max="15329" width="5.25" style="70" customWidth="1"/>
    <col min="15330" max="15330" width="26.25" style="70" customWidth="1"/>
    <col min="15331" max="15331" width="5.5" style="70" customWidth="1"/>
    <col min="15332" max="15332" width="8.5" style="70"/>
    <col min="15333" max="15334" width="10.875" style="70" customWidth="1"/>
    <col min="15335" max="15335" width="15.25" style="70" customWidth="1"/>
    <col min="15336" max="15336" width="0.75" style="70" customWidth="1"/>
    <col min="15337" max="15339" width="0.625" style="70" customWidth="1"/>
    <col min="15340" max="15584" width="8.5" style="70"/>
    <col min="15585" max="15585" width="5.25" style="70" customWidth="1"/>
    <col min="15586" max="15586" width="26.25" style="70" customWidth="1"/>
    <col min="15587" max="15587" width="5.5" style="70" customWidth="1"/>
    <col min="15588" max="15588" width="8.5" style="70"/>
    <col min="15589" max="15590" width="10.875" style="70" customWidth="1"/>
    <col min="15591" max="15591" width="15.25" style="70" customWidth="1"/>
    <col min="15592" max="15592" width="0.75" style="70" customWidth="1"/>
    <col min="15593" max="15595" width="0.625" style="70" customWidth="1"/>
    <col min="15596" max="15840" width="8.5" style="70"/>
    <col min="15841" max="15841" width="5.25" style="70" customWidth="1"/>
    <col min="15842" max="15842" width="26.25" style="70" customWidth="1"/>
    <col min="15843" max="15843" width="5.5" style="70" customWidth="1"/>
    <col min="15844" max="15844" width="8.5" style="70"/>
    <col min="15845" max="15846" width="10.875" style="70" customWidth="1"/>
    <col min="15847" max="15847" width="15.25" style="70" customWidth="1"/>
    <col min="15848" max="15848" width="0.75" style="70" customWidth="1"/>
    <col min="15849" max="15851" width="0.625" style="70" customWidth="1"/>
    <col min="15852" max="16096" width="8.5" style="70"/>
    <col min="16097" max="16097" width="5.25" style="70" customWidth="1"/>
    <col min="16098" max="16098" width="26.25" style="70" customWidth="1"/>
    <col min="16099" max="16099" width="5.5" style="70" customWidth="1"/>
    <col min="16100" max="16100" width="8.5" style="70"/>
    <col min="16101" max="16102" width="10.875" style="70" customWidth="1"/>
    <col min="16103" max="16103" width="15.25" style="70" customWidth="1"/>
    <col min="16104" max="16104" width="0.75" style="70" customWidth="1"/>
    <col min="16105" max="16107" width="0.625" style="70" customWidth="1"/>
    <col min="16108" max="16384" width="8.5" style="70"/>
  </cols>
  <sheetData>
    <row r="1" spans="1:38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47"/>
      <c r="W1" s="99"/>
      <c r="X1" s="99"/>
      <c r="Y1" s="99"/>
      <c r="Z1" s="99"/>
      <c r="AA1" s="100"/>
    </row>
    <row r="2" spans="1:38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47"/>
    </row>
    <row r="3" spans="1:38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47"/>
      <c r="Q3" s="386" t="s">
        <v>0</v>
      </c>
      <c r="R3" s="387"/>
      <c r="S3" s="387"/>
      <c r="T3" s="387"/>
      <c r="U3" s="387"/>
      <c r="V3" s="387"/>
      <c r="W3" s="387"/>
      <c r="X3" s="387"/>
      <c r="Y3" s="387"/>
      <c r="Z3" s="387"/>
      <c r="AA3" s="387"/>
    </row>
    <row r="4" spans="1:38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48"/>
      <c r="Q4" s="389">
        <v>27</v>
      </c>
      <c r="R4" s="387"/>
      <c r="S4" s="387"/>
      <c r="T4" s="387"/>
      <c r="U4" s="387"/>
      <c r="V4" s="387"/>
      <c r="W4" s="387"/>
      <c r="X4" s="387"/>
      <c r="Y4" s="387"/>
      <c r="Z4" s="387"/>
      <c r="AA4" s="387"/>
    </row>
    <row r="5" spans="1:38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93" t="s">
        <v>4</v>
      </c>
      <c r="K5" s="393"/>
      <c r="L5" s="74"/>
      <c r="M5" s="394" t="s">
        <v>3287</v>
      </c>
      <c r="N5" s="394"/>
      <c r="O5" s="394"/>
      <c r="P5" s="96"/>
      <c r="Q5" s="395" t="s">
        <v>2</v>
      </c>
      <c r="R5" s="396"/>
      <c r="S5" s="396"/>
      <c r="T5" s="396"/>
      <c r="U5" s="396"/>
      <c r="V5" s="396"/>
      <c r="W5" s="396"/>
      <c r="X5" s="396"/>
      <c r="Y5" s="4" t="s">
        <v>1361</v>
      </c>
      <c r="Z5" s="380">
        <v>45991</v>
      </c>
      <c r="AA5" s="381"/>
      <c r="AB5"/>
      <c r="AC5" s="181"/>
      <c r="AD5" s="181"/>
      <c r="AE5" s="181"/>
      <c r="AF5" s="181"/>
    </row>
    <row r="6" spans="1:38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1" t="s">
        <v>9</v>
      </c>
      <c r="J6" s="51" t="s">
        <v>3068</v>
      </c>
      <c r="K6" s="50" t="s">
        <v>11</v>
      </c>
      <c r="L6" s="47"/>
      <c r="M6" s="1" t="s">
        <v>1423</v>
      </c>
      <c r="N6" s="1" t="s">
        <v>1424</v>
      </c>
      <c r="O6" s="1" t="s">
        <v>1425</v>
      </c>
      <c r="P6" s="97"/>
      <c r="Q6" s="5" t="s">
        <v>5</v>
      </c>
      <c r="R6" s="6" t="s">
        <v>1362</v>
      </c>
      <c r="S6" s="6" t="s">
        <v>7</v>
      </c>
      <c r="T6" s="6" t="s">
        <v>1363</v>
      </c>
      <c r="U6" s="6" t="s">
        <v>1364</v>
      </c>
      <c r="V6" s="6" t="s">
        <v>1365</v>
      </c>
      <c r="W6" s="6" t="s">
        <v>1366</v>
      </c>
      <c r="X6" s="214" t="s">
        <v>1367</v>
      </c>
      <c r="Y6" s="214" t="s">
        <v>1368</v>
      </c>
      <c r="Z6" s="214" t="s">
        <v>1369</v>
      </c>
      <c r="AA6" s="7" t="s">
        <v>1370</v>
      </c>
      <c r="AB6" s="36"/>
      <c r="AH6" s="222">
        <f>AJ7</f>
        <v>0.89111200000000002</v>
      </c>
      <c r="AI6" s="104">
        <f>AJ9</f>
        <v>1.854920272106976E-2</v>
      </c>
      <c r="AJ6" s="197" t="s">
        <v>1513</v>
      </c>
      <c r="AL6" s="68" t="s">
        <v>3110</v>
      </c>
    </row>
    <row r="7" spans="1:38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>
        <v>383773907</v>
      </c>
      <c r="K7" s="53" t="s">
        <v>15</v>
      </c>
      <c r="L7" s="73"/>
      <c r="M7" s="39">
        <v>1</v>
      </c>
      <c r="N7" s="39">
        <v>8270299.9999999823</v>
      </c>
      <c r="O7" s="39">
        <v>334866900</v>
      </c>
      <c r="P7" s="98"/>
      <c r="Q7" s="8" t="s">
        <v>12</v>
      </c>
      <c r="R7" s="9" t="s">
        <v>13</v>
      </c>
      <c r="S7" s="10" t="s">
        <v>14</v>
      </c>
      <c r="T7" s="11">
        <v>1</v>
      </c>
      <c r="U7" s="11"/>
      <c r="V7" s="11">
        <f>V8+V377+V407+V447+V451+V472+V492+V495+V496+V498</f>
        <v>383773907</v>
      </c>
      <c r="W7" s="11">
        <f>IF(Y7=0,0,1)</f>
        <v>1</v>
      </c>
      <c r="X7" s="11">
        <f>IF(Z7=0,0,1)</f>
        <v>1</v>
      </c>
      <c r="Y7" s="11">
        <f>Y8+Y377+Y407+Y447+Y451+Y472+Y492+Y495+Y496+Y498</f>
        <v>7118699.999999973</v>
      </c>
      <c r="Z7" s="11">
        <f>ROUNDDOWN((Z8+Z377+Z407+Z447+Z451+Z472+Z492+Z496+Z498+(Z8+Z377+Z407+Z447+Z451+Z472+Z492)*0.1095000004)/1000,1)*1000</f>
        <v>341985600</v>
      </c>
      <c r="AA7" s="12" t="s">
        <v>15</v>
      </c>
      <c r="AB7" s="232"/>
      <c r="AC7" s="182"/>
      <c r="AD7" s="182"/>
      <c r="AE7" s="182"/>
      <c r="AF7" s="182"/>
      <c r="AG7" s="101"/>
      <c r="AH7" s="187"/>
      <c r="AI7" s="126">
        <f>V7</f>
        <v>383773907</v>
      </c>
      <c r="AJ7" s="201">
        <f>ROUND(Z7/AI7,6)</f>
        <v>0.89111200000000002</v>
      </c>
    </row>
    <row r="8" spans="1:38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>
        <v>291889770.98000002</v>
      </c>
      <c r="K8" s="86" t="s">
        <v>15</v>
      </c>
      <c r="L8" s="73"/>
      <c r="M8" s="42">
        <v>1</v>
      </c>
      <c r="N8" s="42">
        <v>6688914.5600000005</v>
      </c>
      <c r="O8" s="42">
        <v>253157361.06</v>
      </c>
      <c r="P8" s="98"/>
      <c r="Q8" s="13" t="s">
        <v>1371</v>
      </c>
      <c r="R8" s="14" t="s">
        <v>18</v>
      </c>
      <c r="S8" s="15" t="s">
        <v>14</v>
      </c>
      <c r="T8" s="16">
        <v>1</v>
      </c>
      <c r="U8" s="16"/>
      <c r="V8" s="16">
        <f>V9+V38+V133+V177+V202+V220+V237+V327+V369</f>
        <v>291889770.98000008</v>
      </c>
      <c r="W8" s="16">
        <f t="shared" ref="W8:X9" si="0">IF(Y8=0,0,1)</f>
        <v>1</v>
      </c>
      <c r="X8" s="16">
        <f t="shared" si="0"/>
        <v>1</v>
      </c>
      <c r="Y8" s="16">
        <f>Y9+Y38+Y133+Y177+Y202+Y220+Y237+Y327+Y369</f>
        <v>5739467.4899999974</v>
      </c>
      <c r="Z8" s="16">
        <f>Z9+Z38+Z133+Z177+Z202+Z220+Z237+Z327+Z369</f>
        <v>258896828.55000001</v>
      </c>
      <c r="AA8" s="17" t="s">
        <v>15</v>
      </c>
      <c r="AB8" s="40" t="s">
        <v>16</v>
      </c>
      <c r="AC8" s="183"/>
      <c r="AD8" s="183"/>
      <c r="AE8" s="183"/>
      <c r="AF8" s="183"/>
      <c r="AG8" s="101"/>
      <c r="AH8" s="188"/>
      <c r="AJ8" s="124" t="s">
        <v>1514</v>
      </c>
    </row>
    <row r="9" spans="1:38" s="69" customFormat="1" ht="33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>
        <v>90137193.75</v>
      </c>
      <c r="K9" s="80" t="s">
        <v>15</v>
      </c>
      <c r="L9" s="73"/>
      <c r="M9" s="45">
        <v>1</v>
      </c>
      <c r="N9" s="45">
        <v>729976.26000000082</v>
      </c>
      <c r="O9" s="45">
        <v>79459390.270000011</v>
      </c>
      <c r="P9" s="98"/>
      <c r="Q9" s="18" t="s">
        <v>1372</v>
      </c>
      <c r="R9" s="19" t="s">
        <v>20</v>
      </c>
      <c r="S9" s="20" t="s">
        <v>14</v>
      </c>
      <c r="T9" s="21">
        <v>1</v>
      </c>
      <c r="U9" s="21"/>
      <c r="V9" s="21">
        <f>SUMIFS(AD:AD,AE:AE,AE9)</f>
        <v>90137193.75000003</v>
      </c>
      <c r="W9" s="21">
        <f t="shared" si="0"/>
        <v>1</v>
      </c>
      <c r="X9" s="21">
        <f t="shared" si="0"/>
        <v>1</v>
      </c>
      <c r="Y9" s="21">
        <f>SUMIFS(Y:Y,AF:AF,AE9)</f>
        <v>1190978.2499999993</v>
      </c>
      <c r="Z9" s="21">
        <f>SUMIFS(Z:Z,AF:AF,AE9)</f>
        <v>80650368.520000011</v>
      </c>
      <c r="AA9" s="22" t="s">
        <v>15</v>
      </c>
      <c r="AB9" s="43" t="s">
        <v>16</v>
      </c>
      <c r="AC9" s="184">
        <f>IF(U9=0,T9,U9)</f>
        <v>1</v>
      </c>
      <c r="AD9" s="184"/>
      <c r="AE9" s="181">
        <v>1.1000000000000001</v>
      </c>
      <c r="AF9" s="181"/>
      <c r="AG9" s="101"/>
      <c r="AH9" s="189" t="s">
        <v>3061</v>
      </c>
      <c r="AJ9" s="125">
        <f>Y7/AI7</f>
        <v>1.854920272106976E-2</v>
      </c>
      <c r="AL9" s="101" t="s">
        <v>3062</v>
      </c>
    </row>
    <row r="10" spans="1:38" s="69" customFormat="1" ht="39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 t="s">
        <v>15</v>
      </c>
      <c r="I10" s="75">
        <v>193.12</v>
      </c>
      <c r="J10" s="75">
        <v>105184.74</v>
      </c>
      <c r="K10" s="91" t="s">
        <v>24</v>
      </c>
      <c r="L10" s="73"/>
      <c r="M10" s="46">
        <v>476.29999999999995</v>
      </c>
      <c r="N10" s="46">
        <v>13054.919999999998</v>
      </c>
      <c r="O10" s="46">
        <v>91983.06</v>
      </c>
      <c r="P10" s="98"/>
      <c r="Q10" s="23" t="s">
        <v>1421</v>
      </c>
      <c r="R10" s="24" t="s">
        <v>22</v>
      </c>
      <c r="S10" s="25" t="s">
        <v>23</v>
      </c>
      <c r="T10" s="26">
        <v>544.66</v>
      </c>
      <c r="U10" s="26">
        <v>544.66</v>
      </c>
      <c r="V10" s="26">
        <v>193.12</v>
      </c>
      <c r="W10" s="209">
        <f>AH10-M10</f>
        <v>0</v>
      </c>
      <c r="X10" s="127">
        <f>W10+M10</f>
        <v>476.29999999999995</v>
      </c>
      <c r="Y10" s="127">
        <f t="shared" ref="Y10:Y37" si="1">Z10-O10</f>
        <v>0</v>
      </c>
      <c r="Z10" s="127">
        <f>ROUND(V10*X10,2)</f>
        <v>91983.06</v>
      </c>
      <c r="AA10" s="33" t="s">
        <v>15</v>
      </c>
      <c r="AB10" s="36" t="s">
        <v>16</v>
      </c>
      <c r="AC10" s="181">
        <f>IF(U10="",T10,U10)</f>
        <v>544.66</v>
      </c>
      <c r="AD10" s="181">
        <f t="shared" ref="AD10:AD37" si="2">ROUND(V10*AC10,2)</f>
        <v>105184.74</v>
      </c>
      <c r="AE10" s="181">
        <v>1.1000000000000001</v>
      </c>
      <c r="AF10" s="181">
        <v>1.1000000000000001</v>
      </c>
      <c r="AG10" s="101" t="str">
        <f>IF(X10&gt;AI10,"超估","")</f>
        <v/>
      </c>
      <c r="AH10" s="191">
        <f>408.7+67.6</f>
        <v>476.29999999999995</v>
      </c>
      <c r="AI10" s="69">
        <f>IF(G10=0,IF(F10=0,IF(E10=0,D10,E10),F10),G10)</f>
        <v>544.66</v>
      </c>
    </row>
    <row r="11" spans="1:38" s="69" customFormat="1" ht="39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 t="s">
        <v>15</v>
      </c>
      <c r="I11" s="75">
        <v>1046.22</v>
      </c>
      <c r="J11" s="75">
        <v>7417092.9900000002</v>
      </c>
      <c r="K11" s="91" t="s">
        <v>27</v>
      </c>
      <c r="L11" s="73"/>
      <c r="M11" s="46">
        <v>6900.8099999999995</v>
      </c>
      <c r="N11" s="46">
        <v>107237.55000000075</v>
      </c>
      <c r="O11" s="46">
        <v>7219765.4400000004</v>
      </c>
      <c r="P11" s="98"/>
      <c r="Q11" s="23" t="s">
        <v>1426</v>
      </c>
      <c r="R11" s="24" t="s">
        <v>26</v>
      </c>
      <c r="S11" s="25" t="s">
        <v>23</v>
      </c>
      <c r="T11" s="26">
        <v>7089.42</v>
      </c>
      <c r="U11" s="26">
        <v>7089.42</v>
      </c>
      <c r="V11" s="26">
        <v>1046.22</v>
      </c>
      <c r="W11" s="243">
        <f>AH11-M11</f>
        <v>36.199999999999818</v>
      </c>
      <c r="X11" s="26">
        <f t="shared" ref="X11:X74" si="3">W11+M11</f>
        <v>6937.0099999999993</v>
      </c>
      <c r="Y11" s="26">
        <f t="shared" si="1"/>
        <v>37873.159999999218</v>
      </c>
      <c r="Z11" s="26">
        <f t="shared" ref="Z11:Z74" si="4">ROUND(V11*X11,2)</f>
        <v>7257638.5999999996</v>
      </c>
      <c r="AA11" s="33" t="s">
        <v>15</v>
      </c>
      <c r="AB11" s="36" t="s">
        <v>16</v>
      </c>
      <c r="AC11" s="181">
        <f t="shared" ref="AC11:AC74" si="5">IF(U11="",T11,U11)</f>
        <v>7089.42</v>
      </c>
      <c r="AD11" s="181">
        <f t="shared" si="2"/>
        <v>7417092.9900000002</v>
      </c>
      <c r="AE11" s="181">
        <v>1.1000000000000001</v>
      </c>
      <c r="AF11" s="181">
        <v>1.1000000000000001</v>
      </c>
      <c r="AG11" s="101" t="str">
        <f t="shared" ref="AG11:AG74" si="6">IF(X11&gt;AI11,"超估","")</f>
        <v/>
      </c>
      <c r="AH11" s="191">
        <f>6531.11+35.5+231.7+102.5+36.2</f>
        <v>6937.0099999999993</v>
      </c>
      <c r="AI11" s="69">
        <f t="shared" ref="AI11:AI74" si="7">IF(G11=0,IF(F11=0,IF(E11=0,D11,E11),F11),G11)</f>
        <v>7089.42</v>
      </c>
    </row>
    <row r="12" spans="1:38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 t="s">
        <v>15</v>
      </c>
      <c r="I12" s="75">
        <v>6200</v>
      </c>
      <c r="J12" s="75">
        <v>28619200</v>
      </c>
      <c r="K12" s="91" t="s">
        <v>31</v>
      </c>
      <c r="L12" s="73"/>
      <c r="M12" s="46">
        <v>4610.7</v>
      </c>
      <c r="N12" s="46">
        <v>0</v>
      </c>
      <c r="O12" s="46">
        <v>28586340</v>
      </c>
      <c r="P12" s="98"/>
      <c r="Q12" s="23" t="s">
        <v>1402</v>
      </c>
      <c r="R12" s="24" t="s">
        <v>29</v>
      </c>
      <c r="S12" s="25" t="s">
        <v>30</v>
      </c>
      <c r="T12" s="26">
        <v>4616</v>
      </c>
      <c r="U12" s="26">
        <v>4616</v>
      </c>
      <c r="V12" s="26">
        <v>6200</v>
      </c>
      <c r="W12" s="127">
        <f t="shared" ref="W12:W75" si="8">AH12-M12</f>
        <v>0</v>
      </c>
      <c r="X12" s="127">
        <f t="shared" si="3"/>
        <v>4610.7</v>
      </c>
      <c r="Y12" s="127">
        <f t="shared" si="1"/>
        <v>0</v>
      </c>
      <c r="Z12" s="127">
        <f t="shared" si="4"/>
        <v>28586340</v>
      </c>
      <c r="AA12" s="33" t="s">
        <v>15</v>
      </c>
      <c r="AB12" s="36" t="s">
        <v>16</v>
      </c>
      <c r="AC12" s="181">
        <f t="shared" si="5"/>
        <v>4616</v>
      </c>
      <c r="AD12" s="181">
        <f t="shared" si="2"/>
        <v>28619200</v>
      </c>
      <c r="AE12" s="181">
        <v>1.1000000000000001</v>
      </c>
      <c r="AF12" s="181">
        <v>1.1000000000000001</v>
      </c>
      <c r="AG12" s="101" t="str">
        <f t="shared" si="6"/>
        <v/>
      </c>
      <c r="AH12" s="192">
        <v>4610.7</v>
      </c>
      <c r="AI12" s="69">
        <f t="shared" si="7"/>
        <v>4616</v>
      </c>
    </row>
    <row r="13" spans="1:38" s="69" customFormat="1" ht="58.5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 t="s">
        <v>15</v>
      </c>
      <c r="I13" s="75">
        <v>48.28</v>
      </c>
      <c r="J13" s="75">
        <v>1533324.52</v>
      </c>
      <c r="K13" s="91" t="s">
        <v>35</v>
      </c>
      <c r="L13" s="73"/>
      <c r="M13" s="46">
        <v>29683.999999999996</v>
      </c>
      <c r="N13" s="46">
        <v>0</v>
      </c>
      <c r="O13" s="46">
        <v>1433143.52</v>
      </c>
      <c r="P13" s="98"/>
      <c r="Q13" s="23" t="s">
        <v>1373</v>
      </c>
      <c r="R13" s="24" t="s">
        <v>33</v>
      </c>
      <c r="S13" s="25" t="s">
        <v>34</v>
      </c>
      <c r="T13" s="26">
        <v>29759</v>
      </c>
      <c r="U13" s="26">
        <v>31759</v>
      </c>
      <c r="V13" s="26">
        <v>48.28</v>
      </c>
      <c r="W13" s="128">
        <f>AH13-M13</f>
        <v>0</v>
      </c>
      <c r="X13" s="127">
        <f>W13+M13</f>
        <v>29683.999999999996</v>
      </c>
      <c r="Y13" s="127">
        <f t="shared" si="1"/>
        <v>0</v>
      </c>
      <c r="Z13" s="127">
        <f t="shared" si="4"/>
        <v>1433143.52</v>
      </c>
      <c r="AA13" s="27" t="s">
        <v>15</v>
      </c>
      <c r="AB13" s="262" t="s">
        <v>16</v>
      </c>
      <c r="AC13" s="263">
        <f t="shared" si="5"/>
        <v>31759</v>
      </c>
      <c r="AD13" s="263">
        <f t="shared" si="2"/>
        <v>1533324.52</v>
      </c>
      <c r="AE13" s="263">
        <v>1.1000000000000001</v>
      </c>
      <c r="AF13" s="263">
        <v>1.1000000000000001</v>
      </c>
      <c r="AG13" s="71" t="str">
        <f t="shared" si="6"/>
        <v/>
      </c>
      <c r="AH13" s="194">
        <f>28942.8+415.6+325.6</f>
        <v>29683.999999999996</v>
      </c>
      <c r="AI13" s="69">
        <f t="shared" si="7"/>
        <v>31759</v>
      </c>
    </row>
    <row r="14" spans="1:38" s="69" customFormat="1" ht="39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 t="s">
        <v>15</v>
      </c>
      <c r="I14" s="75">
        <v>599.75</v>
      </c>
      <c r="J14" s="75">
        <v>438681.14</v>
      </c>
      <c r="K14" s="91" t="s">
        <v>38</v>
      </c>
      <c r="L14" s="73"/>
      <c r="M14" s="46">
        <v>731.43999999999994</v>
      </c>
      <c r="N14" s="46">
        <v>0</v>
      </c>
      <c r="O14" s="46">
        <v>438681.14</v>
      </c>
      <c r="P14" s="98"/>
      <c r="Q14" s="23" t="s">
        <v>1393</v>
      </c>
      <c r="R14" s="24" t="s">
        <v>37</v>
      </c>
      <c r="S14" s="25" t="s">
        <v>23</v>
      </c>
      <c r="T14" s="26">
        <v>731.44</v>
      </c>
      <c r="U14" s="26">
        <v>731.44</v>
      </c>
      <c r="V14" s="26">
        <v>599.75</v>
      </c>
      <c r="W14" s="128">
        <f t="shared" si="8"/>
        <v>0</v>
      </c>
      <c r="X14" s="127">
        <f t="shared" si="3"/>
        <v>731.43999999999994</v>
      </c>
      <c r="Y14" s="127">
        <f t="shared" si="1"/>
        <v>0</v>
      </c>
      <c r="Z14" s="127">
        <f t="shared" si="4"/>
        <v>438681.14</v>
      </c>
      <c r="AA14" s="33" t="s">
        <v>15</v>
      </c>
      <c r="AB14" s="262" t="s">
        <v>16</v>
      </c>
      <c r="AC14" s="263">
        <f t="shared" si="5"/>
        <v>731.44</v>
      </c>
      <c r="AD14" s="263">
        <f t="shared" si="2"/>
        <v>438681.14</v>
      </c>
      <c r="AE14" s="263">
        <v>1.1000000000000001</v>
      </c>
      <c r="AF14" s="263">
        <v>1.1000000000000001</v>
      </c>
      <c r="AG14" s="71" t="str">
        <f t="shared" si="6"/>
        <v/>
      </c>
      <c r="AH14" s="194">
        <f>519.43+212.01</f>
        <v>731.43999999999994</v>
      </c>
      <c r="AI14" s="69">
        <f t="shared" si="7"/>
        <v>731.44</v>
      </c>
    </row>
    <row r="15" spans="1:38" s="69" customFormat="1" ht="33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 t="s">
        <v>15</v>
      </c>
      <c r="I15" s="75">
        <v>104.64</v>
      </c>
      <c r="J15" s="75">
        <v>786788.16</v>
      </c>
      <c r="K15" s="91" t="s">
        <v>41</v>
      </c>
      <c r="L15" s="73"/>
      <c r="M15" s="46">
        <v>3438.6</v>
      </c>
      <c r="N15" s="46">
        <v>101186.87999999998</v>
      </c>
      <c r="O15" s="46">
        <v>359815.1</v>
      </c>
      <c r="P15" s="98"/>
      <c r="Q15" s="23" t="s">
        <v>1403</v>
      </c>
      <c r="R15" s="24" t="s">
        <v>40</v>
      </c>
      <c r="S15" s="25" t="s">
        <v>23</v>
      </c>
      <c r="T15" s="26">
        <v>7519</v>
      </c>
      <c r="U15" s="26">
        <v>7519</v>
      </c>
      <c r="V15" s="26">
        <v>104.64</v>
      </c>
      <c r="W15" s="243">
        <f t="shared" si="8"/>
        <v>520.59999999999991</v>
      </c>
      <c r="X15" s="127">
        <f t="shared" si="3"/>
        <v>3959.2</v>
      </c>
      <c r="Y15" s="127">
        <f t="shared" si="1"/>
        <v>54475.590000000026</v>
      </c>
      <c r="Z15" s="127">
        <f t="shared" si="4"/>
        <v>414290.69</v>
      </c>
      <c r="AA15" s="33" t="s">
        <v>15</v>
      </c>
      <c r="AB15" s="36" t="s">
        <v>16</v>
      </c>
      <c r="AC15" s="181">
        <f t="shared" si="5"/>
        <v>7519</v>
      </c>
      <c r="AD15" s="181">
        <f t="shared" si="2"/>
        <v>786788.16</v>
      </c>
      <c r="AE15" s="181">
        <v>1.1000000000000001</v>
      </c>
      <c r="AF15" s="181">
        <v>1.1000000000000001</v>
      </c>
      <c r="AG15" s="101" t="str">
        <f t="shared" si="6"/>
        <v/>
      </c>
      <c r="AH15" s="191">
        <f>2219+252.6+967+520.6</f>
        <v>3959.2</v>
      </c>
      <c r="AI15" s="69">
        <f t="shared" si="7"/>
        <v>7519</v>
      </c>
    </row>
    <row r="16" spans="1:38" s="69" customFormat="1" ht="41.25" x14ac:dyDescent="0.3">
      <c r="A16" s="55" t="s">
        <v>42</v>
      </c>
      <c r="B16" s="118" t="s">
        <v>43</v>
      </c>
      <c r="C16" s="119" t="s">
        <v>34</v>
      </c>
      <c r="D16" s="120">
        <v>22240</v>
      </c>
      <c r="E16" s="75"/>
      <c r="F16" s="75"/>
      <c r="G16" s="75"/>
      <c r="H16" s="75" t="s">
        <v>15</v>
      </c>
      <c r="I16" s="75">
        <v>1027.43</v>
      </c>
      <c r="J16" s="75">
        <v>22850043.199999999</v>
      </c>
      <c r="K16" s="91" t="s">
        <v>44</v>
      </c>
      <c r="L16" s="73"/>
      <c r="M16" s="46">
        <v>20242</v>
      </c>
      <c r="N16" s="46">
        <v>0</v>
      </c>
      <c r="O16" s="46">
        <v>20797238.059999999</v>
      </c>
      <c r="P16" s="98"/>
      <c r="Q16" s="23" t="s">
        <v>1427</v>
      </c>
      <c r="R16" s="24" t="s">
        <v>43</v>
      </c>
      <c r="S16" s="25" t="s">
        <v>34</v>
      </c>
      <c r="T16" s="26">
        <v>22240</v>
      </c>
      <c r="U16" s="26">
        <v>22240</v>
      </c>
      <c r="V16" s="26">
        <v>1027.43</v>
      </c>
      <c r="W16" s="243">
        <f t="shared" si="8"/>
        <v>0</v>
      </c>
      <c r="X16" s="121">
        <f t="shared" si="3"/>
        <v>20242</v>
      </c>
      <c r="Y16" s="127">
        <f t="shared" si="1"/>
        <v>0</v>
      </c>
      <c r="Z16" s="127">
        <f t="shared" si="4"/>
        <v>20797238.059999999</v>
      </c>
      <c r="AA16" s="33" t="s">
        <v>15</v>
      </c>
      <c r="AB16" s="36" t="s">
        <v>16</v>
      </c>
      <c r="AC16" s="181">
        <f t="shared" si="5"/>
        <v>22240</v>
      </c>
      <c r="AD16" s="181">
        <f t="shared" si="2"/>
        <v>22850043.199999999</v>
      </c>
      <c r="AE16" s="181">
        <v>1.1000000000000001</v>
      </c>
      <c r="AF16" s="181">
        <v>1.1000000000000001</v>
      </c>
      <c r="AG16" s="101" t="str">
        <f t="shared" si="6"/>
        <v/>
      </c>
      <c r="AH16" s="191">
        <f>19090+12*96</f>
        <v>20242</v>
      </c>
      <c r="AI16" s="69">
        <f t="shared" si="7"/>
        <v>22240</v>
      </c>
    </row>
    <row r="17" spans="1:35" s="69" customFormat="1" ht="39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 t="s">
        <v>15</v>
      </c>
      <c r="I17" s="75">
        <v>1085.04</v>
      </c>
      <c r="J17" s="75">
        <v>7302774.9199999999</v>
      </c>
      <c r="K17" s="91" t="s">
        <v>47</v>
      </c>
      <c r="L17" s="73"/>
      <c r="M17" s="46">
        <v>4956</v>
      </c>
      <c r="N17" s="46">
        <v>0</v>
      </c>
      <c r="O17" s="46">
        <v>5377458.2400000002</v>
      </c>
      <c r="P17" s="98"/>
      <c r="Q17" s="23" t="s">
        <v>1428</v>
      </c>
      <c r="R17" s="24" t="s">
        <v>46</v>
      </c>
      <c r="S17" s="25" t="s">
        <v>23</v>
      </c>
      <c r="T17" s="26">
        <v>6730.42</v>
      </c>
      <c r="U17" s="26">
        <v>6730.42</v>
      </c>
      <c r="V17" s="26">
        <v>1085.04</v>
      </c>
      <c r="W17" s="127">
        <f t="shared" si="8"/>
        <v>0</v>
      </c>
      <c r="X17" s="121">
        <f t="shared" si="3"/>
        <v>4956</v>
      </c>
      <c r="Y17" s="127">
        <f t="shared" si="1"/>
        <v>0</v>
      </c>
      <c r="Z17" s="127">
        <f t="shared" si="4"/>
        <v>5377458.2400000002</v>
      </c>
      <c r="AA17" s="33" t="s">
        <v>15</v>
      </c>
      <c r="AB17" s="36" t="s">
        <v>16</v>
      </c>
      <c r="AC17" s="181">
        <f t="shared" si="5"/>
        <v>6730.42</v>
      </c>
      <c r="AD17" s="181">
        <f t="shared" si="2"/>
        <v>7302774.9199999999</v>
      </c>
      <c r="AE17" s="181">
        <v>1.1000000000000001</v>
      </c>
      <c r="AF17" s="181">
        <v>1.1000000000000001</v>
      </c>
      <c r="AG17" s="101" t="str">
        <f t="shared" si="6"/>
        <v/>
      </c>
      <c r="AH17" s="190">
        <v>4956</v>
      </c>
      <c r="AI17" s="69">
        <f t="shared" si="7"/>
        <v>6730.42</v>
      </c>
    </row>
    <row r="18" spans="1:35" s="69" customFormat="1" ht="78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 t="s">
        <v>15</v>
      </c>
      <c r="I18" s="75">
        <v>30.45</v>
      </c>
      <c r="J18" s="75">
        <v>113745.98</v>
      </c>
      <c r="K18" s="91" t="s">
        <v>51</v>
      </c>
      <c r="L18" s="73"/>
      <c r="M18" s="46">
        <v>3723.2</v>
      </c>
      <c r="N18" s="46">
        <v>0</v>
      </c>
      <c r="O18" s="46">
        <v>113371.44</v>
      </c>
      <c r="P18" s="98"/>
      <c r="Q18" s="23" t="s">
        <v>1387</v>
      </c>
      <c r="R18" s="24" t="s">
        <v>49</v>
      </c>
      <c r="S18" s="25" t="s">
        <v>50</v>
      </c>
      <c r="T18" s="26">
        <v>3735.5</v>
      </c>
      <c r="U18" s="26">
        <v>3735.5</v>
      </c>
      <c r="V18" s="26">
        <v>30.45</v>
      </c>
      <c r="W18" s="127">
        <f t="shared" si="8"/>
        <v>0</v>
      </c>
      <c r="X18" s="127">
        <f t="shared" si="3"/>
        <v>3723.2</v>
      </c>
      <c r="Y18" s="127">
        <f t="shared" si="1"/>
        <v>0</v>
      </c>
      <c r="Z18" s="127">
        <f t="shared" si="4"/>
        <v>113371.44</v>
      </c>
      <c r="AA18" s="33" t="s">
        <v>15</v>
      </c>
      <c r="AB18" s="36" t="s">
        <v>16</v>
      </c>
      <c r="AC18" s="181">
        <f t="shared" si="5"/>
        <v>3735.5</v>
      </c>
      <c r="AD18" s="181">
        <f t="shared" si="2"/>
        <v>113745.98</v>
      </c>
      <c r="AE18" s="181">
        <v>1.1000000000000001</v>
      </c>
      <c r="AF18" s="181">
        <v>1.1000000000000001</v>
      </c>
      <c r="AG18" s="101" t="str">
        <f t="shared" si="6"/>
        <v/>
      </c>
      <c r="AH18" s="194">
        <f>2100+1623.2</f>
        <v>3723.2</v>
      </c>
      <c r="AI18" s="69">
        <f t="shared" si="7"/>
        <v>3735.5</v>
      </c>
    </row>
    <row r="19" spans="1:35" s="69" customFormat="1" ht="58.5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 t="s">
        <v>15</v>
      </c>
      <c r="I19" s="75">
        <v>28.48</v>
      </c>
      <c r="J19" s="75">
        <v>290638.40000000002</v>
      </c>
      <c r="K19" s="91" t="s">
        <v>54</v>
      </c>
      <c r="L19" s="73"/>
      <c r="M19" s="46">
        <v>7924.7999999999993</v>
      </c>
      <c r="N19" s="46">
        <v>0</v>
      </c>
      <c r="O19" s="46">
        <v>225698.3</v>
      </c>
      <c r="P19" s="255"/>
      <c r="Q19" s="23" t="s">
        <v>1405</v>
      </c>
      <c r="R19" s="24" t="s">
        <v>53</v>
      </c>
      <c r="S19" s="25" t="s">
        <v>50</v>
      </c>
      <c r="T19" s="26">
        <v>10205</v>
      </c>
      <c r="U19" s="26">
        <v>10205</v>
      </c>
      <c r="V19" s="26">
        <v>28.48</v>
      </c>
      <c r="W19" s="127">
        <f t="shared" si="8"/>
        <v>0</v>
      </c>
      <c r="X19" s="127">
        <f t="shared" si="3"/>
        <v>7924.7999999999993</v>
      </c>
      <c r="Y19" s="127">
        <f t="shared" si="1"/>
        <v>0</v>
      </c>
      <c r="Z19" s="127">
        <f t="shared" si="4"/>
        <v>225698.3</v>
      </c>
      <c r="AA19" s="33" t="s">
        <v>15</v>
      </c>
      <c r="AB19" s="36" t="s">
        <v>16</v>
      </c>
      <c r="AC19" s="181">
        <f t="shared" si="5"/>
        <v>10205</v>
      </c>
      <c r="AD19" s="181">
        <f t="shared" si="2"/>
        <v>290638.40000000002</v>
      </c>
      <c r="AE19" s="181">
        <v>1.1000000000000001</v>
      </c>
      <c r="AF19" s="181">
        <v>1.1000000000000001</v>
      </c>
      <c r="AG19" s="101" t="str">
        <f t="shared" si="6"/>
        <v/>
      </c>
      <c r="AH19" s="194">
        <f>300+2363.8+198*2.2*2+128*2.2*2+3826.6</f>
        <v>7924.7999999999993</v>
      </c>
      <c r="AI19" s="69">
        <f t="shared" si="7"/>
        <v>10205</v>
      </c>
    </row>
    <row r="20" spans="1:35" s="69" customFormat="1" ht="58.5" x14ac:dyDescent="0.3">
      <c r="A20" s="130" t="s">
        <v>55</v>
      </c>
      <c r="B20" s="131" t="s">
        <v>56</v>
      </c>
      <c r="C20" s="132" t="s">
        <v>30</v>
      </c>
      <c r="D20" s="133">
        <v>142.6</v>
      </c>
      <c r="E20" s="75"/>
      <c r="F20" s="75"/>
      <c r="G20" s="75"/>
      <c r="H20" s="75" t="s">
        <v>15</v>
      </c>
      <c r="I20" s="75">
        <v>65.400000000000006</v>
      </c>
      <c r="J20" s="75">
        <v>9326.0400000000009</v>
      </c>
      <c r="K20" s="91" t="s">
        <v>57</v>
      </c>
      <c r="L20" s="73"/>
      <c r="M20" s="46">
        <v>142.19999999999999</v>
      </c>
      <c r="N20" s="46">
        <v>0</v>
      </c>
      <c r="O20" s="46">
        <v>9299.8799999999992</v>
      </c>
      <c r="P20" s="98"/>
      <c r="Q20" s="23" t="s">
        <v>1406</v>
      </c>
      <c r="R20" s="24" t="s">
        <v>56</v>
      </c>
      <c r="S20" s="25" t="s">
        <v>30</v>
      </c>
      <c r="T20" s="26">
        <v>142.6</v>
      </c>
      <c r="U20" s="26">
        <v>142.6</v>
      </c>
      <c r="V20" s="26">
        <v>65.400000000000006</v>
      </c>
      <c r="W20" s="127">
        <f t="shared" si="8"/>
        <v>0</v>
      </c>
      <c r="X20" s="127">
        <f t="shared" si="3"/>
        <v>142.19999999999999</v>
      </c>
      <c r="Y20" s="127">
        <f t="shared" si="1"/>
        <v>0</v>
      </c>
      <c r="Z20" s="127">
        <f t="shared" si="4"/>
        <v>9299.8799999999992</v>
      </c>
      <c r="AA20" s="33" t="s">
        <v>15</v>
      </c>
      <c r="AB20" s="36" t="s">
        <v>16</v>
      </c>
      <c r="AC20" s="181">
        <f t="shared" si="5"/>
        <v>142.6</v>
      </c>
      <c r="AD20" s="181">
        <f t="shared" si="2"/>
        <v>9326.0400000000009</v>
      </c>
      <c r="AE20" s="181">
        <v>1.1000000000000001</v>
      </c>
      <c r="AF20" s="181">
        <v>1.1000000000000001</v>
      </c>
      <c r="AG20" s="101" t="str">
        <f t="shared" si="6"/>
        <v/>
      </c>
      <c r="AH20" s="192">
        <f>73+69.2</f>
        <v>142.19999999999999</v>
      </c>
      <c r="AI20" s="69">
        <f t="shared" si="7"/>
        <v>142.6</v>
      </c>
    </row>
    <row r="21" spans="1:35" s="69" customFormat="1" ht="39" x14ac:dyDescent="0.3">
      <c r="A21" s="130" t="s">
        <v>58</v>
      </c>
      <c r="B21" s="131" t="s">
        <v>59</v>
      </c>
      <c r="C21" s="132" t="s">
        <v>50</v>
      </c>
      <c r="D21" s="133">
        <v>8459.2999999999993</v>
      </c>
      <c r="E21" s="75"/>
      <c r="F21" s="75"/>
      <c r="G21" s="75"/>
      <c r="H21" s="75" t="s">
        <v>15</v>
      </c>
      <c r="I21" s="75">
        <v>20.190000000000001</v>
      </c>
      <c r="J21" s="75">
        <v>170793.27</v>
      </c>
      <c r="K21" s="91" t="s">
        <v>60</v>
      </c>
      <c r="L21" s="73"/>
      <c r="M21" s="46">
        <v>8459.2999999999993</v>
      </c>
      <c r="N21" s="46">
        <v>12624.809999999998</v>
      </c>
      <c r="O21" s="46">
        <v>170793.27</v>
      </c>
      <c r="P21" s="98"/>
      <c r="Q21" s="23" t="s">
        <v>1414</v>
      </c>
      <c r="R21" s="24" t="s">
        <v>59</v>
      </c>
      <c r="S21" s="25" t="s">
        <v>50</v>
      </c>
      <c r="T21" s="26">
        <v>8459.2999999999993</v>
      </c>
      <c r="U21" s="26">
        <v>8459.2999999999993</v>
      </c>
      <c r="V21" s="26">
        <v>20.190000000000001</v>
      </c>
      <c r="W21" s="127">
        <f t="shared" si="8"/>
        <v>0</v>
      </c>
      <c r="X21" s="127">
        <f t="shared" si="3"/>
        <v>8459.2999999999993</v>
      </c>
      <c r="Y21" s="127">
        <f t="shared" si="1"/>
        <v>0</v>
      </c>
      <c r="Z21" s="127">
        <f t="shared" si="4"/>
        <v>170793.27</v>
      </c>
      <c r="AA21" s="33" t="s">
        <v>15</v>
      </c>
      <c r="AB21" s="36" t="s">
        <v>16</v>
      </c>
      <c r="AC21" s="181">
        <f t="shared" si="5"/>
        <v>8459.2999999999993</v>
      </c>
      <c r="AD21" s="181">
        <f t="shared" si="2"/>
        <v>170793.27</v>
      </c>
      <c r="AE21" s="181">
        <v>1.1000000000000001</v>
      </c>
      <c r="AF21" s="181">
        <v>1.1000000000000001</v>
      </c>
      <c r="AG21" s="101" t="str">
        <f t="shared" si="6"/>
        <v/>
      </c>
      <c r="AH21" s="191">
        <f>7834+625.3</f>
        <v>8459.2999999999993</v>
      </c>
      <c r="AI21" s="69">
        <f t="shared" si="7"/>
        <v>8459.2999999999993</v>
      </c>
    </row>
    <row r="22" spans="1:35" s="69" customFormat="1" ht="39" x14ac:dyDescent="0.3">
      <c r="A22" s="55" t="s">
        <v>61</v>
      </c>
      <c r="B22" s="118" t="s">
        <v>62</v>
      </c>
      <c r="C22" s="119" t="s">
        <v>23</v>
      </c>
      <c r="D22" s="120">
        <v>1268.9000000000001</v>
      </c>
      <c r="E22" s="75"/>
      <c r="F22" s="75"/>
      <c r="G22" s="75"/>
      <c r="H22" s="75" t="s">
        <v>15</v>
      </c>
      <c r="I22" s="75">
        <v>2492.81</v>
      </c>
      <c r="J22" s="75">
        <v>3163126.61</v>
      </c>
      <c r="K22" s="91" t="s">
        <v>63</v>
      </c>
      <c r="L22" s="73"/>
      <c r="M22" s="46">
        <v>492</v>
      </c>
      <c r="N22" s="46">
        <v>149568.60000000009</v>
      </c>
      <c r="O22" s="46">
        <v>1226462.52</v>
      </c>
      <c r="P22" s="98"/>
      <c r="Q22" s="23" t="s">
        <v>1429</v>
      </c>
      <c r="R22" s="24" t="s">
        <v>62</v>
      </c>
      <c r="S22" s="25" t="s">
        <v>23</v>
      </c>
      <c r="T22" s="26">
        <v>1268.9000000000001</v>
      </c>
      <c r="U22" s="26">
        <v>1268.9000000000001</v>
      </c>
      <c r="V22" s="26">
        <v>2492.81</v>
      </c>
      <c r="W22" s="243">
        <f t="shared" si="8"/>
        <v>389.5</v>
      </c>
      <c r="X22" s="121">
        <f t="shared" si="3"/>
        <v>881.5</v>
      </c>
      <c r="Y22" s="26">
        <f t="shared" si="1"/>
        <v>970949.5</v>
      </c>
      <c r="Z22" s="26">
        <f t="shared" si="4"/>
        <v>2197412.02</v>
      </c>
      <c r="AA22" s="33" t="s">
        <v>15</v>
      </c>
      <c r="AB22" s="36" t="s">
        <v>16</v>
      </c>
      <c r="AC22" s="181">
        <f t="shared" si="5"/>
        <v>1268.9000000000001</v>
      </c>
      <c r="AD22" s="181">
        <f t="shared" si="2"/>
        <v>3163126.61</v>
      </c>
      <c r="AE22" s="181">
        <v>1.1000000000000001</v>
      </c>
      <c r="AF22" s="181">
        <v>1.1000000000000001</v>
      </c>
      <c r="AG22" s="101" t="str">
        <f t="shared" si="6"/>
        <v/>
      </c>
      <c r="AH22" s="191">
        <f>369+63+60+389.5</f>
        <v>881.5</v>
      </c>
      <c r="AI22" s="69">
        <f t="shared" si="7"/>
        <v>1268.9000000000001</v>
      </c>
    </row>
    <row r="23" spans="1:35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 t="s">
        <v>15</v>
      </c>
      <c r="I23" s="75">
        <v>521.17999999999995</v>
      </c>
      <c r="J23" s="75">
        <v>343457.62</v>
      </c>
      <c r="K23" s="91" t="s">
        <v>67</v>
      </c>
      <c r="L23" s="73"/>
      <c r="M23" s="46">
        <v>659</v>
      </c>
      <c r="N23" s="46">
        <v>0</v>
      </c>
      <c r="O23" s="46">
        <v>343457.62</v>
      </c>
      <c r="P23" s="98"/>
      <c r="Q23" s="23" t="s">
        <v>1430</v>
      </c>
      <c r="R23" s="24" t="s">
        <v>65</v>
      </c>
      <c r="S23" s="25" t="s">
        <v>66</v>
      </c>
      <c r="T23" s="26">
        <v>659</v>
      </c>
      <c r="U23" s="26">
        <v>659</v>
      </c>
      <c r="V23" s="26">
        <v>521.17999999999995</v>
      </c>
      <c r="W23" s="127">
        <f t="shared" si="8"/>
        <v>0</v>
      </c>
      <c r="X23" s="127">
        <f t="shared" si="3"/>
        <v>659</v>
      </c>
      <c r="Y23" s="127">
        <f t="shared" si="1"/>
        <v>0</v>
      </c>
      <c r="Z23" s="127">
        <f t="shared" si="4"/>
        <v>343457.62</v>
      </c>
      <c r="AA23" s="33" t="s">
        <v>15</v>
      </c>
      <c r="AB23" s="36" t="s">
        <v>16</v>
      </c>
      <c r="AC23" s="181">
        <f t="shared" si="5"/>
        <v>659</v>
      </c>
      <c r="AD23" s="181">
        <f t="shared" si="2"/>
        <v>343457.62</v>
      </c>
      <c r="AE23" s="181">
        <v>1.1000000000000001</v>
      </c>
      <c r="AF23" s="181">
        <v>1.1000000000000001</v>
      </c>
      <c r="AG23" s="101" t="str">
        <f t="shared" si="6"/>
        <v/>
      </c>
      <c r="AH23" s="192">
        <v>659</v>
      </c>
      <c r="AI23" s="69">
        <f t="shared" si="7"/>
        <v>659</v>
      </c>
    </row>
    <row r="24" spans="1:35" s="69" customFormat="1" ht="39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 t="s">
        <v>15</v>
      </c>
      <c r="I24" s="75">
        <v>289.69</v>
      </c>
      <c r="J24" s="75">
        <v>73378.48</v>
      </c>
      <c r="K24" s="91" t="s">
        <v>70</v>
      </c>
      <c r="L24" s="73"/>
      <c r="M24" s="46">
        <v>250</v>
      </c>
      <c r="N24" s="46">
        <v>0</v>
      </c>
      <c r="O24" s="46">
        <v>72422.5</v>
      </c>
      <c r="P24" s="98"/>
      <c r="Q24" s="23" t="s">
        <v>1431</v>
      </c>
      <c r="R24" s="24" t="s">
        <v>69</v>
      </c>
      <c r="S24" s="25" t="s">
        <v>30</v>
      </c>
      <c r="T24" s="26">
        <v>253.3</v>
      </c>
      <c r="U24" s="26">
        <v>253.3</v>
      </c>
      <c r="V24" s="26">
        <v>289.69</v>
      </c>
      <c r="W24" s="127">
        <f t="shared" si="8"/>
        <v>0</v>
      </c>
      <c r="X24" s="127">
        <f t="shared" si="3"/>
        <v>250</v>
      </c>
      <c r="Y24" s="127">
        <f t="shared" si="1"/>
        <v>0</v>
      </c>
      <c r="Z24" s="127">
        <f t="shared" si="4"/>
        <v>72422.5</v>
      </c>
      <c r="AA24" s="33" t="s">
        <v>15</v>
      </c>
      <c r="AB24" s="36" t="s">
        <v>16</v>
      </c>
      <c r="AC24" s="181">
        <f t="shared" si="5"/>
        <v>253.3</v>
      </c>
      <c r="AD24" s="181">
        <f t="shared" si="2"/>
        <v>73378.48</v>
      </c>
      <c r="AE24" s="181">
        <v>1.1000000000000001</v>
      </c>
      <c r="AF24" s="181">
        <v>1.1000000000000001</v>
      </c>
      <c r="AG24" s="101" t="str">
        <f t="shared" si="6"/>
        <v/>
      </c>
      <c r="AH24" s="190">
        <v>250</v>
      </c>
      <c r="AI24" s="69">
        <f t="shared" si="7"/>
        <v>253.3</v>
      </c>
    </row>
    <row r="25" spans="1:35" s="69" customFormat="1" ht="33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 t="s">
        <v>15</v>
      </c>
      <c r="I25" s="75">
        <v>3311.45</v>
      </c>
      <c r="J25" s="75">
        <v>264916</v>
      </c>
      <c r="K25" s="91" t="s">
        <v>74</v>
      </c>
      <c r="L25" s="73"/>
      <c r="M25" s="46">
        <v>30</v>
      </c>
      <c r="N25" s="46">
        <v>99343.5</v>
      </c>
      <c r="O25" s="46">
        <v>99343.5</v>
      </c>
      <c r="P25" s="98"/>
      <c r="Q25" s="23" t="s">
        <v>1395</v>
      </c>
      <c r="R25" s="24" t="s">
        <v>72</v>
      </c>
      <c r="S25" s="25" t="s">
        <v>73</v>
      </c>
      <c r="T25" s="26">
        <v>80</v>
      </c>
      <c r="U25" s="26">
        <v>80</v>
      </c>
      <c r="V25" s="26">
        <v>3311.45</v>
      </c>
      <c r="W25" s="199">
        <f t="shared" si="8"/>
        <v>0</v>
      </c>
      <c r="X25" s="26">
        <f t="shared" si="3"/>
        <v>30</v>
      </c>
      <c r="Y25" s="26">
        <f t="shared" si="1"/>
        <v>0</v>
      </c>
      <c r="Z25" s="26">
        <f t="shared" si="4"/>
        <v>99343.5</v>
      </c>
      <c r="AA25" s="33" t="s">
        <v>15</v>
      </c>
      <c r="AB25" s="36" t="s">
        <v>16</v>
      </c>
      <c r="AC25" s="181">
        <f t="shared" si="5"/>
        <v>80</v>
      </c>
      <c r="AD25" s="181">
        <f t="shared" si="2"/>
        <v>264916</v>
      </c>
      <c r="AE25" s="181">
        <v>1.1000000000000001</v>
      </c>
      <c r="AF25" s="181">
        <v>1.1000000000000001</v>
      </c>
      <c r="AG25" s="101" t="str">
        <f t="shared" si="6"/>
        <v/>
      </c>
      <c r="AH25" s="193">
        <f>30</f>
        <v>30</v>
      </c>
      <c r="AI25" s="69">
        <f t="shared" si="7"/>
        <v>80</v>
      </c>
    </row>
    <row r="26" spans="1:35" s="69" customFormat="1" ht="33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 t="s">
        <v>15</v>
      </c>
      <c r="I26" s="75">
        <v>3082.28</v>
      </c>
      <c r="J26" s="75">
        <v>3939153.84</v>
      </c>
      <c r="K26" s="91" t="s">
        <v>78</v>
      </c>
      <c r="L26" s="73"/>
      <c r="M26" s="46">
        <v>1153</v>
      </c>
      <c r="N26" s="46">
        <v>0</v>
      </c>
      <c r="O26" s="46">
        <v>3553868.84</v>
      </c>
      <c r="P26" s="98"/>
      <c r="Q26" s="23" t="s">
        <v>1432</v>
      </c>
      <c r="R26" s="24" t="s">
        <v>76</v>
      </c>
      <c r="S26" s="25" t="s">
        <v>77</v>
      </c>
      <c r="T26" s="26">
        <v>1278</v>
      </c>
      <c r="U26" s="26">
        <v>1278</v>
      </c>
      <c r="V26" s="26">
        <v>3082.28</v>
      </c>
      <c r="W26" s="128">
        <f t="shared" si="8"/>
        <v>0</v>
      </c>
      <c r="X26" s="121">
        <f t="shared" si="3"/>
        <v>1153</v>
      </c>
      <c r="Y26" s="26">
        <f t="shared" si="1"/>
        <v>0</v>
      </c>
      <c r="Z26" s="26">
        <f t="shared" si="4"/>
        <v>3553868.84</v>
      </c>
      <c r="AA26" s="33" t="s">
        <v>15</v>
      </c>
      <c r="AB26" s="36" t="s">
        <v>16</v>
      </c>
      <c r="AC26" s="181">
        <f t="shared" si="5"/>
        <v>1278</v>
      </c>
      <c r="AD26" s="181">
        <f t="shared" si="2"/>
        <v>3939153.84</v>
      </c>
      <c r="AE26" s="181">
        <v>1.1000000000000001</v>
      </c>
      <c r="AF26" s="181">
        <v>1.1000000000000001</v>
      </c>
      <c r="AG26" s="101" t="str">
        <f t="shared" si="6"/>
        <v/>
      </c>
      <c r="AH26" s="192">
        <v>1153</v>
      </c>
      <c r="AI26" s="69">
        <f t="shared" si="7"/>
        <v>1278</v>
      </c>
    </row>
    <row r="27" spans="1:35" s="69" customFormat="1" ht="33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 t="s">
        <v>15</v>
      </c>
      <c r="I27" s="75">
        <v>1200</v>
      </c>
      <c r="J27" s="75">
        <v>36000</v>
      </c>
      <c r="K27" s="91" t="s">
        <v>82</v>
      </c>
      <c r="L27" s="73"/>
      <c r="M27" s="46">
        <v>0</v>
      </c>
      <c r="N27" s="46">
        <v>0</v>
      </c>
      <c r="O27" s="46">
        <v>0</v>
      </c>
      <c r="P27" s="98"/>
      <c r="Q27" s="23" t="s">
        <v>1433</v>
      </c>
      <c r="R27" s="24" t="s">
        <v>80</v>
      </c>
      <c r="S27" s="25" t="s">
        <v>81</v>
      </c>
      <c r="T27" s="26">
        <v>30</v>
      </c>
      <c r="U27" s="26">
        <v>30</v>
      </c>
      <c r="V27" s="26">
        <v>1200</v>
      </c>
      <c r="W27" s="26">
        <f t="shared" si="8"/>
        <v>0</v>
      </c>
      <c r="X27" s="26">
        <f t="shared" si="3"/>
        <v>0</v>
      </c>
      <c r="Y27" s="26">
        <f t="shared" si="1"/>
        <v>0</v>
      </c>
      <c r="Z27" s="26">
        <f t="shared" si="4"/>
        <v>0</v>
      </c>
      <c r="AA27" s="33" t="s">
        <v>15</v>
      </c>
      <c r="AB27" s="36" t="s">
        <v>16</v>
      </c>
      <c r="AC27" s="181">
        <f t="shared" si="5"/>
        <v>30</v>
      </c>
      <c r="AD27" s="181">
        <f t="shared" si="2"/>
        <v>36000</v>
      </c>
      <c r="AE27" s="181">
        <v>1.1000000000000001</v>
      </c>
      <c r="AF27" s="181">
        <v>1.1000000000000001</v>
      </c>
      <c r="AG27" s="101" t="str">
        <f t="shared" si="6"/>
        <v/>
      </c>
      <c r="AH27" s="192">
        <v>0</v>
      </c>
      <c r="AI27" s="69">
        <f t="shared" si="7"/>
        <v>30</v>
      </c>
    </row>
    <row r="28" spans="1:35" s="69" customFormat="1" ht="33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 t="s">
        <v>15</v>
      </c>
      <c r="I28" s="75">
        <v>3000</v>
      </c>
      <c r="J28" s="75">
        <v>36000</v>
      </c>
      <c r="K28" s="91" t="s">
        <v>85</v>
      </c>
      <c r="L28" s="73"/>
      <c r="M28" s="46">
        <v>12</v>
      </c>
      <c r="N28" s="46">
        <v>0</v>
      </c>
      <c r="O28" s="46">
        <v>36000</v>
      </c>
      <c r="P28" s="98"/>
      <c r="Q28" s="23" t="s">
        <v>1382</v>
      </c>
      <c r="R28" s="24" t="s">
        <v>84</v>
      </c>
      <c r="S28" s="25" t="s">
        <v>81</v>
      </c>
      <c r="T28" s="26">
        <v>12</v>
      </c>
      <c r="U28" s="26">
        <v>12</v>
      </c>
      <c r="V28" s="26">
        <v>3000</v>
      </c>
      <c r="W28" s="127">
        <f t="shared" si="8"/>
        <v>0</v>
      </c>
      <c r="X28" s="127">
        <f t="shared" si="3"/>
        <v>12</v>
      </c>
      <c r="Y28" s="127">
        <f t="shared" si="1"/>
        <v>0</v>
      </c>
      <c r="Z28" s="127">
        <f t="shared" si="4"/>
        <v>36000</v>
      </c>
      <c r="AA28" s="33" t="s">
        <v>15</v>
      </c>
      <c r="AB28" s="36" t="s">
        <v>16</v>
      </c>
      <c r="AC28" s="181">
        <f t="shared" si="5"/>
        <v>12</v>
      </c>
      <c r="AD28" s="181">
        <f t="shared" si="2"/>
        <v>36000</v>
      </c>
      <c r="AE28" s="181">
        <v>1.1000000000000001</v>
      </c>
      <c r="AF28" s="181">
        <v>1.1000000000000001</v>
      </c>
      <c r="AG28" s="101" t="str">
        <f t="shared" si="6"/>
        <v/>
      </c>
      <c r="AH28" s="192">
        <v>12</v>
      </c>
      <c r="AI28" s="69">
        <f t="shared" si="7"/>
        <v>12</v>
      </c>
    </row>
    <row r="29" spans="1:35" s="69" customFormat="1" ht="33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 t="s">
        <v>15</v>
      </c>
      <c r="I29" s="75">
        <v>3000</v>
      </c>
      <c r="J29" s="75">
        <v>60000</v>
      </c>
      <c r="K29" s="91" t="s">
        <v>88</v>
      </c>
      <c r="L29" s="73"/>
      <c r="M29" s="46">
        <v>20</v>
      </c>
      <c r="N29" s="46">
        <v>0</v>
      </c>
      <c r="O29" s="46">
        <v>60000</v>
      </c>
      <c r="P29" s="98"/>
      <c r="Q29" s="23" t="s">
        <v>1434</v>
      </c>
      <c r="R29" s="24" t="s">
        <v>87</v>
      </c>
      <c r="S29" s="25" t="s">
        <v>81</v>
      </c>
      <c r="T29" s="26">
        <v>20</v>
      </c>
      <c r="U29" s="26">
        <v>20</v>
      </c>
      <c r="V29" s="26">
        <v>3000</v>
      </c>
      <c r="W29" s="127">
        <f t="shared" si="8"/>
        <v>0</v>
      </c>
      <c r="X29" s="127">
        <f t="shared" si="3"/>
        <v>20</v>
      </c>
      <c r="Y29" s="127">
        <f t="shared" si="1"/>
        <v>0</v>
      </c>
      <c r="Z29" s="127">
        <f t="shared" si="4"/>
        <v>60000</v>
      </c>
      <c r="AA29" s="33" t="s">
        <v>15</v>
      </c>
      <c r="AB29" s="36" t="s">
        <v>16</v>
      </c>
      <c r="AC29" s="181">
        <f t="shared" si="5"/>
        <v>20</v>
      </c>
      <c r="AD29" s="181">
        <f t="shared" si="2"/>
        <v>60000</v>
      </c>
      <c r="AE29" s="181">
        <v>1.1000000000000001</v>
      </c>
      <c r="AF29" s="181">
        <v>1.1000000000000001</v>
      </c>
      <c r="AG29" s="101" t="str">
        <f t="shared" si="6"/>
        <v/>
      </c>
      <c r="AH29" s="192">
        <v>20</v>
      </c>
      <c r="AI29" s="69">
        <f t="shared" si="7"/>
        <v>20</v>
      </c>
    </row>
    <row r="30" spans="1:35" s="69" customFormat="1" ht="33" x14ac:dyDescent="0.3">
      <c r="A30" s="130" t="s">
        <v>89</v>
      </c>
      <c r="B30" s="131" t="s">
        <v>90</v>
      </c>
      <c r="C30" s="132" t="s">
        <v>81</v>
      </c>
      <c r="D30" s="133">
        <v>19</v>
      </c>
      <c r="E30" s="75"/>
      <c r="F30" s="75"/>
      <c r="G30" s="75"/>
      <c r="H30" s="75" t="s">
        <v>15</v>
      </c>
      <c r="I30" s="75">
        <v>3000</v>
      </c>
      <c r="J30" s="75">
        <v>57000</v>
      </c>
      <c r="K30" s="91" t="s">
        <v>91</v>
      </c>
      <c r="L30" s="73"/>
      <c r="M30" s="46">
        <v>16</v>
      </c>
      <c r="N30" s="46">
        <v>0</v>
      </c>
      <c r="O30" s="46">
        <v>48000</v>
      </c>
      <c r="P30" s="98"/>
      <c r="Q30" s="23" t="s">
        <v>1388</v>
      </c>
      <c r="R30" s="24" t="s">
        <v>90</v>
      </c>
      <c r="S30" s="25" t="s">
        <v>81</v>
      </c>
      <c r="T30" s="26">
        <v>19</v>
      </c>
      <c r="U30" s="26">
        <v>19</v>
      </c>
      <c r="V30" s="26">
        <v>3000</v>
      </c>
      <c r="W30" s="127">
        <f t="shared" si="8"/>
        <v>0</v>
      </c>
      <c r="X30" s="127">
        <f t="shared" si="3"/>
        <v>16</v>
      </c>
      <c r="Y30" s="127">
        <f t="shared" si="1"/>
        <v>0</v>
      </c>
      <c r="Z30" s="127">
        <f t="shared" si="4"/>
        <v>48000</v>
      </c>
      <c r="AA30" s="33" t="s">
        <v>15</v>
      </c>
      <c r="AB30" s="36" t="s">
        <v>16</v>
      </c>
      <c r="AC30" s="181">
        <f t="shared" si="5"/>
        <v>19</v>
      </c>
      <c r="AD30" s="181">
        <f t="shared" si="2"/>
        <v>57000</v>
      </c>
      <c r="AE30" s="181">
        <v>1.1000000000000001</v>
      </c>
      <c r="AF30" s="181">
        <v>1.1000000000000001</v>
      </c>
      <c r="AG30" s="101" t="str">
        <f t="shared" si="6"/>
        <v/>
      </c>
      <c r="AH30" s="194">
        <v>16</v>
      </c>
      <c r="AI30" s="69">
        <f t="shared" si="7"/>
        <v>19</v>
      </c>
    </row>
    <row r="31" spans="1:35" s="69" customFormat="1" ht="39" x14ac:dyDescent="0.3">
      <c r="A31" s="130" t="s">
        <v>92</v>
      </c>
      <c r="B31" s="131" t="s">
        <v>93</v>
      </c>
      <c r="C31" s="132" t="s">
        <v>14</v>
      </c>
      <c r="D31" s="133">
        <v>1</v>
      </c>
      <c r="E31" s="75"/>
      <c r="F31" s="75"/>
      <c r="G31" s="75"/>
      <c r="H31" s="75" t="s">
        <v>15</v>
      </c>
      <c r="I31" s="75">
        <v>400000</v>
      </c>
      <c r="J31" s="75">
        <v>400000</v>
      </c>
      <c r="K31" s="91" t="s">
        <v>94</v>
      </c>
      <c r="L31" s="73"/>
      <c r="M31" s="46">
        <v>1</v>
      </c>
      <c r="N31" s="46">
        <v>0</v>
      </c>
      <c r="O31" s="46">
        <v>400000</v>
      </c>
      <c r="P31" s="98"/>
      <c r="Q31" s="23" t="s">
        <v>1389</v>
      </c>
      <c r="R31" s="24" t="s">
        <v>93</v>
      </c>
      <c r="S31" s="25" t="s">
        <v>14</v>
      </c>
      <c r="T31" s="26">
        <v>1</v>
      </c>
      <c r="U31" s="26">
        <v>1</v>
      </c>
      <c r="V31" s="26">
        <v>400000</v>
      </c>
      <c r="W31" s="127">
        <f t="shared" si="8"/>
        <v>0</v>
      </c>
      <c r="X31" s="127">
        <f t="shared" si="3"/>
        <v>1</v>
      </c>
      <c r="Y31" s="127">
        <f t="shared" si="1"/>
        <v>0</v>
      </c>
      <c r="Z31" s="127">
        <f t="shared" si="4"/>
        <v>400000</v>
      </c>
      <c r="AA31" s="33" t="s">
        <v>15</v>
      </c>
      <c r="AB31" s="36" t="s">
        <v>16</v>
      </c>
      <c r="AC31" s="181">
        <f t="shared" si="5"/>
        <v>1</v>
      </c>
      <c r="AD31" s="181">
        <f t="shared" si="2"/>
        <v>400000</v>
      </c>
      <c r="AE31" s="181">
        <v>1.1000000000000001</v>
      </c>
      <c r="AF31" s="181">
        <v>1.1000000000000001</v>
      </c>
      <c r="AG31" s="101" t="str">
        <f t="shared" si="6"/>
        <v/>
      </c>
      <c r="AH31" s="192">
        <f>0.5+0.5</f>
        <v>1</v>
      </c>
      <c r="AI31" s="69">
        <f t="shared" si="7"/>
        <v>1</v>
      </c>
    </row>
    <row r="32" spans="1:35" s="69" customFormat="1" ht="58.5" x14ac:dyDescent="0.3">
      <c r="A32" s="55" t="s">
        <v>95</v>
      </c>
      <c r="B32" s="53" t="s">
        <v>96</v>
      </c>
      <c r="C32" s="56" t="s">
        <v>97</v>
      </c>
      <c r="D32" s="76">
        <v>30800</v>
      </c>
      <c r="E32" s="76"/>
      <c r="F32" s="76"/>
      <c r="G32" s="76"/>
      <c r="H32" s="76" t="s">
        <v>15</v>
      </c>
      <c r="I32" s="75">
        <v>280</v>
      </c>
      <c r="J32" s="75">
        <v>8624000</v>
      </c>
      <c r="K32" s="91" t="s">
        <v>3160</v>
      </c>
      <c r="L32" s="73"/>
      <c r="M32" s="46">
        <v>19906</v>
      </c>
      <c r="N32" s="46">
        <v>246960</v>
      </c>
      <c r="O32" s="46">
        <v>5573680</v>
      </c>
      <c r="P32" s="98"/>
      <c r="Q32" s="23" t="s">
        <v>1390</v>
      </c>
      <c r="R32" s="24" t="s">
        <v>96</v>
      </c>
      <c r="S32" s="25" t="s">
        <v>97</v>
      </c>
      <c r="T32" s="26">
        <v>30800</v>
      </c>
      <c r="U32" s="26">
        <v>30800</v>
      </c>
      <c r="V32" s="26">
        <v>280</v>
      </c>
      <c r="W32" s="243">
        <f t="shared" si="8"/>
        <v>456</v>
      </c>
      <c r="X32" s="26">
        <f t="shared" si="3"/>
        <v>20362</v>
      </c>
      <c r="Y32" s="26">
        <f t="shared" si="1"/>
        <v>127680</v>
      </c>
      <c r="Z32" s="26">
        <f t="shared" si="4"/>
        <v>5701360</v>
      </c>
      <c r="AA32" s="33" t="s">
        <v>15</v>
      </c>
      <c r="AB32" s="36" t="s">
        <v>16</v>
      </c>
      <c r="AC32" s="181">
        <f t="shared" si="5"/>
        <v>30800</v>
      </c>
      <c r="AD32" s="181">
        <f t="shared" si="2"/>
        <v>8624000</v>
      </c>
      <c r="AE32" s="181">
        <v>1.1000000000000001</v>
      </c>
      <c r="AF32" s="181">
        <v>1.1000000000000001</v>
      </c>
      <c r="AG32" s="101" t="str">
        <f t="shared" si="6"/>
        <v/>
      </c>
      <c r="AH32" s="191">
        <f>13162+1120+1160+1620+1962+882+456</f>
        <v>20362</v>
      </c>
      <c r="AI32" s="69">
        <f t="shared" si="7"/>
        <v>30800</v>
      </c>
    </row>
    <row r="33" spans="1:35" s="69" customFormat="1" ht="39" x14ac:dyDescent="0.3">
      <c r="A33" s="134" t="s">
        <v>1302</v>
      </c>
      <c r="B33" s="135" t="s">
        <v>1303</v>
      </c>
      <c r="C33" s="204" t="s">
        <v>50</v>
      </c>
      <c r="D33" s="216"/>
      <c r="E33" s="59">
        <v>2405</v>
      </c>
      <c r="F33" s="59"/>
      <c r="G33" s="59"/>
      <c r="H33" s="59" t="s">
        <v>15</v>
      </c>
      <c r="I33" s="58">
        <v>70.23</v>
      </c>
      <c r="J33" s="59">
        <v>168903.15</v>
      </c>
      <c r="K33" s="92"/>
      <c r="L33" s="73"/>
      <c r="M33" s="46">
        <v>2405</v>
      </c>
      <c r="N33" s="46">
        <v>0</v>
      </c>
      <c r="O33" s="46">
        <v>168903.15</v>
      </c>
      <c r="P33" s="98"/>
      <c r="Q33" s="23" t="s">
        <v>1391</v>
      </c>
      <c r="R33" s="24" t="s">
        <v>1435</v>
      </c>
      <c r="S33" s="25" t="s">
        <v>50</v>
      </c>
      <c r="T33" s="26">
        <v>0</v>
      </c>
      <c r="U33" s="26">
        <v>2405</v>
      </c>
      <c r="V33" s="26">
        <v>70.23</v>
      </c>
      <c r="W33" s="127">
        <f t="shared" si="8"/>
        <v>0</v>
      </c>
      <c r="X33" s="127">
        <f t="shared" si="3"/>
        <v>2405</v>
      </c>
      <c r="Y33" s="127">
        <f t="shared" si="1"/>
        <v>0</v>
      </c>
      <c r="Z33" s="127">
        <f t="shared" si="4"/>
        <v>168903.15</v>
      </c>
      <c r="AA33" s="27" t="s">
        <v>15</v>
      </c>
      <c r="AB33" s="36" t="s">
        <v>16</v>
      </c>
      <c r="AC33" s="181">
        <f t="shared" si="5"/>
        <v>2405</v>
      </c>
      <c r="AD33" s="181">
        <f t="shared" si="2"/>
        <v>168903.15</v>
      </c>
      <c r="AE33" s="181">
        <v>1.1000000000000001</v>
      </c>
      <c r="AF33" s="181">
        <v>1.1000000000000001</v>
      </c>
      <c r="AG33" s="101" t="str">
        <f t="shared" si="6"/>
        <v/>
      </c>
      <c r="AH33" s="190">
        <v>2405</v>
      </c>
      <c r="AI33" s="69">
        <f t="shared" si="7"/>
        <v>2405</v>
      </c>
    </row>
    <row r="34" spans="1:35" ht="3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 t="s">
        <v>15</v>
      </c>
      <c r="I34" s="61">
        <v>20000</v>
      </c>
      <c r="J34" s="62">
        <v>3000000</v>
      </c>
      <c r="K34" s="93"/>
      <c r="M34" s="46">
        <v>136</v>
      </c>
      <c r="N34" s="46">
        <v>0</v>
      </c>
      <c r="O34" s="46">
        <v>2720000</v>
      </c>
      <c r="P34" s="98"/>
      <c r="Q34" s="23" t="s">
        <v>1436</v>
      </c>
      <c r="R34" s="24" t="s">
        <v>1437</v>
      </c>
      <c r="S34" s="25" t="s">
        <v>1358</v>
      </c>
      <c r="T34" s="26">
        <v>0</v>
      </c>
      <c r="U34" s="26">
        <v>150</v>
      </c>
      <c r="V34" s="26">
        <v>20000</v>
      </c>
      <c r="W34" s="243">
        <f t="shared" si="8"/>
        <v>0</v>
      </c>
      <c r="X34" s="26">
        <f t="shared" si="3"/>
        <v>136</v>
      </c>
      <c r="Y34" s="26">
        <f t="shared" si="1"/>
        <v>0</v>
      </c>
      <c r="Z34" s="26">
        <f t="shared" si="4"/>
        <v>2720000</v>
      </c>
      <c r="AA34" s="27"/>
      <c r="AB34" s="36" t="s">
        <v>16</v>
      </c>
      <c r="AC34" s="181">
        <f t="shared" si="5"/>
        <v>150</v>
      </c>
      <c r="AD34" s="181">
        <f t="shared" si="2"/>
        <v>3000000</v>
      </c>
      <c r="AE34" s="181">
        <v>1.1000000000000001</v>
      </c>
      <c r="AF34" s="181">
        <v>1.1000000000000001</v>
      </c>
      <c r="AG34" s="101" t="str">
        <f t="shared" si="6"/>
        <v/>
      </c>
      <c r="AH34" s="191">
        <f>127+9</f>
        <v>136</v>
      </c>
      <c r="AI34" s="69">
        <f t="shared" si="7"/>
        <v>150</v>
      </c>
    </row>
    <row r="35" spans="1:35" ht="42" customHeight="1" x14ac:dyDescent="0.3">
      <c r="A35" s="134" t="s">
        <v>1306</v>
      </c>
      <c r="B35" s="217" t="s">
        <v>1307</v>
      </c>
      <c r="C35" s="204" t="s">
        <v>50</v>
      </c>
      <c r="D35" s="216"/>
      <c r="E35" s="63"/>
      <c r="F35" s="62">
        <v>138.05000000000001</v>
      </c>
      <c r="G35" s="62"/>
      <c r="H35" s="62" t="s">
        <v>15</v>
      </c>
      <c r="I35" s="61">
        <v>165.22</v>
      </c>
      <c r="J35" s="62">
        <v>22808.62</v>
      </c>
      <c r="K35" s="93"/>
      <c r="M35" s="46">
        <v>138.05000000000001</v>
      </c>
      <c r="N35" s="46">
        <v>0</v>
      </c>
      <c r="O35" s="46">
        <v>22808.62</v>
      </c>
      <c r="P35" s="98"/>
      <c r="Q35" s="23" t="s">
        <v>1374</v>
      </c>
      <c r="R35" s="24" t="s">
        <v>1375</v>
      </c>
      <c r="S35" s="25" t="s">
        <v>50</v>
      </c>
      <c r="T35" s="26">
        <v>0</v>
      </c>
      <c r="U35" s="26">
        <v>138.05000000000001</v>
      </c>
      <c r="V35" s="26">
        <v>165.22</v>
      </c>
      <c r="W35" s="127">
        <f t="shared" si="8"/>
        <v>0</v>
      </c>
      <c r="X35" s="127">
        <f t="shared" si="3"/>
        <v>138.05000000000001</v>
      </c>
      <c r="Y35" s="127">
        <f t="shared" si="1"/>
        <v>0</v>
      </c>
      <c r="Z35" s="127">
        <f t="shared" si="4"/>
        <v>22808.62</v>
      </c>
      <c r="AA35" s="27"/>
      <c r="AB35" s="36" t="s">
        <v>16</v>
      </c>
      <c r="AC35" s="181">
        <f t="shared" si="5"/>
        <v>138.05000000000001</v>
      </c>
      <c r="AD35" s="181">
        <f t="shared" si="2"/>
        <v>22808.62</v>
      </c>
      <c r="AE35" s="181">
        <v>1.1000000000000001</v>
      </c>
      <c r="AF35" s="181">
        <v>1.1000000000000001</v>
      </c>
      <c r="AG35" s="101" t="str">
        <f t="shared" si="6"/>
        <v/>
      </c>
      <c r="AH35" s="190">
        <v>138.05000000000001</v>
      </c>
      <c r="AI35" s="69">
        <f t="shared" si="7"/>
        <v>138.05000000000001</v>
      </c>
    </row>
    <row r="36" spans="1:35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62">
        <v>2000</v>
      </c>
      <c r="G36" s="62"/>
      <c r="H36" s="62" t="s">
        <v>15</v>
      </c>
      <c r="I36" s="61">
        <v>100</v>
      </c>
      <c r="J36" s="62">
        <v>200000</v>
      </c>
      <c r="K36" s="93"/>
      <c r="M36" s="46">
        <v>2000</v>
      </c>
      <c r="N36" s="46">
        <v>0</v>
      </c>
      <c r="O36" s="46">
        <v>200000</v>
      </c>
      <c r="P36" s="98"/>
      <c r="Q36" s="23" t="s">
        <v>1376</v>
      </c>
      <c r="R36" s="24" t="s">
        <v>1377</v>
      </c>
      <c r="S36" s="25" t="s">
        <v>34</v>
      </c>
      <c r="T36" s="26">
        <v>0</v>
      </c>
      <c r="U36" s="26">
        <v>2000</v>
      </c>
      <c r="V36" s="26">
        <v>100</v>
      </c>
      <c r="W36" s="127">
        <f t="shared" si="8"/>
        <v>0</v>
      </c>
      <c r="X36" s="127">
        <f t="shared" si="3"/>
        <v>2000</v>
      </c>
      <c r="Y36" s="127">
        <f t="shared" si="1"/>
        <v>0</v>
      </c>
      <c r="Z36" s="127">
        <f t="shared" si="4"/>
        <v>200000</v>
      </c>
      <c r="AA36" s="27"/>
      <c r="AB36" s="36" t="s">
        <v>16</v>
      </c>
      <c r="AC36" s="181">
        <f t="shared" si="5"/>
        <v>2000</v>
      </c>
      <c r="AD36" s="181">
        <f t="shared" si="2"/>
        <v>200000</v>
      </c>
      <c r="AE36" s="181">
        <v>1.1000000000000001</v>
      </c>
      <c r="AF36" s="181">
        <v>1.1000000000000001</v>
      </c>
      <c r="AG36" s="101" t="str">
        <f t="shared" si="6"/>
        <v/>
      </c>
      <c r="AH36" s="190">
        <v>2000</v>
      </c>
      <c r="AI36" s="69">
        <f t="shared" si="7"/>
        <v>2000</v>
      </c>
    </row>
    <row r="37" spans="1:35" ht="33" x14ac:dyDescent="0.3">
      <c r="A37" s="134" t="s">
        <v>1310</v>
      </c>
      <c r="B37" s="217" t="s">
        <v>1311</v>
      </c>
      <c r="C37" s="204" t="s">
        <v>50</v>
      </c>
      <c r="D37" s="216"/>
      <c r="E37" s="63"/>
      <c r="F37" s="62">
        <v>3324.02</v>
      </c>
      <c r="G37" s="62"/>
      <c r="H37" s="62" t="s">
        <v>15</v>
      </c>
      <c r="I37" s="61">
        <v>33.35</v>
      </c>
      <c r="J37" s="62">
        <v>110856.07</v>
      </c>
      <c r="K37" s="93"/>
      <c r="M37" s="46">
        <v>3324.02</v>
      </c>
      <c r="N37" s="46">
        <v>0</v>
      </c>
      <c r="O37" s="46">
        <v>110856.07</v>
      </c>
      <c r="P37" s="98"/>
      <c r="Q37" s="23" t="s">
        <v>1378</v>
      </c>
      <c r="R37" s="24" t="s">
        <v>1379</v>
      </c>
      <c r="S37" s="25" t="s">
        <v>50</v>
      </c>
      <c r="T37" s="26">
        <v>0</v>
      </c>
      <c r="U37" s="26">
        <v>3324.02</v>
      </c>
      <c r="V37" s="26">
        <v>33.35</v>
      </c>
      <c r="W37" s="127">
        <f t="shared" si="8"/>
        <v>0</v>
      </c>
      <c r="X37" s="127">
        <f t="shared" si="3"/>
        <v>3324.02</v>
      </c>
      <c r="Y37" s="127">
        <f t="shared" si="1"/>
        <v>0</v>
      </c>
      <c r="Z37" s="127">
        <f t="shared" si="4"/>
        <v>110856.07</v>
      </c>
      <c r="AA37" s="27"/>
      <c r="AB37" s="36" t="s">
        <v>16</v>
      </c>
      <c r="AC37" s="181">
        <f t="shared" si="5"/>
        <v>3324.02</v>
      </c>
      <c r="AD37" s="181">
        <f t="shared" si="2"/>
        <v>110856.07</v>
      </c>
      <c r="AE37" s="181">
        <v>1.1000000000000001</v>
      </c>
      <c r="AF37" s="181">
        <v>1.1000000000000001</v>
      </c>
      <c r="AG37" s="101" t="str">
        <f t="shared" si="6"/>
        <v/>
      </c>
      <c r="AH37" s="190">
        <v>3324.02</v>
      </c>
      <c r="AI37" s="69">
        <f t="shared" si="7"/>
        <v>3324.02</v>
      </c>
    </row>
    <row r="38" spans="1:35" s="69" customFormat="1" ht="33" x14ac:dyDescent="0.3">
      <c r="A38" s="79" t="s">
        <v>99</v>
      </c>
      <c r="B38" s="80" t="s">
        <v>100</v>
      </c>
      <c r="C38" s="83" t="s">
        <v>14</v>
      </c>
      <c r="D38" s="84">
        <v>1</v>
      </c>
      <c r="E38" s="84"/>
      <c r="F38" s="84"/>
      <c r="G38" s="84"/>
      <c r="H38" s="84" t="s">
        <v>15</v>
      </c>
      <c r="I38" s="82"/>
      <c r="J38" s="82">
        <v>42752872.340000004</v>
      </c>
      <c r="K38" s="94" t="s">
        <v>15</v>
      </c>
      <c r="L38" s="73"/>
      <c r="M38" s="45">
        <v>1</v>
      </c>
      <c r="N38" s="45">
        <v>3324358.27</v>
      </c>
      <c r="O38" s="45">
        <v>30570387.990000002</v>
      </c>
      <c r="P38" s="98"/>
      <c r="Q38" s="18" t="s">
        <v>1380</v>
      </c>
      <c r="R38" s="19" t="s">
        <v>100</v>
      </c>
      <c r="S38" s="20" t="s">
        <v>14</v>
      </c>
      <c r="T38" s="21">
        <v>1</v>
      </c>
      <c r="U38" s="21"/>
      <c r="V38" s="21">
        <f>SUMIFS(AD:AD,AE:AE,AE38)</f>
        <v>42752872.340000033</v>
      </c>
      <c r="W38" s="21">
        <f t="shared" ref="W38:X38" si="9">IF(Y38=0,0,1)</f>
        <v>1</v>
      </c>
      <c r="X38" s="21">
        <f t="shared" si="9"/>
        <v>1</v>
      </c>
      <c r="Y38" s="21">
        <f>SUMIFS(Y:Y,AF:AF,AE38)</f>
        <v>2661568.1699999981</v>
      </c>
      <c r="Z38" s="21">
        <f>SUMIFS(Z:Z,AF:AF,AE38)</f>
        <v>33231956.160000008</v>
      </c>
      <c r="AA38" s="22" t="s">
        <v>15</v>
      </c>
      <c r="AB38" s="43" t="s">
        <v>16</v>
      </c>
      <c r="AC38" s="181">
        <f t="shared" si="5"/>
        <v>1</v>
      </c>
      <c r="AD38" s="184"/>
      <c r="AE38" s="181">
        <v>1.2</v>
      </c>
      <c r="AF38" s="181"/>
      <c r="AG38" s="101" t="str">
        <f t="shared" si="6"/>
        <v/>
      </c>
      <c r="AH38" s="190">
        <v>1</v>
      </c>
      <c r="AI38" s="69">
        <f t="shared" si="7"/>
        <v>1</v>
      </c>
    </row>
    <row r="39" spans="1:35" s="69" customFormat="1" ht="39" x14ac:dyDescent="0.3">
      <c r="A39" s="130" t="s">
        <v>101</v>
      </c>
      <c r="B39" s="131" t="s">
        <v>102</v>
      </c>
      <c r="C39" s="132" t="s">
        <v>103</v>
      </c>
      <c r="D39" s="133">
        <v>2347.79</v>
      </c>
      <c r="E39" s="75"/>
      <c r="F39" s="75"/>
      <c r="G39" s="75"/>
      <c r="H39" s="75" t="s">
        <v>15</v>
      </c>
      <c r="I39" s="75">
        <v>320.74</v>
      </c>
      <c r="J39" s="75">
        <v>753030.16</v>
      </c>
      <c r="K39" s="91" t="s">
        <v>104</v>
      </c>
      <c r="L39" s="73"/>
      <c r="M39" s="46">
        <v>1789.3899999999999</v>
      </c>
      <c r="N39" s="46">
        <v>75296.919999999925</v>
      </c>
      <c r="O39" s="46">
        <v>573928.94999999995</v>
      </c>
      <c r="P39" s="98"/>
      <c r="Q39" s="23" t="s">
        <v>1421</v>
      </c>
      <c r="R39" s="24" t="s">
        <v>102</v>
      </c>
      <c r="S39" s="25" t="s">
        <v>103</v>
      </c>
      <c r="T39" s="26">
        <v>2347.79</v>
      </c>
      <c r="U39" s="26">
        <v>2347.79</v>
      </c>
      <c r="V39" s="26">
        <f t="shared" ref="V39:V102" si="10">I39</f>
        <v>320.74</v>
      </c>
      <c r="W39" s="243">
        <f t="shared" si="8"/>
        <v>312.19999999999982</v>
      </c>
      <c r="X39" s="127">
        <f t="shared" si="3"/>
        <v>2101.5899999999997</v>
      </c>
      <c r="Y39" s="127">
        <f t="shared" ref="Y39:Y102" si="11">Z39-O39</f>
        <v>100135.03000000003</v>
      </c>
      <c r="Z39" s="127">
        <f t="shared" si="4"/>
        <v>674063.98</v>
      </c>
      <c r="AA39" s="33" t="s">
        <v>15</v>
      </c>
      <c r="AB39" s="36" t="s">
        <v>16</v>
      </c>
      <c r="AC39" s="181">
        <f t="shared" si="5"/>
        <v>2347.79</v>
      </c>
      <c r="AD39" s="181">
        <f>ROUND(V39*AC39,2)</f>
        <v>753030.16</v>
      </c>
      <c r="AE39" s="181">
        <v>1.2</v>
      </c>
      <c r="AF39" s="181">
        <v>1.2</v>
      </c>
      <c r="AG39" s="101" t="str">
        <f t="shared" si="6"/>
        <v/>
      </c>
      <c r="AH39" s="191">
        <f>822+115.6+380.73+236.3+234.76+312.2</f>
        <v>2101.5899999999997</v>
      </c>
      <c r="AI39" s="69">
        <f t="shared" si="7"/>
        <v>2347.79</v>
      </c>
    </row>
    <row r="40" spans="1:35" s="69" customFormat="1" ht="39" x14ac:dyDescent="0.3">
      <c r="A40" s="55" t="s">
        <v>105</v>
      </c>
      <c r="B40" s="53" t="s">
        <v>106</v>
      </c>
      <c r="C40" s="54" t="s">
        <v>103</v>
      </c>
      <c r="D40" s="75">
        <v>755.76</v>
      </c>
      <c r="E40" s="75"/>
      <c r="F40" s="75"/>
      <c r="G40" s="75"/>
      <c r="H40" s="75" t="s">
        <v>15</v>
      </c>
      <c r="I40" s="75">
        <v>346.08</v>
      </c>
      <c r="J40" s="75">
        <v>261553.42</v>
      </c>
      <c r="K40" s="91" t="s">
        <v>107</v>
      </c>
      <c r="L40" s="73"/>
      <c r="M40" s="46">
        <v>430</v>
      </c>
      <c r="N40" s="46">
        <v>119120.73999999999</v>
      </c>
      <c r="O40" s="46">
        <v>148814.39999999999</v>
      </c>
      <c r="P40" s="98"/>
      <c r="Q40" s="23" t="s">
        <v>1426</v>
      </c>
      <c r="R40" s="24" t="s">
        <v>106</v>
      </c>
      <c r="S40" s="25" t="s">
        <v>103</v>
      </c>
      <c r="T40" s="26">
        <v>755.76</v>
      </c>
      <c r="U40" s="26">
        <v>755.76</v>
      </c>
      <c r="V40" s="26">
        <f t="shared" si="10"/>
        <v>346.08</v>
      </c>
      <c r="W40" s="243">
        <f t="shared" si="8"/>
        <v>175.20000000000005</v>
      </c>
      <c r="X40" s="26">
        <f t="shared" si="3"/>
        <v>605.20000000000005</v>
      </c>
      <c r="Y40" s="26">
        <f t="shared" si="11"/>
        <v>60633.22</v>
      </c>
      <c r="Z40" s="26">
        <f t="shared" si="4"/>
        <v>209447.62</v>
      </c>
      <c r="AA40" s="33" t="s">
        <v>15</v>
      </c>
      <c r="AB40" s="36" t="s">
        <v>16</v>
      </c>
      <c r="AC40" s="181">
        <f t="shared" si="5"/>
        <v>755.76</v>
      </c>
      <c r="AD40" s="181">
        <f t="shared" ref="AD40:AD103" si="12">ROUND(V40*AC40,2)</f>
        <v>261553.42</v>
      </c>
      <c r="AE40" s="181">
        <v>1.2</v>
      </c>
      <c r="AF40" s="181">
        <v>1.2</v>
      </c>
      <c r="AG40" s="101" t="str">
        <f t="shared" si="6"/>
        <v/>
      </c>
      <c r="AH40" s="191">
        <f>23+62.8+344.2+175.2</f>
        <v>605.20000000000005</v>
      </c>
      <c r="AI40" s="69">
        <f t="shared" si="7"/>
        <v>755.76</v>
      </c>
    </row>
    <row r="41" spans="1:35" s="69" customFormat="1" ht="33" x14ac:dyDescent="0.3">
      <c r="A41" s="55" t="s">
        <v>108</v>
      </c>
      <c r="B41" s="53" t="s">
        <v>109</v>
      </c>
      <c r="C41" s="54" t="s">
        <v>110</v>
      </c>
      <c r="D41" s="75">
        <v>37233.480000000003</v>
      </c>
      <c r="E41" s="75"/>
      <c r="F41" s="75"/>
      <c r="G41" s="75"/>
      <c r="H41" s="75" t="s">
        <v>15</v>
      </c>
      <c r="I41" s="75">
        <v>36.4</v>
      </c>
      <c r="J41" s="75">
        <v>1355298.67</v>
      </c>
      <c r="K41" s="91" t="s">
        <v>111</v>
      </c>
      <c r="L41" s="73"/>
      <c r="M41" s="46">
        <v>28163</v>
      </c>
      <c r="N41" s="46">
        <v>148391.88</v>
      </c>
      <c r="O41" s="46">
        <v>1025133.2</v>
      </c>
      <c r="P41" s="98"/>
      <c r="Q41" s="23" t="s">
        <v>1402</v>
      </c>
      <c r="R41" s="24" t="s">
        <v>109</v>
      </c>
      <c r="S41" s="25" t="s">
        <v>110</v>
      </c>
      <c r="T41" s="26">
        <v>37233.480000000003</v>
      </c>
      <c r="U41" s="26">
        <v>37233.480000000003</v>
      </c>
      <c r="V41" s="26">
        <f t="shared" si="10"/>
        <v>36.4</v>
      </c>
      <c r="W41" s="243">
        <f t="shared" si="8"/>
        <v>5962.5999999999985</v>
      </c>
      <c r="X41" s="26">
        <f t="shared" si="3"/>
        <v>34125.599999999999</v>
      </c>
      <c r="Y41" s="26">
        <f t="shared" si="11"/>
        <v>217038.64000000013</v>
      </c>
      <c r="Z41" s="26">
        <f t="shared" si="4"/>
        <v>1242171.8400000001</v>
      </c>
      <c r="AA41" s="33" t="s">
        <v>15</v>
      </c>
      <c r="AB41" s="36" t="s">
        <v>16</v>
      </c>
      <c r="AC41" s="181">
        <f t="shared" si="5"/>
        <v>37233.480000000003</v>
      </c>
      <c r="AD41" s="181">
        <f t="shared" si="12"/>
        <v>1355298.67</v>
      </c>
      <c r="AE41" s="181">
        <v>1.2</v>
      </c>
      <c r="AF41" s="181">
        <v>1.2</v>
      </c>
      <c r="AG41" s="101" t="str">
        <f t="shared" si="6"/>
        <v/>
      </c>
      <c r="AH41" s="191">
        <f>4011.3+10712+7037.8+2325.2+4076.7+5962.6</f>
        <v>34125.599999999999</v>
      </c>
      <c r="AI41" s="69">
        <f t="shared" si="7"/>
        <v>37233.480000000003</v>
      </c>
    </row>
    <row r="42" spans="1:35" s="69" customFormat="1" ht="39" x14ac:dyDescent="0.3">
      <c r="A42" s="55" t="s">
        <v>112</v>
      </c>
      <c r="B42" s="53" t="s">
        <v>113</v>
      </c>
      <c r="C42" s="54" t="s">
        <v>23</v>
      </c>
      <c r="D42" s="75">
        <v>294.98</v>
      </c>
      <c r="E42" s="75"/>
      <c r="F42" s="75"/>
      <c r="G42" s="75"/>
      <c r="H42" s="75" t="s">
        <v>15</v>
      </c>
      <c r="I42" s="75">
        <v>3115.13</v>
      </c>
      <c r="J42" s="75">
        <v>918901.05</v>
      </c>
      <c r="K42" s="91" t="s">
        <v>114</v>
      </c>
      <c r="L42" s="73"/>
      <c r="M42" s="46">
        <v>248.10000000000002</v>
      </c>
      <c r="N42" s="46">
        <v>95603.339999999967</v>
      </c>
      <c r="O42" s="46">
        <v>772863.75</v>
      </c>
      <c r="P42" s="98"/>
      <c r="Q42" s="23" t="s">
        <v>1373</v>
      </c>
      <c r="R42" s="24" t="s">
        <v>392</v>
      </c>
      <c r="S42" s="25" t="s">
        <v>23</v>
      </c>
      <c r="T42" s="26">
        <v>294.98</v>
      </c>
      <c r="U42" s="26">
        <v>294.98</v>
      </c>
      <c r="V42" s="26">
        <f t="shared" si="10"/>
        <v>3115.13</v>
      </c>
      <c r="W42" s="243">
        <f t="shared" si="8"/>
        <v>16</v>
      </c>
      <c r="X42" s="26">
        <f t="shared" si="3"/>
        <v>264.10000000000002</v>
      </c>
      <c r="Y42" s="26">
        <f t="shared" si="11"/>
        <v>49842.079999999958</v>
      </c>
      <c r="Z42" s="26">
        <f t="shared" si="4"/>
        <v>822705.83</v>
      </c>
      <c r="AA42" s="33" t="s">
        <v>15</v>
      </c>
      <c r="AB42" s="36" t="s">
        <v>16</v>
      </c>
      <c r="AC42" s="181">
        <f t="shared" si="5"/>
        <v>294.98</v>
      </c>
      <c r="AD42" s="181">
        <f t="shared" si="12"/>
        <v>918901.05</v>
      </c>
      <c r="AE42" s="181">
        <v>1.2</v>
      </c>
      <c r="AF42" s="181">
        <v>1.2</v>
      </c>
      <c r="AG42" s="101" t="str">
        <f t="shared" si="6"/>
        <v/>
      </c>
      <c r="AH42" s="191">
        <f>36.6+39.2+23.9+112.01+5.7+30.69+16</f>
        <v>264.10000000000002</v>
      </c>
      <c r="AI42" s="69">
        <f t="shared" si="7"/>
        <v>294.98</v>
      </c>
    </row>
    <row r="43" spans="1:35" s="69" customFormat="1" ht="39" x14ac:dyDescent="0.3">
      <c r="A43" s="130" t="s">
        <v>115</v>
      </c>
      <c r="B43" s="131" t="s">
        <v>116</v>
      </c>
      <c r="C43" s="132" t="s">
        <v>23</v>
      </c>
      <c r="D43" s="133">
        <v>846.68</v>
      </c>
      <c r="E43" s="75"/>
      <c r="F43" s="75"/>
      <c r="G43" s="75"/>
      <c r="H43" s="75" t="s">
        <v>15</v>
      </c>
      <c r="I43" s="75">
        <v>3321.13</v>
      </c>
      <c r="J43" s="75">
        <v>2811934.35</v>
      </c>
      <c r="K43" s="91" t="s">
        <v>117</v>
      </c>
      <c r="L43" s="73"/>
      <c r="M43" s="46">
        <v>808.39999999999986</v>
      </c>
      <c r="N43" s="46">
        <v>481563.85000000009</v>
      </c>
      <c r="O43" s="46">
        <v>2684801.49</v>
      </c>
      <c r="P43" s="98"/>
      <c r="Q43" s="23" t="s">
        <v>1393</v>
      </c>
      <c r="R43" s="24" t="s">
        <v>116</v>
      </c>
      <c r="S43" s="25" t="s">
        <v>23</v>
      </c>
      <c r="T43" s="26">
        <v>846.68</v>
      </c>
      <c r="U43" s="26">
        <v>846.68</v>
      </c>
      <c r="V43" s="26">
        <f t="shared" si="10"/>
        <v>3321.13</v>
      </c>
      <c r="W43" s="243">
        <f t="shared" si="8"/>
        <v>38.200000000000045</v>
      </c>
      <c r="X43" s="127">
        <f t="shared" si="3"/>
        <v>846.59999999999991</v>
      </c>
      <c r="Y43" s="127">
        <f t="shared" si="11"/>
        <v>126867.16999999993</v>
      </c>
      <c r="Z43" s="127">
        <f t="shared" si="4"/>
        <v>2811668.66</v>
      </c>
      <c r="AA43" s="33" t="s">
        <v>15</v>
      </c>
      <c r="AB43" s="36" t="s">
        <v>16</v>
      </c>
      <c r="AC43" s="181">
        <f t="shared" si="5"/>
        <v>846.68</v>
      </c>
      <c r="AD43" s="181">
        <f t="shared" si="12"/>
        <v>2811934.35</v>
      </c>
      <c r="AE43" s="181">
        <v>1.2</v>
      </c>
      <c r="AF43" s="181">
        <v>1.2</v>
      </c>
      <c r="AG43" s="101" t="str">
        <f t="shared" si="6"/>
        <v/>
      </c>
      <c r="AH43" s="191">
        <f>282.3+157.6+131.2+92.3+145+38.2</f>
        <v>846.59999999999991</v>
      </c>
      <c r="AI43" s="69">
        <f t="shared" si="7"/>
        <v>846.68</v>
      </c>
    </row>
    <row r="44" spans="1:35" s="69" customFormat="1" ht="26.1" customHeight="1" x14ac:dyDescent="0.3">
      <c r="A44" s="130" t="s">
        <v>118</v>
      </c>
      <c r="B44" s="131" t="s">
        <v>119</v>
      </c>
      <c r="C44" s="132" t="s">
        <v>50</v>
      </c>
      <c r="D44" s="133">
        <v>2387.33</v>
      </c>
      <c r="E44" s="75"/>
      <c r="F44" s="75"/>
      <c r="G44" s="75"/>
      <c r="H44" s="75" t="s">
        <v>15</v>
      </c>
      <c r="I44" s="75">
        <v>533.64</v>
      </c>
      <c r="J44" s="75">
        <v>1273974.78</v>
      </c>
      <c r="K44" s="91" t="s">
        <v>120</v>
      </c>
      <c r="L44" s="73"/>
      <c r="M44" s="46">
        <v>2358.89</v>
      </c>
      <c r="N44" s="46">
        <v>166148.81000000006</v>
      </c>
      <c r="O44" s="46">
        <v>1258798.06</v>
      </c>
      <c r="P44" s="98"/>
      <c r="Q44" s="23" t="s">
        <v>1403</v>
      </c>
      <c r="R44" s="24" t="s">
        <v>119</v>
      </c>
      <c r="S44" s="25" t="s">
        <v>50</v>
      </c>
      <c r="T44" s="26">
        <v>2387.33</v>
      </c>
      <c r="U44" s="26">
        <v>2387.33</v>
      </c>
      <c r="V44" s="26">
        <f t="shared" si="10"/>
        <v>533.64</v>
      </c>
      <c r="W44" s="243">
        <f t="shared" si="8"/>
        <v>27.5</v>
      </c>
      <c r="X44" s="127">
        <f t="shared" si="3"/>
        <v>2386.39</v>
      </c>
      <c r="Y44" s="127">
        <f t="shared" si="11"/>
        <v>14675.09999999986</v>
      </c>
      <c r="Z44" s="127">
        <f t="shared" si="4"/>
        <v>1273473.1599999999</v>
      </c>
      <c r="AA44" s="33" t="s">
        <v>15</v>
      </c>
      <c r="AB44" s="36" t="s">
        <v>16</v>
      </c>
      <c r="AC44" s="181">
        <f t="shared" si="5"/>
        <v>2387.33</v>
      </c>
      <c r="AD44" s="181">
        <f t="shared" si="12"/>
        <v>1273974.78</v>
      </c>
      <c r="AE44" s="181">
        <v>1.2</v>
      </c>
      <c r="AF44" s="181">
        <v>1.2</v>
      </c>
      <c r="AG44" s="101" t="str">
        <f t="shared" si="6"/>
        <v/>
      </c>
      <c r="AH44" s="191">
        <f>815.4+226.8+231.1+653.04+121.2+311.35+27.5</f>
        <v>2386.39</v>
      </c>
      <c r="AI44" s="69">
        <f t="shared" si="7"/>
        <v>2387.33</v>
      </c>
    </row>
    <row r="45" spans="1:35" s="69" customFormat="1" ht="26.1" customHeight="1" x14ac:dyDescent="0.3">
      <c r="A45" s="55" t="s">
        <v>121</v>
      </c>
      <c r="B45" s="53" t="s">
        <v>122</v>
      </c>
      <c r="C45" s="54" t="s">
        <v>50</v>
      </c>
      <c r="D45" s="75">
        <v>1362.2</v>
      </c>
      <c r="E45" s="75"/>
      <c r="F45" s="75"/>
      <c r="G45" s="75"/>
      <c r="H45" s="75" t="s">
        <v>15</v>
      </c>
      <c r="I45" s="75">
        <v>1299.8900000000001</v>
      </c>
      <c r="J45" s="75">
        <v>1770710.16</v>
      </c>
      <c r="K45" s="91" t="s">
        <v>123</v>
      </c>
      <c r="L45" s="73"/>
      <c r="M45" s="46">
        <v>1042.2</v>
      </c>
      <c r="N45" s="46">
        <v>522815.76000000013</v>
      </c>
      <c r="O45" s="46">
        <v>1354745.36</v>
      </c>
      <c r="P45" s="98"/>
      <c r="Q45" s="23" t="s">
        <v>1427</v>
      </c>
      <c r="R45" s="24" t="s">
        <v>122</v>
      </c>
      <c r="S45" s="25" t="s">
        <v>50</v>
      </c>
      <c r="T45" s="26">
        <v>1362.2</v>
      </c>
      <c r="U45" s="26">
        <v>1362.2</v>
      </c>
      <c r="V45" s="26">
        <f t="shared" si="10"/>
        <v>1299.8900000000001</v>
      </c>
      <c r="W45" s="243">
        <f t="shared" si="8"/>
        <v>0</v>
      </c>
      <c r="X45" s="26">
        <f t="shared" si="3"/>
        <v>1042.2</v>
      </c>
      <c r="Y45" s="26">
        <f t="shared" si="11"/>
        <v>0</v>
      </c>
      <c r="Z45" s="26">
        <f t="shared" si="4"/>
        <v>1354745.36</v>
      </c>
      <c r="AA45" s="33" t="s">
        <v>15</v>
      </c>
      <c r="AB45" s="36" t="s">
        <v>16</v>
      </c>
      <c r="AC45" s="181">
        <f t="shared" si="5"/>
        <v>1362.2</v>
      </c>
      <c r="AD45" s="181">
        <f t="shared" si="12"/>
        <v>1770710.16</v>
      </c>
      <c r="AE45" s="181">
        <v>1.2</v>
      </c>
      <c r="AF45" s="181">
        <v>1.2</v>
      </c>
      <c r="AG45" s="101" t="str">
        <f t="shared" si="6"/>
        <v/>
      </c>
      <c r="AH45" s="191">
        <f>165+139.2+39.3+296.5+402.2</f>
        <v>1042.2</v>
      </c>
      <c r="AI45" s="69">
        <f t="shared" si="7"/>
        <v>1362.2</v>
      </c>
    </row>
    <row r="46" spans="1:35" s="69" customFormat="1" ht="26.1" customHeight="1" x14ac:dyDescent="0.3">
      <c r="A46" s="130" t="s">
        <v>124</v>
      </c>
      <c r="B46" s="131" t="s">
        <v>125</v>
      </c>
      <c r="C46" s="132" t="s">
        <v>110</v>
      </c>
      <c r="D46" s="133">
        <v>4781.5600000000004</v>
      </c>
      <c r="E46" s="75"/>
      <c r="F46" s="75"/>
      <c r="G46" s="75"/>
      <c r="H46" s="75" t="s">
        <v>15</v>
      </c>
      <c r="I46" s="75">
        <v>60</v>
      </c>
      <c r="J46" s="75">
        <v>286893.59999999998</v>
      </c>
      <c r="K46" s="91" t="s">
        <v>126</v>
      </c>
      <c r="L46" s="73"/>
      <c r="M46" s="46">
        <v>4781.5</v>
      </c>
      <c r="N46" s="46">
        <v>0</v>
      </c>
      <c r="O46" s="46">
        <v>286890</v>
      </c>
      <c r="P46" s="98"/>
      <c r="Q46" s="23" t="s">
        <v>1428</v>
      </c>
      <c r="R46" s="24" t="s">
        <v>125</v>
      </c>
      <c r="S46" s="25" t="s">
        <v>110</v>
      </c>
      <c r="T46" s="26">
        <v>4781.5600000000004</v>
      </c>
      <c r="U46" s="26">
        <v>4781.5600000000004</v>
      </c>
      <c r="V46" s="26">
        <f t="shared" si="10"/>
        <v>60</v>
      </c>
      <c r="W46" s="209">
        <f t="shared" si="8"/>
        <v>0</v>
      </c>
      <c r="X46" s="127">
        <f t="shared" si="3"/>
        <v>4781.5</v>
      </c>
      <c r="Y46" s="127">
        <f t="shared" si="11"/>
        <v>0</v>
      </c>
      <c r="Z46" s="127">
        <f t="shared" si="4"/>
        <v>286890</v>
      </c>
      <c r="AA46" s="33" t="s">
        <v>15</v>
      </c>
      <c r="AB46" s="36" t="s">
        <v>16</v>
      </c>
      <c r="AC46" s="181">
        <f t="shared" si="5"/>
        <v>4781.5600000000004</v>
      </c>
      <c r="AD46" s="181">
        <f t="shared" si="12"/>
        <v>286893.59999999998</v>
      </c>
      <c r="AE46" s="181">
        <v>1.2</v>
      </c>
      <c r="AF46" s="181">
        <v>1.2</v>
      </c>
      <c r="AG46" s="101" t="str">
        <f t="shared" si="6"/>
        <v/>
      </c>
      <c r="AH46" s="194">
        <f>3546.4+1235.1</f>
        <v>4781.5</v>
      </c>
      <c r="AI46" s="69">
        <f t="shared" si="7"/>
        <v>4781.5600000000004</v>
      </c>
    </row>
    <row r="47" spans="1:35" s="69" customFormat="1" ht="39" x14ac:dyDescent="0.3">
      <c r="A47" s="130" t="s">
        <v>127</v>
      </c>
      <c r="B47" s="131" t="s">
        <v>128</v>
      </c>
      <c r="C47" s="132" t="s">
        <v>110</v>
      </c>
      <c r="D47" s="133">
        <v>4781.5600000000004</v>
      </c>
      <c r="E47" s="75"/>
      <c r="F47" s="75"/>
      <c r="G47" s="75"/>
      <c r="H47" s="75" t="s">
        <v>15</v>
      </c>
      <c r="I47" s="75">
        <v>31.9</v>
      </c>
      <c r="J47" s="75">
        <v>152531.76</v>
      </c>
      <c r="K47" s="91" t="s">
        <v>129</v>
      </c>
      <c r="L47" s="73"/>
      <c r="M47" s="46">
        <v>4781.5</v>
      </c>
      <c r="N47" s="46">
        <v>0</v>
      </c>
      <c r="O47" s="46">
        <v>152529.85</v>
      </c>
      <c r="P47" s="98"/>
      <c r="Q47" s="23" t="s">
        <v>1387</v>
      </c>
      <c r="R47" s="24" t="s">
        <v>128</v>
      </c>
      <c r="S47" s="25" t="s">
        <v>110</v>
      </c>
      <c r="T47" s="26">
        <v>4781.5600000000004</v>
      </c>
      <c r="U47" s="26">
        <v>4781.5600000000004</v>
      </c>
      <c r="V47" s="26">
        <f t="shared" si="10"/>
        <v>31.9</v>
      </c>
      <c r="W47" s="209">
        <f t="shared" si="8"/>
        <v>0</v>
      </c>
      <c r="X47" s="127">
        <f t="shared" si="3"/>
        <v>4781.5</v>
      </c>
      <c r="Y47" s="127">
        <f t="shared" si="11"/>
        <v>0</v>
      </c>
      <c r="Z47" s="127">
        <f t="shared" si="4"/>
        <v>152529.85</v>
      </c>
      <c r="AA47" s="33" t="s">
        <v>15</v>
      </c>
      <c r="AB47" s="36" t="s">
        <v>16</v>
      </c>
      <c r="AC47" s="181">
        <f t="shared" si="5"/>
        <v>4781.5600000000004</v>
      </c>
      <c r="AD47" s="181">
        <f t="shared" si="12"/>
        <v>152531.76</v>
      </c>
      <c r="AE47" s="181">
        <v>1.2</v>
      </c>
      <c r="AF47" s="181">
        <v>1.2</v>
      </c>
      <c r="AG47" s="101" t="str">
        <f t="shared" si="6"/>
        <v/>
      </c>
      <c r="AH47" s="194">
        <f>AH46</f>
        <v>4781.5</v>
      </c>
      <c r="AI47" s="69">
        <f t="shared" si="7"/>
        <v>4781.5600000000004</v>
      </c>
    </row>
    <row r="48" spans="1:35" s="69" customFormat="1" ht="97.5" x14ac:dyDescent="0.3">
      <c r="A48" s="55" t="s">
        <v>130</v>
      </c>
      <c r="B48" s="53" t="s">
        <v>131</v>
      </c>
      <c r="C48" s="54" t="s">
        <v>110</v>
      </c>
      <c r="D48" s="75">
        <v>2300.86</v>
      </c>
      <c r="E48" s="75"/>
      <c r="F48" s="75"/>
      <c r="G48" s="75"/>
      <c r="H48" s="75" t="s">
        <v>15</v>
      </c>
      <c r="I48" s="75">
        <v>107.31</v>
      </c>
      <c r="J48" s="75">
        <v>246905.29</v>
      </c>
      <c r="K48" s="91" t="s">
        <v>132</v>
      </c>
      <c r="L48" s="73"/>
      <c r="M48" s="46">
        <v>1855</v>
      </c>
      <c r="N48" s="46">
        <v>0</v>
      </c>
      <c r="O48" s="46">
        <v>199060.05</v>
      </c>
      <c r="P48" s="98"/>
      <c r="Q48" s="23" t="s">
        <v>1405</v>
      </c>
      <c r="R48" s="24" t="s">
        <v>131</v>
      </c>
      <c r="S48" s="25" t="s">
        <v>110</v>
      </c>
      <c r="T48" s="26">
        <v>2300.86</v>
      </c>
      <c r="U48" s="26">
        <v>2300.86</v>
      </c>
      <c r="V48" s="26">
        <f t="shared" si="10"/>
        <v>107.31</v>
      </c>
      <c r="W48" s="128">
        <f t="shared" si="8"/>
        <v>0</v>
      </c>
      <c r="X48" s="26">
        <f t="shared" si="3"/>
        <v>1855</v>
      </c>
      <c r="Y48" s="26">
        <f t="shared" si="11"/>
        <v>0</v>
      </c>
      <c r="Z48" s="26">
        <f t="shared" si="4"/>
        <v>199060.05</v>
      </c>
      <c r="AA48" s="33" t="s">
        <v>15</v>
      </c>
      <c r="AB48" s="36" t="s">
        <v>16</v>
      </c>
      <c r="AC48" s="181">
        <f t="shared" si="5"/>
        <v>2300.86</v>
      </c>
      <c r="AD48" s="181">
        <f t="shared" si="12"/>
        <v>246905.29</v>
      </c>
      <c r="AE48" s="181">
        <v>1.2</v>
      </c>
      <c r="AF48" s="181">
        <v>1.2</v>
      </c>
      <c r="AG48" s="101" t="str">
        <f t="shared" si="6"/>
        <v/>
      </c>
      <c r="AH48" s="191">
        <v>1855</v>
      </c>
      <c r="AI48" s="69">
        <f t="shared" si="7"/>
        <v>2300.86</v>
      </c>
    </row>
    <row r="49" spans="1:35" s="69" customFormat="1" ht="33" x14ac:dyDescent="0.3">
      <c r="A49" s="55" t="s">
        <v>133</v>
      </c>
      <c r="B49" s="215" t="s">
        <v>134</v>
      </c>
      <c r="C49" s="54" t="s">
        <v>50</v>
      </c>
      <c r="D49" s="75">
        <v>5207.01</v>
      </c>
      <c r="E49" s="75"/>
      <c r="F49" s="75"/>
      <c r="G49" s="75"/>
      <c r="H49" s="75" t="s">
        <v>15</v>
      </c>
      <c r="I49" s="75">
        <v>2964</v>
      </c>
      <c r="J49" s="75">
        <v>15433577.640000001</v>
      </c>
      <c r="K49" s="137" t="s">
        <v>135</v>
      </c>
      <c r="L49" s="73"/>
      <c r="M49" s="46">
        <v>3374.1899999999996</v>
      </c>
      <c r="N49" s="46">
        <v>0</v>
      </c>
      <c r="O49" s="46">
        <v>10001099.16</v>
      </c>
      <c r="P49" s="98"/>
      <c r="Q49" s="23" t="s">
        <v>1406</v>
      </c>
      <c r="R49" s="24" t="s">
        <v>134</v>
      </c>
      <c r="S49" s="25" t="s">
        <v>50</v>
      </c>
      <c r="T49" s="26">
        <v>5207.01</v>
      </c>
      <c r="U49" s="26">
        <v>5207.01</v>
      </c>
      <c r="V49" s="26">
        <f t="shared" si="10"/>
        <v>2964</v>
      </c>
      <c r="W49" s="243">
        <f t="shared" si="8"/>
        <v>292.30000000000018</v>
      </c>
      <c r="X49" s="26">
        <f t="shared" si="3"/>
        <v>3666.49</v>
      </c>
      <c r="Y49" s="26">
        <f t="shared" si="11"/>
        <v>866377.19999999925</v>
      </c>
      <c r="Z49" s="26">
        <f t="shared" si="4"/>
        <v>10867476.359999999</v>
      </c>
      <c r="AA49" s="33" t="s">
        <v>15</v>
      </c>
      <c r="AB49" s="36" t="s">
        <v>16</v>
      </c>
      <c r="AC49" s="181">
        <f t="shared" si="5"/>
        <v>5207.01</v>
      </c>
      <c r="AD49" s="181">
        <f t="shared" si="12"/>
        <v>15433577.640000001</v>
      </c>
      <c r="AE49" s="181">
        <v>1.2</v>
      </c>
      <c r="AF49" s="181">
        <v>1.2</v>
      </c>
      <c r="AG49" s="101" t="str">
        <f t="shared" si="6"/>
        <v/>
      </c>
      <c r="AH49" s="191">
        <f>1759.3+212.2+210.7+652.79+539.2+292.3</f>
        <v>3666.49</v>
      </c>
      <c r="AI49" s="69">
        <f t="shared" si="7"/>
        <v>5207.01</v>
      </c>
    </row>
    <row r="50" spans="1:35" s="69" customFormat="1" ht="39" x14ac:dyDescent="0.3">
      <c r="A50" s="55" t="s">
        <v>136</v>
      </c>
      <c r="B50" s="53" t="s">
        <v>3138</v>
      </c>
      <c r="C50" s="54" t="s">
        <v>50</v>
      </c>
      <c r="D50" s="75">
        <v>693.8</v>
      </c>
      <c r="E50" s="75"/>
      <c r="F50" s="75"/>
      <c r="G50" s="75"/>
      <c r="H50" s="75" t="s">
        <v>15</v>
      </c>
      <c r="I50" s="75">
        <v>3961.57</v>
      </c>
      <c r="J50" s="75">
        <v>2748537.27</v>
      </c>
      <c r="K50" s="137" t="s">
        <v>138</v>
      </c>
      <c r="L50" s="73"/>
      <c r="M50" s="46">
        <v>519.79999999999995</v>
      </c>
      <c r="N50" s="46">
        <v>0</v>
      </c>
      <c r="O50" s="46">
        <v>2059224.09</v>
      </c>
      <c r="P50" s="98"/>
      <c r="Q50" s="23" t="s">
        <v>1414</v>
      </c>
      <c r="R50" s="24" t="s">
        <v>137</v>
      </c>
      <c r="S50" s="25" t="s">
        <v>50</v>
      </c>
      <c r="T50" s="26">
        <v>693.8</v>
      </c>
      <c r="U50" s="26">
        <v>693.8</v>
      </c>
      <c r="V50" s="26">
        <f t="shared" si="10"/>
        <v>3961.57</v>
      </c>
      <c r="W50" s="243">
        <f>AH50-M50</f>
        <v>52.200000000000045</v>
      </c>
      <c r="X50" s="26">
        <f t="shared" si="3"/>
        <v>572</v>
      </c>
      <c r="Y50" s="26">
        <f t="shared" si="11"/>
        <v>206793.94999999995</v>
      </c>
      <c r="Z50" s="26">
        <f t="shared" si="4"/>
        <v>2266018.04</v>
      </c>
      <c r="AA50" s="33" t="s">
        <v>15</v>
      </c>
      <c r="AB50" s="36" t="s">
        <v>16</v>
      </c>
      <c r="AC50" s="181">
        <f t="shared" si="5"/>
        <v>693.8</v>
      </c>
      <c r="AD50" s="181">
        <f t="shared" si="12"/>
        <v>2748537.27</v>
      </c>
      <c r="AE50" s="181">
        <v>1.2</v>
      </c>
      <c r="AF50" s="181">
        <v>1.2</v>
      </c>
      <c r="AG50" s="101" t="str">
        <f t="shared" si="6"/>
        <v/>
      </c>
      <c r="AH50" s="191">
        <f>286.8+233+52.2</f>
        <v>572</v>
      </c>
      <c r="AI50" s="69">
        <f t="shared" si="7"/>
        <v>693.8</v>
      </c>
    </row>
    <row r="51" spans="1:35" s="69" customFormat="1" ht="26.1" customHeight="1" x14ac:dyDescent="0.3">
      <c r="A51" s="55" t="s">
        <v>139</v>
      </c>
      <c r="B51" s="53" t="s">
        <v>140</v>
      </c>
      <c r="C51" s="54" t="s">
        <v>50</v>
      </c>
      <c r="D51" s="75">
        <v>375.23</v>
      </c>
      <c r="E51" s="75"/>
      <c r="F51" s="75"/>
      <c r="G51" s="75"/>
      <c r="H51" s="75" t="s">
        <v>15</v>
      </c>
      <c r="I51" s="75">
        <v>3965.81</v>
      </c>
      <c r="J51" s="75">
        <v>1488090.89</v>
      </c>
      <c r="K51" s="137" t="s">
        <v>141</v>
      </c>
      <c r="L51" s="73"/>
      <c r="M51" s="46">
        <v>215</v>
      </c>
      <c r="N51" s="46">
        <v>852649.15</v>
      </c>
      <c r="O51" s="46">
        <v>852649.15</v>
      </c>
      <c r="P51" s="98"/>
      <c r="Q51" s="23" t="s">
        <v>1429</v>
      </c>
      <c r="R51" s="24" t="s">
        <v>140</v>
      </c>
      <c r="S51" s="25" t="s">
        <v>50</v>
      </c>
      <c r="T51" s="26">
        <v>375.23</v>
      </c>
      <c r="U51" s="26">
        <v>375.23</v>
      </c>
      <c r="V51" s="26">
        <f t="shared" si="10"/>
        <v>3965.81</v>
      </c>
      <c r="W51" s="199">
        <f t="shared" si="8"/>
        <v>122.60000000000002</v>
      </c>
      <c r="X51" s="127">
        <f t="shared" si="3"/>
        <v>337.6</v>
      </c>
      <c r="Y51" s="127">
        <f t="shared" si="11"/>
        <v>486208.30999999994</v>
      </c>
      <c r="Z51" s="127">
        <f>ROUND(V51*X51,2)</f>
        <v>1338857.46</v>
      </c>
      <c r="AA51" s="33" t="s">
        <v>15</v>
      </c>
      <c r="AB51" s="36" t="s">
        <v>16</v>
      </c>
      <c r="AC51" s="181">
        <f t="shared" si="5"/>
        <v>375.23</v>
      </c>
      <c r="AD51" s="181">
        <f t="shared" si="12"/>
        <v>1488090.89</v>
      </c>
      <c r="AE51" s="181">
        <v>1.2</v>
      </c>
      <c r="AF51" s="181">
        <v>1.2</v>
      </c>
      <c r="AG51" s="101" t="str">
        <f t="shared" si="6"/>
        <v/>
      </c>
      <c r="AH51" s="191">
        <f>215+122.6</f>
        <v>337.6</v>
      </c>
      <c r="AI51" s="69">
        <f t="shared" si="7"/>
        <v>375.23</v>
      </c>
    </row>
    <row r="52" spans="1:35" s="69" customFormat="1" ht="26.1" customHeight="1" x14ac:dyDescent="0.3">
      <c r="A52" s="55" t="s">
        <v>142</v>
      </c>
      <c r="B52" s="53" t="s">
        <v>143</v>
      </c>
      <c r="C52" s="54" t="s">
        <v>50</v>
      </c>
      <c r="D52" s="75">
        <v>34.799999999999997</v>
      </c>
      <c r="E52" s="75"/>
      <c r="F52" s="75"/>
      <c r="G52" s="75"/>
      <c r="H52" s="75" t="s">
        <v>15</v>
      </c>
      <c r="I52" s="75">
        <v>773.88</v>
      </c>
      <c r="J52" s="75">
        <v>26931.02</v>
      </c>
      <c r="K52" s="91" t="s">
        <v>144</v>
      </c>
      <c r="L52" s="73"/>
      <c r="M52" s="46">
        <v>0</v>
      </c>
      <c r="N52" s="46">
        <v>0</v>
      </c>
      <c r="O52" s="46">
        <v>0</v>
      </c>
      <c r="P52" s="98"/>
      <c r="Q52" s="23" t="s">
        <v>1430</v>
      </c>
      <c r="R52" s="24" t="s">
        <v>143</v>
      </c>
      <c r="S52" s="25" t="s">
        <v>50</v>
      </c>
      <c r="T52" s="26">
        <v>34.799999999999997</v>
      </c>
      <c r="U52" s="26">
        <v>34.799999999999997</v>
      </c>
      <c r="V52" s="26">
        <f t="shared" si="10"/>
        <v>773.88</v>
      </c>
      <c r="W52" s="26">
        <f t="shared" si="8"/>
        <v>0</v>
      </c>
      <c r="X52" s="26">
        <f t="shared" si="3"/>
        <v>0</v>
      </c>
      <c r="Y52" s="26">
        <f t="shared" si="11"/>
        <v>0</v>
      </c>
      <c r="Z52" s="26">
        <f t="shared" si="4"/>
        <v>0</v>
      </c>
      <c r="AA52" s="33" t="s">
        <v>15</v>
      </c>
      <c r="AB52" s="36" t="s">
        <v>16</v>
      </c>
      <c r="AC52" s="181">
        <f t="shared" si="5"/>
        <v>34.799999999999997</v>
      </c>
      <c r="AD52" s="181">
        <f t="shared" si="12"/>
        <v>26931.02</v>
      </c>
      <c r="AE52" s="181">
        <v>1.2</v>
      </c>
      <c r="AF52" s="181">
        <v>1.2</v>
      </c>
      <c r="AG52" s="101" t="str">
        <f t="shared" si="6"/>
        <v/>
      </c>
      <c r="AH52" s="190">
        <v>0</v>
      </c>
      <c r="AI52" s="69">
        <f t="shared" si="7"/>
        <v>34.799999999999997</v>
      </c>
    </row>
    <row r="53" spans="1:35" s="69" customFormat="1" ht="26.1" customHeight="1" x14ac:dyDescent="0.3">
      <c r="A53" s="55" t="s">
        <v>145</v>
      </c>
      <c r="B53" s="53" t="s">
        <v>146</v>
      </c>
      <c r="C53" s="54" t="s">
        <v>50</v>
      </c>
      <c r="D53" s="75">
        <v>11.98</v>
      </c>
      <c r="E53" s="75"/>
      <c r="F53" s="75"/>
      <c r="G53" s="75"/>
      <c r="H53" s="75" t="s">
        <v>15</v>
      </c>
      <c r="I53" s="75">
        <v>948.4</v>
      </c>
      <c r="J53" s="75">
        <v>11361.83</v>
      </c>
      <c r="K53" s="91" t="s">
        <v>147</v>
      </c>
      <c r="L53" s="73"/>
      <c r="M53" s="46">
        <v>0</v>
      </c>
      <c r="N53" s="46">
        <v>0</v>
      </c>
      <c r="O53" s="46">
        <v>0</v>
      </c>
      <c r="P53" s="98"/>
      <c r="Q53" s="23" t="s">
        <v>1431</v>
      </c>
      <c r="R53" s="24" t="s">
        <v>146</v>
      </c>
      <c r="S53" s="25" t="s">
        <v>50</v>
      </c>
      <c r="T53" s="26">
        <v>11.98</v>
      </c>
      <c r="U53" s="26">
        <v>11.98</v>
      </c>
      <c r="V53" s="26">
        <f t="shared" si="10"/>
        <v>948.4</v>
      </c>
      <c r="W53" s="199">
        <f t="shared" si="8"/>
        <v>9.8000000000000007</v>
      </c>
      <c r="X53" s="26">
        <f t="shared" si="3"/>
        <v>9.8000000000000007</v>
      </c>
      <c r="Y53" s="26">
        <f t="shared" si="11"/>
        <v>9294.32</v>
      </c>
      <c r="Z53" s="26">
        <f t="shared" si="4"/>
        <v>9294.32</v>
      </c>
      <c r="AA53" s="33" t="s">
        <v>15</v>
      </c>
      <c r="AB53" s="36" t="s">
        <v>16</v>
      </c>
      <c r="AC53" s="181">
        <f t="shared" si="5"/>
        <v>11.98</v>
      </c>
      <c r="AD53" s="181">
        <f t="shared" si="12"/>
        <v>11361.83</v>
      </c>
      <c r="AE53" s="181">
        <v>1.2</v>
      </c>
      <c r="AF53" s="181">
        <v>1.2</v>
      </c>
      <c r="AG53" s="101" t="str">
        <f t="shared" si="6"/>
        <v/>
      </c>
      <c r="AH53" s="191">
        <f>9.8</f>
        <v>9.8000000000000007</v>
      </c>
      <c r="AI53" s="69">
        <f t="shared" si="7"/>
        <v>11.98</v>
      </c>
    </row>
    <row r="54" spans="1:35" s="69" customFormat="1" ht="26.1" customHeight="1" x14ac:dyDescent="0.3">
      <c r="A54" s="55" t="s">
        <v>148</v>
      </c>
      <c r="B54" s="53" t="s">
        <v>149</v>
      </c>
      <c r="C54" s="54" t="s">
        <v>50</v>
      </c>
      <c r="D54" s="75">
        <v>141.26</v>
      </c>
      <c r="E54" s="75"/>
      <c r="F54" s="75"/>
      <c r="G54" s="75"/>
      <c r="H54" s="75" t="s">
        <v>15</v>
      </c>
      <c r="I54" s="75">
        <v>6163.46</v>
      </c>
      <c r="J54" s="75">
        <v>870650.36</v>
      </c>
      <c r="K54" s="91" t="s">
        <v>150</v>
      </c>
      <c r="L54" s="73"/>
      <c r="M54" s="46">
        <v>12</v>
      </c>
      <c r="N54" s="46">
        <v>0</v>
      </c>
      <c r="O54" s="46">
        <v>73961.52</v>
      </c>
      <c r="P54" s="98"/>
      <c r="Q54" s="23" t="s">
        <v>1395</v>
      </c>
      <c r="R54" s="24" t="s">
        <v>149</v>
      </c>
      <c r="S54" s="25" t="s">
        <v>50</v>
      </c>
      <c r="T54" s="26">
        <v>141.26</v>
      </c>
      <c r="U54" s="26">
        <v>141.26</v>
      </c>
      <c r="V54" s="26">
        <f t="shared" si="10"/>
        <v>6163.46</v>
      </c>
      <c r="W54" s="128">
        <f t="shared" si="8"/>
        <v>0</v>
      </c>
      <c r="X54" s="26">
        <f t="shared" si="3"/>
        <v>12</v>
      </c>
      <c r="Y54" s="26">
        <f t="shared" si="11"/>
        <v>0</v>
      </c>
      <c r="Z54" s="26">
        <f t="shared" si="4"/>
        <v>73961.52</v>
      </c>
      <c r="AA54" s="33" t="s">
        <v>15</v>
      </c>
      <c r="AB54" s="36" t="s">
        <v>16</v>
      </c>
      <c r="AC54" s="181">
        <f t="shared" si="5"/>
        <v>141.26</v>
      </c>
      <c r="AD54" s="181">
        <f t="shared" si="12"/>
        <v>870650.36</v>
      </c>
      <c r="AE54" s="181">
        <v>1.2</v>
      </c>
      <c r="AF54" s="181">
        <v>1.2</v>
      </c>
      <c r="AG54" s="101" t="str">
        <f t="shared" si="6"/>
        <v/>
      </c>
      <c r="AH54" s="191">
        <f>12</f>
        <v>12</v>
      </c>
      <c r="AI54" s="69">
        <f t="shared" si="7"/>
        <v>141.26</v>
      </c>
    </row>
    <row r="55" spans="1:35" s="69" customFormat="1" ht="26.1" customHeight="1" x14ac:dyDescent="0.3">
      <c r="A55" s="130" t="s">
        <v>151</v>
      </c>
      <c r="B55" s="131" t="s">
        <v>152</v>
      </c>
      <c r="C55" s="132" t="s">
        <v>81</v>
      </c>
      <c r="D55" s="133">
        <v>1</v>
      </c>
      <c r="E55" s="75"/>
      <c r="F55" s="75"/>
      <c r="G55" s="75"/>
      <c r="H55" s="75" t="s">
        <v>15</v>
      </c>
      <c r="I55" s="75">
        <v>169519.61</v>
      </c>
      <c r="J55" s="75">
        <v>169519.61</v>
      </c>
      <c r="K55" s="91" t="s">
        <v>153</v>
      </c>
      <c r="L55" s="73"/>
      <c r="M55" s="46">
        <v>1</v>
      </c>
      <c r="N55" s="46">
        <v>0</v>
      </c>
      <c r="O55" s="46">
        <v>169519.61</v>
      </c>
      <c r="P55" s="98"/>
      <c r="Q55" s="23" t="s">
        <v>1432</v>
      </c>
      <c r="R55" s="24" t="s">
        <v>152</v>
      </c>
      <c r="S55" s="25" t="s">
        <v>81</v>
      </c>
      <c r="T55" s="26">
        <v>1</v>
      </c>
      <c r="U55" s="26">
        <v>1</v>
      </c>
      <c r="V55" s="26">
        <f t="shared" si="10"/>
        <v>169519.61</v>
      </c>
      <c r="W55" s="209">
        <f t="shared" si="8"/>
        <v>0</v>
      </c>
      <c r="X55" s="127">
        <f t="shared" si="3"/>
        <v>1</v>
      </c>
      <c r="Y55" s="127">
        <f t="shared" si="11"/>
        <v>0</v>
      </c>
      <c r="Z55" s="127">
        <f t="shared" si="4"/>
        <v>169519.61</v>
      </c>
      <c r="AA55" s="33" t="s">
        <v>15</v>
      </c>
      <c r="AB55" s="36" t="s">
        <v>16</v>
      </c>
      <c r="AC55" s="181">
        <f t="shared" si="5"/>
        <v>1</v>
      </c>
      <c r="AD55" s="181">
        <f t="shared" si="12"/>
        <v>169519.61</v>
      </c>
      <c r="AE55" s="181">
        <v>1.2</v>
      </c>
      <c r="AF55" s="181">
        <v>1.2</v>
      </c>
      <c r="AG55" s="101" t="str">
        <f t="shared" si="6"/>
        <v/>
      </c>
      <c r="AH55" s="194">
        <f>1</f>
        <v>1</v>
      </c>
      <c r="AI55" s="69">
        <f t="shared" si="7"/>
        <v>1</v>
      </c>
    </row>
    <row r="56" spans="1:35" s="69" customFormat="1" ht="26.1" customHeight="1" x14ac:dyDescent="0.3">
      <c r="A56" s="130" t="s">
        <v>154</v>
      </c>
      <c r="B56" s="131" t="s">
        <v>155</v>
      </c>
      <c r="C56" s="132" t="s">
        <v>81</v>
      </c>
      <c r="D56" s="133">
        <v>1</v>
      </c>
      <c r="E56" s="75"/>
      <c r="F56" s="75"/>
      <c r="G56" s="75"/>
      <c r="H56" s="75" t="s">
        <v>15</v>
      </c>
      <c r="I56" s="75">
        <v>350211.64</v>
      </c>
      <c r="J56" s="75">
        <v>350211.64</v>
      </c>
      <c r="K56" s="91" t="s">
        <v>156</v>
      </c>
      <c r="L56" s="73"/>
      <c r="M56" s="46">
        <v>1</v>
      </c>
      <c r="N56" s="46">
        <v>0</v>
      </c>
      <c r="O56" s="46">
        <v>350211.64</v>
      </c>
      <c r="P56" s="98"/>
      <c r="Q56" s="23" t="s">
        <v>1433</v>
      </c>
      <c r="R56" s="24" t="s">
        <v>155</v>
      </c>
      <c r="S56" s="25" t="s">
        <v>81</v>
      </c>
      <c r="T56" s="26">
        <v>1</v>
      </c>
      <c r="U56" s="26">
        <v>1</v>
      </c>
      <c r="V56" s="26">
        <f t="shared" si="10"/>
        <v>350211.64</v>
      </c>
      <c r="W56" s="209">
        <f t="shared" si="8"/>
        <v>0</v>
      </c>
      <c r="X56" s="127">
        <f t="shared" si="3"/>
        <v>1</v>
      </c>
      <c r="Y56" s="127">
        <f t="shared" si="11"/>
        <v>0</v>
      </c>
      <c r="Z56" s="127">
        <f t="shared" si="4"/>
        <v>350211.64</v>
      </c>
      <c r="AA56" s="33" t="s">
        <v>15</v>
      </c>
      <c r="AB56" s="36" t="s">
        <v>16</v>
      </c>
      <c r="AC56" s="181">
        <f t="shared" si="5"/>
        <v>1</v>
      </c>
      <c r="AD56" s="181">
        <f t="shared" si="12"/>
        <v>350211.64</v>
      </c>
      <c r="AE56" s="181">
        <v>1.2</v>
      </c>
      <c r="AF56" s="181">
        <v>1.2</v>
      </c>
      <c r="AG56" s="101" t="str">
        <f t="shared" si="6"/>
        <v/>
      </c>
      <c r="AH56" s="194">
        <f>1</f>
        <v>1</v>
      </c>
      <c r="AI56" s="69">
        <f t="shared" si="7"/>
        <v>1</v>
      </c>
    </row>
    <row r="57" spans="1:35" s="69" customFormat="1" ht="26.1" customHeight="1" x14ac:dyDescent="0.3">
      <c r="A57" s="55" t="s">
        <v>157</v>
      </c>
      <c r="B57" s="53" t="s">
        <v>158</v>
      </c>
      <c r="C57" s="54" t="s">
        <v>81</v>
      </c>
      <c r="D57" s="75">
        <v>1</v>
      </c>
      <c r="E57" s="75"/>
      <c r="F57" s="75"/>
      <c r="G57" s="75"/>
      <c r="H57" s="75" t="s">
        <v>15</v>
      </c>
      <c r="I57" s="75">
        <v>309726.87</v>
      </c>
      <c r="J57" s="75">
        <v>309726.87</v>
      </c>
      <c r="K57" s="91" t="s">
        <v>159</v>
      </c>
      <c r="L57" s="73"/>
      <c r="M57" s="46">
        <v>0</v>
      </c>
      <c r="N57" s="46">
        <v>0</v>
      </c>
      <c r="O57" s="46">
        <v>0</v>
      </c>
      <c r="P57" s="98"/>
      <c r="Q57" s="23" t="s">
        <v>1382</v>
      </c>
      <c r="R57" s="24" t="s">
        <v>158</v>
      </c>
      <c r="S57" s="25" t="s">
        <v>81</v>
      </c>
      <c r="T57" s="26">
        <v>1</v>
      </c>
      <c r="U57" s="26">
        <v>1</v>
      </c>
      <c r="V57" s="26">
        <f t="shared" si="10"/>
        <v>309726.87</v>
      </c>
      <c r="W57" s="26">
        <f t="shared" si="8"/>
        <v>0</v>
      </c>
      <c r="X57" s="26">
        <f t="shared" si="3"/>
        <v>0</v>
      </c>
      <c r="Y57" s="26">
        <f t="shared" si="11"/>
        <v>0</v>
      </c>
      <c r="Z57" s="26">
        <f t="shared" si="4"/>
        <v>0</v>
      </c>
      <c r="AA57" s="33" t="s">
        <v>15</v>
      </c>
      <c r="AB57" s="36" t="s">
        <v>16</v>
      </c>
      <c r="AC57" s="181">
        <f t="shared" si="5"/>
        <v>1</v>
      </c>
      <c r="AD57" s="181">
        <f t="shared" si="12"/>
        <v>309726.87</v>
      </c>
      <c r="AE57" s="181">
        <v>1.2</v>
      </c>
      <c r="AF57" s="181">
        <v>1.2</v>
      </c>
      <c r="AG57" s="101" t="str">
        <f t="shared" si="6"/>
        <v/>
      </c>
      <c r="AH57" s="192">
        <v>0</v>
      </c>
      <c r="AI57" s="69">
        <f t="shared" si="7"/>
        <v>1</v>
      </c>
    </row>
    <row r="58" spans="1:35" s="69" customFormat="1" ht="26.1" customHeight="1" x14ac:dyDescent="0.3">
      <c r="A58" s="130" t="s">
        <v>160</v>
      </c>
      <c r="B58" s="131" t="s">
        <v>161</v>
      </c>
      <c r="C58" s="132" t="s">
        <v>162</v>
      </c>
      <c r="D58" s="133">
        <v>19</v>
      </c>
      <c r="E58" s="75"/>
      <c r="F58" s="75"/>
      <c r="G58" s="75"/>
      <c r="H58" s="75" t="s">
        <v>15</v>
      </c>
      <c r="I58" s="75">
        <v>1134.56</v>
      </c>
      <c r="J58" s="75">
        <v>21556.639999999999</v>
      </c>
      <c r="K58" s="91" t="s">
        <v>163</v>
      </c>
      <c r="L58" s="73"/>
      <c r="M58" s="46">
        <v>19</v>
      </c>
      <c r="N58" s="46">
        <v>0</v>
      </c>
      <c r="O58" s="46">
        <v>21556.639999999999</v>
      </c>
      <c r="P58" s="98"/>
      <c r="Q58" s="23" t="s">
        <v>1434</v>
      </c>
      <c r="R58" s="24" t="s">
        <v>161</v>
      </c>
      <c r="S58" s="25" t="s">
        <v>162</v>
      </c>
      <c r="T58" s="26">
        <v>19</v>
      </c>
      <c r="U58" s="26">
        <v>19</v>
      </c>
      <c r="V58" s="26">
        <f t="shared" si="10"/>
        <v>1134.56</v>
      </c>
      <c r="W58" s="209">
        <f t="shared" si="8"/>
        <v>0</v>
      </c>
      <c r="X58" s="127">
        <f t="shared" si="3"/>
        <v>19</v>
      </c>
      <c r="Y58" s="127">
        <f t="shared" si="11"/>
        <v>0</v>
      </c>
      <c r="Z58" s="127">
        <f t="shared" si="4"/>
        <v>21556.639999999999</v>
      </c>
      <c r="AA58" s="33" t="s">
        <v>15</v>
      </c>
      <c r="AB58" s="36" t="s">
        <v>16</v>
      </c>
      <c r="AC58" s="181">
        <f t="shared" si="5"/>
        <v>19</v>
      </c>
      <c r="AD58" s="181">
        <f t="shared" si="12"/>
        <v>21556.639999999999</v>
      </c>
      <c r="AE58" s="181">
        <v>1.2</v>
      </c>
      <c r="AF58" s="181">
        <v>1.2</v>
      </c>
      <c r="AG58" s="101" t="str">
        <f t="shared" si="6"/>
        <v/>
      </c>
      <c r="AH58" s="194">
        <f>14+5</f>
        <v>19</v>
      </c>
      <c r="AI58" s="69">
        <f t="shared" si="7"/>
        <v>19</v>
      </c>
    </row>
    <row r="59" spans="1:35" s="69" customFormat="1" ht="26.1" customHeight="1" x14ac:dyDescent="0.3">
      <c r="A59" s="130" t="s">
        <v>164</v>
      </c>
      <c r="B59" s="131" t="s">
        <v>165</v>
      </c>
      <c r="C59" s="132" t="s">
        <v>103</v>
      </c>
      <c r="D59" s="133">
        <v>179.11</v>
      </c>
      <c r="E59" s="75"/>
      <c r="F59" s="75"/>
      <c r="G59" s="75"/>
      <c r="H59" s="75" t="s">
        <v>15</v>
      </c>
      <c r="I59" s="120">
        <v>145.21</v>
      </c>
      <c r="J59" s="75">
        <v>26008.560000000001</v>
      </c>
      <c r="K59" s="91" t="s">
        <v>166</v>
      </c>
      <c r="L59" s="73"/>
      <c r="M59" s="46">
        <v>179.11</v>
      </c>
      <c r="N59" s="46">
        <v>26008.560000000001</v>
      </c>
      <c r="O59" s="46">
        <v>26008.560000000001</v>
      </c>
      <c r="P59" s="98"/>
      <c r="Q59" s="23" t="s">
        <v>1388</v>
      </c>
      <c r="R59" s="24" t="s">
        <v>165</v>
      </c>
      <c r="S59" s="25" t="s">
        <v>103</v>
      </c>
      <c r="T59" s="26">
        <v>179.11</v>
      </c>
      <c r="U59" s="26">
        <v>179.11</v>
      </c>
      <c r="V59" s="26">
        <f t="shared" si="10"/>
        <v>145.21</v>
      </c>
      <c r="W59" s="127">
        <f t="shared" si="8"/>
        <v>0</v>
      </c>
      <c r="X59" s="127">
        <f t="shared" si="3"/>
        <v>179.11</v>
      </c>
      <c r="Y59" s="127">
        <f t="shared" si="11"/>
        <v>0</v>
      </c>
      <c r="Z59" s="127">
        <f t="shared" si="4"/>
        <v>26008.560000000001</v>
      </c>
      <c r="AA59" s="33" t="s">
        <v>15</v>
      </c>
      <c r="AB59" s="36" t="s">
        <v>16</v>
      </c>
      <c r="AC59" s="181">
        <f t="shared" si="5"/>
        <v>179.11</v>
      </c>
      <c r="AD59" s="181">
        <f t="shared" si="12"/>
        <v>26008.560000000001</v>
      </c>
      <c r="AE59" s="181">
        <v>1.2</v>
      </c>
      <c r="AF59" s="181">
        <v>1.2</v>
      </c>
      <c r="AG59" s="101" t="str">
        <f t="shared" si="6"/>
        <v/>
      </c>
      <c r="AH59" s="194">
        <f>179.11</f>
        <v>179.11</v>
      </c>
      <c r="AI59" s="69">
        <f t="shared" si="7"/>
        <v>179.11</v>
      </c>
    </row>
    <row r="60" spans="1:35" s="69" customFormat="1" ht="26.1" customHeight="1" x14ac:dyDescent="0.3">
      <c r="A60" s="55" t="s">
        <v>167</v>
      </c>
      <c r="B60" s="53" t="s">
        <v>168</v>
      </c>
      <c r="C60" s="54" t="s">
        <v>30</v>
      </c>
      <c r="D60" s="75">
        <v>789.8</v>
      </c>
      <c r="E60" s="75"/>
      <c r="F60" s="75"/>
      <c r="G60" s="75"/>
      <c r="H60" s="75" t="s">
        <v>15</v>
      </c>
      <c r="I60" s="75">
        <v>2755.97</v>
      </c>
      <c r="J60" s="75">
        <v>2176665.11</v>
      </c>
      <c r="K60" s="91" t="s">
        <v>169</v>
      </c>
      <c r="L60" s="73"/>
      <c r="M60" s="46">
        <v>569</v>
      </c>
      <c r="N60" s="46">
        <v>0</v>
      </c>
      <c r="O60" s="46">
        <v>1568146.93</v>
      </c>
      <c r="P60" s="98"/>
      <c r="Q60" s="23" t="s">
        <v>1389</v>
      </c>
      <c r="R60" s="24" t="s">
        <v>168</v>
      </c>
      <c r="S60" s="25" t="s">
        <v>30</v>
      </c>
      <c r="T60" s="26">
        <v>789.8</v>
      </c>
      <c r="U60" s="26">
        <v>789.8</v>
      </c>
      <c r="V60" s="26">
        <f t="shared" si="10"/>
        <v>2755.97</v>
      </c>
      <c r="W60" s="243">
        <f t="shared" si="8"/>
        <v>61.350000000000023</v>
      </c>
      <c r="X60" s="26">
        <f t="shared" si="3"/>
        <v>630.35</v>
      </c>
      <c r="Y60" s="26">
        <f t="shared" si="11"/>
        <v>169078.76</v>
      </c>
      <c r="Z60" s="26">
        <f t="shared" si="4"/>
        <v>1737225.69</v>
      </c>
      <c r="AA60" s="33" t="s">
        <v>15</v>
      </c>
      <c r="AB60" s="36" t="s">
        <v>16</v>
      </c>
      <c r="AC60" s="181">
        <f t="shared" si="5"/>
        <v>789.8</v>
      </c>
      <c r="AD60" s="181">
        <f t="shared" si="12"/>
        <v>2176665.11</v>
      </c>
      <c r="AE60" s="181">
        <v>1.2</v>
      </c>
      <c r="AF60" s="181">
        <v>1.2</v>
      </c>
      <c r="AG60" s="101" t="str">
        <f t="shared" si="6"/>
        <v/>
      </c>
      <c r="AH60" s="191">
        <f>164+313.8+91.2+61.35</f>
        <v>630.35</v>
      </c>
      <c r="AI60" s="69">
        <f t="shared" si="7"/>
        <v>789.8</v>
      </c>
    </row>
    <row r="61" spans="1:35" s="69" customFormat="1" ht="26.1" customHeight="1" x14ac:dyDescent="0.3">
      <c r="A61" s="55" t="s">
        <v>170</v>
      </c>
      <c r="B61" s="53" t="s">
        <v>171</v>
      </c>
      <c r="C61" s="54" t="s">
        <v>30</v>
      </c>
      <c r="D61" s="75">
        <v>31.3</v>
      </c>
      <c r="E61" s="75"/>
      <c r="F61" s="75"/>
      <c r="G61" s="75"/>
      <c r="H61" s="75" t="s">
        <v>15</v>
      </c>
      <c r="I61" s="75">
        <v>576.79999999999995</v>
      </c>
      <c r="J61" s="75">
        <v>18053.84</v>
      </c>
      <c r="K61" s="91" t="s">
        <v>172</v>
      </c>
      <c r="L61" s="73"/>
      <c r="M61" s="46">
        <v>0</v>
      </c>
      <c r="N61" s="46">
        <v>0</v>
      </c>
      <c r="O61" s="46">
        <v>0</v>
      </c>
      <c r="P61" s="98"/>
      <c r="Q61" s="23" t="s">
        <v>1390</v>
      </c>
      <c r="R61" s="24" t="s">
        <v>171</v>
      </c>
      <c r="S61" s="25" t="s">
        <v>30</v>
      </c>
      <c r="T61" s="26">
        <v>31.3</v>
      </c>
      <c r="U61" s="26">
        <v>31.3</v>
      </c>
      <c r="V61" s="26">
        <f t="shared" si="10"/>
        <v>576.79999999999995</v>
      </c>
      <c r="W61" s="26">
        <f t="shared" si="8"/>
        <v>0</v>
      </c>
      <c r="X61" s="26">
        <f t="shared" si="3"/>
        <v>0</v>
      </c>
      <c r="Y61" s="26">
        <f t="shared" si="11"/>
        <v>0</v>
      </c>
      <c r="Z61" s="26">
        <f t="shared" si="4"/>
        <v>0</v>
      </c>
      <c r="AA61" s="33" t="s">
        <v>15</v>
      </c>
      <c r="AB61" s="36" t="s">
        <v>16</v>
      </c>
      <c r="AC61" s="181">
        <f t="shared" si="5"/>
        <v>31.3</v>
      </c>
      <c r="AD61" s="181">
        <f t="shared" si="12"/>
        <v>18053.84</v>
      </c>
      <c r="AE61" s="181">
        <v>1.2</v>
      </c>
      <c r="AF61" s="181">
        <v>1.2</v>
      </c>
      <c r="AG61" s="101" t="str">
        <f t="shared" si="6"/>
        <v/>
      </c>
      <c r="AH61" s="190">
        <v>0</v>
      </c>
      <c r="AI61" s="69">
        <f t="shared" si="7"/>
        <v>31.3</v>
      </c>
    </row>
    <row r="62" spans="1:35" s="69" customFormat="1" ht="26.1" customHeight="1" x14ac:dyDescent="0.3">
      <c r="A62" s="55" t="s">
        <v>173</v>
      </c>
      <c r="B62" s="215" t="s">
        <v>174</v>
      </c>
      <c r="C62" s="54" t="s">
        <v>30</v>
      </c>
      <c r="D62" s="75">
        <v>360.35</v>
      </c>
      <c r="E62" s="75"/>
      <c r="F62" s="75"/>
      <c r="G62" s="75"/>
      <c r="H62" s="75" t="s">
        <v>15</v>
      </c>
      <c r="I62" s="75">
        <v>615.34</v>
      </c>
      <c r="J62" s="75">
        <v>221737.77</v>
      </c>
      <c r="K62" s="91" t="s">
        <v>175</v>
      </c>
      <c r="L62" s="73"/>
      <c r="M62" s="46">
        <v>292</v>
      </c>
      <c r="N62" s="46">
        <v>38151.079999999987</v>
      </c>
      <c r="O62" s="46">
        <v>179679.28</v>
      </c>
      <c r="P62" s="98"/>
      <c r="Q62" s="23" t="s">
        <v>1391</v>
      </c>
      <c r="R62" s="24" t="s">
        <v>174</v>
      </c>
      <c r="S62" s="25" t="s">
        <v>30</v>
      </c>
      <c r="T62" s="26">
        <v>360.35</v>
      </c>
      <c r="U62" s="26">
        <v>360.35</v>
      </c>
      <c r="V62" s="26">
        <f t="shared" si="10"/>
        <v>615.34</v>
      </c>
      <c r="W62" s="243">
        <f t="shared" si="8"/>
        <v>0</v>
      </c>
      <c r="X62" s="26">
        <f t="shared" si="3"/>
        <v>292</v>
      </c>
      <c r="Y62" s="26">
        <f t="shared" si="11"/>
        <v>0</v>
      </c>
      <c r="Z62" s="26">
        <f t="shared" si="4"/>
        <v>179679.28</v>
      </c>
      <c r="AA62" s="33" t="s">
        <v>15</v>
      </c>
      <c r="AB62" s="36" t="s">
        <v>16</v>
      </c>
      <c r="AC62" s="181">
        <f t="shared" si="5"/>
        <v>360.35</v>
      </c>
      <c r="AD62" s="181">
        <f t="shared" si="12"/>
        <v>221737.77</v>
      </c>
      <c r="AE62" s="181">
        <v>1.2</v>
      </c>
      <c r="AF62" s="181">
        <v>1.2</v>
      </c>
      <c r="AG62" s="101" t="str">
        <f t="shared" si="6"/>
        <v/>
      </c>
      <c r="AH62" s="191">
        <f>132+98+62</f>
        <v>292</v>
      </c>
      <c r="AI62" s="69">
        <f t="shared" si="7"/>
        <v>360.35</v>
      </c>
    </row>
    <row r="63" spans="1:35" s="69" customFormat="1" ht="26.1" customHeight="1" x14ac:dyDescent="0.3">
      <c r="A63" s="130" t="s">
        <v>176</v>
      </c>
      <c r="B63" s="131" t="s">
        <v>177</v>
      </c>
      <c r="C63" s="132" t="s">
        <v>30</v>
      </c>
      <c r="D63" s="133">
        <v>691.14</v>
      </c>
      <c r="E63" s="75"/>
      <c r="F63" s="75"/>
      <c r="G63" s="75"/>
      <c r="H63" s="75" t="s">
        <v>15</v>
      </c>
      <c r="I63" s="75">
        <v>685.3</v>
      </c>
      <c r="J63" s="75">
        <v>473638.24</v>
      </c>
      <c r="K63" s="91" t="s">
        <v>178</v>
      </c>
      <c r="L63" s="73"/>
      <c r="M63" s="46">
        <v>670</v>
      </c>
      <c r="N63" s="46">
        <v>74903.289999999979</v>
      </c>
      <c r="O63" s="46">
        <v>459151</v>
      </c>
      <c r="P63" s="98"/>
      <c r="Q63" s="23" t="s">
        <v>1436</v>
      </c>
      <c r="R63" s="24" t="s">
        <v>177</v>
      </c>
      <c r="S63" s="25" t="s">
        <v>30</v>
      </c>
      <c r="T63" s="26">
        <v>691.14</v>
      </c>
      <c r="U63" s="26">
        <v>691.14</v>
      </c>
      <c r="V63" s="26">
        <f t="shared" si="10"/>
        <v>685.3</v>
      </c>
      <c r="W63" s="127">
        <f t="shared" si="8"/>
        <v>0</v>
      </c>
      <c r="X63" s="127">
        <f t="shared" si="3"/>
        <v>670</v>
      </c>
      <c r="Y63" s="127">
        <f t="shared" si="11"/>
        <v>0</v>
      </c>
      <c r="Z63" s="127">
        <f t="shared" si="4"/>
        <v>459151</v>
      </c>
      <c r="AA63" s="33" t="s">
        <v>15</v>
      </c>
      <c r="AB63" s="36" t="s">
        <v>16</v>
      </c>
      <c r="AC63" s="181">
        <f t="shared" si="5"/>
        <v>691.14</v>
      </c>
      <c r="AD63" s="181">
        <f t="shared" si="12"/>
        <v>473638.24</v>
      </c>
      <c r="AE63" s="181">
        <v>1.2</v>
      </c>
      <c r="AF63" s="181">
        <v>1.2</v>
      </c>
      <c r="AG63" s="101" t="str">
        <f t="shared" si="6"/>
        <v/>
      </c>
      <c r="AH63" s="194">
        <f>421+139.7+109.3</f>
        <v>670</v>
      </c>
      <c r="AI63" s="69">
        <f t="shared" si="7"/>
        <v>691.14</v>
      </c>
    </row>
    <row r="64" spans="1:35" s="69" customFormat="1" ht="26.1" customHeight="1" x14ac:dyDescent="0.3">
      <c r="A64" s="130" t="s">
        <v>179</v>
      </c>
      <c r="B64" s="131" t="s">
        <v>180</v>
      </c>
      <c r="C64" s="132" t="s">
        <v>30</v>
      </c>
      <c r="D64" s="133">
        <v>890.62</v>
      </c>
      <c r="E64" s="75"/>
      <c r="F64" s="75"/>
      <c r="G64" s="75"/>
      <c r="H64" s="75" t="s">
        <v>15</v>
      </c>
      <c r="I64" s="75">
        <v>699.72</v>
      </c>
      <c r="J64" s="75">
        <v>623184.63</v>
      </c>
      <c r="K64" s="91" t="s">
        <v>181</v>
      </c>
      <c r="L64" s="73"/>
      <c r="M64" s="46">
        <v>876.5</v>
      </c>
      <c r="N64" s="46">
        <v>0</v>
      </c>
      <c r="O64" s="46">
        <v>613304.57999999996</v>
      </c>
      <c r="P64" s="98"/>
      <c r="Q64" s="23" t="s">
        <v>1374</v>
      </c>
      <c r="R64" s="24" t="s">
        <v>180</v>
      </c>
      <c r="S64" s="25" t="s">
        <v>30</v>
      </c>
      <c r="T64" s="26">
        <v>890.62</v>
      </c>
      <c r="U64" s="26">
        <v>890.62</v>
      </c>
      <c r="V64" s="26">
        <f t="shared" si="10"/>
        <v>699.72</v>
      </c>
      <c r="W64" s="127">
        <f t="shared" si="8"/>
        <v>0</v>
      </c>
      <c r="X64" s="127">
        <f t="shared" si="3"/>
        <v>876.5</v>
      </c>
      <c r="Y64" s="127">
        <f t="shared" si="11"/>
        <v>0</v>
      </c>
      <c r="Z64" s="127">
        <f t="shared" si="4"/>
        <v>613304.57999999996</v>
      </c>
      <c r="AA64" s="33" t="s">
        <v>15</v>
      </c>
      <c r="AB64" s="36" t="s">
        <v>16</v>
      </c>
      <c r="AC64" s="181">
        <f t="shared" si="5"/>
        <v>890.62</v>
      </c>
      <c r="AD64" s="181">
        <f t="shared" si="12"/>
        <v>623184.63</v>
      </c>
      <c r="AE64" s="181">
        <v>1.2</v>
      </c>
      <c r="AF64" s="181">
        <v>1.2</v>
      </c>
      <c r="AG64" s="101" t="str">
        <f t="shared" si="6"/>
        <v/>
      </c>
      <c r="AH64" s="194">
        <f>457+192+52.1+113.4+62</f>
        <v>876.5</v>
      </c>
      <c r="AI64" s="69">
        <f t="shared" si="7"/>
        <v>890.62</v>
      </c>
    </row>
    <row r="65" spans="1:35" s="69" customFormat="1" ht="26.1" customHeight="1" x14ac:dyDescent="0.3">
      <c r="A65" s="130" t="s">
        <v>182</v>
      </c>
      <c r="B65" s="131" t="s">
        <v>183</v>
      </c>
      <c r="C65" s="132" t="s">
        <v>30</v>
      </c>
      <c r="D65" s="133">
        <v>85.77</v>
      </c>
      <c r="E65" s="75"/>
      <c r="F65" s="75"/>
      <c r="G65" s="75"/>
      <c r="H65" s="75" t="s">
        <v>15</v>
      </c>
      <c r="I65" s="75">
        <v>1199.33</v>
      </c>
      <c r="J65" s="75">
        <v>102866.53</v>
      </c>
      <c r="K65" s="91" t="s">
        <v>184</v>
      </c>
      <c r="L65" s="73"/>
      <c r="M65" s="46">
        <v>80.5</v>
      </c>
      <c r="N65" s="46">
        <v>0</v>
      </c>
      <c r="O65" s="46">
        <v>96546.07</v>
      </c>
      <c r="P65" s="98"/>
      <c r="Q65" s="23" t="s">
        <v>1376</v>
      </c>
      <c r="R65" s="24" t="s">
        <v>183</v>
      </c>
      <c r="S65" s="25" t="s">
        <v>30</v>
      </c>
      <c r="T65" s="26">
        <v>85.77</v>
      </c>
      <c r="U65" s="26">
        <v>85.77</v>
      </c>
      <c r="V65" s="26">
        <f t="shared" si="10"/>
        <v>1199.33</v>
      </c>
      <c r="W65" s="127">
        <f t="shared" si="8"/>
        <v>0</v>
      </c>
      <c r="X65" s="127">
        <f t="shared" si="3"/>
        <v>80.5</v>
      </c>
      <c r="Y65" s="127">
        <f t="shared" si="11"/>
        <v>0</v>
      </c>
      <c r="Z65" s="127">
        <f t="shared" si="4"/>
        <v>96546.07</v>
      </c>
      <c r="AA65" s="33" t="s">
        <v>15</v>
      </c>
      <c r="AB65" s="36" t="s">
        <v>16</v>
      </c>
      <c r="AC65" s="181">
        <f t="shared" si="5"/>
        <v>85.77</v>
      </c>
      <c r="AD65" s="181">
        <f t="shared" si="12"/>
        <v>102866.53</v>
      </c>
      <c r="AE65" s="181">
        <v>1.2</v>
      </c>
      <c r="AF65" s="181">
        <v>1.2</v>
      </c>
      <c r="AG65" s="101" t="str">
        <f t="shared" si="6"/>
        <v/>
      </c>
      <c r="AH65" s="194">
        <f>12+26.5+42</f>
        <v>80.5</v>
      </c>
      <c r="AI65" s="69">
        <f t="shared" si="7"/>
        <v>85.77</v>
      </c>
    </row>
    <row r="66" spans="1:35" s="69" customFormat="1" ht="26.1" customHeight="1" x14ac:dyDescent="0.3">
      <c r="A66" s="130" t="s">
        <v>185</v>
      </c>
      <c r="B66" s="131" t="s">
        <v>186</v>
      </c>
      <c r="C66" s="132" t="s">
        <v>30</v>
      </c>
      <c r="D66" s="133">
        <v>187.82</v>
      </c>
      <c r="E66" s="75"/>
      <c r="F66" s="75"/>
      <c r="G66" s="75"/>
      <c r="H66" s="75" t="s">
        <v>15</v>
      </c>
      <c r="I66" s="75">
        <v>57.68</v>
      </c>
      <c r="J66" s="75">
        <v>10833.46</v>
      </c>
      <c r="K66" s="91" t="s">
        <v>187</v>
      </c>
      <c r="L66" s="73"/>
      <c r="M66" s="46">
        <v>181.8</v>
      </c>
      <c r="N66" s="46">
        <v>0</v>
      </c>
      <c r="O66" s="46">
        <v>10486.22</v>
      </c>
      <c r="P66" s="98"/>
      <c r="Q66" s="23" t="s">
        <v>1378</v>
      </c>
      <c r="R66" s="24" t="s">
        <v>186</v>
      </c>
      <c r="S66" s="25" t="s">
        <v>30</v>
      </c>
      <c r="T66" s="26">
        <v>187.82</v>
      </c>
      <c r="U66" s="26">
        <v>187.82</v>
      </c>
      <c r="V66" s="26">
        <f t="shared" si="10"/>
        <v>57.68</v>
      </c>
      <c r="W66" s="127">
        <f t="shared" si="8"/>
        <v>0</v>
      </c>
      <c r="X66" s="127">
        <f t="shared" si="3"/>
        <v>181.8</v>
      </c>
      <c r="Y66" s="127">
        <f t="shared" si="11"/>
        <v>0</v>
      </c>
      <c r="Z66" s="127">
        <f t="shared" si="4"/>
        <v>10486.22</v>
      </c>
      <c r="AA66" s="33" t="s">
        <v>15</v>
      </c>
      <c r="AB66" s="36" t="s">
        <v>16</v>
      </c>
      <c r="AC66" s="181">
        <f t="shared" si="5"/>
        <v>187.82</v>
      </c>
      <c r="AD66" s="181">
        <f t="shared" si="12"/>
        <v>10833.46</v>
      </c>
      <c r="AE66" s="181">
        <v>1.2</v>
      </c>
      <c r="AF66" s="181">
        <v>1.2</v>
      </c>
      <c r="AG66" s="101" t="str">
        <f t="shared" si="6"/>
        <v/>
      </c>
      <c r="AH66" s="194">
        <f>132.6+49.2</f>
        <v>181.8</v>
      </c>
      <c r="AI66" s="69">
        <f t="shared" si="7"/>
        <v>187.82</v>
      </c>
    </row>
    <row r="67" spans="1:35" s="69" customFormat="1" ht="26.1" customHeight="1" x14ac:dyDescent="0.3">
      <c r="A67" s="55" t="s">
        <v>188</v>
      </c>
      <c r="B67" s="53" t="s">
        <v>189</v>
      </c>
      <c r="C67" s="54" t="s">
        <v>30</v>
      </c>
      <c r="D67" s="75">
        <v>18.809999999999999</v>
      </c>
      <c r="E67" s="75"/>
      <c r="F67" s="75"/>
      <c r="G67" s="75"/>
      <c r="H67" s="75" t="s">
        <v>15</v>
      </c>
      <c r="I67" s="75">
        <v>138.84</v>
      </c>
      <c r="J67" s="75">
        <v>2611.58</v>
      </c>
      <c r="K67" s="91" t="s">
        <v>190</v>
      </c>
      <c r="L67" s="73"/>
      <c r="M67" s="46">
        <v>0</v>
      </c>
      <c r="N67" s="46">
        <v>0</v>
      </c>
      <c r="O67" s="46">
        <v>0</v>
      </c>
      <c r="P67" s="98"/>
      <c r="Q67" s="23" t="s">
        <v>1438</v>
      </c>
      <c r="R67" s="24" t="s">
        <v>189</v>
      </c>
      <c r="S67" s="25" t="s">
        <v>30</v>
      </c>
      <c r="T67" s="26">
        <v>18.809999999999999</v>
      </c>
      <c r="U67" s="26">
        <v>18.809999999999999</v>
      </c>
      <c r="V67" s="26">
        <f t="shared" si="10"/>
        <v>138.84</v>
      </c>
      <c r="W67" s="199">
        <f t="shared" si="8"/>
        <v>15.2</v>
      </c>
      <c r="X67" s="26">
        <f t="shared" si="3"/>
        <v>15.2</v>
      </c>
      <c r="Y67" s="26">
        <f t="shared" si="11"/>
        <v>2110.37</v>
      </c>
      <c r="Z67" s="26">
        <f t="shared" si="4"/>
        <v>2110.37</v>
      </c>
      <c r="AA67" s="33" t="s">
        <v>15</v>
      </c>
      <c r="AB67" s="36" t="s">
        <v>16</v>
      </c>
      <c r="AC67" s="181">
        <f t="shared" si="5"/>
        <v>18.809999999999999</v>
      </c>
      <c r="AD67" s="181">
        <f t="shared" si="12"/>
        <v>2611.58</v>
      </c>
      <c r="AE67" s="181">
        <v>1.2</v>
      </c>
      <c r="AF67" s="181">
        <v>1.2</v>
      </c>
      <c r="AG67" s="101" t="str">
        <f t="shared" si="6"/>
        <v/>
      </c>
      <c r="AH67" s="191">
        <f>15.2</f>
        <v>15.2</v>
      </c>
      <c r="AI67" s="69">
        <f t="shared" si="7"/>
        <v>18.809999999999999</v>
      </c>
    </row>
    <row r="68" spans="1:35" s="69" customFormat="1" ht="26.1" customHeight="1" x14ac:dyDescent="0.3">
      <c r="A68" s="55" t="s">
        <v>191</v>
      </c>
      <c r="B68" s="53" t="s">
        <v>192</v>
      </c>
      <c r="C68" s="54" t="s">
        <v>50</v>
      </c>
      <c r="D68" s="75">
        <v>20.48</v>
      </c>
      <c r="E68" s="75"/>
      <c r="F68" s="75"/>
      <c r="G68" s="75"/>
      <c r="H68" s="75" t="s">
        <v>15</v>
      </c>
      <c r="I68" s="75">
        <v>2145.42</v>
      </c>
      <c r="J68" s="75">
        <v>43938.2</v>
      </c>
      <c r="K68" s="91" t="s">
        <v>193</v>
      </c>
      <c r="L68" s="73"/>
      <c r="M68" s="46">
        <v>19.5</v>
      </c>
      <c r="N68" s="46">
        <v>0</v>
      </c>
      <c r="O68" s="46">
        <v>41835.69</v>
      </c>
      <c r="P68" s="98"/>
      <c r="Q68" s="23" t="s">
        <v>1439</v>
      </c>
      <c r="R68" s="24" t="s">
        <v>192</v>
      </c>
      <c r="S68" s="25" t="s">
        <v>50</v>
      </c>
      <c r="T68" s="26">
        <v>20.48</v>
      </c>
      <c r="U68" s="26">
        <v>20.48</v>
      </c>
      <c r="V68" s="26">
        <f t="shared" si="10"/>
        <v>2145.42</v>
      </c>
      <c r="W68" s="243">
        <f t="shared" si="8"/>
        <v>0</v>
      </c>
      <c r="X68" s="26">
        <f t="shared" si="3"/>
        <v>19.5</v>
      </c>
      <c r="Y68" s="26">
        <f t="shared" si="11"/>
        <v>0</v>
      </c>
      <c r="Z68" s="26">
        <f t="shared" si="4"/>
        <v>41835.69</v>
      </c>
      <c r="AA68" s="33" t="s">
        <v>15</v>
      </c>
      <c r="AB68" s="36" t="s">
        <v>16</v>
      </c>
      <c r="AC68" s="181">
        <f t="shared" si="5"/>
        <v>20.48</v>
      </c>
      <c r="AD68" s="181">
        <f t="shared" si="12"/>
        <v>43938.2</v>
      </c>
      <c r="AE68" s="181">
        <v>1.2</v>
      </c>
      <c r="AF68" s="181">
        <v>1.2</v>
      </c>
      <c r="AG68" s="101" t="str">
        <f t="shared" si="6"/>
        <v/>
      </c>
      <c r="AH68" s="191">
        <f>15.2+4.3</f>
        <v>19.5</v>
      </c>
      <c r="AI68" s="69">
        <f t="shared" si="7"/>
        <v>20.48</v>
      </c>
    </row>
    <row r="69" spans="1:35" s="69" customFormat="1" ht="26.1" customHeight="1" x14ac:dyDescent="0.3">
      <c r="A69" s="55" t="s">
        <v>194</v>
      </c>
      <c r="B69" s="215" t="s">
        <v>195</v>
      </c>
      <c r="C69" s="54" t="s">
        <v>30</v>
      </c>
      <c r="D69" s="75">
        <v>354.7</v>
      </c>
      <c r="E69" s="75"/>
      <c r="F69" s="75"/>
      <c r="G69" s="75"/>
      <c r="H69" s="75" t="s">
        <v>15</v>
      </c>
      <c r="I69" s="75">
        <v>511.4</v>
      </c>
      <c r="J69" s="75">
        <v>181393.58</v>
      </c>
      <c r="K69" s="91" t="s">
        <v>3143</v>
      </c>
      <c r="L69" s="73"/>
      <c r="M69" s="46">
        <v>285.29999999999995</v>
      </c>
      <c r="N69" s="46">
        <v>54770.940000000017</v>
      </c>
      <c r="O69" s="46">
        <v>145902.42000000001</v>
      </c>
      <c r="P69" s="98"/>
      <c r="Q69" s="23" t="s">
        <v>1440</v>
      </c>
      <c r="R69" s="24" t="s">
        <v>195</v>
      </c>
      <c r="S69" s="25" t="s">
        <v>30</v>
      </c>
      <c r="T69" s="26">
        <v>354.7</v>
      </c>
      <c r="U69" s="26">
        <v>354.7</v>
      </c>
      <c r="V69" s="26">
        <f t="shared" si="10"/>
        <v>511.4</v>
      </c>
      <c r="W69" s="243">
        <f t="shared" si="8"/>
        <v>69.399999999999977</v>
      </c>
      <c r="X69" s="127">
        <f t="shared" si="3"/>
        <v>354.69999999999993</v>
      </c>
      <c r="Y69" s="127">
        <f t="shared" si="11"/>
        <v>35491.159999999974</v>
      </c>
      <c r="Z69" s="127">
        <f t="shared" si="4"/>
        <v>181393.58</v>
      </c>
      <c r="AA69" s="33" t="s">
        <v>15</v>
      </c>
      <c r="AB69" s="36" t="s">
        <v>16</v>
      </c>
      <c r="AC69" s="181">
        <f t="shared" si="5"/>
        <v>354.7</v>
      </c>
      <c r="AD69" s="181">
        <f t="shared" si="12"/>
        <v>181393.58</v>
      </c>
      <c r="AE69" s="181">
        <v>1.2</v>
      </c>
      <c r="AF69" s="181">
        <v>1.2</v>
      </c>
      <c r="AG69" s="101" t="str">
        <f t="shared" si="6"/>
        <v/>
      </c>
      <c r="AH69" s="191">
        <f>127+51.2+107.1+69.4</f>
        <v>354.69999999999993</v>
      </c>
      <c r="AI69" s="69">
        <f t="shared" si="7"/>
        <v>354.7</v>
      </c>
    </row>
    <row r="70" spans="1:35" s="69" customFormat="1" ht="26.1" customHeight="1" x14ac:dyDescent="0.3">
      <c r="A70" s="55" t="s">
        <v>197</v>
      </c>
      <c r="B70" s="53" t="s">
        <v>198</v>
      </c>
      <c r="C70" s="54" t="s">
        <v>30</v>
      </c>
      <c r="D70" s="75">
        <v>44.7</v>
      </c>
      <c r="E70" s="75"/>
      <c r="F70" s="75"/>
      <c r="G70" s="75"/>
      <c r="H70" s="75" t="s">
        <v>15</v>
      </c>
      <c r="I70" s="75">
        <v>578.86</v>
      </c>
      <c r="J70" s="75">
        <v>25875.040000000001</v>
      </c>
      <c r="K70" s="91" t="s">
        <v>199</v>
      </c>
      <c r="L70" s="73"/>
      <c r="M70" s="46">
        <v>32</v>
      </c>
      <c r="N70" s="46">
        <v>18523.52</v>
      </c>
      <c r="O70" s="46">
        <v>18523.52</v>
      </c>
      <c r="P70" s="98"/>
      <c r="Q70" s="23" t="s">
        <v>1441</v>
      </c>
      <c r="R70" s="24" t="s">
        <v>198</v>
      </c>
      <c r="S70" s="25" t="s">
        <v>30</v>
      </c>
      <c r="T70" s="26">
        <v>44.7</v>
      </c>
      <c r="U70" s="26">
        <v>44.7</v>
      </c>
      <c r="V70" s="26">
        <f t="shared" si="10"/>
        <v>578.86</v>
      </c>
      <c r="W70" s="199">
        <f t="shared" si="8"/>
        <v>0</v>
      </c>
      <c r="X70" s="26">
        <f t="shared" si="3"/>
        <v>32</v>
      </c>
      <c r="Y70" s="26">
        <f t="shared" si="11"/>
        <v>0</v>
      </c>
      <c r="Z70" s="26">
        <f t="shared" si="4"/>
        <v>18523.52</v>
      </c>
      <c r="AA70" s="33" t="s">
        <v>15</v>
      </c>
      <c r="AB70" s="36" t="s">
        <v>16</v>
      </c>
      <c r="AC70" s="181">
        <f t="shared" si="5"/>
        <v>44.7</v>
      </c>
      <c r="AD70" s="181">
        <f t="shared" si="12"/>
        <v>25875.040000000001</v>
      </c>
      <c r="AE70" s="181">
        <v>1.2</v>
      </c>
      <c r="AF70" s="181">
        <v>1.2</v>
      </c>
      <c r="AG70" s="101" t="str">
        <f t="shared" si="6"/>
        <v/>
      </c>
      <c r="AH70" s="191">
        <f>32</f>
        <v>32</v>
      </c>
      <c r="AI70" s="69">
        <f t="shared" si="7"/>
        <v>44.7</v>
      </c>
    </row>
    <row r="71" spans="1:35" s="69" customFormat="1" ht="26.1" customHeight="1" x14ac:dyDescent="0.3">
      <c r="A71" s="55" t="s">
        <v>200</v>
      </c>
      <c r="B71" s="53" t="s">
        <v>201</v>
      </c>
      <c r="C71" s="54" t="s">
        <v>30</v>
      </c>
      <c r="D71" s="75">
        <v>31</v>
      </c>
      <c r="E71" s="75"/>
      <c r="F71" s="75"/>
      <c r="G71" s="75"/>
      <c r="H71" s="75" t="s">
        <v>15</v>
      </c>
      <c r="I71" s="75">
        <v>723.06</v>
      </c>
      <c r="J71" s="75">
        <v>22414.86</v>
      </c>
      <c r="K71" s="91" t="s">
        <v>202</v>
      </c>
      <c r="L71" s="73"/>
      <c r="M71" s="46">
        <v>0</v>
      </c>
      <c r="N71" s="46">
        <v>0</v>
      </c>
      <c r="O71" s="46">
        <v>0</v>
      </c>
      <c r="P71" s="98"/>
      <c r="Q71" s="23" t="s">
        <v>1442</v>
      </c>
      <c r="R71" s="24" t="s">
        <v>201</v>
      </c>
      <c r="S71" s="25" t="s">
        <v>30</v>
      </c>
      <c r="T71" s="26">
        <v>31</v>
      </c>
      <c r="U71" s="26">
        <v>31</v>
      </c>
      <c r="V71" s="26">
        <f t="shared" si="10"/>
        <v>723.06</v>
      </c>
      <c r="W71" s="26">
        <f t="shared" si="8"/>
        <v>0</v>
      </c>
      <c r="X71" s="26">
        <f t="shared" si="3"/>
        <v>0</v>
      </c>
      <c r="Y71" s="26">
        <f t="shared" si="11"/>
        <v>0</v>
      </c>
      <c r="Z71" s="26">
        <f t="shared" si="4"/>
        <v>0</v>
      </c>
      <c r="AA71" s="33" t="s">
        <v>15</v>
      </c>
      <c r="AB71" s="36" t="s">
        <v>16</v>
      </c>
      <c r="AC71" s="181">
        <f t="shared" si="5"/>
        <v>31</v>
      </c>
      <c r="AD71" s="181">
        <f t="shared" si="12"/>
        <v>22414.86</v>
      </c>
      <c r="AE71" s="181">
        <v>1.2</v>
      </c>
      <c r="AF71" s="181">
        <v>1.2</v>
      </c>
      <c r="AG71" s="101" t="str">
        <f t="shared" si="6"/>
        <v/>
      </c>
      <c r="AH71" s="264">
        <v>0</v>
      </c>
      <c r="AI71" s="69">
        <f t="shared" si="7"/>
        <v>31</v>
      </c>
    </row>
    <row r="72" spans="1:35" s="69" customFormat="1" ht="26.1" customHeight="1" x14ac:dyDescent="0.3">
      <c r="A72" s="55" t="s">
        <v>203</v>
      </c>
      <c r="B72" s="53" t="s">
        <v>204</v>
      </c>
      <c r="C72" s="54" t="s">
        <v>30</v>
      </c>
      <c r="D72" s="75">
        <v>18.100000000000001</v>
      </c>
      <c r="E72" s="75"/>
      <c r="F72" s="75"/>
      <c r="G72" s="75"/>
      <c r="H72" s="75" t="s">
        <v>15</v>
      </c>
      <c r="I72" s="75">
        <v>829.15</v>
      </c>
      <c r="J72" s="75">
        <v>15007.62</v>
      </c>
      <c r="K72" s="91" t="s">
        <v>205</v>
      </c>
      <c r="L72" s="73"/>
      <c r="M72" s="46">
        <v>7</v>
      </c>
      <c r="N72" s="46">
        <v>5804.05</v>
      </c>
      <c r="O72" s="46">
        <v>5804.05</v>
      </c>
      <c r="P72" s="98"/>
      <c r="Q72" s="23" t="s">
        <v>1443</v>
      </c>
      <c r="R72" s="24" t="s">
        <v>204</v>
      </c>
      <c r="S72" s="25" t="s">
        <v>30</v>
      </c>
      <c r="T72" s="26">
        <v>18.100000000000001</v>
      </c>
      <c r="U72" s="26">
        <v>18.100000000000001</v>
      </c>
      <c r="V72" s="26">
        <f t="shared" si="10"/>
        <v>829.15</v>
      </c>
      <c r="W72" s="199">
        <f t="shared" si="8"/>
        <v>0</v>
      </c>
      <c r="X72" s="26">
        <f t="shared" si="3"/>
        <v>7</v>
      </c>
      <c r="Y72" s="26">
        <f t="shared" si="11"/>
        <v>0</v>
      </c>
      <c r="Z72" s="26">
        <f t="shared" si="4"/>
        <v>5804.05</v>
      </c>
      <c r="AA72" s="33" t="s">
        <v>15</v>
      </c>
      <c r="AB72" s="36" t="s">
        <v>16</v>
      </c>
      <c r="AC72" s="181">
        <f t="shared" si="5"/>
        <v>18.100000000000001</v>
      </c>
      <c r="AD72" s="181">
        <f t="shared" si="12"/>
        <v>15007.62</v>
      </c>
      <c r="AE72" s="181">
        <v>1.2</v>
      </c>
      <c r="AF72" s="181">
        <v>1.2</v>
      </c>
      <c r="AG72" s="101" t="str">
        <f t="shared" si="6"/>
        <v/>
      </c>
      <c r="AH72" s="191">
        <f>7</f>
        <v>7</v>
      </c>
      <c r="AI72" s="69">
        <f t="shared" si="7"/>
        <v>18.100000000000001</v>
      </c>
    </row>
    <row r="73" spans="1:35" s="69" customFormat="1" ht="26.1" customHeight="1" x14ac:dyDescent="0.3">
      <c r="A73" s="55" t="s">
        <v>206</v>
      </c>
      <c r="B73" s="53" t="s">
        <v>207</v>
      </c>
      <c r="C73" s="54" t="s">
        <v>30</v>
      </c>
      <c r="D73" s="75">
        <v>180.4</v>
      </c>
      <c r="E73" s="75"/>
      <c r="F73" s="75"/>
      <c r="G73" s="75"/>
      <c r="H73" s="75" t="s">
        <v>15</v>
      </c>
      <c r="I73" s="75">
        <v>443.93</v>
      </c>
      <c r="J73" s="75">
        <v>80084.97</v>
      </c>
      <c r="K73" s="91" t="s">
        <v>208</v>
      </c>
      <c r="L73" s="73"/>
      <c r="M73" s="46">
        <v>0</v>
      </c>
      <c r="N73" s="46">
        <v>0</v>
      </c>
      <c r="O73" s="46">
        <v>0</v>
      </c>
      <c r="P73" s="98"/>
      <c r="Q73" s="23" t="s">
        <v>1444</v>
      </c>
      <c r="R73" s="24" t="s">
        <v>207</v>
      </c>
      <c r="S73" s="25" t="s">
        <v>30</v>
      </c>
      <c r="T73" s="26">
        <v>180.4</v>
      </c>
      <c r="U73" s="26">
        <v>180.4</v>
      </c>
      <c r="V73" s="26">
        <f t="shared" si="10"/>
        <v>443.93</v>
      </c>
      <c r="W73" s="26">
        <f t="shared" si="8"/>
        <v>0</v>
      </c>
      <c r="X73" s="26">
        <f t="shared" si="3"/>
        <v>0</v>
      </c>
      <c r="Y73" s="26">
        <f t="shared" si="11"/>
        <v>0</v>
      </c>
      <c r="Z73" s="26">
        <f t="shared" si="4"/>
        <v>0</v>
      </c>
      <c r="AA73" s="33" t="s">
        <v>15</v>
      </c>
      <c r="AB73" s="36" t="s">
        <v>16</v>
      </c>
      <c r="AC73" s="181">
        <f t="shared" si="5"/>
        <v>180.4</v>
      </c>
      <c r="AD73" s="181">
        <f t="shared" si="12"/>
        <v>80084.97</v>
      </c>
      <c r="AE73" s="181">
        <v>1.2</v>
      </c>
      <c r="AF73" s="181">
        <v>1.2</v>
      </c>
      <c r="AG73" s="101" t="str">
        <f t="shared" si="6"/>
        <v/>
      </c>
      <c r="AH73" s="264">
        <v>0</v>
      </c>
      <c r="AI73" s="69">
        <f t="shared" si="7"/>
        <v>180.4</v>
      </c>
    </row>
    <row r="74" spans="1:35" s="69" customFormat="1" ht="26.1" customHeight="1" x14ac:dyDescent="0.3">
      <c r="A74" s="130" t="s">
        <v>209</v>
      </c>
      <c r="B74" s="131" t="s">
        <v>210</v>
      </c>
      <c r="C74" s="132" t="s">
        <v>30</v>
      </c>
      <c r="D74" s="133">
        <v>25.6</v>
      </c>
      <c r="E74" s="75"/>
      <c r="F74" s="75"/>
      <c r="G74" s="75"/>
      <c r="H74" s="75" t="s">
        <v>15</v>
      </c>
      <c r="I74" s="75">
        <v>578.86</v>
      </c>
      <c r="J74" s="75">
        <v>14818.82</v>
      </c>
      <c r="K74" s="91" t="s">
        <v>211</v>
      </c>
      <c r="L74" s="73"/>
      <c r="M74" s="46">
        <v>24</v>
      </c>
      <c r="N74" s="46">
        <v>13892.64</v>
      </c>
      <c r="O74" s="46">
        <v>13892.64</v>
      </c>
      <c r="P74" s="98"/>
      <c r="Q74" s="23" t="s">
        <v>1408</v>
      </c>
      <c r="R74" s="24" t="s">
        <v>210</v>
      </c>
      <c r="S74" s="25" t="s">
        <v>30</v>
      </c>
      <c r="T74" s="26">
        <v>25.6</v>
      </c>
      <c r="U74" s="26">
        <v>25.6</v>
      </c>
      <c r="V74" s="26">
        <f t="shared" si="10"/>
        <v>578.86</v>
      </c>
      <c r="W74" s="209">
        <f t="shared" si="8"/>
        <v>0</v>
      </c>
      <c r="X74" s="127">
        <f t="shared" si="3"/>
        <v>24</v>
      </c>
      <c r="Y74" s="127">
        <f t="shared" si="11"/>
        <v>0</v>
      </c>
      <c r="Z74" s="127">
        <f t="shared" si="4"/>
        <v>13892.64</v>
      </c>
      <c r="AA74" s="33" t="s">
        <v>15</v>
      </c>
      <c r="AB74" s="36" t="s">
        <v>16</v>
      </c>
      <c r="AC74" s="181">
        <f t="shared" si="5"/>
        <v>25.6</v>
      </c>
      <c r="AD74" s="181">
        <f t="shared" si="12"/>
        <v>14818.82</v>
      </c>
      <c r="AE74" s="181">
        <v>1.2</v>
      </c>
      <c r="AF74" s="181">
        <v>1.2</v>
      </c>
      <c r="AG74" s="101" t="str">
        <f t="shared" si="6"/>
        <v/>
      </c>
      <c r="AH74" s="191">
        <f>24</f>
        <v>24</v>
      </c>
      <c r="AI74" s="69">
        <f t="shared" si="7"/>
        <v>25.6</v>
      </c>
    </row>
    <row r="75" spans="1:35" s="69" customFormat="1" ht="26.1" customHeight="1" x14ac:dyDescent="0.3">
      <c r="A75" s="55" t="s">
        <v>212</v>
      </c>
      <c r="B75" s="215" t="s">
        <v>213</v>
      </c>
      <c r="C75" s="54" t="s">
        <v>81</v>
      </c>
      <c r="D75" s="75">
        <v>7</v>
      </c>
      <c r="E75" s="75"/>
      <c r="F75" s="75"/>
      <c r="G75" s="75"/>
      <c r="H75" s="75" t="s">
        <v>15</v>
      </c>
      <c r="I75" s="75">
        <v>17307.09</v>
      </c>
      <c r="J75" s="75">
        <v>121149.63</v>
      </c>
      <c r="K75" s="91" t="s">
        <v>214</v>
      </c>
      <c r="L75" s="73"/>
      <c r="M75" s="46">
        <v>6</v>
      </c>
      <c r="N75" s="46">
        <v>51921.27</v>
      </c>
      <c r="O75" s="46">
        <v>103842.54</v>
      </c>
      <c r="P75" s="98"/>
      <c r="Q75" s="23" t="s">
        <v>1409</v>
      </c>
      <c r="R75" s="24" t="s">
        <v>213</v>
      </c>
      <c r="S75" s="25" t="s">
        <v>81</v>
      </c>
      <c r="T75" s="26">
        <v>7</v>
      </c>
      <c r="U75" s="26">
        <v>7</v>
      </c>
      <c r="V75" s="26">
        <f t="shared" si="10"/>
        <v>17307.09</v>
      </c>
      <c r="W75" s="243">
        <f t="shared" si="8"/>
        <v>1</v>
      </c>
      <c r="X75" s="127">
        <f t="shared" ref="X75:X132" si="13">W75+M75</f>
        <v>7</v>
      </c>
      <c r="Y75" s="127">
        <f t="shared" si="11"/>
        <v>17307.090000000011</v>
      </c>
      <c r="Z75" s="127">
        <f t="shared" ref="Z75:Z138" si="14">ROUND(V75*X75,2)</f>
        <v>121149.63</v>
      </c>
      <c r="AA75" s="33" t="s">
        <v>15</v>
      </c>
      <c r="AB75" s="36" t="s">
        <v>16</v>
      </c>
      <c r="AC75" s="181">
        <f t="shared" ref="AC75:AC138" si="15">IF(U75="",T75,U75)</f>
        <v>7</v>
      </c>
      <c r="AD75" s="181">
        <f t="shared" si="12"/>
        <v>121149.63</v>
      </c>
      <c r="AE75" s="181">
        <v>1.2</v>
      </c>
      <c r="AF75" s="181">
        <v>1.2</v>
      </c>
      <c r="AG75" s="101" t="str">
        <f t="shared" ref="AG75:AG138" si="16">IF(X75&gt;AI75,"超估","")</f>
        <v/>
      </c>
      <c r="AH75" s="191">
        <f>3+3+1</f>
        <v>7</v>
      </c>
      <c r="AI75" s="69">
        <f t="shared" ref="AI75:AI138" si="17">IF(G75=0,IF(F75=0,IF(E75=0,D75,E75),F75),G75)</f>
        <v>7</v>
      </c>
    </row>
    <row r="76" spans="1:35" s="69" customFormat="1" ht="26.1" customHeight="1" x14ac:dyDescent="0.3">
      <c r="A76" s="55" t="s">
        <v>215</v>
      </c>
      <c r="B76" s="53" t="s">
        <v>216</v>
      </c>
      <c r="C76" s="54" t="s">
        <v>30</v>
      </c>
      <c r="D76" s="75">
        <v>7.8</v>
      </c>
      <c r="E76" s="75"/>
      <c r="F76" s="75"/>
      <c r="G76" s="75"/>
      <c r="H76" s="75" t="s">
        <v>15</v>
      </c>
      <c r="I76" s="75">
        <v>443.93</v>
      </c>
      <c r="J76" s="75">
        <v>3462.65</v>
      </c>
      <c r="K76" s="91" t="s">
        <v>217</v>
      </c>
      <c r="L76" s="73"/>
      <c r="M76" s="46">
        <v>0</v>
      </c>
      <c r="N76" s="46">
        <v>0</v>
      </c>
      <c r="O76" s="46">
        <v>0</v>
      </c>
      <c r="P76" s="98"/>
      <c r="Q76" s="23" t="s">
        <v>1410</v>
      </c>
      <c r="R76" s="24" t="s">
        <v>216</v>
      </c>
      <c r="S76" s="25" t="s">
        <v>30</v>
      </c>
      <c r="T76" s="26">
        <v>7.8</v>
      </c>
      <c r="U76" s="26">
        <v>7.8</v>
      </c>
      <c r="V76" s="26">
        <f t="shared" si="10"/>
        <v>443.93</v>
      </c>
      <c r="W76" s="26">
        <f t="shared" ref="W76:W132" si="18">AH76-M76</f>
        <v>0</v>
      </c>
      <c r="X76" s="26">
        <f t="shared" si="13"/>
        <v>0</v>
      </c>
      <c r="Y76" s="26">
        <f t="shared" si="11"/>
        <v>0</v>
      </c>
      <c r="Z76" s="26">
        <f t="shared" si="14"/>
        <v>0</v>
      </c>
      <c r="AA76" s="33" t="s">
        <v>15</v>
      </c>
      <c r="AB76" s="36" t="s">
        <v>16</v>
      </c>
      <c r="AC76" s="181">
        <f t="shared" si="15"/>
        <v>7.8</v>
      </c>
      <c r="AD76" s="181">
        <f t="shared" si="12"/>
        <v>3462.65</v>
      </c>
      <c r="AE76" s="181">
        <v>1.2</v>
      </c>
      <c r="AF76" s="181">
        <v>1.2</v>
      </c>
      <c r="AG76" s="101" t="str">
        <f t="shared" si="16"/>
        <v/>
      </c>
      <c r="AH76" s="190">
        <v>0</v>
      </c>
      <c r="AI76" s="69">
        <f t="shared" si="17"/>
        <v>7.8</v>
      </c>
    </row>
    <row r="77" spans="1:35" s="69" customFormat="1" ht="26.1" customHeight="1" x14ac:dyDescent="0.3">
      <c r="A77" s="55" t="s">
        <v>218</v>
      </c>
      <c r="B77" s="53" t="s">
        <v>219</v>
      </c>
      <c r="C77" s="54" t="s">
        <v>81</v>
      </c>
      <c r="D77" s="75">
        <v>2</v>
      </c>
      <c r="E77" s="75"/>
      <c r="F77" s="75"/>
      <c r="G77" s="75"/>
      <c r="H77" s="75" t="s">
        <v>15</v>
      </c>
      <c r="I77" s="75">
        <v>13705.7</v>
      </c>
      <c r="J77" s="75">
        <v>27411.4</v>
      </c>
      <c r="K77" s="91" t="s">
        <v>220</v>
      </c>
      <c r="L77" s="73"/>
      <c r="M77" s="46">
        <v>0</v>
      </c>
      <c r="N77" s="46">
        <v>0</v>
      </c>
      <c r="O77" s="46">
        <v>0</v>
      </c>
      <c r="P77" s="98"/>
      <c r="Q77" s="23" t="s">
        <v>1411</v>
      </c>
      <c r="R77" s="24" t="s">
        <v>219</v>
      </c>
      <c r="S77" s="25" t="s">
        <v>81</v>
      </c>
      <c r="T77" s="26">
        <v>2</v>
      </c>
      <c r="U77" s="26">
        <v>2</v>
      </c>
      <c r="V77" s="26">
        <f t="shared" si="10"/>
        <v>13705.7</v>
      </c>
      <c r="W77" s="26">
        <f t="shared" si="18"/>
        <v>0</v>
      </c>
      <c r="X77" s="26">
        <f t="shared" si="13"/>
        <v>0</v>
      </c>
      <c r="Y77" s="26">
        <f t="shared" si="11"/>
        <v>0</v>
      </c>
      <c r="Z77" s="26">
        <f t="shared" si="14"/>
        <v>0</v>
      </c>
      <c r="AA77" s="33" t="s">
        <v>15</v>
      </c>
      <c r="AB77" s="36" t="s">
        <v>16</v>
      </c>
      <c r="AC77" s="181">
        <f t="shared" si="15"/>
        <v>2</v>
      </c>
      <c r="AD77" s="181">
        <f t="shared" si="12"/>
        <v>27411.4</v>
      </c>
      <c r="AE77" s="181">
        <v>1.2</v>
      </c>
      <c r="AF77" s="181">
        <v>1.2</v>
      </c>
      <c r="AG77" s="101" t="str">
        <f t="shared" si="16"/>
        <v/>
      </c>
      <c r="AH77" s="190">
        <v>0</v>
      </c>
      <c r="AI77" s="69">
        <f t="shared" si="17"/>
        <v>2</v>
      </c>
    </row>
    <row r="78" spans="1:35" s="69" customFormat="1" ht="26.1" customHeight="1" x14ac:dyDescent="0.3">
      <c r="A78" s="55" t="s">
        <v>221</v>
      </c>
      <c r="B78" s="53" t="s">
        <v>222</v>
      </c>
      <c r="C78" s="54" t="s">
        <v>81</v>
      </c>
      <c r="D78" s="75">
        <v>3</v>
      </c>
      <c r="E78" s="75"/>
      <c r="F78" s="75"/>
      <c r="G78" s="75"/>
      <c r="H78" s="75" t="s">
        <v>15</v>
      </c>
      <c r="I78" s="75">
        <v>25126.95</v>
      </c>
      <c r="J78" s="75">
        <v>75380.850000000006</v>
      </c>
      <c r="K78" s="91" t="s">
        <v>223</v>
      </c>
      <c r="L78" s="73"/>
      <c r="M78" s="46">
        <v>0</v>
      </c>
      <c r="N78" s="46">
        <v>0</v>
      </c>
      <c r="O78" s="46">
        <v>0</v>
      </c>
      <c r="P78" s="98"/>
      <c r="Q78" s="23" t="s">
        <v>1445</v>
      </c>
      <c r="R78" s="24" t="s">
        <v>222</v>
      </c>
      <c r="S78" s="25" t="s">
        <v>81</v>
      </c>
      <c r="T78" s="26">
        <v>3</v>
      </c>
      <c r="U78" s="26">
        <v>3</v>
      </c>
      <c r="V78" s="26">
        <f t="shared" si="10"/>
        <v>25126.95</v>
      </c>
      <c r="W78" s="26">
        <f t="shared" si="18"/>
        <v>0</v>
      </c>
      <c r="X78" s="26">
        <f t="shared" si="13"/>
        <v>0</v>
      </c>
      <c r="Y78" s="26">
        <f t="shared" si="11"/>
        <v>0</v>
      </c>
      <c r="Z78" s="26">
        <f t="shared" si="14"/>
        <v>0</v>
      </c>
      <c r="AA78" s="33" t="s">
        <v>15</v>
      </c>
      <c r="AB78" s="36" t="s">
        <v>16</v>
      </c>
      <c r="AC78" s="181">
        <f t="shared" si="15"/>
        <v>3</v>
      </c>
      <c r="AD78" s="181">
        <f t="shared" si="12"/>
        <v>75380.850000000006</v>
      </c>
      <c r="AE78" s="181">
        <v>1.2</v>
      </c>
      <c r="AF78" s="181">
        <v>1.2</v>
      </c>
      <c r="AG78" s="101" t="str">
        <f t="shared" si="16"/>
        <v/>
      </c>
      <c r="AH78" s="190">
        <v>0</v>
      </c>
      <c r="AI78" s="69">
        <f t="shared" si="17"/>
        <v>3</v>
      </c>
    </row>
    <row r="79" spans="1:35" s="69" customFormat="1" ht="26.1" customHeight="1" x14ac:dyDescent="0.3">
      <c r="A79" s="55" t="s">
        <v>224</v>
      </c>
      <c r="B79" s="53" t="s">
        <v>225</v>
      </c>
      <c r="C79" s="54" t="s">
        <v>30</v>
      </c>
      <c r="D79" s="75">
        <v>18</v>
      </c>
      <c r="E79" s="75"/>
      <c r="F79" s="75"/>
      <c r="G79" s="75"/>
      <c r="H79" s="75" t="s">
        <v>15</v>
      </c>
      <c r="I79" s="75">
        <v>2901.57</v>
      </c>
      <c r="J79" s="75">
        <v>52228.26</v>
      </c>
      <c r="K79" s="91" t="s">
        <v>226</v>
      </c>
      <c r="L79" s="73"/>
      <c r="M79" s="46">
        <v>12</v>
      </c>
      <c r="N79" s="46">
        <v>34818.839999999997</v>
      </c>
      <c r="O79" s="46">
        <v>34818.839999999997</v>
      </c>
      <c r="P79" s="98"/>
      <c r="Q79" s="23" t="s">
        <v>1383</v>
      </c>
      <c r="R79" s="24" t="s">
        <v>225</v>
      </c>
      <c r="S79" s="25" t="s">
        <v>30</v>
      </c>
      <c r="T79" s="26">
        <v>18</v>
      </c>
      <c r="U79" s="26">
        <v>18</v>
      </c>
      <c r="V79" s="26">
        <f t="shared" si="10"/>
        <v>2901.57</v>
      </c>
      <c r="W79" s="199">
        <f t="shared" si="18"/>
        <v>0</v>
      </c>
      <c r="X79" s="26">
        <f t="shared" si="13"/>
        <v>12</v>
      </c>
      <c r="Y79" s="26">
        <f t="shared" si="11"/>
        <v>0</v>
      </c>
      <c r="Z79" s="26">
        <f t="shared" si="14"/>
        <v>34818.839999999997</v>
      </c>
      <c r="AA79" s="33" t="s">
        <v>15</v>
      </c>
      <c r="AB79" s="36" t="s">
        <v>16</v>
      </c>
      <c r="AC79" s="181">
        <f t="shared" si="15"/>
        <v>18</v>
      </c>
      <c r="AD79" s="181">
        <f t="shared" si="12"/>
        <v>52228.26</v>
      </c>
      <c r="AE79" s="181">
        <v>1.2</v>
      </c>
      <c r="AF79" s="181">
        <v>1.2</v>
      </c>
      <c r="AG79" s="101" t="str">
        <f t="shared" si="16"/>
        <v/>
      </c>
      <c r="AH79" s="191">
        <f>12</f>
        <v>12</v>
      </c>
      <c r="AI79" s="69">
        <f t="shared" si="17"/>
        <v>18</v>
      </c>
    </row>
    <row r="80" spans="1:35" s="69" customFormat="1" ht="26.1" customHeight="1" x14ac:dyDescent="0.3">
      <c r="A80" s="130" t="s">
        <v>227</v>
      </c>
      <c r="B80" s="131" t="s">
        <v>228</v>
      </c>
      <c r="C80" s="132" t="s">
        <v>30</v>
      </c>
      <c r="D80" s="133">
        <v>17.100000000000001</v>
      </c>
      <c r="E80" s="75"/>
      <c r="F80" s="75"/>
      <c r="G80" s="75"/>
      <c r="H80" s="75" t="s">
        <v>15</v>
      </c>
      <c r="I80" s="75">
        <v>1762.96</v>
      </c>
      <c r="J80" s="75">
        <v>30146.62</v>
      </c>
      <c r="K80" s="91" t="s">
        <v>229</v>
      </c>
      <c r="L80" s="73"/>
      <c r="M80" s="46">
        <v>17.100000000000001</v>
      </c>
      <c r="N80" s="46">
        <v>0</v>
      </c>
      <c r="O80" s="46">
        <v>30146.62</v>
      </c>
      <c r="P80" s="98"/>
      <c r="Q80" s="23" t="s">
        <v>1384</v>
      </c>
      <c r="R80" s="24" t="s">
        <v>228</v>
      </c>
      <c r="S80" s="25" t="s">
        <v>30</v>
      </c>
      <c r="T80" s="26">
        <v>17.100000000000001</v>
      </c>
      <c r="U80" s="26">
        <v>17.100000000000001</v>
      </c>
      <c r="V80" s="26">
        <f t="shared" si="10"/>
        <v>1762.96</v>
      </c>
      <c r="W80" s="127">
        <f t="shared" si="18"/>
        <v>0</v>
      </c>
      <c r="X80" s="127">
        <f t="shared" si="13"/>
        <v>17.100000000000001</v>
      </c>
      <c r="Y80" s="127">
        <f t="shared" si="11"/>
        <v>0</v>
      </c>
      <c r="Z80" s="127">
        <f t="shared" si="14"/>
        <v>30146.62</v>
      </c>
      <c r="AA80" s="33" t="s">
        <v>15</v>
      </c>
      <c r="AB80" s="36" t="s">
        <v>16</v>
      </c>
      <c r="AC80" s="181">
        <f t="shared" si="15"/>
        <v>17.100000000000001</v>
      </c>
      <c r="AD80" s="181">
        <f t="shared" si="12"/>
        <v>30146.62</v>
      </c>
      <c r="AE80" s="181">
        <v>1.2</v>
      </c>
      <c r="AF80" s="181">
        <v>1.2</v>
      </c>
      <c r="AG80" s="101" t="str">
        <f t="shared" si="16"/>
        <v/>
      </c>
      <c r="AH80" s="194">
        <v>17.100000000000001</v>
      </c>
      <c r="AI80" s="69">
        <f t="shared" si="17"/>
        <v>17.100000000000001</v>
      </c>
    </row>
    <row r="81" spans="1:35" s="69" customFormat="1" ht="26.1" customHeight="1" x14ac:dyDescent="0.3">
      <c r="A81" s="130" t="s">
        <v>230</v>
      </c>
      <c r="B81" s="131" t="s">
        <v>231</v>
      </c>
      <c r="C81" s="132" t="s">
        <v>30</v>
      </c>
      <c r="D81" s="133">
        <v>77.400000000000006</v>
      </c>
      <c r="E81" s="75"/>
      <c r="F81" s="75"/>
      <c r="G81" s="75"/>
      <c r="H81" s="75" t="s">
        <v>15</v>
      </c>
      <c r="I81" s="75">
        <v>1224.3</v>
      </c>
      <c r="J81" s="75">
        <v>94760.82</v>
      </c>
      <c r="K81" s="91" t="s">
        <v>232</v>
      </c>
      <c r="L81" s="73"/>
      <c r="M81" s="46">
        <v>77.400000000000006</v>
      </c>
      <c r="N81" s="46">
        <v>26200.020000000004</v>
      </c>
      <c r="O81" s="46">
        <v>94760.82</v>
      </c>
      <c r="P81" s="98"/>
      <c r="Q81" s="23" t="s">
        <v>1385</v>
      </c>
      <c r="R81" s="24" t="s">
        <v>231</v>
      </c>
      <c r="S81" s="25" t="s">
        <v>30</v>
      </c>
      <c r="T81" s="26">
        <v>77.400000000000006</v>
      </c>
      <c r="U81" s="26">
        <v>77.400000000000006</v>
      </c>
      <c r="V81" s="26">
        <f t="shared" si="10"/>
        <v>1224.3</v>
      </c>
      <c r="W81" s="243">
        <f t="shared" si="18"/>
        <v>0</v>
      </c>
      <c r="X81" s="127">
        <f t="shared" si="13"/>
        <v>77.400000000000006</v>
      </c>
      <c r="Y81" s="127">
        <f t="shared" si="11"/>
        <v>0</v>
      </c>
      <c r="Z81" s="127">
        <f t="shared" si="14"/>
        <v>94760.82</v>
      </c>
      <c r="AA81" s="33" t="s">
        <v>15</v>
      </c>
      <c r="AB81" s="36" t="s">
        <v>16</v>
      </c>
      <c r="AC81" s="181">
        <f t="shared" si="15"/>
        <v>77.400000000000006</v>
      </c>
      <c r="AD81" s="181">
        <f t="shared" si="12"/>
        <v>94760.82</v>
      </c>
      <c r="AE81" s="181">
        <v>1.2</v>
      </c>
      <c r="AF81" s="181">
        <v>1.2</v>
      </c>
      <c r="AG81" s="101" t="str">
        <f t="shared" si="16"/>
        <v/>
      </c>
      <c r="AH81" s="191">
        <f>56+21.4</f>
        <v>77.400000000000006</v>
      </c>
      <c r="AI81" s="69">
        <f t="shared" si="17"/>
        <v>77.400000000000006</v>
      </c>
    </row>
    <row r="82" spans="1:35" s="69" customFormat="1" ht="26.1" customHeight="1" x14ac:dyDescent="0.3">
      <c r="A82" s="55" t="s">
        <v>233</v>
      </c>
      <c r="B82" s="215" t="s">
        <v>234</v>
      </c>
      <c r="C82" s="54" t="s">
        <v>30</v>
      </c>
      <c r="D82" s="75">
        <v>32.5</v>
      </c>
      <c r="E82" s="75"/>
      <c r="F82" s="75"/>
      <c r="G82" s="75"/>
      <c r="H82" s="75" t="s">
        <v>15</v>
      </c>
      <c r="I82" s="75">
        <v>1148.7</v>
      </c>
      <c r="J82" s="75">
        <v>37332.75</v>
      </c>
      <c r="K82" s="91" t="s">
        <v>235</v>
      </c>
      <c r="L82" s="73"/>
      <c r="M82" s="46">
        <v>0</v>
      </c>
      <c r="N82" s="46">
        <v>0</v>
      </c>
      <c r="O82" s="46">
        <v>0</v>
      </c>
      <c r="P82" s="98"/>
      <c r="Q82" s="23" t="s">
        <v>1446</v>
      </c>
      <c r="R82" s="24" t="s">
        <v>234</v>
      </c>
      <c r="S82" s="25" t="s">
        <v>30</v>
      </c>
      <c r="T82" s="26">
        <v>32.5</v>
      </c>
      <c r="U82" s="26">
        <v>32.5</v>
      </c>
      <c r="V82" s="26">
        <f t="shared" si="10"/>
        <v>1148.7</v>
      </c>
      <c r="W82" s="26">
        <f t="shared" si="18"/>
        <v>0</v>
      </c>
      <c r="X82" s="26">
        <f t="shared" si="13"/>
        <v>0</v>
      </c>
      <c r="Y82" s="26">
        <f t="shared" si="11"/>
        <v>0</v>
      </c>
      <c r="Z82" s="26">
        <f t="shared" si="14"/>
        <v>0</v>
      </c>
      <c r="AA82" s="33" t="s">
        <v>15</v>
      </c>
      <c r="AB82" s="36" t="s">
        <v>16</v>
      </c>
      <c r="AC82" s="181">
        <f t="shared" si="15"/>
        <v>32.5</v>
      </c>
      <c r="AD82" s="181">
        <f t="shared" si="12"/>
        <v>37332.75</v>
      </c>
      <c r="AE82" s="181">
        <v>1.2</v>
      </c>
      <c r="AF82" s="181">
        <v>1.2</v>
      </c>
      <c r="AG82" s="101" t="str">
        <f t="shared" si="16"/>
        <v/>
      </c>
      <c r="AH82" s="190">
        <v>0</v>
      </c>
      <c r="AI82" s="69">
        <f t="shared" si="17"/>
        <v>32.5</v>
      </c>
    </row>
    <row r="83" spans="1:35" s="69" customFormat="1" ht="26.1" customHeight="1" x14ac:dyDescent="0.3">
      <c r="A83" s="55" t="s">
        <v>236</v>
      </c>
      <c r="B83" s="53" t="s">
        <v>237</v>
      </c>
      <c r="C83" s="54" t="s">
        <v>81</v>
      </c>
      <c r="D83" s="75">
        <v>1</v>
      </c>
      <c r="E83" s="75"/>
      <c r="F83" s="75"/>
      <c r="G83" s="75"/>
      <c r="H83" s="75" t="s">
        <v>15</v>
      </c>
      <c r="I83" s="75">
        <v>19780.169999999998</v>
      </c>
      <c r="J83" s="75">
        <v>19780.169999999998</v>
      </c>
      <c r="K83" s="91" t="s">
        <v>238</v>
      </c>
      <c r="L83" s="73"/>
      <c r="M83" s="46">
        <v>0</v>
      </c>
      <c r="N83" s="46">
        <v>0</v>
      </c>
      <c r="O83" s="46">
        <v>0</v>
      </c>
      <c r="P83" s="98"/>
      <c r="Q83" s="23" t="s">
        <v>1447</v>
      </c>
      <c r="R83" s="24" t="s">
        <v>237</v>
      </c>
      <c r="S83" s="25" t="s">
        <v>81</v>
      </c>
      <c r="T83" s="26">
        <v>1</v>
      </c>
      <c r="U83" s="26">
        <v>1</v>
      </c>
      <c r="V83" s="26">
        <f t="shared" si="10"/>
        <v>19780.169999999998</v>
      </c>
      <c r="W83" s="26">
        <f t="shared" si="18"/>
        <v>0</v>
      </c>
      <c r="X83" s="26">
        <f t="shared" si="13"/>
        <v>0</v>
      </c>
      <c r="Y83" s="26">
        <f t="shared" si="11"/>
        <v>0</v>
      </c>
      <c r="Z83" s="26">
        <f t="shared" si="14"/>
        <v>0</v>
      </c>
      <c r="AA83" s="33" t="s">
        <v>15</v>
      </c>
      <c r="AB83" s="36" t="s">
        <v>16</v>
      </c>
      <c r="AC83" s="181">
        <f t="shared" si="15"/>
        <v>1</v>
      </c>
      <c r="AD83" s="181">
        <f t="shared" si="12"/>
        <v>19780.169999999998</v>
      </c>
      <c r="AE83" s="181">
        <v>1.2</v>
      </c>
      <c r="AF83" s="181">
        <v>1.2</v>
      </c>
      <c r="AG83" s="101" t="str">
        <f t="shared" si="16"/>
        <v/>
      </c>
      <c r="AH83" s="190">
        <v>0</v>
      </c>
      <c r="AI83" s="69">
        <f t="shared" si="17"/>
        <v>1</v>
      </c>
    </row>
    <row r="84" spans="1:35" s="69" customFormat="1" ht="26.1" customHeight="1" x14ac:dyDescent="0.3">
      <c r="A84" s="55" t="s">
        <v>239</v>
      </c>
      <c r="B84" s="53" t="s">
        <v>240</v>
      </c>
      <c r="C84" s="54" t="s">
        <v>81</v>
      </c>
      <c r="D84" s="75">
        <v>1</v>
      </c>
      <c r="E84" s="75"/>
      <c r="F84" s="75"/>
      <c r="G84" s="75"/>
      <c r="H84" s="75" t="s">
        <v>15</v>
      </c>
      <c r="I84" s="75">
        <v>1218.03</v>
      </c>
      <c r="J84" s="75">
        <v>1218.03</v>
      </c>
      <c r="K84" s="91" t="s">
        <v>241</v>
      </c>
      <c r="L84" s="73"/>
      <c r="M84" s="46">
        <v>0</v>
      </c>
      <c r="N84" s="46">
        <v>0</v>
      </c>
      <c r="O84" s="46">
        <v>0</v>
      </c>
      <c r="P84" s="98"/>
      <c r="Q84" s="23" t="s">
        <v>1448</v>
      </c>
      <c r="R84" s="24" t="s">
        <v>240</v>
      </c>
      <c r="S84" s="25" t="s">
        <v>81</v>
      </c>
      <c r="T84" s="26">
        <v>1</v>
      </c>
      <c r="U84" s="26">
        <v>1</v>
      </c>
      <c r="V84" s="26">
        <f t="shared" si="10"/>
        <v>1218.03</v>
      </c>
      <c r="W84" s="26">
        <f t="shared" si="18"/>
        <v>0</v>
      </c>
      <c r="X84" s="26">
        <f t="shared" si="13"/>
        <v>0</v>
      </c>
      <c r="Y84" s="26">
        <f t="shared" si="11"/>
        <v>0</v>
      </c>
      <c r="Z84" s="26">
        <f t="shared" si="14"/>
        <v>0</v>
      </c>
      <c r="AA84" s="33" t="s">
        <v>15</v>
      </c>
      <c r="AB84" s="36" t="s">
        <v>16</v>
      </c>
      <c r="AC84" s="181">
        <f t="shared" si="15"/>
        <v>1</v>
      </c>
      <c r="AD84" s="181">
        <f t="shared" si="12"/>
        <v>1218.03</v>
      </c>
      <c r="AE84" s="181">
        <v>1.2</v>
      </c>
      <c r="AF84" s="181">
        <v>1.2</v>
      </c>
      <c r="AG84" s="101" t="str">
        <f t="shared" si="16"/>
        <v/>
      </c>
      <c r="AH84" s="190">
        <v>0</v>
      </c>
      <c r="AI84" s="69">
        <f t="shared" si="17"/>
        <v>1</v>
      </c>
    </row>
    <row r="85" spans="1:35" s="69" customFormat="1" ht="26.1" customHeight="1" x14ac:dyDescent="0.3">
      <c r="A85" s="55" t="s">
        <v>242</v>
      </c>
      <c r="B85" s="53" t="s">
        <v>243</v>
      </c>
      <c r="C85" s="54" t="s">
        <v>81</v>
      </c>
      <c r="D85" s="75">
        <v>1</v>
      </c>
      <c r="E85" s="75"/>
      <c r="F85" s="75"/>
      <c r="G85" s="75"/>
      <c r="H85" s="75" t="s">
        <v>15</v>
      </c>
      <c r="I85" s="75">
        <v>3110.7</v>
      </c>
      <c r="J85" s="75">
        <v>3110.7</v>
      </c>
      <c r="K85" s="91" t="s">
        <v>244</v>
      </c>
      <c r="L85" s="73"/>
      <c r="M85" s="46">
        <v>0</v>
      </c>
      <c r="N85" s="46">
        <v>0</v>
      </c>
      <c r="O85" s="46">
        <v>0</v>
      </c>
      <c r="P85" s="98"/>
      <c r="Q85" s="23" t="s">
        <v>1449</v>
      </c>
      <c r="R85" s="24" t="s">
        <v>243</v>
      </c>
      <c r="S85" s="25" t="s">
        <v>81</v>
      </c>
      <c r="T85" s="26">
        <v>1</v>
      </c>
      <c r="U85" s="26">
        <v>1</v>
      </c>
      <c r="V85" s="26">
        <f t="shared" si="10"/>
        <v>3110.7</v>
      </c>
      <c r="W85" s="26">
        <f t="shared" si="18"/>
        <v>0</v>
      </c>
      <c r="X85" s="26">
        <f t="shared" si="13"/>
        <v>0</v>
      </c>
      <c r="Y85" s="26">
        <f t="shared" si="11"/>
        <v>0</v>
      </c>
      <c r="Z85" s="26">
        <f t="shared" si="14"/>
        <v>0</v>
      </c>
      <c r="AA85" s="33" t="s">
        <v>15</v>
      </c>
      <c r="AB85" s="36" t="s">
        <v>16</v>
      </c>
      <c r="AC85" s="181">
        <f t="shared" si="15"/>
        <v>1</v>
      </c>
      <c r="AD85" s="181">
        <f t="shared" si="12"/>
        <v>3110.7</v>
      </c>
      <c r="AE85" s="181">
        <v>1.2</v>
      </c>
      <c r="AF85" s="181">
        <v>1.2</v>
      </c>
      <c r="AG85" s="101" t="str">
        <f t="shared" si="16"/>
        <v/>
      </c>
      <c r="AH85" s="190">
        <v>0</v>
      </c>
      <c r="AI85" s="69">
        <f t="shared" si="17"/>
        <v>1</v>
      </c>
    </row>
    <row r="86" spans="1:35" s="69" customFormat="1" ht="26.1" customHeight="1" x14ac:dyDescent="0.3">
      <c r="A86" s="55" t="s">
        <v>245</v>
      </c>
      <c r="B86" s="53" t="s">
        <v>246</v>
      </c>
      <c r="C86" s="54" t="s">
        <v>81</v>
      </c>
      <c r="D86" s="75">
        <v>1</v>
      </c>
      <c r="E86" s="75"/>
      <c r="F86" s="75"/>
      <c r="G86" s="75"/>
      <c r="H86" s="75" t="s">
        <v>15</v>
      </c>
      <c r="I86" s="75">
        <v>1251.0999999999999</v>
      </c>
      <c r="J86" s="75">
        <v>1251.0999999999999</v>
      </c>
      <c r="K86" s="91" t="s">
        <v>247</v>
      </c>
      <c r="L86" s="73"/>
      <c r="M86" s="46">
        <v>0</v>
      </c>
      <c r="N86" s="46">
        <v>0</v>
      </c>
      <c r="O86" s="46">
        <v>0</v>
      </c>
      <c r="P86" s="98"/>
      <c r="Q86" s="23" t="s">
        <v>1450</v>
      </c>
      <c r="R86" s="24" t="s">
        <v>246</v>
      </c>
      <c r="S86" s="25" t="s">
        <v>81</v>
      </c>
      <c r="T86" s="26">
        <v>1</v>
      </c>
      <c r="U86" s="26">
        <v>1</v>
      </c>
      <c r="V86" s="26">
        <f t="shared" si="10"/>
        <v>1251.0999999999999</v>
      </c>
      <c r="W86" s="26">
        <f t="shared" si="18"/>
        <v>0</v>
      </c>
      <c r="X86" s="26">
        <f t="shared" si="13"/>
        <v>0</v>
      </c>
      <c r="Y86" s="26">
        <f t="shared" si="11"/>
        <v>0</v>
      </c>
      <c r="Z86" s="26">
        <f t="shared" si="14"/>
        <v>0</v>
      </c>
      <c r="AA86" s="33" t="s">
        <v>15</v>
      </c>
      <c r="AB86" s="36" t="s">
        <v>16</v>
      </c>
      <c r="AC86" s="181">
        <f t="shared" si="15"/>
        <v>1</v>
      </c>
      <c r="AD86" s="181">
        <f t="shared" si="12"/>
        <v>1251.0999999999999</v>
      </c>
      <c r="AE86" s="181">
        <v>1.2</v>
      </c>
      <c r="AF86" s="181">
        <v>1.2</v>
      </c>
      <c r="AG86" s="101" t="str">
        <f t="shared" si="16"/>
        <v/>
      </c>
      <c r="AH86" s="190">
        <v>0</v>
      </c>
      <c r="AI86" s="69">
        <f t="shared" si="17"/>
        <v>1</v>
      </c>
    </row>
    <row r="87" spans="1:35" s="69" customFormat="1" ht="26.1" customHeight="1" x14ac:dyDescent="0.3">
      <c r="A87" s="55" t="s">
        <v>248</v>
      </c>
      <c r="B87" s="53" t="s">
        <v>249</v>
      </c>
      <c r="C87" s="54" t="s">
        <v>81</v>
      </c>
      <c r="D87" s="75">
        <v>1</v>
      </c>
      <c r="E87" s="75"/>
      <c r="F87" s="75"/>
      <c r="G87" s="75"/>
      <c r="H87" s="75" t="s">
        <v>15</v>
      </c>
      <c r="I87" s="75">
        <v>9500.58</v>
      </c>
      <c r="J87" s="75">
        <v>9500.58</v>
      </c>
      <c r="K87" s="91" t="s">
        <v>250</v>
      </c>
      <c r="L87" s="73"/>
      <c r="M87" s="46">
        <v>0</v>
      </c>
      <c r="N87" s="46">
        <v>0</v>
      </c>
      <c r="O87" s="46">
        <v>0</v>
      </c>
      <c r="P87" s="98"/>
      <c r="Q87" s="23" t="s">
        <v>1451</v>
      </c>
      <c r="R87" s="24" t="s">
        <v>249</v>
      </c>
      <c r="S87" s="25" t="s">
        <v>81</v>
      </c>
      <c r="T87" s="26">
        <v>1</v>
      </c>
      <c r="U87" s="26">
        <v>1</v>
      </c>
      <c r="V87" s="26">
        <f t="shared" si="10"/>
        <v>9500.58</v>
      </c>
      <c r="W87" s="26">
        <f t="shared" si="18"/>
        <v>0</v>
      </c>
      <c r="X87" s="26">
        <f t="shared" si="13"/>
        <v>0</v>
      </c>
      <c r="Y87" s="26">
        <f t="shared" si="11"/>
        <v>0</v>
      </c>
      <c r="Z87" s="26">
        <f t="shared" si="14"/>
        <v>0</v>
      </c>
      <c r="AA87" s="33" t="s">
        <v>15</v>
      </c>
      <c r="AB87" s="36" t="s">
        <v>16</v>
      </c>
      <c r="AC87" s="181">
        <f t="shared" si="15"/>
        <v>1</v>
      </c>
      <c r="AD87" s="181">
        <f t="shared" si="12"/>
        <v>9500.58</v>
      </c>
      <c r="AE87" s="181">
        <v>1.2</v>
      </c>
      <c r="AF87" s="181">
        <v>1.2</v>
      </c>
      <c r="AG87" s="101" t="str">
        <f t="shared" si="16"/>
        <v/>
      </c>
      <c r="AH87" s="190">
        <v>0</v>
      </c>
      <c r="AI87" s="69">
        <f t="shared" si="17"/>
        <v>1</v>
      </c>
    </row>
    <row r="88" spans="1:35" s="69" customFormat="1" ht="26.1" customHeight="1" x14ac:dyDescent="0.3">
      <c r="A88" s="55" t="s">
        <v>251</v>
      </c>
      <c r="B88" s="53" t="s">
        <v>252</v>
      </c>
      <c r="C88" s="54" t="s">
        <v>81</v>
      </c>
      <c r="D88" s="75">
        <v>1</v>
      </c>
      <c r="E88" s="75"/>
      <c r="F88" s="75"/>
      <c r="G88" s="75"/>
      <c r="H88" s="75" t="s">
        <v>15</v>
      </c>
      <c r="I88" s="75">
        <v>3871.43</v>
      </c>
      <c r="J88" s="75">
        <v>3871.43</v>
      </c>
      <c r="K88" s="91" t="s">
        <v>253</v>
      </c>
      <c r="L88" s="73"/>
      <c r="M88" s="46">
        <v>0</v>
      </c>
      <c r="N88" s="46">
        <v>0</v>
      </c>
      <c r="O88" s="46">
        <v>0</v>
      </c>
      <c r="P88" s="98"/>
      <c r="Q88" s="23" t="s">
        <v>1452</v>
      </c>
      <c r="R88" s="24" t="s">
        <v>252</v>
      </c>
      <c r="S88" s="25" t="s">
        <v>81</v>
      </c>
      <c r="T88" s="26">
        <v>1</v>
      </c>
      <c r="U88" s="26">
        <v>1</v>
      </c>
      <c r="V88" s="26">
        <f t="shared" si="10"/>
        <v>3871.43</v>
      </c>
      <c r="W88" s="26">
        <f t="shared" si="18"/>
        <v>0</v>
      </c>
      <c r="X88" s="26">
        <f t="shared" si="13"/>
        <v>0</v>
      </c>
      <c r="Y88" s="26">
        <f t="shared" si="11"/>
        <v>0</v>
      </c>
      <c r="Z88" s="26">
        <f t="shared" si="14"/>
        <v>0</v>
      </c>
      <c r="AA88" s="33" t="s">
        <v>15</v>
      </c>
      <c r="AB88" s="36" t="s">
        <v>16</v>
      </c>
      <c r="AC88" s="181">
        <f t="shared" si="15"/>
        <v>1</v>
      </c>
      <c r="AD88" s="181">
        <f t="shared" si="12"/>
        <v>3871.43</v>
      </c>
      <c r="AE88" s="181">
        <v>1.2</v>
      </c>
      <c r="AF88" s="181">
        <v>1.2</v>
      </c>
      <c r="AG88" s="101" t="str">
        <f t="shared" si="16"/>
        <v/>
      </c>
      <c r="AH88" s="190">
        <v>0</v>
      </c>
      <c r="AI88" s="69">
        <f t="shared" si="17"/>
        <v>1</v>
      </c>
    </row>
    <row r="89" spans="1:35" s="69" customFormat="1" ht="26.1" customHeight="1" x14ac:dyDescent="0.3">
      <c r="A89" s="55" t="s">
        <v>254</v>
      </c>
      <c r="B89" s="53" t="s">
        <v>255</v>
      </c>
      <c r="C89" s="54" t="s">
        <v>81</v>
      </c>
      <c r="D89" s="75">
        <v>1</v>
      </c>
      <c r="E89" s="75"/>
      <c r="F89" s="75"/>
      <c r="G89" s="75"/>
      <c r="H89" s="75" t="s">
        <v>15</v>
      </c>
      <c r="I89" s="75">
        <v>25380.34</v>
      </c>
      <c r="J89" s="75">
        <v>25380.34</v>
      </c>
      <c r="K89" s="91" t="s">
        <v>256</v>
      </c>
      <c r="L89" s="73"/>
      <c r="M89" s="46">
        <v>0</v>
      </c>
      <c r="N89" s="46">
        <v>0</v>
      </c>
      <c r="O89" s="46">
        <v>0</v>
      </c>
      <c r="P89" s="98"/>
      <c r="Q89" s="23" t="s">
        <v>1453</v>
      </c>
      <c r="R89" s="24" t="s">
        <v>255</v>
      </c>
      <c r="S89" s="25" t="s">
        <v>81</v>
      </c>
      <c r="T89" s="26">
        <v>1</v>
      </c>
      <c r="U89" s="26">
        <v>1</v>
      </c>
      <c r="V89" s="26">
        <f t="shared" si="10"/>
        <v>25380.34</v>
      </c>
      <c r="W89" s="26">
        <f t="shared" si="18"/>
        <v>0</v>
      </c>
      <c r="X89" s="26">
        <f t="shared" si="13"/>
        <v>0</v>
      </c>
      <c r="Y89" s="26">
        <f t="shared" si="11"/>
        <v>0</v>
      </c>
      <c r="Z89" s="26">
        <f t="shared" si="14"/>
        <v>0</v>
      </c>
      <c r="AA89" s="33" t="s">
        <v>15</v>
      </c>
      <c r="AB89" s="36" t="s">
        <v>16</v>
      </c>
      <c r="AC89" s="181">
        <f t="shared" si="15"/>
        <v>1</v>
      </c>
      <c r="AD89" s="181">
        <f t="shared" si="12"/>
        <v>25380.34</v>
      </c>
      <c r="AE89" s="181">
        <v>1.2</v>
      </c>
      <c r="AF89" s="181">
        <v>1.2</v>
      </c>
      <c r="AG89" s="101" t="str">
        <f t="shared" si="16"/>
        <v/>
      </c>
      <c r="AH89" s="190">
        <v>0</v>
      </c>
      <c r="AI89" s="69">
        <f t="shared" si="17"/>
        <v>1</v>
      </c>
    </row>
    <row r="90" spans="1:35" s="69" customFormat="1" ht="26.1" customHeight="1" x14ac:dyDescent="0.3">
      <c r="A90" s="130" t="s">
        <v>257</v>
      </c>
      <c r="B90" s="131" t="s">
        <v>258</v>
      </c>
      <c r="C90" s="132" t="s">
        <v>30</v>
      </c>
      <c r="D90" s="133">
        <v>13.9</v>
      </c>
      <c r="E90" s="75"/>
      <c r="F90" s="75"/>
      <c r="G90" s="75"/>
      <c r="H90" s="75" t="s">
        <v>15</v>
      </c>
      <c r="I90" s="75">
        <v>1285.31</v>
      </c>
      <c r="J90" s="75">
        <v>17865.810000000001</v>
      </c>
      <c r="K90" s="91" t="s">
        <v>259</v>
      </c>
      <c r="L90" s="73"/>
      <c r="M90" s="46">
        <v>13.9</v>
      </c>
      <c r="N90" s="46">
        <v>0</v>
      </c>
      <c r="O90" s="46">
        <v>17865.810000000001</v>
      </c>
      <c r="P90" s="98"/>
      <c r="Q90" s="23" t="s">
        <v>1454</v>
      </c>
      <c r="R90" s="24" t="s">
        <v>258</v>
      </c>
      <c r="S90" s="25" t="s">
        <v>30</v>
      </c>
      <c r="T90" s="26">
        <v>13.9</v>
      </c>
      <c r="U90" s="26">
        <v>13.9</v>
      </c>
      <c r="V90" s="26">
        <f t="shared" si="10"/>
        <v>1285.31</v>
      </c>
      <c r="W90" s="209">
        <f t="shared" si="18"/>
        <v>0</v>
      </c>
      <c r="X90" s="127">
        <f t="shared" si="13"/>
        <v>13.9</v>
      </c>
      <c r="Y90" s="127">
        <f t="shared" si="11"/>
        <v>0</v>
      </c>
      <c r="Z90" s="127">
        <f t="shared" si="14"/>
        <v>17865.810000000001</v>
      </c>
      <c r="AA90" s="33" t="s">
        <v>15</v>
      </c>
      <c r="AB90" s="36" t="s">
        <v>16</v>
      </c>
      <c r="AC90" s="181">
        <f t="shared" si="15"/>
        <v>13.9</v>
      </c>
      <c r="AD90" s="181">
        <f t="shared" si="12"/>
        <v>17865.810000000001</v>
      </c>
      <c r="AE90" s="181">
        <v>1.2</v>
      </c>
      <c r="AF90" s="181">
        <v>1.2</v>
      </c>
      <c r="AG90" s="101" t="str">
        <f t="shared" si="16"/>
        <v/>
      </c>
      <c r="AH90" s="191">
        <f>13.9</f>
        <v>13.9</v>
      </c>
      <c r="AI90" s="69">
        <f t="shared" si="17"/>
        <v>13.9</v>
      </c>
    </row>
    <row r="91" spans="1:35" s="69" customFormat="1" ht="26.1" customHeight="1" x14ac:dyDescent="0.3">
      <c r="A91" s="55" t="s">
        <v>260</v>
      </c>
      <c r="B91" s="53" t="s">
        <v>261</v>
      </c>
      <c r="C91" s="54" t="s">
        <v>30</v>
      </c>
      <c r="D91" s="75">
        <v>94.15</v>
      </c>
      <c r="E91" s="75"/>
      <c r="F91" s="75"/>
      <c r="G91" s="75"/>
      <c r="H91" s="75" t="s">
        <v>15</v>
      </c>
      <c r="I91" s="75">
        <v>1976.06</v>
      </c>
      <c r="J91" s="75">
        <v>186046.05</v>
      </c>
      <c r="K91" s="91" t="s">
        <v>262</v>
      </c>
      <c r="L91" s="73"/>
      <c r="M91" s="46">
        <v>88.1</v>
      </c>
      <c r="N91" s="46">
        <v>121330.09000000001</v>
      </c>
      <c r="O91" s="46">
        <v>174090.89</v>
      </c>
      <c r="P91" s="98"/>
      <c r="Q91" s="23" t="s">
        <v>1455</v>
      </c>
      <c r="R91" s="24" t="s">
        <v>261</v>
      </c>
      <c r="S91" s="25" t="s">
        <v>30</v>
      </c>
      <c r="T91" s="26">
        <v>94.15</v>
      </c>
      <c r="U91" s="26">
        <v>94.15</v>
      </c>
      <c r="V91" s="26">
        <f t="shared" si="10"/>
        <v>1976.06</v>
      </c>
      <c r="W91" s="243">
        <f t="shared" si="18"/>
        <v>0</v>
      </c>
      <c r="X91" s="26">
        <f t="shared" si="13"/>
        <v>88.1</v>
      </c>
      <c r="Y91" s="26">
        <f t="shared" si="11"/>
        <v>0</v>
      </c>
      <c r="Z91" s="26">
        <f t="shared" si="14"/>
        <v>174090.89</v>
      </c>
      <c r="AA91" s="33" t="s">
        <v>15</v>
      </c>
      <c r="AB91" s="36" t="s">
        <v>16</v>
      </c>
      <c r="AC91" s="181">
        <f t="shared" si="15"/>
        <v>94.15</v>
      </c>
      <c r="AD91" s="181">
        <f t="shared" si="12"/>
        <v>186046.05</v>
      </c>
      <c r="AE91" s="181">
        <v>1.2</v>
      </c>
      <c r="AF91" s="181">
        <v>1.2</v>
      </c>
      <c r="AG91" s="101" t="str">
        <f t="shared" si="16"/>
        <v/>
      </c>
      <c r="AH91" s="191">
        <f>26.7+61.4</f>
        <v>88.1</v>
      </c>
      <c r="AI91" s="69">
        <f t="shared" si="17"/>
        <v>94.15</v>
      </c>
    </row>
    <row r="92" spans="1:35" s="69" customFormat="1" ht="26.1" customHeight="1" x14ac:dyDescent="0.3">
      <c r="A92" s="130" t="s">
        <v>263</v>
      </c>
      <c r="B92" s="131" t="s">
        <v>264</v>
      </c>
      <c r="C92" s="132" t="s">
        <v>30</v>
      </c>
      <c r="D92" s="133">
        <v>13.5</v>
      </c>
      <c r="E92" s="75"/>
      <c r="F92" s="75"/>
      <c r="G92" s="75"/>
      <c r="H92" s="75" t="s">
        <v>15</v>
      </c>
      <c r="I92" s="75">
        <v>1889.54</v>
      </c>
      <c r="J92" s="75">
        <v>25508.79</v>
      </c>
      <c r="K92" s="91" t="s">
        <v>265</v>
      </c>
      <c r="L92" s="73"/>
      <c r="M92" s="46">
        <v>13.1</v>
      </c>
      <c r="N92" s="46">
        <v>3023.260000000002</v>
      </c>
      <c r="O92" s="46">
        <v>24752.97</v>
      </c>
      <c r="P92" s="98"/>
      <c r="Q92" s="23" t="s">
        <v>1456</v>
      </c>
      <c r="R92" s="24" t="s">
        <v>264</v>
      </c>
      <c r="S92" s="25" t="s">
        <v>30</v>
      </c>
      <c r="T92" s="26">
        <v>13.5</v>
      </c>
      <c r="U92" s="26">
        <v>13.5</v>
      </c>
      <c r="V92" s="26">
        <f t="shared" si="10"/>
        <v>1889.54</v>
      </c>
      <c r="W92" s="243">
        <f t="shared" si="18"/>
        <v>0</v>
      </c>
      <c r="X92" s="127">
        <f t="shared" si="13"/>
        <v>13.1</v>
      </c>
      <c r="Y92" s="127">
        <f t="shared" si="11"/>
        <v>0</v>
      </c>
      <c r="Z92" s="127">
        <f t="shared" si="14"/>
        <v>24752.97</v>
      </c>
      <c r="AA92" s="33" t="s">
        <v>15</v>
      </c>
      <c r="AB92" s="36" t="s">
        <v>16</v>
      </c>
      <c r="AC92" s="181">
        <f t="shared" si="15"/>
        <v>13.5</v>
      </c>
      <c r="AD92" s="181">
        <f t="shared" si="12"/>
        <v>25508.79</v>
      </c>
      <c r="AE92" s="181">
        <v>1.2</v>
      </c>
      <c r="AF92" s="181">
        <v>1.2</v>
      </c>
      <c r="AG92" s="101" t="str">
        <f t="shared" si="16"/>
        <v/>
      </c>
      <c r="AH92" s="191">
        <f>11.5+1.6</f>
        <v>13.1</v>
      </c>
      <c r="AI92" s="69">
        <f t="shared" si="17"/>
        <v>13.5</v>
      </c>
    </row>
    <row r="93" spans="1:35" s="69" customFormat="1" ht="33" x14ac:dyDescent="0.3">
      <c r="A93" s="130" t="s">
        <v>266</v>
      </c>
      <c r="B93" s="131" t="s">
        <v>267</v>
      </c>
      <c r="C93" s="132" t="s">
        <v>30</v>
      </c>
      <c r="D93" s="133">
        <v>13.7</v>
      </c>
      <c r="E93" s="75"/>
      <c r="F93" s="75"/>
      <c r="G93" s="75"/>
      <c r="H93" s="75" t="s">
        <v>15</v>
      </c>
      <c r="I93" s="75">
        <v>1778.66</v>
      </c>
      <c r="J93" s="75">
        <v>24367.64</v>
      </c>
      <c r="K93" s="91" t="s">
        <v>268</v>
      </c>
      <c r="L93" s="73"/>
      <c r="M93" s="46">
        <v>13.7</v>
      </c>
      <c r="N93" s="46">
        <v>0</v>
      </c>
      <c r="O93" s="46">
        <v>24367.64</v>
      </c>
      <c r="P93" s="98"/>
      <c r="Q93" s="23" t="s">
        <v>1457</v>
      </c>
      <c r="R93" s="24" t="s">
        <v>267</v>
      </c>
      <c r="S93" s="25" t="s">
        <v>30</v>
      </c>
      <c r="T93" s="26">
        <v>13.7</v>
      </c>
      <c r="U93" s="26">
        <v>13.7</v>
      </c>
      <c r="V93" s="26">
        <f t="shared" si="10"/>
        <v>1778.66</v>
      </c>
      <c r="W93" s="209">
        <f t="shared" si="18"/>
        <v>0</v>
      </c>
      <c r="X93" s="127">
        <f t="shared" si="13"/>
        <v>13.7</v>
      </c>
      <c r="Y93" s="127">
        <f t="shared" si="11"/>
        <v>0</v>
      </c>
      <c r="Z93" s="127">
        <f t="shared" si="14"/>
        <v>24367.64</v>
      </c>
      <c r="AA93" s="33" t="s">
        <v>15</v>
      </c>
      <c r="AB93" s="36" t="s">
        <v>16</v>
      </c>
      <c r="AC93" s="181">
        <f t="shared" si="15"/>
        <v>13.7</v>
      </c>
      <c r="AD93" s="181">
        <f t="shared" si="12"/>
        <v>24367.64</v>
      </c>
      <c r="AE93" s="181">
        <v>1.2</v>
      </c>
      <c r="AF93" s="181">
        <v>1.2</v>
      </c>
      <c r="AG93" s="101" t="str">
        <f t="shared" si="16"/>
        <v/>
      </c>
      <c r="AH93" s="191">
        <f>13.7</f>
        <v>13.7</v>
      </c>
      <c r="AI93" s="69">
        <f t="shared" si="17"/>
        <v>13.7</v>
      </c>
    </row>
    <row r="94" spans="1:35" s="69" customFormat="1" ht="26.1" customHeight="1" x14ac:dyDescent="0.3">
      <c r="A94" s="130" t="s">
        <v>269</v>
      </c>
      <c r="B94" s="131" t="s">
        <v>270</v>
      </c>
      <c r="C94" s="132" t="s">
        <v>30</v>
      </c>
      <c r="D94" s="133">
        <v>17.920000000000002</v>
      </c>
      <c r="E94" s="75"/>
      <c r="F94" s="75"/>
      <c r="G94" s="75"/>
      <c r="H94" s="75" t="s">
        <v>15</v>
      </c>
      <c r="I94" s="75">
        <v>2939.14</v>
      </c>
      <c r="J94" s="75">
        <v>52669.39</v>
      </c>
      <c r="K94" s="91" t="s">
        <v>271</v>
      </c>
      <c r="L94" s="73"/>
      <c r="M94" s="46">
        <v>17.900000000000002</v>
      </c>
      <c r="N94" s="46">
        <v>3233.0599999999977</v>
      </c>
      <c r="O94" s="46">
        <v>52610.61</v>
      </c>
      <c r="P94" s="98"/>
      <c r="Q94" s="23" t="s">
        <v>1458</v>
      </c>
      <c r="R94" s="24" t="s">
        <v>270</v>
      </c>
      <c r="S94" s="25" t="s">
        <v>30</v>
      </c>
      <c r="T94" s="26">
        <v>17.920000000000002</v>
      </c>
      <c r="U94" s="26">
        <v>17.920000000000002</v>
      </c>
      <c r="V94" s="26">
        <f t="shared" si="10"/>
        <v>2939.14</v>
      </c>
      <c r="W94" s="243">
        <f t="shared" si="18"/>
        <v>0</v>
      </c>
      <c r="X94" s="127">
        <f t="shared" si="13"/>
        <v>17.900000000000002</v>
      </c>
      <c r="Y94" s="127">
        <f t="shared" si="11"/>
        <v>0</v>
      </c>
      <c r="Z94" s="127">
        <f t="shared" si="14"/>
        <v>52610.61</v>
      </c>
      <c r="AA94" s="33" t="s">
        <v>15</v>
      </c>
      <c r="AB94" s="36" t="s">
        <v>16</v>
      </c>
      <c r="AC94" s="181">
        <f t="shared" si="15"/>
        <v>17.920000000000002</v>
      </c>
      <c r="AD94" s="181">
        <f t="shared" si="12"/>
        <v>52669.39</v>
      </c>
      <c r="AE94" s="181">
        <v>1.2</v>
      </c>
      <c r="AF94" s="181">
        <v>1.2</v>
      </c>
      <c r="AG94" s="101" t="str">
        <f t="shared" si="16"/>
        <v/>
      </c>
      <c r="AH94" s="191">
        <f>16.8+1.1</f>
        <v>17.900000000000002</v>
      </c>
      <c r="AI94" s="69">
        <f t="shared" si="17"/>
        <v>17.920000000000002</v>
      </c>
    </row>
    <row r="95" spans="1:35" s="69" customFormat="1" ht="26.1" customHeight="1" x14ac:dyDescent="0.3">
      <c r="A95" s="55" t="s">
        <v>272</v>
      </c>
      <c r="B95" s="53" t="s">
        <v>273</v>
      </c>
      <c r="C95" s="54" t="s">
        <v>81</v>
      </c>
      <c r="D95" s="75">
        <v>1</v>
      </c>
      <c r="E95" s="75"/>
      <c r="F95" s="75"/>
      <c r="G95" s="75"/>
      <c r="H95" s="75" t="s">
        <v>15</v>
      </c>
      <c r="I95" s="75">
        <v>23030.799999999999</v>
      </c>
      <c r="J95" s="75">
        <v>23030.799999999999</v>
      </c>
      <c r="K95" s="91" t="s">
        <v>274</v>
      </c>
      <c r="L95" s="73"/>
      <c r="M95" s="46">
        <v>0</v>
      </c>
      <c r="N95" s="46">
        <v>0</v>
      </c>
      <c r="O95" s="46">
        <v>0</v>
      </c>
      <c r="P95" s="98"/>
      <c r="Q95" s="23" t="s">
        <v>1459</v>
      </c>
      <c r="R95" s="24" t="s">
        <v>273</v>
      </c>
      <c r="S95" s="25" t="s">
        <v>81</v>
      </c>
      <c r="T95" s="26">
        <v>1</v>
      </c>
      <c r="U95" s="26">
        <v>1</v>
      </c>
      <c r="V95" s="26">
        <f t="shared" si="10"/>
        <v>23030.799999999999</v>
      </c>
      <c r="W95" s="26">
        <f t="shared" si="18"/>
        <v>0</v>
      </c>
      <c r="X95" s="26">
        <f t="shared" si="13"/>
        <v>0</v>
      </c>
      <c r="Y95" s="26">
        <f t="shared" si="11"/>
        <v>0</v>
      </c>
      <c r="Z95" s="26">
        <f t="shared" si="14"/>
        <v>0</v>
      </c>
      <c r="AA95" s="33" t="s">
        <v>15</v>
      </c>
      <c r="AB95" s="36" t="s">
        <v>16</v>
      </c>
      <c r="AC95" s="181">
        <f t="shared" si="15"/>
        <v>1</v>
      </c>
      <c r="AD95" s="181">
        <f t="shared" si="12"/>
        <v>23030.799999999999</v>
      </c>
      <c r="AE95" s="181">
        <v>1.2</v>
      </c>
      <c r="AF95" s="181">
        <v>1.2</v>
      </c>
      <c r="AG95" s="101" t="str">
        <f t="shared" si="16"/>
        <v/>
      </c>
      <c r="AH95" s="190">
        <v>0</v>
      </c>
      <c r="AI95" s="69">
        <f t="shared" si="17"/>
        <v>1</v>
      </c>
    </row>
    <row r="96" spans="1:35" s="69" customFormat="1" ht="26.1" customHeight="1" x14ac:dyDescent="0.3">
      <c r="A96" s="55" t="s">
        <v>275</v>
      </c>
      <c r="B96" s="53" t="s">
        <v>276</v>
      </c>
      <c r="C96" s="54" t="s">
        <v>81</v>
      </c>
      <c r="D96" s="75">
        <v>2</v>
      </c>
      <c r="E96" s="75"/>
      <c r="F96" s="75"/>
      <c r="G96" s="75"/>
      <c r="H96" s="75" t="s">
        <v>15</v>
      </c>
      <c r="I96" s="75">
        <v>18605.919999999998</v>
      </c>
      <c r="J96" s="75">
        <v>37211.839999999997</v>
      </c>
      <c r="K96" s="91" t="s">
        <v>277</v>
      </c>
      <c r="L96" s="73"/>
      <c r="M96" s="46">
        <v>0</v>
      </c>
      <c r="N96" s="46">
        <v>0</v>
      </c>
      <c r="O96" s="46">
        <v>0</v>
      </c>
      <c r="P96" s="98"/>
      <c r="Q96" s="23" t="s">
        <v>1460</v>
      </c>
      <c r="R96" s="24" t="s">
        <v>276</v>
      </c>
      <c r="S96" s="25" t="s">
        <v>81</v>
      </c>
      <c r="T96" s="26">
        <v>2</v>
      </c>
      <c r="U96" s="26">
        <v>2</v>
      </c>
      <c r="V96" s="26">
        <f t="shared" si="10"/>
        <v>18605.919999999998</v>
      </c>
      <c r="W96" s="26">
        <f t="shared" si="18"/>
        <v>0</v>
      </c>
      <c r="X96" s="26">
        <f t="shared" si="13"/>
        <v>0</v>
      </c>
      <c r="Y96" s="26">
        <f t="shared" si="11"/>
        <v>0</v>
      </c>
      <c r="Z96" s="26">
        <f t="shared" si="14"/>
        <v>0</v>
      </c>
      <c r="AA96" s="33" t="s">
        <v>15</v>
      </c>
      <c r="AB96" s="36" t="s">
        <v>16</v>
      </c>
      <c r="AC96" s="181">
        <f t="shared" si="15"/>
        <v>2</v>
      </c>
      <c r="AD96" s="181">
        <f t="shared" si="12"/>
        <v>37211.839999999997</v>
      </c>
      <c r="AE96" s="181">
        <v>1.2</v>
      </c>
      <c r="AF96" s="181">
        <v>1.2</v>
      </c>
      <c r="AG96" s="101" t="str">
        <f t="shared" si="16"/>
        <v/>
      </c>
      <c r="AH96" s="190">
        <v>0</v>
      </c>
      <c r="AI96" s="69">
        <f t="shared" si="17"/>
        <v>2</v>
      </c>
    </row>
    <row r="97" spans="1:35" s="69" customFormat="1" ht="26.1" customHeight="1" x14ac:dyDescent="0.3">
      <c r="A97" s="55" t="s">
        <v>278</v>
      </c>
      <c r="B97" s="53" t="s">
        <v>279</v>
      </c>
      <c r="C97" s="54" t="s">
        <v>81</v>
      </c>
      <c r="D97" s="75">
        <v>1</v>
      </c>
      <c r="E97" s="75"/>
      <c r="F97" s="75"/>
      <c r="G97" s="75"/>
      <c r="H97" s="75" t="s">
        <v>15</v>
      </c>
      <c r="I97" s="75">
        <v>18605.919999999998</v>
      </c>
      <c r="J97" s="75">
        <v>18605.919999999998</v>
      </c>
      <c r="K97" s="91" t="s">
        <v>280</v>
      </c>
      <c r="L97" s="73"/>
      <c r="M97" s="46">
        <v>0</v>
      </c>
      <c r="N97" s="46">
        <v>0</v>
      </c>
      <c r="O97" s="46">
        <v>0</v>
      </c>
      <c r="P97" s="98"/>
      <c r="Q97" s="23" t="s">
        <v>1461</v>
      </c>
      <c r="R97" s="24" t="s">
        <v>279</v>
      </c>
      <c r="S97" s="25" t="s">
        <v>81</v>
      </c>
      <c r="T97" s="26">
        <v>1</v>
      </c>
      <c r="U97" s="26">
        <v>1</v>
      </c>
      <c r="V97" s="26">
        <f t="shared" si="10"/>
        <v>18605.919999999998</v>
      </c>
      <c r="W97" s="26">
        <f t="shared" si="18"/>
        <v>0</v>
      </c>
      <c r="X97" s="26">
        <f t="shared" si="13"/>
        <v>0</v>
      </c>
      <c r="Y97" s="26">
        <f t="shared" si="11"/>
        <v>0</v>
      </c>
      <c r="Z97" s="26">
        <f t="shared" si="14"/>
        <v>0</v>
      </c>
      <c r="AA97" s="33" t="s">
        <v>15</v>
      </c>
      <c r="AB97" s="36" t="s">
        <v>16</v>
      </c>
      <c r="AC97" s="181">
        <f t="shared" si="15"/>
        <v>1</v>
      </c>
      <c r="AD97" s="181">
        <f t="shared" si="12"/>
        <v>18605.919999999998</v>
      </c>
      <c r="AE97" s="181">
        <v>1.2</v>
      </c>
      <c r="AF97" s="181">
        <v>1.2</v>
      </c>
      <c r="AG97" s="101" t="str">
        <f t="shared" si="16"/>
        <v/>
      </c>
      <c r="AH97" s="190">
        <v>0</v>
      </c>
      <c r="AI97" s="69">
        <f t="shared" si="17"/>
        <v>1</v>
      </c>
    </row>
    <row r="98" spans="1:35" s="69" customFormat="1" ht="26.1" customHeight="1" x14ac:dyDescent="0.3">
      <c r="A98" s="55" t="s">
        <v>281</v>
      </c>
      <c r="B98" s="53" t="s">
        <v>282</v>
      </c>
      <c r="C98" s="54" t="s">
        <v>81</v>
      </c>
      <c r="D98" s="75">
        <v>3</v>
      </c>
      <c r="E98" s="75"/>
      <c r="F98" s="75"/>
      <c r="G98" s="75"/>
      <c r="H98" s="75" t="s">
        <v>15</v>
      </c>
      <c r="I98" s="75">
        <v>11655.48</v>
      </c>
      <c r="J98" s="75">
        <v>34966.44</v>
      </c>
      <c r="K98" s="91" t="s">
        <v>283</v>
      </c>
      <c r="L98" s="73"/>
      <c r="M98" s="46">
        <v>0</v>
      </c>
      <c r="N98" s="46">
        <v>0</v>
      </c>
      <c r="O98" s="46">
        <v>0</v>
      </c>
      <c r="P98" s="98"/>
      <c r="Q98" s="23" t="s">
        <v>1462</v>
      </c>
      <c r="R98" s="24" t="s">
        <v>282</v>
      </c>
      <c r="S98" s="25" t="s">
        <v>81</v>
      </c>
      <c r="T98" s="26">
        <v>3</v>
      </c>
      <c r="U98" s="26">
        <v>3</v>
      </c>
      <c r="V98" s="26">
        <f t="shared" si="10"/>
        <v>11655.48</v>
      </c>
      <c r="W98" s="26">
        <f t="shared" si="18"/>
        <v>0</v>
      </c>
      <c r="X98" s="26">
        <f t="shared" si="13"/>
        <v>0</v>
      </c>
      <c r="Y98" s="26">
        <f t="shared" si="11"/>
        <v>0</v>
      </c>
      <c r="Z98" s="26">
        <f t="shared" si="14"/>
        <v>0</v>
      </c>
      <c r="AA98" s="33" t="s">
        <v>15</v>
      </c>
      <c r="AB98" s="36" t="s">
        <v>16</v>
      </c>
      <c r="AC98" s="181">
        <f t="shared" si="15"/>
        <v>3</v>
      </c>
      <c r="AD98" s="181">
        <f t="shared" si="12"/>
        <v>34966.44</v>
      </c>
      <c r="AE98" s="181">
        <v>1.2</v>
      </c>
      <c r="AF98" s="181">
        <v>1.2</v>
      </c>
      <c r="AG98" s="101" t="str">
        <f t="shared" si="16"/>
        <v/>
      </c>
      <c r="AH98" s="190">
        <v>0</v>
      </c>
      <c r="AI98" s="69">
        <f t="shared" si="17"/>
        <v>3</v>
      </c>
    </row>
    <row r="99" spans="1:35" s="69" customFormat="1" ht="26.1" customHeight="1" x14ac:dyDescent="0.3">
      <c r="A99" s="246" t="s">
        <v>284</v>
      </c>
      <c r="B99" s="247" t="s">
        <v>285</v>
      </c>
      <c r="C99" s="248" t="s">
        <v>81</v>
      </c>
      <c r="D99" s="249">
        <v>4</v>
      </c>
      <c r="E99" s="75"/>
      <c r="F99" s="75"/>
      <c r="G99" s="75"/>
      <c r="H99" s="75" t="s">
        <v>15</v>
      </c>
      <c r="I99" s="75">
        <v>25108.91</v>
      </c>
      <c r="J99" s="75">
        <v>100435.64</v>
      </c>
      <c r="K99" s="91" t="s">
        <v>286</v>
      </c>
      <c r="L99" s="73"/>
      <c r="M99" s="46">
        <v>0</v>
      </c>
      <c r="N99" s="46">
        <v>0</v>
      </c>
      <c r="O99" s="46">
        <v>0</v>
      </c>
      <c r="P99" s="98"/>
      <c r="Q99" s="23" t="s">
        <v>1463</v>
      </c>
      <c r="R99" s="24" t="s">
        <v>285</v>
      </c>
      <c r="S99" s="25" t="s">
        <v>81</v>
      </c>
      <c r="T99" s="26">
        <v>4</v>
      </c>
      <c r="U99" s="26">
        <v>4</v>
      </c>
      <c r="V99" s="26">
        <f t="shared" si="10"/>
        <v>25108.91</v>
      </c>
      <c r="W99" s="26">
        <f t="shared" si="18"/>
        <v>0</v>
      </c>
      <c r="X99" s="26">
        <f t="shared" si="13"/>
        <v>0</v>
      </c>
      <c r="Y99" s="26">
        <f t="shared" si="11"/>
        <v>0</v>
      </c>
      <c r="Z99" s="26">
        <f t="shared" si="14"/>
        <v>0</v>
      </c>
      <c r="AA99" s="33" t="s">
        <v>15</v>
      </c>
      <c r="AB99" s="36" t="s">
        <v>16</v>
      </c>
      <c r="AC99" s="181">
        <f t="shared" si="15"/>
        <v>4</v>
      </c>
      <c r="AD99" s="181">
        <f t="shared" si="12"/>
        <v>100435.64</v>
      </c>
      <c r="AE99" s="181">
        <v>1.2</v>
      </c>
      <c r="AF99" s="181">
        <v>1.2</v>
      </c>
      <c r="AG99" s="101" t="str">
        <f t="shared" si="16"/>
        <v/>
      </c>
      <c r="AH99" s="190">
        <v>0</v>
      </c>
      <c r="AI99" s="69">
        <f t="shared" si="17"/>
        <v>4</v>
      </c>
    </row>
    <row r="100" spans="1:35" s="69" customFormat="1" ht="26.1" customHeight="1" x14ac:dyDescent="0.3">
      <c r="A100" s="55" t="s">
        <v>287</v>
      </c>
      <c r="B100" s="53" t="s">
        <v>288</v>
      </c>
      <c r="C100" s="54" t="s">
        <v>81</v>
      </c>
      <c r="D100" s="75">
        <v>5</v>
      </c>
      <c r="E100" s="75"/>
      <c r="F100" s="75"/>
      <c r="G100" s="75"/>
      <c r="H100" s="75" t="s">
        <v>15</v>
      </c>
      <c r="I100" s="75">
        <v>22416.92</v>
      </c>
      <c r="J100" s="75">
        <v>112084.6</v>
      </c>
      <c r="K100" s="91" t="s">
        <v>289</v>
      </c>
      <c r="L100" s="73"/>
      <c r="M100" s="46">
        <v>0</v>
      </c>
      <c r="N100" s="46">
        <v>0</v>
      </c>
      <c r="O100" s="46">
        <v>0</v>
      </c>
      <c r="P100" s="98"/>
      <c r="Q100" s="23" t="s">
        <v>1464</v>
      </c>
      <c r="R100" s="24" t="s">
        <v>288</v>
      </c>
      <c r="S100" s="25" t="s">
        <v>81</v>
      </c>
      <c r="T100" s="26">
        <v>5</v>
      </c>
      <c r="U100" s="26">
        <v>5</v>
      </c>
      <c r="V100" s="26">
        <f t="shared" si="10"/>
        <v>22416.92</v>
      </c>
      <c r="W100" s="26">
        <f t="shared" si="18"/>
        <v>0</v>
      </c>
      <c r="X100" s="26">
        <f t="shared" si="13"/>
        <v>0</v>
      </c>
      <c r="Y100" s="26">
        <f t="shared" si="11"/>
        <v>0</v>
      </c>
      <c r="Z100" s="26">
        <f t="shared" si="14"/>
        <v>0</v>
      </c>
      <c r="AA100" s="33" t="s">
        <v>15</v>
      </c>
      <c r="AB100" s="36" t="s">
        <v>16</v>
      </c>
      <c r="AC100" s="181">
        <f t="shared" si="15"/>
        <v>5</v>
      </c>
      <c r="AD100" s="181">
        <f t="shared" si="12"/>
        <v>112084.6</v>
      </c>
      <c r="AE100" s="181">
        <v>1.2</v>
      </c>
      <c r="AF100" s="181">
        <v>1.2</v>
      </c>
      <c r="AG100" s="101" t="str">
        <f t="shared" si="16"/>
        <v/>
      </c>
      <c r="AH100" s="190">
        <v>0</v>
      </c>
      <c r="AI100" s="69">
        <f t="shared" si="17"/>
        <v>5</v>
      </c>
    </row>
    <row r="101" spans="1:35" s="69" customFormat="1" ht="26.1" customHeight="1" x14ac:dyDescent="0.3">
      <c r="A101" s="55" t="s">
        <v>290</v>
      </c>
      <c r="B101" s="53" t="s">
        <v>291</v>
      </c>
      <c r="C101" s="54" t="s">
        <v>81</v>
      </c>
      <c r="D101" s="75">
        <v>1</v>
      </c>
      <c r="E101" s="75"/>
      <c r="F101" s="75"/>
      <c r="G101" s="75"/>
      <c r="H101" s="75" t="s">
        <v>15</v>
      </c>
      <c r="I101" s="75">
        <v>21724.76</v>
      </c>
      <c r="J101" s="75">
        <v>21724.76</v>
      </c>
      <c r="K101" s="91" t="s">
        <v>292</v>
      </c>
      <c r="L101" s="73"/>
      <c r="M101" s="46">
        <v>0</v>
      </c>
      <c r="N101" s="46">
        <v>0</v>
      </c>
      <c r="O101" s="46">
        <v>0</v>
      </c>
      <c r="P101" s="98"/>
      <c r="Q101" s="23" t="s">
        <v>1465</v>
      </c>
      <c r="R101" s="24" t="s">
        <v>291</v>
      </c>
      <c r="S101" s="25" t="s">
        <v>81</v>
      </c>
      <c r="T101" s="26">
        <v>1</v>
      </c>
      <c r="U101" s="26">
        <v>1</v>
      </c>
      <c r="V101" s="26">
        <f t="shared" si="10"/>
        <v>21724.76</v>
      </c>
      <c r="W101" s="26">
        <f t="shared" si="18"/>
        <v>0</v>
      </c>
      <c r="X101" s="26">
        <f t="shared" si="13"/>
        <v>0</v>
      </c>
      <c r="Y101" s="26">
        <f t="shared" si="11"/>
        <v>0</v>
      </c>
      <c r="Z101" s="26">
        <f t="shared" si="14"/>
        <v>0</v>
      </c>
      <c r="AA101" s="33" t="s">
        <v>15</v>
      </c>
      <c r="AB101" s="36" t="s">
        <v>16</v>
      </c>
      <c r="AC101" s="181">
        <f t="shared" si="15"/>
        <v>1</v>
      </c>
      <c r="AD101" s="181">
        <f t="shared" si="12"/>
        <v>21724.76</v>
      </c>
      <c r="AE101" s="181">
        <v>1.2</v>
      </c>
      <c r="AF101" s="181">
        <v>1.2</v>
      </c>
      <c r="AG101" s="101" t="str">
        <f t="shared" si="16"/>
        <v/>
      </c>
      <c r="AH101" s="190">
        <v>0</v>
      </c>
      <c r="AI101" s="69">
        <f t="shared" si="17"/>
        <v>1</v>
      </c>
    </row>
    <row r="102" spans="1:35" s="69" customFormat="1" ht="26.1" customHeight="1" x14ac:dyDescent="0.3">
      <c r="A102" s="55" t="s">
        <v>293</v>
      </c>
      <c r="B102" s="53" t="s">
        <v>294</v>
      </c>
      <c r="C102" s="54" t="s">
        <v>81</v>
      </c>
      <c r="D102" s="75">
        <v>2</v>
      </c>
      <c r="E102" s="75"/>
      <c r="F102" s="75"/>
      <c r="G102" s="75"/>
      <c r="H102" s="75" t="s">
        <v>15</v>
      </c>
      <c r="I102" s="75">
        <v>17341.04</v>
      </c>
      <c r="J102" s="75">
        <v>34682.080000000002</v>
      </c>
      <c r="K102" s="91" t="s">
        <v>295</v>
      </c>
      <c r="L102" s="73"/>
      <c r="M102" s="46">
        <v>0</v>
      </c>
      <c r="N102" s="46">
        <v>0</v>
      </c>
      <c r="O102" s="46">
        <v>0</v>
      </c>
      <c r="P102" s="98"/>
      <c r="Q102" s="23" t="s">
        <v>1466</v>
      </c>
      <c r="R102" s="24" t="s">
        <v>294</v>
      </c>
      <c r="S102" s="25" t="s">
        <v>81</v>
      </c>
      <c r="T102" s="26">
        <v>2</v>
      </c>
      <c r="U102" s="26">
        <v>2</v>
      </c>
      <c r="V102" s="26">
        <f t="shared" si="10"/>
        <v>17341.04</v>
      </c>
      <c r="W102" s="26">
        <f t="shared" si="18"/>
        <v>0</v>
      </c>
      <c r="X102" s="26">
        <f t="shared" si="13"/>
        <v>0</v>
      </c>
      <c r="Y102" s="26">
        <f t="shared" si="11"/>
        <v>0</v>
      </c>
      <c r="Z102" s="26">
        <f t="shared" si="14"/>
        <v>0</v>
      </c>
      <c r="AA102" s="33" t="s">
        <v>15</v>
      </c>
      <c r="AB102" s="36" t="s">
        <v>16</v>
      </c>
      <c r="AC102" s="181">
        <f t="shared" si="15"/>
        <v>2</v>
      </c>
      <c r="AD102" s="181">
        <f t="shared" si="12"/>
        <v>34682.080000000002</v>
      </c>
      <c r="AE102" s="181">
        <v>1.2</v>
      </c>
      <c r="AF102" s="181">
        <v>1.2</v>
      </c>
      <c r="AG102" s="101" t="str">
        <f t="shared" si="16"/>
        <v/>
      </c>
      <c r="AH102" s="190">
        <v>0</v>
      </c>
      <c r="AI102" s="69">
        <f t="shared" si="17"/>
        <v>2</v>
      </c>
    </row>
    <row r="103" spans="1:35" s="69" customFormat="1" ht="26.1" customHeight="1" x14ac:dyDescent="0.3">
      <c r="A103" s="55" t="s">
        <v>296</v>
      </c>
      <c r="B103" s="53" t="s">
        <v>297</v>
      </c>
      <c r="C103" s="54" t="s">
        <v>81</v>
      </c>
      <c r="D103" s="75">
        <v>1</v>
      </c>
      <c r="E103" s="75"/>
      <c r="F103" s="75"/>
      <c r="G103" s="75"/>
      <c r="H103" s="75" t="s">
        <v>15</v>
      </c>
      <c r="I103" s="75">
        <v>17341.04</v>
      </c>
      <c r="J103" s="75">
        <v>17341.04</v>
      </c>
      <c r="K103" s="91" t="s">
        <v>298</v>
      </c>
      <c r="L103" s="73"/>
      <c r="M103" s="46">
        <v>0</v>
      </c>
      <c r="N103" s="46">
        <v>0</v>
      </c>
      <c r="O103" s="46">
        <v>0</v>
      </c>
      <c r="P103" s="98"/>
      <c r="Q103" s="23" t="s">
        <v>1467</v>
      </c>
      <c r="R103" s="24" t="s">
        <v>297</v>
      </c>
      <c r="S103" s="25" t="s">
        <v>81</v>
      </c>
      <c r="T103" s="26">
        <v>1</v>
      </c>
      <c r="U103" s="26">
        <v>1</v>
      </c>
      <c r="V103" s="26">
        <f t="shared" ref="V103:V166" si="19">I103</f>
        <v>17341.04</v>
      </c>
      <c r="W103" s="26">
        <f t="shared" si="18"/>
        <v>0</v>
      </c>
      <c r="X103" s="26">
        <f t="shared" si="13"/>
        <v>0</v>
      </c>
      <c r="Y103" s="26">
        <f t="shared" ref="Y103:Y132" si="20">Z103-O103</f>
        <v>0</v>
      </c>
      <c r="Z103" s="26">
        <f t="shared" si="14"/>
        <v>0</v>
      </c>
      <c r="AA103" s="33" t="s">
        <v>15</v>
      </c>
      <c r="AB103" s="36" t="s">
        <v>16</v>
      </c>
      <c r="AC103" s="181">
        <f t="shared" si="15"/>
        <v>1</v>
      </c>
      <c r="AD103" s="181">
        <f t="shared" si="12"/>
        <v>17341.04</v>
      </c>
      <c r="AE103" s="181">
        <v>1.2</v>
      </c>
      <c r="AF103" s="181">
        <v>1.2</v>
      </c>
      <c r="AG103" s="101" t="str">
        <f t="shared" si="16"/>
        <v/>
      </c>
      <c r="AH103" s="190">
        <v>0</v>
      </c>
      <c r="AI103" s="69">
        <f t="shared" si="17"/>
        <v>1</v>
      </c>
    </row>
    <row r="104" spans="1:35" s="69" customFormat="1" ht="26.1" customHeight="1" x14ac:dyDescent="0.3">
      <c r="A104" s="55" t="s">
        <v>299</v>
      </c>
      <c r="B104" s="53" t="s">
        <v>300</v>
      </c>
      <c r="C104" s="54" t="s">
        <v>81</v>
      </c>
      <c r="D104" s="75">
        <v>6</v>
      </c>
      <c r="E104" s="75"/>
      <c r="F104" s="75"/>
      <c r="G104" s="75"/>
      <c r="H104" s="75" t="s">
        <v>15</v>
      </c>
      <c r="I104" s="75">
        <v>17341.04</v>
      </c>
      <c r="J104" s="75">
        <v>104046.24</v>
      </c>
      <c r="K104" s="91" t="s">
        <v>301</v>
      </c>
      <c r="L104" s="73"/>
      <c r="M104" s="46">
        <v>0</v>
      </c>
      <c r="N104" s="46">
        <v>0</v>
      </c>
      <c r="O104" s="46">
        <v>0</v>
      </c>
      <c r="P104" s="98"/>
      <c r="Q104" s="23" t="s">
        <v>1468</v>
      </c>
      <c r="R104" s="24" t="s">
        <v>300</v>
      </c>
      <c r="S104" s="25" t="s">
        <v>81</v>
      </c>
      <c r="T104" s="26">
        <v>6</v>
      </c>
      <c r="U104" s="26">
        <v>6</v>
      </c>
      <c r="V104" s="26">
        <f t="shared" si="19"/>
        <v>17341.04</v>
      </c>
      <c r="W104" s="26">
        <f t="shared" si="18"/>
        <v>0</v>
      </c>
      <c r="X104" s="26">
        <f t="shared" si="13"/>
        <v>0</v>
      </c>
      <c r="Y104" s="26">
        <f t="shared" si="20"/>
        <v>0</v>
      </c>
      <c r="Z104" s="26">
        <f t="shared" si="14"/>
        <v>0</v>
      </c>
      <c r="AA104" s="33" t="s">
        <v>15</v>
      </c>
      <c r="AB104" s="36" t="s">
        <v>16</v>
      </c>
      <c r="AC104" s="181">
        <f t="shared" si="15"/>
        <v>6</v>
      </c>
      <c r="AD104" s="181">
        <f t="shared" ref="AD104:AD132" si="21">ROUND(V104*AC104,2)</f>
        <v>104046.24</v>
      </c>
      <c r="AE104" s="181">
        <v>1.2</v>
      </c>
      <c r="AF104" s="181">
        <v>1.2</v>
      </c>
      <c r="AG104" s="101" t="str">
        <f t="shared" si="16"/>
        <v/>
      </c>
      <c r="AH104" s="190">
        <v>0</v>
      </c>
      <c r="AI104" s="69">
        <f t="shared" si="17"/>
        <v>6</v>
      </c>
    </row>
    <row r="105" spans="1:35" s="69" customFormat="1" ht="26.1" customHeight="1" x14ac:dyDescent="0.3">
      <c r="A105" s="55" t="s">
        <v>302</v>
      </c>
      <c r="B105" s="53" t="s">
        <v>303</v>
      </c>
      <c r="C105" s="54" t="s">
        <v>81</v>
      </c>
      <c r="D105" s="75">
        <v>2</v>
      </c>
      <c r="E105" s="75"/>
      <c r="F105" s="75"/>
      <c r="G105" s="75"/>
      <c r="H105" s="75" t="s">
        <v>15</v>
      </c>
      <c r="I105" s="75">
        <v>17497.64</v>
      </c>
      <c r="J105" s="75">
        <v>34995.279999999999</v>
      </c>
      <c r="K105" s="91" t="s">
        <v>304</v>
      </c>
      <c r="L105" s="73"/>
      <c r="M105" s="46">
        <v>0</v>
      </c>
      <c r="N105" s="46">
        <v>0</v>
      </c>
      <c r="O105" s="46">
        <v>0</v>
      </c>
      <c r="P105" s="98"/>
      <c r="Q105" s="23" t="s">
        <v>1469</v>
      </c>
      <c r="R105" s="24" t="s">
        <v>303</v>
      </c>
      <c r="S105" s="25" t="s">
        <v>81</v>
      </c>
      <c r="T105" s="26">
        <v>2</v>
      </c>
      <c r="U105" s="26">
        <v>2</v>
      </c>
      <c r="V105" s="26">
        <f t="shared" si="19"/>
        <v>17497.64</v>
      </c>
      <c r="W105" s="26">
        <f t="shared" si="18"/>
        <v>0</v>
      </c>
      <c r="X105" s="26">
        <f t="shared" si="13"/>
        <v>0</v>
      </c>
      <c r="Y105" s="26">
        <f t="shared" si="20"/>
        <v>0</v>
      </c>
      <c r="Z105" s="26">
        <f t="shared" si="14"/>
        <v>0</v>
      </c>
      <c r="AA105" s="33" t="s">
        <v>15</v>
      </c>
      <c r="AB105" s="36" t="s">
        <v>16</v>
      </c>
      <c r="AC105" s="181">
        <f t="shared" si="15"/>
        <v>2</v>
      </c>
      <c r="AD105" s="181">
        <f t="shared" si="21"/>
        <v>34995.279999999999</v>
      </c>
      <c r="AE105" s="181">
        <v>1.2</v>
      </c>
      <c r="AF105" s="181">
        <v>1.2</v>
      </c>
      <c r="AG105" s="101" t="str">
        <f t="shared" si="16"/>
        <v/>
      </c>
      <c r="AH105" s="190">
        <v>0</v>
      </c>
      <c r="AI105" s="69">
        <f t="shared" si="17"/>
        <v>2</v>
      </c>
    </row>
    <row r="106" spans="1:35" s="69" customFormat="1" ht="26.1" customHeight="1" x14ac:dyDescent="0.3">
      <c r="A106" s="55" t="s">
        <v>305</v>
      </c>
      <c r="B106" s="53" t="s">
        <v>306</v>
      </c>
      <c r="C106" s="54" t="s">
        <v>81</v>
      </c>
      <c r="D106" s="75">
        <v>2</v>
      </c>
      <c r="E106" s="75"/>
      <c r="F106" s="75"/>
      <c r="G106" s="75"/>
      <c r="H106" s="75" t="s">
        <v>15</v>
      </c>
      <c r="I106" s="75">
        <v>1501.74</v>
      </c>
      <c r="J106" s="75">
        <v>3003.48</v>
      </c>
      <c r="K106" s="91" t="s">
        <v>307</v>
      </c>
      <c r="L106" s="73"/>
      <c r="M106" s="46">
        <v>0</v>
      </c>
      <c r="N106" s="46">
        <v>0</v>
      </c>
      <c r="O106" s="46">
        <v>0</v>
      </c>
      <c r="P106" s="98"/>
      <c r="Q106" s="23" t="s">
        <v>1470</v>
      </c>
      <c r="R106" s="24" t="s">
        <v>306</v>
      </c>
      <c r="S106" s="25" t="s">
        <v>81</v>
      </c>
      <c r="T106" s="26">
        <v>2</v>
      </c>
      <c r="U106" s="26">
        <v>2</v>
      </c>
      <c r="V106" s="26">
        <f t="shared" si="19"/>
        <v>1501.74</v>
      </c>
      <c r="W106" s="26">
        <f t="shared" si="18"/>
        <v>0</v>
      </c>
      <c r="X106" s="26">
        <f t="shared" si="13"/>
        <v>0</v>
      </c>
      <c r="Y106" s="26">
        <f t="shared" si="20"/>
        <v>0</v>
      </c>
      <c r="Z106" s="26">
        <f t="shared" si="14"/>
        <v>0</v>
      </c>
      <c r="AA106" s="33" t="s">
        <v>15</v>
      </c>
      <c r="AB106" s="36" t="s">
        <v>16</v>
      </c>
      <c r="AC106" s="181">
        <f t="shared" si="15"/>
        <v>2</v>
      </c>
      <c r="AD106" s="181">
        <f t="shared" si="21"/>
        <v>3003.48</v>
      </c>
      <c r="AE106" s="181">
        <v>1.2</v>
      </c>
      <c r="AF106" s="181">
        <v>1.2</v>
      </c>
      <c r="AG106" s="101" t="str">
        <f t="shared" si="16"/>
        <v/>
      </c>
      <c r="AH106" s="190">
        <v>0</v>
      </c>
      <c r="AI106" s="69">
        <f t="shared" si="17"/>
        <v>2</v>
      </c>
    </row>
    <row r="107" spans="1:35" s="69" customFormat="1" ht="26.1" customHeight="1" x14ac:dyDescent="0.3">
      <c r="A107" s="55" t="s">
        <v>308</v>
      </c>
      <c r="B107" s="53" t="s">
        <v>309</v>
      </c>
      <c r="C107" s="54" t="s">
        <v>81</v>
      </c>
      <c r="D107" s="75">
        <v>1</v>
      </c>
      <c r="E107" s="75"/>
      <c r="F107" s="75"/>
      <c r="G107" s="75"/>
      <c r="H107" s="75" t="s">
        <v>15</v>
      </c>
      <c r="I107" s="75">
        <v>994.98</v>
      </c>
      <c r="J107" s="75">
        <v>994.98</v>
      </c>
      <c r="K107" s="91" t="s">
        <v>310</v>
      </c>
      <c r="L107" s="73"/>
      <c r="M107" s="46">
        <v>0</v>
      </c>
      <c r="N107" s="46">
        <v>0</v>
      </c>
      <c r="O107" s="46">
        <v>0</v>
      </c>
      <c r="P107" s="98"/>
      <c r="Q107" s="23" t="s">
        <v>1471</v>
      </c>
      <c r="R107" s="24" t="s">
        <v>309</v>
      </c>
      <c r="S107" s="25" t="s">
        <v>81</v>
      </c>
      <c r="T107" s="26">
        <v>1</v>
      </c>
      <c r="U107" s="26">
        <v>1</v>
      </c>
      <c r="V107" s="26">
        <f t="shared" si="19"/>
        <v>994.98</v>
      </c>
      <c r="W107" s="26">
        <f t="shared" si="18"/>
        <v>0</v>
      </c>
      <c r="X107" s="26">
        <f t="shared" si="13"/>
        <v>0</v>
      </c>
      <c r="Y107" s="26">
        <f t="shared" si="20"/>
        <v>0</v>
      </c>
      <c r="Z107" s="26">
        <f t="shared" si="14"/>
        <v>0</v>
      </c>
      <c r="AA107" s="33" t="s">
        <v>15</v>
      </c>
      <c r="AB107" s="36" t="s">
        <v>16</v>
      </c>
      <c r="AC107" s="181">
        <f t="shared" si="15"/>
        <v>1</v>
      </c>
      <c r="AD107" s="181">
        <f t="shared" si="21"/>
        <v>994.98</v>
      </c>
      <c r="AE107" s="181">
        <v>1.2</v>
      </c>
      <c r="AF107" s="181">
        <v>1.2</v>
      </c>
      <c r="AG107" s="101" t="str">
        <f t="shared" si="16"/>
        <v/>
      </c>
      <c r="AH107" s="190">
        <v>0</v>
      </c>
      <c r="AI107" s="69">
        <f t="shared" si="17"/>
        <v>1</v>
      </c>
    </row>
    <row r="108" spans="1:35" s="69" customFormat="1" ht="26.1" customHeight="1" x14ac:dyDescent="0.3">
      <c r="A108" s="55" t="s">
        <v>311</v>
      </c>
      <c r="B108" s="53" t="s">
        <v>312</v>
      </c>
      <c r="C108" s="54" t="s">
        <v>81</v>
      </c>
      <c r="D108" s="75">
        <v>12</v>
      </c>
      <c r="E108" s="75"/>
      <c r="F108" s="75"/>
      <c r="G108" s="75"/>
      <c r="H108" s="75" t="s">
        <v>15</v>
      </c>
      <c r="I108" s="75">
        <v>331.66</v>
      </c>
      <c r="J108" s="75">
        <v>3979.92</v>
      </c>
      <c r="K108" s="91" t="s">
        <v>313</v>
      </c>
      <c r="L108" s="73"/>
      <c r="M108" s="46">
        <v>0</v>
      </c>
      <c r="N108" s="46">
        <v>0</v>
      </c>
      <c r="O108" s="46">
        <v>0</v>
      </c>
      <c r="P108" s="98"/>
      <c r="Q108" s="23" t="s">
        <v>1472</v>
      </c>
      <c r="R108" s="24" t="s">
        <v>312</v>
      </c>
      <c r="S108" s="25" t="s">
        <v>81</v>
      </c>
      <c r="T108" s="26">
        <v>12</v>
      </c>
      <c r="U108" s="26">
        <v>12</v>
      </c>
      <c r="V108" s="26">
        <f t="shared" si="19"/>
        <v>331.66</v>
      </c>
      <c r="W108" s="26">
        <f t="shared" si="18"/>
        <v>0</v>
      </c>
      <c r="X108" s="26">
        <f t="shared" si="13"/>
        <v>0</v>
      </c>
      <c r="Y108" s="26">
        <f t="shared" si="20"/>
        <v>0</v>
      </c>
      <c r="Z108" s="26">
        <f t="shared" si="14"/>
        <v>0</v>
      </c>
      <c r="AA108" s="33" t="s">
        <v>15</v>
      </c>
      <c r="AB108" s="36" t="s">
        <v>16</v>
      </c>
      <c r="AC108" s="181">
        <f t="shared" si="15"/>
        <v>12</v>
      </c>
      <c r="AD108" s="181">
        <f t="shared" si="21"/>
        <v>3979.92</v>
      </c>
      <c r="AE108" s="181">
        <v>1.2</v>
      </c>
      <c r="AF108" s="181">
        <v>1.2</v>
      </c>
      <c r="AG108" s="101" t="str">
        <f t="shared" si="16"/>
        <v/>
      </c>
      <c r="AH108" s="190">
        <v>0</v>
      </c>
      <c r="AI108" s="69">
        <f t="shared" si="17"/>
        <v>12</v>
      </c>
    </row>
    <row r="109" spans="1:35" s="69" customFormat="1" ht="26.1" customHeight="1" x14ac:dyDescent="0.3">
      <c r="A109" s="55" t="s">
        <v>314</v>
      </c>
      <c r="B109" s="53" t="s">
        <v>315</v>
      </c>
      <c r="C109" s="54" t="s">
        <v>81</v>
      </c>
      <c r="D109" s="75">
        <v>2</v>
      </c>
      <c r="E109" s="75"/>
      <c r="F109" s="75"/>
      <c r="G109" s="75"/>
      <c r="H109" s="75" t="s">
        <v>15</v>
      </c>
      <c r="I109" s="75">
        <v>1096.44</v>
      </c>
      <c r="J109" s="75">
        <v>2192.88</v>
      </c>
      <c r="K109" s="91" t="s">
        <v>316</v>
      </c>
      <c r="L109" s="73"/>
      <c r="M109" s="46">
        <v>0</v>
      </c>
      <c r="N109" s="46">
        <v>0</v>
      </c>
      <c r="O109" s="46">
        <v>0</v>
      </c>
      <c r="P109" s="98"/>
      <c r="Q109" s="23" t="s">
        <v>1473</v>
      </c>
      <c r="R109" s="24" t="s">
        <v>315</v>
      </c>
      <c r="S109" s="25" t="s">
        <v>81</v>
      </c>
      <c r="T109" s="26">
        <v>2</v>
      </c>
      <c r="U109" s="26">
        <v>2</v>
      </c>
      <c r="V109" s="26">
        <f t="shared" si="19"/>
        <v>1096.44</v>
      </c>
      <c r="W109" s="26">
        <f t="shared" si="18"/>
        <v>0</v>
      </c>
      <c r="X109" s="26">
        <f t="shared" si="13"/>
        <v>0</v>
      </c>
      <c r="Y109" s="26">
        <f t="shared" si="20"/>
        <v>0</v>
      </c>
      <c r="Z109" s="26">
        <f t="shared" si="14"/>
        <v>0</v>
      </c>
      <c r="AA109" s="33" t="s">
        <v>15</v>
      </c>
      <c r="AB109" s="36" t="s">
        <v>16</v>
      </c>
      <c r="AC109" s="181">
        <f t="shared" si="15"/>
        <v>2</v>
      </c>
      <c r="AD109" s="181">
        <f t="shared" si="21"/>
        <v>2192.88</v>
      </c>
      <c r="AE109" s="181">
        <v>1.2</v>
      </c>
      <c r="AF109" s="181">
        <v>1.2</v>
      </c>
      <c r="AG109" s="101" t="str">
        <f t="shared" si="16"/>
        <v/>
      </c>
      <c r="AH109" s="190">
        <v>0</v>
      </c>
      <c r="AI109" s="69">
        <f t="shared" si="17"/>
        <v>2</v>
      </c>
    </row>
    <row r="110" spans="1:35" s="69" customFormat="1" ht="26.1" customHeight="1" x14ac:dyDescent="0.3">
      <c r="A110" s="55" t="s">
        <v>317</v>
      </c>
      <c r="B110" s="53" t="s">
        <v>318</v>
      </c>
      <c r="C110" s="54" t="s">
        <v>81</v>
      </c>
      <c r="D110" s="75">
        <v>4</v>
      </c>
      <c r="E110" s="75"/>
      <c r="F110" s="75"/>
      <c r="G110" s="75"/>
      <c r="H110" s="75" t="s">
        <v>15</v>
      </c>
      <c r="I110" s="75">
        <v>952.24</v>
      </c>
      <c r="J110" s="75">
        <v>3808.96</v>
      </c>
      <c r="K110" s="91" t="s">
        <v>319</v>
      </c>
      <c r="L110" s="73"/>
      <c r="M110" s="46">
        <v>0</v>
      </c>
      <c r="N110" s="46">
        <v>0</v>
      </c>
      <c r="O110" s="46">
        <v>0</v>
      </c>
      <c r="P110" s="98"/>
      <c r="Q110" s="23" t="s">
        <v>1474</v>
      </c>
      <c r="R110" s="24" t="s">
        <v>318</v>
      </c>
      <c r="S110" s="25" t="s">
        <v>81</v>
      </c>
      <c r="T110" s="26">
        <v>4</v>
      </c>
      <c r="U110" s="26">
        <v>4</v>
      </c>
      <c r="V110" s="26">
        <f t="shared" si="19"/>
        <v>952.24</v>
      </c>
      <c r="W110" s="26">
        <f t="shared" si="18"/>
        <v>0</v>
      </c>
      <c r="X110" s="26">
        <f t="shared" si="13"/>
        <v>0</v>
      </c>
      <c r="Y110" s="26">
        <f t="shared" si="20"/>
        <v>0</v>
      </c>
      <c r="Z110" s="26">
        <f t="shared" si="14"/>
        <v>0</v>
      </c>
      <c r="AA110" s="33" t="s">
        <v>15</v>
      </c>
      <c r="AB110" s="36" t="s">
        <v>16</v>
      </c>
      <c r="AC110" s="181">
        <f t="shared" si="15"/>
        <v>4</v>
      </c>
      <c r="AD110" s="181">
        <f t="shared" si="21"/>
        <v>3808.96</v>
      </c>
      <c r="AE110" s="181">
        <v>1.2</v>
      </c>
      <c r="AF110" s="181">
        <v>1.2</v>
      </c>
      <c r="AG110" s="101" t="str">
        <f t="shared" si="16"/>
        <v/>
      </c>
      <c r="AH110" s="190">
        <v>0</v>
      </c>
      <c r="AI110" s="69">
        <f t="shared" si="17"/>
        <v>4</v>
      </c>
    </row>
    <row r="111" spans="1:35" s="69" customFormat="1" ht="49.5" x14ac:dyDescent="0.3">
      <c r="A111" s="130" t="s">
        <v>320</v>
      </c>
      <c r="B111" s="240" t="s">
        <v>321</v>
      </c>
      <c r="C111" s="132" t="s">
        <v>50</v>
      </c>
      <c r="D111" s="133">
        <v>676.98</v>
      </c>
      <c r="E111" s="75">
        <v>773.78</v>
      </c>
      <c r="F111" s="75"/>
      <c r="G111" s="75"/>
      <c r="H111" s="75" t="s">
        <v>15</v>
      </c>
      <c r="I111" s="75">
        <v>647.70000000000005</v>
      </c>
      <c r="J111" s="75">
        <v>501177.31</v>
      </c>
      <c r="K111" s="91" t="s">
        <v>322</v>
      </c>
      <c r="L111" s="73"/>
      <c r="M111" s="46">
        <v>676.9799999999999</v>
      </c>
      <c r="N111" s="46">
        <v>58973.090000000026</v>
      </c>
      <c r="O111" s="46">
        <v>438479.95</v>
      </c>
      <c r="P111" s="98"/>
      <c r="Q111" s="23" t="s">
        <v>1475</v>
      </c>
      <c r="R111" s="24" t="s">
        <v>321</v>
      </c>
      <c r="S111" s="25" t="s">
        <v>50</v>
      </c>
      <c r="T111" s="26">
        <v>676.98</v>
      </c>
      <c r="U111" s="26">
        <v>773.78</v>
      </c>
      <c r="V111" s="26">
        <f t="shared" si="19"/>
        <v>647.70000000000005</v>
      </c>
      <c r="W111" s="243">
        <f t="shared" si="18"/>
        <v>92.200000000000045</v>
      </c>
      <c r="X111" s="127">
        <f t="shared" si="13"/>
        <v>769.18</v>
      </c>
      <c r="Y111" s="127">
        <f t="shared" si="20"/>
        <v>59717.94</v>
      </c>
      <c r="Z111" s="127">
        <f t="shared" si="14"/>
        <v>498197.89</v>
      </c>
      <c r="AA111" s="27" t="s">
        <v>15</v>
      </c>
      <c r="AB111" s="36" t="s">
        <v>16</v>
      </c>
      <c r="AC111" s="181">
        <f t="shared" si="15"/>
        <v>773.78</v>
      </c>
      <c r="AD111" s="181">
        <f t="shared" si="21"/>
        <v>501177.31</v>
      </c>
      <c r="AE111" s="181">
        <v>1.2</v>
      </c>
      <c r="AF111" s="181">
        <v>1.2</v>
      </c>
      <c r="AG111" s="101" t="str">
        <f t="shared" si="16"/>
        <v/>
      </c>
      <c r="AH111" s="191">
        <f>354.83+231.1+91.05+92.2</f>
        <v>769.18</v>
      </c>
      <c r="AI111" s="69">
        <f t="shared" si="17"/>
        <v>773.78</v>
      </c>
    </row>
    <row r="112" spans="1:35" s="69" customFormat="1" ht="33" x14ac:dyDescent="0.3">
      <c r="A112" s="55" t="s">
        <v>323</v>
      </c>
      <c r="B112" s="53" t="s">
        <v>324</v>
      </c>
      <c r="C112" s="54" t="s">
        <v>325</v>
      </c>
      <c r="D112" s="75">
        <v>2</v>
      </c>
      <c r="E112" s="75"/>
      <c r="F112" s="75"/>
      <c r="G112" s="75"/>
      <c r="H112" s="75" t="s">
        <v>15</v>
      </c>
      <c r="I112" s="75">
        <v>10413.299999999999</v>
      </c>
      <c r="J112" s="75">
        <v>20826.599999999999</v>
      </c>
      <c r="K112" s="91" t="s">
        <v>326</v>
      </c>
      <c r="L112" s="73"/>
      <c r="M112" s="46">
        <v>0</v>
      </c>
      <c r="N112" s="46">
        <v>0</v>
      </c>
      <c r="O112" s="46">
        <v>0</v>
      </c>
      <c r="P112" s="98"/>
      <c r="Q112" s="23" t="s">
        <v>1476</v>
      </c>
      <c r="R112" s="24" t="s">
        <v>324</v>
      </c>
      <c r="S112" s="25" t="s">
        <v>325</v>
      </c>
      <c r="T112" s="26">
        <v>2</v>
      </c>
      <c r="U112" s="26">
        <v>2</v>
      </c>
      <c r="V112" s="26">
        <f t="shared" si="19"/>
        <v>10413.299999999999</v>
      </c>
      <c r="W112" s="26">
        <f t="shared" si="18"/>
        <v>0</v>
      </c>
      <c r="X112" s="26">
        <f t="shared" si="13"/>
        <v>0</v>
      </c>
      <c r="Y112" s="26">
        <f t="shared" si="20"/>
        <v>0</v>
      </c>
      <c r="Z112" s="26">
        <f t="shared" si="14"/>
        <v>0</v>
      </c>
      <c r="AA112" s="33" t="s">
        <v>15</v>
      </c>
      <c r="AB112" s="36" t="s">
        <v>16</v>
      </c>
      <c r="AC112" s="181">
        <f t="shared" si="15"/>
        <v>2</v>
      </c>
      <c r="AD112" s="181">
        <f t="shared" si="21"/>
        <v>20826.599999999999</v>
      </c>
      <c r="AE112" s="181">
        <v>1.2</v>
      </c>
      <c r="AF112" s="181">
        <v>1.2</v>
      </c>
      <c r="AG112" s="101" t="str">
        <f t="shared" si="16"/>
        <v/>
      </c>
      <c r="AH112" s="190">
        <v>0</v>
      </c>
      <c r="AI112" s="69">
        <f t="shared" si="17"/>
        <v>2</v>
      </c>
    </row>
    <row r="113" spans="1:35" s="69" customFormat="1" ht="33" x14ac:dyDescent="0.3">
      <c r="A113" s="130" t="s">
        <v>327</v>
      </c>
      <c r="B113" s="131" t="s">
        <v>328</v>
      </c>
      <c r="C113" s="132" t="s">
        <v>81</v>
      </c>
      <c r="D113" s="133">
        <v>1</v>
      </c>
      <c r="E113" s="75"/>
      <c r="F113" s="75"/>
      <c r="G113" s="75"/>
      <c r="H113" s="75" t="s">
        <v>15</v>
      </c>
      <c r="I113" s="75">
        <v>101421.35</v>
      </c>
      <c r="J113" s="75">
        <v>101421.35</v>
      </c>
      <c r="K113" s="91" t="s">
        <v>329</v>
      </c>
      <c r="L113" s="73"/>
      <c r="M113" s="46">
        <v>1</v>
      </c>
      <c r="N113" s="46">
        <v>0</v>
      </c>
      <c r="O113" s="46">
        <v>101421.35</v>
      </c>
      <c r="P113" s="98"/>
      <c r="Q113" s="23" t="s">
        <v>1477</v>
      </c>
      <c r="R113" s="24" t="s">
        <v>328</v>
      </c>
      <c r="S113" s="25" t="s">
        <v>81</v>
      </c>
      <c r="T113" s="26">
        <v>1</v>
      </c>
      <c r="U113" s="26">
        <v>1</v>
      </c>
      <c r="V113" s="26">
        <f t="shared" si="19"/>
        <v>101421.35</v>
      </c>
      <c r="W113" s="127">
        <f t="shared" si="18"/>
        <v>0</v>
      </c>
      <c r="X113" s="127">
        <f t="shared" si="13"/>
        <v>1</v>
      </c>
      <c r="Y113" s="127">
        <f t="shared" si="20"/>
        <v>0</v>
      </c>
      <c r="Z113" s="127">
        <f t="shared" si="14"/>
        <v>101421.35</v>
      </c>
      <c r="AA113" s="33" t="s">
        <v>15</v>
      </c>
      <c r="AB113" s="36" t="s">
        <v>16</v>
      </c>
      <c r="AC113" s="181">
        <f t="shared" si="15"/>
        <v>1</v>
      </c>
      <c r="AD113" s="181">
        <f t="shared" si="21"/>
        <v>101421.35</v>
      </c>
      <c r="AE113" s="181">
        <v>1.2</v>
      </c>
      <c r="AF113" s="181">
        <v>1.2</v>
      </c>
      <c r="AG113" s="101" t="str">
        <f t="shared" si="16"/>
        <v/>
      </c>
      <c r="AH113" s="190">
        <v>1</v>
      </c>
      <c r="AI113" s="69">
        <f t="shared" si="17"/>
        <v>1</v>
      </c>
    </row>
    <row r="114" spans="1:35" s="69" customFormat="1" ht="33" x14ac:dyDescent="0.3">
      <c r="A114" s="130" t="s">
        <v>330</v>
      </c>
      <c r="B114" s="131" t="s">
        <v>331</v>
      </c>
      <c r="C114" s="132" t="s">
        <v>325</v>
      </c>
      <c r="D114" s="133">
        <v>3</v>
      </c>
      <c r="E114" s="75"/>
      <c r="F114" s="75"/>
      <c r="G114" s="75"/>
      <c r="H114" s="75" t="s">
        <v>15</v>
      </c>
      <c r="I114" s="75">
        <v>4575.26</v>
      </c>
      <c r="J114" s="75">
        <v>13725.78</v>
      </c>
      <c r="K114" s="91" t="s">
        <v>332</v>
      </c>
      <c r="L114" s="73"/>
      <c r="M114" s="46">
        <v>0</v>
      </c>
      <c r="N114" s="46">
        <v>0</v>
      </c>
      <c r="O114" s="46">
        <v>0</v>
      </c>
      <c r="P114" s="98"/>
      <c r="Q114" s="23" t="s">
        <v>1478</v>
      </c>
      <c r="R114" s="24" t="s">
        <v>331</v>
      </c>
      <c r="S114" s="25" t="s">
        <v>325</v>
      </c>
      <c r="T114" s="26">
        <v>3</v>
      </c>
      <c r="U114" s="26">
        <v>3</v>
      </c>
      <c r="V114" s="26">
        <f t="shared" si="19"/>
        <v>4575.26</v>
      </c>
      <c r="W114" s="243">
        <f t="shared" si="18"/>
        <v>3</v>
      </c>
      <c r="X114" s="127">
        <f t="shared" si="13"/>
        <v>3</v>
      </c>
      <c r="Y114" s="127">
        <f t="shared" si="20"/>
        <v>13725.78</v>
      </c>
      <c r="Z114" s="127">
        <f t="shared" si="14"/>
        <v>13725.78</v>
      </c>
      <c r="AA114" s="33" t="s">
        <v>15</v>
      </c>
      <c r="AB114" s="36" t="s">
        <v>16</v>
      </c>
      <c r="AC114" s="181">
        <f t="shared" si="15"/>
        <v>3</v>
      </c>
      <c r="AD114" s="181">
        <f t="shared" si="21"/>
        <v>13725.78</v>
      </c>
      <c r="AE114" s="181">
        <v>1.2</v>
      </c>
      <c r="AF114" s="181">
        <v>1.2</v>
      </c>
      <c r="AG114" s="101" t="str">
        <f t="shared" si="16"/>
        <v/>
      </c>
      <c r="AH114" s="191">
        <f>3</f>
        <v>3</v>
      </c>
      <c r="AI114" s="69">
        <f t="shared" si="17"/>
        <v>3</v>
      </c>
    </row>
    <row r="115" spans="1:35" s="69" customFormat="1" ht="33" x14ac:dyDescent="0.3">
      <c r="A115" s="55" t="s">
        <v>333</v>
      </c>
      <c r="B115" s="53" t="s">
        <v>334</v>
      </c>
      <c r="C115" s="54" t="s">
        <v>81</v>
      </c>
      <c r="D115" s="75">
        <v>1</v>
      </c>
      <c r="E115" s="75"/>
      <c r="F115" s="75"/>
      <c r="G115" s="75"/>
      <c r="H115" s="75" t="s">
        <v>15</v>
      </c>
      <c r="I115" s="75">
        <v>12634.43</v>
      </c>
      <c r="J115" s="75">
        <v>12634.43</v>
      </c>
      <c r="K115" s="91" t="s">
        <v>335</v>
      </c>
      <c r="L115" s="73"/>
      <c r="M115" s="46">
        <v>0</v>
      </c>
      <c r="N115" s="46">
        <v>0</v>
      </c>
      <c r="O115" s="46">
        <v>0</v>
      </c>
      <c r="P115" s="98"/>
      <c r="Q115" s="23" t="s">
        <v>1479</v>
      </c>
      <c r="R115" s="24" t="s">
        <v>334</v>
      </c>
      <c r="S115" s="25" t="s">
        <v>81</v>
      </c>
      <c r="T115" s="26">
        <v>1</v>
      </c>
      <c r="U115" s="26">
        <v>1</v>
      </c>
      <c r="V115" s="26">
        <f t="shared" si="19"/>
        <v>12634.43</v>
      </c>
      <c r="W115" s="26">
        <f t="shared" si="18"/>
        <v>0</v>
      </c>
      <c r="X115" s="26">
        <f t="shared" si="13"/>
        <v>0</v>
      </c>
      <c r="Y115" s="26">
        <f t="shared" si="20"/>
        <v>0</v>
      </c>
      <c r="Z115" s="26">
        <f t="shared" si="14"/>
        <v>0</v>
      </c>
      <c r="AA115" s="33" t="s">
        <v>15</v>
      </c>
      <c r="AB115" s="36" t="s">
        <v>16</v>
      </c>
      <c r="AC115" s="181">
        <f t="shared" si="15"/>
        <v>1</v>
      </c>
      <c r="AD115" s="181">
        <f t="shared" si="21"/>
        <v>12634.43</v>
      </c>
      <c r="AE115" s="181">
        <v>1.2</v>
      </c>
      <c r="AF115" s="181">
        <v>1.2</v>
      </c>
      <c r="AG115" s="101" t="str">
        <f t="shared" si="16"/>
        <v/>
      </c>
      <c r="AH115" s="190">
        <v>0</v>
      </c>
      <c r="AI115" s="69">
        <f t="shared" si="17"/>
        <v>1</v>
      </c>
    </row>
    <row r="116" spans="1:35" s="69" customFormat="1" ht="33" x14ac:dyDescent="0.3">
      <c r="A116" s="55" t="s">
        <v>336</v>
      </c>
      <c r="B116" s="53" t="s">
        <v>337</v>
      </c>
      <c r="C116" s="54" t="s">
        <v>338</v>
      </c>
      <c r="D116" s="75">
        <v>63.68</v>
      </c>
      <c r="E116" s="75"/>
      <c r="F116" s="75"/>
      <c r="G116" s="75"/>
      <c r="H116" s="75" t="s">
        <v>15</v>
      </c>
      <c r="I116" s="75">
        <v>15300</v>
      </c>
      <c r="J116" s="75">
        <v>974304</v>
      </c>
      <c r="K116" s="91" t="s">
        <v>339</v>
      </c>
      <c r="L116" s="73"/>
      <c r="M116" s="46">
        <v>57.5</v>
      </c>
      <c r="N116" s="46">
        <v>0</v>
      </c>
      <c r="O116" s="46">
        <v>879750</v>
      </c>
      <c r="P116" s="98"/>
      <c r="Q116" s="23" t="s">
        <v>1480</v>
      </c>
      <c r="R116" s="24" t="s">
        <v>337</v>
      </c>
      <c r="S116" s="25" t="s">
        <v>338</v>
      </c>
      <c r="T116" s="26">
        <v>63.68</v>
      </c>
      <c r="U116" s="26">
        <v>63.68</v>
      </c>
      <c r="V116" s="26">
        <f t="shared" si="19"/>
        <v>15300</v>
      </c>
      <c r="W116" s="243">
        <f t="shared" si="18"/>
        <v>5.8500000000000014</v>
      </c>
      <c r="X116" s="26">
        <f t="shared" si="13"/>
        <v>63.35</v>
      </c>
      <c r="Y116" s="26">
        <f t="shared" si="20"/>
        <v>89505</v>
      </c>
      <c r="Z116" s="26">
        <f t="shared" si="14"/>
        <v>969255</v>
      </c>
      <c r="AA116" s="33" t="s">
        <v>15</v>
      </c>
      <c r="AB116" s="36" t="s">
        <v>16</v>
      </c>
      <c r="AC116" s="181">
        <f t="shared" si="15"/>
        <v>63.68</v>
      </c>
      <c r="AD116" s="181">
        <f t="shared" si="21"/>
        <v>974304</v>
      </c>
      <c r="AE116" s="181">
        <v>1.2</v>
      </c>
      <c r="AF116" s="181">
        <v>1.2</v>
      </c>
      <c r="AG116" s="101" t="str">
        <f t="shared" si="16"/>
        <v/>
      </c>
      <c r="AH116" s="191">
        <f>35.7+21.8+5.85</f>
        <v>63.35</v>
      </c>
      <c r="AI116" s="69">
        <f t="shared" si="17"/>
        <v>63.68</v>
      </c>
    </row>
    <row r="117" spans="1:35" s="69" customFormat="1" ht="33" x14ac:dyDescent="0.3">
      <c r="A117" s="55" t="s">
        <v>340</v>
      </c>
      <c r="B117" s="53" t="s">
        <v>341</v>
      </c>
      <c r="C117" s="54" t="s">
        <v>81</v>
      </c>
      <c r="D117" s="75">
        <v>62</v>
      </c>
      <c r="E117" s="75"/>
      <c r="F117" s="75"/>
      <c r="G117" s="75"/>
      <c r="H117" s="75" t="s">
        <v>15</v>
      </c>
      <c r="I117" s="75">
        <v>4498.58</v>
      </c>
      <c r="J117" s="75">
        <v>278911.96000000002</v>
      </c>
      <c r="K117" s="91" t="s">
        <v>342</v>
      </c>
      <c r="L117" s="73"/>
      <c r="M117" s="46">
        <v>40</v>
      </c>
      <c r="N117" s="46">
        <v>94470.180000000008</v>
      </c>
      <c r="O117" s="46">
        <v>179943.2</v>
      </c>
      <c r="P117" s="98"/>
      <c r="Q117" s="23" t="s">
        <v>1481</v>
      </c>
      <c r="R117" s="24" t="s">
        <v>341</v>
      </c>
      <c r="S117" s="25" t="s">
        <v>81</v>
      </c>
      <c r="T117" s="26">
        <v>62</v>
      </c>
      <c r="U117" s="26">
        <v>62</v>
      </c>
      <c r="V117" s="26">
        <f t="shared" si="19"/>
        <v>4498.58</v>
      </c>
      <c r="W117" s="243">
        <f t="shared" si="18"/>
        <v>10</v>
      </c>
      <c r="X117" s="26">
        <f t="shared" si="13"/>
        <v>50</v>
      </c>
      <c r="Y117" s="26">
        <f t="shared" si="20"/>
        <v>44985.799999999988</v>
      </c>
      <c r="Z117" s="26">
        <f t="shared" si="14"/>
        <v>224929</v>
      </c>
      <c r="AA117" s="33" t="s">
        <v>15</v>
      </c>
      <c r="AB117" s="36" t="s">
        <v>16</v>
      </c>
      <c r="AC117" s="181">
        <f t="shared" si="15"/>
        <v>62</v>
      </c>
      <c r="AD117" s="181">
        <f t="shared" si="21"/>
        <v>278911.96000000002</v>
      </c>
      <c r="AE117" s="181">
        <v>1.2</v>
      </c>
      <c r="AF117" s="181">
        <v>1.2</v>
      </c>
      <c r="AG117" s="101" t="str">
        <f t="shared" si="16"/>
        <v/>
      </c>
      <c r="AH117" s="191">
        <f>16+3+21+10</f>
        <v>50</v>
      </c>
      <c r="AI117" s="69">
        <f t="shared" si="17"/>
        <v>62</v>
      </c>
    </row>
    <row r="118" spans="1:35" s="69" customFormat="1" ht="33" x14ac:dyDescent="0.3">
      <c r="A118" s="55" t="s">
        <v>343</v>
      </c>
      <c r="B118" s="53" t="s">
        <v>344</v>
      </c>
      <c r="C118" s="54" t="s">
        <v>81</v>
      </c>
      <c r="D118" s="75">
        <v>15</v>
      </c>
      <c r="E118" s="75"/>
      <c r="F118" s="75"/>
      <c r="G118" s="75"/>
      <c r="H118" s="75" t="s">
        <v>15</v>
      </c>
      <c r="I118" s="75">
        <v>3353.68</v>
      </c>
      <c r="J118" s="75">
        <v>50305.2</v>
      </c>
      <c r="K118" s="91" t="s">
        <v>345</v>
      </c>
      <c r="L118" s="73"/>
      <c r="M118" s="46">
        <v>12</v>
      </c>
      <c r="N118" s="46">
        <v>13414.720000000005</v>
      </c>
      <c r="O118" s="46">
        <v>40244.160000000003</v>
      </c>
      <c r="P118" s="98"/>
      <c r="Q118" s="23" t="s">
        <v>1482</v>
      </c>
      <c r="R118" s="24" t="s">
        <v>344</v>
      </c>
      <c r="S118" s="25" t="s">
        <v>81</v>
      </c>
      <c r="T118" s="26">
        <v>15</v>
      </c>
      <c r="U118" s="26">
        <v>15</v>
      </c>
      <c r="V118" s="26">
        <f t="shared" si="19"/>
        <v>3353.68</v>
      </c>
      <c r="W118" s="243">
        <f t="shared" si="18"/>
        <v>0</v>
      </c>
      <c r="X118" s="26">
        <f t="shared" si="13"/>
        <v>12</v>
      </c>
      <c r="Y118" s="26">
        <f t="shared" si="20"/>
        <v>0</v>
      </c>
      <c r="Z118" s="26">
        <f t="shared" si="14"/>
        <v>40244.160000000003</v>
      </c>
      <c r="AA118" s="33" t="s">
        <v>15</v>
      </c>
      <c r="AB118" s="36" t="s">
        <v>16</v>
      </c>
      <c r="AC118" s="181">
        <f t="shared" si="15"/>
        <v>15</v>
      </c>
      <c r="AD118" s="181">
        <f t="shared" si="21"/>
        <v>50305.2</v>
      </c>
      <c r="AE118" s="181">
        <v>1.2</v>
      </c>
      <c r="AF118" s="181">
        <v>1.2</v>
      </c>
      <c r="AG118" s="101" t="str">
        <f t="shared" si="16"/>
        <v/>
      </c>
      <c r="AH118" s="191">
        <f>2+6+4</f>
        <v>12</v>
      </c>
      <c r="AI118" s="69">
        <f t="shared" si="17"/>
        <v>15</v>
      </c>
    </row>
    <row r="119" spans="1:35" s="69" customFormat="1" ht="33" x14ac:dyDescent="0.3">
      <c r="A119" s="55" t="s">
        <v>346</v>
      </c>
      <c r="B119" s="53" t="s">
        <v>347</v>
      </c>
      <c r="C119" s="54" t="s">
        <v>30</v>
      </c>
      <c r="D119" s="75">
        <v>13</v>
      </c>
      <c r="E119" s="75"/>
      <c r="F119" s="75"/>
      <c r="G119" s="75"/>
      <c r="H119" s="75" t="s">
        <v>15</v>
      </c>
      <c r="I119" s="75">
        <v>9874.4</v>
      </c>
      <c r="J119" s="75">
        <v>128367.2</v>
      </c>
      <c r="K119" s="91" t="s">
        <v>348</v>
      </c>
      <c r="L119" s="73"/>
      <c r="M119" s="46">
        <v>7</v>
      </c>
      <c r="N119" s="46">
        <v>69120.800000000003</v>
      </c>
      <c r="O119" s="46">
        <v>69120.800000000003</v>
      </c>
      <c r="P119" s="98"/>
      <c r="Q119" s="23" t="s">
        <v>1483</v>
      </c>
      <c r="R119" s="24" t="s">
        <v>347</v>
      </c>
      <c r="S119" s="25" t="s">
        <v>30</v>
      </c>
      <c r="T119" s="26">
        <v>13</v>
      </c>
      <c r="U119" s="26">
        <v>13</v>
      </c>
      <c r="V119" s="26">
        <f t="shared" si="19"/>
        <v>9874.4</v>
      </c>
      <c r="W119" s="243">
        <f t="shared" si="18"/>
        <v>0</v>
      </c>
      <c r="X119" s="26">
        <f t="shared" si="13"/>
        <v>7</v>
      </c>
      <c r="Y119" s="26">
        <f t="shared" si="20"/>
        <v>0</v>
      </c>
      <c r="Z119" s="26">
        <f t="shared" si="14"/>
        <v>69120.800000000003</v>
      </c>
      <c r="AA119" s="33" t="s">
        <v>15</v>
      </c>
      <c r="AB119" s="36" t="s">
        <v>16</v>
      </c>
      <c r="AC119" s="181">
        <f t="shared" si="15"/>
        <v>13</v>
      </c>
      <c r="AD119" s="181">
        <f t="shared" si="21"/>
        <v>128367.2</v>
      </c>
      <c r="AE119" s="181">
        <v>1.2</v>
      </c>
      <c r="AF119" s="181">
        <v>1.2</v>
      </c>
      <c r="AG119" s="101" t="str">
        <f t="shared" si="16"/>
        <v/>
      </c>
      <c r="AH119" s="191">
        <f>7</f>
        <v>7</v>
      </c>
      <c r="AI119" s="69">
        <f t="shared" si="17"/>
        <v>13</v>
      </c>
    </row>
    <row r="120" spans="1:35" s="69" customFormat="1" ht="33" x14ac:dyDescent="0.3">
      <c r="A120" s="55" t="s">
        <v>349</v>
      </c>
      <c r="B120" s="53" t="s">
        <v>350</v>
      </c>
      <c r="C120" s="54" t="s">
        <v>30</v>
      </c>
      <c r="D120" s="75">
        <v>41.7</v>
      </c>
      <c r="E120" s="75"/>
      <c r="F120" s="75"/>
      <c r="G120" s="75"/>
      <c r="H120" s="75" t="s">
        <v>15</v>
      </c>
      <c r="I120" s="75">
        <v>6554.37</v>
      </c>
      <c r="J120" s="75">
        <v>273317.23</v>
      </c>
      <c r="K120" s="91" t="s">
        <v>351</v>
      </c>
      <c r="L120" s="73"/>
      <c r="M120" s="46">
        <v>8.6</v>
      </c>
      <c r="N120" s="46">
        <v>0</v>
      </c>
      <c r="O120" s="46">
        <v>56367.58</v>
      </c>
      <c r="P120" s="98"/>
      <c r="Q120" s="23" t="s">
        <v>1484</v>
      </c>
      <c r="R120" s="24" t="s">
        <v>350</v>
      </c>
      <c r="S120" s="25" t="s">
        <v>30</v>
      </c>
      <c r="T120" s="26">
        <v>41.7</v>
      </c>
      <c r="U120" s="26">
        <v>41.7</v>
      </c>
      <c r="V120" s="26">
        <f t="shared" si="19"/>
        <v>6554.37</v>
      </c>
      <c r="W120" s="243">
        <f t="shared" si="18"/>
        <v>0</v>
      </c>
      <c r="X120" s="26">
        <f t="shared" si="13"/>
        <v>8.6</v>
      </c>
      <c r="Y120" s="26">
        <f t="shared" si="20"/>
        <v>0</v>
      </c>
      <c r="Z120" s="26">
        <f t="shared" si="14"/>
        <v>56367.58</v>
      </c>
      <c r="AA120" s="33" t="s">
        <v>15</v>
      </c>
      <c r="AB120" s="36" t="s">
        <v>16</v>
      </c>
      <c r="AC120" s="181">
        <f t="shared" si="15"/>
        <v>41.7</v>
      </c>
      <c r="AD120" s="181">
        <f t="shared" si="21"/>
        <v>273317.23</v>
      </c>
      <c r="AE120" s="181">
        <v>1.2</v>
      </c>
      <c r="AF120" s="181">
        <v>1.2</v>
      </c>
      <c r="AG120" s="101" t="str">
        <f t="shared" si="16"/>
        <v/>
      </c>
      <c r="AH120" s="191">
        <f>8.6</f>
        <v>8.6</v>
      </c>
      <c r="AI120" s="69">
        <f t="shared" si="17"/>
        <v>41.7</v>
      </c>
    </row>
    <row r="121" spans="1:35" s="69" customFormat="1" ht="33" x14ac:dyDescent="0.3">
      <c r="A121" s="55" t="s">
        <v>352</v>
      </c>
      <c r="B121" s="53" t="s">
        <v>353</v>
      </c>
      <c r="C121" s="54" t="s">
        <v>30</v>
      </c>
      <c r="D121" s="75">
        <v>1.3</v>
      </c>
      <c r="E121" s="75"/>
      <c r="F121" s="75"/>
      <c r="G121" s="75"/>
      <c r="H121" s="75" t="s">
        <v>15</v>
      </c>
      <c r="I121" s="75">
        <v>8390.73</v>
      </c>
      <c r="J121" s="75">
        <v>10907.95</v>
      </c>
      <c r="K121" s="91" t="s">
        <v>354</v>
      </c>
      <c r="L121" s="73"/>
      <c r="M121" s="46">
        <v>0</v>
      </c>
      <c r="N121" s="46">
        <v>0</v>
      </c>
      <c r="O121" s="46">
        <v>0</v>
      </c>
      <c r="P121" s="98"/>
      <c r="Q121" s="23" t="s">
        <v>1485</v>
      </c>
      <c r="R121" s="24" t="s">
        <v>353</v>
      </c>
      <c r="S121" s="25" t="s">
        <v>30</v>
      </c>
      <c r="T121" s="26">
        <v>1.3</v>
      </c>
      <c r="U121" s="26">
        <v>1.3</v>
      </c>
      <c r="V121" s="26">
        <f t="shared" si="19"/>
        <v>8390.73</v>
      </c>
      <c r="W121" s="26">
        <f t="shared" si="18"/>
        <v>0</v>
      </c>
      <c r="X121" s="26">
        <f t="shared" si="13"/>
        <v>0</v>
      </c>
      <c r="Y121" s="26">
        <f t="shared" si="20"/>
        <v>0</v>
      </c>
      <c r="Z121" s="26">
        <f t="shared" si="14"/>
        <v>0</v>
      </c>
      <c r="AA121" s="33" t="s">
        <v>15</v>
      </c>
      <c r="AB121" s="36" t="s">
        <v>16</v>
      </c>
      <c r="AC121" s="181">
        <f t="shared" si="15"/>
        <v>1.3</v>
      </c>
      <c r="AD121" s="181">
        <f t="shared" si="21"/>
        <v>10907.95</v>
      </c>
      <c r="AE121" s="181">
        <v>1.2</v>
      </c>
      <c r="AF121" s="181">
        <v>1.2</v>
      </c>
      <c r="AG121" s="101" t="str">
        <f t="shared" si="16"/>
        <v/>
      </c>
      <c r="AH121" s="190">
        <v>0</v>
      </c>
      <c r="AI121" s="69">
        <f t="shared" si="17"/>
        <v>1.3</v>
      </c>
    </row>
    <row r="122" spans="1:35" s="69" customFormat="1" ht="33" x14ac:dyDescent="0.3">
      <c r="A122" s="55" t="s">
        <v>355</v>
      </c>
      <c r="B122" s="53" t="s">
        <v>356</v>
      </c>
      <c r="C122" s="54" t="s">
        <v>30</v>
      </c>
      <c r="D122" s="75">
        <v>122.3</v>
      </c>
      <c r="E122" s="75"/>
      <c r="F122" s="75"/>
      <c r="G122" s="75"/>
      <c r="H122" s="75" t="s">
        <v>15</v>
      </c>
      <c r="I122" s="75">
        <v>671.99</v>
      </c>
      <c r="J122" s="75">
        <v>82184.38</v>
      </c>
      <c r="K122" s="91" t="s">
        <v>357</v>
      </c>
      <c r="L122" s="73"/>
      <c r="M122" s="46">
        <v>0</v>
      </c>
      <c r="N122" s="46">
        <v>0</v>
      </c>
      <c r="O122" s="46">
        <v>0</v>
      </c>
      <c r="P122" s="98"/>
      <c r="Q122" s="23" t="s">
        <v>1486</v>
      </c>
      <c r="R122" s="24" t="s">
        <v>356</v>
      </c>
      <c r="S122" s="25" t="s">
        <v>30</v>
      </c>
      <c r="T122" s="26">
        <v>122.3</v>
      </c>
      <c r="U122" s="26">
        <v>122.3</v>
      </c>
      <c r="V122" s="26">
        <f t="shared" si="19"/>
        <v>671.99</v>
      </c>
      <c r="W122" s="243">
        <f t="shared" si="18"/>
        <v>60</v>
      </c>
      <c r="X122" s="26">
        <f t="shared" si="13"/>
        <v>60</v>
      </c>
      <c r="Y122" s="26">
        <f t="shared" si="20"/>
        <v>40319.4</v>
      </c>
      <c r="Z122" s="26">
        <f t="shared" si="14"/>
        <v>40319.4</v>
      </c>
      <c r="AA122" s="33" t="s">
        <v>15</v>
      </c>
      <c r="AB122" s="36" t="s">
        <v>16</v>
      </c>
      <c r="AC122" s="181">
        <f t="shared" si="15"/>
        <v>122.3</v>
      </c>
      <c r="AD122" s="181">
        <f t="shared" si="21"/>
        <v>82184.38</v>
      </c>
      <c r="AE122" s="181">
        <v>1.2</v>
      </c>
      <c r="AF122" s="181">
        <v>1.2</v>
      </c>
      <c r="AG122" s="101" t="str">
        <f t="shared" si="16"/>
        <v/>
      </c>
      <c r="AH122" s="191">
        <f>60</f>
        <v>60</v>
      </c>
      <c r="AI122" s="69">
        <f t="shared" si="17"/>
        <v>122.3</v>
      </c>
    </row>
    <row r="123" spans="1:35" s="69" customFormat="1" ht="33" x14ac:dyDescent="0.3">
      <c r="A123" s="55" t="s">
        <v>358</v>
      </c>
      <c r="B123" s="53" t="s">
        <v>359</v>
      </c>
      <c r="C123" s="54" t="s">
        <v>30</v>
      </c>
      <c r="D123" s="75">
        <v>101.01</v>
      </c>
      <c r="E123" s="75"/>
      <c r="F123" s="75"/>
      <c r="G123" s="75"/>
      <c r="H123" s="75" t="s">
        <v>15</v>
      </c>
      <c r="I123" s="75">
        <v>935.67</v>
      </c>
      <c r="J123" s="75">
        <v>94512.03</v>
      </c>
      <c r="K123" s="91" t="s">
        <v>360</v>
      </c>
      <c r="L123" s="73"/>
      <c r="M123" s="46">
        <v>0</v>
      </c>
      <c r="N123" s="46">
        <v>0</v>
      </c>
      <c r="O123" s="46">
        <v>0</v>
      </c>
      <c r="P123" s="98"/>
      <c r="Q123" s="23" t="s">
        <v>1487</v>
      </c>
      <c r="R123" s="24" t="s">
        <v>359</v>
      </c>
      <c r="S123" s="25" t="s">
        <v>30</v>
      </c>
      <c r="T123" s="26">
        <v>101.01</v>
      </c>
      <c r="U123" s="26">
        <v>101.01</v>
      </c>
      <c r="V123" s="26">
        <f t="shared" si="19"/>
        <v>935.67</v>
      </c>
      <c r="W123" s="243">
        <f t="shared" si="18"/>
        <v>55</v>
      </c>
      <c r="X123" s="26">
        <f t="shared" si="13"/>
        <v>55</v>
      </c>
      <c r="Y123" s="26">
        <f t="shared" si="20"/>
        <v>51461.85</v>
      </c>
      <c r="Z123" s="26">
        <f t="shared" si="14"/>
        <v>51461.85</v>
      </c>
      <c r="AA123" s="33" t="s">
        <v>15</v>
      </c>
      <c r="AB123" s="36" t="s">
        <v>16</v>
      </c>
      <c r="AC123" s="181">
        <f t="shared" si="15"/>
        <v>101.01</v>
      </c>
      <c r="AD123" s="181">
        <f t="shared" si="21"/>
        <v>94512.03</v>
      </c>
      <c r="AE123" s="181">
        <v>1.2</v>
      </c>
      <c r="AF123" s="181">
        <v>1.2</v>
      </c>
      <c r="AG123" s="101" t="str">
        <f t="shared" si="16"/>
        <v/>
      </c>
      <c r="AH123" s="191">
        <f>55</f>
        <v>55</v>
      </c>
      <c r="AI123" s="69">
        <f t="shared" si="17"/>
        <v>101.01</v>
      </c>
    </row>
    <row r="124" spans="1:35" s="69" customFormat="1" ht="33" x14ac:dyDescent="0.3">
      <c r="A124" s="55" t="s">
        <v>361</v>
      </c>
      <c r="B124" s="211" t="s">
        <v>362</v>
      </c>
      <c r="C124" s="54" t="s">
        <v>30</v>
      </c>
      <c r="D124" s="75">
        <v>489</v>
      </c>
      <c r="E124" s="75"/>
      <c r="F124" s="75"/>
      <c r="G124" s="75"/>
      <c r="H124" s="75" t="s">
        <v>15</v>
      </c>
      <c r="I124" s="75">
        <v>658.31</v>
      </c>
      <c r="J124" s="75">
        <v>321913.59000000003</v>
      </c>
      <c r="K124" s="91" t="s">
        <v>363</v>
      </c>
      <c r="L124" s="73"/>
      <c r="M124" s="46">
        <v>377.7</v>
      </c>
      <c r="N124" s="46">
        <v>65831</v>
      </c>
      <c r="O124" s="46">
        <v>248643.69</v>
      </c>
      <c r="P124" s="98"/>
      <c r="Q124" s="23" t="s">
        <v>1488</v>
      </c>
      <c r="R124" s="24" t="s">
        <v>362</v>
      </c>
      <c r="S124" s="25" t="s">
        <v>30</v>
      </c>
      <c r="T124" s="26">
        <v>489</v>
      </c>
      <c r="U124" s="26">
        <v>489</v>
      </c>
      <c r="V124" s="26">
        <f t="shared" si="19"/>
        <v>658.31</v>
      </c>
      <c r="W124" s="243">
        <f t="shared" si="18"/>
        <v>0</v>
      </c>
      <c r="X124" s="26">
        <f t="shared" si="13"/>
        <v>377.7</v>
      </c>
      <c r="Y124" s="26">
        <f t="shared" si="20"/>
        <v>0</v>
      </c>
      <c r="Z124" s="26">
        <f t="shared" si="14"/>
        <v>248643.69</v>
      </c>
      <c r="AA124" s="33" t="s">
        <v>15</v>
      </c>
      <c r="AB124" s="36" t="s">
        <v>16</v>
      </c>
      <c r="AC124" s="181">
        <f t="shared" si="15"/>
        <v>489</v>
      </c>
      <c r="AD124" s="181">
        <f t="shared" si="21"/>
        <v>321913.59000000003</v>
      </c>
      <c r="AE124" s="181">
        <v>1.2</v>
      </c>
      <c r="AF124" s="181">
        <v>1.2</v>
      </c>
      <c r="AG124" s="101" t="str">
        <f t="shared" si="16"/>
        <v/>
      </c>
      <c r="AH124" s="191">
        <f>277.7+100</f>
        <v>377.7</v>
      </c>
      <c r="AI124" s="69">
        <f t="shared" si="17"/>
        <v>489</v>
      </c>
    </row>
    <row r="125" spans="1:35" s="69" customFormat="1" ht="33" x14ac:dyDescent="0.3">
      <c r="A125" s="55" t="s">
        <v>364</v>
      </c>
      <c r="B125" s="211" t="s">
        <v>3111</v>
      </c>
      <c r="C125" s="54" t="s">
        <v>30</v>
      </c>
      <c r="D125" s="75">
        <v>216</v>
      </c>
      <c r="E125" s="75"/>
      <c r="F125" s="75"/>
      <c r="G125" s="75"/>
      <c r="H125" s="75" t="s">
        <v>15</v>
      </c>
      <c r="I125" s="75">
        <v>730.41</v>
      </c>
      <c r="J125" s="75">
        <v>157768.56</v>
      </c>
      <c r="K125" s="91" t="s">
        <v>366</v>
      </c>
      <c r="L125" s="73"/>
      <c r="M125" s="46">
        <v>180</v>
      </c>
      <c r="N125" s="46">
        <v>43824.599999999991</v>
      </c>
      <c r="O125" s="46">
        <v>131473.79999999999</v>
      </c>
      <c r="P125" s="98"/>
      <c r="Q125" s="23" t="s">
        <v>1489</v>
      </c>
      <c r="R125" s="24" t="s">
        <v>365</v>
      </c>
      <c r="S125" s="25" t="s">
        <v>30</v>
      </c>
      <c r="T125" s="26">
        <v>216</v>
      </c>
      <c r="U125" s="26">
        <v>216</v>
      </c>
      <c r="V125" s="26">
        <f t="shared" si="19"/>
        <v>730.41</v>
      </c>
      <c r="W125" s="243">
        <f t="shared" si="18"/>
        <v>0</v>
      </c>
      <c r="X125" s="26">
        <f t="shared" si="13"/>
        <v>180</v>
      </c>
      <c r="Y125" s="26">
        <f t="shared" si="20"/>
        <v>0</v>
      </c>
      <c r="Z125" s="26">
        <f t="shared" si="14"/>
        <v>131473.79999999999</v>
      </c>
      <c r="AA125" s="33" t="s">
        <v>15</v>
      </c>
      <c r="AB125" s="36" t="s">
        <v>16</v>
      </c>
      <c r="AC125" s="181">
        <f t="shared" si="15"/>
        <v>216</v>
      </c>
      <c r="AD125" s="181">
        <f t="shared" si="21"/>
        <v>157768.56</v>
      </c>
      <c r="AE125" s="181">
        <v>1.2</v>
      </c>
      <c r="AF125" s="181">
        <v>1.2</v>
      </c>
      <c r="AG125" s="101" t="str">
        <f t="shared" si="16"/>
        <v/>
      </c>
      <c r="AH125" s="191">
        <f>120+60</f>
        <v>180</v>
      </c>
      <c r="AI125" s="69">
        <f t="shared" si="17"/>
        <v>216</v>
      </c>
    </row>
    <row r="126" spans="1:35" s="69" customFormat="1" ht="33" x14ac:dyDescent="0.3">
      <c r="A126" s="130" t="s">
        <v>367</v>
      </c>
      <c r="B126" s="131" t="s">
        <v>368</v>
      </c>
      <c r="C126" s="132" t="s">
        <v>30</v>
      </c>
      <c r="D126" s="133">
        <v>45.16</v>
      </c>
      <c r="E126" s="75"/>
      <c r="F126" s="75"/>
      <c r="G126" s="75"/>
      <c r="H126" s="75" t="s">
        <v>15</v>
      </c>
      <c r="I126" s="75">
        <v>406.4</v>
      </c>
      <c r="J126" s="75">
        <v>18353.02</v>
      </c>
      <c r="K126" s="91" t="s">
        <v>369</v>
      </c>
      <c r="L126" s="73"/>
      <c r="M126" s="46">
        <v>45.1</v>
      </c>
      <c r="N126" s="46">
        <v>0</v>
      </c>
      <c r="O126" s="46">
        <v>18328.64</v>
      </c>
      <c r="P126" s="98"/>
      <c r="Q126" s="23" t="s">
        <v>1398</v>
      </c>
      <c r="R126" s="24" t="s">
        <v>368</v>
      </c>
      <c r="S126" s="25" t="s">
        <v>30</v>
      </c>
      <c r="T126" s="26">
        <v>45.16</v>
      </c>
      <c r="U126" s="26">
        <v>45.16</v>
      </c>
      <c r="V126" s="26">
        <f t="shared" si="19"/>
        <v>406.4</v>
      </c>
      <c r="W126" s="127">
        <f t="shared" si="18"/>
        <v>0</v>
      </c>
      <c r="X126" s="127">
        <f t="shared" si="13"/>
        <v>45.1</v>
      </c>
      <c r="Y126" s="127">
        <f t="shared" si="20"/>
        <v>0</v>
      </c>
      <c r="Z126" s="127">
        <f t="shared" si="14"/>
        <v>18328.64</v>
      </c>
      <c r="AA126" s="33" t="s">
        <v>15</v>
      </c>
      <c r="AB126" s="36" t="s">
        <v>16</v>
      </c>
      <c r="AC126" s="181">
        <f t="shared" si="15"/>
        <v>45.16</v>
      </c>
      <c r="AD126" s="181">
        <f t="shared" si="21"/>
        <v>18353.02</v>
      </c>
      <c r="AE126" s="181">
        <v>1.2</v>
      </c>
      <c r="AF126" s="181">
        <v>1.2</v>
      </c>
      <c r="AG126" s="101" t="str">
        <f t="shared" si="16"/>
        <v/>
      </c>
      <c r="AH126" s="194">
        <f>45.1</f>
        <v>45.1</v>
      </c>
      <c r="AI126" s="69">
        <f t="shared" si="17"/>
        <v>45.16</v>
      </c>
    </row>
    <row r="127" spans="1:35" s="69" customFormat="1" ht="33" x14ac:dyDescent="0.3">
      <c r="A127" s="55" t="s">
        <v>370</v>
      </c>
      <c r="B127" s="211" t="s">
        <v>371</v>
      </c>
      <c r="C127" s="54" t="s">
        <v>30</v>
      </c>
      <c r="D127" s="75">
        <v>116.8</v>
      </c>
      <c r="E127" s="75"/>
      <c r="F127" s="75"/>
      <c r="G127" s="75"/>
      <c r="H127" s="75" t="s">
        <v>15</v>
      </c>
      <c r="I127" s="75">
        <v>457.9</v>
      </c>
      <c r="J127" s="75">
        <v>53482.720000000001</v>
      </c>
      <c r="K127" s="91" t="s">
        <v>372</v>
      </c>
      <c r="L127" s="73"/>
      <c r="M127" s="46">
        <v>83.2</v>
      </c>
      <c r="N127" s="46">
        <v>0</v>
      </c>
      <c r="O127" s="46">
        <v>38097.279999999999</v>
      </c>
      <c r="P127" s="98"/>
      <c r="Q127" s="23" t="s">
        <v>1399</v>
      </c>
      <c r="R127" s="24" t="s">
        <v>371</v>
      </c>
      <c r="S127" s="25" t="s">
        <v>30</v>
      </c>
      <c r="T127" s="26">
        <v>116.8</v>
      </c>
      <c r="U127" s="26">
        <v>116.8</v>
      </c>
      <c r="V127" s="26">
        <f t="shared" si="19"/>
        <v>457.9</v>
      </c>
      <c r="W127" s="243">
        <f t="shared" si="18"/>
        <v>0</v>
      </c>
      <c r="X127" s="26">
        <f t="shared" si="13"/>
        <v>83.2</v>
      </c>
      <c r="Y127" s="26">
        <f t="shared" si="20"/>
        <v>0</v>
      </c>
      <c r="Z127" s="26">
        <f t="shared" si="14"/>
        <v>38097.279999999999</v>
      </c>
      <c r="AA127" s="33" t="s">
        <v>15</v>
      </c>
      <c r="AB127" s="36" t="s">
        <v>16</v>
      </c>
      <c r="AC127" s="181">
        <f t="shared" si="15"/>
        <v>116.8</v>
      </c>
      <c r="AD127" s="181">
        <f t="shared" si="21"/>
        <v>53482.720000000001</v>
      </c>
      <c r="AE127" s="181">
        <v>1.2</v>
      </c>
      <c r="AF127" s="181">
        <v>1.2</v>
      </c>
      <c r="AG127" s="101" t="str">
        <f t="shared" si="16"/>
        <v/>
      </c>
      <c r="AH127" s="191">
        <f>52+31.2</f>
        <v>83.2</v>
      </c>
      <c r="AI127" s="69">
        <f t="shared" si="17"/>
        <v>116.8</v>
      </c>
    </row>
    <row r="128" spans="1:35" s="69" customFormat="1" ht="39" x14ac:dyDescent="0.3">
      <c r="A128" s="130" t="s">
        <v>373</v>
      </c>
      <c r="B128" s="131" t="s">
        <v>374</v>
      </c>
      <c r="C128" s="132" t="s">
        <v>30</v>
      </c>
      <c r="D128" s="133">
        <v>25.8</v>
      </c>
      <c r="E128" s="75"/>
      <c r="F128" s="75"/>
      <c r="G128" s="75"/>
      <c r="H128" s="75" t="s">
        <v>15</v>
      </c>
      <c r="I128" s="75">
        <v>499.1</v>
      </c>
      <c r="J128" s="75">
        <v>12876.78</v>
      </c>
      <c r="K128" s="91" t="s">
        <v>375</v>
      </c>
      <c r="L128" s="73"/>
      <c r="M128" s="46">
        <v>21</v>
      </c>
      <c r="N128" s="46">
        <v>10481.1</v>
      </c>
      <c r="O128" s="46">
        <v>10481.1</v>
      </c>
      <c r="P128" s="98"/>
      <c r="Q128" s="23" t="s">
        <v>1490</v>
      </c>
      <c r="R128" s="24" t="s">
        <v>374</v>
      </c>
      <c r="S128" s="25" t="s">
        <v>30</v>
      </c>
      <c r="T128" s="26">
        <v>25.8</v>
      </c>
      <c r="U128" s="26">
        <v>25.8</v>
      </c>
      <c r="V128" s="26">
        <f t="shared" si="19"/>
        <v>499.1</v>
      </c>
      <c r="W128" s="199">
        <f t="shared" si="18"/>
        <v>0</v>
      </c>
      <c r="X128" s="127">
        <f t="shared" si="13"/>
        <v>21</v>
      </c>
      <c r="Y128" s="127">
        <f t="shared" si="20"/>
        <v>0</v>
      </c>
      <c r="Z128" s="127">
        <f t="shared" si="14"/>
        <v>10481.1</v>
      </c>
      <c r="AA128" s="33" t="s">
        <v>15</v>
      </c>
      <c r="AB128" s="36" t="s">
        <v>16</v>
      </c>
      <c r="AC128" s="181">
        <f t="shared" si="15"/>
        <v>25.8</v>
      </c>
      <c r="AD128" s="181">
        <f t="shared" si="21"/>
        <v>12876.78</v>
      </c>
      <c r="AE128" s="181">
        <v>1.2</v>
      </c>
      <c r="AF128" s="181">
        <v>1.2</v>
      </c>
      <c r="AG128" s="101" t="str">
        <f t="shared" si="16"/>
        <v/>
      </c>
      <c r="AH128" s="191">
        <f>21</f>
        <v>21</v>
      </c>
      <c r="AI128" s="69">
        <f t="shared" si="17"/>
        <v>25.8</v>
      </c>
    </row>
    <row r="129" spans="1:38" s="69" customFormat="1" ht="33" x14ac:dyDescent="0.3">
      <c r="A129" s="55" t="s">
        <v>376</v>
      </c>
      <c r="B129" s="53" t="s">
        <v>377</v>
      </c>
      <c r="C129" s="54" t="s">
        <v>30</v>
      </c>
      <c r="D129" s="75">
        <v>53.89</v>
      </c>
      <c r="E129" s="75"/>
      <c r="F129" s="75"/>
      <c r="G129" s="75"/>
      <c r="H129" s="75" t="s">
        <v>15</v>
      </c>
      <c r="I129" s="75">
        <v>545.85</v>
      </c>
      <c r="J129" s="75">
        <v>29415.86</v>
      </c>
      <c r="K129" s="91" t="s">
        <v>378</v>
      </c>
      <c r="L129" s="73"/>
      <c r="M129" s="46">
        <v>40</v>
      </c>
      <c r="N129" s="46">
        <v>21834</v>
      </c>
      <c r="O129" s="46">
        <v>21834</v>
      </c>
      <c r="P129" s="98"/>
      <c r="Q129" s="23" t="s">
        <v>1491</v>
      </c>
      <c r="R129" s="24" t="s">
        <v>377</v>
      </c>
      <c r="S129" s="25" t="s">
        <v>30</v>
      </c>
      <c r="T129" s="26">
        <v>53.89</v>
      </c>
      <c r="U129" s="26">
        <v>53.89</v>
      </c>
      <c r="V129" s="26">
        <f t="shared" si="19"/>
        <v>545.85</v>
      </c>
      <c r="W129" s="199">
        <f t="shared" si="18"/>
        <v>0</v>
      </c>
      <c r="X129" s="26">
        <f t="shared" si="13"/>
        <v>40</v>
      </c>
      <c r="Y129" s="26">
        <f t="shared" si="20"/>
        <v>0</v>
      </c>
      <c r="Z129" s="26">
        <f t="shared" si="14"/>
        <v>21834</v>
      </c>
      <c r="AA129" s="33" t="s">
        <v>15</v>
      </c>
      <c r="AB129" s="36" t="s">
        <v>16</v>
      </c>
      <c r="AC129" s="181">
        <f t="shared" si="15"/>
        <v>53.89</v>
      </c>
      <c r="AD129" s="181">
        <f t="shared" si="21"/>
        <v>29415.86</v>
      </c>
      <c r="AE129" s="181">
        <v>1.2</v>
      </c>
      <c r="AF129" s="181">
        <v>1.2</v>
      </c>
      <c r="AG129" s="101" t="str">
        <f t="shared" si="16"/>
        <v/>
      </c>
      <c r="AH129" s="191">
        <f>40</f>
        <v>40</v>
      </c>
      <c r="AI129" s="69">
        <f t="shared" si="17"/>
        <v>53.89</v>
      </c>
    </row>
    <row r="130" spans="1:38" s="69" customFormat="1" ht="33" x14ac:dyDescent="0.3">
      <c r="A130" s="130" t="s">
        <v>379</v>
      </c>
      <c r="B130" s="131" t="s">
        <v>3156</v>
      </c>
      <c r="C130" s="132" t="s">
        <v>30</v>
      </c>
      <c r="D130" s="133">
        <v>21</v>
      </c>
      <c r="E130" s="75"/>
      <c r="F130" s="75"/>
      <c r="G130" s="75"/>
      <c r="H130" s="75" t="s">
        <v>15</v>
      </c>
      <c r="I130" s="75">
        <v>644.09</v>
      </c>
      <c r="J130" s="75">
        <v>13525.89</v>
      </c>
      <c r="K130" s="91" t="s">
        <v>381</v>
      </c>
      <c r="L130" s="73"/>
      <c r="M130" s="46">
        <v>19</v>
      </c>
      <c r="N130" s="46">
        <v>12237.71</v>
      </c>
      <c r="O130" s="46">
        <v>12237.71</v>
      </c>
      <c r="P130" s="98"/>
      <c r="Q130" s="23" t="s">
        <v>1492</v>
      </c>
      <c r="R130" s="24" t="s">
        <v>380</v>
      </c>
      <c r="S130" s="25" t="s">
        <v>30</v>
      </c>
      <c r="T130" s="26">
        <v>21</v>
      </c>
      <c r="U130" s="26">
        <v>21</v>
      </c>
      <c r="V130" s="26">
        <f t="shared" si="19"/>
        <v>644.09</v>
      </c>
      <c r="W130" s="199">
        <f t="shared" si="18"/>
        <v>0</v>
      </c>
      <c r="X130" s="127">
        <f t="shared" si="13"/>
        <v>19</v>
      </c>
      <c r="Y130" s="127">
        <f t="shared" si="20"/>
        <v>0</v>
      </c>
      <c r="Z130" s="127">
        <f t="shared" si="14"/>
        <v>12237.71</v>
      </c>
      <c r="AA130" s="33" t="s">
        <v>15</v>
      </c>
      <c r="AB130" s="36" t="s">
        <v>16</v>
      </c>
      <c r="AC130" s="181">
        <f t="shared" si="15"/>
        <v>21</v>
      </c>
      <c r="AD130" s="181">
        <f t="shared" si="21"/>
        <v>13525.89</v>
      </c>
      <c r="AE130" s="181">
        <v>1.2</v>
      </c>
      <c r="AF130" s="181">
        <v>1.2</v>
      </c>
      <c r="AG130" s="101" t="str">
        <f t="shared" si="16"/>
        <v/>
      </c>
      <c r="AH130" s="191">
        <f>19</f>
        <v>19</v>
      </c>
      <c r="AI130" s="69">
        <f t="shared" si="17"/>
        <v>21</v>
      </c>
    </row>
    <row r="131" spans="1:38" s="69" customFormat="1" ht="33" x14ac:dyDescent="0.3">
      <c r="A131" s="130" t="s">
        <v>382</v>
      </c>
      <c r="B131" s="131" t="s">
        <v>383</v>
      </c>
      <c r="C131" s="132" t="s">
        <v>30</v>
      </c>
      <c r="D131" s="133">
        <v>275.60000000000002</v>
      </c>
      <c r="E131" s="75"/>
      <c r="F131" s="75"/>
      <c r="G131" s="75"/>
      <c r="H131" s="75" t="s">
        <v>15</v>
      </c>
      <c r="I131" s="75">
        <v>7340.41</v>
      </c>
      <c r="J131" s="75">
        <v>2023017</v>
      </c>
      <c r="K131" s="91" t="s">
        <v>384</v>
      </c>
      <c r="L131" s="73"/>
      <c r="M131" s="46">
        <v>230</v>
      </c>
      <c r="N131" s="46">
        <v>0</v>
      </c>
      <c r="O131" s="46">
        <v>1688294.3</v>
      </c>
      <c r="P131" s="98"/>
      <c r="Q131" s="23" t="s">
        <v>1493</v>
      </c>
      <c r="R131" s="24" t="s">
        <v>383</v>
      </c>
      <c r="S131" s="25" t="s">
        <v>30</v>
      </c>
      <c r="T131" s="26">
        <v>275.60000000000002</v>
      </c>
      <c r="U131" s="26">
        <v>275.60000000000002</v>
      </c>
      <c r="V131" s="26">
        <f t="shared" si="19"/>
        <v>7340.41</v>
      </c>
      <c r="W131" s="127">
        <f t="shared" si="18"/>
        <v>0</v>
      </c>
      <c r="X131" s="127">
        <f t="shared" si="13"/>
        <v>230</v>
      </c>
      <c r="Y131" s="127">
        <f t="shared" si="20"/>
        <v>0</v>
      </c>
      <c r="Z131" s="127">
        <f t="shared" si="14"/>
        <v>1688294.3</v>
      </c>
      <c r="AA131" s="33" t="s">
        <v>15</v>
      </c>
      <c r="AB131" s="36" t="s">
        <v>16</v>
      </c>
      <c r="AC131" s="181">
        <f t="shared" si="15"/>
        <v>275.60000000000002</v>
      </c>
      <c r="AD131" s="181">
        <f t="shared" si="21"/>
        <v>2023017</v>
      </c>
      <c r="AE131" s="181">
        <v>1.2</v>
      </c>
      <c r="AF131" s="181">
        <v>1.2</v>
      </c>
      <c r="AG131" s="101" t="str">
        <f t="shared" si="16"/>
        <v/>
      </c>
      <c r="AH131" s="194">
        <f>182.3+47.7</f>
        <v>230</v>
      </c>
      <c r="AI131" s="69">
        <f t="shared" si="17"/>
        <v>275.60000000000002</v>
      </c>
    </row>
    <row r="132" spans="1:38" s="69" customFormat="1" ht="33" x14ac:dyDescent="0.3">
      <c r="A132" s="130" t="s">
        <v>385</v>
      </c>
      <c r="B132" s="131" t="s">
        <v>386</v>
      </c>
      <c r="C132" s="132" t="s">
        <v>81</v>
      </c>
      <c r="D132" s="133">
        <v>1</v>
      </c>
      <c r="E132" s="75"/>
      <c r="F132" s="75"/>
      <c r="G132" s="75"/>
      <c r="H132" s="75" t="s">
        <v>15</v>
      </c>
      <c r="I132" s="75">
        <v>913345.81</v>
      </c>
      <c r="J132" s="75">
        <v>913345.81</v>
      </c>
      <c r="K132" s="91" t="s">
        <v>387</v>
      </c>
      <c r="L132" s="73"/>
      <c r="M132" s="46">
        <v>1</v>
      </c>
      <c r="N132" s="46">
        <v>0</v>
      </c>
      <c r="O132" s="46">
        <v>913345.81</v>
      </c>
      <c r="P132" s="98"/>
      <c r="Q132" s="23" t="s">
        <v>1494</v>
      </c>
      <c r="R132" s="24" t="s">
        <v>386</v>
      </c>
      <c r="S132" s="25" t="s">
        <v>81</v>
      </c>
      <c r="T132" s="26">
        <v>1</v>
      </c>
      <c r="U132" s="26">
        <v>1</v>
      </c>
      <c r="V132" s="26">
        <f t="shared" si="19"/>
        <v>913345.81</v>
      </c>
      <c r="W132" s="127">
        <f t="shared" si="18"/>
        <v>0</v>
      </c>
      <c r="X132" s="127">
        <f t="shared" si="13"/>
        <v>1</v>
      </c>
      <c r="Y132" s="127">
        <f t="shared" si="20"/>
        <v>0</v>
      </c>
      <c r="Z132" s="127">
        <f t="shared" si="14"/>
        <v>913345.81</v>
      </c>
      <c r="AA132" s="33" t="s">
        <v>15</v>
      </c>
      <c r="AB132" s="36" t="s">
        <v>16</v>
      </c>
      <c r="AC132" s="181">
        <f t="shared" si="15"/>
        <v>1</v>
      </c>
      <c r="AD132" s="181">
        <f t="shared" si="21"/>
        <v>913345.81</v>
      </c>
      <c r="AE132" s="181">
        <v>1.2</v>
      </c>
      <c r="AF132" s="181">
        <v>1.2</v>
      </c>
      <c r="AG132" s="101" t="str">
        <f t="shared" si="16"/>
        <v/>
      </c>
      <c r="AH132" s="194">
        <v>1</v>
      </c>
      <c r="AI132" s="69">
        <f t="shared" si="17"/>
        <v>1</v>
      </c>
    </row>
    <row r="133" spans="1:38" s="69" customFormat="1" ht="33" x14ac:dyDescent="0.3">
      <c r="A133" s="79" t="s">
        <v>388</v>
      </c>
      <c r="B133" s="80" t="s">
        <v>389</v>
      </c>
      <c r="C133" s="81" t="s">
        <v>14</v>
      </c>
      <c r="D133" s="82">
        <v>1</v>
      </c>
      <c r="E133" s="82"/>
      <c r="F133" s="82"/>
      <c r="G133" s="82"/>
      <c r="H133" s="82" t="s">
        <v>15</v>
      </c>
      <c r="I133" s="82"/>
      <c r="J133" s="82">
        <v>62087911.219999999</v>
      </c>
      <c r="K133" s="94" t="s">
        <v>15</v>
      </c>
      <c r="L133" s="73"/>
      <c r="M133" s="45">
        <v>1</v>
      </c>
      <c r="N133" s="45">
        <v>955504.85000000021</v>
      </c>
      <c r="O133" s="45">
        <v>60678394.180000022</v>
      </c>
      <c r="P133" s="98"/>
      <c r="Q133" s="18" t="s">
        <v>1381</v>
      </c>
      <c r="R133" s="19" t="s">
        <v>389</v>
      </c>
      <c r="S133" s="20" t="s">
        <v>14</v>
      </c>
      <c r="T133" s="21">
        <v>1</v>
      </c>
      <c r="U133" s="21"/>
      <c r="V133" s="21">
        <f>SUMIFS(AD:AD,AE:AE,AE133)</f>
        <v>62087911.219999999</v>
      </c>
      <c r="W133" s="21">
        <f t="shared" ref="W133:X133" si="22">IF(Y133=0,0,1)</f>
        <v>1</v>
      </c>
      <c r="X133" s="21">
        <f t="shared" si="22"/>
        <v>1</v>
      </c>
      <c r="Y133" s="21">
        <f>SUMIFS(Y:Y,AF:AF,AE133)</f>
        <v>335778.78000000014</v>
      </c>
      <c r="Z133" s="21">
        <f>SUMIFS(Z:Z,AF:AF,AE133)</f>
        <v>61014172.960000023</v>
      </c>
      <c r="AA133" s="22" t="s">
        <v>15</v>
      </c>
      <c r="AB133" s="43" t="s">
        <v>16</v>
      </c>
      <c r="AC133" s="181">
        <f t="shared" si="15"/>
        <v>1</v>
      </c>
      <c r="AD133" s="184"/>
      <c r="AE133" s="184">
        <v>1.3</v>
      </c>
      <c r="AF133" s="184"/>
      <c r="AG133" s="101" t="str">
        <f t="shared" si="16"/>
        <v/>
      </c>
      <c r="AH133" s="190">
        <v>1</v>
      </c>
      <c r="AI133" s="69">
        <f t="shared" si="17"/>
        <v>1</v>
      </c>
    </row>
    <row r="134" spans="1:38" s="69" customFormat="1" ht="39" x14ac:dyDescent="0.3">
      <c r="A134" s="130" t="s">
        <v>390</v>
      </c>
      <c r="B134" s="131" t="s">
        <v>102</v>
      </c>
      <c r="C134" s="132" t="s">
        <v>103</v>
      </c>
      <c r="D134" s="133">
        <v>274.45</v>
      </c>
      <c r="E134" s="75"/>
      <c r="F134" s="75"/>
      <c r="G134" s="75"/>
      <c r="H134" s="75" t="s">
        <v>15</v>
      </c>
      <c r="I134" s="75">
        <v>320.74</v>
      </c>
      <c r="J134" s="75">
        <v>88027.09</v>
      </c>
      <c r="K134" s="91" t="s">
        <v>104</v>
      </c>
      <c r="L134" s="73"/>
      <c r="M134" s="46">
        <v>225</v>
      </c>
      <c r="N134" s="46">
        <v>0</v>
      </c>
      <c r="O134" s="46">
        <v>72166.5</v>
      </c>
      <c r="P134" s="98"/>
      <c r="Q134" s="23" t="s">
        <v>1421</v>
      </c>
      <c r="R134" s="24" t="s">
        <v>102</v>
      </c>
      <c r="S134" s="25" t="s">
        <v>103</v>
      </c>
      <c r="T134" s="26">
        <v>274.45</v>
      </c>
      <c r="U134" s="26">
        <v>274.45</v>
      </c>
      <c r="V134" s="26">
        <f t="shared" si="19"/>
        <v>320.74</v>
      </c>
      <c r="W134" s="127">
        <f t="shared" ref="W134:W176" si="23">AH134-M134</f>
        <v>0</v>
      </c>
      <c r="X134" s="127">
        <f t="shared" ref="X134:X176" si="24">W134+M134</f>
        <v>225</v>
      </c>
      <c r="Y134" s="127">
        <f t="shared" ref="Y134:Y176" si="25">Z134-O134</f>
        <v>0</v>
      </c>
      <c r="Z134" s="127">
        <f t="shared" si="14"/>
        <v>72166.5</v>
      </c>
      <c r="AA134" s="33" t="s">
        <v>15</v>
      </c>
      <c r="AB134" s="36" t="s">
        <v>16</v>
      </c>
      <c r="AC134" s="181">
        <f t="shared" si="15"/>
        <v>274.45</v>
      </c>
      <c r="AD134" s="181">
        <f t="shared" ref="AD134:AD176" si="26">ROUND(V134*AC134,2)</f>
        <v>88027.09</v>
      </c>
      <c r="AE134" s="181">
        <v>1.3</v>
      </c>
      <c r="AF134" s="181">
        <v>1.3</v>
      </c>
      <c r="AG134" s="101" t="str">
        <f t="shared" si="16"/>
        <v/>
      </c>
      <c r="AH134" s="190">
        <v>225</v>
      </c>
      <c r="AI134" s="69">
        <f t="shared" si="17"/>
        <v>274.45</v>
      </c>
    </row>
    <row r="135" spans="1:38" s="69" customFormat="1" ht="39" x14ac:dyDescent="0.3">
      <c r="A135" s="55" t="s">
        <v>391</v>
      </c>
      <c r="B135" s="53" t="s">
        <v>392</v>
      </c>
      <c r="C135" s="54" t="s">
        <v>23</v>
      </c>
      <c r="D135" s="75">
        <v>44.22</v>
      </c>
      <c r="E135" s="75"/>
      <c r="F135" s="75"/>
      <c r="G135" s="75"/>
      <c r="H135" s="75" t="s">
        <v>15</v>
      </c>
      <c r="I135" s="75">
        <v>3115.13</v>
      </c>
      <c r="J135" s="75">
        <v>137751.04999999999</v>
      </c>
      <c r="K135" s="91" t="s">
        <v>114</v>
      </c>
      <c r="L135" s="73"/>
      <c r="M135" s="46">
        <v>22.59</v>
      </c>
      <c r="N135" s="46">
        <v>0</v>
      </c>
      <c r="O135" s="46">
        <v>70370.789999999994</v>
      </c>
      <c r="P135" s="98"/>
      <c r="Q135" s="23" t="s">
        <v>1426</v>
      </c>
      <c r="R135" s="24" t="s">
        <v>392</v>
      </c>
      <c r="S135" s="25" t="s">
        <v>23</v>
      </c>
      <c r="T135" s="26">
        <v>44.22</v>
      </c>
      <c r="U135" s="26">
        <v>44.22</v>
      </c>
      <c r="V135" s="26">
        <f t="shared" si="19"/>
        <v>3115.13</v>
      </c>
      <c r="W135" s="243">
        <f t="shared" si="23"/>
        <v>17.2</v>
      </c>
      <c r="X135" s="26">
        <f t="shared" si="24"/>
        <v>39.79</v>
      </c>
      <c r="Y135" s="26">
        <f t="shared" si="25"/>
        <v>53580.23000000001</v>
      </c>
      <c r="Z135" s="26">
        <f t="shared" si="14"/>
        <v>123951.02</v>
      </c>
      <c r="AA135" s="33" t="s">
        <v>15</v>
      </c>
      <c r="AB135" s="36" t="s">
        <v>16</v>
      </c>
      <c r="AC135" s="181">
        <f t="shared" si="15"/>
        <v>44.22</v>
      </c>
      <c r="AD135" s="181">
        <f t="shared" si="26"/>
        <v>137751.04999999999</v>
      </c>
      <c r="AE135" s="181">
        <v>1.3</v>
      </c>
      <c r="AF135" s="181">
        <v>1.3</v>
      </c>
      <c r="AG135" s="101" t="str">
        <f t="shared" si="16"/>
        <v/>
      </c>
      <c r="AH135" s="191">
        <f>16.79+5.8+17.2</f>
        <v>39.79</v>
      </c>
      <c r="AI135" s="69">
        <f t="shared" si="17"/>
        <v>44.22</v>
      </c>
    </row>
    <row r="136" spans="1:38" s="69" customFormat="1" ht="39" x14ac:dyDescent="0.3">
      <c r="A136" s="55" t="s">
        <v>393</v>
      </c>
      <c r="B136" s="53" t="s">
        <v>116</v>
      </c>
      <c r="C136" s="54" t="s">
        <v>23</v>
      </c>
      <c r="D136" s="75">
        <v>95.97</v>
      </c>
      <c r="E136" s="75"/>
      <c r="F136" s="75"/>
      <c r="G136" s="75"/>
      <c r="H136" s="75" t="s">
        <v>15</v>
      </c>
      <c r="I136" s="75">
        <v>3321.13</v>
      </c>
      <c r="J136" s="75">
        <v>318728.84999999998</v>
      </c>
      <c r="K136" s="91" t="s">
        <v>117</v>
      </c>
      <c r="L136" s="73"/>
      <c r="M136" s="46">
        <v>52.4</v>
      </c>
      <c r="N136" s="46">
        <v>0</v>
      </c>
      <c r="O136" s="46">
        <v>174027.21</v>
      </c>
      <c r="P136" s="98"/>
      <c r="Q136" s="23" t="s">
        <v>1402</v>
      </c>
      <c r="R136" s="24" t="s">
        <v>116</v>
      </c>
      <c r="S136" s="25" t="s">
        <v>23</v>
      </c>
      <c r="T136" s="26">
        <v>95.97</v>
      </c>
      <c r="U136" s="26">
        <v>95.97</v>
      </c>
      <c r="V136" s="26">
        <f t="shared" si="19"/>
        <v>3321.13</v>
      </c>
      <c r="W136" s="243">
        <f t="shared" si="23"/>
        <v>39.500000000000007</v>
      </c>
      <c r="X136" s="26">
        <f t="shared" si="24"/>
        <v>91.9</v>
      </c>
      <c r="Y136" s="26">
        <f t="shared" si="25"/>
        <v>131184.63999999998</v>
      </c>
      <c r="Z136" s="26">
        <f t="shared" si="14"/>
        <v>305211.84999999998</v>
      </c>
      <c r="AA136" s="33" t="s">
        <v>15</v>
      </c>
      <c r="AB136" s="36" t="s">
        <v>16</v>
      </c>
      <c r="AC136" s="181">
        <f t="shared" si="15"/>
        <v>95.97</v>
      </c>
      <c r="AD136" s="181">
        <f t="shared" si="26"/>
        <v>318728.84999999998</v>
      </c>
      <c r="AE136" s="181">
        <v>1.3</v>
      </c>
      <c r="AF136" s="181">
        <v>1.3</v>
      </c>
      <c r="AG136" s="101" t="str">
        <f t="shared" si="16"/>
        <v/>
      </c>
      <c r="AH136" s="191">
        <f>26.5+25.9+39.5</f>
        <v>91.9</v>
      </c>
      <c r="AI136" s="69">
        <f t="shared" si="17"/>
        <v>95.97</v>
      </c>
    </row>
    <row r="137" spans="1:38" s="69" customFormat="1" ht="39" x14ac:dyDescent="0.3">
      <c r="A137" s="130" t="s">
        <v>394</v>
      </c>
      <c r="B137" s="131" t="s">
        <v>395</v>
      </c>
      <c r="C137" s="132" t="s">
        <v>23</v>
      </c>
      <c r="D137" s="133">
        <v>1216.8</v>
      </c>
      <c r="E137" s="75"/>
      <c r="F137" s="75"/>
      <c r="G137" s="75"/>
      <c r="H137" s="133">
        <v>709.04</v>
      </c>
      <c r="I137" s="75">
        <v>3643.73</v>
      </c>
      <c r="J137" s="75">
        <v>2583550.3199999998</v>
      </c>
      <c r="K137" s="91" t="s">
        <v>396</v>
      </c>
      <c r="L137" s="73"/>
      <c r="M137" s="46">
        <v>645.58000000000004</v>
      </c>
      <c r="N137" s="46">
        <v>0</v>
      </c>
      <c r="O137" s="46">
        <v>2352319.21</v>
      </c>
      <c r="P137" s="98"/>
      <c r="Q137" s="23" t="s">
        <v>1373</v>
      </c>
      <c r="R137" s="24" t="s">
        <v>395</v>
      </c>
      <c r="S137" s="25" t="s">
        <v>23</v>
      </c>
      <c r="T137" s="26">
        <v>1216.8</v>
      </c>
      <c r="U137" s="26">
        <v>709.04</v>
      </c>
      <c r="V137" s="26">
        <f t="shared" si="19"/>
        <v>3643.73</v>
      </c>
      <c r="W137" s="128">
        <f t="shared" si="23"/>
        <v>0</v>
      </c>
      <c r="X137" s="127">
        <f t="shared" si="24"/>
        <v>645.58000000000004</v>
      </c>
      <c r="Y137" s="127">
        <f t="shared" si="25"/>
        <v>0</v>
      </c>
      <c r="Z137" s="127">
        <f t="shared" si="14"/>
        <v>2352319.21</v>
      </c>
      <c r="AA137" s="33" t="s">
        <v>15</v>
      </c>
      <c r="AB137" s="36" t="s">
        <v>16</v>
      </c>
      <c r="AC137" s="181">
        <f t="shared" si="15"/>
        <v>709.04</v>
      </c>
      <c r="AD137" s="181">
        <f t="shared" si="26"/>
        <v>2583550.3199999998</v>
      </c>
      <c r="AE137" s="181">
        <v>1.3</v>
      </c>
      <c r="AF137" s="181">
        <v>1.3</v>
      </c>
      <c r="AG137" s="101" t="str">
        <f t="shared" si="16"/>
        <v/>
      </c>
      <c r="AH137" s="192">
        <v>645.58000000000004</v>
      </c>
      <c r="AI137" s="69">
        <f t="shared" si="17"/>
        <v>1216.8</v>
      </c>
      <c r="AL137" s="195">
        <v>388.56</v>
      </c>
    </row>
    <row r="138" spans="1:38" s="69" customFormat="1" ht="33" x14ac:dyDescent="0.3">
      <c r="A138" s="130" t="s">
        <v>397</v>
      </c>
      <c r="B138" s="122" t="s">
        <v>109</v>
      </c>
      <c r="C138" s="132" t="s">
        <v>110</v>
      </c>
      <c r="D138" s="133">
        <v>4788.7700000000004</v>
      </c>
      <c r="E138" s="75"/>
      <c r="F138" s="75"/>
      <c r="G138" s="75"/>
      <c r="H138" s="75" t="s">
        <v>15</v>
      </c>
      <c r="I138" s="75">
        <v>36.4</v>
      </c>
      <c r="J138" s="75">
        <v>174311.23</v>
      </c>
      <c r="K138" s="91" t="s">
        <v>111</v>
      </c>
      <c r="L138" s="73"/>
      <c r="M138" s="46">
        <v>4778</v>
      </c>
      <c r="N138" s="46">
        <v>0</v>
      </c>
      <c r="O138" s="46">
        <v>173919.2</v>
      </c>
      <c r="P138" s="98"/>
      <c r="Q138" s="23" t="s">
        <v>1393</v>
      </c>
      <c r="R138" s="24" t="s">
        <v>109</v>
      </c>
      <c r="S138" s="25" t="s">
        <v>110</v>
      </c>
      <c r="T138" s="26">
        <v>4788.7700000000004</v>
      </c>
      <c r="U138" s="26">
        <v>4788.7700000000004</v>
      </c>
      <c r="V138" s="26">
        <f t="shared" si="19"/>
        <v>36.4</v>
      </c>
      <c r="W138" s="127">
        <f t="shared" si="23"/>
        <v>0</v>
      </c>
      <c r="X138" s="127">
        <f t="shared" si="24"/>
        <v>4778</v>
      </c>
      <c r="Y138" s="127">
        <f t="shared" si="25"/>
        <v>0</v>
      </c>
      <c r="Z138" s="127">
        <f t="shared" si="14"/>
        <v>173919.2</v>
      </c>
      <c r="AA138" s="33" t="s">
        <v>15</v>
      </c>
      <c r="AB138" s="36" t="s">
        <v>16</v>
      </c>
      <c r="AC138" s="181">
        <f t="shared" si="15"/>
        <v>4788.7700000000004</v>
      </c>
      <c r="AD138" s="181">
        <f t="shared" si="26"/>
        <v>174311.23</v>
      </c>
      <c r="AE138" s="181">
        <v>1.3</v>
      </c>
      <c r="AF138" s="181">
        <v>1.3</v>
      </c>
      <c r="AG138" s="101" t="str">
        <f t="shared" si="16"/>
        <v/>
      </c>
      <c r="AH138" s="192">
        <v>4778</v>
      </c>
      <c r="AI138" s="69">
        <f t="shared" si="17"/>
        <v>4788.7700000000004</v>
      </c>
      <c r="AL138" s="195">
        <v>4788.7700000000004</v>
      </c>
    </row>
    <row r="139" spans="1:38" s="69" customFormat="1" ht="33" x14ac:dyDescent="0.3">
      <c r="A139" s="130" t="s">
        <v>398</v>
      </c>
      <c r="B139" s="122" t="s">
        <v>399</v>
      </c>
      <c r="C139" s="132" t="s">
        <v>110</v>
      </c>
      <c r="D139" s="133">
        <v>205535.32</v>
      </c>
      <c r="E139" s="75"/>
      <c r="F139" s="75"/>
      <c r="G139" s="75"/>
      <c r="H139" s="75" t="s">
        <v>15</v>
      </c>
      <c r="I139" s="75">
        <v>38.71</v>
      </c>
      <c r="J139" s="75">
        <v>7956272.2400000002</v>
      </c>
      <c r="K139" s="91" t="s">
        <v>400</v>
      </c>
      <c r="L139" s="73"/>
      <c r="M139" s="46">
        <v>202264.52</v>
      </c>
      <c r="N139" s="46">
        <v>0</v>
      </c>
      <c r="O139" s="46">
        <v>7829659.5700000003</v>
      </c>
      <c r="P139" s="98"/>
      <c r="Q139" s="23" t="s">
        <v>1403</v>
      </c>
      <c r="R139" s="24" t="s">
        <v>399</v>
      </c>
      <c r="S139" s="25" t="s">
        <v>110</v>
      </c>
      <c r="T139" s="26">
        <v>205535.32</v>
      </c>
      <c r="U139" s="26">
        <v>205535.32</v>
      </c>
      <c r="V139" s="26">
        <f t="shared" si="19"/>
        <v>38.71</v>
      </c>
      <c r="W139" s="243">
        <f t="shared" si="23"/>
        <v>2886.5</v>
      </c>
      <c r="X139" s="127">
        <f t="shared" si="24"/>
        <v>205151.02</v>
      </c>
      <c r="Y139" s="127">
        <f t="shared" si="25"/>
        <v>111736.41000000015</v>
      </c>
      <c r="Z139" s="127">
        <f t="shared" ref="Z139:Z203" si="27">ROUND(V139*X139,2)</f>
        <v>7941395.9800000004</v>
      </c>
      <c r="AA139" s="33" t="s">
        <v>15</v>
      </c>
      <c r="AB139" s="36" t="s">
        <v>16</v>
      </c>
      <c r="AC139" s="181">
        <f t="shared" ref="AC139:AC202" si="28">IF(U139="",T139,U139)</f>
        <v>205535.32</v>
      </c>
      <c r="AD139" s="181">
        <f t="shared" si="26"/>
        <v>7956272.2400000002</v>
      </c>
      <c r="AE139" s="181">
        <v>1.3</v>
      </c>
      <c r="AF139" s="181">
        <v>1.3</v>
      </c>
      <c r="AG139" s="101" t="str">
        <f t="shared" ref="AG139:AG202" si="29">IF(X139&gt;AI139,"超估","")</f>
        <v/>
      </c>
      <c r="AH139" s="191">
        <f>202264.52+2886.5</f>
        <v>205151.02</v>
      </c>
      <c r="AI139" s="69">
        <f t="shared" ref="AI139:AI202" si="30">IF(G139=0,IF(F139=0,IF(E139=0,D139,E139),F139),G139)</f>
        <v>205535.32</v>
      </c>
      <c r="AL139" s="195">
        <v>72641</v>
      </c>
    </row>
    <row r="140" spans="1:38" s="69" customFormat="1" ht="33" x14ac:dyDescent="0.3">
      <c r="A140" s="130" t="s">
        <v>401</v>
      </c>
      <c r="B140" s="131" t="s">
        <v>402</v>
      </c>
      <c r="C140" s="132" t="s">
        <v>50</v>
      </c>
      <c r="D140" s="133">
        <v>320.89999999999998</v>
      </c>
      <c r="E140" s="75"/>
      <c r="F140" s="75"/>
      <c r="G140" s="75"/>
      <c r="H140" s="133">
        <v>351.33</v>
      </c>
      <c r="I140" s="75">
        <v>1154.98</v>
      </c>
      <c r="J140" s="75">
        <v>405779.12</v>
      </c>
      <c r="K140" s="91" t="s">
        <v>403</v>
      </c>
      <c r="L140" s="73"/>
      <c r="M140" s="46">
        <v>320.08999999999997</v>
      </c>
      <c r="N140" s="46">
        <v>0</v>
      </c>
      <c r="O140" s="46">
        <v>369697.55</v>
      </c>
      <c r="P140" s="98"/>
      <c r="Q140" s="23" t="s">
        <v>1427</v>
      </c>
      <c r="R140" s="24" t="s">
        <v>402</v>
      </c>
      <c r="S140" s="25" t="s">
        <v>50</v>
      </c>
      <c r="T140" s="26">
        <v>320.89999999999998</v>
      </c>
      <c r="U140" s="26">
        <v>351.33</v>
      </c>
      <c r="V140" s="26">
        <f t="shared" si="19"/>
        <v>1154.98</v>
      </c>
      <c r="W140" s="128">
        <f t="shared" si="23"/>
        <v>0</v>
      </c>
      <c r="X140" s="127">
        <f t="shared" si="24"/>
        <v>320.08999999999997</v>
      </c>
      <c r="Y140" s="127">
        <f t="shared" si="25"/>
        <v>0</v>
      </c>
      <c r="Z140" s="127">
        <f t="shared" si="27"/>
        <v>369697.55</v>
      </c>
      <c r="AA140" s="33" t="s">
        <v>15</v>
      </c>
      <c r="AB140" s="36" t="s">
        <v>16</v>
      </c>
      <c r="AC140" s="181">
        <f t="shared" si="28"/>
        <v>351.33</v>
      </c>
      <c r="AD140" s="181">
        <f t="shared" si="26"/>
        <v>405779.12</v>
      </c>
      <c r="AE140" s="181">
        <v>1.3</v>
      </c>
      <c r="AF140" s="181">
        <v>1.3</v>
      </c>
      <c r="AG140" s="101" t="str">
        <f t="shared" si="29"/>
        <v/>
      </c>
      <c r="AH140" s="191">
        <v>320.08999999999997</v>
      </c>
      <c r="AI140" s="69">
        <f t="shared" si="30"/>
        <v>320.89999999999998</v>
      </c>
      <c r="AL140" s="195">
        <v>351.34</v>
      </c>
    </row>
    <row r="141" spans="1:38" s="69" customFormat="1" ht="57.75" x14ac:dyDescent="0.3">
      <c r="A141" s="130" t="s">
        <v>404</v>
      </c>
      <c r="B141" s="131" t="s">
        <v>405</v>
      </c>
      <c r="C141" s="132" t="s">
        <v>50</v>
      </c>
      <c r="D141" s="133">
        <v>493.85</v>
      </c>
      <c r="E141" s="203"/>
      <c r="F141" s="203"/>
      <c r="G141" s="203"/>
      <c r="H141" s="133">
        <v>574.89</v>
      </c>
      <c r="I141" s="75">
        <v>982.98</v>
      </c>
      <c r="J141" s="75">
        <v>565105.37</v>
      </c>
      <c r="K141" s="91" t="s">
        <v>406</v>
      </c>
      <c r="L141" s="73"/>
      <c r="M141" s="46">
        <v>493.85</v>
      </c>
      <c r="N141" s="46">
        <v>0</v>
      </c>
      <c r="O141" s="46">
        <v>485444.67</v>
      </c>
      <c r="P141" s="98"/>
      <c r="Q141" s="23" t="s">
        <v>1428</v>
      </c>
      <c r="R141" s="24" t="s">
        <v>405</v>
      </c>
      <c r="S141" s="25" t="s">
        <v>50</v>
      </c>
      <c r="T141" s="26">
        <v>493.85</v>
      </c>
      <c r="U141" s="26">
        <v>574.89</v>
      </c>
      <c r="V141" s="26">
        <f t="shared" si="19"/>
        <v>982.98</v>
      </c>
      <c r="W141" s="128">
        <f t="shared" si="23"/>
        <v>0</v>
      </c>
      <c r="X141" s="127">
        <f t="shared" si="24"/>
        <v>493.85</v>
      </c>
      <c r="Y141" s="127">
        <f t="shared" si="25"/>
        <v>0</v>
      </c>
      <c r="Z141" s="127">
        <f t="shared" si="27"/>
        <v>485444.67</v>
      </c>
      <c r="AA141" s="33" t="s">
        <v>15</v>
      </c>
      <c r="AB141" s="36" t="s">
        <v>16</v>
      </c>
      <c r="AC141" s="181">
        <f t="shared" si="28"/>
        <v>574.89</v>
      </c>
      <c r="AD141" s="181">
        <f t="shared" si="26"/>
        <v>565105.37</v>
      </c>
      <c r="AE141" s="181">
        <v>1.3</v>
      </c>
      <c r="AF141" s="181">
        <v>1.3</v>
      </c>
      <c r="AG141" s="101" t="str">
        <f t="shared" si="29"/>
        <v/>
      </c>
      <c r="AH141" s="192">
        <v>493.85</v>
      </c>
      <c r="AI141" s="69">
        <f t="shared" si="30"/>
        <v>493.85</v>
      </c>
      <c r="AL141" s="195">
        <v>574.89200000000017</v>
      </c>
    </row>
    <row r="142" spans="1:38" s="69" customFormat="1" ht="41.25" x14ac:dyDescent="0.3">
      <c r="A142" s="130" t="s">
        <v>407</v>
      </c>
      <c r="B142" s="131" t="s">
        <v>408</v>
      </c>
      <c r="C142" s="132" t="s">
        <v>50</v>
      </c>
      <c r="D142" s="133">
        <v>126.48</v>
      </c>
      <c r="E142" s="203"/>
      <c r="F142" s="203"/>
      <c r="G142" s="203"/>
      <c r="H142" s="133">
        <v>138</v>
      </c>
      <c r="I142" s="75">
        <v>804.79</v>
      </c>
      <c r="J142" s="75">
        <v>111061.02</v>
      </c>
      <c r="K142" s="91" t="s">
        <v>409</v>
      </c>
      <c r="L142" s="73"/>
      <c r="M142" s="46">
        <v>126.48</v>
      </c>
      <c r="N142" s="46">
        <v>0</v>
      </c>
      <c r="O142" s="46">
        <v>101789.84</v>
      </c>
      <c r="P142" s="98"/>
      <c r="Q142" s="23" t="s">
        <v>1387</v>
      </c>
      <c r="R142" s="24" t="s">
        <v>408</v>
      </c>
      <c r="S142" s="25" t="s">
        <v>50</v>
      </c>
      <c r="T142" s="26">
        <v>126.48</v>
      </c>
      <c r="U142" s="26">
        <v>138</v>
      </c>
      <c r="V142" s="26">
        <f t="shared" si="19"/>
        <v>804.79</v>
      </c>
      <c r="W142" s="128">
        <f t="shared" si="23"/>
        <v>0</v>
      </c>
      <c r="X142" s="127">
        <f t="shared" si="24"/>
        <v>126.48</v>
      </c>
      <c r="Y142" s="127">
        <f t="shared" si="25"/>
        <v>0</v>
      </c>
      <c r="Z142" s="127">
        <f t="shared" si="27"/>
        <v>101789.84</v>
      </c>
      <c r="AA142" s="33" t="s">
        <v>15</v>
      </c>
      <c r="AB142" s="36" t="s">
        <v>16</v>
      </c>
      <c r="AC142" s="181">
        <f t="shared" si="28"/>
        <v>138</v>
      </c>
      <c r="AD142" s="181">
        <f t="shared" si="26"/>
        <v>111061.02</v>
      </c>
      <c r="AE142" s="181">
        <v>1.3</v>
      </c>
      <c r="AF142" s="181">
        <v>1.3</v>
      </c>
      <c r="AG142" s="101" t="str">
        <f t="shared" si="29"/>
        <v/>
      </c>
      <c r="AH142" s="192">
        <v>126.48</v>
      </c>
      <c r="AI142" s="69">
        <f t="shared" si="30"/>
        <v>126.48</v>
      </c>
      <c r="AL142" s="195">
        <v>120</v>
      </c>
    </row>
    <row r="143" spans="1:38" s="69" customFormat="1" ht="33" x14ac:dyDescent="0.3">
      <c r="A143" s="265" t="s">
        <v>410</v>
      </c>
      <c r="B143" s="131" t="s">
        <v>411</v>
      </c>
      <c r="C143" s="132" t="s">
        <v>412</v>
      </c>
      <c r="D143" s="133">
        <v>12205</v>
      </c>
      <c r="E143" s="75"/>
      <c r="F143" s="75"/>
      <c r="G143" s="75"/>
      <c r="H143" s="75" t="s">
        <v>15</v>
      </c>
      <c r="I143" s="75">
        <v>75</v>
      </c>
      <c r="J143" s="75">
        <v>915375</v>
      </c>
      <c r="K143" s="91" t="s">
        <v>413</v>
      </c>
      <c r="L143" s="73"/>
      <c r="M143" s="46">
        <v>11609.099999999999</v>
      </c>
      <c r="N143" s="46">
        <v>46725</v>
      </c>
      <c r="O143" s="46">
        <v>870682.5</v>
      </c>
      <c r="P143" s="98"/>
      <c r="Q143" s="23" t="s">
        <v>1405</v>
      </c>
      <c r="R143" s="24" t="s">
        <v>411</v>
      </c>
      <c r="S143" s="25" t="s">
        <v>412</v>
      </c>
      <c r="T143" s="26">
        <v>12205</v>
      </c>
      <c r="U143" s="26">
        <v>12205</v>
      </c>
      <c r="V143" s="26">
        <f t="shared" si="19"/>
        <v>75</v>
      </c>
      <c r="W143" s="243">
        <f t="shared" si="23"/>
        <v>523.70000000000073</v>
      </c>
      <c r="X143" s="127">
        <f t="shared" si="24"/>
        <v>12132.8</v>
      </c>
      <c r="Y143" s="127">
        <f t="shared" si="25"/>
        <v>39277.5</v>
      </c>
      <c r="Z143" s="127">
        <f t="shared" si="27"/>
        <v>909960</v>
      </c>
      <c r="AA143" s="33" t="s">
        <v>15</v>
      </c>
      <c r="AB143" s="36" t="s">
        <v>16</v>
      </c>
      <c r="AC143" s="181">
        <f t="shared" si="28"/>
        <v>12205</v>
      </c>
      <c r="AD143" s="181">
        <f t="shared" si="26"/>
        <v>915375</v>
      </c>
      <c r="AE143" s="181">
        <v>1.3</v>
      </c>
      <c r="AF143" s="181">
        <v>1.3</v>
      </c>
      <c r="AG143" s="101" t="str">
        <f t="shared" si="29"/>
        <v/>
      </c>
      <c r="AH143" s="191">
        <f>6752.2+4233.9+623+523.7</f>
        <v>12132.8</v>
      </c>
      <c r="AI143" s="69">
        <f t="shared" si="30"/>
        <v>12205</v>
      </c>
    </row>
    <row r="144" spans="1:38" s="69" customFormat="1" ht="33" x14ac:dyDescent="0.3">
      <c r="A144" s="265" t="s">
        <v>414</v>
      </c>
      <c r="B144" s="131" t="s">
        <v>125</v>
      </c>
      <c r="C144" s="132" t="s">
        <v>110</v>
      </c>
      <c r="D144" s="133">
        <v>8317</v>
      </c>
      <c r="E144" s="75"/>
      <c r="F144" s="75"/>
      <c r="G144" s="75"/>
      <c r="H144" s="75" t="s">
        <v>15</v>
      </c>
      <c r="I144" s="75">
        <v>60</v>
      </c>
      <c r="J144" s="75">
        <v>499020</v>
      </c>
      <c r="K144" s="91" t="s">
        <v>126</v>
      </c>
      <c r="L144" s="73"/>
      <c r="M144" s="46">
        <v>8292.2000000000007</v>
      </c>
      <c r="N144" s="46">
        <v>22920</v>
      </c>
      <c r="O144" s="46">
        <v>497532</v>
      </c>
      <c r="P144" s="98"/>
      <c r="Q144" s="23" t="s">
        <v>1406</v>
      </c>
      <c r="R144" s="24" t="s">
        <v>125</v>
      </c>
      <c r="S144" s="25" t="s">
        <v>110</v>
      </c>
      <c r="T144" s="26">
        <v>8317</v>
      </c>
      <c r="U144" s="26">
        <v>8317</v>
      </c>
      <c r="V144" s="26">
        <f t="shared" si="19"/>
        <v>60</v>
      </c>
      <c r="W144" s="243">
        <f t="shared" si="23"/>
        <v>0</v>
      </c>
      <c r="X144" s="127">
        <f t="shared" si="24"/>
        <v>8292.2000000000007</v>
      </c>
      <c r="Y144" s="127">
        <f t="shared" si="25"/>
        <v>0</v>
      </c>
      <c r="Z144" s="127">
        <f t="shared" si="27"/>
        <v>497532</v>
      </c>
      <c r="AA144" s="33" t="s">
        <v>15</v>
      </c>
      <c r="AB144" s="36" t="s">
        <v>16</v>
      </c>
      <c r="AC144" s="181">
        <f t="shared" si="28"/>
        <v>8317</v>
      </c>
      <c r="AD144" s="181">
        <f t="shared" si="26"/>
        <v>499020</v>
      </c>
      <c r="AE144" s="181">
        <v>1.3</v>
      </c>
      <c r="AF144" s="181">
        <v>1.3</v>
      </c>
      <c r="AG144" s="101" t="str">
        <f t="shared" si="29"/>
        <v/>
      </c>
      <c r="AH144" s="191">
        <f>5520+2390.2+382</f>
        <v>8292.2000000000007</v>
      </c>
      <c r="AI144" s="69">
        <f t="shared" si="30"/>
        <v>8317</v>
      </c>
    </row>
    <row r="145" spans="1:35" s="69" customFormat="1" ht="39" x14ac:dyDescent="0.3">
      <c r="A145" s="265" t="s">
        <v>415</v>
      </c>
      <c r="B145" s="131" t="s">
        <v>3147</v>
      </c>
      <c r="C145" s="132" t="s">
        <v>110</v>
      </c>
      <c r="D145" s="133">
        <v>8317</v>
      </c>
      <c r="E145" s="75"/>
      <c r="F145" s="75"/>
      <c r="G145" s="75"/>
      <c r="H145" s="75" t="s">
        <v>15</v>
      </c>
      <c r="I145" s="75">
        <v>31.9</v>
      </c>
      <c r="J145" s="75">
        <v>265312.3</v>
      </c>
      <c r="K145" s="91" t="s">
        <v>3148</v>
      </c>
      <c r="L145" s="73"/>
      <c r="M145" s="46">
        <v>8292.2000000000007</v>
      </c>
      <c r="N145" s="46">
        <v>12185.799999999988</v>
      </c>
      <c r="O145" s="46">
        <v>264521.18</v>
      </c>
      <c r="P145" s="98"/>
      <c r="Q145" s="23" t="s">
        <v>1414</v>
      </c>
      <c r="R145" s="24" t="s">
        <v>128</v>
      </c>
      <c r="S145" s="25" t="s">
        <v>110</v>
      </c>
      <c r="T145" s="26">
        <v>8317</v>
      </c>
      <c r="U145" s="26">
        <v>8317</v>
      </c>
      <c r="V145" s="26">
        <f t="shared" si="19"/>
        <v>31.9</v>
      </c>
      <c r="W145" s="243">
        <f t="shared" si="23"/>
        <v>0</v>
      </c>
      <c r="X145" s="127">
        <f t="shared" si="24"/>
        <v>8292.2000000000007</v>
      </c>
      <c r="Y145" s="127">
        <f t="shared" si="25"/>
        <v>0</v>
      </c>
      <c r="Z145" s="127">
        <f t="shared" si="27"/>
        <v>264521.18</v>
      </c>
      <c r="AA145" s="33" t="s">
        <v>15</v>
      </c>
      <c r="AB145" s="36" t="s">
        <v>16</v>
      </c>
      <c r="AC145" s="181">
        <f t="shared" si="28"/>
        <v>8317</v>
      </c>
      <c r="AD145" s="181">
        <f t="shared" si="26"/>
        <v>265312.3</v>
      </c>
      <c r="AE145" s="181">
        <v>1.3</v>
      </c>
      <c r="AF145" s="181">
        <v>1.3</v>
      </c>
      <c r="AG145" s="101" t="str">
        <f t="shared" si="29"/>
        <v/>
      </c>
      <c r="AH145" s="191">
        <f>AH144</f>
        <v>8292.2000000000007</v>
      </c>
      <c r="AI145" s="69">
        <f t="shared" si="30"/>
        <v>8317</v>
      </c>
    </row>
    <row r="146" spans="1:35" s="69" customFormat="1" ht="39" x14ac:dyDescent="0.3">
      <c r="A146" s="265" t="s">
        <v>416</v>
      </c>
      <c r="B146" s="131" t="s">
        <v>417</v>
      </c>
      <c r="C146" s="132" t="s">
        <v>110</v>
      </c>
      <c r="D146" s="133">
        <v>1087</v>
      </c>
      <c r="E146" s="75"/>
      <c r="F146" s="75"/>
      <c r="G146" s="75"/>
      <c r="H146" s="75" t="s">
        <v>15</v>
      </c>
      <c r="I146" s="75">
        <v>278.10000000000002</v>
      </c>
      <c r="J146" s="75">
        <v>302294.7</v>
      </c>
      <c r="K146" s="91" t="s">
        <v>418</v>
      </c>
      <c r="L146" s="73"/>
      <c r="M146" s="46">
        <v>1059.8000000000002</v>
      </c>
      <c r="N146" s="46">
        <v>148421.97</v>
      </c>
      <c r="O146" s="46">
        <v>294730.38</v>
      </c>
      <c r="P146" s="98"/>
      <c r="Q146" s="23" t="s">
        <v>1429</v>
      </c>
      <c r="R146" s="24" t="s">
        <v>417</v>
      </c>
      <c r="S146" s="25" t="s">
        <v>110</v>
      </c>
      <c r="T146" s="26">
        <v>1087</v>
      </c>
      <c r="U146" s="26">
        <v>1087</v>
      </c>
      <c r="V146" s="26">
        <f t="shared" si="19"/>
        <v>278.10000000000002</v>
      </c>
      <c r="W146" s="243">
        <f t="shared" si="23"/>
        <v>0</v>
      </c>
      <c r="X146" s="127">
        <f t="shared" si="24"/>
        <v>1059.8000000000002</v>
      </c>
      <c r="Y146" s="127">
        <f t="shared" si="25"/>
        <v>0</v>
      </c>
      <c r="Z146" s="127">
        <f t="shared" si="27"/>
        <v>294730.38</v>
      </c>
      <c r="AA146" s="33" t="s">
        <v>15</v>
      </c>
      <c r="AB146" s="36" t="s">
        <v>16</v>
      </c>
      <c r="AC146" s="181">
        <f t="shared" si="28"/>
        <v>1087</v>
      </c>
      <c r="AD146" s="181">
        <f t="shared" si="26"/>
        <v>302294.7</v>
      </c>
      <c r="AE146" s="181">
        <v>1.3</v>
      </c>
      <c r="AF146" s="181">
        <v>1.3</v>
      </c>
      <c r="AG146" s="101" t="str">
        <f t="shared" si="29"/>
        <v/>
      </c>
      <c r="AH146" s="191">
        <f>526.1+533.7</f>
        <v>1059.8000000000002</v>
      </c>
      <c r="AI146" s="69">
        <f t="shared" si="30"/>
        <v>1087</v>
      </c>
    </row>
    <row r="147" spans="1:35" s="69" customFormat="1" ht="58.5" x14ac:dyDescent="0.3">
      <c r="A147" s="265" t="s">
        <v>419</v>
      </c>
      <c r="B147" s="131" t="s">
        <v>420</v>
      </c>
      <c r="C147" s="132" t="s">
        <v>50</v>
      </c>
      <c r="D147" s="133">
        <v>172</v>
      </c>
      <c r="E147" s="75"/>
      <c r="F147" s="75"/>
      <c r="G147" s="75"/>
      <c r="H147" s="75" t="s">
        <v>15</v>
      </c>
      <c r="I147" s="75">
        <v>1400</v>
      </c>
      <c r="J147" s="75">
        <v>240800</v>
      </c>
      <c r="K147" s="91" t="s">
        <v>421</v>
      </c>
      <c r="L147" s="73"/>
      <c r="M147" s="46">
        <v>171.39999999999998</v>
      </c>
      <c r="N147" s="46">
        <v>142520</v>
      </c>
      <c r="O147" s="46">
        <v>239960</v>
      </c>
      <c r="P147" s="98"/>
      <c r="Q147" s="23" t="s">
        <v>1430</v>
      </c>
      <c r="R147" s="24" t="s">
        <v>420</v>
      </c>
      <c r="S147" s="25" t="s">
        <v>50</v>
      </c>
      <c r="T147" s="26">
        <v>172</v>
      </c>
      <c r="U147" s="26">
        <v>172</v>
      </c>
      <c r="V147" s="26">
        <f t="shared" si="19"/>
        <v>1400</v>
      </c>
      <c r="W147" s="243">
        <f t="shared" si="23"/>
        <v>0</v>
      </c>
      <c r="X147" s="127">
        <f t="shared" si="24"/>
        <v>171.39999999999998</v>
      </c>
      <c r="Y147" s="127">
        <f t="shared" si="25"/>
        <v>0</v>
      </c>
      <c r="Z147" s="127">
        <f t="shared" si="27"/>
        <v>239960</v>
      </c>
      <c r="AA147" s="33" t="s">
        <v>15</v>
      </c>
      <c r="AB147" s="36" t="s">
        <v>16</v>
      </c>
      <c r="AC147" s="181">
        <f t="shared" si="28"/>
        <v>172</v>
      </c>
      <c r="AD147" s="181">
        <f t="shared" si="26"/>
        <v>240800</v>
      </c>
      <c r="AE147" s="181">
        <v>1.3</v>
      </c>
      <c r="AF147" s="181">
        <v>1.3</v>
      </c>
      <c r="AG147" s="101" t="str">
        <f t="shared" si="29"/>
        <v/>
      </c>
      <c r="AH147" s="191">
        <f>69.6+101.8</f>
        <v>171.39999999999998</v>
      </c>
      <c r="AI147" s="69">
        <f t="shared" si="30"/>
        <v>172</v>
      </c>
    </row>
    <row r="148" spans="1:35" s="69" customFormat="1" ht="97.5" x14ac:dyDescent="0.3">
      <c r="A148" s="130" t="s">
        <v>422</v>
      </c>
      <c r="B148" s="131" t="s">
        <v>3070</v>
      </c>
      <c r="C148" s="132" t="s">
        <v>110</v>
      </c>
      <c r="D148" s="133">
        <v>150400</v>
      </c>
      <c r="E148" s="75"/>
      <c r="F148" s="75"/>
      <c r="G148" s="75"/>
      <c r="H148" s="75">
        <v>154935.98000000001</v>
      </c>
      <c r="I148" s="75">
        <v>107.31</v>
      </c>
      <c r="J148" s="75">
        <v>16626180.01</v>
      </c>
      <c r="K148" s="91" t="s">
        <v>132</v>
      </c>
      <c r="L148" s="73"/>
      <c r="M148" s="46">
        <v>154547.07999999999</v>
      </c>
      <c r="N148" s="46">
        <v>450326.41000000015</v>
      </c>
      <c r="O148" s="46">
        <v>16584447.15</v>
      </c>
      <c r="P148" s="98"/>
      <c r="Q148" s="23" t="s">
        <v>1431</v>
      </c>
      <c r="R148" s="24" t="s">
        <v>131</v>
      </c>
      <c r="S148" s="25" t="s">
        <v>110</v>
      </c>
      <c r="T148" s="26">
        <v>150400</v>
      </c>
      <c r="U148" s="26">
        <v>154935.98000000001</v>
      </c>
      <c r="V148" s="26">
        <f t="shared" si="19"/>
        <v>107.31</v>
      </c>
      <c r="W148" s="243">
        <f t="shared" si="23"/>
        <v>0</v>
      </c>
      <c r="X148" s="127">
        <f t="shared" si="24"/>
        <v>154547.07999999999</v>
      </c>
      <c r="Y148" s="127">
        <f t="shared" si="25"/>
        <v>0</v>
      </c>
      <c r="Z148" s="127">
        <f t="shared" si="27"/>
        <v>16584447.15</v>
      </c>
      <c r="AA148" s="33" t="s">
        <v>15</v>
      </c>
      <c r="AB148" s="36" t="s">
        <v>16</v>
      </c>
      <c r="AC148" s="181">
        <f t="shared" si="28"/>
        <v>154935.98000000001</v>
      </c>
      <c r="AD148" s="181">
        <f t="shared" si="26"/>
        <v>16626180.01</v>
      </c>
      <c r="AE148" s="181">
        <v>1.3</v>
      </c>
      <c r="AF148" s="181">
        <v>1.3</v>
      </c>
      <c r="AG148" s="101" t="str">
        <f t="shared" si="29"/>
        <v>超估</v>
      </c>
      <c r="AH148" s="191">
        <f>150350.58+4196.5</f>
        <v>154547.07999999999</v>
      </c>
      <c r="AI148" s="69">
        <f t="shared" si="30"/>
        <v>150400</v>
      </c>
    </row>
    <row r="149" spans="1:35" s="69" customFormat="1" ht="39" x14ac:dyDescent="0.3">
      <c r="A149" s="130" t="s">
        <v>423</v>
      </c>
      <c r="B149" s="131" t="s">
        <v>424</v>
      </c>
      <c r="C149" s="132" t="s">
        <v>50</v>
      </c>
      <c r="D149" s="133">
        <v>1140.1600000000001</v>
      </c>
      <c r="E149" s="75"/>
      <c r="F149" s="75"/>
      <c r="G149" s="75"/>
      <c r="H149" s="75" t="s">
        <v>15</v>
      </c>
      <c r="I149" s="75">
        <v>692.16</v>
      </c>
      <c r="J149" s="75">
        <v>789173.15</v>
      </c>
      <c r="K149" s="91" t="s">
        <v>425</v>
      </c>
      <c r="L149" s="73"/>
      <c r="M149" s="46">
        <v>1139.5999999999999</v>
      </c>
      <c r="N149" s="46">
        <v>0</v>
      </c>
      <c r="O149" s="46">
        <v>788785.54</v>
      </c>
      <c r="P149" s="98"/>
      <c r="Q149" s="23" t="s">
        <v>1395</v>
      </c>
      <c r="R149" s="24" t="s">
        <v>424</v>
      </c>
      <c r="S149" s="25" t="s">
        <v>50</v>
      </c>
      <c r="T149" s="26">
        <v>1140.1600000000001</v>
      </c>
      <c r="U149" s="26">
        <v>1140.1600000000001</v>
      </c>
      <c r="V149" s="26">
        <f t="shared" si="19"/>
        <v>692.16</v>
      </c>
      <c r="W149" s="127">
        <f t="shared" si="23"/>
        <v>0</v>
      </c>
      <c r="X149" s="127">
        <f t="shared" si="24"/>
        <v>1139.5999999999999</v>
      </c>
      <c r="Y149" s="127">
        <f t="shared" si="25"/>
        <v>0</v>
      </c>
      <c r="Z149" s="127">
        <f t="shared" si="27"/>
        <v>788785.54</v>
      </c>
      <c r="AA149" s="33" t="s">
        <v>15</v>
      </c>
      <c r="AB149" s="36" t="s">
        <v>16</v>
      </c>
      <c r="AC149" s="181">
        <f t="shared" si="28"/>
        <v>1140.1600000000001</v>
      </c>
      <c r="AD149" s="181">
        <f t="shared" si="26"/>
        <v>789173.15</v>
      </c>
      <c r="AE149" s="181">
        <v>1.3</v>
      </c>
      <c r="AF149" s="181">
        <v>1.3</v>
      </c>
      <c r="AG149" s="101" t="str">
        <f t="shared" si="29"/>
        <v/>
      </c>
      <c r="AH149" s="191">
        <v>1139.5999999999999</v>
      </c>
      <c r="AI149" s="69">
        <f t="shared" si="30"/>
        <v>1140.1600000000001</v>
      </c>
    </row>
    <row r="150" spans="1:35" s="69" customFormat="1" ht="58.5" x14ac:dyDescent="0.3">
      <c r="A150" s="130" t="s">
        <v>426</v>
      </c>
      <c r="B150" s="131" t="s">
        <v>33</v>
      </c>
      <c r="C150" s="132" t="s">
        <v>34</v>
      </c>
      <c r="D150" s="133">
        <v>527.59</v>
      </c>
      <c r="E150" s="203"/>
      <c r="F150" s="203"/>
      <c r="G150" s="203"/>
      <c r="H150" s="203" t="s">
        <v>15</v>
      </c>
      <c r="I150" s="75">
        <v>48.28</v>
      </c>
      <c r="J150" s="75">
        <v>25472.05</v>
      </c>
      <c r="K150" s="91" t="s">
        <v>35</v>
      </c>
      <c r="L150" s="73"/>
      <c r="M150" s="46">
        <v>527.59</v>
      </c>
      <c r="N150" s="46">
        <v>0</v>
      </c>
      <c r="O150" s="46">
        <v>25472.05</v>
      </c>
      <c r="P150" s="98"/>
      <c r="Q150" s="23" t="s">
        <v>1432</v>
      </c>
      <c r="R150" s="24" t="s">
        <v>33</v>
      </c>
      <c r="S150" s="25" t="s">
        <v>34</v>
      </c>
      <c r="T150" s="26">
        <v>527.59</v>
      </c>
      <c r="U150" s="26">
        <v>527.59</v>
      </c>
      <c r="V150" s="26">
        <f t="shared" si="19"/>
        <v>48.28</v>
      </c>
      <c r="W150" s="127">
        <f t="shared" si="23"/>
        <v>0</v>
      </c>
      <c r="X150" s="127">
        <f t="shared" si="24"/>
        <v>527.59</v>
      </c>
      <c r="Y150" s="127">
        <f t="shared" si="25"/>
        <v>0</v>
      </c>
      <c r="Z150" s="127">
        <f t="shared" si="27"/>
        <v>25472.05</v>
      </c>
      <c r="AA150" s="33" t="s">
        <v>15</v>
      </c>
      <c r="AB150" s="36" t="s">
        <v>16</v>
      </c>
      <c r="AC150" s="181">
        <f t="shared" si="28"/>
        <v>527.59</v>
      </c>
      <c r="AD150" s="181">
        <f t="shared" si="26"/>
        <v>25472.05</v>
      </c>
      <c r="AE150" s="181">
        <v>1.3</v>
      </c>
      <c r="AF150" s="181">
        <v>1.3</v>
      </c>
      <c r="AG150" s="101" t="str">
        <f t="shared" si="29"/>
        <v/>
      </c>
      <c r="AH150" s="190">
        <v>527.59</v>
      </c>
      <c r="AI150" s="69">
        <f t="shared" si="30"/>
        <v>527.59</v>
      </c>
    </row>
    <row r="151" spans="1:35" s="69" customFormat="1" ht="58.5" x14ac:dyDescent="0.3">
      <c r="A151" s="130" t="s">
        <v>427</v>
      </c>
      <c r="B151" s="131" t="s">
        <v>428</v>
      </c>
      <c r="C151" s="132" t="s">
        <v>34</v>
      </c>
      <c r="D151" s="133">
        <v>355.42</v>
      </c>
      <c r="E151" s="203"/>
      <c r="F151" s="203"/>
      <c r="G151" s="203"/>
      <c r="H151" s="203" t="s">
        <v>15</v>
      </c>
      <c r="I151" s="75">
        <v>721.06</v>
      </c>
      <c r="J151" s="75">
        <v>256279.15</v>
      </c>
      <c r="K151" s="91" t="s">
        <v>429</v>
      </c>
      <c r="L151" s="73"/>
      <c r="M151" s="46">
        <v>0</v>
      </c>
      <c r="N151" s="46">
        <v>0</v>
      </c>
      <c r="O151" s="46">
        <v>0</v>
      </c>
      <c r="P151" s="98"/>
      <c r="Q151" s="23" t="s">
        <v>1433</v>
      </c>
      <c r="R151" s="24" t="s">
        <v>428</v>
      </c>
      <c r="S151" s="25" t="s">
        <v>34</v>
      </c>
      <c r="T151" s="26">
        <v>355.42</v>
      </c>
      <c r="U151" s="26">
        <v>355.42</v>
      </c>
      <c r="V151" s="26">
        <f t="shared" si="19"/>
        <v>721.06</v>
      </c>
      <c r="W151" s="127">
        <f t="shared" si="23"/>
        <v>0</v>
      </c>
      <c r="X151" s="127">
        <f t="shared" si="24"/>
        <v>0</v>
      </c>
      <c r="Y151" s="127">
        <f t="shared" si="25"/>
        <v>0</v>
      </c>
      <c r="Z151" s="127">
        <f t="shared" si="27"/>
        <v>0</v>
      </c>
      <c r="AA151" s="33" t="s">
        <v>15</v>
      </c>
      <c r="AB151" s="36" t="s">
        <v>16</v>
      </c>
      <c r="AC151" s="181">
        <f t="shared" si="28"/>
        <v>355.42</v>
      </c>
      <c r="AD151" s="181">
        <f t="shared" si="26"/>
        <v>256279.15</v>
      </c>
      <c r="AE151" s="181">
        <v>1.3</v>
      </c>
      <c r="AF151" s="181">
        <v>1.3</v>
      </c>
      <c r="AG151" s="101" t="str">
        <f t="shared" si="29"/>
        <v/>
      </c>
      <c r="AH151" s="190">
        <v>0</v>
      </c>
      <c r="AI151" s="69">
        <f t="shared" si="30"/>
        <v>355.42</v>
      </c>
    </row>
    <row r="152" spans="1:35" s="69" customFormat="1" ht="33" x14ac:dyDescent="0.3">
      <c r="A152" s="55" t="s">
        <v>430</v>
      </c>
      <c r="B152" s="53" t="s">
        <v>431</v>
      </c>
      <c r="C152" s="202" t="s">
        <v>50</v>
      </c>
      <c r="D152" s="203">
        <v>272</v>
      </c>
      <c r="E152" s="203"/>
      <c r="F152" s="203">
        <v>32675</v>
      </c>
      <c r="G152" s="203"/>
      <c r="H152" s="203" t="s">
        <v>15</v>
      </c>
      <c r="I152" s="75">
        <v>28</v>
      </c>
      <c r="J152" s="75">
        <v>914900</v>
      </c>
      <c r="K152" s="91" t="s">
        <v>432</v>
      </c>
      <c r="L152" s="73"/>
      <c r="M152" s="46">
        <v>29264</v>
      </c>
      <c r="N152" s="46">
        <v>51940</v>
      </c>
      <c r="O152" s="46">
        <v>819392</v>
      </c>
      <c r="P152" s="98"/>
      <c r="Q152" s="23" t="s">
        <v>1382</v>
      </c>
      <c r="R152" s="24" t="s">
        <v>431</v>
      </c>
      <c r="S152" s="25" t="s">
        <v>50</v>
      </c>
      <c r="T152" s="26">
        <v>272</v>
      </c>
      <c r="U152" s="26">
        <v>32675</v>
      </c>
      <c r="V152" s="26">
        <f t="shared" si="19"/>
        <v>28</v>
      </c>
      <c r="W152" s="243">
        <f t="shared" si="23"/>
        <v>0</v>
      </c>
      <c r="X152" s="26">
        <f t="shared" si="24"/>
        <v>29264</v>
      </c>
      <c r="Y152" s="26">
        <f t="shared" si="25"/>
        <v>0</v>
      </c>
      <c r="Z152" s="26">
        <f t="shared" si="27"/>
        <v>819392</v>
      </c>
      <c r="AA152" s="27" t="s">
        <v>15</v>
      </c>
      <c r="AB152" s="36" t="s">
        <v>16</v>
      </c>
      <c r="AC152" s="181">
        <f t="shared" si="28"/>
        <v>32675</v>
      </c>
      <c r="AD152" s="181">
        <f t="shared" si="26"/>
        <v>914900</v>
      </c>
      <c r="AE152" s="181">
        <v>1.3</v>
      </c>
      <c r="AF152" s="181">
        <v>1.3</v>
      </c>
      <c r="AG152" s="101" t="str">
        <f t="shared" si="29"/>
        <v/>
      </c>
      <c r="AH152" s="191">
        <f>22573+928+1928+1980+1855</f>
        <v>29264</v>
      </c>
      <c r="AI152" s="69">
        <f t="shared" si="30"/>
        <v>32675</v>
      </c>
    </row>
    <row r="153" spans="1:35" s="69" customFormat="1" ht="39" x14ac:dyDescent="0.3">
      <c r="A153" s="130" t="s">
        <v>433</v>
      </c>
      <c r="B153" s="131" t="s">
        <v>434</v>
      </c>
      <c r="C153" s="132" t="s">
        <v>30</v>
      </c>
      <c r="D153" s="133">
        <v>744</v>
      </c>
      <c r="E153" s="203"/>
      <c r="F153" s="203"/>
      <c r="G153" s="203"/>
      <c r="H153" s="203" t="s">
        <v>15</v>
      </c>
      <c r="I153" s="75">
        <v>19012.060000000001</v>
      </c>
      <c r="J153" s="75">
        <v>14144972.640000001</v>
      </c>
      <c r="K153" s="91" t="s">
        <v>435</v>
      </c>
      <c r="L153" s="73"/>
      <c r="M153" s="46">
        <v>744</v>
      </c>
      <c r="N153" s="46">
        <v>0</v>
      </c>
      <c r="O153" s="46">
        <v>14144972.640000001</v>
      </c>
      <c r="P153" s="98"/>
      <c r="Q153" s="23" t="s">
        <v>1434</v>
      </c>
      <c r="R153" s="24" t="s">
        <v>434</v>
      </c>
      <c r="S153" s="25" t="s">
        <v>30</v>
      </c>
      <c r="T153" s="26">
        <v>744</v>
      </c>
      <c r="U153" s="26">
        <v>744</v>
      </c>
      <c r="V153" s="26">
        <f t="shared" si="19"/>
        <v>19012.060000000001</v>
      </c>
      <c r="W153" s="127">
        <f t="shared" si="23"/>
        <v>0</v>
      </c>
      <c r="X153" s="127">
        <f t="shared" si="24"/>
        <v>744</v>
      </c>
      <c r="Y153" s="127">
        <f t="shared" si="25"/>
        <v>0</v>
      </c>
      <c r="Z153" s="127">
        <f t="shared" si="27"/>
        <v>14144972.640000001</v>
      </c>
      <c r="AA153" s="33" t="s">
        <v>15</v>
      </c>
      <c r="AB153" s="36" t="s">
        <v>16</v>
      </c>
      <c r="AC153" s="181">
        <f t="shared" si="28"/>
        <v>744</v>
      </c>
      <c r="AD153" s="181">
        <f t="shared" si="26"/>
        <v>14144972.640000001</v>
      </c>
      <c r="AE153" s="181">
        <v>1.3</v>
      </c>
      <c r="AF153" s="181">
        <v>1.3</v>
      </c>
      <c r="AG153" s="101" t="str">
        <f t="shared" si="29"/>
        <v/>
      </c>
      <c r="AH153" s="190">
        <v>744</v>
      </c>
      <c r="AI153" s="69">
        <f t="shared" si="30"/>
        <v>744</v>
      </c>
    </row>
    <row r="154" spans="1:35" s="69" customFormat="1" ht="39" x14ac:dyDescent="0.3">
      <c r="A154" s="55" t="s">
        <v>436</v>
      </c>
      <c r="B154" s="53" t="s">
        <v>437</v>
      </c>
      <c r="C154" s="54" t="s">
        <v>50</v>
      </c>
      <c r="D154" s="75">
        <v>136</v>
      </c>
      <c r="E154" s="75"/>
      <c r="F154" s="75"/>
      <c r="G154" s="75"/>
      <c r="H154" s="75" t="s">
        <v>15</v>
      </c>
      <c r="I154" s="75">
        <v>373.1</v>
      </c>
      <c r="J154" s="75">
        <v>50741.599999999999</v>
      </c>
      <c r="K154" s="91" t="s">
        <v>438</v>
      </c>
      <c r="L154" s="73"/>
      <c r="M154" s="46">
        <v>112</v>
      </c>
      <c r="N154" s="46">
        <v>0</v>
      </c>
      <c r="O154" s="46">
        <v>41787.199999999997</v>
      </c>
      <c r="P154" s="98"/>
      <c r="Q154" s="23" t="s">
        <v>1388</v>
      </c>
      <c r="R154" s="24" t="s">
        <v>437</v>
      </c>
      <c r="S154" s="25" t="s">
        <v>50</v>
      </c>
      <c r="T154" s="26">
        <v>136</v>
      </c>
      <c r="U154" s="26">
        <v>136</v>
      </c>
      <c r="V154" s="26">
        <f t="shared" si="19"/>
        <v>373.1</v>
      </c>
      <c r="W154" s="128">
        <f t="shared" si="23"/>
        <v>0</v>
      </c>
      <c r="X154" s="26">
        <f t="shared" si="24"/>
        <v>112</v>
      </c>
      <c r="Y154" s="26">
        <f t="shared" si="25"/>
        <v>0</v>
      </c>
      <c r="Z154" s="26">
        <f t="shared" si="27"/>
        <v>41787.199999999997</v>
      </c>
      <c r="AA154" s="33" t="s">
        <v>15</v>
      </c>
      <c r="AB154" s="36" t="s">
        <v>16</v>
      </c>
      <c r="AC154" s="181">
        <f t="shared" si="28"/>
        <v>136</v>
      </c>
      <c r="AD154" s="181">
        <f t="shared" si="26"/>
        <v>50741.599999999999</v>
      </c>
      <c r="AE154" s="181">
        <v>1.3</v>
      </c>
      <c r="AF154" s="181">
        <v>1.3</v>
      </c>
      <c r="AG154" s="101" t="str">
        <f t="shared" si="29"/>
        <v/>
      </c>
      <c r="AH154" s="191">
        <v>112</v>
      </c>
      <c r="AI154" s="69">
        <f t="shared" si="30"/>
        <v>136</v>
      </c>
    </row>
    <row r="155" spans="1:35" s="69" customFormat="1" ht="39" x14ac:dyDescent="0.3">
      <c r="A155" s="130" t="s">
        <v>439</v>
      </c>
      <c r="B155" s="131" t="s">
        <v>440</v>
      </c>
      <c r="C155" s="132" t="s">
        <v>50</v>
      </c>
      <c r="D155" s="133">
        <v>136</v>
      </c>
      <c r="E155" s="75"/>
      <c r="F155" s="75"/>
      <c r="G155" s="75"/>
      <c r="H155" s="75" t="s">
        <v>15</v>
      </c>
      <c r="I155" s="75">
        <v>616.53</v>
      </c>
      <c r="J155" s="75">
        <v>83848.08</v>
      </c>
      <c r="K155" s="91" t="s">
        <v>441</v>
      </c>
      <c r="L155" s="73"/>
      <c r="M155" s="46">
        <v>122.8</v>
      </c>
      <c r="N155" s="46">
        <v>0</v>
      </c>
      <c r="O155" s="46">
        <v>75709.88</v>
      </c>
      <c r="P155" s="98"/>
      <c r="Q155" s="23" t="s">
        <v>1389</v>
      </c>
      <c r="R155" s="24" t="s">
        <v>440</v>
      </c>
      <c r="S155" s="25" t="s">
        <v>50</v>
      </c>
      <c r="T155" s="26">
        <v>136</v>
      </c>
      <c r="U155" s="26">
        <v>136</v>
      </c>
      <c r="V155" s="26">
        <f t="shared" si="19"/>
        <v>616.53</v>
      </c>
      <c r="W155" s="243">
        <f t="shared" si="23"/>
        <v>0</v>
      </c>
      <c r="X155" s="127">
        <f t="shared" si="24"/>
        <v>122.8</v>
      </c>
      <c r="Y155" s="127">
        <f t="shared" si="25"/>
        <v>0</v>
      </c>
      <c r="Z155" s="127">
        <f t="shared" si="27"/>
        <v>75709.88</v>
      </c>
      <c r="AA155" s="33" t="s">
        <v>15</v>
      </c>
      <c r="AB155" s="36" t="s">
        <v>16</v>
      </c>
      <c r="AC155" s="181">
        <f t="shared" si="28"/>
        <v>136</v>
      </c>
      <c r="AD155" s="181">
        <f t="shared" si="26"/>
        <v>83848.08</v>
      </c>
      <c r="AE155" s="181">
        <v>1.3</v>
      </c>
      <c r="AF155" s="181">
        <v>1.3</v>
      </c>
      <c r="AG155" s="101" t="str">
        <f t="shared" si="29"/>
        <v/>
      </c>
      <c r="AH155" s="191">
        <f>122.8</f>
        <v>122.8</v>
      </c>
      <c r="AI155" s="69">
        <f t="shared" si="30"/>
        <v>136</v>
      </c>
    </row>
    <row r="156" spans="1:35" s="69" customFormat="1" ht="33" x14ac:dyDescent="0.3">
      <c r="A156" s="55" t="s">
        <v>442</v>
      </c>
      <c r="B156" s="53" t="s">
        <v>443</v>
      </c>
      <c r="C156" s="54" t="s">
        <v>50</v>
      </c>
      <c r="D156" s="75">
        <v>3.6</v>
      </c>
      <c r="E156" s="75"/>
      <c r="F156" s="75"/>
      <c r="G156" s="75"/>
      <c r="H156" s="75" t="s">
        <v>15</v>
      </c>
      <c r="I156" s="75">
        <v>2664.06</v>
      </c>
      <c r="J156" s="75">
        <v>9590.6200000000008</v>
      </c>
      <c r="K156" s="91" t="s">
        <v>444</v>
      </c>
      <c r="L156" s="73"/>
      <c r="M156" s="46">
        <v>0</v>
      </c>
      <c r="N156" s="46">
        <v>0</v>
      </c>
      <c r="O156" s="46">
        <v>0</v>
      </c>
      <c r="P156" s="98"/>
      <c r="Q156" s="23" t="s">
        <v>1390</v>
      </c>
      <c r="R156" s="24" t="s">
        <v>443</v>
      </c>
      <c r="S156" s="25" t="s">
        <v>50</v>
      </c>
      <c r="T156" s="26">
        <v>3.6</v>
      </c>
      <c r="U156" s="26">
        <v>3.6</v>
      </c>
      <c r="V156" s="26">
        <f t="shared" si="19"/>
        <v>2664.06</v>
      </c>
      <c r="W156" s="26">
        <f t="shared" si="23"/>
        <v>0</v>
      </c>
      <c r="X156" s="26">
        <f t="shared" si="24"/>
        <v>0</v>
      </c>
      <c r="Y156" s="26">
        <f t="shared" si="25"/>
        <v>0</v>
      </c>
      <c r="Z156" s="26">
        <f t="shared" si="27"/>
        <v>0</v>
      </c>
      <c r="AA156" s="33" t="s">
        <v>15</v>
      </c>
      <c r="AB156" s="36" t="s">
        <v>16</v>
      </c>
      <c r="AC156" s="181">
        <f t="shared" si="28"/>
        <v>3.6</v>
      </c>
      <c r="AD156" s="181">
        <f t="shared" si="26"/>
        <v>9590.6200000000008</v>
      </c>
      <c r="AE156" s="181">
        <v>1.3</v>
      </c>
      <c r="AF156" s="181">
        <v>1.3</v>
      </c>
      <c r="AG156" s="101" t="str">
        <f t="shared" si="29"/>
        <v/>
      </c>
      <c r="AH156" s="190">
        <v>0</v>
      </c>
      <c r="AI156" s="69">
        <f t="shared" si="30"/>
        <v>3.6</v>
      </c>
    </row>
    <row r="157" spans="1:35" s="69" customFormat="1" ht="39" x14ac:dyDescent="0.3">
      <c r="A157" s="130" t="s">
        <v>445</v>
      </c>
      <c r="B157" s="131" t="s">
        <v>446</v>
      </c>
      <c r="C157" s="132" t="s">
        <v>30</v>
      </c>
      <c r="D157" s="133">
        <v>44</v>
      </c>
      <c r="E157" s="75"/>
      <c r="F157" s="75"/>
      <c r="G157" s="75"/>
      <c r="H157" s="75" t="s">
        <v>15</v>
      </c>
      <c r="I157" s="75">
        <v>5183.22</v>
      </c>
      <c r="J157" s="75">
        <v>228061.68</v>
      </c>
      <c r="K157" s="137" t="s">
        <v>447</v>
      </c>
      <c r="L157" s="73"/>
      <c r="M157" s="46">
        <v>43.7</v>
      </c>
      <c r="N157" s="46">
        <v>0</v>
      </c>
      <c r="O157" s="46">
        <v>226506.71</v>
      </c>
      <c r="P157" s="98"/>
      <c r="Q157" s="23" t="s">
        <v>1391</v>
      </c>
      <c r="R157" s="24" t="s">
        <v>446</v>
      </c>
      <c r="S157" s="25" t="s">
        <v>30</v>
      </c>
      <c r="T157" s="26">
        <v>44</v>
      </c>
      <c r="U157" s="26">
        <v>44</v>
      </c>
      <c r="V157" s="26">
        <f t="shared" si="19"/>
        <v>5183.22</v>
      </c>
      <c r="W157" s="127">
        <f t="shared" si="23"/>
        <v>0</v>
      </c>
      <c r="X157" s="127">
        <f t="shared" si="24"/>
        <v>43.7</v>
      </c>
      <c r="Y157" s="127">
        <f t="shared" si="25"/>
        <v>0</v>
      </c>
      <c r="Z157" s="127">
        <f t="shared" si="27"/>
        <v>226506.71</v>
      </c>
      <c r="AA157" s="33" t="s">
        <v>15</v>
      </c>
      <c r="AB157" s="36" t="s">
        <v>16</v>
      </c>
      <c r="AC157" s="181">
        <f t="shared" si="28"/>
        <v>44</v>
      </c>
      <c r="AD157" s="181">
        <f t="shared" si="26"/>
        <v>228061.68</v>
      </c>
      <c r="AE157" s="181">
        <v>1.3</v>
      </c>
      <c r="AF157" s="181">
        <v>1.3</v>
      </c>
      <c r="AG157" s="101" t="str">
        <f t="shared" si="29"/>
        <v/>
      </c>
      <c r="AH157" s="194">
        <f>AH160</f>
        <v>43.7</v>
      </c>
      <c r="AI157" s="69">
        <f t="shared" si="30"/>
        <v>44</v>
      </c>
    </row>
    <row r="158" spans="1:35" s="69" customFormat="1" ht="39" x14ac:dyDescent="0.3">
      <c r="A158" s="130" t="s">
        <v>448</v>
      </c>
      <c r="B158" s="131" t="s">
        <v>449</v>
      </c>
      <c r="C158" s="132" t="s">
        <v>30</v>
      </c>
      <c r="D158" s="133">
        <v>94.14</v>
      </c>
      <c r="E158" s="75"/>
      <c r="F158" s="75"/>
      <c r="G158" s="75"/>
      <c r="H158" s="75" t="s">
        <v>15</v>
      </c>
      <c r="I158" s="75">
        <v>9392.57</v>
      </c>
      <c r="J158" s="75">
        <v>884216.54</v>
      </c>
      <c r="K158" s="137" t="s">
        <v>450</v>
      </c>
      <c r="L158" s="73"/>
      <c r="M158" s="46">
        <v>93.1</v>
      </c>
      <c r="N158" s="46">
        <v>0</v>
      </c>
      <c r="O158" s="46">
        <v>874448.27</v>
      </c>
      <c r="P158" s="98"/>
      <c r="Q158" s="23" t="s">
        <v>1436</v>
      </c>
      <c r="R158" s="24" t="s">
        <v>449</v>
      </c>
      <c r="S158" s="25" t="s">
        <v>30</v>
      </c>
      <c r="T158" s="26">
        <v>94.14</v>
      </c>
      <c r="U158" s="26">
        <v>94.14</v>
      </c>
      <c r="V158" s="26">
        <f t="shared" si="19"/>
        <v>9392.57</v>
      </c>
      <c r="W158" s="127">
        <f t="shared" si="23"/>
        <v>0</v>
      </c>
      <c r="X158" s="127">
        <f t="shared" si="24"/>
        <v>93.1</v>
      </c>
      <c r="Y158" s="127">
        <f t="shared" si="25"/>
        <v>0</v>
      </c>
      <c r="Z158" s="127">
        <f t="shared" si="27"/>
        <v>874448.27</v>
      </c>
      <c r="AA158" s="33" t="s">
        <v>15</v>
      </c>
      <c r="AB158" s="36" t="s">
        <v>16</v>
      </c>
      <c r="AC158" s="181">
        <f t="shared" si="28"/>
        <v>94.14</v>
      </c>
      <c r="AD158" s="181">
        <f t="shared" si="26"/>
        <v>884216.54</v>
      </c>
      <c r="AE158" s="181">
        <v>1.3</v>
      </c>
      <c r="AF158" s="181">
        <v>1.3</v>
      </c>
      <c r="AG158" s="101" t="str">
        <f t="shared" si="29"/>
        <v/>
      </c>
      <c r="AH158" s="194">
        <f>75+18.1</f>
        <v>93.1</v>
      </c>
      <c r="AI158" s="69">
        <f t="shared" si="30"/>
        <v>94.14</v>
      </c>
    </row>
    <row r="159" spans="1:35" s="69" customFormat="1" ht="39" x14ac:dyDescent="0.3">
      <c r="A159" s="55" t="s">
        <v>451</v>
      </c>
      <c r="B159" s="53" t="s">
        <v>452</v>
      </c>
      <c r="C159" s="54" t="s">
        <v>30</v>
      </c>
      <c r="D159" s="75">
        <v>114</v>
      </c>
      <c r="E159" s="75"/>
      <c r="F159" s="75"/>
      <c r="G159" s="75"/>
      <c r="H159" s="75" t="s">
        <v>15</v>
      </c>
      <c r="I159" s="75">
        <v>2388.5700000000002</v>
      </c>
      <c r="J159" s="75">
        <v>272296.98</v>
      </c>
      <c r="K159" s="137" t="s">
        <v>453</v>
      </c>
      <c r="L159" s="73"/>
      <c r="M159" s="46">
        <v>68</v>
      </c>
      <c r="N159" s="46">
        <v>0</v>
      </c>
      <c r="O159" s="46">
        <v>162422.76</v>
      </c>
      <c r="P159" s="98"/>
      <c r="Q159" s="23" t="s">
        <v>1374</v>
      </c>
      <c r="R159" s="24" t="s">
        <v>452</v>
      </c>
      <c r="S159" s="25" t="s">
        <v>30</v>
      </c>
      <c r="T159" s="26">
        <v>114</v>
      </c>
      <c r="U159" s="26">
        <v>114</v>
      </c>
      <c r="V159" s="26">
        <f t="shared" si="19"/>
        <v>2388.5700000000002</v>
      </c>
      <c r="W159" s="243">
        <f t="shared" si="23"/>
        <v>0</v>
      </c>
      <c r="X159" s="26">
        <f t="shared" si="24"/>
        <v>68</v>
      </c>
      <c r="Y159" s="26">
        <f t="shared" si="25"/>
        <v>0</v>
      </c>
      <c r="Z159" s="26">
        <f t="shared" si="27"/>
        <v>162422.76</v>
      </c>
      <c r="AA159" s="33" t="s">
        <v>15</v>
      </c>
      <c r="AB159" s="36" t="s">
        <v>16</v>
      </c>
      <c r="AC159" s="181">
        <f t="shared" si="28"/>
        <v>114</v>
      </c>
      <c r="AD159" s="181">
        <f t="shared" si="26"/>
        <v>272296.98</v>
      </c>
      <c r="AE159" s="181">
        <v>1.3</v>
      </c>
      <c r="AF159" s="181">
        <v>1.3</v>
      </c>
      <c r="AG159" s="101" t="str">
        <f t="shared" si="29"/>
        <v/>
      </c>
      <c r="AH159" s="191">
        <f>68</f>
        <v>68</v>
      </c>
      <c r="AI159" s="69">
        <f t="shared" si="30"/>
        <v>114</v>
      </c>
    </row>
    <row r="160" spans="1:35" s="69" customFormat="1" ht="39" x14ac:dyDescent="0.3">
      <c r="A160" s="130" t="s">
        <v>454</v>
      </c>
      <c r="B160" s="131" t="s">
        <v>455</v>
      </c>
      <c r="C160" s="132" t="s">
        <v>30</v>
      </c>
      <c r="D160" s="133">
        <v>44</v>
      </c>
      <c r="E160" s="75"/>
      <c r="F160" s="75"/>
      <c r="G160" s="75"/>
      <c r="H160" s="75" t="s">
        <v>15</v>
      </c>
      <c r="I160" s="75">
        <v>80192.710000000006</v>
      </c>
      <c r="J160" s="75">
        <v>3528479.24</v>
      </c>
      <c r="K160" s="137" t="s">
        <v>456</v>
      </c>
      <c r="L160" s="73"/>
      <c r="M160" s="46">
        <v>43.7</v>
      </c>
      <c r="N160" s="46">
        <v>0</v>
      </c>
      <c r="O160" s="46">
        <v>3504421.43</v>
      </c>
      <c r="P160" s="98"/>
      <c r="Q160" s="23" t="s">
        <v>1376</v>
      </c>
      <c r="R160" s="24" t="s">
        <v>455</v>
      </c>
      <c r="S160" s="25" t="s">
        <v>30</v>
      </c>
      <c r="T160" s="26">
        <v>44</v>
      </c>
      <c r="U160" s="26">
        <v>44</v>
      </c>
      <c r="V160" s="26">
        <f t="shared" si="19"/>
        <v>80192.710000000006</v>
      </c>
      <c r="W160" s="127">
        <f t="shared" si="23"/>
        <v>0</v>
      </c>
      <c r="X160" s="127">
        <f t="shared" si="24"/>
        <v>43.7</v>
      </c>
      <c r="Y160" s="127">
        <f t="shared" si="25"/>
        <v>0</v>
      </c>
      <c r="Z160" s="127">
        <f t="shared" si="27"/>
        <v>3504421.43</v>
      </c>
      <c r="AA160" s="33" t="s">
        <v>15</v>
      </c>
      <c r="AB160" s="36" t="s">
        <v>16</v>
      </c>
      <c r="AC160" s="181">
        <f t="shared" si="28"/>
        <v>44</v>
      </c>
      <c r="AD160" s="181">
        <f t="shared" si="26"/>
        <v>3528479.24</v>
      </c>
      <c r="AE160" s="181">
        <v>1.3</v>
      </c>
      <c r="AF160" s="181">
        <v>1.3</v>
      </c>
      <c r="AG160" s="101" t="str">
        <f t="shared" si="29"/>
        <v/>
      </c>
      <c r="AH160" s="194">
        <f>35+9-0.3</f>
        <v>43.7</v>
      </c>
      <c r="AI160" s="69">
        <f t="shared" si="30"/>
        <v>44</v>
      </c>
    </row>
    <row r="161" spans="1:35" s="69" customFormat="1" ht="58.5" x14ac:dyDescent="0.3">
      <c r="A161" s="130" t="s">
        <v>457</v>
      </c>
      <c r="B161" s="131" t="s">
        <v>458</v>
      </c>
      <c r="C161" s="132" t="s">
        <v>30</v>
      </c>
      <c r="D161" s="133">
        <v>90</v>
      </c>
      <c r="E161" s="75"/>
      <c r="F161" s="75"/>
      <c r="G161" s="75"/>
      <c r="H161" s="75" t="s">
        <v>15</v>
      </c>
      <c r="I161" s="75">
        <v>9257.1299999999992</v>
      </c>
      <c r="J161" s="75">
        <v>833141.7</v>
      </c>
      <c r="K161" s="137" t="s">
        <v>459</v>
      </c>
      <c r="L161" s="73"/>
      <c r="M161" s="46">
        <v>90</v>
      </c>
      <c r="N161" s="46">
        <v>0</v>
      </c>
      <c r="O161" s="46">
        <v>833141.7</v>
      </c>
      <c r="P161" s="98"/>
      <c r="Q161" s="23" t="s">
        <v>1378</v>
      </c>
      <c r="R161" s="24" t="s">
        <v>458</v>
      </c>
      <c r="S161" s="25" t="s">
        <v>30</v>
      </c>
      <c r="T161" s="26">
        <v>90</v>
      </c>
      <c r="U161" s="26">
        <v>90</v>
      </c>
      <c r="V161" s="26">
        <f t="shared" si="19"/>
        <v>9257.1299999999992</v>
      </c>
      <c r="W161" s="127">
        <f t="shared" si="23"/>
        <v>0</v>
      </c>
      <c r="X161" s="127">
        <f t="shared" si="24"/>
        <v>90</v>
      </c>
      <c r="Y161" s="127">
        <f t="shared" si="25"/>
        <v>0</v>
      </c>
      <c r="Z161" s="127">
        <f t="shared" si="27"/>
        <v>833141.7</v>
      </c>
      <c r="AA161" s="33" t="s">
        <v>15</v>
      </c>
      <c r="AB161" s="36" t="s">
        <v>16</v>
      </c>
      <c r="AC161" s="181">
        <f t="shared" si="28"/>
        <v>90</v>
      </c>
      <c r="AD161" s="181">
        <f t="shared" si="26"/>
        <v>833141.7</v>
      </c>
      <c r="AE161" s="181">
        <v>1.3</v>
      </c>
      <c r="AF161" s="181">
        <v>1.3</v>
      </c>
      <c r="AG161" s="101" t="str">
        <f t="shared" si="29"/>
        <v/>
      </c>
      <c r="AH161" s="194">
        <f>70+20</f>
        <v>90</v>
      </c>
      <c r="AI161" s="69">
        <f t="shared" si="30"/>
        <v>90</v>
      </c>
    </row>
    <row r="162" spans="1:35" s="69" customFormat="1" ht="33" x14ac:dyDescent="0.3">
      <c r="A162" s="130" t="s">
        <v>460</v>
      </c>
      <c r="B162" s="131" t="s">
        <v>461</v>
      </c>
      <c r="C162" s="132" t="s">
        <v>81</v>
      </c>
      <c r="D162" s="133">
        <v>1</v>
      </c>
      <c r="E162" s="75"/>
      <c r="F162" s="75"/>
      <c r="G162" s="75"/>
      <c r="H162" s="75" t="s">
        <v>15</v>
      </c>
      <c r="I162" s="75">
        <v>58649</v>
      </c>
      <c r="J162" s="75">
        <v>58649</v>
      </c>
      <c r="K162" s="137" t="s">
        <v>462</v>
      </c>
      <c r="L162" s="73"/>
      <c r="M162" s="46">
        <v>1</v>
      </c>
      <c r="N162" s="46">
        <v>0</v>
      </c>
      <c r="O162" s="46">
        <v>58649</v>
      </c>
      <c r="P162" s="98"/>
      <c r="Q162" s="23" t="s">
        <v>1438</v>
      </c>
      <c r="R162" s="24" t="s">
        <v>461</v>
      </c>
      <c r="S162" s="25" t="s">
        <v>81</v>
      </c>
      <c r="T162" s="26">
        <v>1</v>
      </c>
      <c r="U162" s="26">
        <v>1</v>
      </c>
      <c r="V162" s="26">
        <f t="shared" si="19"/>
        <v>58649</v>
      </c>
      <c r="W162" s="127">
        <f t="shared" si="23"/>
        <v>0</v>
      </c>
      <c r="X162" s="127">
        <f t="shared" si="24"/>
        <v>1</v>
      </c>
      <c r="Y162" s="127">
        <f t="shared" si="25"/>
        <v>0</v>
      </c>
      <c r="Z162" s="127">
        <f t="shared" si="27"/>
        <v>58649</v>
      </c>
      <c r="AA162" s="33" t="s">
        <v>15</v>
      </c>
      <c r="AB162" s="36" t="s">
        <v>16</v>
      </c>
      <c r="AC162" s="181">
        <f t="shared" si="28"/>
        <v>1</v>
      </c>
      <c r="AD162" s="181">
        <f t="shared" si="26"/>
        <v>58649</v>
      </c>
      <c r="AE162" s="181">
        <v>1.3</v>
      </c>
      <c r="AF162" s="181">
        <v>1.3</v>
      </c>
      <c r="AG162" s="101" t="str">
        <f t="shared" si="29"/>
        <v/>
      </c>
      <c r="AH162" s="194">
        <f>1</f>
        <v>1</v>
      </c>
      <c r="AI162" s="69">
        <f t="shared" si="30"/>
        <v>1</v>
      </c>
    </row>
    <row r="163" spans="1:35" s="69" customFormat="1" ht="33" x14ac:dyDescent="0.3">
      <c r="A163" s="130" t="s">
        <v>463</v>
      </c>
      <c r="B163" s="131" t="s">
        <v>464</v>
      </c>
      <c r="C163" s="132" t="s">
        <v>81</v>
      </c>
      <c r="D163" s="133">
        <v>1</v>
      </c>
      <c r="E163" s="75"/>
      <c r="F163" s="75"/>
      <c r="G163" s="75"/>
      <c r="H163" s="75" t="s">
        <v>15</v>
      </c>
      <c r="I163" s="75">
        <v>107614.5</v>
      </c>
      <c r="J163" s="75">
        <v>107614.5</v>
      </c>
      <c r="K163" s="137" t="s">
        <v>465</v>
      </c>
      <c r="L163" s="73"/>
      <c r="M163" s="46">
        <v>1</v>
      </c>
      <c r="N163" s="46">
        <v>21522.899999999994</v>
      </c>
      <c r="O163" s="46">
        <v>107614.5</v>
      </c>
      <c r="P163" s="98"/>
      <c r="Q163" s="23" t="s">
        <v>1439</v>
      </c>
      <c r="R163" s="24" t="s">
        <v>464</v>
      </c>
      <c r="S163" s="25" t="s">
        <v>81</v>
      </c>
      <c r="T163" s="26">
        <v>1</v>
      </c>
      <c r="U163" s="26">
        <v>1</v>
      </c>
      <c r="V163" s="26">
        <f t="shared" si="19"/>
        <v>107614.5</v>
      </c>
      <c r="W163" s="243">
        <f t="shared" si="23"/>
        <v>0</v>
      </c>
      <c r="X163" s="127">
        <f t="shared" si="24"/>
        <v>1</v>
      </c>
      <c r="Y163" s="127">
        <f t="shared" si="25"/>
        <v>0</v>
      </c>
      <c r="Z163" s="127">
        <f t="shared" si="27"/>
        <v>107614.5</v>
      </c>
      <c r="AA163" s="33" t="s">
        <v>15</v>
      </c>
      <c r="AB163" s="36" t="s">
        <v>16</v>
      </c>
      <c r="AC163" s="181">
        <f t="shared" si="28"/>
        <v>1</v>
      </c>
      <c r="AD163" s="181">
        <f t="shared" si="26"/>
        <v>107614.5</v>
      </c>
      <c r="AE163" s="181">
        <v>1.3</v>
      </c>
      <c r="AF163" s="181">
        <v>1.3</v>
      </c>
      <c r="AG163" s="101" t="str">
        <f t="shared" si="29"/>
        <v/>
      </c>
      <c r="AH163" s="191">
        <f>0.8+0.2</f>
        <v>1</v>
      </c>
      <c r="AI163" s="69">
        <f t="shared" si="30"/>
        <v>1</v>
      </c>
    </row>
    <row r="164" spans="1:35" s="69" customFormat="1" ht="33" x14ac:dyDescent="0.3">
      <c r="A164" s="130" t="s">
        <v>466</v>
      </c>
      <c r="B164" s="131" t="s">
        <v>467</v>
      </c>
      <c r="C164" s="132" t="s">
        <v>30</v>
      </c>
      <c r="D164" s="133">
        <v>13.2</v>
      </c>
      <c r="E164" s="75"/>
      <c r="F164" s="75"/>
      <c r="G164" s="75"/>
      <c r="H164" s="75" t="s">
        <v>15</v>
      </c>
      <c r="I164" s="75">
        <v>2809.33</v>
      </c>
      <c r="J164" s="75">
        <v>37083.160000000003</v>
      </c>
      <c r="K164" s="137" t="s">
        <v>468</v>
      </c>
      <c r="L164" s="73"/>
      <c r="M164" s="46">
        <v>12.9</v>
      </c>
      <c r="N164" s="46">
        <v>36240.36</v>
      </c>
      <c r="O164" s="46">
        <v>36240.36</v>
      </c>
      <c r="P164" s="98"/>
      <c r="Q164" s="23" t="s">
        <v>1440</v>
      </c>
      <c r="R164" s="24" t="s">
        <v>467</v>
      </c>
      <c r="S164" s="25" t="s">
        <v>30</v>
      </c>
      <c r="T164" s="26">
        <v>13.2</v>
      </c>
      <c r="U164" s="26">
        <v>13.2</v>
      </c>
      <c r="V164" s="26">
        <f t="shared" si="19"/>
        <v>2809.33</v>
      </c>
      <c r="W164" s="199">
        <f t="shared" si="23"/>
        <v>0</v>
      </c>
      <c r="X164" s="127">
        <f t="shared" si="24"/>
        <v>12.9</v>
      </c>
      <c r="Y164" s="127">
        <f t="shared" si="25"/>
        <v>0</v>
      </c>
      <c r="Z164" s="127">
        <f t="shared" si="27"/>
        <v>36240.36</v>
      </c>
      <c r="AA164" s="33" t="s">
        <v>15</v>
      </c>
      <c r="AB164" s="36" t="s">
        <v>16</v>
      </c>
      <c r="AC164" s="181">
        <f t="shared" si="28"/>
        <v>13.2</v>
      </c>
      <c r="AD164" s="181">
        <f t="shared" si="26"/>
        <v>37083.160000000003</v>
      </c>
      <c r="AE164" s="181">
        <v>1.3</v>
      </c>
      <c r="AF164" s="181">
        <v>1.3</v>
      </c>
      <c r="AG164" s="101" t="str">
        <f t="shared" si="29"/>
        <v/>
      </c>
      <c r="AH164" s="191">
        <f>12.9</f>
        <v>12.9</v>
      </c>
      <c r="AI164" s="69">
        <f t="shared" si="30"/>
        <v>13.2</v>
      </c>
    </row>
    <row r="165" spans="1:35" s="69" customFormat="1" ht="39" x14ac:dyDescent="0.3">
      <c r="A165" s="130" t="s">
        <v>469</v>
      </c>
      <c r="B165" s="131" t="s">
        <v>470</v>
      </c>
      <c r="C165" s="132" t="s">
        <v>30</v>
      </c>
      <c r="D165" s="133">
        <v>3</v>
      </c>
      <c r="E165" s="75"/>
      <c r="F165" s="75"/>
      <c r="G165" s="75"/>
      <c r="H165" s="75" t="s">
        <v>15</v>
      </c>
      <c r="I165" s="75">
        <v>2433.89</v>
      </c>
      <c r="J165" s="75">
        <v>7301.67</v>
      </c>
      <c r="K165" s="137" t="s">
        <v>471</v>
      </c>
      <c r="L165" s="73"/>
      <c r="M165" s="46">
        <v>2.8</v>
      </c>
      <c r="N165" s="46">
        <v>6814.89</v>
      </c>
      <c r="O165" s="46">
        <v>6814.89</v>
      </c>
      <c r="P165" s="98"/>
      <c r="Q165" s="23" t="s">
        <v>1441</v>
      </c>
      <c r="R165" s="24" t="s">
        <v>470</v>
      </c>
      <c r="S165" s="25" t="s">
        <v>30</v>
      </c>
      <c r="T165" s="26">
        <v>3</v>
      </c>
      <c r="U165" s="26">
        <v>3</v>
      </c>
      <c r="V165" s="26">
        <f t="shared" si="19"/>
        <v>2433.89</v>
      </c>
      <c r="W165" s="199">
        <f t="shared" si="23"/>
        <v>0</v>
      </c>
      <c r="X165" s="127">
        <f t="shared" si="24"/>
        <v>2.8</v>
      </c>
      <c r="Y165" s="127">
        <f t="shared" si="25"/>
        <v>0</v>
      </c>
      <c r="Z165" s="127">
        <f t="shared" si="27"/>
        <v>6814.89</v>
      </c>
      <c r="AA165" s="33" t="s">
        <v>15</v>
      </c>
      <c r="AB165" s="36" t="s">
        <v>16</v>
      </c>
      <c r="AC165" s="181">
        <f t="shared" si="28"/>
        <v>3</v>
      </c>
      <c r="AD165" s="181">
        <f t="shared" si="26"/>
        <v>7301.67</v>
      </c>
      <c r="AE165" s="181">
        <v>1.3</v>
      </c>
      <c r="AF165" s="181">
        <v>1.3</v>
      </c>
      <c r="AG165" s="101" t="str">
        <f t="shared" si="29"/>
        <v/>
      </c>
      <c r="AH165" s="191">
        <f>2.8</f>
        <v>2.8</v>
      </c>
      <c r="AI165" s="69">
        <f t="shared" si="30"/>
        <v>3</v>
      </c>
    </row>
    <row r="166" spans="1:35" s="69" customFormat="1" ht="39" x14ac:dyDescent="0.3">
      <c r="A166" s="130" t="s">
        <v>472</v>
      </c>
      <c r="B166" s="131" t="s">
        <v>473</v>
      </c>
      <c r="C166" s="132" t="s">
        <v>30</v>
      </c>
      <c r="D166" s="133">
        <v>6</v>
      </c>
      <c r="E166" s="75"/>
      <c r="F166" s="75"/>
      <c r="G166" s="75"/>
      <c r="H166" s="75" t="s">
        <v>15</v>
      </c>
      <c r="I166" s="75">
        <v>2888.64</v>
      </c>
      <c r="J166" s="75">
        <v>17331.84</v>
      </c>
      <c r="K166" s="137" t="s">
        <v>474</v>
      </c>
      <c r="L166" s="73"/>
      <c r="M166" s="46">
        <v>5.5</v>
      </c>
      <c r="N166" s="46">
        <v>15887.52</v>
      </c>
      <c r="O166" s="46">
        <v>15887.52</v>
      </c>
      <c r="P166" s="98"/>
      <c r="Q166" s="23" t="s">
        <v>1442</v>
      </c>
      <c r="R166" s="24" t="s">
        <v>473</v>
      </c>
      <c r="S166" s="25" t="s">
        <v>30</v>
      </c>
      <c r="T166" s="26">
        <v>6</v>
      </c>
      <c r="U166" s="26">
        <v>6</v>
      </c>
      <c r="V166" s="26">
        <f t="shared" si="19"/>
        <v>2888.64</v>
      </c>
      <c r="W166" s="199">
        <f t="shared" si="23"/>
        <v>0</v>
      </c>
      <c r="X166" s="127">
        <f t="shared" si="24"/>
        <v>5.5</v>
      </c>
      <c r="Y166" s="127">
        <f t="shared" si="25"/>
        <v>0</v>
      </c>
      <c r="Z166" s="127">
        <f t="shared" si="27"/>
        <v>15887.52</v>
      </c>
      <c r="AA166" s="33" t="s">
        <v>15</v>
      </c>
      <c r="AB166" s="36" t="s">
        <v>16</v>
      </c>
      <c r="AC166" s="181">
        <f t="shared" si="28"/>
        <v>6</v>
      </c>
      <c r="AD166" s="181">
        <f t="shared" si="26"/>
        <v>17331.84</v>
      </c>
      <c r="AE166" s="181">
        <v>1.3</v>
      </c>
      <c r="AF166" s="181">
        <v>1.3</v>
      </c>
      <c r="AG166" s="101" t="str">
        <f t="shared" si="29"/>
        <v/>
      </c>
      <c r="AH166" s="191">
        <f>5.5</f>
        <v>5.5</v>
      </c>
      <c r="AI166" s="69">
        <f t="shared" si="30"/>
        <v>6</v>
      </c>
    </row>
    <row r="167" spans="1:35" s="69" customFormat="1" ht="58.5" x14ac:dyDescent="0.3">
      <c r="A167" s="130" t="s">
        <v>475</v>
      </c>
      <c r="B167" s="131" t="s">
        <v>476</v>
      </c>
      <c r="C167" s="132" t="s">
        <v>14</v>
      </c>
      <c r="D167" s="133">
        <v>1</v>
      </c>
      <c r="E167" s="75"/>
      <c r="F167" s="75"/>
      <c r="G167" s="75"/>
      <c r="H167" s="75" t="s">
        <v>15</v>
      </c>
      <c r="I167" s="75">
        <v>430876.81</v>
      </c>
      <c r="J167" s="75">
        <v>430876.81</v>
      </c>
      <c r="K167" s="137" t="s">
        <v>477</v>
      </c>
      <c r="L167" s="73"/>
      <c r="M167" s="46">
        <v>1</v>
      </c>
      <c r="N167" s="46">
        <v>0</v>
      </c>
      <c r="O167" s="46">
        <v>430876.81</v>
      </c>
      <c r="P167" s="98"/>
      <c r="Q167" s="23" t="s">
        <v>1443</v>
      </c>
      <c r="R167" s="24" t="s">
        <v>476</v>
      </c>
      <c r="S167" s="25" t="s">
        <v>14</v>
      </c>
      <c r="T167" s="26">
        <v>1</v>
      </c>
      <c r="U167" s="26">
        <v>1</v>
      </c>
      <c r="V167" s="26">
        <f t="shared" ref="V167:V176" si="31">I167</f>
        <v>430876.81</v>
      </c>
      <c r="W167" s="127">
        <f t="shared" si="23"/>
        <v>0</v>
      </c>
      <c r="X167" s="127">
        <f t="shared" si="24"/>
        <v>1</v>
      </c>
      <c r="Y167" s="127">
        <f t="shared" si="25"/>
        <v>0</v>
      </c>
      <c r="Z167" s="127">
        <f t="shared" si="27"/>
        <v>430876.81</v>
      </c>
      <c r="AA167" s="33" t="s">
        <v>15</v>
      </c>
      <c r="AB167" s="36" t="s">
        <v>16</v>
      </c>
      <c r="AC167" s="181">
        <f t="shared" si="28"/>
        <v>1</v>
      </c>
      <c r="AD167" s="181">
        <f t="shared" si="26"/>
        <v>430876.81</v>
      </c>
      <c r="AE167" s="181">
        <v>1.3</v>
      </c>
      <c r="AF167" s="181">
        <v>1.3</v>
      </c>
      <c r="AG167" s="101" t="str">
        <f t="shared" si="29"/>
        <v/>
      </c>
      <c r="AH167" s="194">
        <v>1</v>
      </c>
      <c r="AI167" s="69">
        <f t="shared" si="30"/>
        <v>1</v>
      </c>
    </row>
    <row r="168" spans="1:35" s="69" customFormat="1" ht="39" x14ac:dyDescent="0.3">
      <c r="A168" s="130" t="s">
        <v>478</v>
      </c>
      <c r="B168" s="131" t="s">
        <v>479</v>
      </c>
      <c r="C168" s="132" t="s">
        <v>81</v>
      </c>
      <c r="D168" s="133">
        <v>1</v>
      </c>
      <c r="E168" s="75"/>
      <c r="F168" s="75"/>
      <c r="G168" s="75"/>
      <c r="H168" s="75" t="s">
        <v>15</v>
      </c>
      <c r="I168" s="75">
        <v>29563.21</v>
      </c>
      <c r="J168" s="75">
        <v>29563.21</v>
      </c>
      <c r="K168" s="137" t="s">
        <v>480</v>
      </c>
      <c r="L168" s="73"/>
      <c r="M168" s="46">
        <v>1</v>
      </c>
      <c r="N168" s="46">
        <v>0</v>
      </c>
      <c r="O168" s="46">
        <v>29563.21</v>
      </c>
      <c r="P168" s="98"/>
      <c r="Q168" s="23" t="s">
        <v>1444</v>
      </c>
      <c r="R168" s="24" t="s">
        <v>479</v>
      </c>
      <c r="S168" s="25" t="s">
        <v>81</v>
      </c>
      <c r="T168" s="26">
        <v>1</v>
      </c>
      <c r="U168" s="26">
        <v>1</v>
      </c>
      <c r="V168" s="26">
        <f t="shared" si="31"/>
        <v>29563.21</v>
      </c>
      <c r="W168" s="127">
        <f t="shared" si="23"/>
        <v>0</v>
      </c>
      <c r="X168" s="127">
        <f t="shared" si="24"/>
        <v>1</v>
      </c>
      <c r="Y168" s="127">
        <f t="shared" si="25"/>
        <v>0</v>
      </c>
      <c r="Z168" s="127">
        <f t="shared" si="27"/>
        <v>29563.21</v>
      </c>
      <c r="AA168" s="33" t="s">
        <v>15</v>
      </c>
      <c r="AB168" s="36" t="s">
        <v>16</v>
      </c>
      <c r="AC168" s="181">
        <f t="shared" si="28"/>
        <v>1</v>
      </c>
      <c r="AD168" s="181">
        <f t="shared" si="26"/>
        <v>29563.21</v>
      </c>
      <c r="AE168" s="181">
        <v>1.3</v>
      </c>
      <c r="AF168" s="181">
        <v>1.3</v>
      </c>
      <c r="AG168" s="101" t="str">
        <f t="shared" si="29"/>
        <v/>
      </c>
      <c r="AH168" s="194">
        <v>1</v>
      </c>
      <c r="AI168" s="69">
        <f t="shared" si="30"/>
        <v>1</v>
      </c>
    </row>
    <row r="169" spans="1:35" s="69" customFormat="1" ht="33" x14ac:dyDescent="0.3">
      <c r="A169" s="130" t="s">
        <v>481</v>
      </c>
      <c r="B169" s="131" t="s">
        <v>482</v>
      </c>
      <c r="C169" s="132" t="s">
        <v>81</v>
      </c>
      <c r="D169" s="133">
        <v>1</v>
      </c>
      <c r="E169" s="75"/>
      <c r="F169" s="75"/>
      <c r="G169" s="75"/>
      <c r="H169" s="75" t="s">
        <v>15</v>
      </c>
      <c r="I169" s="75">
        <v>1061152.75</v>
      </c>
      <c r="J169" s="75">
        <v>1061152.75</v>
      </c>
      <c r="K169" s="137" t="s">
        <v>483</v>
      </c>
      <c r="L169" s="73"/>
      <c r="M169" s="46">
        <v>1</v>
      </c>
      <c r="N169" s="46">
        <v>0</v>
      </c>
      <c r="O169" s="46">
        <v>1061152.75</v>
      </c>
      <c r="P169" s="98"/>
      <c r="Q169" s="23" t="s">
        <v>1408</v>
      </c>
      <c r="R169" s="24" t="s">
        <v>482</v>
      </c>
      <c r="S169" s="25" t="s">
        <v>81</v>
      </c>
      <c r="T169" s="26">
        <v>1</v>
      </c>
      <c r="U169" s="26">
        <v>1</v>
      </c>
      <c r="V169" s="26">
        <f t="shared" si="31"/>
        <v>1061152.75</v>
      </c>
      <c r="W169" s="127">
        <f t="shared" si="23"/>
        <v>0</v>
      </c>
      <c r="X169" s="127">
        <f t="shared" si="24"/>
        <v>1</v>
      </c>
      <c r="Y169" s="127">
        <f t="shared" si="25"/>
        <v>0</v>
      </c>
      <c r="Z169" s="127">
        <f t="shared" si="27"/>
        <v>1061152.75</v>
      </c>
      <c r="AA169" s="33" t="s">
        <v>15</v>
      </c>
      <c r="AB169" s="36" t="s">
        <v>16</v>
      </c>
      <c r="AC169" s="181">
        <f t="shared" si="28"/>
        <v>1</v>
      </c>
      <c r="AD169" s="181">
        <f t="shared" si="26"/>
        <v>1061152.75</v>
      </c>
      <c r="AE169" s="181">
        <v>1.3</v>
      </c>
      <c r="AF169" s="181">
        <v>1.3</v>
      </c>
      <c r="AG169" s="101" t="str">
        <f t="shared" si="29"/>
        <v/>
      </c>
      <c r="AH169" s="194">
        <v>1</v>
      </c>
      <c r="AI169" s="69">
        <f t="shared" si="30"/>
        <v>1</v>
      </c>
    </row>
    <row r="170" spans="1:35" s="69" customFormat="1" ht="33" x14ac:dyDescent="0.3">
      <c r="A170" s="130" t="s">
        <v>484</v>
      </c>
      <c r="B170" s="131" t="s">
        <v>485</v>
      </c>
      <c r="C170" s="132" t="s">
        <v>81</v>
      </c>
      <c r="D170" s="133">
        <v>1</v>
      </c>
      <c r="E170" s="75"/>
      <c r="F170" s="75"/>
      <c r="G170" s="75"/>
      <c r="H170" s="75" t="s">
        <v>15</v>
      </c>
      <c r="I170" s="75">
        <v>2431046.88</v>
      </c>
      <c r="J170" s="75">
        <v>2431046.88</v>
      </c>
      <c r="K170" s="137" t="s">
        <v>486</v>
      </c>
      <c r="L170" s="73"/>
      <c r="M170" s="46">
        <v>1</v>
      </c>
      <c r="N170" s="46">
        <v>0</v>
      </c>
      <c r="O170" s="46">
        <v>2431046.88</v>
      </c>
      <c r="P170" s="98"/>
      <c r="Q170" s="23" t="s">
        <v>1409</v>
      </c>
      <c r="R170" s="24" t="s">
        <v>485</v>
      </c>
      <c r="S170" s="25" t="s">
        <v>81</v>
      </c>
      <c r="T170" s="26">
        <v>1</v>
      </c>
      <c r="U170" s="26">
        <v>1</v>
      </c>
      <c r="V170" s="26">
        <f t="shared" si="31"/>
        <v>2431046.88</v>
      </c>
      <c r="W170" s="127">
        <f t="shared" si="23"/>
        <v>0</v>
      </c>
      <c r="X170" s="127">
        <f t="shared" si="24"/>
        <v>1</v>
      </c>
      <c r="Y170" s="127">
        <f t="shared" si="25"/>
        <v>0</v>
      </c>
      <c r="Z170" s="127">
        <f t="shared" si="27"/>
        <v>2431046.88</v>
      </c>
      <c r="AA170" s="33" t="s">
        <v>15</v>
      </c>
      <c r="AB170" s="36" t="s">
        <v>16</v>
      </c>
      <c r="AC170" s="181">
        <f t="shared" si="28"/>
        <v>1</v>
      </c>
      <c r="AD170" s="181">
        <f t="shared" si="26"/>
        <v>2431046.88</v>
      </c>
      <c r="AE170" s="181">
        <v>1.3</v>
      </c>
      <c r="AF170" s="181">
        <v>1.3</v>
      </c>
      <c r="AG170" s="101" t="str">
        <f t="shared" si="29"/>
        <v/>
      </c>
      <c r="AH170" s="194">
        <v>1</v>
      </c>
      <c r="AI170" s="69">
        <f t="shared" si="30"/>
        <v>1</v>
      </c>
    </row>
    <row r="171" spans="1:35" s="69" customFormat="1" ht="33" x14ac:dyDescent="0.3">
      <c r="A171" s="134" t="s">
        <v>1312</v>
      </c>
      <c r="B171" s="135" t="s">
        <v>1313</v>
      </c>
      <c r="C171" s="204" t="s">
        <v>14</v>
      </c>
      <c r="D171" s="133"/>
      <c r="E171" s="59">
        <v>1</v>
      </c>
      <c r="F171" s="77"/>
      <c r="G171" s="77"/>
      <c r="H171" s="77" t="s">
        <v>15</v>
      </c>
      <c r="I171" s="77">
        <v>87950.62</v>
      </c>
      <c r="J171" s="59">
        <v>87950.62</v>
      </c>
      <c r="K171" s="92"/>
      <c r="L171" s="73"/>
      <c r="M171" s="46">
        <v>1</v>
      </c>
      <c r="N171" s="46">
        <v>0</v>
      </c>
      <c r="O171" s="46">
        <v>87950.62</v>
      </c>
      <c r="P171" s="98"/>
      <c r="Q171" s="23" t="s">
        <v>1410</v>
      </c>
      <c r="R171" s="24" t="s">
        <v>1495</v>
      </c>
      <c r="S171" s="25" t="s">
        <v>14</v>
      </c>
      <c r="T171" s="26">
        <v>0</v>
      </c>
      <c r="U171" s="26">
        <v>1</v>
      </c>
      <c r="V171" s="26">
        <f t="shared" si="31"/>
        <v>87950.62</v>
      </c>
      <c r="W171" s="127">
        <f t="shared" si="23"/>
        <v>0</v>
      </c>
      <c r="X171" s="127">
        <f t="shared" si="24"/>
        <v>1</v>
      </c>
      <c r="Y171" s="127">
        <f t="shared" si="25"/>
        <v>0</v>
      </c>
      <c r="Z171" s="127">
        <f t="shared" si="27"/>
        <v>87950.62</v>
      </c>
      <c r="AA171" s="27"/>
      <c r="AB171" s="36" t="s">
        <v>16</v>
      </c>
      <c r="AC171" s="181">
        <f t="shared" si="28"/>
        <v>1</v>
      </c>
      <c r="AD171" s="181">
        <f t="shared" si="26"/>
        <v>87950.62</v>
      </c>
      <c r="AE171" s="181">
        <v>1.3</v>
      </c>
      <c r="AF171" s="181">
        <v>1.3</v>
      </c>
      <c r="AG171" s="101" t="str">
        <f t="shared" si="29"/>
        <v/>
      </c>
      <c r="AH171" s="190">
        <v>1</v>
      </c>
      <c r="AI171" s="69">
        <f t="shared" si="30"/>
        <v>1</v>
      </c>
    </row>
    <row r="172" spans="1:35" s="69" customFormat="1" ht="33" x14ac:dyDescent="0.3">
      <c r="A172" s="134" t="s">
        <v>1314</v>
      </c>
      <c r="B172" s="135" t="s">
        <v>1315</v>
      </c>
      <c r="C172" s="204" t="s">
        <v>30</v>
      </c>
      <c r="D172" s="133"/>
      <c r="E172" s="59">
        <v>24</v>
      </c>
      <c r="F172" s="77"/>
      <c r="G172" s="77"/>
      <c r="H172" s="77" t="s">
        <v>15</v>
      </c>
      <c r="I172" s="77">
        <v>4257.93</v>
      </c>
      <c r="J172" s="59">
        <v>102190.32</v>
      </c>
      <c r="K172" s="92"/>
      <c r="L172" s="73"/>
      <c r="M172" s="46">
        <v>24</v>
      </c>
      <c r="N172" s="46">
        <v>0</v>
      </c>
      <c r="O172" s="46">
        <v>102190.32</v>
      </c>
      <c r="P172" s="98"/>
      <c r="Q172" s="23" t="s">
        <v>1411</v>
      </c>
      <c r="R172" s="24" t="s">
        <v>1496</v>
      </c>
      <c r="S172" s="25" t="s">
        <v>30</v>
      </c>
      <c r="T172" s="26">
        <v>0</v>
      </c>
      <c r="U172" s="26">
        <v>24</v>
      </c>
      <c r="V172" s="26">
        <f t="shared" si="31"/>
        <v>4257.93</v>
      </c>
      <c r="W172" s="127">
        <f t="shared" si="23"/>
        <v>0</v>
      </c>
      <c r="X172" s="127">
        <f t="shared" si="24"/>
        <v>24</v>
      </c>
      <c r="Y172" s="127">
        <f t="shared" si="25"/>
        <v>0</v>
      </c>
      <c r="Z172" s="127">
        <f t="shared" si="27"/>
        <v>102190.32</v>
      </c>
      <c r="AA172" s="27"/>
      <c r="AB172" s="36" t="s">
        <v>16</v>
      </c>
      <c r="AC172" s="181">
        <f t="shared" si="28"/>
        <v>24</v>
      </c>
      <c r="AD172" s="181">
        <f t="shared" si="26"/>
        <v>102190.32</v>
      </c>
      <c r="AE172" s="181">
        <v>1.3</v>
      </c>
      <c r="AF172" s="181">
        <v>1.3</v>
      </c>
      <c r="AG172" s="101" t="str">
        <f t="shared" si="29"/>
        <v/>
      </c>
      <c r="AH172" s="190">
        <v>24</v>
      </c>
      <c r="AI172" s="69">
        <f t="shared" si="30"/>
        <v>24</v>
      </c>
    </row>
    <row r="173" spans="1:35" s="69" customFormat="1" ht="33" x14ac:dyDescent="0.3">
      <c r="A173" s="134" t="s">
        <v>1316</v>
      </c>
      <c r="B173" s="135" t="s">
        <v>1317</v>
      </c>
      <c r="C173" s="204" t="s">
        <v>513</v>
      </c>
      <c r="D173" s="133"/>
      <c r="E173" s="59">
        <v>1</v>
      </c>
      <c r="F173" s="77"/>
      <c r="G173" s="205"/>
      <c r="H173" s="205" t="s">
        <v>15</v>
      </c>
      <c r="I173" s="77">
        <v>200835.11</v>
      </c>
      <c r="J173" s="59">
        <v>200835.11</v>
      </c>
      <c r="K173" s="92"/>
      <c r="L173" s="73"/>
      <c r="M173" s="46">
        <v>1</v>
      </c>
      <c r="N173" s="46">
        <v>0</v>
      </c>
      <c r="O173" s="46">
        <v>200835.11</v>
      </c>
      <c r="P173" s="98"/>
      <c r="Q173" s="23" t="s">
        <v>1445</v>
      </c>
      <c r="R173" s="24" t="s">
        <v>1497</v>
      </c>
      <c r="S173" s="25" t="s">
        <v>513</v>
      </c>
      <c r="T173" s="26">
        <v>0</v>
      </c>
      <c r="U173" s="26">
        <v>1</v>
      </c>
      <c r="V173" s="26">
        <f t="shared" si="31"/>
        <v>200835.11</v>
      </c>
      <c r="W173" s="127">
        <f t="shared" si="23"/>
        <v>0</v>
      </c>
      <c r="X173" s="127">
        <f t="shared" si="24"/>
        <v>1</v>
      </c>
      <c r="Y173" s="127">
        <f t="shared" si="25"/>
        <v>0</v>
      </c>
      <c r="Z173" s="127">
        <f t="shared" si="27"/>
        <v>200835.11</v>
      </c>
      <c r="AA173" s="27"/>
      <c r="AB173" s="36" t="s">
        <v>16</v>
      </c>
      <c r="AC173" s="181">
        <f t="shared" si="28"/>
        <v>1</v>
      </c>
      <c r="AD173" s="181">
        <f t="shared" si="26"/>
        <v>200835.11</v>
      </c>
      <c r="AE173" s="181">
        <v>1.3</v>
      </c>
      <c r="AF173" s="181">
        <v>1.3</v>
      </c>
      <c r="AG173" s="101" t="str">
        <f t="shared" si="29"/>
        <v/>
      </c>
      <c r="AH173" s="190">
        <v>1</v>
      </c>
      <c r="AI173" s="69">
        <f t="shared" si="30"/>
        <v>1</v>
      </c>
    </row>
    <row r="174" spans="1:35" ht="33" x14ac:dyDescent="0.3">
      <c r="A174" s="134" t="s">
        <v>1318</v>
      </c>
      <c r="B174" s="135" t="s">
        <v>1319</v>
      </c>
      <c r="C174" s="204" t="s">
        <v>412</v>
      </c>
      <c r="D174" s="133"/>
      <c r="E174" s="78"/>
      <c r="F174" s="116">
        <v>150400</v>
      </c>
      <c r="G174" s="116"/>
      <c r="H174" s="116">
        <v>154935.98000000001</v>
      </c>
      <c r="I174" s="167">
        <v>16.21</v>
      </c>
      <c r="J174" s="62">
        <v>2511512.2400000002</v>
      </c>
      <c r="K174" s="93"/>
      <c r="M174" s="46">
        <v>150350.57999999999</v>
      </c>
      <c r="N174" s="46">
        <v>0</v>
      </c>
      <c r="O174" s="46">
        <v>2437182.9</v>
      </c>
      <c r="P174" s="98"/>
      <c r="Q174" s="23" t="s">
        <v>1383</v>
      </c>
      <c r="R174" s="24" t="s">
        <v>1319</v>
      </c>
      <c r="S174" s="25" t="s">
        <v>412</v>
      </c>
      <c r="T174" s="26">
        <v>0</v>
      </c>
      <c r="U174" s="26">
        <v>154935.98000000001</v>
      </c>
      <c r="V174" s="26">
        <f t="shared" si="31"/>
        <v>16.21</v>
      </c>
      <c r="W174" s="127">
        <f t="shared" si="23"/>
        <v>0</v>
      </c>
      <c r="X174" s="127">
        <f t="shared" si="24"/>
        <v>150350.57999999999</v>
      </c>
      <c r="Y174" s="127">
        <f t="shared" si="25"/>
        <v>0</v>
      </c>
      <c r="Z174" s="127">
        <f t="shared" si="27"/>
        <v>2437182.9</v>
      </c>
      <c r="AA174" s="27"/>
      <c r="AB174" s="36" t="s">
        <v>16</v>
      </c>
      <c r="AC174" s="181">
        <f t="shared" si="28"/>
        <v>154935.98000000001</v>
      </c>
      <c r="AD174" s="181">
        <f t="shared" si="26"/>
        <v>2511512.2400000002</v>
      </c>
      <c r="AE174" s="181">
        <v>1.3</v>
      </c>
      <c r="AF174" s="181">
        <v>1.3</v>
      </c>
      <c r="AG174" s="101" t="str">
        <f t="shared" si="29"/>
        <v/>
      </c>
      <c r="AH174" s="194">
        <v>150350.57999999999</v>
      </c>
      <c r="AI174" s="69">
        <f t="shared" si="30"/>
        <v>150400</v>
      </c>
    </row>
    <row r="175" spans="1:35" ht="33" x14ac:dyDescent="0.3">
      <c r="A175" s="134" t="s">
        <v>1320</v>
      </c>
      <c r="B175" s="135" t="s">
        <v>1321</v>
      </c>
      <c r="C175" s="204" t="s">
        <v>325</v>
      </c>
      <c r="D175" s="133"/>
      <c r="E175" s="78"/>
      <c r="F175" s="62">
        <v>18</v>
      </c>
      <c r="G175" s="62"/>
      <c r="H175" s="62" t="s">
        <v>15</v>
      </c>
      <c r="I175" s="167">
        <v>79588.210000000006</v>
      </c>
      <c r="J175" s="62">
        <v>1432587.78</v>
      </c>
      <c r="K175" s="93"/>
      <c r="M175" s="46">
        <v>18</v>
      </c>
      <c r="N175" s="46">
        <v>0</v>
      </c>
      <c r="O175" s="46">
        <v>1432587.78</v>
      </c>
      <c r="P175" s="98"/>
      <c r="Q175" s="23" t="s">
        <v>1384</v>
      </c>
      <c r="R175" s="24" t="s">
        <v>1321</v>
      </c>
      <c r="S175" s="25" t="s">
        <v>325</v>
      </c>
      <c r="T175" s="26">
        <v>0</v>
      </c>
      <c r="U175" s="26">
        <v>18</v>
      </c>
      <c r="V175" s="26">
        <f t="shared" si="31"/>
        <v>79588.210000000006</v>
      </c>
      <c r="W175" s="127">
        <f t="shared" si="23"/>
        <v>0</v>
      </c>
      <c r="X175" s="127">
        <f t="shared" si="24"/>
        <v>18</v>
      </c>
      <c r="Y175" s="127">
        <f t="shared" si="25"/>
        <v>0</v>
      </c>
      <c r="Z175" s="127">
        <f t="shared" si="27"/>
        <v>1432587.78</v>
      </c>
      <c r="AA175" s="27"/>
      <c r="AB175" s="36" t="s">
        <v>16</v>
      </c>
      <c r="AC175" s="181">
        <f t="shared" si="28"/>
        <v>18</v>
      </c>
      <c r="AD175" s="181">
        <f t="shared" si="26"/>
        <v>1432587.78</v>
      </c>
      <c r="AE175" s="181">
        <v>1.3</v>
      </c>
      <c r="AF175" s="181">
        <v>1.3</v>
      </c>
      <c r="AG175" s="101" t="str">
        <f t="shared" si="29"/>
        <v/>
      </c>
      <c r="AH175" s="194">
        <v>18</v>
      </c>
      <c r="AI175" s="69">
        <f t="shared" si="30"/>
        <v>18</v>
      </c>
    </row>
    <row r="176" spans="1:35" ht="39" x14ac:dyDescent="0.3">
      <c r="A176" s="134" t="s">
        <v>1322</v>
      </c>
      <c r="B176" s="135" t="s">
        <v>1323</v>
      </c>
      <c r="C176" s="204" t="s">
        <v>325</v>
      </c>
      <c r="D176" s="133"/>
      <c r="E176" s="78"/>
      <c r="F176" s="62">
        <v>2</v>
      </c>
      <c r="G176" s="62"/>
      <c r="H176" s="62">
        <v>3</v>
      </c>
      <c r="I176" s="167">
        <v>120491.2</v>
      </c>
      <c r="J176" s="62">
        <v>361473.6</v>
      </c>
      <c r="K176" s="93"/>
      <c r="M176" s="46">
        <v>3</v>
      </c>
      <c r="N176" s="46">
        <v>0</v>
      </c>
      <c r="O176" s="46">
        <v>361473.6</v>
      </c>
      <c r="P176" s="98"/>
      <c r="Q176" s="23" t="s">
        <v>1385</v>
      </c>
      <c r="R176" s="24" t="s">
        <v>1323</v>
      </c>
      <c r="S176" s="25" t="s">
        <v>325</v>
      </c>
      <c r="T176" s="26">
        <v>0</v>
      </c>
      <c r="U176" s="26">
        <v>3</v>
      </c>
      <c r="V176" s="26">
        <f t="shared" si="31"/>
        <v>120491.2</v>
      </c>
      <c r="W176" s="127">
        <f t="shared" si="23"/>
        <v>0</v>
      </c>
      <c r="X176" s="127">
        <f t="shared" si="24"/>
        <v>3</v>
      </c>
      <c r="Y176" s="127">
        <f t="shared" si="25"/>
        <v>0</v>
      </c>
      <c r="Z176" s="127">
        <f t="shared" si="27"/>
        <v>361473.6</v>
      </c>
      <c r="AA176" s="27"/>
      <c r="AB176" s="36" t="s">
        <v>16</v>
      </c>
      <c r="AC176" s="181">
        <f t="shared" si="28"/>
        <v>3</v>
      </c>
      <c r="AD176" s="181">
        <f t="shared" si="26"/>
        <v>361473.6</v>
      </c>
      <c r="AE176" s="181">
        <v>1.3</v>
      </c>
      <c r="AF176" s="181">
        <v>1.3</v>
      </c>
      <c r="AG176" s="101" t="str">
        <f t="shared" si="29"/>
        <v>超估</v>
      </c>
      <c r="AH176" s="194">
        <v>3</v>
      </c>
      <c r="AI176" s="69">
        <f t="shared" si="30"/>
        <v>2</v>
      </c>
    </row>
    <row r="177" spans="1:35" s="69" customFormat="1" ht="33" x14ac:dyDescent="0.3">
      <c r="A177" s="79" t="s">
        <v>487</v>
      </c>
      <c r="B177" s="80" t="s">
        <v>488</v>
      </c>
      <c r="C177" s="81" t="s">
        <v>14</v>
      </c>
      <c r="D177" s="82">
        <v>1</v>
      </c>
      <c r="E177" s="82"/>
      <c r="F177" s="82"/>
      <c r="G177" s="84"/>
      <c r="H177" s="84" t="s">
        <v>15</v>
      </c>
      <c r="I177" s="82"/>
      <c r="J177" s="82">
        <v>25916103.719999999</v>
      </c>
      <c r="K177" s="94" t="s">
        <v>15</v>
      </c>
      <c r="L177" s="73"/>
      <c r="M177" s="45">
        <v>1</v>
      </c>
      <c r="N177" s="45">
        <v>735448.55999999982</v>
      </c>
      <c r="O177" s="45">
        <v>23597252.879999999</v>
      </c>
      <c r="P177" s="98"/>
      <c r="Q177" s="18" t="s">
        <v>1386</v>
      </c>
      <c r="R177" s="19" t="s">
        <v>488</v>
      </c>
      <c r="S177" s="20" t="s">
        <v>14</v>
      </c>
      <c r="T177" s="21">
        <v>1</v>
      </c>
      <c r="U177" s="21"/>
      <c r="V177" s="21">
        <f>SUMIFS(AD:AD,AE:AE,AE177)</f>
        <v>25916103.719999999</v>
      </c>
      <c r="W177" s="21">
        <f t="shared" ref="W177:X177" si="32">IF(Y177=0,0,1)</f>
        <v>1</v>
      </c>
      <c r="X177" s="21">
        <f t="shared" si="32"/>
        <v>1</v>
      </c>
      <c r="Y177" s="21">
        <f>SUMIFS(Y:Y,AF:AF,AE177)</f>
        <v>797783.62</v>
      </c>
      <c r="Z177" s="21">
        <f>SUMIFS(Z:Z,AF:AF,AE177)</f>
        <v>24395036.5</v>
      </c>
      <c r="AA177" s="22" t="s">
        <v>15</v>
      </c>
      <c r="AB177" s="43" t="s">
        <v>16</v>
      </c>
      <c r="AC177" s="181">
        <f t="shared" si="28"/>
        <v>1</v>
      </c>
      <c r="AD177" s="184"/>
      <c r="AE177" s="184">
        <v>1.4</v>
      </c>
      <c r="AF177" s="184"/>
      <c r="AG177" s="101" t="str">
        <f t="shared" si="29"/>
        <v/>
      </c>
      <c r="AH177" s="190">
        <v>1</v>
      </c>
      <c r="AI177" s="69">
        <f t="shared" si="30"/>
        <v>1</v>
      </c>
    </row>
    <row r="178" spans="1:35" s="69" customFormat="1" ht="39" x14ac:dyDescent="0.3">
      <c r="A178" s="130" t="s">
        <v>489</v>
      </c>
      <c r="B178" s="131" t="s">
        <v>392</v>
      </c>
      <c r="C178" s="132" t="s">
        <v>23</v>
      </c>
      <c r="D178" s="133">
        <v>20</v>
      </c>
      <c r="E178" s="75"/>
      <c r="F178" s="75"/>
      <c r="G178" s="75"/>
      <c r="H178" s="75" t="s">
        <v>15</v>
      </c>
      <c r="I178" s="75">
        <v>3115.13</v>
      </c>
      <c r="J178" s="75">
        <v>62302.6</v>
      </c>
      <c r="K178" s="91" t="s">
        <v>114</v>
      </c>
      <c r="L178" s="73"/>
      <c r="M178" s="46">
        <v>19.45</v>
      </c>
      <c r="N178" s="46">
        <v>0</v>
      </c>
      <c r="O178" s="46">
        <v>60589.279999999999</v>
      </c>
      <c r="P178" s="98"/>
      <c r="Q178" s="23" t="s">
        <v>1421</v>
      </c>
      <c r="R178" s="24" t="s">
        <v>392</v>
      </c>
      <c r="S178" s="25" t="s">
        <v>23</v>
      </c>
      <c r="T178" s="26">
        <v>20</v>
      </c>
      <c r="U178" s="26">
        <v>20</v>
      </c>
      <c r="V178" s="26">
        <f t="shared" ref="V178:V201" si="33">I178</f>
        <v>3115.13</v>
      </c>
      <c r="W178" s="127">
        <f t="shared" ref="W178:W201" si="34">AH178-M178</f>
        <v>0</v>
      </c>
      <c r="X178" s="127">
        <f t="shared" ref="X178:X241" si="35">W178+M178</f>
        <v>19.45</v>
      </c>
      <c r="Y178" s="127">
        <f t="shared" ref="Y178:Y201" si="36">Z178-O178</f>
        <v>0</v>
      </c>
      <c r="Z178" s="127">
        <f t="shared" si="27"/>
        <v>60589.279999999999</v>
      </c>
      <c r="AA178" s="33" t="s">
        <v>15</v>
      </c>
      <c r="AB178" s="36" t="s">
        <v>16</v>
      </c>
      <c r="AC178" s="181">
        <f t="shared" si="28"/>
        <v>20</v>
      </c>
      <c r="AD178" s="181">
        <f t="shared" ref="AD178:AD219" si="37">ROUND(V178*AC178,2)</f>
        <v>62302.6</v>
      </c>
      <c r="AE178" s="181">
        <v>1.4</v>
      </c>
      <c r="AF178" s="181">
        <v>1.4</v>
      </c>
      <c r="AG178" s="101" t="str">
        <f t="shared" si="29"/>
        <v/>
      </c>
      <c r="AH178" s="194">
        <v>19.45</v>
      </c>
      <c r="AI178" s="69">
        <f t="shared" si="30"/>
        <v>20</v>
      </c>
    </row>
    <row r="179" spans="1:35" s="69" customFormat="1" ht="39" x14ac:dyDescent="0.3">
      <c r="A179" s="130" t="s">
        <v>490</v>
      </c>
      <c r="B179" s="131" t="s">
        <v>116</v>
      </c>
      <c r="C179" s="132" t="s">
        <v>23</v>
      </c>
      <c r="D179" s="133">
        <v>354</v>
      </c>
      <c r="E179" s="75"/>
      <c r="F179" s="75"/>
      <c r="G179" s="75"/>
      <c r="H179" s="75" t="s">
        <v>15</v>
      </c>
      <c r="I179" s="75">
        <v>3321.13</v>
      </c>
      <c r="J179" s="75">
        <v>1175680.02</v>
      </c>
      <c r="K179" s="91" t="s">
        <v>117</v>
      </c>
      <c r="L179" s="73"/>
      <c r="M179" s="46">
        <v>326.60000000000002</v>
      </c>
      <c r="N179" s="46">
        <v>0</v>
      </c>
      <c r="O179" s="46">
        <v>1084681.06</v>
      </c>
      <c r="P179" s="98"/>
      <c r="Q179" s="23" t="s">
        <v>1426</v>
      </c>
      <c r="R179" s="24" t="s">
        <v>116</v>
      </c>
      <c r="S179" s="25" t="s">
        <v>23</v>
      </c>
      <c r="T179" s="26">
        <v>354</v>
      </c>
      <c r="U179" s="26">
        <v>354</v>
      </c>
      <c r="V179" s="26">
        <f t="shared" si="33"/>
        <v>3321.13</v>
      </c>
      <c r="W179" s="26">
        <f t="shared" si="34"/>
        <v>0</v>
      </c>
      <c r="X179" s="127">
        <f t="shared" si="35"/>
        <v>326.60000000000002</v>
      </c>
      <c r="Y179" s="127">
        <f t="shared" si="36"/>
        <v>0</v>
      </c>
      <c r="Z179" s="127">
        <f t="shared" si="27"/>
        <v>1084681.06</v>
      </c>
      <c r="AA179" s="33" t="s">
        <v>15</v>
      </c>
      <c r="AB179" s="36" t="s">
        <v>16</v>
      </c>
      <c r="AC179" s="181">
        <f t="shared" si="28"/>
        <v>354</v>
      </c>
      <c r="AD179" s="181">
        <f t="shared" si="37"/>
        <v>1175680.02</v>
      </c>
      <c r="AE179" s="181">
        <v>1.4</v>
      </c>
      <c r="AF179" s="181">
        <v>1.4</v>
      </c>
      <c r="AG179" s="101" t="str">
        <f t="shared" si="29"/>
        <v/>
      </c>
      <c r="AH179" s="194">
        <v>326.60000000000002</v>
      </c>
      <c r="AI179" s="69">
        <f t="shared" si="30"/>
        <v>354</v>
      </c>
    </row>
    <row r="180" spans="1:35" s="69" customFormat="1" ht="39" x14ac:dyDescent="0.3">
      <c r="A180" s="130" t="s">
        <v>491</v>
      </c>
      <c r="B180" s="131" t="s">
        <v>395</v>
      </c>
      <c r="C180" s="132" t="s">
        <v>23</v>
      </c>
      <c r="D180" s="133">
        <v>690</v>
      </c>
      <c r="E180" s="203"/>
      <c r="F180" s="203"/>
      <c r="G180" s="203"/>
      <c r="H180" s="203" t="s">
        <v>15</v>
      </c>
      <c r="I180" s="75">
        <v>3643.73</v>
      </c>
      <c r="J180" s="75">
        <v>0</v>
      </c>
      <c r="K180" s="91" t="s">
        <v>396</v>
      </c>
      <c r="L180" s="73"/>
      <c r="M180" s="46">
        <v>0</v>
      </c>
      <c r="N180" s="46">
        <v>0</v>
      </c>
      <c r="O180" s="46">
        <v>0</v>
      </c>
      <c r="P180" s="98"/>
      <c r="Q180" s="23" t="s">
        <v>1402</v>
      </c>
      <c r="R180" s="24" t="s">
        <v>395</v>
      </c>
      <c r="S180" s="25" t="s">
        <v>23</v>
      </c>
      <c r="T180" s="26">
        <v>690</v>
      </c>
      <c r="U180" s="26">
        <v>0</v>
      </c>
      <c r="V180" s="26">
        <f t="shared" si="33"/>
        <v>3643.73</v>
      </c>
      <c r="W180" s="127">
        <f t="shared" si="34"/>
        <v>0</v>
      </c>
      <c r="X180" s="127">
        <f t="shared" si="35"/>
        <v>0</v>
      </c>
      <c r="Y180" s="127">
        <f t="shared" si="36"/>
        <v>0</v>
      </c>
      <c r="Z180" s="127">
        <f t="shared" si="27"/>
        <v>0</v>
      </c>
      <c r="AA180" s="33" t="s">
        <v>15</v>
      </c>
      <c r="AB180" s="36" t="s">
        <v>16</v>
      </c>
      <c r="AC180" s="181">
        <f t="shared" si="28"/>
        <v>0</v>
      </c>
      <c r="AD180" s="181">
        <f t="shared" si="37"/>
        <v>0</v>
      </c>
      <c r="AE180" s="181">
        <v>1.4</v>
      </c>
      <c r="AF180" s="181">
        <v>1.4</v>
      </c>
      <c r="AG180" s="101" t="str">
        <f t="shared" si="29"/>
        <v/>
      </c>
      <c r="AH180" s="194">
        <v>0</v>
      </c>
      <c r="AI180" s="69">
        <f t="shared" si="30"/>
        <v>690</v>
      </c>
    </row>
    <row r="181" spans="1:35" s="69" customFormat="1" ht="33" customHeight="1" x14ac:dyDescent="0.3">
      <c r="A181" s="130" t="s">
        <v>492</v>
      </c>
      <c r="B181" s="131" t="s">
        <v>493</v>
      </c>
      <c r="C181" s="132" t="s">
        <v>23</v>
      </c>
      <c r="D181" s="133">
        <v>1065</v>
      </c>
      <c r="E181" s="203"/>
      <c r="F181" s="203"/>
      <c r="G181" s="203"/>
      <c r="H181" s="203">
        <v>1900.83</v>
      </c>
      <c r="I181" s="75">
        <v>200</v>
      </c>
      <c r="J181" s="75">
        <v>380166</v>
      </c>
      <c r="K181" s="91" t="s">
        <v>494</v>
      </c>
      <c r="L181" s="73"/>
      <c r="M181" s="46">
        <v>1815.71</v>
      </c>
      <c r="N181" s="46">
        <v>0</v>
      </c>
      <c r="O181" s="46">
        <v>363142</v>
      </c>
      <c r="P181" s="98"/>
      <c r="Q181" s="23" t="s">
        <v>1373</v>
      </c>
      <c r="R181" s="24" t="s">
        <v>493</v>
      </c>
      <c r="S181" s="25" t="s">
        <v>23</v>
      </c>
      <c r="T181" s="26">
        <v>1065</v>
      </c>
      <c r="U181" s="26">
        <v>1900.83</v>
      </c>
      <c r="V181" s="26">
        <f t="shared" si="33"/>
        <v>200</v>
      </c>
      <c r="W181" s="26">
        <f>AH181-M181</f>
        <v>0</v>
      </c>
      <c r="X181" s="127">
        <f t="shared" si="35"/>
        <v>1815.71</v>
      </c>
      <c r="Y181" s="127">
        <f t="shared" si="36"/>
        <v>0</v>
      </c>
      <c r="Z181" s="127">
        <f t="shared" si="27"/>
        <v>363142</v>
      </c>
      <c r="AA181" s="33" t="s">
        <v>15</v>
      </c>
      <c r="AB181" s="36" t="s">
        <v>16</v>
      </c>
      <c r="AC181" s="181">
        <f t="shared" si="28"/>
        <v>1900.83</v>
      </c>
      <c r="AD181" s="181">
        <f t="shared" si="37"/>
        <v>380166</v>
      </c>
      <c r="AE181" s="181">
        <v>1.4</v>
      </c>
      <c r="AF181" s="181">
        <v>1.4</v>
      </c>
      <c r="AG181" s="101" t="str">
        <f t="shared" si="29"/>
        <v>超估</v>
      </c>
      <c r="AH181" s="194">
        <v>1815.71</v>
      </c>
      <c r="AI181" s="69">
        <f t="shared" si="30"/>
        <v>1065</v>
      </c>
    </row>
    <row r="182" spans="1:35" s="69" customFormat="1" ht="57.75" x14ac:dyDescent="0.3">
      <c r="A182" s="130" t="s">
        <v>495</v>
      </c>
      <c r="B182" s="131" t="s">
        <v>405</v>
      </c>
      <c r="C182" s="132" t="s">
        <v>50</v>
      </c>
      <c r="D182" s="133">
        <v>1229</v>
      </c>
      <c r="E182" s="203"/>
      <c r="F182" s="203"/>
      <c r="G182" s="203"/>
      <c r="H182" s="203">
        <v>1437.49</v>
      </c>
      <c r="I182" s="75">
        <v>982.98</v>
      </c>
      <c r="J182" s="75">
        <v>1413023.92</v>
      </c>
      <c r="K182" s="91" t="s">
        <v>406</v>
      </c>
      <c r="L182" s="73"/>
      <c r="M182" s="46">
        <v>1435.8</v>
      </c>
      <c r="N182" s="46">
        <v>85322.659999999916</v>
      </c>
      <c r="O182" s="46">
        <v>1411362.68</v>
      </c>
      <c r="P182" s="98"/>
      <c r="Q182" s="23" t="s">
        <v>1393</v>
      </c>
      <c r="R182" s="24" t="s">
        <v>405</v>
      </c>
      <c r="S182" s="25" t="s">
        <v>50</v>
      </c>
      <c r="T182" s="26">
        <v>1229</v>
      </c>
      <c r="U182" s="26">
        <v>1437.49</v>
      </c>
      <c r="V182" s="26">
        <f t="shared" si="33"/>
        <v>982.98</v>
      </c>
      <c r="W182" s="243">
        <f t="shared" si="34"/>
        <v>0</v>
      </c>
      <c r="X182" s="127">
        <f t="shared" si="35"/>
        <v>1435.8</v>
      </c>
      <c r="Y182" s="127">
        <f t="shared" si="36"/>
        <v>0</v>
      </c>
      <c r="Z182" s="127">
        <f t="shared" si="27"/>
        <v>1411362.68</v>
      </c>
      <c r="AA182" s="33" t="s">
        <v>15</v>
      </c>
      <c r="AB182" s="36" t="s">
        <v>16</v>
      </c>
      <c r="AC182" s="181">
        <f t="shared" si="28"/>
        <v>1437.49</v>
      </c>
      <c r="AD182" s="181">
        <f t="shared" si="37"/>
        <v>1413023.92</v>
      </c>
      <c r="AE182" s="181">
        <v>1.4</v>
      </c>
      <c r="AF182" s="181">
        <v>1.4</v>
      </c>
      <c r="AG182" s="101" t="str">
        <f t="shared" si="29"/>
        <v>超估</v>
      </c>
      <c r="AH182" s="191">
        <f>1349+86.8</f>
        <v>1435.8</v>
      </c>
      <c r="AI182" s="69">
        <f t="shared" si="30"/>
        <v>1229</v>
      </c>
    </row>
    <row r="183" spans="1:35" s="69" customFormat="1" ht="41.25" x14ac:dyDescent="0.3">
      <c r="A183" s="130" t="s">
        <v>496</v>
      </c>
      <c r="B183" s="131" t="s">
        <v>408</v>
      </c>
      <c r="C183" s="132" t="s">
        <v>50</v>
      </c>
      <c r="D183" s="133">
        <v>285</v>
      </c>
      <c r="E183" s="203"/>
      <c r="F183" s="203"/>
      <c r="G183" s="203"/>
      <c r="H183" s="203">
        <v>685.45</v>
      </c>
      <c r="I183" s="75">
        <v>804.79</v>
      </c>
      <c r="J183" s="75">
        <v>551643.31000000006</v>
      </c>
      <c r="K183" s="91" t="s">
        <v>409</v>
      </c>
      <c r="L183" s="73"/>
      <c r="M183" s="46">
        <v>684.2</v>
      </c>
      <c r="N183" s="46">
        <v>107198.02999999997</v>
      </c>
      <c r="O183" s="46">
        <v>550637.31999999995</v>
      </c>
      <c r="P183" s="98"/>
      <c r="Q183" s="23" t="s">
        <v>1403</v>
      </c>
      <c r="R183" s="24" t="s">
        <v>408</v>
      </c>
      <c r="S183" s="25" t="s">
        <v>50</v>
      </c>
      <c r="T183" s="26">
        <v>285</v>
      </c>
      <c r="U183" s="26">
        <v>685.45</v>
      </c>
      <c r="V183" s="26">
        <f t="shared" si="33"/>
        <v>804.79</v>
      </c>
      <c r="W183" s="243">
        <f t="shared" si="34"/>
        <v>0</v>
      </c>
      <c r="X183" s="209">
        <f t="shared" si="35"/>
        <v>684.2</v>
      </c>
      <c r="Y183" s="127">
        <f t="shared" si="36"/>
        <v>0</v>
      </c>
      <c r="Z183" s="127">
        <f t="shared" si="27"/>
        <v>550637.31999999995</v>
      </c>
      <c r="AA183" s="33" t="s">
        <v>15</v>
      </c>
      <c r="AB183" s="36" t="s">
        <v>16</v>
      </c>
      <c r="AC183" s="181">
        <f t="shared" si="28"/>
        <v>685.45</v>
      </c>
      <c r="AD183" s="181">
        <f t="shared" si="37"/>
        <v>551643.31000000006</v>
      </c>
      <c r="AE183" s="181">
        <v>1.4</v>
      </c>
      <c r="AF183" s="181">
        <v>1.4</v>
      </c>
      <c r="AG183" s="101" t="str">
        <f t="shared" si="29"/>
        <v>超估</v>
      </c>
      <c r="AH183" s="191">
        <f>551+133.2</f>
        <v>684.2</v>
      </c>
      <c r="AI183" s="69">
        <f t="shared" si="30"/>
        <v>285</v>
      </c>
    </row>
    <row r="184" spans="1:35" s="69" customFormat="1" ht="39" x14ac:dyDescent="0.3">
      <c r="A184" s="130" t="s">
        <v>497</v>
      </c>
      <c r="B184" s="131" t="s">
        <v>109</v>
      </c>
      <c r="C184" s="132" t="s">
        <v>110</v>
      </c>
      <c r="D184" s="133">
        <v>13716</v>
      </c>
      <c r="E184" s="203"/>
      <c r="F184" s="203"/>
      <c r="G184" s="203"/>
      <c r="H184" s="203">
        <v>18482.54</v>
      </c>
      <c r="I184" s="75">
        <v>36.4</v>
      </c>
      <c r="J184" s="75">
        <v>672764.46</v>
      </c>
      <c r="K184" s="91" t="s">
        <v>111</v>
      </c>
      <c r="L184" s="73"/>
      <c r="M184" s="46">
        <v>18475.940000000002</v>
      </c>
      <c r="N184" s="46">
        <v>195286</v>
      </c>
      <c r="O184" s="46">
        <v>672524.22</v>
      </c>
      <c r="P184" s="98"/>
      <c r="Q184" s="23" t="s">
        <v>1427</v>
      </c>
      <c r="R184" s="24" t="s">
        <v>109</v>
      </c>
      <c r="S184" s="25" t="s">
        <v>110</v>
      </c>
      <c r="T184" s="26">
        <v>13716</v>
      </c>
      <c r="U184" s="26">
        <v>18482.54</v>
      </c>
      <c r="V184" s="26">
        <f t="shared" si="33"/>
        <v>36.4</v>
      </c>
      <c r="W184" s="199">
        <f t="shared" si="34"/>
        <v>0</v>
      </c>
      <c r="X184" s="127">
        <f t="shared" si="35"/>
        <v>18475.940000000002</v>
      </c>
      <c r="Y184" s="127">
        <f t="shared" si="36"/>
        <v>0</v>
      </c>
      <c r="Z184" s="127">
        <f t="shared" si="27"/>
        <v>672524.22</v>
      </c>
      <c r="AA184" s="33" t="s">
        <v>15</v>
      </c>
      <c r="AB184" s="36" t="s">
        <v>16</v>
      </c>
      <c r="AC184" s="181">
        <f t="shared" si="28"/>
        <v>18482.54</v>
      </c>
      <c r="AD184" s="181">
        <f t="shared" si="37"/>
        <v>672764.46</v>
      </c>
      <c r="AE184" s="181">
        <v>1.4</v>
      </c>
      <c r="AF184" s="181">
        <v>1.4</v>
      </c>
      <c r="AG184" s="101" t="str">
        <f t="shared" si="29"/>
        <v>超估</v>
      </c>
      <c r="AH184" s="191">
        <f>13110.94+5365</f>
        <v>18475.940000000002</v>
      </c>
      <c r="AI184" s="69">
        <f t="shared" si="30"/>
        <v>13716</v>
      </c>
    </row>
    <row r="185" spans="1:35" s="69" customFormat="1" ht="39" x14ac:dyDescent="0.3">
      <c r="A185" s="130" t="s">
        <v>498</v>
      </c>
      <c r="B185" s="131" t="s">
        <v>399</v>
      </c>
      <c r="C185" s="132" t="s">
        <v>110</v>
      </c>
      <c r="D185" s="133">
        <v>13810</v>
      </c>
      <c r="E185" s="203"/>
      <c r="F185" s="203"/>
      <c r="G185" s="203"/>
      <c r="H185" s="203">
        <v>36577.19</v>
      </c>
      <c r="I185" s="75">
        <v>38.71</v>
      </c>
      <c r="J185" s="75">
        <v>1415903.02</v>
      </c>
      <c r="K185" s="91" t="s">
        <v>400</v>
      </c>
      <c r="L185" s="73"/>
      <c r="M185" s="46">
        <v>36483.800000000003</v>
      </c>
      <c r="N185" s="46">
        <v>321711.06999999983</v>
      </c>
      <c r="O185" s="46">
        <v>1412287.9</v>
      </c>
      <c r="P185" s="98"/>
      <c r="Q185" s="23" t="s">
        <v>1428</v>
      </c>
      <c r="R185" s="24" t="s">
        <v>399</v>
      </c>
      <c r="S185" s="25" t="s">
        <v>110</v>
      </c>
      <c r="T185" s="26">
        <v>13810</v>
      </c>
      <c r="U185" s="26">
        <v>36577.19</v>
      </c>
      <c r="V185" s="26">
        <f t="shared" si="33"/>
        <v>38.71</v>
      </c>
      <c r="W185" s="243">
        <f t="shared" si="34"/>
        <v>0</v>
      </c>
      <c r="X185" s="127">
        <f t="shared" si="35"/>
        <v>36483.800000000003</v>
      </c>
      <c r="Y185" s="127">
        <f t="shared" si="36"/>
        <v>0</v>
      </c>
      <c r="Z185" s="127">
        <f t="shared" si="27"/>
        <v>1412287.9</v>
      </c>
      <c r="AA185" s="33" t="s">
        <v>15</v>
      </c>
      <c r="AB185" s="36" t="s">
        <v>16</v>
      </c>
      <c r="AC185" s="181">
        <f t="shared" si="28"/>
        <v>36577.19</v>
      </c>
      <c r="AD185" s="181">
        <f t="shared" si="37"/>
        <v>1415903.02</v>
      </c>
      <c r="AE185" s="181">
        <v>1.4</v>
      </c>
      <c r="AF185" s="181">
        <v>1.4</v>
      </c>
      <c r="AG185" s="101" t="str">
        <f t="shared" si="29"/>
        <v>超估</v>
      </c>
      <c r="AH185" s="191">
        <f>28173+8310.8</f>
        <v>36483.800000000003</v>
      </c>
      <c r="AI185" s="69">
        <f t="shared" si="30"/>
        <v>13810</v>
      </c>
    </row>
    <row r="186" spans="1:35" s="69" customFormat="1" ht="33" x14ac:dyDescent="0.3">
      <c r="A186" s="130" t="s">
        <v>499</v>
      </c>
      <c r="B186" s="131" t="s">
        <v>500</v>
      </c>
      <c r="C186" s="132" t="s">
        <v>50</v>
      </c>
      <c r="D186" s="133">
        <v>699</v>
      </c>
      <c r="E186" s="203"/>
      <c r="F186" s="203">
        <v>754.47</v>
      </c>
      <c r="G186" s="203"/>
      <c r="H186" s="203">
        <v>762.55</v>
      </c>
      <c r="I186" s="75">
        <v>2510.79</v>
      </c>
      <c r="J186" s="75">
        <v>1914602.91</v>
      </c>
      <c r="K186" s="91" t="s">
        <v>501</v>
      </c>
      <c r="L186" s="73"/>
      <c r="M186" s="46">
        <v>754.3</v>
      </c>
      <c r="N186" s="46">
        <v>0</v>
      </c>
      <c r="O186" s="46">
        <v>1893888.9</v>
      </c>
      <c r="P186" s="98"/>
      <c r="Q186" s="23" t="s">
        <v>1387</v>
      </c>
      <c r="R186" s="24" t="s">
        <v>500</v>
      </c>
      <c r="S186" s="25" t="s">
        <v>50</v>
      </c>
      <c r="T186" s="26">
        <v>699</v>
      </c>
      <c r="U186" s="26">
        <v>762.55</v>
      </c>
      <c r="V186" s="26">
        <f t="shared" si="33"/>
        <v>2510.79</v>
      </c>
      <c r="W186" s="26">
        <f t="shared" si="34"/>
        <v>0</v>
      </c>
      <c r="X186" s="127">
        <f t="shared" si="35"/>
        <v>754.3</v>
      </c>
      <c r="Y186" s="127">
        <f t="shared" si="36"/>
        <v>0</v>
      </c>
      <c r="Z186" s="127">
        <f t="shared" si="27"/>
        <v>1893888.9</v>
      </c>
      <c r="AA186" s="27"/>
      <c r="AB186" s="36" t="s">
        <v>16</v>
      </c>
      <c r="AC186" s="181">
        <f t="shared" si="28"/>
        <v>762.55</v>
      </c>
      <c r="AD186" s="181">
        <f t="shared" si="37"/>
        <v>1914602.91</v>
      </c>
      <c r="AE186" s="181">
        <v>1.4</v>
      </c>
      <c r="AF186" s="181">
        <v>1.4</v>
      </c>
      <c r="AG186" s="101" t="str">
        <f t="shared" si="29"/>
        <v/>
      </c>
      <c r="AH186" s="194">
        <v>754.3</v>
      </c>
      <c r="AI186" s="69">
        <f t="shared" si="30"/>
        <v>754.47</v>
      </c>
    </row>
    <row r="187" spans="1:35" s="69" customFormat="1" ht="39" x14ac:dyDescent="0.3">
      <c r="A187" s="130" t="s">
        <v>502</v>
      </c>
      <c r="B187" s="131" t="s">
        <v>503</v>
      </c>
      <c r="C187" s="132" t="s">
        <v>103</v>
      </c>
      <c r="D187" s="133">
        <v>275</v>
      </c>
      <c r="E187" s="203"/>
      <c r="F187" s="203"/>
      <c r="G187" s="203"/>
      <c r="H187" s="203">
        <v>318.56</v>
      </c>
      <c r="I187" s="75">
        <v>3298.06</v>
      </c>
      <c r="J187" s="75">
        <v>1050629.99</v>
      </c>
      <c r="K187" s="91" t="s">
        <v>504</v>
      </c>
      <c r="L187" s="73"/>
      <c r="M187" s="46">
        <v>304.60000000000002</v>
      </c>
      <c r="N187" s="46">
        <v>0</v>
      </c>
      <c r="O187" s="46">
        <v>1004589.08</v>
      </c>
      <c r="P187" s="98"/>
      <c r="Q187" s="23" t="s">
        <v>1405</v>
      </c>
      <c r="R187" s="24" t="s">
        <v>503</v>
      </c>
      <c r="S187" s="25" t="s">
        <v>103</v>
      </c>
      <c r="T187" s="26">
        <v>275</v>
      </c>
      <c r="U187" s="26">
        <v>318.56</v>
      </c>
      <c r="V187" s="26">
        <f t="shared" si="33"/>
        <v>3298.06</v>
      </c>
      <c r="W187" s="26">
        <f t="shared" si="34"/>
        <v>0</v>
      </c>
      <c r="X187" s="127">
        <f t="shared" si="35"/>
        <v>304.60000000000002</v>
      </c>
      <c r="Y187" s="127">
        <f t="shared" si="36"/>
        <v>0</v>
      </c>
      <c r="Z187" s="127">
        <f t="shared" si="27"/>
        <v>1004589.08</v>
      </c>
      <c r="AA187" s="33"/>
      <c r="AB187" s="36" t="s">
        <v>16</v>
      </c>
      <c r="AC187" s="181">
        <f t="shared" si="28"/>
        <v>318.56</v>
      </c>
      <c r="AD187" s="181">
        <f t="shared" si="37"/>
        <v>1050629.99</v>
      </c>
      <c r="AE187" s="181">
        <v>1.4</v>
      </c>
      <c r="AF187" s="181">
        <v>1.4</v>
      </c>
      <c r="AG187" s="101" t="str">
        <f t="shared" si="29"/>
        <v>超估</v>
      </c>
      <c r="AH187" s="194">
        <v>304.60000000000002</v>
      </c>
      <c r="AI187" s="69">
        <f t="shared" si="30"/>
        <v>275</v>
      </c>
    </row>
    <row r="188" spans="1:35" s="69" customFormat="1" ht="39" x14ac:dyDescent="0.3">
      <c r="A188" s="130" t="s">
        <v>505</v>
      </c>
      <c r="B188" s="131" t="s">
        <v>506</v>
      </c>
      <c r="C188" s="132" t="s">
        <v>50</v>
      </c>
      <c r="D188" s="133">
        <v>203</v>
      </c>
      <c r="E188" s="75"/>
      <c r="F188" s="75"/>
      <c r="G188" s="75"/>
      <c r="H188" s="75">
        <v>418.05</v>
      </c>
      <c r="I188" s="75">
        <v>2952.19</v>
      </c>
      <c r="J188" s="75">
        <v>1234163.03</v>
      </c>
      <c r="K188" s="91" t="s">
        <v>507</v>
      </c>
      <c r="L188" s="73"/>
      <c r="M188" s="46">
        <v>392.5</v>
      </c>
      <c r="N188" s="46">
        <v>0</v>
      </c>
      <c r="O188" s="46">
        <v>1158734.58</v>
      </c>
      <c r="P188" s="98"/>
      <c r="Q188" s="23" t="s">
        <v>1406</v>
      </c>
      <c r="R188" s="24" t="s">
        <v>506</v>
      </c>
      <c r="S188" s="25" t="s">
        <v>50</v>
      </c>
      <c r="T188" s="26">
        <v>203</v>
      </c>
      <c r="U188" s="26">
        <v>418.05</v>
      </c>
      <c r="V188" s="26">
        <f t="shared" si="33"/>
        <v>2952.19</v>
      </c>
      <c r="W188" s="26">
        <f t="shared" si="34"/>
        <v>0</v>
      </c>
      <c r="X188" s="127">
        <f t="shared" si="35"/>
        <v>392.5</v>
      </c>
      <c r="Y188" s="127">
        <f t="shared" si="36"/>
        <v>0</v>
      </c>
      <c r="Z188" s="127">
        <f t="shared" si="27"/>
        <v>1158734.58</v>
      </c>
      <c r="AA188" s="33" t="s">
        <v>15</v>
      </c>
      <c r="AB188" s="36" t="s">
        <v>16</v>
      </c>
      <c r="AC188" s="181">
        <f t="shared" si="28"/>
        <v>418.05</v>
      </c>
      <c r="AD188" s="181">
        <f t="shared" si="37"/>
        <v>1234163.03</v>
      </c>
      <c r="AE188" s="181">
        <v>1.4</v>
      </c>
      <c r="AF188" s="181">
        <v>1.4</v>
      </c>
      <c r="AG188" s="101" t="str">
        <f t="shared" si="29"/>
        <v>超估</v>
      </c>
      <c r="AH188" s="194">
        <v>392.5</v>
      </c>
      <c r="AI188" s="69">
        <f t="shared" si="30"/>
        <v>203</v>
      </c>
    </row>
    <row r="189" spans="1:35" s="69" customFormat="1" ht="33" x14ac:dyDescent="0.3">
      <c r="A189" s="130" t="s">
        <v>508</v>
      </c>
      <c r="B189" s="131" t="s">
        <v>509</v>
      </c>
      <c r="C189" s="132" t="s">
        <v>50</v>
      </c>
      <c r="D189" s="133">
        <v>405</v>
      </c>
      <c r="E189" s="75"/>
      <c r="F189" s="75"/>
      <c r="G189" s="75"/>
      <c r="H189" s="75" t="s">
        <v>15</v>
      </c>
      <c r="I189" s="75">
        <v>1454.57</v>
      </c>
      <c r="J189" s="75">
        <v>589100.85</v>
      </c>
      <c r="K189" s="91" t="s">
        <v>510</v>
      </c>
      <c r="L189" s="73"/>
      <c r="M189" s="46">
        <v>405</v>
      </c>
      <c r="N189" s="46">
        <v>0</v>
      </c>
      <c r="O189" s="46">
        <v>589100.85</v>
      </c>
      <c r="P189" s="98"/>
      <c r="Q189" s="23" t="s">
        <v>1414</v>
      </c>
      <c r="R189" s="24" t="s">
        <v>509</v>
      </c>
      <c r="S189" s="25" t="s">
        <v>50</v>
      </c>
      <c r="T189" s="26">
        <v>405</v>
      </c>
      <c r="U189" s="26">
        <v>405</v>
      </c>
      <c r="V189" s="26">
        <f t="shared" si="33"/>
        <v>1454.57</v>
      </c>
      <c r="W189" s="127">
        <f t="shared" si="34"/>
        <v>0</v>
      </c>
      <c r="X189" s="127">
        <f t="shared" si="35"/>
        <v>405</v>
      </c>
      <c r="Y189" s="127">
        <f t="shared" si="36"/>
        <v>0</v>
      </c>
      <c r="Z189" s="127">
        <f t="shared" si="27"/>
        <v>589100.85</v>
      </c>
      <c r="AA189" s="33" t="s">
        <v>15</v>
      </c>
      <c r="AB189" s="36" t="s">
        <v>16</v>
      </c>
      <c r="AC189" s="181">
        <f t="shared" si="28"/>
        <v>405</v>
      </c>
      <c r="AD189" s="181">
        <f t="shared" si="37"/>
        <v>589100.85</v>
      </c>
      <c r="AE189" s="181">
        <v>1.4</v>
      </c>
      <c r="AF189" s="181">
        <v>1.4</v>
      </c>
      <c r="AG189" s="101" t="str">
        <f t="shared" si="29"/>
        <v/>
      </c>
      <c r="AH189" s="194">
        <v>405</v>
      </c>
      <c r="AI189" s="69">
        <f t="shared" si="30"/>
        <v>405</v>
      </c>
    </row>
    <row r="190" spans="1:35" s="69" customFormat="1" ht="58.5" x14ac:dyDescent="0.3">
      <c r="A190" s="130" t="s">
        <v>511</v>
      </c>
      <c r="B190" s="131" t="s">
        <v>512</v>
      </c>
      <c r="C190" s="132" t="s">
        <v>513</v>
      </c>
      <c r="D190" s="133">
        <v>372</v>
      </c>
      <c r="E190" s="75"/>
      <c r="F190" s="75"/>
      <c r="G190" s="75"/>
      <c r="H190" s="75" t="s">
        <v>15</v>
      </c>
      <c r="I190" s="75">
        <v>435</v>
      </c>
      <c r="J190" s="75">
        <v>161820</v>
      </c>
      <c r="K190" s="91" t="s">
        <v>514</v>
      </c>
      <c r="L190" s="73"/>
      <c r="M190" s="46">
        <v>292</v>
      </c>
      <c r="N190" s="46">
        <v>0</v>
      </c>
      <c r="O190" s="46">
        <v>127020</v>
      </c>
      <c r="P190" s="98"/>
      <c r="Q190" s="23" t="s">
        <v>1429</v>
      </c>
      <c r="R190" s="24" t="s">
        <v>512</v>
      </c>
      <c r="S190" s="25" t="s">
        <v>513</v>
      </c>
      <c r="T190" s="26">
        <v>372</v>
      </c>
      <c r="U190" s="26">
        <v>372</v>
      </c>
      <c r="V190" s="26">
        <f t="shared" si="33"/>
        <v>435</v>
      </c>
      <c r="W190" s="127">
        <f t="shared" si="34"/>
        <v>0</v>
      </c>
      <c r="X190" s="127">
        <f t="shared" si="35"/>
        <v>292</v>
      </c>
      <c r="Y190" s="127">
        <f t="shared" si="36"/>
        <v>0</v>
      </c>
      <c r="Z190" s="127">
        <f t="shared" si="27"/>
        <v>127020</v>
      </c>
      <c r="AA190" s="33" t="s">
        <v>15</v>
      </c>
      <c r="AB190" s="36" t="s">
        <v>16</v>
      </c>
      <c r="AC190" s="181">
        <f t="shared" si="28"/>
        <v>372</v>
      </c>
      <c r="AD190" s="181">
        <f t="shared" si="37"/>
        <v>161820</v>
      </c>
      <c r="AE190" s="181">
        <v>1.4</v>
      </c>
      <c r="AF190" s="181">
        <v>1.4</v>
      </c>
      <c r="AG190" s="101" t="str">
        <f t="shared" si="29"/>
        <v/>
      </c>
      <c r="AH190" s="194">
        <v>292</v>
      </c>
      <c r="AI190" s="69">
        <f t="shared" si="30"/>
        <v>372</v>
      </c>
    </row>
    <row r="191" spans="1:35" s="69" customFormat="1" ht="33" x14ac:dyDescent="0.3">
      <c r="A191" s="130" t="s">
        <v>515</v>
      </c>
      <c r="B191" s="131" t="s">
        <v>516</v>
      </c>
      <c r="C191" s="132" t="s">
        <v>50</v>
      </c>
      <c r="D191" s="133">
        <v>1984</v>
      </c>
      <c r="E191" s="75"/>
      <c r="F191" s="75"/>
      <c r="G191" s="75"/>
      <c r="H191" s="75" t="s">
        <v>15</v>
      </c>
      <c r="I191" s="75">
        <v>885.8</v>
      </c>
      <c r="J191" s="75">
        <v>1757427.2</v>
      </c>
      <c r="K191" s="91" t="s">
        <v>517</v>
      </c>
      <c r="L191" s="73"/>
      <c r="M191" s="46">
        <v>1796.5</v>
      </c>
      <c r="N191" s="46">
        <v>0</v>
      </c>
      <c r="O191" s="46">
        <v>1591339.7</v>
      </c>
      <c r="P191" s="98"/>
      <c r="Q191" s="23" t="s">
        <v>1430</v>
      </c>
      <c r="R191" s="24" t="s">
        <v>516</v>
      </c>
      <c r="S191" s="25" t="s">
        <v>50</v>
      </c>
      <c r="T191" s="26">
        <v>1984</v>
      </c>
      <c r="U191" s="26">
        <v>1984</v>
      </c>
      <c r="V191" s="26">
        <f t="shared" si="33"/>
        <v>885.8</v>
      </c>
      <c r="W191" s="127">
        <f t="shared" si="34"/>
        <v>0</v>
      </c>
      <c r="X191" s="127">
        <f t="shared" si="35"/>
        <v>1796.5</v>
      </c>
      <c r="Y191" s="127">
        <f t="shared" si="36"/>
        <v>0</v>
      </c>
      <c r="Z191" s="127">
        <f t="shared" si="27"/>
        <v>1591339.7</v>
      </c>
      <c r="AA191" s="33" t="s">
        <v>15</v>
      </c>
      <c r="AB191" s="36" t="s">
        <v>16</v>
      </c>
      <c r="AC191" s="181">
        <f t="shared" si="28"/>
        <v>1984</v>
      </c>
      <c r="AD191" s="181">
        <f t="shared" si="37"/>
        <v>1757427.2</v>
      </c>
      <c r="AE191" s="181">
        <v>1.4</v>
      </c>
      <c r="AF191" s="181">
        <v>1.4</v>
      </c>
      <c r="AG191" s="101" t="str">
        <f t="shared" si="29"/>
        <v/>
      </c>
      <c r="AH191" s="190">
        <v>1796.5</v>
      </c>
      <c r="AI191" s="69">
        <f t="shared" si="30"/>
        <v>1984</v>
      </c>
    </row>
    <row r="192" spans="1:35" s="69" customFormat="1" ht="33" x14ac:dyDescent="0.3">
      <c r="A192" s="130" t="s">
        <v>518</v>
      </c>
      <c r="B192" s="131" t="s">
        <v>189</v>
      </c>
      <c r="C192" s="132" t="s">
        <v>30</v>
      </c>
      <c r="D192" s="133">
        <v>45</v>
      </c>
      <c r="E192" s="75"/>
      <c r="F192" s="75"/>
      <c r="G192" s="75"/>
      <c r="H192" s="75" t="s">
        <v>15</v>
      </c>
      <c r="I192" s="75">
        <v>138.84</v>
      </c>
      <c r="J192" s="75">
        <v>6247.8</v>
      </c>
      <c r="K192" s="91" t="s">
        <v>190</v>
      </c>
      <c r="L192" s="73"/>
      <c r="M192" s="46">
        <v>36.96</v>
      </c>
      <c r="N192" s="46">
        <v>0</v>
      </c>
      <c r="O192" s="46">
        <v>5131.53</v>
      </c>
      <c r="P192" s="98"/>
      <c r="Q192" s="23" t="s">
        <v>1431</v>
      </c>
      <c r="R192" s="24" t="s">
        <v>189</v>
      </c>
      <c r="S192" s="25" t="s">
        <v>30</v>
      </c>
      <c r="T192" s="26">
        <v>45</v>
      </c>
      <c r="U192" s="26">
        <v>45</v>
      </c>
      <c r="V192" s="26">
        <f t="shared" si="33"/>
        <v>138.84</v>
      </c>
      <c r="W192" s="127">
        <f t="shared" si="34"/>
        <v>0</v>
      </c>
      <c r="X192" s="127">
        <f t="shared" si="35"/>
        <v>36.96</v>
      </c>
      <c r="Y192" s="127">
        <f t="shared" si="36"/>
        <v>0</v>
      </c>
      <c r="Z192" s="127">
        <f t="shared" si="27"/>
        <v>5131.53</v>
      </c>
      <c r="AA192" s="33" t="s">
        <v>15</v>
      </c>
      <c r="AB192" s="36" t="s">
        <v>16</v>
      </c>
      <c r="AC192" s="181">
        <f t="shared" si="28"/>
        <v>45</v>
      </c>
      <c r="AD192" s="181">
        <f t="shared" si="37"/>
        <v>6247.8</v>
      </c>
      <c r="AE192" s="181">
        <v>1.4</v>
      </c>
      <c r="AF192" s="181">
        <v>1.4</v>
      </c>
      <c r="AG192" s="101" t="str">
        <f t="shared" si="29"/>
        <v/>
      </c>
      <c r="AH192" s="194">
        <v>36.96</v>
      </c>
      <c r="AI192" s="69">
        <f t="shared" si="30"/>
        <v>45</v>
      </c>
    </row>
    <row r="193" spans="1:38" s="69" customFormat="1" ht="33" x14ac:dyDescent="0.3">
      <c r="A193" s="130" t="s">
        <v>519</v>
      </c>
      <c r="B193" s="131" t="s">
        <v>520</v>
      </c>
      <c r="C193" s="132" t="s">
        <v>30</v>
      </c>
      <c r="D193" s="133">
        <v>62</v>
      </c>
      <c r="E193" s="75"/>
      <c r="F193" s="75"/>
      <c r="G193" s="75"/>
      <c r="H193" s="76" t="s">
        <v>15</v>
      </c>
      <c r="I193" s="75">
        <v>326.3</v>
      </c>
      <c r="J193" s="75">
        <v>20230.599999999999</v>
      </c>
      <c r="K193" s="91" t="s">
        <v>521</v>
      </c>
      <c r="L193" s="73"/>
      <c r="M193" s="46">
        <v>59</v>
      </c>
      <c r="N193" s="46">
        <v>0</v>
      </c>
      <c r="O193" s="46">
        <v>19251.7</v>
      </c>
      <c r="P193" s="98"/>
      <c r="Q193" s="23" t="s">
        <v>1395</v>
      </c>
      <c r="R193" s="24" t="s">
        <v>520</v>
      </c>
      <c r="S193" s="25" t="s">
        <v>30</v>
      </c>
      <c r="T193" s="26">
        <v>62</v>
      </c>
      <c r="U193" s="26">
        <v>62</v>
      </c>
      <c r="V193" s="26">
        <f t="shared" si="33"/>
        <v>326.3</v>
      </c>
      <c r="W193" s="127">
        <f t="shared" si="34"/>
        <v>0</v>
      </c>
      <c r="X193" s="127">
        <f t="shared" si="35"/>
        <v>59</v>
      </c>
      <c r="Y193" s="127">
        <f t="shared" si="36"/>
        <v>0</v>
      </c>
      <c r="Z193" s="127">
        <f t="shared" si="27"/>
        <v>19251.7</v>
      </c>
      <c r="AA193" s="33" t="s">
        <v>15</v>
      </c>
      <c r="AB193" s="36" t="s">
        <v>16</v>
      </c>
      <c r="AC193" s="181">
        <f t="shared" si="28"/>
        <v>62</v>
      </c>
      <c r="AD193" s="181">
        <f t="shared" si="37"/>
        <v>20230.599999999999</v>
      </c>
      <c r="AE193" s="181">
        <v>1.4</v>
      </c>
      <c r="AF193" s="181">
        <v>1.4</v>
      </c>
      <c r="AG193" s="101" t="str">
        <f t="shared" si="29"/>
        <v/>
      </c>
      <c r="AH193" s="194">
        <v>59</v>
      </c>
      <c r="AI193" s="69">
        <f t="shared" si="30"/>
        <v>62</v>
      </c>
    </row>
    <row r="194" spans="1:38" s="69" customFormat="1" ht="39" x14ac:dyDescent="0.3">
      <c r="A194" s="55" t="s">
        <v>522</v>
      </c>
      <c r="B194" s="53" t="s">
        <v>424</v>
      </c>
      <c r="C194" s="54" t="s">
        <v>50</v>
      </c>
      <c r="D194" s="75">
        <v>275</v>
      </c>
      <c r="E194" s="75"/>
      <c r="F194" s="75"/>
      <c r="G194" s="161"/>
      <c r="H194" s="158">
        <v>2016.9</v>
      </c>
      <c r="I194" s="166">
        <v>692.16</v>
      </c>
      <c r="J194" s="75">
        <v>1396017.5</v>
      </c>
      <c r="K194" s="91" t="s">
        <v>425</v>
      </c>
      <c r="L194" s="73"/>
      <c r="M194" s="46">
        <v>275</v>
      </c>
      <c r="N194" s="46">
        <v>0</v>
      </c>
      <c r="O194" s="46">
        <v>190344</v>
      </c>
      <c r="P194" s="98"/>
      <c r="Q194" s="23" t="s">
        <v>1432</v>
      </c>
      <c r="R194" s="24" t="s">
        <v>424</v>
      </c>
      <c r="S194" s="25" t="s">
        <v>50</v>
      </c>
      <c r="T194" s="26">
        <v>275</v>
      </c>
      <c r="U194" s="26">
        <v>2016.9</v>
      </c>
      <c r="V194" s="26">
        <f t="shared" si="33"/>
        <v>692.16</v>
      </c>
      <c r="W194" s="243">
        <f t="shared" si="34"/>
        <v>1152.5999999999999</v>
      </c>
      <c r="X194" s="26">
        <f t="shared" si="35"/>
        <v>1427.6</v>
      </c>
      <c r="Y194" s="26">
        <f t="shared" si="36"/>
        <v>797783.62</v>
      </c>
      <c r="Z194" s="26">
        <f t="shared" si="27"/>
        <v>988127.62</v>
      </c>
      <c r="AA194" s="33" t="s">
        <v>15</v>
      </c>
      <c r="AB194" s="36" t="s">
        <v>16</v>
      </c>
      <c r="AC194" s="181">
        <f t="shared" si="28"/>
        <v>2016.9</v>
      </c>
      <c r="AD194" s="181">
        <f t="shared" si="37"/>
        <v>1396017.5</v>
      </c>
      <c r="AE194" s="181">
        <v>1.4</v>
      </c>
      <c r="AF194" s="181">
        <v>1.4</v>
      </c>
      <c r="AG194" s="101" t="str">
        <f t="shared" si="29"/>
        <v>超估</v>
      </c>
      <c r="AH194" s="191">
        <f>275+1152.6</f>
        <v>1427.6</v>
      </c>
      <c r="AI194" s="69">
        <f t="shared" si="30"/>
        <v>275</v>
      </c>
    </row>
    <row r="195" spans="1:38" s="69" customFormat="1" ht="41.25" x14ac:dyDescent="0.3">
      <c r="A195" s="130" t="s">
        <v>523</v>
      </c>
      <c r="B195" s="131" t="s">
        <v>524</v>
      </c>
      <c r="C195" s="132" t="s">
        <v>30</v>
      </c>
      <c r="D195" s="133">
        <v>429</v>
      </c>
      <c r="E195" s="75"/>
      <c r="F195" s="75"/>
      <c r="G195" s="161"/>
      <c r="H195" s="158" t="s">
        <v>15</v>
      </c>
      <c r="I195" s="166">
        <v>1707.13</v>
      </c>
      <c r="J195" s="75">
        <v>0</v>
      </c>
      <c r="K195" s="91" t="s">
        <v>525</v>
      </c>
      <c r="L195" s="73"/>
      <c r="M195" s="46">
        <v>0</v>
      </c>
      <c r="N195" s="46">
        <v>0</v>
      </c>
      <c r="O195" s="46">
        <v>0</v>
      </c>
      <c r="P195" s="98"/>
      <c r="Q195" s="23" t="s">
        <v>1433</v>
      </c>
      <c r="R195" s="24" t="s">
        <v>524</v>
      </c>
      <c r="S195" s="25" t="s">
        <v>30</v>
      </c>
      <c r="T195" s="26">
        <v>429</v>
      </c>
      <c r="U195" s="26">
        <v>0</v>
      </c>
      <c r="V195" s="26">
        <f t="shared" si="33"/>
        <v>1707.13</v>
      </c>
      <c r="W195" s="127">
        <f t="shared" si="34"/>
        <v>0</v>
      </c>
      <c r="X195" s="127">
        <f t="shared" si="35"/>
        <v>0</v>
      </c>
      <c r="Y195" s="127">
        <f t="shared" si="36"/>
        <v>0</v>
      </c>
      <c r="Z195" s="127">
        <f t="shared" si="27"/>
        <v>0</v>
      </c>
      <c r="AA195" s="33" t="s">
        <v>15</v>
      </c>
      <c r="AB195" s="36" t="s">
        <v>16</v>
      </c>
      <c r="AC195" s="181">
        <f t="shared" si="28"/>
        <v>0</v>
      </c>
      <c r="AD195" s="181">
        <f t="shared" si="37"/>
        <v>0</v>
      </c>
      <c r="AE195" s="181">
        <v>1.4</v>
      </c>
      <c r="AF195" s="181">
        <v>1.4</v>
      </c>
      <c r="AG195" s="101" t="str">
        <f t="shared" si="29"/>
        <v/>
      </c>
      <c r="AH195" s="190">
        <v>0</v>
      </c>
      <c r="AI195" s="69">
        <f t="shared" si="30"/>
        <v>429</v>
      </c>
    </row>
    <row r="196" spans="1:38" s="69" customFormat="1" ht="39" x14ac:dyDescent="0.3">
      <c r="A196" s="130" t="s">
        <v>526</v>
      </c>
      <c r="B196" s="131" t="s">
        <v>527</v>
      </c>
      <c r="C196" s="132" t="s">
        <v>34</v>
      </c>
      <c r="D196" s="133">
        <v>1597.5</v>
      </c>
      <c r="E196" s="75"/>
      <c r="F196" s="75"/>
      <c r="G196" s="161"/>
      <c r="H196" s="158">
        <v>2059.1999999999998</v>
      </c>
      <c r="I196" s="166">
        <v>49</v>
      </c>
      <c r="J196" s="75">
        <v>100900.8</v>
      </c>
      <c r="K196" s="91" t="s">
        <v>528</v>
      </c>
      <c r="L196" s="73"/>
      <c r="M196" s="46">
        <v>2059.1999999999998</v>
      </c>
      <c r="N196" s="46">
        <v>25930.800000000003</v>
      </c>
      <c r="O196" s="46">
        <v>100900.8</v>
      </c>
      <c r="P196" s="98"/>
      <c r="Q196" s="23" t="s">
        <v>1382</v>
      </c>
      <c r="R196" s="24" t="s">
        <v>527</v>
      </c>
      <c r="S196" s="25" t="s">
        <v>34</v>
      </c>
      <c r="T196" s="26">
        <v>1597.5</v>
      </c>
      <c r="U196" s="26">
        <v>2059.1999999999998</v>
      </c>
      <c r="V196" s="26">
        <f t="shared" si="33"/>
        <v>49</v>
      </c>
      <c r="W196" s="209">
        <f t="shared" si="34"/>
        <v>0</v>
      </c>
      <c r="X196" s="127">
        <f t="shared" si="35"/>
        <v>2059.1999999999998</v>
      </c>
      <c r="Y196" s="127">
        <f t="shared" si="36"/>
        <v>0</v>
      </c>
      <c r="Z196" s="127">
        <f t="shared" si="27"/>
        <v>100900.8</v>
      </c>
      <c r="AA196" s="33" t="s">
        <v>15</v>
      </c>
      <c r="AB196" s="36" t="s">
        <v>16</v>
      </c>
      <c r="AC196" s="181">
        <f t="shared" si="28"/>
        <v>2059.1999999999998</v>
      </c>
      <c r="AD196" s="181">
        <f t="shared" si="37"/>
        <v>100900.8</v>
      </c>
      <c r="AE196" s="181">
        <v>1.4</v>
      </c>
      <c r="AF196" s="181">
        <v>1.4</v>
      </c>
      <c r="AG196" s="101" t="str">
        <f t="shared" si="29"/>
        <v>超估</v>
      </c>
      <c r="AH196" s="194">
        <f>1530+529.2</f>
        <v>2059.1999999999998</v>
      </c>
      <c r="AI196" s="69">
        <f t="shared" si="30"/>
        <v>1597.5</v>
      </c>
    </row>
    <row r="197" spans="1:38" s="69" customFormat="1" ht="39" x14ac:dyDescent="0.3">
      <c r="A197" s="134" t="s">
        <v>1324</v>
      </c>
      <c r="B197" s="135" t="s">
        <v>1325</v>
      </c>
      <c r="C197" s="204" t="s">
        <v>23</v>
      </c>
      <c r="D197" s="216"/>
      <c r="E197" s="117">
        <v>1362.5</v>
      </c>
      <c r="F197" s="77"/>
      <c r="G197" s="226"/>
      <c r="H197" s="230" t="s">
        <v>15</v>
      </c>
      <c r="I197" s="178">
        <v>926.62</v>
      </c>
      <c r="J197" s="59">
        <v>1262519.75</v>
      </c>
      <c r="K197" s="92"/>
      <c r="L197" s="73"/>
      <c r="M197" s="46">
        <v>1345</v>
      </c>
      <c r="N197" s="46">
        <v>0</v>
      </c>
      <c r="O197" s="46">
        <v>1246303.8999999999</v>
      </c>
      <c r="P197" s="98"/>
      <c r="Q197" s="23" t="s">
        <v>1434</v>
      </c>
      <c r="R197" s="24" t="s">
        <v>1498</v>
      </c>
      <c r="S197" s="25" t="s">
        <v>23</v>
      </c>
      <c r="T197" s="26">
        <v>0</v>
      </c>
      <c r="U197" s="26">
        <v>1362.5</v>
      </c>
      <c r="V197" s="26">
        <f t="shared" si="33"/>
        <v>926.62</v>
      </c>
      <c r="W197" s="127">
        <f t="shared" si="34"/>
        <v>0</v>
      </c>
      <c r="X197" s="127">
        <f t="shared" si="35"/>
        <v>1345</v>
      </c>
      <c r="Y197" s="127">
        <f t="shared" si="36"/>
        <v>0</v>
      </c>
      <c r="Z197" s="127">
        <f t="shared" si="27"/>
        <v>1246303.8999999999</v>
      </c>
      <c r="AA197" s="27"/>
      <c r="AB197" s="36" t="s">
        <v>16</v>
      </c>
      <c r="AC197" s="181">
        <f t="shared" si="28"/>
        <v>1362.5</v>
      </c>
      <c r="AD197" s="181">
        <f t="shared" si="37"/>
        <v>1262519.75</v>
      </c>
      <c r="AE197" s="181">
        <v>1.4</v>
      </c>
      <c r="AF197" s="181">
        <v>1.4</v>
      </c>
      <c r="AG197" s="101" t="str">
        <f t="shared" si="29"/>
        <v/>
      </c>
      <c r="AH197" s="194">
        <v>1345</v>
      </c>
      <c r="AI197" s="69">
        <f t="shared" si="30"/>
        <v>1362.5</v>
      </c>
    </row>
    <row r="198" spans="1:38" ht="39" x14ac:dyDescent="0.3">
      <c r="A198" s="134" t="s">
        <v>1326</v>
      </c>
      <c r="B198" s="135" t="s">
        <v>3136</v>
      </c>
      <c r="C198" s="204" t="s">
        <v>50</v>
      </c>
      <c r="D198" s="216"/>
      <c r="E198" s="78"/>
      <c r="F198" s="62">
        <v>548.70000000000005</v>
      </c>
      <c r="G198" s="163"/>
      <c r="H198" s="62">
        <v>805.73</v>
      </c>
      <c r="I198" s="167">
        <v>3120.78</v>
      </c>
      <c r="J198" s="62">
        <v>2514506.0699999998</v>
      </c>
      <c r="K198" s="93"/>
      <c r="M198" s="46">
        <v>672.3</v>
      </c>
      <c r="N198" s="46">
        <v>0</v>
      </c>
      <c r="O198" s="46">
        <v>2098100.39</v>
      </c>
      <c r="P198" s="98"/>
      <c r="Q198" s="23" t="s">
        <v>1388</v>
      </c>
      <c r="R198" s="24" t="s">
        <v>1327</v>
      </c>
      <c r="S198" s="25" t="s">
        <v>50</v>
      </c>
      <c r="T198" s="26">
        <v>0</v>
      </c>
      <c r="U198" s="26">
        <v>805.73</v>
      </c>
      <c r="V198" s="26">
        <f t="shared" si="33"/>
        <v>3120.78</v>
      </c>
      <c r="W198" s="128">
        <f t="shared" si="34"/>
        <v>0</v>
      </c>
      <c r="X198" s="127">
        <f t="shared" si="35"/>
        <v>672.3</v>
      </c>
      <c r="Y198" s="127">
        <f t="shared" si="36"/>
        <v>0</v>
      </c>
      <c r="Z198" s="127">
        <f>ROUND(V198*X198,2)</f>
        <v>2098100.39</v>
      </c>
      <c r="AA198" s="27"/>
      <c r="AB198" s="36" t="s">
        <v>16</v>
      </c>
      <c r="AC198" s="181">
        <f t="shared" si="28"/>
        <v>805.73</v>
      </c>
      <c r="AD198" s="181">
        <f t="shared" si="37"/>
        <v>2514506.0699999998</v>
      </c>
      <c r="AE198" s="181">
        <v>1.4</v>
      </c>
      <c r="AF198" s="181">
        <v>1.4</v>
      </c>
      <c r="AG198" s="101" t="str">
        <f t="shared" si="29"/>
        <v>超估</v>
      </c>
      <c r="AH198" s="191">
        <v>672.3</v>
      </c>
      <c r="AI198" s="69">
        <f t="shared" si="30"/>
        <v>548.70000000000005</v>
      </c>
    </row>
    <row r="199" spans="1:38" ht="49.5" x14ac:dyDescent="0.3">
      <c r="A199" s="134" t="s">
        <v>1328</v>
      </c>
      <c r="B199" s="139" t="s">
        <v>1329</v>
      </c>
      <c r="C199" s="204" t="s">
        <v>30</v>
      </c>
      <c r="D199" s="216"/>
      <c r="E199" s="78"/>
      <c r="F199" s="62">
        <v>410</v>
      </c>
      <c r="G199" s="163"/>
      <c r="H199" s="62" t="s">
        <v>15</v>
      </c>
      <c r="I199" s="167">
        <v>5733.63</v>
      </c>
      <c r="J199" s="62">
        <v>2350788.2999999998</v>
      </c>
      <c r="K199" s="93"/>
      <c r="M199" s="46">
        <v>410</v>
      </c>
      <c r="N199" s="46">
        <v>0</v>
      </c>
      <c r="O199" s="46">
        <v>2350788.2999999998</v>
      </c>
      <c r="P199" s="98"/>
      <c r="Q199" s="23" t="s">
        <v>1389</v>
      </c>
      <c r="R199" s="24" t="s">
        <v>1329</v>
      </c>
      <c r="S199" s="25" t="s">
        <v>30</v>
      </c>
      <c r="T199" s="26">
        <v>0</v>
      </c>
      <c r="U199" s="26">
        <v>410</v>
      </c>
      <c r="V199" s="26">
        <f t="shared" si="33"/>
        <v>5733.63</v>
      </c>
      <c r="W199" s="127">
        <f t="shared" si="34"/>
        <v>0</v>
      </c>
      <c r="X199" s="127">
        <f t="shared" si="35"/>
        <v>410</v>
      </c>
      <c r="Y199" s="127">
        <f t="shared" si="36"/>
        <v>0</v>
      </c>
      <c r="Z199" s="127">
        <f t="shared" si="27"/>
        <v>2350788.2999999998</v>
      </c>
      <c r="AA199" s="27"/>
      <c r="AB199" s="36" t="s">
        <v>16</v>
      </c>
      <c r="AC199" s="181">
        <f t="shared" si="28"/>
        <v>410</v>
      </c>
      <c r="AD199" s="181">
        <f t="shared" si="37"/>
        <v>2350788.2999999998</v>
      </c>
      <c r="AE199" s="181">
        <v>1.4</v>
      </c>
      <c r="AF199" s="181">
        <v>1.4</v>
      </c>
      <c r="AG199" s="101" t="str">
        <f t="shared" si="29"/>
        <v/>
      </c>
      <c r="AH199" s="190">
        <v>410</v>
      </c>
      <c r="AI199" s="69">
        <f t="shared" si="30"/>
        <v>410</v>
      </c>
    </row>
    <row r="200" spans="1:38" ht="58.5" x14ac:dyDescent="0.3">
      <c r="A200" s="134" t="s">
        <v>1330</v>
      </c>
      <c r="B200" s="135" t="s">
        <v>3135</v>
      </c>
      <c r="C200" s="204" t="s">
        <v>23</v>
      </c>
      <c r="D200" s="216"/>
      <c r="E200" s="78"/>
      <c r="F200" s="62">
        <v>690</v>
      </c>
      <c r="G200" s="163"/>
      <c r="H200" s="62">
        <v>1526.83</v>
      </c>
      <c r="I200" s="167">
        <v>3832.97</v>
      </c>
      <c r="J200" s="62">
        <v>5852293.5899999999</v>
      </c>
      <c r="K200" s="93"/>
      <c r="M200" s="46">
        <v>1469.66</v>
      </c>
      <c r="N200" s="46">
        <v>0</v>
      </c>
      <c r="O200" s="46">
        <v>5633162.6900000004</v>
      </c>
      <c r="P200" s="98"/>
      <c r="Q200" s="23" t="s">
        <v>1390</v>
      </c>
      <c r="R200" s="24" t="s">
        <v>1331</v>
      </c>
      <c r="S200" s="25" t="s">
        <v>23</v>
      </c>
      <c r="T200" s="26">
        <v>0</v>
      </c>
      <c r="U200" s="26">
        <v>1526.83</v>
      </c>
      <c r="V200" s="26">
        <f t="shared" si="33"/>
        <v>3832.97</v>
      </c>
      <c r="W200" s="128">
        <f t="shared" si="34"/>
        <v>0</v>
      </c>
      <c r="X200" s="127">
        <f t="shared" si="35"/>
        <v>1469.66</v>
      </c>
      <c r="Y200" s="127">
        <f t="shared" si="36"/>
        <v>0</v>
      </c>
      <c r="Z200" s="127">
        <f t="shared" si="27"/>
        <v>5633162.6900000004</v>
      </c>
      <c r="AA200" s="27"/>
      <c r="AB200" s="36" t="s">
        <v>16</v>
      </c>
      <c r="AC200" s="181">
        <f t="shared" si="28"/>
        <v>1526.83</v>
      </c>
      <c r="AD200" s="181">
        <f t="shared" si="37"/>
        <v>5852293.5899999999</v>
      </c>
      <c r="AE200" s="181">
        <v>1.4</v>
      </c>
      <c r="AF200" s="181">
        <v>1.4</v>
      </c>
      <c r="AG200" s="101" t="str">
        <f t="shared" si="29"/>
        <v>超估</v>
      </c>
      <c r="AH200" s="191">
        <v>1469.66</v>
      </c>
      <c r="AI200" s="69">
        <f t="shared" si="30"/>
        <v>690</v>
      </c>
    </row>
    <row r="201" spans="1:38" ht="33" x14ac:dyDescent="0.3">
      <c r="A201" s="134" t="s">
        <v>1332</v>
      </c>
      <c r="B201" s="135" t="s">
        <v>1333</v>
      </c>
      <c r="C201" s="204" t="s">
        <v>50</v>
      </c>
      <c r="D201" s="216"/>
      <c r="E201" s="78"/>
      <c r="F201" s="62">
        <v>48</v>
      </c>
      <c r="G201" s="163"/>
      <c r="H201" s="62" t="s">
        <v>15</v>
      </c>
      <c r="I201" s="167">
        <v>695.25</v>
      </c>
      <c r="J201" s="62">
        <v>33372</v>
      </c>
      <c r="K201" s="93"/>
      <c r="M201" s="46">
        <v>48</v>
      </c>
      <c r="N201" s="46">
        <v>0</v>
      </c>
      <c r="O201" s="46">
        <v>33372</v>
      </c>
      <c r="P201" s="98"/>
      <c r="Q201" s="23" t="s">
        <v>1391</v>
      </c>
      <c r="R201" s="24" t="s">
        <v>1333</v>
      </c>
      <c r="S201" s="25" t="s">
        <v>50</v>
      </c>
      <c r="T201" s="26">
        <v>0</v>
      </c>
      <c r="U201" s="26">
        <v>48</v>
      </c>
      <c r="V201" s="26">
        <f t="shared" si="33"/>
        <v>695.25</v>
      </c>
      <c r="W201" s="127">
        <f t="shared" si="34"/>
        <v>0</v>
      </c>
      <c r="X201" s="127">
        <f t="shared" si="35"/>
        <v>48</v>
      </c>
      <c r="Y201" s="127">
        <f t="shared" si="36"/>
        <v>0</v>
      </c>
      <c r="Z201" s="127">
        <f t="shared" si="27"/>
        <v>33372</v>
      </c>
      <c r="AA201" s="27"/>
      <c r="AB201" s="36" t="s">
        <v>16</v>
      </c>
      <c r="AC201" s="181">
        <f t="shared" si="28"/>
        <v>48</v>
      </c>
      <c r="AD201" s="181">
        <f t="shared" si="37"/>
        <v>33372</v>
      </c>
      <c r="AE201" s="181">
        <v>1.4</v>
      </c>
      <c r="AF201" s="181">
        <v>1.4</v>
      </c>
      <c r="AG201" s="101" t="str">
        <f t="shared" si="29"/>
        <v/>
      </c>
      <c r="AH201" s="190">
        <v>48</v>
      </c>
      <c r="AI201" s="69">
        <f t="shared" si="30"/>
        <v>48</v>
      </c>
    </row>
    <row r="202" spans="1:38" s="69" customFormat="1" ht="33" customHeight="1" x14ac:dyDescent="0.3">
      <c r="A202" s="79" t="s">
        <v>529</v>
      </c>
      <c r="B202" s="80" t="s">
        <v>530</v>
      </c>
      <c r="C202" s="81" t="s">
        <v>14</v>
      </c>
      <c r="D202" s="82">
        <v>1</v>
      </c>
      <c r="E202" s="82"/>
      <c r="F202" s="82"/>
      <c r="G202" s="227"/>
      <c r="H202" s="231" t="s">
        <v>15</v>
      </c>
      <c r="I202" s="228"/>
      <c r="J202" s="82">
        <v>33543936.84</v>
      </c>
      <c r="K202" s="94" t="s">
        <v>15</v>
      </c>
      <c r="L202" s="73"/>
      <c r="M202" s="45">
        <v>1</v>
      </c>
      <c r="N202" s="45">
        <v>0</v>
      </c>
      <c r="O202" s="45">
        <v>32526947.079999998</v>
      </c>
      <c r="P202" s="98"/>
      <c r="Q202" s="18" t="s">
        <v>1392</v>
      </c>
      <c r="R202" s="19" t="s">
        <v>530</v>
      </c>
      <c r="S202" s="20" t="s">
        <v>14</v>
      </c>
      <c r="T202" s="21">
        <v>1</v>
      </c>
      <c r="U202" s="21"/>
      <c r="V202" s="21">
        <f>SUMIFS(AD:AD,AE:AE,AE202)</f>
        <v>33543936.840000004</v>
      </c>
      <c r="W202" s="21">
        <f t="shared" ref="W202:X202" si="38">IF(Y202=0,0,1)</f>
        <v>0</v>
      </c>
      <c r="X202" s="21">
        <f t="shared" si="38"/>
        <v>1</v>
      </c>
      <c r="Y202" s="21">
        <f>SUMIFS(Y:Y,AF:AF,AE202)</f>
        <v>0</v>
      </c>
      <c r="Z202" s="21">
        <f>SUMIFS(Z:Z,AF:AF,AE202)</f>
        <v>32526947.079999998</v>
      </c>
      <c r="AA202" s="22" t="s">
        <v>15</v>
      </c>
      <c r="AB202" s="43" t="s">
        <v>16</v>
      </c>
      <c r="AC202" s="181">
        <f t="shared" si="28"/>
        <v>1</v>
      </c>
      <c r="AD202" s="181"/>
      <c r="AE202" s="184">
        <v>1.5</v>
      </c>
      <c r="AF202" s="184"/>
      <c r="AG202" s="101" t="str">
        <f t="shared" si="29"/>
        <v/>
      </c>
      <c r="AH202" s="190">
        <v>1</v>
      </c>
      <c r="AI202" s="69">
        <f t="shared" si="30"/>
        <v>1</v>
      </c>
    </row>
    <row r="203" spans="1:38" s="69" customFormat="1" ht="49.5" customHeight="1" x14ac:dyDescent="0.3">
      <c r="A203" s="130" t="s">
        <v>531</v>
      </c>
      <c r="B203" s="131" t="s">
        <v>392</v>
      </c>
      <c r="C203" s="132" t="s">
        <v>23</v>
      </c>
      <c r="D203" s="133">
        <v>250</v>
      </c>
      <c r="E203" s="75"/>
      <c r="F203" s="75"/>
      <c r="G203" s="75"/>
      <c r="H203" s="239">
        <v>11.7</v>
      </c>
      <c r="I203" s="75">
        <v>3115.13</v>
      </c>
      <c r="J203" s="75">
        <v>36447.019999999997</v>
      </c>
      <c r="K203" s="91" t="s">
        <v>114</v>
      </c>
      <c r="L203" s="73"/>
      <c r="M203" s="46">
        <v>11.7</v>
      </c>
      <c r="N203" s="46">
        <v>0</v>
      </c>
      <c r="O203" s="46">
        <v>36447.019999999997</v>
      </c>
      <c r="P203" s="98"/>
      <c r="Q203" s="23" t="s">
        <v>1421</v>
      </c>
      <c r="R203" s="24" t="s">
        <v>392</v>
      </c>
      <c r="S203" s="25" t="s">
        <v>23</v>
      </c>
      <c r="T203" s="26">
        <v>250</v>
      </c>
      <c r="U203" s="26">
        <v>11.7</v>
      </c>
      <c r="V203" s="26">
        <v>3115.13</v>
      </c>
      <c r="W203" s="127">
        <f t="shared" ref="W203:W219" si="39">AH203-M203</f>
        <v>0</v>
      </c>
      <c r="X203" s="127">
        <f t="shared" si="35"/>
        <v>11.7</v>
      </c>
      <c r="Y203" s="127">
        <f t="shared" ref="Y203:Y219" si="40">Z203-O203</f>
        <v>0</v>
      </c>
      <c r="Z203" s="127">
        <f t="shared" si="27"/>
        <v>36447.019999999997</v>
      </c>
      <c r="AA203" s="33" t="s">
        <v>15</v>
      </c>
      <c r="AB203" s="36" t="s">
        <v>16</v>
      </c>
      <c r="AC203" s="181">
        <f t="shared" ref="AC203:AC266" si="41">IF(U203="",T203,U203)</f>
        <v>11.7</v>
      </c>
      <c r="AD203" s="181">
        <f t="shared" si="37"/>
        <v>36447.019999999997</v>
      </c>
      <c r="AE203" s="181">
        <v>1.5</v>
      </c>
      <c r="AF203" s="181">
        <v>1.5</v>
      </c>
      <c r="AG203" s="101" t="str">
        <f t="shared" ref="AG203:AG266" si="42">IF(X203&gt;AI203,"超估","")</f>
        <v/>
      </c>
      <c r="AH203" s="190">
        <v>11.7</v>
      </c>
      <c r="AI203" s="69">
        <f t="shared" ref="AI203:AI266" si="43">IF(G203=0,IF(F203=0,IF(E203=0,D203,E203),F203),G203)</f>
        <v>250</v>
      </c>
    </row>
    <row r="204" spans="1:38" s="69" customFormat="1" ht="49.5" customHeight="1" x14ac:dyDescent="0.3">
      <c r="A204" s="130" t="s">
        <v>532</v>
      </c>
      <c r="B204" s="131" t="s">
        <v>116</v>
      </c>
      <c r="C204" s="132" t="s">
        <v>23</v>
      </c>
      <c r="D204" s="133">
        <v>2474</v>
      </c>
      <c r="E204" s="75"/>
      <c r="F204" s="75"/>
      <c r="G204" s="75"/>
      <c r="H204" s="75">
        <v>2593.6999999999998</v>
      </c>
      <c r="I204" s="75">
        <v>3321.13</v>
      </c>
      <c r="J204" s="75">
        <v>8614014.8800000008</v>
      </c>
      <c r="K204" s="91" t="s">
        <v>117</v>
      </c>
      <c r="L204" s="73"/>
      <c r="M204" s="46">
        <v>2473.35</v>
      </c>
      <c r="N204" s="46">
        <v>0</v>
      </c>
      <c r="O204" s="46">
        <v>8214316.8899999997</v>
      </c>
      <c r="P204" s="98"/>
      <c r="Q204" s="23" t="s">
        <v>1426</v>
      </c>
      <c r="R204" s="24" t="s">
        <v>116</v>
      </c>
      <c r="S204" s="25" t="s">
        <v>23</v>
      </c>
      <c r="T204" s="26">
        <v>2474</v>
      </c>
      <c r="U204" s="26">
        <v>2593.6999999999998</v>
      </c>
      <c r="V204" s="26">
        <v>3321.13</v>
      </c>
      <c r="W204" s="127">
        <f t="shared" si="39"/>
        <v>0</v>
      </c>
      <c r="X204" s="127">
        <f t="shared" si="35"/>
        <v>2473.35</v>
      </c>
      <c r="Y204" s="127">
        <f t="shared" si="40"/>
        <v>0</v>
      </c>
      <c r="Z204" s="127">
        <f t="shared" ref="Z204:Z267" si="44">ROUND(V204*X204,2)</f>
        <v>8214316.8899999997</v>
      </c>
      <c r="AA204" s="33" t="s">
        <v>15</v>
      </c>
      <c r="AB204" s="36" t="s">
        <v>16</v>
      </c>
      <c r="AC204" s="181">
        <f t="shared" si="41"/>
        <v>2593.6999999999998</v>
      </c>
      <c r="AD204" s="181">
        <f t="shared" si="37"/>
        <v>8614014.8800000008</v>
      </c>
      <c r="AE204" s="181">
        <v>1.5</v>
      </c>
      <c r="AF204" s="181">
        <v>1.5</v>
      </c>
      <c r="AG204" s="101" t="str">
        <f t="shared" si="42"/>
        <v/>
      </c>
      <c r="AH204" s="194">
        <v>2473.35</v>
      </c>
      <c r="AI204" s="69">
        <f t="shared" si="43"/>
        <v>2474</v>
      </c>
      <c r="AL204" s="196">
        <v>2782.2855</v>
      </c>
    </row>
    <row r="205" spans="1:38" s="69" customFormat="1" ht="49.5" customHeight="1" x14ac:dyDescent="0.3">
      <c r="A205" s="130" t="s">
        <v>533</v>
      </c>
      <c r="B205" s="131" t="s">
        <v>534</v>
      </c>
      <c r="C205" s="132" t="s">
        <v>23</v>
      </c>
      <c r="D205" s="133">
        <v>1187</v>
      </c>
      <c r="E205" s="75"/>
      <c r="F205" s="75"/>
      <c r="G205" s="75"/>
      <c r="H205" s="75">
        <v>1256.1500000000001</v>
      </c>
      <c r="I205" s="75">
        <v>1749.25</v>
      </c>
      <c r="J205" s="75">
        <v>2197320.39</v>
      </c>
      <c r="K205" s="91" t="s">
        <v>535</v>
      </c>
      <c r="L205" s="73"/>
      <c r="M205" s="46">
        <v>1187</v>
      </c>
      <c r="N205" s="46">
        <v>0</v>
      </c>
      <c r="O205" s="46">
        <v>2076359.75</v>
      </c>
      <c r="P205" s="98"/>
      <c r="Q205" s="23" t="s">
        <v>1402</v>
      </c>
      <c r="R205" s="24" t="s">
        <v>534</v>
      </c>
      <c r="S205" s="25" t="s">
        <v>23</v>
      </c>
      <c r="T205" s="26">
        <v>1187</v>
      </c>
      <c r="U205" s="26">
        <v>1256.1500000000001</v>
      </c>
      <c r="V205" s="26">
        <v>1749.25</v>
      </c>
      <c r="W205" s="127">
        <f t="shared" si="39"/>
        <v>0</v>
      </c>
      <c r="X205" s="127">
        <f t="shared" si="35"/>
        <v>1187</v>
      </c>
      <c r="Y205" s="127">
        <f t="shared" si="40"/>
        <v>0</v>
      </c>
      <c r="Z205" s="127">
        <f t="shared" si="44"/>
        <v>2076359.75</v>
      </c>
      <c r="AA205" s="33" t="s">
        <v>15</v>
      </c>
      <c r="AB205" s="36" t="s">
        <v>16</v>
      </c>
      <c r="AC205" s="181">
        <f t="shared" si="41"/>
        <v>1256.1500000000001</v>
      </c>
      <c r="AD205" s="181">
        <f t="shared" si="37"/>
        <v>2197320.39</v>
      </c>
      <c r="AE205" s="181">
        <v>1.5</v>
      </c>
      <c r="AF205" s="181">
        <v>1.5</v>
      </c>
      <c r="AG205" s="101" t="str">
        <f t="shared" si="42"/>
        <v/>
      </c>
      <c r="AH205" s="194">
        <v>1187</v>
      </c>
      <c r="AI205" s="69">
        <f t="shared" si="43"/>
        <v>1187</v>
      </c>
      <c r="AL205" s="195">
        <v>1161.5828000000001</v>
      </c>
    </row>
    <row r="206" spans="1:38" s="69" customFormat="1" ht="39" x14ac:dyDescent="0.3">
      <c r="A206" s="130" t="s">
        <v>536</v>
      </c>
      <c r="B206" s="131" t="s">
        <v>493</v>
      </c>
      <c r="C206" s="132" t="s">
        <v>23</v>
      </c>
      <c r="D206" s="133">
        <v>3911</v>
      </c>
      <c r="E206" s="75"/>
      <c r="F206" s="75"/>
      <c r="G206" s="75"/>
      <c r="H206" s="75" t="s">
        <v>15</v>
      </c>
      <c r="I206" s="75">
        <v>200</v>
      </c>
      <c r="J206" s="75">
        <v>782200</v>
      </c>
      <c r="K206" s="91" t="s">
        <v>494</v>
      </c>
      <c r="L206" s="73"/>
      <c r="M206" s="46">
        <v>3672.05</v>
      </c>
      <c r="N206" s="46">
        <v>0</v>
      </c>
      <c r="O206" s="46">
        <v>734410</v>
      </c>
      <c r="P206" s="98"/>
      <c r="Q206" s="23" t="s">
        <v>1373</v>
      </c>
      <c r="R206" s="24" t="s">
        <v>493</v>
      </c>
      <c r="S206" s="25" t="s">
        <v>23</v>
      </c>
      <c r="T206" s="26">
        <v>3911</v>
      </c>
      <c r="U206" s="26">
        <v>3911</v>
      </c>
      <c r="V206" s="26">
        <v>200</v>
      </c>
      <c r="W206" s="127">
        <f t="shared" si="39"/>
        <v>0</v>
      </c>
      <c r="X206" s="127">
        <f t="shared" si="35"/>
        <v>3672.05</v>
      </c>
      <c r="Y206" s="127">
        <f t="shared" si="40"/>
        <v>0</v>
      </c>
      <c r="Z206" s="127">
        <f t="shared" si="44"/>
        <v>734410</v>
      </c>
      <c r="AA206" s="33" t="s">
        <v>15</v>
      </c>
      <c r="AB206" s="36" t="s">
        <v>16</v>
      </c>
      <c r="AC206" s="181">
        <f t="shared" si="41"/>
        <v>3911</v>
      </c>
      <c r="AD206" s="181">
        <f t="shared" si="37"/>
        <v>782200</v>
      </c>
      <c r="AE206" s="181">
        <v>1.5</v>
      </c>
      <c r="AF206" s="181">
        <v>1.5</v>
      </c>
      <c r="AG206" s="101" t="str">
        <f t="shared" si="42"/>
        <v/>
      </c>
      <c r="AH206" s="194">
        <v>3672.05</v>
      </c>
      <c r="AI206" s="69">
        <f t="shared" si="43"/>
        <v>3911</v>
      </c>
      <c r="AL206" s="198">
        <f>AL203+AL204+AL205</f>
        <v>3943.8683000000001</v>
      </c>
    </row>
    <row r="207" spans="1:38" s="69" customFormat="1" ht="57.75" x14ac:dyDescent="0.3">
      <c r="A207" s="130" t="s">
        <v>537</v>
      </c>
      <c r="B207" s="131" t="s">
        <v>405</v>
      </c>
      <c r="C207" s="132" t="s">
        <v>50</v>
      </c>
      <c r="D207" s="133">
        <v>3820</v>
      </c>
      <c r="E207" s="75"/>
      <c r="F207" s="75">
        <v>4730</v>
      </c>
      <c r="G207" s="75"/>
      <c r="H207" s="75">
        <v>5411.06</v>
      </c>
      <c r="I207" s="75">
        <v>982.98</v>
      </c>
      <c r="J207" s="75">
        <v>5318963.76</v>
      </c>
      <c r="K207" s="91" t="s">
        <v>406</v>
      </c>
      <c r="L207" s="73"/>
      <c r="M207" s="46">
        <v>5409.2</v>
      </c>
      <c r="N207" s="46">
        <v>0</v>
      </c>
      <c r="O207" s="46">
        <v>5317135.42</v>
      </c>
      <c r="P207" s="98"/>
      <c r="Q207" s="23" t="s">
        <v>1393</v>
      </c>
      <c r="R207" s="24" t="s">
        <v>405</v>
      </c>
      <c r="S207" s="25" t="s">
        <v>50</v>
      </c>
      <c r="T207" s="26">
        <v>3820</v>
      </c>
      <c r="U207" s="26">
        <v>5411.06</v>
      </c>
      <c r="V207" s="26">
        <v>982.98</v>
      </c>
      <c r="W207" s="127">
        <f t="shared" si="39"/>
        <v>0</v>
      </c>
      <c r="X207" s="127">
        <f t="shared" si="35"/>
        <v>5409.2</v>
      </c>
      <c r="Y207" s="127">
        <f t="shared" si="40"/>
        <v>0</v>
      </c>
      <c r="Z207" s="127">
        <f t="shared" si="44"/>
        <v>5317135.42</v>
      </c>
      <c r="AA207" s="27" t="s">
        <v>15</v>
      </c>
      <c r="AB207" s="36" t="s">
        <v>16</v>
      </c>
      <c r="AC207" s="181">
        <f t="shared" si="41"/>
        <v>5411.06</v>
      </c>
      <c r="AD207" s="181">
        <f t="shared" si="37"/>
        <v>5318963.76</v>
      </c>
      <c r="AE207" s="181">
        <v>1.5</v>
      </c>
      <c r="AF207" s="181">
        <v>1.5</v>
      </c>
      <c r="AG207" s="101" t="str">
        <f t="shared" si="42"/>
        <v>超估</v>
      </c>
      <c r="AH207" s="191">
        <v>5409.2</v>
      </c>
      <c r="AI207" s="69">
        <f t="shared" si="43"/>
        <v>4730</v>
      </c>
      <c r="AL207" s="195">
        <v>5411.06</v>
      </c>
    </row>
    <row r="208" spans="1:38" s="69" customFormat="1" ht="41.25" x14ac:dyDescent="0.3">
      <c r="A208" s="130" t="s">
        <v>538</v>
      </c>
      <c r="B208" s="131" t="s">
        <v>408</v>
      </c>
      <c r="C208" s="132" t="s">
        <v>50</v>
      </c>
      <c r="D208" s="133">
        <v>800</v>
      </c>
      <c r="E208" s="203"/>
      <c r="F208" s="203"/>
      <c r="G208" s="203"/>
      <c r="H208" s="203">
        <v>1811.33</v>
      </c>
      <c r="I208" s="75">
        <v>804.79</v>
      </c>
      <c r="J208" s="75">
        <v>1457740.27</v>
      </c>
      <c r="K208" s="91" t="s">
        <v>409</v>
      </c>
      <c r="L208" s="73"/>
      <c r="M208" s="46">
        <v>1796.3</v>
      </c>
      <c r="N208" s="46">
        <v>0</v>
      </c>
      <c r="O208" s="46">
        <v>1445644.28</v>
      </c>
      <c r="P208" s="98"/>
      <c r="Q208" s="23" t="s">
        <v>1403</v>
      </c>
      <c r="R208" s="24" t="s">
        <v>408</v>
      </c>
      <c r="S208" s="25" t="s">
        <v>50</v>
      </c>
      <c r="T208" s="26">
        <v>800</v>
      </c>
      <c r="U208" s="26">
        <v>1811.33</v>
      </c>
      <c r="V208" s="26">
        <v>804.79</v>
      </c>
      <c r="W208" s="127">
        <f t="shared" si="39"/>
        <v>0</v>
      </c>
      <c r="X208" s="127">
        <f t="shared" si="35"/>
        <v>1796.3</v>
      </c>
      <c r="Y208" s="127">
        <f t="shared" si="40"/>
        <v>0</v>
      </c>
      <c r="Z208" s="127">
        <f t="shared" si="44"/>
        <v>1445644.28</v>
      </c>
      <c r="AA208" s="33" t="s">
        <v>15</v>
      </c>
      <c r="AB208" s="36" t="s">
        <v>16</v>
      </c>
      <c r="AC208" s="181">
        <f t="shared" si="41"/>
        <v>1811.33</v>
      </c>
      <c r="AD208" s="181">
        <f t="shared" si="37"/>
        <v>1457740.27</v>
      </c>
      <c r="AE208" s="181">
        <v>1.5</v>
      </c>
      <c r="AF208" s="181">
        <v>1.5</v>
      </c>
      <c r="AG208" s="101" t="str">
        <f t="shared" si="42"/>
        <v>超估</v>
      </c>
      <c r="AH208" s="191">
        <v>1796.3</v>
      </c>
      <c r="AI208" s="69">
        <f t="shared" si="43"/>
        <v>800</v>
      </c>
    </row>
    <row r="209" spans="1:35" s="69" customFormat="1" ht="41.25" x14ac:dyDescent="0.3">
      <c r="A209" s="130" t="s">
        <v>539</v>
      </c>
      <c r="B209" s="131" t="s">
        <v>119</v>
      </c>
      <c r="C209" s="132" t="s">
        <v>50</v>
      </c>
      <c r="D209" s="133">
        <v>258</v>
      </c>
      <c r="E209" s="203"/>
      <c r="F209" s="203"/>
      <c r="G209" s="203"/>
      <c r="H209" s="203">
        <v>1210.32</v>
      </c>
      <c r="I209" s="75">
        <v>533.64</v>
      </c>
      <c r="J209" s="75">
        <v>645875.16</v>
      </c>
      <c r="K209" s="91" t="s">
        <v>120</v>
      </c>
      <c r="L209" s="73"/>
      <c r="M209" s="46">
        <v>1121.2</v>
      </c>
      <c r="N209" s="46">
        <v>0</v>
      </c>
      <c r="O209" s="46">
        <v>598317.17000000004</v>
      </c>
      <c r="P209" s="98"/>
      <c r="Q209" s="23" t="s">
        <v>1427</v>
      </c>
      <c r="R209" s="24" t="s">
        <v>119</v>
      </c>
      <c r="S209" s="25" t="s">
        <v>50</v>
      </c>
      <c r="T209" s="26">
        <v>258</v>
      </c>
      <c r="U209" s="26">
        <v>1210.32</v>
      </c>
      <c r="V209" s="26">
        <v>533.64</v>
      </c>
      <c r="W209" s="127">
        <f t="shared" si="39"/>
        <v>0</v>
      </c>
      <c r="X209" s="127">
        <f t="shared" si="35"/>
        <v>1121.2</v>
      </c>
      <c r="Y209" s="127">
        <f t="shared" si="40"/>
        <v>0</v>
      </c>
      <c r="Z209" s="127">
        <f t="shared" si="44"/>
        <v>598317.17000000004</v>
      </c>
      <c r="AA209" s="33" t="s">
        <v>15</v>
      </c>
      <c r="AB209" s="36" t="s">
        <v>16</v>
      </c>
      <c r="AC209" s="181">
        <f t="shared" si="41"/>
        <v>1210.32</v>
      </c>
      <c r="AD209" s="181">
        <f t="shared" si="37"/>
        <v>645875.16</v>
      </c>
      <c r="AE209" s="181">
        <v>1.5</v>
      </c>
      <c r="AF209" s="181">
        <v>1.5</v>
      </c>
      <c r="AG209" s="101" t="str">
        <f t="shared" si="42"/>
        <v>超估</v>
      </c>
      <c r="AH209" s="191">
        <v>1121.2</v>
      </c>
      <c r="AI209" s="69">
        <f t="shared" si="43"/>
        <v>258</v>
      </c>
    </row>
    <row r="210" spans="1:35" s="69" customFormat="1" ht="39" x14ac:dyDescent="0.3">
      <c r="A210" s="130" t="s">
        <v>540</v>
      </c>
      <c r="B210" s="131" t="s">
        <v>109</v>
      </c>
      <c r="C210" s="132" t="s">
        <v>110</v>
      </c>
      <c r="D210" s="133">
        <v>133401</v>
      </c>
      <c r="E210" s="203"/>
      <c r="F210" s="203"/>
      <c r="G210" s="203"/>
      <c r="H210" s="203">
        <v>153939.46</v>
      </c>
      <c r="I210" s="75">
        <v>36.4</v>
      </c>
      <c r="J210" s="75">
        <v>5603396.3399999999</v>
      </c>
      <c r="K210" s="91" t="s">
        <v>111</v>
      </c>
      <c r="L210" s="73"/>
      <c r="M210" s="46">
        <v>153669.92000000001</v>
      </c>
      <c r="N210" s="46">
        <v>0</v>
      </c>
      <c r="O210" s="46">
        <v>5593585.0899999999</v>
      </c>
      <c r="P210" s="98"/>
      <c r="Q210" s="23" t="s">
        <v>1428</v>
      </c>
      <c r="R210" s="24" t="s">
        <v>109</v>
      </c>
      <c r="S210" s="25" t="s">
        <v>110</v>
      </c>
      <c r="T210" s="26">
        <v>133401</v>
      </c>
      <c r="U210" s="26">
        <v>153939.46</v>
      </c>
      <c r="V210" s="26">
        <v>36.4</v>
      </c>
      <c r="W210" s="127">
        <f t="shared" si="39"/>
        <v>0</v>
      </c>
      <c r="X210" s="127">
        <f t="shared" si="35"/>
        <v>153669.92000000001</v>
      </c>
      <c r="Y210" s="127">
        <f t="shared" si="40"/>
        <v>0</v>
      </c>
      <c r="Z210" s="127">
        <f t="shared" si="44"/>
        <v>5593585.0899999999</v>
      </c>
      <c r="AA210" s="33" t="s">
        <v>15</v>
      </c>
      <c r="AB210" s="36" t="s">
        <v>16</v>
      </c>
      <c r="AC210" s="181">
        <f t="shared" si="41"/>
        <v>153939.46</v>
      </c>
      <c r="AD210" s="181">
        <f t="shared" si="37"/>
        <v>5603396.3399999999</v>
      </c>
      <c r="AE210" s="181">
        <v>1.5</v>
      </c>
      <c r="AF210" s="181">
        <v>1.5</v>
      </c>
      <c r="AG210" s="101" t="str">
        <f t="shared" si="42"/>
        <v>超估</v>
      </c>
      <c r="AH210" s="191">
        <v>153669.92000000001</v>
      </c>
      <c r="AI210" s="69">
        <f t="shared" si="43"/>
        <v>133401</v>
      </c>
    </row>
    <row r="211" spans="1:35" s="69" customFormat="1" ht="39" x14ac:dyDescent="0.3">
      <c r="A211" s="130" t="s">
        <v>541</v>
      </c>
      <c r="B211" s="131" t="s">
        <v>399</v>
      </c>
      <c r="C211" s="132" t="s">
        <v>110</v>
      </c>
      <c r="D211" s="133">
        <v>118802</v>
      </c>
      <c r="E211" s="203"/>
      <c r="F211" s="203"/>
      <c r="G211" s="203"/>
      <c r="H211" s="203">
        <v>185226.6</v>
      </c>
      <c r="I211" s="75">
        <v>38.71</v>
      </c>
      <c r="J211" s="75">
        <v>7170121.6900000004</v>
      </c>
      <c r="K211" s="91" t="s">
        <v>400</v>
      </c>
      <c r="L211" s="73"/>
      <c r="M211" s="46">
        <v>185029</v>
      </c>
      <c r="N211" s="46">
        <v>0</v>
      </c>
      <c r="O211" s="46">
        <v>7162472.5899999999</v>
      </c>
      <c r="P211" s="98"/>
      <c r="Q211" s="23" t="s">
        <v>1387</v>
      </c>
      <c r="R211" s="24" t="s">
        <v>399</v>
      </c>
      <c r="S211" s="25" t="s">
        <v>110</v>
      </c>
      <c r="T211" s="26">
        <v>118802</v>
      </c>
      <c r="U211" s="26">
        <v>185226.6</v>
      </c>
      <c r="V211" s="26">
        <v>38.71</v>
      </c>
      <c r="W211" s="127">
        <f t="shared" si="39"/>
        <v>0</v>
      </c>
      <c r="X211" s="127">
        <f t="shared" si="35"/>
        <v>185029</v>
      </c>
      <c r="Y211" s="127">
        <f t="shared" si="40"/>
        <v>0</v>
      </c>
      <c r="Z211" s="127">
        <f t="shared" si="44"/>
        <v>7162472.5899999999</v>
      </c>
      <c r="AA211" s="33" t="s">
        <v>15</v>
      </c>
      <c r="AB211" s="36" t="s">
        <v>16</v>
      </c>
      <c r="AC211" s="181">
        <f t="shared" si="41"/>
        <v>185226.6</v>
      </c>
      <c r="AD211" s="181">
        <f t="shared" si="37"/>
        <v>7170121.6900000004</v>
      </c>
      <c r="AE211" s="181">
        <v>1.5</v>
      </c>
      <c r="AF211" s="181">
        <v>1.5</v>
      </c>
      <c r="AG211" s="101" t="str">
        <f t="shared" si="42"/>
        <v>超估</v>
      </c>
      <c r="AH211" s="191">
        <v>185029</v>
      </c>
      <c r="AI211" s="69">
        <f t="shared" si="43"/>
        <v>118802</v>
      </c>
    </row>
    <row r="212" spans="1:35" s="69" customFormat="1" ht="58.5" x14ac:dyDescent="0.3">
      <c r="A212" s="130" t="s">
        <v>542</v>
      </c>
      <c r="B212" s="131" t="s">
        <v>543</v>
      </c>
      <c r="C212" s="132" t="s">
        <v>30</v>
      </c>
      <c r="D212" s="133">
        <v>129</v>
      </c>
      <c r="E212" s="75"/>
      <c r="F212" s="75"/>
      <c r="G212" s="75"/>
      <c r="H212" s="75" t="s">
        <v>15</v>
      </c>
      <c r="I212" s="75">
        <v>2865.95</v>
      </c>
      <c r="J212" s="75">
        <v>369707.55</v>
      </c>
      <c r="K212" s="91" t="s">
        <v>544</v>
      </c>
      <c r="L212" s="73"/>
      <c r="M212" s="46">
        <v>78</v>
      </c>
      <c r="N212" s="46">
        <v>0</v>
      </c>
      <c r="O212" s="46">
        <v>223544.1</v>
      </c>
      <c r="P212" s="98"/>
      <c r="Q212" s="23" t="s">
        <v>1405</v>
      </c>
      <c r="R212" s="24" t="s">
        <v>543</v>
      </c>
      <c r="S212" s="25" t="s">
        <v>30</v>
      </c>
      <c r="T212" s="26">
        <v>129</v>
      </c>
      <c r="U212" s="26">
        <v>129</v>
      </c>
      <c r="V212" s="26">
        <v>2865.95</v>
      </c>
      <c r="W212" s="209">
        <f t="shared" si="39"/>
        <v>0</v>
      </c>
      <c r="X212" s="127">
        <f t="shared" si="35"/>
        <v>78</v>
      </c>
      <c r="Y212" s="127">
        <f t="shared" si="40"/>
        <v>0</v>
      </c>
      <c r="Z212" s="127">
        <f t="shared" si="44"/>
        <v>223544.1</v>
      </c>
      <c r="AA212" s="33" t="s">
        <v>15</v>
      </c>
      <c r="AB212" s="36" t="s">
        <v>16</v>
      </c>
      <c r="AC212" s="181">
        <f t="shared" si="41"/>
        <v>129</v>
      </c>
      <c r="AD212" s="181">
        <f t="shared" si="37"/>
        <v>369707.55</v>
      </c>
      <c r="AE212" s="181">
        <v>1.5</v>
      </c>
      <c r="AF212" s="181">
        <v>1.5</v>
      </c>
      <c r="AG212" s="101" t="str">
        <f t="shared" si="42"/>
        <v/>
      </c>
      <c r="AH212" s="191">
        <f>36+42</f>
        <v>78</v>
      </c>
      <c r="AI212" s="69">
        <f t="shared" si="43"/>
        <v>129</v>
      </c>
    </row>
    <row r="213" spans="1:35" s="69" customFormat="1" ht="58.5" x14ac:dyDescent="0.3">
      <c r="A213" s="130" t="s">
        <v>545</v>
      </c>
      <c r="B213" s="131" t="s">
        <v>546</v>
      </c>
      <c r="C213" s="132" t="s">
        <v>81</v>
      </c>
      <c r="D213" s="133">
        <v>54</v>
      </c>
      <c r="E213" s="75"/>
      <c r="F213" s="75"/>
      <c r="G213" s="75"/>
      <c r="H213" s="75" t="s">
        <v>15</v>
      </c>
      <c r="I213" s="75">
        <v>1478.05</v>
      </c>
      <c r="J213" s="75">
        <v>79814.7</v>
      </c>
      <c r="K213" s="91" t="s">
        <v>547</v>
      </c>
      <c r="L213" s="73"/>
      <c r="M213" s="46">
        <v>33</v>
      </c>
      <c r="N213" s="46">
        <v>0</v>
      </c>
      <c r="O213" s="46">
        <v>48775.65</v>
      </c>
      <c r="P213" s="98"/>
      <c r="Q213" s="23" t="s">
        <v>1406</v>
      </c>
      <c r="R213" s="24" t="s">
        <v>546</v>
      </c>
      <c r="S213" s="25" t="s">
        <v>81</v>
      </c>
      <c r="T213" s="26">
        <v>54</v>
      </c>
      <c r="U213" s="26">
        <v>54</v>
      </c>
      <c r="V213" s="26">
        <v>1478.05</v>
      </c>
      <c r="W213" s="209">
        <f t="shared" si="39"/>
        <v>0</v>
      </c>
      <c r="X213" s="127">
        <f t="shared" si="35"/>
        <v>33</v>
      </c>
      <c r="Y213" s="127">
        <f t="shared" si="40"/>
        <v>0</v>
      </c>
      <c r="Z213" s="127">
        <f t="shared" si="44"/>
        <v>48775.65</v>
      </c>
      <c r="AA213" s="33" t="s">
        <v>15</v>
      </c>
      <c r="AB213" s="36" t="s">
        <v>16</v>
      </c>
      <c r="AC213" s="181">
        <f t="shared" si="41"/>
        <v>54</v>
      </c>
      <c r="AD213" s="181">
        <f t="shared" si="37"/>
        <v>79814.7</v>
      </c>
      <c r="AE213" s="181">
        <v>1.5</v>
      </c>
      <c r="AF213" s="181">
        <v>1.5</v>
      </c>
      <c r="AG213" s="101" t="str">
        <f t="shared" si="42"/>
        <v/>
      </c>
      <c r="AH213" s="191">
        <f>18+15</f>
        <v>33</v>
      </c>
      <c r="AI213" s="69">
        <f t="shared" si="43"/>
        <v>54</v>
      </c>
    </row>
    <row r="214" spans="1:35" s="69" customFormat="1" ht="49.5" x14ac:dyDescent="0.3">
      <c r="A214" s="130" t="s">
        <v>548</v>
      </c>
      <c r="B214" s="240" t="s">
        <v>549</v>
      </c>
      <c r="C214" s="132" t="s">
        <v>30</v>
      </c>
      <c r="D214" s="133">
        <v>170</v>
      </c>
      <c r="E214" s="75"/>
      <c r="F214" s="75"/>
      <c r="G214" s="75"/>
      <c r="H214" s="75" t="s">
        <v>15</v>
      </c>
      <c r="I214" s="75">
        <v>151.72</v>
      </c>
      <c r="J214" s="75">
        <v>25792.400000000001</v>
      </c>
      <c r="K214" s="91" t="s">
        <v>550</v>
      </c>
      <c r="L214" s="73"/>
      <c r="M214" s="46">
        <v>91</v>
      </c>
      <c r="N214" s="46">
        <v>0</v>
      </c>
      <c r="O214" s="46">
        <v>13806.52</v>
      </c>
      <c r="P214" s="98"/>
      <c r="Q214" s="23" t="s">
        <v>1414</v>
      </c>
      <c r="R214" s="24" t="s">
        <v>549</v>
      </c>
      <c r="S214" s="25" t="s">
        <v>30</v>
      </c>
      <c r="T214" s="26">
        <v>170</v>
      </c>
      <c r="U214" s="26">
        <v>170</v>
      </c>
      <c r="V214" s="26">
        <v>151.72</v>
      </c>
      <c r="W214" s="209">
        <f t="shared" si="39"/>
        <v>0</v>
      </c>
      <c r="X214" s="127">
        <f t="shared" si="35"/>
        <v>91</v>
      </c>
      <c r="Y214" s="127">
        <f t="shared" si="40"/>
        <v>0</v>
      </c>
      <c r="Z214" s="127">
        <f t="shared" si="44"/>
        <v>13806.52</v>
      </c>
      <c r="AA214" s="33" t="s">
        <v>15</v>
      </c>
      <c r="AB214" s="36" t="s">
        <v>16</v>
      </c>
      <c r="AC214" s="181">
        <f t="shared" si="41"/>
        <v>170</v>
      </c>
      <c r="AD214" s="181">
        <f t="shared" si="37"/>
        <v>25792.400000000001</v>
      </c>
      <c r="AE214" s="181">
        <v>1.5</v>
      </c>
      <c r="AF214" s="181">
        <v>1.5</v>
      </c>
      <c r="AG214" s="101" t="str">
        <f t="shared" si="42"/>
        <v/>
      </c>
      <c r="AH214" s="191">
        <f>36+55</f>
        <v>91</v>
      </c>
      <c r="AI214" s="69">
        <f t="shared" si="43"/>
        <v>170</v>
      </c>
    </row>
    <row r="215" spans="1:35" s="69" customFormat="1" ht="33" x14ac:dyDescent="0.3">
      <c r="A215" s="55" t="s">
        <v>551</v>
      </c>
      <c r="B215" s="138" t="s">
        <v>552</v>
      </c>
      <c r="C215" s="54" t="s">
        <v>325</v>
      </c>
      <c r="D215" s="75">
        <v>4</v>
      </c>
      <c r="E215" s="75"/>
      <c r="F215" s="75"/>
      <c r="G215" s="75"/>
      <c r="H215" s="75">
        <v>6</v>
      </c>
      <c r="I215" s="75">
        <v>15779.6</v>
      </c>
      <c r="J215" s="75">
        <v>94677.6</v>
      </c>
      <c r="K215" s="91" t="s">
        <v>553</v>
      </c>
      <c r="L215" s="73"/>
      <c r="M215" s="46">
        <v>4</v>
      </c>
      <c r="N215" s="46">
        <v>0</v>
      </c>
      <c r="O215" s="46">
        <v>63118.400000000001</v>
      </c>
      <c r="P215" s="98"/>
      <c r="Q215" s="23" t="s">
        <v>1429</v>
      </c>
      <c r="R215" s="24" t="s">
        <v>552</v>
      </c>
      <c r="S215" s="25" t="s">
        <v>325</v>
      </c>
      <c r="T215" s="26">
        <v>4</v>
      </c>
      <c r="U215" s="26">
        <v>6</v>
      </c>
      <c r="V215" s="26">
        <v>15779.6</v>
      </c>
      <c r="W215" s="243">
        <f t="shared" si="39"/>
        <v>0</v>
      </c>
      <c r="X215" s="26">
        <f t="shared" si="35"/>
        <v>4</v>
      </c>
      <c r="Y215" s="26">
        <f t="shared" si="40"/>
        <v>0</v>
      </c>
      <c r="Z215" s="26">
        <f t="shared" si="44"/>
        <v>63118.400000000001</v>
      </c>
      <c r="AA215" s="33" t="s">
        <v>15</v>
      </c>
      <c r="AB215" s="36" t="s">
        <v>16</v>
      </c>
      <c r="AC215" s="181">
        <f t="shared" si="41"/>
        <v>6</v>
      </c>
      <c r="AD215" s="181">
        <f t="shared" si="37"/>
        <v>94677.6</v>
      </c>
      <c r="AE215" s="181">
        <v>1.5</v>
      </c>
      <c r="AF215" s="181">
        <v>1.5</v>
      </c>
      <c r="AG215" s="101" t="str">
        <f t="shared" si="42"/>
        <v/>
      </c>
      <c r="AH215" s="191">
        <f>2+2</f>
        <v>4</v>
      </c>
      <c r="AI215" s="69">
        <f t="shared" si="43"/>
        <v>4</v>
      </c>
    </row>
    <row r="216" spans="1:35" s="69" customFormat="1" ht="33" x14ac:dyDescent="0.3">
      <c r="A216" s="55" t="s">
        <v>554</v>
      </c>
      <c r="B216" s="53" t="s">
        <v>189</v>
      </c>
      <c r="C216" s="54" t="s">
        <v>30</v>
      </c>
      <c r="D216" s="75">
        <v>453</v>
      </c>
      <c r="E216" s="75"/>
      <c r="F216" s="75"/>
      <c r="G216" s="75"/>
      <c r="H216" s="75" t="s">
        <v>15</v>
      </c>
      <c r="I216" s="75">
        <v>138.84</v>
      </c>
      <c r="J216" s="75">
        <v>62894.52</v>
      </c>
      <c r="K216" s="91" t="s">
        <v>190</v>
      </c>
      <c r="L216" s="73"/>
      <c r="M216" s="46">
        <v>376</v>
      </c>
      <c r="N216" s="46">
        <v>0</v>
      </c>
      <c r="O216" s="46">
        <v>52203.839999999997</v>
      </c>
      <c r="P216" s="98"/>
      <c r="Q216" s="23" t="s">
        <v>1430</v>
      </c>
      <c r="R216" s="24" t="s">
        <v>189</v>
      </c>
      <c r="S216" s="25" t="s">
        <v>30</v>
      </c>
      <c r="T216" s="26">
        <v>453</v>
      </c>
      <c r="U216" s="26">
        <v>453</v>
      </c>
      <c r="V216" s="26">
        <v>138.84</v>
      </c>
      <c r="W216" s="243">
        <f t="shared" si="39"/>
        <v>0</v>
      </c>
      <c r="X216" s="26">
        <f t="shared" si="35"/>
        <v>376</v>
      </c>
      <c r="Y216" s="26">
        <f t="shared" si="40"/>
        <v>0</v>
      </c>
      <c r="Z216" s="26">
        <f t="shared" si="44"/>
        <v>52203.839999999997</v>
      </c>
      <c r="AA216" s="33" t="s">
        <v>15</v>
      </c>
      <c r="AB216" s="36" t="s">
        <v>16</v>
      </c>
      <c r="AC216" s="181">
        <f t="shared" si="41"/>
        <v>453</v>
      </c>
      <c r="AD216" s="181">
        <f t="shared" si="37"/>
        <v>62894.52</v>
      </c>
      <c r="AE216" s="181">
        <v>1.5</v>
      </c>
      <c r="AF216" s="181">
        <v>1.5</v>
      </c>
      <c r="AG216" s="101" t="str">
        <f t="shared" si="42"/>
        <v/>
      </c>
      <c r="AH216" s="191">
        <f>285+91</f>
        <v>376</v>
      </c>
      <c r="AI216" s="69">
        <f t="shared" si="43"/>
        <v>453</v>
      </c>
    </row>
    <row r="217" spans="1:35" s="69" customFormat="1" ht="33" x14ac:dyDescent="0.3">
      <c r="A217" s="55" t="s">
        <v>555</v>
      </c>
      <c r="B217" s="53" t="s">
        <v>520</v>
      </c>
      <c r="C217" s="54" t="s">
        <v>30</v>
      </c>
      <c r="D217" s="75">
        <v>1680</v>
      </c>
      <c r="E217" s="75"/>
      <c r="F217" s="75"/>
      <c r="G217" s="75"/>
      <c r="H217" s="75" t="s">
        <v>15</v>
      </c>
      <c r="I217" s="75">
        <v>326.3</v>
      </c>
      <c r="J217" s="75">
        <v>548184</v>
      </c>
      <c r="K217" s="91" t="s">
        <v>521</v>
      </c>
      <c r="L217" s="73"/>
      <c r="M217" s="46">
        <v>1298</v>
      </c>
      <c r="N217" s="46">
        <v>0</v>
      </c>
      <c r="O217" s="46">
        <v>423537.4</v>
      </c>
      <c r="P217" s="98"/>
      <c r="Q217" s="23" t="s">
        <v>1431</v>
      </c>
      <c r="R217" s="24" t="s">
        <v>520</v>
      </c>
      <c r="S217" s="25" t="s">
        <v>30</v>
      </c>
      <c r="T217" s="26">
        <v>1680</v>
      </c>
      <c r="U217" s="26">
        <v>1680</v>
      </c>
      <c r="V217" s="26">
        <v>326.3</v>
      </c>
      <c r="W217" s="243">
        <f t="shared" si="39"/>
        <v>0</v>
      </c>
      <c r="X217" s="26">
        <f t="shared" si="35"/>
        <v>1298</v>
      </c>
      <c r="Y217" s="26">
        <f t="shared" si="40"/>
        <v>0</v>
      </c>
      <c r="Z217" s="26">
        <f t="shared" si="44"/>
        <v>423537.4</v>
      </c>
      <c r="AA217" s="33" t="s">
        <v>15</v>
      </c>
      <c r="AB217" s="36" t="s">
        <v>16</v>
      </c>
      <c r="AC217" s="181">
        <f t="shared" si="41"/>
        <v>1680</v>
      </c>
      <c r="AD217" s="181">
        <f t="shared" si="37"/>
        <v>548184</v>
      </c>
      <c r="AE217" s="181">
        <v>1.5</v>
      </c>
      <c r="AF217" s="181">
        <v>1.5</v>
      </c>
      <c r="AG217" s="101" t="str">
        <f t="shared" si="42"/>
        <v/>
      </c>
      <c r="AH217" s="191">
        <f>936+362</f>
        <v>1298</v>
      </c>
      <c r="AI217" s="69">
        <f t="shared" si="43"/>
        <v>1680</v>
      </c>
    </row>
    <row r="218" spans="1:35" s="69" customFormat="1" ht="39" x14ac:dyDescent="0.3">
      <c r="A218" s="130" t="s">
        <v>556</v>
      </c>
      <c r="B218" s="131" t="s">
        <v>424</v>
      </c>
      <c r="C218" s="132" t="s">
        <v>50</v>
      </c>
      <c r="D218" s="133">
        <v>756</v>
      </c>
      <c r="E218" s="75"/>
      <c r="F218" s="75"/>
      <c r="G218" s="75"/>
      <c r="H218" s="75" t="s">
        <v>15</v>
      </c>
      <c r="I218" s="75">
        <v>692.16</v>
      </c>
      <c r="J218" s="75">
        <v>523272.96000000002</v>
      </c>
      <c r="K218" s="91" t="s">
        <v>425</v>
      </c>
      <c r="L218" s="73"/>
      <c r="M218" s="46">
        <v>756</v>
      </c>
      <c r="N218" s="46">
        <v>0</v>
      </c>
      <c r="O218" s="46">
        <v>523272.96000000002</v>
      </c>
      <c r="P218" s="98"/>
      <c r="Q218" s="23" t="s">
        <v>1395</v>
      </c>
      <c r="R218" s="24" t="s">
        <v>424</v>
      </c>
      <c r="S218" s="25" t="s">
        <v>50</v>
      </c>
      <c r="T218" s="26">
        <v>756</v>
      </c>
      <c r="U218" s="26">
        <v>756</v>
      </c>
      <c r="V218" s="26">
        <v>692.16</v>
      </c>
      <c r="W218" s="127">
        <f t="shared" si="39"/>
        <v>0</v>
      </c>
      <c r="X218" s="127">
        <f t="shared" si="35"/>
        <v>756</v>
      </c>
      <c r="Y218" s="127">
        <f t="shared" si="40"/>
        <v>0</v>
      </c>
      <c r="Z218" s="127">
        <f t="shared" si="44"/>
        <v>523272.96000000002</v>
      </c>
      <c r="AA218" s="33" t="s">
        <v>15</v>
      </c>
      <c r="AB218" s="36" t="s">
        <v>16</v>
      </c>
      <c r="AC218" s="181">
        <f t="shared" si="41"/>
        <v>756</v>
      </c>
      <c r="AD218" s="181">
        <f t="shared" si="37"/>
        <v>523272.96000000002</v>
      </c>
      <c r="AE218" s="181">
        <v>1.5</v>
      </c>
      <c r="AF218" s="181">
        <v>1.5</v>
      </c>
      <c r="AG218" s="101" t="str">
        <f t="shared" si="42"/>
        <v/>
      </c>
      <c r="AH218" s="191">
        <v>756</v>
      </c>
      <c r="AI218" s="69">
        <f t="shared" si="43"/>
        <v>756</v>
      </c>
    </row>
    <row r="219" spans="1:35" s="69" customFormat="1" ht="39" x14ac:dyDescent="0.3">
      <c r="A219" s="55" t="s">
        <v>557</v>
      </c>
      <c r="B219" s="53" t="s">
        <v>558</v>
      </c>
      <c r="C219" s="54" t="s">
        <v>559</v>
      </c>
      <c r="D219" s="75">
        <v>32</v>
      </c>
      <c r="E219" s="75"/>
      <c r="F219" s="75"/>
      <c r="G219" s="75"/>
      <c r="H219" s="75" t="s">
        <v>15</v>
      </c>
      <c r="I219" s="75">
        <v>422.3</v>
      </c>
      <c r="J219" s="75">
        <v>13513.6</v>
      </c>
      <c r="K219" s="91" t="s">
        <v>560</v>
      </c>
      <c r="L219" s="73"/>
      <c r="M219" s="46">
        <v>0</v>
      </c>
      <c r="N219" s="46">
        <v>0</v>
      </c>
      <c r="O219" s="46">
        <v>0</v>
      </c>
      <c r="P219" s="98"/>
      <c r="Q219" s="23" t="s">
        <v>1432</v>
      </c>
      <c r="R219" s="24" t="s">
        <v>558</v>
      </c>
      <c r="S219" s="25" t="s">
        <v>559</v>
      </c>
      <c r="T219" s="26">
        <v>32</v>
      </c>
      <c r="U219" s="26">
        <v>32</v>
      </c>
      <c r="V219" s="26">
        <v>422.3</v>
      </c>
      <c r="W219" s="26">
        <f t="shared" si="39"/>
        <v>0</v>
      </c>
      <c r="X219" s="26">
        <f t="shared" si="35"/>
        <v>0</v>
      </c>
      <c r="Y219" s="26">
        <f t="shared" si="40"/>
        <v>0</v>
      </c>
      <c r="Z219" s="26">
        <f t="shared" si="44"/>
        <v>0</v>
      </c>
      <c r="AA219" s="33" t="s">
        <v>15</v>
      </c>
      <c r="AB219" s="36" t="s">
        <v>16</v>
      </c>
      <c r="AC219" s="181">
        <f t="shared" si="41"/>
        <v>32</v>
      </c>
      <c r="AD219" s="181">
        <f t="shared" si="37"/>
        <v>13513.6</v>
      </c>
      <c r="AE219" s="181">
        <v>1.5</v>
      </c>
      <c r="AF219" s="181">
        <v>1.5</v>
      </c>
      <c r="AG219" s="101" t="str">
        <f t="shared" si="42"/>
        <v/>
      </c>
      <c r="AH219" s="190">
        <v>0</v>
      </c>
      <c r="AI219" s="69">
        <f t="shared" si="43"/>
        <v>32</v>
      </c>
    </row>
    <row r="220" spans="1:35" s="69" customFormat="1" ht="33" x14ac:dyDescent="0.3">
      <c r="A220" s="79" t="s">
        <v>561</v>
      </c>
      <c r="B220" s="80" t="s">
        <v>562</v>
      </c>
      <c r="C220" s="81" t="s">
        <v>14</v>
      </c>
      <c r="D220" s="82">
        <v>1</v>
      </c>
      <c r="E220" s="82"/>
      <c r="F220" s="82"/>
      <c r="G220" s="82"/>
      <c r="H220" s="82" t="s">
        <v>15</v>
      </c>
      <c r="I220" s="82"/>
      <c r="J220" s="82">
        <v>13861675.58</v>
      </c>
      <c r="K220" s="94" t="s">
        <v>15</v>
      </c>
      <c r="L220" s="73"/>
      <c r="M220" s="45">
        <v>1</v>
      </c>
      <c r="N220" s="45">
        <v>0</v>
      </c>
      <c r="O220" s="45">
        <v>11873294.829999998</v>
      </c>
      <c r="P220" s="98"/>
      <c r="Q220" s="18" t="s">
        <v>1394</v>
      </c>
      <c r="R220" s="19" t="s">
        <v>562</v>
      </c>
      <c r="S220" s="20" t="s">
        <v>14</v>
      </c>
      <c r="T220" s="21">
        <v>1</v>
      </c>
      <c r="U220" s="21"/>
      <c r="V220" s="21">
        <f>SUMIFS(AD:AD,AE:AE,AE220)</f>
        <v>13861675.579999998</v>
      </c>
      <c r="W220" s="21">
        <f t="shared" ref="W220:X220" si="45">IF(Y220=0,0,1)</f>
        <v>0</v>
      </c>
      <c r="X220" s="21">
        <f t="shared" si="45"/>
        <v>1</v>
      </c>
      <c r="Y220" s="21">
        <f>SUMIFS(Y:Y,AF:AF,AE220)</f>
        <v>0</v>
      </c>
      <c r="Z220" s="21">
        <f>SUMIFS(Z:Z,AF:AF,AE220)</f>
        <v>11873294.829999998</v>
      </c>
      <c r="AA220" s="22" t="s">
        <v>15</v>
      </c>
      <c r="AB220" s="43" t="s">
        <v>16</v>
      </c>
      <c r="AC220" s="181">
        <f t="shared" si="41"/>
        <v>1</v>
      </c>
      <c r="AD220" s="184"/>
      <c r="AE220" s="184">
        <v>1.6</v>
      </c>
      <c r="AF220" s="184"/>
      <c r="AG220" s="101" t="str">
        <f t="shared" si="42"/>
        <v/>
      </c>
      <c r="AH220" s="190">
        <v>1</v>
      </c>
      <c r="AI220" s="69">
        <f t="shared" si="43"/>
        <v>1</v>
      </c>
    </row>
    <row r="221" spans="1:35" s="69" customFormat="1" ht="58.5" x14ac:dyDescent="0.3">
      <c r="A221" s="130" t="s">
        <v>563</v>
      </c>
      <c r="B221" s="131" t="s">
        <v>564</v>
      </c>
      <c r="C221" s="132" t="s">
        <v>23</v>
      </c>
      <c r="D221" s="133">
        <v>256</v>
      </c>
      <c r="E221" s="75"/>
      <c r="F221" s="75"/>
      <c r="G221" s="75"/>
      <c r="H221" s="75">
        <v>380.68</v>
      </c>
      <c r="I221" s="75">
        <v>7517.56</v>
      </c>
      <c r="J221" s="75">
        <v>2861784.74</v>
      </c>
      <c r="K221" s="91" t="s">
        <v>565</v>
      </c>
      <c r="L221" s="73"/>
      <c r="M221" s="46">
        <v>380.68</v>
      </c>
      <c r="N221" s="46">
        <v>0</v>
      </c>
      <c r="O221" s="46">
        <v>2861784.74</v>
      </c>
      <c r="P221" s="98"/>
      <c r="Q221" s="23" t="s">
        <v>1421</v>
      </c>
      <c r="R221" s="24" t="s">
        <v>564</v>
      </c>
      <c r="S221" s="25" t="s">
        <v>23</v>
      </c>
      <c r="T221" s="26">
        <v>256</v>
      </c>
      <c r="U221" s="26">
        <v>380.68</v>
      </c>
      <c r="V221" s="26">
        <v>7517.56</v>
      </c>
      <c r="W221" s="261">
        <f t="shared" ref="W221:W236" si="46">AH221-M221</f>
        <v>0</v>
      </c>
      <c r="X221" s="127">
        <f t="shared" si="35"/>
        <v>380.68</v>
      </c>
      <c r="Y221" s="127">
        <f t="shared" ref="Y221:Y236" si="47">Z221-O221</f>
        <v>0</v>
      </c>
      <c r="Z221" s="127">
        <f t="shared" si="44"/>
        <v>2861784.74</v>
      </c>
      <c r="AA221" s="33" t="s">
        <v>15</v>
      </c>
      <c r="AB221" s="36" t="s">
        <v>16</v>
      </c>
      <c r="AC221" s="181">
        <f t="shared" si="41"/>
        <v>380.68</v>
      </c>
      <c r="AD221" s="181">
        <f t="shared" ref="AD221:AD236" si="48">ROUND(V221*AC221,2)</f>
        <v>2861784.74</v>
      </c>
      <c r="AE221" s="181">
        <v>1.6</v>
      </c>
      <c r="AF221" s="181">
        <v>1.6</v>
      </c>
      <c r="AG221" s="101" t="str">
        <f t="shared" si="42"/>
        <v>超估</v>
      </c>
      <c r="AH221" s="191">
        <f>380.68</f>
        <v>380.68</v>
      </c>
      <c r="AI221" s="69">
        <f t="shared" si="43"/>
        <v>256</v>
      </c>
    </row>
    <row r="222" spans="1:35" s="69" customFormat="1" ht="58.5" x14ac:dyDescent="0.3">
      <c r="A222" s="55" t="s">
        <v>566</v>
      </c>
      <c r="B222" s="53" t="s">
        <v>3064</v>
      </c>
      <c r="C222" s="54" t="s">
        <v>23</v>
      </c>
      <c r="D222" s="75">
        <v>766</v>
      </c>
      <c r="E222" s="75"/>
      <c r="F222" s="75"/>
      <c r="G222" s="75"/>
      <c r="H222" s="75">
        <v>917.25</v>
      </c>
      <c r="I222" s="75">
        <v>7496.96</v>
      </c>
      <c r="J222" s="75">
        <v>6876586.5599999996</v>
      </c>
      <c r="K222" s="91" t="s">
        <v>568</v>
      </c>
      <c r="L222" s="73"/>
      <c r="M222" s="46">
        <v>688.1</v>
      </c>
      <c r="N222" s="46">
        <v>0</v>
      </c>
      <c r="O222" s="46">
        <v>5158658.18</v>
      </c>
      <c r="P222" s="98"/>
      <c r="Q222" s="23" t="s">
        <v>1426</v>
      </c>
      <c r="R222" s="24" t="s">
        <v>567</v>
      </c>
      <c r="S222" s="25" t="s">
        <v>23</v>
      </c>
      <c r="T222" s="26">
        <v>766</v>
      </c>
      <c r="U222" s="26">
        <v>917.25</v>
      </c>
      <c r="V222" s="26">
        <v>7496.96</v>
      </c>
      <c r="W222" s="257">
        <f t="shared" si="46"/>
        <v>0</v>
      </c>
      <c r="X222" s="26">
        <f t="shared" si="35"/>
        <v>688.1</v>
      </c>
      <c r="Y222" s="26">
        <f t="shared" si="47"/>
        <v>0</v>
      </c>
      <c r="Z222" s="26">
        <f t="shared" si="44"/>
        <v>5158658.18</v>
      </c>
      <c r="AA222" s="33" t="s">
        <v>15</v>
      </c>
      <c r="AB222" s="36" t="s">
        <v>16</v>
      </c>
      <c r="AC222" s="181">
        <f t="shared" si="41"/>
        <v>917.25</v>
      </c>
      <c r="AD222" s="181">
        <f t="shared" si="48"/>
        <v>6876586.5599999996</v>
      </c>
      <c r="AE222" s="181">
        <v>1.6</v>
      </c>
      <c r="AF222" s="181">
        <v>1.6</v>
      </c>
      <c r="AG222" s="101" t="str">
        <f t="shared" si="42"/>
        <v/>
      </c>
      <c r="AH222" s="191">
        <f>437.3+1672*0.15</f>
        <v>688.1</v>
      </c>
      <c r="AI222" s="69">
        <f t="shared" si="43"/>
        <v>766</v>
      </c>
    </row>
    <row r="223" spans="1:35" s="69" customFormat="1" ht="33" x14ac:dyDescent="0.3">
      <c r="A223" s="55" t="s">
        <v>569</v>
      </c>
      <c r="B223" s="53" t="s">
        <v>570</v>
      </c>
      <c r="C223" s="54" t="s">
        <v>50</v>
      </c>
      <c r="D223" s="75">
        <v>5103</v>
      </c>
      <c r="E223" s="75"/>
      <c r="F223" s="75"/>
      <c r="G223" s="75"/>
      <c r="H223" s="75" t="s">
        <v>15</v>
      </c>
      <c r="I223" s="75">
        <v>11.6</v>
      </c>
      <c r="J223" s="75">
        <v>59194.8</v>
      </c>
      <c r="K223" s="91" t="s">
        <v>571</v>
      </c>
      <c r="L223" s="73"/>
      <c r="M223" s="46">
        <v>2634</v>
      </c>
      <c r="N223" s="46">
        <v>0</v>
      </c>
      <c r="O223" s="46">
        <v>30554.400000000001</v>
      </c>
      <c r="P223" s="98"/>
      <c r="Q223" s="23" t="s">
        <v>1402</v>
      </c>
      <c r="R223" s="24" t="s">
        <v>570</v>
      </c>
      <c r="S223" s="25" t="s">
        <v>50</v>
      </c>
      <c r="T223" s="26">
        <v>5103</v>
      </c>
      <c r="U223" s="26">
        <v>5103</v>
      </c>
      <c r="V223" s="26">
        <v>11.6</v>
      </c>
      <c r="W223" s="257">
        <f t="shared" si="46"/>
        <v>0</v>
      </c>
      <c r="X223" s="26">
        <f t="shared" si="35"/>
        <v>2634</v>
      </c>
      <c r="Y223" s="26">
        <f t="shared" si="47"/>
        <v>0</v>
      </c>
      <c r="Z223" s="26">
        <f t="shared" si="44"/>
        <v>30554.400000000001</v>
      </c>
      <c r="AA223" s="33" t="s">
        <v>15</v>
      </c>
      <c r="AB223" s="36" t="s">
        <v>16</v>
      </c>
      <c r="AC223" s="181">
        <f t="shared" si="41"/>
        <v>5103</v>
      </c>
      <c r="AD223" s="181">
        <f t="shared" si="48"/>
        <v>59194.8</v>
      </c>
      <c r="AE223" s="181">
        <v>1.6</v>
      </c>
      <c r="AF223" s="181">
        <v>1.6</v>
      </c>
      <c r="AG223" s="101" t="str">
        <f t="shared" si="42"/>
        <v/>
      </c>
      <c r="AH223" s="191">
        <f>798+1836</f>
        <v>2634</v>
      </c>
      <c r="AI223" s="69">
        <f t="shared" si="43"/>
        <v>5103</v>
      </c>
    </row>
    <row r="224" spans="1:35" s="69" customFormat="1" ht="39" x14ac:dyDescent="0.3">
      <c r="A224" s="55" t="s">
        <v>572</v>
      </c>
      <c r="B224" s="53" t="s">
        <v>573</v>
      </c>
      <c r="C224" s="54" t="s">
        <v>50</v>
      </c>
      <c r="D224" s="75">
        <v>5103</v>
      </c>
      <c r="E224" s="75"/>
      <c r="F224" s="75"/>
      <c r="G224" s="75"/>
      <c r="H224" s="75">
        <v>6734.4</v>
      </c>
      <c r="I224" s="75">
        <v>42.46</v>
      </c>
      <c r="J224" s="75">
        <v>285942.62</v>
      </c>
      <c r="K224" s="91" t="s">
        <v>574</v>
      </c>
      <c r="L224" s="73"/>
      <c r="M224" s="46">
        <v>4306</v>
      </c>
      <c r="N224" s="46">
        <v>0</v>
      </c>
      <c r="O224" s="46">
        <v>182832.76</v>
      </c>
      <c r="P224" s="98"/>
      <c r="Q224" s="23" t="s">
        <v>1373</v>
      </c>
      <c r="R224" s="24" t="s">
        <v>573</v>
      </c>
      <c r="S224" s="25" t="s">
        <v>50</v>
      </c>
      <c r="T224" s="26">
        <v>5103</v>
      </c>
      <c r="U224" s="26">
        <v>6734.4</v>
      </c>
      <c r="V224" s="26">
        <v>42.46</v>
      </c>
      <c r="W224" s="257">
        <f t="shared" si="46"/>
        <v>0</v>
      </c>
      <c r="X224" s="26">
        <f t="shared" si="35"/>
        <v>4306</v>
      </c>
      <c r="Y224" s="26">
        <f t="shared" si="47"/>
        <v>0</v>
      </c>
      <c r="Z224" s="26">
        <f t="shared" si="44"/>
        <v>182832.76</v>
      </c>
      <c r="AA224" s="33" t="s">
        <v>15</v>
      </c>
      <c r="AB224" s="36" t="s">
        <v>16</v>
      </c>
      <c r="AC224" s="181">
        <f t="shared" si="41"/>
        <v>6734.4</v>
      </c>
      <c r="AD224" s="181">
        <f t="shared" si="48"/>
        <v>285942.62</v>
      </c>
      <c r="AE224" s="181">
        <v>1.6</v>
      </c>
      <c r="AF224" s="181">
        <v>1.6</v>
      </c>
      <c r="AG224" s="101" t="str">
        <f t="shared" si="42"/>
        <v/>
      </c>
      <c r="AH224" s="191">
        <f>2381+1925</f>
        <v>4306</v>
      </c>
      <c r="AI224" s="69">
        <f t="shared" si="43"/>
        <v>5103</v>
      </c>
    </row>
    <row r="225" spans="1:35" s="69" customFormat="1" ht="39" x14ac:dyDescent="0.3">
      <c r="A225" s="55" t="s">
        <v>575</v>
      </c>
      <c r="B225" s="53" t="s">
        <v>576</v>
      </c>
      <c r="C225" s="54" t="s">
        <v>50</v>
      </c>
      <c r="D225" s="75">
        <v>15307</v>
      </c>
      <c r="E225" s="75"/>
      <c r="F225" s="75"/>
      <c r="G225" s="75"/>
      <c r="H225" s="75">
        <v>19027.2</v>
      </c>
      <c r="I225" s="75">
        <v>15.96</v>
      </c>
      <c r="J225" s="75">
        <v>303674.11</v>
      </c>
      <c r="K225" s="91" t="s">
        <v>577</v>
      </c>
      <c r="L225" s="73"/>
      <c r="M225" s="46">
        <v>15118</v>
      </c>
      <c r="N225" s="46">
        <v>0</v>
      </c>
      <c r="O225" s="46">
        <v>241283.28</v>
      </c>
      <c r="P225" s="98"/>
      <c r="Q225" s="23" t="s">
        <v>1393</v>
      </c>
      <c r="R225" s="24" t="s">
        <v>576</v>
      </c>
      <c r="S225" s="25" t="s">
        <v>50</v>
      </c>
      <c r="T225" s="26">
        <v>15307</v>
      </c>
      <c r="U225" s="26">
        <v>19027.2</v>
      </c>
      <c r="V225" s="26">
        <v>15.96</v>
      </c>
      <c r="W225" s="257">
        <f t="shared" si="46"/>
        <v>0</v>
      </c>
      <c r="X225" s="26">
        <f t="shared" si="35"/>
        <v>15118</v>
      </c>
      <c r="Y225" s="26">
        <f t="shared" si="47"/>
        <v>0</v>
      </c>
      <c r="Z225" s="26">
        <f t="shared" si="44"/>
        <v>241283.28</v>
      </c>
      <c r="AA225" s="33" t="s">
        <v>15</v>
      </c>
      <c r="AB225" s="36" t="s">
        <v>16</v>
      </c>
      <c r="AC225" s="181">
        <f t="shared" si="41"/>
        <v>19027.2</v>
      </c>
      <c r="AD225" s="181">
        <f t="shared" si="48"/>
        <v>303674.11</v>
      </c>
      <c r="AE225" s="181">
        <v>1.6</v>
      </c>
      <c r="AF225" s="181">
        <v>1.6</v>
      </c>
      <c r="AG225" s="101" t="str">
        <f t="shared" si="42"/>
        <v/>
      </c>
      <c r="AH225" s="191">
        <f>7986+1500+5632</f>
        <v>15118</v>
      </c>
      <c r="AI225" s="69">
        <f t="shared" si="43"/>
        <v>15307</v>
      </c>
    </row>
    <row r="226" spans="1:35" s="69" customFormat="1" ht="39" x14ac:dyDescent="0.3">
      <c r="A226" s="130" t="s">
        <v>578</v>
      </c>
      <c r="B226" s="131" t="s">
        <v>392</v>
      </c>
      <c r="C226" s="132" t="s">
        <v>23</v>
      </c>
      <c r="D226" s="133">
        <v>24</v>
      </c>
      <c r="E226" s="75"/>
      <c r="F226" s="75"/>
      <c r="G226" s="75"/>
      <c r="H226" s="75" t="s">
        <v>15</v>
      </c>
      <c r="I226" s="75">
        <v>3115.13</v>
      </c>
      <c r="J226" s="75">
        <v>74763.12</v>
      </c>
      <c r="K226" s="91" t="s">
        <v>114</v>
      </c>
      <c r="L226" s="73"/>
      <c r="M226" s="46">
        <v>24</v>
      </c>
      <c r="N226" s="46">
        <v>0</v>
      </c>
      <c r="O226" s="46">
        <v>74763.12</v>
      </c>
      <c r="P226" s="98"/>
      <c r="Q226" s="23" t="s">
        <v>1403</v>
      </c>
      <c r="R226" s="24" t="s">
        <v>392</v>
      </c>
      <c r="S226" s="25" t="s">
        <v>23</v>
      </c>
      <c r="T226" s="26">
        <v>24</v>
      </c>
      <c r="U226" s="26">
        <v>24</v>
      </c>
      <c r="V226" s="26">
        <v>3115.13</v>
      </c>
      <c r="W226" s="127">
        <f t="shared" si="46"/>
        <v>0</v>
      </c>
      <c r="X226" s="127">
        <f t="shared" si="35"/>
        <v>24</v>
      </c>
      <c r="Y226" s="127">
        <f t="shared" si="47"/>
        <v>0</v>
      </c>
      <c r="Z226" s="127">
        <f t="shared" si="44"/>
        <v>74763.12</v>
      </c>
      <c r="AA226" s="33" t="s">
        <v>15</v>
      </c>
      <c r="AB226" s="36" t="s">
        <v>16</v>
      </c>
      <c r="AC226" s="181">
        <f t="shared" si="41"/>
        <v>24</v>
      </c>
      <c r="AD226" s="181">
        <f t="shared" si="48"/>
        <v>74763.12</v>
      </c>
      <c r="AE226" s="181">
        <v>1.6</v>
      </c>
      <c r="AF226" s="181">
        <v>1.6</v>
      </c>
      <c r="AG226" s="101" t="str">
        <f t="shared" si="42"/>
        <v/>
      </c>
      <c r="AH226" s="191">
        <f>5+19</f>
        <v>24</v>
      </c>
      <c r="AI226" s="69">
        <f t="shared" si="43"/>
        <v>24</v>
      </c>
    </row>
    <row r="227" spans="1:35" s="69" customFormat="1" ht="39" x14ac:dyDescent="0.3">
      <c r="A227" s="130" t="s">
        <v>579</v>
      </c>
      <c r="B227" s="131" t="s">
        <v>116</v>
      </c>
      <c r="C227" s="132" t="s">
        <v>23</v>
      </c>
      <c r="D227" s="133">
        <v>237</v>
      </c>
      <c r="E227" s="75"/>
      <c r="F227" s="75"/>
      <c r="G227" s="75"/>
      <c r="H227" s="75" t="s">
        <v>15</v>
      </c>
      <c r="I227" s="75">
        <v>3321.13</v>
      </c>
      <c r="J227" s="75">
        <v>787107.81</v>
      </c>
      <c r="K227" s="91" t="s">
        <v>117</v>
      </c>
      <c r="L227" s="73"/>
      <c r="M227" s="46">
        <v>237</v>
      </c>
      <c r="N227" s="46">
        <v>0</v>
      </c>
      <c r="O227" s="46">
        <v>787107.81</v>
      </c>
      <c r="P227" s="98"/>
      <c r="Q227" s="23" t="s">
        <v>1427</v>
      </c>
      <c r="R227" s="24" t="s">
        <v>116</v>
      </c>
      <c r="S227" s="25" t="s">
        <v>23</v>
      </c>
      <c r="T227" s="26">
        <v>237</v>
      </c>
      <c r="U227" s="26">
        <v>237</v>
      </c>
      <c r="V227" s="26">
        <v>3321.13</v>
      </c>
      <c r="W227" s="127">
        <f t="shared" si="46"/>
        <v>0</v>
      </c>
      <c r="X227" s="127">
        <f t="shared" si="35"/>
        <v>237</v>
      </c>
      <c r="Y227" s="127">
        <f t="shared" si="47"/>
        <v>0</v>
      </c>
      <c r="Z227" s="127">
        <f t="shared" si="44"/>
        <v>787107.81</v>
      </c>
      <c r="AA227" s="33" t="s">
        <v>15</v>
      </c>
      <c r="AB227" s="36" t="s">
        <v>16</v>
      </c>
      <c r="AC227" s="181">
        <f t="shared" si="41"/>
        <v>237</v>
      </c>
      <c r="AD227" s="181">
        <f t="shared" si="48"/>
        <v>787107.81</v>
      </c>
      <c r="AE227" s="181">
        <v>1.6</v>
      </c>
      <c r="AF227" s="181">
        <v>1.6</v>
      </c>
      <c r="AG227" s="101" t="str">
        <f t="shared" si="42"/>
        <v/>
      </c>
      <c r="AH227" s="191">
        <f>120.35+103.6+13.05</f>
        <v>237</v>
      </c>
      <c r="AI227" s="69">
        <f t="shared" si="43"/>
        <v>237</v>
      </c>
    </row>
    <row r="228" spans="1:35" s="69" customFormat="1" ht="39" x14ac:dyDescent="0.3">
      <c r="A228" s="130" t="s">
        <v>580</v>
      </c>
      <c r="B228" s="131" t="s">
        <v>493</v>
      </c>
      <c r="C228" s="132" t="s">
        <v>23</v>
      </c>
      <c r="D228" s="133">
        <v>261</v>
      </c>
      <c r="E228" s="75"/>
      <c r="F228" s="75"/>
      <c r="G228" s="75"/>
      <c r="H228" s="75" t="s">
        <v>15</v>
      </c>
      <c r="I228" s="75">
        <v>200</v>
      </c>
      <c r="J228" s="75">
        <v>52200</v>
      </c>
      <c r="K228" s="91" t="s">
        <v>494</v>
      </c>
      <c r="L228" s="73"/>
      <c r="M228" s="46">
        <v>261</v>
      </c>
      <c r="N228" s="46">
        <v>0</v>
      </c>
      <c r="O228" s="46">
        <v>52200</v>
      </c>
      <c r="P228" s="98"/>
      <c r="Q228" s="23" t="s">
        <v>1428</v>
      </c>
      <c r="R228" s="24" t="s">
        <v>493</v>
      </c>
      <c r="S228" s="25" t="s">
        <v>23</v>
      </c>
      <c r="T228" s="26">
        <v>261</v>
      </c>
      <c r="U228" s="26">
        <v>261</v>
      </c>
      <c r="V228" s="26">
        <v>200</v>
      </c>
      <c r="W228" s="127">
        <f t="shared" si="46"/>
        <v>0</v>
      </c>
      <c r="X228" s="127">
        <f t="shared" si="35"/>
        <v>261</v>
      </c>
      <c r="Y228" s="127">
        <f t="shared" si="47"/>
        <v>0</v>
      </c>
      <c r="Z228" s="127">
        <f t="shared" si="44"/>
        <v>52200</v>
      </c>
      <c r="AA228" s="33" t="s">
        <v>15</v>
      </c>
      <c r="AB228" s="36" t="s">
        <v>16</v>
      </c>
      <c r="AC228" s="181">
        <f t="shared" si="41"/>
        <v>261</v>
      </c>
      <c r="AD228" s="181">
        <f t="shared" si="48"/>
        <v>52200</v>
      </c>
      <c r="AE228" s="181">
        <v>1.6</v>
      </c>
      <c r="AF228" s="181">
        <v>1.6</v>
      </c>
      <c r="AG228" s="101" t="str">
        <f t="shared" si="42"/>
        <v/>
      </c>
      <c r="AH228" s="191">
        <f>AH226+AH227</f>
        <v>261</v>
      </c>
      <c r="AI228" s="69">
        <f t="shared" si="43"/>
        <v>261</v>
      </c>
    </row>
    <row r="229" spans="1:35" s="69" customFormat="1" ht="33" x14ac:dyDescent="0.3">
      <c r="A229" s="130" t="s">
        <v>581</v>
      </c>
      <c r="B229" s="131" t="s">
        <v>582</v>
      </c>
      <c r="C229" s="132" t="s">
        <v>50</v>
      </c>
      <c r="D229" s="133">
        <v>745</v>
      </c>
      <c r="E229" s="75"/>
      <c r="F229" s="75"/>
      <c r="G229" s="75"/>
      <c r="H229" s="75" t="s">
        <v>15</v>
      </c>
      <c r="I229" s="75">
        <v>698.31</v>
      </c>
      <c r="J229" s="75">
        <v>520240.95</v>
      </c>
      <c r="K229" s="91" t="s">
        <v>583</v>
      </c>
      <c r="L229" s="73"/>
      <c r="M229" s="46">
        <v>745</v>
      </c>
      <c r="N229" s="46">
        <v>0</v>
      </c>
      <c r="O229" s="46">
        <v>520240.95</v>
      </c>
      <c r="P229" s="98"/>
      <c r="Q229" s="23" t="s">
        <v>1387</v>
      </c>
      <c r="R229" s="24" t="s">
        <v>582</v>
      </c>
      <c r="S229" s="25" t="s">
        <v>50</v>
      </c>
      <c r="T229" s="26">
        <v>745</v>
      </c>
      <c r="U229" s="26">
        <v>745</v>
      </c>
      <c r="V229" s="26">
        <v>698.31</v>
      </c>
      <c r="W229" s="127">
        <f t="shared" si="46"/>
        <v>0</v>
      </c>
      <c r="X229" s="127">
        <f t="shared" si="35"/>
        <v>745</v>
      </c>
      <c r="Y229" s="127">
        <f t="shared" si="47"/>
        <v>0</v>
      </c>
      <c r="Z229" s="127">
        <f t="shared" si="44"/>
        <v>520240.95</v>
      </c>
      <c r="AA229" s="33" t="s">
        <v>15</v>
      </c>
      <c r="AB229" s="36" t="s">
        <v>16</v>
      </c>
      <c r="AC229" s="181">
        <f t="shared" si="41"/>
        <v>745</v>
      </c>
      <c r="AD229" s="181">
        <f t="shared" si="48"/>
        <v>520240.95</v>
      </c>
      <c r="AE229" s="181">
        <v>1.6</v>
      </c>
      <c r="AF229" s="181">
        <v>1.6</v>
      </c>
      <c r="AG229" s="101" t="str">
        <f t="shared" si="42"/>
        <v/>
      </c>
      <c r="AH229" s="191">
        <f>256+312+177</f>
        <v>745</v>
      </c>
      <c r="AI229" s="69">
        <f t="shared" si="43"/>
        <v>745</v>
      </c>
    </row>
    <row r="230" spans="1:35" s="69" customFormat="1" ht="41.25" x14ac:dyDescent="0.3">
      <c r="A230" s="130" t="s">
        <v>584</v>
      </c>
      <c r="B230" s="131" t="s">
        <v>119</v>
      </c>
      <c r="C230" s="132" t="s">
        <v>50</v>
      </c>
      <c r="D230" s="133">
        <v>915</v>
      </c>
      <c r="E230" s="75"/>
      <c r="F230" s="75"/>
      <c r="G230" s="75"/>
      <c r="H230" s="75" t="s">
        <v>15</v>
      </c>
      <c r="I230" s="75">
        <v>533.64</v>
      </c>
      <c r="J230" s="75">
        <v>488280.6</v>
      </c>
      <c r="K230" s="91" t="s">
        <v>120</v>
      </c>
      <c r="L230" s="73"/>
      <c r="M230" s="46">
        <v>915</v>
      </c>
      <c r="N230" s="46">
        <v>0</v>
      </c>
      <c r="O230" s="46">
        <v>488280.6</v>
      </c>
      <c r="P230" s="98"/>
      <c r="Q230" s="23" t="s">
        <v>1405</v>
      </c>
      <c r="R230" s="24" t="s">
        <v>119</v>
      </c>
      <c r="S230" s="25" t="s">
        <v>50</v>
      </c>
      <c r="T230" s="26">
        <v>915</v>
      </c>
      <c r="U230" s="26">
        <v>915</v>
      </c>
      <c r="V230" s="26">
        <v>533.64</v>
      </c>
      <c r="W230" s="127">
        <f t="shared" si="46"/>
        <v>0</v>
      </c>
      <c r="X230" s="127">
        <f t="shared" si="35"/>
        <v>915</v>
      </c>
      <c r="Y230" s="127">
        <f t="shared" si="47"/>
        <v>0</v>
      </c>
      <c r="Z230" s="127">
        <f t="shared" si="44"/>
        <v>488280.6</v>
      </c>
      <c r="AA230" s="33" t="s">
        <v>15</v>
      </c>
      <c r="AB230" s="36" t="s">
        <v>16</v>
      </c>
      <c r="AC230" s="181">
        <f t="shared" si="41"/>
        <v>915</v>
      </c>
      <c r="AD230" s="181">
        <f t="shared" si="48"/>
        <v>488280.6</v>
      </c>
      <c r="AE230" s="181">
        <v>1.6</v>
      </c>
      <c r="AF230" s="181">
        <v>1.6</v>
      </c>
      <c r="AG230" s="101" t="str">
        <f t="shared" si="42"/>
        <v/>
      </c>
      <c r="AH230" s="191">
        <f>254.5+622+38.5</f>
        <v>915</v>
      </c>
      <c r="AI230" s="69">
        <f t="shared" si="43"/>
        <v>915</v>
      </c>
    </row>
    <row r="231" spans="1:35" s="69" customFormat="1" ht="33" x14ac:dyDescent="0.3">
      <c r="A231" s="130" t="s">
        <v>585</v>
      </c>
      <c r="B231" s="131" t="s">
        <v>109</v>
      </c>
      <c r="C231" s="132" t="s">
        <v>110</v>
      </c>
      <c r="D231" s="133">
        <v>9227</v>
      </c>
      <c r="E231" s="75"/>
      <c r="F231" s="75"/>
      <c r="G231" s="75"/>
      <c r="H231" s="75" t="s">
        <v>15</v>
      </c>
      <c r="I231" s="75">
        <v>36.4</v>
      </c>
      <c r="J231" s="75">
        <v>335862.8</v>
      </c>
      <c r="K231" s="91" t="s">
        <v>111</v>
      </c>
      <c r="L231" s="73"/>
      <c r="M231" s="46">
        <v>9227</v>
      </c>
      <c r="N231" s="46">
        <v>0</v>
      </c>
      <c r="O231" s="46">
        <v>335862.8</v>
      </c>
      <c r="P231" s="98"/>
      <c r="Q231" s="23" t="s">
        <v>1406</v>
      </c>
      <c r="R231" s="24" t="s">
        <v>109</v>
      </c>
      <c r="S231" s="25" t="s">
        <v>110</v>
      </c>
      <c r="T231" s="26">
        <v>9227</v>
      </c>
      <c r="U231" s="26">
        <v>9227</v>
      </c>
      <c r="V231" s="26">
        <v>36.4</v>
      </c>
      <c r="W231" s="127">
        <f t="shared" si="46"/>
        <v>0</v>
      </c>
      <c r="X231" s="127">
        <f t="shared" si="35"/>
        <v>9227</v>
      </c>
      <c r="Y231" s="127">
        <f t="shared" si="47"/>
        <v>0</v>
      </c>
      <c r="Z231" s="127">
        <f t="shared" si="44"/>
        <v>335862.8</v>
      </c>
      <c r="AA231" s="33" t="s">
        <v>15</v>
      </c>
      <c r="AB231" s="36" t="s">
        <v>16</v>
      </c>
      <c r="AC231" s="181">
        <f t="shared" si="41"/>
        <v>9227</v>
      </c>
      <c r="AD231" s="181">
        <f t="shared" si="48"/>
        <v>335862.8</v>
      </c>
      <c r="AE231" s="181">
        <v>1.6</v>
      </c>
      <c r="AF231" s="181">
        <v>1.6</v>
      </c>
      <c r="AG231" s="101" t="str">
        <f t="shared" si="42"/>
        <v/>
      </c>
      <c r="AH231" s="191">
        <v>9227</v>
      </c>
      <c r="AI231" s="69">
        <f t="shared" si="43"/>
        <v>9227</v>
      </c>
    </row>
    <row r="232" spans="1:35" s="69" customFormat="1" ht="58.5" x14ac:dyDescent="0.3">
      <c r="A232" s="130" t="s">
        <v>586</v>
      </c>
      <c r="B232" s="131" t="s">
        <v>587</v>
      </c>
      <c r="C232" s="132" t="s">
        <v>513</v>
      </c>
      <c r="D232" s="133">
        <v>189</v>
      </c>
      <c r="E232" s="75"/>
      <c r="F232" s="75"/>
      <c r="G232" s="75"/>
      <c r="H232" s="75" t="s">
        <v>15</v>
      </c>
      <c r="I232" s="75">
        <v>40</v>
      </c>
      <c r="J232" s="75">
        <v>7560</v>
      </c>
      <c r="K232" s="91" t="s">
        <v>588</v>
      </c>
      <c r="L232" s="73"/>
      <c r="M232" s="46">
        <v>0</v>
      </c>
      <c r="N232" s="46">
        <v>0</v>
      </c>
      <c r="O232" s="46">
        <v>0</v>
      </c>
      <c r="P232" s="98"/>
      <c r="Q232" s="23" t="s">
        <v>1414</v>
      </c>
      <c r="R232" s="24" t="s">
        <v>587</v>
      </c>
      <c r="S232" s="25" t="s">
        <v>513</v>
      </c>
      <c r="T232" s="26">
        <v>189</v>
      </c>
      <c r="U232" s="26">
        <v>189</v>
      </c>
      <c r="V232" s="26">
        <v>40</v>
      </c>
      <c r="W232" s="127">
        <f t="shared" si="46"/>
        <v>0</v>
      </c>
      <c r="X232" s="127">
        <f t="shared" si="35"/>
        <v>0</v>
      </c>
      <c r="Y232" s="127">
        <f t="shared" si="47"/>
        <v>0</v>
      </c>
      <c r="Z232" s="127">
        <f t="shared" si="44"/>
        <v>0</v>
      </c>
      <c r="AA232" s="33" t="s">
        <v>15</v>
      </c>
      <c r="AB232" s="36" t="s">
        <v>16</v>
      </c>
      <c r="AC232" s="181">
        <f t="shared" si="41"/>
        <v>189</v>
      </c>
      <c r="AD232" s="181">
        <f t="shared" si="48"/>
        <v>7560</v>
      </c>
      <c r="AE232" s="181">
        <v>1.6</v>
      </c>
      <c r="AF232" s="181">
        <v>1.6</v>
      </c>
      <c r="AG232" s="101" t="str">
        <f t="shared" si="42"/>
        <v/>
      </c>
      <c r="AH232" s="190">
        <v>0</v>
      </c>
      <c r="AI232" s="69">
        <f t="shared" si="43"/>
        <v>189</v>
      </c>
    </row>
    <row r="233" spans="1:35" s="69" customFormat="1" ht="58.5" x14ac:dyDescent="0.3">
      <c r="A233" s="55" t="s">
        <v>589</v>
      </c>
      <c r="B233" s="53" t="s">
        <v>590</v>
      </c>
      <c r="C233" s="54" t="s">
        <v>325</v>
      </c>
      <c r="D233" s="75">
        <v>118</v>
      </c>
      <c r="E233" s="75"/>
      <c r="F233" s="75"/>
      <c r="G233" s="75"/>
      <c r="H233" s="75" t="s">
        <v>15</v>
      </c>
      <c r="I233" s="75">
        <v>3615.3</v>
      </c>
      <c r="J233" s="75">
        <v>426605.4</v>
      </c>
      <c r="K233" s="91" t="s">
        <v>591</v>
      </c>
      <c r="L233" s="73"/>
      <c r="M233" s="46">
        <v>108</v>
      </c>
      <c r="N233" s="46">
        <v>0</v>
      </c>
      <c r="O233" s="46">
        <v>390452.4</v>
      </c>
      <c r="P233" s="98"/>
      <c r="Q233" s="23" t="s">
        <v>1429</v>
      </c>
      <c r="R233" s="24" t="s">
        <v>590</v>
      </c>
      <c r="S233" s="25" t="s">
        <v>325</v>
      </c>
      <c r="T233" s="26">
        <v>118</v>
      </c>
      <c r="U233" s="26">
        <v>118</v>
      </c>
      <c r="V233" s="26">
        <v>3615.3</v>
      </c>
      <c r="W233" s="243">
        <f t="shared" si="46"/>
        <v>0</v>
      </c>
      <c r="X233" s="26">
        <f t="shared" si="35"/>
        <v>108</v>
      </c>
      <c r="Y233" s="26">
        <f t="shared" si="47"/>
        <v>0</v>
      </c>
      <c r="Z233" s="26">
        <f t="shared" si="44"/>
        <v>390452.4</v>
      </c>
      <c r="AA233" s="33" t="s">
        <v>15</v>
      </c>
      <c r="AB233" s="36" t="s">
        <v>16</v>
      </c>
      <c r="AC233" s="181">
        <f t="shared" si="41"/>
        <v>118</v>
      </c>
      <c r="AD233" s="181">
        <f t="shared" si="48"/>
        <v>426605.4</v>
      </c>
      <c r="AE233" s="181">
        <v>1.6</v>
      </c>
      <c r="AF233" s="181">
        <v>1.6</v>
      </c>
      <c r="AG233" s="101" t="str">
        <f t="shared" si="42"/>
        <v/>
      </c>
      <c r="AH233" s="191">
        <f>40+42+26</f>
        <v>108</v>
      </c>
      <c r="AI233" s="69">
        <f t="shared" si="43"/>
        <v>118</v>
      </c>
    </row>
    <row r="234" spans="1:35" s="69" customFormat="1" ht="58.5" x14ac:dyDescent="0.3">
      <c r="A234" s="55" t="s">
        <v>592</v>
      </c>
      <c r="B234" s="53" t="s">
        <v>593</v>
      </c>
      <c r="C234" s="54" t="s">
        <v>110</v>
      </c>
      <c r="D234" s="75">
        <v>2773</v>
      </c>
      <c r="E234" s="75"/>
      <c r="F234" s="75"/>
      <c r="G234" s="75"/>
      <c r="H234" s="75" t="s">
        <v>15</v>
      </c>
      <c r="I234" s="75">
        <v>113.98</v>
      </c>
      <c r="J234" s="75">
        <v>316066.53999999998</v>
      </c>
      <c r="K234" s="91" t="s">
        <v>594</v>
      </c>
      <c r="L234" s="73"/>
      <c r="M234" s="46">
        <v>2487</v>
      </c>
      <c r="N234" s="46">
        <v>0</v>
      </c>
      <c r="O234" s="46">
        <v>283468.26</v>
      </c>
      <c r="P234" s="98"/>
      <c r="Q234" s="23" t="s">
        <v>1430</v>
      </c>
      <c r="R234" s="24" t="s">
        <v>593</v>
      </c>
      <c r="S234" s="25" t="s">
        <v>110</v>
      </c>
      <c r="T234" s="26">
        <v>2773</v>
      </c>
      <c r="U234" s="26">
        <v>2773</v>
      </c>
      <c r="V234" s="26">
        <v>113.98</v>
      </c>
      <c r="W234" s="243">
        <f t="shared" si="46"/>
        <v>0</v>
      </c>
      <c r="X234" s="26">
        <f t="shared" si="35"/>
        <v>2487</v>
      </c>
      <c r="Y234" s="26">
        <f t="shared" si="47"/>
        <v>0</v>
      </c>
      <c r="Z234" s="26">
        <f t="shared" si="44"/>
        <v>283468.26</v>
      </c>
      <c r="AA234" s="33" t="s">
        <v>15</v>
      </c>
      <c r="AB234" s="36" t="s">
        <v>16</v>
      </c>
      <c r="AC234" s="181">
        <f t="shared" si="41"/>
        <v>2773</v>
      </c>
      <c r="AD234" s="181">
        <f t="shared" si="48"/>
        <v>316066.53999999998</v>
      </c>
      <c r="AE234" s="181">
        <v>1.6</v>
      </c>
      <c r="AF234" s="181">
        <v>1.6</v>
      </c>
      <c r="AG234" s="101" t="str">
        <f t="shared" si="42"/>
        <v/>
      </c>
      <c r="AH234" s="191">
        <f>940+962+585</f>
        <v>2487</v>
      </c>
      <c r="AI234" s="69">
        <f t="shared" si="43"/>
        <v>2773</v>
      </c>
    </row>
    <row r="235" spans="1:35" s="69" customFormat="1" ht="33" x14ac:dyDescent="0.3">
      <c r="A235" s="55" t="s">
        <v>595</v>
      </c>
      <c r="B235" s="53" t="s">
        <v>189</v>
      </c>
      <c r="C235" s="54" t="s">
        <v>30</v>
      </c>
      <c r="D235" s="75">
        <v>112</v>
      </c>
      <c r="E235" s="75"/>
      <c r="F235" s="75"/>
      <c r="G235" s="75"/>
      <c r="H235" s="76" t="s">
        <v>15</v>
      </c>
      <c r="I235" s="75">
        <v>138.84</v>
      </c>
      <c r="J235" s="75">
        <v>15550.08</v>
      </c>
      <c r="K235" s="91" t="s">
        <v>190</v>
      </c>
      <c r="L235" s="73"/>
      <c r="M235" s="46">
        <v>112</v>
      </c>
      <c r="N235" s="46">
        <v>0</v>
      </c>
      <c r="O235" s="46">
        <v>15550.08</v>
      </c>
      <c r="P235" s="98"/>
      <c r="Q235" s="23" t="s">
        <v>1431</v>
      </c>
      <c r="R235" s="24" t="s">
        <v>189</v>
      </c>
      <c r="S235" s="25" t="s">
        <v>30</v>
      </c>
      <c r="T235" s="26">
        <v>112</v>
      </c>
      <c r="U235" s="26">
        <v>112</v>
      </c>
      <c r="V235" s="26">
        <v>138.84</v>
      </c>
      <c r="W235" s="243">
        <f t="shared" si="46"/>
        <v>0</v>
      </c>
      <c r="X235" s="127">
        <f t="shared" si="35"/>
        <v>112</v>
      </c>
      <c r="Y235" s="127">
        <f t="shared" si="47"/>
        <v>0</v>
      </c>
      <c r="Z235" s="127">
        <f t="shared" si="44"/>
        <v>15550.08</v>
      </c>
      <c r="AA235" s="33" t="s">
        <v>15</v>
      </c>
      <c r="AB235" s="36" t="s">
        <v>16</v>
      </c>
      <c r="AC235" s="181">
        <f t="shared" si="41"/>
        <v>112</v>
      </c>
      <c r="AD235" s="181">
        <f t="shared" si="48"/>
        <v>15550.08</v>
      </c>
      <c r="AE235" s="181">
        <v>1.6</v>
      </c>
      <c r="AF235" s="181">
        <v>1.6</v>
      </c>
      <c r="AG235" s="101" t="str">
        <f t="shared" si="42"/>
        <v/>
      </c>
      <c r="AH235" s="191">
        <f>112</f>
        <v>112</v>
      </c>
      <c r="AI235" s="69">
        <f t="shared" si="43"/>
        <v>112</v>
      </c>
    </row>
    <row r="236" spans="1:35" ht="39" x14ac:dyDescent="0.3">
      <c r="A236" s="134" t="s">
        <v>1334</v>
      </c>
      <c r="B236" s="135" t="s">
        <v>1335</v>
      </c>
      <c r="C236" s="204" t="s">
        <v>50</v>
      </c>
      <c r="D236" s="133"/>
      <c r="E236" s="78"/>
      <c r="F236" s="62">
        <v>518.22</v>
      </c>
      <c r="G236" s="140"/>
      <c r="H236" s="62" t="s">
        <v>15</v>
      </c>
      <c r="I236" s="167">
        <v>868.85</v>
      </c>
      <c r="J236" s="62">
        <v>450255.45</v>
      </c>
      <c r="K236" s="93"/>
      <c r="M236" s="46">
        <v>518.22</v>
      </c>
      <c r="N236" s="46">
        <v>0</v>
      </c>
      <c r="O236" s="46">
        <v>450255.45</v>
      </c>
      <c r="P236" s="98"/>
      <c r="Q236" s="23" t="s">
        <v>1395</v>
      </c>
      <c r="R236" s="24" t="s">
        <v>1396</v>
      </c>
      <c r="S236" s="25" t="s">
        <v>50</v>
      </c>
      <c r="T236" s="26">
        <v>0</v>
      </c>
      <c r="U236" s="26">
        <v>518.22</v>
      </c>
      <c r="V236" s="26">
        <v>868.85</v>
      </c>
      <c r="W236" s="209">
        <f t="shared" si="46"/>
        <v>0</v>
      </c>
      <c r="X236" s="127">
        <f t="shared" si="35"/>
        <v>518.22</v>
      </c>
      <c r="Y236" s="127">
        <f t="shared" si="47"/>
        <v>0</v>
      </c>
      <c r="Z236" s="127">
        <f t="shared" si="44"/>
        <v>450255.45</v>
      </c>
      <c r="AA236" s="27"/>
      <c r="AB236" s="36" t="s">
        <v>16</v>
      </c>
      <c r="AC236" s="181">
        <f t="shared" si="41"/>
        <v>518.22</v>
      </c>
      <c r="AD236" s="181">
        <f t="shared" si="48"/>
        <v>450255.45</v>
      </c>
      <c r="AE236" s="181">
        <v>1.6</v>
      </c>
      <c r="AF236" s="181">
        <v>1.6</v>
      </c>
      <c r="AG236" s="101" t="str">
        <f t="shared" si="42"/>
        <v/>
      </c>
      <c r="AH236" s="191">
        <f>143.5+296.2+78.52</f>
        <v>518.22</v>
      </c>
      <c r="AI236" s="69">
        <f t="shared" si="43"/>
        <v>518.22</v>
      </c>
    </row>
    <row r="237" spans="1:35" s="69" customFormat="1" ht="33" customHeight="1" x14ac:dyDescent="0.3">
      <c r="A237" s="79" t="s">
        <v>596</v>
      </c>
      <c r="B237" s="80" t="s">
        <v>597</v>
      </c>
      <c r="C237" s="81" t="s">
        <v>14</v>
      </c>
      <c r="D237" s="82">
        <v>1</v>
      </c>
      <c r="E237" s="82"/>
      <c r="F237" s="82"/>
      <c r="G237" s="82"/>
      <c r="H237" s="84" t="s">
        <v>15</v>
      </c>
      <c r="I237" s="82"/>
      <c r="J237" s="82">
        <v>7859013.9699999997</v>
      </c>
      <c r="K237" s="94" t="s">
        <v>15</v>
      </c>
      <c r="L237" s="73"/>
      <c r="M237" s="45">
        <v>1</v>
      </c>
      <c r="N237" s="45">
        <v>645769.28</v>
      </c>
      <c r="O237" s="45">
        <v>4068683.94</v>
      </c>
      <c r="P237" s="98"/>
      <c r="Q237" s="18" t="s">
        <v>1397</v>
      </c>
      <c r="R237" s="19" t="s">
        <v>597</v>
      </c>
      <c r="S237" s="20" t="s">
        <v>14</v>
      </c>
      <c r="T237" s="21">
        <v>1</v>
      </c>
      <c r="U237" s="21"/>
      <c r="V237" s="21">
        <f>SUMIFS(AD:AD,AE:AE,AE237)</f>
        <v>7859013.9699999997</v>
      </c>
      <c r="W237" s="21">
        <f t="shared" ref="W237:X237" si="49">IF(Y237=0,0,1)</f>
        <v>1</v>
      </c>
      <c r="X237" s="21">
        <f t="shared" si="49"/>
        <v>1</v>
      </c>
      <c r="Y237" s="21">
        <f>SUMIFS(Y:Y,AF:AF,AE237)</f>
        <v>452578.9200000001</v>
      </c>
      <c r="Z237" s="21">
        <f>SUMIFS(Z:Z,AF:AF,AE237)</f>
        <v>4521262.8600000003</v>
      </c>
      <c r="AA237" s="22" t="s">
        <v>15</v>
      </c>
      <c r="AB237" s="43" t="s">
        <v>16</v>
      </c>
      <c r="AC237" s="181">
        <f t="shared" si="41"/>
        <v>1</v>
      </c>
      <c r="AD237" s="184"/>
      <c r="AE237" s="184">
        <v>1.7</v>
      </c>
      <c r="AF237" s="184"/>
      <c r="AG237" s="101" t="str">
        <f t="shared" si="42"/>
        <v/>
      </c>
      <c r="AH237" s="190">
        <v>1</v>
      </c>
      <c r="AI237" s="69">
        <f t="shared" si="43"/>
        <v>1</v>
      </c>
    </row>
    <row r="238" spans="1:35" s="69" customFormat="1" ht="39" x14ac:dyDescent="0.3">
      <c r="A238" s="55" t="s">
        <v>598</v>
      </c>
      <c r="B238" s="53" t="s">
        <v>599</v>
      </c>
      <c r="C238" s="54" t="s">
        <v>103</v>
      </c>
      <c r="D238" s="75">
        <v>2596.6999999999998</v>
      </c>
      <c r="E238" s="75"/>
      <c r="F238" s="75"/>
      <c r="G238" s="75"/>
      <c r="H238" s="75" t="s">
        <v>15</v>
      </c>
      <c r="I238" s="75">
        <v>704.52</v>
      </c>
      <c r="J238" s="75">
        <v>1829427.08</v>
      </c>
      <c r="K238" s="91" t="s">
        <v>600</v>
      </c>
      <c r="L238" s="73"/>
      <c r="M238" s="46">
        <v>1385</v>
      </c>
      <c r="N238" s="46">
        <v>78906.239999999991</v>
      </c>
      <c r="O238" s="46">
        <v>975760.2</v>
      </c>
      <c r="P238" s="98"/>
      <c r="Q238" s="23" t="s">
        <v>1421</v>
      </c>
      <c r="R238" s="24" t="s">
        <v>599</v>
      </c>
      <c r="S238" s="25" t="s">
        <v>103</v>
      </c>
      <c r="T238" s="26">
        <v>2596.6999999999998</v>
      </c>
      <c r="U238" s="26">
        <v>2596.6999999999998</v>
      </c>
      <c r="V238" s="26">
        <v>704.52</v>
      </c>
      <c r="W238" s="243">
        <f t="shared" ref="W238:W301" si="50">AH238-M238</f>
        <v>392.5</v>
      </c>
      <c r="X238" s="26">
        <f t="shared" si="35"/>
        <v>1777.5</v>
      </c>
      <c r="Y238" s="26">
        <f t="shared" ref="Y238:Y301" si="51">Z238-O238</f>
        <v>276524.10000000009</v>
      </c>
      <c r="Z238" s="26">
        <f t="shared" si="44"/>
        <v>1252284.3</v>
      </c>
      <c r="AA238" s="33" t="s">
        <v>15</v>
      </c>
      <c r="AB238" s="36" t="s">
        <v>16</v>
      </c>
      <c r="AC238" s="181">
        <f t="shared" si="41"/>
        <v>2596.6999999999998</v>
      </c>
      <c r="AD238" s="181">
        <f t="shared" ref="AD238:AD301" si="52">ROUND(V238*AC238,2)</f>
        <v>1829427.08</v>
      </c>
      <c r="AE238" s="181">
        <v>1.7</v>
      </c>
      <c r="AF238" s="181">
        <v>1.7</v>
      </c>
      <c r="AG238" s="101" t="str">
        <f t="shared" si="42"/>
        <v/>
      </c>
      <c r="AH238" s="191">
        <f>316+565+392+112+392.5</f>
        <v>1777.5</v>
      </c>
      <c r="AI238" s="69">
        <f t="shared" si="43"/>
        <v>2596.6999999999998</v>
      </c>
    </row>
    <row r="239" spans="1:35" s="69" customFormat="1" ht="33" x14ac:dyDescent="0.3">
      <c r="A239" s="55" t="s">
        <v>601</v>
      </c>
      <c r="B239" s="53" t="s">
        <v>602</v>
      </c>
      <c r="C239" s="54" t="s">
        <v>559</v>
      </c>
      <c r="D239" s="75">
        <v>126</v>
      </c>
      <c r="E239" s="75"/>
      <c r="F239" s="75"/>
      <c r="G239" s="75"/>
      <c r="H239" s="75" t="s">
        <v>15</v>
      </c>
      <c r="I239" s="75">
        <v>400</v>
      </c>
      <c r="J239" s="75">
        <v>50400</v>
      </c>
      <c r="K239" s="91" t="s">
        <v>603</v>
      </c>
      <c r="L239" s="73"/>
      <c r="M239" s="46">
        <v>0</v>
      </c>
      <c r="N239" s="46">
        <v>0</v>
      </c>
      <c r="O239" s="46">
        <v>0</v>
      </c>
      <c r="P239" s="98"/>
      <c r="Q239" s="23" t="s">
        <v>1426</v>
      </c>
      <c r="R239" s="24" t="s">
        <v>602</v>
      </c>
      <c r="S239" s="25" t="s">
        <v>559</v>
      </c>
      <c r="T239" s="26">
        <v>126</v>
      </c>
      <c r="U239" s="26">
        <v>126</v>
      </c>
      <c r="V239" s="26">
        <v>400</v>
      </c>
      <c r="W239" s="26">
        <f t="shared" si="50"/>
        <v>0</v>
      </c>
      <c r="X239" s="26">
        <f t="shared" si="35"/>
        <v>0</v>
      </c>
      <c r="Y239" s="26">
        <f t="shared" si="51"/>
        <v>0</v>
      </c>
      <c r="Z239" s="26">
        <f t="shared" si="44"/>
        <v>0</v>
      </c>
      <c r="AA239" s="33" t="s">
        <v>15</v>
      </c>
      <c r="AB239" s="36" t="s">
        <v>16</v>
      </c>
      <c r="AC239" s="181">
        <f t="shared" si="41"/>
        <v>126</v>
      </c>
      <c r="AD239" s="181">
        <f t="shared" si="52"/>
        <v>50400</v>
      </c>
      <c r="AE239" s="181">
        <v>1.7</v>
      </c>
      <c r="AF239" s="181">
        <v>1.7</v>
      </c>
      <c r="AG239" s="101" t="str">
        <f t="shared" si="42"/>
        <v/>
      </c>
      <c r="AH239" s="190">
        <v>0</v>
      </c>
      <c r="AI239" s="69">
        <f t="shared" si="43"/>
        <v>126</v>
      </c>
    </row>
    <row r="240" spans="1:35" s="69" customFormat="1" ht="39" x14ac:dyDescent="0.3">
      <c r="A240" s="55" t="s">
        <v>604</v>
      </c>
      <c r="B240" s="53" t="s">
        <v>605</v>
      </c>
      <c r="C240" s="54" t="s">
        <v>606</v>
      </c>
      <c r="D240" s="75">
        <v>12</v>
      </c>
      <c r="E240" s="75"/>
      <c r="F240" s="75"/>
      <c r="G240" s="75"/>
      <c r="H240" s="75" t="s">
        <v>15</v>
      </c>
      <c r="I240" s="75">
        <v>3569.95</v>
      </c>
      <c r="J240" s="75">
        <v>42839.4</v>
      </c>
      <c r="K240" s="91" t="s">
        <v>607</v>
      </c>
      <c r="L240" s="73"/>
      <c r="M240" s="46">
        <v>0</v>
      </c>
      <c r="N240" s="46">
        <v>0</v>
      </c>
      <c r="O240" s="46">
        <v>0</v>
      </c>
      <c r="P240" s="98"/>
      <c r="Q240" s="23" t="s">
        <v>1402</v>
      </c>
      <c r="R240" s="24" t="s">
        <v>605</v>
      </c>
      <c r="S240" s="25" t="s">
        <v>606</v>
      </c>
      <c r="T240" s="26">
        <v>12</v>
      </c>
      <c r="U240" s="26">
        <v>12</v>
      </c>
      <c r="V240" s="26">
        <v>3569.95</v>
      </c>
      <c r="W240" s="26">
        <f t="shared" si="50"/>
        <v>0</v>
      </c>
      <c r="X240" s="26">
        <f t="shared" si="35"/>
        <v>0</v>
      </c>
      <c r="Y240" s="26">
        <f t="shared" si="51"/>
        <v>0</v>
      </c>
      <c r="Z240" s="26">
        <f t="shared" si="44"/>
        <v>0</v>
      </c>
      <c r="AA240" s="33" t="s">
        <v>15</v>
      </c>
      <c r="AB240" s="36" t="s">
        <v>16</v>
      </c>
      <c r="AC240" s="181">
        <f t="shared" si="41"/>
        <v>12</v>
      </c>
      <c r="AD240" s="181">
        <f t="shared" si="52"/>
        <v>42839.4</v>
      </c>
      <c r="AE240" s="181">
        <v>1.7</v>
      </c>
      <c r="AF240" s="181">
        <v>1.7</v>
      </c>
      <c r="AG240" s="101" t="str">
        <f t="shared" si="42"/>
        <v/>
      </c>
      <c r="AH240" s="190">
        <v>0</v>
      </c>
      <c r="AI240" s="69">
        <f t="shared" si="43"/>
        <v>12</v>
      </c>
    </row>
    <row r="241" spans="1:35" s="69" customFormat="1" ht="39" x14ac:dyDescent="0.3">
      <c r="A241" s="55" t="s">
        <v>608</v>
      </c>
      <c r="B241" s="53" t="s">
        <v>609</v>
      </c>
      <c r="C241" s="54" t="s">
        <v>606</v>
      </c>
      <c r="D241" s="75">
        <v>18</v>
      </c>
      <c r="E241" s="75"/>
      <c r="F241" s="75"/>
      <c r="G241" s="75"/>
      <c r="H241" s="75" t="s">
        <v>15</v>
      </c>
      <c r="I241" s="75">
        <v>4083.1</v>
      </c>
      <c r="J241" s="75">
        <v>73495.8</v>
      </c>
      <c r="K241" s="91" t="s">
        <v>610</v>
      </c>
      <c r="L241" s="73"/>
      <c r="M241" s="46">
        <v>5</v>
      </c>
      <c r="N241" s="46">
        <v>0</v>
      </c>
      <c r="O241" s="46">
        <v>20415.5</v>
      </c>
      <c r="P241" s="98"/>
      <c r="Q241" s="23" t="s">
        <v>1373</v>
      </c>
      <c r="R241" s="24" t="s">
        <v>609</v>
      </c>
      <c r="S241" s="25" t="s">
        <v>606</v>
      </c>
      <c r="T241" s="26">
        <v>18</v>
      </c>
      <c r="U241" s="26">
        <v>18</v>
      </c>
      <c r="V241" s="26">
        <v>4083.1</v>
      </c>
      <c r="W241" s="26">
        <f t="shared" si="50"/>
        <v>0</v>
      </c>
      <c r="X241" s="26">
        <f t="shared" si="35"/>
        <v>5</v>
      </c>
      <c r="Y241" s="26">
        <f t="shared" si="51"/>
        <v>0</v>
      </c>
      <c r="Z241" s="26">
        <f t="shared" si="44"/>
        <v>20415.5</v>
      </c>
      <c r="AA241" s="33" t="s">
        <v>15</v>
      </c>
      <c r="AB241" s="36" t="s">
        <v>16</v>
      </c>
      <c r="AC241" s="181">
        <f t="shared" si="41"/>
        <v>18</v>
      </c>
      <c r="AD241" s="181">
        <f t="shared" si="52"/>
        <v>73495.8</v>
      </c>
      <c r="AE241" s="181">
        <v>1.7</v>
      </c>
      <c r="AF241" s="181">
        <v>1.7</v>
      </c>
      <c r="AG241" s="101" t="str">
        <f t="shared" si="42"/>
        <v/>
      </c>
      <c r="AH241" s="190">
        <v>5</v>
      </c>
      <c r="AI241" s="69">
        <f t="shared" si="43"/>
        <v>18</v>
      </c>
    </row>
    <row r="242" spans="1:35" s="69" customFormat="1" ht="39" x14ac:dyDescent="0.3">
      <c r="A242" s="130" t="s">
        <v>611</v>
      </c>
      <c r="B242" s="131" t="s">
        <v>612</v>
      </c>
      <c r="C242" s="132" t="s">
        <v>606</v>
      </c>
      <c r="D242" s="133">
        <v>5</v>
      </c>
      <c r="E242" s="203"/>
      <c r="F242" s="203"/>
      <c r="G242" s="203"/>
      <c r="H242" s="203" t="s">
        <v>15</v>
      </c>
      <c r="I242" s="75">
        <v>7408.5</v>
      </c>
      <c r="J242" s="75">
        <v>37042.5</v>
      </c>
      <c r="K242" s="91" t="s">
        <v>613</v>
      </c>
      <c r="L242" s="73"/>
      <c r="M242" s="46">
        <v>5</v>
      </c>
      <c r="N242" s="46">
        <v>0</v>
      </c>
      <c r="O242" s="46">
        <v>37042.5</v>
      </c>
      <c r="P242" s="98"/>
      <c r="Q242" s="23" t="s">
        <v>1393</v>
      </c>
      <c r="R242" s="24" t="s">
        <v>612</v>
      </c>
      <c r="S242" s="25" t="s">
        <v>606</v>
      </c>
      <c r="T242" s="26">
        <v>5</v>
      </c>
      <c r="U242" s="26">
        <v>5</v>
      </c>
      <c r="V242" s="26">
        <v>7408.5</v>
      </c>
      <c r="W242" s="127">
        <f t="shared" si="50"/>
        <v>0</v>
      </c>
      <c r="X242" s="127">
        <f t="shared" ref="X242:X305" si="53">W242+M242</f>
        <v>5</v>
      </c>
      <c r="Y242" s="127">
        <f t="shared" si="51"/>
        <v>0</v>
      </c>
      <c r="Z242" s="127">
        <f t="shared" si="44"/>
        <v>37042.5</v>
      </c>
      <c r="AA242" s="33" t="s">
        <v>15</v>
      </c>
      <c r="AB242" s="36" t="s">
        <v>16</v>
      </c>
      <c r="AC242" s="181">
        <f t="shared" si="41"/>
        <v>5</v>
      </c>
      <c r="AD242" s="181">
        <f t="shared" si="52"/>
        <v>37042.5</v>
      </c>
      <c r="AE242" s="181">
        <v>1.7</v>
      </c>
      <c r="AF242" s="181">
        <v>1.7</v>
      </c>
      <c r="AG242" s="101" t="str">
        <f t="shared" si="42"/>
        <v/>
      </c>
      <c r="AH242" s="190">
        <v>5</v>
      </c>
      <c r="AI242" s="69">
        <f t="shared" si="43"/>
        <v>5</v>
      </c>
    </row>
    <row r="243" spans="1:35" s="69" customFormat="1" ht="39" x14ac:dyDescent="0.3">
      <c r="A243" s="130" t="s">
        <v>614</v>
      </c>
      <c r="B243" s="131" t="s">
        <v>615</v>
      </c>
      <c r="C243" s="132" t="s">
        <v>606</v>
      </c>
      <c r="D243" s="133">
        <v>5</v>
      </c>
      <c r="E243" s="203"/>
      <c r="F243" s="203"/>
      <c r="G243" s="203"/>
      <c r="H243" s="203" t="s">
        <v>15</v>
      </c>
      <c r="I243" s="75">
        <v>10319.280000000001</v>
      </c>
      <c r="J243" s="75">
        <v>51596.4</v>
      </c>
      <c r="K243" s="91" t="s">
        <v>616</v>
      </c>
      <c r="L243" s="73"/>
      <c r="M243" s="46">
        <v>5</v>
      </c>
      <c r="N243" s="46">
        <v>0</v>
      </c>
      <c r="O243" s="46">
        <v>51596.4</v>
      </c>
      <c r="P243" s="98"/>
      <c r="Q243" s="23" t="s">
        <v>1403</v>
      </c>
      <c r="R243" s="24" t="s">
        <v>615</v>
      </c>
      <c r="S243" s="25" t="s">
        <v>606</v>
      </c>
      <c r="T243" s="26">
        <v>5</v>
      </c>
      <c r="U243" s="26">
        <v>5</v>
      </c>
      <c r="V243" s="26">
        <v>10319.280000000001</v>
      </c>
      <c r="W243" s="127">
        <f t="shared" si="50"/>
        <v>0</v>
      </c>
      <c r="X243" s="127">
        <f t="shared" si="53"/>
        <v>5</v>
      </c>
      <c r="Y243" s="127">
        <f t="shared" si="51"/>
        <v>0</v>
      </c>
      <c r="Z243" s="127">
        <f t="shared" si="44"/>
        <v>51596.4</v>
      </c>
      <c r="AA243" s="33" t="s">
        <v>15</v>
      </c>
      <c r="AB243" s="36" t="s">
        <v>16</v>
      </c>
      <c r="AC243" s="181">
        <f t="shared" si="41"/>
        <v>5</v>
      </c>
      <c r="AD243" s="181">
        <f t="shared" si="52"/>
        <v>51596.4</v>
      </c>
      <c r="AE243" s="181">
        <v>1.7</v>
      </c>
      <c r="AF243" s="181">
        <v>1.7</v>
      </c>
      <c r="AG243" s="101" t="str">
        <f t="shared" si="42"/>
        <v/>
      </c>
      <c r="AH243" s="190">
        <v>5</v>
      </c>
      <c r="AI243" s="69">
        <f t="shared" si="43"/>
        <v>5</v>
      </c>
    </row>
    <row r="244" spans="1:35" s="69" customFormat="1" ht="39" x14ac:dyDescent="0.3">
      <c r="A244" s="130" t="s">
        <v>617</v>
      </c>
      <c r="B244" s="131" t="s">
        <v>618</v>
      </c>
      <c r="C244" s="132" t="s">
        <v>606</v>
      </c>
      <c r="D244" s="133">
        <v>2</v>
      </c>
      <c r="E244" s="203"/>
      <c r="F244" s="203"/>
      <c r="G244" s="203"/>
      <c r="H244" s="203" t="s">
        <v>15</v>
      </c>
      <c r="I244" s="75">
        <v>15164.14</v>
      </c>
      <c r="J244" s="75">
        <v>30328.28</v>
      </c>
      <c r="K244" s="91" t="s">
        <v>619</v>
      </c>
      <c r="L244" s="73"/>
      <c r="M244" s="46">
        <v>2</v>
      </c>
      <c r="N244" s="46">
        <v>0</v>
      </c>
      <c r="O244" s="46">
        <v>30328.28</v>
      </c>
      <c r="P244" s="98"/>
      <c r="Q244" s="23" t="s">
        <v>1427</v>
      </c>
      <c r="R244" s="24" t="s">
        <v>618</v>
      </c>
      <c r="S244" s="25" t="s">
        <v>606</v>
      </c>
      <c r="T244" s="26">
        <v>2</v>
      </c>
      <c r="U244" s="26">
        <v>2</v>
      </c>
      <c r="V244" s="26">
        <v>15164.14</v>
      </c>
      <c r="W244" s="127">
        <f t="shared" si="50"/>
        <v>0</v>
      </c>
      <c r="X244" s="127">
        <f t="shared" si="53"/>
        <v>2</v>
      </c>
      <c r="Y244" s="127">
        <f t="shared" si="51"/>
        <v>0</v>
      </c>
      <c r="Z244" s="127">
        <f t="shared" si="44"/>
        <v>30328.28</v>
      </c>
      <c r="AA244" s="33" t="s">
        <v>15</v>
      </c>
      <c r="AB244" s="36" t="s">
        <v>16</v>
      </c>
      <c r="AC244" s="181">
        <f t="shared" si="41"/>
        <v>2</v>
      </c>
      <c r="AD244" s="181">
        <f t="shared" si="52"/>
        <v>30328.28</v>
      </c>
      <c r="AE244" s="181">
        <v>1.7</v>
      </c>
      <c r="AF244" s="181">
        <v>1.7</v>
      </c>
      <c r="AG244" s="101" t="str">
        <f t="shared" si="42"/>
        <v/>
      </c>
      <c r="AH244" s="190">
        <v>2</v>
      </c>
      <c r="AI244" s="69">
        <f t="shared" si="43"/>
        <v>2</v>
      </c>
    </row>
    <row r="245" spans="1:35" s="69" customFormat="1" ht="39" x14ac:dyDescent="0.3">
      <c r="A245" s="130" t="s">
        <v>620</v>
      </c>
      <c r="B245" s="131" t="s">
        <v>621</v>
      </c>
      <c r="C245" s="132" t="s">
        <v>606</v>
      </c>
      <c r="D245" s="133">
        <v>6</v>
      </c>
      <c r="E245" s="203"/>
      <c r="F245" s="203"/>
      <c r="G245" s="203"/>
      <c r="H245" s="203" t="s">
        <v>15</v>
      </c>
      <c r="I245" s="75">
        <v>21803.06</v>
      </c>
      <c r="J245" s="75">
        <v>130818.36</v>
      </c>
      <c r="K245" s="91" t="s">
        <v>622</v>
      </c>
      <c r="L245" s="73"/>
      <c r="M245" s="46">
        <v>6</v>
      </c>
      <c r="N245" s="46">
        <v>0</v>
      </c>
      <c r="O245" s="46">
        <v>130818.36</v>
      </c>
      <c r="P245" s="98"/>
      <c r="Q245" s="23" t="s">
        <v>1428</v>
      </c>
      <c r="R245" s="24" t="s">
        <v>621</v>
      </c>
      <c r="S245" s="25" t="s">
        <v>606</v>
      </c>
      <c r="T245" s="26">
        <v>6</v>
      </c>
      <c r="U245" s="26">
        <v>6</v>
      </c>
      <c r="V245" s="26">
        <v>21803.06</v>
      </c>
      <c r="W245" s="127">
        <f t="shared" si="50"/>
        <v>0</v>
      </c>
      <c r="X245" s="127">
        <f t="shared" si="53"/>
        <v>6</v>
      </c>
      <c r="Y245" s="127">
        <f t="shared" si="51"/>
        <v>0</v>
      </c>
      <c r="Z245" s="127">
        <f t="shared" si="44"/>
        <v>130818.36</v>
      </c>
      <c r="AA245" s="33" t="s">
        <v>15</v>
      </c>
      <c r="AB245" s="36" t="s">
        <v>16</v>
      </c>
      <c r="AC245" s="181">
        <f t="shared" si="41"/>
        <v>6</v>
      </c>
      <c r="AD245" s="181">
        <f t="shared" si="52"/>
        <v>130818.36</v>
      </c>
      <c r="AE245" s="181">
        <v>1.7</v>
      </c>
      <c r="AF245" s="181">
        <v>1.7</v>
      </c>
      <c r="AG245" s="101" t="str">
        <f t="shared" si="42"/>
        <v/>
      </c>
      <c r="AH245" s="190">
        <v>6</v>
      </c>
      <c r="AI245" s="69">
        <f t="shared" si="43"/>
        <v>6</v>
      </c>
    </row>
    <row r="246" spans="1:35" s="69" customFormat="1" ht="39" x14ac:dyDescent="0.3">
      <c r="A246" s="130" t="s">
        <v>623</v>
      </c>
      <c r="B246" s="131" t="s">
        <v>624</v>
      </c>
      <c r="C246" s="132" t="s">
        <v>606</v>
      </c>
      <c r="D246" s="133">
        <v>3</v>
      </c>
      <c r="E246" s="203"/>
      <c r="F246" s="203"/>
      <c r="G246" s="203"/>
      <c r="H246" s="203" t="s">
        <v>15</v>
      </c>
      <c r="I246" s="75">
        <v>26196.51</v>
      </c>
      <c r="J246" s="75">
        <v>78589.53</v>
      </c>
      <c r="K246" s="91" t="s">
        <v>625</v>
      </c>
      <c r="L246" s="73"/>
      <c r="M246" s="46">
        <v>3</v>
      </c>
      <c r="N246" s="46">
        <v>0</v>
      </c>
      <c r="O246" s="46">
        <v>78589.53</v>
      </c>
      <c r="P246" s="98"/>
      <c r="Q246" s="23" t="s">
        <v>1387</v>
      </c>
      <c r="R246" s="24" t="s">
        <v>624</v>
      </c>
      <c r="S246" s="25" t="s">
        <v>606</v>
      </c>
      <c r="T246" s="26">
        <v>3</v>
      </c>
      <c r="U246" s="26">
        <v>3</v>
      </c>
      <c r="V246" s="26">
        <v>26196.51</v>
      </c>
      <c r="W246" s="127">
        <f t="shared" si="50"/>
        <v>0</v>
      </c>
      <c r="X246" s="127">
        <f t="shared" si="53"/>
        <v>3</v>
      </c>
      <c r="Y246" s="127">
        <f t="shared" si="51"/>
        <v>0</v>
      </c>
      <c r="Z246" s="127">
        <f t="shared" si="44"/>
        <v>78589.53</v>
      </c>
      <c r="AA246" s="33" t="s">
        <v>15</v>
      </c>
      <c r="AB246" s="36" t="s">
        <v>16</v>
      </c>
      <c r="AC246" s="181">
        <f t="shared" si="41"/>
        <v>3</v>
      </c>
      <c r="AD246" s="181">
        <f t="shared" si="52"/>
        <v>78589.53</v>
      </c>
      <c r="AE246" s="181">
        <v>1.7</v>
      </c>
      <c r="AF246" s="181">
        <v>1.7</v>
      </c>
      <c r="AG246" s="101" t="str">
        <f t="shared" si="42"/>
        <v/>
      </c>
      <c r="AH246" s="190">
        <v>3</v>
      </c>
      <c r="AI246" s="69">
        <f t="shared" si="43"/>
        <v>3</v>
      </c>
    </row>
    <row r="247" spans="1:35" s="69" customFormat="1" ht="39" x14ac:dyDescent="0.3">
      <c r="A247" s="130" t="s">
        <v>626</v>
      </c>
      <c r="B247" s="131" t="s">
        <v>627</v>
      </c>
      <c r="C247" s="132" t="s">
        <v>606</v>
      </c>
      <c r="D247" s="133">
        <v>2</v>
      </c>
      <c r="E247" s="203"/>
      <c r="F247" s="203"/>
      <c r="G247" s="203"/>
      <c r="H247" s="203" t="s">
        <v>15</v>
      </c>
      <c r="I247" s="75">
        <v>29984.85</v>
      </c>
      <c r="J247" s="75">
        <v>59969.7</v>
      </c>
      <c r="K247" s="91" t="s">
        <v>628</v>
      </c>
      <c r="L247" s="73"/>
      <c r="M247" s="46">
        <v>2</v>
      </c>
      <c r="N247" s="46">
        <v>0</v>
      </c>
      <c r="O247" s="46">
        <v>59969.7</v>
      </c>
      <c r="P247" s="98"/>
      <c r="Q247" s="23" t="s">
        <v>1405</v>
      </c>
      <c r="R247" s="24" t="s">
        <v>627</v>
      </c>
      <c r="S247" s="25" t="s">
        <v>606</v>
      </c>
      <c r="T247" s="26">
        <v>2</v>
      </c>
      <c r="U247" s="26">
        <v>2</v>
      </c>
      <c r="V247" s="26">
        <v>29984.85</v>
      </c>
      <c r="W247" s="127">
        <f t="shared" si="50"/>
        <v>0</v>
      </c>
      <c r="X247" s="127">
        <f t="shared" si="53"/>
        <v>2</v>
      </c>
      <c r="Y247" s="127">
        <f t="shared" si="51"/>
        <v>0</v>
      </c>
      <c r="Z247" s="127">
        <f t="shared" si="44"/>
        <v>59969.7</v>
      </c>
      <c r="AA247" s="33" t="s">
        <v>15</v>
      </c>
      <c r="AB247" s="36" t="s">
        <v>16</v>
      </c>
      <c r="AC247" s="181">
        <f t="shared" si="41"/>
        <v>2</v>
      </c>
      <c r="AD247" s="181">
        <f t="shared" si="52"/>
        <v>59969.7</v>
      </c>
      <c r="AE247" s="181">
        <v>1.7</v>
      </c>
      <c r="AF247" s="181">
        <v>1.7</v>
      </c>
      <c r="AG247" s="101" t="str">
        <f t="shared" si="42"/>
        <v/>
      </c>
      <c r="AH247" s="190">
        <v>2</v>
      </c>
      <c r="AI247" s="69">
        <f t="shared" si="43"/>
        <v>2</v>
      </c>
    </row>
    <row r="248" spans="1:35" s="69" customFormat="1" ht="39" x14ac:dyDescent="0.3">
      <c r="A248" s="130" t="s">
        <v>629</v>
      </c>
      <c r="B248" s="131" t="s">
        <v>630</v>
      </c>
      <c r="C248" s="132" t="s">
        <v>606</v>
      </c>
      <c r="D248" s="133">
        <v>3</v>
      </c>
      <c r="E248" s="203"/>
      <c r="F248" s="203"/>
      <c r="G248" s="203"/>
      <c r="H248" s="203" t="s">
        <v>15</v>
      </c>
      <c r="I248" s="75">
        <v>38914.949999999997</v>
      </c>
      <c r="J248" s="75">
        <v>116744.85</v>
      </c>
      <c r="K248" s="91" t="s">
        <v>631</v>
      </c>
      <c r="L248" s="73"/>
      <c r="M248" s="46">
        <v>3</v>
      </c>
      <c r="N248" s="46">
        <v>0</v>
      </c>
      <c r="O248" s="46">
        <v>116744.85</v>
      </c>
      <c r="P248" s="98"/>
      <c r="Q248" s="23" t="s">
        <v>1406</v>
      </c>
      <c r="R248" s="24" t="s">
        <v>630</v>
      </c>
      <c r="S248" s="25" t="s">
        <v>606</v>
      </c>
      <c r="T248" s="26">
        <v>3</v>
      </c>
      <c r="U248" s="26">
        <v>3</v>
      </c>
      <c r="V248" s="26">
        <v>38914.949999999997</v>
      </c>
      <c r="W248" s="127">
        <f t="shared" si="50"/>
        <v>0</v>
      </c>
      <c r="X248" s="127">
        <f t="shared" si="53"/>
        <v>3</v>
      </c>
      <c r="Y248" s="127">
        <f t="shared" si="51"/>
        <v>0</v>
      </c>
      <c r="Z248" s="127">
        <f t="shared" si="44"/>
        <v>116744.85</v>
      </c>
      <c r="AA248" s="33" t="s">
        <v>15</v>
      </c>
      <c r="AB248" s="36" t="s">
        <v>16</v>
      </c>
      <c r="AC248" s="181">
        <f t="shared" si="41"/>
        <v>3</v>
      </c>
      <c r="AD248" s="181">
        <f t="shared" si="52"/>
        <v>116744.85</v>
      </c>
      <c r="AE248" s="181">
        <v>1.7</v>
      </c>
      <c r="AF248" s="181">
        <v>1.7</v>
      </c>
      <c r="AG248" s="101" t="str">
        <f t="shared" si="42"/>
        <v/>
      </c>
      <c r="AH248" s="190">
        <v>3</v>
      </c>
      <c r="AI248" s="69">
        <f t="shared" si="43"/>
        <v>3</v>
      </c>
    </row>
    <row r="249" spans="1:35" s="69" customFormat="1" ht="39" x14ac:dyDescent="0.3">
      <c r="A249" s="130" t="s">
        <v>632</v>
      </c>
      <c r="B249" s="131" t="s">
        <v>633</v>
      </c>
      <c r="C249" s="132" t="s">
        <v>606</v>
      </c>
      <c r="D249" s="133">
        <v>3</v>
      </c>
      <c r="E249" s="203"/>
      <c r="F249" s="203"/>
      <c r="G249" s="203"/>
      <c r="H249" s="203" t="s">
        <v>15</v>
      </c>
      <c r="I249" s="75">
        <v>43624.88</v>
      </c>
      <c r="J249" s="75">
        <v>130874.64</v>
      </c>
      <c r="K249" s="91" t="s">
        <v>634</v>
      </c>
      <c r="L249" s="73"/>
      <c r="M249" s="46">
        <v>3</v>
      </c>
      <c r="N249" s="46">
        <v>0</v>
      </c>
      <c r="O249" s="46">
        <v>130874.64</v>
      </c>
      <c r="P249" s="98"/>
      <c r="Q249" s="23" t="s">
        <v>1414</v>
      </c>
      <c r="R249" s="24" t="s">
        <v>633</v>
      </c>
      <c r="S249" s="25" t="s">
        <v>606</v>
      </c>
      <c r="T249" s="26">
        <v>3</v>
      </c>
      <c r="U249" s="26">
        <v>3</v>
      </c>
      <c r="V249" s="26">
        <v>43624.88</v>
      </c>
      <c r="W249" s="127">
        <f t="shared" si="50"/>
        <v>0</v>
      </c>
      <c r="X249" s="127">
        <f t="shared" si="53"/>
        <v>3</v>
      </c>
      <c r="Y249" s="127">
        <f t="shared" si="51"/>
        <v>0</v>
      </c>
      <c r="Z249" s="127">
        <f t="shared" si="44"/>
        <v>130874.64</v>
      </c>
      <c r="AA249" s="33" t="s">
        <v>15</v>
      </c>
      <c r="AB249" s="36" t="s">
        <v>16</v>
      </c>
      <c r="AC249" s="181">
        <f t="shared" si="41"/>
        <v>3</v>
      </c>
      <c r="AD249" s="181">
        <f t="shared" si="52"/>
        <v>130874.64</v>
      </c>
      <c r="AE249" s="181">
        <v>1.7</v>
      </c>
      <c r="AF249" s="181">
        <v>1.7</v>
      </c>
      <c r="AG249" s="101" t="str">
        <f t="shared" si="42"/>
        <v/>
      </c>
      <c r="AH249" s="190">
        <v>3</v>
      </c>
      <c r="AI249" s="69">
        <f t="shared" si="43"/>
        <v>3</v>
      </c>
    </row>
    <row r="250" spans="1:35" s="69" customFormat="1" ht="39" x14ac:dyDescent="0.3">
      <c r="A250" s="130" t="s">
        <v>635</v>
      </c>
      <c r="B250" s="131" t="s">
        <v>636</v>
      </c>
      <c r="C250" s="132" t="s">
        <v>606</v>
      </c>
      <c r="D250" s="133">
        <v>1</v>
      </c>
      <c r="E250" s="203"/>
      <c r="F250" s="203"/>
      <c r="G250" s="203"/>
      <c r="H250" s="203" t="s">
        <v>15</v>
      </c>
      <c r="I250" s="75">
        <v>73088.800000000003</v>
      </c>
      <c r="J250" s="75">
        <v>73088.800000000003</v>
      </c>
      <c r="K250" s="91" t="s">
        <v>637</v>
      </c>
      <c r="L250" s="73"/>
      <c r="M250" s="46">
        <v>1</v>
      </c>
      <c r="N250" s="46">
        <v>0</v>
      </c>
      <c r="O250" s="46">
        <v>73088.800000000003</v>
      </c>
      <c r="P250" s="98"/>
      <c r="Q250" s="23" t="s">
        <v>1429</v>
      </c>
      <c r="R250" s="24" t="s">
        <v>636</v>
      </c>
      <c r="S250" s="25" t="s">
        <v>606</v>
      </c>
      <c r="T250" s="26">
        <v>1</v>
      </c>
      <c r="U250" s="26">
        <v>1</v>
      </c>
      <c r="V250" s="26">
        <v>73088.800000000003</v>
      </c>
      <c r="W250" s="127">
        <f t="shared" si="50"/>
        <v>0</v>
      </c>
      <c r="X250" s="127">
        <f t="shared" si="53"/>
        <v>1</v>
      </c>
      <c r="Y250" s="127">
        <f t="shared" si="51"/>
        <v>0</v>
      </c>
      <c r="Z250" s="127">
        <f t="shared" si="44"/>
        <v>73088.800000000003</v>
      </c>
      <c r="AA250" s="33" t="s">
        <v>15</v>
      </c>
      <c r="AB250" s="36" t="s">
        <v>16</v>
      </c>
      <c r="AC250" s="181">
        <f t="shared" si="41"/>
        <v>1</v>
      </c>
      <c r="AD250" s="181">
        <f t="shared" si="52"/>
        <v>73088.800000000003</v>
      </c>
      <c r="AE250" s="181">
        <v>1.7</v>
      </c>
      <c r="AF250" s="181">
        <v>1.7</v>
      </c>
      <c r="AG250" s="101" t="str">
        <f t="shared" si="42"/>
        <v/>
      </c>
      <c r="AH250" s="190">
        <v>1</v>
      </c>
      <c r="AI250" s="69">
        <f t="shared" si="43"/>
        <v>1</v>
      </c>
    </row>
    <row r="251" spans="1:35" s="69" customFormat="1" ht="39" x14ac:dyDescent="0.3">
      <c r="A251" s="55" t="s">
        <v>638</v>
      </c>
      <c r="B251" s="53" t="s">
        <v>639</v>
      </c>
      <c r="C251" s="54" t="s">
        <v>606</v>
      </c>
      <c r="D251" s="75">
        <v>6</v>
      </c>
      <c r="E251" s="75"/>
      <c r="F251" s="75"/>
      <c r="G251" s="75"/>
      <c r="H251" s="75" t="s">
        <v>15</v>
      </c>
      <c r="I251" s="75">
        <v>22814.5</v>
      </c>
      <c r="J251" s="75">
        <v>136887</v>
      </c>
      <c r="K251" s="91" t="s">
        <v>640</v>
      </c>
      <c r="L251" s="73"/>
      <c r="M251" s="46">
        <v>3</v>
      </c>
      <c r="N251" s="46">
        <v>0</v>
      </c>
      <c r="O251" s="46">
        <v>68443.5</v>
      </c>
      <c r="P251" s="98"/>
      <c r="Q251" s="23" t="s">
        <v>1430</v>
      </c>
      <c r="R251" s="24" t="s">
        <v>639</v>
      </c>
      <c r="S251" s="25" t="s">
        <v>606</v>
      </c>
      <c r="T251" s="26">
        <v>6</v>
      </c>
      <c r="U251" s="26">
        <v>6</v>
      </c>
      <c r="V251" s="26">
        <v>22814.5</v>
      </c>
      <c r="W251" s="243">
        <f t="shared" si="50"/>
        <v>0</v>
      </c>
      <c r="X251" s="26">
        <f t="shared" si="53"/>
        <v>3</v>
      </c>
      <c r="Y251" s="26">
        <f t="shared" si="51"/>
        <v>0</v>
      </c>
      <c r="Z251" s="26">
        <f t="shared" si="44"/>
        <v>68443.5</v>
      </c>
      <c r="AA251" s="33" t="s">
        <v>15</v>
      </c>
      <c r="AB251" s="36" t="s">
        <v>16</v>
      </c>
      <c r="AC251" s="181">
        <f t="shared" si="41"/>
        <v>6</v>
      </c>
      <c r="AD251" s="181">
        <f t="shared" si="52"/>
        <v>136887</v>
      </c>
      <c r="AE251" s="181">
        <v>1.7</v>
      </c>
      <c r="AF251" s="181">
        <v>1.7</v>
      </c>
      <c r="AG251" s="101" t="str">
        <f t="shared" si="42"/>
        <v/>
      </c>
      <c r="AH251" s="191">
        <f>3</f>
        <v>3</v>
      </c>
      <c r="AI251" s="69">
        <f t="shared" si="43"/>
        <v>6</v>
      </c>
    </row>
    <row r="252" spans="1:35" s="69" customFormat="1" ht="58.5" x14ac:dyDescent="0.3">
      <c r="A252" s="130" t="s">
        <v>641</v>
      </c>
      <c r="B252" s="131" t="s">
        <v>642</v>
      </c>
      <c r="C252" s="132" t="s">
        <v>606</v>
      </c>
      <c r="D252" s="133">
        <v>3</v>
      </c>
      <c r="E252" s="203"/>
      <c r="F252" s="203"/>
      <c r="G252" s="203"/>
      <c r="H252" s="203">
        <v>8</v>
      </c>
      <c r="I252" s="75">
        <v>1963.3</v>
      </c>
      <c r="J252" s="75">
        <v>15706.4</v>
      </c>
      <c r="K252" s="91" t="s">
        <v>643</v>
      </c>
      <c r="L252" s="73"/>
      <c r="M252" s="46">
        <v>3</v>
      </c>
      <c r="N252" s="46">
        <v>0</v>
      </c>
      <c r="O252" s="46">
        <v>5889.9</v>
      </c>
      <c r="P252" s="98"/>
      <c r="Q252" s="23" t="s">
        <v>1431</v>
      </c>
      <c r="R252" s="24" t="s">
        <v>642</v>
      </c>
      <c r="S252" s="25" t="s">
        <v>606</v>
      </c>
      <c r="T252" s="26">
        <v>3</v>
      </c>
      <c r="U252" s="26">
        <v>8</v>
      </c>
      <c r="V252" s="26">
        <v>1963.3</v>
      </c>
      <c r="W252" s="127">
        <f t="shared" si="50"/>
        <v>0</v>
      </c>
      <c r="X252" s="127">
        <f t="shared" si="53"/>
        <v>3</v>
      </c>
      <c r="Y252" s="127">
        <f t="shared" si="51"/>
        <v>0</v>
      </c>
      <c r="Z252" s="127">
        <f t="shared" si="44"/>
        <v>5889.9</v>
      </c>
      <c r="AA252" s="33" t="s">
        <v>15</v>
      </c>
      <c r="AB252" s="36" t="s">
        <v>16</v>
      </c>
      <c r="AC252" s="181">
        <f t="shared" si="41"/>
        <v>8</v>
      </c>
      <c r="AD252" s="181">
        <f t="shared" si="52"/>
        <v>15706.4</v>
      </c>
      <c r="AE252" s="181">
        <v>1.7</v>
      </c>
      <c r="AF252" s="181">
        <v>1.7</v>
      </c>
      <c r="AG252" s="101" t="str">
        <f t="shared" si="42"/>
        <v/>
      </c>
      <c r="AH252" s="190">
        <v>3</v>
      </c>
      <c r="AI252" s="69">
        <f t="shared" si="43"/>
        <v>3</v>
      </c>
    </row>
    <row r="253" spans="1:35" s="69" customFormat="1" ht="58.5" x14ac:dyDescent="0.3">
      <c r="A253" s="130" t="s">
        <v>644</v>
      </c>
      <c r="B253" s="131" t="s">
        <v>645</v>
      </c>
      <c r="C253" s="132" t="s">
        <v>606</v>
      </c>
      <c r="D253" s="133">
        <v>5</v>
      </c>
      <c r="E253" s="203"/>
      <c r="F253" s="203"/>
      <c r="G253" s="203"/>
      <c r="H253" s="203">
        <v>10</v>
      </c>
      <c r="I253" s="75">
        <v>2216.6</v>
      </c>
      <c r="J253" s="75">
        <v>22166</v>
      </c>
      <c r="K253" s="91" t="s">
        <v>646</v>
      </c>
      <c r="L253" s="73"/>
      <c r="M253" s="46">
        <v>5</v>
      </c>
      <c r="N253" s="46">
        <v>0</v>
      </c>
      <c r="O253" s="46">
        <v>11083</v>
      </c>
      <c r="P253" s="98"/>
      <c r="Q253" s="23" t="s">
        <v>1395</v>
      </c>
      <c r="R253" s="24" t="s">
        <v>645</v>
      </c>
      <c r="S253" s="25" t="s">
        <v>606</v>
      </c>
      <c r="T253" s="26">
        <v>5</v>
      </c>
      <c r="U253" s="26">
        <v>10</v>
      </c>
      <c r="V253" s="26">
        <v>2216.6</v>
      </c>
      <c r="W253" s="127">
        <f t="shared" si="50"/>
        <v>0</v>
      </c>
      <c r="X253" s="127">
        <f t="shared" si="53"/>
        <v>5</v>
      </c>
      <c r="Y253" s="127">
        <f t="shared" si="51"/>
        <v>0</v>
      </c>
      <c r="Z253" s="127">
        <f t="shared" si="44"/>
        <v>11083</v>
      </c>
      <c r="AA253" s="33" t="s">
        <v>15</v>
      </c>
      <c r="AB253" s="36" t="s">
        <v>16</v>
      </c>
      <c r="AC253" s="181">
        <f t="shared" si="41"/>
        <v>10</v>
      </c>
      <c r="AD253" s="181">
        <f t="shared" si="52"/>
        <v>22166</v>
      </c>
      <c r="AE253" s="181">
        <v>1.7</v>
      </c>
      <c r="AF253" s="181">
        <v>1.7</v>
      </c>
      <c r="AG253" s="101" t="str">
        <f t="shared" si="42"/>
        <v/>
      </c>
      <c r="AH253" s="190">
        <v>5</v>
      </c>
      <c r="AI253" s="69">
        <f t="shared" si="43"/>
        <v>5</v>
      </c>
    </row>
    <row r="254" spans="1:35" s="69" customFormat="1" ht="58.5" x14ac:dyDescent="0.3">
      <c r="A254" s="55" t="s">
        <v>647</v>
      </c>
      <c r="B254" s="53" t="s">
        <v>648</v>
      </c>
      <c r="C254" s="54" t="s">
        <v>606</v>
      </c>
      <c r="D254" s="203">
        <v>7</v>
      </c>
      <c r="E254" s="203">
        <v>17</v>
      </c>
      <c r="F254" s="203"/>
      <c r="G254" s="203"/>
      <c r="H254" s="203" t="s">
        <v>15</v>
      </c>
      <c r="I254" s="75">
        <v>2999.02</v>
      </c>
      <c r="J254" s="75">
        <v>50983.34</v>
      </c>
      <c r="K254" s="91" t="s">
        <v>649</v>
      </c>
      <c r="L254" s="73"/>
      <c r="M254" s="46">
        <v>7</v>
      </c>
      <c r="N254" s="46">
        <v>0</v>
      </c>
      <c r="O254" s="46">
        <v>20993.14</v>
      </c>
      <c r="P254" s="98"/>
      <c r="Q254" s="23" t="s">
        <v>1432</v>
      </c>
      <c r="R254" s="24" t="s">
        <v>648</v>
      </c>
      <c r="S254" s="25" t="s">
        <v>606</v>
      </c>
      <c r="T254" s="26">
        <v>7</v>
      </c>
      <c r="U254" s="26">
        <v>17</v>
      </c>
      <c r="V254" s="26">
        <v>2999.02</v>
      </c>
      <c r="W254" s="26">
        <f t="shared" si="50"/>
        <v>0</v>
      </c>
      <c r="X254" s="26">
        <f t="shared" si="53"/>
        <v>7</v>
      </c>
      <c r="Y254" s="26">
        <f t="shared" si="51"/>
        <v>0</v>
      </c>
      <c r="Z254" s="26">
        <f t="shared" si="44"/>
        <v>20993.14</v>
      </c>
      <c r="AA254" s="27" t="s">
        <v>15</v>
      </c>
      <c r="AB254" s="36" t="s">
        <v>16</v>
      </c>
      <c r="AC254" s="181">
        <f t="shared" si="41"/>
        <v>17</v>
      </c>
      <c r="AD254" s="181">
        <f t="shared" si="52"/>
        <v>50983.34</v>
      </c>
      <c r="AE254" s="181">
        <v>1.7</v>
      </c>
      <c r="AF254" s="181">
        <v>1.7</v>
      </c>
      <c r="AG254" s="101" t="str">
        <f t="shared" si="42"/>
        <v/>
      </c>
      <c r="AH254" s="190">
        <v>7</v>
      </c>
      <c r="AI254" s="69">
        <f t="shared" si="43"/>
        <v>17</v>
      </c>
    </row>
    <row r="255" spans="1:35" s="69" customFormat="1" ht="58.5" x14ac:dyDescent="0.3">
      <c r="A255" s="130" t="s">
        <v>650</v>
      </c>
      <c r="B255" s="131" t="s">
        <v>651</v>
      </c>
      <c r="C255" s="132" t="s">
        <v>606</v>
      </c>
      <c r="D255" s="133">
        <v>3</v>
      </c>
      <c r="E255" s="203"/>
      <c r="F255" s="203"/>
      <c r="G255" s="203"/>
      <c r="H255" s="203" t="s">
        <v>15</v>
      </c>
      <c r="I255" s="75">
        <v>4720.5600000000004</v>
      </c>
      <c r="J255" s="75">
        <v>14161.68</v>
      </c>
      <c r="K255" s="91" t="s">
        <v>652</v>
      </c>
      <c r="L255" s="73"/>
      <c r="M255" s="46">
        <v>3</v>
      </c>
      <c r="N255" s="46">
        <v>0</v>
      </c>
      <c r="O255" s="46">
        <v>14161.68</v>
      </c>
      <c r="P255" s="98"/>
      <c r="Q255" s="23" t="s">
        <v>1433</v>
      </c>
      <c r="R255" s="24" t="s">
        <v>651</v>
      </c>
      <c r="S255" s="25" t="s">
        <v>606</v>
      </c>
      <c r="T255" s="26">
        <v>3</v>
      </c>
      <c r="U255" s="26">
        <v>3</v>
      </c>
      <c r="V255" s="26">
        <v>4720.5600000000004</v>
      </c>
      <c r="W255" s="127">
        <f t="shared" si="50"/>
        <v>0</v>
      </c>
      <c r="X255" s="127">
        <f t="shared" si="53"/>
        <v>3</v>
      </c>
      <c r="Y255" s="127">
        <f t="shared" si="51"/>
        <v>0</v>
      </c>
      <c r="Z255" s="127">
        <f t="shared" si="44"/>
        <v>14161.68</v>
      </c>
      <c r="AA255" s="33" t="s">
        <v>15</v>
      </c>
      <c r="AB255" s="36" t="s">
        <v>16</v>
      </c>
      <c r="AC255" s="181">
        <f t="shared" si="41"/>
        <v>3</v>
      </c>
      <c r="AD255" s="181">
        <f t="shared" si="52"/>
        <v>14161.68</v>
      </c>
      <c r="AE255" s="181">
        <v>1.7</v>
      </c>
      <c r="AF255" s="181">
        <v>1.7</v>
      </c>
      <c r="AG255" s="101" t="str">
        <f t="shared" si="42"/>
        <v/>
      </c>
      <c r="AH255" s="190">
        <v>3</v>
      </c>
      <c r="AI255" s="69">
        <f t="shared" si="43"/>
        <v>3</v>
      </c>
    </row>
    <row r="256" spans="1:35" s="69" customFormat="1" ht="58.5" x14ac:dyDescent="0.3">
      <c r="A256" s="130" t="s">
        <v>653</v>
      </c>
      <c r="B256" s="131" t="s">
        <v>654</v>
      </c>
      <c r="C256" s="132" t="s">
        <v>606</v>
      </c>
      <c r="D256" s="133">
        <v>4</v>
      </c>
      <c r="E256" s="203"/>
      <c r="F256" s="203"/>
      <c r="G256" s="203"/>
      <c r="H256" s="203">
        <v>5</v>
      </c>
      <c r="I256" s="75">
        <v>5897.9</v>
      </c>
      <c r="J256" s="75">
        <v>29489.5</v>
      </c>
      <c r="K256" s="91" t="s">
        <v>655</v>
      </c>
      <c r="L256" s="73"/>
      <c r="M256" s="46">
        <v>4</v>
      </c>
      <c r="N256" s="46">
        <v>0</v>
      </c>
      <c r="O256" s="46">
        <v>23591.599999999999</v>
      </c>
      <c r="P256" s="98"/>
      <c r="Q256" s="23" t="s">
        <v>1382</v>
      </c>
      <c r="R256" s="24" t="s">
        <v>654</v>
      </c>
      <c r="S256" s="25" t="s">
        <v>606</v>
      </c>
      <c r="T256" s="26">
        <v>4</v>
      </c>
      <c r="U256" s="26">
        <v>5</v>
      </c>
      <c r="V256" s="26">
        <v>5897.9</v>
      </c>
      <c r="W256" s="127">
        <f t="shared" si="50"/>
        <v>0</v>
      </c>
      <c r="X256" s="127">
        <f t="shared" si="53"/>
        <v>4</v>
      </c>
      <c r="Y256" s="127">
        <f t="shared" si="51"/>
        <v>0</v>
      </c>
      <c r="Z256" s="127">
        <f t="shared" si="44"/>
        <v>23591.599999999999</v>
      </c>
      <c r="AA256" s="33" t="s">
        <v>15</v>
      </c>
      <c r="AB256" s="36" t="s">
        <v>16</v>
      </c>
      <c r="AC256" s="181">
        <f t="shared" si="41"/>
        <v>5</v>
      </c>
      <c r="AD256" s="181">
        <f t="shared" si="52"/>
        <v>29489.5</v>
      </c>
      <c r="AE256" s="181">
        <v>1.7</v>
      </c>
      <c r="AF256" s="181">
        <v>1.7</v>
      </c>
      <c r="AG256" s="101" t="str">
        <f t="shared" si="42"/>
        <v/>
      </c>
      <c r="AH256" s="190">
        <v>4</v>
      </c>
      <c r="AI256" s="69">
        <f t="shared" si="43"/>
        <v>4</v>
      </c>
    </row>
    <row r="257" spans="1:35" s="69" customFormat="1" ht="58.5" x14ac:dyDescent="0.3">
      <c r="A257" s="130" t="s">
        <v>656</v>
      </c>
      <c r="B257" s="131" t="s">
        <v>657</v>
      </c>
      <c r="C257" s="132" t="s">
        <v>606</v>
      </c>
      <c r="D257" s="133">
        <v>1</v>
      </c>
      <c r="E257" s="203"/>
      <c r="F257" s="203"/>
      <c r="G257" s="203"/>
      <c r="H257" s="203" t="s">
        <v>15</v>
      </c>
      <c r="I257" s="75">
        <v>9356.16</v>
      </c>
      <c r="J257" s="75">
        <v>9356.16</v>
      </c>
      <c r="K257" s="91" t="s">
        <v>658</v>
      </c>
      <c r="L257" s="73"/>
      <c r="M257" s="46">
        <v>1</v>
      </c>
      <c r="N257" s="46">
        <v>0</v>
      </c>
      <c r="O257" s="46">
        <v>9356.16</v>
      </c>
      <c r="P257" s="98"/>
      <c r="Q257" s="23" t="s">
        <v>1434</v>
      </c>
      <c r="R257" s="24" t="s">
        <v>657</v>
      </c>
      <c r="S257" s="25" t="s">
        <v>606</v>
      </c>
      <c r="T257" s="26">
        <v>1</v>
      </c>
      <c r="U257" s="26">
        <v>1</v>
      </c>
      <c r="V257" s="26">
        <v>9356.16</v>
      </c>
      <c r="W257" s="127">
        <f t="shared" si="50"/>
        <v>0</v>
      </c>
      <c r="X257" s="127">
        <f t="shared" si="53"/>
        <v>1</v>
      </c>
      <c r="Y257" s="127">
        <f t="shared" si="51"/>
        <v>0</v>
      </c>
      <c r="Z257" s="127">
        <f t="shared" si="44"/>
        <v>9356.16</v>
      </c>
      <c r="AA257" s="33" t="s">
        <v>15</v>
      </c>
      <c r="AB257" s="36" t="s">
        <v>16</v>
      </c>
      <c r="AC257" s="181">
        <f t="shared" si="41"/>
        <v>1</v>
      </c>
      <c r="AD257" s="181">
        <f t="shared" si="52"/>
        <v>9356.16</v>
      </c>
      <c r="AE257" s="181">
        <v>1.7</v>
      </c>
      <c r="AF257" s="181">
        <v>1.7</v>
      </c>
      <c r="AG257" s="101" t="str">
        <f t="shared" si="42"/>
        <v/>
      </c>
      <c r="AH257" s="190">
        <v>1</v>
      </c>
      <c r="AI257" s="69">
        <f t="shared" si="43"/>
        <v>1</v>
      </c>
    </row>
    <row r="258" spans="1:35" s="69" customFormat="1" ht="58.5" x14ac:dyDescent="0.3">
      <c r="A258" s="130" t="s">
        <v>659</v>
      </c>
      <c r="B258" s="131" t="s">
        <v>660</v>
      </c>
      <c r="C258" s="132" t="s">
        <v>606</v>
      </c>
      <c r="D258" s="133">
        <v>1</v>
      </c>
      <c r="E258" s="203"/>
      <c r="F258" s="203"/>
      <c r="G258" s="203"/>
      <c r="H258" s="203" t="s">
        <v>15</v>
      </c>
      <c r="I258" s="75">
        <v>13184.01</v>
      </c>
      <c r="J258" s="75">
        <v>13184.01</v>
      </c>
      <c r="K258" s="91" t="s">
        <v>661</v>
      </c>
      <c r="L258" s="73"/>
      <c r="M258" s="46">
        <v>1</v>
      </c>
      <c r="N258" s="46">
        <v>0</v>
      </c>
      <c r="O258" s="46">
        <v>13184.01</v>
      </c>
      <c r="P258" s="98"/>
      <c r="Q258" s="23" t="s">
        <v>1388</v>
      </c>
      <c r="R258" s="24" t="s">
        <v>660</v>
      </c>
      <c r="S258" s="25" t="s">
        <v>606</v>
      </c>
      <c r="T258" s="26">
        <v>1</v>
      </c>
      <c r="U258" s="26">
        <v>1</v>
      </c>
      <c r="V258" s="26">
        <v>13184.01</v>
      </c>
      <c r="W258" s="127">
        <f t="shared" si="50"/>
        <v>0</v>
      </c>
      <c r="X258" s="127">
        <f t="shared" si="53"/>
        <v>1</v>
      </c>
      <c r="Y258" s="127">
        <f t="shared" si="51"/>
        <v>0</v>
      </c>
      <c r="Z258" s="127">
        <f t="shared" si="44"/>
        <v>13184.01</v>
      </c>
      <c r="AA258" s="33" t="s">
        <v>15</v>
      </c>
      <c r="AB258" s="36" t="s">
        <v>16</v>
      </c>
      <c r="AC258" s="181">
        <f t="shared" si="41"/>
        <v>1</v>
      </c>
      <c r="AD258" s="181">
        <f t="shared" si="52"/>
        <v>13184.01</v>
      </c>
      <c r="AE258" s="181">
        <v>1.7</v>
      </c>
      <c r="AF258" s="181">
        <v>1.7</v>
      </c>
      <c r="AG258" s="101" t="str">
        <f t="shared" si="42"/>
        <v/>
      </c>
      <c r="AH258" s="190">
        <v>1</v>
      </c>
      <c r="AI258" s="69">
        <f t="shared" si="43"/>
        <v>1</v>
      </c>
    </row>
    <row r="259" spans="1:35" s="69" customFormat="1" ht="39" x14ac:dyDescent="0.3">
      <c r="A259" s="130" t="s">
        <v>662</v>
      </c>
      <c r="B259" s="131" t="s">
        <v>663</v>
      </c>
      <c r="C259" s="132" t="s">
        <v>30</v>
      </c>
      <c r="D259" s="133">
        <v>47.01</v>
      </c>
      <c r="E259" s="203"/>
      <c r="F259" s="203"/>
      <c r="G259" s="203"/>
      <c r="H259" s="203" t="s">
        <v>15</v>
      </c>
      <c r="I259" s="75">
        <v>1859.87</v>
      </c>
      <c r="J259" s="75">
        <v>87432.49</v>
      </c>
      <c r="K259" s="91" t="s">
        <v>664</v>
      </c>
      <c r="L259" s="73"/>
      <c r="M259" s="46">
        <v>47.01</v>
      </c>
      <c r="N259" s="46">
        <v>0</v>
      </c>
      <c r="O259" s="46">
        <v>87432.49</v>
      </c>
      <c r="P259" s="98"/>
      <c r="Q259" s="23" t="s">
        <v>1389</v>
      </c>
      <c r="R259" s="24" t="s">
        <v>663</v>
      </c>
      <c r="S259" s="25" t="s">
        <v>30</v>
      </c>
      <c r="T259" s="26">
        <v>47.01</v>
      </c>
      <c r="U259" s="26">
        <v>47.01</v>
      </c>
      <c r="V259" s="26">
        <v>1859.87</v>
      </c>
      <c r="W259" s="127">
        <f t="shared" si="50"/>
        <v>0</v>
      </c>
      <c r="X259" s="127">
        <f t="shared" si="53"/>
        <v>47.01</v>
      </c>
      <c r="Y259" s="127">
        <f t="shared" si="51"/>
        <v>0</v>
      </c>
      <c r="Z259" s="127">
        <f t="shared" si="44"/>
        <v>87432.49</v>
      </c>
      <c r="AA259" s="33" t="s">
        <v>15</v>
      </c>
      <c r="AB259" s="36" t="s">
        <v>16</v>
      </c>
      <c r="AC259" s="181">
        <f t="shared" si="41"/>
        <v>47.01</v>
      </c>
      <c r="AD259" s="181">
        <f t="shared" si="52"/>
        <v>87432.49</v>
      </c>
      <c r="AE259" s="181">
        <v>1.7</v>
      </c>
      <c r="AF259" s="181">
        <v>1.7</v>
      </c>
      <c r="AG259" s="101" t="str">
        <f t="shared" si="42"/>
        <v/>
      </c>
      <c r="AH259" s="190">
        <v>47.01</v>
      </c>
      <c r="AI259" s="69">
        <f t="shared" si="43"/>
        <v>47.01</v>
      </c>
    </row>
    <row r="260" spans="1:35" s="69" customFormat="1" ht="58.5" x14ac:dyDescent="0.3">
      <c r="A260" s="130" t="s">
        <v>665</v>
      </c>
      <c r="B260" s="131" t="s">
        <v>666</v>
      </c>
      <c r="C260" s="132" t="s">
        <v>325</v>
      </c>
      <c r="D260" s="133">
        <v>63</v>
      </c>
      <c r="E260" s="203"/>
      <c r="F260" s="203"/>
      <c r="G260" s="203"/>
      <c r="H260" s="203" t="s">
        <v>15</v>
      </c>
      <c r="I260" s="75">
        <v>40</v>
      </c>
      <c r="J260" s="75">
        <v>2520</v>
      </c>
      <c r="K260" s="91" t="s">
        <v>667</v>
      </c>
      <c r="L260" s="73"/>
      <c r="M260" s="46">
        <v>63</v>
      </c>
      <c r="N260" s="46">
        <v>0</v>
      </c>
      <c r="O260" s="46">
        <v>2520</v>
      </c>
      <c r="P260" s="98"/>
      <c r="Q260" s="23" t="s">
        <v>1390</v>
      </c>
      <c r="R260" s="24" t="s">
        <v>666</v>
      </c>
      <c r="S260" s="25" t="s">
        <v>325</v>
      </c>
      <c r="T260" s="26">
        <v>63</v>
      </c>
      <c r="U260" s="26">
        <v>63</v>
      </c>
      <c r="V260" s="26">
        <v>40</v>
      </c>
      <c r="W260" s="127">
        <f t="shared" si="50"/>
        <v>0</v>
      </c>
      <c r="X260" s="127">
        <f t="shared" si="53"/>
        <v>63</v>
      </c>
      <c r="Y260" s="127">
        <f t="shared" si="51"/>
        <v>0</v>
      </c>
      <c r="Z260" s="127">
        <f t="shared" si="44"/>
        <v>2520</v>
      </c>
      <c r="AA260" s="33" t="s">
        <v>15</v>
      </c>
      <c r="AB260" s="36" t="s">
        <v>16</v>
      </c>
      <c r="AC260" s="181">
        <f t="shared" si="41"/>
        <v>63</v>
      </c>
      <c r="AD260" s="181">
        <f t="shared" si="52"/>
        <v>2520</v>
      </c>
      <c r="AE260" s="181">
        <v>1.7</v>
      </c>
      <c r="AF260" s="181">
        <v>1.7</v>
      </c>
      <c r="AG260" s="101" t="str">
        <f t="shared" si="42"/>
        <v/>
      </c>
      <c r="AH260" s="190">
        <v>63</v>
      </c>
      <c r="AI260" s="69">
        <f t="shared" si="43"/>
        <v>63</v>
      </c>
    </row>
    <row r="261" spans="1:35" s="69" customFormat="1" ht="58.5" x14ac:dyDescent="0.3">
      <c r="A261" s="130" t="s">
        <v>668</v>
      </c>
      <c r="B261" s="131" t="s">
        <v>669</v>
      </c>
      <c r="C261" s="132" t="s">
        <v>162</v>
      </c>
      <c r="D261" s="133">
        <v>315</v>
      </c>
      <c r="E261" s="203"/>
      <c r="F261" s="203"/>
      <c r="G261" s="203"/>
      <c r="H261" s="203" t="s">
        <v>15</v>
      </c>
      <c r="I261" s="75">
        <v>35</v>
      </c>
      <c r="J261" s="75">
        <v>11025</v>
      </c>
      <c r="K261" s="91" t="s">
        <v>670</v>
      </c>
      <c r="L261" s="73"/>
      <c r="M261" s="46">
        <v>315</v>
      </c>
      <c r="N261" s="46">
        <v>0</v>
      </c>
      <c r="O261" s="46">
        <v>11025</v>
      </c>
      <c r="P261" s="98"/>
      <c r="Q261" s="23" t="s">
        <v>1391</v>
      </c>
      <c r="R261" s="24" t="s">
        <v>669</v>
      </c>
      <c r="S261" s="25" t="s">
        <v>162</v>
      </c>
      <c r="T261" s="26">
        <v>315</v>
      </c>
      <c r="U261" s="26">
        <v>315</v>
      </c>
      <c r="V261" s="26">
        <v>35</v>
      </c>
      <c r="W261" s="127">
        <f t="shared" si="50"/>
        <v>0</v>
      </c>
      <c r="X261" s="127">
        <f t="shared" si="53"/>
        <v>315</v>
      </c>
      <c r="Y261" s="127">
        <f t="shared" si="51"/>
        <v>0</v>
      </c>
      <c r="Z261" s="127">
        <f t="shared" si="44"/>
        <v>11025</v>
      </c>
      <c r="AA261" s="33" t="s">
        <v>15</v>
      </c>
      <c r="AB261" s="36" t="s">
        <v>16</v>
      </c>
      <c r="AC261" s="181">
        <f t="shared" si="41"/>
        <v>315</v>
      </c>
      <c r="AD261" s="181">
        <f t="shared" si="52"/>
        <v>11025</v>
      </c>
      <c r="AE261" s="181">
        <v>1.7</v>
      </c>
      <c r="AF261" s="181">
        <v>1.7</v>
      </c>
      <c r="AG261" s="101" t="str">
        <f t="shared" si="42"/>
        <v/>
      </c>
      <c r="AH261" s="190">
        <v>315</v>
      </c>
      <c r="AI261" s="69">
        <f t="shared" si="43"/>
        <v>315</v>
      </c>
    </row>
    <row r="262" spans="1:35" s="69" customFormat="1" ht="58.5" x14ac:dyDescent="0.3">
      <c r="A262" s="55" t="s">
        <v>671</v>
      </c>
      <c r="B262" s="53" t="s">
        <v>672</v>
      </c>
      <c r="C262" s="54" t="s">
        <v>30</v>
      </c>
      <c r="D262" s="75">
        <v>1200</v>
      </c>
      <c r="E262" s="75"/>
      <c r="F262" s="75"/>
      <c r="G262" s="75"/>
      <c r="H262" s="75" t="s">
        <v>15</v>
      </c>
      <c r="I262" s="75">
        <v>10</v>
      </c>
      <c r="J262" s="75">
        <v>12000</v>
      </c>
      <c r="K262" s="91" t="s">
        <v>673</v>
      </c>
      <c r="L262" s="73"/>
      <c r="M262" s="46">
        <v>0</v>
      </c>
      <c r="N262" s="46">
        <v>0</v>
      </c>
      <c r="O262" s="46">
        <v>0</v>
      </c>
      <c r="P262" s="98"/>
      <c r="Q262" s="23" t="s">
        <v>1436</v>
      </c>
      <c r="R262" s="24" t="s">
        <v>672</v>
      </c>
      <c r="S262" s="25" t="s">
        <v>30</v>
      </c>
      <c r="T262" s="26">
        <v>1200</v>
      </c>
      <c r="U262" s="26">
        <v>1200</v>
      </c>
      <c r="V262" s="26">
        <v>10</v>
      </c>
      <c r="W262" s="243">
        <f t="shared" si="50"/>
        <v>500</v>
      </c>
      <c r="X262" s="26">
        <f t="shared" si="53"/>
        <v>500</v>
      </c>
      <c r="Y262" s="26">
        <f t="shared" si="51"/>
        <v>5000</v>
      </c>
      <c r="Z262" s="26">
        <f t="shared" si="44"/>
        <v>5000</v>
      </c>
      <c r="AA262" s="33" t="s">
        <v>15</v>
      </c>
      <c r="AB262" s="36" t="s">
        <v>16</v>
      </c>
      <c r="AC262" s="181">
        <f t="shared" si="41"/>
        <v>1200</v>
      </c>
      <c r="AD262" s="181">
        <f t="shared" si="52"/>
        <v>12000</v>
      </c>
      <c r="AE262" s="181">
        <v>1.7</v>
      </c>
      <c r="AF262" s="181">
        <v>1.7</v>
      </c>
      <c r="AG262" s="101" t="str">
        <f t="shared" si="42"/>
        <v/>
      </c>
      <c r="AH262" s="191">
        <f>500</f>
        <v>500</v>
      </c>
      <c r="AI262" s="69">
        <f t="shared" si="43"/>
        <v>1200</v>
      </c>
    </row>
    <row r="263" spans="1:35" s="69" customFormat="1" ht="33" x14ac:dyDescent="0.3">
      <c r="A263" s="130" t="s">
        <v>674</v>
      </c>
      <c r="B263" s="131" t="s">
        <v>675</v>
      </c>
      <c r="C263" s="132" t="s">
        <v>50</v>
      </c>
      <c r="D263" s="133">
        <v>30.85</v>
      </c>
      <c r="E263" s="203"/>
      <c r="F263" s="203"/>
      <c r="G263" s="203"/>
      <c r="H263" s="203" t="s">
        <v>15</v>
      </c>
      <c r="I263" s="75">
        <v>531</v>
      </c>
      <c r="J263" s="75">
        <v>16381.35</v>
      </c>
      <c r="K263" s="91" t="s">
        <v>676</v>
      </c>
      <c r="L263" s="73"/>
      <c r="M263" s="46">
        <v>30.85</v>
      </c>
      <c r="N263" s="46">
        <v>0</v>
      </c>
      <c r="O263" s="46">
        <v>16381.35</v>
      </c>
      <c r="P263" s="98"/>
      <c r="Q263" s="23" t="s">
        <v>1374</v>
      </c>
      <c r="R263" s="24" t="s">
        <v>675</v>
      </c>
      <c r="S263" s="25" t="s">
        <v>50</v>
      </c>
      <c r="T263" s="26">
        <v>30.85</v>
      </c>
      <c r="U263" s="26">
        <v>30.85</v>
      </c>
      <c r="V263" s="26">
        <v>531</v>
      </c>
      <c r="W263" s="127">
        <f t="shared" si="50"/>
        <v>0</v>
      </c>
      <c r="X263" s="127">
        <f t="shared" si="53"/>
        <v>30.85</v>
      </c>
      <c r="Y263" s="127">
        <f t="shared" si="51"/>
        <v>0</v>
      </c>
      <c r="Z263" s="127">
        <f t="shared" si="44"/>
        <v>16381.35</v>
      </c>
      <c r="AA263" s="33" t="s">
        <v>15</v>
      </c>
      <c r="AB263" s="36" t="s">
        <v>16</v>
      </c>
      <c r="AC263" s="181">
        <f t="shared" si="41"/>
        <v>30.85</v>
      </c>
      <c r="AD263" s="181">
        <f t="shared" si="52"/>
        <v>16381.35</v>
      </c>
      <c r="AE263" s="181">
        <v>1.7</v>
      </c>
      <c r="AF263" s="181">
        <v>1.7</v>
      </c>
      <c r="AG263" s="101" t="str">
        <f t="shared" si="42"/>
        <v/>
      </c>
      <c r="AH263" s="190">
        <v>30.85</v>
      </c>
      <c r="AI263" s="69">
        <f t="shared" si="43"/>
        <v>30.85</v>
      </c>
    </row>
    <row r="264" spans="1:35" s="69" customFormat="1" ht="33" x14ac:dyDescent="0.3">
      <c r="A264" s="130" t="s">
        <v>677</v>
      </c>
      <c r="B264" s="131" t="s">
        <v>678</v>
      </c>
      <c r="C264" s="132" t="s">
        <v>23</v>
      </c>
      <c r="D264" s="133">
        <v>3.7</v>
      </c>
      <c r="E264" s="203"/>
      <c r="F264" s="203"/>
      <c r="G264" s="203"/>
      <c r="H264" s="225" t="s">
        <v>15</v>
      </c>
      <c r="I264" s="75">
        <v>3386.57</v>
      </c>
      <c r="J264" s="75">
        <v>12530.31</v>
      </c>
      <c r="K264" s="91" t="s">
        <v>679</v>
      </c>
      <c r="L264" s="73"/>
      <c r="M264" s="46">
        <v>3.7</v>
      </c>
      <c r="N264" s="46">
        <v>0</v>
      </c>
      <c r="O264" s="46">
        <v>12530.31</v>
      </c>
      <c r="P264" s="98"/>
      <c r="Q264" s="23" t="s">
        <v>1376</v>
      </c>
      <c r="R264" s="24" t="s">
        <v>678</v>
      </c>
      <c r="S264" s="25" t="s">
        <v>23</v>
      </c>
      <c r="T264" s="26">
        <v>3.7</v>
      </c>
      <c r="U264" s="26">
        <v>3.7</v>
      </c>
      <c r="V264" s="26">
        <v>3386.57</v>
      </c>
      <c r="W264" s="127">
        <f t="shared" si="50"/>
        <v>0</v>
      </c>
      <c r="X264" s="127">
        <f t="shared" si="53"/>
        <v>3.7</v>
      </c>
      <c r="Y264" s="127">
        <f t="shared" si="51"/>
        <v>0</v>
      </c>
      <c r="Z264" s="127">
        <f t="shared" si="44"/>
        <v>12530.31</v>
      </c>
      <c r="AA264" s="33" t="s">
        <v>15</v>
      </c>
      <c r="AB264" s="36" t="s">
        <v>16</v>
      </c>
      <c r="AC264" s="181">
        <f t="shared" si="41"/>
        <v>3.7</v>
      </c>
      <c r="AD264" s="181">
        <f t="shared" si="52"/>
        <v>12530.31</v>
      </c>
      <c r="AE264" s="181">
        <v>1.7</v>
      </c>
      <c r="AF264" s="181">
        <v>1.7</v>
      </c>
      <c r="AG264" s="101" t="str">
        <f t="shared" si="42"/>
        <v/>
      </c>
      <c r="AH264" s="190">
        <v>3.7</v>
      </c>
      <c r="AI264" s="69">
        <f t="shared" si="43"/>
        <v>3.7</v>
      </c>
    </row>
    <row r="265" spans="1:35" s="69" customFormat="1" ht="33" x14ac:dyDescent="0.3">
      <c r="A265" s="55" t="s">
        <v>680</v>
      </c>
      <c r="B265" s="53" t="s">
        <v>681</v>
      </c>
      <c r="C265" s="54" t="s">
        <v>14</v>
      </c>
      <c r="D265" s="75">
        <v>1</v>
      </c>
      <c r="E265" s="75"/>
      <c r="F265" s="75"/>
      <c r="G265" s="161"/>
      <c r="H265" s="158" t="s">
        <v>15</v>
      </c>
      <c r="I265" s="166">
        <v>108000</v>
      </c>
      <c r="J265" s="75">
        <v>108000</v>
      </c>
      <c r="K265" s="91" t="s">
        <v>682</v>
      </c>
      <c r="L265" s="73"/>
      <c r="M265" s="46">
        <v>0</v>
      </c>
      <c r="N265" s="46">
        <v>0</v>
      </c>
      <c r="O265" s="46">
        <v>0</v>
      </c>
      <c r="P265" s="98"/>
      <c r="Q265" s="23" t="s">
        <v>1378</v>
      </c>
      <c r="R265" s="24" t="s">
        <v>681</v>
      </c>
      <c r="S265" s="25" t="s">
        <v>14</v>
      </c>
      <c r="T265" s="26">
        <v>1</v>
      </c>
      <c r="U265" s="26">
        <v>1</v>
      </c>
      <c r="V265" s="26">
        <v>108000</v>
      </c>
      <c r="W265" s="26">
        <f t="shared" si="50"/>
        <v>0</v>
      </c>
      <c r="X265" s="26">
        <f t="shared" si="53"/>
        <v>0</v>
      </c>
      <c r="Y265" s="26">
        <f t="shared" si="51"/>
        <v>0</v>
      </c>
      <c r="Z265" s="26">
        <f t="shared" si="44"/>
        <v>0</v>
      </c>
      <c r="AA265" s="33" t="s">
        <v>15</v>
      </c>
      <c r="AB265" s="36" t="s">
        <v>16</v>
      </c>
      <c r="AC265" s="181">
        <f t="shared" si="41"/>
        <v>1</v>
      </c>
      <c r="AD265" s="181">
        <f t="shared" si="52"/>
        <v>108000</v>
      </c>
      <c r="AE265" s="181">
        <v>1.7</v>
      </c>
      <c r="AF265" s="181">
        <v>1.7</v>
      </c>
      <c r="AG265" s="101" t="str">
        <f t="shared" si="42"/>
        <v/>
      </c>
      <c r="AH265" s="190">
        <v>0</v>
      </c>
      <c r="AI265" s="69">
        <f t="shared" si="43"/>
        <v>1</v>
      </c>
    </row>
    <row r="266" spans="1:35" s="69" customFormat="1" ht="39" x14ac:dyDescent="0.3">
      <c r="A266" s="55" t="s">
        <v>683</v>
      </c>
      <c r="B266" s="53" t="s">
        <v>684</v>
      </c>
      <c r="C266" s="54" t="s">
        <v>50</v>
      </c>
      <c r="D266" s="75">
        <v>1448.32</v>
      </c>
      <c r="E266" s="75"/>
      <c r="F266" s="75"/>
      <c r="G266" s="161"/>
      <c r="H266" s="158" t="s">
        <v>15</v>
      </c>
      <c r="I266" s="166">
        <v>500</v>
      </c>
      <c r="J266" s="75">
        <v>724160</v>
      </c>
      <c r="K266" s="91" t="s">
        <v>685</v>
      </c>
      <c r="L266" s="73"/>
      <c r="M266" s="46">
        <v>0</v>
      </c>
      <c r="N266" s="46">
        <v>0</v>
      </c>
      <c r="O266" s="46">
        <v>0</v>
      </c>
      <c r="P266" s="98"/>
      <c r="Q266" s="23" t="s">
        <v>1438</v>
      </c>
      <c r="R266" s="24" t="s">
        <v>684</v>
      </c>
      <c r="S266" s="25" t="s">
        <v>50</v>
      </c>
      <c r="T266" s="26">
        <v>1448.32</v>
      </c>
      <c r="U266" s="26">
        <v>1448.32</v>
      </c>
      <c r="V266" s="26">
        <v>500</v>
      </c>
      <c r="W266" s="199">
        <f t="shared" si="50"/>
        <v>0</v>
      </c>
      <c r="X266" s="26">
        <f t="shared" si="53"/>
        <v>0</v>
      </c>
      <c r="Y266" s="26">
        <f t="shared" si="51"/>
        <v>0</v>
      </c>
      <c r="Z266" s="26">
        <f t="shared" si="44"/>
        <v>0</v>
      </c>
      <c r="AA266" s="33" t="s">
        <v>15</v>
      </c>
      <c r="AB266" s="36" t="s">
        <v>16</v>
      </c>
      <c r="AC266" s="181">
        <f t="shared" si="41"/>
        <v>1448.32</v>
      </c>
      <c r="AD266" s="181">
        <f t="shared" si="52"/>
        <v>724160</v>
      </c>
      <c r="AE266" s="181">
        <v>1.7</v>
      </c>
      <c r="AF266" s="181">
        <v>1.7</v>
      </c>
      <c r="AG266" s="101" t="str">
        <f t="shared" si="42"/>
        <v/>
      </c>
      <c r="AH266" s="191">
        <v>0</v>
      </c>
      <c r="AI266" s="69">
        <f t="shared" si="43"/>
        <v>1448.32</v>
      </c>
    </row>
    <row r="267" spans="1:35" s="69" customFormat="1" ht="49.5" x14ac:dyDescent="0.3">
      <c r="A267" s="130" t="s">
        <v>686</v>
      </c>
      <c r="B267" s="240" t="s">
        <v>687</v>
      </c>
      <c r="C267" s="132" t="s">
        <v>606</v>
      </c>
      <c r="D267" s="133">
        <v>42</v>
      </c>
      <c r="E267" s="75"/>
      <c r="F267" s="75"/>
      <c r="G267" s="161"/>
      <c r="H267" s="158" t="s">
        <v>15</v>
      </c>
      <c r="I267" s="166">
        <v>10176.969999999999</v>
      </c>
      <c r="J267" s="75">
        <v>427432.74</v>
      </c>
      <c r="K267" s="91" t="s">
        <v>688</v>
      </c>
      <c r="L267" s="73"/>
      <c r="M267" s="46">
        <v>32</v>
      </c>
      <c r="N267" s="46">
        <v>325663.03999999998</v>
      </c>
      <c r="O267" s="46">
        <v>325663.03999999998</v>
      </c>
      <c r="P267" s="98"/>
      <c r="Q267" s="23" t="s">
        <v>1439</v>
      </c>
      <c r="R267" s="24" t="s">
        <v>687</v>
      </c>
      <c r="S267" s="25" t="s">
        <v>606</v>
      </c>
      <c r="T267" s="26">
        <v>42</v>
      </c>
      <c r="U267" s="26">
        <v>42</v>
      </c>
      <c r="V267" s="26">
        <v>10176.969999999999</v>
      </c>
      <c r="W267" s="243">
        <f t="shared" si="50"/>
        <v>10</v>
      </c>
      <c r="X267" s="127">
        <f t="shared" si="53"/>
        <v>42</v>
      </c>
      <c r="Y267" s="127">
        <f t="shared" si="51"/>
        <v>101769.70000000001</v>
      </c>
      <c r="Z267" s="127">
        <f t="shared" si="44"/>
        <v>427432.74</v>
      </c>
      <c r="AA267" s="33" t="s">
        <v>15</v>
      </c>
      <c r="AB267" s="36" t="s">
        <v>16</v>
      </c>
      <c r="AC267" s="181">
        <f t="shared" ref="AC267:AC330" si="54">IF(U267="",T267,U267)</f>
        <v>42</v>
      </c>
      <c r="AD267" s="181">
        <f t="shared" si="52"/>
        <v>427432.74</v>
      </c>
      <c r="AE267" s="181">
        <v>1.7</v>
      </c>
      <c r="AF267" s="181">
        <v>1.7</v>
      </c>
      <c r="AG267" s="101" t="str">
        <f t="shared" ref="AG267:AG330" si="55">IF(X267&gt;AI267,"超估","")</f>
        <v/>
      </c>
      <c r="AH267" s="191">
        <f>32+10</f>
        <v>42</v>
      </c>
      <c r="AI267" s="69">
        <f t="shared" ref="AI267:AI330" si="56">IF(G267=0,IF(F267=0,IF(E267=0,D267,E267),F267),G267)</f>
        <v>42</v>
      </c>
    </row>
    <row r="268" spans="1:35" s="69" customFormat="1" ht="49.5" x14ac:dyDescent="0.3">
      <c r="A268" s="55" t="s">
        <v>689</v>
      </c>
      <c r="B268" s="138" t="s">
        <v>690</v>
      </c>
      <c r="C268" s="54" t="s">
        <v>606</v>
      </c>
      <c r="D268" s="75">
        <v>19</v>
      </c>
      <c r="E268" s="75"/>
      <c r="F268" s="75"/>
      <c r="G268" s="161"/>
      <c r="H268" s="158" t="s">
        <v>15</v>
      </c>
      <c r="I268" s="166">
        <v>13526.18</v>
      </c>
      <c r="J268" s="75">
        <v>256997.42</v>
      </c>
      <c r="K268" s="91" t="s">
        <v>691</v>
      </c>
      <c r="L268" s="73"/>
      <c r="M268" s="46">
        <v>0</v>
      </c>
      <c r="N268" s="46">
        <v>0</v>
      </c>
      <c r="O268" s="46">
        <v>0</v>
      </c>
      <c r="P268" s="98"/>
      <c r="Q268" s="23" t="s">
        <v>1440</v>
      </c>
      <c r="R268" s="24" t="s">
        <v>690</v>
      </c>
      <c r="S268" s="25" t="s">
        <v>606</v>
      </c>
      <c r="T268" s="26">
        <v>19</v>
      </c>
      <c r="U268" s="26">
        <v>19</v>
      </c>
      <c r="V268" s="26">
        <v>13526.18</v>
      </c>
      <c r="W268" s="26">
        <f t="shared" si="50"/>
        <v>0</v>
      </c>
      <c r="X268" s="26">
        <f t="shared" si="53"/>
        <v>0</v>
      </c>
      <c r="Y268" s="26">
        <f t="shared" si="51"/>
        <v>0</v>
      </c>
      <c r="Z268" s="26">
        <f t="shared" ref="Z268:Z331" si="57">ROUND(V268*X268,2)</f>
        <v>0</v>
      </c>
      <c r="AA268" s="33" t="s">
        <v>15</v>
      </c>
      <c r="AB268" s="36" t="s">
        <v>16</v>
      </c>
      <c r="AC268" s="181">
        <f t="shared" si="54"/>
        <v>19</v>
      </c>
      <c r="AD268" s="181">
        <f t="shared" si="52"/>
        <v>256997.42</v>
      </c>
      <c r="AE268" s="181">
        <v>1.7</v>
      </c>
      <c r="AF268" s="181">
        <v>1.7</v>
      </c>
      <c r="AG268" s="101" t="str">
        <f t="shared" si="55"/>
        <v/>
      </c>
      <c r="AH268" s="190">
        <v>0</v>
      </c>
      <c r="AI268" s="69">
        <f t="shared" si="56"/>
        <v>19</v>
      </c>
    </row>
    <row r="269" spans="1:35" s="69" customFormat="1" ht="49.5" x14ac:dyDescent="0.3">
      <c r="A269" s="130" t="s">
        <v>692</v>
      </c>
      <c r="B269" s="240" t="s">
        <v>693</v>
      </c>
      <c r="C269" s="132" t="s">
        <v>606</v>
      </c>
      <c r="D269" s="133">
        <v>8</v>
      </c>
      <c r="E269" s="75"/>
      <c r="F269" s="75"/>
      <c r="G269" s="161"/>
      <c r="H269" s="158" t="s">
        <v>15</v>
      </c>
      <c r="I269" s="166">
        <v>8660.64</v>
      </c>
      <c r="J269" s="75">
        <v>69285.119999999995</v>
      </c>
      <c r="K269" s="91" t="s">
        <v>694</v>
      </c>
      <c r="L269" s="73"/>
      <c r="M269" s="46">
        <v>0</v>
      </c>
      <c r="N269" s="46">
        <v>0</v>
      </c>
      <c r="O269" s="46">
        <v>0</v>
      </c>
      <c r="P269" s="98"/>
      <c r="Q269" s="23" t="s">
        <v>1441</v>
      </c>
      <c r="R269" s="24" t="s">
        <v>693</v>
      </c>
      <c r="S269" s="25" t="s">
        <v>606</v>
      </c>
      <c r="T269" s="26">
        <v>8</v>
      </c>
      <c r="U269" s="26">
        <v>8</v>
      </c>
      <c r="V269" s="26">
        <v>8660.64</v>
      </c>
      <c r="W269" s="243">
        <f t="shared" si="50"/>
        <v>8</v>
      </c>
      <c r="X269" s="127">
        <f t="shared" si="53"/>
        <v>8</v>
      </c>
      <c r="Y269" s="127">
        <f t="shared" si="51"/>
        <v>69285.119999999995</v>
      </c>
      <c r="Z269" s="127">
        <f t="shared" si="57"/>
        <v>69285.119999999995</v>
      </c>
      <c r="AA269" s="33" t="s">
        <v>15</v>
      </c>
      <c r="AB269" s="36" t="s">
        <v>16</v>
      </c>
      <c r="AC269" s="181">
        <f t="shared" si="54"/>
        <v>8</v>
      </c>
      <c r="AD269" s="181">
        <f t="shared" si="52"/>
        <v>69285.119999999995</v>
      </c>
      <c r="AE269" s="181">
        <v>1.7</v>
      </c>
      <c r="AF269" s="181">
        <v>1.7</v>
      </c>
      <c r="AG269" s="101" t="str">
        <f t="shared" si="55"/>
        <v/>
      </c>
      <c r="AH269" s="191">
        <f>8</f>
        <v>8</v>
      </c>
      <c r="AI269" s="69">
        <f t="shared" si="56"/>
        <v>8</v>
      </c>
    </row>
    <row r="270" spans="1:35" s="69" customFormat="1" ht="49.5" x14ac:dyDescent="0.3">
      <c r="A270" s="55" t="s">
        <v>695</v>
      </c>
      <c r="B270" s="138" t="s">
        <v>696</v>
      </c>
      <c r="C270" s="54" t="s">
        <v>606</v>
      </c>
      <c r="D270" s="75">
        <v>8</v>
      </c>
      <c r="E270" s="75"/>
      <c r="F270" s="75"/>
      <c r="G270" s="161"/>
      <c r="H270" s="158" t="s">
        <v>15</v>
      </c>
      <c r="I270" s="166">
        <v>17930.64</v>
      </c>
      <c r="J270" s="75">
        <v>143445.12</v>
      </c>
      <c r="K270" s="91" t="s">
        <v>697</v>
      </c>
      <c r="L270" s="73"/>
      <c r="M270" s="46">
        <v>0</v>
      </c>
      <c r="N270" s="46">
        <v>0</v>
      </c>
      <c r="O270" s="46">
        <v>0</v>
      </c>
      <c r="P270" s="98"/>
      <c r="Q270" s="23" t="s">
        <v>1442</v>
      </c>
      <c r="R270" s="24" t="s">
        <v>696</v>
      </c>
      <c r="S270" s="25" t="s">
        <v>606</v>
      </c>
      <c r="T270" s="26">
        <v>8</v>
      </c>
      <c r="U270" s="26">
        <v>8</v>
      </c>
      <c r="V270" s="26">
        <v>17930.64</v>
      </c>
      <c r="W270" s="243">
        <f t="shared" si="50"/>
        <v>0</v>
      </c>
      <c r="X270" s="26">
        <f t="shared" si="53"/>
        <v>0</v>
      </c>
      <c r="Y270" s="26">
        <f t="shared" si="51"/>
        <v>0</v>
      </c>
      <c r="Z270" s="26">
        <f t="shared" si="57"/>
        <v>0</v>
      </c>
      <c r="AA270" s="33" t="s">
        <v>15</v>
      </c>
      <c r="AB270" s="36" t="s">
        <v>16</v>
      </c>
      <c r="AC270" s="181">
        <f t="shared" si="54"/>
        <v>8</v>
      </c>
      <c r="AD270" s="181">
        <f t="shared" si="52"/>
        <v>143445.12</v>
      </c>
      <c r="AE270" s="181">
        <v>1.7</v>
      </c>
      <c r="AF270" s="181">
        <v>1.7</v>
      </c>
      <c r="AG270" s="101" t="str">
        <f t="shared" si="55"/>
        <v/>
      </c>
      <c r="AH270" s="191">
        <v>0</v>
      </c>
      <c r="AI270" s="69">
        <f t="shared" si="56"/>
        <v>8</v>
      </c>
    </row>
    <row r="271" spans="1:35" s="69" customFormat="1" ht="49.5" x14ac:dyDescent="0.3">
      <c r="A271" s="55" t="s">
        <v>698</v>
      </c>
      <c r="B271" s="138" t="s">
        <v>699</v>
      </c>
      <c r="C271" s="54" t="s">
        <v>606</v>
      </c>
      <c r="D271" s="75">
        <v>14</v>
      </c>
      <c r="E271" s="75"/>
      <c r="F271" s="75"/>
      <c r="G271" s="161"/>
      <c r="H271" s="158" t="s">
        <v>15</v>
      </c>
      <c r="I271" s="166">
        <v>5272.95</v>
      </c>
      <c r="J271" s="75">
        <v>73821.3</v>
      </c>
      <c r="K271" s="91" t="s">
        <v>700</v>
      </c>
      <c r="L271" s="73"/>
      <c r="M271" s="46">
        <v>0</v>
      </c>
      <c r="N271" s="46">
        <v>0</v>
      </c>
      <c r="O271" s="46">
        <v>0</v>
      </c>
      <c r="P271" s="98"/>
      <c r="Q271" s="23" t="s">
        <v>1443</v>
      </c>
      <c r="R271" s="24" t="s">
        <v>699</v>
      </c>
      <c r="S271" s="25" t="s">
        <v>606</v>
      </c>
      <c r="T271" s="26">
        <v>14</v>
      </c>
      <c r="U271" s="26">
        <v>14</v>
      </c>
      <c r="V271" s="26">
        <v>5272.95</v>
      </c>
      <c r="W271" s="26">
        <f t="shared" si="50"/>
        <v>0</v>
      </c>
      <c r="X271" s="26">
        <f t="shared" si="53"/>
        <v>0</v>
      </c>
      <c r="Y271" s="26">
        <f t="shared" si="51"/>
        <v>0</v>
      </c>
      <c r="Z271" s="26">
        <f t="shared" si="57"/>
        <v>0</v>
      </c>
      <c r="AA271" s="33" t="s">
        <v>15</v>
      </c>
      <c r="AB271" s="36" t="s">
        <v>16</v>
      </c>
      <c r="AC271" s="181">
        <f t="shared" si="54"/>
        <v>14</v>
      </c>
      <c r="AD271" s="181">
        <f t="shared" si="52"/>
        <v>73821.3</v>
      </c>
      <c r="AE271" s="181">
        <v>1.7</v>
      </c>
      <c r="AF271" s="181">
        <v>1.7</v>
      </c>
      <c r="AG271" s="101" t="str">
        <f t="shared" si="55"/>
        <v/>
      </c>
      <c r="AH271" s="190">
        <v>0</v>
      </c>
      <c r="AI271" s="69">
        <f t="shared" si="56"/>
        <v>14</v>
      </c>
    </row>
    <row r="272" spans="1:35" s="69" customFormat="1" ht="49.5" x14ac:dyDescent="0.3">
      <c r="A272" s="55" t="s">
        <v>701</v>
      </c>
      <c r="B272" s="138" t="s">
        <v>702</v>
      </c>
      <c r="C272" s="54" t="s">
        <v>606</v>
      </c>
      <c r="D272" s="75">
        <v>15</v>
      </c>
      <c r="E272" s="75"/>
      <c r="F272" s="75"/>
      <c r="G272" s="161"/>
      <c r="H272" s="158" t="s">
        <v>15</v>
      </c>
      <c r="I272" s="166">
        <v>5272.95</v>
      </c>
      <c r="J272" s="75">
        <v>79094.25</v>
      </c>
      <c r="K272" s="91" t="s">
        <v>703</v>
      </c>
      <c r="L272" s="73"/>
      <c r="M272" s="46">
        <v>0</v>
      </c>
      <c r="N272" s="46">
        <v>0</v>
      </c>
      <c r="O272" s="46">
        <v>0</v>
      </c>
      <c r="P272" s="98"/>
      <c r="Q272" s="23" t="s">
        <v>1444</v>
      </c>
      <c r="R272" s="24" t="s">
        <v>702</v>
      </c>
      <c r="S272" s="25" t="s">
        <v>606</v>
      </c>
      <c r="T272" s="26">
        <v>15</v>
      </c>
      <c r="U272" s="26">
        <v>15</v>
      </c>
      <c r="V272" s="26">
        <v>5272.95</v>
      </c>
      <c r="W272" s="26">
        <f t="shared" si="50"/>
        <v>0</v>
      </c>
      <c r="X272" s="26">
        <f t="shared" si="53"/>
        <v>0</v>
      </c>
      <c r="Y272" s="26">
        <f t="shared" si="51"/>
        <v>0</v>
      </c>
      <c r="Z272" s="26">
        <f t="shared" si="57"/>
        <v>0</v>
      </c>
      <c r="AA272" s="33" t="s">
        <v>15</v>
      </c>
      <c r="AB272" s="36" t="s">
        <v>16</v>
      </c>
      <c r="AC272" s="181">
        <f t="shared" si="54"/>
        <v>15</v>
      </c>
      <c r="AD272" s="181">
        <f t="shared" si="52"/>
        <v>79094.25</v>
      </c>
      <c r="AE272" s="181">
        <v>1.7</v>
      </c>
      <c r="AF272" s="181">
        <v>1.7</v>
      </c>
      <c r="AG272" s="101" t="str">
        <f t="shared" si="55"/>
        <v/>
      </c>
      <c r="AH272" s="190">
        <v>0</v>
      </c>
      <c r="AI272" s="69">
        <f t="shared" si="56"/>
        <v>15</v>
      </c>
    </row>
    <row r="273" spans="1:35" s="69" customFormat="1" ht="49.5" x14ac:dyDescent="0.3">
      <c r="A273" s="55" t="s">
        <v>704</v>
      </c>
      <c r="B273" s="138" t="s">
        <v>705</v>
      </c>
      <c r="C273" s="54" t="s">
        <v>606</v>
      </c>
      <c r="D273" s="75">
        <v>1</v>
      </c>
      <c r="E273" s="75"/>
      <c r="F273" s="75"/>
      <c r="G273" s="161"/>
      <c r="H273" s="158" t="s">
        <v>15</v>
      </c>
      <c r="I273" s="166">
        <v>7859.47</v>
      </c>
      <c r="J273" s="75">
        <v>7859.47</v>
      </c>
      <c r="K273" s="91" t="s">
        <v>706</v>
      </c>
      <c r="L273" s="73"/>
      <c r="M273" s="46">
        <v>0</v>
      </c>
      <c r="N273" s="46">
        <v>0</v>
      </c>
      <c r="O273" s="46">
        <v>0</v>
      </c>
      <c r="P273" s="98"/>
      <c r="Q273" s="23" t="s">
        <v>1408</v>
      </c>
      <c r="R273" s="24" t="s">
        <v>705</v>
      </c>
      <c r="S273" s="25" t="s">
        <v>606</v>
      </c>
      <c r="T273" s="26">
        <v>1</v>
      </c>
      <c r="U273" s="26">
        <v>1</v>
      </c>
      <c r="V273" s="26">
        <v>7859.47</v>
      </c>
      <c r="W273" s="26">
        <f t="shared" si="50"/>
        <v>0</v>
      </c>
      <c r="X273" s="26">
        <f t="shared" si="53"/>
        <v>0</v>
      </c>
      <c r="Y273" s="26">
        <f t="shared" si="51"/>
        <v>0</v>
      </c>
      <c r="Z273" s="26">
        <f t="shared" si="57"/>
        <v>0</v>
      </c>
      <c r="AA273" s="33" t="s">
        <v>15</v>
      </c>
      <c r="AB273" s="36" t="s">
        <v>16</v>
      </c>
      <c r="AC273" s="181">
        <f t="shared" si="54"/>
        <v>1</v>
      </c>
      <c r="AD273" s="181">
        <f t="shared" si="52"/>
        <v>7859.47</v>
      </c>
      <c r="AE273" s="181">
        <v>1.7</v>
      </c>
      <c r="AF273" s="181">
        <v>1.7</v>
      </c>
      <c r="AG273" s="101" t="str">
        <f t="shared" si="55"/>
        <v/>
      </c>
      <c r="AH273" s="190">
        <v>0</v>
      </c>
      <c r="AI273" s="69">
        <f t="shared" si="56"/>
        <v>1</v>
      </c>
    </row>
    <row r="274" spans="1:35" s="69" customFormat="1" ht="49.5" x14ac:dyDescent="0.3">
      <c r="A274" s="55" t="s">
        <v>707</v>
      </c>
      <c r="B274" s="138" t="s">
        <v>708</v>
      </c>
      <c r="C274" s="54" t="s">
        <v>606</v>
      </c>
      <c r="D274" s="75">
        <v>1</v>
      </c>
      <c r="E274" s="75"/>
      <c r="F274" s="75"/>
      <c r="G274" s="161"/>
      <c r="H274" s="158" t="s">
        <v>15</v>
      </c>
      <c r="I274" s="166">
        <v>5839.45</v>
      </c>
      <c r="J274" s="75">
        <v>5839.45</v>
      </c>
      <c r="K274" s="91" t="s">
        <v>709</v>
      </c>
      <c r="L274" s="73"/>
      <c r="M274" s="46">
        <v>0</v>
      </c>
      <c r="N274" s="46">
        <v>0</v>
      </c>
      <c r="O274" s="46">
        <v>0</v>
      </c>
      <c r="P274" s="98"/>
      <c r="Q274" s="23" t="s">
        <v>1409</v>
      </c>
      <c r="R274" s="24" t="s">
        <v>708</v>
      </c>
      <c r="S274" s="25" t="s">
        <v>606</v>
      </c>
      <c r="T274" s="26">
        <v>1</v>
      </c>
      <c r="U274" s="26">
        <v>1</v>
      </c>
      <c r="V274" s="26">
        <v>5839.45</v>
      </c>
      <c r="W274" s="26">
        <f t="shared" si="50"/>
        <v>0</v>
      </c>
      <c r="X274" s="26">
        <f t="shared" si="53"/>
        <v>0</v>
      </c>
      <c r="Y274" s="26">
        <f t="shared" si="51"/>
        <v>0</v>
      </c>
      <c r="Z274" s="26">
        <f t="shared" si="57"/>
        <v>0</v>
      </c>
      <c r="AA274" s="33" t="s">
        <v>15</v>
      </c>
      <c r="AB274" s="36" t="s">
        <v>16</v>
      </c>
      <c r="AC274" s="181">
        <f t="shared" si="54"/>
        <v>1</v>
      </c>
      <c r="AD274" s="181">
        <f t="shared" si="52"/>
        <v>5839.45</v>
      </c>
      <c r="AE274" s="181">
        <v>1.7</v>
      </c>
      <c r="AF274" s="181">
        <v>1.7</v>
      </c>
      <c r="AG274" s="101" t="str">
        <f t="shared" si="55"/>
        <v/>
      </c>
      <c r="AH274" s="190">
        <v>0</v>
      </c>
      <c r="AI274" s="69">
        <f t="shared" si="56"/>
        <v>1</v>
      </c>
    </row>
    <row r="275" spans="1:35" s="69" customFormat="1" ht="49.5" x14ac:dyDescent="0.3">
      <c r="A275" s="55" t="s">
        <v>710</v>
      </c>
      <c r="B275" s="138" t="s">
        <v>711</v>
      </c>
      <c r="C275" s="54" t="s">
        <v>606</v>
      </c>
      <c r="D275" s="75">
        <v>1</v>
      </c>
      <c r="E275" s="75"/>
      <c r="F275" s="75"/>
      <c r="G275" s="161"/>
      <c r="H275" s="158" t="s">
        <v>15</v>
      </c>
      <c r="I275" s="166">
        <v>7189.97</v>
      </c>
      <c r="J275" s="75">
        <v>7189.97</v>
      </c>
      <c r="K275" s="91" t="s">
        <v>712</v>
      </c>
      <c r="L275" s="73"/>
      <c r="M275" s="46">
        <v>0</v>
      </c>
      <c r="N275" s="46">
        <v>0</v>
      </c>
      <c r="O275" s="46">
        <v>0</v>
      </c>
      <c r="P275" s="98"/>
      <c r="Q275" s="23" t="s">
        <v>1410</v>
      </c>
      <c r="R275" s="24" t="s">
        <v>711</v>
      </c>
      <c r="S275" s="25" t="s">
        <v>606</v>
      </c>
      <c r="T275" s="26">
        <v>1</v>
      </c>
      <c r="U275" s="26">
        <v>1</v>
      </c>
      <c r="V275" s="26">
        <v>7189.97</v>
      </c>
      <c r="W275" s="26">
        <f t="shared" si="50"/>
        <v>0</v>
      </c>
      <c r="X275" s="26">
        <f t="shared" si="53"/>
        <v>0</v>
      </c>
      <c r="Y275" s="26">
        <f t="shared" si="51"/>
        <v>0</v>
      </c>
      <c r="Z275" s="26">
        <f t="shared" si="57"/>
        <v>0</v>
      </c>
      <c r="AA275" s="33" t="s">
        <v>15</v>
      </c>
      <c r="AB275" s="36" t="s">
        <v>16</v>
      </c>
      <c r="AC275" s="181">
        <f t="shared" si="54"/>
        <v>1</v>
      </c>
      <c r="AD275" s="181">
        <f t="shared" si="52"/>
        <v>7189.97</v>
      </c>
      <c r="AE275" s="181">
        <v>1.7</v>
      </c>
      <c r="AF275" s="181">
        <v>1.7</v>
      </c>
      <c r="AG275" s="101" t="str">
        <f t="shared" si="55"/>
        <v/>
      </c>
      <c r="AH275" s="190">
        <v>0</v>
      </c>
      <c r="AI275" s="69">
        <f t="shared" si="56"/>
        <v>1</v>
      </c>
    </row>
    <row r="276" spans="1:35" s="69" customFormat="1" ht="49.5" x14ac:dyDescent="0.3">
      <c r="A276" s="55" t="s">
        <v>713</v>
      </c>
      <c r="B276" s="138" t="s">
        <v>714</v>
      </c>
      <c r="C276" s="54" t="s">
        <v>606</v>
      </c>
      <c r="D276" s="75">
        <v>4</v>
      </c>
      <c r="E276" s="75"/>
      <c r="F276" s="75"/>
      <c r="G276" s="161"/>
      <c r="H276" s="158" t="s">
        <v>15</v>
      </c>
      <c r="I276" s="166">
        <v>4860.95</v>
      </c>
      <c r="J276" s="75">
        <v>19443.8</v>
      </c>
      <c r="K276" s="91" t="s">
        <v>715</v>
      </c>
      <c r="L276" s="73"/>
      <c r="M276" s="46">
        <v>0</v>
      </c>
      <c r="N276" s="46">
        <v>0</v>
      </c>
      <c r="O276" s="46">
        <v>0</v>
      </c>
      <c r="P276" s="98"/>
      <c r="Q276" s="23" t="s">
        <v>1411</v>
      </c>
      <c r="R276" s="24" t="s">
        <v>714</v>
      </c>
      <c r="S276" s="25" t="s">
        <v>606</v>
      </c>
      <c r="T276" s="26">
        <v>4</v>
      </c>
      <c r="U276" s="26">
        <v>4</v>
      </c>
      <c r="V276" s="26">
        <v>4860.95</v>
      </c>
      <c r="W276" s="26">
        <f t="shared" si="50"/>
        <v>0</v>
      </c>
      <c r="X276" s="26">
        <f t="shared" si="53"/>
        <v>0</v>
      </c>
      <c r="Y276" s="26">
        <f t="shared" si="51"/>
        <v>0</v>
      </c>
      <c r="Z276" s="26">
        <f t="shared" si="57"/>
        <v>0</v>
      </c>
      <c r="AA276" s="33" t="s">
        <v>15</v>
      </c>
      <c r="AB276" s="36" t="s">
        <v>16</v>
      </c>
      <c r="AC276" s="181">
        <f t="shared" si="54"/>
        <v>4</v>
      </c>
      <c r="AD276" s="181">
        <f t="shared" si="52"/>
        <v>19443.8</v>
      </c>
      <c r="AE276" s="181">
        <v>1.7</v>
      </c>
      <c r="AF276" s="181">
        <v>1.7</v>
      </c>
      <c r="AG276" s="101" t="str">
        <f t="shared" si="55"/>
        <v/>
      </c>
      <c r="AH276" s="190">
        <v>0</v>
      </c>
      <c r="AI276" s="69">
        <f t="shared" si="56"/>
        <v>4</v>
      </c>
    </row>
    <row r="277" spans="1:35" s="69" customFormat="1" ht="49.5" x14ac:dyDescent="0.3">
      <c r="A277" s="55" t="s">
        <v>716</v>
      </c>
      <c r="B277" s="138" t="s">
        <v>717</v>
      </c>
      <c r="C277" s="54" t="s">
        <v>606</v>
      </c>
      <c r="D277" s="75">
        <v>1</v>
      </c>
      <c r="E277" s="75"/>
      <c r="F277" s="75"/>
      <c r="G277" s="161"/>
      <c r="H277" s="158" t="s">
        <v>15</v>
      </c>
      <c r="I277" s="166">
        <v>14800.45</v>
      </c>
      <c r="J277" s="75">
        <v>14800.45</v>
      </c>
      <c r="K277" s="91" t="s">
        <v>718</v>
      </c>
      <c r="L277" s="73"/>
      <c r="M277" s="46">
        <v>0</v>
      </c>
      <c r="N277" s="46">
        <v>0</v>
      </c>
      <c r="O277" s="46">
        <v>0</v>
      </c>
      <c r="P277" s="98"/>
      <c r="Q277" s="23" t="s">
        <v>1445</v>
      </c>
      <c r="R277" s="24" t="s">
        <v>717</v>
      </c>
      <c r="S277" s="25" t="s">
        <v>606</v>
      </c>
      <c r="T277" s="26">
        <v>1</v>
      </c>
      <c r="U277" s="26">
        <v>1</v>
      </c>
      <c r="V277" s="26">
        <v>14800.45</v>
      </c>
      <c r="W277" s="26">
        <f t="shared" si="50"/>
        <v>0</v>
      </c>
      <c r="X277" s="26">
        <f t="shared" si="53"/>
        <v>0</v>
      </c>
      <c r="Y277" s="26">
        <f t="shared" si="51"/>
        <v>0</v>
      </c>
      <c r="Z277" s="26">
        <f t="shared" si="57"/>
        <v>0</v>
      </c>
      <c r="AA277" s="33" t="s">
        <v>15</v>
      </c>
      <c r="AB277" s="36" t="s">
        <v>16</v>
      </c>
      <c r="AC277" s="181">
        <f t="shared" si="54"/>
        <v>1</v>
      </c>
      <c r="AD277" s="181">
        <f t="shared" si="52"/>
        <v>14800.45</v>
      </c>
      <c r="AE277" s="181">
        <v>1.7</v>
      </c>
      <c r="AF277" s="181">
        <v>1.7</v>
      </c>
      <c r="AG277" s="101" t="str">
        <f t="shared" si="55"/>
        <v/>
      </c>
      <c r="AH277" s="190">
        <v>0</v>
      </c>
      <c r="AI277" s="69">
        <f t="shared" si="56"/>
        <v>1</v>
      </c>
    </row>
    <row r="278" spans="1:35" s="69" customFormat="1" ht="49.5" x14ac:dyDescent="0.3">
      <c r="A278" s="55" t="s">
        <v>719</v>
      </c>
      <c r="B278" s="138" t="s">
        <v>720</v>
      </c>
      <c r="C278" s="54" t="s">
        <v>606</v>
      </c>
      <c r="D278" s="75">
        <v>1</v>
      </c>
      <c r="E278" s="75"/>
      <c r="F278" s="75"/>
      <c r="G278" s="161"/>
      <c r="H278" s="158" t="s">
        <v>15</v>
      </c>
      <c r="I278" s="166">
        <v>6661.47</v>
      </c>
      <c r="J278" s="75">
        <v>6661.47</v>
      </c>
      <c r="K278" s="91" t="s">
        <v>721</v>
      </c>
      <c r="L278" s="73"/>
      <c r="M278" s="46">
        <v>0</v>
      </c>
      <c r="N278" s="46">
        <v>0</v>
      </c>
      <c r="O278" s="46">
        <v>0</v>
      </c>
      <c r="P278" s="98"/>
      <c r="Q278" s="23" t="s">
        <v>1383</v>
      </c>
      <c r="R278" s="24" t="s">
        <v>720</v>
      </c>
      <c r="S278" s="25" t="s">
        <v>606</v>
      </c>
      <c r="T278" s="26">
        <v>1</v>
      </c>
      <c r="U278" s="26">
        <v>1</v>
      </c>
      <c r="V278" s="26">
        <v>6661.47</v>
      </c>
      <c r="W278" s="26">
        <f t="shared" si="50"/>
        <v>0</v>
      </c>
      <c r="X278" s="26">
        <f t="shared" si="53"/>
        <v>0</v>
      </c>
      <c r="Y278" s="26">
        <f t="shared" si="51"/>
        <v>0</v>
      </c>
      <c r="Z278" s="26">
        <f t="shared" si="57"/>
        <v>0</v>
      </c>
      <c r="AA278" s="33" t="s">
        <v>15</v>
      </c>
      <c r="AB278" s="36" t="s">
        <v>16</v>
      </c>
      <c r="AC278" s="181">
        <f t="shared" si="54"/>
        <v>1</v>
      </c>
      <c r="AD278" s="181">
        <f t="shared" si="52"/>
        <v>6661.47</v>
      </c>
      <c r="AE278" s="181">
        <v>1.7</v>
      </c>
      <c r="AF278" s="181">
        <v>1.7</v>
      </c>
      <c r="AG278" s="101" t="str">
        <f t="shared" si="55"/>
        <v/>
      </c>
      <c r="AH278" s="190">
        <v>0</v>
      </c>
      <c r="AI278" s="69">
        <f t="shared" si="56"/>
        <v>1</v>
      </c>
    </row>
    <row r="279" spans="1:35" s="69" customFormat="1" ht="49.5" x14ac:dyDescent="0.3">
      <c r="A279" s="55" t="s">
        <v>722</v>
      </c>
      <c r="B279" s="138" t="s">
        <v>723</v>
      </c>
      <c r="C279" s="54" t="s">
        <v>606</v>
      </c>
      <c r="D279" s="75">
        <v>1</v>
      </c>
      <c r="E279" s="75"/>
      <c r="F279" s="75"/>
      <c r="G279" s="161"/>
      <c r="H279" s="158" t="s">
        <v>15</v>
      </c>
      <c r="I279" s="166">
        <v>15584.47</v>
      </c>
      <c r="J279" s="75">
        <v>15584.47</v>
      </c>
      <c r="K279" s="91" t="s">
        <v>724</v>
      </c>
      <c r="L279" s="73"/>
      <c r="M279" s="46">
        <v>0</v>
      </c>
      <c r="N279" s="46">
        <v>0</v>
      </c>
      <c r="O279" s="46">
        <v>0</v>
      </c>
      <c r="P279" s="98"/>
      <c r="Q279" s="23" t="s">
        <v>1384</v>
      </c>
      <c r="R279" s="24" t="s">
        <v>723</v>
      </c>
      <c r="S279" s="25" t="s">
        <v>606</v>
      </c>
      <c r="T279" s="26">
        <v>1</v>
      </c>
      <c r="U279" s="26">
        <v>1</v>
      </c>
      <c r="V279" s="26">
        <v>15584.47</v>
      </c>
      <c r="W279" s="26">
        <f t="shared" si="50"/>
        <v>0</v>
      </c>
      <c r="X279" s="26">
        <f t="shared" si="53"/>
        <v>0</v>
      </c>
      <c r="Y279" s="26">
        <f t="shared" si="51"/>
        <v>0</v>
      </c>
      <c r="Z279" s="26">
        <f t="shared" si="57"/>
        <v>0</v>
      </c>
      <c r="AA279" s="33" t="s">
        <v>15</v>
      </c>
      <c r="AB279" s="36" t="s">
        <v>16</v>
      </c>
      <c r="AC279" s="181">
        <f t="shared" si="54"/>
        <v>1</v>
      </c>
      <c r="AD279" s="181">
        <f t="shared" si="52"/>
        <v>15584.47</v>
      </c>
      <c r="AE279" s="181">
        <v>1.7</v>
      </c>
      <c r="AF279" s="181">
        <v>1.7</v>
      </c>
      <c r="AG279" s="101" t="str">
        <f t="shared" si="55"/>
        <v/>
      </c>
      <c r="AH279" s="190">
        <v>0</v>
      </c>
      <c r="AI279" s="69">
        <f t="shared" si="56"/>
        <v>1</v>
      </c>
    </row>
    <row r="280" spans="1:35" s="69" customFormat="1" ht="49.5" x14ac:dyDescent="0.3">
      <c r="A280" s="55" t="s">
        <v>725</v>
      </c>
      <c r="B280" s="138" t="s">
        <v>726</v>
      </c>
      <c r="C280" s="54" t="s">
        <v>606</v>
      </c>
      <c r="D280" s="75">
        <v>4</v>
      </c>
      <c r="E280" s="75"/>
      <c r="F280" s="75"/>
      <c r="G280" s="161"/>
      <c r="H280" s="158" t="s">
        <v>15</v>
      </c>
      <c r="I280" s="166">
        <v>3949.4</v>
      </c>
      <c r="J280" s="75">
        <v>15797.6</v>
      </c>
      <c r="K280" s="91" t="s">
        <v>727</v>
      </c>
      <c r="L280" s="73"/>
      <c r="M280" s="46">
        <v>0</v>
      </c>
      <c r="N280" s="46">
        <v>0</v>
      </c>
      <c r="O280" s="46">
        <v>0</v>
      </c>
      <c r="P280" s="98"/>
      <c r="Q280" s="23" t="s">
        <v>1385</v>
      </c>
      <c r="R280" s="24" t="s">
        <v>726</v>
      </c>
      <c r="S280" s="25" t="s">
        <v>606</v>
      </c>
      <c r="T280" s="26">
        <v>4</v>
      </c>
      <c r="U280" s="26">
        <v>4</v>
      </c>
      <c r="V280" s="26">
        <v>3949.4</v>
      </c>
      <c r="W280" s="26">
        <f t="shared" si="50"/>
        <v>0</v>
      </c>
      <c r="X280" s="26">
        <f t="shared" si="53"/>
        <v>0</v>
      </c>
      <c r="Y280" s="26">
        <f t="shared" si="51"/>
        <v>0</v>
      </c>
      <c r="Z280" s="26">
        <f t="shared" si="57"/>
        <v>0</v>
      </c>
      <c r="AA280" s="33" t="s">
        <v>15</v>
      </c>
      <c r="AB280" s="36" t="s">
        <v>16</v>
      </c>
      <c r="AC280" s="181">
        <f t="shared" si="54"/>
        <v>4</v>
      </c>
      <c r="AD280" s="181">
        <f t="shared" si="52"/>
        <v>15797.6</v>
      </c>
      <c r="AE280" s="181">
        <v>1.7</v>
      </c>
      <c r="AF280" s="181">
        <v>1.7</v>
      </c>
      <c r="AG280" s="101" t="str">
        <f t="shared" si="55"/>
        <v/>
      </c>
      <c r="AH280" s="190">
        <v>0</v>
      </c>
      <c r="AI280" s="69">
        <f t="shared" si="56"/>
        <v>4</v>
      </c>
    </row>
    <row r="281" spans="1:35" s="69" customFormat="1" ht="33" x14ac:dyDescent="0.3">
      <c r="A281" s="55" t="s">
        <v>728</v>
      </c>
      <c r="B281" s="138" t="s">
        <v>729</v>
      </c>
      <c r="C281" s="54" t="s">
        <v>606</v>
      </c>
      <c r="D281" s="75">
        <v>1</v>
      </c>
      <c r="E281" s="75"/>
      <c r="F281" s="75"/>
      <c r="G281" s="161"/>
      <c r="H281" s="158" t="s">
        <v>15</v>
      </c>
      <c r="I281" s="166">
        <v>227.07</v>
      </c>
      <c r="J281" s="75">
        <v>227.07</v>
      </c>
      <c r="K281" s="91" t="s">
        <v>730</v>
      </c>
      <c r="L281" s="73"/>
      <c r="M281" s="46">
        <v>0</v>
      </c>
      <c r="N281" s="46">
        <v>0</v>
      </c>
      <c r="O281" s="46">
        <v>0</v>
      </c>
      <c r="P281" s="98"/>
      <c r="Q281" s="23" t="s">
        <v>1446</v>
      </c>
      <c r="R281" s="24" t="s">
        <v>729</v>
      </c>
      <c r="S281" s="25" t="s">
        <v>606</v>
      </c>
      <c r="T281" s="26">
        <v>1</v>
      </c>
      <c r="U281" s="26">
        <v>1</v>
      </c>
      <c r="V281" s="26">
        <v>227.07</v>
      </c>
      <c r="W281" s="26">
        <f t="shared" si="50"/>
        <v>0</v>
      </c>
      <c r="X281" s="26">
        <f t="shared" si="53"/>
        <v>0</v>
      </c>
      <c r="Y281" s="26">
        <f t="shared" si="51"/>
        <v>0</v>
      </c>
      <c r="Z281" s="26">
        <f t="shared" si="57"/>
        <v>0</v>
      </c>
      <c r="AA281" s="33" t="s">
        <v>15</v>
      </c>
      <c r="AB281" s="36" t="s">
        <v>16</v>
      </c>
      <c r="AC281" s="181">
        <f t="shared" si="54"/>
        <v>1</v>
      </c>
      <c r="AD281" s="181">
        <f t="shared" si="52"/>
        <v>227.07</v>
      </c>
      <c r="AE281" s="181">
        <v>1.7</v>
      </c>
      <c r="AF281" s="181">
        <v>1.7</v>
      </c>
      <c r="AG281" s="101" t="str">
        <f t="shared" si="55"/>
        <v/>
      </c>
      <c r="AH281" s="190">
        <v>0</v>
      </c>
      <c r="AI281" s="69">
        <f t="shared" si="56"/>
        <v>1</v>
      </c>
    </row>
    <row r="282" spans="1:35" s="69" customFormat="1" ht="33" x14ac:dyDescent="0.3">
      <c r="A282" s="55" t="s">
        <v>731</v>
      </c>
      <c r="B282" s="138" t="s">
        <v>732</v>
      </c>
      <c r="C282" s="54" t="s">
        <v>606</v>
      </c>
      <c r="D282" s="75">
        <v>1</v>
      </c>
      <c r="E282" s="75"/>
      <c r="F282" s="75"/>
      <c r="G282" s="161"/>
      <c r="H282" s="158" t="s">
        <v>15</v>
      </c>
      <c r="I282" s="166">
        <v>277.02999999999997</v>
      </c>
      <c r="J282" s="75">
        <v>277.02999999999997</v>
      </c>
      <c r="K282" s="91" t="s">
        <v>733</v>
      </c>
      <c r="L282" s="73"/>
      <c r="M282" s="46">
        <v>0</v>
      </c>
      <c r="N282" s="46">
        <v>0</v>
      </c>
      <c r="O282" s="46">
        <v>0</v>
      </c>
      <c r="P282" s="98"/>
      <c r="Q282" s="23" t="s">
        <v>1447</v>
      </c>
      <c r="R282" s="24" t="s">
        <v>732</v>
      </c>
      <c r="S282" s="25" t="s">
        <v>606</v>
      </c>
      <c r="T282" s="26">
        <v>1</v>
      </c>
      <c r="U282" s="26">
        <v>1</v>
      </c>
      <c r="V282" s="26">
        <v>277.02999999999997</v>
      </c>
      <c r="W282" s="26">
        <f t="shared" si="50"/>
        <v>0</v>
      </c>
      <c r="X282" s="26">
        <f t="shared" si="53"/>
        <v>0</v>
      </c>
      <c r="Y282" s="26">
        <f t="shared" si="51"/>
        <v>0</v>
      </c>
      <c r="Z282" s="26">
        <f t="shared" si="57"/>
        <v>0</v>
      </c>
      <c r="AA282" s="33" t="s">
        <v>15</v>
      </c>
      <c r="AB282" s="36" t="s">
        <v>16</v>
      </c>
      <c r="AC282" s="181">
        <f t="shared" si="54"/>
        <v>1</v>
      </c>
      <c r="AD282" s="181">
        <f t="shared" si="52"/>
        <v>277.02999999999997</v>
      </c>
      <c r="AE282" s="181">
        <v>1.7</v>
      </c>
      <c r="AF282" s="181">
        <v>1.7</v>
      </c>
      <c r="AG282" s="101" t="str">
        <f t="shared" si="55"/>
        <v/>
      </c>
      <c r="AH282" s="190">
        <v>0</v>
      </c>
      <c r="AI282" s="69">
        <f t="shared" si="56"/>
        <v>1</v>
      </c>
    </row>
    <row r="283" spans="1:35" s="69" customFormat="1" ht="33" x14ac:dyDescent="0.3">
      <c r="A283" s="55" t="s">
        <v>734</v>
      </c>
      <c r="B283" s="138" t="s">
        <v>735</v>
      </c>
      <c r="C283" s="54" t="s">
        <v>606</v>
      </c>
      <c r="D283" s="75">
        <v>1</v>
      </c>
      <c r="E283" s="75"/>
      <c r="F283" s="75"/>
      <c r="G283" s="161"/>
      <c r="H283" s="158" t="s">
        <v>15</v>
      </c>
      <c r="I283" s="166">
        <v>286.3</v>
      </c>
      <c r="J283" s="75">
        <v>286.3</v>
      </c>
      <c r="K283" s="91" t="s">
        <v>736</v>
      </c>
      <c r="L283" s="73"/>
      <c r="M283" s="46">
        <v>0</v>
      </c>
      <c r="N283" s="46">
        <v>0</v>
      </c>
      <c r="O283" s="46">
        <v>0</v>
      </c>
      <c r="P283" s="98"/>
      <c r="Q283" s="23" t="s">
        <v>1448</v>
      </c>
      <c r="R283" s="24" t="s">
        <v>735</v>
      </c>
      <c r="S283" s="25" t="s">
        <v>606</v>
      </c>
      <c r="T283" s="26">
        <v>1</v>
      </c>
      <c r="U283" s="26">
        <v>1</v>
      </c>
      <c r="V283" s="26">
        <v>286.3</v>
      </c>
      <c r="W283" s="26">
        <f t="shared" si="50"/>
        <v>0</v>
      </c>
      <c r="X283" s="26">
        <f t="shared" si="53"/>
        <v>0</v>
      </c>
      <c r="Y283" s="26">
        <f t="shared" si="51"/>
        <v>0</v>
      </c>
      <c r="Z283" s="26">
        <f t="shared" si="57"/>
        <v>0</v>
      </c>
      <c r="AA283" s="33" t="s">
        <v>15</v>
      </c>
      <c r="AB283" s="36" t="s">
        <v>16</v>
      </c>
      <c r="AC283" s="181">
        <f t="shared" si="54"/>
        <v>1</v>
      </c>
      <c r="AD283" s="181">
        <f t="shared" si="52"/>
        <v>286.3</v>
      </c>
      <c r="AE283" s="181">
        <v>1.7</v>
      </c>
      <c r="AF283" s="181">
        <v>1.7</v>
      </c>
      <c r="AG283" s="101" t="str">
        <f t="shared" si="55"/>
        <v/>
      </c>
      <c r="AH283" s="190">
        <v>0</v>
      </c>
      <c r="AI283" s="69">
        <f t="shared" si="56"/>
        <v>1</v>
      </c>
    </row>
    <row r="284" spans="1:35" s="69" customFormat="1" ht="33" x14ac:dyDescent="0.3">
      <c r="A284" s="55" t="s">
        <v>737</v>
      </c>
      <c r="B284" s="138" t="s">
        <v>738</v>
      </c>
      <c r="C284" s="54" t="s">
        <v>606</v>
      </c>
      <c r="D284" s="75">
        <v>1</v>
      </c>
      <c r="E284" s="75"/>
      <c r="F284" s="75"/>
      <c r="G284" s="161"/>
      <c r="H284" s="158" t="s">
        <v>15</v>
      </c>
      <c r="I284" s="166">
        <v>134.37</v>
      </c>
      <c r="J284" s="75">
        <v>134.37</v>
      </c>
      <c r="K284" s="91" t="s">
        <v>739</v>
      </c>
      <c r="L284" s="73"/>
      <c r="M284" s="46">
        <v>0</v>
      </c>
      <c r="N284" s="46">
        <v>0</v>
      </c>
      <c r="O284" s="46">
        <v>0</v>
      </c>
      <c r="P284" s="98"/>
      <c r="Q284" s="23" t="s">
        <v>1449</v>
      </c>
      <c r="R284" s="24" t="s">
        <v>738</v>
      </c>
      <c r="S284" s="25" t="s">
        <v>606</v>
      </c>
      <c r="T284" s="26">
        <v>1</v>
      </c>
      <c r="U284" s="26">
        <v>1</v>
      </c>
      <c r="V284" s="26">
        <v>134.37</v>
      </c>
      <c r="W284" s="26">
        <f t="shared" si="50"/>
        <v>0</v>
      </c>
      <c r="X284" s="26">
        <f t="shared" si="53"/>
        <v>0</v>
      </c>
      <c r="Y284" s="26">
        <f t="shared" si="51"/>
        <v>0</v>
      </c>
      <c r="Z284" s="26">
        <f t="shared" si="57"/>
        <v>0</v>
      </c>
      <c r="AA284" s="33" t="s">
        <v>15</v>
      </c>
      <c r="AB284" s="36" t="s">
        <v>16</v>
      </c>
      <c r="AC284" s="181">
        <f t="shared" si="54"/>
        <v>1</v>
      </c>
      <c r="AD284" s="181">
        <f t="shared" si="52"/>
        <v>134.37</v>
      </c>
      <c r="AE284" s="181">
        <v>1.7</v>
      </c>
      <c r="AF284" s="181">
        <v>1.7</v>
      </c>
      <c r="AG284" s="101" t="str">
        <f t="shared" si="55"/>
        <v/>
      </c>
      <c r="AH284" s="190">
        <v>0</v>
      </c>
      <c r="AI284" s="69">
        <f t="shared" si="56"/>
        <v>1</v>
      </c>
    </row>
    <row r="285" spans="1:35" s="69" customFormat="1" ht="33" x14ac:dyDescent="0.3">
      <c r="A285" s="55" t="s">
        <v>740</v>
      </c>
      <c r="B285" s="138" t="s">
        <v>741</v>
      </c>
      <c r="C285" s="54" t="s">
        <v>606</v>
      </c>
      <c r="D285" s="75">
        <v>1</v>
      </c>
      <c r="E285" s="75"/>
      <c r="F285" s="75"/>
      <c r="G285" s="161"/>
      <c r="H285" s="158" t="s">
        <v>15</v>
      </c>
      <c r="I285" s="166">
        <v>142.1</v>
      </c>
      <c r="J285" s="75">
        <v>142.1</v>
      </c>
      <c r="K285" s="91" t="s">
        <v>742</v>
      </c>
      <c r="L285" s="73"/>
      <c r="M285" s="46">
        <v>0</v>
      </c>
      <c r="N285" s="46">
        <v>0</v>
      </c>
      <c r="O285" s="46">
        <v>0</v>
      </c>
      <c r="P285" s="98"/>
      <c r="Q285" s="23" t="s">
        <v>1450</v>
      </c>
      <c r="R285" s="24" t="s">
        <v>741</v>
      </c>
      <c r="S285" s="25" t="s">
        <v>606</v>
      </c>
      <c r="T285" s="26">
        <v>1</v>
      </c>
      <c r="U285" s="26">
        <v>1</v>
      </c>
      <c r="V285" s="26">
        <v>142.1</v>
      </c>
      <c r="W285" s="26">
        <f t="shared" si="50"/>
        <v>0</v>
      </c>
      <c r="X285" s="26">
        <f t="shared" si="53"/>
        <v>0</v>
      </c>
      <c r="Y285" s="26">
        <f t="shared" si="51"/>
        <v>0</v>
      </c>
      <c r="Z285" s="26">
        <f t="shared" si="57"/>
        <v>0</v>
      </c>
      <c r="AA285" s="33" t="s">
        <v>15</v>
      </c>
      <c r="AB285" s="36" t="s">
        <v>16</v>
      </c>
      <c r="AC285" s="181">
        <f t="shared" si="54"/>
        <v>1</v>
      </c>
      <c r="AD285" s="181">
        <f t="shared" si="52"/>
        <v>142.1</v>
      </c>
      <c r="AE285" s="181">
        <v>1.7</v>
      </c>
      <c r="AF285" s="181">
        <v>1.7</v>
      </c>
      <c r="AG285" s="101" t="str">
        <f t="shared" si="55"/>
        <v/>
      </c>
      <c r="AH285" s="190">
        <v>0</v>
      </c>
      <c r="AI285" s="69">
        <f t="shared" si="56"/>
        <v>1</v>
      </c>
    </row>
    <row r="286" spans="1:35" s="69" customFormat="1" ht="33" x14ac:dyDescent="0.3">
      <c r="A286" s="55" t="s">
        <v>743</v>
      </c>
      <c r="B286" s="138" t="s">
        <v>744</v>
      </c>
      <c r="C286" s="54" t="s">
        <v>606</v>
      </c>
      <c r="D286" s="75">
        <v>1</v>
      </c>
      <c r="E286" s="75"/>
      <c r="F286" s="75"/>
      <c r="G286" s="161"/>
      <c r="H286" s="158" t="s">
        <v>15</v>
      </c>
      <c r="I286" s="166">
        <v>90.32</v>
      </c>
      <c r="J286" s="75">
        <v>90.32</v>
      </c>
      <c r="K286" s="91" t="s">
        <v>745</v>
      </c>
      <c r="L286" s="73"/>
      <c r="M286" s="46">
        <v>0</v>
      </c>
      <c r="N286" s="46">
        <v>0</v>
      </c>
      <c r="O286" s="46">
        <v>0</v>
      </c>
      <c r="P286" s="98"/>
      <c r="Q286" s="23" t="s">
        <v>1451</v>
      </c>
      <c r="R286" s="24" t="s">
        <v>744</v>
      </c>
      <c r="S286" s="25" t="s">
        <v>606</v>
      </c>
      <c r="T286" s="26">
        <v>1</v>
      </c>
      <c r="U286" s="26">
        <v>1</v>
      </c>
      <c r="V286" s="26">
        <v>90.32</v>
      </c>
      <c r="W286" s="26">
        <f t="shared" si="50"/>
        <v>0</v>
      </c>
      <c r="X286" s="26">
        <f t="shared" si="53"/>
        <v>0</v>
      </c>
      <c r="Y286" s="26">
        <f t="shared" si="51"/>
        <v>0</v>
      </c>
      <c r="Z286" s="26">
        <f t="shared" si="57"/>
        <v>0</v>
      </c>
      <c r="AA286" s="33" t="s">
        <v>15</v>
      </c>
      <c r="AB286" s="36" t="s">
        <v>16</v>
      </c>
      <c r="AC286" s="181">
        <f t="shared" si="54"/>
        <v>1</v>
      </c>
      <c r="AD286" s="181">
        <f t="shared" si="52"/>
        <v>90.32</v>
      </c>
      <c r="AE286" s="181">
        <v>1.7</v>
      </c>
      <c r="AF286" s="181">
        <v>1.7</v>
      </c>
      <c r="AG286" s="101" t="str">
        <f t="shared" si="55"/>
        <v/>
      </c>
      <c r="AH286" s="190">
        <v>0</v>
      </c>
      <c r="AI286" s="69">
        <f t="shared" si="56"/>
        <v>1</v>
      </c>
    </row>
    <row r="287" spans="1:35" s="69" customFormat="1" ht="33" x14ac:dyDescent="0.3">
      <c r="A287" s="55" t="s">
        <v>746</v>
      </c>
      <c r="B287" s="138" t="s">
        <v>747</v>
      </c>
      <c r="C287" s="54" t="s">
        <v>606</v>
      </c>
      <c r="D287" s="75">
        <v>1</v>
      </c>
      <c r="E287" s="75"/>
      <c r="F287" s="75"/>
      <c r="G287" s="161"/>
      <c r="H287" s="158" t="s">
        <v>15</v>
      </c>
      <c r="I287" s="166">
        <v>125.1</v>
      </c>
      <c r="J287" s="75">
        <v>125.1</v>
      </c>
      <c r="K287" s="91" t="s">
        <v>748</v>
      </c>
      <c r="L287" s="73"/>
      <c r="M287" s="46">
        <v>0</v>
      </c>
      <c r="N287" s="46">
        <v>0</v>
      </c>
      <c r="O287" s="46">
        <v>0</v>
      </c>
      <c r="P287" s="98"/>
      <c r="Q287" s="23" t="s">
        <v>1452</v>
      </c>
      <c r="R287" s="24" t="s">
        <v>747</v>
      </c>
      <c r="S287" s="25" t="s">
        <v>606</v>
      </c>
      <c r="T287" s="26">
        <v>1</v>
      </c>
      <c r="U287" s="26">
        <v>1</v>
      </c>
      <c r="V287" s="26">
        <v>125.1</v>
      </c>
      <c r="W287" s="26">
        <f t="shared" si="50"/>
        <v>0</v>
      </c>
      <c r="X287" s="26">
        <f t="shared" si="53"/>
        <v>0</v>
      </c>
      <c r="Y287" s="26">
        <f t="shared" si="51"/>
        <v>0</v>
      </c>
      <c r="Z287" s="26">
        <f t="shared" si="57"/>
        <v>0</v>
      </c>
      <c r="AA287" s="33" t="s">
        <v>15</v>
      </c>
      <c r="AB287" s="36" t="s">
        <v>16</v>
      </c>
      <c r="AC287" s="181">
        <f t="shared" si="54"/>
        <v>1</v>
      </c>
      <c r="AD287" s="181">
        <f t="shared" si="52"/>
        <v>125.1</v>
      </c>
      <c r="AE287" s="181">
        <v>1.7</v>
      </c>
      <c r="AF287" s="181">
        <v>1.7</v>
      </c>
      <c r="AG287" s="101" t="str">
        <f t="shared" si="55"/>
        <v/>
      </c>
      <c r="AH287" s="190">
        <v>0</v>
      </c>
      <c r="AI287" s="69">
        <f t="shared" si="56"/>
        <v>1</v>
      </c>
    </row>
    <row r="288" spans="1:35" s="69" customFormat="1" ht="33" x14ac:dyDescent="0.3">
      <c r="A288" s="55" t="s">
        <v>749</v>
      </c>
      <c r="B288" s="138" t="s">
        <v>750</v>
      </c>
      <c r="C288" s="54" t="s">
        <v>606</v>
      </c>
      <c r="D288" s="75">
        <v>1</v>
      </c>
      <c r="E288" s="75"/>
      <c r="F288" s="75"/>
      <c r="G288" s="161"/>
      <c r="H288" s="158" t="s">
        <v>15</v>
      </c>
      <c r="I288" s="166">
        <v>137.04</v>
      </c>
      <c r="J288" s="75">
        <v>137.04</v>
      </c>
      <c r="K288" s="91" t="s">
        <v>751</v>
      </c>
      <c r="L288" s="73"/>
      <c r="M288" s="46">
        <v>0</v>
      </c>
      <c r="N288" s="46">
        <v>0</v>
      </c>
      <c r="O288" s="46">
        <v>0</v>
      </c>
      <c r="P288" s="98"/>
      <c r="Q288" s="23" t="s">
        <v>1453</v>
      </c>
      <c r="R288" s="24" t="s">
        <v>750</v>
      </c>
      <c r="S288" s="25" t="s">
        <v>606</v>
      </c>
      <c r="T288" s="26">
        <v>1</v>
      </c>
      <c r="U288" s="26">
        <v>1</v>
      </c>
      <c r="V288" s="26">
        <v>137.04</v>
      </c>
      <c r="W288" s="26">
        <f t="shared" si="50"/>
        <v>0</v>
      </c>
      <c r="X288" s="26">
        <f t="shared" si="53"/>
        <v>0</v>
      </c>
      <c r="Y288" s="26">
        <f t="shared" si="51"/>
        <v>0</v>
      </c>
      <c r="Z288" s="26">
        <f t="shared" si="57"/>
        <v>0</v>
      </c>
      <c r="AA288" s="33" t="s">
        <v>15</v>
      </c>
      <c r="AB288" s="36" t="s">
        <v>16</v>
      </c>
      <c r="AC288" s="181">
        <f t="shared" si="54"/>
        <v>1</v>
      </c>
      <c r="AD288" s="181">
        <f t="shared" si="52"/>
        <v>137.04</v>
      </c>
      <c r="AE288" s="181">
        <v>1.7</v>
      </c>
      <c r="AF288" s="181">
        <v>1.7</v>
      </c>
      <c r="AG288" s="101" t="str">
        <f t="shared" si="55"/>
        <v/>
      </c>
      <c r="AH288" s="190">
        <v>0</v>
      </c>
      <c r="AI288" s="69">
        <f t="shared" si="56"/>
        <v>1</v>
      </c>
    </row>
    <row r="289" spans="1:35" s="69" customFormat="1" ht="33" x14ac:dyDescent="0.3">
      <c r="A289" s="55" t="s">
        <v>752</v>
      </c>
      <c r="B289" s="138" t="s">
        <v>753</v>
      </c>
      <c r="C289" s="54" t="s">
        <v>606</v>
      </c>
      <c r="D289" s="75">
        <v>1</v>
      </c>
      <c r="E289" s="75"/>
      <c r="F289" s="75"/>
      <c r="G289" s="161"/>
      <c r="H289" s="158" t="s">
        <v>15</v>
      </c>
      <c r="I289" s="166">
        <v>107.12</v>
      </c>
      <c r="J289" s="75">
        <v>107.12</v>
      </c>
      <c r="K289" s="91" t="s">
        <v>754</v>
      </c>
      <c r="L289" s="73"/>
      <c r="M289" s="46">
        <v>0</v>
      </c>
      <c r="N289" s="46">
        <v>0</v>
      </c>
      <c r="O289" s="46">
        <v>0</v>
      </c>
      <c r="P289" s="98"/>
      <c r="Q289" s="23" t="s">
        <v>1454</v>
      </c>
      <c r="R289" s="24" t="s">
        <v>753</v>
      </c>
      <c r="S289" s="25" t="s">
        <v>606</v>
      </c>
      <c r="T289" s="26">
        <v>1</v>
      </c>
      <c r="U289" s="26">
        <v>1</v>
      </c>
      <c r="V289" s="26">
        <v>107.12</v>
      </c>
      <c r="W289" s="26">
        <f t="shared" si="50"/>
        <v>0</v>
      </c>
      <c r="X289" s="26">
        <f t="shared" si="53"/>
        <v>0</v>
      </c>
      <c r="Y289" s="26">
        <f t="shared" si="51"/>
        <v>0</v>
      </c>
      <c r="Z289" s="26">
        <f t="shared" si="57"/>
        <v>0</v>
      </c>
      <c r="AA289" s="33" t="s">
        <v>15</v>
      </c>
      <c r="AB289" s="36" t="s">
        <v>16</v>
      </c>
      <c r="AC289" s="181">
        <f t="shared" si="54"/>
        <v>1</v>
      </c>
      <c r="AD289" s="181">
        <f t="shared" si="52"/>
        <v>107.12</v>
      </c>
      <c r="AE289" s="181">
        <v>1.7</v>
      </c>
      <c r="AF289" s="181">
        <v>1.7</v>
      </c>
      <c r="AG289" s="101" t="str">
        <f t="shared" si="55"/>
        <v/>
      </c>
      <c r="AH289" s="190">
        <v>0</v>
      </c>
      <c r="AI289" s="69">
        <f t="shared" si="56"/>
        <v>1</v>
      </c>
    </row>
    <row r="290" spans="1:35" s="69" customFormat="1" ht="33" x14ac:dyDescent="0.3">
      <c r="A290" s="55" t="s">
        <v>755</v>
      </c>
      <c r="B290" s="138" t="s">
        <v>756</v>
      </c>
      <c r="C290" s="54" t="s">
        <v>606</v>
      </c>
      <c r="D290" s="75">
        <v>1</v>
      </c>
      <c r="E290" s="75"/>
      <c r="F290" s="75"/>
      <c r="G290" s="161"/>
      <c r="H290" s="158" t="s">
        <v>15</v>
      </c>
      <c r="I290" s="166">
        <v>124.17</v>
      </c>
      <c r="J290" s="75">
        <v>124.17</v>
      </c>
      <c r="K290" s="91" t="s">
        <v>757</v>
      </c>
      <c r="L290" s="73"/>
      <c r="M290" s="46">
        <v>0</v>
      </c>
      <c r="N290" s="46">
        <v>0</v>
      </c>
      <c r="O290" s="46">
        <v>0</v>
      </c>
      <c r="P290" s="98"/>
      <c r="Q290" s="23" t="s">
        <v>1455</v>
      </c>
      <c r="R290" s="24" t="s">
        <v>756</v>
      </c>
      <c r="S290" s="25" t="s">
        <v>606</v>
      </c>
      <c r="T290" s="26">
        <v>1</v>
      </c>
      <c r="U290" s="26">
        <v>1</v>
      </c>
      <c r="V290" s="26">
        <v>124.17</v>
      </c>
      <c r="W290" s="26">
        <f t="shared" si="50"/>
        <v>0</v>
      </c>
      <c r="X290" s="26">
        <f t="shared" si="53"/>
        <v>0</v>
      </c>
      <c r="Y290" s="26">
        <f t="shared" si="51"/>
        <v>0</v>
      </c>
      <c r="Z290" s="26">
        <f t="shared" si="57"/>
        <v>0</v>
      </c>
      <c r="AA290" s="33" t="s">
        <v>15</v>
      </c>
      <c r="AB290" s="36" t="s">
        <v>16</v>
      </c>
      <c r="AC290" s="181">
        <f t="shared" si="54"/>
        <v>1</v>
      </c>
      <c r="AD290" s="181">
        <f t="shared" si="52"/>
        <v>124.17</v>
      </c>
      <c r="AE290" s="181">
        <v>1.7</v>
      </c>
      <c r="AF290" s="181">
        <v>1.7</v>
      </c>
      <c r="AG290" s="101" t="str">
        <f t="shared" si="55"/>
        <v/>
      </c>
      <c r="AH290" s="190">
        <v>0</v>
      </c>
      <c r="AI290" s="69">
        <f t="shared" si="56"/>
        <v>1</v>
      </c>
    </row>
    <row r="291" spans="1:35" s="69" customFormat="1" ht="33" x14ac:dyDescent="0.3">
      <c r="A291" s="55" t="s">
        <v>758</v>
      </c>
      <c r="B291" s="138" t="s">
        <v>759</v>
      </c>
      <c r="C291" s="54" t="s">
        <v>606</v>
      </c>
      <c r="D291" s="75">
        <v>1</v>
      </c>
      <c r="E291" s="75"/>
      <c r="F291" s="75"/>
      <c r="G291" s="161"/>
      <c r="H291" s="158" t="s">
        <v>15</v>
      </c>
      <c r="I291" s="166">
        <v>121.59</v>
      </c>
      <c r="J291" s="75">
        <v>121.59</v>
      </c>
      <c r="K291" s="91" t="s">
        <v>760</v>
      </c>
      <c r="L291" s="73"/>
      <c r="M291" s="46">
        <v>0</v>
      </c>
      <c r="N291" s="46">
        <v>0</v>
      </c>
      <c r="O291" s="46">
        <v>0</v>
      </c>
      <c r="P291" s="98"/>
      <c r="Q291" s="23" t="s">
        <v>1456</v>
      </c>
      <c r="R291" s="24" t="s">
        <v>759</v>
      </c>
      <c r="S291" s="25" t="s">
        <v>606</v>
      </c>
      <c r="T291" s="26">
        <v>1</v>
      </c>
      <c r="U291" s="26">
        <v>1</v>
      </c>
      <c r="V291" s="26">
        <v>121.59</v>
      </c>
      <c r="W291" s="26">
        <f t="shared" si="50"/>
        <v>0</v>
      </c>
      <c r="X291" s="26">
        <f t="shared" si="53"/>
        <v>0</v>
      </c>
      <c r="Y291" s="26">
        <f t="shared" si="51"/>
        <v>0</v>
      </c>
      <c r="Z291" s="26">
        <f t="shared" si="57"/>
        <v>0</v>
      </c>
      <c r="AA291" s="33" t="s">
        <v>15</v>
      </c>
      <c r="AB291" s="36" t="s">
        <v>16</v>
      </c>
      <c r="AC291" s="181">
        <f t="shared" si="54"/>
        <v>1</v>
      </c>
      <c r="AD291" s="181">
        <f t="shared" si="52"/>
        <v>121.59</v>
      </c>
      <c r="AE291" s="181">
        <v>1.7</v>
      </c>
      <c r="AF291" s="181">
        <v>1.7</v>
      </c>
      <c r="AG291" s="101" t="str">
        <f t="shared" si="55"/>
        <v/>
      </c>
      <c r="AH291" s="190">
        <v>0</v>
      </c>
      <c r="AI291" s="69">
        <f t="shared" si="56"/>
        <v>1</v>
      </c>
    </row>
    <row r="292" spans="1:35" s="69" customFormat="1" ht="33" x14ac:dyDescent="0.3">
      <c r="A292" s="55" t="s">
        <v>761</v>
      </c>
      <c r="B292" s="138" t="s">
        <v>762</v>
      </c>
      <c r="C292" s="54" t="s">
        <v>606</v>
      </c>
      <c r="D292" s="75">
        <v>1</v>
      </c>
      <c r="E292" s="75"/>
      <c r="F292" s="75"/>
      <c r="G292" s="161"/>
      <c r="H292" s="158" t="s">
        <v>15</v>
      </c>
      <c r="I292" s="166">
        <v>154.51</v>
      </c>
      <c r="J292" s="75">
        <v>154.51</v>
      </c>
      <c r="K292" s="91" t="s">
        <v>763</v>
      </c>
      <c r="L292" s="73"/>
      <c r="M292" s="46">
        <v>0</v>
      </c>
      <c r="N292" s="46">
        <v>0</v>
      </c>
      <c r="O292" s="46">
        <v>0</v>
      </c>
      <c r="P292" s="98"/>
      <c r="Q292" s="23" t="s">
        <v>1457</v>
      </c>
      <c r="R292" s="24" t="s">
        <v>762</v>
      </c>
      <c r="S292" s="25" t="s">
        <v>606</v>
      </c>
      <c r="T292" s="26">
        <v>1</v>
      </c>
      <c r="U292" s="26">
        <v>1</v>
      </c>
      <c r="V292" s="26">
        <v>154.51</v>
      </c>
      <c r="W292" s="26">
        <f t="shared" si="50"/>
        <v>0</v>
      </c>
      <c r="X292" s="26">
        <f t="shared" si="53"/>
        <v>0</v>
      </c>
      <c r="Y292" s="26">
        <f t="shared" si="51"/>
        <v>0</v>
      </c>
      <c r="Z292" s="26">
        <f t="shared" si="57"/>
        <v>0</v>
      </c>
      <c r="AA292" s="33" t="s">
        <v>15</v>
      </c>
      <c r="AB292" s="36" t="s">
        <v>16</v>
      </c>
      <c r="AC292" s="181">
        <f t="shared" si="54"/>
        <v>1</v>
      </c>
      <c r="AD292" s="181">
        <f t="shared" si="52"/>
        <v>154.51</v>
      </c>
      <c r="AE292" s="181">
        <v>1.7</v>
      </c>
      <c r="AF292" s="181">
        <v>1.7</v>
      </c>
      <c r="AG292" s="101" t="str">
        <f t="shared" si="55"/>
        <v/>
      </c>
      <c r="AH292" s="190">
        <v>0</v>
      </c>
      <c r="AI292" s="69">
        <f t="shared" si="56"/>
        <v>1</v>
      </c>
    </row>
    <row r="293" spans="1:35" s="69" customFormat="1" ht="33" x14ac:dyDescent="0.3">
      <c r="A293" s="55" t="s">
        <v>764</v>
      </c>
      <c r="B293" s="138" t="s">
        <v>765</v>
      </c>
      <c r="C293" s="54" t="s">
        <v>606</v>
      </c>
      <c r="D293" s="75">
        <v>1</v>
      </c>
      <c r="E293" s="75"/>
      <c r="F293" s="75"/>
      <c r="G293" s="161"/>
      <c r="H293" s="158" t="s">
        <v>15</v>
      </c>
      <c r="I293" s="166">
        <v>36.549999999999997</v>
      </c>
      <c r="J293" s="75">
        <v>36.549999999999997</v>
      </c>
      <c r="K293" s="91" t="s">
        <v>766</v>
      </c>
      <c r="L293" s="73"/>
      <c r="M293" s="46">
        <v>0</v>
      </c>
      <c r="N293" s="46">
        <v>0</v>
      </c>
      <c r="O293" s="46">
        <v>0</v>
      </c>
      <c r="P293" s="98"/>
      <c r="Q293" s="23" t="s">
        <v>1458</v>
      </c>
      <c r="R293" s="24" t="s">
        <v>765</v>
      </c>
      <c r="S293" s="25" t="s">
        <v>606</v>
      </c>
      <c r="T293" s="26">
        <v>1</v>
      </c>
      <c r="U293" s="26">
        <v>1</v>
      </c>
      <c r="V293" s="26">
        <v>36.549999999999997</v>
      </c>
      <c r="W293" s="26">
        <f t="shared" si="50"/>
        <v>0</v>
      </c>
      <c r="X293" s="26">
        <f t="shared" si="53"/>
        <v>0</v>
      </c>
      <c r="Y293" s="26">
        <f t="shared" si="51"/>
        <v>0</v>
      </c>
      <c r="Z293" s="26">
        <f t="shared" si="57"/>
        <v>0</v>
      </c>
      <c r="AA293" s="33" t="s">
        <v>15</v>
      </c>
      <c r="AB293" s="36" t="s">
        <v>16</v>
      </c>
      <c r="AC293" s="181">
        <f t="shared" si="54"/>
        <v>1</v>
      </c>
      <c r="AD293" s="181">
        <f t="shared" si="52"/>
        <v>36.549999999999997</v>
      </c>
      <c r="AE293" s="181">
        <v>1.7</v>
      </c>
      <c r="AF293" s="181">
        <v>1.7</v>
      </c>
      <c r="AG293" s="101" t="str">
        <f t="shared" si="55"/>
        <v/>
      </c>
      <c r="AH293" s="190">
        <v>0</v>
      </c>
      <c r="AI293" s="69">
        <f t="shared" si="56"/>
        <v>1</v>
      </c>
    </row>
    <row r="294" spans="1:35" s="69" customFormat="1" ht="33" x14ac:dyDescent="0.3">
      <c r="A294" s="55" t="s">
        <v>767</v>
      </c>
      <c r="B294" s="138" t="s">
        <v>768</v>
      </c>
      <c r="C294" s="54" t="s">
        <v>606</v>
      </c>
      <c r="D294" s="75">
        <v>1</v>
      </c>
      <c r="E294" s="75"/>
      <c r="F294" s="75"/>
      <c r="G294" s="161"/>
      <c r="H294" s="158" t="s">
        <v>15</v>
      </c>
      <c r="I294" s="166">
        <v>27.8</v>
      </c>
      <c r="J294" s="75">
        <v>27.8</v>
      </c>
      <c r="K294" s="91" t="s">
        <v>769</v>
      </c>
      <c r="L294" s="73"/>
      <c r="M294" s="46">
        <v>0</v>
      </c>
      <c r="N294" s="46">
        <v>0</v>
      </c>
      <c r="O294" s="46">
        <v>0</v>
      </c>
      <c r="P294" s="98"/>
      <c r="Q294" s="23" t="s">
        <v>1459</v>
      </c>
      <c r="R294" s="24" t="s">
        <v>768</v>
      </c>
      <c r="S294" s="25" t="s">
        <v>606</v>
      </c>
      <c r="T294" s="26">
        <v>1</v>
      </c>
      <c r="U294" s="26">
        <v>1</v>
      </c>
      <c r="V294" s="26">
        <v>27.8</v>
      </c>
      <c r="W294" s="26">
        <f t="shared" si="50"/>
        <v>0</v>
      </c>
      <c r="X294" s="26">
        <f t="shared" si="53"/>
        <v>0</v>
      </c>
      <c r="Y294" s="26">
        <f t="shared" si="51"/>
        <v>0</v>
      </c>
      <c r="Z294" s="26">
        <f t="shared" si="57"/>
        <v>0</v>
      </c>
      <c r="AA294" s="33" t="s">
        <v>15</v>
      </c>
      <c r="AB294" s="36" t="s">
        <v>16</v>
      </c>
      <c r="AC294" s="181">
        <f t="shared" si="54"/>
        <v>1</v>
      </c>
      <c r="AD294" s="181">
        <f t="shared" si="52"/>
        <v>27.8</v>
      </c>
      <c r="AE294" s="181">
        <v>1.7</v>
      </c>
      <c r="AF294" s="181">
        <v>1.7</v>
      </c>
      <c r="AG294" s="101" t="str">
        <f t="shared" si="55"/>
        <v/>
      </c>
      <c r="AH294" s="190">
        <v>0</v>
      </c>
      <c r="AI294" s="69">
        <f t="shared" si="56"/>
        <v>1</v>
      </c>
    </row>
    <row r="295" spans="1:35" s="69" customFormat="1" ht="33" x14ac:dyDescent="0.3">
      <c r="A295" s="55" t="s">
        <v>770</v>
      </c>
      <c r="B295" s="138" t="s">
        <v>771</v>
      </c>
      <c r="C295" s="54" t="s">
        <v>606</v>
      </c>
      <c r="D295" s="75">
        <v>1</v>
      </c>
      <c r="E295" s="75"/>
      <c r="F295" s="75"/>
      <c r="G295" s="161"/>
      <c r="H295" s="158" t="s">
        <v>15</v>
      </c>
      <c r="I295" s="166">
        <v>105.13</v>
      </c>
      <c r="J295" s="75">
        <v>105.13</v>
      </c>
      <c r="K295" s="91" t="s">
        <v>772</v>
      </c>
      <c r="L295" s="73"/>
      <c r="M295" s="46">
        <v>0</v>
      </c>
      <c r="N295" s="46">
        <v>0</v>
      </c>
      <c r="O295" s="46">
        <v>0</v>
      </c>
      <c r="P295" s="98"/>
      <c r="Q295" s="23" t="s">
        <v>1460</v>
      </c>
      <c r="R295" s="24" t="s">
        <v>771</v>
      </c>
      <c r="S295" s="25" t="s">
        <v>606</v>
      </c>
      <c r="T295" s="26">
        <v>1</v>
      </c>
      <c r="U295" s="26">
        <v>1</v>
      </c>
      <c r="V295" s="26">
        <v>105.13</v>
      </c>
      <c r="W295" s="26">
        <f t="shared" si="50"/>
        <v>0</v>
      </c>
      <c r="X295" s="26">
        <f t="shared" si="53"/>
        <v>0</v>
      </c>
      <c r="Y295" s="26">
        <f t="shared" si="51"/>
        <v>0</v>
      </c>
      <c r="Z295" s="26">
        <f t="shared" si="57"/>
        <v>0</v>
      </c>
      <c r="AA295" s="33" t="s">
        <v>15</v>
      </c>
      <c r="AB295" s="36" t="s">
        <v>16</v>
      </c>
      <c r="AC295" s="181">
        <f t="shared" si="54"/>
        <v>1</v>
      </c>
      <c r="AD295" s="181">
        <f t="shared" si="52"/>
        <v>105.13</v>
      </c>
      <c r="AE295" s="181">
        <v>1.7</v>
      </c>
      <c r="AF295" s="181">
        <v>1.7</v>
      </c>
      <c r="AG295" s="101" t="str">
        <f t="shared" si="55"/>
        <v/>
      </c>
      <c r="AH295" s="190">
        <v>0</v>
      </c>
      <c r="AI295" s="69">
        <f t="shared" si="56"/>
        <v>1</v>
      </c>
    </row>
    <row r="296" spans="1:35" s="69" customFormat="1" ht="33" x14ac:dyDescent="0.3">
      <c r="A296" s="55" t="s">
        <v>773</v>
      </c>
      <c r="B296" s="138" t="s">
        <v>774</v>
      </c>
      <c r="C296" s="54" t="s">
        <v>606</v>
      </c>
      <c r="D296" s="75">
        <v>1</v>
      </c>
      <c r="E296" s="75"/>
      <c r="F296" s="75"/>
      <c r="G296" s="161"/>
      <c r="H296" s="158" t="s">
        <v>15</v>
      </c>
      <c r="I296" s="166">
        <v>53.12</v>
      </c>
      <c r="J296" s="75">
        <v>53.12</v>
      </c>
      <c r="K296" s="91" t="s">
        <v>775</v>
      </c>
      <c r="L296" s="73"/>
      <c r="M296" s="46">
        <v>0</v>
      </c>
      <c r="N296" s="46">
        <v>0</v>
      </c>
      <c r="O296" s="46">
        <v>0</v>
      </c>
      <c r="P296" s="98"/>
      <c r="Q296" s="23" t="s">
        <v>1461</v>
      </c>
      <c r="R296" s="24" t="s">
        <v>774</v>
      </c>
      <c r="S296" s="25" t="s">
        <v>606</v>
      </c>
      <c r="T296" s="26">
        <v>1</v>
      </c>
      <c r="U296" s="26">
        <v>1</v>
      </c>
      <c r="V296" s="26">
        <v>53.12</v>
      </c>
      <c r="W296" s="26">
        <f t="shared" si="50"/>
        <v>0</v>
      </c>
      <c r="X296" s="26">
        <f t="shared" si="53"/>
        <v>0</v>
      </c>
      <c r="Y296" s="26">
        <f t="shared" si="51"/>
        <v>0</v>
      </c>
      <c r="Z296" s="26">
        <f t="shared" si="57"/>
        <v>0</v>
      </c>
      <c r="AA296" s="33" t="s">
        <v>15</v>
      </c>
      <c r="AB296" s="36" t="s">
        <v>16</v>
      </c>
      <c r="AC296" s="181">
        <f t="shared" si="54"/>
        <v>1</v>
      </c>
      <c r="AD296" s="181">
        <f t="shared" si="52"/>
        <v>53.12</v>
      </c>
      <c r="AE296" s="181">
        <v>1.7</v>
      </c>
      <c r="AF296" s="181">
        <v>1.7</v>
      </c>
      <c r="AG296" s="101" t="str">
        <f t="shared" si="55"/>
        <v/>
      </c>
      <c r="AH296" s="190">
        <v>0</v>
      </c>
      <c r="AI296" s="69">
        <f t="shared" si="56"/>
        <v>1</v>
      </c>
    </row>
    <row r="297" spans="1:35" s="69" customFormat="1" ht="33" x14ac:dyDescent="0.3">
      <c r="A297" s="55" t="s">
        <v>776</v>
      </c>
      <c r="B297" s="138" t="s">
        <v>777</v>
      </c>
      <c r="C297" s="54" t="s">
        <v>606</v>
      </c>
      <c r="D297" s="75">
        <v>1</v>
      </c>
      <c r="E297" s="75"/>
      <c r="F297" s="75"/>
      <c r="G297" s="161"/>
      <c r="H297" s="158" t="s">
        <v>15</v>
      </c>
      <c r="I297" s="166">
        <v>36.380000000000003</v>
      </c>
      <c r="J297" s="75">
        <v>36.380000000000003</v>
      </c>
      <c r="K297" s="91" t="s">
        <v>778</v>
      </c>
      <c r="L297" s="73"/>
      <c r="M297" s="46">
        <v>0</v>
      </c>
      <c r="N297" s="46">
        <v>0</v>
      </c>
      <c r="O297" s="46">
        <v>0</v>
      </c>
      <c r="P297" s="98"/>
      <c r="Q297" s="23" t="s">
        <v>1462</v>
      </c>
      <c r="R297" s="24" t="s">
        <v>777</v>
      </c>
      <c r="S297" s="25" t="s">
        <v>606</v>
      </c>
      <c r="T297" s="26">
        <v>1</v>
      </c>
      <c r="U297" s="26">
        <v>1</v>
      </c>
      <c r="V297" s="26">
        <v>36.380000000000003</v>
      </c>
      <c r="W297" s="26">
        <f t="shared" si="50"/>
        <v>0</v>
      </c>
      <c r="X297" s="26">
        <f t="shared" si="53"/>
        <v>0</v>
      </c>
      <c r="Y297" s="26">
        <f t="shared" si="51"/>
        <v>0</v>
      </c>
      <c r="Z297" s="26">
        <f t="shared" si="57"/>
        <v>0</v>
      </c>
      <c r="AA297" s="33" t="s">
        <v>15</v>
      </c>
      <c r="AB297" s="36" t="s">
        <v>16</v>
      </c>
      <c r="AC297" s="181">
        <f t="shared" si="54"/>
        <v>1</v>
      </c>
      <c r="AD297" s="181">
        <f t="shared" si="52"/>
        <v>36.380000000000003</v>
      </c>
      <c r="AE297" s="181">
        <v>1.7</v>
      </c>
      <c r="AF297" s="181">
        <v>1.7</v>
      </c>
      <c r="AG297" s="101" t="str">
        <f t="shared" si="55"/>
        <v/>
      </c>
      <c r="AH297" s="190">
        <v>0</v>
      </c>
      <c r="AI297" s="69">
        <f t="shared" si="56"/>
        <v>1</v>
      </c>
    </row>
    <row r="298" spans="1:35" s="69" customFormat="1" ht="33" x14ac:dyDescent="0.3">
      <c r="A298" s="55" t="s">
        <v>779</v>
      </c>
      <c r="B298" s="138" t="s">
        <v>780</v>
      </c>
      <c r="C298" s="54" t="s">
        <v>606</v>
      </c>
      <c r="D298" s="75">
        <v>1</v>
      </c>
      <c r="E298" s="75"/>
      <c r="F298" s="75"/>
      <c r="G298" s="161"/>
      <c r="H298" s="158" t="s">
        <v>15</v>
      </c>
      <c r="I298" s="166">
        <v>59.74</v>
      </c>
      <c r="J298" s="75">
        <v>59.74</v>
      </c>
      <c r="K298" s="91" t="s">
        <v>781</v>
      </c>
      <c r="L298" s="73"/>
      <c r="M298" s="46">
        <v>0</v>
      </c>
      <c r="N298" s="46">
        <v>0</v>
      </c>
      <c r="O298" s="46">
        <v>0</v>
      </c>
      <c r="P298" s="98"/>
      <c r="Q298" s="23" t="s">
        <v>1463</v>
      </c>
      <c r="R298" s="24" t="s">
        <v>780</v>
      </c>
      <c r="S298" s="25" t="s">
        <v>606</v>
      </c>
      <c r="T298" s="26">
        <v>1</v>
      </c>
      <c r="U298" s="26">
        <v>1</v>
      </c>
      <c r="V298" s="26">
        <v>59.74</v>
      </c>
      <c r="W298" s="26">
        <f t="shared" si="50"/>
        <v>0</v>
      </c>
      <c r="X298" s="26">
        <f t="shared" si="53"/>
        <v>0</v>
      </c>
      <c r="Y298" s="26">
        <f t="shared" si="51"/>
        <v>0</v>
      </c>
      <c r="Z298" s="26">
        <f t="shared" si="57"/>
        <v>0</v>
      </c>
      <c r="AA298" s="33" t="s">
        <v>15</v>
      </c>
      <c r="AB298" s="36" t="s">
        <v>16</v>
      </c>
      <c r="AC298" s="181">
        <f t="shared" si="54"/>
        <v>1</v>
      </c>
      <c r="AD298" s="181">
        <f t="shared" si="52"/>
        <v>59.74</v>
      </c>
      <c r="AE298" s="181">
        <v>1.7</v>
      </c>
      <c r="AF298" s="181">
        <v>1.7</v>
      </c>
      <c r="AG298" s="101" t="str">
        <f t="shared" si="55"/>
        <v/>
      </c>
      <c r="AH298" s="190">
        <v>0</v>
      </c>
      <c r="AI298" s="69">
        <f t="shared" si="56"/>
        <v>1</v>
      </c>
    </row>
    <row r="299" spans="1:35" s="69" customFormat="1" ht="33" x14ac:dyDescent="0.3">
      <c r="A299" s="55" t="s">
        <v>782</v>
      </c>
      <c r="B299" s="138" t="s">
        <v>783</v>
      </c>
      <c r="C299" s="54" t="s">
        <v>606</v>
      </c>
      <c r="D299" s="75">
        <v>1</v>
      </c>
      <c r="E299" s="75"/>
      <c r="F299" s="75"/>
      <c r="G299" s="161"/>
      <c r="H299" s="158" t="s">
        <v>15</v>
      </c>
      <c r="I299" s="166">
        <v>80.41</v>
      </c>
      <c r="J299" s="75">
        <v>80.41</v>
      </c>
      <c r="K299" s="91" t="s">
        <v>784</v>
      </c>
      <c r="L299" s="73"/>
      <c r="M299" s="46">
        <v>0</v>
      </c>
      <c r="N299" s="46">
        <v>0</v>
      </c>
      <c r="O299" s="46">
        <v>0</v>
      </c>
      <c r="P299" s="98"/>
      <c r="Q299" s="23" t="s">
        <v>1464</v>
      </c>
      <c r="R299" s="24" t="s">
        <v>783</v>
      </c>
      <c r="S299" s="25" t="s">
        <v>606</v>
      </c>
      <c r="T299" s="26">
        <v>1</v>
      </c>
      <c r="U299" s="26">
        <v>1</v>
      </c>
      <c r="V299" s="26">
        <v>80.41</v>
      </c>
      <c r="W299" s="26">
        <f t="shared" si="50"/>
        <v>0</v>
      </c>
      <c r="X299" s="26">
        <f t="shared" si="53"/>
        <v>0</v>
      </c>
      <c r="Y299" s="26">
        <f t="shared" si="51"/>
        <v>0</v>
      </c>
      <c r="Z299" s="26">
        <f t="shared" si="57"/>
        <v>0</v>
      </c>
      <c r="AA299" s="33" t="s">
        <v>15</v>
      </c>
      <c r="AB299" s="36" t="s">
        <v>16</v>
      </c>
      <c r="AC299" s="181">
        <f t="shared" si="54"/>
        <v>1</v>
      </c>
      <c r="AD299" s="181">
        <f t="shared" si="52"/>
        <v>80.41</v>
      </c>
      <c r="AE299" s="181">
        <v>1.7</v>
      </c>
      <c r="AF299" s="181">
        <v>1.7</v>
      </c>
      <c r="AG299" s="101" t="str">
        <f t="shared" si="55"/>
        <v/>
      </c>
      <c r="AH299" s="190">
        <v>0</v>
      </c>
      <c r="AI299" s="69">
        <f t="shared" si="56"/>
        <v>1</v>
      </c>
    </row>
    <row r="300" spans="1:35" s="69" customFormat="1" ht="33" x14ac:dyDescent="0.3">
      <c r="A300" s="55" t="s">
        <v>785</v>
      </c>
      <c r="B300" s="138" t="s">
        <v>786</v>
      </c>
      <c r="C300" s="54" t="s">
        <v>606</v>
      </c>
      <c r="D300" s="75">
        <v>1</v>
      </c>
      <c r="E300" s="75"/>
      <c r="F300" s="75"/>
      <c r="G300" s="161"/>
      <c r="H300" s="158" t="s">
        <v>15</v>
      </c>
      <c r="I300" s="166">
        <v>64.959999999999994</v>
      </c>
      <c r="J300" s="75">
        <v>64.959999999999994</v>
      </c>
      <c r="K300" s="91" t="s">
        <v>787</v>
      </c>
      <c r="L300" s="73"/>
      <c r="M300" s="46">
        <v>0</v>
      </c>
      <c r="N300" s="46">
        <v>0</v>
      </c>
      <c r="O300" s="46">
        <v>0</v>
      </c>
      <c r="P300" s="98"/>
      <c r="Q300" s="23" t="s">
        <v>1465</v>
      </c>
      <c r="R300" s="24" t="s">
        <v>786</v>
      </c>
      <c r="S300" s="25" t="s">
        <v>606</v>
      </c>
      <c r="T300" s="26">
        <v>1</v>
      </c>
      <c r="U300" s="26">
        <v>1</v>
      </c>
      <c r="V300" s="26">
        <v>64.959999999999994</v>
      </c>
      <c r="W300" s="26">
        <f t="shared" si="50"/>
        <v>0</v>
      </c>
      <c r="X300" s="26">
        <f t="shared" si="53"/>
        <v>0</v>
      </c>
      <c r="Y300" s="26">
        <f t="shared" si="51"/>
        <v>0</v>
      </c>
      <c r="Z300" s="26">
        <f t="shared" si="57"/>
        <v>0</v>
      </c>
      <c r="AA300" s="33" t="s">
        <v>15</v>
      </c>
      <c r="AB300" s="36" t="s">
        <v>16</v>
      </c>
      <c r="AC300" s="181">
        <f t="shared" si="54"/>
        <v>1</v>
      </c>
      <c r="AD300" s="181">
        <f t="shared" si="52"/>
        <v>64.959999999999994</v>
      </c>
      <c r="AE300" s="181">
        <v>1.7</v>
      </c>
      <c r="AF300" s="181">
        <v>1.7</v>
      </c>
      <c r="AG300" s="101" t="str">
        <f t="shared" si="55"/>
        <v/>
      </c>
      <c r="AH300" s="190">
        <v>0</v>
      </c>
      <c r="AI300" s="69">
        <f t="shared" si="56"/>
        <v>1</v>
      </c>
    </row>
    <row r="301" spans="1:35" s="69" customFormat="1" ht="33" x14ac:dyDescent="0.3">
      <c r="A301" s="55" t="s">
        <v>788</v>
      </c>
      <c r="B301" s="138" t="s">
        <v>789</v>
      </c>
      <c r="C301" s="54" t="s">
        <v>606</v>
      </c>
      <c r="D301" s="75">
        <v>1</v>
      </c>
      <c r="E301" s="75"/>
      <c r="F301" s="75"/>
      <c r="G301" s="161"/>
      <c r="H301" s="158" t="s">
        <v>15</v>
      </c>
      <c r="I301" s="166">
        <v>95.86</v>
      </c>
      <c r="J301" s="75">
        <v>95.86</v>
      </c>
      <c r="K301" s="91" t="s">
        <v>790</v>
      </c>
      <c r="L301" s="73"/>
      <c r="M301" s="46">
        <v>0</v>
      </c>
      <c r="N301" s="46">
        <v>0</v>
      </c>
      <c r="O301" s="46">
        <v>0</v>
      </c>
      <c r="P301" s="98"/>
      <c r="Q301" s="23" t="s">
        <v>1466</v>
      </c>
      <c r="R301" s="24" t="s">
        <v>789</v>
      </c>
      <c r="S301" s="25" t="s">
        <v>606</v>
      </c>
      <c r="T301" s="26">
        <v>1</v>
      </c>
      <c r="U301" s="26">
        <v>1</v>
      </c>
      <c r="V301" s="26">
        <v>95.86</v>
      </c>
      <c r="W301" s="26">
        <f t="shared" si="50"/>
        <v>0</v>
      </c>
      <c r="X301" s="26">
        <f t="shared" si="53"/>
        <v>0</v>
      </c>
      <c r="Y301" s="26">
        <f t="shared" si="51"/>
        <v>0</v>
      </c>
      <c r="Z301" s="26">
        <f t="shared" si="57"/>
        <v>0</v>
      </c>
      <c r="AA301" s="33" t="s">
        <v>15</v>
      </c>
      <c r="AB301" s="36" t="s">
        <v>16</v>
      </c>
      <c r="AC301" s="181">
        <f t="shared" si="54"/>
        <v>1</v>
      </c>
      <c r="AD301" s="181">
        <f t="shared" si="52"/>
        <v>95.86</v>
      </c>
      <c r="AE301" s="181">
        <v>1.7</v>
      </c>
      <c r="AF301" s="181">
        <v>1.7</v>
      </c>
      <c r="AG301" s="101" t="str">
        <f t="shared" si="55"/>
        <v/>
      </c>
      <c r="AH301" s="190">
        <v>0</v>
      </c>
      <c r="AI301" s="69">
        <f t="shared" si="56"/>
        <v>1</v>
      </c>
    </row>
    <row r="302" spans="1:35" s="69" customFormat="1" ht="33" x14ac:dyDescent="0.3">
      <c r="A302" s="55" t="s">
        <v>791</v>
      </c>
      <c r="B302" s="138" t="s">
        <v>792</v>
      </c>
      <c r="C302" s="54" t="s">
        <v>606</v>
      </c>
      <c r="D302" s="75">
        <v>1</v>
      </c>
      <c r="E302" s="75"/>
      <c r="F302" s="75"/>
      <c r="G302" s="161"/>
      <c r="H302" s="158" t="s">
        <v>15</v>
      </c>
      <c r="I302" s="166">
        <v>93.29</v>
      </c>
      <c r="J302" s="75">
        <v>93.29</v>
      </c>
      <c r="K302" s="91" t="s">
        <v>793</v>
      </c>
      <c r="L302" s="73"/>
      <c r="M302" s="46">
        <v>0</v>
      </c>
      <c r="N302" s="46">
        <v>0</v>
      </c>
      <c r="O302" s="46">
        <v>0</v>
      </c>
      <c r="P302" s="98"/>
      <c r="Q302" s="23" t="s">
        <v>1467</v>
      </c>
      <c r="R302" s="24" t="s">
        <v>792</v>
      </c>
      <c r="S302" s="25" t="s">
        <v>606</v>
      </c>
      <c r="T302" s="26">
        <v>1</v>
      </c>
      <c r="U302" s="26">
        <v>1</v>
      </c>
      <c r="V302" s="26">
        <v>93.29</v>
      </c>
      <c r="W302" s="26">
        <f t="shared" ref="W302:W326" si="58">AH302-M302</f>
        <v>0</v>
      </c>
      <c r="X302" s="26">
        <f t="shared" si="53"/>
        <v>0</v>
      </c>
      <c r="Y302" s="26">
        <f t="shared" ref="Y302:Y326" si="59">Z302-O302</f>
        <v>0</v>
      </c>
      <c r="Z302" s="26">
        <f t="shared" si="57"/>
        <v>0</v>
      </c>
      <c r="AA302" s="33" t="s">
        <v>15</v>
      </c>
      <c r="AB302" s="36" t="s">
        <v>16</v>
      </c>
      <c r="AC302" s="181">
        <f t="shared" si="54"/>
        <v>1</v>
      </c>
      <c r="AD302" s="181">
        <f t="shared" ref="AD302:AD365" si="60">ROUND(V302*AC302,2)</f>
        <v>93.29</v>
      </c>
      <c r="AE302" s="181">
        <v>1.7</v>
      </c>
      <c r="AF302" s="181">
        <v>1.7</v>
      </c>
      <c r="AG302" s="101" t="str">
        <f t="shared" si="55"/>
        <v/>
      </c>
      <c r="AH302" s="190">
        <v>0</v>
      </c>
      <c r="AI302" s="69">
        <f t="shared" si="56"/>
        <v>1</v>
      </c>
    </row>
    <row r="303" spans="1:35" s="69" customFormat="1" ht="33" x14ac:dyDescent="0.3">
      <c r="A303" s="55" t="s">
        <v>794</v>
      </c>
      <c r="B303" s="138" t="s">
        <v>795</v>
      </c>
      <c r="C303" s="54" t="s">
        <v>606</v>
      </c>
      <c r="D303" s="75">
        <v>1</v>
      </c>
      <c r="E303" s="75"/>
      <c r="F303" s="75"/>
      <c r="G303" s="161"/>
      <c r="H303" s="158" t="s">
        <v>15</v>
      </c>
      <c r="I303" s="166">
        <v>93.8</v>
      </c>
      <c r="J303" s="75">
        <v>93.8</v>
      </c>
      <c r="K303" s="91" t="s">
        <v>796</v>
      </c>
      <c r="L303" s="73"/>
      <c r="M303" s="46">
        <v>0</v>
      </c>
      <c r="N303" s="46">
        <v>0</v>
      </c>
      <c r="O303" s="46">
        <v>0</v>
      </c>
      <c r="P303" s="98"/>
      <c r="Q303" s="23" t="s">
        <v>1468</v>
      </c>
      <c r="R303" s="24" t="s">
        <v>795</v>
      </c>
      <c r="S303" s="25" t="s">
        <v>606</v>
      </c>
      <c r="T303" s="26">
        <v>1</v>
      </c>
      <c r="U303" s="26">
        <v>1</v>
      </c>
      <c r="V303" s="26">
        <v>93.8</v>
      </c>
      <c r="W303" s="26">
        <f t="shared" si="58"/>
        <v>0</v>
      </c>
      <c r="X303" s="26">
        <f t="shared" si="53"/>
        <v>0</v>
      </c>
      <c r="Y303" s="26">
        <f t="shared" si="59"/>
        <v>0</v>
      </c>
      <c r="Z303" s="26">
        <f t="shared" si="57"/>
        <v>0</v>
      </c>
      <c r="AA303" s="33" t="s">
        <v>15</v>
      </c>
      <c r="AB303" s="36" t="s">
        <v>16</v>
      </c>
      <c r="AC303" s="181">
        <f t="shared" si="54"/>
        <v>1</v>
      </c>
      <c r="AD303" s="181">
        <f t="shared" si="60"/>
        <v>93.8</v>
      </c>
      <c r="AE303" s="181">
        <v>1.7</v>
      </c>
      <c r="AF303" s="181">
        <v>1.7</v>
      </c>
      <c r="AG303" s="101" t="str">
        <f t="shared" si="55"/>
        <v/>
      </c>
      <c r="AH303" s="190">
        <v>0</v>
      </c>
      <c r="AI303" s="69">
        <f t="shared" si="56"/>
        <v>1</v>
      </c>
    </row>
    <row r="304" spans="1:35" s="69" customFormat="1" ht="33" x14ac:dyDescent="0.3">
      <c r="A304" s="55" t="s">
        <v>797</v>
      </c>
      <c r="B304" s="138" t="s">
        <v>798</v>
      </c>
      <c r="C304" s="54" t="s">
        <v>606</v>
      </c>
      <c r="D304" s="75">
        <v>1</v>
      </c>
      <c r="E304" s="75"/>
      <c r="F304" s="75"/>
      <c r="G304" s="161"/>
      <c r="H304" s="158" t="s">
        <v>15</v>
      </c>
      <c r="I304" s="166">
        <v>63.35</v>
      </c>
      <c r="J304" s="75">
        <v>63.35</v>
      </c>
      <c r="K304" s="91" t="s">
        <v>799</v>
      </c>
      <c r="L304" s="73"/>
      <c r="M304" s="46">
        <v>0</v>
      </c>
      <c r="N304" s="46">
        <v>0</v>
      </c>
      <c r="O304" s="46">
        <v>0</v>
      </c>
      <c r="P304" s="98"/>
      <c r="Q304" s="23" t="s">
        <v>1469</v>
      </c>
      <c r="R304" s="24" t="s">
        <v>798</v>
      </c>
      <c r="S304" s="25" t="s">
        <v>606</v>
      </c>
      <c r="T304" s="26">
        <v>1</v>
      </c>
      <c r="U304" s="26">
        <v>1</v>
      </c>
      <c r="V304" s="26">
        <v>63.35</v>
      </c>
      <c r="W304" s="26">
        <f t="shared" si="58"/>
        <v>0</v>
      </c>
      <c r="X304" s="26">
        <f t="shared" si="53"/>
        <v>0</v>
      </c>
      <c r="Y304" s="26">
        <f t="shared" si="59"/>
        <v>0</v>
      </c>
      <c r="Z304" s="26">
        <f t="shared" si="57"/>
        <v>0</v>
      </c>
      <c r="AA304" s="33" t="s">
        <v>15</v>
      </c>
      <c r="AB304" s="36" t="s">
        <v>16</v>
      </c>
      <c r="AC304" s="181">
        <f t="shared" si="54"/>
        <v>1</v>
      </c>
      <c r="AD304" s="181">
        <f t="shared" si="60"/>
        <v>63.35</v>
      </c>
      <c r="AE304" s="181">
        <v>1.7</v>
      </c>
      <c r="AF304" s="181">
        <v>1.7</v>
      </c>
      <c r="AG304" s="101" t="str">
        <f t="shared" si="55"/>
        <v/>
      </c>
      <c r="AH304" s="190">
        <v>0</v>
      </c>
      <c r="AI304" s="69">
        <f t="shared" si="56"/>
        <v>1</v>
      </c>
    </row>
    <row r="305" spans="1:35" s="69" customFormat="1" ht="33" x14ac:dyDescent="0.3">
      <c r="A305" s="55" t="s">
        <v>800</v>
      </c>
      <c r="B305" s="138" t="s">
        <v>801</v>
      </c>
      <c r="C305" s="54" t="s">
        <v>606</v>
      </c>
      <c r="D305" s="75">
        <v>1</v>
      </c>
      <c r="E305" s="75"/>
      <c r="F305" s="75"/>
      <c r="G305" s="161"/>
      <c r="H305" s="158" t="s">
        <v>15</v>
      </c>
      <c r="I305" s="166">
        <v>156.05000000000001</v>
      </c>
      <c r="J305" s="75">
        <v>156.05000000000001</v>
      </c>
      <c r="K305" s="91" t="s">
        <v>802</v>
      </c>
      <c r="L305" s="73"/>
      <c r="M305" s="46">
        <v>0</v>
      </c>
      <c r="N305" s="46">
        <v>0</v>
      </c>
      <c r="O305" s="46">
        <v>0</v>
      </c>
      <c r="P305" s="98"/>
      <c r="Q305" s="23" t="s">
        <v>1470</v>
      </c>
      <c r="R305" s="24" t="s">
        <v>801</v>
      </c>
      <c r="S305" s="25" t="s">
        <v>606</v>
      </c>
      <c r="T305" s="26">
        <v>1</v>
      </c>
      <c r="U305" s="26">
        <v>1</v>
      </c>
      <c r="V305" s="26">
        <v>156.05000000000001</v>
      </c>
      <c r="W305" s="26">
        <f t="shared" si="58"/>
        <v>0</v>
      </c>
      <c r="X305" s="26">
        <f t="shared" si="53"/>
        <v>0</v>
      </c>
      <c r="Y305" s="26">
        <f t="shared" si="59"/>
        <v>0</v>
      </c>
      <c r="Z305" s="26">
        <f t="shared" si="57"/>
        <v>0</v>
      </c>
      <c r="AA305" s="33" t="s">
        <v>15</v>
      </c>
      <c r="AB305" s="36" t="s">
        <v>16</v>
      </c>
      <c r="AC305" s="181">
        <f t="shared" si="54"/>
        <v>1</v>
      </c>
      <c r="AD305" s="181">
        <f t="shared" si="60"/>
        <v>156.05000000000001</v>
      </c>
      <c r="AE305" s="181">
        <v>1.7</v>
      </c>
      <c r="AF305" s="181">
        <v>1.7</v>
      </c>
      <c r="AG305" s="101" t="str">
        <f t="shared" si="55"/>
        <v/>
      </c>
      <c r="AH305" s="190">
        <v>0</v>
      </c>
      <c r="AI305" s="69">
        <f t="shared" si="56"/>
        <v>1</v>
      </c>
    </row>
    <row r="306" spans="1:35" s="69" customFormat="1" ht="33" x14ac:dyDescent="0.3">
      <c r="A306" s="55" t="s">
        <v>803</v>
      </c>
      <c r="B306" s="138" t="s">
        <v>804</v>
      </c>
      <c r="C306" s="54" t="s">
        <v>606</v>
      </c>
      <c r="D306" s="75">
        <v>1</v>
      </c>
      <c r="E306" s="75"/>
      <c r="F306" s="75"/>
      <c r="G306" s="161"/>
      <c r="H306" s="158" t="s">
        <v>15</v>
      </c>
      <c r="I306" s="166">
        <v>69.08</v>
      </c>
      <c r="J306" s="75">
        <v>69.08</v>
      </c>
      <c r="K306" s="91" t="s">
        <v>805</v>
      </c>
      <c r="L306" s="73"/>
      <c r="M306" s="46">
        <v>0</v>
      </c>
      <c r="N306" s="46">
        <v>0</v>
      </c>
      <c r="O306" s="46">
        <v>0</v>
      </c>
      <c r="P306" s="98"/>
      <c r="Q306" s="23" t="s">
        <v>1471</v>
      </c>
      <c r="R306" s="24" t="s">
        <v>804</v>
      </c>
      <c r="S306" s="25" t="s">
        <v>606</v>
      </c>
      <c r="T306" s="26">
        <v>1</v>
      </c>
      <c r="U306" s="26">
        <v>1</v>
      </c>
      <c r="V306" s="26">
        <v>69.08</v>
      </c>
      <c r="W306" s="26">
        <f t="shared" si="58"/>
        <v>0</v>
      </c>
      <c r="X306" s="26">
        <f t="shared" ref="X306:X370" si="61">W306+M306</f>
        <v>0</v>
      </c>
      <c r="Y306" s="26">
        <f t="shared" si="59"/>
        <v>0</v>
      </c>
      <c r="Z306" s="26">
        <f t="shared" si="57"/>
        <v>0</v>
      </c>
      <c r="AA306" s="33" t="s">
        <v>15</v>
      </c>
      <c r="AB306" s="36" t="s">
        <v>16</v>
      </c>
      <c r="AC306" s="181">
        <f t="shared" si="54"/>
        <v>1</v>
      </c>
      <c r="AD306" s="181">
        <f t="shared" si="60"/>
        <v>69.08</v>
      </c>
      <c r="AE306" s="181">
        <v>1.7</v>
      </c>
      <c r="AF306" s="181">
        <v>1.7</v>
      </c>
      <c r="AG306" s="101" t="str">
        <f t="shared" si="55"/>
        <v/>
      </c>
      <c r="AH306" s="190">
        <v>0</v>
      </c>
      <c r="AI306" s="69">
        <f t="shared" si="56"/>
        <v>1</v>
      </c>
    </row>
    <row r="307" spans="1:35" s="69" customFormat="1" ht="33" x14ac:dyDescent="0.3">
      <c r="A307" s="55" t="s">
        <v>806</v>
      </c>
      <c r="B307" s="138" t="s">
        <v>807</v>
      </c>
      <c r="C307" s="54" t="s">
        <v>606</v>
      </c>
      <c r="D307" s="75">
        <v>1</v>
      </c>
      <c r="E307" s="75"/>
      <c r="F307" s="75"/>
      <c r="G307" s="161"/>
      <c r="H307" s="158" t="s">
        <v>15</v>
      </c>
      <c r="I307" s="166">
        <v>55.62</v>
      </c>
      <c r="J307" s="75">
        <v>55.62</v>
      </c>
      <c r="K307" s="91" t="s">
        <v>808</v>
      </c>
      <c r="L307" s="73"/>
      <c r="M307" s="46">
        <v>0</v>
      </c>
      <c r="N307" s="46">
        <v>0</v>
      </c>
      <c r="O307" s="46">
        <v>0</v>
      </c>
      <c r="P307" s="98"/>
      <c r="Q307" s="23" t="s">
        <v>1472</v>
      </c>
      <c r="R307" s="24" t="s">
        <v>807</v>
      </c>
      <c r="S307" s="25" t="s">
        <v>606</v>
      </c>
      <c r="T307" s="26">
        <v>1</v>
      </c>
      <c r="U307" s="26">
        <v>1</v>
      </c>
      <c r="V307" s="26">
        <v>55.62</v>
      </c>
      <c r="W307" s="26">
        <f t="shared" si="58"/>
        <v>0</v>
      </c>
      <c r="X307" s="26">
        <f t="shared" si="61"/>
        <v>0</v>
      </c>
      <c r="Y307" s="26">
        <f t="shared" si="59"/>
        <v>0</v>
      </c>
      <c r="Z307" s="26">
        <f t="shared" si="57"/>
        <v>0</v>
      </c>
      <c r="AA307" s="33" t="s">
        <v>15</v>
      </c>
      <c r="AB307" s="36" t="s">
        <v>16</v>
      </c>
      <c r="AC307" s="181">
        <f t="shared" si="54"/>
        <v>1</v>
      </c>
      <c r="AD307" s="181">
        <f t="shared" si="60"/>
        <v>55.62</v>
      </c>
      <c r="AE307" s="181">
        <v>1.7</v>
      </c>
      <c r="AF307" s="181">
        <v>1.7</v>
      </c>
      <c r="AG307" s="101" t="str">
        <f t="shared" si="55"/>
        <v/>
      </c>
      <c r="AH307" s="190">
        <v>0</v>
      </c>
      <c r="AI307" s="69">
        <f t="shared" si="56"/>
        <v>1</v>
      </c>
    </row>
    <row r="308" spans="1:35" s="69" customFormat="1" ht="33" x14ac:dyDescent="0.3">
      <c r="A308" s="55" t="s">
        <v>809</v>
      </c>
      <c r="B308" s="138" t="s">
        <v>810</v>
      </c>
      <c r="C308" s="54" t="s">
        <v>606</v>
      </c>
      <c r="D308" s="75">
        <v>1</v>
      </c>
      <c r="E308" s="75"/>
      <c r="F308" s="75"/>
      <c r="G308" s="161"/>
      <c r="H308" s="158" t="s">
        <v>15</v>
      </c>
      <c r="I308" s="166">
        <v>91.67</v>
      </c>
      <c r="J308" s="75">
        <v>91.67</v>
      </c>
      <c r="K308" s="91" t="s">
        <v>811</v>
      </c>
      <c r="L308" s="73"/>
      <c r="M308" s="46">
        <v>0</v>
      </c>
      <c r="N308" s="46">
        <v>0</v>
      </c>
      <c r="O308" s="46">
        <v>0</v>
      </c>
      <c r="P308" s="98"/>
      <c r="Q308" s="23" t="s">
        <v>1473</v>
      </c>
      <c r="R308" s="24" t="s">
        <v>810</v>
      </c>
      <c r="S308" s="25" t="s">
        <v>606</v>
      </c>
      <c r="T308" s="26">
        <v>1</v>
      </c>
      <c r="U308" s="26">
        <v>1</v>
      </c>
      <c r="V308" s="26">
        <v>91.67</v>
      </c>
      <c r="W308" s="26">
        <f t="shared" si="58"/>
        <v>0</v>
      </c>
      <c r="X308" s="26">
        <f t="shared" si="61"/>
        <v>0</v>
      </c>
      <c r="Y308" s="26">
        <f t="shared" si="59"/>
        <v>0</v>
      </c>
      <c r="Z308" s="26">
        <f t="shared" si="57"/>
        <v>0</v>
      </c>
      <c r="AA308" s="33" t="s">
        <v>15</v>
      </c>
      <c r="AB308" s="36" t="s">
        <v>16</v>
      </c>
      <c r="AC308" s="181">
        <f t="shared" si="54"/>
        <v>1</v>
      </c>
      <c r="AD308" s="181">
        <f t="shared" si="60"/>
        <v>91.67</v>
      </c>
      <c r="AE308" s="181">
        <v>1.7</v>
      </c>
      <c r="AF308" s="181">
        <v>1.7</v>
      </c>
      <c r="AG308" s="101" t="str">
        <f t="shared" si="55"/>
        <v/>
      </c>
      <c r="AH308" s="190">
        <v>0</v>
      </c>
      <c r="AI308" s="69">
        <f t="shared" si="56"/>
        <v>1</v>
      </c>
    </row>
    <row r="309" spans="1:35" s="69" customFormat="1" ht="33" x14ac:dyDescent="0.3">
      <c r="A309" s="55" t="s">
        <v>812</v>
      </c>
      <c r="B309" s="138" t="s">
        <v>813</v>
      </c>
      <c r="C309" s="54" t="s">
        <v>606</v>
      </c>
      <c r="D309" s="75">
        <v>1</v>
      </c>
      <c r="E309" s="75"/>
      <c r="F309" s="75"/>
      <c r="G309" s="161"/>
      <c r="H309" s="158" t="s">
        <v>15</v>
      </c>
      <c r="I309" s="166">
        <v>68.5</v>
      </c>
      <c r="J309" s="75">
        <v>68.5</v>
      </c>
      <c r="K309" s="91" t="s">
        <v>814</v>
      </c>
      <c r="L309" s="73"/>
      <c r="M309" s="46">
        <v>0</v>
      </c>
      <c r="N309" s="46">
        <v>0</v>
      </c>
      <c r="O309" s="46">
        <v>0</v>
      </c>
      <c r="P309" s="98"/>
      <c r="Q309" s="23" t="s">
        <v>1474</v>
      </c>
      <c r="R309" s="24" t="s">
        <v>813</v>
      </c>
      <c r="S309" s="25" t="s">
        <v>606</v>
      </c>
      <c r="T309" s="26">
        <v>1</v>
      </c>
      <c r="U309" s="26">
        <v>1</v>
      </c>
      <c r="V309" s="26">
        <v>68.5</v>
      </c>
      <c r="W309" s="26">
        <f t="shared" si="58"/>
        <v>0</v>
      </c>
      <c r="X309" s="26">
        <f t="shared" si="61"/>
        <v>0</v>
      </c>
      <c r="Y309" s="26">
        <f t="shared" si="59"/>
        <v>0</v>
      </c>
      <c r="Z309" s="26">
        <f t="shared" si="57"/>
        <v>0</v>
      </c>
      <c r="AA309" s="33" t="s">
        <v>15</v>
      </c>
      <c r="AB309" s="36" t="s">
        <v>16</v>
      </c>
      <c r="AC309" s="181">
        <f t="shared" si="54"/>
        <v>1</v>
      </c>
      <c r="AD309" s="181">
        <f t="shared" si="60"/>
        <v>68.5</v>
      </c>
      <c r="AE309" s="181">
        <v>1.7</v>
      </c>
      <c r="AF309" s="181">
        <v>1.7</v>
      </c>
      <c r="AG309" s="101" t="str">
        <f t="shared" si="55"/>
        <v/>
      </c>
      <c r="AH309" s="190">
        <v>0</v>
      </c>
      <c r="AI309" s="69">
        <f t="shared" si="56"/>
        <v>1</v>
      </c>
    </row>
    <row r="310" spans="1:35" s="69" customFormat="1" ht="33" x14ac:dyDescent="0.3">
      <c r="A310" s="55" t="s">
        <v>815</v>
      </c>
      <c r="B310" s="138" t="s">
        <v>816</v>
      </c>
      <c r="C310" s="54" t="s">
        <v>606</v>
      </c>
      <c r="D310" s="75">
        <v>1</v>
      </c>
      <c r="E310" s="75"/>
      <c r="F310" s="75"/>
      <c r="G310" s="161"/>
      <c r="H310" s="158" t="s">
        <v>15</v>
      </c>
      <c r="I310" s="166">
        <v>58.2</v>
      </c>
      <c r="J310" s="75">
        <v>58.2</v>
      </c>
      <c r="K310" s="91" t="s">
        <v>817</v>
      </c>
      <c r="L310" s="73"/>
      <c r="M310" s="46">
        <v>0</v>
      </c>
      <c r="N310" s="46">
        <v>0</v>
      </c>
      <c r="O310" s="46">
        <v>0</v>
      </c>
      <c r="P310" s="98"/>
      <c r="Q310" s="23" t="s">
        <v>1475</v>
      </c>
      <c r="R310" s="24" t="s">
        <v>816</v>
      </c>
      <c r="S310" s="25" t="s">
        <v>606</v>
      </c>
      <c r="T310" s="26">
        <v>1</v>
      </c>
      <c r="U310" s="26">
        <v>1</v>
      </c>
      <c r="V310" s="26">
        <v>58.2</v>
      </c>
      <c r="W310" s="26">
        <f t="shared" si="58"/>
        <v>0</v>
      </c>
      <c r="X310" s="26">
        <f t="shared" si="61"/>
        <v>0</v>
      </c>
      <c r="Y310" s="26">
        <f t="shared" si="59"/>
        <v>0</v>
      </c>
      <c r="Z310" s="26">
        <f t="shared" si="57"/>
        <v>0</v>
      </c>
      <c r="AA310" s="33" t="s">
        <v>15</v>
      </c>
      <c r="AB310" s="36" t="s">
        <v>16</v>
      </c>
      <c r="AC310" s="181">
        <f t="shared" si="54"/>
        <v>1</v>
      </c>
      <c r="AD310" s="181">
        <f t="shared" si="60"/>
        <v>58.2</v>
      </c>
      <c r="AE310" s="181">
        <v>1.7</v>
      </c>
      <c r="AF310" s="181">
        <v>1.7</v>
      </c>
      <c r="AG310" s="101" t="str">
        <f t="shared" si="55"/>
        <v/>
      </c>
      <c r="AH310" s="190">
        <v>0</v>
      </c>
      <c r="AI310" s="69">
        <f t="shared" si="56"/>
        <v>1</v>
      </c>
    </row>
    <row r="311" spans="1:35" s="69" customFormat="1" ht="33" x14ac:dyDescent="0.3">
      <c r="A311" s="55" t="s">
        <v>818</v>
      </c>
      <c r="B311" s="138" t="s">
        <v>819</v>
      </c>
      <c r="C311" s="54" t="s">
        <v>606</v>
      </c>
      <c r="D311" s="75">
        <v>1</v>
      </c>
      <c r="E311" s="75"/>
      <c r="F311" s="75"/>
      <c r="G311" s="161"/>
      <c r="H311" s="158" t="s">
        <v>15</v>
      </c>
      <c r="I311" s="166">
        <v>70.040000000000006</v>
      </c>
      <c r="J311" s="75">
        <v>70.040000000000006</v>
      </c>
      <c r="K311" s="91" t="s">
        <v>820</v>
      </c>
      <c r="L311" s="73"/>
      <c r="M311" s="46">
        <v>0</v>
      </c>
      <c r="N311" s="46">
        <v>0</v>
      </c>
      <c r="O311" s="46">
        <v>0</v>
      </c>
      <c r="P311" s="98"/>
      <c r="Q311" s="23" t="s">
        <v>1476</v>
      </c>
      <c r="R311" s="24" t="s">
        <v>819</v>
      </c>
      <c r="S311" s="25" t="s">
        <v>606</v>
      </c>
      <c r="T311" s="26">
        <v>1</v>
      </c>
      <c r="U311" s="26">
        <v>1</v>
      </c>
      <c r="V311" s="26">
        <v>70.040000000000006</v>
      </c>
      <c r="W311" s="26">
        <f t="shared" si="58"/>
        <v>0</v>
      </c>
      <c r="X311" s="26">
        <f t="shared" si="61"/>
        <v>0</v>
      </c>
      <c r="Y311" s="26">
        <f t="shared" si="59"/>
        <v>0</v>
      </c>
      <c r="Z311" s="26">
        <f t="shared" si="57"/>
        <v>0</v>
      </c>
      <c r="AA311" s="33" t="s">
        <v>15</v>
      </c>
      <c r="AB311" s="36" t="s">
        <v>16</v>
      </c>
      <c r="AC311" s="181">
        <f t="shared" si="54"/>
        <v>1</v>
      </c>
      <c r="AD311" s="181">
        <f t="shared" si="60"/>
        <v>70.040000000000006</v>
      </c>
      <c r="AE311" s="181">
        <v>1.7</v>
      </c>
      <c r="AF311" s="181">
        <v>1.7</v>
      </c>
      <c r="AG311" s="101" t="str">
        <f t="shared" si="55"/>
        <v/>
      </c>
      <c r="AH311" s="190">
        <v>0</v>
      </c>
      <c r="AI311" s="69">
        <f t="shared" si="56"/>
        <v>1</v>
      </c>
    </row>
    <row r="312" spans="1:35" s="69" customFormat="1" ht="33" x14ac:dyDescent="0.3">
      <c r="A312" s="55" t="s">
        <v>821</v>
      </c>
      <c r="B312" s="138" t="s">
        <v>822</v>
      </c>
      <c r="C312" s="54" t="s">
        <v>606</v>
      </c>
      <c r="D312" s="75">
        <v>1</v>
      </c>
      <c r="E312" s="75"/>
      <c r="F312" s="75"/>
      <c r="G312" s="161"/>
      <c r="H312" s="158" t="s">
        <v>15</v>
      </c>
      <c r="I312" s="166">
        <v>61.29</v>
      </c>
      <c r="J312" s="75">
        <v>61.29</v>
      </c>
      <c r="K312" s="91" t="s">
        <v>823</v>
      </c>
      <c r="L312" s="73"/>
      <c r="M312" s="46">
        <v>0</v>
      </c>
      <c r="N312" s="46">
        <v>0</v>
      </c>
      <c r="O312" s="46">
        <v>0</v>
      </c>
      <c r="P312" s="98"/>
      <c r="Q312" s="23" t="s">
        <v>1477</v>
      </c>
      <c r="R312" s="24" t="s">
        <v>822</v>
      </c>
      <c r="S312" s="25" t="s">
        <v>606</v>
      </c>
      <c r="T312" s="26">
        <v>1</v>
      </c>
      <c r="U312" s="26">
        <v>1</v>
      </c>
      <c r="V312" s="26">
        <v>61.29</v>
      </c>
      <c r="W312" s="26">
        <f t="shared" si="58"/>
        <v>0</v>
      </c>
      <c r="X312" s="26">
        <f t="shared" si="61"/>
        <v>0</v>
      </c>
      <c r="Y312" s="26">
        <f t="shared" si="59"/>
        <v>0</v>
      </c>
      <c r="Z312" s="26">
        <f t="shared" si="57"/>
        <v>0</v>
      </c>
      <c r="AA312" s="33" t="s">
        <v>15</v>
      </c>
      <c r="AB312" s="36" t="s">
        <v>16</v>
      </c>
      <c r="AC312" s="181">
        <f t="shared" si="54"/>
        <v>1</v>
      </c>
      <c r="AD312" s="181">
        <f t="shared" si="60"/>
        <v>61.29</v>
      </c>
      <c r="AE312" s="181">
        <v>1.7</v>
      </c>
      <c r="AF312" s="181">
        <v>1.7</v>
      </c>
      <c r="AG312" s="101" t="str">
        <f t="shared" si="55"/>
        <v/>
      </c>
      <c r="AH312" s="190">
        <v>0</v>
      </c>
      <c r="AI312" s="69">
        <f t="shared" si="56"/>
        <v>1</v>
      </c>
    </row>
    <row r="313" spans="1:35" s="69" customFormat="1" ht="33" x14ac:dyDescent="0.3">
      <c r="A313" s="55" t="s">
        <v>824</v>
      </c>
      <c r="B313" s="138" t="s">
        <v>825</v>
      </c>
      <c r="C313" s="54" t="s">
        <v>606</v>
      </c>
      <c r="D313" s="75">
        <v>1</v>
      </c>
      <c r="E313" s="75"/>
      <c r="F313" s="75"/>
      <c r="G313" s="161"/>
      <c r="H313" s="158" t="s">
        <v>15</v>
      </c>
      <c r="I313" s="166">
        <v>59.74</v>
      </c>
      <c r="J313" s="75">
        <v>59.74</v>
      </c>
      <c r="K313" s="91" t="s">
        <v>826</v>
      </c>
      <c r="L313" s="73"/>
      <c r="M313" s="46">
        <v>0</v>
      </c>
      <c r="N313" s="46">
        <v>0</v>
      </c>
      <c r="O313" s="46">
        <v>0</v>
      </c>
      <c r="P313" s="98"/>
      <c r="Q313" s="23" t="s">
        <v>1478</v>
      </c>
      <c r="R313" s="24" t="s">
        <v>825</v>
      </c>
      <c r="S313" s="25" t="s">
        <v>606</v>
      </c>
      <c r="T313" s="26">
        <v>1</v>
      </c>
      <c r="U313" s="26">
        <v>1</v>
      </c>
      <c r="V313" s="26">
        <v>59.74</v>
      </c>
      <c r="W313" s="26">
        <f t="shared" si="58"/>
        <v>0</v>
      </c>
      <c r="X313" s="26">
        <f t="shared" si="61"/>
        <v>0</v>
      </c>
      <c r="Y313" s="26">
        <f t="shared" si="59"/>
        <v>0</v>
      </c>
      <c r="Z313" s="26">
        <f t="shared" si="57"/>
        <v>0</v>
      </c>
      <c r="AA313" s="33" t="s">
        <v>15</v>
      </c>
      <c r="AB313" s="36" t="s">
        <v>16</v>
      </c>
      <c r="AC313" s="181">
        <f t="shared" si="54"/>
        <v>1</v>
      </c>
      <c r="AD313" s="181">
        <f t="shared" si="60"/>
        <v>59.74</v>
      </c>
      <c r="AE313" s="181">
        <v>1.7</v>
      </c>
      <c r="AF313" s="181">
        <v>1.7</v>
      </c>
      <c r="AG313" s="101" t="str">
        <f t="shared" si="55"/>
        <v/>
      </c>
      <c r="AH313" s="190">
        <v>0</v>
      </c>
      <c r="AI313" s="69">
        <f t="shared" si="56"/>
        <v>1</v>
      </c>
    </row>
    <row r="314" spans="1:35" s="69" customFormat="1" ht="33" x14ac:dyDescent="0.3">
      <c r="A314" s="55" t="s">
        <v>827</v>
      </c>
      <c r="B314" s="138" t="s">
        <v>828</v>
      </c>
      <c r="C314" s="54" t="s">
        <v>606</v>
      </c>
      <c r="D314" s="75">
        <v>1</v>
      </c>
      <c r="E314" s="75"/>
      <c r="F314" s="75"/>
      <c r="G314" s="161"/>
      <c r="H314" s="158" t="s">
        <v>15</v>
      </c>
      <c r="I314" s="166">
        <v>69.58</v>
      </c>
      <c r="J314" s="75">
        <v>69.58</v>
      </c>
      <c r="K314" s="91" t="s">
        <v>829</v>
      </c>
      <c r="L314" s="73"/>
      <c r="M314" s="46">
        <v>0</v>
      </c>
      <c r="N314" s="46">
        <v>0</v>
      </c>
      <c r="O314" s="46">
        <v>0</v>
      </c>
      <c r="P314" s="98"/>
      <c r="Q314" s="23" t="s">
        <v>1479</v>
      </c>
      <c r="R314" s="24" t="s">
        <v>828</v>
      </c>
      <c r="S314" s="25" t="s">
        <v>606</v>
      </c>
      <c r="T314" s="26">
        <v>1</v>
      </c>
      <c r="U314" s="26">
        <v>1</v>
      </c>
      <c r="V314" s="26">
        <v>69.58</v>
      </c>
      <c r="W314" s="26">
        <f t="shared" si="58"/>
        <v>0</v>
      </c>
      <c r="X314" s="26">
        <f t="shared" si="61"/>
        <v>0</v>
      </c>
      <c r="Y314" s="26">
        <f t="shared" si="59"/>
        <v>0</v>
      </c>
      <c r="Z314" s="26">
        <f t="shared" si="57"/>
        <v>0</v>
      </c>
      <c r="AA314" s="33" t="s">
        <v>15</v>
      </c>
      <c r="AB314" s="36" t="s">
        <v>16</v>
      </c>
      <c r="AC314" s="181">
        <f t="shared" si="54"/>
        <v>1</v>
      </c>
      <c r="AD314" s="181">
        <f t="shared" si="60"/>
        <v>69.58</v>
      </c>
      <c r="AE314" s="181">
        <v>1.7</v>
      </c>
      <c r="AF314" s="181">
        <v>1.7</v>
      </c>
      <c r="AG314" s="101" t="str">
        <f t="shared" si="55"/>
        <v/>
      </c>
      <c r="AH314" s="190">
        <v>0</v>
      </c>
      <c r="AI314" s="69">
        <f t="shared" si="56"/>
        <v>1</v>
      </c>
    </row>
    <row r="315" spans="1:35" s="69" customFormat="1" ht="33" x14ac:dyDescent="0.3">
      <c r="A315" s="55" t="s">
        <v>830</v>
      </c>
      <c r="B315" s="138" t="s">
        <v>831</v>
      </c>
      <c r="C315" s="54" t="s">
        <v>606</v>
      </c>
      <c r="D315" s="75">
        <v>1</v>
      </c>
      <c r="E315" s="75"/>
      <c r="F315" s="75"/>
      <c r="G315" s="161"/>
      <c r="H315" s="158" t="s">
        <v>15</v>
      </c>
      <c r="I315" s="166">
        <v>112.84</v>
      </c>
      <c r="J315" s="75">
        <v>112.84</v>
      </c>
      <c r="K315" s="91" t="s">
        <v>832</v>
      </c>
      <c r="L315" s="73"/>
      <c r="M315" s="46">
        <v>0</v>
      </c>
      <c r="N315" s="46">
        <v>0</v>
      </c>
      <c r="O315" s="46">
        <v>0</v>
      </c>
      <c r="P315" s="98"/>
      <c r="Q315" s="23" t="s">
        <v>1480</v>
      </c>
      <c r="R315" s="24" t="s">
        <v>831</v>
      </c>
      <c r="S315" s="25" t="s">
        <v>606</v>
      </c>
      <c r="T315" s="26">
        <v>1</v>
      </c>
      <c r="U315" s="26">
        <v>1</v>
      </c>
      <c r="V315" s="26">
        <v>112.84</v>
      </c>
      <c r="W315" s="26">
        <f t="shared" si="58"/>
        <v>0</v>
      </c>
      <c r="X315" s="26">
        <f t="shared" si="61"/>
        <v>0</v>
      </c>
      <c r="Y315" s="26">
        <f t="shared" si="59"/>
        <v>0</v>
      </c>
      <c r="Z315" s="26">
        <f t="shared" si="57"/>
        <v>0</v>
      </c>
      <c r="AA315" s="33" t="s">
        <v>15</v>
      </c>
      <c r="AB315" s="36" t="s">
        <v>16</v>
      </c>
      <c r="AC315" s="181">
        <f t="shared" si="54"/>
        <v>1</v>
      </c>
      <c r="AD315" s="181">
        <f t="shared" si="60"/>
        <v>112.84</v>
      </c>
      <c r="AE315" s="181">
        <v>1.7</v>
      </c>
      <c r="AF315" s="181">
        <v>1.7</v>
      </c>
      <c r="AG315" s="101" t="str">
        <f t="shared" si="55"/>
        <v/>
      </c>
      <c r="AH315" s="190">
        <v>0</v>
      </c>
      <c r="AI315" s="69">
        <f t="shared" si="56"/>
        <v>1</v>
      </c>
    </row>
    <row r="316" spans="1:35" s="69" customFormat="1" ht="33" x14ac:dyDescent="0.3">
      <c r="A316" s="55" t="s">
        <v>833</v>
      </c>
      <c r="B316" s="138" t="s">
        <v>834</v>
      </c>
      <c r="C316" s="54" t="s">
        <v>606</v>
      </c>
      <c r="D316" s="75">
        <v>1</v>
      </c>
      <c r="E316" s="75"/>
      <c r="F316" s="75"/>
      <c r="G316" s="161"/>
      <c r="H316" s="158" t="s">
        <v>15</v>
      </c>
      <c r="I316" s="166">
        <v>102.54</v>
      </c>
      <c r="J316" s="75">
        <v>102.54</v>
      </c>
      <c r="K316" s="91" t="s">
        <v>835</v>
      </c>
      <c r="L316" s="73"/>
      <c r="M316" s="46">
        <v>0</v>
      </c>
      <c r="N316" s="46">
        <v>0</v>
      </c>
      <c r="O316" s="46">
        <v>0</v>
      </c>
      <c r="P316" s="98"/>
      <c r="Q316" s="23" t="s">
        <v>1481</v>
      </c>
      <c r="R316" s="24" t="s">
        <v>834</v>
      </c>
      <c r="S316" s="25" t="s">
        <v>606</v>
      </c>
      <c r="T316" s="26">
        <v>1</v>
      </c>
      <c r="U316" s="26">
        <v>1</v>
      </c>
      <c r="V316" s="26">
        <v>102.54</v>
      </c>
      <c r="W316" s="26">
        <f t="shared" si="58"/>
        <v>0</v>
      </c>
      <c r="X316" s="26">
        <f t="shared" si="61"/>
        <v>0</v>
      </c>
      <c r="Y316" s="26">
        <f t="shared" si="59"/>
        <v>0</v>
      </c>
      <c r="Z316" s="26">
        <f t="shared" si="57"/>
        <v>0</v>
      </c>
      <c r="AA316" s="33" t="s">
        <v>15</v>
      </c>
      <c r="AB316" s="36" t="s">
        <v>16</v>
      </c>
      <c r="AC316" s="181">
        <f t="shared" si="54"/>
        <v>1</v>
      </c>
      <c r="AD316" s="181">
        <f t="shared" si="60"/>
        <v>102.54</v>
      </c>
      <c r="AE316" s="181">
        <v>1.7</v>
      </c>
      <c r="AF316" s="181">
        <v>1.7</v>
      </c>
      <c r="AG316" s="101" t="str">
        <f t="shared" si="55"/>
        <v/>
      </c>
      <c r="AH316" s="190">
        <v>0</v>
      </c>
      <c r="AI316" s="69">
        <f t="shared" si="56"/>
        <v>1</v>
      </c>
    </row>
    <row r="317" spans="1:35" s="69" customFormat="1" ht="33" x14ac:dyDescent="0.3">
      <c r="A317" s="55" t="s">
        <v>836</v>
      </c>
      <c r="B317" s="138" t="s">
        <v>837</v>
      </c>
      <c r="C317" s="54" t="s">
        <v>606</v>
      </c>
      <c r="D317" s="75">
        <v>1</v>
      </c>
      <c r="E317" s="75"/>
      <c r="F317" s="75"/>
      <c r="G317" s="161"/>
      <c r="H317" s="158" t="s">
        <v>15</v>
      </c>
      <c r="I317" s="166">
        <v>82.99</v>
      </c>
      <c r="J317" s="75">
        <v>82.99</v>
      </c>
      <c r="K317" s="91" t="s">
        <v>838</v>
      </c>
      <c r="L317" s="73"/>
      <c r="M317" s="46">
        <v>0</v>
      </c>
      <c r="N317" s="46">
        <v>0</v>
      </c>
      <c r="O317" s="46">
        <v>0</v>
      </c>
      <c r="P317" s="98"/>
      <c r="Q317" s="23" t="s">
        <v>1482</v>
      </c>
      <c r="R317" s="24" t="s">
        <v>837</v>
      </c>
      <c r="S317" s="25" t="s">
        <v>606</v>
      </c>
      <c r="T317" s="26">
        <v>1</v>
      </c>
      <c r="U317" s="26">
        <v>1</v>
      </c>
      <c r="V317" s="26">
        <v>82.99</v>
      </c>
      <c r="W317" s="26">
        <f t="shared" si="58"/>
        <v>0</v>
      </c>
      <c r="X317" s="26">
        <f t="shared" si="61"/>
        <v>0</v>
      </c>
      <c r="Y317" s="26">
        <f t="shared" si="59"/>
        <v>0</v>
      </c>
      <c r="Z317" s="26">
        <f t="shared" si="57"/>
        <v>0</v>
      </c>
      <c r="AA317" s="33" t="s">
        <v>15</v>
      </c>
      <c r="AB317" s="36" t="s">
        <v>16</v>
      </c>
      <c r="AC317" s="181">
        <f t="shared" si="54"/>
        <v>1</v>
      </c>
      <c r="AD317" s="181">
        <f t="shared" si="60"/>
        <v>82.99</v>
      </c>
      <c r="AE317" s="181">
        <v>1.7</v>
      </c>
      <c r="AF317" s="181">
        <v>1.7</v>
      </c>
      <c r="AG317" s="101" t="str">
        <f t="shared" si="55"/>
        <v/>
      </c>
      <c r="AH317" s="190">
        <v>0</v>
      </c>
      <c r="AI317" s="69">
        <f t="shared" si="56"/>
        <v>1</v>
      </c>
    </row>
    <row r="318" spans="1:35" s="69" customFormat="1" ht="33" x14ac:dyDescent="0.3">
      <c r="A318" s="55" t="s">
        <v>839</v>
      </c>
      <c r="B318" s="138" t="s">
        <v>840</v>
      </c>
      <c r="C318" s="54" t="s">
        <v>606</v>
      </c>
      <c r="D318" s="75">
        <v>1</v>
      </c>
      <c r="E318" s="75"/>
      <c r="F318" s="75"/>
      <c r="G318" s="161"/>
      <c r="H318" s="158" t="s">
        <v>15</v>
      </c>
      <c r="I318" s="166">
        <v>80.41</v>
      </c>
      <c r="J318" s="75">
        <v>80.41</v>
      </c>
      <c r="K318" s="91" t="s">
        <v>841</v>
      </c>
      <c r="L318" s="73"/>
      <c r="M318" s="46">
        <v>0</v>
      </c>
      <c r="N318" s="46">
        <v>0</v>
      </c>
      <c r="O318" s="46">
        <v>0</v>
      </c>
      <c r="P318" s="98"/>
      <c r="Q318" s="23" t="s">
        <v>1483</v>
      </c>
      <c r="R318" s="24" t="s">
        <v>840</v>
      </c>
      <c r="S318" s="25" t="s">
        <v>606</v>
      </c>
      <c r="T318" s="26">
        <v>1</v>
      </c>
      <c r="U318" s="26">
        <v>1</v>
      </c>
      <c r="V318" s="26">
        <v>80.41</v>
      </c>
      <c r="W318" s="26">
        <f t="shared" si="58"/>
        <v>0</v>
      </c>
      <c r="X318" s="26">
        <f t="shared" si="61"/>
        <v>0</v>
      </c>
      <c r="Y318" s="26">
        <f t="shared" si="59"/>
        <v>0</v>
      </c>
      <c r="Z318" s="26">
        <f t="shared" si="57"/>
        <v>0</v>
      </c>
      <c r="AA318" s="33" t="s">
        <v>15</v>
      </c>
      <c r="AB318" s="36" t="s">
        <v>16</v>
      </c>
      <c r="AC318" s="181">
        <f t="shared" si="54"/>
        <v>1</v>
      </c>
      <c r="AD318" s="181">
        <f t="shared" si="60"/>
        <v>80.41</v>
      </c>
      <c r="AE318" s="181">
        <v>1.7</v>
      </c>
      <c r="AF318" s="181">
        <v>1.7</v>
      </c>
      <c r="AG318" s="101" t="str">
        <f t="shared" si="55"/>
        <v/>
      </c>
      <c r="AH318" s="190">
        <v>0</v>
      </c>
      <c r="AI318" s="69">
        <f t="shared" si="56"/>
        <v>1</v>
      </c>
    </row>
    <row r="319" spans="1:35" s="69" customFormat="1" ht="33" x14ac:dyDescent="0.3">
      <c r="A319" s="55" t="s">
        <v>842</v>
      </c>
      <c r="B319" s="138" t="s">
        <v>843</v>
      </c>
      <c r="C319" s="54" t="s">
        <v>606</v>
      </c>
      <c r="D319" s="75">
        <v>1</v>
      </c>
      <c r="E319" s="75"/>
      <c r="F319" s="75"/>
      <c r="G319" s="161"/>
      <c r="H319" s="158" t="s">
        <v>15</v>
      </c>
      <c r="I319" s="166">
        <v>101.01</v>
      </c>
      <c r="J319" s="75">
        <v>101.01</v>
      </c>
      <c r="K319" s="91" t="s">
        <v>844</v>
      </c>
      <c r="L319" s="73"/>
      <c r="M319" s="46">
        <v>0</v>
      </c>
      <c r="N319" s="46">
        <v>0</v>
      </c>
      <c r="O319" s="46">
        <v>0</v>
      </c>
      <c r="P319" s="98"/>
      <c r="Q319" s="23" t="s">
        <v>1484</v>
      </c>
      <c r="R319" s="24" t="s">
        <v>843</v>
      </c>
      <c r="S319" s="25" t="s">
        <v>606</v>
      </c>
      <c r="T319" s="26">
        <v>1</v>
      </c>
      <c r="U319" s="26">
        <v>1</v>
      </c>
      <c r="V319" s="26">
        <v>101.01</v>
      </c>
      <c r="W319" s="26">
        <f t="shared" si="58"/>
        <v>0</v>
      </c>
      <c r="X319" s="26">
        <f t="shared" si="61"/>
        <v>0</v>
      </c>
      <c r="Y319" s="26">
        <f t="shared" si="59"/>
        <v>0</v>
      </c>
      <c r="Z319" s="26">
        <f t="shared" si="57"/>
        <v>0</v>
      </c>
      <c r="AA319" s="33" t="s">
        <v>15</v>
      </c>
      <c r="AB319" s="36" t="s">
        <v>16</v>
      </c>
      <c r="AC319" s="181">
        <f t="shared" si="54"/>
        <v>1</v>
      </c>
      <c r="AD319" s="181">
        <f t="shared" si="60"/>
        <v>101.01</v>
      </c>
      <c r="AE319" s="181">
        <v>1.7</v>
      </c>
      <c r="AF319" s="181">
        <v>1.7</v>
      </c>
      <c r="AG319" s="101" t="str">
        <f t="shared" si="55"/>
        <v/>
      </c>
      <c r="AH319" s="190">
        <v>0</v>
      </c>
      <c r="AI319" s="69">
        <f t="shared" si="56"/>
        <v>1</v>
      </c>
    </row>
    <row r="320" spans="1:35" s="69" customFormat="1" ht="33" x14ac:dyDescent="0.3">
      <c r="A320" s="55" t="s">
        <v>845</v>
      </c>
      <c r="B320" s="138" t="s">
        <v>846</v>
      </c>
      <c r="C320" s="54" t="s">
        <v>606</v>
      </c>
      <c r="D320" s="75">
        <v>1</v>
      </c>
      <c r="E320" s="75"/>
      <c r="F320" s="75"/>
      <c r="G320" s="161"/>
      <c r="H320" s="158" t="s">
        <v>15</v>
      </c>
      <c r="I320" s="166">
        <v>76.290000000000006</v>
      </c>
      <c r="J320" s="75">
        <v>76.290000000000006</v>
      </c>
      <c r="K320" s="91" t="s">
        <v>847</v>
      </c>
      <c r="L320" s="73"/>
      <c r="M320" s="46">
        <v>0</v>
      </c>
      <c r="N320" s="46">
        <v>0</v>
      </c>
      <c r="O320" s="46">
        <v>0</v>
      </c>
      <c r="P320" s="98"/>
      <c r="Q320" s="23" t="s">
        <v>1485</v>
      </c>
      <c r="R320" s="24" t="s">
        <v>846</v>
      </c>
      <c r="S320" s="25" t="s">
        <v>606</v>
      </c>
      <c r="T320" s="26">
        <v>1</v>
      </c>
      <c r="U320" s="26">
        <v>1</v>
      </c>
      <c r="V320" s="26">
        <v>76.290000000000006</v>
      </c>
      <c r="W320" s="26">
        <f t="shared" si="58"/>
        <v>0</v>
      </c>
      <c r="X320" s="26">
        <f t="shared" si="61"/>
        <v>0</v>
      </c>
      <c r="Y320" s="26">
        <f t="shared" si="59"/>
        <v>0</v>
      </c>
      <c r="Z320" s="26">
        <f t="shared" si="57"/>
        <v>0</v>
      </c>
      <c r="AA320" s="33" t="s">
        <v>15</v>
      </c>
      <c r="AB320" s="36" t="s">
        <v>16</v>
      </c>
      <c r="AC320" s="181">
        <f t="shared" si="54"/>
        <v>1</v>
      </c>
      <c r="AD320" s="181">
        <f t="shared" si="60"/>
        <v>76.290000000000006</v>
      </c>
      <c r="AE320" s="181">
        <v>1.7</v>
      </c>
      <c r="AF320" s="181">
        <v>1.7</v>
      </c>
      <c r="AG320" s="101" t="str">
        <f t="shared" si="55"/>
        <v/>
      </c>
      <c r="AH320" s="190">
        <v>0</v>
      </c>
      <c r="AI320" s="69">
        <f t="shared" si="56"/>
        <v>1</v>
      </c>
    </row>
    <row r="321" spans="1:35" s="69" customFormat="1" ht="33" x14ac:dyDescent="0.3">
      <c r="A321" s="55" t="s">
        <v>848</v>
      </c>
      <c r="B321" s="138" t="s">
        <v>849</v>
      </c>
      <c r="C321" s="54" t="s">
        <v>606</v>
      </c>
      <c r="D321" s="75">
        <v>1</v>
      </c>
      <c r="E321" s="75"/>
      <c r="F321" s="75"/>
      <c r="G321" s="161"/>
      <c r="H321" s="158" t="s">
        <v>15</v>
      </c>
      <c r="I321" s="166">
        <v>73.650000000000006</v>
      </c>
      <c r="J321" s="75">
        <v>73.650000000000006</v>
      </c>
      <c r="K321" s="91" t="s">
        <v>850</v>
      </c>
      <c r="L321" s="73"/>
      <c r="M321" s="46">
        <v>0</v>
      </c>
      <c r="N321" s="46">
        <v>0</v>
      </c>
      <c r="O321" s="46">
        <v>0</v>
      </c>
      <c r="P321" s="98"/>
      <c r="Q321" s="23" t="s">
        <v>1486</v>
      </c>
      <c r="R321" s="24" t="s">
        <v>849</v>
      </c>
      <c r="S321" s="25" t="s">
        <v>606</v>
      </c>
      <c r="T321" s="26">
        <v>1</v>
      </c>
      <c r="U321" s="26">
        <v>1</v>
      </c>
      <c r="V321" s="26">
        <v>73.650000000000006</v>
      </c>
      <c r="W321" s="26">
        <f t="shared" si="58"/>
        <v>0</v>
      </c>
      <c r="X321" s="26">
        <f t="shared" si="61"/>
        <v>0</v>
      </c>
      <c r="Y321" s="26">
        <f t="shared" si="59"/>
        <v>0</v>
      </c>
      <c r="Z321" s="26">
        <f t="shared" si="57"/>
        <v>0</v>
      </c>
      <c r="AA321" s="33" t="s">
        <v>15</v>
      </c>
      <c r="AB321" s="36" t="s">
        <v>16</v>
      </c>
      <c r="AC321" s="181">
        <f t="shared" si="54"/>
        <v>1</v>
      </c>
      <c r="AD321" s="181">
        <f t="shared" si="60"/>
        <v>73.650000000000006</v>
      </c>
      <c r="AE321" s="181">
        <v>1.7</v>
      </c>
      <c r="AF321" s="181">
        <v>1.7</v>
      </c>
      <c r="AG321" s="101" t="str">
        <f t="shared" si="55"/>
        <v/>
      </c>
      <c r="AH321" s="190">
        <v>0</v>
      </c>
      <c r="AI321" s="69">
        <f t="shared" si="56"/>
        <v>1</v>
      </c>
    </row>
    <row r="322" spans="1:35" s="69" customFormat="1" ht="39" x14ac:dyDescent="0.3">
      <c r="A322" s="55" t="s">
        <v>851</v>
      </c>
      <c r="B322" s="53" t="s">
        <v>852</v>
      </c>
      <c r="C322" s="54" t="s">
        <v>50</v>
      </c>
      <c r="D322" s="75">
        <v>1</v>
      </c>
      <c r="E322" s="75"/>
      <c r="F322" s="75"/>
      <c r="G322" s="161"/>
      <c r="H322" s="158" t="s">
        <v>15</v>
      </c>
      <c r="I322" s="166">
        <v>43.78</v>
      </c>
      <c r="J322" s="75">
        <v>43.78</v>
      </c>
      <c r="K322" s="91" t="s">
        <v>853</v>
      </c>
      <c r="L322" s="73"/>
      <c r="M322" s="46">
        <v>0</v>
      </c>
      <c r="N322" s="46">
        <v>0</v>
      </c>
      <c r="O322" s="46">
        <v>0</v>
      </c>
      <c r="P322" s="98"/>
      <c r="Q322" s="23" t="s">
        <v>1487</v>
      </c>
      <c r="R322" s="24" t="s">
        <v>852</v>
      </c>
      <c r="S322" s="25" t="s">
        <v>50</v>
      </c>
      <c r="T322" s="26">
        <v>1</v>
      </c>
      <c r="U322" s="26">
        <v>1</v>
      </c>
      <c r="V322" s="26">
        <v>43.78</v>
      </c>
      <c r="W322" s="26">
        <f t="shared" si="58"/>
        <v>0</v>
      </c>
      <c r="X322" s="26">
        <f t="shared" si="61"/>
        <v>0</v>
      </c>
      <c r="Y322" s="26">
        <f t="shared" si="59"/>
        <v>0</v>
      </c>
      <c r="Z322" s="26">
        <f t="shared" si="57"/>
        <v>0</v>
      </c>
      <c r="AA322" s="33" t="s">
        <v>15</v>
      </c>
      <c r="AB322" s="36" t="s">
        <v>16</v>
      </c>
      <c r="AC322" s="181">
        <f t="shared" si="54"/>
        <v>1</v>
      </c>
      <c r="AD322" s="181">
        <f t="shared" si="60"/>
        <v>43.78</v>
      </c>
      <c r="AE322" s="181">
        <v>1.7</v>
      </c>
      <c r="AF322" s="181">
        <v>1.7</v>
      </c>
      <c r="AG322" s="101" t="str">
        <f t="shared" si="55"/>
        <v/>
      </c>
      <c r="AH322" s="190">
        <v>0</v>
      </c>
      <c r="AI322" s="69">
        <f t="shared" si="56"/>
        <v>1</v>
      </c>
    </row>
    <row r="323" spans="1:35" s="69" customFormat="1" ht="39" x14ac:dyDescent="0.3">
      <c r="A323" s="55" t="s">
        <v>854</v>
      </c>
      <c r="B323" s="53" t="s">
        <v>855</v>
      </c>
      <c r="C323" s="54" t="s">
        <v>856</v>
      </c>
      <c r="D323" s="75">
        <v>1</v>
      </c>
      <c r="E323" s="75"/>
      <c r="F323" s="75"/>
      <c r="G323" s="161"/>
      <c r="H323" s="158" t="s">
        <v>15</v>
      </c>
      <c r="I323" s="166">
        <v>28.11</v>
      </c>
      <c r="J323" s="75">
        <v>28.11</v>
      </c>
      <c r="K323" s="91" t="s">
        <v>857</v>
      </c>
      <c r="L323" s="73"/>
      <c r="M323" s="46">
        <v>0</v>
      </c>
      <c r="N323" s="46">
        <v>0</v>
      </c>
      <c r="O323" s="46">
        <v>0</v>
      </c>
      <c r="P323" s="98"/>
      <c r="Q323" s="23" t="s">
        <v>1488</v>
      </c>
      <c r="R323" s="24" t="s">
        <v>855</v>
      </c>
      <c r="S323" s="25" t="s">
        <v>856</v>
      </c>
      <c r="T323" s="26">
        <v>1</v>
      </c>
      <c r="U323" s="26">
        <v>1</v>
      </c>
      <c r="V323" s="26">
        <v>28.11</v>
      </c>
      <c r="W323" s="26">
        <f t="shared" si="58"/>
        <v>0</v>
      </c>
      <c r="X323" s="26">
        <f t="shared" si="61"/>
        <v>0</v>
      </c>
      <c r="Y323" s="26">
        <f t="shared" si="59"/>
        <v>0</v>
      </c>
      <c r="Z323" s="26">
        <f t="shared" si="57"/>
        <v>0</v>
      </c>
      <c r="AA323" s="33" t="s">
        <v>15</v>
      </c>
      <c r="AB323" s="36" t="s">
        <v>16</v>
      </c>
      <c r="AC323" s="181">
        <f t="shared" si="54"/>
        <v>1</v>
      </c>
      <c r="AD323" s="181">
        <f t="shared" si="60"/>
        <v>28.11</v>
      </c>
      <c r="AE323" s="181">
        <v>1.7</v>
      </c>
      <c r="AF323" s="181">
        <v>1.7</v>
      </c>
      <c r="AG323" s="101" t="str">
        <f t="shared" si="55"/>
        <v/>
      </c>
      <c r="AH323" s="190">
        <v>0</v>
      </c>
      <c r="AI323" s="69">
        <f t="shared" si="56"/>
        <v>1</v>
      </c>
    </row>
    <row r="324" spans="1:35" s="69" customFormat="1" ht="33" x14ac:dyDescent="0.3">
      <c r="A324" s="55" t="s">
        <v>858</v>
      </c>
      <c r="B324" s="53" t="s">
        <v>859</v>
      </c>
      <c r="C324" s="54" t="s">
        <v>50</v>
      </c>
      <c r="D324" s="75">
        <v>1</v>
      </c>
      <c r="E324" s="75"/>
      <c r="F324" s="75"/>
      <c r="G324" s="224"/>
      <c r="H324" s="158" t="s">
        <v>15</v>
      </c>
      <c r="I324" s="166">
        <v>245.47</v>
      </c>
      <c r="J324" s="75">
        <v>245.47</v>
      </c>
      <c r="K324" s="91" t="s">
        <v>860</v>
      </c>
      <c r="L324" s="73"/>
      <c r="M324" s="46">
        <v>0</v>
      </c>
      <c r="N324" s="46">
        <v>0</v>
      </c>
      <c r="O324" s="46">
        <v>0</v>
      </c>
      <c r="P324" s="98"/>
      <c r="Q324" s="23" t="s">
        <v>1489</v>
      </c>
      <c r="R324" s="24" t="s">
        <v>859</v>
      </c>
      <c r="S324" s="25" t="s">
        <v>50</v>
      </c>
      <c r="T324" s="26">
        <v>1</v>
      </c>
      <c r="U324" s="26">
        <v>1</v>
      </c>
      <c r="V324" s="26">
        <v>245.47</v>
      </c>
      <c r="W324" s="26">
        <f t="shared" si="58"/>
        <v>0</v>
      </c>
      <c r="X324" s="26">
        <f t="shared" si="61"/>
        <v>0</v>
      </c>
      <c r="Y324" s="26">
        <f t="shared" si="59"/>
        <v>0</v>
      </c>
      <c r="Z324" s="26">
        <f t="shared" si="57"/>
        <v>0</v>
      </c>
      <c r="AA324" s="33" t="s">
        <v>15</v>
      </c>
      <c r="AB324" s="36" t="s">
        <v>16</v>
      </c>
      <c r="AC324" s="181">
        <f t="shared" si="54"/>
        <v>1</v>
      </c>
      <c r="AD324" s="181">
        <f t="shared" si="60"/>
        <v>245.47</v>
      </c>
      <c r="AE324" s="181">
        <v>1.7</v>
      </c>
      <c r="AF324" s="181">
        <v>1.7</v>
      </c>
      <c r="AG324" s="101" t="str">
        <f t="shared" si="55"/>
        <v/>
      </c>
      <c r="AH324" s="190">
        <v>0</v>
      </c>
      <c r="AI324" s="69">
        <f t="shared" si="56"/>
        <v>1</v>
      </c>
    </row>
    <row r="325" spans="1:35" ht="33" x14ac:dyDescent="0.3">
      <c r="A325" s="67" t="s">
        <v>1336</v>
      </c>
      <c r="B325" s="64" t="s">
        <v>1337</v>
      </c>
      <c r="C325" s="61" t="s">
        <v>30</v>
      </c>
      <c r="D325" s="78"/>
      <c r="E325" s="78"/>
      <c r="F325" s="62">
        <v>73.48</v>
      </c>
      <c r="G325" s="163"/>
      <c r="H325" s="62" t="s">
        <v>15</v>
      </c>
      <c r="I325" s="167">
        <v>839.94</v>
      </c>
      <c r="J325" s="62">
        <v>61718.79</v>
      </c>
      <c r="K325" s="93"/>
      <c r="M325" s="46">
        <v>0</v>
      </c>
      <c r="N325" s="46">
        <v>0</v>
      </c>
      <c r="O325" s="46">
        <v>0</v>
      </c>
      <c r="P325" s="98"/>
      <c r="Q325" s="23" t="s">
        <v>1398</v>
      </c>
      <c r="R325" s="24" t="s">
        <v>1337</v>
      </c>
      <c r="S325" s="25" t="s">
        <v>30</v>
      </c>
      <c r="T325" s="26">
        <v>0</v>
      </c>
      <c r="U325" s="26">
        <v>73.48</v>
      </c>
      <c r="V325" s="26">
        <v>839.94</v>
      </c>
      <c r="W325" s="26">
        <f t="shared" si="58"/>
        <v>0</v>
      </c>
      <c r="X325" s="26">
        <f t="shared" si="61"/>
        <v>0</v>
      </c>
      <c r="Y325" s="26">
        <f t="shared" si="59"/>
        <v>0</v>
      </c>
      <c r="Z325" s="26">
        <f>ROUND(V325*X325,2)</f>
        <v>0</v>
      </c>
      <c r="AA325" s="27"/>
      <c r="AB325" s="36" t="s">
        <v>16</v>
      </c>
      <c r="AC325" s="181">
        <f t="shared" si="54"/>
        <v>73.48</v>
      </c>
      <c r="AD325" s="181">
        <f t="shared" si="60"/>
        <v>61718.79</v>
      </c>
      <c r="AE325" s="181">
        <v>1.7</v>
      </c>
      <c r="AF325" s="181">
        <v>1.7</v>
      </c>
      <c r="AG325" s="101" t="str">
        <f t="shared" si="55"/>
        <v/>
      </c>
      <c r="AH325" s="190">
        <v>0</v>
      </c>
      <c r="AI325" s="69">
        <f t="shared" si="56"/>
        <v>73.48</v>
      </c>
    </row>
    <row r="326" spans="1:35" ht="39" x14ac:dyDescent="0.3">
      <c r="A326" s="67" t="s">
        <v>1338</v>
      </c>
      <c r="B326" s="64" t="s">
        <v>1339</v>
      </c>
      <c r="C326" s="61" t="s">
        <v>1359</v>
      </c>
      <c r="D326" s="78"/>
      <c r="E326" s="78"/>
      <c r="F326" s="116">
        <v>17856</v>
      </c>
      <c r="G326" s="163"/>
      <c r="H326" s="62" t="s">
        <v>15</v>
      </c>
      <c r="I326" s="167">
        <v>150</v>
      </c>
      <c r="J326" s="62">
        <v>2678400</v>
      </c>
      <c r="K326" s="93"/>
      <c r="M326" s="46">
        <v>11608</v>
      </c>
      <c r="N326" s="46">
        <v>241200</v>
      </c>
      <c r="O326" s="46">
        <v>1741200</v>
      </c>
      <c r="P326" s="98"/>
      <c r="Q326" s="23" t="s">
        <v>1399</v>
      </c>
      <c r="R326" s="24" t="s">
        <v>1339</v>
      </c>
      <c r="S326" s="25" t="s">
        <v>1359</v>
      </c>
      <c r="T326" s="26">
        <v>0</v>
      </c>
      <c r="U326" s="26">
        <v>17856</v>
      </c>
      <c r="V326" s="26">
        <v>150</v>
      </c>
      <c r="W326" s="243">
        <f t="shared" si="58"/>
        <v>0</v>
      </c>
      <c r="X326" s="26">
        <f t="shared" si="61"/>
        <v>11608</v>
      </c>
      <c r="Y326" s="26">
        <f t="shared" si="59"/>
        <v>0</v>
      </c>
      <c r="Z326" s="26">
        <f t="shared" si="57"/>
        <v>1741200</v>
      </c>
      <c r="AA326" s="27"/>
      <c r="AB326" s="36" t="s">
        <v>16</v>
      </c>
      <c r="AC326" s="181">
        <f t="shared" si="54"/>
        <v>17856</v>
      </c>
      <c r="AD326" s="181">
        <f t="shared" si="60"/>
        <v>2678400</v>
      </c>
      <c r="AE326" s="181">
        <v>1.7</v>
      </c>
      <c r="AF326" s="181">
        <v>1.7</v>
      </c>
      <c r="AG326" s="101" t="str">
        <f t="shared" si="55"/>
        <v/>
      </c>
      <c r="AH326" s="191">
        <f>10000+1608</f>
        <v>11608</v>
      </c>
      <c r="AI326" s="69">
        <f t="shared" si="56"/>
        <v>17856</v>
      </c>
    </row>
    <row r="327" spans="1:35" s="69" customFormat="1" ht="33" x14ac:dyDescent="0.3">
      <c r="A327" s="79" t="s">
        <v>861</v>
      </c>
      <c r="B327" s="80" t="s">
        <v>862</v>
      </c>
      <c r="C327" s="81" t="s">
        <v>14</v>
      </c>
      <c r="D327" s="82">
        <v>1</v>
      </c>
      <c r="E327" s="82"/>
      <c r="F327" s="82"/>
      <c r="G327" s="84"/>
      <c r="H327" s="84" t="s">
        <v>15</v>
      </c>
      <c r="I327" s="82"/>
      <c r="J327" s="82">
        <v>5831452.4900000002</v>
      </c>
      <c r="K327" s="94" t="s">
        <v>15</v>
      </c>
      <c r="L327" s="73"/>
      <c r="M327" s="45">
        <v>1</v>
      </c>
      <c r="N327" s="45">
        <v>75400</v>
      </c>
      <c r="O327" s="45">
        <v>3101066.2800000007</v>
      </c>
      <c r="P327" s="98"/>
      <c r="Q327" s="18" t="s">
        <v>1400</v>
      </c>
      <c r="R327" s="19" t="s">
        <v>862</v>
      </c>
      <c r="S327" s="20" t="s">
        <v>14</v>
      </c>
      <c r="T327" s="21">
        <v>1</v>
      </c>
      <c r="U327" s="21"/>
      <c r="V327" s="21">
        <f>SUMIFS(AD:AD,AE:AE,AE327)</f>
        <v>5831452.4899999993</v>
      </c>
      <c r="W327" s="21">
        <f t="shared" ref="W327:X327" si="62">IF(Y327=0,0,1)</f>
        <v>1</v>
      </c>
      <c r="X327" s="21">
        <f t="shared" si="62"/>
        <v>1</v>
      </c>
      <c r="Y327" s="21">
        <f>SUMIFS(Y:Y,AF:AF,AE327)</f>
        <v>51387.6</v>
      </c>
      <c r="Z327" s="21">
        <f>SUMIFS(Z:Z,AF:AF,AE327)</f>
        <v>3152453.8800000008</v>
      </c>
      <c r="AA327" s="22" t="s">
        <v>15</v>
      </c>
      <c r="AB327" s="43" t="s">
        <v>16</v>
      </c>
      <c r="AC327" s="181">
        <f t="shared" si="54"/>
        <v>1</v>
      </c>
      <c r="AD327" s="184"/>
      <c r="AE327" s="184">
        <v>1.8</v>
      </c>
      <c r="AF327" s="184"/>
      <c r="AG327" s="101" t="str">
        <f t="shared" si="55"/>
        <v/>
      </c>
      <c r="AH327" s="190">
        <v>1</v>
      </c>
      <c r="AI327" s="69">
        <f t="shared" si="56"/>
        <v>1</v>
      </c>
    </row>
    <row r="328" spans="1:35" s="69" customFormat="1" ht="49.5" customHeight="1" x14ac:dyDescent="0.3">
      <c r="A328" s="55" t="s">
        <v>863</v>
      </c>
      <c r="B328" s="53" t="s">
        <v>864</v>
      </c>
      <c r="C328" s="54" t="s">
        <v>14</v>
      </c>
      <c r="D328" s="75">
        <v>1</v>
      </c>
      <c r="E328" s="75"/>
      <c r="F328" s="75"/>
      <c r="G328" s="75"/>
      <c r="H328" s="75" t="s">
        <v>15</v>
      </c>
      <c r="I328" s="75">
        <v>69458</v>
      </c>
      <c r="J328" s="75">
        <v>69458</v>
      </c>
      <c r="K328" s="91" t="s">
        <v>865</v>
      </c>
      <c r="L328" s="73"/>
      <c r="M328" s="46">
        <v>0</v>
      </c>
      <c r="N328" s="46">
        <v>0</v>
      </c>
      <c r="O328" s="46">
        <v>0</v>
      </c>
      <c r="P328" s="98"/>
      <c r="Q328" s="23" t="s">
        <v>1421</v>
      </c>
      <c r="R328" s="24" t="s">
        <v>864</v>
      </c>
      <c r="S328" s="25" t="s">
        <v>14</v>
      </c>
      <c r="T328" s="26">
        <v>1</v>
      </c>
      <c r="U328" s="26">
        <v>1</v>
      </c>
      <c r="V328" s="26">
        <v>69458</v>
      </c>
      <c r="W328" s="26">
        <f t="shared" ref="W328:W368" si="63">AH328-M328</f>
        <v>0</v>
      </c>
      <c r="X328" s="26">
        <f t="shared" si="61"/>
        <v>0</v>
      </c>
      <c r="Y328" s="26">
        <f t="shared" ref="Y328:Y368" si="64">Z328-O328</f>
        <v>0</v>
      </c>
      <c r="Z328" s="26">
        <f t="shared" si="57"/>
        <v>0</v>
      </c>
      <c r="AA328" s="33" t="s">
        <v>15</v>
      </c>
      <c r="AB328" s="36" t="s">
        <v>16</v>
      </c>
      <c r="AC328" s="181">
        <f t="shared" si="54"/>
        <v>1</v>
      </c>
      <c r="AD328" s="181">
        <f t="shared" si="60"/>
        <v>69458</v>
      </c>
      <c r="AE328" s="181">
        <v>1.8</v>
      </c>
      <c r="AF328" s="181">
        <v>1.8</v>
      </c>
      <c r="AG328" s="101" t="str">
        <f t="shared" si="55"/>
        <v/>
      </c>
      <c r="AH328" s="190">
        <v>0</v>
      </c>
      <c r="AI328" s="69">
        <f t="shared" si="56"/>
        <v>1</v>
      </c>
    </row>
    <row r="329" spans="1:35" s="69" customFormat="1" ht="39" x14ac:dyDescent="0.3">
      <c r="A329" s="55" t="s">
        <v>866</v>
      </c>
      <c r="B329" s="53" t="s">
        <v>867</v>
      </c>
      <c r="C329" s="54" t="s">
        <v>14</v>
      </c>
      <c r="D329" s="75">
        <v>1</v>
      </c>
      <c r="E329" s="75"/>
      <c r="F329" s="75"/>
      <c r="G329" s="75"/>
      <c r="H329" s="75" t="s">
        <v>15</v>
      </c>
      <c r="I329" s="75">
        <v>94852.479999999996</v>
      </c>
      <c r="J329" s="75">
        <v>94852.479999999996</v>
      </c>
      <c r="K329" s="91" t="s">
        <v>868</v>
      </c>
      <c r="L329" s="73"/>
      <c r="M329" s="46">
        <v>0</v>
      </c>
      <c r="N329" s="46">
        <v>0</v>
      </c>
      <c r="O329" s="46">
        <v>0</v>
      </c>
      <c r="P329" s="98"/>
      <c r="Q329" s="23" t="s">
        <v>1426</v>
      </c>
      <c r="R329" s="24" t="s">
        <v>867</v>
      </c>
      <c r="S329" s="25" t="s">
        <v>14</v>
      </c>
      <c r="T329" s="26">
        <v>1</v>
      </c>
      <c r="U329" s="26">
        <v>1</v>
      </c>
      <c r="V329" s="26">
        <v>94852.479999999996</v>
      </c>
      <c r="W329" s="26">
        <f t="shared" si="63"/>
        <v>0</v>
      </c>
      <c r="X329" s="26">
        <f t="shared" si="61"/>
        <v>0</v>
      </c>
      <c r="Y329" s="26">
        <f t="shared" si="64"/>
        <v>0</v>
      </c>
      <c r="Z329" s="26">
        <f t="shared" si="57"/>
        <v>0</v>
      </c>
      <c r="AA329" s="33" t="s">
        <v>15</v>
      </c>
      <c r="AB329" s="36" t="s">
        <v>16</v>
      </c>
      <c r="AC329" s="181">
        <f t="shared" si="54"/>
        <v>1</v>
      </c>
      <c r="AD329" s="181">
        <f t="shared" si="60"/>
        <v>94852.479999999996</v>
      </c>
      <c r="AE329" s="181">
        <v>1.8</v>
      </c>
      <c r="AF329" s="181">
        <v>1.8</v>
      </c>
      <c r="AG329" s="101" t="str">
        <f t="shared" si="55"/>
        <v/>
      </c>
      <c r="AH329" s="190">
        <v>0</v>
      </c>
      <c r="AI329" s="69">
        <f t="shared" si="56"/>
        <v>1</v>
      </c>
    </row>
    <row r="330" spans="1:35" s="69" customFormat="1" ht="39" x14ac:dyDescent="0.3">
      <c r="A330" s="130" t="s">
        <v>869</v>
      </c>
      <c r="B330" s="131" t="s">
        <v>870</v>
      </c>
      <c r="C330" s="132" t="s">
        <v>14</v>
      </c>
      <c r="D330" s="133">
        <v>1</v>
      </c>
      <c r="E330" s="75"/>
      <c r="F330" s="75"/>
      <c r="G330" s="75"/>
      <c r="H330" s="75" t="s">
        <v>15</v>
      </c>
      <c r="I330" s="75">
        <v>251510</v>
      </c>
      <c r="J330" s="75">
        <v>251510</v>
      </c>
      <c r="K330" s="91" t="s">
        <v>871</v>
      </c>
      <c r="L330" s="73"/>
      <c r="M330" s="46">
        <v>1</v>
      </c>
      <c r="N330" s="46">
        <v>0</v>
      </c>
      <c r="O330" s="46">
        <v>251510</v>
      </c>
      <c r="P330" s="98"/>
      <c r="Q330" s="23" t="s">
        <v>1402</v>
      </c>
      <c r="R330" s="24" t="s">
        <v>870</v>
      </c>
      <c r="S330" s="25" t="s">
        <v>14</v>
      </c>
      <c r="T330" s="26">
        <v>1</v>
      </c>
      <c r="U330" s="26">
        <v>1</v>
      </c>
      <c r="V330" s="26">
        <v>251510</v>
      </c>
      <c r="W330" s="243">
        <f t="shared" si="63"/>
        <v>0</v>
      </c>
      <c r="X330" s="127">
        <f t="shared" si="61"/>
        <v>1</v>
      </c>
      <c r="Y330" s="127">
        <f t="shared" si="64"/>
        <v>0</v>
      </c>
      <c r="Z330" s="127">
        <f t="shared" si="57"/>
        <v>251510</v>
      </c>
      <c r="AA330" s="33" t="s">
        <v>15</v>
      </c>
      <c r="AB330" s="36" t="s">
        <v>16</v>
      </c>
      <c r="AC330" s="181">
        <f t="shared" si="54"/>
        <v>1</v>
      </c>
      <c r="AD330" s="181">
        <f t="shared" si="60"/>
        <v>251510</v>
      </c>
      <c r="AE330" s="181">
        <v>1.8</v>
      </c>
      <c r="AF330" s="181">
        <v>1.8</v>
      </c>
      <c r="AG330" s="101" t="str">
        <f t="shared" si="55"/>
        <v/>
      </c>
      <c r="AH330" s="191">
        <v>1</v>
      </c>
      <c r="AI330" s="69">
        <f t="shared" si="56"/>
        <v>1</v>
      </c>
    </row>
    <row r="331" spans="1:35" s="69" customFormat="1" ht="39" x14ac:dyDescent="0.3">
      <c r="A331" s="55" t="s">
        <v>872</v>
      </c>
      <c r="B331" s="53" t="s">
        <v>873</v>
      </c>
      <c r="C331" s="54" t="s">
        <v>14</v>
      </c>
      <c r="D331" s="75">
        <v>1</v>
      </c>
      <c r="E331" s="75"/>
      <c r="F331" s="75"/>
      <c r="G331" s="75"/>
      <c r="H331" s="75" t="s">
        <v>15</v>
      </c>
      <c r="I331" s="75">
        <v>174688.22</v>
      </c>
      <c r="J331" s="75">
        <v>174688.22</v>
      </c>
      <c r="K331" s="91" t="s">
        <v>874</v>
      </c>
      <c r="L331" s="73"/>
      <c r="M331" s="46">
        <v>0</v>
      </c>
      <c r="N331" s="46">
        <v>0</v>
      </c>
      <c r="O331" s="46">
        <v>0</v>
      </c>
      <c r="P331" s="98"/>
      <c r="Q331" s="23" t="s">
        <v>1373</v>
      </c>
      <c r="R331" s="24" t="s">
        <v>873</v>
      </c>
      <c r="S331" s="25" t="s">
        <v>14</v>
      </c>
      <c r="T331" s="26">
        <v>1</v>
      </c>
      <c r="U331" s="26">
        <v>1</v>
      </c>
      <c r="V331" s="26">
        <v>174688.22</v>
      </c>
      <c r="W331" s="26">
        <f t="shared" si="63"/>
        <v>0</v>
      </c>
      <c r="X331" s="26">
        <f t="shared" si="61"/>
        <v>0</v>
      </c>
      <c r="Y331" s="26">
        <f t="shared" si="64"/>
        <v>0</v>
      </c>
      <c r="Z331" s="26">
        <f t="shared" si="57"/>
        <v>0</v>
      </c>
      <c r="AA331" s="33" t="s">
        <v>15</v>
      </c>
      <c r="AB331" s="36" t="s">
        <v>16</v>
      </c>
      <c r="AC331" s="181">
        <f t="shared" ref="AC331:AC412" si="65">IF(U331="",T331,U331)</f>
        <v>1</v>
      </c>
      <c r="AD331" s="181">
        <f t="shared" si="60"/>
        <v>174688.22</v>
      </c>
      <c r="AE331" s="181">
        <v>1.8</v>
      </c>
      <c r="AF331" s="181">
        <v>1.8</v>
      </c>
      <c r="AG331" s="101" t="str">
        <f t="shared" ref="AG331:AG412" si="66">IF(X331&gt;AI331,"超估","")</f>
        <v/>
      </c>
      <c r="AH331" s="190">
        <v>0</v>
      </c>
      <c r="AI331" s="69">
        <f t="shared" ref="AI331:AI394" si="67">IF(G331=0,IF(F331=0,IF(E331=0,D331,E331),F331),G331)</f>
        <v>1</v>
      </c>
    </row>
    <row r="332" spans="1:35" s="69" customFormat="1" ht="39" x14ac:dyDescent="0.3">
      <c r="A332" s="55" t="s">
        <v>875</v>
      </c>
      <c r="B332" s="53" t="s">
        <v>876</v>
      </c>
      <c r="C332" s="54" t="s">
        <v>14</v>
      </c>
      <c r="D332" s="75">
        <v>1</v>
      </c>
      <c r="E332" s="75"/>
      <c r="F332" s="75"/>
      <c r="G332" s="75"/>
      <c r="H332" s="75" t="s">
        <v>15</v>
      </c>
      <c r="I332" s="75">
        <v>21221.84</v>
      </c>
      <c r="J332" s="75">
        <v>21221.84</v>
      </c>
      <c r="K332" s="91" t="s">
        <v>877</v>
      </c>
      <c r="L332" s="73"/>
      <c r="M332" s="46">
        <v>0</v>
      </c>
      <c r="N332" s="46">
        <v>0</v>
      </c>
      <c r="O332" s="46">
        <v>0</v>
      </c>
      <c r="P332" s="98"/>
      <c r="Q332" s="23" t="s">
        <v>1393</v>
      </c>
      <c r="R332" s="24" t="s">
        <v>876</v>
      </c>
      <c r="S332" s="25" t="s">
        <v>14</v>
      </c>
      <c r="T332" s="26">
        <v>1</v>
      </c>
      <c r="U332" s="26">
        <v>1</v>
      </c>
      <c r="V332" s="26">
        <v>21221.84</v>
      </c>
      <c r="W332" s="26">
        <f t="shared" si="63"/>
        <v>0</v>
      </c>
      <c r="X332" s="26">
        <f t="shared" si="61"/>
        <v>0</v>
      </c>
      <c r="Y332" s="26">
        <f t="shared" si="64"/>
        <v>0</v>
      </c>
      <c r="Z332" s="26">
        <f t="shared" ref="Z332:Z368" si="68">ROUND(V332*X332,2)</f>
        <v>0</v>
      </c>
      <c r="AA332" s="33" t="s">
        <v>15</v>
      </c>
      <c r="AB332" s="36" t="s">
        <v>16</v>
      </c>
      <c r="AC332" s="181">
        <f t="shared" si="65"/>
        <v>1</v>
      </c>
      <c r="AD332" s="181">
        <f t="shared" si="60"/>
        <v>21221.84</v>
      </c>
      <c r="AE332" s="181">
        <v>1.8</v>
      </c>
      <c r="AF332" s="181">
        <v>1.8</v>
      </c>
      <c r="AG332" s="101" t="str">
        <f t="shared" si="66"/>
        <v/>
      </c>
      <c r="AH332" s="190">
        <v>0</v>
      </c>
      <c r="AI332" s="69">
        <f t="shared" si="67"/>
        <v>1</v>
      </c>
    </row>
    <row r="333" spans="1:35" s="69" customFormat="1" ht="58.5" x14ac:dyDescent="0.3">
      <c r="A333" s="130" t="s">
        <v>878</v>
      </c>
      <c r="B333" s="131" t="s">
        <v>879</v>
      </c>
      <c r="C333" s="132" t="s">
        <v>3144</v>
      </c>
      <c r="D333" s="133">
        <v>12</v>
      </c>
      <c r="E333" s="75"/>
      <c r="F333" s="75"/>
      <c r="G333" s="75"/>
      <c r="H333" s="75" t="s">
        <v>15</v>
      </c>
      <c r="I333" s="75">
        <v>42800</v>
      </c>
      <c r="J333" s="75">
        <v>513600</v>
      </c>
      <c r="K333" s="91" t="s">
        <v>880</v>
      </c>
      <c r="L333" s="73"/>
      <c r="M333" s="46">
        <v>12</v>
      </c>
      <c r="N333" s="46">
        <v>0</v>
      </c>
      <c r="O333" s="46">
        <v>513600</v>
      </c>
      <c r="P333" s="98"/>
      <c r="Q333" s="23" t="s">
        <v>1403</v>
      </c>
      <c r="R333" s="24" t="s">
        <v>879</v>
      </c>
      <c r="S333" s="25" t="s">
        <v>81</v>
      </c>
      <c r="T333" s="26">
        <v>12</v>
      </c>
      <c r="U333" s="26">
        <v>12</v>
      </c>
      <c r="V333" s="26">
        <v>42800</v>
      </c>
      <c r="W333" s="209">
        <f t="shared" si="63"/>
        <v>0</v>
      </c>
      <c r="X333" s="127">
        <f t="shared" si="61"/>
        <v>12</v>
      </c>
      <c r="Y333" s="127">
        <f t="shared" si="64"/>
        <v>0</v>
      </c>
      <c r="Z333" s="127">
        <f t="shared" si="68"/>
        <v>513600</v>
      </c>
      <c r="AA333" s="33" t="s">
        <v>15</v>
      </c>
      <c r="AB333" s="36" t="s">
        <v>16</v>
      </c>
      <c r="AC333" s="181">
        <f t="shared" si="65"/>
        <v>12</v>
      </c>
      <c r="AD333" s="181">
        <f t="shared" si="60"/>
        <v>513600</v>
      </c>
      <c r="AE333" s="181">
        <v>1.8</v>
      </c>
      <c r="AF333" s="181">
        <v>1.8</v>
      </c>
      <c r="AG333" s="101" t="str">
        <f t="shared" si="66"/>
        <v/>
      </c>
      <c r="AH333" s="191">
        <f>4+8</f>
        <v>12</v>
      </c>
      <c r="AI333" s="69">
        <f t="shared" si="67"/>
        <v>12</v>
      </c>
    </row>
    <row r="334" spans="1:35" s="69" customFormat="1" ht="58.5" x14ac:dyDescent="0.3">
      <c r="A334" s="130" t="s">
        <v>881</v>
      </c>
      <c r="B334" s="131" t="s">
        <v>882</v>
      </c>
      <c r="C334" s="132" t="s">
        <v>81</v>
      </c>
      <c r="D334" s="133">
        <v>7</v>
      </c>
      <c r="E334" s="75"/>
      <c r="F334" s="75"/>
      <c r="G334" s="75"/>
      <c r="H334" s="75" t="s">
        <v>15</v>
      </c>
      <c r="I334" s="75">
        <v>60400</v>
      </c>
      <c r="J334" s="75">
        <v>422800</v>
      </c>
      <c r="K334" s="91" t="s">
        <v>883</v>
      </c>
      <c r="L334" s="73"/>
      <c r="M334" s="46">
        <v>7</v>
      </c>
      <c r="N334" s="46">
        <v>60400</v>
      </c>
      <c r="O334" s="46">
        <v>422800</v>
      </c>
      <c r="P334" s="98"/>
      <c r="Q334" s="23" t="s">
        <v>1427</v>
      </c>
      <c r="R334" s="24" t="s">
        <v>882</v>
      </c>
      <c r="S334" s="25" t="s">
        <v>81</v>
      </c>
      <c r="T334" s="26">
        <v>7</v>
      </c>
      <c r="U334" s="26">
        <v>7</v>
      </c>
      <c r="V334" s="26">
        <v>60400</v>
      </c>
      <c r="W334" s="243">
        <f t="shared" si="63"/>
        <v>0</v>
      </c>
      <c r="X334" s="127">
        <f t="shared" si="61"/>
        <v>7</v>
      </c>
      <c r="Y334" s="127">
        <f t="shared" si="64"/>
        <v>0</v>
      </c>
      <c r="Z334" s="127">
        <f t="shared" si="68"/>
        <v>422800</v>
      </c>
      <c r="AA334" s="33" t="s">
        <v>15</v>
      </c>
      <c r="AB334" s="36" t="s">
        <v>16</v>
      </c>
      <c r="AC334" s="181">
        <f t="shared" si="65"/>
        <v>7</v>
      </c>
      <c r="AD334" s="181">
        <f t="shared" si="60"/>
        <v>422800</v>
      </c>
      <c r="AE334" s="181">
        <v>1.8</v>
      </c>
      <c r="AF334" s="181">
        <v>1.8</v>
      </c>
      <c r="AG334" s="101" t="str">
        <f t="shared" si="66"/>
        <v/>
      </c>
      <c r="AH334" s="191">
        <f>5+1+1</f>
        <v>7</v>
      </c>
      <c r="AI334" s="69">
        <f t="shared" si="67"/>
        <v>7</v>
      </c>
    </row>
    <row r="335" spans="1:35" s="69" customFormat="1" ht="58.5" x14ac:dyDescent="0.3">
      <c r="A335" s="55" t="s">
        <v>884</v>
      </c>
      <c r="B335" s="53" t="s">
        <v>885</v>
      </c>
      <c r="C335" s="54" t="s">
        <v>81</v>
      </c>
      <c r="D335" s="75">
        <v>13</v>
      </c>
      <c r="E335" s="75"/>
      <c r="F335" s="75"/>
      <c r="G335" s="75"/>
      <c r="H335" s="75" t="s">
        <v>15</v>
      </c>
      <c r="I335" s="75">
        <v>35000</v>
      </c>
      <c r="J335" s="75">
        <v>455000</v>
      </c>
      <c r="K335" s="91" t="s">
        <v>886</v>
      </c>
      <c r="L335" s="73"/>
      <c r="M335" s="46">
        <v>5</v>
      </c>
      <c r="N335" s="46">
        <v>0</v>
      </c>
      <c r="O335" s="46">
        <v>175000</v>
      </c>
      <c r="P335" s="98"/>
      <c r="Q335" s="23" t="s">
        <v>1428</v>
      </c>
      <c r="R335" s="24" t="s">
        <v>885</v>
      </c>
      <c r="S335" s="25" t="s">
        <v>81</v>
      </c>
      <c r="T335" s="26">
        <v>13</v>
      </c>
      <c r="U335" s="26">
        <v>13</v>
      </c>
      <c r="V335" s="26">
        <v>35000</v>
      </c>
      <c r="W335" s="243">
        <f t="shared" si="63"/>
        <v>0</v>
      </c>
      <c r="X335" s="26">
        <f t="shared" si="61"/>
        <v>5</v>
      </c>
      <c r="Y335" s="26">
        <f t="shared" si="64"/>
        <v>0</v>
      </c>
      <c r="Z335" s="26">
        <f t="shared" si="68"/>
        <v>175000</v>
      </c>
      <c r="AA335" s="33" t="s">
        <v>15</v>
      </c>
      <c r="AB335" s="36" t="s">
        <v>16</v>
      </c>
      <c r="AC335" s="181">
        <f t="shared" si="65"/>
        <v>13</v>
      </c>
      <c r="AD335" s="181">
        <f t="shared" si="60"/>
        <v>455000</v>
      </c>
      <c r="AE335" s="181">
        <v>1.8</v>
      </c>
      <c r="AF335" s="181">
        <v>1.8</v>
      </c>
      <c r="AG335" s="101" t="str">
        <f t="shared" si="66"/>
        <v/>
      </c>
      <c r="AH335" s="191">
        <f>5</f>
        <v>5</v>
      </c>
      <c r="AI335" s="69">
        <f t="shared" si="67"/>
        <v>13</v>
      </c>
    </row>
    <row r="336" spans="1:35" s="69" customFormat="1" ht="58.5" x14ac:dyDescent="0.3">
      <c r="A336" s="55" t="s">
        <v>887</v>
      </c>
      <c r="B336" s="53" t="s">
        <v>888</v>
      </c>
      <c r="C336" s="54" t="s">
        <v>81</v>
      </c>
      <c r="D336" s="75">
        <v>13</v>
      </c>
      <c r="E336" s="75"/>
      <c r="F336" s="75"/>
      <c r="G336" s="75"/>
      <c r="H336" s="75" t="s">
        <v>15</v>
      </c>
      <c r="I336" s="75">
        <v>10000</v>
      </c>
      <c r="J336" s="75">
        <v>130000</v>
      </c>
      <c r="K336" s="91" t="s">
        <v>889</v>
      </c>
      <c r="L336" s="73"/>
      <c r="M336" s="46">
        <v>0</v>
      </c>
      <c r="N336" s="46">
        <v>0</v>
      </c>
      <c r="O336" s="46">
        <v>0</v>
      </c>
      <c r="P336" s="98"/>
      <c r="Q336" s="23" t="s">
        <v>1387</v>
      </c>
      <c r="R336" s="24" t="s">
        <v>888</v>
      </c>
      <c r="S336" s="25" t="s">
        <v>81</v>
      </c>
      <c r="T336" s="26">
        <v>13</v>
      </c>
      <c r="U336" s="26">
        <v>13</v>
      </c>
      <c r="V336" s="26">
        <v>10000</v>
      </c>
      <c r="W336" s="26">
        <f t="shared" si="63"/>
        <v>0</v>
      </c>
      <c r="X336" s="26">
        <f t="shared" si="61"/>
        <v>0</v>
      </c>
      <c r="Y336" s="26">
        <f t="shared" si="64"/>
        <v>0</v>
      </c>
      <c r="Z336" s="26">
        <f t="shared" si="68"/>
        <v>0</v>
      </c>
      <c r="AA336" s="33" t="s">
        <v>15</v>
      </c>
      <c r="AB336" s="36" t="s">
        <v>16</v>
      </c>
      <c r="AC336" s="181">
        <f t="shared" si="65"/>
        <v>13</v>
      </c>
      <c r="AD336" s="181">
        <f t="shared" si="60"/>
        <v>130000</v>
      </c>
      <c r="AE336" s="181">
        <v>1.8</v>
      </c>
      <c r="AF336" s="181">
        <v>1.8</v>
      </c>
      <c r="AG336" s="101" t="str">
        <f t="shared" si="66"/>
        <v/>
      </c>
      <c r="AH336" s="190">
        <v>0</v>
      </c>
      <c r="AI336" s="69">
        <f t="shared" si="67"/>
        <v>13</v>
      </c>
    </row>
    <row r="337" spans="1:35" s="69" customFormat="1" ht="33" x14ac:dyDescent="0.3">
      <c r="A337" s="55" t="s">
        <v>890</v>
      </c>
      <c r="B337" s="53" t="s">
        <v>891</v>
      </c>
      <c r="C337" s="54" t="s">
        <v>325</v>
      </c>
      <c r="D337" s="75">
        <v>2</v>
      </c>
      <c r="E337" s="75"/>
      <c r="F337" s="75"/>
      <c r="G337" s="75"/>
      <c r="H337" s="75" t="s">
        <v>15</v>
      </c>
      <c r="I337" s="75">
        <v>1500</v>
      </c>
      <c r="J337" s="75">
        <v>3000</v>
      </c>
      <c r="K337" s="91" t="s">
        <v>892</v>
      </c>
      <c r="L337" s="73"/>
      <c r="M337" s="46">
        <v>0</v>
      </c>
      <c r="N337" s="46">
        <v>0</v>
      </c>
      <c r="O337" s="46">
        <v>0</v>
      </c>
      <c r="P337" s="98"/>
      <c r="Q337" s="23" t="s">
        <v>1405</v>
      </c>
      <c r="R337" s="24" t="s">
        <v>891</v>
      </c>
      <c r="S337" s="25" t="s">
        <v>325</v>
      </c>
      <c r="T337" s="26">
        <v>2</v>
      </c>
      <c r="U337" s="26">
        <v>2</v>
      </c>
      <c r="V337" s="26">
        <v>1500</v>
      </c>
      <c r="W337" s="26">
        <f t="shared" si="63"/>
        <v>0</v>
      </c>
      <c r="X337" s="26">
        <f t="shared" si="61"/>
        <v>0</v>
      </c>
      <c r="Y337" s="26">
        <f t="shared" si="64"/>
        <v>0</v>
      </c>
      <c r="Z337" s="26">
        <f t="shared" si="68"/>
        <v>0</v>
      </c>
      <c r="AA337" s="33" t="s">
        <v>15</v>
      </c>
      <c r="AB337" s="36" t="s">
        <v>16</v>
      </c>
      <c r="AC337" s="181">
        <f t="shared" si="65"/>
        <v>2</v>
      </c>
      <c r="AD337" s="181">
        <f t="shared" si="60"/>
        <v>3000</v>
      </c>
      <c r="AE337" s="181">
        <v>1.8</v>
      </c>
      <c r="AF337" s="181">
        <v>1.8</v>
      </c>
      <c r="AG337" s="101" t="str">
        <f t="shared" si="66"/>
        <v/>
      </c>
      <c r="AH337" s="190">
        <v>0</v>
      </c>
      <c r="AI337" s="69">
        <f t="shared" si="67"/>
        <v>2</v>
      </c>
    </row>
    <row r="338" spans="1:35" s="69" customFormat="1" ht="33" x14ac:dyDescent="0.3">
      <c r="A338" s="55" t="s">
        <v>893</v>
      </c>
      <c r="B338" s="53" t="s">
        <v>894</v>
      </c>
      <c r="C338" s="54" t="s">
        <v>325</v>
      </c>
      <c r="D338" s="75">
        <v>2</v>
      </c>
      <c r="E338" s="75"/>
      <c r="F338" s="75"/>
      <c r="G338" s="75"/>
      <c r="H338" s="75" t="s">
        <v>15</v>
      </c>
      <c r="I338" s="75">
        <v>4000</v>
      </c>
      <c r="J338" s="75">
        <v>8000</v>
      </c>
      <c r="K338" s="91" t="s">
        <v>895</v>
      </c>
      <c r="L338" s="73"/>
      <c r="M338" s="46">
        <v>0</v>
      </c>
      <c r="N338" s="46">
        <v>0</v>
      </c>
      <c r="O338" s="46">
        <v>0</v>
      </c>
      <c r="P338" s="98"/>
      <c r="Q338" s="23" t="s">
        <v>1406</v>
      </c>
      <c r="R338" s="24" t="s">
        <v>894</v>
      </c>
      <c r="S338" s="25" t="s">
        <v>325</v>
      </c>
      <c r="T338" s="26">
        <v>2</v>
      </c>
      <c r="U338" s="26">
        <v>2</v>
      </c>
      <c r="V338" s="26">
        <v>4000</v>
      </c>
      <c r="W338" s="26">
        <f t="shared" si="63"/>
        <v>0</v>
      </c>
      <c r="X338" s="26">
        <f t="shared" si="61"/>
        <v>0</v>
      </c>
      <c r="Y338" s="26">
        <f t="shared" si="64"/>
        <v>0</v>
      </c>
      <c r="Z338" s="26">
        <f t="shared" si="68"/>
        <v>0</v>
      </c>
      <c r="AA338" s="33" t="s">
        <v>15</v>
      </c>
      <c r="AB338" s="36" t="s">
        <v>16</v>
      </c>
      <c r="AC338" s="181">
        <f t="shared" si="65"/>
        <v>2</v>
      </c>
      <c r="AD338" s="181">
        <f t="shared" si="60"/>
        <v>8000</v>
      </c>
      <c r="AE338" s="181">
        <v>1.8</v>
      </c>
      <c r="AF338" s="181">
        <v>1.8</v>
      </c>
      <c r="AG338" s="101" t="str">
        <f t="shared" si="66"/>
        <v/>
      </c>
      <c r="AH338" s="190">
        <v>0</v>
      </c>
      <c r="AI338" s="69">
        <f t="shared" si="67"/>
        <v>2</v>
      </c>
    </row>
    <row r="339" spans="1:35" s="69" customFormat="1" ht="33" x14ac:dyDescent="0.3">
      <c r="A339" s="258" t="s">
        <v>896</v>
      </c>
      <c r="B339" s="215" t="s">
        <v>897</v>
      </c>
      <c r="C339" s="259" t="s">
        <v>30</v>
      </c>
      <c r="D339" s="260">
        <v>216.55</v>
      </c>
      <c r="E339" s="75"/>
      <c r="F339" s="75"/>
      <c r="G339" s="75"/>
      <c r="H339" s="75" t="s">
        <v>15</v>
      </c>
      <c r="I339" s="75">
        <v>800</v>
      </c>
      <c r="J339" s="75">
        <v>173240</v>
      </c>
      <c r="K339" s="91" t="s">
        <v>898</v>
      </c>
      <c r="L339" s="73"/>
      <c r="M339" s="46">
        <v>115</v>
      </c>
      <c r="N339" s="46">
        <v>0</v>
      </c>
      <c r="O339" s="46">
        <v>92000</v>
      </c>
      <c r="P339" s="98"/>
      <c r="Q339" s="23" t="s">
        <v>1414</v>
      </c>
      <c r="R339" s="24" t="s">
        <v>897</v>
      </c>
      <c r="S339" s="25" t="s">
        <v>30</v>
      </c>
      <c r="T339" s="26">
        <v>216.55</v>
      </c>
      <c r="U339" s="26">
        <v>216.55</v>
      </c>
      <c r="V339" s="26">
        <v>800</v>
      </c>
      <c r="W339" s="243">
        <f t="shared" si="63"/>
        <v>0</v>
      </c>
      <c r="X339" s="26">
        <f t="shared" si="61"/>
        <v>115</v>
      </c>
      <c r="Y339" s="26">
        <f t="shared" si="64"/>
        <v>0</v>
      </c>
      <c r="Z339" s="26">
        <f t="shared" si="68"/>
        <v>92000</v>
      </c>
      <c r="AA339" s="33" t="s">
        <v>15</v>
      </c>
      <c r="AB339" s="36" t="s">
        <v>16</v>
      </c>
      <c r="AC339" s="181">
        <f t="shared" si="65"/>
        <v>216.55</v>
      </c>
      <c r="AD339" s="181">
        <f t="shared" si="60"/>
        <v>173240</v>
      </c>
      <c r="AE339" s="181">
        <v>1.8</v>
      </c>
      <c r="AF339" s="181">
        <v>1.8</v>
      </c>
      <c r="AG339" s="101" t="str">
        <f t="shared" si="66"/>
        <v/>
      </c>
      <c r="AH339" s="191">
        <f>115</f>
        <v>115</v>
      </c>
      <c r="AI339" s="69">
        <f t="shared" si="67"/>
        <v>216.55</v>
      </c>
    </row>
    <row r="340" spans="1:35" s="69" customFormat="1" ht="33" x14ac:dyDescent="0.3">
      <c r="A340" s="55" t="s">
        <v>899</v>
      </c>
      <c r="B340" s="53" t="s">
        <v>900</v>
      </c>
      <c r="C340" s="54" t="s">
        <v>325</v>
      </c>
      <c r="D340" s="75">
        <v>5</v>
      </c>
      <c r="E340" s="75"/>
      <c r="F340" s="75"/>
      <c r="G340" s="75"/>
      <c r="H340" s="75" t="s">
        <v>15</v>
      </c>
      <c r="I340" s="75">
        <v>11300</v>
      </c>
      <c r="J340" s="75">
        <v>56500</v>
      </c>
      <c r="K340" s="91" t="s">
        <v>901</v>
      </c>
      <c r="L340" s="73"/>
      <c r="M340" s="46">
        <v>0</v>
      </c>
      <c r="N340" s="46">
        <v>0</v>
      </c>
      <c r="O340" s="46">
        <v>0</v>
      </c>
      <c r="P340" s="98"/>
      <c r="Q340" s="23" t="s">
        <v>1429</v>
      </c>
      <c r="R340" s="24" t="s">
        <v>900</v>
      </c>
      <c r="S340" s="25" t="s">
        <v>325</v>
      </c>
      <c r="T340" s="26">
        <v>5</v>
      </c>
      <c r="U340" s="26">
        <v>5</v>
      </c>
      <c r="V340" s="26">
        <v>11300</v>
      </c>
      <c r="W340" s="26">
        <f t="shared" si="63"/>
        <v>0</v>
      </c>
      <c r="X340" s="26">
        <f t="shared" si="61"/>
        <v>0</v>
      </c>
      <c r="Y340" s="26">
        <f t="shared" si="64"/>
        <v>0</v>
      </c>
      <c r="Z340" s="26">
        <f t="shared" si="68"/>
        <v>0</v>
      </c>
      <c r="AA340" s="33" t="s">
        <v>15</v>
      </c>
      <c r="AB340" s="36" t="s">
        <v>16</v>
      </c>
      <c r="AC340" s="181">
        <f t="shared" si="65"/>
        <v>5</v>
      </c>
      <c r="AD340" s="181">
        <f t="shared" si="60"/>
        <v>56500</v>
      </c>
      <c r="AE340" s="181">
        <v>1.8</v>
      </c>
      <c r="AF340" s="181">
        <v>1.8</v>
      </c>
      <c r="AG340" s="101" t="str">
        <f t="shared" si="66"/>
        <v/>
      </c>
      <c r="AH340" s="190">
        <v>0</v>
      </c>
      <c r="AI340" s="69">
        <f t="shared" si="67"/>
        <v>5</v>
      </c>
    </row>
    <row r="341" spans="1:35" s="69" customFormat="1" ht="33" x14ac:dyDescent="0.3">
      <c r="A341" s="55" t="s">
        <v>902</v>
      </c>
      <c r="B341" s="53" t="s">
        <v>903</v>
      </c>
      <c r="C341" s="54" t="s">
        <v>325</v>
      </c>
      <c r="D341" s="75">
        <v>8</v>
      </c>
      <c r="E341" s="75"/>
      <c r="F341" s="75"/>
      <c r="G341" s="75"/>
      <c r="H341" s="75" t="s">
        <v>15</v>
      </c>
      <c r="I341" s="75">
        <v>13500</v>
      </c>
      <c r="J341" s="75">
        <v>108000</v>
      </c>
      <c r="K341" s="91" t="s">
        <v>904</v>
      </c>
      <c r="L341" s="73"/>
      <c r="M341" s="46">
        <v>0</v>
      </c>
      <c r="N341" s="46">
        <v>0</v>
      </c>
      <c r="O341" s="46">
        <v>0</v>
      </c>
      <c r="P341" s="98"/>
      <c r="Q341" s="23" t="s">
        <v>1430</v>
      </c>
      <c r="R341" s="24" t="s">
        <v>903</v>
      </c>
      <c r="S341" s="25" t="s">
        <v>325</v>
      </c>
      <c r="T341" s="26">
        <v>8</v>
      </c>
      <c r="U341" s="26">
        <v>8</v>
      </c>
      <c r="V341" s="26">
        <v>13500</v>
      </c>
      <c r="W341" s="26">
        <f t="shared" si="63"/>
        <v>0</v>
      </c>
      <c r="X341" s="26">
        <f t="shared" si="61"/>
        <v>0</v>
      </c>
      <c r="Y341" s="26">
        <f t="shared" si="64"/>
        <v>0</v>
      </c>
      <c r="Z341" s="26">
        <f t="shared" si="68"/>
        <v>0</v>
      </c>
      <c r="AA341" s="33" t="s">
        <v>15</v>
      </c>
      <c r="AB341" s="36" t="s">
        <v>16</v>
      </c>
      <c r="AC341" s="181">
        <f t="shared" si="65"/>
        <v>8</v>
      </c>
      <c r="AD341" s="181">
        <f t="shared" si="60"/>
        <v>108000</v>
      </c>
      <c r="AE341" s="181">
        <v>1.8</v>
      </c>
      <c r="AF341" s="181">
        <v>1.8</v>
      </c>
      <c r="AG341" s="101" t="str">
        <f t="shared" si="66"/>
        <v/>
      </c>
      <c r="AH341" s="190">
        <v>0</v>
      </c>
      <c r="AI341" s="69">
        <f t="shared" si="67"/>
        <v>8</v>
      </c>
    </row>
    <row r="342" spans="1:35" s="69" customFormat="1" ht="33" x14ac:dyDescent="0.3">
      <c r="A342" s="55" t="s">
        <v>905</v>
      </c>
      <c r="B342" s="53" t="s">
        <v>906</v>
      </c>
      <c r="C342" s="54" t="s">
        <v>73</v>
      </c>
      <c r="D342" s="75">
        <v>1</v>
      </c>
      <c r="E342" s="75"/>
      <c r="F342" s="75"/>
      <c r="G342" s="75"/>
      <c r="H342" s="75" t="s">
        <v>15</v>
      </c>
      <c r="I342" s="75">
        <v>112963.49</v>
      </c>
      <c r="J342" s="75">
        <v>112963.49</v>
      </c>
      <c r="K342" s="91" t="s">
        <v>907</v>
      </c>
      <c r="L342" s="73"/>
      <c r="M342" s="46">
        <v>0</v>
      </c>
      <c r="N342" s="46">
        <v>0</v>
      </c>
      <c r="O342" s="46">
        <v>0</v>
      </c>
      <c r="P342" s="98"/>
      <c r="Q342" s="23" t="s">
        <v>1431</v>
      </c>
      <c r="R342" s="24" t="s">
        <v>906</v>
      </c>
      <c r="S342" s="25" t="s">
        <v>73</v>
      </c>
      <c r="T342" s="26">
        <v>1</v>
      </c>
      <c r="U342" s="26">
        <v>1</v>
      </c>
      <c r="V342" s="26">
        <v>112963.49</v>
      </c>
      <c r="W342" s="26">
        <f t="shared" si="63"/>
        <v>0</v>
      </c>
      <c r="X342" s="26">
        <f t="shared" si="61"/>
        <v>0</v>
      </c>
      <c r="Y342" s="26">
        <f t="shared" si="64"/>
        <v>0</v>
      </c>
      <c r="Z342" s="26">
        <f t="shared" si="68"/>
        <v>0</v>
      </c>
      <c r="AA342" s="33" t="s">
        <v>15</v>
      </c>
      <c r="AB342" s="36" t="s">
        <v>16</v>
      </c>
      <c r="AC342" s="181">
        <f t="shared" si="65"/>
        <v>1</v>
      </c>
      <c r="AD342" s="181">
        <f t="shared" si="60"/>
        <v>112963.49</v>
      </c>
      <c r="AE342" s="181">
        <v>1.8</v>
      </c>
      <c r="AF342" s="181">
        <v>1.8</v>
      </c>
      <c r="AG342" s="101" t="str">
        <f t="shared" si="66"/>
        <v/>
      </c>
      <c r="AH342" s="190">
        <v>0</v>
      </c>
      <c r="AI342" s="69">
        <f t="shared" si="67"/>
        <v>1</v>
      </c>
    </row>
    <row r="343" spans="1:35" s="69" customFormat="1" ht="33" x14ac:dyDescent="0.3">
      <c r="A343" s="246" t="s">
        <v>908</v>
      </c>
      <c r="B343" s="247" t="s">
        <v>909</v>
      </c>
      <c r="C343" s="248" t="s">
        <v>14</v>
      </c>
      <c r="D343" s="249">
        <v>1</v>
      </c>
      <c r="E343" s="75"/>
      <c r="F343" s="75"/>
      <c r="G343" s="75"/>
      <c r="H343" s="75" t="s">
        <v>15</v>
      </c>
      <c r="I343" s="75">
        <v>322500</v>
      </c>
      <c r="J343" s="75">
        <v>322500</v>
      </c>
      <c r="K343" s="91" t="s">
        <v>910</v>
      </c>
      <c r="L343" s="73"/>
      <c r="M343" s="46">
        <v>0</v>
      </c>
      <c r="N343" s="46">
        <v>0</v>
      </c>
      <c r="O343" s="46">
        <v>0</v>
      </c>
      <c r="P343" s="98"/>
      <c r="Q343" s="23" t="s">
        <v>1395</v>
      </c>
      <c r="R343" s="24" t="s">
        <v>909</v>
      </c>
      <c r="S343" s="25" t="s">
        <v>14</v>
      </c>
      <c r="T343" s="26">
        <v>1</v>
      </c>
      <c r="U343" s="26">
        <v>1</v>
      </c>
      <c r="V343" s="26">
        <v>322500</v>
      </c>
      <c r="W343" s="26">
        <f t="shared" si="63"/>
        <v>0</v>
      </c>
      <c r="X343" s="26">
        <f t="shared" si="61"/>
        <v>0</v>
      </c>
      <c r="Y343" s="26">
        <f t="shared" si="64"/>
        <v>0</v>
      </c>
      <c r="Z343" s="26">
        <f t="shared" si="68"/>
        <v>0</v>
      </c>
      <c r="AA343" s="33" t="s">
        <v>15</v>
      </c>
      <c r="AB343" s="36" t="s">
        <v>16</v>
      </c>
      <c r="AC343" s="181">
        <f t="shared" si="65"/>
        <v>1</v>
      </c>
      <c r="AD343" s="181">
        <f t="shared" si="60"/>
        <v>322500</v>
      </c>
      <c r="AE343" s="181">
        <v>1.8</v>
      </c>
      <c r="AF343" s="181">
        <v>1.8</v>
      </c>
      <c r="AG343" s="101" t="str">
        <f t="shared" si="66"/>
        <v/>
      </c>
      <c r="AH343" s="190">
        <v>0</v>
      </c>
      <c r="AI343" s="69">
        <f t="shared" si="67"/>
        <v>1</v>
      </c>
    </row>
    <row r="344" spans="1:35" s="69" customFormat="1" ht="33" x14ac:dyDescent="0.3">
      <c r="A344" s="246" t="s">
        <v>911</v>
      </c>
      <c r="B344" s="247" t="s">
        <v>912</v>
      </c>
      <c r="C344" s="248" t="s">
        <v>325</v>
      </c>
      <c r="D344" s="249">
        <v>7</v>
      </c>
      <c r="E344" s="75"/>
      <c r="F344" s="75"/>
      <c r="G344" s="75"/>
      <c r="H344" s="75" t="s">
        <v>15</v>
      </c>
      <c r="I344" s="75">
        <v>15500</v>
      </c>
      <c r="J344" s="75">
        <v>108500</v>
      </c>
      <c r="K344" s="91" t="s">
        <v>913</v>
      </c>
      <c r="L344" s="73"/>
      <c r="M344" s="46">
        <v>0</v>
      </c>
      <c r="N344" s="46">
        <v>0</v>
      </c>
      <c r="O344" s="46">
        <v>0</v>
      </c>
      <c r="P344" s="98"/>
      <c r="Q344" s="23" t="s">
        <v>1432</v>
      </c>
      <c r="R344" s="24" t="s">
        <v>912</v>
      </c>
      <c r="S344" s="25" t="s">
        <v>325</v>
      </c>
      <c r="T344" s="26">
        <v>7</v>
      </c>
      <c r="U344" s="26">
        <v>7</v>
      </c>
      <c r="V344" s="26">
        <v>15500</v>
      </c>
      <c r="W344" s="26">
        <f t="shared" si="63"/>
        <v>0</v>
      </c>
      <c r="X344" s="26">
        <f t="shared" si="61"/>
        <v>0</v>
      </c>
      <c r="Y344" s="26">
        <f t="shared" si="64"/>
        <v>0</v>
      </c>
      <c r="Z344" s="26">
        <f t="shared" si="68"/>
        <v>0</v>
      </c>
      <c r="AA344" s="33" t="s">
        <v>15</v>
      </c>
      <c r="AB344" s="36" t="s">
        <v>16</v>
      </c>
      <c r="AC344" s="181">
        <f t="shared" si="65"/>
        <v>7</v>
      </c>
      <c r="AD344" s="181">
        <f t="shared" si="60"/>
        <v>108500</v>
      </c>
      <c r="AE344" s="181">
        <v>1.8</v>
      </c>
      <c r="AF344" s="181">
        <v>1.8</v>
      </c>
      <c r="AG344" s="101" t="str">
        <f t="shared" si="66"/>
        <v/>
      </c>
      <c r="AH344" s="190">
        <v>0</v>
      </c>
      <c r="AI344" s="69">
        <f t="shared" si="67"/>
        <v>7</v>
      </c>
    </row>
    <row r="345" spans="1:35" s="69" customFormat="1" ht="33" x14ac:dyDescent="0.3">
      <c r="A345" s="246" t="s">
        <v>914</v>
      </c>
      <c r="B345" s="247" t="s">
        <v>915</v>
      </c>
      <c r="C345" s="248" t="s">
        <v>325</v>
      </c>
      <c r="D345" s="249">
        <v>2</v>
      </c>
      <c r="E345" s="75"/>
      <c r="F345" s="75"/>
      <c r="G345" s="75"/>
      <c r="H345" s="75" t="s">
        <v>15</v>
      </c>
      <c r="I345" s="75">
        <v>113300</v>
      </c>
      <c r="J345" s="75">
        <v>226600</v>
      </c>
      <c r="K345" s="91" t="s">
        <v>916</v>
      </c>
      <c r="L345" s="73"/>
      <c r="M345" s="46">
        <v>0</v>
      </c>
      <c r="N345" s="46">
        <v>0</v>
      </c>
      <c r="O345" s="46">
        <v>0</v>
      </c>
      <c r="P345" s="98"/>
      <c r="Q345" s="23" t="s">
        <v>1433</v>
      </c>
      <c r="R345" s="24" t="s">
        <v>915</v>
      </c>
      <c r="S345" s="25" t="s">
        <v>325</v>
      </c>
      <c r="T345" s="26">
        <v>2</v>
      </c>
      <c r="U345" s="26">
        <v>2</v>
      </c>
      <c r="V345" s="26">
        <v>113300</v>
      </c>
      <c r="W345" s="26">
        <f t="shared" si="63"/>
        <v>0</v>
      </c>
      <c r="X345" s="26">
        <f t="shared" si="61"/>
        <v>0</v>
      </c>
      <c r="Y345" s="26">
        <f t="shared" si="64"/>
        <v>0</v>
      </c>
      <c r="Z345" s="26">
        <f t="shared" si="68"/>
        <v>0</v>
      </c>
      <c r="AA345" s="33" t="s">
        <v>15</v>
      </c>
      <c r="AB345" s="36" t="s">
        <v>16</v>
      </c>
      <c r="AC345" s="181">
        <f t="shared" si="65"/>
        <v>2</v>
      </c>
      <c r="AD345" s="181">
        <f t="shared" si="60"/>
        <v>226600</v>
      </c>
      <c r="AE345" s="181">
        <v>1.8</v>
      </c>
      <c r="AF345" s="181">
        <v>1.8</v>
      </c>
      <c r="AG345" s="101" t="str">
        <f t="shared" si="66"/>
        <v/>
      </c>
      <c r="AH345" s="190">
        <v>0</v>
      </c>
      <c r="AI345" s="69">
        <f t="shared" si="67"/>
        <v>2</v>
      </c>
    </row>
    <row r="346" spans="1:35" s="69" customFormat="1" ht="33" x14ac:dyDescent="0.3">
      <c r="A346" s="130" t="s">
        <v>917</v>
      </c>
      <c r="B346" s="131" t="s">
        <v>918</v>
      </c>
      <c r="C346" s="132" t="s">
        <v>325</v>
      </c>
      <c r="D346" s="133">
        <v>9</v>
      </c>
      <c r="E346" s="75"/>
      <c r="F346" s="75"/>
      <c r="G346" s="75"/>
      <c r="H346" s="75" t="s">
        <v>15</v>
      </c>
      <c r="I346" s="75">
        <v>100000</v>
      </c>
      <c r="J346" s="75">
        <v>900000</v>
      </c>
      <c r="K346" s="91" t="s">
        <v>919</v>
      </c>
      <c r="L346" s="73"/>
      <c r="M346" s="46">
        <v>9</v>
      </c>
      <c r="N346" s="46">
        <v>0</v>
      </c>
      <c r="O346" s="46">
        <v>900000</v>
      </c>
      <c r="P346" s="98"/>
      <c r="Q346" s="23" t="s">
        <v>1382</v>
      </c>
      <c r="R346" s="24" t="s">
        <v>918</v>
      </c>
      <c r="S346" s="25" t="s">
        <v>325</v>
      </c>
      <c r="T346" s="26">
        <v>9</v>
      </c>
      <c r="U346" s="26">
        <v>9</v>
      </c>
      <c r="V346" s="26">
        <v>100000</v>
      </c>
      <c r="W346" s="243">
        <f t="shared" si="63"/>
        <v>0</v>
      </c>
      <c r="X346" s="127">
        <f t="shared" si="61"/>
        <v>9</v>
      </c>
      <c r="Y346" s="127">
        <f t="shared" si="64"/>
        <v>0</v>
      </c>
      <c r="Z346" s="127">
        <f t="shared" si="68"/>
        <v>900000</v>
      </c>
      <c r="AA346" s="33" t="s">
        <v>15</v>
      </c>
      <c r="AB346" s="36" t="s">
        <v>16</v>
      </c>
      <c r="AC346" s="181">
        <f t="shared" si="65"/>
        <v>9</v>
      </c>
      <c r="AD346" s="181">
        <f t="shared" si="60"/>
        <v>900000</v>
      </c>
      <c r="AE346" s="181">
        <v>1.8</v>
      </c>
      <c r="AF346" s="181">
        <v>1.8</v>
      </c>
      <c r="AG346" s="101" t="str">
        <f t="shared" si="66"/>
        <v/>
      </c>
      <c r="AH346" s="191">
        <f>1+2+3+3</f>
        <v>9</v>
      </c>
      <c r="AI346" s="69">
        <f t="shared" si="67"/>
        <v>9</v>
      </c>
    </row>
    <row r="347" spans="1:35" s="69" customFormat="1" ht="33" x14ac:dyDescent="0.3">
      <c r="A347" s="130" t="s">
        <v>920</v>
      </c>
      <c r="B347" s="131" t="s">
        <v>921</v>
      </c>
      <c r="C347" s="132" t="s">
        <v>81</v>
      </c>
      <c r="D347" s="133">
        <v>2</v>
      </c>
      <c r="E347" s="75"/>
      <c r="F347" s="75"/>
      <c r="G347" s="75"/>
      <c r="H347" s="75" t="s">
        <v>15</v>
      </c>
      <c r="I347" s="75">
        <v>15000</v>
      </c>
      <c r="J347" s="75">
        <v>30000</v>
      </c>
      <c r="K347" s="91" t="s">
        <v>922</v>
      </c>
      <c r="L347" s="73"/>
      <c r="M347" s="46">
        <v>2</v>
      </c>
      <c r="N347" s="46">
        <v>15000</v>
      </c>
      <c r="O347" s="46">
        <v>30000</v>
      </c>
      <c r="P347" s="98"/>
      <c r="Q347" s="23" t="s">
        <v>1434</v>
      </c>
      <c r="R347" s="24" t="s">
        <v>921</v>
      </c>
      <c r="S347" s="25" t="s">
        <v>81</v>
      </c>
      <c r="T347" s="26">
        <v>2</v>
      </c>
      <c r="U347" s="26">
        <v>2</v>
      </c>
      <c r="V347" s="26">
        <v>15000</v>
      </c>
      <c r="W347" s="243">
        <f t="shared" si="63"/>
        <v>0</v>
      </c>
      <c r="X347" s="127">
        <f t="shared" si="61"/>
        <v>2</v>
      </c>
      <c r="Y347" s="127">
        <f t="shared" si="64"/>
        <v>0</v>
      </c>
      <c r="Z347" s="127">
        <f t="shared" si="68"/>
        <v>30000</v>
      </c>
      <c r="AA347" s="33" t="s">
        <v>15</v>
      </c>
      <c r="AB347" s="36" t="s">
        <v>16</v>
      </c>
      <c r="AC347" s="181">
        <f t="shared" si="65"/>
        <v>2</v>
      </c>
      <c r="AD347" s="181">
        <f t="shared" si="60"/>
        <v>30000</v>
      </c>
      <c r="AE347" s="181">
        <v>1.8</v>
      </c>
      <c r="AF347" s="181">
        <v>1.8</v>
      </c>
      <c r="AG347" s="101" t="str">
        <f t="shared" si="66"/>
        <v/>
      </c>
      <c r="AH347" s="191">
        <f>1+1</f>
        <v>2</v>
      </c>
      <c r="AI347" s="69">
        <f t="shared" si="67"/>
        <v>2</v>
      </c>
    </row>
    <row r="348" spans="1:35" s="69" customFormat="1" ht="39" x14ac:dyDescent="0.3">
      <c r="A348" s="55" t="s">
        <v>923</v>
      </c>
      <c r="B348" s="53" t="s">
        <v>3157</v>
      </c>
      <c r="C348" s="54" t="s">
        <v>925</v>
      </c>
      <c r="D348" s="75">
        <v>1</v>
      </c>
      <c r="E348" s="75"/>
      <c r="F348" s="75"/>
      <c r="G348" s="75"/>
      <c r="H348" s="75" t="s">
        <v>15</v>
      </c>
      <c r="I348" s="75">
        <v>15000</v>
      </c>
      <c r="J348" s="75">
        <v>15000</v>
      </c>
      <c r="K348" s="91" t="s">
        <v>926</v>
      </c>
      <c r="L348" s="73"/>
      <c r="M348" s="46">
        <v>0</v>
      </c>
      <c r="N348" s="46">
        <v>0</v>
      </c>
      <c r="O348" s="46">
        <v>0</v>
      </c>
      <c r="P348" s="98"/>
      <c r="Q348" s="23" t="s">
        <v>1388</v>
      </c>
      <c r="R348" s="24" t="s">
        <v>924</v>
      </c>
      <c r="S348" s="25" t="s">
        <v>925</v>
      </c>
      <c r="T348" s="26">
        <v>1</v>
      </c>
      <c r="U348" s="26">
        <v>1</v>
      </c>
      <c r="V348" s="26">
        <v>15000</v>
      </c>
      <c r="W348" s="26">
        <f t="shared" si="63"/>
        <v>0</v>
      </c>
      <c r="X348" s="26">
        <f t="shared" si="61"/>
        <v>0</v>
      </c>
      <c r="Y348" s="26">
        <f t="shared" si="64"/>
        <v>0</v>
      </c>
      <c r="Z348" s="26">
        <f t="shared" si="68"/>
        <v>0</v>
      </c>
      <c r="AA348" s="33" t="s">
        <v>15</v>
      </c>
      <c r="AB348" s="36" t="s">
        <v>16</v>
      </c>
      <c r="AC348" s="181">
        <f t="shared" si="65"/>
        <v>1</v>
      </c>
      <c r="AD348" s="181">
        <f t="shared" si="60"/>
        <v>15000</v>
      </c>
      <c r="AE348" s="181">
        <v>1.8</v>
      </c>
      <c r="AF348" s="181">
        <v>1.8</v>
      </c>
      <c r="AG348" s="101" t="str">
        <f t="shared" si="66"/>
        <v/>
      </c>
      <c r="AH348" s="190">
        <v>0</v>
      </c>
      <c r="AI348" s="69">
        <f t="shared" si="67"/>
        <v>1</v>
      </c>
    </row>
    <row r="349" spans="1:35" s="69" customFormat="1" ht="33" x14ac:dyDescent="0.3">
      <c r="A349" s="55" t="s">
        <v>927</v>
      </c>
      <c r="B349" s="53" t="s">
        <v>928</v>
      </c>
      <c r="C349" s="54" t="s">
        <v>325</v>
      </c>
      <c r="D349" s="75">
        <v>1</v>
      </c>
      <c r="E349" s="75"/>
      <c r="F349" s="75"/>
      <c r="G349" s="75"/>
      <c r="H349" s="75" t="s">
        <v>15</v>
      </c>
      <c r="I349" s="75">
        <v>1500</v>
      </c>
      <c r="J349" s="75">
        <v>1500</v>
      </c>
      <c r="K349" s="91" t="s">
        <v>929</v>
      </c>
      <c r="L349" s="73"/>
      <c r="M349" s="46">
        <v>0</v>
      </c>
      <c r="N349" s="46">
        <v>0</v>
      </c>
      <c r="O349" s="46">
        <v>0</v>
      </c>
      <c r="P349" s="98"/>
      <c r="Q349" s="23" t="s">
        <v>1389</v>
      </c>
      <c r="R349" s="24" t="s">
        <v>928</v>
      </c>
      <c r="S349" s="25" t="s">
        <v>325</v>
      </c>
      <c r="T349" s="26">
        <v>1</v>
      </c>
      <c r="U349" s="26">
        <v>1</v>
      </c>
      <c r="V349" s="26">
        <v>1500</v>
      </c>
      <c r="W349" s="26">
        <f t="shared" si="63"/>
        <v>0</v>
      </c>
      <c r="X349" s="26">
        <f t="shared" si="61"/>
        <v>0</v>
      </c>
      <c r="Y349" s="26">
        <f t="shared" si="64"/>
        <v>0</v>
      </c>
      <c r="Z349" s="26">
        <f t="shared" si="68"/>
        <v>0</v>
      </c>
      <c r="AA349" s="33" t="s">
        <v>15</v>
      </c>
      <c r="AB349" s="36" t="s">
        <v>16</v>
      </c>
      <c r="AC349" s="181">
        <f t="shared" si="65"/>
        <v>1</v>
      </c>
      <c r="AD349" s="181">
        <f t="shared" si="60"/>
        <v>1500</v>
      </c>
      <c r="AE349" s="181">
        <v>1.8</v>
      </c>
      <c r="AF349" s="181">
        <v>1.8</v>
      </c>
      <c r="AG349" s="101" t="str">
        <f t="shared" si="66"/>
        <v/>
      </c>
      <c r="AH349" s="190">
        <v>0</v>
      </c>
      <c r="AI349" s="69">
        <f t="shared" si="67"/>
        <v>1</v>
      </c>
    </row>
    <row r="350" spans="1:35" s="69" customFormat="1" ht="39" x14ac:dyDescent="0.3">
      <c r="A350" s="55" t="s">
        <v>930</v>
      </c>
      <c r="B350" s="53" t="s">
        <v>931</v>
      </c>
      <c r="C350" s="54" t="s">
        <v>932</v>
      </c>
      <c r="D350" s="75">
        <v>3</v>
      </c>
      <c r="E350" s="75"/>
      <c r="F350" s="75"/>
      <c r="G350" s="75"/>
      <c r="H350" s="75" t="s">
        <v>15</v>
      </c>
      <c r="I350" s="75">
        <v>2600</v>
      </c>
      <c r="J350" s="75">
        <v>7800</v>
      </c>
      <c r="K350" s="91" t="s">
        <v>933</v>
      </c>
      <c r="L350" s="73"/>
      <c r="M350" s="46">
        <v>0</v>
      </c>
      <c r="N350" s="46">
        <v>0</v>
      </c>
      <c r="O350" s="46">
        <v>0</v>
      </c>
      <c r="P350" s="98"/>
      <c r="Q350" s="23" t="s">
        <v>1390</v>
      </c>
      <c r="R350" s="24" t="s">
        <v>931</v>
      </c>
      <c r="S350" s="25" t="s">
        <v>932</v>
      </c>
      <c r="T350" s="26">
        <v>3</v>
      </c>
      <c r="U350" s="26">
        <v>3</v>
      </c>
      <c r="V350" s="26">
        <v>2600</v>
      </c>
      <c r="W350" s="26">
        <f t="shared" si="63"/>
        <v>0</v>
      </c>
      <c r="X350" s="26">
        <f t="shared" si="61"/>
        <v>0</v>
      </c>
      <c r="Y350" s="26">
        <f t="shared" si="64"/>
        <v>0</v>
      </c>
      <c r="Z350" s="26">
        <f t="shared" si="68"/>
        <v>0</v>
      </c>
      <c r="AA350" s="33" t="s">
        <v>15</v>
      </c>
      <c r="AB350" s="36" t="s">
        <v>16</v>
      </c>
      <c r="AC350" s="181">
        <f t="shared" si="65"/>
        <v>3</v>
      </c>
      <c r="AD350" s="181">
        <f t="shared" si="60"/>
        <v>7800</v>
      </c>
      <c r="AE350" s="181">
        <v>1.8</v>
      </c>
      <c r="AF350" s="181">
        <v>1.8</v>
      </c>
      <c r="AG350" s="101" t="str">
        <f t="shared" si="66"/>
        <v/>
      </c>
      <c r="AH350" s="190">
        <v>0</v>
      </c>
      <c r="AI350" s="69">
        <f t="shared" si="67"/>
        <v>3</v>
      </c>
    </row>
    <row r="351" spans="1:35" s="69" customFormat="1" ht="39" x14ac:dyDescent="0.3">
      <c r="A351" s="55" t="s">
        <v>934</v>
      </c>
      <c r="B351" s="53" t="s">
        <v>935</v>
      </c>
      <c r="C351" s="54" t="s">
        <v>932</v>
      </c>
      <c r="D351" s="75">
        <v>38</v>
      </c>
      <c r="E351" s="75"/>
      <c r="F351" s="75"/>
      <c r="G351" s="75"/>
      <c r="H351" s="75" t="s">
        <v>15</v>
      </c>
      <c r="I351" s="75">
        <v>4460</v>
      </c>
      <c r="J351" s="75">
        <v>169480</v>
      </c>
      <c r="K351" s="91" t="s">
        <v>936</v>
      </c>
      <c r="L351" s="73"/>
      <c r="M351" s="46">
        <v>31</v>
      </c>
      <c r="N351" s="46">
        <v>0</v>
      </c>
      <c r="O351" s="46">
        <v>138260</v>
      </c>
      <c r="P351" s="98"/>
      <c r="Q351" s="23" t="s">
        <v>1391</v>
      </c>
      <c r="R351" s="24" t="s">
        <v>935</v>
      </c>
      <c r="S351" s="25" t="s">
        <v>932</v>
      </c>
      <c r="T351" s="26">
        <v>38</v>
      </c>
      <c r="U351" s="26">
        <v>38</v>
      </c>
      <c r="V351" s="26">
        <v>4460</v>
      </c>
      <c r="W351" s="243">
        <f t="shared" si="63"/>
        <v>0</v>
      </c>
      <c r="X351" s="26">
        <f t="shared" si="61"/>
        <v>31</v>
      </c>
      <c r="Y351" s="26">
        <f t="shared" si="64"/>
        <v>0</v>
      </c>
      <c r="Z351" s="26">
        <f t="shared" si="68"/>
        <v>138260</v>
      </c>
      <c r="AA351" s="33" t="s">
        <v>15</v>
      </c>
      <c r="AB351" s="36" t="s">
        <v>16</v>
      </c>
      <c r="AC351" s="181">
        <f t="shared" si="65"/>
        <v>38</v>
      </c>
      <c r="AD351" s="181">
        <f t="shared" si="60"/>
        <v>169480</v>
      </c>
      <c r="AE351" s="181">
        <v>1.8</v>
      </c>
      <c r="AF351" s="181">
        <v>1.8</v>
      </c>
      <c r="AG351" s="101" t="str">
        <f t="shared" si="66"/>
        <v/>
      </c>
      <c r="AH351" s="191">
        <f>31</f>
        <v>31</v>
      </c>
      <c r="AI351" s="69">
        <f t="shared" si="67"/>
        <v>38</v>
      </c>
    </row>
    <row r="352" spans="1:35" s="69" customFormat="1" ht="39" x14ac:dyDescent="0.3">
      <c r="A352" s="55" t="s">
        <v>937</v>
      </c>
      <c r="B352" s="118" t="s">
        <v>938</v>
      </c>
      <c r="C352" s="119" t="s">
        <v>30</v>
      </c>
      <c r="D352" s="120">
        <v>1352</v>
      </c>
      <c r="E352" s="75"/>
      <c r="F352" s="75"/>
      <c r="G352" s="75"/>
      <c r="H352" s="75" t="s">
        <v>15</v>
      </c>
      <c r="I352" s="75">
        <v>30.59</v>
      </c>
      <c r="J352" s="75">
        <v>41357.68</v>
      </c>
      <c r="K352" s="91" t="s">
        <v>939</v>
      </c>
      <c r="L352" s="73"/>
      <c r="M352" s="46">
        <v>1083</v>
      </c>
      <c r="N352" s="46">
        <v>0</v>
      </c>
      <c r="O352" s="46">
        <v>33128.97</v>
      </c>
      <c r="P352" s="98"/>
      <c r="Q352" s="23" t="s">
        <v>1436</v>
      </c>
      <c r="R352" s="24" t="s">
        <v>938</v>
      </c>
      <c r="S352" s="25" t="s">
        <v>30</v>
      </c>
      <c r="T352" s="26">
        <v>1352</v>
      </c>
      <c r="U352" s="26">
        <v>1352</v>
      </c>
      <c r="V352" s="26">
        <v>30.59</v>
      </c>
      <c r="W352" s="243">
        <f t="shared" si="63"/>
        <v>0</v>
      </c>
      <c r="X352" s="26">
        <f t="shared" si="61"/>
        <v>1083</v>
      </c>
      <c r="Y352" s="26">
        <f t="shared" si="64"/>
        <v>0</v>
      </c>
      <c r="Z352" s="26">
        <f t="shared" si="68"/>
        <v>33128.97</v>
      </c>
      <c r="AA352" s="33" t="s">
        <v>15</v>
      </c>
      <c r="AB352" s="36" t="s">
        <v>16</v>
      </c>
      <c r="AC352" s="181">
        <f t="shared" si="65"/>
        <v>1352</v>
      </c>
      <c r="AD352" s="181">
        <f t="shared" si="60"/>
        <v>41357.68</v>
      </c>
      <c r="AE352" s="181">
        <v>1.8</v>
      </c>
      <c r="AF352" s="181">
        <v>1.8</v>
      </c>
      <c r="AG352" s="101" t="str">
        <f t="shared" si="66"/>
        <v/>
      </c>
      <c r="AH352" s="191">
        <f>1083</f>
        <v>1083</v>
      </c>
      <c r="AI352" s="69">
        <f t="shared" si="67"/>
        <v>1352</v>
      </c>
    </row>
    <row r="353" spans="1:35" s="69" customFormat="1" ht="58.5" x14ac:dyDescent="0.3">
      <c r="A353" s="55" t="s">
        <v>940</v>
      </c>
      <c r="B353" s="118" t="s">
        <v>941</v>
      </c>
      <c r="C353" s="119" t="s">
        <v>30</v>
      </c>
      <c r="D353" s="120">
        <v>300</v>
      </c>
      <c r="E353" s="75"/>
      <c r="F353" s="75"/>
      <c r="G353" s="75"/>
      <c r="H353" s="75" t="s">
        <v>15</v>
      </c>
      <c r="I353" s="75">
        <v>972.45</v>
      </c>
      <c r="J353" s="75">
        <v>291735</v>
      </c>
      <c r="K353" s="91" t="s">
        <v>942</v>
      </c>
      <c r="L353" s="73"/>
      <c r="M353" s="46">
        <v>0</v>
      </c>
      <c r="N353" s="46">
        <v>0</v>
      </c>
      <c r="O353" s="46">
        <v>0</v>
      </c>
      <c r="P353" s="98"/>
      <c r="Q353" s="23" t="s">
        <v>1374</v>
      </c>
      <c r="R353" s="24" t="s">
        <v>941</v>
      </c>
      <c r="S353" s="25" t="s">
        <v>30</v>
      </c>
      <c r="T353" s="26">
        <v>300</v>
      </c>
      <c r="U353" s="26">
        <v>300</v>
      </c>
      <c r="V353" s="26">
        <v>972.45</v>
      </c>
      <c r="W353" s="26">
        <f t="shared" si="63"/>
        <v>0</v>
      </c>
      <c r="X353" s="26">
        <f t="shared" si="61"/>
        <v>0</v>
      </c>
      <c r="Y353" s="26">
        <f t="shared" si="64"/>
        <v>0</v>
      </c>
      <c r="Z353" s="26">
        <f t="shared" si="68"/>
        <v>0</v>
      </c>
      <c r="AA353" s="33" t="s">
        <v>15</v>
      </c>
      <c r="AB353" s="36" t="s">
        <v>16</v>
      </c>
      <c r="AC353" s="181">
        <f t="shared" si="65"/>
        <v>300</v>
      </c>
      <c r="AD353" s="181">
        <f t="shared" si="60"/>
        <v>291735</v>
      </c>
      <c r="AE353" s="181">
        <v>1.8</v>
      </c>
      <c r="AF353" s="181">
        <v>1.8</v>
      </c>
      <c r="AG353" s="101" t="str">
        <f t="shared" si="66"/>
        <v/>
      </c>
      <c r="AH353" s="190">
        <v>0</v>
      </c>
      <c r="AI353" s="69">
        <f t="shared" si="67"/>
        <v>300</v>
      </c>
    </row>
    <row r="354" spans="1:35" s="69" customFormat="1" ht="58.5" x14ac:dyDescent="0.3">
      <c r="A354" s="55" t="s">
        <v>943</v>
      </c>
      <c r="B354" s="53" t="s">
        <v>944</v>
      </c>
      <c r="C354" s="54" t="s">
        <v>30</v>
      </c>
      <c r="D354" s="75">
        <v>252</v>
      </c>
      <c r="E354" s="75"/>
      <c r="F354" s="75"/>
      <c r="G354" s="75"/>
      <c r="H354" s="75" t="s">
        <v>15</v>
      </c>
      <c r="I354" s="75">
        <v>628.34</v>
      </c>
      <c r="J354" s="75">
        <v>158341.68</v>
      </c>
      <c r="K354" s="91" t="s">
        <v>945</v>
      </c>
      <c r="L354" s="73"/>
      <c r="M354" s="46">
        <v>0</v>
      </c>
      <c r="N354" s="46">
        <v>0</v>
      </c>
      <c r="O354" s="46">
        <v>0</v>
      </c>
      <c r="P354" s="98"/>
      <c r="Q354" s="23" t="s">
        <v>1376</v>
      </c>
      <c r="R354" s="24" t="s">
        <v>944</v>
      </c>
      <c r="S354" s="25" t="s">
        <v>30</v>
      </c>
      <c r="T354" s="26">
        <v>252</v>
      </c>
      <c r="U354" s="26">
        <v>252</v>
      </c>
      <c r="V354" s="26">
        <v>628.34</v>
      </c>
      <c r="W354" s="26">
        <f t="shared" si="63"/>
        <v>0</v>
      </c>
      <c r="X354" s="26">
        <f t="shared" si="61"/>
        <v>0</v>
      </c>
      <c r="Y354" s="26">
        <f t="shared" si="64"/>
        <v>0</v>
      </c>
      <c r="Z354" s="26">
        <f t="shared" si="68"/>
        <v>0</v>
      </c>
      <c r="AA354" s="33" t="s">
        <v>15</v>
      </c>
      <c r="AB354" s="36" t="s">
        <v>16</v>
      </c>
      <c r="AC354" s="181">
        <f t="shared" si="65"/>
        <v>252</v>
      </c>
      <c r="AD354" s="181">
        <f t="shared" si="60"/>
        <v>158341.68</v>
      </c>
      <c r="AE354" s="181">
        <v>1.8</v>
      </c>
      <c r="AF354" s="181">
        <v>1.8</v>
      </c>
      <c r="AG354" s="101" t="str">
        <f t="shared" si="66"/>
        <v/>
      </c>
      <c r="AH354" s="190">
        <v>0</v>
      </c>
      <c r="AI354" s="69">
        <f t="shared" si="67"/>
        <v>252</v>
      </c>
    </row>
    <row r="355" spans="1:35" s="69" customFormat="1" ht="58.5" x14ac:dyDescent="0.3">
      <c r="A355" s="55" t="s">
        <v>946</v>
      </c>
      <c r="B355" s="53" t="s">
        <v>947</v>
      </c>
      <c r="C355" s="54" t="s">
        <v>30</v>
      </c>
      <c r="D355" s="75">
        <v>36</v>
      </c>
      <c r="E355" s="75"/>
      <c r="F355" s="75"/>
      <c r="G355" s="75"/>
      <c r="H355" s="75" t="s">
        <v>15</v>
      </c>
      <c r="I355" s="75">
        <v>497.09</v>
      </c>
      <c r="J355" s="75">
        <v>17895.240000000002</v>
      </c>
      <c r="K355" s="91" t="s">
        <v>948</v>
      </c>
      <c r="L355" s="73"/>
      <c r="M355" s="46">
        <v>0</v>
      </c>
      <c r="N355" s="46">
        <v>0</v>
      </c>
      <c r="O355" s="46">
        <v>0</v>
      </c>
      <c r="P355" s="98"/>
      <c r="Q355" s="23" t="s">
        <v>1378</v>
      </c>
      <c r="R355" s="24" t="s">
        <v>947</v>
      </c>
      <c r="S355" s="25" t="s">
        <v>30</v>
      </c>
      <c r="T355" s="26">
        <v>36</v>
      </c>
      <c r="U355" s="26">
        <v>36</v>
      </c>
      <c r="V355" s="26">
        <v>497.09</v>
      </c>
      <c r="W355" s="26">
        <f t="shared" si="63"/>
        <v>0</v>
      </c>
      <c r="X355" s="26">
        <f t="shared" si="61"/>
        <v>0</v>
      </c>
      <c r="Y355" s="26">
        <f t="shared" si="64"/>
        <v>0</v>
      </c>
      <c r="Z355" s="26">
        <f t="shared" si="68"/>
        <v>0</v>
      </c>
      <c r="AA355" s="33" t="s">
        <v>15</v>
      </c>
      <c r="AB355" s="36" t="s">
        <v>16</v>
      </c>
      <c r="AC355" s="181">
        <f t="shared" si="65"/>
        <v>36</v>
      </c>
      <c r="AD355" s="181">
        <f t="shared" si="60"/>
        <v>17895.240000000002</v>
      </c>
      <c r="AE355" s="181">
        <v>1.8</v>
      </c>
      <c r="AF355" s="181">
        <v>1.8</v>
      </c>
      <c r="AG355" s="101" t="str">
        <f t="shared" si="66"/>
        <v/>
      </c>
      <c r="AH355" s="190">
        <v>0</v>
      </c>
      <c r="AI355" s="69">
        <f t="shared" si="67"/>
        <v>36</v>
      </c>
    </row>
    <row r="356" spans="1:35" s="69" customFormat="1" ht="58.5" x14ac:dyDescent="0.3">
      <c r="A356" s="55" t="s">
        <v>949</v>
      </c>
      <c r="B356" s="53" t="s">
        <v>950</v>
      </c>
      <c r="C356" s="54" t="s">
        <v>30</v>
      </c>
      <c r="D356" s="75">
        <v>159</v>
      </c>
      <c r="E356" s="75"/>
      <c r="F356" s="75"/>
      <c r="G356" s="75"/>
      <c r="H356" s="75" t="s">
        <v>15</v>
      </c>
      <c r="I356" s="75">
        <v>270.2</v>
      </c>
      <c r="J356" s="75">
        <v>42961.8</v>
      </c>
      <c r="K356" s="91" t="s">
        <v>951</v>
      </c>
      <c r="L356" s="73"/>
      <c r="M356" s="46">
        <v>0</v>
      </c>
      <c r="N356" s="46">
        <v>0</v>
      </c>
      <c r="O356" s="46">
        <v>0</v>
      </c>
      <c r="P356" s="98"/>
      <c r="Q356" s="23" t="s">
        <v>1438</v>
      </c>
      <c r="R356" s="24" t="s">
        <v>950</v>
      </c>
      <c r="S356" s="25" t="s">
        <v>30</v>
      </c>
      <c r="T356" s="26">
        <v>159</v>
      </c>
      <c r="U356" s="26">
        <v>159</v>
      </c>
      <c r="V356" s="26">
        <v>270.2</v>
      </c>
      <c r="W356" s="26">
        <f t="shared" si="63"/>
        <v>0</v>
      </c>
      <c r="X356" s="26">
        <f t="shared" si="61"/>
        <v>0</v>
      </c>
      <c r="Y356" s="26">
        <f t="shared" si="64"/>
        <v>0</v>
      </c>
      <c r="Z356" s="26">
        <f t="shared" si="68"/>
        <v>0</v>
      </c>
      <c r="AA356" s="33" t="s">
        <v>15</v>
      </c>
      <c r="AB356" s="36" t="s">
        <v>16</v>
      </c>
      <c r="AC356" s="181">
        <f t="shared" si="65"/>
        <v>159</v>
      </c>
      <c r="AD356" s="181">
        <f t="shared" si="60"/>
        <v>42961.8</v>
      </c>
      <c r="AE356" s="181">
        <v>1.8</v>
      </c>
      <c r="AF356" s="181">
        <v>1.8</v>
      </c>
      <c r="AG356" s="101" t="str">
        <f t="shared" si="66"/>
        <v/>
      </c>
      <c r="AH356" s="190">
        <v>0</v>
      </c>
      <c r="AI356" s="69">
        <f t="shared" si="67"/>
        <v>159</v>
      </c>
    </row>
    <row r="357" spans="1:35" s="69" customFormat="1" ht="58.5" x14ac:dyDescent="0.3">
      <c r="A357" s="55" t="s">
        <v>952</v>
      </c>
      <c r="B357" s="53" t="s">
        <v>953</v>
      </c>
      <c r="C357" s="54" t="s">
        <v>30</v>
      </c>
      <c r="D357" s="75">
        <v>1199</v>
      </c>
      <c r="E357" s="75"/>
      <c r="F357" s="75"/>
      <c r="G357" s="75"/>
      <c r="H357" s="75" t="s">
        <v>15</v>
      </c>
      <c r="I357" s="75">
        <v>152.94</v>
      </c>
      <c r="J357" s="75">
        <v>183375.06</v>
      </c>
      <c r="K357" s="91" t="s">
        <v>954</v>
      </c>
      <c r="L357" s="73"/>
      <c r="M357" s="46">
        <v>1169</v>
      </c>
      <c r="N357" s="46">
        <v>0</v>
      </c>
      <c r="O357" s="46">
        <v>178786.86</v>
      </c>
      <c r="P357" s="98"/>
      <c r="Q357" s="23" t="s">
        <v>1439</v>
      </c>
      <c r="R357" s="24" t="s">
        <v>953</v>
      </c>
      <c r="S357" s="25" t="s">
        <v>30</v>
      </c>
      <c r="T357" s="26">
        <v>1199</v>
      </c>
      <c r="U357" s="26">
        <v>1199</v>
      </c>
      <c r="V357" s="26">
        <v>152.94</v>
      </c>
      <c r="W357" s="243">
        <f t="shared" si="63"/>
        <v>0</v>
      </c>
      <c r="X357" s="26">
        <f t="shared" si="61"/>
        <v>1169</v>
      </c>
      <c r="Y357" s="26">
        <f t="shared" si="64"/>
        <v>0</v>
      </c>
      <c r="Z357" s="26">
        <f t="shared" si="68"/>
        <v>178786.86</v>
      </c>
      <c r="AA357" s="33" t="s">
        <v>15</v>
      </c>
      <c r="AB357" s="36" t="s">
        <v>16</v>
      </c>
      <c r="AC357" s="181">
        <f t="shared" si="65"/>
        <v>1199</v>
      </c>
      <c r="AD357" s="181">
        <f t="shared" si="60"/>
        <v>183375.06</v>
      </c>
      <c r="AE357" s="181">
        <v>1.8</v>
      </c>
      <c r="AF357" s="181">
        <v>1.8</v>
      </c>
      <c r="AG357" s="101" t="str">
        <f t="shared" si="66"/>
        <v/>
      </c>
      <c r="AH357" s="191">
        <f>427+136.9+605.1</f>
        <v>1169</v>
      </c>
      <c r="AI357" s="69">
        <f t="shared" si="67"/>
        <v>1199</v>
      </c>
    </row>
    <row r="358" spans="1:35" s="69" customFormat="1" ht="33" x14ac:dyDescent="0.3">
      <c r="A358" s="130" t="s">
        <v>955</v>
      </c>
      <c r="B358" s="240" t="s">
        <v>956</v>
      </c>
      <c r="C358" s="132" t="s">
        <v>30</v>
      </c>
      <c r="D358" s="133">
        <v>144</v>
      </c>
      <c r="E358" s="75"/>
      <c r="F358" s="75"/>
      <c r="G358" s="75"/>
      <c r="H358" s="75" t="s">
        <v>15</v>
      </c>
      <c r="I358" s="75">
        <v>228.14</v>
      </c>
      <c r="J358" s="75">
        <v>32852.160000000003</v>
      </c>
      <c r="K358" s="91" t="s">
        <v>957</v>
      </c>
      <c r="L358" s="73"/>
      <c r="M358" s="46">
        <v>144</v>
      </c>
      <c r="N358" s="46">
        <v>0</v>
      </c>
      <c r="O358" s="46">
        <v>32852.160000000003</v>
      </c>
      <c r="P358" s="98"/>
      <c r="Q358" s="23" t="s">
        <v>1440</v>
      </c>
      <c r="R358" s="24" t="s">
        <v>956</v>
      </c>
      <c r="S358" s="25" t="s">
        <v>30</v>
      </c>
      <c r="T358" s="26">
        <v>144</v>
      </c>
      <c r="U358" s="26">
        <v>144</v>
      </c>
      <c r="V358" s="26">
        <v>228.14</v>
      </c>
      <c r="W358" s="243">
        <f t="shared" si="63"/>
        <v>0</v>
      </c>
      <c r="X358" s="127">
        <f t="shared" si="61"/>
        <v>144</v>
      </c>
      <c r="Y358" s="127">
        <f t="shared" si="64"/>
        <v>0</v>
      </c>
      <c r="Z358" s="127">
        <f t="shared" si="68"/>
        <v>32852.160000000003</v>
      </c>
      <c r="AA358" s="33" t="s">
        <v>15</v>
      </c>
      <c r="AB358" s="36" t="s">
        <v>16</v>
      </c>
      <c r="AC358" s="181">
        <f t="shared" si="65"/>
        <v>144</v>
      </c>
      <c r="AD358" s="181">
        <f t="shared" si="60"/>
        <v>32852.160000000003</v>
      </c>
      <c r="AE358" s="181">
        <v>1.8</v>
      </c>
      <c r="AF358" s="181">
        <v>1.8</v>
      </c>
      <c r="AG358" s="101" t="str">
        <f t="shared" si="66"/>
        <v/>
      </c>
      <c r="AH358" s="191">
        <f>75+69</f>
        <v>144</v>
      </c>
      <c r="AI358" s="69">
        <f t="shared" si="67"/>
        <v>144</v>
      </c>
    </row>
    <row r="359" spans="1:35" s="69" customFormat="1" ht="39" x14ac:dyDescent="0.3">
      <c r="A359" s="55" t="s">
        <v>958</v>
      </c>
      <c r="B359" s="53" t="s">
        <v>959</v>
      </c>
      <c r="C359" s="54" t="s">
        <v>14</v>
      </c>
      <c r="D359" s="75">
        <v>1</v>
      </c>
      <c r="E359" s="75"/>
      <c r="F359" s="75"/>
      <c r="G359" s="75"/>
      <c r="H359" s="75" t="s">
        <v>15</v>
      </c>
      <c r="I359" s="75">
        <v>90448.13</v>
      </c>
      <c r="J359" s="75">
        <v>90448.13</v>
      </c>
      <c r="K359" s="91" t="s">
        <v>960</v>
      </c>
      <c r="L359" s="73"/>
      <c r="M359" s="46">
        <v>0</v>
      </c>
      <c r="N359" s="46">
        <v>0</v>
      </c>
      <c r="O359" s="46">
        <v>0</v>
      </c>
      <c r="P359" s="98"/>
      <c r="Q359" s="23" t="s">
        <v>1441</v>
      </c>
      <c r="R359" s="24" t="s">
        <v>959</v>
      </c>
      <c r="S359" s="25" t="s">
        <v>14</v>
      </c>
      <c r="T359" s="26">
        <v>1</v>
      </c>
      <c r="U359" s="26">
        <v>1</v>
      </c>
      <c r="V359" s="26">
        <v>90448.13</v>
      </c>
      <c r="W359" s="26">
        <f t="shared" si="63"/>
        <v>0</v>
      </c>
      <c r="X359" s="26">
        <f t="shared" si="61"/>
        <v>0</v>
      </c>
      <c r="Y359" s="26">
        <f t="shared" si="64"/>
        <v>0</v>
      </c>
      <c r="Z359" s="26">
        <f t="shared" si="68"/>
        <v>0</v>
      </c>
      <c r="AA359" s="33" t="s">
        <v>15</v>
      </c>
      <c r="AB359" s="36" t="s">
        <v>16</v>
      </c>
      <c r="AC359" s="181">
        <f t="shared" si="65"/>
        <v>1</v>
      </c>
      <c r="AD359" s="181">
        <f t="shared" si="60"/>
        <v>90448.13</v>
      </c>
      <c r="AE359" s="181">
        <v>1.8</v>
      </c>
      <c r="AF359" s="181">
        <v>1.8</v>
      </c>
      <c r="AG359" s="101" t="str">
        <f t="shared" si="66"/>
        <v/>
      </c>
      <c r="AH359" s="190">
        <v>0</v>
      </c>
      <c r="AI359" s="69">
        <f t="shared" si="67"/>
        <v>1</v>
      </c>
    </row>
    <row r="360" spans="1:35" s="69" customFormat="1" ht="42.75" x14ac:dyDescent="0.3">
      <c r="A360" s="55" t="s">
        <v>961</v>
      </c>
      <c r="B360" s="254" t="s">
        <v>962</v>
      </c>
      <c r="C360" s="54" t="s">
        <v>30</v>
      </c>
      <c r="D360" s="75">
        <v>2702</v>
      </c>
      <c r="E360" s="75"/>
      <c r="F360" s="75"/>
      <c r="G360" s="75"/>
      <c r="H360" s="75" t="s">
        <v>15</v>
      </c>
      <c r="I360" s="75">
        <v>81.569999999999993</v>
      </c>
      <c r="J360" s="75">
        <v>220402.14</v>
      </c>
      <c r="K360" s="91" t="s">
        <v>963</v>
      </c>
      <c r="L360" s="73"/>
      <c r="M360" s="46">
        <v>2166</v>
      </c>
      <c r="N360" s="46">
        <v>0</v>
      </c>
      <c r="O360" s="46">
        <v>176680.62</v>
      </c>
      <c r="P360" s="98"/>
      <c r="Q360" s="23" t="s">
        <v>1442</v>
      </c>
      <c r="R360" s="24" t="s">
        <v>962</v>
      </c>
      <c r="S360" s="25" t="s">
        <v>30</v>
      </c>
      <c r="T360" s="26">
        <v>2702</v>
      </c>
      <c r="U360" s="26">
        <v>2702</v>
      </c>
      <c r="V360" s="26">
        <v>81.569999999999993</v>
      </c>
      <c r="W360" s="243">
        <f t="shared" si="63"/>
        <v>0</v>
      </c>
      <c r="X360" s="26">
        <f t="shared" si="61"/>
        <v>2166</v>
      </c>
      <c r="Y360" s="26">
        <f t="shared" si="64"/>
        <v>0</v>
      </c>
      <c r="Z360" s="26">
        <f t="shared" si="68"/>
        <v>176680.62</v>
      </c>
      <c r="AA360" s="33" t="s">
        <v>15</v>
      </c>
      <c r="AB360" s="36" t="s">
        <v>16</v>
      </c>
      <c r="AC360" s="181">
        <f t="shared" si="65"/>
        <v>2702</v>
      </c>
      <c r="AD360" s="181">
        <f t="shared" si="60"/>
        <v>220402.14</v>
      </c>
      <c r="AE360" s="181">
        <v>1.8</v>
      </c>
      <c r="AF360" s="181">
        <v>1.8</v>
      </c>
      <c r="AG360" s="101" t="str">
        <f t="shared" si="66"/>
        <v/>
      </c>
      <c r="AH360" s="191">
        <f>1127.8+1038.2</f>
        <v>2166</v>
      </c>
      <c r="AI360" s="69">
        <f t="shared" si="67"/>
        <v>2702</v>
      </c>
    </row>
    <row r="361" spans="1:35" s="69" customFormat="1" ht="39" x14ac:dyDescent="0.3">
      <c r="A361" s="130" t="s">
        <v>964</v>
      </c>
      <c r="B361" s="131" t="s">
        <v>965</v>
      </c>
      <c r="C361" s="132" t="s">
        <v>14</v>
      </c>
      <c r="D361" s="133">
        <v>1</v>
      </c>
      <c r="E361" s="75"/>
      <c r="F361" s="75"/>
      <c r="G361" s="75"/>
      <c r="H361" s="75" t="s">
        <v>15</v>
      </c>
      <c r="I361" s="75">
        <v>25939</v>
      </c>
      <c r="J361" s="75">
        <v>25939</v>
      </c>
      <c r="K361" s="91" t="s">
        <v>966</v>
      </c>
      <c r="L361" s="73"/>
      <c r="M361" s="46">
        <v>1</v>
      </c>
      <c r="N361" s="46">
        <v>0</v>
      </c>
      <c r="O361" s="46">
        <v>25939</v>
      </c>
      <c r="P361" s="98"/>
      <c r="Q361" s="23" t="s">
        <v>1443</v>
      </c>
      <c r="R361" s="24" t="s">
        <v>965</v>
      </c>
      <c r="S361" s="25" t="s">
        <v>14</v>
      </c>
      <c r="T361" s="26">
        <v>1</v>
      </c>
      <c r="U361" s="26">
        <v>1</v>
      </c>
      <c r="V361" s="26">
        <v>25939</v>
      </c>
      <c r="W361" s="199">
        <f t="shared" si="63"/>
        <v>0</v>
      </c>
      <c r="X361" s="127">
        <f t="shared" si="61"/>
        <v>1</v>
      </c>
      <c r="Y361" s="127">
        <f t="shared" si="64"/>
        <v>0</v>
      </c>
      <c r="Z361" s="127">
        <f t="shared" si="68"/>
        <v>25939</v>
      </c>
      <c r="AA361" s="33" t="s">
        <v>15</v>
      </c>
      <c r="AB361" s="36" t="s">
        <v>16</v>
      </c>
      <c r="AC361" s="181">
        <f t="shared" si="65"/>
        <v>1</v>
      </c>
      <c r="AD361" s="181">
        <f t="shared" si="60"/>
        <v>25939</v>
      </c>
      <c r="AE361" s="181">
        <v>1.8</v>
      </c>
      <c r="AF361" s="181">
        <v>1.8</v>
      </c>
      <c r="AG361" s="101" t="str">
        <f t="shared" si="66"/>
        <v/>
      </c>
      <c r="AH361" s="191">
        <v>1</v>
      </c>
      <c r="AI361" s="69">
        <f t="shared" si="67"/>
        <v>1</v>
      </c>
    </row>
    <row r="362" spans="1:35" s="69" customFormat="1" ht="58.5" x14ac:dyDescent="0.3">
      <c r="A362" s="55" t="s">
        <v>967</v>
      </c>
      <c r="B362" s="215" t="s">
        <v>3159</v>
      </c>
      <c r="C362" s="54" t="s">
        <v>30</v>
      </c>
      <c r="D362" s="75">
        <v>1272</v>
      </c>
      <c r="E362" s="75"/>
      <c r="F362" s="75"/>
      <c r="G362" s="75"/>
      <c r="H362" s="75" t="s">
        <v>15</v>
      </c>
      <c r="I362" s="75">
        <v>36.96</v>
      </c>
      <c r="J362" s="75">
        <v>47013.120000000003</v>
      </c>
      <c r="K362" s="91" t="s">
        <v>969</v>
      </c>
      <c r="L362" s="73"/>
      <c r="M362" s="46">
        <v>427.8</v>
      </c>
      <c r="N362" s="46">
        <v>0</v>
      </c>
      <c r="O362" s="46">
        <v>15811.49</v>
      </c>
      <c r="P362" s="98"/>
      <c r="Q362" s="23" t="s">
        <v>1444</v>
      </c>
      <c r="R362" s="24" t="s">
        <v>968</v>
      </c>
      <c r="S362" s="25" t="s">
        <v>30</v>
      </c>
      <c r="T362" s="26">
        <v>1272</v>
      </c>
      <c r="U362" s="26">
        <v>1272</v>
      </c>
      <c r="V362" s="26">
        <v>36.96</v>
      </c>
      <c r="W362" s="243">
        <f t="shared" si="63"/>
        <v>299.99999999999994</v>
      </c>
      <c r="X362" s="26">
        <f t="shared" si="61"/>
        <v>727.8</v>
      </c>
      <c r="Y362" s="26">
        <f t="shared" si="64"/>
        <v>11088.000000000002</v>
      </c>
      <c r="Z362" s="26">
        <f t="shared" si="68"/>
        <v>26899.49</v>
      </c>
      <c r="AA362" s="33" t="s">
        <v>15</v>
      </c>
      <c r="AB362" s="36" t="s">
        <v>16</v>
      </c>
      <c r="AC362" s="181">
        <f t="shared" si="65"/>
        <v>1272</v>
      </c>
      <c r="AD362" s="181">
        <f t="shared" si="60"/>
        <v>47013.120000000003</v>
      </c>
      <c r="AE362" s="181">
        <v>1.8</v>
      </c>
      <c r="AF362" s="181">
        <v>1.8</v>
      </c>
      <c r="AG362" s="101" t="str">
        <f t="shared" si="66"/>
        <v/>
      </c>
      <c r="AH362" s="191">
        <f>365.5+62.3+300</f>
        <v>727.8</v>
      </c>
      <c r="AI362" s="69">
        <f t="shared" si="67"/>
        <v>1272</v>
      </c>
    </row>
    <row r="363" spans="1:35" s="69" customFormat="1" ht="58.5" x14ac:dyDescent="0.3">
      <c r="A363" s="55" t="s">
        <v>970</v>
      </c>
      <c r="B363" s="215" t="s">
        <v>971</v>
      </c>
      <c r="C363" s="54" t="s">
        <v>30</v>
      </c>
      <c r="D363" s="75">
        <v>1470</v>
      </c>
      <c r="E363" s="75"/>
      <c r="F363" s="75"/>
      <c r="G363" s="75"/>
      <c r="H363" s="75" t="s">
        <v>15</v>
      </c>
      <c r="I363" s="75">
        <v>62.45</v>
      </c>
      <c r="J363" s="75">
        <v>91801.5</v>
      </c>
      <c r="K363" s="91" t="s">
        <v>972</v>
      </c>
      <c r="L363" s="73"/>
      <c r="M363" s="46">
        <v>1083</v>
      </c>
      <c r="N363" s="46">
        <v>0</v>
      </c>
      <c r="O363" s="46">
        <v>67633.350000000006</v>
      </c>
      <c r="P363" s="98"/>
      <c r="Q363" s="23" t="s">
        <v>1408</v>
      </c>
      <c r="R363" s="24" t="s">
        <v>971</v>
      </c>
      <c r="S363" s="25" t="s">
        <v>30</v>
      </c>
      <c r="T363" s="26">
        <v>1470</v>
      </c>
      <c r="U363" s="26">
        <v>1470</v>
      </c>
      <c r="V363" s="26">
        <v>62.45</v>
      </c>
      <c r="W363" s="243">
        <f t="shared" si="63"/>
        <v>0</v>
      </c>
      <c r="X363" s="26">
        <f t="shared" si="61"/>
        <v>1083</v>
      </c>
      <c r="Y363" s="26">
        <f t="shared" si="64"/>
        <v>0</v>
      </c>
      <c r="Z363" s="26">
        <f t="shared" si="68"/>
        <v>67633.350000000006</v>
      </c>
      <c r="AA363" s="33" t="s">
        <v>15</v>
      </c>
      <c r="AB363" s="36" t="s">
        <v>16</v>
      </c>
      <c r="AC363" s="181">
        <f t="shared" si="65"/>
        <v>1470</v>
      </c>
      <c r="AD363" s="181">
        <f t="shared" si="60"/>
        <v>91801.5</v>
      </c>
      <c r="AE363" s="181">
        <v>1.8</v>
      </c>
      <c r="AF363" s="181">
        <v>1.8</v>
      </c>
      <c r="AG363" s="101" t="str">
        <f t="shared" si="66"/>
        <v/>
      </c>
      <c r="AH363" s="191">
        <f>427+136.9+519.1</f>
        <v>1083</v>
      </c>
      <c r="AI363" s="69">
        <f t="shared" si="67"/>
        <v>1470</v>
      </c>
    </row>
    <row r="364" spans="1:35" s="69" customFormat="1" ht="58.5" x14ac:dyDescent="0.3">
      <c r="A364" s="130" t="s">
        <v>973</v>
      </c>
      <c r="B364" s="131" t="s">
        <v>974</v>
      </c>
      <c r="C364" s="132" t="s">
        <v>30</v>
      </c>
      <c r="D364" s="133">
        <v>407</v>
      </c>
      <c r="E364" s="75"/>
      <c r="F364" s="75"/>
      <c r="G364" s="75"/>
      <c r="H364" s="75" t="s">
        <v>15</v>
      </c>
      <c r="I364" s="75">
        <v>90.49</v>
      </c>
      <c r="J364" s="75">
        <v>36829.43</v>
      </c>
      <c r="K364" s="91" t="s">
        <v>975</v>
      </c>
      <c r="L364" s="73"/>
      <c r="M364" s="46">
        <v>407</v>
      </c>
      <c r="N364" s="46">
        <v>0</v>
      </c>
      <c r="O364" s="46">
        <v>36829.43</v>
      </c>
      <c r="P364" s="98"/>
      <c r="Q364" s="23" t="s">
        <v>1409</v>
      </c>
      <c r="R364" s="24" t="s">
        <v>974</v>
      </c>
      <c r="S364" s="25" t="s">
        <v>30</v>
      </c>
      <c r="T364" s="26">
        <v>407</v>
      </c>
      <c r="U364" s="26">
        <v>407</v>
      </c>
      <c r="V364" s="26">
        <v>90.49</v>
      </c>
      <c r="W364" s="243">
        <f t="shared" si="63"/>
        <v>0</v>
      </c>
      <c r="X364" s="127">
        <f t="shared" si="61"/>
        <v>407</v>
      </c>
      <c r="Y364" s="127">
        <f t="shared" si="64"/>
        <v>0</v>
      </c>
      <c r="Z364" s="127">
        <f t="shared" si="68"/>
        <v>36829.43</v>
      </c>
      <c r="AA364" s="33" t="s">
        <v>15</v>
      </c>
      <c r="AB364" s="36" t="s">
        <v>16</v>
      </c>
      <c r="AC364" s="181">
        <f t="shared" si="65"/>
        <v>407</v>
      </c>
      <c r="AD364" s="181">
        <f t="shared" si="60"/>
        <v>36829.43</v>
      </c>
      <c r="AE364" s="181">
        <v>1.8</v>
      </c>
      <c r="AF364" s="181">
        <v>1.8</v>
      </c>
      <c r="AG364" s="101" t="str">
        <f t="shared" si="66"/>
        <v/>
      </c>
      <c r="AH364" s="191">
        <f>149+258</f>
        <v>407</v>
      </c>
      <c r="AI364" s="69">
        <f t="shared" si="67"/>
        <v>407</v>
      </c>
    </row>
    <row r="365" spans="1:35" s="69" customFormat="1" ht="58.5" x14ac:dyDescent="0.3">
      <c r="A365" s="130" t="s">
        <v>976</v>
      </c>
      <c r="B365" s="131" t="s">
        <v>977</v>
      </c>
      <c r="C365" s="132" t="s">
        <v>30</v>
      </c>
      <c r="D365" s="133">
        <v>55</v>
      </c>
      <c r="E365" s="75"/>
      <c r="F365" s="75"/>
      <c r="G365" s="75"/>
      <c r="H365" s="75" t="s">
        <v>15</v>
      </c>
      <c r="I365" s="75">
        <v>186.08</v>
      </c>
      <c r="J365" s="75">
        <v>10234.4</v>
      </c>
      <c r="K365" s="91" t="s">
        <v>978</v>
      </c>
      <c r="L365" s="73"/>
      <c r="M365" s="46">
        <v>55</v>
      </c>
      <c r="N365" s="46">
        <v>0</v>
      </c>
      <c r="O365" s="46">
        <v>10234.4</v>
      </c>
      <c r="P365" s="98"/>
      <c r="Q365" s="23" t="s">
        <v>1410</v>
      </c>
      <c r="R365" s="24" t="s">
        <v>977</v>
      </c>
      <c r="S365" s="25" t="s">
        <v>30</v>
      </c>
      <c r="T365" s="26">
        <v>55</v>
      </c>
      <c r="U365" s="26">
        <v>55</v>
      </c>
      <c r="V365" s="26">
        <v>186.08</v>
      </c>
      <c r="W365" s="243">
        <f t="shared" si="63"/>
        <v>0</v>
      </c>
      <c r="X365" s="127">
        <f t="shared" si="61"/>
        <v>55</v>
      </c>
      <c r="Y365" s="127">
        <f t="shared" si="64"/>
        <v>0</v>
      </c>
      <c r="Z365" s="127">
        <f t="shared" si="68"/>
        <v>10234.4</v>
      </c>
      <c r="AA365" s="33" t="s">
        <v>15</v>
      </c>
      <c r="AB365" s="36" t="s">
        <v>16</v>
      </c>
      <c r="AC365" s="181">
        <f t="shared" si="65"/>
        <v>55</v>
      </c>
      <c r="AD365" s="181">
        <f t="shared" si="60"/>
        <v>10234.4</v>
      </c>
      <c r="AE365" s="181">
        <v>1.8</v>
      </c>
      <c r="AF365" s="181">
        <v>1.8</v>
      </c>
      <c r="AG365" s="101" t="str">
        <f t="shared" si="66"/>
        <v/>
      </c>
      <c r="AH365" s="191">
        <f>55</f>
        <v>55</v>
      </c>
      <c r="AI365" s="69">
        <f t="shared" si="67"/>
        <v>55</v>
      </c>
    </row>
    <row r="366" spans="1:35" s="69" customFormat="1" ht="33" x14ac:dyDescent="0.3">
      <c r="A366" s="55" t="s">
        <v>979</v>
      </c>
      <c r="B366" s="53" t="s">
        <v>980</v>
      </c>
      <c r="C366" s="54" t="s">
        <v>14</v>
      </c>
      <c r="D366" s="75">
        <v>1</v>
      </c>
      <c r="E366" s="75"/>
      <c r="F366" s="75"/>
      <c r="G366" s="75"/>
      <c r="H366" s="75" t="s">
        <v>15</v>
      </c>
      <c r="I366" s="75">
        <v>51046</v>
      </c>
      <c r="J366" s="75">
        <v>51046</v>
      </c>
      <c r="K366" s="91" t="s">
        <v>981</v>
      </c>
      <c r="L366" s="73"/>
      <c r="M366" s="46">
        <v>0</v>
      </c>
      <c r="N366" s="46">
        <v>0</v>
      </c>
      <c r="O366" s="46">
        <v>0</v>
      </c>
      <c r="P366" s="98"/>
      <c r="Q366" s="23" t="s">
        <v>1411</v>
      </c>
      <c r="R366" s="24" t="s">
        <v>980</v>
      </c>
      <c r="S366" s="25" t="s">
        <v>14</v>
      </c>
      <c r="T366" s="26">
        <v>1</v>
      </c>
      <c r="U366" s="26">
        <v>1</v>
      </c>
      <c r="V366" s="26">
        <v>51046</v>
      </c>
      <c r="W366" s="26">
        <f t="shared" si="63"/>
        <v>0</v>
      </c>
      <c r="X366" s="26">
        <f t="shared" si="61"/>
        <v>0</v>
      </c>
      <c r="Y366" s="26">
        <f t="shared" si="64"/>
        <v>0</v>
      </c>
      <c r="Z366" s="26">
        <f t="shared" si="68"/>
        <v>0</v>
      </c>
      <c r="AA366" s="33" t="s">
        <v>15</v>
      </c>
      <c r="AB366" s="36" t="s">
        <v>16</v>
      </c>
      <c r="AC366" s="181">
        <f t="shared" si="65"/>
        <v>1</v>
      </c>
      <c r="AD366" s="181">
        <f t="shared" ref="AD366:AD368" si="69">ROUND(V366*AC366,2)</f>
        <v>51046</v>
      </c>
      <c r="AE366" s="181">
        <v>1.8</v>
      </c>
      <c r="AF366" s="181">
        <v>1.8</v>
      </c>
      <c r="AG366" s="101" t="str">
        <f t="shared" si="66"/>
        <v/>
      </c>
      <c r="AH366" s="190">
        <v>0</v>
      </c>
      <c r="AI366" s="69">
        <f t="shared" si="67"/>
        <v>1</v>
      </c>
    </row>
    <row r="367" spans="1:35" s="69" customFormat="1" ht="39" x14ac:dyDescent="0.3">
      <c r="A367" s="55" t="s">
        <v>982</v>
      </c>
      <c r="B367" s="53" t="s">
        <v>983</v>
      </c>
      <c r="C367" s="54" t="s">
        <v>30</v>
      </c>
      <c r="D367" s="75">
        <v>132</v>
      </c>
      <c r="E367" s="75"/>
      <c r="F367" s="75"/>
      <c r="G367" s="75"/>
      <c r="H367" s="75" t="s">
        <v>15</v>
      </c>
      <c r="I367" s="75">
        <v>671.66</v>
      </c>
      <c r="J367" s="75">
        <v>88659.12</v>
      </c>
      <c r="K367" s="91" t="s">
        <v>984</v>
      </c>
      <c r="L367" s="73"/>
      <c r="M367" s="46">
        <v>0</v>
      </c>
      <c r="N367" s="46">
        <v>0</v>
      </c>
      <c r="O367" s="46">
        <v>0</v>
      </c>
      <c r="P367" s="98"/>
      <c r="Q367" s="23" t="s">
        <v>1445</v>
      </c>
      <c r="R367" s="24" t="s">
        <v>983</v>
      </c>
      <c r="S367" s="25" t="s">
        <v>30</v>
      </c>
      <c r="T367" s="26">
        <v>132</v>
      </c>
      <c r="U367" s="26">
        <v>132</v>
      </c>
      <c r="V367" s="26">
        <v>671.66</v>
      </c>
      <c r="W367" s="199">
        <f t="shared" si="63"/>
        <v>60</v>
      </c>
      <c r="X367" s="26">
        <f t="shared" si="61"/>
        <v>60</v>
      </c>
      <c r="Y367" s="26">
        <f t="shared" si="64"/>
        <v>40299.599999999999</v>
      </c>
      <c r="Z367" s="26">
        <f t="shared" si="68"/>
        <v>40299.599999999999</v>
      </c>
      <c r="AA367" s="33" t="s">
        <v>15</v>
      </c>
      <c r="AB367" s="36" t="s">
        <v>16</v>
      </c>
      <c r="AC367" s="181">
        <f t="shared" si="65"/>
        <v>132</v>
      </c>
      <c r="AD367" s="181">
        <f t="shared" si="69"/>
        <v>88659.12</v>
      </c>
      <c r="AE367" s="181">
        <v>1.8</v>
      </c>
      <c r="AF367" s="181">
        <v>1.8</v>
      </c>
      <c r="AG367" s="101" t="str">
        <f t="shared" si="66"/>
        <v/>
      </c>
      <c r="AH367" s="191">
        <f>60</f>
        <v>60</v>
      </c>
      <c r="AI367" s="69">
        <f t="shared" si="67"/>
        <v>132</v>
      </c>
    </row>
    <row r="368" spans="1:35" s="69" customFormat="1" ht="39" x14ac:dyDescent="0.3">
      <c r="A368" s="55" t="s">
        <v>985</v>
      </c>
      <c r="B368" s="53" t="s">
        <v>986</v>
      </c>
      <c r="C368" s="54" t="s">
        <v>14</v>
      </c>
      <c r="D368" s="75">
        <v>1</v>
      </c>
      <c r="E368" s="75"/>
      <c r="F368" s="75"/>
      <c r="G368" s="75"/>
      <c r="H368" s="75" t="s">
        <v>15</v>
      </c>
      <c r="I368" s="75">
        <v>24347</v>
      </c>
      <c r="J368" s="75">
        <v>24347</v>
      </c>
      <c r="K368" s="91" t="s">
        <v>987</v>
      </c>
      <c r="L368" s="73"/>
      <c r="M368" s="46">
        <v>0</v>
      </c>
      <c r="N368" s="46">
        <v>0</v>
      </c>
      <c r="O368" s="46">
        <v>0</v>
      </c>
      <c r="P368" s="98"/>
      <c r="Q368" s="23" t="s">
        <v>1383</v>
      </c>
      <c r="R368" s="24" t="s">
        <v>986</v>
      </c>
      <c r="S368" s="25" t="s">
        <v>14</v>
      </c>
      <c r="T368" s="26">
        <v>1</v>
      </c>
      <c r="U368" s="26">
        <v>1</v>
      </c>
      <c r="V368" s="26">
        <v>24347</v>
      </c>
      <c r="W368" s="26">
        <f t="shared" si="63"/>
        <v>0</v>
      </c>
      <c r="X368" s="26">
        <f t="shared" si="61"/>
        <v>0</v>
      </c>
      <c r="Y368" s="26">
        <f t="shared" si="64"/>
        <v>0</v>
      </c>
      <c r="Z368" s="26">
        <f t="shared" si="68"/>
        <v>0</v>
      </c>
      <c r="AA368" s="33" t="s">
        <v>15</v>
      </c>
      <c r="AB368" s="36" t="s">
        <v>16</v>
      </c>
      <c r="AC368" s="181">
        <f t="shared" si="65"/>
        <v>1</v>
      </c>
      <c r="AD368" s="181">
        <f t="shared" si="69"/>
        <v>24347</v>
      </c>
      <c r="AE368" s="181">
        <v>1.8</v>
      </c>
      <c r="AF368" s="181">
        <v>1.8</v>
      </c>
      <c r="AG368" s="101" t="str">
        <f t="shared" si="66"/>
        <v/>
      </c>
      <c r="AH368" s="190">
        <v>0</v>
      </c>
      <c r="AI368" s="69">
        <f t="shared" si="67"/>
        <v>1</v>
      </c>
    </row>
    <row r="369" spans="1:35" s="69" customFormat="1" ht="39" x14ac:dyDescent="0.3">
      <c r="A369" s="79" t="s">
        <v>988</v>
      </c>
      <c r="B369" s="80" t="s">
        <v>989</v>
      </c>
      <c r="C369" s="81" t="s">
        <v>14</v>
      </c>
      <c r="D369" s="82">
        <v>1</v>
      </c>
      <c r="E369" s="82"/>
      <c r="F369" s="82"/>
      <c r="G369" s="82"/>
      <c r="H369" s="82" t="s">
        <v>15</v>
      </c>
      <c r="I369" s="82"/>
      <c r="J369" s="82">
        <v>9899611.0700000003</v>
      </c>
      <c r="K369" s="94" t="s">
        <v>15</v>
      </c>
      <c r="L369" s="73"/>
      <c r="M369" s="45">
        <v>1</v>
      </c>
      <c r="N369" s="45">
        <v>222457.34000000008</v>
      </c>
      <c r="O369" s="45">
        <v>7281943.6099999994</v>
      </c>
      <c r="P369" s="98"/>
      <c r="Q369" s="18" t="s">
        <v>1401</v>
      </c>
      <c r="R369" s="19" t="s">
        <v>989</v>
      </c>
      <c r="S369" s="20" t="s">
        <v>14</v>
      </c>
      <c r="T369" s="21">
        <v>1</v>
      </c>
      <c r="U369" s="21"/>
      <c r="V369" s="21">
        <f>SUMIFS(AD:AD,AE:AE,AE369)</f>
        <v>9899611.0700000003</v>
      </c>
      <c r="W369" s="21">
        <f t="shared" ref="W369:X369" si="70">IF(Y369=0,0,1)</f>
        <v>1</v>
      </c>
      <c r="X369" s="21">
        <f t="shared" si="70"/>
        <v>1</v>
      </c>
      <c r="Y369" s="21">
        <f>SUMIFS(Y:Y,AF:AF,AE369)</f>
        <v>249392.15000000002</v>
      </c>
      <c r="Z369" s="21">
        <f>SUMIFS(Z:Z,AF:AF,AE369)</f>
        <v>7531335.7599999998</v>
      </c>
      <c r="AA369" s="22" t="s">
        <v>15</v>
      </c>
      <c r="AB369" s="43" t="s">
        <v>16</v>
      </c>
      <c r="AC369" s="181">
        <f t="shared" si="65"/>
        <v>1</v>
      </c>
      <c r="AD369" s="184"/>
      <c r="AE369" s="184">
        <v>1.9</v>
      </c>
      <c r="AF369" s="184"/>
      <c r="AG369" s="101" t="str">
        <f t="shared" si="66"/>
        <v/>
      </c>
      <c r="AH369" s="190">
        <v>1</v>
      </c>
      <c r="AI369" s="69">
        <f t="shared" si="67"/>
        <v>1</v>
      </c>
    </row>
    <row r="370" spans="1:35" s="69" customFormat="1" ht="33" x14ac:dyDescent="0.3">
      <c r="A370" s="55" t="s">
        <v>990</v>
      </c>
      <c r="B370" s="138" t="s">
        <v>991</v>
      </c>
      <c r="C370" s="54" t="s">
        <v>30</v>
      </c>
      <c r="D370" s="75">
        <v>1088</v>
      </c>
      <c r="E370" s="75">
        <v>975</v>
      </c>
      <c r="F370" s="75"/>
      <c r="G370" s="75"/>
      <c r="H370" s="75">
        <v>2893</v>
      </c>
      <c r="I370" s="75">
        <v>247.2</v>
      </c>
      <c r="J370" s="75">
        <v>715149.6</v>
      </c>
      <c r="K370" s="91" t="s">
        <v>992</v>
      </c>
      <c r="L370" s="73"/>
      <c r="M370" s="46">
        <v>975</v>
      </c>
      <c r="N370" s="46">
        <v>0</v>
      </c>
      <c r="O370" s="46">
        <v>241020</v>
      </c>
      <c r="P370" s="98"/>
      <c r="Q370" s="23" t="s">
        <v>1421</v>
      </c>
      <c r="R370" s="24" t="s">
        <v>991</v>
      </c>
      <c r="S370" s="25" t="s">
        <v>30</v>
      </c>
      <c r="T370" s="26">
        <v>1088</v>
      </c>
      <c r="U370" s="26">
        <v>2893</v>
      </c>
      <c r="V370" s="26">
        <v>247.2</v>
      </c>
      <c r="W370" s="128">
        <f t="shared" ref="W370:W376" si="71">AH370-M370</f>
        <v>0</v>
      </c>
      <c r="X370" s="26">
        <f t="shared" si="61"/>
        <v>975</v>
      </c>
      <c r="Y370" s="26">
        <f t="shared" ref="Y370:Y376" si="72">Z370-O370</f>
        <v>0</v>
      </c>
      <c r="Z370" s="26">
        <f t="shared" ref="Z370:Z376" si="73">ROUND(V370*X370,2)</f>
        <v>241020</v>
      </c>
      <c r="AA370" s="27" t="s">
        <v>15</v>
      </c>
      <c r="AB370" s="36" t="s">
        <v>16</v>
      </c>
      <c r="AC370" s="181">
        <f t="shared" si="65"/>
        <v>2893</v>
      </c>
      <c r="AD370" s="181">
        <f t="shared" ref="AD370:AD376" si="74">ROUND(V370*AC370,2)</f>
        <v>715149.6</v>
      </c>
      <c r="AE370" s="181">
        <v>1.9</v>
      </c>
      <c r="AF370" s="181">
        <v>1.9</v>
      </c>
      <c r="AG370" s="101" t="str">
        <f t="shared" si="66"/>
        <v/>
      </c>
      <c r="AH370" s="191">
        <v>975</v>
      </c>
      <c r="AI370" s="69">
        <f t="shared" si="67"/>
        <v>975</v>
      </c>
    </row>
    <row r="371" spans="1:35" s="69" customFormat="1" ht="33" x14ac:dyDescent="0.3">
      <c r="A371" s="55" t="s">
        <v>993</v>
      </c>
      <c r="B371" s="138" t="s">
        <v>994</v>
      </c>
      <c r="C371" s="54" t="s">
        <v>30</v>
      </c>
      <c r="D371" s="75">
        <v>1088</v>
      </c>
      <c r="E371" s="75">
        <v>975</v>
      </c>
      <c r="F371" s="75"/>
      <c r="G371" s="75"/>
      <c r="H371" s="75">
        <v>2893</v>
      </c>
      <c r="I371" s="75">
        <v>236.9</v>
      </c>
      <c r="J371" s="75">
        <v>685351.7</v>
      </c>
      <c r="K371" s="91" t="s">
        <v>995</v>
      </c>
      <c r="L371" s="73"/>
      <c r="M371" s="46">
        <v>975</v>
      </c>
      <c r="N371" s="46">
        <v>0</v>
      </c>
      <c r="O371" s="46">
        <v>230977.5</v>
      </c>
      <c r="P371" s="98"/>
      <c r="Q371" s="23" t="s">
        <v>1426</v>
      </c>
      <c r="R371" s="24" t="s">
        <v>994</v>
      </c>
      <c r="S371" s="25" t="s">
        <v>30</v>
      </c>
      <c r="T371" s="26">
        <v>1088</v>
      </c>
      <c r="U371" s="26">
        <v>2893</v>
      </c>
      <c r="V371" s="26">
        <v>236.9</v>
      </c>
      <c r="W371" s="128">
        <f t="shared" si="71"/>
        <v>0</v>
      </c>
      <c r="X371" s="26">
        <f t="shared" ref="X371:X376" si="75">W371+M371</f>
        <v>975</v>
      </c>
      <c r="Y371" s="26">
        <f>Z371-O371</f>
        <v>0</v>
      </c>
      <c r="Z371" s="26">
        <f t="shared" si="73"/>
        <v>230977.5</v>
      </c>
      <c r="AA371" s="27" t="s">
        <v>15</v>
      </c>
      <c r="AB371" s="36" t="s">
        <v>16</v>
      </c>
      <c r="AC371" s="181">
        <f t="shared" si="65"/>
        <v>2893</v>
      </c>
      <c r="AD371" s="181">
        <f t="shared" si="74"/>
        <v>685351.7</v>
      </c>
      <c r="AE371" s="181">
        <v>1.9</v>
      </c>
      <c r="AF371" s="181">
        <v>1.9</v>
      </c>
      <c r="AG371" s="101" t="str">
        <f t="shared" si="66"/>
        <v/>
      </c>
      <c r="AH371" s="191">
        <v>975</v>
      </c>
      <c r="AI371" s="69">
        <f t="shared" si="67"/>
        <v>975</v>
      </c>
    </row>
    <row r="372" spans="1:35" s="69" customFormat="1" ht="39" x14ac:dyDescent="0.3">
      <c r="A372" s="55" t="s">
        <v>996</v>
      </c>
      <c r="B372" s="53" t="s">
        <v>997</v>
      </c>
      <c r="C372" s="54" t="s">
        <v>998</v>
      </c>
      <c r="D372" s="75">
        <v>6984</v>
      </c>
      <c r="E372" s="75">
        <v>8144</v>
      </c>
      <c r="F372" s="75">
        <v>8744</v>
      </c>
      <c r="G372" s="75"/>
      <c r="H372" s="75">
        <v>9795.5</v>
      </c>
      <c r="I372" s="75">
        <v>252.35</v>
      </c>
      <c r="J372" s="75">
        <v>2471894.4300000002</v>
      </c>
      <c r="K372" s="91" t="s">
        <v>999</v>
      </c>
      <c r="L372" s="73"/>
      <c r="M372" s="46">
        <v>9184</v>
      </c>
      <c r="N372" s="46">
        <v>52993.5</v>
      </c>
      <c r="O372" s="46">
        <v>2317582.4</v>
      </c>
      <c r="P372" s="98"/>
      <c r="Q372" s="23" t="s">
        <v>1402</v>
      </c>
      <c r="R372" s="24" t="s">
        <v>997</v>
      </c>
      <c r="S372" s="25" t="s">
        <v>998</v>
      </c>
      <c r="T372" s="26">
        <v>6984</v>
      </c>
      <c r="U372" s="26">
        <v>9795.5</v>
      </c>
      <c r="V372" s="26">
        <v>252.35</v>
      </c>
      <c r="W372" s="243">
        <f t="shared" si="71"/>
        <v>210</v>
      </c>
      <c r="X372" s="26">
        <f t="shared" si="75"/>
        <v>9394</v>
      </c>
      <c r="Y372" s="26">
        <f t="shared" si="72"/>
        <v>52993.5</v>
      </c>
      <c r="Z372" s="26">
        <f t="shared" si="73"/>
        <v>2370575.9</v>
      </c>
      <c r="AA372" s="27" t="s">
        <v>15</v>
      </c>
      <c r="AB372" s="36" t="s">
        <v>16</v>
      </c>
      <c r="AC372" s="181">
        <f t="shared" si="65"/>
        <v>9795.5</v>
      </c>
      <c r="AD372" s="181">
        <f t="shared" si="74"/>
        <v>2471894.4300000002</v>
      </c>
      <c r="AE372" s="181">
        <v>1.9</v>
      </c>
      <c r="AF372" s="181">
        <v>1.9</v>
      </c>
      <c r="AG372" s="101" t="str">
        <f t="shared" si="66"/>
        <v>超估</v>
      </c>
      <c r="AH372" s="191">
        <f>7744+360+360+510+210+210</f>
        <v>9394</v>
      </c>
      <c r="AI372" s="69">
        <f t="shared" si="67"/>
        <v>8744</v>
      </c>
    </row>
    <row r="373" spans="1:35" s="69" customFormat="1" ht="49.5" x14ac:dyDescent="0.3">
      <c r="A373" s="55" t="s">
        <v>1000</v>
      </c>
      <c r="B373" s="138" t="s">
        <v>1001</v>
      </c>
      <c r="C373" s="54" t="s">
        <v>14</v>
      </c>
      <c r="D373" s="75">
        <v>1</v>
      </c>
      <c r="E373" s="75"/>
      <c r="F373" s="75"/>
      <c r="G373" s="75"/>
      <c r="H373" s="75" t="s">
        <v>15</v>
      </c>
      <c r="I373" s="75">
        <v>350000</v>
      </c>
      <c r="J373" s="75">
        <v>350000</v>
      </c>
      <c r="K373" s="91" t="s">
        <v>1002</v>
      </c>
      <c r="L373" s="73"/>
      <c r="M373" s="46">
        <v>1</v>
      </c>
      <c r="N373" s="46">
        <v>0</v>
      </c>
      <c r="O373" s="46">
        <v>157500</v>
      </c>
      <c r="P373" s="98"/>
      <c r="Q373" s="23" t="s">
        <v>1373</v>
      </c>
      <c r="R373" s="24" t="s">
        <v>1001</v>
      </c>
      <c r="S373" s="25" t="s">
        <v>14</v>
      </c>
      <c r="T373" s="26">
        <v>1</v>
      </c>
      <c r="U373" s="26">
        <v>1</v>
      </c>
      <c r="V373" s="26">
        <v>350000</v>
      </c>
      <c r="W373" s="26">
        <f>IF(Y373=0,0,1)</f>
        <v>0</v>
      </c>
      <c r="X373" s="26">
        <f>IF(Z373=0,0,1)</f>
        <v>1</v>
      </c>
      <c r="Y373" s="26">
        <f t="shared" si="72"/>
        <v>0</v>
      </c>
      <c r="Z373" s="26">
        <v>157500</v>
      </c>
      <c r="AA373" s="123">
        <f>Z373/J373</f>
        <v>0.45</v>
      </c>
      <c r="AB373" s="36" t="s">
        <v>16</v>
      </c>
      <c r="AC373" s="181">
        <f t="shared" si="65"/>
        <v>1</v>
      </c>
      <c r="AD373" s="181">
        <f t="shared" si="74"/>
        <v>350000</v>
      </c>
      <c r="AE373" s="181">
        <v>1.9</v>
      </c>
      <c r="AF373" s="181">
        <v>1.9</v>
      </c>
      <c r="AG373" s="101" t="str">
        <f t="shared" si="66"/>
        <v/>
      </c>
      <c r="AH373" s="190">
        <v>1</v>
      </c>
      <c r="AI373" s="69">
        <f t="shared" si="67"/>
        <v>1</v>
      </c>
    </row>
    <row r="374" spans="1:35" s="69" customFormat="1" ht="33" x14ac:dyDescent="0.3">
      <c r="A374" s="55" t="s">
        <v>1003</v>
      </c>
      <c r="B374" s="138" t="s">
        <v>1004</v>
      </c>
      <c r="C374" s="54" t="s">
        <v>97</v>
      </c>
      <c r="D374" s="75">
        <v>1</v>
      </c>
      <c r="E374" s="75">
        <v>2480</v>
      </c>
      <c r="F374" s="75"/>
      <c r="G374" s="75"/>
      <c r="H374" s="75">
        <v>3149</v>
      </c>
      <c r="I374" s="75">
        <v>931.12</v>
      </c>
      <c r="J374" s="75">
        <v>2932096.88</v>
      </c>
      <c r="K374" s="91" t="s">
        <v>1005</v>
      </c>
      <c r="L374" s="73"/>
      <c r="M374" s="46">
        <v>2242</v>
      </c>
      <c r="N374" s="46">
        <v>169463.84000000008</v>
      </c>
      <c r="O374" s="46">
        <v>2087571.04</v>
      </c>
      <c r="P374" s="98"/>
      <c r="Q374" s="23" t="s">
        <v>1393</v>
      </c>
      <c r="R374" s="24" t="s">
        <v>1004</v>
      </c>
      <c r="S374" s="25" t="s">
        <v>97</v>
      </c>
      <c r="T374" s="26">
        <v>1</v>
      </c>
      <c r="U374" s="26">
        <v>3149</v>
      </c>
      <c r="V374" s="26">
        <v>931.12</v>
      </c>
      <c r="W374" s="243">
        <f t="shared" si="71"/>
        <v>120</v>
      </c>
      <c r="X374" s="26">
        <f t="shared" si="75"/>
        <v>2362</v>
      </c>
      <c r="Y374" s="26">
        <f t="shared" si="72"/>
        <v>111734.39999999991</v>
      </c>
      <c r="Z374" s="26">
        <f t="shared" si="73"/>
        <v>2199305.44</v>
      </c>
      <c r="AA374" s="27" t="s">
        <v>15</v>
      </c>
      <c r="AB374" s="36" t="s">
        <v>16</v>
      </c>
      <c r="AC374" s="181">
        <f t="shared" si="65"/>
        <v>3149</v>
      </c>
      <c r="AD374" s="181">
        <f t="shared" si="74"/>
        <v>2932096.88</v>
      </c>
      <c r="AE374" s="181">
        <v>1.9</v>
      </c>
      <c r="AF374" s="181">
        <v>1.9</v>
      </c>
      <c r="AG374" s="101" t="str">
        <f t="shared" si="66"/>
        <v/>
      </c>
      <c r="AH374" s="191">
        <f>2060+182+120</f>
        <v>2362</v>
      </c>
      <c r="AI374" s="69">
        <f t="shared" si="67"/>
        <v>2480</v>
      </c>
    </row>
    <row r="375" spans="1:35" s="69" customFormat="1" ht="39" x14ac:dyDescent="0.3">
      <c r="A375" s="55" t="s">
        <v>1006</v>
      </c>
      <c r="B375" s="53" t="s">
        <v>678</v>
      </c>
      <c r="C375" s="54" t="s">
        <v>23</v>
      </c>
      <c r="D375" s="75">
        <v>1</v>
      </c>
      <c r="E375" s="203">
        <v>91</v>
      </c>
      <c r="F375" s="203">
        <v>291</v>
      </c>
      <c r="G375" s="203"/>
      <c r="H375" s="203">
        <v>438</v>
      </c>
      <c r="I375" s="75">
        <v>3386.57</v>
      </c>
      <c r="J375" s="75">
        <v>1483317.66</v>
      </c>
      <c r="K375" s="91" t="s">
        <v>679</v>
      </c>
      <c r="L375" s="73"/>
      <c r="M375" s="46">
        <v>291</v>
      </c>
      <c r="N375" s="46">
        <v>0</v>
      </c>
      <c r="O375" s="46">
        <v>985491.87</v>
      </c>
      <c r="P375" s="98"/>
      <c r="Q375" s="23" t="s">
        <v>1403</v>
      </c>
      <c r="R375" s="24" t="s">
        <v>678</v>
      </c>
      <c r="S375" s="25" t="s">
        <v>23</v>
      </c>
      <c r="T375" s="26">
        <v>1</v>
      </c>
      <c r="U375" s="26">
        <v>438</v>
      </c>
      <c r="V375" s="26">
        <v>3386.57</v>
      </c>
      <c r="W375" s="243">
        <f t="shared" si="71"/>
        <v>25</v>
      </c>
      <c r="X375" s="26">
        <f t="shared" si="75"/>
        <v>316</v>
      </c>
      <c r="Y375" s="26">
        <f t="shared" si="72"/>
        <v>84664.250000000116</v>
      </c>
      <c r="Z375" s="26">
        <f t="shared" si="73"/>
        <v>1070156.1200000001</v>
      </c>
      <c r="AA375" s="27" t="s">
        <v>15</v>
      </c>
      <c r="AB375" s="36" t="s">
        <v>16</v>
      </c>
      <c r="AC375" s="181">
        <f t="shared" si="65"/>
        <v>438</v>
      </c>
      <c r="AD375" s="181">
        <f t="shared" si="74"/>
        <v>1483317.66</v>
      </c>
      <c r="AE375" s="181">
        <v>1.9</v>
      </c>
      <c r="AF375" s="181">
        <v>1.9</v>
      </c>
      <c r="AG375" s="101" t="str">
        <f t="shared" si="66"/>
        <v>超估</v>
      </c>
      <c r="AH375" s="191">
        <f>291+25</f>
        <v>316</v>
      </c>
      <c r="AI375" s="69">
        <f t="shared" si="67"/>
        <v>291</v>
      </c>
    </row>
    <row r="376" spans="1:35" s="69" customFormat="1" ht="49.5" x14ac:dyDescent="0.3">
      <c r="A376" s="134" t="s">
        <v>1340</v>
      </c>
      <c r="B376" s="139" t="s">
        <v>3137</v>
      </c>
      <c r="C376" s="204" t="s">
        <v>30</v>
      </c>
      <c r="D376" s="133"/>
      <c r="E376" s="59">
        <v>130</v>
      </c>
      <c r="F376" s="77"/>
      <c r="G376" s="77"/>
      <c r="H376" s="77" t="s">
        <v>15</v>
      </c>
      <c r="I376" s="77">
        <v>9706.16</v>
      </c>
      <c r="J376" s="59">
        <v>1261800.8</v>
      </c>
      <c r="K376" s="92"/>
      <c r="L376" s="73"/>
      <c r="M376" s="46">
        <v>130</v>
      </c>
      <c r="N376" s="46">
        <v>0</v>
      </c>
      <c r="O376" s="46">
        <v>1261800.8</v>
      </c>
      <c r="P376" s="98"/>
      <c r="Q376" s="23" t="s">
        <v>1427</v>
      </c>
      <c r="R376" s="24" t="s">
        <v>1500</v>
      </c>
      <c r="S376" s="25" t="s">
        <v>30</v>
      </c>
      <c r="T376" s="26">
        <v>0</v>
      </c>
      <c r="U376" s="26">
        <v>130</v>
      </c>
      <c r="V376" s="26">
        <v>9706.16</v>
      </c>
      <c r="W376" s="127">
        <f t="shared" si="71"/>
        <v>0</v>
      </c>
      <c r="X376" s="127">
        <f t="shared" si="75"/>
        <v>130</v>
      </c>
      <c r="Y376" s="127">
        <f t="shared" si="72"/>
        <v>0</v>
      </c>
      <c r="Z376" s="127">
        <f t="shared" si="73"/>
        <v>1261800.8</v>
      </c>
      <c r="AA376" s="27"/>
      <c r="AB376" s="36" t="s">
        <v>16</v>
      </c>
      <c r="AC376" s="181">
        <f t="shared" si="65"/>
        <v>130</v>
      </c>
      <c r="AD376" s="181">
        <f t="shared" si="74"/>
        <v>1261800.8</v>
      </c>
      <c r="AE376" s="181">
        <v>1.9</v>
      </c>
      <c r="AF376" s="181">
        <v>1.9</v>
      </c>
      <c r="AG376" s="101" t="str">
        <f t="shared" si="66"/>
        <v/>
      </c>
      <c r="AH376" s="194">
        <v>130</v>
      </c>
      <c r="AI376" s="69">
        <f t="shared" si="67"/>
        <v>130</v>
      </c>
    </row>
    <row r="377" spans="1:35" s="69" customFormat="1" ht="33" x14ac:dyDescent="0.3">
      <c r="A377" s="85" t="s">
        <v>1007</v>
      </c>
      <c r="B377" s="86" t="s">
        <v>1008</v>
      </c>
      <c r="C377" s="87" t="s">
        <v>14</v>
      </c>
      <c r="D377" s="88">
        <v>1</v>
      </c>
      <c r="E377" s="88"/>
      <c r="F377" s="88"/>
      <c r="G377" s="88"/>
      <c r="H377" s="88" t="s">
        <v>15</v>
      </c>
      <c r="I377" s="88"/>
      <c r="J377" s="88">
        <v>27540238.109999999</v>
      </c>
      <c r="K377" s="95" t="s">
        <v>15</v>
      </c>
      <c r="L377" s="73"/>
      <c r="M377" s="42">
        <v>1</v>
      </c>
      <c r="N377" s="42">
        <v>397218.4</v>
      </c>
      <c r="O377" s="42">
        <v>24987047.700000003</v>
      </c>
      <c r="P377" s="98"/>
      <c r="Q377" s="13" t="s">
        <v>1404</v>
      </c>
      <c r="R377" s="14" t="s">
        <v>1008</v>
      </c>
      <c r="S377" s="15" t="s">
        <v>14</v>
      </c>
      <c r="T377" s="16">
        <v>1</v>
      </c>
      <c r="U377" s="16"/>
      <c r="V377" s="16">
        <f>SUMIFS(AD:AD,AE:AE,AE377)</f>
        <v>27540238.110000003</v>
      </c>
      <c r="W377" s="16">
        <f t="shared" ref="W377:X377" si="76">IF(Y377=0,0,1)</f>
        <v>1</v>
      </c>
      <c r="X377" s="16">
        <f t="shared" si="76"/>
        <v>1</v>
      </c>
      <c r="Y377" s="16">
        <f>SUMIFS(Y:Y,AF:AF,AE377)</f>
        <v>394800.4</v>
      </c>
      <c r="Z377" s="16">
        <f>SUMIFS(Z:Z,AF:AF,AE377)</f>
        <v>25381848.100000005</v>
      </c>
      <c r="AA377" s="17" t="s">
        <v>15</v>
      </c>
      <c r="AB377" s="40" t="s">
        <v>16</v>
      </c>
      <c r="AC377" s="181">
        <f t="shared" si="65"/>
        <v>1</v>
      </c>
      <c r="AD377" s="183"/>
      <c r="AE377" s="183">
        <v>2</v>
      </c>
      <c r="AF377" s="183"/>
      <c r="AG377" s="101" t="str">
        <f t="shared" si="66"/>
        <v/>
      </c>
      <c r="AH377" s="190">
        <v>1</v>
      </c>
      <c r="AI377" s="69">
        <f t="shared" si="67"/>
        <v>1</v>
      </c>
    </row>
    <row r="378" spans="1:35" s="69" customFormat="1" ht="33" x14ac:dyDescent="0.3">
      <c r="A378" s="55" t="s">
        <v>1009</v>
      </c>
      <c r="B378" s="53" t="s">
        <v>1010</v>
      </c>
      <c r="C378" s="54" t="s">
        <v>14</v>
      </c>
      <c r="D378" s="75">
        <v>1</v>
      </c>
      <c r="E378" s="75"/>
      <c r="F378" s="75"/>
      <c r="G378" s="75"/>
      <c r="H378" s="75" t="s">
        <v>15</v>
      </c>
      <c r="I378" s="75">
        <v>711302</v>
      </c>
      <c r="J378" s="75">
        <v>711302</v>
      </c>
      <c r="K378" s="91" t="s">
        <v>1011</v>
      </c>
      <c r="L378" s="73"/>
      <c r="M378" s="46">
        <v>0.2</v>
      </c>
      <c r="N378" s="46">
        <v>142260.4</v>
      </c>
      <c r="O378" s="46">
        <v>142260.4</v>
      </c>
      <c r="P378" s="98"/>
      <c r="Q378" s="23" t="s">
        <v>1421</v>
      </c>
      <c r="R378" s="24" t="s">
        <v>1010</v>
      </c>
      <c r="S378" s="25" t="s">
        <v>14</v>
      </c>
      <c r="T378" s="26">
        <v>1</v>
      </c>
      <c r="U378" s="26">
        <v>1</v>
      </c>
      <c r="V378" s="26">
        <v>711302</v>
      </c>
      <c r="W378" s="199">
        <f t="shared" ref="W378:W406" si="77">AH378-M378</f>
        <v>0.2</v>
      </c>
      <c r="X378" s="26">
        <f t="shared" ref="X378:X458" si="78">W378+M378</f>
        <v>0.4</v>
      </c>
      <c r="Y378" s="26">
        <f t="shared" ref="Y378:Y406" si="79">Z378-O378</f>
        <v>142260.4</v>
      </c>
      <c r="Z378" s="26">
        <f t="shared" ref="Z378:Z406" si="80">ROUND(V378*X378,2)</f>
        <v>284520.8</v>
      </c>
      <c r="AA378" s="33" t="s">
        <v>15</v>
      </c>
      <c r="AB378" s="36" t="s">
        <v>16</v>
      </c>
      <c r="AC378" s="181">
        <f t="shared" si="65"/>
        <v>1</v>
      </c>
      <c r="AD378" s="181">
        <f t="shared" ref="AD378:AD406" si="81">ROUND(V378*AC378,2)</f>
        <v>711302</v>
      </c>
      <c r="AE378" s="181">
        <v>2</v>
      </c>
      <c r="AF378" s="181">
        <v>2</v>
      </c>
      <c r="AG378" s="101" t="str">
        <f t="shared" si="66"/>
        <v/>
      </c>
      <c r="AH378" s="191">
        <f>0.2+0.2</f>
        <v>0.4</v>
      </c>
      <c r="AI378" s="69">
        <f t="shared" si="67"/>
        <v>1</v>
      </c>
    </row>
    <row r="379" spans="1:35" s="69" customFormat="1" ht="33" customHeight="1" x14ac:dyDescent="0.3">
      <c r="A379" s="55" t="s">
        <v>1012</v>
      </c>
      <c r="B379" s="53" t="s">
        <v>3153</v>
      </c>
      <c r="C379" s="54" t="s">
        <v>1014</v>
      </c>
      <c r="D379" s="75">
        <v>7</v>
      </c>
      <c r="E379" s="75"/>
      <c r="F379" s="75"/>
      <c r="G379" s="75"/>
      <c r="H379" s="76" t="s">
        <v>15</v>
      </c>
      <c r="I379" s="75">
        <v>50000</v>
      </c>
      <c r="J379" s="75">
        <v>350000</v>
      </c>
      <c r="K379" s="91" t="s">
        <v>1015</v>
      </c>
      <c r="L379" s="73"/>
      <c r="M379" s="46">
        <v>1</v>
      </c>
      <c r="N379" s="46">
        <v>0</v>
      </c>
      <c r="O379" s="46">
        <v>50000</v>
      </c>
      <c r="P379" s="98"/>
      <c r="Q379" s="23" t="s">
        <v>1426</v>
      </c>
      <c r="R379" s="24" t="s">
        <v>1013</v>
      </c>
      <c r="S379" s="25" t="s">
        <v>1014</v>
      </c>
      <c r="T379" s="26">
        <v>7</v>
      </c>
      <c r="U379" s="26">
        <v>7</v>
      </c>
      <c r="V379" s="26">
        <v>50000</v>
      </c>
      <c r="W379" s="243">
        <f t="shared" si="77"/>
        <v>0</v>
      </c>
      <c r="X379" s="26">
        <f t="shared" si="78"/>
        <v>1</v>
      </c>
      <c r="Y379" s="26">
        <f t="shared" si="79"/>
        <v>0</v>
      </c>
      <c r="Z379" s="26">
        <f t="shared" si="80"/>
        <v>50000</v>
      </c>
      <c r="AA379" s="33" t="s">
        <v>15</v>
      </c>
      <c r="AB379" s="36" t="s">
        <v>16</v>
      </c>
      <c r="AC379" s="181">
        <f t="shared" si="65"/>
        <v>7</v>
      </c>
      <c r="AD379" s="181">
        <f t="shared" si="81"/>
        <v>350000</v>
      </c>
      <c r="AE379" s="181">
        <v>2</v>
      </c>
      <c r="AF379" s="181">
        <v>2</v>
      </c>
      <c r="AG379" s="101" t="str">
        <f t="shared" si="66"/>
        <v/>
      </c>
      <c r="AH379" s="191">
        <f>1</f>
        <v>1</v>
      </c>
      <c r="AI379" s="69">
        <f t="shared" si="67"/>
        <v>7</v>
      </c>
    </row>
    <row r="380" spans="1:35" s="69" customFormat="1" ht="33" x14ac:dyDescent="0.3">
      <c r="A380" s="130" t="s">
        <v>1016</v>
      </c>
      <c r="B380" s="131" t="s">
        <v>1017</v>
      </c>
      <c r="C380" s="132" t="s">
        <v>50</v>
      </c>
      <c r="D380" s="133">
        <v>360</v>
      </c>
      <c r="E380" s="75"/>
      <c r="F380" s="75">
        <v>400</v>
      </c>
      <c r="G380" s="224"/>
      <c r="H380" s="158" t="s">
        <v>15</v>
      </c>
      <c r="I380" s="166">
        <v>22500</v>
      </c>
      <c r="J380" s="75">
        <v>9000000</v>
      </c>
      <c r="K380" s="91" t="s">
        <v>1018</v>
      </c>
      <c r="L380" s="73"/>
      <c r="M380" s="46">
        <v>400</v>
      </c>
      <c r="N380" s="46">
        <v>0</v>
      </c>
      <c r="O380" s="46">
        <v>9000000</v>
      </c>
      <c r="P380" s="98"/>
      <c r="Q380" s="23" t="s">
        <v>1402</v>
      </c>
      <c r="R380" s="24" t="s">
        <v>1017</v>
      </c>
      <c r="S380" s="25" t="s">
        <v>50</v>
      </c>
      <c r="T380" s="26">
        <v>360</v>
      </c>
      <c r="U380" s="26">
        <v>400</v>
      </c>
      <c r="V380" s="26">
        <v>22500</v>
      </c>
      <c r="W380" s="127">
        <f t="shared" si="77"/>
        <v>0</v>
      </c>
      <c r="X380" s="127">
        <f t="shared" si="78"/>
        <v>400</v>
      </c>
      <c r="Y380" s="127">
        <f t="shared" si="79"/>
        <v>0</v>
      </c>
      <c r="Z380" s="127">
        <f t="shared" si="80"/>
        <v>9000000</v>
      </c>
      <c r="AA380" s="27" t="s">
        <v>15</v>
      </c>
      <c r="AB380" s="36" t="s">
        <v>16</v>
      </c>
      <c r="AC380" s="181">
        <f t="shared" si="65"/>
        <v>400</v>
      </c>
      <c r="AD380" s="181">
        <f t="shared" si="81"/>
        <v>9000000</v>
      </c>
      <c r="AE380" s="181">
        <v>2</v>
      </c>
      <c r="AF380" s="181">
        <v>2</v>
      </c>
      <c r="AG380" s="101" t="str">
        <f t="shared" si="66"/>
        <v/>
      </c>
      <c r="AH380" s="190">
        <v>400</v>
      </c>
      <c r="AI380" s="69">
        <f t="shared" si="67"/>
        <v>400</v>
      </c>
    </row>
    <row r="381" spans="1:35" s="69" customFormat="1" ht="49.5" x14ac:dyDescent="0.3">
      <c r="A381" s="55" t="s">
        <v>1019</v>
      </c>
      <c r="B381" s="138" t="s">
        <v>1020</v>
      </c>
      <c r="C381" s="54" t="s">
        <v>1021</v>
      </c>
      <c r="D381" s="75">
        <v>730</v>
      </c>
      <c r="E381" s="75">
        <v>910</v>
      </c>
      <c r="F381" s="161">
        <v>3650</v>
      </c>
      <c r="G381" s="235"/>
      <c r="H381" s="158" t="s">
        <v>15</v>
      </c>
      <c r="I381" s="166">
        <v>806</v>
      </c>
      <c r="J381" s="75">
        <v>2941900</v>
      </c>
      <c r="K381" s="91" t="s">
        <v>1022</v>
      </c>
      <c r="L381" s="73"/>
      <c r="M381" s="46">
        <v>2439</v>
      </c>
      <c r="N381" s="46">
        <v>74958</v>
      </c>
      <c r="O381" s="46">
        <v>1965834</v>
      </c>
      <c r="P381" s="98"/>
      <c r="Q381" s="23" t="s">
        <v>1373</v>
      </c>
      <c r="R381" s="24" t="s">
        <v>1020</v>
      </c>
      <c r="S381" s="25" t="s">
        <v>1021</v>
      </c>
      <c r="T381" s="26">
        <v>730</v>
      </c>
      <c r="U381" s="26">
        <v>3650</v>
      </c>
      <c r="V381" s="26">
        <v>806</v>
      </c>
      <c r="W381" s="250">
        <f t="shared" si="77"/>
        <v>90</v>
      </c>
      <c r="X381" s="26">
        <f t="shared" si="78"/>
        <v>2529</v>
      </c>
      <c r="Y381" s="26">
        <f t="shared" si="79"/>
        <v>72540</v>
      </c>
      <c r="Z381" s="26">
        <f t="shared" si="80"/>
        <v>2038374</v>
      </c>
      <c r="AA381" s="27" t="s">
        <v>15</v>
      </c>
      <c r="AB381" s="36" t="s">
        <v>16</v>
      </c>
      <c r="AC381" s="181">
        <f t="shared" si="65"/>
        <v>3650</v>
      </c>
      <c r="AD381" s="181">
        <f t="shared" si="81"/>
        <v>2941900</v>
      </c>
      <c r="AE381" s="181">
        <v>2</v>
      </c>
      <c r="AF381" s="181">
        <v>2</v>
      </c>
      <c r="AG381" s="101" t="str">
        <f t="shared" si="66"/>
        <v/>
      </c>
      <c r="AH381" s="191">
        <f>2070+93+93+90+93+90</f>
        <v>2529</v>
      </c>
      <c r="AI381" s="69">
        <f t="shared" si="67"/>
        <v>3650</v>
      </c>
    </row>
    <row r="382" spans="1:35" s="69" customFormat="1" ht="33" customHeight="1" x14ac:dyDescent="0.3">
      <c r="A382" s="130" t="s">
        <v>1023</v>
      </c>
      <c r="B382" s="131" t="s">
        <v>1024</v>
      </c>
      <c r="C382" s="132" t="s">
        <v>1014</v>
      </c>
      <c r="D382" s="133">
        <v>2</v>
      </c>
      <c r="E382" s="75">
        <v>4</v>
      </c>
      <c r="F382" s="161">
        <v>5</v>
      </c>
      <c r="G382" s="235"/>
      <c r="H382" s="158" t="s">
        <v>15</v>
      </c>
      <c r="I382" s="166">
        <v>50000</v>
      </c>
      <c r="J382" s="75">
        <v>250000</v>
      </c>
      <c r="K382" s="91" t="s">
        <v>1025</v>
      </c>
      <c r="L382" s="73"/>
      <c r="M382" s="46">
        <v>5</v>
      </c>
      <c r="N382" s="46">
        <v>0</v>
      </c>
      <c r="O382" s="46">
        <v>250000</v>
      </c>
      <c r="P382" s="98"/>
      <c r="Q382" s="23" t="s">
        <v>1393</v>
      </c>
      <c r="R382" s="24" t="s">
        <v>1024</v>
      </c>
      <c r="S382" s="25" t="s">
        <v>1014</v>
      </c>
      <c r="T382" s="26">
        <v>2</v>
      </c>
      <c r="U382" s="26">
        <v>5</v>
      </c>
      <c r="V382" s="26">
        <v>50000</v>
      </c>
      <c r="W382" s="127">
        <f t="shared" si="77"/>
        <v>0</v>
      </c>
      <c r="X382" s="127">
        <f t="shared" si="78"/>
        <v>5</v>
      </c>
      <c r="Y382" s="127">
        <f t="shared" si="79"/>
        <v>0</v>
      </c>
      <c r="Z382" s="127">
        <f t="shared" si="80"/>
        <v>250000</v>
      </c>
      <c r="AA382" s="27" t="s">
        <v>15</v>
      </c>
      <c r="AB382" s="36" t="s">
        <v>16</v>
      </c>
      <c r="AC382" s="181">
        <f t="shared" si="65"/>
        <v>5</v>
      </c>
      <c r="AD382" s="181">
        <f t="shared" si="81"/>
        <v>250000</v>
      </c>
      <c r="AE382" s="181">
        <v>2</v>
      </c>
      <c r="AF382" s="181">
        <v>2</v>
      </c>
      <c r="AG382" s="101" t="str">
        <f t="shared" si="66"/>
        <v/>
      </c>
      <c r="AH382" s="190">
        <v>5</v>
      </c>
      <c r="AI382" s="69">
        <f t="shared" si="67"/>
        <v>5</v>
      </c>
    </row>
    <row r="383" spans="1:35" s="69" customFormat="1" ht="36.75" customHeight="1" x14ac:dyDescent="0.3">
      <c r="A383" s="55" t="s">
        <v>1026</v>
      </c>
      <c r="B383" s="53" t="s">
        <v>1027</v>
      </c>
      <c r="C383" s="54" t="s">
        <v>1028</v>
      </c>
      <c r="D383" s="75">
        <v>24</v>
      </c>
      <c r="E383" s="75"/>
      <c r="F383" s="161"/>
      <c r="G383" s="235"/>
      <c r="H383" s="158" t="s">
        <v>15</v>
      </c>
      <c r="I383" s="166">
        <v>180000</v>
      </c>
      <c r="J383" s="75">
        <v>4320000</v>
      </c>
      <c r="K383" s="91" t="s">
        <v>1029</v>
      </c>
      <c r="L383" s="73"/>
      <c r="M383" s="46">
        <v>22</v>
      </c>
      <c r="N383" s="46">
        <v>180000</v>
      </c>
      <c r="O383" s="46">
        <v>3960000</v>
      </c>
      <c r="P383" s="98"/>
      <c r="Q383" s="23" t="s">
        <v>1403</v>
      </c>
      <c r="R383" s="24" t="s">
        <v>1027</v>
      </c>
      <c r="S383" s="25" t="s">
        <v>1028</v>
      </c>
      <c r="T383" s="26">
        <v>24</v>
      </c>
      <c r="U383" s="26">
        <v>24</v>
      </c>
      <c r="V383" s="26">
        <v>180000</v>
      </c>
      <c r="W383" s="250">
        <f t="shared" si="77"/>
        <v>1</v>
      </c>
      <c r="X383" s="26">
        <f t="shared" si="78"/>
        <v>23</v>
      </c>
      <c r="Y383" s="26">
        <f t="shared" si="79"/>
        <v>180000</v>
      </c>
      <c r="Z383" s="26">
        <f t="shared" si="80"/>
        <v>4140000</v>
      </c>
      <c r="AA383" s="33" t="s">
        <v>15</v>
      </c>
      <c r="AB383" s="36" t="s">
        <v>16</v>
      </c>
      <c r="AC383" s="181">
        <f t="shared" si="65"/>
        <v>24</v>
      </c>
      <c r="AD383" s="181">
        <f t="shared" si="81"/>
        <v>4320000</v>
      </c>
      <c r="AE383" s="181">
        <v>2</v>
      </c>
      <c r="AF383" s="181">
        <v>2</v>
      </c>
      <c r="AG383" s="101" t="str">
        <f t="shared" si="66"/>
        <v/>
      </c>
      <c r="AH383" s="191">
        <f>17+1+1+1+1+1+1</f>
        <v>23</v>
      </c>
      <c r="AI383" s="69">
        <f t="shared" si="67"/>
        <v>24</v>
      </c>
    </row>
    <row r="384" spans="1:35" s="69" customFormat="1" ht="34.5" customHeight="1" x14ac:dyDescent="0.3">
      <c r="A384" s="55" t="s">
        <v>1030</v>
      </c>
      <c r="B384" s="53" t="s">
        <v>1031</v>
      </c>
      <c r="C384" s="54" t="s">
        <v>14</v>
      </c>
      <c r="D384" s="75">
        <v>1</v>
      </c>
      <c r="E384" s="75"/>
      <c r="F384" s="161"/>
      <c r="G384" s="235"/>
      <c r="H384" s="158" t="s">
        <v>15</v>
      </c>
      <c r="I384" s="166">
        <v>205982.81</v>
      </c>
      <c r="J384" s="75">
        <v>205982.81</v>
      </c>
      <c r="K384" s="91" t="s">
        <v>1032</v>
      </c>
      <c r="L384" s="73"/>
      <c r="M384" s="46">
        <v>0</v>
      </c>
      <c r="N384" s="46">
        <v>0</v>
      </c>
      <c r="O384" s="46">
        <v>0</v>
      </c>
      <c r="P384" s="98"/>
      <c r="Q384" s="23" t="s">
        <v>1427</v>
      </c>
      <c r="R384" s="24" t="s">
        <v>1031</v>
      </c>
      <c r="S384" s="25" t="s">
        <v>14</v>
      </c>
      <c r="T384" s="26">
        <v>1</v>
      </c>
      <c r="U384" s="26">
        <v>1</v>
      </c>
      <c r="V384" s="26">
        <v>205982.81</v>
      </c>
      <c r="W384" s="26">
        <f t="shared" si="77"/>
        <v>0</v>
      </c>
      <c r="X384" s="26">
        <f t="shared" si="78"/>
        <v>0</v>
      </c>
      <c r="Y384" s="26">
        <f t="shared" si="79"/>
        <v>0</v>
      </c>
      <c r="Z384" s="26">
        <f t="shared" si="80"/>
        <v>0</v>
      </c>
      <c r="AA384" s="33" t="s">
        <v>15</v>
      </c>
      <c r="AB384" s="36" t="s">
        <v>16</v>
      </c>
      <c r="AC384" s="181">
        <f t="shared" si="65"/>
        <v>1</v>
      </c>
      <c r="AD384" s="181">
        <f t="shared" si="81"/>
        <v>205982.81</v>
      </c>
      <c r="AE384" s="181">
        <v>2</v>
      </c>
      <c r="AF384" s="181">
        <v>2</v>
      </c>
      <c r="AG384" s="101" t="str">
        <f t="shared" si="66"/>
        <v/>
      </c>
      <c r="AH384" s="190">
        <v>0</v>
      </c>
      <c r="AI384" s="69">
        <f t="shared" si="67"/>
        <v>1</v>
      </c>
    </row>
    <row r="385" spans="1:35" s="69" customFormat="1" ht="33" customHeight="1" x14ac:dyDescent="0.3">
      <c r="A385" s="130" t="s">
        <v>1033</v>
      </c>
      <c r="B385" s="131" t="s">
        <v>1034</v>
      </c>
      <c r="C385" s="132" t="s">
        <v>14</v>
      </c>
      <c r="D385" s="133">
        <v>1</v>
      </c>
      <c r="E385" s="75"/>
      <c r="F385" s="161"/>
      <c r="G385" s="235"/>
      <c r="H385" s="158" t="s">
        <v>15</v>
      </c>
      <c r="I385" s="166">
        <v>2425000</v>
      </c>
      <c r="J385" s="75">
        <v>2425000</v>
      </c>
      <c r="K385" s="91" t="s">
        <v>1035</v>
      </c>
      <c r="L385" s="73"/>
      <c r="M385" s="46">
        <v>1</v>
      </c>
      <c r="N385" s="46">
        <v>0</v>
      </c>
      <c r="O385" s="46">
        <v>2425000</v>
      </c>
      <c r="P385" s="98"/>
      <c r="Q385" s="23" t="s">
        <v>1428</v>
      </c>
      <c r="R385" s="24" t="s">
        <v>1034</v>
      </c>
      <c r="S385" s="25" t="s">
        <v>14</v>
      </c>
      <c r="T385" s="26">
        <v>1</v>
      </c>
      <c r="U385" s="26">
        <v>1</v>
      </c>
      <c r="V385" s="26">
        <v>2425000</v>
      </c>
      <c r="W385" s="127">
        <f t="shared" si="77"/>
        <v>0</v>
      </c>
      <c r="X385" s="127">
        <f t="shared" si="78"/>
        <v>1</v>
      </c>
      <c r="Y385" s="127">
        <f t="shared" si="79"/>
        <v>0</v>
      </c>
      <c r="Z385" s="127">
        <f t="shared" si="80"/>
        <v>2425000</v>
      </c>
      <c r="AA385" s="33" t="s">
        <v>1499</v>
      </c>
      <c r="AB385" s="36" t="s">
        <v>16</v>
      </c>
      <c r="AC385" s="181">
        <f t="shared" si="65"/>
        <v>1</v>
      </c>
      <c r="AD385" s="181">
        <f t="shared" si="81"/>
        <v>2425000</v>
      </c>
      <c r="AE385" s="181">
        <v>2</v>
      </c>
      <c r="AF385" s="181">
        <v>2</v>
      </c>
      <c r="AG385" s="101" t="str">
        <f t="shared" si="66"/>
        <v/>
      </c>
      <c r="AH385" s="190">
        <v>1</v>
      </c>
      <c r="AI385" s="69">
        <f t="shared" si="67"/>
        <v>1</v>
      </c>
    </row>
    <row r="386" spans="1:35" s="69" customFormat="1" ht="33" customHeight="1" x14ac:dyDescent="0.3">
      <c r="A386" s="55" t="s">
        <v>1036</v>
      </c>
      <c r="B386" s="53" t="s">
        <v>1037</v>
      </c>
      <c r="C386" s="54" t="s">
        <v>14</v>
      </c>
      <c r="D386" s="75">
        <v>1</v>
      </c>
      <c r="E386" s="75"/>
      <c r="F386" s="161"/>
      <c r="G386" s="235"/>
      <c r="H386" s="158" t="s">
        <v>15</v>
      </c>
      <c r="I386" s="166">
        <v>350000</v>
      </c>
      <c r="J386" s="75">
        <v>350000</v>
      </c>
      <c r="K386" s="91" t="s">
        <v>1038</v>
      </c>
      <c r="L386" s="73"/>
      <c r="M386" s="46">
        <v>0.85</v>
      </c>
      <c r="N386" s="46">
        <v>0</v>
      </c>
      <c r="O386" s="46">
        <v>297500</v>
      </c>
      <c r="P386" s="98"/>
      <c r="Q386" s="23" t="s">
        <v>1387</v>
      </c>
      <c r="R386" s="24" t="s">
        <v>1037</v>
      </c>
      <c r="S386" s="25" t="s">
        <v>14</v>
      </c>
      <c r="T386" s="26">
        <v>1</v>
      </c>
      <c r="U386" s="26">
        <v>1</v>
      </c>
      <c r="V386" s="26">
        <v>350000</v>
      </c>
      <c r="W386" s="243">
        <f t="shared" si="77"/>
        <v>0</v>
      </c>
      <c r="X386" s="26">
        <f t="shared" si="78"/>
        <v>0.85</v>
      </c>
      <c r="Y386" s="26">
        <f>Z386-O386</f>
        <v>0</v>
      </c>
      <c r="Z386" s="26">
        <f>ROUND(V386*X386,2)</f>
        <v>297500</v>
      </c>
      <c r="AA386" s="33" t="s">
        <v>15</v>
      </c>
      <c r="AB386" s="36" t="s">
        <v>16</v>
      </c>
      <c r="AC386" s="181">
        <f t="shared" si="65"/>
        <v>1</v>
      </c>
      <c r="AD386" s="181">
        <f t="shared" si="81"/>
        <v>350000</v>
      </c>
      <c r="AE386" s="181">
        <v>2</v>
      </c>
      <c r="AF386" s="181">
        <v>2</v>
      </c>
      <c r="AG386" s="101" t="str">
        <f t="shared" si="66"/>
        <v/>
      </c>
      <c r="AH386" s="191">
        <f>0.5+0.35</f>
        <v>0.85</v>
      </c>
      <c r="AI386" s="69">
        <f t="shared" si="67"/>
        <v>1</v>
      </c>
    </row>
    <row r="387" spans="1:35" ht="33" x14ac:dyDescent="0.3">
      <c r="A387" s="134" t="s">
        <v>1342</v>
      </c>
      <c r="B387" s="135" t="s">
        <v>1343</v>
      </c>
      <c r="C387" s="204" t="s">
        <v>50</v>
      </c>
      <c r="D387" s="133"/>
      <c r="E387" s="78"/>
      <c r="F387" s="163">
        <v>320</v>
      </c>
      <c r="G387" s="163"/>
      <c r="H387" s="62" t="s">
        <v>15</v>
      </c>
      <c r="I387" s="167">
        <v>10869.24</v>
      </c>
      <c r="J387" s="62">
        <v>3478156.8</v>
      </c>
      <c r="K387" s="93"/>
      <c r="M387" s="46">
        <v>320</v>
      </c>
      <c r="N387" s="46">
        <v>0</v>
      </c>
      <c r="O387" s="46">
        <v>3478156.8</v>
      </c>
      <c r="P387" s="98"/>
      <c r="Q387" s="23" t="s">
        <v>1405</v>
      </c>
      <c r="R387" s="24" t="s">
        <v>1343</v>
      </c>
      <c r="S387" s="25" t="s">
        <v>50</v>
      </c>
      <c r="T387" s="26">
        <v>0</v>
      </c>
      <c r="U387" s="26">
        <v>320</v>
      </c>
      <c r="V387" s="26">
        <v>10869.24</v>
      </c>
      <c r="W387" s="127">
        <f t="shared" si="77"/>
        <v>0</v>
      </c>
      <c r="X387" s="127">
        <f t="shared" si="78"/>
        <v>320</v>
      </c>
      <c r="Y387" s="127">
        <f t="shared" si="79"/>
        <v>0</v>
      </c>
      <c r="Z387" s="127">
        <f t="shared" si="80"/>
        <v>3478156.8</v>
      </c>
      <c r="AA387" s="27"/>
      <c r="AB387" s="36" t="s">
        <v>16</v>
      </c>
      <c r="AC387" s="181">
        <f t="shared" si="65"/>
        <v>320</v>
      </c>
      <c r="AD387" s="181">
        <f t="shared" si="81"/>
        <v>3478156.8</v>
      </c>
      <c r="AE387" s="181">
        <v>2</v>
      </c>
      <c r="AF387" s="181">
        <v>2</v>
      </c>
      <c r="AG387" s="101" t="str">
        <f t="shared" si="66"/>
        <v/>
      </c>
      <c r="AH387" s="194">
        <v>320</v>
      </c>
      <c r="AI387" s="69">
        <f t="shared" si="67"/>
        <v>320</v>
      </c>
    </row>
    <row r="388" spans="1:35" ht="33" x14ac:dyDescent="0.3">
      <c r="A388" s="144" t="s">
        <v>1344</v>
      </c>
      <c r="B388" s="145" t="s">
        <v>1345</v>
      </c>
      <c r="C388" s="206" t="s">
        <v>325</v>
      </c>
      <c r="D388" s="170"/>
      <c r="E388" s="147"/>
      <c r="F388" s="164">
        <v>2</v>
      </c>
      <c r="G388" s="163"/>
      <c r="H388" s="62" t="s">
        <v>15</v>
      </c>
      <c r="I388" s="168">
        <v>60995.57</v>
      </c>
      <c r="J388" s="148">
        <v>121991.14</v>
      </c>
      <c r="K388" s="149"/>
      <c r="M388" s="46">
        <v>2</v>
      </c>
      <c r="N388" s="46">
        <v>0</v>
      </c>
      <c r="O388" s="46">
        <v>121991.14</v>
      </c>
      <c r="P388" s="98"/>
      <c r="Q388" s="23" t="s">
        <v>1406</v>
      </c>
      <c r="R388" s="24" t="s">
        <v>1345</v>
      </c>
      <c r="S388" s="25" t="s">
        <v>325</v>
      </c>
      <c r="T388" s="26">
        <v>0</v>
      </c>
      <c r="U388" s="26">
        <v>2</v>
      </c>
      <c r="V388" s="26">
        <v>60995.57</v>
      </c>
      <c r="W388" s="127">
        <f t="shared" si="77"/>
        <v>0</v>
      </c>
      <c r="X388" s="127">
        <f t="shared" si="78"/>
        <v>2</v>
      </c>
      <c r="Y388" s="127">
        <f t="shared" si="79"/>
        <v>0</v>
      </c>
      <c r="Z388" s="127">
        <f t="shared" si="80"/>
        <v>121991.14</v>
      </c>
      <c r="AA388" s="27"/>
      <c r="AB388" s="36" t="s">
        <v>16</v>
      </c>
      <c r="AC388" s="181">
        <f t="shared" si="65"/>
        <v>2</v>
      </c>
      <c r="AD388" s="181">
        <f t="shared" si="81"/>
        <v>121991.14</v>
      </c>
      <c r="AE388" s="181">
        <v>2</v>
      </c>
      <c r="AF388" s="181">
        <v>2</v>
      </c>
      <c r="AG388" s="101" t="str">
        <f t="shared" si="66"/>
        <v/>
      </c>
      <c r="AH388" s="190">
        <v>2</v>
      </c>
      <c r="AI388" s="69">
        <f t="shared" si="67"/>
        <v>2</v>
      </c>
    </row>
    <row r="389" spans="1:35" ht="39" x14ac:dyDescent="0.3">
      <c r="A389" s="207" t="s">
        <v>3072</v>
      </c>
      <c r="B389" s="208" t="s">
        <v>3073</v>
      </c>
      <c r="C389" s="204" t="s">
        <v>97</v>
      </c>
      <c r="D389" s="171"/>
      <c r="E389" s="158"/>
      <c r="F389" s="165"/>
      <c r="G389" s="159">
        <v>220</v>
      </c>
      <c r="H389" s="223" t="s">
        <v>15</v>
      </c>
      <c r="I389" s="169">
        <v>1159.82</v>
      </c>
      <c r="J389" s="159">
        <v>255160.4</v>
      </c>
      <c r="K389" s="172"/>
      <c r="M389" s="46">
        <v>220</v>
      </c>
      <c r="N389" s="46">
        <v>0</v>
      </c>
      <c r="O389" s="46">
        <v>255160.4</v>
      </c>
      <c r="P389" s="98"/>
      <c r="Q389" s="23" t="s">
        <v>1414</v>
      </c>
      <c r="R389" s="24" t="s">
        <v>3073</v>
      </c>
      <c r="S389" s="25" t="s">
        <v>97</v>
      </c>
      <c r="T389" s="26"/>
      <c r="U389" s="26">
        <v>220</v>
      </c>
      <c r="V389" s="169">
        <v>1159.82</v>
      </c>
      <c r="W389" s="127">
        <f t="shared" si="77"/>
        <v>0</v>
      </c>
      <c r="X389" s="127">
        <f>W389+M389</f>
        <v>220</v>
      </c>
      <c r="Y389" s="127">
        <f t="shared" si="79"/>
        <v>0</v>
      </c>
      <c r="Z389" s="127">
        <f t="shared" si="80"/>
        <v>255160.4</v>
      </c>
      <c r="AA389" s="27"/>
      <c r="AB389" s="36"/>
      <c r="AC389" s="200">
        <v>220</v>
      </c>
      <c r="AD389" s="181">
        <f t="shared" si="81"/>
        <v>255160.4</v>
      </c>
      <c r="AE389" s="181">
        <v>2</v>
      </c>
      <c r="AF389" s="181">
        <v>2</v>
      </c>
      <c r="AG389" s="101"/>
      <c r="AH389" s="190">
        <v>220</v>
      </c>
      <c r="AI389" s="69">
        <f t="shared" si="67"/>
        <v>220</v>
      </c>
    </row>
    <row r="390" spans="1:35" ht="39" x14ac:dyDescent="0.3">
      <c r="A390" s="207" t="s">
        <v>3074</v>
      </c>
      <c r="B390" s="208" t="s">
        <v>3075</v>
      </c>
      <c r="C390" s="204" t="s">
        <v>97</v>
      </c>
      <c r="D390" s="171"/>
      <c r="E390" s="158"/>
      <c r="F390" s="165"/>
      <c r="G390" s="159">
        <v>264.5</v>
      </c>
      <c r="H390" s="223" t="s">
        <v>15</v>
      </c>
      <c r="I390" s="169">
        <v>689.89</v>
      </c>
      <c r="J390" s="159">
        <v>182475.91</v>
      </c>
      <c r="K390" s="172"/>
      <c r="M390" s="46">
        <v>264.5</v>
      </c>
      <c r="N390" s="46">
        <v>0</v>
      </c>
      <c r="O390" s="46">
        <v>182475.91</v>
      </c>
      <c r="P390" s="98"/>
      <c r="Q390" s="23" t="s">
        <v>1429</v>
      </c>
      <c r="R390" s="24" t="s">
        <v>3075</v>
      </c>
      <c r="S390" s="25" t="s">
        <v>97</v>
      </c>
      <c r="T390" s="26"/>
      <c r="U390" s="26">
        <v>264.5</v>
      </c>
      <c r="V390" s="169">
        <v>689.89</v>
      </c>
      <c r="W390" s="127">
        <f t="shared" si="77"/>
        <v>0</v>
      </c>
      <c r="X390" s="127">
        <f t="shared" ref="X390:X406" si="82">W390+M390</f>
        <v>264.5</v>
      </c>
      <c r="Y390" s="127">
        <f t="shared" si="79"/>
        <v>0</v>
      </c>
      <c r="Z390" s="127">
        <f t="shared" si="80"/>
        <v>182475.91</v>
      </c>
      <c r="AA390" s="27"/>
      <c r="AB390" s="36"/>
      <c r="AC390" s="200">
        <v>264.5</v>
      </c>
      <c r="AD390" s="181">
        <f t="shared" si="81"/>
        <v>182475.91</v>
      </c>
      <c r="AE390" s="181">
        <v>2</v>
      </c>
      <c r="AF390" s="181">
        <v>2</v>
      </c>
      <c r="AG390" s="101"/>
      <c r="AH390" s="190">
        <v>264.5</v>
      </c>
      <c r="AI390" s="69">
        <f t="shared" si="67"/>
        <v>264.5</v>
      </c>
    </row>
    <row r="391" spans="1:35" ht="49.5" x14ac:dyDescent="0.3">
      <c r="A391" s="207" t="s">
        <v>3076</v>
      </c>
      <c r="B391" s="241" t="s">
        <v>3077</v>
      </c>
      <c r="C391" s="204" t="s">
        <v>97</v>
      </c>
      <c r="D391" s="171"/>
      <c r="E391" s="158"/>
      <c r="F391" s="165"/>
      <c r="G391" s="159">
        <v>218.5</v>
      </c>
      <c r="H391" s="223" t="s">
        <v>15</v>
      </c>
      <c r="I391" s="169">
        <v>899.86</v>
      </c>
      <c r="J391" s="159">
        <v>196619.41</v>
      </c>
      <c r="K391" s="172"/>
      <c r="M391" s="46">
        <v>218.5</v>
      </c>
      <c r="N391" s="46">
        <v>0</v>
      </c>
      <c r="O391" s="46">
        <v>196619.41</v>
      </c>
      <c r="P391" s="98"/>
      <c r="Q391" s="23" t="s">
        <v>1430</v>
      </c>
      <c r="R391" s="24" t="s">
        <v>3077</v>
      </c>
      <c r="S391" s="25" t="s">
        <v>97</v>
      </c>
      <c r="T391" s="26"/>
      <c r="U391" s="26">
        <v>218.5</v>
      </c>
      <c r="V391" s="169">
        <v>899.86</v>
      </c>
      <c r="W391" s="127">
        <f t="shared" si="77"/>
        <v>0</v>
      </c>
      <c r="X391" s="127">
        <f t="shared" si="82"/>
        <v>218.5</v>
      </c>
      <c r="Y391" s="127">
        <f t="shared" si="79"/>
        <v>0</v>
      </c>
      <c r="Z391" s="127">
        <f t="shared" si="80"/>
        <v>196619.41</v>
      </c>
      <c r="AA391" s="27"/>
      <c r="AB391" s="36"/>
      <c r="AC391" s="200">
        <v>218.5</v>
      </c>
      <c r="AD391" s="181">
        <f t="shared" si="81"/>
        <v>196619.41</v>
      </c>
      <c r="AE391" s="181">
        <v>2</v>
      </c>
      <c r="AF391" s="181">
        <v>2</v>
      </c>
      <c r="AG391" s="101"/>
      <c r="AH391" s="190">
        <v>218.5</v>
      </c>
      <c r="AI391" s="69">
        <f t="shared" si="67"/>
        <v>218.5</v>
      </c>
    </row>
    <row r="392" spans="1:35" ht="39" x14ac:dyDescent="0.3">
      <c r="A392" s="207" t="s">
        <v>3078</v>
      </c>
      <c r="B392" s="208" t="s">
        <v>3079</v>
      </c>
      <c r="C392" s="204" t="s">
        <v>97</v>
      </c>
      <c r="D392" s="171"/>
      <c r="E392" s="158"/>
      <c r="F392" s="165"/>
      <c r="G392" s="159">
        <v>87.5</v>
      </c>
      <c r="H392" s="223" t="s">
        <v>15</v>
      </c>
      <c r="I392" s="169">
        <v>1499.76</v>
      </c>
      <c r="J392" s="159">
        <v>131229</v>
      </c>
      <c r="K392" s="172"/>
      <c r="M392" s="46">
        <v>87.5</v>
      </c>
      <c r="N392" s="46">
        <v>0</v>
      </c>
      <c r="O392" s="46">
        <v>131229</v>
      </c>
      <c r="P392" s="98"/>
      <c r="Q392" s="23" t="s">
        <v>1431</v>
      </c>
      <c r="R392" s="24" t="s">
        <v>3079</v>
      </c>
      <c r="S392" s="25" t="s">
        <v>97</v>
      </c>
      <c r="T392" s="26"/>
      <c r="U392" s="26">
        <v>87.5</v>
      </c>
      <c r="V392" s="169">
        <v>1499.76</v>
      </c>
      <c r="W392" s="127">
        <f t="shared" si="77"/>
        <v>0</v>
      </c>
      <c r="X392" s="127">
        <f t="shared" si="82"/>
        <v>87.5</v>
      </c>
      <c r="Y392" s="127">
        <f t="shared" si="79"/>
        <v>0</v>
      </c>
      <c r="Z392" s="127">
        <f t="shared" si="80"/>
        <v>131229</v>
      </c>
      <c r="AA392" s="27"/>
      <c r="AB392" s="36"/>
      <c r="AC392" s="200">
        <v>87.5</v>
      </c>
      <c r="AD392" s="181">
        <f t="shared" si="81"/>
        <v>131229</v>
      </c>
      <c r="AE392" s="181">
        <v>2</v>
      </c>
      <c r="AF392" s="181">
        <v>2</v>
      </c>
      <c r="AG392" s="101"/>
      <c r="AH392" s="190">
        <v>87.5</v>
      </c>
      <c r="AI392" s="69">
        <f t="shared" si="67"/>
        <v>87.5</v>
      </c>
    </row>
    <row r="393" spans="1:35" ht="39" x14ac:dyDescent="0.3">
      <c r="A393" s="207" t="s">
        <v>3080</v>
      </c>
      <c r="B393" s="208" t="s">
        <v>3081</v>
      </c>
      <c r="C393" s="204" t="s">
        <v>97</v>
      </c>
      <c r="D393" s="171"/>
      <c r="E393" s="158"/>
      <c r="F393" s="159"/>
      <c r="G393" s="159">
        <v>144.5</v>
      </c>
      <c r="H393" s="159" t="s">
        <v>15</v>
      </c>
      <c r="I393" s="158">
        <v>1419.78</v>
      </c>
      <c r="J393" s="159">
        <v>205158.21</v>
      </c>
      <c r="K393" s="172"/>
      <c r="M393" s="46">
        <v>144.5</v>
      </c>
      <c r="N393" s="46">
        <v>0</v>
      </c>
      <c r="O393" s="46">
        <v>205158.21</v>
      </c>
      <c r="P393" s="98"/>
      <c r="Q393" s="23" t="s">
        <v>1395</v>
      </c>
      <c r="R393" s="24" t="s">
        <v>3081</v>
      </c>
      <c r="S393" s="25" t="s">
        <v>97</v>
      </c>
      <c r="T393" s="26"/>
      <c r="U393" s="26">
        <v>144.5</v>
      </c>
      <c r="V393" s="158">
        <v>1419.78</v>
      </c>
      <c r="W393" s="127">
        <f t="shared" si="77"/>
        <v>0</v>
      </c>
      <c r="X393" s="127">
        <f t="shared" si="82"/>
        <v>144.5</v>
      </c>
      <c r="Y393" s="127">
        <f t="shared" si="79"/>
        <v>0</v>
      </c>
      <c r="Z393" s="127">
        <f t="shared" si="80"/>
        <v>205158.21</v>
      </c>
      <c r="AA393" s="27"/>
      <c r="AB393" s="36"/>
      <c r="AC393" s="200">
        <v>144.5</v>
      </c>
      <c r="AD393" s="181">
        <f t="shared" si="81"/>
        <v>205158.21</v>
      </c>
      <c r="AE393" s="181">
        <v>2</v>
      </c>
      <c r="AF393" s="181">
        <v>2</v>
      </c>
      <c r="AG393" s="101"/>
      <c r="AH393" s="190">
        <v>144.5</v>
      </c>
      <c r="AI393" s="69">
        <f t="shared" si="67"/>
        <v>144.5</v>
      </c>
    </row>
    <row r="394" spans="1:35" x14ac:dyDescent="0.3">
      <c r="A394" s="207" t="s">
        <v>3082</v>
      </c>
      <c r="B394" s="208" t="s">
        <v>3083</v>
      </c>
      <c r="C394" s="204" t="s">
        <v>97</v>
      </c>
      <c r="D394" s="171"/>
      <c r="E394" s="158"/>
      <c r="F394" s="159"/>
      <c r="G394" s="159">
        <v>27</v>
      </c>
      <c r="H394" s="159" t="s">
        <v>15</v>
      </c>
      <c r="I394" s="158">
        <v>2999.53</v>
      </c>
      <c r="J394" s="159">
        <v>80987.31</v>
      </c>
      <c r="K394" s="172"/>
      <c r="M394" s="46">
        <v>27</v>
      </c>
      <c r="N394" s="46">
        <v>0</v>
      </c>
      <c r="O394" s="46">
        <v>80987.31</v>
      </c>
      <c r="P394" s="98"/>
      <c r="Q394" s="23" t="s">
        <v>1432</v>
      </c>
      <c r="R394" s="24" t="s">
        <v>3083</v>
      </c>
      <c r="S394" s="25" t="s">
        <v>97</v>
      </c>
      <c r="T394" s="26"/>
      <c r="U394" s="26">
        <v>27</v>
      </c>
      <c r="V394" s="158">
        <v>2999.53</v>
      </c>
      <c r="W394" s="127">
        <f t="shared" si="77"/>
        <v>0</v>
      </c>
      <c r="X394" s="127">
        <f t="shared" si="82"/>
        <v>27</v>
      </c>
      <c r="Y394" s="127">
        <f t="shared" si="79"/>
        <v>0</v>
      </c>
      <c r="Z394" s="127">
        <f t="shared" si="80"/>
        <v>80987.31</v>
      </c>
      <c r="AA394" s="27"/>
      <c r="AB394" s="36"/>
      <c r="AC394" s="200">
        <v>27</v>
      </c>
      <c r="AD394" s="181">
        <f t="shared" si="81"/>
        <v>80987.31</v>
      </c>
      <c r="AE394" s="181">
        <v>2</v>
      </c>
      <c r="AF394" s="181">
        <v>2</v>
      </c>
      <c r="AG394" s="101"/>
      <c r="AH394" s="190">
        <v>27</v>
      </c>
      <c r="AI394" s="69">
        <f t="shared" si="67"/>
        <v>27</v>
      </c>
    </row>
    <row r="395" spans="1:35" x14ac:dyDescent="0.3">
      <c r="A395" s="207" t="s">
        <v>3084</v>
      </c>
      <c r="B395" s="208" t="s">
        <v>3085</v>
      </c>
      <c r="C395" s="204" t="s">
        <v>97</v>
      </c>
      <c r="D395" s="171"/>
      <c r="E395" s="158"/>
      <c r="F395" s="159"/>
      <c r="G395" s="159">
        <v>28</v>
      </c>
      <c r="H395" s="159" t="s">
        <v>15</v>
      </c>
      <c r="I395" s="158">
        <v>1364.78</v>
      </c>
      <c r="J395" s="159">
        <v>38213.839999999997</v>
      </c>
      <c r="K395" s="172"/>
      <c r="M395" s="46">
        <v>28</v>
      </c>
      <c r="N395" s="46">
        <v>0</v>
      </c>
      <c r="O395" s="46">
        <v>38213.839999999997</v>
      </c>
      <c r="P395" s="98"/>
      <c r="Q395" s="23" t="s">
        <v>1433</v>
      </c>
      <c r="R395" s="24" t="s">
        <v>3085</v>
      </c>
      <c r="S395" s="25" t="s">
        <v>97</v>
      </c>
      <c r="T395" s="26"/>
      <c r="U395" s="26">
        <v>28</v>
      </c>
      <c r="V395" s="158">
        <v>1364.78</v>
      </c>
      <c r="W395" s="127">
        <f t="shared" si="77"/>
        <v>0</v>
      </c>
      <c r="X395" s="127">
        <f t="shared" si="82"/>
        <v>28</v>
      </c>
      <c r="Y395" s="127">
        <f t="shared" si="79"/>
        <v>0</v>
      </c>
      <c r="Z395" s="127">
        <f t="shared" si="80"/>
        <v>38213.839999999997</v>
      </c>
      <c r="AA395" s="27"/>
      <c r="AB395" s="36"/>
      <c r="AC395" s="200">
        <v>28</v>
      </c>
      <c r="AD395" s="181">
        <f t="shared" si="81"/>
        <v>38213.839999999997</v>
      </c>
      <c r="AE395" s="181">
        <v>2</v>
      </c>
      <c r="AF395" s="181">
        <v>2</v>
      </c>
      <c r="AG395" s="101"/>
      <c r="AH395" s="190">
        <v>28</v>
      </c>
      <c r="AI395" s="69">
        <f t="shared" ref="AI395:AI459" si="83">IF(G395=0,IF(F395=0,IF(E395=0,D395,E395),F395),G395)</f>
        <v>28</v>
      </c>
    </row>
    <row r="396" spans="1:35" ht="39" x14ac:dyDescent="0.3">
      <c r="A396" s="207" t="s">
        <v>3086</v>
      </c>
      <c r="B396" s="208" t="s">
        <v>3087</v>
      </c>
      <c r="C396" s="204" t="s">
        <v>97</v>
      </c>
      <c r="D396" s="171"/>
      <c r="E396" s="158"/>
      <c r="F396" s="159"/>
      <c r="G396" s="159">
        <v>156</v>
      </c>
      <c r="H396" s="159" t="s">
        <v>15</v>
      </c>
      <c r="I396" s="158">
        <v>771.88</v>
      </c>
      <c r="J396" s="159">
        <v>120413.28</v>
      </c>
      <c r="K396" s="172"/>
      <c r="M396" s="46">
        <v>156</v>
      </c>
      <c r="N396" s="46">
        <v>0</v>
      </c>
      <c r="O396" s="46">
        <v>120413.28</v>
      </c>
      <c r="P396" s="98"/>
      <c r="Q396" s="23" t="s">
        <v>1382</v>
      </c>
      <c r="R396" s="24" t="s">
        <v>3087</v>
      </c>
      <c r="S396" s="25" t="s">
        <v>97</v>
      </c>
      <c r="T396" s="26"/>
      <c r="U396" s="26">
        <v>156</v>
      </c>
      <c r="V396" s="158">
        <v>771.88</v>
      </c>
      <c r="W396" s="127">
        <f t="shared" si="77"/>
        <v>0</v>
      </c>
      <c r="X396" s="127">
        <f t="shared" si="82"/>
        <v>156</v>
      </c>
      <c r="Y396" s="127">
        <f t="shared" si="79"/>
        <v>0</v>
      </c>
      <c r="Z396" s="127">
        <f t="shared" si="80"/>
        <v>120413.28</v>
      </c>
      <c r="AA396" s="27"/>
      <c r="AB396" s="36"/>
      <c r="AC396" s="200">
        <v>156</v>
      </c>
      <c r="AD396" s="181">
        <f t="shared" si="81"/>
        <v>120413.28</v>
      </c>
      <c r="AE396" s="181">
        <v>2</v>
      </c>
      <c r="AF396" s="181">
        <v>2</v>
      </c>
      <c r="AG396" s="101"/>
      <c r="AH396" s="190">
        <v>156</v>
      </c>
      <c r="AI396" s="69">
        <f t="shared" si="83"/>
        <v>156</v>
      </c>
    </row>
    <row r="397" spans="1:35" ht="39" x14ac:dyDescent="0.3">
      <c r="A397" s="207" t="s">
        <v>3088</v>
      </c>
      <c r="B397" s="208" t="s">
        <v>3089</v>
      </c>
      <c r="C397" s="204" t="s">
        <v>97</v>
      </c>
      <c r="D397" s="171"/>
      <c r="E397" s="158"/>
      <c r="F397" s="159"/>
      <c r="G397" s="242">
        <v>1917</v>
      </c>
      <c r="H397" s="219" t="s">
        <v>15</v>
      </c>
      <c r="I397" s="158">
        <v>400.94</v>
      </c>
      <c r="J397" s="159">
        <v>768601.98</v>
      </c>
      <c r="K397" s="172"/>
      <c r="M397" s="46">
        <v>1917</v>
      </c>
      <c r="N397" s="46">
        <v>0</v>
      </c>
      <c r="O397" s="46">
        <v>768601.98</v>
      </c>
      <c r="P397" s="98"/>
      <c r="Q397" s="23" t="s">
        <v>1434</v>
      </c>
      <c r="R397" s="24" t="s">
        <v>3089</v>
      </c>
      <c r="S397" s="25" t="s">
        <v>97</v>
      </c>
      <c r="T397" s="26"/>
      <c r="U397" s="26">
        <v>1917</v>
      </c>
      <c r="V397" s="158">
        <v>400.94</v>
      </c>
      <c r="W397" s="127">
        <f t="shared" si="77"/>
        <v>0</v>
      </c>
      <c r="X397" s="127">
        <f t="shared" si="82"/>
        <v>1917</v>
      </c>
      <c r="Y397" s="127">
        <f t="shared" si="79"/>
        <v>0</v>
      </c>
      <c r="Z397" s="127">
        <f t="shared" si="80"/>
        <v>768601.98</v>
      </c>
      <c r="AA397" s="27"/>
      <c r="AB397" s="36"/>
      <c r="AC397" s="200">
        <v>1917</v>
      </c>
      <c r="AD397" s="181">
        <f t="shared" si="81"/>
        <v>768601.98</v>
      </c>
      <c r="AE397" s="181">
        <v>2</v>
      </c>
      <c r="AF397" s="181">
        <v>2</v>
      </c>
      <c r="AG397" s="101"/>
      <c r="AH397" s="190">
        <v>1917</v>
      </c>
      <c r="AI397" s="69">
        <f t="shared" si="83"/>
        <v>1917</v>
      </c>
    </row>
    <row r="398" spans="1:35" x14ac:dyDescent="0.3">
      <c r="A398" s="207" t="s">
        <v>3090</v>
      </c>
      <c r="B398" s="208" t="s">
        <v>3091</v>
      </c>
      <c r="C398" s="204" t="s">
        <v>97</v>
      </c>
      <c r="D398" s="171"/>
      <c r="E398" s="158"/>
      <c r="F398" s="159"/>
      <c r="G398" s="159">
        <v>380</v>
      </c>
      <c r="H398" s="159" t="s">
        <v>15</v>
      </c>
      <c r="I398" s="158">
        <v>280.95999999999998</v>
      </c>
      <c r="J398" s="159">
        <v>106764.8</v>
      </c>
      <c r="K398" s="172"/>
      <c r="M398" s="46">
        <v>380</v>
      </c>
      <c r="N398" s="46">
        <v>0</v>
      </c>
      <c r="O398" s="46">
        <v>106764.8</v>
      </c>
      <c r="P398" s="98"/>
      <c r="Q398" s="23" t="s">
        <v>1388</v>
      </c>
      <c r="R398" s="24" t="s">
        <v>3091</v>
      </c>
      <c r="S398" s="25" t="s">
        <v>97</v>
      </c>
      <c r="T398" s="26"/>
      <c r="U398" s="26">
        <v>380</v>
      </c>
      <c r="V398" s="158">
        <v>280.95999999999998</v>
      </c>
      <c r="W398" s="127">
        <f t="shared" si="77"/>
        <v>0</v>
      </c>
      <c r="X398" s="127">
        <f t="shared" si="82"/>
        <v>380</v>
      </c>
      <c r="Y398" s="127">
        <f t="shared" si="79"/>
        <v>0</v>
      </c>
      <c r="Z398" s="127">
        <f t="shared" si="80"/>
        <v>106764.8</v>
      </c>
      <c r="AA398" s="27"/>
      <c r="AB398" s="36"/>
      <c r="AC398" s="200">
        <v>380</v>
      </c>
      <c r="AD398" s="181">
        <f t="shared" si="81"/>
        <v>106764.8</v>
      </c>
      <c r="AE398" s="181">
        <v>2</v>
      </c>
      <c r="AF398" s="181">
        <v>2</v>
      </c>
      <c r="AG398" s="101"/>
      <c r="AH398" s="190">
        <v>380</v>
      </c>
      <c r="AI398" s="69">
        <f t="shared" si="83"/>
        <v>380</v>
      </c>
    </row>
    <row r="399" spans="1:35" ht="33" x14ac:dyDescent="0.3">
      <c r="A399" s="207" t="s">
        <v>3092</v>
      </c>
      <c r="B399" s="241" t="s">
        <v>3093</v>
      </c>
      <c r="C399" s="204" t="s">
        <v>97</v>
      </c>
      <c r="D399" s="171"/>
      <c r="E399" s="158"/>
      <c r="F399" s="159"/>
      <c r="G399" s="159">
        <v>660.5</v>
      </c>
      <c r="H399" s="159" t="s">
        <v>15</v>
      </c>
      <c r="I399" s="158">
        <v>800.87</v>
      </c>
      <c r="J399" s="159">
        <v>528974.64</v>
      </c>
      <c r="K399" s="172"/>
      <c r="M399" s="46">
        <v>660.5</v>
      </c>
      <c r="N399" s="46">
        <v>0</v>
      </c>
      <c r="O399" s="46">
        <v>528974.64</v>
      </c>
      <c r="P399" s="98"/>
      <c r="Q399" s="23" t="s">
        <v>1389</v>
      </c>
      <c r="R399" s="24" t="s">
        <v>3093</v>
      </c>
      <c r="S399" s="25" t="s">
        <v>97</v>
      </c>
      <c r="T399" s="26"/>
      <c r="U399" s="26">
        <v>660.5</v>
      </c>
      <c r="V399" s="158">
        <v>800.87</v>
      </c>
      <c r="W399" s="127">
        <f t="shared" si="77"/>
        <v>0</v>
      </c>
      <c r="X399" s="127">
        <f t="shared" si="82"/>
        <v>660.5</v>
      </c>
      <c r="Y399" s="127">
        <f t="shared" si="79"/>
        <v>0</v>
      </c>
      <c r="Z399" s="127">
        <f t="shared" si="80"/>
        <v>528974.64</v>
      </c>
      <c r="AA399" s="27"/>
      <c r="AB399" s="36"/>
      <c r="AC399" s="200">
        <v>660.5</v>
      </c>
      <c r="AD399" s="181">
        <f t="shared" si="81"/>
        <v>528974.64</v>
      </c>
      <c r="AE399" s="181">
        <v>2</v>
      </c>
      <c r="AF399" s="181">
        <v>2</v>
      </c>
      <c r="AG399" s="101"/>
      <c r="AH399" s="190">
        <v>660.5</v>
      </c>
      <c r="AI399" s="69">
        <f t="shared" si="83"/>
        <v>660.5</v>
      </c>
    </row>
    <row r="400" spans="1:35" x14ac:dyDescent="0.3">
      <c r="A400" s="207" t="s">
        <v>3094</v>
      </c>
      <c r="B400" s="208" t="s">
        <v>3095</v>
      </c>
      <c r="C400" s="204" t="s">
        <v>97</v>
      </c>
      <c r="D400" s="171"/>
      <c r="E400" s="158"/>
      <c r="F400" s="159"/>
      <c r="G400" s="159">
        <v>288.5</v>
      </c>
      <c r="H400" s="159" t="s">
        <v>15</v>
      </c>
      <c r="I400" s="158">
        <v>561.91</v>
      </c>
      <c r="J400" s="159">
        <v>162111.04000000001</v>
      </c>
      <c r="K400" s="172"/>
      <c r="M400" s="46">
        <v>288.5</v>
      </c>
      <c r="N400" s="46">
        <v>0</v>
      </c>
      <c r="O400" s="46">
        <v>162111.04000000001</v>
      </c>
      <c r="P400" s="98"/>
      <c r="Q400" s="23" t="s">
        <v>1390</v>
      </c>
      <c r="R400" s="24" t="s">
        <v>3095</v>
      </c>
      <c r="S400" s="25" t="s">
        <v>97</v>
      </c>
      <c r="T400" s="26"/>
      <c r="U400" s="26">
        <v>288.5</v>
      </c>
      <c r="V400" s="158">
        <v>561.91</v>
      </c>
      <c r="W400" s="127">
        <f t="shared" si="77"/>
        <v>0</v>
      </c>
      <c r="X400" s="127">
        <f t="shared" si="82"/>
        <v>288.5</v>
      </c>
      <c r="Y400" s="127">
        <f t="shared" si="79"/>
        <v>0</v>
      </c>
      <c r="Z400" s="127">
        <f t="shared" si="80"/>
        <v>162111.04000000001</v>
      </c>
      <c r="AA400" s="27"/>
      <c r="AB400" s="36"/>
      <c r="AC400" s="200">
        <v>288.5</v>
      </c>
      <c r="AD400" s="181">
        <f t="shared" si="81"/>
        <v>162111.04000000001</v>
      </c>
      <c r="AE400" s="181">
        <v>2</v>
      </c>
      <c r="AF400" s="181">
        <v>2</v>
      </c>
      <c r="AG400" s="101"/>
      <c r="AH400" s="190">
        <v>288.5</v>
      </c>
      <c r="AI400" s="69">
        <f t="shared" si="83"/>
        <v>288.5</v>
      </c>
    </row>
    <row r="401" spans="1:38" ht="39" x14ac:dyDescent="0.3">
      <c r="A401" s="207" t="s">
        <v>3096</v>
      </c>
      <c r="B401" s="208" t="s">
        <v>3097</v>
      </c>
      <c r="C401" s="204" t="s">
        <v>97</v>
      </c>
      <c r="D401" s="171"/>
      <c r="E401" s="158"/>
      <c r="F401" s="159"/>
      <c r="G401" s="159">
        <v>438</v>
      </c>
      <c r="H401" s="159" t="s">
        <v>15</v>
      </c>
      <c r="I401" s="158">
        <v>519.91999999999996</v>
      </c>
      <c r="J401" s="159">
        <v>227724.96</v>
      </c>
      <c r="K401" s="172"/>
      <c r="M401" s="46">
        <v>438</v>
      </c>
      <c r="N401" s="46">
        <v>0</v>
      </c>
      <c r="O401" s="46">
        <v>227724.96</v>
      </c>
      <c r="P401" s="98"/>
      <c r="Q401" s="23" t="s">
        <v>1391</v>
      </c>
      <c r="R401" s="24" t="s">
        <v>3097</v>
      </c>
      <c r="S401" s="25" t="s">
        <v>97</v>
      </c>
      <c r="T401" s="26"/>
      <c r="U401" s="26">
        <v>438</v>
      </c>
      <c r="V401" s="158">
        <v>519.91999999999996</v>
      </c>
      <c r="W401" s="127">
        <f t="shared" si="77"/>
        <v>0</v>
      </c>
      <c r="X401" s="127">
        <f t="shared" si="82"/>
        <v>438</v>
      </c>
      <c r="Y401" s="127">
        <f t="shared" si="79"/>
        <v>0</v>
      </c>
      <c r="Z401" s="127">
        <f t="shared" si="80"/>
        <v>227724.96</v>
      </c>
      <c r="AA401" s="27"/>
      <c r="AB401" s="36"/>
      <c r="AC401" s="200">
        <v>438</v>
      </c>
      <c r="AD401" s="181">
        <f t="shared" si="81"/>
        <v>227724.96</v>
      </c>
      <c r="AE401" s="181">
        <v>2</v>
      </c>
      <c r="AF401" s="181">
        <v>2</v>
      </c>
      <c r="AG401" s="101"/>
      <c r="AH401" s="190">
        <v>438</v>
      </c>
      <c r="AI401" s="69">
        <f t="shared" si="83"/>
        <v>438</v>
      </c>
    </row>
    <row r="402" spans="1:38" ht="39" x14ac:dyDescent="0.3">
      <c r="A402" s="207" t="s">
        <v>3098</v>
      </c>
      <c r="B402" s="208" t="s">
        <v>3099</v>
      </c>
      <c r="C402" s="204" t="s">
        <v>97</v>
      </c>
      <c r="D402" s="171"/>
      <c r="E402" s="158"/>
      <c r="F402" s="159"/>
      <c r="G402" s="159">
        <v>54</v>
      </c>
      <c r="H402" s="159" t="s">
        <v>15</v>
      </c>
      <c r="I402" s="158">
        <v>1579.75</v>
      </c>
      <c r="J402" s="159">
        <v>85306.5</v>
      </c>
      <c r="K402" s="172"/>
      <c r="M402" s="46">
        <v>54</v>
      </c>
      <c r="N402" s="46">
        <v>0</v>
      </c>
      <c r="O402" s="46">
        <v>85306.5</v>
      </c>
      <c r="P402" s="98"/>
      <c r="Q402" s="23" t="s">
        <v>1436</v>
      </c>
      <c r="R402" s="24" t="s">
        <v>3099</v>
      </c>
      <c r="S402" s="25" t="s">
        <v>97</v>
      </c>
      <c r="T402" s="26"/>
      <c r="U402" s="26">
        <v>54</v>
      </c>
      <c r="V402" s="158">
        <v>1579.75</v>
      </c>
      <c r="W402" s="127">
        <f t="shared" si="77"/>
        <v>0</v>
      </c>
      <c r="X402" s="127">
        <f t="shared" si="82"/>
        <v>54</v>
      </c>
      <c r="Y402" s="127">
        <f t="shared" si="79"/>
        <v>0</v>
      </c>
      <c r="Z402" s="127">
        <f t="shared" si="80"/>
        <v>85306.5</v>
      </c>
      <c r="AA402" s="27"/>
      <c r="AB402" s="36"/>
      <c r="AC402" s="200">
        <v>54</v>
      </c>
      <c r="AD402" s="181">
        <f t="shared" si="81"/>
        <v>85306.5</v>
      </c>
      <c r="AE402" s="181">
        <v>2</v>
      </c>
      <c r="AF402" s="181">
        <v>2</v>
      </c>
      <c r="AG402" s="101"/>
      <c r="AH402" s="190">
        <v>54</v>
      </c>
      <c r="AI402" s="69">
        <f t="shared" si="83"/>
        <v>54</v>
      </c>
    </row>
    <row r="403" spans="1:38" ht="39" x14ac:dyDescent="0.3">
      <c r="A403" s="207" t="s">
        <v>3100</v>
      </c>
      <c r="B403" s="208" t="s">
        <v>3101</v>
      </c>
      <c r="C403" s="204" t="s">
        <v>97</v>
      </c>
      <c r="D403" s="171"/>
      <c r="E403" s="158"/>
      <c r="F403" s="159"/>
      <c r="G403" s="159">
        <v>519.5</v>
      </c>
      <c r="H403" s="159" t="s">
        <v>15</v>
      </c>
      <c r="I403" s="158">
        <v>209.97</v>
      </c>
      <c r="J403" s="159">
        <v>109079.42</v>
      </c>
      <c r="K403" s="172"/>
      <c r="M403" s="46">
        <v>519.5</v>
      </c>
      <c r="N403" s="46">
        <v>0</v>
      </c>
      <c r="O403" s="46">
        <v>109079.42</v>
      </c>
      <c r="P403" s="98"/>
      <c r="Q403" s="23" t="s">
        <v>1374</v>
      </c>
      <c r="R403" s="24" t="s">
        <v>3101</v>
      </c>
      <c r="S403" s="25" t="s">
        <v>97</v>
      </c>
      <c r="T403" s="26"/>
      <c r="U403" s="26">
        <v>519.5</v>
      </c>
      <c r="V403" s="158">
        <v>209.97</v>
      </c>
      <c r="W403" s="127">
        <f t="shared" si="77"/>
        <v>0</v>
      </c>
      <c r="X403" s="127">
        <f t="shared" si="82"/>
        <v>519.5</v>
      </c>
      <c r="Y403" s="127">
        <f t="shared" si="79"/>
        <v>0</v>
      </c>
      <c r="Z403" s="127">
        <f t="shared" si="80"/>
        <v>109079.42</v>
      </c>
      <c r="AA403" s="27"/>
      <c r="AB403" s="36"/>
      <c r="AC403" s="200">
        <v>519.5</v>
      </c>
      <c r="AD403" s="181">
        <f t="shared" si="81"/>
        <v>109079.42</v>
      </c>
      <c r="AE403" s="181">
        <v>2</v>
      </c>
      <c r="AF403" s="181">
        <v>2</v>
      </c>
      <c r="AG403" s="101"/>
      <c r="AH403" s="190">
        <v>519.5</v>
      </c>
      <c r="AI403" s="69">
        <f t="shared" si="83"/>
        <v>519.5</v>
      </c>
    </row>
    <row r="404" spans="1:38" ht="49.5" x14ac:dyDescent="0.3">
      <c r="A404" s="207" t="s">
        <v>3102</v>
      </c>
      <c r="B404" s="241" t="s">
        <v>3103</v>
      </c>
      <c r="C404" s="204" t="s">
        <v>66</v>
      </c>
      <c r="D404" s="171"/>
      <c r="E404" s="158"/>
      <c r="F404" s="159"/>
      <c r="G404" s="159">
        <v>5</v>
      </c>
      <c r="H404" s="159" t="s">
        <v>15</v>
      </c>
      <c r="I404" s="158">
        <v>10798.3</v>
      </c>
      <c r="J404" s="159">
        <v>53991.5</v>
      </c>
      <c r="K404" s="172"/>
      <c r="M404" s="46">
        <v>5</v>
      </c>
      <c r="N404" s="46">
        <v>0</v>
      </c>
      <c r="O404" s="46">
        <v>53991.5</v>
      </c>
      <c r="P404" s="98"/>
      <c r="Q404" s="23" t="s">
        <v>1376</v>
      </c>
      <c r="R404" s="24" t="s">
        <v>3103</v>
      </c>
      <c r="S404" s="25" t="s">
        <v>66</v>
      </c>
      <c r="T404" s="26"/>
      <c r="U404" s="26">
        <v>5</v>
      </c>
      <c r="V404" s="158">
        <v>10798.3</v>
      </c>
      <c r="W404" s="127">
        <f t="shared" si="77"/>
        <v>0</v>
      </c>
      <c r="X404" s="127">
        <f t="shared" si="82"/>
        <v>5</v>
      </c>
      <c r="Y404" s="127">
        <f t="shared" si="79"/>
        <v>0</v>
      </c>
      <c r="Z404" s="127">
        <f t="shared" si="80"/>
        <v>53991.5</v>
      </c>
      <c r="AA404" s="27"/>
      <c r="AB404" s="36"/>
      <c r="AC404" s="200">
        <v>5</v>
      </c>
      <c r="AD404" s="181">
        <f t="shared" si="81"/>
        <v>53991.5</v>
      </c>
      <c r="AE404" s="181">
        <v>2</v>
      </c>
      <c r="AF404" s="181">
        <v>2</v>
      </c>
      <c r="AG404" s="101"/>
      <c r="AH404" s="190">
        <v>5</v>
      </c>
      <c r="AI404" s="69">
        <f t="shared" si="83"/>
        <v>5</v>
      </c>
    </row>
    <row r="405" spans="1:38" ht="49.5" x14ac:dyDescent="0.3">
      <c r="A405" s="207" t="s">
        <v>3104</v>
      </c>
      <c r="B405" s="241" t="s">
        <v>3105</v>
      </c>
      <c r="C405" s="204" t="s">
        <v>66</v>
      </c>
      <c r="D405" s="171"/>
      <c r="E405" s="158"/>
      <c r="F405" s="159"/>
      <c r="G405" s="159">
        <v>6</v>
      </c>
      <c r="H405" s="159" t="s">
        <v>15</v>
      </c>
      <c r="I405" s="158">
        <v>7248.86</v>
      </c>
      <c r="J405" s="159">
        <v>43493.16</v>
      </c>
      <c r="K405" s="172"/>
      <c r="M405" s="46">
        <v>6</v>
      </c>
      <c r="N405" s="46">
        <v>0</v>
      </c>
      <c r="O405" s="46">
        <v>43493.16</v>
      </c>
      <c r="P405" s="98"/>
      <c r="Q405" s="23" t="s">
        <v>1378</v>
      </c>
      <c r="R405" s="24" t="s">
        <v>3105</v>
      </c>
      <c r="S405" s="25" t="s">
        <v>66</v>
      </c>
      <c r="T405" s="26"/>
      <c r="U405" s="26">
        <v>6</v>
      </c>
      <c r="V405" s="158">
        <v>7248.86</v>
      </c>
      <c r="W405" s="127">
        <f t="shared" si="77"/>
        <v>0</v>
      </c>
      <c r="X405" s="127">
        <f t="shared" si="82"/>
        <v>6</v>
      </c>
      <c r="Y405" s="127">
        <f t="shared" si="79"/>
        <v>0</v>
      </c>
      <c r="Z405" s="127">
        <f t="shared" si="80"/>
        <v>43493.16</v>
      </c>
      <c r="AA405" s="27"/>
      <c r="AB405" s="36"/>
      <c r="AC405" s="200">
        <v>6</v>
      </c>
      <c r="AD405" s="181">
        <f t="shared" si="81"/>
        <v>43493.16</v>
      </c>
      <c r="AE405" s="181">
        <v>2</v>
      </c>
      <c r="AF405" s="181">
        <v>2</v>
      </c>
      <c r="AG405" s="101"/>
      <c r="AH405" s="190">
        <v>6</v>
      </c>
      <c r="AI405" s="69">
        <f t="shared" si="83"/>
        <v>6</v>
      </c>
    </row>
    <row r="406" spans="1:38" ht="25.5" customHeight="1" x14ac:dyDescent="0.3">
      <c r="A406" s="233">
        <v>2.29</v>
      </c>
      <c r="B406" s="180" t="s">
        <v>1527</v>
      </c>
      <c r="C406" s="58" t="s">
        <v>97</v>
      </c>
      <c r="D406" s="230"/>
      <c r="E406" s="230"/>
      <c r="F406" s="59"/>
      <c r="G406" s="59"/>
      <c r="H406" s="59">
        <v>320</v>
      </c>
      <c r="I406" s="230">
        <v>280</v>
      </c>
      <c r="J406" s="59">
        <v>89600</v>
      </c>
      <c r="K406" s="234"/>
      <c r="M406" s="46">
        <v>0</v>
      </c>
      <c r="N406" s="46">
        <v>0</v>
      </c>
      <c r="O406" s="46">
        <v>0</v>
      </c>
      <c r="P406" s="98"/>
      <c r="Q406" s="23">
        <v>29</v>
      </c>
      <c r="R406" s="24" t="s">
        <v>1527</v>
      </c>
      <c r="S406" s="25" t="s">
        <v>97</v>
      </c>
      <c r="T406" s="26"/>
      <c r="U406" s="26">
        <v>320</v>
      </c>
      <c r="V406" s="158">
        <v>280</v>
      </c>
      <c r="W406" s="26">
        <f t="shared" si="77"/>
        <v>0</v>
      </c>
      <c r="X406" s="26">
        <f t="shared" si="82"/>
        <v>0</v>
      </c>
      <c r="Y406" s="26">
        <f t="shared" si="79"/>
        <v>0</v>
      </c>
      <c r="Z406" s="26">
        <f t="shared" si="80"/>
        <v>0</v>
      </c>
      <c r="AA406" s="27"/>
      <c r="AB406" s="36"/>
      <c r="AC406" s="200">
        <v>320</v>
      </c>
      <c r="AD406" s="181">
        <f t="shared" si="81"/>
        <v>89600</v>
      </c>
      <c r="AE406" s="200">
        <v>2</v>
      </c>
      <c r="AF406" s="200"/>
      <c r="AG406" s="101"/>
      <c r="AH406" s="190">
        <v>0</v>
      </c>
      <c r="AI406" s="69">
        <f t="shared" si="83"/>
        <v>0</v>
      </c>
    </row>
    <row r="407" spans="1:38" s="69" customFormat="1" ht="33" customHeight="1" x14ac:dyDescent="0.3">
      <c r="A407" s="150" t="s">
        <v>1039</v>
      </c>
      <c r="B407" s="151" t="s">
        <v>1040</v>
      </c>
      <c r="C407" s="152" t="s">
        <v>14</v>
      </c>
      <c r="D407" s="153">
        <v>1</v>
      </c>
      <c r="E407" s="153"/>
      <c r="F407" s="153"/>
      <c r="G407" s="153"/>
      <c r="H407" s="153"/>
      <c r="I407" s="153"/>
      <c r="J407" s="153">
        <v>3727423.71</v>
      </c>
      <c r="K407" s="154" t="s">
        <v>15</v>
      </c>
      <c r="L407" s="73"/>
      <c r="M407" s="42">
        <v>1</v>
      </c>
      <c r="N407" s="42">
        <v>0</v>
      </c>
      <c r="O407" s="42">
        <v>2608273.7099999995</v>
      </c>
      <c r="P407" s="98"/>
      <c r="Q407" s="13" t="s">
        <v>1407</v>
      </c>
      <c r="R407" s="14" t="s">
        <v>1040</v>
      </c>
      <c r="S407" s="15" t="s">
        <v>14</v>
      </c>
      <c r="T407" s="16">
        <v>1</v>
      </c>
      <c r="U407" s="16"/>
      <c r="V407" s="16">
        <f>SUMIFS(AD:AD,AE:AE,AE407)</f>
        <v>3727423.7099999995</v>
      </c>
      <c r="W407" s="16">
        <f t="shared" ref="W407:X407" si="84">IF(Y407=0,0,1)</f>
        <v>0</v>
      </c>
      <c r="X407" s="16">
        <f t="shared" si="84"/>
        <v>1</v>
      </c>
      <c r="Y407" s="16">
        <f>SUMIFS(Y:Y,AF:AF,AE407)</f>
        <v>0</v>
      </c>
      <c r="Z407" s="16">
        <f>SUMIFS(Z:Z,AF:AF,AE407)</f>
        <v>2608273.7099999995</v>
      </c>
      <c r="AA407" s="17" t="s">
        <v>15</v>
      </c>
      <c r="AB407" s="40" t="s">
        <v>16</v>
      </c>
      <c r="AC407" s="181">
        <f t="shared" si="65"/>
        <v>1</v>
      </c>
      <c r="AD407" s="183"/>
      <c r="AE407" s="183">
        <v>3</v>
      </c>
      <c r="AF407" s="183"/>
      <c r="AG407" s="101" t="str">
        <f t="shared" si="66"/>
        <v/>
      </c>
      <c r="AH407" s="190">
        <v>1</v>
      </c>
      <c r="AI407" s="69">
        <f t="shared" si="83"/>
        <v>1</v>
      </c>
    </row>
    <row r="408" spans="1:38" s="69" customFormat="1" ht="66" x14ac:dyDescent="0.3">
      <c r="A408" s="55" t="s">
        <v>1041</v>
      </c>
      <c r="B408" s="138" t="s">
        <v>1042</v>
      </c>
      <c r="C408" s="54" t="s">
        <v>162</v>
      </c>
      <c r="D408" s="75">
        <v>340</v>
      </c>
      <c r="E408" s="75"/>
      <c r="F408" s="75"/>
      <c r="G408" s="75"/>
      <c r="H408" s="75"/>
      <c r="I408" s="75">
        <v>300</v>
      </c>
      <c r="J408" s="75">
        <v>102000</v>
      </c>
      <c r="K408" s="91" t="s">
        <v>1043</v>
      </c>
      <c r="L408" s="73"/>
      <c r="M408" s="46">
        <v>219</v>
      </c>
      <c r="N408" s="46">
        <v>0</v>
      </c>
      <c r="O408" s="46">
        <v>65700</v>
      </c>
      <c r="P408" s="98"/>
      <c r="Q408" s="23" t="s">
        <v>1421</v>
      </c>
      <c r="R408" s="24" t="s">
        <v>1042</v>
      </c>
      <c r="S408" s="25" t="s">
        <v>162</v>
      </c>
      <c r="T408" s="26">
        <v>340</v>
      </c>
      <c r="U408" s="26">
        <v>340</v>
      </c>
      <c r="V408" s="26">
        <v>300</v>
      </c>
      <c r="W408" s="128">
        <f t="shared" ref="W408:W446" si="85">AH408-M408</f>
        <v>0</v>
      </c>
      <c r="X408" s="26">
        <f t="shared" si="78"/>
        <v>219</v>
      </c>
      <c r="Y408" s="26">
        <f t="shared" ref="Y408:Y446" si="86">Z408-O408</f>
        <v>0</v>
      </c>
      <c r="Z408" s="26">
        <f t="shared" ref="Z408:Z446" si="87">ROUND(V408*X408,2)</f>
        <v>65700</v>
      </c>
      <c r="AA408" s="33" t="s">
        <v>15</v>
      </c>
      <c r="AB408" s="36" t="s">
        <v>16</v>
      </c>
      <c r="AC408" s="181">
        <f t="shared" si="65"/>
        <v>340</v>
      </c>
      <c r="AD408" s="181">
        <f t="shared" ref="AD408:AD446" si="88">ROUND(V408*AC408,2)</f>
        <v>102000</v>
      </c>
      <c r="AE408" s="181">
        <v>3</v>
      </c>
      <c r="AF408" s="181">
        <v>3</v>
      </c>
      <c r="AG408" s="101" t="str">
        <f t="shared" si="66"/>
        <v/>
      </c>
      <c r="AH408" s="190">
        <v>219</v>
      </c>
      <c r="AI408" s="69">
        <f t="shared" si="83"/>
        <v>340</v>
      </c>
      <c r="AL408" s="69">
        <v>0</v>
      </c>
    </row>
    <row r="409" spans="1:38" s="69" customFormat="1" ht="49.5" x14ac:dyDescent="0.3">
      <c r="A409" s="55" t="s">
        <v>1044</v>
      </c>
      <c r="B409" s="138" t="s">
        <v>1045</v>
      </c>
      <c r="C409" s="54" t="s">
        <v>325</v>
      </c>
      <c r="D409" s="75">
        <v>68</v>
      </c>
      <c r="E409" s="75"/>
      <c r="F409" s="75"/>
      <c r="G409" s="75"/>
      <c r="H409" s="75"/>
      <c r="I409" s="75">
        <v>3000</v>
      </c>
      <c r="J409" s="75">
        <v>204000</v>
      </c>
      <c r="K409" s="91" t="s">
        <v>1046</v>
      </c>
      <c r="L409" s="73"/>
      <c r="M409" s="46">
        <v>52</v>
      </c>
      <c r="N409" s="46">
        <v>0</v>
      </c>
      <c r="O409" s="46">
        <v>156000</v>
      </c>
      <c r="P409" s="98"/>
      <c r="Q409" s="23" t="s">
        <v>1426</v>
      </c>
      <c r="R409" s="24" t="s">
        <v>1045</v>
      </c>
      <c r="S409" s="25" t="s">
        <v>325</v>
      </c>
      <c r="T409" s="26">
        <v>68</v>
      </c>
      <c r="U409" s="26">
        <v>68</v>
      </c>
      <c r="V409" s="26">
        <v>3000</v>
      </c>
      <c r="W409" s="128">
        <f t="shared" si="85"/>
        <v>0</v>
      </c>
      <c r="X409" s="26">
        <f t="shared" si="78"/>
        <v>52</v>
      </c>
      <c r="Y409" s="26">
        <f t="shared" si="86"/>
        <v>0</v>
      </c>
      <c r="Z409" s="26">
        <f t="shared" si="87"/>
        <v>156000</v>
      </c>
      <c r="AA409" s="33" t="s">
        <v>15</v>
      </c>
      <c r="AB409" s="36" t="s">
        <v>16</v>
      </c>
      <c r="AC409" s="181">
        <f t="shared" si="65"/>
        <v>68</v>
      </c>
      <c r="AD409" s="181">
        <f t="shared" si="88"/>
        <v>204000</v>
      </c>
      <c r="AE409" s="181">
        <v>3</v>
      </c>
      <c r="AF409" s="181">
        <v>3</v>
      </c>
      <c r="AG409" s="101" t="str">
        <f t="shared" si="66"/>
        <v/>
      </c>
      <c r="AH409" s="190">
        <v>52</v>
      </c>
      <c r="AI409" s="69">
        <f t="shared" si="83"/>
        <v>68</v>
      </c>
      <c r="AL409" s="69">
        <v>0</v>
      </c>
    </row>
    <row r="410" spans="1:38" s="69" customFormat="1" ht="33" x14ac:dyDescent="0.3">
      <c r="A410" s="55" t="s">
        <v>1047</v>
      </c>
      <c r="B410" s="138" t="s">
        <v>1048</v>
      </c>
      <c r="C410" s="54" t="s">
        <v>325</v>
      </c>
      <c r="D410" s="75">
        <v>68</v>
      </c>
      <c r="E410" s="75"/>
      <c r="F410" s="75"/>
      <c r="G410" s="75"/>
      <c r="H410" s="75"/>
      <c r="I410" s="75">
        <v>150</v>
      </c>
      <c r="J410" s="75">
        <v>10200</v>
      </c>
      <c r="K410" s="91" t="s">
        <v>1049</v>
      </c>
      <c r="L410" s="73"/>
      <c r="M410" s="46">
        <v>52</v>
      </c>
      <c r="N410" s="46">
        <v>0</v>
      </c>
      <c r="O410" s="46">
        <v>7800</v>
      </c>
      <c r="P410" s="98"/>
      <c r="Q410" s="23" t="s">
        <v>1402</v>
      </c>
      <c r="R410" s="24" t="s">
        <v>1048</v>
      </c>
      <c r="S410" s="25" t="s">
        <v>325</v>
      </c>
      <c r="T410" s="26">
        <v>68</v>
      </c>
      <c r="U410" s="26">
        <v>68</v>
      </c>
      <c r="V410" s="26">
        <v>150</v>
      </c>
      <c r="W410" s="128">
        <f t="shared" si="85"/>
        <v>0</v>
      </c>
      <c r="X410" s="26">
        <f t="shared" si="78"/>
        <v>52</v>
      </c>
      <c r="Y410" s="26">
        <f t="shared" si="86"/>
        <v>0</v>
      </c>
      <c r="Z410" s="26">
        <f t="shared" si="87"/>
        <v>7800</v>
      </c>
      <c r="AA410" s="33" t="s">
        <v>15</v>
      </c>
      <c r="AB410" s="36" t="s">
        <v>16</v>
      </c>
      <c r="AC410" s="181">
        <f t="shared" si="65"/>
        <v>68</v>
      </c>
      <c r="AD410" s="181">
        <f t="shared" si="88"/>
        <v>10200</v>
      </c>
      <c r="AE410" s="181">
        <v>3</v>
      </c>
      <c r="AF410" s="181">
        <v>3</v>
      </c>
      <c r="AG410" s="101" t="str">
        <f t="shared" si="66"/>
        <v/>
      </c>
      <c r="AH410" s="190">
        <v>52</v>
      </c>
      <c r="AI410" s="69">
        <f t="shared" si="83"/>
        <v>68</v>
      </c>
      <c r="AL410" s="69">
        <v>0</v>
      </c>
    </row>
    <row r="411" spans="1:38" s="69" customFormat="1" ht="49.5" x14ac:dyDescent="0.3">
      <c r="A411" s="55" t="s">
        <v>1050</v>
      </c>
      <c r="B411" s="138" t="s">
        <v>1051</v>
      </c>
      <c r="C411" s="54" t="s">
        <v>1052</v>
      </c>
      <c r="D411" s="75">
        <v>9</v>
      </c>
      <c r="E411" s="75"/>
      <c r="F411" s="75"/>
      <c r="G411" s="75"/>
      <c r="H411" s="75"/>
      <c r="I411" s="75">
        <v>1200</v>
      </c>
      <c r="J411" s="75">
        <v>10800</v>
      </c>
      <c r="K411" s="91" t="s">
        <v>1053</v>
      </c>
      <c r="L411" s="73"/>
      <c r="M411" s="46">
        <v>3</v>
      </c>
      <c r="N411" s="46">
        <v>0</v>
      </c>
      <c r="O411" s="46">
        <v>3600</v>
      </c>
      <c r="P411" s="98"/>
      <c r="Q411" s="23" t="s">
        <v>1373</v>
      </c>
      <c r="R411" s="24" t="s">
        <v>1051</v>
      </c>
      <c r="S411" s="25" t="s">
        <v>1052</v>
      </c>
      <c r="T411" s="26">
        <v>9</v>
      </c>
      <c r="U411" s="26">
        <v>9</v>
      </c>
      <c r="V411" s="26">
        <v>1200</v>
      </c>
      <c r="W411" s="243">
        <f t="shared" si="85"/>
        <v>0</v>
      </c>
      <c r="X411" s="26">
        <f t="shared" si="78"/>
        <v>3</v>
      </c>
      <c r="Y411" s="26">
        <f t="shared" si="86"/>
        <v>0</v>
      </c>
      <c r="Z411" s="26">
        <f t="shared" si="87"/>
        <v>3600</v>
      </c>
      <c r="AA411" s="33" t="s">
        <v>15</v>
      </c>
      <c r="AB411" s="36" t="s">
        <v>16</v>
      </c>
      <c r="AC411" s="181">
        <f t="shared" si="65"/>
        <v>9</v>
      </c>
      <c r="AD411" s="181">
        <f t="shared" si="88"/>
        <v>10800</v>
      </c>
      <c r="AE411" s="181">
        <v>3</v>
      </c>
      <c r="AF411" s="181">
        <v>3</v>
      </c>
      <c r="AG411" s="101" t="str">
        <f t="shared" si="66"/>
        <v/>
      </c>
      <c r="AH411" s="191">
        <f>3</f>
        <v>3</v>
      </c>
      <c r="AI411" s="69">
        <f t="shared" si="83"/>
        <v>9</v>
      </c>
      <c r="AL411" s="69">
        <v>0</v>
      </c>
    </row>
    <row r="412" spans="1:38" s="69" customFormat="1" ht="66" x14ac:dyDescent="0.3">
      <c r="A412" s="55" t="s">
        <v>1054</v>
      </c>
      <c r="B412" s="138" t="s">
        <v>3114</v>
      </c>
      <c r="C412" s="54" t="s">
        <v>325</v>
      </c>
      <c r="D412" s="75">
        <v>38</v>
      </c>
      <c r="E412" s="75"/>
      <c r="F412" s="75"/>
      <c r="G412" s="75"/>
      <c r="H412" s="75"/>
      <c r="I412" s="75">
        <v>650</v>
      </c>
      <c r="J412" s="75">
        <v>24700</v>
      </c>
      <c r="K412" s="91" t="s">
        <v>1056</v>
      </c>
      <c r="L412" s="73"/>
      <c r="M412" s="46">
        <v>25</v>
      </c>
      <c r="N412" s="46">
        <v>0</v>
      </c>
      <c r="O412" s="46">
        <v>16250</v>
      </c>
      <c r="P412" s="98"/>
      <c r="Q412" s="23" t="s">
        <v>1393</v>
      </c>
      <c r="R412" s="24" t="s">
        <v>1055</v>
      </c>
      <c r="S412" s="25" t="s">
        <v>325</v>
      </c>
      <c r="T412" s="26">
        <v>38</v>
      </c>
      <c r="U412" s="26">
        <v>38</v>
      </c>
      <c r="V412" s="26">
        <v>650</v>
      </c>
      <c r="W412" s="243">
        <f t="shared" si="85"/>
        <v>0</v>
      </c>
      <c r="X412" s="26">
        <f t="shared" si="78"/>
        <v>25</v>
      </c>
      <c r="Y412" s="26">
        <f t="shared" si="86"/>
        <v>0</v>
      </c>
      <c r="Z412" s="26">
        <f t="shared" si="87"/>
        <v>16250</v>
      </c>
      <c r="AA412" s="33" t="s">
        <v>15</v>
      </c>
      <c r="AB412" s="36" t="s">
        <v>16</v>
      </c>
      <c r="AC412" s="181">
        <f t="shared" si="65"/>
        <v>38</v>
      </c>
      <c r="AD412" s="181">
        <f t="shared" si="88"/>
        <v>24700</v>
      </c>
      <c r="AE412" s="181">
        <v>3</v>
      </c>
      <c r="AF412" s="181">
        <v>3</v>
      </c>
      <c r="AG412" s="101" t="str">
        <f t="shared" si="66"/>
        <v/>
      </c>
      <c r="AH412" s="191">
        <f>12+13</f>
        <v>25</v>
      </c>
      <c r="AI412" s="69">
        <f t="shared" si="83"/>
        <v>38</v>
      </c>
      <c r="AL412" s="69">
        <v>0</v>
      </c>
    </row>
    <row r="413" spans="1:38" s="69" customFormat="1" ht="66" customHeight="1" x14ac:dyDescent="0.3">
      <c r="A413" s="55" t="s">
        <v>1057</v>
      </c>
      <c r="B413" s="138" t="s">
        <v>3115</v>
      </c>
      <c r="C413" s="54" t="s">
        <v>325</v>
      </c>
      <c r="D413" s="75">
        <v>38</v>
      </c>
      <c r="E413" s="75"/>
      <c r="F413" s="75"/>
      <c r="G413" s="75"/>
      <c r="H413" s="75"/>
      <c r="I413" s="75">
        <v>1300</v>
      </c>
      <c r="J413" s="75">
        <v>49400</v>
      </c>
      <c r="K413" s="91" t="s">
        <v>1059</v>
      </c>
      <c r="L413" s="73"/>
      <c r="M413" s="46">
        <v>25</v>
      </c>
      <c r="N413" s="46">
        <v>0</v>
      </c>
      <c r="O413" s="46">
        <v>32500</v>
      </c>
      <c r="P413" s="98"/>
      <c r="Q413" s="23" t="s">
        <v>1403</v>
      </c>
      <c r="R413" s="24" t="s">
        <v>1058</v>
      </c>
      <c r="S413" s="25" t="s">
        <v>325</v>
      </c>
      <c r="T413" s="26">
        <v>38</v>
      </c>
      <c r="U413" s="26">
        <v>38</v>
      </c>
      <c r="V413" s="26">
        <v>1300</v>
      </c>
      <c r="W413" s="243">
        <f t="shared" si="85"/>
        <v>0</v>
      </c>
      <c r="X413" s="26">
        <f t="shared" si="78"/>
        <v>25</v>
      </c>
      <c r="Y413" s="26">
        <f t="shared" si="86"/>
        <v>0</v>
      </c>
      <c r="Z413" s="26">
        <f t="shared" si="87"/>
        <v>32500</v>
      </c>
      <c r="AA413" s="33" t="s">
        <v>15</v>
      </c>
      <c r="AB413" s="36" t="s">
        <v>16</v>
      </c>
      <c r="AC413" s="181">
        <f t="shared" ref="AC413:AC477" si="89">IF(U413="",T413,U413)</f>
        <v>38</v>
      </c>
      <c r="AD413" s="181">
        <f t="shared" si="88"/>
        <v>49400</v>
      </c>
      <c r="AE413" s="181">
        <v>3</v>
      </c>
      <c r="AF413" s="181">
        <v>3</v>
      </c>
      <c r="AG413" s="101" t="str">
        <f t="shared" ref="AG413:AG477" si="90">IF(X413&gt;AI413,"超估","")</f>
        <v/>
      </c>
      <c r="AH413" s="191">
        <f>AH412</f>
        <v>25</v>
      </c>
      <c r="AI413" s="69">
        <f t="shared" si="83"/>
        <v>38</v>
      </c>
      <c r="AL413" s="69">
        <v>0</v>
      </c>
    </row>
    <row r="414" spans="1:38" s="69" customFormat="1" ht="66" customHeight="1" x14ac:dyDescent="0.3">
      <c r="A414" s="55" t="s">
        <v>1060</v>
      </c>
      <c r="B414" s="138" t="s">
        <v>3116</v>
      </c>
      <c r="C414" s="54" t="s">
        <v>325</v>
      </c>
      <c r="D414" s="75">
        <v>7</v>
      </c>
      <c r="E414" s="75"/>
      <c r="F414" s="75"/>
      <c r="G414" s="75"/>
      <c r="H414" s="75"/>
      <c r="I414" s="75">
        <v>3500</v>
      </c>
      <c r="J414" s="75">
        <v>24500</v>
      </c>
      <c r="K414" s="91" t="s">
        <v>1062</v>
      </c>
      <c r="L414" s="73"/>
      <c r="M414" s="46">
        <v>0</v>
      </c>
      <c r="N414" s="46">
        <v>0</v>
      </c>
      <c r="O414" s="46">
        <v>0</v>
      </c>
      <c r="P414" s="98"/>
      <c r="Q414" s="23" t="s">
        <v>1427</v>
      </c>
      <c r="R414" s="24" t="s">
        <v>1061</v>
      </c>
      <c r="S414" s="25" t="s">
        <v>325</v>
      </c>
      <c r="T414" s="26">
        <v>7</v>
      </c>
      <c r="U414" s="26">
        <v>7</v>
      </c>
      <c r="V414" s="26">
        <v>3500</v>
      </c>
      <c r="W414" s="26">
        <f t="shared" si="85"/>
        <v>0</v>
      </c>
      <c r="X414" s="26">
        <f t="shared" si="78"/>
        <v>0</v>
      </c>
      <c r="Y414" s="26">
        <f t="shared" si="86"/>
        <v>0</v>
      </c>
      <c r="Z414" s="26">
        <f t="shared" si="87"/>
        <v>0</v>
      </c>
      <c r="AA414" s="33" t="s">
        <v>15</v>
      </c>
      <c r="AB414" s="36" t="s">
        <v>16</v>
      </c>
      <c r="AC414" s="181">
        <f t="shared" si="89"/>
        <v>7</v>
      </c>
      <c r="AD414" s="181">
        <f t="shared" si="88"/>
        <v>24500</v>
      </c>
      <c r="AE414" s="181">
        <v>3</v>
      </c>
      <c r="AF414" s="181">
        <v>3</v>
      </c>
      <c r="AG414" s="101" t="str">
        <f t="shared" si="90"/>
        <v/>
      </c>
      <c r="AH414" s="190">
        <v>0</v>
      </c>
      <c r="AI414" s="69">
        <f t="shared" si="83"/>
        <v>7</v>
      </c>
      <c r="AL414" s="69">
        <v>0</v>
      </c>
    </row>
    <row r="415" spans="1:38" s="69" customFormat="1" ht="66" customHeight="1" x14ac:dyDescent="0.3">
      <c r="A415" s="55" t="s">
        <v>1063</v>
      </c>
      <c r="B415" s="138" t="s">
        <v>1064</v>
      </c>
      <c r="C415" s="54" t="s">
        <v>325</v>
      </c>
      <c r="D415" s="75">
        <v>5</v>
      </c>
      <c r="E415" s="75"/>
      <c r="F415" s="75"/>
      <c r="G415" s="75"/>
      <c r="H415" s="75"/>
      <c r="I415" s="75">
        <v>700</v>
      </c>
      <c r="J415" s="75">
        <v>3500</v>
      </c>
      <c r="K415" s="91" t="s">
        <v>1065</v>
      </c>
      <c r="L415" s="73"/>
      <c r="M415" s="46">
        <v>0</v>
      </c>
      <c r="N415" s="46">
        <v>0</v>
      </c>
      <c r="O415" s="46">
        <v>0</v>
      </c>
      <c r="P415" s="98"/>
      <c r="Q415" s="23" t="s">
        <v>1428</v>
      </c>
      <c r="R415" s="24" t="s">
        <v>1064</v>
      </c>
      <c r="S415" s="25" t="s">
        <v>325</v>
      </c>
      <c r="T415" s="26">
        <v>5</v>
      </c>
      <c r="U415" s="26">
        <v>5</v>
      </c>
      <c r="V415" s="26">
        <v>700</v>
      </c>
      <c r="W415" s="26">
        <f t="shared" si="85"/>
        <v>0</v>
      </c>
      <c r="X415" s="26">
        <f t="shared" si="78"/>
        <v>0</v>
      </c>
      <c r="Y415" s="26">
        <f t="shared" si="86"/>
        <v>0</v>
      </c>
      <c r="Z415" s="26">
        <f t="shared" si="87"/>
        <v>0</v>
      </c>
      <c r="AA415" s="33" t="s">
        <v>15</v>
      </c>
      <c r="AB415" s="36" t="s">
        <v>16</v>
      </c>
      <c r="AC415" s="181">
        <f t="shared" si="89"/>
        <v>5</v>
      </c>
      <c r="AD415" s="181">
        <f t="shared" si="88"/>
        <v>3500</v>
      </c>
      <c r="AE415" s="181">
        <v>3</v>
      </c>
      <c r="AF415" s="181">
        <v>3</v>
      </c>
      <c r="AG415" s="101" t="str">
        <f t="shared" si="90"/>
        <v/>
      </c>
      <c r="AH415" s="190">
        <v>0</v>
      </c>
      <c r="AI415" s="69">
        <f t="shared" si="83"/>
        <v>5</v>
      </c>
      <c r="AL415" s="69">
        <v>0</v>
      </c>
    </row>
    <row r="416" spans="1:38" s="69" customFormat="1" ht="49.5" customHeight="1" x14ac:dyDescent="0.3">
      <c r="A416" s="55" t="s">
        <v>1066</v>
      </c>
      <c r="B416" s="138" t="s">
        <v>1067</v>
      </c>
      <c r="C416" s="54" t="s">
        <v>66</v>
      </c>
      <c r="D416" s="75">
        <v>1</v>
      </c>
      <c r="E416" s="75"/>
      <c r="F416" s="75"/>
      <c r="G416" s="75"/>
      <c r="H416" s="75"/>
      <c r="I416" s="75">
        <v>15000</v>
      </c>
      <c r="J416" s="75">
        <v>15000</v>
      </c>
      <c r="K416" s="91" t="s">
        <v>1068</v>
      </c>
      <c r="L416" s="73"/>
      <c r="M416" s="46">
        <v>0</v>
      </c>
      <c r="N416" s="46">
        <v>0</v>
      </c>
      <c r="O416" s="46">
        <v>0</v>
      </c>
      <c r="P416" s="98"/>
      <c r="Q416" s="23" t="s">
        <v>1387</v>
      </c>
      <c r="R416" s="24" t="s">
        <v>1067</v>
      </c>
      <c r="S416" s="25" t="s">
        <v>66</v>
      </c>
      <c r="T416" s="26">
        <v>1</v>
      </c>
      <c r="U416" s="26">
        <v>1</v>
      </c>
      <c r="V416" s="26">
        <v>15000</v>
      </c>
      <c r="W416" s="26">
        <f t="shared" si="85"/>
        <v>0</v>
      </c>
      <c r="X416" s="26">
        <f t="shared" si="78"/>
        <v>0</v>
      </c>
      <c r="Y416" s="26">
        <f t="shared" si="86"/>
        <v>0</v>
      </c>
      <c r="Z416" s="26">
        <f t="shared" si="87"/>
        <v>0</v>
      </c>
      <c r="AA416" s="33" t="s">
        <v>15</v>
      </c>
      <c r="AB416" s="36" t="s">
        <v>16</v>
      </c>
      <c r="AC416" s="181">
        <f t="shared" si="89"/>
        <v>1</v>
      </c>
      <c r="AD416" s="181">
        <f t="shared" si="88"/>
        <v>15000</v>
      </c>
      <c r="AE416" s="181">
        <v>3</v>
      </c>
      <c r="AF416" s="181">
        <v>3</v>
      </c>
      <c r="AG416" s="101" t="str">
        <f t="shared" si="90"/>
        <v/>
      </c>
      <c r="AH416" s="190">
        <v>0</v>
      </c>
      <c r="AI416" s="69">
        <f t="shared" si="83"/>
        <v>1</v>
      </c>
      <c r="AL416" s="69">
        <v>0</v>
      </c>
    </row>
    <row r="417" spans="1:38" s="69" customFormat="1" ht="49.5" customHeight="1" x14ac:dyDescent="0.3">
      <c r="A417" s="55" t="s">
        <v>1069</v>
      </c>
      <c r="B417" s="138" t="s">
        <v>1070</v>
      </c>
      <c r="C417" s="54" t="s">
        <v>325</v>
      </c>
      <c r="D417" s="75">
        <v>1</v>
      </c>
      <c r="E417" s="75"/>
      <c r="F417" s="75"/>
      <c r="G417" s="75"/>
      <c r="H417" s="75"/>
      <c r="I417" s="75">
        <v>6000</v>
      </c>
      <c r="J417" s="75">
        <v>6000</v>
      </c>
      <c r="K417" s="91" t="s">
        <v>1071</v>
      </c>
      <c r="L417" s="73"/>
      <c r="M417" s="46">
        <v>0</v>
      </c>
      <c r="N417" s="46">
        <v>0</v>
      </c>
      <c r="O417" s="46">
        <v>0</v>
      </c>
      <c r="P417" s="98"/>
      <c r="Q417" s="23" t="s">
        <v>1405</v>
      </c>
      <c r="R417" s="24" t="s">
        <v>1070</v>
      </c>
      <c r="S417" s="25" t="s">
        <v>325</v>
      </c>
      <c r="T417" s="26">
        <v>1</v>
      </c>
      <c r="U417" s="26">
        <v>1</v>
      </c>
      <c r="V417" s="26">
        <v>6000</v>
      </c>
      <c r="W417" s="26">
        <f t="shared" si="85"/>
        <v>0</v>
      </c>
      <c r="X417" s="26">
        <f t="shared" si="78"/>
        <v>0</v>
      </c>
      <c r="Y417" s="26">
        <f t="shared" si="86"/>
        <v>0</v>
      </c>
      <c r="Z417" s="26">
        <f t="shared" si="87"/>
        <v>0</v>
      </c>
      <c r="AA417" s="33" t="s">
        <v>15</v>
      </c>
      <c r="AB417" s="36" t="s">
        <v>16</v>
      </c>
      <c r="AC417" s="181">
        <f t="shared" si="89"/>
        <v>1</v>
      </c>
      <c r="AD417" s="181">
        <f t="shared" si="88"/>
        <v>6000</v>
      </c>
      <c r="AE417" s="181">
        <v>3</v>
      </c>
      <c r="AF417" s="181">
        <v>3</v>
      </c>
      <c r="AG417" s="101" t="str">
        <f t="shared" si="90"/>
        <v/>
      </c>
      <c r="AH417" s="190">
        <v>0</v>
      </c>
      <c r="AI417" s="69">
        <f t="shared" si="83"/>
        <v>1</v>
      </c>
      <c r="AL417" s="69">
        <v>0</v>
      </c>
    </row>
    <row r="418" spans="1:38" s="69" customFormat="1" ht="92.25" customHeight="1" x14ac:dyDescent="0.3">
      <c r="A418" s="130" t="s">
        <v>1072</v>
      </c>
      <c r="B418" s="240" t="s">
        <v>3141</v>
      </c>
      <c r="C418" s="132" t="s">
        <v>325</v>
      </c>
      <c r="D418" s="133">
        <v>1</v>
      </c>
      <c r="E418" s="75"/>
      <c r="F418" s="75"/>
      <c r="G418" s="75"/>
      <c r="H418" s="75"/>
      <c r="I418" s="75">
        <v>49500</v>
      </c>
      <c r="J418" s="75">
        <v>49500</v>
      </c>
      <c r="K418" s="91" t="s">
        <v>1074</v>
      </c>
      <c r="L418" s="73"/>
      <c r="M418" s="46">
        <v>1</v>
      </c>
      <c r="N418" s="46">
        <v>0</v>
      </c>
      <c r="O418" s="46">
        <v>49500</v>
      </c>
      <c r="P418" s="98"/>
      <c r="Q418" s="23" t="s">
        <v>1406</v>
      </c>
      <c r="R418" s="24" t="s">
        <v>1073</v>
      </c>
      <c r="S418" s="25" t="s">
        <v>325</v>
      </c>
      <c r="T418" s="26">
        <v>1</v>
      </c>
      <c r="U418" s="26">
        <v>1</v>
      </c>
      <c r="V418" s="26">
        <v>49500</v>
      </c>
      <c r="W418" s="243">
        <f t="shared" si="85"/>
        <v>0</v>
      </c>
      <c r="X418" s="127">
        <f t="shared" si="78"/>
        <v>1</v>
      </c>
      <c r="Y418" s="127">
        <f t="shared" si="86"/>
        <v>0</v>
      </c>
      <c r="Z418" s="127">
        <f t="shared" si="87"/>
        <v>49500</v>
      </c>
      <c r="AA418" s="33" t="s">
        <v>15</v>
      </c>
      <c r="AB418" s="36" t="s">
        <v>16</v>
      </c>
      <c r="AC418" s="181">
        <f t="shared" si="89"/>
        <v>1</v>
      </c>
      <c r="AD418" s="181">
        <f t="shared" si="88"/>
        <v>49500</v>
      </c>
      <c r="AE418" s="181">
        <v>3</v>
      </c>
      <c r="AF418" s="181">
        <v>3</v>
      </c>
      <c r="AG418" s="101" t="str">
        <f t="shared" si="90"/>
        <v/>
      </c>
      <c r="AH418" s="191">
        <v>1</v>
      </c>
      <c r="AI418" s="69">
        <f t="shared" si="83"/>
        <v>1</v>
      </c>
      <c r="AL418" s="69">
        <v>0</v>
      </c>
    </row>
    <row r="419" spans="1:38" s="69" customFormat="1" ht="66" customHeight="1" x14ac:dyDescent="0.3">
      <c r="A419" s="55" t="s">
        <v>1075</v>
      </c>
      <c r="B419" s="138" t="s">
        <v>3118</v>
      </c>
      <c r="C419" s="54" t="s">
        <v>325</v>
      </c>
      <c r="D419" s="75">
        <v>8</v>
      </c>
      <c r="E419" s="75"/>
      <c r="F419" s="75"/>
      <c r="G419" s="75"/>
      <c r="H419" s="75"/>
      <c r="I419" s="75">
        <v>3000</v>
      </c>
      <c r="J419" s="75">
        <v>24000</v>
      </c>
      <c r="K419" s="91" t="s">
        <v>1077</v>
      </c>
      <c r="L419" s="73"/>
      <c r="M419" s="46">
        <v>0</v>
      </c>
      <c r="N419" s="46">
        <v>0</v>
      </c>
      <c r="O419" s="46">
        <v>0</v>
      </c>
      <c r="P419" s="98"/>
      <c r="Q419" s="23" t="s">
        <v>1414</v>
      </c>
      <c r="R419" s="24" t="s">
        <v>1076</v>
      </c>
      <c r="S419" s="25" t="s">
        <v>325</v>
      </c>
      <c r="T419" s="26">
        <v>8</v>
      </c>
      <c r="U419" s="26">
        <v>8</v>
      </c>
      <c r="V419" s="26">
        <v>3000</v>
      </c>
      <c r="W419" s="26">
        <f t="shared" si="85"/>
        <v>0</v>
      </c>
      <c r="X419" s="26">
        <f t="shared" si="78"/>
        <v>0</v>
      </c>
      <c r="Y419" s="26">
        <f t="shared" si="86"/>
        <v>0</v>
      </c>
      <c r="Z419" s="26">
        <f t="shared" si="87"/>
        <v>0</v>
      </c>
      <c r="AA419" s="33" t="s">
        <v>15</v>
      </c>
      <c r="AB419" s="36" t="s">
        <v>16</v>
      </c>
      <c r="AC419" s="181">
        <f t="shared" si="89"/>
        <v>8</v>
      </c>
      <c r="AD419" s="181">
        <f t="shared" si="88"/>
        <v>24000</v>
      </c>
      <c r="AE419" s="181">
        <v>3</v>
      </c>
      <c r="AF419" s="181">
        <v>3</v>
      </c>
      <c r="AG419" s="101" t="str">
        <f t="shared" si="90"/>
        <v/>
      </c>
      <c r="AH419" s="190">
        <v>0</v>
      </c>
      <c r="AI419" s="69">
        <f t="shared" si="83"/>
        <v>8</v>
      </c>
      <c r="AL419" s="69">
        <v>0</v>
      </c>
    </row>
    <row r="420" spans="1:38" s="69" customFormat="1" ht="33" customHeight="1" x14ac:dyDescent="0.3">
      <c r="A420" s="130" t="s">
        <v>1078</v>
      </c>
      <c r="B420" s="240" t="s">
        <v>1079</v>
      </c>
      <c r="C420" s="132" t="s">
        <v>66</v>
      </c>
      <c r="D420" s="133">
        <v>75</v>
      </c>
      <c r="E420" s="75"/>
      <c r="F420" s="75"/>
      <c r="G420" s="75"/>
      <c r="H420" s="75"/>
      <c r="I420" s="75">
        <v>12000</v>
      </c>
      <c r="J420" s="75">
        <v>900000</v>
      </c>
      <c r="K420" s="91" t="s">
        <v>1080</v>
      </c>
      <c r="L420" s="73"/>
      <c r="M420" s="46">
        <v>75</v>
      </c>
      <c r="N420" s="46">
        <v>0</v>
      </c>
      <c r="O420" s="46">
        <v>900000</v>
      </c>
      <c r="P420" s="98"/>
      <c r="Q420" s="23" t="s">
        <v>1429</v>
      </c>
      <c r="R420" s="24" t="s">
        <v>1079</v>
      </c>
      <c r="S420" s="25" t="s">
        <v>66</v>
      </c>
      <c r="T420" s="26">
        <v>75</v>
      </c>
      <c r="U420" s="26">
        <v>75</v>
      </c>
      <c r="V420" s="26">
        <v>12000</v>
      </c>
      <c r="W420" s="243">
        <f t="shared" si="85"/>
        <v>0</v>
      </c>
      <c r="X420" s="127">
        <f t="shared" si="78"/>
        <v>75</v>
      </c>
      <c r="Y420" s="127">
        <f t="shared" si="86"/>
        <v>0</v>
      </c>
      <c r="Z420" s="127">
        <f t="shared" si="87"/>
        <v>900000</v>
      </c>
      <c r="AA420" s="33" t="s">
        <v>15</v>
      </c>
      <c r="AB420" s="36" t="s">
        <v>16</v>
      </c>
      <c r="AC420" s="181">
        <f t="shared" si="89"/>
        <v>75</v>
      </c>
      <c r="AD420" s="181">
        <f t="shared" si="88"/>
        <v>900000</v>
      </c>
      <c r="AE420" s="181">
        <v>3</v>
      </c>
      <c r="AF420" s="181">
        <v>3</v>
      </c>
      <c r="AG420" s="101" t="str">
        <f t="shared" si="90"/>
        <v/>
      </c>
      <c r="AH420" s="191">
        <f>50+25</f>
        <v>75</v>
      </c>
      <c r="AI420" s="69">
        <f t="shared" si="83"/>
        <v>75</v>
      </c>
      <c r="AL420" s="69">
        <v>0</v>
      </c>
    </row>
    <row r="421" spans="1:38" s="69" customFormat="1" ht="33" customHeight="1" x14ac:dyDescent="0.3">
      <c r="A421" s="130" t="s">
        <v>1081</v>
      </c>
      <c r="B421" s="240" t="s">
        <v>1082</v>
      </c>
      <c r="C421" s="132" t="s">
        <v>1014</v>
      </c>
      <c r="D421" s="133">
        <v>75</v>
      </c>
      <c r="E421" s="75"/>
      <c r="F421" s="75"/>
      <c r="G421" s="75"/>
      <c r="H421" s="75"/>
      <c r="I421" s="75">
        <v>1500</v>
      </c>
      <c r="J421" s="75">
        <v>112500</v>
      </c>
      <c r="K421" s="91" t="s">
        <v>1083</v>
      </c>
      <c r="L421" s="73"/>
      <c r="M421" s="46">
        <v>30</v>
      </c>
      <c r="N421" s="46">
        <v>0</v>
      </c>
      <c r="O421" s="46">
        <v>45000</v>
      </c>
      <c r="P421" s="98"/>
      <c r="Q421" s="23" t="s">
        <v>1430</v>
      </c>
      <c r="R421" s="24" t="s">
        <v>1082</v>
      </c>
      <c r="S421" s="25" t="s">
        <v>1014</v>
      </c>
      <c r="T421" s="26">
        <v>75</v>
      </c>
      <c r="U421" s="26">
        <v>75</v>
      </c>
      <c r="V421" s="26">
        <v>1500</v>
      </c>
      <c r="W421" s="243">
        <f t="shared" si="85"/>
        <v>0</v>
      </c>
      <c r="X421" s="127">
        <f t="shared" si="78"/>
        <v>30</v>
      </c>
      <c r="Y421" s="127">
        <f t="shared" si="86"/>
        <v>0</v>
      </c>
      <c r="Z421" s="127">
        <f t="shared" si="87"/>
        <v>45000</v>
      </c>
      <c r="AA421" s="33" t="s">
        <v>15</v>
      </c>
      <c r="AB421" s="36" t="s">
        <v>16</v>
      </c>
      <c r="AC421" s="181">
        <f t="shared" si="89"/>
        <v>75</v>
      </c>
      <c r="AD421" s="181">
        <f t="shared" si="88"/>
        <v>112500</v>
      </c>
      <c r="AE421" s="181">
        <v>3</v>
      </c>
      <c r="AF421" s="181">
        <v>3</v>
      </c>
      <c r="AG421" s="101" t="str">
        <f t="shared" si="90"/>
        <v/>
      </c>
      <c r="AH421" s="191">
        <f>30</f>
        <v>30</v>
      </c>
      <c r="AI421" s="69">
        <f t="shared" si="83"/>
        <v>75</v>
      </c>
      <c r="AL421" s="69">
        <v>0</v>
      </c>
    </row>
    <row r="422" spans="1:38" s="69" customFormat="1" ht="66" customHeight="1" x14ac:dyDescent="0.3">
      <c r="A422" s="55" t="s">
        <v>1084</v>
      </c>
      <c r="B422" s="138" t="s">
        <v>1085</v>
      </c>
      <c r="C422" s="54" t="s">
        <v>325</v>
      </c>
      <c r="D422" s="75">
        <v>1</v>
      </c>
      <c r="E422" s="75"/>
      <c r="F422" s="75"/>
      <c r="G422" s="75"/>
      <c r="H422" s="75"/>
      <c r="I422" s="75">
        <v>12000</v>
      </c>
      <c r="J422" s="75">
        <v>12000</v>
      </c>
      <c r="K422" s="91" t="s">
        <v>1086</v>
      </c>
      <c r="L422" s="73"/>
      <c r="M422" s="46">
        <v>0</v>
      </c>
      <c r="N422" s="46">
        <v>0</v>
      </c>
      <c r="O422" s="46">
        <v>0</v>
      </c>
      <c r="P422" s="98"/>
      <c r="Q422" s="23" t="s">
        <v>1431</v>
      </c>
      <c r="R422" s="24" t="s">
        <v>1085</v>
      </c>
      <c r="S422" s="25" t="s">
        <v>325</v>
      </c>
      <c r="T422" s="26">
        <v>1</v>
      </c>
      <c r="U422" s="26">
        <v>1</v>
      </c>
      <c r="V422" s="26">
        <v>12000</v>
      </c>
      <c r="W422" s="26">
        <f t="shared" si="85"/>
        <v>0</v>
      </c>
      <c r="X422" s="26">
        <f t="shared" si="78"/>
        <v>0</v>
      </c>
      <c r="Y422" s="26">
        <f t="shared" si="86"/>
        <v>0</v>
      </c>
      <c r="Z422" s="26">
        <f t="shared" si="87"/>
        <v>0</v>
      </c>
      <c r="AA422" s="33" t="s">
        <v>15</v>
      </c>
      <c r="AB422" s="36" t="s">
        <v>16</v>
      </c>
      <c r="AC422" s="181">
        <f t="shared" si="89"/>
        <v>1</v>
      </c>
      <c r="AD422" s="181">
        <f t="shared" si="88"/>
        <v>12000</v>
      </c>
      <c r="AE422" s="181">
        <v>3</v>
      </c>
      <c r="AF422" s="181">
        <v>3</v>
      </c>
      <c r="AG422" s="101" t="str">
        <f t="shared" si="90"/>
        <v/>
      </c>
      <c r="AH422" s="190">
        <v>0</v>
      </c>
      <c r="AI422" s="69">
        <f t="shared" si="83"/>
        <v>1</v>
      </c>
      <c r="AL422" s="69">
        <v>0</v>
      </c>
    </row>
    <row r="423" spans="1:38" s="69" customFormat="1" ht="49.5" customHeight="1" x14ac:dyDescent="0.3">
      <c r="A423" s="55" t="s">
        <v>1087</v>
      </c>
      <c r="B423" s="138" t="s">
        <v>1088</v>
      </c>
      <c r="C423" s="54" t="s">
        <v>325</v>
      </c>
      <c r="D423" s="75">
        <v>1</v>
      </c>
      <c r="E423" s="75"/>
      <c r="F423" s="75"/>
      <c r="G423" s="75"/>
      <c r="H423" s="75"/>
      <c r="I423" s="75">
        <v>2000</v>
      </c>
      <c r="J423" s="75">
        <v>2000</v>
      </c>
      <c r="K423" s="91" t="s">
        <v>1089</v>
      </c>
      <c r="L423" s="73"/>
      <c r="M423" s="46">
        <v>0</v>
      </c>
      <c r="N423" s="46">
        <v>0</v>
      </c>
      <c r="O423" s="46">
        <v>0</v>
      </c>
      <c r="P423" s="98"/>
      <c r="Q423" s="23" t="s">
        <v>1395</v>
      </c>
      <c r="R423" s="24" t="s">
        <v>1088</v>
      </c>
      <c r="S423" s="25" t="s">
        <v>325</v>
      </c>
      <c r="T423" s="26">
        <v>1</v>
      </c>
      <c r="U423" s="26">
        <v>1</v>
      </c>
      <c r="V423" s="26">
        <v>2000</v>
      </c>
      <c r="W423" s="26">
        <f t="shared" si="85"/>
        <v>0</v>
      </c>
      <c r="X423" s="26">
        <f t="shared" si="78"/>
        <v>0</v>
      </c>
      <c r="Y423" s="26">
        <f t="shared" si="86"/>
        <v>0</v>
      </c>
      <c r="Z423" s="26">
        <f t="shared" si="87"/>
        <v>0</v>
      </c>
      <c r="AA423" s="33" t="s">
        <v>15</v>
      </c>
      <c r="AB423" s="36" t="s">
        <v>16</v>
      </c>
      <c r="AC423" s="181">
        <f t="shared" si="89"/>
        <v>1</v>
      </c>
      <c r="AD423" s="181">
        <f t="shared" si="88"/>
        <v>2000</v>
      </c>
      <c r="AE423" s="181">
        <v>3</v>
      </c>
      <c r="AF423" s="181">
        <v>3</v>
      </c>
      <c r="AG423" s="101" t="str">
        <f t="shared" si="90"/>
        <v/>
      </c>
      <c r="AH423" s="190">
        <v>0</v>
      </c>
      <c r="AI423" s="69">
        <f t="shared" si="83"/>
        <v>1</v>
      </c>
      <c r="AL423" s="69">
        <v>0</v>
      </c>
    </row>
    <row r="424" spans="1:38" s="69" customFormat="1" ht="66" customHeight="1" x14ac:dyDescent="0.3">
      <c r="A424" s="55" t="s">
        <v>1090</v>
      </c>
      <c r="B424" s="138" t="s">
        <v>3119</v>
      </c>
      <c r="C424" s="54" t="s">
        <v>325</v>
      </c>
      <c r="D424" s="75">
        <v>14</v>
      </c>
      <c r="E424" s="75"/>
      <c r="F424" s="75"/>
      <c r="G424" s="75"/>
      <c r="H424" s="75"/>
      <c r="I424" s="75">
        <v>3000</v>
      </c>
      <c r="J424" s="75">
        <v>42000</v>
      </c>
      <c r="K424" s="91" t="s">
        <v>1092</v>
      </c>
      <c r="L424" s="73"/>
      <c r="M424" s="46">
        <v>8</v>
      </c>
      <c r="N424" s="46">
        <v>0</v>
      </c>
      <c r="O424" s="46">
        <v>24000</v>
      </c>
      <c r="P424" s="98"/>
      <c r="Q424" s="23" t="s">
        <v>1432</v>
      </c>
      <c r="R424" s="24" t="s">
        <v>1091</v>
      </c>
      <c r="S424" s="25" t="s">
        <v>325</v>
      </c>
      <c r="T424" s="26">
        <v>14</v>
      </c>
      <c r="U424" s="26">
        <v>14</v>
      </c>
      <c r="V424" s="26">
        <v>3000</v>
      </c>
      <c r="W424" s="243">
        <f t="shared" si="85"/>
        <v>0</v>
      </c>
      <c r="X424" s="26">
        <f t="shared" si="78"/>
        <v>8</v>
      </c>
      <c r="Y424" s="26">
        <f t="shared" si="86"/>
        <v>0</v>
      </c>
      <c r="Z424" s="26">
        <f t="shared" si="87"/>
        <v>24000</v>
      </c>
      <c r="AA424" s="33" t="s">
        <v>15</v>
      </c>
      <c r="AB424" s="36" t="s">
        <v>16</v>
      </c>
      <c r="AC424" s="181">
        <f t="shared" si="89"/>
        <v>14</v>
      </c>
      <c r="AD424" s="181">
        <f t="shared" si="88"/>
        <v>42000</v>
      </c>
      <c r="AE424" s="181">
        <v>3</v>
      </c>
      <c r="AF424" s="181">
        <v>3</v>
      </c>
      <c r="AG424" s="101" t="str">
        <f t="shared" si="90"/>
        <v/>
      </c>
      <c r="AH424" s="191">
        <f>8</f>
        <v>8</v>
      </c>
      <c r="AI424" s="69">
        <f t="shared" si="83"/>
        <v>14</v>
      </c>
      <c r="AL424" s="69">
        <v>0</v>
      </c>
    </row>
    <row r="425" spans="1:38" s="69" customFormat="1" ht="49.5" customHeight="1" x14ac:dyDescent="0.3">
      <c r="A425" s="130" t="s">
        <v>1093</v>
      </c>
      <c r="B425" s="240" t="s">
        <v>1094</v>
      </c>
      <c r="C425" s="132" t="s">
        <v>325</v>
      </c>
      <c r="D425" s="133">
        <v>3</v>
      </c>
      <c r="E425" s="75"/>
      <c r="F425" s="75"/>
      <c r="G425" s="75"/>
      <c r="H425" s="75"/>
      <c r="I425" s="75">
        <v>1400</v>
      </c>
      <c r="J425" s="75">
        <v>4200</v>
      </c>
      <c r="K425" s="91" t="s">
        <v>1095</v>
      </c>
      <c r="L425" s="73"/>
      <c r="M425" s="46">
        <v>3</v>
      </c>
      <c r="N425" s="46">
        <v>0</v>
      </c>
      <c r="O425" s="46">
        <v>4200</v>
      </c>
      <c r="P425" s="98"/>
      <c r="Q425" s="23" t="s">
        <v>1433</v>
      </c>
      <c r="R425" s="24" t="s">
        <v>1094</v>
      </c>
      <c r="S425" s="25" t="s">
        <v>325</v>
      </c>
      <c r="T425" s="26">
        <v>3</v>
      </c>
      <c r="U425" s="26">
        <v>3</v>
      </c>
      <c r="V425" s="26">
        <v>1400</v>
      </c>
      <c r="W425" s="243">
        <f t="shared" si="85"/>
        <v>0</v>
      </c>
      <c r="X425" s="127">
        <f t="shared" si="78"/>
        <v>3</v>
      </c>
      <c r="Y425" s="127">
        <f t="shared" si="86"/>
        <v>0</v>
      </c>
      <c r="Z425" s="127">
        <f t="shared" si="87"/>
        <v>4200</v>
      </c>
      <c r="AA425" s="33" t="s">
        <v>15</v>
      </c>
      <c r="AB425" s="36" t="s">
        <v>16</v>
      </c>
      <c r="AC425" s="181">
        <f t="shared" si="89"/>
        <v>3</v>
      </c>
      <c r="AD425" s="181">
        <f t="shared" si="88"/>
        <v>4200</v>
      </c>
      <c r="AE425" s="181">
        <v>3</v>
      </c>
      <c r="AF425" s="181">
        <v>3</v>
      </c>
      <c r="AG425" s="101" t="str">
        <f t="shared" si="90"/>
        <v/>
      </c>
      <c r="AH425" s="191">
        <f>3</f>
        <v>3</v>
      </c>
      <c r="AI425" s="69">
        <f t="shared" si="83"/>
        <v>3</v>
      </c>
      <c r="AL425" s="69">
        <v>0</v>
      </c>
    </row>
    <row r="426" spans="1:38" s="69" customFormat="1" ht="66" customHeight="1" x14ac:dyDescent="0.3">
      <c r="A426" s="55" t="s">
        <v>1096</v>
      </c>
      <c r="B426" s="138" t="s">
        <v>3140</v>
      </c>
      <c r="C426" s="54" t="s">
        <v>66</v>
      </c>
      <c r="D426" s="75">
        <v>5</v>
      </c>
      <c r="E426" s="75"/>
      <c r="F426" s="75"/>
      <c r="G426" s="75"/>
      <c r="H426" s="75"/>
      <c r="I426" s="75">
        <v>18000</v>
      </c>
      <c r="J426" s="75">
        <v>90000</v>
      </c>
      <c r="K426" s="91" t="s">
        <v>1098</v>
      </c>
      <c r="L426" s="73"/>
      <c r="M426" s="46">
        <v>0</v>
      </c>
      <c r="N426" s="46">
        <v>0</v>
      </c>
      <c r="O426" s="46">
        <v>0</v>
      </c>
      <c r="P426" s="98"/>
      <c r="Q426" s="23" t="s">
        <v>1382</v>
      </c>
      <c r="R426" s="24" t="s">
        <v>1097</v>
      </c>
      <c r="S426" s="25" t="s">
        <v>66</v>
      </c>
      <c r="T426" s="26">
        <v>5</v>
      </c>
      <c r="U426" s="26">
        <v>5</v>
      </c>
      <c r="V426" s="26">
        <v>18000</v>
      </c>
      <c r="W426" s="26">
        <f t="shared" si="85"/>
        <v>0</v>
      </c>
      <c r="X426" s="26">
        <f t="shared" si="78"/>
        <v>0</v>
      </c>
      <c r="Y426" s="26">
        <f t="shared" si="86"/>
        <v>0</v>
      </c>
      <c r="Z426" s="26">
        <f t="shared" si="87"/>
        <v>0</v>
      </c>
      <c r="AA426" s="33" t="s">
        <v>15</v>
      </c>
      <c r="AB426" s="36" t="s">
        <v>16</v>
      </c>
      <c r="AC426" s="181">
        <f t="shared" si="89"/>
        <v>5</v>
      </c>
      <c r="AD426" s="181">
        <f t="shared" si="88"/>
        <v>90000</v>
      </c>
      <c r="AE426" s="181">
        <v>3</v>
      </c>
      <c r="AF426" s="181">
        <v>3</v>
      </c>
      <c r="AG426" s="101" t="str">
        <f t="shared" si="90"/>
        <v/>
      </c>
      <c r="AH426" s="190">
        <v>0</v>
      </c>
      <c r="AI426" s="69">
        <f t="shared" si="83"/>
        <v>5</v>
      </c>
      <c r="AL426" s="69">
        <v>0</v>
      </c>
    </row>
    <row r="427" spans="1:38" s="69" customFormat="1" ht="49.5" customHeight="1" x14ac:dyDescent="0.3">
      <c r="A427" s="55" t="s">
        <v>1099</v>
      </c>
      <c r="B427" s="138" t="s">
        <v>1100</v>
      </c>
      <c r="C427" s="54" t="s">
        <v>66</v>
      </c>
      <c r="D427" s="75">
        <v>1</v>
      </c>
      <c r="E427" s="75"/>
      <c r="F427" s="75"/>
      <c r="G427" s="75"/>
      <c r="H427" s="75"/>
      <c r="I427" s="75">
        <v>9000</v>
      </c>
      <c r="J427" s="75">
        <v>9000</v>
      </c>
      <c r="K427" s="91" t="s">
        <v>1101</v>
      </c>
      <c r="L427" s="73"/>
      <c r="M427" s="46">
        <v>0</v>
      </c>
      <c r="N427" s="46">
        <v>0</v>
      </c>
      <c r="O427" s="46">
        <v>0</v>
      </c>
      <c r="P427" s="98"/>
      <c r="Q427" s="23" t="s">
        <v>1434</v>
      </c>
      <c r="R427" s="24" t="s">
        <v>1100</v>
      </c>
      <c r="S427" s="25" t="s">
        <v>66</v>
      </c>
      <c r="T427" s="26">
        <v>1</v>
      </c>
      <c r="U427" s="26">
        <v>1</v>
      </c>
      <c r="V427" s="26">
        <v>9000</v>
      </c>
      <c r="W427" s="26">
        <f t="shared" si="85"/>
        <v>0</v>
      </c>
      <c r="X427" s="26">
        <f t="shared" si="78"/>
        <v>0</v>
      </c>
      <c r="Y427" s="26">
        <f t="shared" si="86"/>
        <v>0</v>
      </c>
      <c r="Z427" s="26">
        <f t="shared" si="87"/>
        <v>0</v>
      </c>
      <c r="AA427" s="33" t="s">
        <v>15</v>
      </c>
      <c r="AB427" s="36" t="s">
        <v>16</v>
      </c>
      <c r="AC427" s="181">
        <f t="shared" si="89"/>
        <v>1</v>
      </c>
      <c r="AD427" s="181">
        <f t="shared" si="88"/>
        <v>9000</v>
      </c>
      <c r="AE427" s="181">
        <v>3</v>
      </c>
      <c r="AF427" s="181">
        <v>3</v>
      </c>
      <c r="AG427" s="101" t="str">
        <f t="shared" si="90"/>
        <v/>
      </c>
      <c r="AH427" s="190">
        <v>0</v>
      </c>
      <c r="AI427" s="69">
        <f t="shared" si="83"/>
        <v>1</v>
      </c>
      <c r="AL427" s="69">
        <v>0</v>
      </c>
    </row>
    <row r="428" spans="1:38" s="69" customFormat="1" ht="49.5" customHeight="1" x14ac:dyDescent="0.3">
      <c r="A428" s="55" t="s">
        <v>1102</v>
      </c>
      <c r="B428" s="138" t="s">
        <v>3120</v>
      </c>
      <c r="C428" s="54" t="s">
        <v>325</v>
      </c>
      <c r="D428" s="75">
        <v>3</v>
      </c>
      <c r="E428" s="75"/>
      <c r="F428" s="75"/>
      <c r="G428" s="75"/>
      <c r="H428" s="75"/>
      <c r="I428" s="75">
        <v>6000</v>
      </c>
      <c r="J428" s="75">
        <v>18000</v>
      </c>
      <c r="K428" s="91" t="s">
        <v>1104</v>
      </c>
      <c r="L428" s="73"/>
      <c r="M428" s="46">
        <v>1</v>
      </c>
      <c r="N428" s="46">
        <v>0</v>
      </c>
      <c r="O428" s="46">
        <v>6000</v>
      </c>
      <c r="P428" s="98"/>
      <c r="Q428" s="23" t="s">
        <v>1388</v>
      </c>
      <c r="R428" s="24" t="s">
        <v>1103</v>
      </c>
      <c r="S428" s="25" t="s">
        <v>325</v>
      </c>
      <c r="T428" s="26">
        <v>3</v>
      </c>
      <c r="U428" s="26">
        <v>3</v>
      </c>
      <c r="V428" s="26">
        <v>6000</v>
      </c>
      <c r="W428" s="243">
        <f t="shared" si="85"/>
        <v>0</v>
      </c>
      <c r="X428" s="26">
        <f t="shared" si="78"/>
        <v>1</v>
      </c>
      <c r="Y428" s="26">
        <f t="shared" si="86"/>
        <v>0</v>
      </c>
      <c r="Z428" s="26">
        <f t="shared" si="87"/>
        <v>6000</v>
      </c>
      <c r="AA428" s="33" t="s">
        <v>15</v>
      </c>
      <c r="AB428" s="36" t="s">
        <v>16</v>
      </c>
      <c r="AC428" s="181">
        <f t="shared" si="89"/>
        <v>3</v>
      </c>
      <c r="AD428" s="181">
        <f t="shared" si="88"/>
        <v>18000</v>
      </c>
      <c r="AE428" s="181">
        <v>3</v>
      </c>
      <c r="AF428" s="181">
        <v>3</v>
      </c>
      <c r="AG428" s="101" t="str">
        <f t="shared" si="90"/>
        <v/>
      </c>
      <c r="AH428" s="191">
        <f>1</f>
        <v>1</v>
      </c>
      <c r="AI428" s="69">
        <f t="shared" si="83"/>
        <v>3</v>
      </c>
      <c r="AL428" s="69">
        <v>0</v>
      </c>
    </row>
    <row r="429" spans="1:38" s="69" customFormat="1" ht="49.5" customHeight="1" x14ac:dyDescent="0.3">
      <c r="A429" s="130" t="s">
        <v>1105</v>
      </c>
      <c r="B429" s="240" t="s">
        <v>3121</v>
      </c>
      <c r="C429" s="132" t="s">
        <v>66</v>
      </c>
      <c r="D429" s="133">
        <v>1</v>
      </c>
      <c r="E429" s="75"/>
      <c r="F429" s="75"/>
      <c r="G429" s="75"/>
      <c r="H429" s="75"/>
      <c r="I429" s="75">
        <v>2500</v>
      </c>
      <c r="J429" s="75">
        <v>2500</v>
      </c>
      <c r="K429" s="91" t="s">
        <v>1107</v>
      </c>
      <c r="L429" s="73"/>
      <c r="M429" s="46">
        <v>1</v>
      </c>
      <c r="N429" s="46">
        <v>0</v>
      </c>
      <c r="O429" s="46">
        <v>2500</v>
      </c>
      <c r="P429" s="98"/>
      <c r="Q429" s="23" t="s">
        <v>1389</v>
      </c>
      <c r="R429" s="24" t="s">
        <v>1106</v>
      </c>
      <c r="S429" s="25" t="s">
        <v>66</v>
      </c>
      <c r="T429" s="26">
        <v>1</v>
      </c>
      <c r="U429" s="26">
        <v>1</v>
      </c>
      <c r="V429" s="26">
        <v>2500</v>
      </c>
      <c r="W429" s="243">
        <f t="shared" si="85"/>
        <v>0</v>
      </c>
      <c r="X429" s="127">
        <f t="shared" si="78"/>
        <v>1</v>
      </c>
      <c r="Y429" s="127">
        <f t="shared" si="86"/>
        <v>0</v>
      </c>
      <c r="Z429" s="127">
        <f t="shared" si="87"/>
        <v>2500</v>
      </c>
      <c r="AA429" s="33" t="s">
        <v>15</v>
      </c>
      <c r="AB429" s="36" t="s">
        <v>16</v>
      </c>
      <c r="AC429" s="181">
        <f t="shared" si="89"/>
        <v>1</v>
      </c>
      <c r="AD429" s="181">
        <f t="shared" si="88"/>
        <v>2500</v>
      </c>
      <c r="AE429" s="181">
        <v>3</v>
      </c>
      <c r="AF429" s="181">
        <v>3</v>
      </c>
      <c r="AG429" s="101" t="str">
        <f t="shared" si="90"/>
        <v/>
      </c>
      <c r="AH429" s="191">
        <f>1</f>
        <v>1</v>
      </c>
      <c r="AI429" s="69">
        <f t="shared" si="83"/>
        <v>1</v>
      </c>
      <c r="AL429" s="69">
        <v>0</v>
      </c>
    </row>
    <row r="430" spans="1:38" s="69" customFormat="1" ht="49.5" customHeight="1" x14ac:dyDescent="0.3">
      <c r="A430" s="130" t="s">
        <v>1108</v>
      </c>
      <c r="B430" s="240" t="s">
        <v>1109</v>
      </c>
      <c r="C430" s="132" t="s">
        <v>66</v>
      </c>
      <c r="D430" s="133">
        <v>1</v>
      </c>
      <c r="E430" s="75"/>
      <c r="F430" s="75"/>
      <c r="G430" s="75"/>
      <c r="H430" s="75"/>
      <c r="I430" s="75">
        <v>2500</v>
      </c>
      <c r="J430" s="75">
        <v>2500</v>
      </c>
      <c r="K430" s="91" t="s">
        <v>1110</v>
      </c>
      <c r="L430" s="73"/>
      <c r="M430" s="46">
        <v>1</v>
      </c>
      <c r="N430" s="46">
        <v>0</v>
      </c>
      <c r="O430" s="46">
        <v>2500</v>
      </c>
      <c r="P430" s="98"/>
      <c r="Q430" s="23" t="s">
        <v>1390</v>
      </c>
      <c r="R430" s="24" t="s">
        <v>1109</v>
      </c>
      <c r="S430" s="25" t="s">
        <v>66</v>
      </c>
      <c r="T430" s="26">
        <v>1</v>
      </c>
      <c r="U430" s="26">
        <v>1</v>
      </c>
      <c r="V430" s="26">
        <v>2500</v>
      </c>
      <c r="W430" s="243">
        <f t="shared" si="85"/>
        <v>0</v>
      </c>
      <c r="X430" s="127">
        <f t="shared" si="78"/>
        <v>1</v>
      </c>
      <c r="Y430" s="127">
        <f t="shared" si="86"/>
        <v>0</v>
      </c>
      <c r="Z430" s="127">
        <f t="shared" si="87"/>
        <v>2500</v>
      </c>
      <c r="AA430" s="33" t="s">
        <v>15</v>
      </c>
      <c r="AB430" s="36" t="s">
        <v>16</v>
      </c>
      <c r="AC430" s="181">
        <f t="shared" si="89"/>
        <v>1</v>
      </c>
      <c r="AD430" s="181">
        <f t="shared" si="88"/>
        <v>2500</v>
      </c>
      <c r="AE430" s="181">
        <v>3</v>
      </c>
      <c r="AF430" s="181">
        <v>3</v>
      </c>
      <c r="AG430" s="101" t="str">
        <f t="shared" si="90"/>
        <v/>
      </c>
      <c r="AH430" s="191">
        <f>1</f>
        <v>1</v>
      </c>
      <c r="AI430" s="69">
        <f t="shared" si="83"/>
        <v>1</v>
      </c>
      <c r="AL430" s="69">
        <v>0</v>
      </c>
    </row>
    <row r="431" spans="1:38" s="69" customFormat="1" ht="49.5" customHeight="1" x14ac:dyDescent="0.3">
      <c r="A431" s="55" t="s">
        <v>1111</v>
      </c>
      <c r="B431" s="138" t="s">
        <v>3122</v>
      </c>
      <c r="C431" s="54" t="s">
        <v>325</v>
      </c>
      <c r="D431" s="75">
        <v>4</v>
      </c>
      <c r="E431" s="75"/>
      <c r="F431" s="75"/>
      <c r="G431" s="75"/>
      <c r="H431" s="75"/>
      <c r="I431" s="75">
        <v>3000</v>
      </c>
      <c r="J431" s="75">
        <v>12000</v>
      </c>
      <c r="K431" s="91" t="s">
        <v>1113</v>
      </c>
      <c r="L431" s="73"/>
      <c r="M431" s="46">
        <v>2</v>
      </c>
      <c r="N431" s="46">
        <v>0</v>
      </c>
      <c r="O431" s="46">
        <v>6000</v>
      </c>
      <c r="P431" s="98"/>
      <c r="Q431" s="23" t="s">
        <v>1391</v>
      </c>
      <c r="R431" s="24" t="s">
        <v>1112</v>
      </c>
      <c r="S431" s="25" t="s">
        <v>325</v>
      </c>
      <c r="T431" s="26">
        <v>4</v>
      </c>
      <c r="U431" s="26">
        <v>4</v>
      </c>
      <c r="V431" s="26">
        <v>3000</v>
      </c>
      <c r="W431" s="243">
        <f t="shared" si="85"/>
        <v>0</v>
      </c>
      <c r="X431" s="26">
        <f t="shared" si="78"/>
        <v>2</v>
      </c>
      <c r="Y431" s="26">
        <f t="shared" si="86"/>
        <v>0</v>
      </c>
      <c r="Z431" s="26">
        <f t="shared" si="87"/>
        <v>6000</v>
      </c>
      <c r="AA431" s="33" t="s">
        <v>15</v>
      </c>
      <c r="AB431" s="36" t="s">
        <v>16</v>
      </c>
      <c r="AC431" s="181">
        <f t="shared" si="89"/>
        <v>4</v>
      </c>
      <c r="AD431" s="181">
        <f t="shared" si="88"/>
        <v>12000</v>
      </c>
      <c r="AE431" s="181">
        <v>3</v>
      </c>
      <c r="AF431" s="181">
        <v>3</v>
      </c>
      <c r="AG431" s="101" t="str">
        <f t="shared" si="90"/>
        <v/>
      </c>
      <c r="AH431" s="191">
        <f>2</f>
        <v>2</v>
      </c>
      <c r="AI431" s="69">
        <f t="shared" si="83"/>
        <v>4</v>
      </c>
      <c r="AL431" s="69">
        <v>0</v>
      </c>
    </row>
    <row r="432" spans="1:38" s="69" customFormat="1" ht="66" customHeight="1" x14ac:dyDescent="0.3">
      <c r="A432" s="130" t="s">
        <v>1114</v>
      </c>
      <c r="B432" s="240" t="s">
        <v>3123</v>
      </c>
      <c r="C432" s="132" t="s">
        <v>325</v>
      </c>
      <c r="D432" s="133">
        <v>2</v>
      </c>
      <c r="E432" s="75"/>
      <c r="F432" s="75"/>
      <c r="G432" s="75"/>
      <c r="H432" s="75"/>
      <c r="I432" s="75">
        <v>20000</v>
      </c>
      <c r="J432" s="75">
        <v>40000</v>
      </c>
      <c r="K432" s="91" t="s">
        <v>1116</v>
      </c>
      <c r="L432" s="73"/>
      <c r="M432" s="46">
        <v>2</v>
      </c>
      <c r="N432" s="46">
        <v>0</v>
      </c>
      <c r="O432" s="46">
        <v>40000</v>
      </c>
      <c r="P432" s="98"/>
      <c r="Q432" s="23" t="s">
        <v>1436</v>
      </c>
      <c r="R432" s="24" t="s">
        <v>1115</v>
      </c>
      <c r="S432" s="25" t="s">
        <v>325</v>
      </c>
      <c r="T432" s="26">
        <v>2</v>
      </c>
      <c r="U432" s="26">
        <v>2</v>
      </c>
      <c r="V432" s="26">
        <v>20000</v>
      </c>
      <c r="W432" s="243">
        <f t="shared" si="85"/>
        <v>0</v>
      </c>
      <c r="X432" s="127">
        <f t="shared" si="78"/>
        <v>2</v>
      </c>
      <c r="Y432" s="127">
        <f t="shared" si="86"/>
        <v>0</v>
      </c>
      <c r="Z432" s="127">
        <f t="shared" si="87"/>
        <v>40000</v>
      </c>
      <c r="AA432" s="33" t="s">
        <v>15</v>
      </c>
      <c r="AB432" s="36" t="s">
        <v>16</v>
      </c>
      <c r="AC432" s="181">
        <f t="shared" si="89"/>
        <v>2</v>
      </c>
      <c r="AD432" s="181">
        <f t="shared" si="88"/>
        <v>40000</v>
      </c>
      <c r="AE432" s="181">
        <v>3</v>
      </c>
      <c r="AF432" s="181">
        <v>3</v>
      </c>
      <c r="AG432" s="101" t="str">
        <f t="shared" si="90"/>
        <v/>
      </c>
      <c r="AH432" s="191">
        <f>2</f>
        <v>2</v>
      </c>
      <c r="AI432" s="69">
        <f t="shared" si="83"/>
        <v>2</v>
      </c>
      <c r="AL432" s="69">
        <v>0</v>
      </c>
    </row>
    <row r="433" spans="1:38" s="69" customFormat="1" ht="49.5" customHeight="1" x14ac:dyDescent="0.3">
      <c r="A433" s="55" t="s">
        <v>1117</v>
      </c>
      <c r="B433" s="138" t="s">
        <v>1118</v>
      </c>
      <c r="C433" s="54" t="s">
        <v>66</v>
      </c>
      <c r="D433" s="75">
        <v>1</v>
      </c>
      <c r="E433" s="75"/>
      <c r="F433" s="75"/>
      <c r="G433" s="75"/>
      <c r="H433" s="75"/>
      <c r="I433" s="75">
        <v>15000</v>
      </c>
      <c r="J433" s="75">
        <v>15000</v>
      </c>
      <c r="K433" s="91" t="s">
        <v>1119</v>
      </c>
      <c r="L433" s="73"/>
      <c r="M433" s="46">
        <v>0</v>
      </c>
      <c r="N433" s="46">
        <v>0</v>
      </c>
      <c r="O433" s="46">
        <v>0</v>
      </c>
      <c r="P433" s="98"/>
      <c r="Q433" s="23" t="s">
        <v>1374</v>
      </c>
      <c r="R433" s="24" t="s">
        <v>1118</v>
      </c>
      <c r="S433" s="25" t="s">
        <v>66</v>
      </c>
      <c r="T433" s="26">
        <v>1</v>
      </c>
      <c r="U433" s="26">
        <v>1</v>
      </c>
      <c r="V433" s="26">
        <v>15000</v>
      </c>
      <c r="W433" s="26">
        <f t="shared" si="85"/>
        <v>0</v>
      </c>
      <c r="X433" s="26">
        <f t="shared" si="78"/>
        <v>0</v>
      </c>
      <c r="Y433" s="26">
        <f t="shared" si="86"/>
        <v>0</v>
      </c>
      <c r="Z433" s="26">
        <f t="shared" si="87"/>
        <v>0</v>
      </c>
      <c r="AA433" s="33" t="s">
        <v>15</v>
      </c>
      <c r="AB433" s="36" t="s">
        <v>16</v>
      </c>
      <c r="AC433" s="181">
        <f t="shared" si="89"/>
        <v>1</v>
      </c>
      <c r="AD433" s="181">
        <f t="shared" si="88"/>
        <v>15000</v>
      </c>
      <c r="AE433" s="181">
        <v>3</v>
      </c>
      <c r="AF433" s="181">
        <v>3</v>
      </c>
      <c r="AG433" s="101" t="str">
        <f t="shared" si="90"/>
        <v/>
      </c>
      <c r="AH433" s="190">
        <v>0</v>
      </c>
      <c r="AI433" s="69">
        <f t="shared" si="83"/>
        <v>1</v>
      </c>
      <c r="AL433" s="69">
        <v>0</v>
      </c>
    </row>
    <row r="434" spans="1:38" s="69" customFormat="1" ht="49.5" customHeight="1" x14ac:dyDescent="0.3">
      <c r="A434" s="55" t="s">
        <v>1120</v>
      </c>
      <c r="B434" s="138" t="s">
        <v>1121</v>
      </c>
      <c r="C434" s="54" t="s">
        <v>1122</v>
      </c>
      <c r="D434" s="75">
        <v>3</v>
      </c>
      <c r="E434" s="75"/>
      <c r="F434" s="75"/>
      <c r="G434" s="75"/>
      <c r="H434" s="75"/>
      <c r="I434" s="75">
        <v>1300</v>
      </c>
      <c r="J434" s="75">
        <v>3900</v>
      </c>
      <c r="K434" s="91" t="s">
        <v>1123</v>
      </c>
      <c r="L434" s="73"/>
      <c r="M434" s="46">
        <v>0</v>
      </c>
      <c r="N434" s="46">
        <v>0</v>
      </c>
      <c r="O434" s="46">
        <v>0</v>
      </c>
      <c r="P434" s="98"/>
      <c r="Q434" s="23" t="s">
        <v>1376</v>
      </c>
      <c r="R434" s="24" t="s">
        <v>1121</v>
      </c>
      <c r="S434" s="25" t="s">
        <v>1122</v>
      </c>
      <c r="T434" s="26">
        <v>3</v>
      </c>
      <c r="U434" s="26">
        <v>3</v>
      </c>
      <c r="V434" s="26">
        <v>1300</v>
      </c>
      <c r="W434" s="26">
        <f t="shared" si="85"/>
        <v>0</v>
      </c>
      <c r="X434" s="26">
        <f t="shared" si="78"/>
        <v>0</v>
      </c>
      <c r="Y434" s="26">
        <f t="shared" si="86"/>
        <v>0</v>
      </c>
      <c r="Z434" s="26">
        <f t="shared" si="87"/>
        <v>0</v>
      </c>
      <c r="AA434" s="33" t="s">
        <v>15</v>
      </c>
      <c r="AB434" s="36" t="s">
        <v>16</v>
      </c>
      <c r="AC434" s="181">
        <f t="shared" si="89"/>
        <v>3</v>
      </c>
      <c r="AD434" s="181">
        <f t="shared" si="88"/>
        <v>3900</v>
      </c>
      <c r="AE434" s="181">
        <v>3</v>
      </c>
      <c r="AF434" s="181">
        <v>3</v>
      </c>
      <c r="AG434" s="101" t="str">
        <f t="shared" si="90"/>
        <v/>
      </c>
      <c r="AH434" s="190">
        <v>0</v>
      </c>
      <c r="AI434" s="69">
        <f t="shared" si="83"/>
        <v>3</v>
      </c>
      <c r="AL434" s="69">
        <v>0</v>
      </c>
    </row>
    <row r="435" spans="1:38" s="69" customFormat="1" ht="33" customHeight="1" x14ac:dyDescent="0.3">
      <c r="A435" s="55" t="s">
        <v>1124</v>
      </c>
      <c r="B435" s="138" t="s">
        <v>3124</v>
      </c>
      <c r="C435" s="54" t="s">
        <v>1122</v>
      </c>
      <c r="D435" s="75">
        <v>6</v>
      </c>
      <c r="E435" s="75"/>
      <c r="F435" s="75"/>
      <c r="G435" s="75"/>
      <c r="H435" s="75"/>
      <c r="I435" s="75">
        <v>1000</v>
      </c>
      <c r="J435" s="75">
        <v>6000</v>
      </c>
      <c r="K435" s="91" t="s">
        <v>1126</v>
      </c>
      <c r="L435" s="73"/>
      <c r="M435" s="46">
        <v>0</v>
      </c>
      <c r="N435" s="46">
        <v>0</v>
      </c>
      <c r="O435" s="46">
        <v>0</v>
      </c>
      <c r="P435" s="98"/>
      <c r="Q435" s="23" t="s">
        <v>1378</v>
      </c>
      <c r="R435" s="24" t="s">
        <v>1125</v>
      </c>
      <c r="S435" s="25" t="s">
        <v>1122</v>
      </c>
      <c r="T435" s="26">
        <v>6</v>
      </c>
      <c r="U435" s="26">
        <v>6</v>
      </c>
      <c r="V435" s="26">
        <v>1000</v>
      </c>
      <c r="W435" s="26">
        <f t="shared" si="85"/>
        <v>0</v>
      </c>
      <c r="X435" s="26">
        <f t="shared" si="78"/>
        <v>0</v>
      </c>
      <c r="Y435" s="26">
        <f t="shared" si="86"/>
        <v>0</v>
      </c>
      <c r="Z435" s="26">
        <f t="shared" si="87"/>
        <v>0</v>
      </c>
      <c r="AA435" s="33" t="s">
        <v>15</v>
      </c>
      <c r="AB435" s="36" t="s">
        <v>16</v>
      </c>
      <c r="AC435" s="181">
        <f t="shared" si="89"/>
        <v>6</v>
      </c>
      <c r="AD435" s="181">
        <f t="shared" si="88"/>
        <v>6000</v>
      </c>
      <c r="AE435" s="181">
        <v>3</v>
      </c>
      <c r="AF435" s="181">
        <v>3</v>
      </c>
      <c r="AG435" s="101" t="str">
        <f t="shared" si="90"/>
        <v/>
      </c>
      <c r="AH435" s="190">
        <v>0</v>
      </c>
      <c r="AI435" s="69">
        <f t="shared" si="83"/>
        <v>6</v>
      </c>
      <c r="AL435" s="69">
        <v>0</v>
      </c>
    </row>
    <row r="436" spans="1:38" s="69" customFormat="1" ht="33" customHeight="1" x14ac:dyDescent="0.3">
      <c r="A436" s="55" t="s">
        <v>1127</v>
      </c>
      <c r="B436" s="138" t="s">
        <v>1128</v>
      </c>
      <c r="C436" s="54" t="s">
        <v>325</v>
      </c>
      <c r="D436" s="75">
        <v>2</v>
      </c>
      <c r="E436" s="75"/>
      <c r="F436" s="75"/>
      <c r="G436" s="75"/>
      <c r="H436" s="75"/>
      <c r="I436" s="75">
        <v>9000</v>
      </c>
      <c r="J436" s="75">
        <v>18000</v>
      </c>
      <c r="K436" s="91" t="s">
        <v>1129</v>
      </c>
      <c r="L436" s="73"/>
      <c r="M436" s="46">
        <v>0</v>
      </c>
      <c r="N436" s="46">
        <v>0</v>
      </c>
      <c r="O436" s="46">
        <v>0</v>
      </c>
      <c r="P436" s="98"/>
      <c r="Q436" s="23" t="s">
        <v>1438</v>
      </c>
      <c r="R436" s="24" t="s">
        <v>1128</v>
      </c>
      <c r="S436" s="25" t="s">
        <v>325</v>
      </c>
      <c r="T436" s="26">
        <v>2</v>
      </c>
      <c r="U436" s="26">
        <v>2</v>
      </c>
      <c r="V436" s="26">
        <v>9000</v>
      </c>
      <c r="W436" s="26">
        <f t="shared" si="85"/>
        <v>0</v>
      </c>
      <c r="X436" s="26">
        <f t="shared" si="78"/>
        <v>0</v>
      </c>
      <c r="Y436" s="26">
        <f t="shared" si="86"/>
        <v>0</v>
      </c>
      <c r="Z436" s="26">
        <f t="shared" si="87"/>
        <v>0</v>
      </c>
      <c r="AA436" s="33" t="s">
        <v>15</v>
      </c>
      <c r="AB436" s="36" t="s">
        <v>16</v>
      </c>
      <c r="AC436" s="181">
        <f t="shared" si="89"/>
        <v>2</v>
      </c>
      <c r="AD436" s="181">
        <f t="shared" si="88"/>
        <v>18000</v>
      </c>
      <c r="AE436" s="181">
        <v>3</v>
      </c>
      <c r="AF436" s="181">
        <v>3</v>
      </c>
      <c r="AG436" s="101" t="str">
        <f t="shared" si="90"/>
        <v/>
      </c>
      <c r="AH436" s="190">
        <v>0</v>
      </c>
      <c r="AI436" s="69">
        <f t="shared" si="83"/>
        <v>2</v>
      </c>
      <c r="AL436" s="69">
        <v>0</v>
      </c>
    </row>
    <row r="437" spans="1:38" s="69" customFormat="1" ht="49.5" customHeight="1" x14ac:dyDescent="0.3">
      <c r="A437" s="55" t="s">
        <v>1130</v>
      </c>
      <c r="B437" s="138" t="s">
        <v>3127</v>
      </c>
      <c r="C437" s="54" t="s">
        <v>325</v>
      </c>
      <c r="D437" s="75">
        <v>3</v>
      </c>
      <c r="E437" s="75"/>
      <c r="F437" s="75"/>
      <c r="G437" s="75"/>
      <c r="H437" s="75"/>
      <c r="I437" s="75">
        <v>4200</v>
      </c>
      <c r="J437" s="75">
        <v>12600</v>
      </c>
      <c r="K437" s="91" t="s">
        <v>1132</v>
      </c>
      <c r="L437" s="73"/>
      <c r="M437" s="46">
        <v>2</v>
      </c>
      <c r="N437" s="46">
        <v>0</v>
      </c>
      <c r="O437" s="46">
        <v>8400</v>
      </c>
      <c r="P437" s="98"/>
      <c r="Q437" s="23" t="s">
        <v>1439</v>
      </c>
      <c r="R437" s="24" t="s">
        <v>1131</v>
      </c>
      <c r="S437" s="25" t="s">
        <v>325</v>
      </c>
      <c r="T437" s="26">
        <v>3</v>
      </c>
      <c r="U437" s="26">
        <v>3</v>
      </c>
      <c r="V437" s="26">
        <v>4200</v>
      </c>
      <c r="W437" s="243">
        <f t="shared" si="85"/>
        <v>0</v>
      </c>
      <c r="X437" s="26">
        <f t="shared" si="78"/>
        <v>2</v>
      </c>
      <c r="Y437" s="26">
        <f t="shared" si="86"/>
        <v>0</v>
      </c>
      <c r="Z437" s="26">
        <f t="shared" si="87"/>
        <v>8400</v>
      </c>
      <c r="AA437" s="33" t="s">
        <v>15</v>
      </c>
      <c r="AB437" s="36" t="s">
        <v>16</v>
      </c>
      <c r="AC437" s="181">
        <f t="shared" si="89"/>
        <v>3</v>
      </c>
      <c r="AD437" s="181">
        <f t="shared" si="88"/>
        <v>12600</v>
      </c>
      <c r="AE437" s="181">
        <v>3</v>
      </c>
      <c r="AF437" s="181">
        <v>3</v>
      </c>
      <c r="AG437" s="101" t="str">
        <f t="shared" si="90"/>
        <v/>
      </c>
      <c r="AH437" s="191">
        <f>2</f>
        <v>2</v>
      </c>
      <c r="AI437" s="69">
        <f t="shared" si="83"/>
        <v>3</v>
      </c>
    </row>
    <row r="438" spans="1:38" s="69" customFormat="1" ht="49.5" customHeight="1" x14ac:dyDescent="0.3">
      <c r="A438" s="130" t="s">
        <v>1133</v>
      </c>
      <c r="B438" s="240" t="s">
        <v>3126</v>
      </c>
      <c r="C438" s="132" t="s">
        <v>66</v>
      </c>
      <c r="D438" s="133">
        <v>4</v>
      </c>
      <c r="E438" s="75"/>
      <c r="F438" s="75"/>
      <c r="G438" s="75"/>
      <c r="H438" s="75"/>
      <c r="I438" s="75">
        <v>1000</v>
      </c>
      <c r="J438" s="75">
        <v>4000</v>
      </c>
      <c r="K438" s="91" t="s">
        <v>1135</v>
      </c>
      <c r="L438" s="73"/>
      <c r="M438" s="46">
        <v>4</v>
      </c>
      <c r="N438" s="46">
        <v>0</v>
      </c>
      <c r="O438" s="46">
        <v>4000</v>
      </c>
      <c r="P438" s="98"/>
      <c r="Q438" s="23" t="s">
        <v>1440</v>
      </c>
      <c r="R438" s="24" t="s">
        <v>1134</v>
      </c>
      <c r="S438" s="25" t="s">
        <v>66</v>
      </c>
      <c r="T438" s="26">
        <v>4</v>
      </c>
      <c r="U438" s="26">
        <v>4</v>
      </c>
      <c r="V438" s="26">
        <v>1000</v>
      </c>
      <c r="W438" s="243">
        <f t="shared" si="85"/>
        <v>0</v>
      </c>
      <c r="X438" s="127">
        <f t="shared" si="78"/>
        <v>4</v>
      </c>
      <c r="Y438" s="127">
        <f t="shared" si="86"/>
        <v>0</v>
      </c>
      <c r="Z438" s="127">
        <f t="shared" si="87"/>
        <v>4000</v>
      </c>
      <c r="AA438" s="33" t="s">
        <v>15</v>
      </c>
      <c r="AB438" s="36" t="s">
        <v>16</v>
      </c>
      <c r="AC438" s="181">
        <f t="shared" si="89"/>
        <v>4</v>
      </c>
      <c r="AD438" s="181">
        <f t="shared" si="88"/>
        <v>4000</v>
      </c>
      <c r="AE438" s="181">
        <v>3</v>
      </c>
      <c r="AF438" s="181">
        <v>3</v>
      </c>
      <c r="AG438" s="101" t="str">
        <f t="shared" si="90"/>
        <v/>
      </c>
      <c r="AH438" s="191">
        <f>4</f>
        <v>4</v>
      </c>
      <c r="AI438" s="69">
        <f t="shared" si="83"/>
        <v>4</v>
      </c>
    </row>
    <row r="439" spans="1:38" s="69" customFormat="1" ht="49.5" customHeight="1" x14ac:dyDescent="0.3">
      <c r="A439" s="55" t="s">
        <v>1136</v>
      </c>
      <c r="B439" s="138" t="s">
        <v>3125</v>
      </c>
      <c r="C439" s="54" t="s">
        <v>325</v>
      </c>
      <c r="D439" s="75">
        <v>15</v>
      </c>
      <c r="E439" s="75"/>
      <c r="F439" s="75"/>
      <c r="G439" s="75"/>
      <c r="H439" s="75"/>
      <c r="I439" s="75">
        <v>4500</v>
      </c>
      <c r="J439" s="75">
        <v>67500</v>
      </c>
      <c r="K439" s="91" t="s">
        <v>1138</v>
      </c>
      <c r="L439" s="73"/>
      <c r="M439" s="46">
        <v>9</v>
      </c>
      <c r="N439" s="46">
        <v>0</v>
      </c>
      <c r="O439" s="46">
        <v>40500</v>
      </c>
      <c r="P439" s="98"/>
      <c r="Q439" s="23" t="s">
        <v>1441</v>
      </c>
      <c r="R439" s="24" t="s">
        <v>1137</v>
      </c>
      <c r="S439" s="25" t="s">
        <v>325</v>
      </c>
      <c r="T439" s="26">
        <v>15</v>
      </c>
      <c r="U439" s="26">
        <v>15</v>
      </c>
      <c r="V439" s="26">
        <v>4500</v>
      </c>
      <c r="W439" s="243">
        <f t="shared" si="85"/>
        <v>0</v>
      </c>
      <c r="X439" s="26">
        <f t="shared" si="78"/>
        <v>9</v>
      </c>
      <c r="Y439" s="26">
        <f t="shared" si="86"/>
        <v>0</v>
      </c>
      <c r="Z439" s="26">
        <f t="shared" si="87"/>
        <v>40500</v>
      </c>
      <c r="AA439" s="33" t="s">
        <v>15</v>
      </c>
      <c r="AB439" s="36" t="s">
        <v>16</v>
      </c>
      <c r="AC439" s="181">
        <f t="shared" si="89"/>
        <v>15</v>
      </c>
      <c r="AD439" s="181">
        <f t="shared" si="88"/>
        <v>67500</v>
      </c>
      <c r="AE439" s="181">
        <v>3</v>
      </c>
      <c r="AF439" s="181">
        <v>3</v>
      </c>
      <c r="AG439" s="101" t="str">
        <f t="shared" si="90"/>
        <v/>
      </c>
      <c r="AH439" s="191">
        <f>9</f>
        <v>9</v>
      </c>
      <c r="AI439" s="69">
        <f t="shared" si="83"/>
        <v>15</v>
      </c>
    </row>
    <row r="440" spans="1:38" s="69" customFormat="1" ht="33" customHeight="1" x14ac:dyDescent="0.3">
      <c r="A440" s="55" t="s">
        <v>1139</v>
      </c>
      <c r="B440" s="138" t="s">
        <v>3128</v>
      </c>
      <c r="C440" s="54" t="s">
        <v>325</v>
      </c>
      <c r="D440" s="75">
        <v>2</v>
      </c>
      <c r="E440" s="75"/>
      <c r="F440" s="75"/>
      <c r="G440" s="75"/>
      <c r="H440" s="75"/>
      <c r="I440" s="75">
        <v>636300</v>
      </c>
      <c r="J440" s="75">
        <v>1272600</v>
      </c>
      <c r="K440" s="91" t="s">
        <v>1141</v>
      </c>
      <c r="L440" s="73"/>
      <c r="M440" s="46">
        <v>1</v>
      </c>
      <c r="N440" s="46">
        <v>0</v>
      </c>
      <c r="O440" s="46">
        <v>636300</v>
      </c>
      <c r="P440" s="98"/>
      <c r="Q440" s="23" t="s">
        <v>1442</v>
      </c>
      <c r="R440" s="24" t="s">
        <v>1140</v>
      </c>
      <c r="S440" s="25" t="s">
        <v>325</v>
      </c>
      <c r="T440" s="26">
        <v>2</v>
      </c>
      <c r="U440" s="26">
        <v>2</v>
      </c>
      <c r="V440" s="26">
        <v>636300</v>
      </c>
      <c r="W440" s="26">
        <f t="shared" si="85"/>
        <v>0</v>
      </c>
      <c r="X440" s="26">
        <f t="shared" si="78"/>
        <v>1</v>
      </c>
      <c r="Y440" s="26">
        <f t="shared" si="86"/>
        <v>0</v>
      </c>
      <c r="Z440" s="26">
        <f t="shared" si="87"/>
        <v>636300</v>
      </c>
      <c r="AA440" s="33" t="s">
        <v>15</v>
      </c>
      <c r="AB440" s="36" t="s">
        <v>16</v>
      </c>
      <c r="AC440" s="181">
        <f t="shared" si="89"/>
        <v>2</v>
      </c>
      <c r="AD440" s="181">
        <f t="shared" si="88"/>
        <v>1272600</v>
      </c>
      <c r="AE440" s="181">
        <v>3</v>
      </c>
      <c r="AF440" s="181">
        <v>3</v>
      </c>
      <c r="AG440" s="101" t="str">
        <f t="shared" si="90"/>
        <v/>
      </c>
      <c r="AH440" s="190">
        <v>1</v>
      </c>
      <c r="AI440" s="69">
        <f t="shared" si="83"/>
        <v>2</v>
      </c>
    </row>
    <row r="441" spans="1:38" s="69" customFormat="1" ht="49.5" customHeight="1" x14ac:dyDescent="0.3">
      <c r="A441" s="130" t="s">
        <v>1142</v>
      </c>
      <c r="B441" s="240" t="s">
        <v>3131</v>
      </c>
      <c r="C441" s="132" t="s">
        <v>1144</v>
      </c>
      <c r="D441" s="133">
        <v>4</v>
      </c>
      <c r="E441" s="75"/>
      <c r="F441" s="75"/>
      <c r="G441" s="75"/>
      <c r="H441" s="76"/>
      <c r="I441" s="75">
        <v>2000</v>
      </c>
      <c r="J441" s="75">
        <v>8000</v>
      </c>
      <c r="K441" s="91" t="s">
        <v>1145</v>
      </c>
      <c r="L441" s="73"/>
      <c r="M441" s="46">
        <v>4</v>
      </c>
      <c r="N441" s="46">
        <v>0</v>
      </c>
      <c r="O441" s="46">
        <v>8000</v>
      </c>
      <c r="P441" s="98"/>
      <c r="Q441" s="23" t="s">
        <v>1443</v>
      </c>
      <c r="R441" s="24" t="s">
        <v>1143</v>
      </c>
      <c r="S441" s="25" t="s">
        <v>1144</v>
      </c>
      <c r="T441" s="26">
        <v>4</v>
      </c>
      <c r="U441" s="26">
        <v>4</v>
      </c>
      <c r="V441" s="26">
        <v>2000</v>
      </c>
      <c r="W441" s="243">
        <f t="shared" si="85"/>
        <v>0</v>
      </c>
      <c r="X441" s="127">
        <f t="shared" si="78"/>
        <v>4</v>
      </c>
      <c r="Y441" s="127">
        <f t="shared" si="86"/>
        <v>0</v>
      </c>
      <c r="Z441" s="127">
        <f t="shared" si="87"/>
        <v>8000</v>
      </c>
      <c r="AA441" s="33" t="s">
        <v>15</v>
      </c>
      <c r="AB441" s="36" t="s">
        <v>16</v>
      </c>
      <c r="AC441" s="181">
        <f t="shared" si="89"/>
        <v>4</v>
      </c>
      <c r="AD441" s="181">
        <f t="shared" si="88"/>
        <v>8000</v>
      </c>
      <c r="AE441" s="181">
        <v>3</v>
      </c>
      <c r="AF441" s="181">
        <v>3</v>
      </c>
      <c r="AG441" s="101" t="str">
        <f t="shared" si="90"/>
        <v/>
      </c>
      <c r="AH441" s="191">
        <f>4</f>
        <v>4</v>
      </c>
      <c r="AI441" s="69">
        <f t="shared" si="83"/>
        <v>4</v>
      </c>
    </row>
    <row r="442" spans="1:38" s="69" customFormat="1" ht="33" x14ac:dyDescent="0.3">
      <c r="A442" s="134">
        <v>3.35</v>
      </c>
      <c r="B442" s="135" t="s">
        <v>1346</v>
      </c>
      <c r="C442" s="204" t="s">
        <v>325</v>
      </c>
      <c r="D442" s="133"/>
      <c r="E442" s="59">
        <v>1</v>
      </c>
      <c r="F442" s="77"/>
      <c r="G442" s="226"/>
      <c r="H442" s="230"/>
      <c r="I442" s="178">
        <v>119161.05</v>
      </c>
      <c r="J442" s="59">
        <v>119161.05</v>
      </c>
      <c r="K442" s="92"/>
      <c r="L442" s="73"/>
      <c r="M442" s="46">
        <v>1</v>
      </c>
      <c r="N442" s="46">
        <v>0</v>
      </c>
      <c r="O442" s="46">
        <v>119161.05</v>
      </c>
      <c r="P442" s="98"/>
      <c r="Q442" s="23" t="s">
        <v>1444</v>
      </c>
      <c r="R442" s="24" t="s">
        <v>1501</v>
      </c>
      <c r="S442" s="25" t="s">
        <v>325</v>
      </c>
      <c r="T442" s="26">
        <v>0</v>
      </c>
      <c r="U442" s="26">
        <v>1</v>
      </c>
      <c r="V442" s="26">
        <v>119161.05</v>
      </c>
      <c r="W442" s="127">
        <f t="shared" si="85"/>
        <v>0</v>
      </c>
      <c r="X442" s="127">
        <f t="shared" si="78"/>
        <v>1</v>
      </c>
      <c r="Y442" s="127">
        <f t="shared" si="86"/>
        <v>0</v>
      </c>
      <c r="Z442" s="127">
        <f t="shared" si="87"/>
        <v>119161.05</v>
      </c>
      <c r="AA442" s="27"/>
      <c r="AB442" s="36" t="s">
        <v>16</v>
      </c>
      <c r="AC442" s="181">
        <f t="shared" si="89"/>
        <v>1</v>
      </c>
      <c r="AD442" s="181">
        <f t="shared" si="88"/>
        <v>119161.05</v>
      </c>
      <c r="AE442" s="181">
        <v>3</v>
      </c>
      <c r="AF442" s="181">
        <v>3</v>
      </c>
      <c r="AG442" s="101" t="str">
        <f t="shared" si="90"/>
        <v/>
      </c>
      <c r="AH442" s="190">
        <v>1</v>
      </c>
      <c r="AI442" s="69">
        <f t="shared" si="83"/>
        <v>1</v>
      </c>
    </row>
    <row r="443" spans="1:38" ht="39" x14ac:dyDescent="0.3">
      <c r="A443" s="134" t="s">
        <v>1347</v>
      </c>
      <c r="B443" s="135" t="s">
        <v>1348</v>
      </c>
      <c r="C443" s="204" t="s">
        <v>325</v>
      </c>
      <c r="D443" s="133"/>
      <c r="E443" s="78"/>
      <c r="F443" s="62">
        <v>1</v>
      </c>
      <c r="G443" s="163"/>
      <c r="H443" s="62"/>
      <c r="I443" s="167">
        <v>74988.5</v>
      </c>
      <c r="J443" s="62">
        <v>74988.5</v>
      </c>
      <c r="K443" s="93"/>
      <c r="M443" s="46">
        <v>1</v>
      </c>
      <c r="N443" s="46">
        <v>0</v>
      </c>
      <c r="O443" s="46">
        <v>74988.5</v>
      </c>
      <c r="P443" s="98"/>
      <c r="Q443" s="23" t="s">
        <v>1408</v>
      </c>
      <c r="R443" s="24" t="s">
        <v>1348</v>
      </c>
      <c r="S443" s="25" t="s">
        <v>325</v>
      </c>
      <c r="T443" s="26">
        <v>0</v>
      </c>
      <c r="U443" s="26">
        <v>1</v>
      </c>
      <c r="V443" s="26">
        <v>74988.5</v>
      </c>
      <c r="W443" s="127">
        <f t="shared" si="85"/>
        <v>0</v>
      </c>
      <c r="X443" s="127">
        <f t="shared" si="78"/>
        <v>1</v>
      </c>
      <c r="Y443" s="127">
        <f t="shared" si="86"/>
        <v>0</v>
      </c>
      <c r="Z443" s="127">
        <f t="shared" si="87"/>
        <v>74988.5</v>
      </c>
      <c r="AA443" s="27"/>
      <c r="AB443" s="36" t="s">
        <v>16</v>
      </c>
      <c r="AC443" s="181">
        <f t="shared" si="89"/>
        <v>1</v>
      </c>
      <c r="AD443" s="181">
        <f t="shared" si="88"/>
        <v>74988.5</v>
      </c>
      <c r="AE443" s="181">
        <v>3</v>
      </c>
      <c r="AF443" s="181">
        <v>3</v>
      </c>
      <c r="AG443" s="101" t="str">
        <f t="shared" si="90"/>
        <v/>
      </c>
      <c r="AH443" s="190">
        <v>1</v>
      </c>
      <c r="AI443" s="69">
        <f t="shared" si="83"/>
        <v>1</v>
      </c>
    </row>
    <row r="444" spans="1:38" ht="66" x14ac:dyDescent="0.3">
      <c r="A444" s="134" t="s">
        <v>1349</v>
      </c>
      <c r="B444" s="139" t="s">
        <v>3132</v>
      </c>
      <c r="C444" s="204" t="s">
        <v>325</v>
      </c>
      <c r="D444" s="133"/>
      <c r="E444" s="78"/>
      <c r="F444" s="62">
        <v>2</v>
      </c>
      <c r="G444" s="163"/>
      <c r="H444" s="62"/>
      <c r="I444" s="167">
        <v>83493.929999999993</v>
      </c>
      <c r="J444" s="62">
        <v>166987.85999999999</v>
      </c>
      <c r="K444" s="93"/>
      <c r="M444" s="46">
        <v>2</v>
      </c>
      <c r="N444" s="46">
        <v>0</v>
      </c>
      <c r="O444" s="46">
        <v>166987.85999999999</v>
      </c>
      <c r="P444" s="98"/>
      <c r="Q444" s="23" t="s">
        <v>1409</v>
      </c>
      <c r="R444" s="24" t="s">
        <v>1350</v>
      </c>
      <c r="S444" s="25" t="s">
        <v>325</v>
      </c>
      <c r="T444" s="26">
        <v>0</v>
      </c>
      <c r="U444" s="26">
        <v>2</v>
      </c>
      <c r="V444" s="26">
        <v>83493.929999999993</v>
      </c>
      <c r="W444" s="127">
        <f t="shared" si="85"/>
        <v>0</v>
      </c>
      <c r="X444" s="127">
        <f t="shared" si="78"/>
        <v>2</v>
      </c>
      <c r="Y444" s="127">
        <f t="shared" si="86"/>
        <v>0</v>
      </c>
      <c r="Z444" s="127">
        <f t="shared" si="87"/>
        <v>166987.85999999999</v>
      </c>
      <c r="AA444" s="27"/>
      <c r="AB444" s="36" t="s">
        <v>16</v>
      </c>
      <c r="AC444" s="181">
        <f t="shared" si="89"/>
        <v>2</v>
      </c>
      <c r="AD444" s="181">
        <f t="shared" si="88"/>
        <v>166987.85999999999</v>
      </c>
      <c r="AE444" s="181">
        <v>3</v>
      </c>
      <c r="AF444" s="181">
        <v>3</v>
      </c>
      <c r="AG444" s="101" t="str">
        <f t="shared" si="90"/>
        <v/>
      </c>
      <c r="AH444" s="190">
        <v>2</v>
      </c>
      <c r="AI444" s="69">
        <f t="shared" si="83"/>
        <v>2</v>
      </c>
    </row>
    <row r="445" spans="1:38" ht="49.5" x14ac:dyDescent="0.3">
      <c r="A445" s="134" t="s">
        <v>1351</v>
      </c>
      <c r="B445" s="139" t="s">
        <v>3133</v>
      </c>
      <c r="C445" s="204" t="s">
        <v>325</v>
      </c>
      <c r="D445" s="133"/>
      <c r="E445" s="78"/>
      <c r="F445" s="62">
        <v>2</v>
      </c>
      <c r="G445" s="163"/>
      <c r="H445" s="62"/>
      <c r="I445" s="167">
        <v>76194.460000000006</v>
      </c>
      <c r="J445" s="62">
        <v>152388.92000000001</v>
      </c>
      <c r="K445" s="93"/>
      <c r="M445" s="46">
        <v>2</v>
      </c>
      <c r="N445" s="46">
        <v>0</v>
      </c>
      <c r="O445" s="46">
        <v>152388.92000000001</v>
      </c>
      <c r="P445" s="98"/>
      <c r="Q445" s="23" t="s">
        <v>1410</v>
      </c>
      <c r="R445" s="24" t="s">
        <v>1352</v>
      </c>
      <c r="S445" s="25" t="s">
        <v>325</v>
      </c>
      <c r="T445" s="26">
        <v>0</v>
      </c>
      <c r="U445" s="26">
        <v>2</v>
      </c>
      <c r="V445" s="26">
        <v>76194.460000000006</v>
      </c>
      <c r="W445" s="127">
        <f t="shared" si="85"/>
        <v>0</v>
      </c>
      <c r="X445" s="127">
        <f t="shared" si="78"/>
        <v>2</v>
      </c>
      <c r="Y445" s="127">
        <f t="shared" si="86"/>
        <v>0</v>
      </c>
      <c r="Z445" s="127">
        <f t="shared" si="87"/>
        <v>152388.92000000001</v>
      </c>
      <c r="AA445" s="27"/>
      <c r="AB445" s="36" t="s">
        <v>16</v>
      </c>
      <c r="AC445" s="181">
        <f t="shared" si="89"/>
        <v>2</v>
      </c>
      <c r="AD445" s="181">
        <f t="shared" si="88"/>
        <v>152388.92000000001</v>
      </c>
      <c r="AE445" s="181">
        <v>3</v>
      </c>
      <c r="AF445" s="181">
        <v>3</v>
      </c>
      <c r="AG445" s="101" t="str">
        <f t="shared" si="90"/>
        <v/>
      </c>
      <c r="AH445" s="190">
        <v>2</v>
      </c>
      <c r="AI445" s="69">
        <f t="shared" si="83"/>
        <v>2</v>
      </c>
    </row>
    <row r="446" spans="1:38" ht="49.5" x14ac:dyDescent="0.3">
      <c r="A446" s="134" t="s">
        <v>1353</v>
      </c>
      <c r="B446" s="139" t="s">
        <v>3134</v>
      </c>
      <c r="C446" s="204" t="s">
        <v>325</v>
      </c>
      <c r="D446" s="133"/>
      <c r="E446" s="78"/>
      <c r="F446" s="62">
        <v>2</v>
      </c>
      <c r="G446" s="163"/>
      <c r="H446" s="62"/>
      <c r="I446" s="167">
        <v>17998.689999999999</v>
      </c>
      <c r="J446" s="62">
        <v>35997.379999999997</v>
      </c>
      <c r="K446" s="93"/>
      <c r="M446" s="46">
        <v>2</v>
      </c>
      <c r="N446" s="46">
        <v>0</v>
      </c>
      <c r="O446" s="46">
        <v>35997.379999999997</v>
      </c>
      <c r="P446" s="98"/>
      <c r="Q446" s="23" t="s">
        <v>1411</v>
      </c>
      <c r="R446" s="24" t="s">
        <v>1354</v>
      </c>
      <c r="S446" s="25" t="s">
        <v>325</v>
      </c>
      <c r="T446" s="26">
        <v>0</v>
      </c>
      <c r="U446" s="26">
        <v>2</v>
      </c>
      <c r="V446" s="26">
        <v>17998.689999999999</v>
      </c>
      <c r="W446" s="127">
        <f t="shared" si="85"/>
        <v>0</v>
      </c>
      <c r="X446" s="127">
        <f t="shared" si="78"/>
        <v>2</v>
      </c>
      <c r="Y446" s="127">
        <f t="shared" si="86"/>
        <v>0</v>
      </c>
      <c r="Z446" s="127">
        <f t="shared" si="87"/>
        <v>35997.379999999997</v>
      </c>
      <c r="AA446" s="27"/>
      <c r="AB446" s="36" t="s">
        <v>16</v>
      </c>
      <c r="AC446" s="181">
        <f t="shared" si="89"/>
        <v>2</v>
      </c>
      <c r="AD446" s="181">
        <f t="shared" si="88"/>
        <v>35997.379999999997</v>
      </c>
      <c r="AE446" s="181">
        <v>3</v>
      </c>
      <c r="AF446" s="181">
        <v>3</v>
      </c>
      <c r="AG446" s="101" t="str">
        <f t="shared" si="90"/>
        <v/>
      </c>
      <c r="AH446" s="190">
        <v>2</v>
      </c>
      <c r="AI446" s="69">
        <f t="shared" si="83"/>
        <v>2</v>
      </c>
    </row>
    <row r="447" spans="1:38" s="69" customFormat="1" ht="33" customHeight="1" x14ac:dyDescent="0.3">
      <c r="A447" s="85" t="s">
        <v>1146</v>
      </c>
      <c r="B447" s="86" t="s">
        <v>1147</v>
      </c>
      <c r="C447" s="87" t="s">
        <v>14</v>
      </c>
      <c r="D447" s="88">
        <v>1</v>
      </c>
      <c r="E447" s="88"/>
      <c r="F447" s="88"/>
      <c r="G447" s="236"/>
      <c r="H447" s="238"/>
      <c r="I447" s="237"/>
      <c r="J447" s="88">
        <v>2798664.24</v>
      </c>
      <c r="K447" s="95" t="s">
        <v>15</v>
      </c>
      <c r="L447" s="73"/>
      <c r="M447" s="42">
        <v>1</v>
      </c>
      <c r="N447" s="42">
        <v>108898.82</v>
      </c>
      <c r="O447" s="42">
        <v>1791222.8399999999</v>
      </c>
      <c r="P447" s="98"/>
      <c r="Q447" s="13" t="s">
        <v>1412</v>
      </c>
      <c r="R447" s="14" t="s">
        <v>1147</v>
      </c>
      <c r="S447" s="15" t="s">
        <v>14</v>
      </c>
      <c r="T447" s="16">
        <v>1</v>
      </c>
      <c r="U447" s="16"/>
      <c r="V447" s="16">
        <f>SUMIFS(AD:AD,AE:AE,AE447)</f>
        <v>2798664.24</v>
      </c>
      <c r="W447" s="16">
        <f t="shared" ref="W447:X447" si="91">IF(Y447=0,0,1)</f>
        <v>1</v>
      </c>
      <c r="X447" s="16">
        <f t="shared" si="91"/>
        <v>1</v>
      </c>
      <c r="Y447" s="16">
        <f>SUMIFS(Y:Y,AF:AF,AE447)</f>
        <v>215044.15999999989</v>
      </c>
      <c r="Z447" s="16">
        <f>SUMIFS(Z:Z,AF:AF,AE447)</f>
        <v>2006267</v>
      </c>
      <c r="AA447" s="17" t="s">
        <v>15</v>
      </c>
      <c r="AB447" s="40" t="s">
        <v>16</v>
      </c>
      <c r="AC447" s="181">
        <f t="shared" si="89"/>
        <v>1</v>
      </c>
      <c r="AD447" s="183"/>
      <c r="AE447" s="183">
        <v>4</v>
      </c>
      <c r="AF447" s="183"/>
      <c r="AG447" s="101" t="str">
        <f t="shared" si="90"/>
        <v/>
      </c>
      <c r="AH447" s="190">
        <v>1</v>
      </c>
      <c r="AI447" s="69">
        <f t="shared" si="83"/>
        <v>1</v>
      </c>
    </row>
    <row r="448" spans="1:38" s="69" customFormat="1" ht="49.5" customHeight="1" x14ac:dyDescent="0.3">
      <c r="A448" s="55" t="s">
        <v>1148</v>
      </c>
      <c r="B448" s="53" t="s">
        <v>1149</v>
      </c>
      <c r="C448" s="54" t="s">
        <v>1150</v>
      </c>
      <c r="D448" s="75">
        <v>48</v>
      </c>
      <c r="E448" s="75"/>
      <c r="F448" s="75"/>
      <c r="G448" s="75"/>
      <c r="H448" s="229"/>
      <c r="I448" s="75">
        <v>13068.13</v>
      </c>
      <c r="J448" s="75">
        <v>627270.24</v>
      </c>
      <c r="K448" s="91" t="s">
        <v>1151</v>
      </c>
      <c r="L448" s="73"/>
      <c r="M448" s="46">
        <v>42</v>
      </c>
      <c r="N448" s="46">
        <v>26136.259999999951</v>
      </c>
      <c r="O448" s="46">
        <v>548861.46</v>
      </c>
      <c r="P448" s="98"/>
      <c r="Q448" s="23" t="s">
        <v>1421</v>
      </c>
      <c r="R448" s="24" t="s">
        <v>1149</v>
      </c>
      <c r="S448" s="25" t="s">
        <v>1150</v>
      </c>
      <c r="T448" s="26">
        <v>48</v>
      </c>
      <c r="U448" s="26">
        <v>48</v>
      </c>
      <c r="V448" s="26">
        <v>13068.13</v>
      </c>
      <c r="W448" s="250">
        <f t="shared" ref="W448:W450" si="92">AH448-M448</f>
        <v>2</v>
      </c>
      <c r="X448" s="26">
        <f t="shared" si="78"/>
        <v>44</v>
      </c>
      <c r="Y448" s="26">
        <f>Z448-O448</f>
        <v>26136.260000000009</v>
      </c>
      <c r="Z448" s="26">
        <f t="shared" ref="Z448:Z450" si="93">ROUND(V448*X448,2)</f>
        <v>574997.72</v>
      </c>
      <c r="AA448" s="33" t="s">
        <v>15</v>
      </c>
      <c r="AB448" s="36" t="s">
        <v>16</v>
      </c>
      <c r="AC448" s="181">
        <f t="shared" si="89"/>
        <v>48</v>
      </c>
      <c r="AD448" s="181">
        <f t="shared" ref="AD448:AD450" si="94">ROUND(V448*AC448,2)</f>
        <v>627270.24</v>
      </c>
      <c r="AE448" s="181">
        <v>4</v>
      </c>
      <c r="AF448" s="181">
        <v>4</v>
      </c>
      <c r="AG448" s="101" t="str">
        <f t="shared" si="90"/>
        <v/>
      </c>
      <c r="AH448" s="191">
        <f>32+2+2+2+2+2+2</f>
        <v>44</v>
      </c>
      <c r="AI448" s="69">
        <f t="shared" si="83"/>
        <v>48</v>
      </c>
    </row>
    <row r="449" spans="1:35" s="69" customFormat="1" ht="66" customHeight="1" x14ac:dyDescent="0.3">
      <c r="A449" s="55" t="s">
        <v>1152</v>
      </c>
      <c r="B449" s="53" t="s">
        <v>1153</v>
      </c>
      <c r="C449" s="54" t="s">
        <v>998</v>
      </c>
      <c r="D449" s="75">
        <v>6720</v>
      </c>
      <c r="E449" s="75"/>
      <c r="F449" s="75"/>
      <c r="G449" s="76"/>
      <c r="H449" s="75"/>
      <c r="I449" s="75">
        <v>54.57</v>
      </c>
      <c r="J449" s="75">
        <v>366710.4</v>
      </c>
      <c r="K449" s="91" t="s">
        <v>1154</v>
      </c>
      <c r="L449" s="73"/>
      <c r="M449" s="46">
        <v>4630</v>
      </c>
      <c r="N449" s="46">
        <v>0</v>
      </c>
      <c r="O449" s="46">
        <v>252659.1</v>
      </c>
      <c r="P449" s="98"/>
      <c r="Q449" s="23" t="s">
        <v>1426</v>
      </c>
      <c r="R449" s="24" t="s">
        <v>1153</v>
      </c>
      <c r="S449" s="25" t="s">
        <v>998</v>
      </c>
      <c r="T449" s="26">
        <v>6720</v>
      </c>
      <c r="U449" s="26">
        <v>6720</v>
      </c>
      <c r="V449" s="26">
        <v>54.57</v>
      </c>
      <c r="W449" s="250">
        <f t="shared" si="92"/>
        <v>1250</v>
      </c>
      <c r="X449" s="26">
        <f t="shared" si="78"/>
        <v>5880</v>
      </c>
      <c r="Y449" s="26">
        <f>Z449-O449</f>
        <v>68212.499999999971</v>
      </c>
      <c r="Z449" s="26">
        <f t="shared" si="93"/>
        <v>320871.59999999998</v>
      </c>
      <c r="AA449" s="33" t="s">
        <v>15</v>
      </c>
      <c r="AB449" s="36" t="s">
        <v>16</v>
      </c>
      <c r="AC449" s="181">
        <f t="shared" si="89"/>
        <v>6720</v>
      </c>
      <c r="AD449" s="181">
        <f t="shared" si="94"/>
        <v>366710.4</v>
      </c>
      <c r="AE449" s="181">
        <v>4</v>
      </c>
      <c r="AF449" s="181">
        <v>4</v>
      </c>
      <c r="AG449" s="101" t="str">
        <f t="shared" si="90"/>
        <v/>
      </c>
      <c r="AH449" s="191">
        <f>2360+1020+1250+1250</f>
        <v>5880</v>
      </c>
      <c r="AI449" s="69">
        <f t="shared" si="83"/>
        <v>6720</v>
      </c>
    </row>
    <row r="450" spans="1:35" s="69" customFormat="1" ht="33" x14ac:dyDescent="0.3">
      <c r="A450" s="66">
        <v>4.3</v>
      </c>
      <c r="B450" s="57" t="s">
        <v>1355</v>
      </c>
      <c r="C450" s="58" t="s">
        <v>1360</v>
      </c>
      <c r="D450" s="77"/>
      <c r="E450" s="117">
        <v>1570</v>
      </c>
      <c r="F450" s="59"/>
      <c r="G450" s="59"/>
      <c r="H450" s="142"/>
      <c r="I450" s="77">
        <v>1149.48</v>
      </c>
      <c r="J450" s="59">
        <v>1804683.6</v>
      </c>
      <c r="K450" s="92"/>
      <c r="L450" s="73"/>
      <c r="M450" s="46">
        <v>861</v>
      </c>
      <c r="N450" s="46">
        <v>82762.560000000056</v>
      </c>
      <c r="O450" s="46">
        <v>989702.28</v>
      </c>
      <c r="P450" s="98"/>
      <c r="Q450" s="23" t="s">
        <v>1402</v>
      </c>
      <c r="R450" s="24" t="s">
        <v>1502</v>
      </c>
      <c r="S450" s="25" t="s">
        <v>1360</v>
      </c>
      <c r="T450" s="26">
        <v>0</v>
      </c>
      <c r="U450" s="26">
        <v>1570</v>
      </c>
      <c r="V450" s="26">
        <v>1149.48</v>
      </c>
      <c r="W450" s="250">
        <f t="shared" si="92"/>
        <v>105</v>
      </c>
      <c r="X450" s="26">
        <f t="shared" si="78"/>
        <v>966</v>
      </c>
      <c r="Y450" s="26">
        <f>Z450-O450</f>
        <v>120695.39999999991</v>
      </c>
      <c r="Z450" s="26">
        <f t="shared" si="93"/>
        <v>1110397.68</v>
      </c>
      <c r="AA450" s="27"/>
      <c r="AB450" s="36" t="s">
        <v>16</v>
      </c>
      <c r="AC450" s="181">
        <f t="shared" si="89"/>
        <v>1570</v>
      </c>
      <c r="AD450" s="181">
        <f t="shared" si="94"/>
        <v>1804683.6</v>
      </c>
      <c r="AE450" s="181">
        <v>4</v>
      </c>
      <c r="AF450" s="181">
        <v>4</v>
      </c>
      <c r="AG450" s="101" t="str">
        <f t="shared" si="90"/>
        <v/>
      </c>
      <c r="AH450" s="191">
        <f>591+56+56+86+72+105</f>
        <v>966</v>
      </c>
      <c r="AI450" s="69">
        <f t="shared" si="83"/>
        <v>1570</v>
      </c>
    </row>
    <row r="451" spans="1:35" s="69" customFormat="1" ht="33" customHeight="1" x14ac:dyDescent="0.3">
      <c r="A451" s="85" t="s">
        <v>1155</v>
      </c>
      <c r="B451" s="86" t="s">
        <v>1156</v>
      </c>
      <c r="C451" s="87" t="s">
        <v>14</v>
      </c>
      <c r="D451" s="88">
        <v>1</v>
      </c>
      <c r="E451" s="88"/>
      <c r="F451" s="88"/>
      <c r="G451" s="153"/>
      <c r="H451" s="88"/>
      <c r="I451" s="88"/>
      <c r="J451" s="88">
        <v>10715306.710000001</v>
      </c>
      <c r="K451" s="95" t="s">
        <v>15</v>
      </c>
      <c r="L451" s="73"/>
      <c r="M451" s="42">
        <v>1</v>
      </c>
      <c r="N451" s="42">
        <v>60932.199999999953</v>
      </c>
      <c r="O451" s="42">
        <v>10214524.26</v>
      </c>
      <c r="P451" s="98"/>
      <c r="Q451" s="13" t="s">
        <v>1413</v>
      </c>
      <c r="R451" s="14" t="s">
        <v>1156</v>
      </c>
      <c r="S451" s="15" t="s">
        <v>14</v>
      </c>
      <c r="T451" s="16">
        <v>1</v>
      </c>
      <c r="U451" s="16"/>
      <c r="V451" s="16">
        <f>SUMIFS(AD:AD,AE:AE,AE451)</f>
        <v>10715306.709999999</v>
      </c>
      <c r="W451" s="16">
        <f t="shared" ref="W451:X451" si="95">IF(Y451=0,0,1)</f>
        <v>1</v>
      </c>
      <c r="X451" s="16">
        <f t="shared" si="95"/>
        <v>1</v>
      </c>
      <c r="Y451" s="16">
        <f>SUMIFS(Y:Y,AF:AF,AE451)</f>
        <v>66797.760000000009</v>
      </c>
      <c r="Z451" s="16">
        <f>SUMIFS(Z:Z,AF:AF,AE451)</f>
        <v>10281322.02</v>
      </c>
      <c r="AA451" s="17" t="s">
        <v>15</v>
      </c>
      <c r="AB451" s="40" t="s">
        <v>16</v>
      </c>
      <c r="AC451" s="181">
        <f t="shared" si="89"/>
        <v>1</v>
      </c>
      <c r="AD451" s="183"/>
      <c r="AE451" s="183">
        <v>5</v>
      </c>
      <c r="AF451" s="183"/>
      <c r="AG451" s="101" t="str">
        <f t="shared" si="90"/>
        <v/>
      </c>
      <c r="AH451" s="190">
        <v>1</v>
      </c>
      <c r="AI451" s="69">
        <f t="shared" si="83"/>
        <v>1</v>
      </c>
    </row>
    <row r="452" spans="1:35" s="69" customFormat="1" ht="49.5" customHeight="1" x14ac:dyDescent="0.3">
      <c r="A452" s="130" t="s">
        <v>1157</v>
      </c>
      <c r="B452" s="240" t="s">
        <v>1158</v>
      </c>
      <c r="C452" s="132" t="s">
        <v>30</v>
      </c>
      <c r="D452" s="133">
        <v>1698.29</v>
      </c>
      <c r="E452" s="75"/>
      <c r="F452" s="75"/>
      <c r="G452" s="75"/>
      <c r="H452" s="75"/>
      <c r="I452" s="75">
        <v>3662.23</v>
      </c>
      <c r="J452" s="75">
        <v>6219528.5899999999</v>
      </c>
      <c r="K452" s="91" t="s">
        <v>1159</v>
      </c>
      <c r="L452" s="73"/>
      <c r="M452" s="46">
        <v>1698.29</v>
      </c>
      <c r="N452" s="46">
        <v>0</v>
      </c>
      <c r="O452" s="46">
        <v>6219528.5899999999</v>
      </c>
      <c r="P452" s="98"/>
      <c r="Q452" s="23" t="s">
        <v>1421</v>
      </c>
      <c r="R452" s="24" t="s">
        <v>1158</v>
      </c>
      <c r="S452" s="25" t="s">
        <v>30</v>
      </c>
      <c r="T452" s="26">
        <v>1698.29</v>
      </c>
      <c r="U452" s="26">
        <v>1698.29</v>
      </c>
      <c r="V452" s="26">
        <v>3662.23</v>
      </c>
      <c r="W452" s="127">
        <f t="shared" ref="W452:W471" si="96">AH452-M452</f>
        <v>0</v>
      </c>
      <c r="X452" s="127">
        <f t="shared" si="78"/>
        <v>1698.29</v>
      </c>
      <c r="Y452" s="127">
        <f t="shared" ref="Y452:Y471" si="97">Z452-O452</f>
        <v>0</v>
      </c>
      <c r="Z452" s="127">
        <f t="shared" ref="Z452:Z471" si="98">ROUND(V452*X452,2)</f>
        <v>6219528.5899999999</v>
      </c>
      <c r="AA452" s="33" t="s">
        <v>15</v>
      </c>
      <c r="AB452" s="36" t="s">
        <v>16</v>
      </c>
      <c r="AC452" s="181">
        <f t="shared" si="89"/>
        <v>1698.29</v>
      </c>
      <c r="AD452" s="181">
        <f t="shared" ref="AD452:AD471" si="99">ROUND(V452*AC452,2)</f>
        <v>6219528.5899999999</v>
      </c>
      <c r="AE452" s="181">
        <v>5</v>
      </c>
      <c r="AF452" s="181">
        <v>5</v>
      </c>
      <c r="AG452" s="101" t="str">
        <f t="shared" si="90"/>
        <v/>
      </c>
      <c r="AH452" s="190">
        <v>1698.29</v>
      </c>
      <c r="AI452" s="69">
        <f t="shared" si="83"/>
        <v>1698.29</v>
      </c>
    </row>
    <row r="453" spans="1:35" s="69" customFormat="1" ht="49.5" x14ac:dyDescent="0.3">
      <c r="A453" s="130" t="s">
        <v>1160</v>
      </c>
      <c r="B453" s="240" t="s">
        <v>1161</v>
      </c>
      <c r="C453" s="132" t="s">
        <v>50</v>
      </c>
      <c r="D453" s="133">
        <v>2123.4</v>
      </c>
      <c r="E453" s="75"/>
      <c r="F453" s="75"/>
      <c r="G453" s="75"/>
      <c r="H453" s="75"/>
      <c r="I453" s="75">
        <v>353</v>
      </c>
      <c r="J453" s="75">
        <v>749560.2</v>
      </c>
      <c r="K453" s="91" t="s">
        <v>1162</v>
      </c>
      <c r="L453" s="73"/>
      <c r="M453" s="46">
        <v>2123.4</v>
      </c>
      <c r="N453" s="46">
        <v>0</v>
      </c>
      <c r="O453" s="46">
        <v>749560.2</v>
      </c>
      <c r="P453" s="98"/>
      <c r="Q453" s="23" t="s">
        <v>1426</v>
      </c>
      <c r="R453" s="24" t="s">
        <v>1161</v>
      </c>
      <c r="S453" s="25" t="s">
        <v>50</v>
      </c>
      <c r="T453" s="26">
        <v>2123.4</v>
      </c>
      <c r="U453" s="26">
        <v>2123.4</v>
      </c>
      <c r="V453" s="26">
        <v>353</v>
      </c>
      <c r="W453" s="127">
        <f t="shared" si="96"/>
        <v>0</v>
      </c>
      <c r="X453" s="127">
        <v>2123.4</v>
      </c>
      <c r="Y453" s="127">
        <f t="shared" si="97"/>
        <v>0</v>
      </c>
      <c r="Z453" s="127">
        <f t="shared" si="98"/>
        <v>749560.2</v>
      </c>
      <c r="AA453" s="33" t="s">
        <v>15</v>
      </c>
      <c r="AB453" s="36" t="s">
        <v>16</v>
      </c>
      <c r="AC453" s="181">
        <f t="shared" si="89"/>
        <v>2123.4</v>
      </c>
      <c r="AD453" s="181">
        <f t="shared" si="99"/>
        <v>749560.2</v>
      </c>
      <c r="AE453" s="181">
        <v>5</v>
      </c>
      <c r="AF453" s="181">
        <v>5</v>
      </c>
      <c r="AG453" s="101" t="str">
        <f t="shared" si="90"/>
        <v/>
      </c>
      <c r="AH453" s="190">
        <v>2123.4</v>
      </c>
      <c r="AI453" s="69">
        <f t="shared" si="83"/>
        <v>2123.4</v>
      </c>
    </row>
    <row r="454" spans="1:35" s="69" customFormat="1" ht="42" customHeight="1" x14ac:dyDescent="0.3">
      <c r="A454" s="130" t="s">
        <v>1163</v>
      </c>
      <c r="B454" s="240" t="s">
        <v>1164</v>
      </c>
      <c r="C454" s="132" t="s">
        <v>162</v>
      </c>
      <c r="D454" s="133">
        <v>59</v>
      </c>
      <c r="E454" s="75"/>
      <c r="F454" s="75"/>
      <c r="G454" s="75"/>
      <c r="H454" s="75"/>
      <c r="I454" s="75">
        <v>217.02</v>
      </c>
      <c r="J454" s="75">
        <v>12804.18</v>
      </c>
      <c r="K454" s="91" t="s">
        <v>1165</v>
      </c>
      <c r="L454" s="73"/>
      <c r="M454" s="46">
        <v>59</v>
      </c>
      <c r="N454" s="46">
        <v>0</v>
      </c>
      <c r="O454" s="46">
        <v>12804.18</v>
      </c>
      <c r="P454" s="98"/>
      <c r="Q454" s="23" t="s">
        <v>1402</v>
      </c>
      <c r="R454" s="24" t="s">
        <v>1164</v>
      </c>
      <c r="S454" s="25" t="s">
        <v>162</v>
      </c>
      <c r="T454" s="26">
        <v>59</v>
      </c>
      <c r="U454" s="26">
        <v>59</v>
      </c>
      <c r="V454" s="26">
        <v>217.02</v>
      </c>
      <c r="W454" s="127">
        <f t="shared" si="96"/>
        <v>0</v>
      </c>
      <c r="X454" s="127">
        <f t="shared" si="78"/>
        <v>59</v>
      </c>
      <c r="Y454" s="127">
        <f t="shared" si="97"/>
        <v>0</v>
      </c>
      <c r="Z454" s="127">
        <f t="shared" si="98"/>
        <v>12804.18</v>
      </c>
      <c r="AA454" s="33" t="s">
        <v>15</v>
      </c>
      <c r="AB454" s="36" t="s">
        <v>16</v>
      </c>
      <c r="AC454" s="181">
        <f t="shared" si="89"/>
        <v>59</v>
      </c>
      <c r="AD454" s="181">
        <f t="shared" si="99"/>
        <v>12804.18</v>
      </c>
      <c r="AE454" s="181">
        <v>5</v>
      </c>
      <c r="AF454" s="181">
        <v>5</v>
      </c>
      <c r="AG454" s="101" t="str">
        <f t="shared" si="90"/>
        <v/>
      </c>
      <c r="AH454" s="194">
        <v>59</v>
      </c>
      <c r="AI454" s="69">
        <f t="shared" si="83"/>
        <v>59</v>
      </c>
    </row>
    <row r="455" spans="1:35" s="69" customFormat="1" ht="26.1" customHeight="1" x14ac:dyDescent="0.3">
      <c r="A455" s="130" t="s">
        <v>1166</v>
      </c>
      <c r="B455" s="131" t="s">
        <v>1167</v>
      </c>
      <c r="C455" s="132" t="s">
        <v>559</v>
      </c>
      <c r="D455" s="133">
        <v>30</v>
      </c>
      <c r="E455" s="75"/>
      <c r="F455" s="75"/>
      <c r="G455" s="75"/>
      <c r="H455" s="75"/>
      <c r="I455" s="75">
        <v>50</v>
      </c>
      <c r="J455" s="75">
        <v>1500</v>
      </c>
      <c r="K455" s="91" t="s">
        <v>1168</v>
      </c>
      <c r="L455" s="73"/>
      <c r="M455" s="46">
        <v>30</v>
      </c>
      <c r="N455" s="46">
        <v>0</v>
      </c>
      <c r="O455" s="46">
        <v>1500</v>
      </c>
      <c r="P455" s="98"/>
      <c r="Q455" s="23" t="s">
        <v>1373</v>
      </c>
      <c r="R455" s="24" t="s">
        <v>1167</v>
      </c>
      <c r="S455" s="25" t="s">
        <v>559</v>
      </c>
      <c r="T455" s="26">
        <v>30</v>
      </c>
      <c r="U455" s="26">
        <v>30</v>
      </c>
      <c r="V455" s="26">
        <v>50</v>
      </c>
      <c r="W455" s="127">
        <f t="shared" si="96"/>
        <v>0</v>
      </c>
      <c r="X455" s="127">
        <f t="shared" si="78"/>
        <v>30</v>
      </c>
      <c r="Y455" s="127">
        <f t="shared" si="97"/>
        <v>0</v>
      </c>
      <c r="Z455" s="127">
        <f t="shared" si="98"/>
        <v>1500</v>
      </c>
      <c r="AA455" s="33" t="s">
        <v>15</v>
      </c>
      <c r="AB455" s="36" t="s">
        <v>16</v>
      </c>
      <c r="AC455" s="181">
        <f t="shared" si="89"/>
        <v>30</v>
      </c>
      <c r="AD455" s="181">
        <f t="shared" si="99"/>
        <v>1500</v>
      </c>
      <c r="AE455" s="181">
        <v>5</v>
      </c>
      <c r="AF455" s="181">
        <v>5</v>
      </c>
      <c r="AG455" s="101" t="str">
        <f t="shared" si="90"/>
        <v/>
      </c>
      <c r="AH455" s="194">
        <v>30</v>
      </c>
      <c r="AI455" s="69">
        <f t="shared" si="83"/>
        <v>30</v>
      </c>
    </row>
    <row r="456" spans="1:35" s="69" customFormat="1" ht="26.1" customHeight="1" x14ac:dyDescent="0.3">
      <c r="A456" s="130" t="s">
        <v>1169</v>
      </c>
      <c r="B456" s="131" t="s">
        <v>1170</v>
      </c>
      <c r="C456" s="132" t="s">
        <v>81</v>
      </c>
      <c r="D456" s="133">
        <v>9</v>
      </c>
      <c r="E456" s="75"/>
      <c r="F456" s="75"/>
      <c r="G456" s="75"/>
      <c r="H456" s="75"/>
      <c r="I456" s="75">
        <v>1900.97</v>
      </c>
      <c r="J456" s="75">
        <v>17108.73</v>
      </c>
      <c r="K456" s="91" t="s">
        <v>1171</v>
      </c>
      <c r="L456" s="73"/>
      <c r="M456" s="46">
        <v>9</v>
      </c>
      <c r="N456" s="46">
        <v>0</v>
      </c>
      <c r="O456" s="46">
        <v>17108.73</v>
      </c>
      <c r="P456" s="98"/>
      <c r="Q456" s="23" t="s">
        <v>1393</v>
      </c>
      <c r="R456" s="24" t="s">
        <v>1170</v>
      </c>
      <c r="S456" s="25" t="s">
        <v>81</v>
      </c>
      <c r="T456" s="26">
        <v>9</v>
      </c>
      <c r="U456" s="26">
        <v>9</v>
      </c>
      <c r="V456" s="26">
        <v>1900.97</v>
      </c>
      <c r="W456" s="127">
        <f t="shared" si="96"/>
        <v>0</v>
      </c>
      <c r="X456" s="127">
        <f t="shared" si="78"/>
        <v>9</v>
      </c>
      <c r="Y456" s="127">
        <f t="shared" si="97"/>
        <v>0</v>
      </c>
      <c r="Z456" s="127">
        <f t="shared" si="98"/>
        <v>17108.73</v>
      </c>
      <c r="AA456" s="33" t="s">
        <v>15</v>
      </c>
      <c r="AB456" s="36" t="s">
        <v>16</v>
      </c>
      <c r="AC456" s="181">
        <f t="shared" si="89"/>
        <v>9</v>
      </c>
      <c r="AD456" s="181">
        <f t="shared" si="99"/>
        <v>17108.73</v>
      </c>
      <c r="AE456" s="181">
        <v>5</v>
      </c>
      <c r="AF456" s="181">
        <v>5</v>
      </c>
      <c r="AG456" s="101" t="str">
        <f t="shared" si="90"/>
        <v/>
      </c>
      <c r="AH456" s="190">
        <v>9</v>
      </c>
      <c r="AI456" s="69">
        <f t="shared" si="83"/>
        <v>9</v>
      </c>
    </row>
    <row r="457" spans="1:35" s="69" customFormat="1" ht="26.1" customHeight="1" x14ac:dyDescent="0.3">
      <c r="A457" s="130" t="s">
        <v>1172</v>
      </c>
      <c r="B457" s="131" t="s">
        <v>1173</v>
      </c>
      <c r="C457" s="132" t="s">
        <v>81</v>
      </c>
      <c r="D457" s="133">
        <v>5</v>
      </c>
      <c r="E457" s="75"/>
      <c r="F457" s="75"/>
      <c r="G457" s="75"/>
      <c r="H457" s="75"/>
      <c r="I457" s="75">
        <v>1230.75</v>
      </c>
      <c r="J457" s="75">
        <v>6153.75</v>
      </c>
      <c r="K457" s="91" t="s">
        <v>1174</v>
      </c>
      <c r="L457" s="73"/>
      <c r="M457" s="46">
        <v>5</v>
      </c>
      <c r="N457" s="46">
        <v>0</v>
      </c>
      <c r="O457" s="46">
        <v>6153.75</v>
      </c>
      <c r="P457" s="98"/>
      <c r="Q457" s="23" t="s">
        <v>1403</v>
      </c>
      <c r="R457" s="24" t="s">
        <v>1173</v>
      </c>
      <c r="S457" s="25" t="s">
        <v>81</v>
      </c>
      <c r="T457" s="26">
        <v>5</v>
      </c>
      <c r="U457" s="26">
        <v>5</v>
      </c>
      <c r="V457" s="26">
        <v>1230.75</v>
      </c>
      <c r="W457" s="127">
        <f t="shared" si="96"/>
        <v>0</v>
      </c>
      <c r="X457" s="127">
        <f t="shared" si="78"/>
        <v>5</v>
      </c>
      <c r="Y457" s="127">
        <f t="shared" si="97"/>
        <v>0</v>
      </c>
      <c r="Z457" s="127">
        <f t="shared" si="98"/>
        <v>6153.75</v>
      </c>
      <c r="AA457" s="33" t="s">
        <v>15</v>
      </c>
      <c r="AB457" s="36" t="s">
        <v>16</v>
      </c>
      <c r="AC457" s="181">
        <f t="shared" si="89"/>
        <v>5</v>
      </c>
      <c r="AD457" s="181">
        <f t="shared" si="99"/>
        <v>6153.75</v>
      </c>
      <c r="AE457" s="181">
        <v>5</v>
      </c>
      <c r="AF457" s="181">
        <v>5</v>
      </c>
      <c r="AG457" s="101" t="str">
        <f t="shared" si="90"/>
        <v/>
      </c>
      <c r="AH457" s="190">
        <v>5</v>
      </c>
      <c r="AI457" s="69">
        <f t="shared" si="83"/>
        <v>5</v>
      </c>
    </row>
    <row r="458" spans="1:35" s="69" customFormat="1" ht="33" x14ac:dyDescent="0.3">
      <c r="A458" s="55" t="s">
        <v>1175</v>
      </c>
      <c r="B458" s="53" t="s">
        <v>1176</v>
      </c>
      <c r="C458" s="54" t="s">
        <v>81</v>
      </c>
      <c r="D458" s="75">
        <v>756</v>
      </c>
      <c r="E458" s="75"/>
      <c r="F458" s="75"/>
      <c r="G458" s="75"/>
      <c r="H458" s="75"/>
      <c r="I458" s="75">
        <v>1666.11</v>
      </c>
      <c r="J458" s="75">
        <v>1259579.1599999999</v>
      </c>
      <c r="K458" s="91" t="s">
        <v>1177</v>
      </c>
      <c r="L458" s="73"/>
      <c r="M458" s="46">
        <v>643</v>
      </c>
      <c r="N458" s="46">
        <v>33322.199999999953</v>
      </c>
      <c r="O458" s="46">
        <v>1071308.73</v>
      </c>
      <c r="P458" s="98"/>
      <c r="Q458" s="23" t="s">
        <v>1427</v>
      </c>
      <c r="R458" s="24" t="s">
        <v>1176</v>
      </c>
      <c r="S458" s="25" t="s">
        <v>81</v>
      </c>
      <c r="T458" s="26">
        <v>756</v>
      </c>
      <c r="U458" s="26">
        <v>756</v>
      </c>
      <c r="V458" s="26">
        <v>1666.11</v>
      </c>
      <c r="W458" s="243">
        <f t="shared" si="96"/>
        <v>16</v>
      </c>
      <c r="X458" s="26">
        <f t="shared" si="78"/>
        <v>659</v>
      </c>
      <c r="Y458" s="26">
        <f t="shared" si="97"/>
        <v>26657.760000000009</v>
      </c>
      <c r="Z458" s="26">
        <f t="shared" si="98"/>
        <v>1097966.49</v>
      </c>
      <c r="AA458" s="33" t="s">
        <v>15</v>
      </c>
      <c r="AB458" s="36" t="s">
        <v>16</v>
      </c>
      <c r="AC458" s="181">
        <f t="shared" si="89"/>
        <v>756</v>
      </c>
      <c r="AD458" s="181">
        <f t="shared" si="99"/>
        <v>1259579.1599999999</v>
      </c>
      <c r="AE458" s="181">
        <v>5</v>
      </c>
      <c r="AF458" s="181">
        <v>5</v>
      </c>
      <c r="AG458" s="101" t="str">
        <f t="shared" si="90"/>
        <v/>
      </c>
      <c r="AH458" s="191">
        <f>471+52+26+22+52+20+16</f>
        <v>659</v>
      </c>
      <c r="AI458" s="69">
        <f t="shared" si="83"/>
        <v>756</v>
      </c>
    </row>
    <row r="459" spans="1:35" s="69" customFormat="1" ht="49.5" customHeight="1" x14ac:dyDescent="0.3">
      <c r="A459" s="130" t="s">
        <v>1178</v>
      </c>
      <c r="B459" s="240" t="s">
        <v>1179</v>
      </c>
      <c r="C459" s="132" t="s">
        <v>81</v>
      </c>
      <c r="D459" s="133">
        <v>2</v>
      </c>
      <c r="E459" s="75"/>
      <c r="F459" s="75"/>
      <c r="G459" s="75"/>
      <c r="H459" s="75"/>
      <c r="I459" s="75">
        <v>48513</v>
      </c>
      <c r="J459" s="75">
        <v>97026</v>
      </c>
      <c r="K459" s="91" t="s">
        <v>1180</v>
      </c>
      <c r="L459" s="73"/>
      <c r="M459" s="46">
        <v>2</v>
      </c>
      <c r="N459" s="46">
        <v>0</v>
      </c>
      <c r="O459" s="46">
        <v>97026</v>
      </c>
      <c r="P459" s="98"/>
      <c r="Q459" s="23" t="s">
        <v>1428</v>
      </c>
      <c r="R459" s="24" t="s">
        <v>1179</v>
      </c>
      <c r="S459" s="25" t="s">
        <v>81</v>
      </c>
      <c r="T459" s="26">
        <v>2</v>
      </c>
      <c r="U459" s="26">
        <v>2</v>
      </c>
      <c r="V459" s="26">
        <v>48513</v>
      </c>
      <c r="W459" s="127">
        <f t="shared" si="96"/>
        <v>0</v>
      </c>
      <c r="X459" s="127">
        <v>2</v>
      </c>
      <c r="Y459" s="127">
        <f t="shared" si="97"/>
        <v>0</v>
      </c>
      <c r="Z459" s="127">
        <f t="shared" si="98"/>
        <v>97026</v>
      </c>
      <c r="AA459" s="33" t="s">
        <v>15</v>
      </c>
      <c r="AB459" s="36" t="s">
        <v>16</v>
      </c>
      <c r="AC459" s="181">
        <f t="shared" si="89"/>
        <v>2</v>
      </c>
      <c r="AD459" s="181">
        <f t="shared" si="99"/>
        <v>97026</v>
      </c>
      <c r="AE459" s="181">
        <v>5</v>
      </c>
      <c r="AF459" s="181">
        <v>5</v>
      </c>
      <c r="AG459" s="101" t="str">
        <f t="shared" si="90"/>
        <v/>
      </c>
      <c r="AH459" s="190">
        <v>2</v>
      </c>
      <c r="AI459" s="69">
        <f t="shared" si="83"/>
        <v>2</v>
      </c>
    </row>
    <row r="460" spans="1:35" s="69" customFormat="1" ht="41.25" x14ac:dyDescent="0.3">
      <c r="A460" s="130" t="s">
        <v>1181</v>
      </c>
      <c r="B460" s="131" t="s">
        <v>1182</v>
      </c>
      <c r="C460" s="132" t="s">
        <v>1183</v>
      </c>
      <c r="D460" s="133">
        <v>18</v>
      </c>
      <c r="E460" s="75">
        <v>38</v>
      </c>
      <c r="F460" s="75"/>
      <c r="G460" s="75"/>
      <c r="H460" s="75"/>
      <c r="I460" s="75">
        <v>587.1</v>
      </c>
      <c r="J460" s="75">
        <v>22309.8</v>
      </c>
      <c r="K460" s="91" t="s">
        <v>1184</v>
      </c>
      <c r="L460" s="73"/>
      <c r="M460" s="46">
        <v>38</v>
      </c>
      <c r="N460" s="46">
        <v>0</v>
      </c>
      <c r="O460" s="46">
        <v>22309.8</v>
      </c>
      <c r="P460" s="98"/>
      <c r="Q460" s="23" t="s">
        <v>1387</v>
      </c>
      <c r="R460" s="24" t="s">
        <v>1182</v>
      </c>
      <c r="S460" s="25" t="s">
        <v>1183</v>
      </c>
      <c r="T460" s="26">
        <v>18</v>
      </c>
      <c r="U460" s="26">
        <v>38</v>
      </c>
      <c r="V460" s="26">
        <v>587.1</v>
      </c>
      <c r="W460" s="127">
        <f t="shared" si="96"/>
        <v>0</v>
      </c>
      <c r="X460" s="127">
        <f t="shared" ref="X460:X494" si="100">W460+M460</f>
        <v>38</v>
      </c>
      <c r="Y460" s="127">
        <f t="shared" si="97"/>
        <v>0</v>
      </c>
      <c r="Z460" s="127">
        <f t="shared" si="98"/>
        <v>22309.8</v>
      </c>
      <c r="AA460" s="27" t="s">
        <v>15</v>
      </c>
      <c r="AB460" s="36" t="s">
        <v>16</v>
      </c>
      <c r="AC460" s="181">
        <f t="shared" si="89"/>
        <v>38</v>
      </c>
      <c r="AD460" s="181">
        <f t="shared" si="99"/>
        <v>22309.8</v>
      </c>
      <c r="AE460" s="181">
        <v>5</v>
      </c>
      <c r="AF460" s="181">
        <v>5</v>
      </c>
      <c r="AG460" s="101" t="str">
        <f t="shared" si="90"/>
        <v/>
      </c>
      <c r="AH460" s="194">
        <v>38</v>
      </c>
      <c r="AI460" s="69">
        <f t="shared" ref="AI460:AI503" si="101">IF(G460=0,IF(F460=0,IF(E460=0,D460,E460),F460),G460)</f>
        <v>38</v>
      </c>
    </row>
    <row r="461" spans="1:35" s="69" customFormat="1" ht="49.5" customHeight="1" x14ac:dyDescent="0.3">
      <c r="A461" s="55" t="s">
        <v>1185</v>
      </c>
      <c r="B461" s="53" t="s">
        <v>1186</v>
      </c>
      <c r="C461" s="54" t="s">
        <v>162</v>
      </c>
      <c r="D461" s="75">
        <v>9</v>
      </c>
      <c r="E461" s="75"/>
      <c r="F461" s="75"/>
      <c r="G461" s="75"/>
      <c r="H461" s="75"/>
      <c r="I461" s="75">
        <v>664.14</v>
      </c>
      <c r="J461" s="75">
        <v>5977.26</v>
      </c>
      <c r="K461" s="91" t="s">
        <v>1187</v>
      </c>
      <c r="L461" s="73"/>
      <c r="M461" s="46">
        <v>0</v>
      </c>
      <c r="N461" s="46">
        <v>0</v>
      </c>
      <c r="O461" s="46">
        <v>0</v>
      </c>
      <c r="P461" s="98"/>
      <c r="Q461" s="23" t="s">
        <v>1405</v>
      </c>
      <c r="R461" s="24" t="s">
        <v>1186</v>
      </c>
      <c r="S461" s="25" t="s">
        <v>162</v>
      </c>
      <c r="T461" s="26">
        <v>9</v>
      </c>
      <c r="U461" s="26">
        <v>9</v>
      </c>
      <c r="V461" s="26">
        <v>664.14</v>
      </c>
      <c r="W461" s="26">
        <f t="shared" si="96"/>
        <v>0</v>
      </c>
      <c r="X461" s="26">
        <f t="shared" si="100"/>
        <v>0</v>
      </c>
      <c r="Y461" s="26">
        <f t="shared" si="97"/>
        <v>0</v>
      </c>
      <c r="Z461" s="26">
        <f t="shared" si="98"/>
        <v>0</v>
      </c>
      <c r="AA461" s="33" t="s">
        <v>15</v>
      </c>
      <c r="AB461" s="36" t="s">
        <v>16</v>
      </c>
      <c r="AC461" s="181">
        <f t="shared" si="89"/>
        <v>9</v>
      </c>
      <c r="AD461" s="181">
        <f t="shared" si="99"/>
        <v>5977.26</v>
      </c>
      <c r="AE461" s="181">
        <v>5</v>
      </c>
      <c r="AF461" s="181">
        <v>5</v>
      </c>
      <c r="AG461" s="101" t="str">
        <f t="shared" si="90"/>
        <v/>
      </c>
      <c r="AH461" s="190">
        <v>0</v>
      </c>
      <c r="AI461" s="69">
        <f t="shared" si="101"/>
        <v>9</v>
      </c>
    </row>
    <row r="462" spans="1:35" s="69" customFormat="1" ht="39" x14ac:dyDescent="0.3">
      <c r="A462" s="55" t="s">
        <v>1188</v>
      </c>
      <c r="B462" s="53" t="s">
        <v>1189</v>
      </c>
      <c r="C462" s="54" t="s">
        <v>81</v>
      </c>
      <c r="D462" s="75">
        <v>68</v>
      </c>
      <c r="E462" s="75"/>
      <c r="F462" s="75"/>
      <c r="G462" s="75"/>
      <c r="H462" s="75"/>
      <c r="I462" s="75">
        <v>847.07</v>
      </c>
      <c r="J462" s="75">
        <v>57600.76</v>
      </c>
      <c r="K462" s="91" t="s">
        <v>1190</v>
      </c>
      <c r="L462" s="73"/>
      <c r="M462" s="46">
        <v>40</v>
      </c>
      <c r="N462" s="46">
        <v>0</v>
      </c>
      <c r="O462" s="46">
        <v>33882.800000000003</v>
      </c>
      <c r="P462" s="98"/>
      <c r="Q462" s="23" t="s">
        <v>1406</v>
      </c>
      <c r="R462" s="24" t="s">
        <v>1189</v>
      </c>
      <c r="S462" s="25" t="s">
        <v>81</v>
      </c>
      <c r="T462" s="26">
        <v>68</v>
      </c>
      <c r="U462" s="26">
        <v>68</v>
      </c>
      <c r="V462" s="26">
        <v>847.07</v>
      </c>
      <c r="W462" s="128">
        <f t="shared" si="96"/>
        <v>0</v>
      </c>
      <c r="X462" s="26">
        <f t="shared" si="100"/>
        <v>40</v>
      </c>
      <c r="Y462" s="26">
        <f t="shared" si="97"/>
        <v>0</v>
      </c>
      <c r="Z462" s="26">
        <f t="shared" si="98"/>
        <v>33882.800000000003</v>
      </c>
      <c r="AA462" s="33" t="s">
        <v>15</v>
      </c>
      <c r="AB462" s="36" t="s">
        <v>16</v>
      </c>
      <c r="AC462" s="181">
        <f t="shared" si="89"/>
        <v>68</v>
      </c>
      <c r="AD462" s="181">
        <f t="shared" si="99"/>
        <v>57600.76</v>
      </c>
      <c r="AE462" s="181">
        <v>5</v>
      </c>
      <c r="AF462" s="181">
        <v>5</v>
      </c>
      <c r="AG462" s="101" t="str">
        <f t="shared" si="90"/>
        <v/>
      </c>
      <c r="AH462" s="190">
        <v>40</v>
      </c>
      <c r="AI462" s="69">
        <f t="shared" si="101"/>
        <v>68</v>
      </c>
    </row>
    <row r="463" spans="1:35" s="69" customFormat="1" ht="41.25" x14ac:dyDescent="0.3">
      <c r="A463" s="130" t="s">
        <v>1191</v>
      </c>
      <c r="B463" s="131" t="s">
        <v>1192</v>
      </c>
      <c r="C463" s="132" t="s">
        <v>30</v>
      </c>
      <c r="D463" s="133">
        <v>27.54</v>
      </c>
      <c r="E463" s="75"/>
      <c r="F463" s="75">
        <v>87.54</v>
      </c>
      <c r="G463" s="75"/>
      <c r="H463" s="75"/>
      <c r="I463" s="75">
        <v>293.74</v>
      </c>
      <c r="J463" s="75">
        <v>25714</v>
      </c>
      <c r="K463" s="91" t="s">
        <v>1193</v>
      </c>
      <c r="L463" s="73"/>
      <c r="M463" s="46">
        <v>87.54</v>
      </c>
      <c r="N463" s="46">
        <v>0</v>
      </c>
      <c r="O463" s="46">
        <v>25714</v>
      </c>
      <c r="P463" s="98"/>
      <c r="Q463" s="23" t="s">
        <v>1414</v>
      </c>
      <c r="R463" s="24" t="s">
        <v>1192</v>
      </c>
      <c r="S463" s="25" t="s">
        <v>30</v>
      </c>
      <c r="T463" s="26">
        <v>27.54</v>
      </c>
      <c r="U463" s="26">
        <v>87.54</v>
      </c>
      <c r="V463" s="26">
        <v>293.74</v>
      </c>
      <c r="W463" s="127">
        <f t="shared" si="96"/>
        <v>0</v>
      </c>
      <c r="X463" s="127">
        <f t="shared" si="100"/>
        <v>87.54</v>
      </c>
      <c r="Y463" s="127">
        <f t="shared" si="97"/>
        <v>0</v>
      </c>
      <c r="Z463" s="127">
        <f t="shared" si="98"/>
        <v>25714</v>
      </c>
      <c r="AA463" s="27" t="s">
        <v>15</v>
      </c>
      <c r="AB463" s="36" t="s">
        <v>16</v>
      </c>
      <c r="AC463" s="181">
        <f t="shared" si="89"/>
        <v>87.54</v>
      </c>
      <c r="AD463" s="181">
        <f t="shared" si="99"/>
        <v>25714</v>
      </c>
      <c r="AE463" s="181">
        <v>5</v>
      </c>
      <c r="AF463" s="181">
        <v>5</v>
      </c>
      <c r="AG463" s="101" t="str">
        <f t="shared" si="90"/>
        <v/>
      </c>
      <c r="AH463" s="190">
        <v>87.54</v>
      </c>
      <c r="AI463" s="69">
        <f t="shared" si="101"/>
        <v>87.54</v>
      </c>
    </row>
    <row r="464" spans="1:35" s="69" customFormat="1" ht="33" customHeight="1" x14ac:dyDescent="0.3">
      <c r="A464" s="130" t="s">
        <v>1194</v>
      </c>
      <c r="B464" s="131" t="s">
        <v>1195</v>
      </c>
      <c r="C464" s="132" t="s">
        <v>1196</v>
      </c>
      <c r="D464" s="133">
        <v>2</v>
      </c>
      <c r="E464" s="75"/>
      <c r="F464" s="75"/>
      <c r="G464" s="75"/>
      <c r="H464" s="75"/>
      <c r="I464" s="75">
        <v>10000</v>
      </c>
      <c r="J464" s="75">
        <v>20000</v>
      </c>
      <c r="K464" s="91" t="s">
        <v>1197</v>
      </c>
      <c r="L464" s="73"/>
      <c r="M464" s="46">
        <v>2</v>
      </c>
      <c r="N464" s="46">
        <v>0</v>
      </c>
      <c r="O464" s="46">
        <v>20000</v>
      </c>
      <c r="P464" s="98"/>
      <c r="Q464" s="23" t="s">
        <v>1429</v>
      </c>
      <c r="R464" s="24" t="s">
        <v>1195</v>
      </c>
      <c r="S464" s="25" t="s">
        <v>1196</v>
      </c>
      <c r="T464" s="26">
        <v>2</v>
      </c>
      <c r="U464" s="26">
        <v>2</v>
      </c>
      <c r="V464" s="26">
        <v>10000</v>
      </c>
      <c r="W464" s="127">
        <f t="shared" si="96"/>
        <v>0</v>
      </c>
      <c r="X464" s="127">
        <f t="shared" si="100"/>
        <v>2</v>
      </c>
      <c r="Y464" s="127">
        <f t="shared" si="97"/>
        <v>0</v>
      </c>
      <c r="Z464" s="127">
        <f t="shared" si="98"/>
        <v>20000</v>
      </c>
      <c r="AA464" s="33" t="s">
        <v>15</v>
      </c>
      <c r="AB464" s="36" t="s">
        <v>16</v>
      </c>
      <c r="AC464" s="181">
        <f t="shared" si="89"/>
        <v>2</v>
      </c>
      <c r="AD464" s="181">
        <f t="shared" si="99"/>
        <v>20000</v>
      </c>
      <c r="AE464" s="181">
        <v>5</v>
      </c>
      <c r="AF464" s="181">
        <v>5</v>
      </c>
      <c r="AG464" s="101" t="str">
        <f t="shared" si="90"/>
        <v/>
      </c>
      <c r="AH464" s="190">
        <v>2</v>
      </c>
      <c r="AI464" s="69">
        <f t="shared" si="101"/>
        <v>2</v>
      </c>
    </row>
    <row r="465" spans="1:35" s="69" customFormat="1" ht="33" customHeight="1" x14ac:dyDescent="0.3">
      <c r="A465" s="55" t="s">
        <v>1198</v>
      </c>
      <c r="B465" s="53" t="s">
        <v>1199</v>
      </c>
      <c r="C465" s="54" t="s">
        <v>30</v>
      </c>
      <c r="D465" s="75">
        <v>1064.31</v>
      </c>
      <c r="E465" s="75"/>
      <c r="F465" s="75"/>
      <c r="G465" s="75"/>
      <c r="H465" s="75"/>
      <c r="I465" s="75">
        <v>210</v>
      </c>
      <c r="J465" s="75">
        <v>223505.1</v>
      </c>
      <c r="K465" s="91" t="s">
        <v>1200</v>
      </c>
      <c r="L465" s="73"/>
      <c r="M465" s="46">
        <v>955</v>
      </c>
      <c r="N465" s="46">
        <v>0</v>
      </c>
      <c r="O465" s="46">
        <v>200550</v>
      </c>
      <c r="P465" s="98"/>
      <c r="Q465" s="23" t="s">
        <v>1430</v>
      </c>
      <c r="R465" s="24" t="s">
        <v>1199</v>
      </c>
      <c r="S465" s="25" t="s">
        <v>30</v>
      </c>
      <c r="T465" s="26">
        <v>1064.31</v>
      </c>
      <c r="U465" s="26">
        <v>1064.31</v>
      </c>
      <c r="V465" s="26">
        <v>210</v>
      </c>
      <c r="W465" s="128">
        <f t="shared" si="96"/>
        <v>32</v>
      </c>
      <c r="X465" s="26">
        <f t="shared" si="100"/>
        <v>987</v>
      </c>
      <c r="Y465" s="26">
        <f t="shared" si="97"/>
        <v>6720</v>
      </c>
      <c r="Z465" s="26">
        <f t="shared" si="98"/>
        <v>207270</v>
      </c>
      <c r="AA465" s="33" t="s">
        <v>15</v>
      </c>
      <c r="AB465" s="36" t="s">
        <v>16</v>
      </c>
      <c r="AC465" s="181">
        <f t="shared" si="89"/>
        <v>1064.31</v>
      </c>
      <c r="AD465" s="181">
        <f t="shared" si="99"/>
        <v>223505.1</v>
      </c>
      <c r="AE465" s="181">
        <v>5</v>
      </c>
      <c r="AF465" s="181">
        <v>5</v>
      </c>
      <c r="AG465" s="101" t="str">
        <f t="shared" si="90"/>
        <v/>
      </c>
      <c r="AH465" s="191">
        <f>845+110+32</f>
        <v>987</v>
      </c>
      <c r="AI465" s="69">
        <f t="shared" si="101"/>
        <v>1064.31</v>
      </c>
    </row>
    <row r="466" spans="1:35" s="69" customFormat="1" ht="33" x14ac:dyDescent="0.3">
      <c r="A466" s="55" t="s">
        <v>1201</v>
      </c>
      <c r="B466" s="53" t="s">
        <v>1202</v>
      </c>
      <c r="C466" s="54" t="s">
        <v>30</v>
      </c>
      <c r="D466" s="75">
        <v>1910.54</v>
      </c>
      <c r="E466" s="75"/>
      <c r="F466" s="75"/>
      <c r="G466" s="75"/>
      <c r="H466" s="75"/>
      <c r="I466" s="75">
        <v>300</v>
      </c>
      <c r="J466" s="75">
        <v>573162</v>
      </c>
      <c r="K466" s="91" t="s">
        <v>1203</v>
      </c>
      <c r="L466" s="73"/>
      <c r="M466" s="46">
        <v>1574.8</v>
      </c>
      <c r="N466" s="46">
        <v>20250</v>
      </c>
      <c r="O466" s="46">
        <v>472440</v>
      </c>
      <c r="P466" s="98"/>
      <c r="Q466" s="23" t="s">
        <v>1431</v>
      </c>
      <c r="R466" s="24" t="s">
        <v>1202</v>
      </c>
      <c r="S466" s="25" t="s">
        <v>30</v>
      </c>
      <c r="T466" s="26">
        <v>1910.54</v>
      </c>
      <c r="U466" s="26">
        <v>1910.54</v>
      </c>
      <c r="V466" s="26">
        <v>300</v>
      </c>
      <c r="W466" s="243">
        <f t="shared" si="96"/>
        <v>65.599999999999909</v>
      </c>
      <c r="X466" s="26">
        <f t="shared" si="100"/>
        <v>1640.3999999999999</v>
      </c>
      <c r="Y466" s="26">
        <f t="shared" si="97"/>
        <v>19680</v>
      </c>
      <c r="Z466" s="26">
        <f t="shared" si="98"/>
        <v>492120</v>
      </c>
      <c r="AA466" s="33" t="s">
        <v>15</v>
      </c>
      <c r="AB466" s="36" t="s">
        <v>16</v>
      </c>
      <c r="AC466" s="181">
        <f t="shared" si="89"/>
        <v>1910.54</v>
      </c>
      <c r="AD466" s="181">
        <f t="shared" si="99"/>
        <v>573162</v>
      </c>
      <c r="AE466" s="181">
        <v>5</v>
      </c>
      <c r="AF466" s="181">
        <v>5</v>
      </c>
      <c r="AG466" s="101" t="str">
        <f t="shared" si="90"/>
        <v/>
      </c>
      <c r="AH466" s="191">
        <f>1106+136+265.3+67.5+65.6</f>
        <v>1640.3999999999999</v>
      </c>
      <c r="AI466" s="69">
        <f t="shared" si="101"/>
        <v>1910.54</v>
      </c>
    </row>
    <row r="467" spans="1:35" s="69" customFormat="1" ht="33" x14ac:dyDescent="0.3">
      <c r="A467" s="55" t="s">
        <v>1204</v>
      </c>
      <c r="B467" s="53" t="s">
        <v>1205</v>
      </c>
      <c r="C467" s="54" t="s">
        <v>30</v>
      </c>
      <c r="D467" s="75">
        <v>2738.45</v>
      </c>
      <c r="E467" s="75"/>
      <c r="F467" s="75"/>
      <c r="G467" s="75"/>
      <c r="H467" s="75"/>
      <c r="I467" s="75">
        <v>200</v>
      </c>
      <c r="J467" s="75">
        <v>547690</v>
      </c>
      <c r="K467" s="91" t="s">
        <v>1206</v>
      </c>
      <c r="L467" s="73"/>
      <c r="M467" s="46">
        <v>2159.3000000000002</v>
      </c>
      <c r="N467" s="46">
        <v>7360</v>
      </c>
      <c r="O467" s="46">
        <v>431860</v>
      </c>
      <c r="P467" s="98"/>
      <c r="Q467" s="23" t="s">
        <v>1395</v>
      </c>
      <c r="R467" s="24" t="s">
        <v>1205</v>
      </c>
      <c r="S467" s="25" t="s">
        <v>30</v>
      </c>
      <c r="T467" s="26">
        <v>2738.45</v>
      </c>
      <c r="U467" s="26">
        <v>2738.45</v>
      </c>
      <c r="V467" s="26">
        <v>200</v>
      </c>
      <c r="W467" s="243">
        <f t="shared" si="96"/>
        <v>68.699999999999818</v>
      </c>
      <c r="X467" s="26">
        <f t="shared" si="100"/>
        <v>2228</v>
      </c>
      <c r="Y467" s="26">
        <f t="shared" si="97"/>
        <v>13740</v>
      </c>
      <c r="Z467" s="26">
        <f t="shared" si="98"/>
        <v>445600</v>
      </c>
      <c r="AA467" s="33" t="s">
        <v>15</v>
      </c>
      <c r="AB467" s="36" t="s">
        <v>16</v>
      </c>
      <c r="AC467" s="181">
        <f t="shared" si="89"/>
        <v>2738.45</v>
      </c>
      <c r="AD467" s="181">
        <f t="shared" si="99"/>
        <v>547690</v>
      </c>
      <c r="AE467" s="181">
        <v>5</v>
      </c>
      <c r="AF467" s="181">
        <v>5</v>
      </c>
      <c r="AG467" s="101" t="str">
        <f t="shared" si="90"/>
        <v/>
      </c>
      <c r="AH467" s="191">
        <f>1256.3+192+337.2+121.2+215.8+36.8+68.7</f>
        <v>2228</v>
      </c>
      <c r="AI467" s="69">
        <f t="shared" si="101"/>
        <v>2738.45</v>
      </c>
    </row>
    <row r="468" spans="1:35" s="69" customFormat="1" ht="33" customHeight="1" x14ac:dyDescent="0.3">
      <c r="A468" s="55" t="s">
        <v>1207</v>
      </c>
      <c r="B468" s="53" t="s">
        <v>1208</v>
      </c>
      <c r="C468" s="54" t="s">
        <v>14</v>
      </c>
      <c r="D468" s="75">
        <v>1</v>
      </c>
      <c r="E468" s="75"/>
      <c r="F468" s="76"/>
      <c r="G468" s="76"/>
      <c r="H468" s="76"/>
      <c r="I468" s="75">
        <v>21460.9</v>
      </c>
      <c r="J468" s="75">
        <v>21460.9</v>
      </c>
      <c r="K468" s="91" t="s">
        <v>1209</v>
      </c>
      <c r="L468" s="73"/>
      <c r="M468" s="46">
        <v>0</v>
      </c>
      <c r="N468" s="46">
        <v>0</v>
      </c>
      <c r="O468" s="46">
        <v>0</v>
      </c>
      <c r="P468" s="98"/>
      <c r="Q468" s="23" t="s">
        <v>1432</v>
      </c>
      <c r="R468" s="24" t="s">
        <v>1208</v>
      </c>
      <c r="S468" s="25" t="s">
        <v>14</v>
      </c>
      <c r="T468" s="26">
        <v>1</v>
      </c>
      <c r="U468" s="26">
        <v>1</v>
      </c>
      <c r="V468" s="26">
        <v>21460.9</v>
      </c>
      <c r="W468" s="26">
        <f t="shared" si="96"/>
        <v>0</v>
      </c>
      <c r="X468" s="26">
        <f t="shared" si="100"/>
        <v>0</v>
      </c>
      <c r="Y468" s="136">
        <f t="shared" si="97"/>
        <v>0</v>
      </c>
      <c r="Z468" s="26">
        <f t="shared" si="98"/>
        <v>0</v>
      </c>
      <c r="AA468" s="33" t="s">
        <v>15</v>
      </c>
      <c r="AB468" s="36" t="s">
        <v>16</v>
      </c>
      <c r="AC468" s="181">
        <f t="shared" si="89"/>
        <v>1</v>
      </c>
      <c r="AD468" s="181">
        <f t="shared" si="99"/>
        <v>21460.9</v>
      </c>
      <c r="AE468" s="181">
        <v>5</v>
      </c>
      <c r="AF468" s="181">
        <v>5</v>
      </c>
      <c r="AG468" s="101" t="str">
        <f t="shared" si="90"/>
        <v/>
      </c>
      <c r="AH468" s="190">
        <v>0</v>
      </c>
      <c r="AI468" s="69">
        <f t="shared" si="101"/>
        <v>1</v>
      </c>
    </row>
    <row r="469" spans="1:35" s="69" customFormat="1" ht="39" x14ac:dyDescent="0.3">
      <c r="A469" s="251">
        <v>5.18</v>
      </c>
      <c r="B469" s="252" t="s">
        <v>1356</v>
      </c>
      <c r="C469" s="157" t="s">
        <v>97</v>
      </c>
      <c r="D469" s="253"/>
      <c r="E469" s="59">
        <v>720</v>
      </c>
      <c r="F469" s="180"/>
      <c r="G469" s="180"/>
      <c r="H469" s="180"/>
      <c r="I469" s="178">
        <v>273.11</v>
      </c>
      <c r="J469" s="59">
        <v>196639.2</v>
      </c>
      <c r="K469" s="92"/>
      <c r="L469" s="73"/>
      <c r="M469" s="46">
        <v>640</v>
      </c>
      <c r="N469" s="46">
        <v>0</v>
      </c>
      <c r="O469" s="46">
        <v>174790.39999999999</v>
      </c>
      <c r="P469" s="98"/>
      <c r="Q469" s="23" t="s">
        <v>1433</v>
      </c>
      <c r="R469" s="24" t="s">
        <v>1503</v>
      </c>
      <c r="S469" s="25" t="s">
        <v>97</v>
      </c>
      <c r="T469" s="26">
        <v>0</v>
      </c>
      <c r="U469" s="26">
        <v>720</v>
      </c>
      <c r="V469" s="26">
        <v>273.11</v>
      </c>
      <c r="W469" s="128">
        <f t="shared" si="96"/>
        <v>0</v>
      </c>
      <c r="X469" s="26">
        <f t="shared" si="100"/>
        <v>640</v>
      </c>
      <c r="Y469" s="26">
        <f t="shared" si="97"/>
        <v>0</v>
      </c>
      <c r="Z469" s="26">
        <f t="shared" si="98"/>
        <v>174790.39999999999</v>
      </c>
      <c r="AA469" s="27"/>
      <c r="AB469" s="36" t="s">
        <v>16</v>
      </c>
      <c r="AC469" s="181">
        <f t="shared" si="89"/>
        <v>720</v>
      </c>
      <c r="AD469" s="181">
        <f t="shared" si="99"/>
        <v>196639.2</v>
      </c>
      <c r="AE469" s="181">
        <v>5</v>
      </c>
      <c r="AF469" s="181">
        <v>5</v>
      </c>
      <c r="AG469" s="101" t="str">
        <f t="shared" si="90"/>
        <v/>
      </c>
      <c r="AH469" s="191">
        <v>640</v>
      </c>
      <c r="AI469" s="69">
        <f t="shared" si="101"/>
        <v>720</v>
      </c>
    </row>
    <row r="470" spans="1:35" s="69" customFormat="1" ht="39" x14ac:dyDescent="0.3">
      <c r="A470" s="144">
        <v>5.19</v>
      </c>
      <c r="B470" s="145" t="s">
        <v>1357</v>
      </c>
      <c r="C470" s="206" t="s">
        <v>30</v>
      </c>
      <c r="D470" s="221"/>
      <c r="E470" s="175">
        <v>212</v>
      </c>
      <c r="F470" s="180"/>
      <c r="G470" s="180"/>
      <c r="H470" s="180"/>
      <c r="I470" s="179">
        <v>1859.87</v>
      </c>
      <c r="J470" s="175">
        <v>394292.44</v>
      </c>
      <c r="K470" s="176"/>
      <c r="L470" s="73"/>
      <c r="M470" s="46">
        <v>212</v>
      </c>
      <c r="N470" s="46">
        <v>0</v>
      </c>
      <c r="O470" s="46">
        <v>394292.44</v>
      </c>
      <c r="P470" s="98"/>
      <c r="Q470" s="23" t="s">
        <v>1382</v>
      </c>
      <c r="R470" s="24" t="s">
        <v>1504</v>
      </c>
      <c r="S470" s="25" t="s">
        <v>30</v>
      </c>
      <c r="T470" s="26">
        <v>0</v>
      </c>
      <c r="U470" s="26">
        <v>212</v>
      </c>
      <c r="V470" s="26">
        <v>1859.87</v>
      </c>
      <c r="W470" s="127">
        <f t="shared" si="96"/>
        <v>0</v>
      </c>
      <c r="X470" s="127">
        <f t="shared" si="100"/>
        <v>212</v>
      </c>
      <c r="Y470" s="127">
        <f t="shared" si="97"/>
        <v>0</v>
      </c>
      <c r="Z470" s="127">
        <f t="shared" si="98"/>
        <v>394292.44</v>
      </c>
      <c r="AA470" s="27"/>
      <c r="AB470" s="36" t="s">
        <v>16</v>
      </c>
      <c r="AC470" s="181">
        <f t="shared" si="89"/>
        <v>212</v>
      </c>
      <c r="AD470" s="181">
        <f t="shared" si="99"/>
        <v>394292.44</v>
      </c>
      <c r="AE470" s="181">
        <v>5</v>
      </c>
      <c r="AF470" s="181">
        <v>5</v>
      </c>
      <c r="AG470" s="101" t="str">
        <f t="shared" si="90"/>
        <v/>
      </c>
      <c r="AH470" s="190">
        <v>212</v>
      </c>
      <c r="AI470" s="69">
        <f t="shared" si="101"/>
        <v>212</v>
      </c>
    </row>
    <row r="471" spans="1:35" s="69" customFormat="1" ht="39" x14ac:dyDescent="0.3">
      <c r="A471" s="210" t="s">
        <v>3106</v>
      </c>
      <c r="B471" s="208" t="s">
        <v>3107</v>
      </c>
      <c r="C471" s="204" t="s">
        <v>14</v>
      </c>
      <c r="D471" s="208"/>
      <c r="E471" s="159"/>
      <c r="F471" s="156"/>
      <c r="G471" s="156">
        <v>1</v>
      </c>
      <c r="H471" s="156"/>
      <c r="I471" s="158"/>
      <c r="J471" s="159">
        <v>263694.64</v>
      </c>
      <c r="K471" s="160"/>
      <c r="L471" s="73"/>
      <c r="M471" s="46">
        <v>1</v>
      </c>
      <c r="N471" s="46">
        <v>0</v>
      </c>
      <c r="O471" s="46">
        <v>263694.64</v>
      </c>
      <c r="P471" s="98"/>
      <c r="Q471" s="23" t="s">
        <v>3108</v>
      </c>
      <c r="R471" s="24" t="s">
        <v>3107</v>
      </c>
      <c r="S471" s="25" t="s">
        <v>14</v>
      </c>
      <c r="T471" s="26"/>
      <c r="U471" s="26">
        <v>1</v>
      </c>
      <c r="V471" s="26">
        <v>263694.64</v>
      </c>
      <c r="W471" s="127">
        <f t="shared" si="96"/>
        <v>0</v>
      </c>
      <c r="X471" s="127">
        <f t="shared" si="100"/>
        <v>1</v>
      </c>
      <c r="Y471" s="127">
        <f t="shared" si="97"/>
        <v>0</v>
      </c>
      <c r="Z471" s="127">
        <f t="shared" si="98"/>
        <v>263694.64</v>
      </c>
      <c r="AA471" s="27"/>
      <c r="AB471" s="36"/>
      <c r="AC471" s="181">
        <f t="shared" si="89"/>
        <v>1</v>
      </c>
      <c r="AD471" s="181">
        <f t="shared" si="99"/>
        <v>263694.64</v>
      </c>
      <c r="AE471" s="181">
        <v>5</v>
      </c>
      <c r="AF471" s="181">
        <v>5</v>
      </c>
      <c r="AG471" s="101"/>
      <c r="AH471" s="192">
        <v>1</v>
      </c>
      <c r="AI471" s="69">
        <f t="shared" si="101"/>
        <v>1</v>
      </c>
    </row>
    <row r="472" spans="1:35" s="69" customFormat="1" ht="33" x14ac:dyDescent="0.3">
      <c r="A472" s="150" t="s">
        <v>1210</v>
      </c>
      <c r="B472" s="151" t="s">
        <v>1211</v>
      </c>
      <c r="C472" s="152" t="s">
        <v>14</v>
      </c>
      <c r="D472" s="153">
        <v>1</v>
      </c>
      <c r="E472" s="153"/>
      <c r="F472" s="153"/>
      <c r="G472" s="153"/>
      <c r="H472" s="153"/>
      <c r="I472" s="153"/>
      <c r="J472" s="153">
        <v>3143726.96</v>
      </c>
      <c r="K472" s="154" t="s">
        <v>15</v>
      </c>
      <c r="L472" s="73"/>
      <c r="M472" s="42">
        <v>1</v>
      </c>
      <c r="N472" s="42">
        <v>103191</v>
      </c>
      <c r="O472" s="42">
        <v>3068201.8600000003</v>
      </c>
      <c r="P472" s="98"/>
      <c r="Q472" s="13" t="s">
        <v>1415</v>
      </c>
      <c r="R472" s="14" t="s">
        <v>1211</v>
      </c>
      <c r="S472" s="15" t="s">
        <v>14</v>
      </c>
      <c r="T472" s="16">
        <v>1</v>
      </c>
      <c r="U472" s="16"/>
      <c r="V472" s="16">
        <f>SUMIFS(AD:AD,AE:AE,AE472)</f>
        <v>3143726.9600000004</v>
      </c>
      <c r="W472" s="16">
        <f t="shared" ref="W472:X472" si="102">IF(Y472=0,0,1)</f>
        <v>0</v>
      </c>
      <c r="X472" s="16">
        <f t="shared" si="102"/>
        <v>1</v>
      </c>
      <c r="Y472" s="16">
        <f>SUMIFS(Y:Y,AF:AF,AE472)</f>
        <v>0</v>
      </c>
      <c r="Z472" s="16">
        <f>SUMIFS(Z:Z,AF:AF,AE472)</f>
        <v>3068201.8600000003</v>
      </c>
      <c r="AA472" s="17" t="s">
        <v>15</v>
      </c>
      <c r="AB472" s="40" t="s">
        <v>16</v>
      </c>
      <c r="AC472" s="181">
        <f t="shared" si="89"/>
        <v>1</v>
      </c>
      <c r="AD472" s="183"/>
      <c r="AE472" s="183">
        <v>6</v>
      </c>
      <c r="AF472" s="183"/>
      <c r="AG472" s="101" t="str">
        <f t="shared" si="90"/>
        <v/>
      </c>
      <c r="AH472" s="190">
        <v>1</v>
      </c>
      <c r="AI472" s="69">
        <f t="shared" si="101"/>
        <v>1</v>
      </c>
    </row>
    <row r="473" spans="1:35" s="69" customFormat="1" ht="33" customHeight="1" x14ac:dyDescent="0.3">
      <c r="A473" s="130" t="s">
        <v>1212</v>
      </c>
      <c r="B473" s="131" t="s">
        <v>1213</v>
      </c>
      <c r="C473" s="132" t="s">
        <v>1014</v>
      </c>
      <c r="D473" s="133">
        <v>10</v>
      </c>
      <c r="E473" s="75"/>
      <c r="F473" s="75"/>
      <c r="G473" s="75"/>
      <c r="H473" s="75"/>
      <c r="I473" s="75">
        <v>770</v>
      </c>
      <c r="J473" s="75">
        <v>7700</v>
      </c>
      <c r="K473" s="91" t="s">
        <v>1214</v>
      </c>
      <c r="L473" s="73"/>
      <c r="M473" s="46">
        <v>10</v>
      </c>
      <c r="N473" s="46">
        <v>0</v>
      </c>
      <c r="O473" s="46">
        <v>7700</v>
      </c>
      <c r="P473" s="98"/>
      <c r="Q473" s="23" t="s">
        <v>1421</v>
      </c>
      <c r="R473" s="24" t="s">
        <v>1213</v>
      </c>
      <c r="S473" s="25" t="s">
        <v>1014</v>
      </c>
      <c r="T473" s="26">
        <v>10</v>
      </c>
      <c r="U473" s="26">
        <v>10</v>
      </c>
      <c r="V473" s="26">
        <v>770</v>
      </c>
      <c r="W473" s="127">
        <f t="shared" ref="W473:W491" si="103">AH473-M473</f>
        <v>0</v>
      </c>
      <c r="X473" s="127">
        <f t="shared" si="100"/>
        <v>10</v>
      </c>
      <c r="Y473" s="127">
        <f t="shared" ref="Y473:Y489" si="104">Z473-O473</f>
        <v>0</v>
      </c>
      <c r="Z473" s="127">
        <f t="shared" ref="Z473:Z490" si="105">ROUND(V473*X473,2)</f>
        <v>7700</v>
      </c>
      <c r="AA473" s="33" t="s">
        <v>15</v>
      </c>
      <c r="AB473" s="36" t="s">
        <v>16</v>
      </c>
      <c r="AC473" s="181">
        <f t="shared" si="89"/>
        <v>10</v>
      </c>
      <c r="AD473" s="181">
        <f t="shared" ref="AD473:AD491" si="106">ROUND(V473*AC473,2)</f>
        <v>7700</v>
      </c>
      <c r="AE473" s="181">
        <v>6</v>
      </c>
      <c r="AF473" s="181">
        <v>6</v>
      </c>
      <c r="AG473" s="101" t="str">
        <f t="shared" si="90"/>
        <v/>
      </c>
      <c r="AH473" s="190">
        <v>10</v>
      </c>
      <c r="AI473" s="69">
        <f t="shared" si="101"/>
        <v>10</v>
      </c>
    </row>
    <row r="474" spans="1:35" s="69" customFormat="1" ht="33" customHeight="1" x14ac:dyDescent="0.3">
      <c r="A474" s="130" t="s">
        <v>1215</v>
      </c>
      <c r="B474" s="131" t="s">
        <v>1216</v>
      </c>
      <c r="C474" s="132" t="s">
        <v>1217</v>
      </c>
      <c r="D474" s="133">
        <v>100</v>
      </c>
      <c r="E474" s="75"/>
      <c r="F474" s="75"/>
      <c r="G474" s="75"/>
      <c r="H474" s="75"/>
      <c r="I474" s="75">
        <v>201</v>
      </c>
      <c r="J474" s="75">
        <v>20100</v>
      </c>
      <c r="K474" s="91" t="s">
        <v>1218</v>
      </c>
      <c r="L474" s="73"/>
      <c r="M474" s="46">
        <v>100</v>
      </c>
      <c r="N474" s="46">
        <v>0</v>
      </c>
      <c r="O474" s="46">
        <v>20100</v>
      </c>
      <c r="P474" s="98"/>
      <c r="Q474" s="23" t="s">
        <v>1426</v>
      </c>
      <c r="R474" s="24" t="s">
        <v>1216</v>
      </c>
      <c r="S474" s="25" t="s">
        <v>1217</v>
      </c>
      <c r="T474" s="26">
        <v>100</v>
      </c>
      <c r="U474" s="26">
        <v>100</v>
      </c>
      <c r="V474" s="26">
        <v>201</v>
      </c>
      <c r="W474" s="127">
        <f t="shared" si="103"/>
        <v>0</v>
      </c>
      <c r="X474" s="127">
        <f t="shared" si="100"/>
        <v>100</v>
      </c>
      <c r="Y474" s="127">
        <f t="shared" si="104"/>
        <v>0</v>
      </c>
      <c r="Z474" s="127">
        <f t="shared" si="105"/>
        <v>20100</v>
      </c>
      <c r="AA474" s="33" t="s">
        <v>15</v>
      </c>
      <c r="AB474" s="36" t="s">
        <v>16</v>
      </c>
      <c r="AC474" s="181">
        <f t="shared" si="89"/>
        <v>100</v>
      </c>
      <c r="AD474" s="181">
        <f t="shared" si="106"/>
        <v>20100</v>
      </c>
      <c r="AE474" s="181">
        <v>6</v>
      </c>
      <c r="AF474" s="181">
        <v>6</v>
      </c>
      <c r="AG474" s="101" t="str">
        <f t="shared" si="90"/>
        <v/>
      </c>
      <c r="AH474" s="190">
        <v>100</v>
      </c>
      <c r="AI474" s="69">
        <f t="shared" si="101"/>
        <v>100</v>
      </c>
    </row>
    <row r="475" spans="1:35" s="69" customFormat="1" ht="39" x14ac:dyDescent="0.3">
      <c r="A475" s="130" t="s">
        <v>1219</v>
      </c>
      <c r="B475" s="131" t="s">
        <v>1220</v>
      </c>
      <c r="C475" s="132" t="s">
        <v>1221</v>
      </c>
      <c r="D475" s="133">
        <v>50</v>
      </c>
      <c r="E475" s="75"/>
      <c r="F475" s="75"/>
      <c r="G475" s="75"/>
      <c r="H475" s="75"/>
      <c r="I475" s="75">
        <v>300</v>
      </c>
      <c r="J475" s="75">
        <v>15000</v>
      </c>
      <c r="K475" s="91" t="s">
        <v>1222</v>
      </c>
      <c r="L475" s="73"/>
      <c r="M475" s="46">
        <v>50</v>
      </c>
      <c r="N475" s="46">
        <v>0</v>
      </c>
      <c r="O475" s="46">
        <v>15000</v>
      </c>
      <c r="P475" s="98"/>
      <c r="Q475" s="23" t="s">
        <v>1402</v>
      </c>
      <c r="R475" s="24" t="s">
        <v>1220</v>
      </c>
      <c r="S475" s="25" t="s">
        <v>1221</v>
      </c>
      <c r="T475" s="26">
        <v>50</v>
      </c>
      <c r="U475" s="26">
        <v>50</v>
      </c>
      <c r="V475" s="26">
        <v>300</v>
      </c>
      <c r="W475" s="127">
        <f t="shared" si="103"/>
        <v>0</v>
      </c>
      <c r="X475" s="127">
        <f t="shared" si="100"/>
        <v>50</v>
      </c>
      <c r="Y475" s="127">
        <f t="shared" si="104"/>
        <v>0</v>
      </c>
      <c r="Z475" s="127">
        <f t="shared" si="105"/>
        <v>15000</v>
      </c>
      <c r="AA475" s="33" t="s">
        <v>15</v>
      </c>
      <c r="AB475" s="36" t="s">
        <v>16</v>
      </c>
      <c r="AC475" s="181">
        <f t="shared" si="89"/>
        <v>50</v>
      </c>
      <c r="AD475" s="181">
        <f t="shared" si="106"/>
        <v>15000</v>
      </c>
      <c r="AE475" s="181">
        <v>6</v>
      </c>
      <c r="AF475" s="181">
        <v>6</v>
      </c>
      <c r="AG475" s="101" t="str">
        <f t="shared" si="90"/>
        <v/>
      </c>
      <c r="AH475" s="190">
        <v>50</v>
      </c>
      <c r="AI475" s="69">
        <f t="shared" si="101"/>
        <v>50</v>
      </c>
    </row>
    <row r="476" spans="1:35" s="69" customFormat="1" ht="33" customHeight="1" x14ac:dyDescent="0.3">
      <c r="A476" s="130" t="s">
        <v>1223</v>
      </c>
      <c r="B476" s="131" t="s">
        <v>1224</v>
      </c>
      <c r="C476" s="132" t="s">
        <v>325</v>
      </c>
      <c r="D476" s="133">
        <v>75</v>
      </c>
      <c r="E476" s="75"/>
      <c r="F476" s="75"/>
      <c r="G476" s="75"/>
      <c r="H476" s="75"/>
      <c r="I476" s="75">
        <v>650</v>
      </c>
      <c r="J476" s="75">
        <v>48750</v>
      </c>
      <c r="K476" s="91" t="s">
        <v>1225</v>
      </c>
      <c r="L476" s="73"/>
      <c r="M476" s="46">
        <v>75</v>
      </c>
      <c r="N476" s="46">
        <v>0</v>
      </c>
      <c r="O476" s="46">
        <v>48750</v>
      </c>
      <c r="P476" s="98"/>
      <c r="Q476" s="23" t="s">
        <v>1373</v>
      </c>
      <c r="R476" s="24" t="s">
        <v>1224</v>
      </c>
      <c r="S476" s="25" t="s">
        <v>325</v>
      </c>
      <c r="T476" s="26">
        <v>75</v>
      </c>
      <c r="U476" s="26">
        <v>75</v>
      </c>
      <c r="V476" s="26">
        <v>650</v>
      </c>
      <c r="W476" s="127">
        <f t="shared" si="103"/>
        <v>0</v>
      </c>
      <c r="X476" s="127">
        <f t="shared" si="100"/>
        <v>75</v>
      </c>
      <c r="Y476" s="127">
        <f t="shared" si="104"/>
        <v>0</v>
      </c>
      <c r="Z476" s="127">
        <f t="shared" si="105"/>
        <v>48750</v>
      </c>
      <c r="AA476" s="33" t="s">
        <v>15</v>
      </c>
      <c r="AB476" s="36" t="s">
        <v>16</v>
      </c>
      <c r="AC476" s="181">
        <f t="shared" si="89"/>
        <v>75</v>
      </c>
      <c r="AD476" s="181">
        <f t="shared" si="106"/>
        <v>48750</v>
      </c>
      <c r="AE476" s="181">
        <v>6</v>
      </c>
      <c r="AF476" s="181">
        <v>6</v>
      </c>
      <c r="AG476" s="101" t="str">
        <f t="shared" si="90"/>
        <v/>
      </c>
      <c r="AH476" s="190">
        <v>75</v>
      </c>
      <c r="AI476" s="69">
        <f t="shared" si="101"/>
        <v>75</v>
      </c>
    </row>
    <row r="477" spans="1:35" s="69" customFormat="1" ht="33" customHeight="1" x14ac:dyDescent="0.3">
      <c r="A477" s="130" t="s">
        <v>1226</v>
      </c>
      <c r="B477" s="131" t="s">
        <v>1227</v>
      </c>
      <c r="C477" s="132" t="s">
        <v>1228</v>
      </c>
      <c r="D477" s="133">
        <v>200</v>
      </c>
      <c r="E477" s="75"/>
      <c r="F477" s="75"/>
      <c r="G477" s="75"/>
      <c r="H477" s="75"/>
      <c r="I477" s="75">
        <v>28</v>
      </c>
      <c r="J477" s="75">
        <v>5600</v>
      </c>
      <c r="K477" s="91" t="s">
        <v>1229</v>
      </c>
      <c r="L477" s="73"/>
      <c r="M477" s="46">
        <v>200</v>
      </c>
      <c r="N477" s="46">
        <v>0</v>
      </c>
      <c r="O477" s="46">
        <v>5600</v>
      </c>
      <c r="P477" s="98"/>
      <c r="Q477" s="23" t="s">
        <v>1393</v>
      </c>
      <c r="R477" s="24" t="s">
        <v>1227</v>
      </c>
      <c r="S477" s="25" t="s">
        <v>1228</v>
      </c>
      <c r="T477" s="26">
        <v>200</v>
      </c>
      <c r="U477" s="26">
        <v>200</v>
      </c>
      <c r="V477" s="26">
        <v>28</v>
      </c>
      <c r="W477" s="127">
        <f t="shared" si="103"/>
        <v>0</v>
      </c>
      <c r="X477" s="127">
        <f t="shared" si="100"/>
        <v>200</v>
      </c>
      <c r="Y477" s="127">
        <f t="shared" si="104"/>
        <v>0</v>
      </c>
      <c r="Z477" s="127">
        <f t="shared" si="105"/>
        <v>5600</v>
      </c>
      <c r="AA477" s="33" t="s">
        <v>15</v>
      </c>
      <c r="AB477" s="36" t="s">
        <v>16</v>
      </c>
      <c r="AC477" s="181">
        <f t="shared" si="89"/>
        <v>200</v>
      </c>
      <c r="AD477" s="181">
        <f t="shared" si="106"/>
        <v>5600</v>
      </c>
      <c r="AE477" s="181">
        <v>6</v>
      </c>
      <c r="AF477" s="181">
        <v>6</v>
      </c>
      <c r="AG477" s="101" t="str">
        <f t="shared" si="90"/>
        <v/>
      </c>
      <c r="AH477" s="190">
        <v>200</v>
      </c>
      <c r="AI477" s="69">
        <f t="shared" si="101"/>
        <v>200</v>
      </c>
    </row>
    <row r="478" spans="1:35" s="69" customFormat="1" ht="33" customHeight="1" x14ac:dyDescent="0.3">
      <c r="A478" s="55" t="s">
        <v>1230</v>
      </c>
      <c r="B478" s="53" t="s">
        <v>1231</v>
      </c>
      <c r="C478" s="54" t="s">
        <v>1228</v>
      </c>
      <c r="D478" s="75">
        <v>100</v>
      </c>
      <c r="E478" s="75"/>
      <c r="F478" s="75"/>
      <c r="G478" s="75"/>
      <c r="H478" s="75"/>
      <c r="I478" s="75">
        <v>500</v>
      </c>
      <c r="J478" s="75">
        <v>50000</v>
      </c>
      <c r="K478" s="91" t="s">
        <v>1232</v>
      </c>
      <c r="L478" s="73"/>
      <c r="M478" s="46">
        <v>87</v>
      </c>
      <c r="N478" s="46">
        <v>0</v>
      </c>
      <c r="O478" s="46">
        <v>43500</v>
      </c>
      <c r="P478" s="98"/>
      <c r="Q478" s="23" t="s">
        <v>1403</v>
      </c>
      <c r="R478" s="24" t="s">
        <v>1231</v>
      </c>
      <c r="S478" s="25" t="s">
        <v>1228</v>
      </c>
      <c r="T478" s="26">
        <v>100</v>
      </c>
      <c r="U478" s="26">
        <v>100</v>
      </c>
      <c r="V478" s="26">
        <v>500</v>
      </c>
      <c r="W478" s="243">
        <f t="shared" si="103"/>
        <v>0</v>
      </c>
      <c r="X478" s="26">
        <f t="shared" si="100"/>
        <v>87</v>
      </c>
      <c r="Y478" s="26">
        <f t="shared" si="104"/>
        <v>0</v>
      </c>
      <c r="Z478" s="26">
        <f t="shared" si="105"/>
        <v>43500</v>
      </c>
      <c r="AA478" s="33" t="s">
        <v>15</v>
      </c>
      <c r="AB478" s="36" t="s">
        <v>16</v>
      </c>
      <c r="AC478" s="181">
        <f t="shared" ref="AC478:AC499" si="107">IF(U478="",T478,U478)</f>
        <v>100</v>
      </c>
      <c r="AD478" s="181">
        <f t="shared" si="106"/>
        <v>50000</v>
      </c>
      <c r="AE478" s="181">
        <v>6</v>
      </c>
      <c r="AF478" s="181">
        <v>6</v>
      </c>
      <c r="AG478" s="101" t="str">
        <f t="shared" ref="AG478:AG503" si="108">IF(X478&gt;AI478,"超估","")</f>
        <v/>
      </c>
      <c r="AH478" s="191">
        <f>62+25</f>
        <v>87</v>
      </c>
      <c r="AI478" s="69">
        <f t="shared" si="101"/>
        <v>100</v>
      </c>
    </row>
    <row r="479" spans="1:35" s="69" customFormat="1" ht="33" customHeight="1" x14ac:dyDescent="0.3">
      <c r="A479" s="55" t="s">
        <v>1233</v>
      </c>
      <c r="B479" s="53" t="s">
        <v>1234</v>
      </c>
      <c r="C479" s="54" t="s">
        <v>1235</v>
      </c>
      <c r="D479" s="75">
        <v>75</v>
      </c>
      <c r="E479" s="75"/>
      <c r="F479" s="75"/>
      <c r="G479" s="75"/>
      <c r="H479" s="75"/>
      <c r="I479" s="75">
        <v>280</v>
      </c>
      <c r="J479" s="75">
        <v>21000</v>
      </c>
      <c r="K479" s="91" t="s">
        <v>1236</v>
      </c>
      <c r="L479" s="73"/>
      <c r="M479" s="46">
        <v>53</v>
      </c>
      <c r="N479" s="46">
        <v>0</v>
      </c>
      <c r="O479" s="46">
        <v>14840</v>
      </c>
      <c r="P479" s="98"/>
      <c r="Q479" s="23" t="s">
        <v>1427</v>
      </c>
      <c r="R479" s="24" t="s">
        <v>1234</v>
      </c>
      <c r="S479" s="25" t="s">
        <v>1235</v>
      </c>
      <c r="T479" s="26">
        <v>75</v>
      </c>
      <c r="U479" s="26">
        <v>75</v>
      </c>
      <c r="V479" s="26">
        <v>280</v>
      </c>
      <c r="W479" s="243">
        <f t="shared" si="103"/>
        <v>0</v>
      </c>
      <c r="X479" s="26">
        <f t="shared" si="100"/>
        <v>53</v>
      </c>
      <c r="Y479" s="26">
        <f t="shared" si="104"/>
        <v>0</v>
      </c>
      <c r="Z479" s="26">
        <f t="shared" si="105"/>
        <v>14840</v>
      </c>
      <c r="AA479" s="33" t="s">
        <v>15</v>
      </c>
      <c r="AB479" s="36" t="s">
        <v>16</v>
      </c>
      <c r="AC479" s="181">
        <f t="shared" si="107"/>
        <v>75</v>
      </c>
      <c r="AD479" s="181">
        <f t="shared" si="106"/>
        <v>21000</v>
      </c>
      <c r="AE479" s="181">
        <v>6</v>
      </c>
      <c r="AF479" s="181">
        <v>6</v>
      </c>
      <c r="AG479" s="101" t="str">
        <f t="shared" si="108"/>
        <v/>
      </c>
      <c r="AH479" s="191">
        <f>38+15</f>
        <v>53</v>
      </c>
      <c r="AI479" s="69">
        <f t="shared" si="101"/>
        <v>75</v>
      </c>
    </row>
    <row r="480" spans="1:35" s="69" customFormat="1" ht="49.5" x14ac:dyDescent="0.3">
      <c r="A480" s="130" t="s">
        <v>1237</v>
      </c>
      <c r="B480" s="240" t="s">
        <v>1238</v>
      </c>
      <c r="C480" s="132" t="s">
        <v>1235</v>
      </c>
      <c r="D480" s="133">
        <v>50</v>
      </c>
      <c r="E480" s="75"/>
      <c r="F480" s="75"/>
      <c r="G480" s="75"/>
      <c r="H480" s="75"/>
      <c r="I480" s="75">
        <v>350</v>
      </c>
      <c r="J480" s="75">
        <v>17500</v>
      </c>
      <c r="K480" s="91" t="s">
        <v>1239</v>
      </c>
      <c r="L480" s="73"/>
      <c r="M480" s="46">
        <v>50</v>
      </c>
      <c r="N480" s="46">
        <v>0</v>
      </c>
      <c r="O480" s="46">
        <v>17500</v>
      </c>
      <c r="P480" s="98"/>
      <c r="Q480" s="23" t="s">
        <v>1428</v>
      </c>
      <c r="R480" s="24" t="s">
        <v>1238</v>
      </c>
      <c r="S480" s="25" t="s">
        <v>1235</v>
      </c>
      <c r="T480" s="26">
        <v>50</v>
      </c>
      <c r="U480" s="26">
        <v>50</v>
      </c>
      <c r="V480" s="26">
        <v>350</v>
      </c>
      <c r="W480" s="127">
        <f t="shared" si="103"/>
        <v>0</v>
      </c>
      <c r="X480" s="127">
        <f t="shared" si="100"/>
        <v>50</v>
      </c>
      <c r="Y480" s="127">
        <f t="shared" si="104"/>
        <v>0</v>
      </c>
      <c r="Z480" s="127">
        <f t="shared" si="105"/>
        <v>17500</v>
      </c>
      <c r="AA480" s="33" t="s">
        <v>15</v>
      </c>
      <c r="AB480" s="36" t="s">
        <v>16</v>
      </c>
      <c r="AC480" s="181">
        <f t="shared" si="107"/>
        <v>50</v>
      </c>
      <c r="AD480" s="181">
        <f t="shared" si="106"/>
        <v>17500</v>
      </c>
      <c r="AE480" s="181">
        <v>6</v>
      </c>
      <c r="AF480" s="181">
        <v>6</v>
      </c>
      <c r="AG480" s="101" t="str">
        <f t="shared" si="108"/>
        <v/>
      </c>
      <c r="AH480" s="190">
        <v>50</v>
      </c>
      <c r="AI480" s="69">
        <f t="shared" si="101"/>
        <v>50</v>
      </c>
    </row>
    <row r="481" spans="1:38" s="69" customFormat="1" ht="33" customHeight="1" x14ac:dyDescent="0.3">
      <c r="A481" s="130" t="s">
        <v>1240</v>
      </c>
      <c r="B481" s="131" t="s">
        <v>1241</v>
      </c>
      <c r="C481" s="132" t="s">
        <v>325</v>
      </c>
      <c r="D481" s="133">
        <v>10</v>
      </c>
      <c r="E481" s="75"/>
      <c r="F481" s="75"/>
      <c r="G481" s="75"/>
      <c r="H481" s="75"/>
      <c r="I481" s="75">
        <v>560</v>
      </c>
      <c r="J481" s="75">
        <v>5600</v>
      </c>
      <c r="K481" s="91" t="s">
        <v>1242</v>
      </c>
      <c r="L481" s="73"/>
      <c r="M481" s="46">
        <v>10</v>
      </c>
      <c r="N481" s="46">
        <v>0</v>
      </c>
      <c r="O481" s="46">
        <v>5600</v>
      </c>
      <c r="P481" s="98"/>
      <c r="Q481" s="23" t="s">
        <v>1387</v>
      </c>
      <c r="R481" s="24" t="s">
        <v>1241</v>
      </c>
      <c r="S481" s="25" t="s">
        <v>325</v>
      </c>
      <c r="T481" s="26">
        <v>10</v>
      </c>
      <c r="U481" s="26">
        <v>10</v>
      </c>
      <c r="V481" s="26">
        <v>560</v>
      </c>
      <c r="W481" s="127">
        <f t="shared" si="103"/>
        <v>0</v>
      </c>
      <c r="X481" s="127">
        <f t="shared" si="100"/>
        <v>10</v>
      </c>
      <c r="Y481" s="127">
        <f t="shared" si="104"/>
        <v>0</v>
      </c>
      <c r="Z481" s="127">
        <f t="shared" si="105"/>
        <v>5600</v>
      </c>
      <c r="AA481" s="33" t="s">
        <v>15</v>
      </c>
      <c r="AB481" s="36" t="s">
        <v>16</v>
      </c>
      <c r="AC481" s="181">
        <f t="shared" si="107"/>
        <v>10</v>
      </c>
      <c r="AD481" s="181">
        <f t="shared" si="106"/>
        <v>5600</v>
      </c>
      <c r="AE481" s="181">
        <v>6</v>
      </c>
      <c r="AF481" s="181">
        <v>6</v>
      </c>
      <c r="AG481" s="101" t="str">
        <f t="shared" si="108"/>
        <v/>
      </c>
      <c r="AH481" s="191">
        <v>10</v>
      </c>
      <c r="AI481" s="69">
        <f t="shared" si="101"/>
        <v>10</v>
      </c>
    </row>
    <row r="482" spans="1:38" s="69" customFormat="1" ht="33" customHeight="1" x14ac:dyDescent="0.3">
      <c r="A482" s="130" t="s">
        <v>1243</v>
      </c>
      <c r="B482" s="131" t="s">
        <v>1244</v>
      </c>
      <c r="C482" s="132" t="s">
        <v>162</v>
      </c>
      <c r="D482" s="133">
        <v>4</v>
      </c>
      <c r="E482" s="75"/>
      <c r="F482" s="75"/>
      <c r="G482" s="75"/>
      <c r="H482" s="75"/>
      <c r="I482" s="75">
        <v>250</v>
      </c>
      <c r="J482" s="75">
        <v>1000</v>
      </c>
      <c r="K482" s="91" t="s">
        <v>1245</v>
      </c>
      <c r="L482" s="73"/>
      <c r="M482" s="46">
        <v>4</v>
      </c>
      <c r="N482" s="46">
        <v>0</v>
      </c>
      <c r="O482" s="46">
        <v>1000</v>
      </c>
      <c r="P482" s="98"/>
      <c r="Q482" s="23" t="s">
        <v>1405</v>
      </c>
      <c r="R482" s="24" t="s">
        <v>1244</v>
      </c>
      <c r="S482" s="25" t="s">
        <v>162</v>
      </c>
      <c r="T482" s="26">
        <v>4</v>
      </c>
      <c r="U482" s="26">
        <v>4</v>
      </c>
      <c r="V482" s="26">
        <v>250</v>
      </c>
      <c r="W482" s="127">
        <f t="shared" si="103"/>
        <v>0</v>
      </c>
      <c r="X482" s="127">
        <f t="shared" si="100"/>
        <v>4</v>
      </c>
      <c r="Y482" s="127">
        <f t="shared" si="104"/>
        <v>0</v>
      </c>
      <c r="Z482" s="127">
        <f t="shared" si="105"/>
        <v>1000</v>
      </c>
      <c r="AA482" s="33" t="s">
        <v>15</v>
      </c>
      <c r="AB482" s="36" t="s">
        <v>16</v>
      </c>
      <c r="AC482" s="181">
        <f t="shared" si="107"/>
        <v>4</v>
      </c>
      <c r="AD482" s="181">
        <f t="shared" si="106"/>
        <v>1000</v>
      </c>
      <c r="AE482" s="181">
        <v>6</v>
      </c>
      <c r="AF482" s="181">
        <v>6</v>
      </c>
      <c r="AG482" s="101" t="str">
        <f t="shared" si="108"/>
        <v/>
      </c>
      <c r="AH482" s="190">
        <v>4</v>
      </c>
      <c r="AI482" s="69">
        <f t="shared" si="101"/>
        <v>4</v>
      </c>
    </row>
    <row r="483" spans="1:38" s="69" customFormat="1" ht="49.5" customHeight="1" x14ac:dyDescent="0.3">
      <c r="A483" s="130" t="s">
        <v>1246</v>
      </c>
      <c r="B483" s="240" t="s">
        <v>1247</v>
      </c>
      <c r="C483" s="132" t="s">
        <v>325</v>
      </c>
      <c r="D483" s="133">
        <v>5</v>
      </c>
      <c r="E483" s="75"/>
      <c r="F483" s="75"/>
      <c r="G483" s="75"/>
      <c r="H483" s="75"/>
      <c r="I483" s="75">
        <v>8300</v>
      </c>
      <c r="J483" s="75">
        <v>41500</v>
      </c>
      <c r="K483" s="91" t="s">
        <v>1248</v>
      </c>
      <c r="L483" s="73"/>
      <c r="M483" s="46">
        <v>5</v>
      </c>
      <c r="N483" s="46">
        <v>0</v>
      </c>
      <c r="O483" s="46">
        <v>41500</v>
      </c>
      <c r="P483" s="98"/>
      <c r="Q483" s="23" t="s">
        <v>1406</v>
      </c>
      <c r="R483" s="24" t="s">
        <v>1247</v>
      </c>
      <c r="S483" s="25" t="s">
        <v>325</v>
      </c>
      <c r="T483" s="26">
        <v>5</v>
      </c>
      <c r="U483" s="26">
        <v>5</v>
      </c>
      <c r="V483" s="26">
        <v>8300</v>
      </c>
      <c r="W483" s="127">
        <f t="shared" si="103"/>
        <v>0</v>
      </c>
      <c r="X483" s="127">
        <f t="shared" si="100"/>
        <v>5</v>
      </c>
      <c r="Y483" s="127">
        <f t="shared" si="104"/>
        <v>0</v>
      </c>
      <c r="Z483" s="127">
        <f t="shared" si="105"/>
        <v>41500</v>
      </c>
      <c r="AA483" s="33" t="s">
        <v>15</v>
      </c>
      <c r="AB483" s="36" t="s">
        <v>16</v>
      </c>
      <c r="AC483" s="181">
        <f t="shared" si="107"/>
        <v>5</v>
      </c>
      <c r="AD483" s="181">
        <f t="shared" si="106"/>
        <v>41500</v>
      </c>
      <c r="AE483" s="181">
        <v>6</v>
      </c>
      <c r="AF483" s="181">
        <v>6</v>
      </c>
      <c r="AG483" s="101" t="str">
        <f t="shared" si="108"/>
        <v/>
      </c>
      <c r="AH483" s="190">
        <v>5</v>
      </c>
      <c r="AI483" s="69">
        <f t="shared" si="101"/>
        <v>5</v>
      </c>
    </row>
    <row r="484" spans="1:38" s="69" customFormat="1" ht="33" customHeight="1" x14ac:dyDescent="0.3">
      <c r="A484" s="130" t="s">
        <v>1249</v>
      </c>
      <c r="B484" s="131" t="s">
        <v>1250</v>
      </c>
      <c r="C484" s="132" t="s">
        <v>325</v>
      </c>
      <c r="D484" s="133">
        <v>5</v>
      </c>
      <c r="E484" s="75"/>
      <c r="F484" s="75"/>
      <c r="G484" s="75"/>
      <c r="H484" s="75"/>
      <c r="I484" s="75">
        <v>1160</v>
      </c>
      <c r="J484" s="75">
        <v>5800</v>
      </c>
      <c r="K484" s="91" t="s">
        <v>1251</v>
      </c>
      <c r="L484" s="73"/>
      <c r="M484" s="46">
        <v>5</v>
      </c>
      <c r="N484" s="46">
        <v>0</v>
      </c>
      <c r="O484" s="46">
        <v>5800</v>
      </c>
      <c r="P484" s="98"/>
      <c r="Q484" s="23" t="s">
        <v>1414</v>
      </c>
      <c r="R484" s="24" t="s">
        <v>1250</v>
      </c>
      <c r="S484" s="25" t="s">
        <v>325</v>
      </c>
      <c r="T484" s="26">
        <v>5</v>
      </c>
      <c r="U484" s="26">
        <v>5</v>
      </c>
      <c r="V484" s="26">
        <v>1160</v>
      </c>
      <c r="W484" s="127">
        <f t="shared" si="103"/>
        <v>0</v>
      </c>
      <c r="X484" s="127">
        <f t="shared" si="100"/>
        <v>5</v>
      </c>
      <c r="Y484" s="127">
        <f t="shared" si="104"/>
        <v>0</v>
      </c>
      <c r="Z484" s="127">
        <f t="shared" si="105"/>
        <v>5800</v>
      </c>
      <c r="AA484" s="33" t="s">
        <v>15</v>
      </c>
      <c r="AB484" s="36" t="s">
        <v>16</v>
      </c>
      <c r="AC484" s="181">
        <f t="shared" si="107"/>
        <v>5</v>
      </c>
      <c r="AD484" s="181">
        <f t="shared" si="106"/>
        <v>5800</v>
      </c>
      <c r="AE484" s="181">
        <v>6</v>
      </c>
      <c r="AF484" s="181">
        <v>6</v>
      </c>
      <c r="AG484" s="101" t="str">
        <f t="shared" si="108"/>
        <v/>
      </c>
      <c r="AH484" s="190">
        <v>5</v>
      </c>
      <c r="AI484" s="69">
        <f t="shared" si="101"/>
        <v>5</v>
      </c>
    </row>
    <row r="485" spans="1:38" s="69" customFormat="1" ht="49.5" x14ac:dyDescent="0.3">
      <c r="A485" s="130" t="s">
        <v>1252</v>
      </c>
      <c r="B485" s="240" t="s">
        <v>1253</v>
      </c>
      <c r="C485" s="132" t="s">
        <v>325</v>
      </c>
      <c r="D485" s="133">
        <v>5</v>
      </c>
      <c r="E485" s="75"/>
      <c r="F485" s="75"/>
      <c r="G485" s="75"/>
      <c r="H485" s="75"/>
      <c r="I485" s="75">
        <v>600</v>
      </c>
      <c r="J485" s="75">
        <v>3000</v>
      </c>
      <c r="K485" s="91" t="s">
        <v>1254</v>
      </c>
      <c r="L485" s="73"/>
      <c r="M485" s="46">
        <v>5</v>
      </c>
      <c r="N485" s="46">
        <v>0</v>
      </c>
      <c r="O485" s="46">
        <v>3000</v>
      </c>
      <c r="P485" s="98"/>
      <c r="Q485" s="23" t="s">
        <v>1429</v>
      </c>
      <c r="R485" s="24" t="s">
        <v>1253</v>
      </c>
      <c r="S485" s="25" t="s">
        <v>325</v>
      </c>
      <c r="T485" s="26">
        <v>5</v>
      </c>
      <c r="U485" s="26">
        <v>5</v>
      </c>
      <c r="V485" s="26">
        <v>600</v>
      </c>
      <c r="W485" s="127">
        <f t="shared" si="103"/>
        <v>0</v>
      </c>
      <c r="X485" s="127">
        <f t="shared" si="100"/>
        <v>5</v>
      </c>
      <c r="Y485" s="127">
        <f t="shared" si="104"/>
        <v>0</v>
      </c>
      <c r="Z485" s="127">
        <f t="shared" si="105"/>
        <v>3000</v>
      </c>
      <c r="AA485" s="33" t="s">
        <v>15</v>
      </c>
      <c r="AB485" s="36" t="s">
        <v>16</v>
      </c>
      <c r="AC485" s="181">
        <f t="shared" si="107"/>
        <v>5</v>
      </c>
      <c r="AD485" s="181">
        <f t="shared" si="106"/>
        <v>3000</v>
      </c>
      <c r="AE485" s="181">
        <v>6</v>
      </c>
      <c r="AF485" s="181">
        <v>6</v>
      </c>
      <c r="AG485" s="101" t="str">
        <f t="shared" si="108"/>
        <v/>
      </c>
      <c r="AH485" s="190">
        <v>5</v>
      </c>
      <c r="AI485" s="69">
        <f t="shared" si="101"/>
        <v>5</v>
      </c>
    </row>
    <row r="486" spans="1:38" s="69" customFormat="1" ht="49.5" customHeight="1" x14ac:dyDescent="0.3">
      <c r="A486" s="130" t="s">
        <v>1255</v>
      </c>
      <c r="B486" s="240" t="s">
        <v>1256</v>
      </c>
      <c r="C486" s="132" t="s">
        <v>325</v>
      </c>
      <c r="D486" s="133">
        <v>5</v>
      </c>
      <c r="E486" s="75"/>
      <c r="F486" s="75"/>
      <c r="G486" s="75"/>
      <c r="H486" s="75"/>
      <c r="I486" s="75">
        <v>1800</v>
      </c>
      <c r="J486" s="75">
        <v>9000</v>
      </c>
      <c r="K486" s="91" t="s">
        <v>1257</v>
      </c>
      <c r="L486" s="73"/>
      <c r="M486" s="46">
        <v>5</v>
      </c>
      <c r="N486" s="46">
        <v>0</v>
      </c>
      <c r="O486" s="46">
        <v>9000</v>
      </c>
      <c r="P486" s="98"/>
      <c r="Q486" s="23" t="s">
        <v>1430</v>
      </c>
      <c r="R486" s="24" t="s">
        <v>1256</v>
      </c>
      <c r="S486" s="25" t="s">
        <v>325</v>
      </c>
      <c r="T486" s="26">
        <v>5</v>
      </c>
      <c r="U486" s="26">
        <v>5</v>
      </c>
      <c r="V486" s="26">
        <v>1800</v>
      </c>
      <c r="W486" s="127">
        <f t="shared" si="103"/>
        <v>0</v>
      </c>
      <c r="X486" s="127">
        <f t="shared" si="100"/>
        <v>5</v>
      </c>
      <c r="Y486" s="127">
        <f t="shared" si="104"/>
        <v>0</v>
      </c>
      <c r="Z486" s="127">
        <f t="shared" si="105"/>
        <v>9000</v>
      </c>
      <c r="AA486" s="33" t="s">
        <v>15</v>
      </c>
      <c r="AB486" s="36" t="s">
        <v>16</v>
      </c>
      <c r="AC486" s="181">
        <f t="shared" si="107"/>
        <v>5</v>
      </c>
      <c r="AD486" s="181">
        <f t="shared" si="106"/>
        <v>9000</v>
      </c>
      <c r="AE486" s="181">
        <v>6</v>
      </c>
      <c r="AF486" s="181">
        <v>6</v>
      </c>
      <c r="AG486" s="101" t="str">
        <f t="shared" si="108"/>
        <v/>
      </c>
      <c r="AH486" s="190">
        <v>5</v>
      </c>
      <c r="AI486" s="69">
        <f t="shared" si="101"/>
        <v>5</v>
      </c>
    </row>
    <row r="487" spans="1:38" s="69" customFormat="1" ht="39" x14ac:dyDescent="0.3">
      <c r="A487" s="55" t="s">
        <v>1258</v>
      </c>
      <c r="B487" s="53" t="s">
        <v>1259</v>
      </c>
      <c r="C487" s="54" t="s">
        <v>325</v>
      </c>
      <c r="D487" s="75">
        <v>80</v>
      </c>
      <c r="E487" s="75"/>
      <c r="F487" s="75"/>
      <c r="G487" s="75"/>
      <c r="H487" s="75"/>
      <c r="I487" s="75">
        <v>2200</v>
      </c>
      <c r="J487" s="75">
        <v>176000</v>
      </c>
      <c r="K487" s="91" t="s">
        <v>1260</v>
      </c>
      <c r="L487" s="73"/>
      <c r="M487" s="46">
        <v>70</v>
      </c>
      <c r="N487" s="46">
        <v>0</v>
      </c>
      <c r="O487" s="46">
        <v>154000</v>
      </c>
      <c r="P487" s="98"/>
      <c r="Q487" s="23" t="s">
        <v>1431</v>
      </c>
      <c r="R487" s="24" t="s">
        <v>1259</v>
      </c>
      <c r="S487" s="25" t="s">
        <v>325</v>
      </c>
      <c r="T487" s="26">
        <v>80</v>
      </c>
      <c r="U487" s="26">
        <v>80</v>
      </c>
      <c r="V487" s="26">
        <v>2200</v>
      </c>
      <c r="W487" s="243">
        <f t="shared" si="103"/>
        <v>0</v>
      </c>
      <c r="X487" s="26">
        <f t="shared" si="100"/>
        <v>70</v>
      </c>
      <c r="Y487" s="26">
        <f t="shared" si="104"/>
        <v>0</v>
      </c>
      <c r="Z487" s="26">
        <f t="shared" si="105"/>
        <v>154000</v>
      </c>
      <c r="AA487" s="33" t="s">
        <v>15</v>
      </c>
      <c r="AB487" s="36" t="s">
        <v>16</v>
      </c>
      <c r="AC487" s="181">
        <f t="shared" si="107"/>
        <v>80</v>
      </c>
      <c r="AD487" s="181">
        <f t="shared" si="106"/>
        <v>176000</v>
      </c>
      <c r="AE487" s="181">
        <v>6</v>
      </c>
      <c r="AF487" s="181">
        <v>6</v>
      </c>
      <c r="AG487" s="101" t="str">
        <f t="shared" si="108"/>
        <v/>
      </c>
      <c r="AH487" s="191">
        <f>65+5</f>
        <v>70</v>
      </c>
      <c r="AI487" s="69">
        <f t="shared" si="101"/>
        <v>80</v>
      </c>
    </row>
    <row r="488" spans="1:38" s="69" customFormat="1" ht="42" x14ac:dyDescent="0.3">
      <c r="A488" s="130" t="s">
        <v>1261</v>
      </c>
      <c r="B488" s="131" t="s">
        <v>1262</v>
      </c>
      <c r="C488" s="132" t="s">
        <v>14</v>
      </c>
      <c r="D488" s="133">
        <v>1</v>
      </c>
      <c r="E488" s="75"/>
      <c r="F488" s="75"/>
      <c r="G488" s="75"/>
      <c r="H488" s="75"/>
      <c r="I488" s="75">
        <v>261478.99</v>
      </c>
      <c r="J488" s="75">
        <v>261478.99</v>
      </c>
      <c r="K488" s="91" t="s">
        <v>1263</v>
      </c>
      <c r="L488" s="73"/>
      <c r="M488" s="46">
        <v>1</v>
      </c>
      <c r="N488" s="46">
        <v>0</v>
      </c>
      <c r="O488" s="46">
        <v>261478.99</v>
      </c>
      <c r="P488" s="98"/>
      <c r="Q488" s="23" t="s">
        <v>1395</v>
      </c>
      <c r="R488" s="24" t="s">
        <v>1262</v>
      </c>
      <c r="S488" s="25" t="s">
        <v>14</v>
      </c>
      <c r="T488" s="26">
        <v>1</v>
      </c>
      <c r="U488" s="26">
        <v>1</v>
      </c>
      <c r="V488" s="26">
        <v>261478.99</v>
      </c>
      <c r="W488" s="127">
        <f t="shared" si="103"/>
        <v>0</v>
      </c>
      <c r="X488" s="127">
        <f t="shared" si="100"/>
        <v>1</v>
      </c>
      <c r="Y488" s="127">
        <f t="shared" si="104"/>
        <v>0</v>
      </c>
      <c r="Z488" s="127">
        <f t="shared" si="105"/>
        <v>261478.99</v>
      </c>
      <c r="AA488" s="33" t="s">
        <v>1499</v>
      </c>
      <c r="AB488" s="36" t="s">
        <v>16</v>
      </c>
      <c r="AC488" s="181">
        <f t="shared" si="107"/>
        <v>1</v>
      </c>
      <c r="AD488" s="181">
        <f t="shared" si="106"/>
        <v>261478.99</v>
      </c>
      <c r="AE488" s="181">
        <v>6</v>
      </c>
      <c r="AF488" s="181">
        <v>6</v>
      </c>
      <c r="AG488" s="101" t="str">
        <f t="shared" si="108"/>
        <v/>
      </c>
      <c r="AH488" s="190">
        <v>1</v>
      </c>
      <c r="AI488" s="69">
        <f t="shared" si="101"/>
        <v>1</v>
      </c>
    </row>
    <row r="489" spans="1:38" s="69" customFormat="1" ht="39" x14ac:dyDescent="0.3">
      <c r="A489" s="55" t="s">
        <v>1264</v>
      </c>
      <c r="B489" s="53" t="s">
        <v>1265</v>
      </c>
      <c r="C489" s="54" t="s">
        <v>30</v>
      </c>
      <c r="D489" s="75">
        <v>5000</v>
      </c>
      <c r="E489" s="75"/>
      <c r="F489" s="75"/>
      <c r="G489" s="75"/>
      <c r="H489" s="75"/>
      <c r="I489" s="75">
        <v>13</v>
      </c>
      <c r="J489" s="75">
        <v>65000</v>
      </c>
      <c r="K489" s="91" t="s">
        <v>1266</v>
      </c>
      <c r="L489" s="73"/>
      <c r="M489" s="46">
        <v>3140</v>
      </c>
      <c r="N489" s="46">
        <v>8255</v>
      </c>
      <c r="O489" s="46">
        <v>40820</v>
      </c>
      <c r="P489" s="98"/>
      <c r="Q489" s="23" t="s">
        <v>1432</v>
      </c>
      <c r="R489" s="24" t="s">
        <v>1265</v>
      </c>
      <c r="S489" s="25" t="s">
        <v>30</v>
      </c>
      <c r="T489" s="26">
        <v>5000</v>
      </c>
      <c r="U489" s="26">
        <v>5000</v>
      </c>
      <c r="V489" s="26">
        <v>13</v>
      </c>
      <c r="W489" s="243">
        <f t="shared" si="103"/>
        <v>0</v>
      </c>
      <c r="X489" s="26">
        <f t="shared" si="100"/>
        <v>3140</v>
      </c>
      <c r="Y489" s="26">
        <f t="shared" si="104"/>
        <v>0</v>
      </c>
      <c r="Z489" s="26">
        <f t="shared" si="105"/>
        <v>40820</v>
      </c>
      <c r="AA489" s="33" t="s">
        <v>15</v>
      </c>
      <c r="AB489" s="36" t="s">
        <v>16</v>
      </c>
      <c r="AC489" s="181">
        <f t="shared" si="107"/>
        <v>5000</v>
      </c>
      <c r="AD489" s="181">
        <f t="shared" si="106"/>
        <v>65000</v>
      </c>
      <c r="AE489" s="181">
        <v>6</v>
      </c>
      <c r="AF489" s="181">
        <v>6</v>
      </c>
      <c r="AG489" s="101" t="str">
        <f t="shared" si="108"/>
        <v/>
      </c>
      <c r="AH489" s="191">
        <f>1250+1255+635</f>
        <v>3140</v>
      </c>
      <c r="AI489" s="69">
        <f t="shared" si="101"/>
        <v>5000</v>
      </c>
    </row>
    <row r="490" spans="1:38" s="69" customFormat="1" ht="39" x14ac:dyDescent="0.3">
      <c r="A490" s="55" t="s">
        <v>1267</v>
      </c>
      <c r="B490" s="53" t="s">
        <v>1268</v>
      </c>
      <c r="C490" s="54" t="s">
        <v>1269</v>
      </c>
      <c r="D490" s="75">
        <v>48</v>
      </c>
      <c r="E490" s="75"/>
      <c r="F490" s="75"/>
      <c r="G490" s="75"/>
      <c r="H490" s="75"/>
      <c r="I490" s="75">
        <v>47468</v>
      </c>
      <c r="J490" s="75">
        <v>2278464</v>
      </c>
      <c r="K490" s="91" t="s">
        <v>1270</v>
      </c>
      <c r="L490" s="73"/>
      <c r="M490" s="46">
        <v>48</v>
      </c>
      <c r="N490" s="46">
        <v>94936</v>
      </c>
      <c r="O490" s="46">
        <v>2278464</v>
      </c>
      <c r="P490" s="98"/>
      <c r="Q490" s="23" t="s">
        <v>1433</v>
      </c>
      <c r="R490" s="24" t="s">
        <v>1268</v>
      </c>
      <c r="S490" s="25" t="s">
        <v>1269</v>
      </c>
      <c r="T490" s="26">
        <v>48</v>
      </c>
      <c r="U490" s="26">
        <v>48</v>
      </c>
      <c r="V490" s="26">
        <v>47468</v>
      </c>
      <c r="W490" s="250">
        <f t="shared" si="103"/>
        <v>0</v>
      </c>
      <c r="X490" s="26">
        <f t="shared" si="100"/>
        <v>48</v>
      </c>
      <c r="Y490" s="26">
        <f>Z490-O490</f>
        <v>0</v>
      </c>
      <c r="Z490" s="26">
        <f t="shared" si="105"/>
        <v>2278464</v>
      </c>
      <c r="AA490" s="33" t="s">
        <v>15</v>
      </c>
      <c r="AB490" s="36" t="s">
        <v>16</v>
      </c>
      <c r="AC490" s="181">
        <f t="shared" si="107"/>
        <v>48</v>
      </c>
      <c r="AD490" s="181">
        <f t="shared" si="106"/>
        <v>2278464</v>
      </c>
      <c r="AE490" s="181">
        <v>6</v>
      </c>
      <c r="AF490" s="181">
        <v>6</v>
      </c>
      <c r="AG490" s="101" t="str">
        <f t="shared" si="108"/>
        <v/>
      </c>
      <c r="AH490" s="191">
        <f>39+1+2+2+2+2</f>
        <v>48</v>
      </c>
      <c r="AI490" s="69">
        <f t="shared" si="101"/>
        <v>48</v>
      </c>
    </row>
    <row r="491" spans="1:38" s="69" customFormat="1" ht="39" x14ac:dyDescent="0.3">
      <c r="A491" s="55" t="s">
        <v>1271</v>
      </c>
      <c r="B491" s="53" t="s">
        <v>1272</v>
      </c>
      <c r="C491" s="54" t="s">
        <v>14</v>
      </c>
      <c r="D491" s="75">
        <v>1</v>
      </c>
      <c r="E491" s="75"/>
      <c r="F491" s="75"/>
      <c r="G491" s="75"/>
      <c r="H491" s="75"/>
      <c r="I491" s="75">
        <v>111233.97</v>
      </c>
      <c r="J491" s="75">
        <v>111233.97</v>
      </c>
      <c r="K491" s="91" t="s">
        <v>1273</v>
      </c>
      <c r="L491" s="73"/>
      <c r="M491" s="46">
        <v>0.85000000000000009</v>
      </c>
      <c r="N491" s="46">
        <v>0</v>
      </c>
      <c r="O491" s="46">
        <v>94548.87</v>
      </c>
      <c r="P491" s="98"/>
      <c r="Q491" s="23" t="s">
        <v>1382</v>
      </c>
      <c r="R491" s="24" t="s">
        <v>1272</v>
      </c>
      <c r="S491" s="25" t="s">
        <v>14</v>
      </c>
      <c r="T491" s="26">
        <v>1</v>
      </c>
      <c r="U491" s="26">
        <v>1</v>
      </c>
      <c r="V491" s="26">
        <v>111233.97</v>
      </c>
      <c r="W491" s="243">
        <f t="shared" si="103"/>
        <v>0</v>
      </c>
      <c r="X491" s="26">
        <f t="shared" si="100"/>
        <v>0.85000000000000009</v>
      </c>
      <c r="Y491" s="136">
        <f>Z491-O491</f>
        <v>0</v>
      </c>
      <c r="Z491" s="26">
        <f>ROUND(V491*X491,2)</f>
        <v>94548.87</v>
      </c>
      <c r="AA491" s="33" t="s">
        <v>15</v>
      </c>
      <c r="AB491" s="36" t="s">
        <v>16</v>
      </c>
      <c r="AC491" s="181">
        <f t="shared" si="107"/>
        <v>1</v>
      </c>
      <c r="AD491" s="181">
        <f t="shared" si="106"/>
        <v>111233.97</v>
      </c>
      <c r="AE491" s="181">
        <v>6</v>
      </c>
      <c r="AF491" s="181">
        <v>6</v>
      </c>
      <c r="AG491" s="101" t="str">
        <f t="shared" si="108"/>
        <v/>
      </c>
      <c r="AH491" s="191">
        <f>0.8+0.05</f>
        <v>0.85000000000000009</v>
      </c>
      <c r="AI491" s="69">
        <f t="shared" si="101"/>
        <v>1</v>
      </c>
      <c r="AL491" s="69">
        <f>O491/Z491</f>
        <v>1</v>
      </c>
    </row>
    <row r="492" spans="1:38" s="69" customFormat="1" ht="33" x14ac:dyDescent="0.3">
      <c r="A492" s="85" t="s">
        <v>1274</v>
      </c>
      <c r="B492" s="86" t="s">
        <v>1275</v>
      </c>
      <c r="C492" s="87" t="s">
        <v>14</v>
      </c>
      <c r="D492" s="88">
        <v>1</v>
      </c>
      <c r="E492" s="88"/>
      <c r="F492" s="88"/>
      <c r="G492" s="88"/>
      <c r="H492" s="88"/>
      <c r="I492" s="88"/>
      <c r="J492" s="88">
        <v>2884379.96</v>
      </c>
      <c r="K492" s="95" t="s">
        <v>15</v>
      </c>
      <c r="L492" s="73"/>
      <c r="M492" s="42">
        <v>1</v>
      </c>
      <c r="N492" s="42">
        <v>94936</v>
      </c>
      <c r="O492" s="42">
        <v>2793492.57</v>
      </c>
      <c r="P492" s="98"/>
      <c r="Q492" s="13" t="s">
        <v>1416</v>
      </c>
      <c r="R492" s="14" t="s">
        <v>1275</v>
      </c>
      <c r="S492" s="15" t="s">
        <v>14</v>
      </c>
      <c r="T492" s="16">
        <v>1</v>
      </c>
      <c r="U492" s="16"/>
      <c r="V492" s="16">
        <f>SUMIFS(AD:AD,AE:AE,AE492)</f>
        <v>2884379.96</v>
      </c>
      <c r="W492" s="16">
        <f t="shared" ref="W492:X492" si="109">IF(Y492=0,0,1)</f>
        <v>0</v>
      </c>
      <c r="X492" s="16">
        <f t="shared" si="109"/>
        <v>1</v>
      </c>
      <c r="Y492" s="16">
        <f>SUMIFS(Y:Y,AF:AF,AE492)</f>
        <v>0</v>
      </c>
      <c r="Z492" s="16">
        <f>SUMIFS(Z:Z,AF:AF,AE492)</f>
        <v>2793492.57</v>
      </c>
      <c r="AA492" s="17" t="s">
        <v>15</v>
      </c>
      <c r="AB492" s="40" t="s">
        <v>16</v>
      </c>
      <c r="AC492" s="181">
        <f t="shared" si="107"/>
        <v>1</v>
      </c>
      <c r="AD492" s="183"/>
      <c r="AE492" s="183">
        <v>7</v>
      </c>
      <c r="AF492" s="183"/>
      <c r="AG492" s="101" t="str">
        <f t="shared" si="108"/>
        <v/>
      </c>
      <c r="AH492" s="190">
        <v>1</v>
      </c>
      <c r="AI492" s="69">
        <f t="shared" si="101"/>
        <v>1</v>
      </c>
    </row>
    <row r="493" spans="1:38" s="69" customFormat="1" ht="39" x14ac:dyDescent="0.3">
      <c r="A493" s="55" t="s">
        <v>1276</v>
      </c>
      <c r="B493" s="53" t="s">
        <v>1277</v>
      </c>
      <c r="C493" s="54" t="s">
        <v>1269</v>
      </c>
      <c r="D493" s="75">
        <v>48</v>
      </c>
      <c r="E493" s="75"/>
      <c r="F493" s="75"/>
      <c r="G493" s="75"/>
      <c r="H493" s="75"/>
      <c r="I493" s="75">
        <v>47468</v>
      </c>
      <c r="J493" s="75">
        <v>2278464</v>
      </c>
      <c r="K493" s="91" t="s">
        <v>1278</v>
      </c>
      <c r="L493" s="73"/>
      <c r="M493" s="46">
        <v>48</v>
      </c>
      <c r="N493" s="46">
        <v>94936</v>
      </c>
      <c r="O493" s="46">
        <v>2278464</v>
      </c>
      <c r="P493" s="98"/>
      <c r="Q493" s="23" t="s">
        <v>1421</v>
      </c>
      <c r="R493" s="24" t="s">
        <v>1277</v>
      </c>
      <c r="S493" s="25" t="s">
        <v>1269</v>
      </c>
      <c r="T493" s="26">
        <v>48</v>
      </c>
      <c r="U493" s="26">
        <v>48</v>
      </c>
      <c r="V493" s="26">
        <v>47468</v>
      </c>
      <c r="W493" s="250">
        <f t="shared" ref="W493:W494" si="110">AH493-M493</f>
        <v>0</v>
      </c>
      <c r="X493" s="26">
        <f t="shared" si="100"/>
        <v>48</v>
      </c>
      <c r="Y493" s="26">
        <f>Z493-O493</f>
        <v>0</v>
      </c>
      <c r="Z493" s="26">
        <f t="shared" ref="Z493:Z494" si="111">ROUND(V493*X493,2)</f>
        <v>2278464</v>
      </c>
      <c r="AA493" s="33" t="s">
        <v>15</v>
      </c>
      <c r="AB493" s="36" t="s">
        <v>16</v>
      </c>
      <c r="AC493" s="181">
        <f t="shared" si="107"/>
        <v>48</v>
      </c>
      <c r="AD493" s="181">
        <f t="shared" ref="AD493:AD494" si="112">ROUND(V493*AC493,2)</f>
        <v>2278464</v>
      </c>
      <c r="AE493" s="181">
        <v>7</v>
      </c>
      <c r="AF493" s="181">
        <v>7</v>
      </c>
      <c r="AG493" s="101" t="str">
        <f t="shared" si="108"/>
        <v/>
      </c>
      <c r="AH493" s="191">
        <f>39+1+2+2+2+2</f>
        <v>48</v>
      </c>
      <c r="AI493" s="69">
        <f t="shared" si="101"/>
        <v>48</v>
      </c>
    </row>
    <row r="494" spans="1:38" s="69" customFormat="1" ht="33" x14ac:dyDescent="0.3">
      <c r="A494" s="55" t="s">
        <v>1279</v>
      </c>
      <c r="B494" s="53" t="s">
        <v>1280</v>
      </c>
      <c r="C494" s="54" t="s">
        <v>14</v>
      </c>
      <c r="D494" s="75">
        <v>1</v>
      </c>
      <c r="E494" s="75"/>
      <c r="F494" s="75"/>
      <c r="G494" s="75"/>
      <c r="H494" s="75"/>
      <c r="I494" s="75">
        <v>605915.96</v>
      </c>
      <c r="J494" s="75">
        <v>605915.96</v>
      </c>
      <c r="K494" s="91" t="s">
        <v>1281</v>
      </c>
      <c r="L494" s="73"/>
      <c r="M494" s="46">
        <v>0.85000000000000009</v>
      </c>
      <c r="N494" s="46">
        <v>0</v>
      </c>
      <c r="O494" s="46">
        <v>515028.57</v>
      </c>
      <c r="P494" s="98"/>
      <c r="Q494" s="23" t="s">
        <v>1426</v>
      </c>
      <c r="R494" s="24" t="s">
        <v>1280</v>
      </c>
      <c r="S494" s="25" t="s">
        <v>14</v>
      </c>
      <c r="T494" s="26">
        <v>1</v>
      </c>
      <c r="U494" s="26">
        <v>1</v>
      </c>
      <c r="V494" s="26">
        <v>605915.96</v>
      </c>
      <c r="W494" s="243">
        <f t="shared" si="110"/>
        <v>0</v>
      </c>
      <c r="X494" s="26">
        <f t="shared" si="100"/>
        <v>0.85000000000000009</v>
      </c>
      <c r="Y494" s="136">
        <f>Z494-O494</f>
        <v>0</v>
      </c>
      <c r="Z494" s="26">
        <f t="shared" si="111"/>
        <v>515028.57</v>
      </c>
      <c r="AA494" s="33" t="s">
        <v>15</v>
      </c>
      <c r="AB494" s="36" t="s">
        <v>16</v>
      </c>
      <c r="AC494" s="181">
        <f t="shared" si="107"/>
        <v>1</v>
      </c>
      <c r="AD494" s="181">
        <f t="shared" si="112"/>
        <v>605915.96</v>
      </c>
      <c r="AE494" s="181">
        <v>7</v>
      </c>
      <c r="AF494" s="181">
        <v>7</v>
      </c>
      <c r="AG494" s="101" t="str">
        <f t="shared" si="108"/>
        <v/>
      </c>
      <c r="AH494" s="191">
        <f>0.8+0.05</f>
        <v>0.85000000000000009</v>
      </c>
      <c r="AI494" s="69">
        <f t="shared" si="101"/>
        <v>1</v>
      </c>
      <c r="AL494" s="69">
        <f>O494/Z494</f>
        <v>1</v>
      </c>
    </row>
    <row r="495" spans="1:38" s="69" customFormat="1" ht="63" x14ac:dyDescent="0.3">
      <c r="A495" s="85" t="s">
        <v>1282</v>
      </c>
      <c r="B495" s="86" t="s">
        <v>1283</v>
      </c>
      <c r="C495" s="87" t="s">
        <v>14</v>
      </c>
      <c r="D495" s="88">
        <v>1</v>
      </c>
      <c r="E495" s="88"/>
      <c r="F495" s="88"/>
      <c r="G495" s="88"/>
      <c r="H495" s="88"/>
      <c r="I495" s="88"/>
      <c r="J495" s="88">
        <v>37525596.329999998</v>
      </c>
      <c r="K495" s="95" t="s">
        <v>1284</v>
      </c>
      <c r="L495" s="73"/>
      <c r="M495" s="42">
        <v>1</v>
      </c>
      <c r="N495" s="42">
        <v>816209.01999998093</v>
      </c>
      <c r="O495" s="42">
        <v>32698876</v>
      </c>
      <c r="P495" s="98"/>
      <c r="Q495" s="28" t="s">
        <v>1417</v>
      </c>
      <c r="R495" s="29" t="s">
        <v>1283</v>
      </c>
      <c r="S495" s="30" t="s">
        <v>14</v>
      </c>
      <c r="T495" s="31">
        <v>1</v>
      </c>
      <c r="U495" s="31"/>
      <c r="V495" s="31">
        <v>37525596.329999998</v>
      </c>
      <c r="W495" s="31">
        <f t="shared" ref="W495:X496" si="113">IF(Y495=0,0,1)</f>
        <v>1</v>
      </c>
      <c r="X495" s="31">
        <f t="shared" si="113"/>
        <v>1</v>
      </c>
      <c r="Y495" s="31">
        <f>Z495-O495</f>
        <v>702590.18999997526</v>
      </c>
      <c r="Z495" s="31">
        <f>Z7-Z8-Z377-Z407-Z447-Z451-Z472-Z492-Z496-Z498</f>
        <v>33401466.189999975</v>
      </c>
      <c r="AA495" s="32" t="s">
        <v>1418</v>
      </c>
      <c r="AB495" s="40" t="s">
        <v>16</v>
      </c>
      <c r="AC495" s="181">
        <f t="shared" si="107"/>
        <v>1</v>
      </c>
      <c r="AD495" s="183"/>
      <c r="AE495" s="183">
        <v>8</v>
      </c>
      <c r="AF495" s="183"/>
      <c r="AG495" s="101" t="str">
        <f t="shared" si="108"/>
        <v/>
      </c>
      <c r="AH495" s="190">
        <v>1</v>
      </c>
      <c r="AI495" s="69">
        <f t="shared" si="101"/>
        <v>1</v>
      </c>
    </row>
    <row r="496" spans="1:38" s="69" customFormat="1" ht="157.5" x14ac:dyDescent="0.3">
      <c r="A496" s="85" t="s">
        <v>1285</v>
      </c>
      <c r="B496" s="86" t="s">
        <v>1286</v>
      </c>
      <c r="C496" s="87" t="s">
        <v>14</v>
      </c>
      <c r="D496" s="88">
        <v>1</v>
      </c>
      <c r="E496" s="88"/>
      <c r="F496" s="88"/>
      <c r="G496" s="88"/>
      <c r="H496" s="88"/>
      <c r="I496" s="88"/>
      <c r="J496" s="88">
        <v>3336000</v>
      </c>
      <c r="K496" s="95" t="s">
        <v>1287</v>
      </c>
      <c r="L496" s="73"/>
      <c r="M496" s="42">
        <v>1</v>
      </c>
      <c r="N496" s="42">
        <v>0</v>
      </c>
      <c r="O496" s="42">
        <v>3335100</v>
      </c>
      <c r="P496" s="98"/>
      <c r="Q496" s="13" t="s">
        <v>1419</v>
      </c>
      <c r="R496" s="14" t="s">
        <v>1286</v>
      </c>
      <c r="S496" s="15" t="s">
        <v>14</v>
      </c>
      <c r="T496" s="16">
        <v>1</v>
      </c>
      <c r="U496" s="16"/>
      <c r="V496" s="16">
        <f>SUMIFS(AD:AD,AE:AE,AE496)</f>
        <v>3336000</v>
      </c>
      <c r="W496" s="16">
        <f t="shared" si="113"/>
        <v>0</v>
      </c>
      <c r="X496" s="16">
        <f t="shared" si="113"/>
        <v>1</v>
      </c>
      <c r="Y496" s="16">
        <f>SUMIFS(Y:Y,AF:AF,AE496)</f>
        <v>0</v>
      </c>
      <c r="Z496" s="16">
        <f>SUMIFS(Z:Z,AF:AF,AE496)</f>
        <v>3335100</v>
      </c>
      <c r="AA496" s="17" t="s">
        <v>1287</v>
      </c>
      <c r="AB496" s="40" t="s">
        <v>16</v>
      </c>
      <c r="AC496" s="181">
        <f t="shared" si="107"/>
        <v>1</v>
      </c>
      <c r="AD496" s="183"/>
      <c r="AE496" s="183">
        <v>9</v>
      </c>
      <c r="AF496" s="183"/>
      <c r="AG496" s="101" t="str">
        <f t="shared" si="108"/>
        <v/>
      </c>
      <c r="AH496" s="190">
        <v>1</v>
      </c>
      <c r="AI496" s="69">
        <f t="shared" si="101"/>
        <v>1</v>
      </c>
    </row>
    <row r="497" spans="1:35" s="69" customFormat="1" ht="33" x14ac:dyDescent="0.3">
      <c r="A497" s="55" t="s">
        <v>1288</v>
      </c>
      <c r="B497" s="53" t="s">
        <v>1286</v>
      </c>
      <c r="C497" s="54" t="s">
        <v>23</v>
      </c>
      <c r="D497" s="75">
        <v>22240</v>
      </c>
      <c r="E497" s="75"/>
      <c r="F497" s="75"/>
      <c r="G497" s="75"/>
      <c r="H497" s="75"/>
      <c r="I497" s="75">
        <v>150</v>
      </c>
      <c r="J497" s="75">
        <v>3336000</v>
      </c>
      <c r="K497" s="91" t="s">
        <v>1289</v>
      </c>
      <c r="L497" s="73"/>
      <c r="M497" s="46">
        <v>22234</v>
      </c>
      <c r="N497" s="46">
        <v>0</v>
      </c>
      <c r="O497" s="46">
        <v>3335100</v>
      </c>
      <c r="P497" s="98"/>
      <c r="Q497" s="23" t="s">
        <v>1421</v>
      </c>
      <c r="R497" s="24" t="s">
        <v>1286</v>
      </c>
      <c r="S497" s="25" t="s">
        <v>23</v>
      </c>
      <c r="T497" s="26">
        <v>22240</v>
      </c>
      <c r="U497" s="26">
        <v>22240</v>
      </c>
      <c r="V497" s="26">
        <v>150</v>
      </c>
      <c r="W497" s="103">
        <f t="shared" ref="W497" si="114">AH497-M497</f>
        <v>0</v>
      </c>
      <c r="X497" s="26">
        <f t="shared" ref="X497" si="115">W497+M497</f>
        <v>22234</v>
      </c>
      <c r="Y497" s="26">
        <f>Z497-O497</f>
        <v>0</v>
      </c>
      <c r="Z497" s="26">
        <f>ROUND(V497*X497,2)</f>
        <v>3335100</v>
      </c>
      <c r="AA497" s="33" t="s">
        <v>15</v>
      </c>
      <c r="AB497" s="36" t="s">
        <v>16</v>
      </c>
      <c r="AC497" s="181">
        <f t="shared" si="107"/>
        <v>22240</v>
      </c>
      <c r="AD497" s="181">
        <f t="shared" ref="AD497" si="116">ROUND(V497*AC497,2)</f>
        <v>3336000</v>
      </c>
      <c r="AE497" s="181">
        <v>9</v>
      </c>
      <c r="AF497" s="181">
        <v>9</v>
      </c>
      <c r="AG497" s="101" t="str">
        <f t="shared" si="108"/>
        <v/>
      </c>
      <c r="AH497" s="190">
        <v>22234</v>
      </c>
      <c r="AI497" s="69">
        <f t="shared" si="101"/>
        <v>22240</v>
      </c>
    </row>
    <row r="498" spans="1:35" s="69" customFormat="1" ht="178.5" x14ac:dyDescent="0.3">
      <c r="A498" s="85" t="s">
        <v>1290</v>
      </c>
      <c r="B498" s="86" t="s">
        <v>1291</v>
      </c>
      <c r="C498" s="87" t="s">
        <v>14</v>
      </c>
      <c r="D498" s="88">
        <v>1</v>
      </c>
      <c r="E498" s="88"/>
      <c r="F498" s="88"/>
      <c r="G498" s="88"/>
      <c r="H498" s="88"/>
      <c r="I498" s="88"/>
      <c r="J498" s="88">
        <v>212800</v>
      </c>
      <c r="K498" s="95" t="s">
        <v>1292</v>
      </c>
      <c r="L498" s="73"/>
      <c r="M498" s="42">
        <v>1</v>
      </c>
      <c r="N498" s="42">
        <v>0</v>
      </c>
      <c r="O498" s="42">
        <v>212800</v>
      </c>
      <c r="P498" s="98"/>
      <c r="Q498" s="13" t="s">
        <v>1420</v>
      </c>
      <c r="R498" s="14" t="s">
        <v>1291</v>
      </c>
      <c r="S498" s="15" t="s">
        <v>14</v>
      </c>
      <c r="T498" s="16">
        <v>1</v>
      </c>
      <c r="U498" s="16"/>
      <c r="V498" s="16">
        <f>SUMIFS(AD:AD,AE:AE,AE498)</f>
        <v>212800</v>
      </c>
      <c r="W498" s="16">
        <f t="shared" ref="W498:X498" si="117">IF(Y498=0,0,1)</f>
        <v>0</v>
      </c>
      <c r="X498" s="16">
        <f t="shared" si="117"/>
        <v>1</v>
      </c>
      <c r="Y498" s="16">
        <f>SUMIFS(Y:Y,AF:AF,AE498)</f>
        <v>0</v>
      </c>
      <c r="Z498" s="16">
        <f>SUMIFS(Z:Z,AF:AF,AE498)</f>
        <v>212800</v>
      </c>
      <c r="AA498" s="17" t="s">
        <v>1292</v>
      </c>
      <c r="AB498" s="40" t="s">
        <v>16</v>
      </c>
      <c r="AC498" s="181">
        <f t="shared" si="107"/>
        <v>1</v>
      </c>
      <c r="AD498" s="183"/>
      <c r="AE498" s="183">
        <v>10</v>
      </c>
      <c r="AF498" s="183"/>
      <c r="AG498" s="101" t="str">
        <f t="shared" si="108"/>
        <v/>
      </c>
      <c r="AH498" s="190">
        <v>1</v>
      </c>
      <c r="AI498" s="69">
        <f t="shared" si="101"/>
        <v>1</v>
      </c>
    </row>
    <row r="499" spans="1:35" s="69" customFormat="1" ht="33" x14ac:dyDescent="0.3">
      <c r="A499" s="55" t="s">
        <v>1293</v>
      </c>
      <c r="B499" s="53" t="s">
        <v>1294</v>
      </c>
      <c r="C499" s="54" t="s">
        <v>50</v>
      </c>
      <c r="D499" s="75">
        <v>3800</v>
      </c>
      <c r="E499" s="75"/>
      <c r="F499" s="75"/>
      <c r="G499" s="75"/>
      <c r="H499" s="75"/>
      <c r="I499" s="75">
        <v>56</v>
      </c>
      <c r="J499" s="75">
        <v>212800</v>
      </c>
      <c r="K499" s="91" t="s">
        <v>1295</v>
      </c>
      <c r="L499" s="73"/>
      <c r="M499" s="46">
        <v>3800</v>
      </c>
      <c r="N499" s="46">
        <v>0</v>
      </c>
      <c r="O499" s="46">
        <v>212800</v>
      </c>
      <c r="P499" s="98"/>
      <c r="Q499" s="23" t="s">
        <v>1421</v>
      </c>
      <c r="R499" s="24" t="s">
        <v>1294</v>
      </c>
      <c r="S499" s="25" t="s">
        <v>50</v>
      </c>
      <c r="T499" s="26">
        <v>3800</v>
      </c>
      <c r="U499" s="26">
        <v>3800</v>
      </c>
      <c r="V499" s="26">
        <v>56</v>
      </c>
      <c r="W499" s="26">
        <f t="shared" ref="W499" si="118">AH499-M499</f>
        <v>0</v>
      </c>
      <c r="X499" s="26">
        <f t="shared" ref="X499" si="119">W499+M499</f>
        <v>3800</v>
      </c>
      <c r="Y499" s="26">
        <v>0</v>
      </c>
      <c r="Z499" s="26">
        <f t="shared" ref="Z499" si="120">ROUND(V499*X499,2)</f>
        <v>212800</v>
      </c>
      <c r="AA499" s="33" t="s">
        <v>15</v>
      </c>
      <c r="AB499" s="36" t="s">
        <v>16</v>
      </c>
      <c r="AC499" s="181">
        <f t="shared" si="107"/>
        <v>3800</v>
      </c>
      <c r="AD499" s="181">
        <f t="shared" ref="AD499" si="121">ROUND(V499*AC499,2)</f>
        <v>212800</v>
      </c>
      <c r="AE499" s="181">
        <v>10</v>
      </c>
      <c r="AF499" s="181">
        <v>10</v>
      </c>
      <c r="AG499" s="101" t="str">
        <f t="shared" si="108"/>
        <v/>
      </c>
      <c r="AH499" s="190">
        <v>3800</v>
      </c>
      <c r="AI499" s="69">
        <f t="shared" si="101"/>
        <v>3800</v>
      </c>
    </row>
    <row r="500" spans="1:35" s="69" customFormat="1" ht="33" x14ac:dyDescent="0.3">
      <c r="A500" s="52"/>
      <c r="B500" s="53" t="s">
        <v>1296</v>
      </c>
      <c r="C500" s="54"/>
      <c r="D500" s="75"/>
      <c r="E500" s="75"/>
      <c r="F500" s="75"/>
      <c r="G500" s="75"/>
      <c r="H500" s="75"/>
      <c r="I500" s="75"/>
      <c r="J500" s="75"/>
      <c r="K500" s="91"/>
      <c r="L500" s="73"/>
      <c r="M500" s="46"/>
      <c r="N500" s="46">
        <v>14809200.000000067</v>
      </c>
      <c r="O500" s="46">
        <v>326596600</v>
      </c>
      <c r="P500" s="98"/>
      <c r="Q500" s="23" t="s">
        <v>1421</v>
      </c>
      <c r="R500" s="24" t="s">
        <v>1422</v>
      </c>
      <c r="S500" s="25"/>
      <c r="T500" s="26"/>
      <c r="U500" s="26"/>
      <c r="V500" s="26"/>
      <c r="W500" s="26"/>
      <c r="X500" s="26"/>
      <c r="Y500" s="26">
        <f>Y8+Y377+Y407+Y447+Y451+Y472+Y492+Y495+Y496+Y498</f>
        <v>7118699.999999973</v>
      </c>
      <c r="Z500" s="26">
        <f>ROUNDDOWN((Z8+Z377+Z407+Z447+Z451+Z472+Z492+Z496+Z498+(Z8+Z377+Z407+Z447+Z451+Z472+Z492)*0.1095000004)/1000,1)*1000</f>
        <v>341985600</v>
      </c>
      <c r="AA500" s="33"/>
      <c r="AB500" s="36" t="s">
        <v>16</v>
      </c>
      <c r="AC500" s="181"/>
      <c r="AD500" s="181"/>
      <c r="AE500" s="181"/>
      <c r="AF500" s="181"/>
      <c r="AG500" s="101" t="str">
        <f t="shared" si="108"/>
        <v/>
      </c>
      <c r="AH500" s="190"/>
      <c r="AI500" s="69">
        <f t="shared" si="101"/>
        <v>0</v>
      </c>
    </row>
    <row r="501" spans="1:35" s="69" customFormat="1" ht="33" x14ac:dyDescent="0.3">
      <c r="A501" s="52"/>
      <c r="B501" s="53" t="s">
        <v>1297</v>
      </c>
      <c r="C501" s="54"/>
      <c r="D501" s="75"/>
      <c r="E501" s="75"/>
      <c r="F501" s="75"/>
      <c r="G501" s="75"/>
      <c r="H501" s="75"/>
      <c r="I501" s="75"/>
      <c r="J501" s="75"/>
      <c r="K501" s="91"/>
      <c r="L501" s="73"/>
      <c r="M501" s="39"/>
      <c r="N501" s="39">
        <v>9675</v>
      </c>
      <c r="O501" s="39">
        <v>19291</v>
      </c>
      <c r="P501" s="98"/>
      <c r="Q501" s="8" t="s">
        <v>1505</v>
      </c>
      <c r="R501" s="9" t="s">
        <v>1506</v>
      </c>
      <c r="S501" s="10" t="s">
        <v>14</v>
      </c>
      <c r="T501" s="11"/>
      <c r="U501" s="11"/>
      <c r="V501" s="11"/>
      <c r="W501" s="11"/>
      <c r="X501" s="11"/>
      <c r="Y501" s="11">
        <v>9675</v>
      </c>
      <c r="Z501" s="11">
        <v>19291</v>
      </c>
      <c r="AA501" s="12" t="s">
        <v>15</v>
      </c>
      <c r="AB501" s="37" t="s">
        <v>16</v>
      </c>
      <c r="AC501" s="182"/>
      <c r="AD501" s="182">
        <v>295040.74</v>
      </c>
      <c r="AE501" s="182">
        <v>12929586.060000001</v>
      </c>
      <c r="AF501" s="182"/>
      <c r="AG501" s="101" t="str">
        <f t="shared" si="108"/>
        <v/>
      </c>
      <c r="AH501" s="190"/>
      <c r="AI501" s="69">
        <f t="shared" si="101"/>
        <v>0</v>
      </c>
    </row>
    <row r="502" spans="1:35" s="69" customFormat="1" ht="33" x14ac:dyDescent="0.3">
      <c r="A502" s="382" t="s">
        <v>1298</v>
      </c>
      <c r="B502" s="383"/>
      <c r="C502" s="383"/>
      <c r="D502" s="383"/>
      <c r="E502" s="383"/>
      <c r="F502" s="383"/>
      <c r="G502" s="383"/>
      <c r="H502" s="383"/>
      <c r="I502" s="383"/>
      <c r="J502" s="383"/>
      <c r="K502" s="384"/>
      <c r="L502" s="89"/>
      <c r="M502" s="46"/>
      <c r="N502" s="46">
        <v>2999475</v>
      </c>
      <c r="O502" s="46">
        <v>131240691</v>
      </c>
      <c r="P502" s="98"/>
      <c r="Q502" s="23" t="s">
        <v>1421</v>
      </c>
      <c r="R502" s="24" t="s">
        <v>1507</v>
      </c>
      <c r="S502" s="25"/>
      <c r="T502" s="26"/>
      <c r="U502" s="26"/>
      <c r="V502" s="26"/>
      <c r="W502" s="26"/>
      <c r="X502" s="26"/>
      <c r="Y502" s="26">
        <v>2999475</v>
      </c>
      <c r="Z502" s="26">
        <v>131240691</v>
      </c>
      <c r="AA502" s="33"/>
      <c r="AB502" s="36" t="s">
        <v>16</v>
      </c>
      <c r="AC502" s="181"/>
      <c r="AD502" s="181"/>
      <c r="AE502" s="181"/>
      <c r="AF502" s="181"/>
      <c r="AG502" s="101" t="str">
        <f t="shared" si="108"/>
        <v/>
      </c>
      <c r="AH502" s="190"/>
      <c r="AI502" s="69">
        <f t="shared" si="101"/>
        <v>0</v>
      </c>
    </row>
    <row r="503" spans="1:35" s="69" customFormat="1" ht="153" customHeight="1" x14ac:dyDescent="0.3">
      <c r="A503" s="390" t="s">
        <v>1299</v>
      </c>
      <c r="B503" s="391"/>
      <c r="C503" s="391"/>
      <c r="D503" s="391"/>
      <c r="E503" s="391"/>
      <c r="F503" s="391"/>
      <c r="G503" s="391"/>
      <c r="H503" s="391"/>
      <c r="I503" s="391"/>
      <c r="J503" s="391"/>
      <c r="K503" s="392"/>
      <c r="L503" s="90"/>
      <c r="M503" s="39"/>
      <c r="N503" s="39">
        <v>0</v>
      </c>
      <c r="O503" s="39">
        <v>737520</v>
      </c>
      <c r="P503" s="98"/>
      <c r="Q503" s="8" t="s">
        <v>1508</v>
      </c>
      <c r="R503" s="9" t="s">
        <v>1509</v>
      </c>
      <c r="S503" s="10" t="s">
        <v>14</v>
      </c>
      <c r="T503" s="11"/>
      <c r="U503" s="11"/>
      <c r="V503" s="11"/>
      <c r="W503" s="11"/>
      <c r="X503" s="11"/>
      <c r="Y503" s="11">
        <v>0</v>
      </c>
      <c r="Z503" s="11">
        <f>SUM(Z504:Z506)</f>
        <v>737520</v>
      </c>
      <c r="AA503" s="12" t="s">
        <v>15</v>
      </c>
      <c r="AB503" s="37" t="s">
        <v>16</v>
      </c>
      <c r="AC503" s="182"/>
      <c r="AD503" s="182"/>
      <c r="AE503" s="182"/>
      <c r="AF503" s="182"/>
      <c r="AG503" s="101" t="str">
        <f t="shared" si="108"/>
        <v/>
      </c>
      <c r="AH503" s="190"/>
      <c r="AI503" s="69">
        <f t="shared" si="101"/>
        <v>0</v>
      </c>
    </row>
    <row r="504" spans="1:35" ht="33" x14ac:dyDescent="0.3">
      <c r="M504" s="46">
        <v>519.42999999999995</v>
      </c>
      <c r="N504" s="46">
        <v>0</v>
      </c>
      <c r="O504" s="46">
        <v>298672</v>
      </c>
      <c r="P504" s="98"/>
      <c r="Q504" s="23" t="s">
        <v>1421</v>
      </c>
      <c r="R504" s="24" t="s">
        <v>1510</v>
      </c>
      <c r="S504" s="25" t="s">
        <v>23</v>
      </c>
      <c r="T504" s="26"/>
      <c r="U504" s="26"/>
      <c r="V504" s="26">
        <v>575</v>
      </c>
      <c r="W504" s="26">
        <f>X504-M504</f>
        <v>0</v>
      </c>
      <c r="X504" s="26">
        <v>519.42999999999995</v>
      </c>
      <c r="Y504" s="26">
        <f>Z504-O504</f>
        <v>0</v>
      </c>
      <c r="Z504" s="26">
        <f>ROUNDDOWN(V504*X504,0)</f>
        <v>298672</v>
      </c>
      <c r="AA504" s="33" t="s">
        <v>15</v>
      </c>
      <c r="AB504" s="36" t="s">
        <v>16</v>
      </c>
      <c r="AG504" s="101"/>
      <c r="AH504" s="185">
        <v>519.42999999999995</v>
      </c>
      <c r="AI504" s="69"/>
    </row>
    <row r="505" spans="1:35" ht="33" x14ac:dyDescent="0.3">
      <c r="M505" s="46">
        <v>0</v>
      </c>
      <c r="N505" s="46">
        <v>0</v>
      </c>
      <c r="O505" s="46">
        <v>0</v>
      </c>
      <c r="P505" s="98"/>
      <c r="Q505" s="23" t="s">
        <v>1426</v>
      </c>
      <c r="R505" s="24" t="s">
        <v>1511</v>
      </c>
      <c r="S505" s="25" t="s">
        <v>110</v>
      </c>
      <c r="T505" s="26"/>
      <c r="U505" s="26"/>
      <c r="V505" s="26">
        <v>20</v>
      </c>
      <c r="W505" s="26">
        <f>X505-M505</f>
        <v>0</v>
      </c>
      <c r="X505" s="26">
        <v>0</v>
      </c>
      <c r="Y505" s="26">
        <f>Z505-O505</f>
        <v>0</v>
      </c>
      <c r="Z505" s="26">
        <f>ROUNDDOWN(V505*X505,0)</f>
        <v>0</v>
      </c>
      <c r="AA505" s="33" t="s">
        <v>15</v>
      </c>
      <c r="AB505" s="36" t="s">
        <v>16</v>
      </c>
      <c r="AG505" s="101"/>
      <c r="AH505" s="185">
        <v>0</v>
      </c>
      <c r="AI505" s="69"/>
    </row>
    <row r="506" spans="1:35" ht="33" x14ac:dyDescent="0.3">
      <c r="M506" s="46">
        <v>54856</v>
      </c>
      <c r="N506" s="46">
        <v>0</v>
      </c>
      <c r="O506" s="46">
        <v>438848</v>
      </c>
      <c r="P506" s="98"/>
      <c r="Q506" s="23" t="s">
        <v>1402</v>
      </c>
      <c r="R506" s="24" t="s">
        <v>1512</v>
      </c>
      <c r="S506" s="25" t="s">
        <v>110</v>
      </c>
      <c r="T506" s="26"/>
      <c r="U506" s="26"/>
      <c r="V506" s="26">
        <v>8</v>
      </c>
      <c r="W506" s="26">
        <f>X506-M506</f>
        <v>0</v>
      </c>
      <c r="X506" s="26">
        <v>54856</v>
      </c>
      <c r="Y506" s="26">
        <f>Z506-O506</f>
        <v>0</v>
      </c>
      <c r="Z506" s="26">
        <f>ROUNDDOWN(V506*X506,0)</f>
        <v>438848</v>
      </c>
      <c r="AA506" s="33" t="s">
        <v>15</v>
      </c>
      <c r="AB506" s="36" t="s">
        <v>16</v>
      </c>
      <c r="AG506" s="101"/>
      <c r="AH506" s="185">
        <v>54856</v>
      </c>
      <c r="AI506" s="69"/>
    </row>
  </sheetData>
  <autoFilter ref="A6:K503" xr:uid="{745AA45A-1115-4D12-8076-1F56B440D015}"/>
  <mergeCells count="13">
    <mergeCell ref="Z5:AA5"/>
    <mergeCell ref="A502:K502"/>
    <mergeCell ref="A1:K1"/>
    <mergeCell ref="A2:K2"/>
    <mergeCell ref="A3:K3"/>
    <mergeCell ref="Q3:AA3"/>
    <mergeCell ref="A4:K4"/>
    <mergeCell ref="Q4:AA4"/>
    <mergeCell ref="A503:K503"/>
    <mergeCell ref="A5:I5"/>
    <mergeCell ref="J5:K5"/>
    <mergeCell ref="M5:O5"/>
    <mergeCell ref="Q5:X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1AF2-35E1-475A-B0C3-12096C942F99}">
  <sheetPr>
    <tabColor theme="9" tint="0.39997558519241921"/>
  </sheetPr>
  <dimension ref="A1:AQ564"/>
  <sheetViews>
    <sheetView view="pageBreakPreview" topLeftCell="A6" zoomScale="80" zoomScaleNormal="80" zoomScaleSheetLayoutView="80" workbookViewId="0">
      <pane ySplit="1200" topLeftCell="A10" activePane="bottomLeft"/>
      <selection activeCell="A6" sqref="A6"/>
      <selection pane="bottomLeft" activeCell="X15" sqref="X15"/>
    </sheetView>
  </sheetViews>
  <sheetFormatPr defaultColWidth="8.5" defaultRowHeight="19.5" x14ac:dyDescent="0.3"/>
  <cols>
    <col min="1" max="1" width="5.25" style="72" customWidth="1"/>
    <col min="2" max="2" width="19.5" style="73" customWidth="1"/>
    <col min="3" max="3" width="5.5" style="73" customWidth="1"/>
    <col min="4" max="4" width="11.625" style="73" customWidth="1"/>
    <col min="5" max="5" width="12.375" style="73" customWidth="1"/>
    <col min="6" max="6" width="13.125" style="73" customWidth="1"/>
    <col min="7" max="7" width="10.125" style="73" customWidth="1"/>
    <col min="8" max="8" width="16" style="73" customWidth="1"/>
    <col min="9" max="9" width="15" style="73" bestFit="1" customWidth="1"/>
    <col min="10" max="10" width="16.5" style="73" customWidth="1"/>
    <col min="11" max="11" width="21.5" style="73" customWidth="1"/>
    <col min="12" max="12" width="10.875" style="73" customWidth="1"/>
    <col min="13" max="13" width="1.5" style="73" customWidth="1"/>
    <col min="14" max="16" width="11.5" style="2" customWidth="1"/>
    <col min="17" max="17" width="1.25" style="96" customWidth="1"/>
    <col min="18" max="18" width="4.25" style="3" hidden="1" customWidth="1"/>
    <col min="19" max="19" width="23.25" hidden="1" customWidth="1"/>
    <col min="20" max="20" width="5.75" hidden="1" customWidth="1"/>
    <col min="21" max="21" width="9" hidden="1" customWidth="1"/>
    <col min="22" max="22" width="9.375" hidden="1" customWidth="1"/>
    <col min="23" max="23" width="5" hidden="1" customWidth="1"/>
    <col min="24" max="24" width="11.375" customWidth="1"/>
    <col min="25" max="25" width="11.75" customWidth="1"/>
    <col min="26" max="26" width="12.875" customWidth="1"/>
    <col min="27" max="27" width="12" customWidth="1"/>
    <col min="28" max="28" width="5.25" style="34" customWidth="1"/>
    <col min="29" max="29" width="1.75" customWidth="1"/>
    <col min="30" max="33" width="1.75" style="181" customWidth="1"/>
    <col min="34" max="34" width="5.875" style="68" customWidth="1"/>
    <col min="35" max="35" width="16.5" style="185" customWidth="1"/>
    <col min="36" max="36" width="15.375" style="185" customWidth="1"/>
    <col min="37" max="37" width="8.375" style="70" customWidth="1"/>
    <col min="38" max="38" width="1.625" style="70" customWidth="1"/>
    <col min="39" max="39" width="16.375" style="70" bestFit="1" customWidth="1"/>
    <col min="40" max="40" width="16.125" style="68" bestFit="1" customWidth="1"/>
    <col min="41" max="41" width="20.25" style="68" bestFit="1" customWidth="1"/>
    <col min="42" max="42" width="14.625" style="70" bestFit="1" customWidth="1"/>
    <col min="43" max="43" width="8" style="70" bestFit="1" customWidth="1"/>
    <col min="44" max="225" width="8.5" style="70"/>
    <col min="226" max="226" width="5.25" style="70" customWidth="1"/>
    <col min="227" max="227" width="26.25" style="70" customWidth="1"/>
    <col min="228" max="228" width="5.5" style="70" customWidth="1"/>
    <col min="229" max="229" width="8.5" style="70"/>
    <col min="230" max="231" width="10.875" style="70" customWidth="1"/>
    <col min="232" max="232" width="15.25" style="70" customWidth="1"/>
    <col min="233" max="233" width="0.75" style="70" customWidth="1"/>
    <col min="234" max="236" width="0.625" style="70" customWidth="1"/>
    <col min="237" max="481" width="8.5" style="70"/>
    <col min="482" max="482" width="5.25" style="70" customWidth="1"/>
    <col min="483" max="483" width="26.25" style="70" customWidth="1"/>
    <col min="484" max="484" width="5.5" style="70" customWidth="1"/>
    <col min="485" max="485" width="8.5" style="70"/>
    <col min="486" max="487" width="10.875" style="70" customWidth="1"/>
    <col min="488" max="488" width="15.25" style="70" customWidth="1"/>
    <col min="489" max="489" width="0.75" style="70" customWidth="1"/>
    <col min="490" max="492" width="0.625" style="70" customWidth="1"/>
    <col min="493" max="737" width="8.5" style="70"/>
    <col min="738" max="738" width="5.25" style="70" customWidth="1"/>
    <col min="739" max="739" width="26.25" style="70" customWidth="1"/>
    <col min="740" max="740" width="5.5" style="70" customWidth="1"/>
    <col min="741" max="741" width="8.5" style="70"/>
    <col min="742" max="743" width="10.875" style="70" customWidth="1"/>
    <col min="744" max="744" width="15.25" style="70" customWidth="1"/>
    <col min="745" max="745" width="0.75" style="70" customWidth="1"/>
    <col min="746" max="748" width="0.625" style="70" customWidth="1"/>
    <col min="749" max="993" width="8.5" style="70"/>
    <col min="994" max="994" width="5.25" style="70" customWidth="1"/>
    <col min="995" max="995" width="26.25" style="70" customWidth="1"/>
    <col min="996" max="996" width="5.5" style="70" customWidth="1"/>
    <col min="997" max="997" width="8.5" style="70"/>
    <col min="998" max="999" width="10.875" style="70" customWidth="1"/>
    <col min="1000" max="1000" width="15.25" style="70" customWidth="1"/>
    <col min="1001" max="1001" width="0.75" style="70" customWidth="1"/>
    <col min="1002" max="1004" width="0.625" style="70" customWidth="1"/>
    <col min="1005" max="1249" width="8.5" style="70"/>
    <col min="1250" max="1250" width="5.25" style="70" customWidth="1"/>
    <col min="1251" max="1251" width="26.25" style="70" customWidth="1"/>
    <col min="1252" max="1252" width="5.5" style="70" customWidth="1"/>
    <col min="1253" max="1253" width="8.5" style="70"/>
    <col min="1254" max="1255" width="10.875" style="70" customWidth="1"/>
    <col min="1256" max="1256" width="15.25" style="70" customWidth="1"/>
    <col min="1257" max="1257" width="0.75" style="70" customWidth="1"/>
    <col min="1258" max="1260" width="0.625" style="70" customWidth="1"/>
    <col min="1261" max="1505" width="8.5" style="70"/>
    <col min="1506" max="1506" width="5.25" style="70" customWidth="1"/>
    <col min="1507" max="1507" width="26.25" style="70" customWidth="1"/>
    <col min="1508" max="1508" width="5.5" style="70" customWidth="1"/>
    <col min="1509" max="1509" width="8.5" style="70"/>
    <col min="1510" max="1511" width="10.875" style="70" customWidth="1"/>
    <col min="1512" max="1512" width="15.25" style="70" customWidth="1"/>
    <col min="1513" max="1513" width="0.75" style="70" customWidth="1"/>
    <col min="1514" max="1516" width="0.625" style="70" customWidth="1"/>
    <col min="1517" max="1761" width="8.5" style="70"/>
    <col min="1762" max="1762" width="5.25" style="70" customWidth="1"/>
    <col min="1763" max="1763" width="26.25" style="70" customWidth="1"/>
    <col min="1764" max="1764" width="5.5" style="70" customWidth="1"/>
    <col min="1765" max="1765" width="8.5" style="70"/>
    <col min="1766" max="1767" width="10.875" style="70" customWidth="1"/>
    <col min="1768" max="1768" width="15.25" style="70" customWidth="1"/>
    <col min="1769" max="1769" width="0.75" style="70" customWidth="1"/>
    <col min="1770" max="1772" width="0.625" style="70" customWidth="1"/>
    <col min="1773" max="2017" width="8.5" style="70"/>
    <col min="2018" max="2018" width="5.25" style="70" customWidth="1"/>
    <col min="2019" max="2019" width="26.25" style="70" customWidth="1"/>
    <col min="2020" max="2020" width="5.5" style="70" customWidth="1"/>
    <col min="2021" max="2021" width="8.5" style="70"/>
    <col min="2022" max="2023" width="10.875" style="70" customWidth="1"/>
    <col min="2024" max="2024" width="15.25" style="70" customWidth="1"/>
    <col min="2025" max="2025" width="0.75" style="70" customWidth="1"/>
    <col min="2026" max="2028" width="0.625" style="70" customWidth="1"/>
    <col min="2029" max="2273" width="8.5" style="70"/>
    <col min="2274" max="2274" width="5.25" style="70" customWidth="1"/>
    <col min="2275" max="2275" width="26.25" style="70" customWidth="1"/>
    <col min="2276" max="2276" width="5.5" style="70" customWidth="1"/>
    <col min="2277" max="2277" width="8.5" style="70"/>
    <col min="2278" max="2279" width="10.875" style="70" customWidth="1"/>
    <col min="2280" max="2280" width="15.25" style="70" customWidth="1"/>
    <col min="2281" max="2281" width="0.75" style="70" customWidth="1"/>
    <col min="2282" max="2284" width="0.625" style="70" customWidth="1"/>
    <col min="2285" max="2529" width="8.5" style="70"/>
    <col min="2530" max="2530" width="5.25" style="70" customWidth="1"/>
    <col min="2531" max="2531" width="26.25" style="70" customWidth="1"/>
    <col min="2532" max="2532" width="5.5" style="70" customWidth="1"/>
    <col min="2533" max="2533" width="8.5" style="70"/>
    <col min="2534" max="2535" width="10.875" style="70" customWidth="1"/>
    <col min="2536" max="2536" width="15.25" style="70" customWidth="1"/>
    <col min="2537" max="2537" width="0.75" style="70" customWidth="1"/>
    <col min="2538" max="2540" width="0.625" style="70" customWidth="1"/>
    <col min="2541" max="2785" width="8.5" style="70"/>
    <col min="2786" max="2786" width="5.25" style="70" customWidth="1"/>
    <col min="2787" max="2787" width="26.25" style="70" customWidth="1"/>
    <col min="2788" max="2788" width="5.5" style="70" customWidth="1"/>
    <col min="2789" max="2789" width="8.5" style="70"/>
    <col min="2790" max="2791" width="10.875" style="70" customWidth="1"/>
    <col min="2792" max="2792" width="15.25" style="70" customWidth="1"/>
    <col min="2793" max="2793" width="0.75" style="70" customWidth="1"/>
    <col min="2794" max="2796" width="0.625" style="70" customWidth="1"/>
    <col min="2797" max="3041" width="8.5" style="70"/>
    <col min="3042" max="3042" width="5.25" style="70" customWidth="1"/>
    <col min="3043" max="3043" width="26.25" style="70" customWidth="1"/>
    <col min="3044" max="3044" width="5.5" style="70" customWidth="1"/>
    <col min="3045" max="3045" width="8.5" style="70"/>
    <col min="3046" max="3047" width="10.875" style="70" customWidth="1"/>
    <col min="3048" max="3048" width="15.25" style="70" customWidth="1"/>
    <col min="3049" max="3049" width="0.75" style="70" customWidth="1"/>
    <col min="3050" max="3052" width="0.625" style="70" customWidth="1"/>
    <col min="3053" max="3297" width="8.5" style="70"/>
    <col min="3298" max="3298" width="5.25" style="70" customWidth="1"/>
    <col min="3299" max="3299" width="26.25" style="70" customWidth="1"/>
    <col min="3300" max="3300" width="5.5" style="70" customWidth="1"/>
    <col min="3301" max="3301" width="8.5" style="70"/>
    <col min="3302" max="3303" width="10.875" style="70" customWidth="1"/>
    <col min="3304" max="3304" width="15.25" style="70" customWidth="1"/>
    <col min="3305" max="3305" width="0.75" style="70" customWidth="1"/>
    <col min="3306" max="3308" width="0.625" style="70" customWidth="1"/>
    <col min="3309" max="3553" width="8.5" style="70"/>
    <col min="3554" max="3554" width="5.25" style="70" customWidth="1"/>
    <col min="3555" max="3555" width="26.25" style="70" customWidth="1"/>
    <col min="3556" max="3556" width="5.5" style="70" customWidth="1"/>
    <col min="3557" max="3557" width="8.5" style="70"/>
    <col min="3558" max="3559" width="10.875" style="70" customWidth="1"/>
    <col min="3560" max="3560" width="15.25" style="70" customWidth="1"/>
    <col min="3561" max="3561" width="0.75" style="70" customWidth="1"/>
    <col min="3562" max="3564" width="0.625" style="70" customWidth="1"/>
    <col min="3565" max="3809" width="8.5" style="70"/>
    <col min="3810" max="3810" width="5.25" style="70" customWidth="1"/>
    <col min="3811" max="3811" width="26.25" style="70" customWidth="1"/>
    <col min="3812" max="3812" width="5.5" style="70" customWidth="1"/>
    <col min="3813" max="3813" width="8.5" style="70"/>
    <col min="3814" max="3815" width="10.875" style="70" customWidth="1"/>
    <col min="3816" max="3816" width="15.25" style="70" customWidth="1"/>
    <col min="3817" max="3817" width="0.75" style="70" customWidth="1"/>
    <col min="3818" max="3820" width="0.625" style="70" customWidth="1"/>
    <col min="3821" max="4065" width="8.5" style="70"/>
    <col min="4066" max="4066" width="5.25" style="70" customWidth="1"/>
    <col min="4067" max="4067" width="26.25" style="70" customWidth="1"/>
    <col min="4068" max="4068" width="5.5" style="70" customWidth="1"/>
    <col min="4069" max="4069" width="8.5" style="70"/>
    <col min="4070" max="4071" width="10.875" style="70" customWidth="1"/>
    <col min="4072" max="4072" width="15.25" style="70" customWidth="1"/>
    <col min="4073" max="4073" width="0.75" style="70" customWidth="1"/>
    <col min="4074" max="4076" width="0.625" style="70" customWidth="1"/>
    <col min="4077" max="4321" width="8.5" style="70"/>
    <col min="4322" max="4322" width="5.25" style="70" customWidth="1"/>
    <col min="4323" max="4323" width="26.25" style="70" customWidth="1"/>
    <col min="4324" max="4324" width="5.5" style="70" customWidth="1"/>
    <col min="4325" max="4325" width="8.5" style="70"/>
    <col min="4326" max="4327" width="10.875" style="70" customWidth="1"/>
    <col min="4328" max="4328" width="15.25" style="70" customWidth="1"/>
    <col min="4329" max="4329" width="0.75" style="70" customWidth="1"/>
    <col min="4330" max="4332" width="0.625" style="70" customWidth="1"/>
    <col min="4333" max="4577" width="8.5" style="70"/>
    <col min="4578" max="4578" width="5.25" style="70" customWidth="1"/>
    <col min="4579" max="4579" width="26.25" style="70" customWidth="1"/>
    <col min="4580" max="4580" width="5.5" style="70" customWidth="1"/>
    <col min="4581" max="4581" width="8.5" style="70"/>
    <col min="4582" max="4583" width="10.875" style="70" customWidth="1"/>
    <col min="4584" max="4584" width="15.25" style="70" customWidth="1"/>
    <col min="4585" max="4585" width="0.75" style="70" customWidth="1"/>
    <col min="4586" max="4588" width="0.625" style="70" customWidth="1"/>
    <col min="4589" max="4833" width="8.5" style="70"/>
    <col min="4834" max="4834" width="5.25" style="70" customWidth="1"/>
    <col min="4835" max="4835" width="26.25" style="70" customWidth="1"/>
    <col min="4836" max="4836" width="5.5" style="70" customWidth="1"/>
    <col min="4837" max="4837" width="8.5" style="70"/>
    <col min="4838" max="4839" width="10.875" style="70" customWidth="1"/>
    <col min="4840" max="4840" width="15.25" style="70" customWidth="1"/>
    <col min="4841" max="4841" width="0.75" style="70" customWidth="1"/>
    <col min="4842" max="4844" width="0.625" style="70" customWidth="1"/>
    <col min="4845" max="5089" width="8.5" style="70"/>
    <col min="5090" max="5090" width="5.25" style="70" customWidth="1"/>
    <col min="5091" max="5091" width="26.25" style="70" customWidth="1"/>
    <col min="5092" max="5092" width="5.5" style="70" customWidth="1"/>
    <col min="5093" max="5093" width="8.5" style="70"/>
    <col min="5094" max="5095" width="10.875" style="70" customWidth="1"/>
    <col min="5096" max="5096" width="15.25" style="70" customWidth="1"/>
    <col min="5097" max="5097" width="0.75" style="70" customWidth="1"/>
    <col min="5098" max="5100" width="0.625" style="70" customWidth="1"/>
    <col min="5101" max="5345" width="8.5" style="70"/>
    <col min="5346" max="5346" width="5.25" style="70" customWidth="1"/>
    <col min="5347" max="5347" width="26.25" style="70" customWidth="1"/>
    <col min="5348" max="5348" width="5.5" style="70" customWidth="1"/>
    <col min="5349" max="5349" width="8.5" style="70"/>
    <col min="5350" max="5351" width="10.875" style="70" customWidth="1"/>
    <col min="5352" max="5352" width="15.25" style="70" customWidth="1"/>
    <col min="5353" max="5353" width="0.75" style="70" customWidth="1"/>
    <col min="5354" max="5356" width="0.625" style="70" customWidth="1"/>
    <col min="5357" max="5601" width="8.5" style="70"/>
    <col min="5602" max="5602" width="5.25" style="70" customWidth="1"/>
    <col min="5603" max="5603" width="26.25" style="70" customWidth="1"/>
    <col min="5604" max="5604" width="5.5" style="70" customWidth="1"/>
    <col min="5605" max="5605" width="8.5" style="70"/>
    <col min="5606" max="5607" width="10.875" style="70" customWidth="1"/>
    <col min="5608" max="5608" width="15.25" style="70" customWidth="1"/>
    <col min="5609" max="5609" width="0.75" style="70" customWidth="1"/>
    <col min="5610" max="5612" width="0.625" style="70" customWidth="1"/>
    <col min="5613" max="5857" width="8.5" style="70"/>
    <col min="5858" max="5858" width="5.25" style="70" customWidth="1"/>
    <col min="5859" max="5859" width="26.25" style="70" customWidth="1"/>
    <col min="5860" max="5860" width="5.5" style="70" customWidth="1"/>
    <col min="5861" max="5861" width="8.5" style="70"/>
    <col min="5862" max="5863" width="10.875" style="70" customWidth="1"/>
    <col min="5864" max="5864" width="15.25" style="70" customWidth="1"/>
    <col min="5865" max="5865" width="0.75" style="70" customWidth="1"/>
    <col min="5866" max="5868" width="0.625" style="70" customWidth="1"/>
    <col min="5869" max="6113" width="8.5" style="70"/>
    <col min="6114" max="6114" width="5.25" style="70" customWidth="1"/>
    <col min="6115" max="6115" width="26.25" style="70" customWidth="1"/>
    <col min="6116" max="6116" width="5.5" style="70" customWidth="1"/>
    <col min="6117" max="6117" width="8.5" style="70"/>
    <col min="6118" max="6119" width="10.875" style="70" customWidth="1"/>
    <col min="6120" max="6120" width="15.25" style="70" customWidth="1"/>
    <col min="6121" max="6121" width="0.75" style="70" customWidth="1"/>
    <col min="6122" max="6124" width="0.625" style="70" customWidth="1"/>
    <col min="6125" max="6369" width="8.5" style="70"/>
    <col min="6370" max="6370" width="5.25" style="70" customWidth="1"/>
    <col min="6371" max="6371" width="26.25" style="70" customWidth="1"/>
    <col min="6372" max="6372" width="5.5" style="70" customWidth="1"/>
    <col min="6373" max="6373" width="8.5" style="70"/>
    <col min="6374" max="6375" width="10.875" style="70" customWidth="1"/>
    <col min="6376" max="6376" width="15.25" style="70" customWidth="1"/>
    <col min="6377" max="6377" width="0.75" style="70" customWidth="1"/>
    <col min="6378" max="6380" width="0.625" style="70" customWidth="1"/>
    <col min="6381" max="6625" width="8.5" style="70"/>
    <col min="6626" max="6626" width="5.25" style="70" customWidth="1"/>
    <col min="6627" max="6627" width="26.25" style="70" customWidth="1"/>
    <col min="6628" max="6628" width="5.5" style="70" customWidth="1"/>
    <col min="6629" max="6629" width="8.5" style="70"/>
    <col min="6630" max="6631" width="10.875" style="70" customWidth="1"/>
    <col min="6632" max="6632" width="15.25" style="70" customWidth="1"/>
    <col min="6633" max="6633" width="0.75" style="70" customWidth="1"/>
    <col min="6634" max="6636" width="0.625" style="70" customWidth="1"/>
    <col min="6637" max="6881" width="8.5" style="70"/>
    <col min="6882" max="6882" width="5.25" style="70" customWidth="1"/>
    <col min="6883" max="6883" width="26.25" style="70" customWidth="1"/>
    <col min="6884" max="6884" width="5.5" style="70" customWidth="1"/>
    <col min="6885" max="6885" width="8.5" style="70"/>
    <col min="6886" max="6887" width="10.875" style="70" customWidth="1"/>
    <col min="6888" max="6888" width="15.25" style="70" customWidth="1"/>
    <col min="6889" max="6889" width="0.75" style="70" customWidth="1"/>
    <col min="6890" max="6892" width="0.625" style="70" customWidth="1"/>
    <col min="6893" max="7137" width="8.5" style="70"/>
    <col min="7138" max="7138" width="5.25" style="70" customWidth="1"/>
    <col min="7139" max="7139" width="26.25" style="70" customWidth="1"/>
    <col min="7140" max="7140" width="5.5" style="70" customWidth="1"/>
    <col min="7141" max="7141" width="8.5" style="70"/>
    <col min="7142" max="7143" width="10.875" style="70" customWidth="1"/>
    <col min="7144" max="7144" width="15.25" style="70" customWidth="1"/>
    <col min="7145" max="7145" width="0.75" style="70" customWidth="1"/>
    <col min="7146" max="7148" width="0.625" style="70" customWidth="1"/>
    <col min="7149" max="7393" width="8.5" style="70"/>
    <col min="7394" max="7394" width="5.25" style="70" customWidth="1"/>
    <col min="7395" max="7395" width="26.25" style="70" customWidth="1"/>
    <col min="7396" max="7396" width="5.5" style="70" customWidth="1"/>
    <col min="7397" max="7397" width="8.5" style="70"/>
    <col min="7398" max="7399" width="10.875" style="70" customWidth="1"/>
    <col min="7400" max="7400" width="15.25" style="70" customWidth="1"/>
    <col min="7401" max="7401" width="0.75" style="70" customWidth="1"/>
    <col min="7402" max="7404" width="0.625" style="70" customWidth="1"/>
    <col min="7405" max="7649" width="8.5" style="70"/>
    <col min="7650" max="7650" width="5.25" style="70" customWidth="1"/>
    <col min="7651" max="7651" width="26.25" style="70" customWidth="1"/>
    <col min="7652" max="7652" width="5.5" style="70" customWidth="1"/>
    <col min="7653" max="7653" width="8.5" style="70"/>
    <col min="7654" max="7655" width="10.875" style="70" customWidth="1"/>
    <col min="7656" max="7656" width="15.25" style="70" customWidth="1"/>
    <col min="7657" max="7657" width="0.75" style="70" customWidth="1"/>
    <col min="7658" max="7660" width="0.625" style="70" customWidth="1"/>
    <col min="7661" max="7905" width="8.5" style="70"/>
    <col min="7906" max="7906" width="5.25" style="70" customWidth="1"/>
    <col min="7907" max="7907" width="26.25" style="70" customWidth="1"/>
    <col min="7908" max="7908" width="5.5" style="70" customWidth="1"/>
    <col min="7909" max="7909" width="8.5" style="70"/>
    <col min="7910" max="7911" width="10.875" style="70" customWidth="1"/>
    <col min="7912" max="7912" width="15.25" style="70" customWidth="1"/>
    <col min="7913" max="7913" width="0.75" style="70" customWidth="1"/>
    <col min="7914" max="7916" width="0.625" style="70" customWidth="1"/>
    <col min="7917" max="8161" width="8.5" style="70"/>
    <col min="8162" max="8162" width="5.25" style="70" customWidth="1"/>
    <col min="8163" max="8163" width="26.25" style="70" customWidth="1"/>
    <col min="8164" max="8164" width="5.5" style="70" customWidth="1"/>
    <col min="8165" max="8165" width="8.5" style="70"/>
    <col min="8166" max="8167" width="10.875" style="70" customWidth="1"/>
    <col min="8168" max="8168" width="15.25" style="70" customWidth="1"/>
    <col min="8169" max="8169" width="0.75" style="70" customWidth="1"/>
    <col min="8170" max="8172" width="0.625" style="70" customWidth="1"/>
    <col min="8173" max="8417" width="8.5" style="70"/>
    <col min="8418" max="8418" width="5.25" style="70" customWidth="1"/>
    <col min="8419" max="8419" width="26.25" style="70" customWidth="1"/>
    <col min="8420" max="8420" width="5.5" style="70" customWidth="1"/>
    <col min="8421" max="8421" width="8.5" style="70"/>
    <col min="8422" max="8423" width="10.875" style="70" customWidth="1"/>
    <col min="8424" max="8424" width="15.25" style="70" customWidth="1"/>
    <col min="8425" max="8425" width="0.75" style="70" customWidth="1"/>
    <col min="8426" max="8428" width="0.625" style="70" customWidth="1"/>
    <col min="8429" max="8673" width="8.5" style="70"/>
    <col min="8674" max="8674" width="5.25" style="70" customWidth="1"/>
    <col min="8675" max="8675" width="26.25" style="70" customWidth="1"/>
    <col min="8676" max="8676" width="5.5" style="70" customWidth="1"/>
    <col min="8677" max="8677" width="8.5" style="70"/>
    <col min="8678" max="8679" width="10.875" style="70" customWidth="1"/>
    <col min="8680" max="8680" width="15.25" style="70" customWidth="1"/>
    <col min="8681" max="8681" width="0.75" style="70" customWidth="1"/>
    <col min="8682" max="8684" width="0.625" style="70" customWidth="1"/>
    <col min="8685" max="8929" width="8.5" style="70"/>
    <col min="8930" max="8930" width="5.25" style="70" customWidth="1"/>
    <col min="8931" max="8931" width="26.25" style="70" customWidth="1"/>
    <col min="8932" max="8932" width="5.5" style="70" customWidth="1"/>
    <col min="8933" max="8933" width="8.5" style="70"/>
    <col min="8934" max="8935" width="10.875" style="70" customWidth="1"/>
    <col min="8936" max="8936" width="15.25" style="70" customWidth="1"/>
    <col min="8937" max="8937" width="0.75" style="70" customWidth="1"/>
    <col min="8938" max="8940" width="0.625" style="70" customWidth="1"/>
    <col min="8941" max="9185" width="8.5" style="70"/>
    <col min="9186" max="9186" width="5.25" style="70" customWidth="1"/>
    <col min="9187" max="9187" width="26.25" style="70" customWidth="1"/>
    <col min="9188" max="9188" width="5.5" style="70" customWidth="1"/>
    <col min="9189" max="9189" width="8.5" style="70"/>
    <col min="9190" max="9191" width="10.875" style="70" customWidth="1"/>
    <col min="9192" max="9192" width="15.25" style="70" customWidth="1"/>
    <col min="9193" max="9193" width="0.75" style="70" customWidth="1"/>
    <col min="9194" max="9196" width="0.625" style="70" customWidth="1"/>
    <col min="9197" max="9441" width="8.5" style="70"/>
    <col min="9442" max="9442" width="5.25" style="70" customWidth="1"/>
    <col min="9443" max="9443" width="26.25" style="70" customWidth="1"/>
    <col min="9444" max="9444" width="5.5" style="70" customWidth="1"/>
    <col min="9445" max="9445" width="8.5" style="70"/>
    <col min="9446" max="9447" width="10.875" style="70" customWidth="1"/>
    <col min="9448" max="9448" width="15.25" style="70" customWidth="1"/>
    <col min="9449" max="9449" width="0.75" style="70" customWidth="1"/>
    <col min="9450" max="9452" width="0.625" style="70" customWidth="1"/>
    <col min="9453" max="9697" width="8.5" style="70"/>
    <col min="9698" max="9698" width="5.25" style="70" customWidth="1"/>
    <col min="9699" max="9699" width="26.25" style="70" customWidth="1"/>
    <col min="9700" max="9700" width="5.5" style="70" customWidth="1"/>
    <col min="9701" max="9701" width="8.5" style="70"/>
    <col min="9702" max="9703" width="10.875" style="70" customWidth="1"/>
    <col min="9704" max="9704" width="15.25" style="70" customWidth="1"/>
    <col min="9705" max="9705" width="0.75" style="70" customWidth="1"/>
    <col min="9706" max="9708" width="0.625" style="70" customWidth="1"/>
    <col min="9709" max="9953" width="8.5" style="70"/>
    <col min="9954" max="9954" width="5.25" style="70" customWidth="1"/>
    <col min="9955" max="9955" width="26.25" style="70" customWidth="1"/>
    <col min="9956" max="9956" width="5.5" style="70" customWidth="1"/>
    <col min="9957" max="9957" width="8.5" style="70"/>
    <col min="9958" max="9959" width="10.875" style="70" customWidth="1"/>
    <col min="9960" max="9960" width="15.25" style="70" customWidth="1"/>
    <col min="9961" max="9961" width="0.75" style="70" customWidth="1"/>
    <col min="9962" max="9964" width="0.625" style="70" customWidth="1"/>
    <col min="9965" max="10209" width="8.5" style="70"/>
    <col min="10210" max="10210" width="5.25" style="70" customWidth="1"/>
    <col min="10211" max="10211" width="26.25" style="70" customWidth="1"/>
    <col min="10212" max="10212" width="5.5" style="70" customWidth="1"/>
    <col min="10213" max="10213" width="8.5" style="70"/>
    <col min="10214" max="10215" width="10.875" style="70" customWidth="1"/>
    <col min="10216" max="10216" width="15.25" style="70" customWidth="1"/>
    <col min="10217" max="10217" width="0.75" style="70" customWidth="1"/>
    <col min="10218" max="10220" width="0.625" style="70" customWidth="1"/>
    <col min="10221" max="10465" width="8.5" style="70"/>
    <col min="10466" max="10466" width="5.25" style="70" customWidth="1"/>
    <col min="10467" max="10467" width="26.25" style="70" customWidth="1"/>
    <col min="10468" max="10468" width="5.5" style="70" customWidth="1"/>
    <col min="10469" max="10469" width="8.5" style="70"/>
    <col min="10470" max="10471" width="10.875" style="70" customWidth="1"/>
    <col min="10472" max="10472" width="15.25" style="70" customWidth="1"/>
    <col min="10473" max="10473" width="0.75" style="70" customWidth="1"/>
    <col min="10474" max="10476" width="0.625" style="70" customWidth="1"/>
    <col min="10477" max="10721" width="8.5" style="70"/>
    <col min="10722" max="10722" width="5.25" style="70" customWidth="1"/>
    <col min="10723" max="10723" width="26.25" style="70" customWidth="1"/>
    <col min="10724" max="10724" width="5.5" style="70" customWidth="1"/>
    <col min="10725" max="10725" width="8.5" style="70"/>
    <col min="10726" max="10727" width="10.875" style="70" customWidth="1"/>
    <col min="10728" max="10728" width="15.25" style="70" customWidth="1"/>
    <col min="10729" max="10729" width="0.75" style="70" customWidth="1"/>
    <col min="10730" max="10732" width="0.625" style="70" customWidth="1"/>
    <col min="10733" max="10977" width="8.5" style="70"/>
    <col min="10978" max="10978" width="5.25" style="70" customWidth="1"/>
    <col min="10979" max="10979" width="26.25" style="70" customWidth="1"/>
    <col min="10980" max="10980" width="5.5" style="70" customWidth="1"/>
    <col min="10981" max="10981" width="8.5" style="70"/>
    <col min="10982" max="10983" width="10.875" style="70" customWidth="1"/>
    <col min="10984" max="10984" width="15.25" style="70" customWidth="1"/>
    <col min="10985" max="10985" width="0.75" style="70" customWidth="1"/>
    <col min="10986" max="10988" width="0.625" style="70" customWidth="1"/>
    <col min="10989" max="11233" width="8.5" style="70"/>
    <col min="11234" max="11234" width="5.25" style="70" customWidth="1"/>
    <col min="11235" max="11235" width="26.25" style="70" customWidth="1"/>
    <col min="11236" max="11236" width="5.5" style="70" customWidth="1"/>
    <col min="11237" max="11237" width="8.5" style="70"/>
    <col min="11238" max="11239" width="10.875" style="70" customWidth="1"/>
    <col min="11240" max="11240" width="15.25" style="70" customWidth="1"/>
    <col min="11241" max="11241" width="0.75" style="70" customWidth="1"/>
    <col min="11242" max="11244" width="0.625" style="70" customWidth="1"/>
    <col min="11245" max="11489" width="8.5" style="70"/>
    <col min="11490" max="11490" width="5.25" style="70" customWidth="1"/>
    <col min="11491" max="11491" width="26.25" style="70" customWidth="1"/>
    <col min="11492" max="11492" width="5.5" style="70" customWidth="1"/>
    <col min="11493" max="11493" width="8.5" style="70"/>
    <col min="11494" max="11495" width="10.875" style="70" customWidth="1"/>
    <col min="11496" max="11496" width="15.25" style="70" customWidth="1"/>
    <col min="11497" max="11497" width="0.75" style="70" customWidth="1"/>
    <col min="11498" max="11500" width="0.625" style="70" customWidth="1"/>
    <col min="11501" max="11745" width="8.5" style="70"/>
    <col min="11746" max="11746" width="5.25" style="70" customWidth="1"/>
    <col min="11747" max="11747" width="26.25" style="70" customWidth="1"/>
    <col min="11748" max="11748" width="5.5" style="70" customWidth="1"/>
    <col min="11749" max="11749" width="8.5" style="70"/>
    <col min="11750" max="11751" width="10.875" style="70" customWidth="1"/>
    <col min="11752" max="11752" width="15.25" style="70" customWidth="1"/>
    <col min="11753" max="11753" width="0.75" style="70" customWidth="1"/>
    <col min="11754" max="11756" width="0.625" style="70" customWidth="1"/>
    <col min="11757" max="12001" width="8.5" style="70"/>
    <col min="12002" max="12002" width="5.25" style="70" customWidth="1"/>
    <col min="12003" max="12003" width="26.25" style="70" customWidth="1"/>
    <col min="12004" max="12004" width="5.5" style="70" customWidth="1"/>
    <col min="12005" max="12005" width="8.5" style="70"/>
    <col min="12006" max="12007" width="10.875" style="70" customWidth="1"/>
    <col min="12008" max="12008" width="15.25" style="70" customWidth="1"/>
    <col min="12009" max="12009" width="0.75" style="70" customWidth="1"/>
    <col min="12010" max="12012" width="0.625" style="70" customWidth="1"/>
    <col min="12013" max="12257" width="8.5" style="70"/>
    <col min="12258" max="12258" width="5.25" style="70" customWidth="1"/>
    <col min="12259" max="12259" width="26.25" style="70" customWidth="1"/>
    <col min="12260" max="12260" width="5.5" style="70" customWidth="1"/>
    <col min="12261" max="12261" width="8.5" style="70"/>
    <col min="12262" max="12263" width="10.875" style="70" customWidth="1"/>
    <col min="12264" max="12264" width="15.25" style="70" customWidth="1"/>
    <col min="12265" max="12265" width="0.75" style="70" customWidth="1"/>
    <col min="12266" max="12268" width="0.625" style="70" customWidth="1"/>
    <col min="12269" max="12513" width="8.5" style="70"/>
    <col min="12514" max="12514" width="5.25" style="70" customWidth="1"/>
    <col min="12515" max="12515" width="26.25" style="70" customWidth="1"/>
    <col min="12516" max="12516" width="5.5" style="70" customWidth="1"/>
    <col min="12517" max="12517" width="8.5" style="70"/>
    <col min="12518" max="12519" width="10.875" style="70" customWidth="1"/>
    <col min="12520" max="12520" width="15.25" style="70" customWidth="1"/>
    <col min="12521" max="12521" width="0.75" style="70" customWidth="1"/>
    <col min="12522" max="12524" width="0.625" style="70" customWidth="1"/>
    <col min="12525" max="12769" width="8.5" style="70"/>
    <col min="12770" max="12770" width="5.25" style="70" customWidth="1"/>
    <col min="12771" max="12771" width="26.25" style="70" customWidth="1"/>
    <col min="12772" max="12772" width="5.5" style="70" customWidth="1"/>
    <col min="12773" max="12773" width="8.5" style="70"/>
    <col min="12774" max="12775" width="10.875" style="70" customWidth="1"/>
    <col min="12776" max="12776" width="15.25" style="70" customWidth="1"/>
    <col min="12777" max="12777" width="0.75" style="70" customWidth="1"/>
    <col min="12778" max="12780" width="0.625" style="70" customWidth="1"/>
    <col min="12781" max="13025" width="8.5" style="70"/>
    <col min="13026" max="13026" width="5.25" style="70" customWidth="1"/>
    <col min="13027" max="13027" width="26.25" style="70" customWidth="1"/>
    <col min="13028" max="13028" width="5.5" style="70" customWidth="1"/>
    <col min="13029" max="13029" width="8.5" style="70"/>
    <col min="13030" max="13031" width="10.875" style="70" customWidth="1"/>
    <col min="13032" max="13032" width="15.25" style="70" customWidth="1"/>
    <col min="13033" max="13033" width="0.75" style="70" customWidth="1"/>
    <col min="13034" max="13036" width="0.625" style="70" customWidth="1"/>
    <col min="13037" max="13281" width="8.5" style="70"/>
    <col min="13282" max="13282" width="5.25" style="70" customWidth="1"/>
    <col min="13283" max="13283" width="26.25" style="70" customWidth="1"/>
    <col min="13284" max="13284" width="5.5" style="70" customWidth="1"/>
    <col min="13285" max="13285" width="8.5" style="70"/>
    <col min="13286" max="13287" width="10.875" style="70" customWidth="1"/>
    <col min="13288" max="13288" width="15.25" style="70" customWidth="1"/>
    <col min="13289" max="13289" width="0.75" style="70" customWidth="1"/>
    <col min="13290" max="13292" width="0.625" style="70" customWidth="1"/>
    <col min="13293" max="13537" width="8.5" style="70"/>
    <col min="13538" max="13538" width="5.25" style="70" customWidth="1"/>
    <col min="13539" max="13539" width="26.25" style="70" customWidth="1"/>
    <col min="13540" max="13540" width="5.5" style="70" customWidth="1"/>
    <col min="13541" max="13541" width="8.5" style="70"/>
    <col min="13542" max="13543" width="10.875" style="70" customWidth="1"/>
    <col min="13544" max="13544" width="15.25" style="70" customWidth="1"/>
    <col min="13545" max="13545" width="0.75" style="70" customWidth="1"/>
    <col min="13546" max="13548" width="0.625" style="70" customWidth="1"/>
    <col min="13549" max="13793" width="8.5" style="70"/>
    <col min="13794" max="13794" width="5.25" style="70" customWidth="1"/>
    <col min="13795" max="13795" width="26.25" style="70" customWidth="1"/>
    <col min="13796" max="13796" width="5.5" style="70" customWidth="1"/>
    <col min="13797" max="13797" width="8.5" style="70"/>
    <col min="13798" max="13799" width="10.875" style="70" customWidth="1"/>
    <col min="13800" max="13800" width="15.25" style="70" customWidth="1"/>
    <col min="13801" max="13801" width="0.75" style="70" customWidth="1"/>
    <col min="13802" max="13804" width="0.625" style="70" customWidth="1"/>
    <col min="13805" max="14049" width="8.5" style="70"/>
    <col min="14050" max="14050" width="5.25" style="70" customWidth="1"/>
    <col min="14051" max="14051" width="26.25" style="70" customWidth="1"/>
    <col min="14052" max="14052" width="5.5" style="70" customWidth="1"/>
    <col min="14053" max="14053" width="8.5" style="70"/>
    <col min="14054" max="14055" width="10.875" style="70" customWidth="1"/>
    <col min="14056" max="14056" width="15.25" style="70" customWidth="1"/>
    <col min="14057" max="14057" width="0.75" style="70" customWidth="1"/>
    <col min="14058" max="14060" width="0.625" style="70" customWidth="1"/>
    <col min="14061" max="14305" width="8.5" style="70"/>
    <col min="14306" max="14306" width="5.25" style="70" customWidth="1"/>
    <col min="14307" max="14307" width="26.25" style="70" customWidth="1"/>
    <col min="14308" max="14308" width="5.5" style="70" customWidth="1"/>
    <col min="14309" max="14309" width="8.5" style="70"/>
    <col min="14310" max="14311" width="10.875" style="70" customWidth="1"/>
    <col min="14312" max="14312" width="15.25" style="70" customWidth="1"/>
    <col min="14313" max="14313" width="0.75" style="70" customWidth="1"/>
    <col min="14314" max="14316" width="0.625" style="70" customWidth="1"/>
    <col min="14317" max="14561" width="8.5" style="70"/>
    <col min="14562" max="14562" width="5.25" style="70" customWidth="1"/>
    <col min="14563" max="14563" width="26.25" style="70" customWidth="1"/>
    <col min="14564" max="14564" width="5.5" style="70" customWidth="1"/>
    <col min="14565" max="14565" width="8.5" style="70"/>
    <col min="14566" max="14567" width="10.875" style="70" customWidth="1"/>
    <col min="14568" max="14568" width="15.25" style="70" customWidth="1"/>
    <col min="14569" max="14569" width="0.75" style="70" customWidth="1"/>
    <col min="14570" max="14572" width="0.625" style="70" customWidth="1"/>
    <col min="14573" max="14817" width="8.5" style="70"/>
    <col min="14818" max="14818" width="5.25" style="70" customWidth="1"/>
    <col min="14819" max="14819" width="26.25" style="70" customWidth="1"/>
    <col min="14820" max="14820" width="5.5" style="70" customWidth="1"/>
    <col min="14821" max="14821" width="8.5" style="70"/>
    <col min="14822" max="14823" width="10.875" style="70" customWidth="1"/>
    <col min="14824" max="14824" width="15.25" style="70" customWidth="1"/>
    <col min="14825" max="14825" width="0.75" style="70" customWidth="1"/>
    <col min="14826" max="14828" width="0.625" style="70" customWidth="1"/>
    <col min="14829" max="15073" width="8.5" style="70"/>
    <col min="15074" max="15074" width="5.25" style="70" customWidth="1"/>
    <col min="15075" max="15075" width="26.25" style="70" customWidth="1"/>
    <col min="15076" max="15076" width="5.5" style="70" customWidth="1"/>
    <col min="15077" max="15077" width="8.5" style="70"/>
    <col min="15078" max="15079" width="10.875" style="70" customWidth="1"/>
    <col min="15080" max="15080" width="15.25" style="70" customWidth="1"/>
    <col min="15081" max="15081" width="0.75" style="70" customWidth="1"/>
    <col min="15082" max="15084" width="0.625" style="70" customWidth="1"/>
    <col min="15085" max="15329" width="8.5" style="70"/>
    <col min="15330" max="15330" width="5.25" style="70" customWidth="1"/>
    <col min="15331" max="15331" width="26.25" style="70" customWidth="1"/>
    <col min="15332" max="15332" width="5.5" style="70" customWidth="1"/>
    <col min="15333" max="15333" width="8.5" style="70"/>
    <col min="15334" max="15335" width="10.875" style="70" customWidth="1"/>
    <col min="15336" max="15336" width="15.25" style="70" customWidth="1"/>
    <col min="15337" max="15337" width="0.75" style="70" customWidth="1"/>
    <col min="15338" max="15340" width="0.625" style="70" customWidth="1"/>
    <col min="15341" max="15585" width="8.5" style="70"/>
    <col min="15586" max="15586" width="5.25" style="70" customWidth="1"/>
    <col min="15587" max="15587" width="26.25" style="70" customWidth="1"/>
    <col min="15588" max="15588" width="5.5" style="70" customWidth="1"/>
    <col min="15589" max="15589" width="8.5" style="70"/>
    <col min="15590" max="15591" width="10.875" style="70" customWidth="1"/>
    <col min="15592" max="15592" width="15.25" style="70" customWidth="1"/>
    <col min="15593" max="15593" width="0.75" style="70" customWidth="1"/>
    <col min="15594" max="15596" width="0.625" style="70" customWidth="1"/>
    <col min="15597" max="15841" width="8.5" style="70"/>
    <col min="15842" max="15842" width="5.25" style="70" customWidth="1"/>
    <col min="15843" max="15843" width="26.25" style="70" customWidth="1"/>
    <col min="15844" max="15844" width="5.5" style="70" customWidth="1"/>
    <col min="15845" max="15845" width="8.5" style="70"/>
    <col min="15846" max="15847" width="10.875" style="70" customWidth="1"/>
    <col min="15848" max="15848" width="15.25" style="70" customWidth="1"/>
    <col min="15849" max="15849" width="0.75" style="70" customWidth="1"/>
    <col min="15850" max="15852" width="0.625" style="70" customWidth="1"/>
    <col min="15853" max="16097" width="8.5" style="70"/>
    <col min="16098" max="16098" width="5.25" style="70" customWidth="1"/>
    <col min="16099" max="16099" width="26.25" style="70" customWidth="1"/>
    <col min="16100" max="16100" width="5.5" style="70" customWidth="1"/>
    <col min="16101" max="16101" width="8.5" style="70"/>
    <col min="16102" max="16103" width="10.875" style="70" customWidth="1"/>
    <col min="16104" max="16104" width="15.25" style="70" customWidth="1"/>
    <col min="16105" max="16105" width="0.75" style="70" customWidth="1"/>
    <col min="16106" max="16108" width="0.625" style="70" customWidth="1"/>
    <col min="16109" max="16384" width="8.5" style="70"/>
  </cols>
  <sheetData>
    <row r="1" spans="1:43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47"/>
      <c r="X1" s="99"/>
      <c r="Y1" s="99"/>
      <c r="Z1" s="99"/>
      <c r="AA1" s="99"/>
      <c r="AB1" s="100"/>
    </row>
    <row r="2" spans="1:43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47"/>
    </row>
    <row r="3" spans="1:43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47"/>
      <c r="R3" s="386" t="s">
        <v>0</v>
      </c>
      <c r="S3" s="387"/>
      <c r="T3" s="387"/>
      <c r="U3" s="387"/>
      <c r="V3" s="387"/>
      <c r="W3" s="387"/>
      <c r="X3" s="387"/>
      <c r="Y3" s="387"/>
      <c r="Z3" s="387"/>
      <c r="AA3" s="387"/>
      <c r="AB3" s="387"/>
    </row>
    <row r="4" spans="1:43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48"/>
      <c r="R4" s="389">
        <v>28</v>
      </c>
      <c r="S4" s="387"/>
      <c r="T4" s="387"/>
      <c r="U4" s="387"/>
      <c r="V4" s="387"/>
      <c r="W4" s="387"/>
      <c r="X4" s="387"/>
      <c r="Y4" s="387"/>
      <c r="Z4" s="387"/>
      <c r="AA4" s="387"/>
      <c r="AB4" s="387"/>
    </row>
    <row r="5" spans="1:43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88"/>
      <c r="K5" s="393" t="s">
        <v>4</v>
      </c>
      <c r="L5" s="393"/>
      <c r="M5" s="74"/>
      <c r="N5" s="394" t="s">
        <v>3161</v>
      </c>
      <c r="O5" s="394"/>
      <c r="P5" s="394"/>
      <c r="Q5" s="96"/>
      <c r="R5" s="395" t="s">
        <v>2</v>
      </c>
      <c r="S5" s="396"/>
      <c r="T5" s="396"/>
      <c r="U5" s="396"/>
      <c r="V5" s="396"/>
      <c r="W5" s="396"/>
      <c r="X5" s="396"/>
      <c r="Y5" s="396"/>
      <c r="Z5" s="4" t="s">
        <v>1361</v>
      </c>
      <c r="AA5" s="380">
        <v>46022</v>
      </c>
      <c r="AB5" s="381"/>
      <c r="AC5"/>
      <c r="AD5" s="181"/>
      <c r="AE5" s="181"/>
      <c r="AF5" s="181"/>
      <c r="AG5" s="181"/>
    </row>
    <row r="6" spans="1:43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0" t="s">
        <v>3162</v>
      </c>
      <c r="J6" s="351" t="s">
        <v>9</v>
      </c>
      <c r="K6" s="51" t="s">
        <v>3068</v>
      </c>
      <c r="L6" s="50" t="s">
        <v>11</v>
      </c>
      <c r="M6" s="47"/>
      <c r="N6" s="1" t="s">
        <v>1423</v>
      </c>
      <c r="O6" s="1" t="s">
        <v>1424</v>
      </c>
      <c r="P6" s="1" t="s">
        <v>1425</v>
      </c>
      <c r="Q6" s="97"/>
      <c r="R6" s="5" t="s">
        <v>5</v>
      </c>
      <c r="S6" s="6" t="s">
        <v>1362</v>
      </c>
      <c r="T6" s="6" t="s">
        <v>7</v>
      </c>
      <c r="U6" s="6" t="s">
        <v>1363</v>
      </c>
      <c r="V6" s="6" t="s">
        <v>1364</v>
      </c>
      <c r="W6" s="6" t="s">
        <v>1365</v>
      </c>
      <c r="X6" s="6" t="s">
        <v>1366</v>
      </c>
      <c r="Y6" s="214" t="s">
        <v>1367</v>
      </c>
      <c r="Z6" s="214" t="s">
        <v>1368</v>
      </c>
      <c r="AA6" s="214" t="s">
        <v>1369</v>
      </c>
      <c r="AB6" s="7" t="s">
        <v>1370</v>
      </c>
      <c r="AC6" s="36"/>
      <c r="AI6" s="222">
        <f>AK7</f>
        <v>0.87016800000000005</v>
      </c>
      <c r="AJ6" s="360">
        <f>AK9</f>
        <v>6.5987749309985855E-2</v>
      </c>
      <c r="AK6" s="197" t="s">
        <v>1513</v>
      </c>
      <c r="AM6" s="68" t="s">
        <v>3110</v>
      </c>
    </row>
    <row r="7" spans="1:43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/>
      <c r="K7" s="75">
        <v>425454729</v>
      </c>
      <c r="L7" s="53" t="s">
        <v>15</v>
      </c>
      <c r="M7" s="73"/>
      <c r="N7" s="39">
        <v>1</v>
      </c>
      <c r="O7" s="39">
        <v>7275400</v>
      </c>
      <c r="P7" s="39">
        <v>342142300</v>
      </c>
      <c r="Q7" s="98"/>
      <c r="R7" s="8" t="s">
        <v>12</v>
      </c>
      <c r="S7" s="9" t="s">
        <v>13</v>
      </c>
      <c r="T7" s="10" t="s">
        <v>14</v>
      </c>
      <c r="U7" s="11">
        <v>1</v>
      </c>
      <c r="V7" s="11"/>
      <c r="W7" s="11">
        <f>W8+W434+W464+W504+W508+W529+W549+W552+W553+W556</f>
        <v>425454728.99999994</v>
      </c>
      <c r="X7" s="11">
        <f>IF(Z7=0,0,1)</f>
        <v>1</v>
      </c>
      <c r="Y7" s="11">
        <f>IF(AA7=0,0,1)</f>
        <v>1</v>
      </c>
      <c r="Z7" s="11">
        <f>Z8+Z434+Z464+Z504+Z508+Z529+Z549+Z552+Z553+Z556</f>
        <v>28074799.999999966</v>
      </c>
      <c r="AA7" s="11">
        <f>ROUNDDOWN((AA8+AA434+AA464+AA504+AA508+AA529+AA549+AA553+AA556+(AA8+AA434+AA464+AA504+AA508+AA529+AA549)*0.1095000004)/1000,1)*1000</f>
        <v>370217100</v>
      </c>
      <c r="AB7" s="12" t="s">
        <v>15</v>
      </c>
      <c r="AC7" s="232"/>
      <c r="AD7" s="182"/>
      <c r="AE7" s="182"/>
      <c r="AF7" s="182"/>
      <c r="AG7" s="182"/>
      <c r="AH7" s="363"/>
      <c r="AI7" s="187"/>
      <c r="AJ7" s="126">
        <f>K7</f>
        <v>425454729</v>
      </c>
      <c r="AK7" s="201">
        <f>ROUND(AA7/AJ7,6)</f>
        <v>0.87016800000000005</v>
      </c>
      <c r="AP7" s="367"/>
      <c r="AQ7" s="367"/>
    </row>
    <row r="8" spans="1:43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/>
      <c r="K8" s="88">
        <v>325898218.11000001</v>
      </c>
      <c r="L8" s="86" t="s">
        <v>15</v>
      </c>
      <c r="M8" s="73"/>
      <c r="N8" s="42">
        <v>1</v>
      </c>
      <c r="O8" s="42">
        <v>5880712.1600000001</v>
      </c>
      <c r="P8" s="42">
        <v>259038073.22</v>
      </c>
      <c r="Q8" s="98"/>
      <c r="R8" s="13" t="s">
        <v>1371</v>
      </c>
      <c r="S8" s="14" t="s">
        <v>18</v>
      </c>
      <c r="T8" s="15" t="s">
        <v>14</v>
      </c>
      <c r="U8" s="16">
        <v>1</v>
      </c>
      <c r="V8" s="16"/>
      <c r="W8" s="16">
        <f>W9+W40+W144+W193+W223+W242+W263+W362+W407+W415+W432</f>
        <v>325898218.11000001</v>
      </c>
      <c r="X8" s="16">
        <f t="shared" ref="X8:Y9" si="0">IF(Z8=0,0,1)</f>
        <v>1</v>
      </c>
      <c r="Y8" s="16">
        <f t="shared" si="0"/>
        <v>1</v>
      </c>
      <c r="Z8" s="16">
        <f>Z9+Z40+Z144+Z193+Z223+Z242+Z263+Z362+Z407+Z415+Z432</f>
        <v>23728226.870000005</v>
      </c>
      <c r="AA8" s="16">
        <f>AA9+AA40+AA144+AA193+AA223+AA242+AA263+AA362+AA407+AA415+AA432</f>
        <v>282766300.09000003</v>
      </c>
      <c r="AB8" s="17" t="s">
        <v>15</v>
      </c>
      <c r="AC8" s="232"/>
      <c r="AD8" s="183"/>
      <c r="AE8" s="183"/>
      <c r="AF8" s="183"/>
      <c r="AG8" s="183"/>
      <c r="AH8" s="363"/>
      <c r="AI8" s="188"/>
      <c r="AJ8" s="188"/>
      <c r="AK8" s="124" t="s">
        <v>1514</v>
      </c>
      <c r="AP8" s="367"/>
      <c r="AQ8" s="367"/>
    </row>
    <row r="9" spans="1:43" s="69" customFormat="1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/>
      <c r="K9" s="82">
        <v>89884530.849999994</v>
      </c>
      <c r="L9" s="80" t="s">
        <v>15</v>
      </c>
      <c r="M9" s="73"/>
      <c r="N9" s="45">
        <v>1</v>
      </c>
      <c r="O9" s="45">
        <v>1190978.25</v>
      </c>
      <c r="P9" s="45">
        <v>80650368.519999996</v>
      </c>
      <c r="Q9" s="98"/>
      <c r="R9" s="18" t="s">
        <v>1372</v>
      </c>
      <c r="S9" s="19" t="s">
        <v>20</v>
      </c>
      <c r="T9" s="20" t="s">
        <v>14</v>
      </c>
      <c r="U9" s="21">
        <v>1</v>
      </c>
      <c r="V9" s="21"/>
      <c r="W9" s="21">
        <f>SUMIFS(AE:AE,AF:AF,AF9)</f>
        <v>89884530.849999994</v>
      </c>
      <c r="X9" s="21">
        <f t="shared" si="0"/>
        <v>1</v>
      </c>
      <c r="Y9" s="21">
        <f t="shared" si="0"/>
        <v>1</v>
      </c>
      <c r="Z9" s="21">
        <f>SUMIFS(Z:Z,AG:AG,AF9)</f>
        <v>3762210.8400000026</v>
      </c>
      <c r="AA9" s="21">
        <f>SUMIFS(AA:AA,AG:AG,AF9)</f>
        <v>84412579.359999985</v>
      </c>
      <c r="AB9" s="22" t="s">
        <v>15</v>
      </c>
      <c r="AC9" s="232"/>
      <c r="AD9" s="184">
        <f>IF(V9=0,U9,V9)</f>
        <v>1</v>
      </c>
      <c r="AE9" s="184"/>
      <c r="AF9" s="181">
        <v>1.1000000000000001</v>
      </c>
      <c r="AG9" s="181"/>
      <c r="AH9" s="363"/>
      <c r="AI9" s="189" t="s">
        <v>3061</v>
      </c>
      <c r="AJ9" s="188"/>
      <c r="AK9" s="125">
        <f>Z7/AJ7</f>
        <v>6.5987749309985855E-2</v>
      </c>
      <c r="AM9" s="101" t="s">
        <v>3062</v>
      </c>
      <c r="AO9" s="367"/>
      <c r="AP9" s="367"/>
      <c r="AQ9" s="367"/>
    </row>
    <row r="10" spans="1:43" s="69" customFormat="1" ht="58.5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/>
      <c r="I10" s="75"/>
      <c r="J10" s="75">
        <v>193.12</v>
      </c>
      <c r="K10" s="75">
        <v>105184.74</v>
      </c>
      <c r="L10" s="91" t="s">
        <v>24</v>
      </c>
      <c r="M10" s="73"/>
      <c r="N10" s="46">
        <v>476.3</v>
      </c>
      <c r="O10" s="46">
        <v>0</v>
      </c>
      <c r="P10" s="46">
        <v>91983.06</v>
      </c>
      <c r="Q10" s="98"/>
      <c r="R10" s="23" t="s">
        <v>1421</v>
      </c>
      <c r="S10" s="24" t="s">
        <v>22</v>
      </c>
      <c r="T10" s="25" t="s">
        <v>23</v>
      </c>
      <c r="U10" s="26">
        <v>544.66</v>
      </c>
      <c r="V10" s="26">
        <f>IF(I10&gt;0,I10,IF(H10&gt;0,H10,IF(G10&gt;0,G10,IF(F10&gt;0,F10,IF(E10&gt;0,E10,D10)))))</f>
        <v>544.66</v>
      </c>
      <c r="W10" s="26">
        <f>J10</f>
        <v>193.12</v>
      </c>
      <c r="X10" s="243">
        <f>AI10-N10</f>
        <v>56.349999999999966</v>
      </c>
      <c r="Y10" s="127">
        <f>X10+N10</f>
        <v>532.65</v>
      </c>
      <c r="Z10" s="127">
        <f t="shared" ref="Z10:Z39" si="1">AA10-P10</f>
        <v>10882.309999999998</v>
      </c>
      <c r="AA10" s="127">
        <f>ROUND(W10*Y10,2)</f>
        <v>102865.37</v>
      </c>
      <c r="AB10" s="33" t="s">
        <v>15</v>
      </c>
      <c r="AC10" s="324"/>
      <c r="AD10" s="181">
        <f t="shared" ref="AD10:AD73" si="2">IF(V10=0,U10,V10)</f>
        <v>544.66</v>
      </c>
      <c r="AE10" s="181">
        <f t="shared" ref="AE10:AE37" si="3">ROUND(W10*AD10,2)</f>
        <v>105184.74</v>
      </c>
      <c r="AF10" s="181">
        <v>1.1000000000000001</v>
      </c>
      <c r="AG10" s="181">
        <v>1.1000000000000001</v>
      </c>
      <c r="AH10" s="363" t="str">
        <f>IF(Y10&gt;AJ10,"超估","")</f>
        <v/>
      </c>
      <c r="AI10" s="191">
        <f>408.7+67.6+56.35</f>
        <v>532.65</v>
      </c>
      <c r="AJ10" s="188">
        <v>544.66</v>
      </c>
      <c r="AO10" s="367"/>
      <c r="AP10" s="367"/>
      <c r="AQ10" s="367"/>
    </row>
    <row r="11" spans="1:43" s="69" customFormat="1" ht="58.5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/>
      <c r="I11" s="75"/>
      <c r="J11" s="75">
        <v>1046.22</v>
      </c>
      <c r="K11" s="75">
        <v>7417092.9900000002</v>
      </c>
      <c r="L11" s="91" t="s">
        <v>27</v>
      </c>
      <c r="M11" s="73"/>
      <c r="N11" s="46">
        <v>6937.01</v>
      </c>
      <c r="O11" s="46">
        <v>37873.160000000003</v>
      </c>
      <c r="P11" s="46">
        <v>7257638.5999999996</v>
      </c>
      <c r="Q11" s="98"/>
      <c r="R11" s="23" t="s">
        <v>1426</v>
      </c>
      <c r="S11" s="24" t="s">
        <v>26</v>
      </c>
      <c r="T11" s="25" t="s">
        <v>23</v>
      </c>
      <c r="U11" s="26">
        <v>7089.42</v>
      </c>
      <c r="V11" s="26">
        <f t="shared" ref="V11:V39" si="4">IF(I11&gt;0,I11,IF(H11&gt;0,H11,IF(G11&gt;0,G11,IF(F11&gt;0,F11,IF(E11&gt;0,E11,D11)))))</f>
        <v>7089.42</v>
      </c>
      <c r="W11" s="26">
        <f t="shared" ref="W11:W74" si="5">J11</f>
        <v>1046.22</v>
      </c>
      <c r="X11" s="243">
        <f>AI11-N11</f>
        <v>152.19999999999891</v>
      </c>
      <c r="Y11" s="127">
        <f t="shared" ref="Y11:Y76" si="6">X11+N11</f>
        <v>7089.2099999999991</v>
      </c>
      <c r="Z11" s="127">
        <f t="shared" si="1"/>
        <v>159234.69000000041</v>
      </c>
      <c r="AA11" s="127">
        <f t="shared" ref="AA11:AA76" si="7">ROUND(W11*Y11,2)</f>
        <v>7416873.29</v>
      </c>
      <c r="AB11" s="33" t="s">
        <v>15</v>
      </c>
      <c r="AC11" s="324"/>
      <c r="AD11" s="181">
        <f t="shared" si="2"/>
        <v>7089.42</v>
      </c>
      <c r="AE11" s="181">
        <f t="shared" si="3"/>
        <v>7417092.9900000002</v>
      </c>
      <c r="AF11" s="181">
        <v>1.1000000000000001</v>
      </c>
      <c r="AG11" s="181">
        <v>1.1000000000000001</v>
      </c>
      <c r="AH11" s="363" t="str">
        <f t="shared" ref="AH11:AH76" si="8">IF(Y11&gt;AJ11,"超估","")</f>
        <v/>
      </c>
      <c r="AI11" s="191">
        <f>6531.11+35.5+231.7+102.5+36.2+152.2</f>
        <v>7089.2099999999991</v>
      </c>
      <c r="AJ11" s="188">
        <v>7089.42</v>
      </c>
      <c r="AO11" s="367"/>
      <c r="AP11" s="367"/>
      <c r="AQ11" s="367"/>
    </row>
    <row r="12" spans="1:43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/>
      <c r="I12" s="75"/>
      <c r="J12" s="75">
        <v>6200</v>
      </c>
      <c r="K12" s="75">
        <v>28619200</v>
      </c>
      <c r="L12" s="91" t="s">
        <v>31</v>
      </c>
      <c r="M12" s="73"/>
      <c r="N12" s="46">
        <v>4610.7</v>
      </c>
      <c r="O12" s="46">
        <v>0</v>
      </c>
      <c r="P12" s="46">
        <v>28586340</v>
      </c>
      <c r="Q12" s="98"/>
      <c r="R12" s="23" t="s">
        <v>1402</v>
      </c>
      <c r="S12" s="24" t="s">
        <v>29</v>
      </c>
      <c r="T12" s="25" t="s">
        <v>30</v>
      </c>
      <c r="U12" s="26">
        <v>4616</v>
      </c>
      <c r="V12" s="26">
        <f t="shared" si="4"/>
        <v>4616</v>
      </c>
      <c r="W12" s="26">
        <f t="shared" si="5"/>
        <v>6200</v>
      </c>
      <c r="X12" s="127">
        <f t="shared" ref="X12:X77" si="9">AI12-N12</f>
        <v>0</v>
      </c>
      <c r="Y12" s="127">
        <f t="shared" si="6"/>
        <v>4610.7</v>
      </c>
      <c r="Z12" s="127">
        <f t="shared" si="1"/>
        <v>0</v>
      </c>
      <c r="AA12" s="127">
        <f t="shared" si="7"/>
        <v>28586340</v>
      </c>
      <c r="AB12" s="33" t="s">
        <v>15</v>
      </c>
      <c r="AC12" s="324"/>
      <c r="AD12" s="181">
        <f t="shared" si="2"/>
        <v>4616</v>
      </c>
      <c r="AE12" s="181">
        <f t="shared" si="3"/>
        <v>28619200</v>
      </c>
      <c r="AF12" s="181">
        <v>1.1000000000000001</v>
      </c>
      <c r="AG12" s="181">
        <v>1.1000000000000001</v>
      </c>
      <c r="AH12" s="363" t="str">
        <f t="shared" si="8"/>
        <v/>
      </c>
      <c r="AI12" s="192">
        <v>4610.7</v>
      </c>
      <c r="AJ12" s="188">
        <v>4616</v>
      </c>
      <c r="AO12" s="367"/>
      <c r="AP12" s="367"/>
      <c r="AQ12" s="367"/>
    </row>
    <row r="13" spans="1:43" s="69" customFormat="1" ht="78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/>
      <c r="I13" s="75"/>
      <c r="J13" s="75">
        <v>48.28</v>
      </c>
      <c r="K13" s="75">
        <v>1533324.52</v>
      </c>
      <c r="L13" s="91" t="s">
        <v>35</v>
      </c>
      <c r="M13" s="73"/>
      <c r="N13" s="46">
        <v>29684</v>
      </c>
      <c r="O13" s="46">
        <v>0</v>
      </c>
      <c r="P13" s="46">
        <v>1433143.52</v>
      </c>
      <c r="Q13" s="98"/>
      <c r="R13" s="23" t="s">
        <v>1373</v>
      </c>
      <c r="S13" s="24" t="s">
        <v>33</v>
      </c>
      <c r="T13" s="25" t="s">
        <v>34</v>
      </c>
      <c r="U13" s="26">
        <v>29759</v>
      </c>
      <c r="V13" s="26">
        <f t="shared" si="4"/>
        <v>31759</v>
      </c>
      <c r="W13" s="26">
        <f t="shared" si="5"/>
        <v>48.28</v>
      </c>
      <c r="X13" s="243">
        <f>AI13-N13</f>
        <v>631.29999999999563</v>
      </c>
      <c r="Y13" s="127">
        <f>X13+N13</f>
        <v>30315.299999999996</v>
      </c>
      <c r="Z13" s="127">
        <f t="shared" si="1"/>
        <v>30479.159999999916</v>
      </c>
      <c r="AA13" s="127">
        <f t="shared" si="7"/>
        <v>1463622.68</v>
      </c>
      <c r="AB13" s="27" t="s">
        <v>15</v>
      </c>
      <c r="AC13" s="324"/>
      <c r="AD13" s="263">
        <f t="shared" si="2"/>
        <v>31759</v>
      </c>
      <c r="AE13" s="263">
        <f t="shared" si="3"/>
        <v>1533324.52</v>
      </c>
      <c r="AF13" s="263">
        <v>1.1000000000000001</v>
      </c>
      <c r="AG13" s="263">
        <v>1.1000000000000001</v>
      </c>
      <c r="AH13" s="68" t="str">
        <f t="shared" si="8"/>
        <v/>
      </c>
      <c r="AI13" s="191">
        <f>28942.8+415.6+325.6+631.3</f>
        <v>30315.299999999996</v>
      </c>
      <c r="AJ13" s="188">
        <v>31759</v>
      </c>
      <c r="AO13" s="367"/>
      <c r="AP13" s="367"/>
      <c r="AQ13" s="367"/>
    </row>
    <row r="14" spans="1:43" s="69" customFormat="1" ht="58.5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/>
      <c r="I14" s="343">
        <v>1561.19</v>
      </c>
      <c r="J14" s="75">
        <v>599.75</v>
      </c>
      <c r="K14" s="75">
        <v>936323.7</v>
      </c>
      <c r="L14" s="91" t="s">
        <v>38</v>
      </c>
      <c r="M14" s="73"/>
      <c r="N14" s="46">
        <v>731.44</v>
      </c>
      <c r="O14" s="46">
        <v>0</v>
      </c>
      <c r="P14" s="46">
        <v>438681.14</v>
      </c>
      <c r="Q14" s="98"/>
      <c r="R14" s="23" t="s">
        <v>1393</v>
      </c>
      <c r="S14" s="24" t="s">
        <v>37</v>
      </c>
      <c r="T14" s="25" t="s">
        <v>23</v>
      </c>
      <c r="U14" s="26">
        <v>731.44</v>
      </c>
      <c r="V14" s="26">
        <f t="shared" si="4"/>
        <v>1561.19</v>
      </c>
      <c r="W14" s="26">
        <f t="shared" si="5"/>
        <v>599.75</v>
      </c>
      <c r="X14" s="243">
        <v>789.15</v>
      </c>
      <c r="Y14" s="127">
        <f t="shared" si="6"/>
        <v>1520.5900000000001</v>
      </c>
      <c r="Z14" s="127">
        <f t="shared" si="1"/>
        <v>473292.70999999996</v>
      </c>
      <c r="AA14" s="127">
        <f t="shared" si="7"/>
        <v>911973.85</v>
      </c>
      <c r="AB14" s="33" t="s">
        <v>15</v>
      </c>
      <c r="AC14" s="324"/>
      <c r="AD14" s="263">
        <f t="shared" si="2"/>
        <v>1561.19</v>
      </c>
      <c r="AE14" s="263">
        <f t="shared" si="3"/>
        <v>936323.7</v>
      </c>
      <c r="AF14" s="263">
        <v>1.1000000000000001</v>
      </c>
      <c r="AG14" s="263">
        <v>1.1000000000000001</v>
      </c>
      <c r="AH14" s="68" t="str">
        <f>IF(Y14&gt;AJ14,"超估","")</f>
        <v/>
      </c>
      <c r="AI14" s="191">
        <f>519.43+212.01+728.95</f>
        <v>1460.3899999999999</v>
      </c>
      <c r="AJ14" s="190">
        <v>1561.19</v>
      </c>
      <c r="AO14" s="367"/>
      <c r="AP14" s="367"/>
      <c r="AQ14" s="367"/>
    </row>
    <row r="15" spans="1:43" s="69" customFormat="1" ht="39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/>
      <c r="I15" s="328"/>
      <c r="J15" s="75">
        <v>104.64</v>
      </c>
      <c r="K15" s="75">
        <v>786788.16</v>
      </c>
      <c r="L15" s="91" t="s">
        <v>41</v>
      </c>
      <c r="M15" s="73"/>
      <c r="N15" s="46">
        <v>3959.2</v>
      </c>
      <c r="O15" s="46">
        <v>54475.59</v>
      </c>
      <c r="P15" s="46">
        <v>414290.69</v>
      </c>
      <c r="Q15" s="98"/>
      <c r="R15" s="23" t="s">
        <v>1403</v>
      </c>
      <c r="S15" s="24" t="s">
        <v>40</v>
      </c>
      <c r="T15" s="25" t="s">
        <v>23</v>
      </c>
      <c r="U15" s="26">
        <v>7519</v>
      </c>
      <c r="V15" s="26">
        <f t="shared" si="4"/>
        <v>7519</v>
      </c>
      <c r="W15" s="26">
        <f t="shared" si="5"/>
        <v>104.64</v>
      </c>
      <c r="X15" s="127">
        <f t="shared" si="9"/>
        <v>0</v>
      </c>
      <c r="Y15" s="127">
        <f t="shared" si="6"/>
        <v>3959.2</v>
      </c>
      <c r="Z15" s="127">
        <f t="shared" si="1"/>
        <v>0</v>
      </c>
      <c r="AA15" s="127">
        <f t="shared" si="7"/>
        <v>414290.69</v>
      </c>
      <c r="AB15" s="33" t="s">
        <v>15</v>
      </c>
      <c r="AC15" s="325"/>
      <c r="AD15" s="263">
        <f t="shared" si="2"/>
        <v>7519</v>
      </c>
      <c r="AE15" s="263">
        <f t="shared" si="3"/>
        <v>786788.16</v>
      </c>
      <c r="AF15" s="263">
        <v>1.1000000000000001</v>
      </c>
      <c r="AG15" s="263">
        <v>1.1000000000000001</v>
      </c>
      <c r="AH15" s="68" t="str">
        <f t="shared" si="8"/>
        <v/>
      </c>
      <c r="AI15" s="194">
        <f>2219+252.6+967+520.6</f>
        <v>3959.2</v>
      </c>
      <c r="AJ15" s="188">
        <v>7519</v>
      </c>
      <c r="AO15" s="367"/>
      <c r="AP15" s="367"/>
      <c r="AQ15" s="367"/>
    </row>
    <row r="16" spans="1:43" s="69" customFormat="1" ht="41.25" x14ac:dyDescent="0.3">
      <c r="A16" s="55" t="s">
        <v>42</v>
      </c>
      <c r="B16" s="118" t="s">
        <v>3289</v>
      </c>
      <c r="C16" s="119" t="s">
        <v>34</v>
      </c>
      <c r="D16" s="120">
        <v>22240</v>
      </c>
      <c r="E16" s="75"/>
      <c r="F16" s="75"/>
      <c r="G16" s="75"/>
      <c r="H16" s="75"/>
      <c r="I16" s="328">
        <v>22595.42</v>
      </c>
      <c r="J16" s="75">
        <v>1027.43</v>
      </c>
      <c r="K16" s="75">
        <v>23215212.370000001</v>
      </c>
      <c r="L16" s="91" t="s">
        <v>44</v>
      </c>
      <c r="M16" s="73"/>
      <c r="N16" s="46">
        <v>20242</v>
      </c>
      <c r="O16" s="46">
        <v>0</v>
      </c>
      <c r="P16" s="46">
        <v>20797238.059999999</v>
      </c>
      <c r="Q16" s="98"/>
      <c r="R16" s="23" t="s">
        <v>1427</v>
      </c>
      <c r="S16" s="24" t="s">
        <v>43</v>
      </c>
      <c r="T16" s="25" t="s">
        <v>34</v>
      </c>
      <c r="U16" s="26">
        <v>22240</v>
      </c>
      <c r="V16" s="26">
        <f t="shared" si="4"/>
        <v>22595.42</v>
      </c>
      <c r="W16" s="26">
        <f t="shared" si="5"/>
        <v>1027.43</v>
      </c>
      <c r="X16" s="243">
        <f t="shared" si="9"/>
        <v>2016</v>
      </c>
      <c r="Y16" s="121">
        <f t="shared" si="6"/>
        <v>22258</v>
      </c>
      <c r="Z16" s="127">
        <f t="shared" si="1"/>
        <v>2071298.8800000027</v>
      </c>
      <c r="AA16" s="127">
        <f t="shared" si="7"/>
        <v>22868536.940000001</v>
      </c>
      <c r="AB16" s="33" t="s">
        <v>15</v>
      </c>
      <c r="AC16" s="324"/>
      <c r="AD16" s="181">
        <f t="shared" si="2"/>
        <v>22595.42</v>
      </c>
      <c r="AE16" s="181">
        <f t="shared" si="3"/>
        <v>23215212.370000001</v>
      </c>
      <c r="AF16" s="181">
        <v>1.1000000000000001</v>
      </c>
      <c r="AG16" s="181">
        <v>1.1000000000000001</v>
      </c>
      <c r="AH16" s="363" t="str">
        <f t="shared" si="8"/>
        <v/>
      </c>
      <c r="AI16" s="191">
        <f>19090+12*96+168*12</f>
        <v>22258</v>
      </c>
      <c r="AJ16" s="190">
        <v>22595.42</v>
      </c>
      <c r="AN16" s="363"/>
      <c r="AO16" s="368"/>
      <c r="AP16" s="367"/>
      <c r="AQ16" s="367"/>
    </row>
    <row r="17" spans="1:43" s="69" customFormat="1" ht="58.5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/>
      <c r="I17" s="343">
        <v>0</v>
      </c>
      <c r="J17" s="75">
        <v>1085.04</v>
      </c>
      <c r="K17" s="75">
        <v>0</v>
      </c>
      <c r="L17" s="91" t="s">
        <v>47</v>
      </c>
      <c r="M17" s="73"/>
      <c r="N17" s="46">
        <v>4956</v>
      </c>
      <c r="O17" s="46">
        <v>0</v>
      </c>
      <c r="P17" s="46">
        <v>5377458.2400000002</v>
      </c>
      <c r="Q17" s="98"/>
      <c r="R17" s="23" t="s">
        <v>1428</v>
      </c>
      <c r="S17" s="24" t="s">
        <v>46</v>
      </c>
      <c r="T17" s="25" t="s">
        <v>23</v>
      </c>
      <c r="U17" s="26">
        <v>6730.42</v>
      </c>
      <c r="V17" s="26">
        <v>0</v>
      </c>
      <c r="W17" s="26">
        <f t="shared" si="5"/>
        <v>1085.04</v>
      </c>
      <c r="X17" s="327">
        <f t="shared" si="9"/>
        <v>0</v>
      </c>
      <c r="Y17" s="121">
        <f t="shared" si="6"/>
        <v>4956</v>
      </c>
      <c r="Z17" s="127">
        <f t="shared" si="1"/>
        <v>0</v>
      </c>
      <c r="AA17" s="127">
        <f t="shared" si="7"/>
        <v>5377458.2400000002</v>
      </c>
      <c r="AB17" s="33" t="s">
        <v>15</v>
      </c>
      <c r="AC17" s="324"/>
      <c r="AD17" s="181">
        <v>0</v>
      </c>
      <c r="AE17" s="181">
        <f t="shared" si="3"/>
        <v>0</v>
      </c>
      <c r="AF17" s="181">
        <v>1.1000000000000001</v>
      </c>
      <c r="AG17" s="181">
        <v>1.1000000000000001</v>
      </c>
      <c r="AH17" s="363" t="str">
        <f t="shared" si="8"/>
        <v>超估</v>
      </c>
      <c r="AI17" s="191">
        <v>4956</v>
      </c>
      <c r="AJ17" s="190">
        <v>0</v>
      </c>
      <c r="AO17" s="367"/>
      <c r="AP17" s="367"/>
      <c r="AQ17" s="367"/>
    </row>
    <row r="18" spans="1:43" s="69" customFormat="1" ht="97.5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/>
      <c r="I18" s="75"/>
      <c r="J18" s="75">
        <v>30.45</v>
      </c>
      <c r="K18" s="75">
        <v>113745.98</v>
      </c>
      <c r="L18" s="91" t="s">
        <v>51</v>
      </c>
      <c r="M18" s="73"/>
      <c r="N18" s="46">
        <v>3723.2</v>
      </c>
      <c r="O18" s="46">
        <v>0</v>
      </c>
      <c r="P18" s="46">
        <v>113371.44</v>
      </c>
      <c r="Q18" s="98"/>
      <c r="R18" s="23" t="s">
        <v>1387</v>
      </c>
      <c r="S18" s="24" t="s">
        <v>49</v>
      </c>
      <c r="T18" s="25" t="s">
        <v>50</v>
      </c>
      <c r="U18" s="26">
        <v>3735.5</v>
      </c>
      <c r="V18" s="26">
        <f t="shared" si="4"/>
        <v>3735.5</v>
      </c>
      <c r="W18" s="26">
        <f t="shared" si="5"/>
        <v>30.45</v>
      </c>
      <c r="X18" s="127">
        <f t="shared" si="9"/>
        <v>0</v>
      </c>
      <c r="Y18" s="127">
        <f t="shared" si="6"/>
        <v>3723.2</v>
      </c>
      <c r="Z18" s="127">
        <f t="shared" si="1"/>
        <v>0</v>
      </c>
      <c r="AA18" s="127">
        <f t="shared" si="7"/>
        <v>113371.44</v>
      </c>
      <c r="AB18" s="33" t="s">
        <v>15</v>
      </c>
      <c r="AC18" s="324"/>
      <c r="AD18" s="181">
        <f t="shared" si="2"/>
        <v>3735.5</v>
      </c>
      <c r="AE18" s="181">
        <f t="shared" si="3"/>
        <v>113745.98</v>
      </c>
      <c r="AF18" s="181">
        <v>1.1000000000000001</v>
      </c>
      <c r="AG18" s="181">
        <v>1.1000000000000001</v>
      </c>
      <c r="AH18" s="363" t="str">
        <f t="shared" si="8"/>
        <v/>
      </c>
      <c r="AI18" s="194">
        <f>2100+1623.2</f>
        <v>3723.2</v>
      </c>
      <c r="AJ18" s="188">
        <v>3735.5</v>
      </c>
      <c r="AO18" s="367"/>
      <c r="AP18" s="367"/>
      <c r="AQ18" s="367"/>
    </row>
    <row r="19" spans="1:43" s="69" customFormat="1" ht="78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/>
      <c r="I19" s="75"/>
      <c r="J19" s="75">
        <v>28.48</v>
      </c>
      <c r="K19" s="75">
        <v>290638.40000000002</v>
      </c>
      <c r="L19" s="91" t="s">
        <v>54</v>
      </c>
      <c r="M19" s="73"/>
      <c r="N19" s="46">
        <v>7924.8</v>
      </c>
      <c r="O19" s="46">
        <v>0</v>
      </c>
      <c r="P19" s="46">
        <v>225698.3</v>
      </c>
      <c r="Q19" s="98"/>
      <c r="R19" s="23" t="s">
        <v>1405</v>
      </c>
      <c r="S19" s="24" t="s">
        <v>53</v>
      </c>
      <c r="T19" s="25" t="s">
        <v>50</v>
      </c>
      <c r="U19" s="26">
        <v>10205</v>
      </c>
      <c r="V19" s="26">
        <f t="shared" si="4"/>
        <v>10205</v>
      </c>
      <c r="W19" s="26">
        <f t="shared" si="5"/>
        <v>28.48</v>
      </c>
      <c r="X19" s="243">
        <f t="shared" si="9"/>
        <v>1175.1999999999998</v>
      </c>
      <c r="Y19" s="127">
        <f t="shared" si="6"/>
        <v>9100</v>
      </c>
      <c r="Z19" s="127">
        <f t="shared" si="1"/>
        <v>33469.700000000012</v>
      </c>
      <c r="AA19" s="127">
        <f t="shared" si="7"/>
        <v>259168</v>
      </c>
      <c r="AB19" s="33" t="s">
        <v>15</v>
      </c>
      <c r="AC19" s="324"/>
      <c r="AD19" s="181">
        <f t="shared" si="2"/>
        <v>10205</v>
      </c>
      <c r="AE19" s="181">
        <f t="shared" si="3"/>
        <v>290638.40000000002</v>
      </c>
      <c r="AF19" s="181">
        <v>1.1000000000000001</v>
      </c>
      <c r="AG19" s="181">
        <v>1.1000000000000001</v>
      </c>
      <c r="AH19" s="363" t="str">
        <f t="shared" si="8"/>
        <v/>
      </c>
      <c r="AI19" s="191">
        <f>300+2363.8+198*2.2*2+128*2.2*2+3826.6+1175.2</f>
        <v>9100</v>
      </c>
      <c r="AJ19" s="188">
        <v>10205</v>
      </c>
      <c r="AO19" s="367"/>
      <c r="AP19" s="367"/>
      <c r="AQ19" s="367"/>
    </row>
    <row r="20" spans="1:43" s="69" customFormat="1" ht="78" x14ac:dyDescent="0.3">
      <c r="A20" s="130" t="s">
        <v>55</v>
      </c>
      <c r="B20" s="131" t="s">
        <v>56</v>
      </c>
      <c r="C20" s="132" t="s">
        <v>30</v>
      </c>
      <c r="D20" s="133">
        <v>142.6</v>
      </c>
      <c r="E20" s="75"/>
      <c r="F20" s="75"/>
      <c r="G20" s="75"/>
      <c r="H20" s="75"/>
      <c r="I20" s="75"/>
      <c r="J20" s="75">
        <v>65.400000000000006</v>
      </c>
      <c r="K20" s="75">
        <v>9326.0400000000009</v>
      </c>
      <c r="L20" s="91" t="s">
        <v>57</v>
      </c>
      <c r="M20" s="73"/>
      <c r="N20" s="46">
        <v>142.19999999999999</v>
      </c>
      <c r="O20" s="46">
        <v>0</v>
      </c>
      <c r="P20" s="46">
        <v>9299.8799999999992</v>
      </c>
      <c r="Q20" s="98"/>
      <c r="R20" s="23" t="s">
        <v>1406</v>
      </c>
      <c r="S20" s="24" t="s">
        <v>56</v>
      </c>
      <c r="T20" s="25" t="s">
        <v>30</v>
      </c>
      <c r="U20" s="26">
        <v>142.6</v>
      </c>
      <c r="V20" s="26">
        <f t="shared" si="4"/>
        <v>142.6</v>
      </c>
      <c r="W20" s="26">
        <f t="shared" si="5"/>
        <v>65.400000000000006</v>
      </c>
      <c r="X20" s="127">
        <f t="shared" si="9"/>
        <v>0</v>
      </c>
      <c r="Y20" s="127">
        <f t="shared" si="6"/>
        <v>142.19999999999999</v>
      </c>
      <c r="Z20" s="127">
        <f t="shared" si="1"/>
        <v>0</v>
      </c>
      <c r="AA20" s="127">
        <f t="shared" si="7"/>
        <v>9299.8799999999992</v>
      </c>
      <c r="AB20" s="33" t="s">
        <v>15</v>
      </c>
      <c r="AC20" s="324"/>
      <c r="AD20" s="181">
        <f t="shared" si="2"/>
        <v>142.6</v>
      </c>
      <c r="AE20" s="181">
        <f t="shared" si="3"/>
        <v>9326.0400000000009</v>
      </c>
      <c r="AF20" s="181">
        <v>1.1000000000000001</v>
      </c>
      <c r="AG20" s="181">
        <v>1.1000000000000001</v>
      </c>
      <c r="AH20" s="363" t="str">
        <f t="shared" si="8"/>
        <v/>
      </c>
      <c r="AI20" s="192">
        <f>73+69.2</f>
        <v>142.19999999999999</v>
      </c>
      <c r="AJ20" s="188">
        <v>142.6</v>
      </c>
      <c r="AO20" s="367"/>
      <c r="AP20" s="367"/>
      <c r="AQ20" s="367"/>
    </row>
    <row r="21" spans="1:43" s="69" customFormat="1" ht="58.5" x14ac:dyDescent="0.3">
      <c r="A21" s="130" t="s">
        <v>58</v>
      </c>
      <c r="B21" s="131" t="s">
        <v>59</v>
      </c>
      <c r="C21" s="132" t="s">
        <v>50</v>
      </c>
      <c r="D21" s="133">
        <v>8459.2999999999993</v>
      </c>
      <c r="E21" s="75"/>
      <c r="F21" s="75"/>
      <c r="G21" s="75"/>
      <c r="H21" s="75"/>
      <c r="I21" s="75"/>
      <c r="J21" s="75">
        <v>20.190000000000001</v>
      </c>
      <c r="K21" s="75">
        <v>170793.27</v>
      </c>
      <c r="L21" s="91" t="s">
        <v>60</v>
      </c>
      <c r="M21" s="73"/>
      <c r="N21" s="46">
        <v>8459.2999999999993</v>
      </c>
      <c r="O21" s="46">
        <v>0</v>
      </c>
      <c r="P21" s="46">
        <v>170793.27</v>
      </c>
      <c r="Q21" s="98"/>
      <c r="R21" s="23" t="s">
        <v>1414</v>
      </c>
      <c r="S21" s="24" t="s">
        <v>59</v>
      </c>
      <c r="T21" s="25" t="s">
        <v>50</v>
      </c>
      <c r="U21" s="26">
        <v>8459.2999999999993</v>
      </c>
      <c r="V21" s="26">
        <f t="shared" si="4"/>
        <v>8459.2999999999993</v>
      </c>
      <c r="W21" s="26">
        <f t="shared" si="5"/>
        <v>20.190000000000001</v>
      </c>
      <c r="X21" s="127">
        <f t="shared" si="9"/>
        <v>0</v>
      </c>
      <c r="Y21" s="127">
        <f t="shared" si="6"/>
        <v>8459.2999999999993</v>
      </c>
      <c r="Z21" s="127">
        <f t="shared" si="1"/>
        <v>0</v>
      </c>
      <c r="AA21" s="127">
        <f t="shared" si="7"/>
        <v>170793.27</v>
      </c>
      <c r="AB21" s="33" t="s">
        <v>15</v>
      </c>
      <c r="AC21" s="324"/>
      <c r="AD21" s="181">
        <f t="shared" si="2"/>
        <v>8459.2999999999993</v>
      </c>
      <c r="AE21" s="181">
        <f t="shared" si="3"/>
        <v>170793.27</v>
      </c>
      <c r="AF21" s="181">
        <v>1.1000000000000001</v>
      </c>
      <c r="AG21" s="181">
        <v>1.1000000000000001</v>
      </c>
      <c r="AH21" s="363" t="str">
        <f t="shared" si="8"/>
        <v/>
      </c>
      <c r="AI21" s="194">
        <f>7834+625.3</f>
        <v>8459.2999999999993</v>
      </c>
      <c r="AJ21" s="188">
        <v>8459.2999999999993</v>
      </c>
      <c r="AO21" s="367"/>
      <c r="AP21" s="367"/>
      <c r="AQ21" s="367"/>
    </row>
    <row r="22" spans="1:43" s="69" customFormat="1" ht="39" x14ac:dyDescent="0.3">
      <c r="A22" s="55" t="s">
        <v>61</v>
      </c>
      <c r="B22" s="118" t="s">
        <v>3290</v>
      </c>
      <c r="C22" s="119" t="s">
        <v>23</v>
      </c>
      <c r="D22" s="120">
        <v>1268.9000000000001</v>
      </c>
      <c r="E22" s="75"/>
      <c r="F22" s="75"/>
      <c r="G22" s="75"/>
      <c r="H22" s="75"/>
      <c r="I22" s="75"/>
      <c r="J22" s="75">
        <v>2492.81</v>
      </c>
      <c r="K22" s="75">
        <v>3163126.61</v>
      </c>
      <c r="L22" s="91" t="s">
        <v>63</v>
      </c>
      <c r="M22" s="73"/>
      <c r="N22" s="46">
        <v>881.5</v>
      </c>
      <c r="O22" s="46">
        <v>970949.5</v>
      </c>
      <c r="P22" s="46">
        <v>2197412.02</v>
      </c>
      <c r="Q22" s="98"/>
      <c r="R22" s="23" t="s">
        <v>1429</v>
      </c>
      <c r="S22" s="24" t="s">
        <v>62</v>
      </c>
      <c r="T22" s="25" t="s">
        <v>23</v>
      </c>
      <c r="U22" s="26">
        <v>1268.9000000000001</v>
      </c>
      <c r="V22" s="26">
        <f t="shared" si="4"/>
        <v>1268.9000000000001</v>
      </c>
      <c r="W22" s="26">
        <f t="shared" si="5"/>
        <v>2492.81</v>
      </c>
      <c r="X22" s="243">
        <f t="shared" si="9"/>
        <v>387.40000000000009</v>
      </c>
      <c r="Y22" s="127">
        <f t="shared" si="6"/>
        <v>1268.9000000000001</v>
      </c>
      <c r="Z22" s="127">
        <f t="shared" si="1"/>
        <v>965714.58999999985</v>
      </c>
      <c r="AA22" s="127">
        <f t="shared" si="7"/>
        <v>3163126.61</v>
      </c>
      <c r="AB22" s="33" t="s">
        <v>15</v>
      </c>
      <c r="AC22" s="324"/>
      <c r="AD22" s="181">
        <f t="shared" si="2"/>
        <v>1268.9000000000001</v>
      </c>
      <c r="AE22" s="181">
        <f t="shared" si="3"/>
        <v>3163126.61</v>
      </c>
      <c r="AF22" s="181">
        <v>1.1000000000000001</v>
      </c>
      <c r="AG22" s="181">
        <v>1.1000000000000001</v>
      </c>
      <c r="AH22" s="363" t="str">
        <f t="shared" si="8"/>
        <v/>
      </c>
      <c r="AI22" s="191">
        <f>369+63+60+389.5+387.4</f>
        <v>1268.9000000000001</v>
      </c>
      <c r="AJ22" s="188">
        <v>1268.9000000000001</v>
      </c>
      <c r="AO22" s="367"/>
      <c r="AP22" s="367"/>
      <c r="AQ22" s="367"/>
    </row>
    <row r="23" spans="1:43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/>
      <c r="I23" s="75"/>
      <c r="J23" s="75">
        <v>521.17999999999995</v>
      </c>
      <c r="K23" s="75">
        <v>343457.62</v>
      </c>
      <c r="L23" s="91" t="s">
        <v>67</v>
      </c>
      <c r="M23" s="73"/>
      <c r="N23" s="46">
        <v>659</v>
      </c>
      <c r="O23" s="46">
        <v>0</v>
      </c>
      <c r="P23" s="46">
        <v>343457.62</v>
      </c>
      <c r="Q23" s="98"/>
      <c r="R23" s="23" t="s">
        <v>1430</v>
      </c>
      <c r="S23" s="24" t="s">
        <v>65</v>
      </c>
      <c r="T23" s="25" t="s">
        <v>66</v>
      </c>
      <c r="U23" s="26">
        <v>659</v>
      </c>
      <c r="V23" s="26">
        <f t="shared" si="4"/>
        <v>659</v>
      </c>
      <c r="W23" s="26">
        <f t="shared" si="5"/>
        <v>521.17999999999995</v>
      </c>
      <c r="X23" s="127">
        <f t="shared" si="9"/>
        <v>0</v>
      </c>
      <c r="Y23" s="127">
        <f t="shared" si="6"/>
        <v>659</v>
      </c>
      <c r="Z23" s="127">
        <f t="shared" si="1"/>
        <v>0</v>
      </c>
      <c r="AA23" s="127">
        <f t="shared" si="7"/>
        <v>343457.62</v>
      </c>
      <c r="AB23" s="33" t="s">
        <v>15</v>
      </c>
      <c r="AC23" s="324"/>
      <c r="AD23" s="181">
        <f t="shared" si="2"/>
        <v>659</v>
      </c>
      <c r="AE23" s="181">
        <f t="shared" si="3"/>
        <v>343457.62</v>
      </c>
      <c r="AF23" s="181">
        <v>1.1000000000000001</v>
      </c>
      <c r="AG23" s="181">
        <v>1.1000000000000001</v>
      </c>
      <c r="AH23" s="363" t="str">
        <f t="shared" si="8"/>
        <v/>
      </c>
      <c r="AI23" s="192">
        <v>659</v>
      </c>
      <c r="AJ23" s="188">
        <v>659</v>
      </c>
      <c r="AO23" s="367"/>
      <c r="AP23" s="367"/>
      <c r="AQ23" s="367"/>
    </row>
    <row r="24" spans="1:43" s="69" customFormat="1" ht="58.5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/>
      <c r="I24" s="75"/>
      <c r="J24" s="75">
        <v>289.69</v>
      </c>
      <c r="K24" s="75">
        <v>73378.48</v>
      </c>
      <c r="L24" s="91" t="s">
        <v>70</v>
      </c>
      <c r="M24" s="73"/>
      <c r="N24" s="46">
        <v>250</v>
      </c>
      <c r="O24" s="46">
        <v>0</v>
      </c>
      <c r="P24" s="46">
        <v>72422.5</v>
      </c>
      <c r="Q24" s="98"/>
      <c r="R24" s="23" t="s">
        <v>1431</v>
      </c>
      <c r="S24" s="24" t="s">
        <v>69</v>
      </c>
      <c r="T24" s="25" t="s">
        <v>30</v>
      </c>
      <c r="U24" s="26">
        <v>253.3</v>
      </c>
      <c r="V24" s="26">
        <f t="shared" si="4"/>
        <v>253.3</v>
      </c>
      <c r="W24" s="26">
        <f t="shared" si="5"/>
        <v>289.69</v>
      </c>
      <c r="X24" s="127">
        <f t="shared" si="9"/>
        <v>0</v>
      </c>
      <c r="Y24" s="127">
        <f t="shared" si="6"/>
        <v>250</v>
      </c>
      <c r="Z24" s="127">
        <f t="shared" si="1"/>
        <v>0</v>
      </c>
      <c r="AA24" s="127">
        <f t="shared" si="7"/>
        <v>72422.5</v>
      </c>
      <c r="AB24" s="33" t="s">
        <v>15</v>
      </c>
      <c r="AC24" s="324"/>
      <c r="AD24" s="181">
        <f t="shared" si="2"/>
        <v>253.3</v>
      </c>
      <c r="AE24" s="181">
        <f t="shared" si="3"/>
        <v>73378.48</v>
      </c>
      <c r="AF24" s="181">
        <v>1.1000000000000001</v>
      </c>
      <c r="AG24" s="181">
        <v>1.1000000000000001</v>
      </c>
      <c r="AH24" s="363" t="str">
        <f t="shared" si="8"/>
        <v/>
      </c>
      <c r="AI24" s="190">
        <v>250</v>
      </c>
      <c r="AJ24" s="188">
        <v>253.3</v>
      </c>
      <c r="AO24" s="367"/>
      <c r="AP24" s="367"/>
      <c r="AQ24" s="367"/>
    </row>
    <row r="25" spans="1:43" s="69" customFormat="1" ht="39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/>
      <c r="I25" s="75"/>
      <c r="J25" s="75">
        <v>3311.45</v>
      </c>
      <c r="K25" s="75">
        <v>264916</v>
      </c>
      <c r="L25" s="91" t="s">
        <v>74</v>
      </c>
      <c r="M25" s="73"/>
      <c r="N25" s="46">
        <v>30</v>
      </c>
      <c r="O25" s="46">
        <v>0</v>
      </c>
      <c r="P25" s="46">
        <v>99343.5</v>
      </c>
      <c r="Q25" s="98"/>
      <c r="R25" s="23" t="s">
        <v>1395</v>
      </c>
      <c r="S25" s="24" t="s">
        <v>72</v>
      </c>
      <c r="T25" s="25" t="s">
        <v>73</v>
      </c>
      <c r="U25" s="26">
        <v>80</v>
      </c>
      <c r="V25" s="26">
        <f t="shared" si="4"/>
        <v>80</v>
      </c>
      <c r="W25" s="26">
        <f t="shared" si="5"/>
        <v>3311.45</v>
      </c>
      <c r="X25" s="26">
        <f t="shared" si="9"/>
        <v>0</v>
      </c>
      <c r="Y25" s="26">
        <f t="shared" si="6"/>
        <v>30</v>
      </c>
      <c r="Z25" s="26">
        <f t="shared" si="1"/>
        <v>0</v>
      </c>
      <c r="AA25" s="26">
        <f t="shared" si="7"/>
        <v>99343.5</v>
      </c>
      <c r="AB25" s="33" t="s">
        <v>15</v>
      </c>
      <c r="AC25" s="325"/>
      <c r="AD25" s="263">
        <f t="shared" si="2"/>
        <v>80</v>
      </c>
      <c r="AE25" s="263">
        <f t="shared" si="3"/>
        <v>264916</v>
      </c>
      <c r="AF25" s="263">
        <v>1.1000000000000001</v>
      </c>
      <c r="AG25" s="263">
        <v>1.1000000000000001</v>
      </c>
      <c r="AH25" s="68" t="str">
        <f t="shared" si="8"/>
        <v/>
      </c>
      <c r="AI25" s="192">
        <f>30</f>
        <v>30</v>
      </c>
      <c r="AJ25" s="188">
        <v>80</v>
      </c>
      <c r="AO25" s="367"/>
      <c r="AP25" s="367"/>
      <c r="AQ25" s="367"/>
    </row>
    <row r="26" spans="1:43" s="69" customFormat="1" ht="39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/>
      <c r="I26" s="75"/>
      <c r="J26" s="75">
        <v>3082.28</v>
      </c>
      <c r="K26" s="75">
        <v>3939153.84</v>
      </c>
      <c r="L26" s="91" t="s">
        <v>78</v>
      </c>
      <c r="M26" s="73"/>
      <c r="N26" s="46">
        <v>1153</v>
      </c>
      <c r="O26" s="46">
        <v>0</v>
      </c>
      <c r="P26" s="46">
        <v>3553868.84</v>
      </c>
      <c r="Q26" s="98"/>
      <c r="R26" s="23" t="s">
        <v>1432</v>
      </c>
      <c r="S26" s="24" t="s">
        <v>76</v>
      </c>
      <c r="T26" s="25" t="s">
        <v>77</v>
      </c>
      <c r="U26" s="26">
        <v>1278</v>
      </c>
      <c r="V26" s="26">
        <f t="shared" si="4"/>
        <v>1278</v>
      </c>
      <c r="W26" s="26">
        <f t="shared" si="5"/>
        <v>3082.28</v>
      </c>
      <c r="X26" s="128">
        <f t="shared" si="9"/>
        <v>0</v>
      </c>
      <c r="Y26" s="121">
        <f t="shared" si="6"/>
        <v>1153</v>
      </c>
      <c r="Z26" s="26">
        <f t="shared" si="1"/>
        <v>0</v>
      </c>
      <c r="AA26" s="26">
        <f t="shared" si="7"/>
        <v>3553868.84</v>
      </c>
      <c r="AB26" s="33" t="s">
        <v>15</v>
      </c>
      <c r="AC26" s="324"/>
      <c r="AD26" s="181">
        <f t="shared" si="2"/>
        <v>1278</v>
      </c>
      <c r="AE26" s="181">
        <f t="shared" si="3"/>
        <v>3939153.84</v>
      </c>
      <c r="AF26" s="181">
        <v>1.1000000000000001</v>
      </c>
      <c r="AG26" s="181">
        <v>1.1000000000000001</v>
      </c>
      <c r="AH26" s="363" t="str">
        <f t="shared" si="8"/>
        <v/>
      </c>
      <c r="AI26" s="192">
        <v>1153</v>
      </c>
      <c r="AJ26" s="188">
        <v>1278</v>
      </c>
      <c r="AO26" s="367"/>
      <c r="AP26" s="367"/>
      <c r="AQ26" s="367"/>
    </row>
    <row r="27" spans="1:43" s="69" customFormat="1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/>
      <c r="I27" s="75"/>
      <c r="J27" s="75">
        <v>1200</v>
      </c>
      <c r="K27" s="75">
        <v>36000</v>
      </c>
      <c r="L27" s="91" t="s">
        <v>82</v>
      </c>
      <c r="M27" s="73"/>
      <c r="N27" s="46">
        <v>0</v>
      </c>
      <c r="O27" s="46">
        <v>0</v>
      </c>
      <c r="P27" s="46">
        <v>0</v>
      </c>
      <c r="Q27" s="98"/>
      <c r="R27" s="23" t="s">
        <v>1433</v>
      </c>
      <c r="S27" s="24" t="s">
        <v>80</v>
      </c>
      <c r="T27" s="25" t="s">
        <v>81</v>
      </c>
      <c r="U27" s="26">
        <v>30</v>
      </c>
      <c r="V27" s="26">
        <f t="shared" si="4"/>
        <v>30</v>
      </c>
      <c r="W27" s="26">
        <f t="shared" si="5"/>
        <v>1200</v>
      </c>
      <c r="X27" s="26">
        <f t="shared" si="9"/>
        <v>0</v>
      </c>
      <c r="Y27" s="26">
        <f t="shared" si="6"/>
        <v>0</v>
      </c>
      <c r="Z27" s="26">
        <f t="shared" si="1"/>
        <v>0</v>
      </c>
      <c r="AA27" s="26">
        <f t="shared" si="7"/>
        <v>0</v>
      </c>
      <c r="AB27" s="33" t="s">
        <v>15</v>
      </c>
      <c r="AC27" s="324"/>
      <c r="AD27" s="181">
        <f t="shared" si="2"/>
        <v>30</v>
      </c>
      <c r="AE27" s="181">
        <f t="shared" si="3"/>
        <v>36000</v>
      </c>
      <c r="AF27" s="181">
        <v>1.1000000000000001</v>
      </c>
      <c r="AG27" s="181">
        <v>1.1000000000000001</v>
      </c>
      <c r="AH27" s="363" t="str">
        <f t="shared" si="8"/>
        <v/>
      </c>
      <c r="AI27" s="192">
        <v>0</v>
      </c>
      <c r="AJ27" s="188">
        <v>30</v>
      </c>
      <c r="AO27" s="367"/>
      <c r="AP27" s="367"/>
      <c r="AQ27" s="367"/>
    </row>
    <row r="28" spans="1:43" s="69" customFormat="1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/>
      <c r="I28" s="75"/>
      <c r="J28" s="75">
        <v>3000</v>
      </c>
      <c r="K28" s="75">
        <v>36000</v>
      </c>
      <c r="L28" s="91" t="s">
        <v>85</v>
      </c>
      <c r="M28" s="73"/>
      <c r="N28" s="46">
        <v>12</v>
      </c>
      <c r="O28" s="46">
        <v>0</v>
      </c>
      <c r="P28" s="46">
        <v>36000</v>
      </c>
      <c r="Q28" s="98"/>
      <c r="R28" s="23" t="s">
        <v>1382</v>
      </c>
      <c r="S28" s="24" t="s">
        <v>84</v>
      </c>
      <c r="T28" s="25" t="s">
        <v>81</v>
      </c>
      <c r="U28" s="26">
        <v>12</v>
      </c>
      <c r="V28" s="26">
        <f t="shared" si="4"/>
        <v>12</v>
      </c>
      <c r="W28" s="26">
        <f t="shared" si="5"/>
        <v>3000</v>
      </c>
      <c r="X28" s="127">
        <f t="shared" si="9"/>
        <v>0</v>
      </c>
      <c r="Y28" s="127">
        <f t="shared" si="6"/>
        <v>12</v>
      </c>
      <c r="Z28" s="127">
        <f t="shared" si="1"/>
        <v>0</v>
      </c>
      <c r="AA28" s="127">
        <f t="shared" si="7"/>
        <v>36000</v>
      </c>
      <c r="AB28" s="33" t="s">
        <v>15</v>
      </c>
      <c r="AC28" s="324"/>
      <c r="AD28" s="181">
        <f t="shared" si="2"/>
        <v>12</v>
      </c>
      <c r="AE28" s="181">
        <f t="shared" si="3"/>
        <v>36000</v>
      </c>
      <c r="AF28" s="181">
        <v>1.1000000000000001</v>
      </c>
      <c r="AG28" s="181">
        <v>1.1000000000000001</v>
      </c>
      <c r="AH28" s="363" t="str">
        <f t="shared" si="8"/>
        <v/>
      </c>
      <c r="AI28" s="192">
        <v>12</v>
      </c>
      <c r="AJ28" s="188">
        <v>12</v>
      </c>
      <c r="AO28" s="367"/>
      <c r="AP28" s="367"/>
      <c r="AQ28" s="367"/>
    </row>
    <row r="29" spans="1:43" s="69" customFormat="1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/>
      <c r="I29" s="75"/>
      <c r="J29" s="75">
        <v>3000</v>
      </c>
      <c r="K29" s="75">
        <v>60000</v>
      </c>
      <c r="L29" s="91" t="s">
        <v>88</v>
      </c>
      <c r="M29" s="73"/>
      <c r="N29" s="46">
        <v>20</v>
      </c>
      <c r="O29" s="46">
        <v>0</v>
      </c>
      <c r="P29" s="46">
        <v>60000</v>
      </c>
      <c r="Q29" s="98"/>
      <c r="R29" s="23" t="s">
        <v>1434</v>
      </c>
      <c r="S29" s="24" t="s">
        <v>87</v>
      </c>
      <c r="T29" s="25" t="s">
        <v>81</v>
      </c>
      <c r="U29" s="26">
        <v>20</v>
      </c>
      <c r="V29" s="26">
        <f t="shared" si="4"/>
        <v>20</v>
      </c>
      <c r="W29" s="26">
        <f t="shared" si="5"/>
        <v>3000</v>
      </c>
      <c r="X29" s="127">
        <f t="shared" si="9"/>
        <v>0</v>
      </c>
      <c r="Y29" s="127">
        <f t="shared" si="6"/>
        <v>20</v>
      </c>
      <c r="Z29" s="127">
        <f t="shared" si="1"/>
        <v>0</v>
      </c>
      <c r="AA29" s="127">
        <f t="shared" si="7"/>
        <v>60000</v>
      </c>
      <c r="AB29" s="33" t="s">
        <v>15</v>
      </c>
      <c r="AC29" s="324"/>
      <c r="AD29" s="181">
        <f t="shared" si="2"/>
        <v>20</v>
      </c>
      <c r="AE29" s="181">
        <f t="shared" si="3"/>
        <v>60000</v>
      </c>
      <c r="AF29" s="181">
        <v>1.1000000000000001</v>
      </c>
      <c r="AG29" s="181">
        <v>1.1000000000000001</v>
      </c>
      <c r="AH29" s="363" t="str">
        <f t="shared" si="8"/>
        <v/>
      </c>
      <c r="AI29" s="192">
        <v>20</v>
      </c>
      <c r="AJ29" s="188">
        <v>20</v>
      </c>
      <c r="AO29" s="367"/>
      <c r="AP29" s="367"/>
      <c r="AQ29" s="367"/>
    </row>
    <row r="30" spans="1:43" s="69" customFormat="1" x14ac:dyDescent="0.3">
      <c r="A30" s="130" t="s">
        <v>89</v>
      </c>
      <c r="B30" s="131" t="s">
        <v>90</v>
      </c>
      <c r="C30" s="132" t="s">
        <v>81</v>
      </c>
      <c r="D30" s="133">
        <v>19</v>
      </c>
      <c r="E30" s="75"/>
      <c r="F30" s="75"/>
      <c r="G30" s="75"/>
      <c r="H30" s="75"/>
      <c r="I30" s="75"/>
      <c r="J30" s="75">
        <v>3000</v>
      </c>
      <c r="K30" s="75">
        <v>57000</v>
      </c>
      <c r="L30" s="91" t="s">
        <v>91</v>
      </c>
      <c r="M30" s="73"/>
      <c r="N30" s="46">
        <v>16</v>
      </c>
      <c r="O30" s="46">
        <v>0</v>
      </c>
      <c r="P30" s="46">
        <v>48000</v>
      </c>
      <c r="Q30" s="98"/>
      <c r="R30" s="23" t="s">
        <v>1388</v>
      </c>
      <c r="S30" s="24" t="s">
        <v>90</v>
      </c>
      <c r="T30" s="25" t="s">
        <v>81</v>
      </c>
      <c r="U30" s="26">
        <v>19</v>
      </c>
      <c r="V30" s="26">
        <f t="shared" si="4"/>
        <v>19</v>
      </c>
      <c r="W30" s="26">
        <f t="shared" si="5"/>
        <v>3000</v>
      </c>
      <c r="X30" s="127">
        <f t="shared" si="9"/>
        <v>0</v>
      </c>
      <c r="Y30" s="127">
        <f t="shared" si="6"/>
        <v>16</v>
      </c>
      <c r="Z30" s="127">
        <f t="shared" si="1"/>
        <v>0</v>
      </c>
      <c r="AA30" s="127">
        <f t="shared" si="7"/>
        <v>48000</v>
      </c>
      <c r="AB30" s="33" t="s">
        <v>15</v>
      </c>
      <c r="AC30" s="324"/>
      <c r="AD30" s="181">
        <f t="shared" si="2"/>
        <v>19</v>
      </c>
      <c r="AE30" s="181">
        <f t="shared" si="3"/>
        <v>57000</v>
      </c>
      <c r="AF30" s="181">
        <v>1.1000000000000001</v>
      </c>
      <c r="AG30" s="181">
        <v>1.1000000000000001</v>
      </c>
      <c r="AH30" s="363" t="str">
        <f t="shared" si="8"/>
        <v/>
      </c>
      <c r="AI30" s="194">
        <v>16</v>
      </c>
      <c r="AJ30" s="188">
        <v>19</v>
      </c>
      <c r="AO30" s="367"/>
      <c r="AP30" s="367"/>
      <c r="AQ30" s="367"/>
    </row>
    <row r="31" spans="1:43" s="69" customFormat="1" ht="39" x14ac:dyDescent="0.3">
      <c r="A31" s="130" t="s">
        <v>92</v>
      </c>
      <c r="B31" s="131" t="s">
        <v>93</v>
      </c>
      <c r="C31" s="132" t="s">
        <v>14</v>
      </c>
      <c r="D31" s="133">
        <v>1</v>
      </c>
      <c r="E31" s="75"/>
      <c r="F31" s="75"/>
      <c r="G31" s="75"/>
      <c r="H31" s="75"/>
      <c r="I31" s="75"/>
      <c r="J31" s="75">
        <v>400000</v>
      </c>
      <c r="K31" s="75">
        <v>400000</v>
      </c>
      <c r="L31" s="91" t="s">
        <v>94</v>
      </c>
      <c r="M31" s="73"/>
      <c r="N31" s="46">
        <v>1</v>
      </c>
      <c r="O31" s="46">
        <v>0</v>
      </c>
      <c r="P31" s="46">
        <v>400000</v>
      </c>
      <c r="Q31" s="98"/>
      <c r="R31" s="23" t="s">
        <v>1389</v>
      </c>
      <c r="S31" s="24" t="s">
        <v>93</v>
      </c>
      <c r="T31" s="25" t="s">
        <v>14</v>
      </c>
      <c r="U31" s="26">
        <v>1</v>
      </c>
      <c r="V31" s="26">
        <f t="shared" si="4"/>
        <v>1</v>
      </c>
      <c r="W31" s="26">
        <f t="shared" si="5"/>
        <v>400000</v>
      </c>
      <c r="X31" s="127">
        <f t="shared" si="9"/>
        <v>0</v>
      </c>
      <c r="Y31" s="127">
        <f t="shared" si="6"/>
        <v>1</v>
      </c>
      <c r="Z31" s="127">
        <f t="shared" si="1"/>
        <v>0</v>
      </c>
      <c r="AA31" s="127">
        <f t="shared" si="7"/>
        <v>400000</v>
      </c>
      <c r="AB31" s="33" t="s">
        <v>15</v>
      </c>
      <c r="AC31" s="324"/>
      <c r="AD31" s="181">
        <f t="shared" si="2"/>
        <v>1</v>
      </c>
      <c r="AE31" s="181">
        <f t="shared" si="3"/>
        <v>400000</v>
      </c>
      <c r="AF31" s="181">
        <v>1.1000000000000001</v>
      </c>
      <c r="AG31" s="181">
        <v>1.1000000000000001</v>
      </c>
      <c r="AH31" s="363" t="str">
        <f t="shared" si="8"/>
        <v/>
      </c>
      <c r="AI31" s="192">
        <f>0.5+0.5</f>
        <v>1</v>
      </c>
      <c r="AJ31" s="188">
        <v>1</v>
      </c>
      <c r="AO31" s="367"/>
      <c r="AP31" s="367"/>
      <c r="AQ31" s="367"/>
    </row>
    <row r="32" spans="1:43" s="69" customFormat="1" ht="54" customHeight="1" x14ac:dyDescent="0.3">
      <c r="A32" s="55" t="s">
        <v>95</v>
      </c>
      <c r="B32" s="138" t="s">
        <v>96</v>
      </c>
      <c r="C32" s="56" t="s">
        <v>97</v>
      </c>
      <c r="D32" s="336">
        <v>30800</v>
      </c>
      <c r="E32" s="76"/>
      <c r="F32" s="76"/>
      <c r="G32" s="76"/>
      <c r="H32" s="76"/>
      <c r="I32" s="329">
        <v>25200</v>
      </c>
      <c r="J32" s="75">
        <v>280</v>
      </c>
      <c r="K32" s="75">
        <v>7056000</v>
      </c>
      <c r="L32" s="91" t="s">
        <v>3160</v>
      </c>
      <c r="M32" s="73"/>
      <c r="N32" s="46">
        <v>20362</v>
      </c>
      <c r="O32" s="46">
        <v>127680</v>
      </c>
      <c r="P32" s="46">
        <v>5701360</v>
      </c>
      <c r="Q32" s="98"/>
      <c r="R32" s="23" t="s">
        <v>1390</v>
      </c>
      <c r="S32" s="24" t="s">
        <v>96</v>
      </c>
      <c r="T32" s="25" t="s">
        <v>97</v>
      </c>
      <c r="U32" s="26">
        <v>30800</v>
      </c>
      <c r="V32" s="26">
        <f t="shared" si="4"/>
        <v>25200</v>
      </c>
      <c r="W32" s="26">
        <f t="shared" si="5"/>
        <v>280</v>
      </c>
      <c r="X32" s="128">
        <f t="shared" si="9"/>
        <v>0</v>
      </c>
      <c r="Y32" s="26">
        <f t="shared" si="6"/>
        <v>20362</v>
      </c>
      <c r="Z32" s="26">
        <f t="shared" si="1"/>
        <v>0</v>
      </c>
      <c r="AA32" s="26">
        <f t="shared" si="7"/>
        <v>5701360</v>
      </c>
      <c r="AB32" s="33" t="s">
        <v>15</v>
      </c>
      <c r="AC32" s="325"/>
      <c r="AD32" s="263">
        <f t="shared" si="2"/>
        <v>25200</v>
      </c>
      <c r="AE32" s="263">
        <f t="shared" si="3"/>
        <v>7056000</v>
      </c>
      <c r="AF32" s="263">
        <v>1.1000000000000001</v>
      </c>
      <c r="AG32" s="263">
        <v>1.1000000000000001</v>
      </c>
      <c r="AH32" s="68" t="str">
        <f t="shared" si="8"/>
        <v/>
      </c>
      <c r="AI32" s="194">
        <f>13162+1120+1160+1620+1962+882+456</f>
        <v>20362</v>
      </c>
      <c r="AJ32" s="190">
        <v>25200</v>
      </c>
      <c r="AO32" s="367"/>
      <c r="AP32" s="367"/>
      <c r="AQ32" s="367"/>
    </row>
    <row r="33" spans="1:43" s="69" customFormat="1" ht="58.5" x14ac:dyDescent="0.3">
      <c r="A33" s="134" t="s">
        <v>1302</v>
      </c>
      <c r="B33" s="135" t="s">
        <v>1303</v>
      </c>
      <c r="C33" s="204" t="s">
        <v>50</v>
      </c>
      <c r="D33" s="216"/>
      <c r="E33" s="117">
        <v>2405</v>
      </c>
      <c r="F33" s="59"/>
      <c r="G33" s="59"/>
      <c r="H33" s="59"/>
      <c r="I33" s="330"/>
      <c r="J33" s="58">
        <v>70.23</v>
      </c>
      <c r="K33" s="59">
        <v>168903.15</v>
      </c>
      <c r="L33" s="92"/>
      <c r="M33" s="73"/>
      <c r="N33" s="46">
        <v>2405</v>
      </c>
      <c r="O33" s="46">
        <v>0</v>
      </c>
      <c r="P33" s="46">
        <v>168903.15</v>
      </c>
      <c r="Q33" s="98"/>
      <c r="R33" s="23" t="s">
        <v>1391</v>
      </c>
      <c r="S33" s="24" t="s">
        <v>1435</v>
      </c>
      <c r="T33" s="25" t="s">
        <v>50</v>
      </c>
      <c r="U33" s="26">
        <v>0</v>
      </c>
      <c r="V33" s="26">
        <f t="shared" si="4"/>
        <v>2405</v>
      </c>
      <c r="W33" s="26">
        <f t="shared" si="5"/>
        <v>70.23</v>
      </c>
      <c r="X33" s="127">
        <f t="shared" si="9"/>
        <v>0</v>
      </c>
      <c r="Y33" s="127">
        <f t="shared" si="6"/>
        <v>2405</v>
      </c>
      <c r="Z33" s="127">
        <f t="shared" si="1"/>
        <v>0</v>
      </c>
      <c r="AA33" s="127">
        <f t="shared" si="7"/>
        <v>168903.15</v>
      </c>
      <c r="AB33" s="27" t="s">
        <v>15</v>
      </c>
      <c r="AC33" s="324"/>
      <c r="AD33" s="181">
        <f t="shared" si="2"/>
        <v>2405</v>
      </c>
      <c r="AE33" s="181">
        <f t="shared" si="3"/>
        <v>168903.15</v>
      </c>
      <c r="AF33" s="181">
        <v>1.1000000000000001</v>
      </c>
      <c r="AG33" s="181">
        <v>1.1000000000000001</v>
      </c>
      <c r="AH33" s="363" t="str">
        <f t="shared" si="8"/>
        <v/>
      </c>
      <c r="AI33" s="190">
        <v>2405</v>
      </c>
      <c r="AJ33" s="188">
        <v>2405</v>
      </c>
      <c r="AN33" s="68"/>
      <c r="AO33" s="368"/>
      <c r="AP33" s="367"/>
      <c r="AQ33" s="367"/>
    </row>
    <row r="34" spans="1:4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/>
      <c r="I34" s="331"/>
      <c r="J34" s="61">
        <v>20000</v>
      </c>
      <c r="K34" s="62">
        <v>3000000</v>
      </c>
      <c r="L34" s="93"/>
      <c r="N34" s="46">
        <v>136</v>
      </c>
      <c r="O34" s="46">
        <v>0</v>
      </c>
      <c r="P34" s="46">
        <v>2720000</v>
      </c>
      <c r="Q34" s="98"/>
      <c r="R34" s="23" t="s">
        <v>1436</v>
      </c>
      <c r="S34" s="24" t="s">
        <v>1437</v>
      </c>
      <c r="T34" s="25" t="s">
        <v>1358</v>
      </c>
      <c r="U34" s="26">
        <v>0</v>
      </c>
      <c r="V34" s="26">
        <f t="shared" si="4"/>
        <v>150</v>
      </c>
      <c r="W34" s="26">
        <f t="shared" si="5"/>
        <v>20000</v>
      </c>
      <c r="X34" s="243">
        <f t="shared" si="9"/>
        <v>0</v>
      </c>
      <c r="Y34" s="127">
        <f t="shared" si="6"/>
        <v>136</v>
      </c>
      <c r="Z34" s="127">
        <f t="shared" si="1"/>
        <v>0</v>
      </c>
      <c r="AA34" s="127">
        <f t="shared" si="7"/>
        <v>2720000</v>
      </c>
      <c r="AB34" s="27"/>
      <c r="AC34" s="325"/>
      <c r="AD34" s="263">
        <f t="shared" si="2"/>
        <v>150</v>
      </c>
      <c r="AE34" s="263">
        <f t="shared" si="3"/>
        <v>3000000</v>
      </c>
      <c r="AF34" s="263">
        <v>1.1000000000000001</v>
      </c>
      <c r="AG34" s="263">
        <v>1.1000000000000001</v>
      </c>
      <c r="AH34" s="68" t="str">
        <f t="shared" si="8"/>
        <v/>
      </c>
      <c r="AI34" s="191">
        <v>136</v>
      </c>
      <c r="AJ34" s="188">
        <v>150</v>
      </c>
      <c r="AN34" s="70"/>
      <c r="AO34" s="367"/>
      <c r="AP34" s="367"/>
      <c r="AQ34" s="367"/>
    </row>
    <row r="35" spans="1:43" ht="42" customHeight="1" x14ac:dyDescent="0.3">
      <c r="A35" s="134" t="s">
        <v>1306</v>
      </c>
      <c r="B35" s="335" t="s">
        <v>1307</v>
      </c>
      <c r="C35" s="204" t="s">
        <v>50</v>
      </c>
      <c r="D35" s="216"/>
      <c r="E35" s="63"/>
      <c r="F35" s="62">
        <v>138.05000000000001</v>
      </c>
      <c r="G35" s="62"/>
      <c r="H35" s="62"/>
      <c r="I35" s="346">
        <v>246.03</v>
      </c>
      <c r="J35" s="61">
        <v>165.22</v>
      </c>
      <c r="K35" s="62">
        <v>40649.08</v>
      </c>
      <c r="L35" s="93"/>
      <c r="N35" s="46">
        <v>138.05000000000001</v>
      </c>
      <c r="O35" s="46">
        <v>0</v>
      </c>
      <c r="P35" s="46">
        <v>22808.62</v>
      </c>
      <c r="Q35" s="98"/>
      <c r="R35" s="23" t="s">
        <v>1374</v>
      </c>
      <c r="S35" s="24" t="s">
        <v>1375</v>
      </c>
      <c r="T35" s="25" t="s">
        <v>50</v>
      </c>
      <c r="U35" s="26">
        <v>0</v>
      </c>
      <c r="V35" s="26">
        <f t="shared" si="4"/>
        <v>246.03</v>
      </c>
      <c r="W35" s="26">
        <f t="shared" si="5"/>
        <v>165.22</v>
      </c>
      <c r="X35" s="243">
        <f t="shared" si="9"/>
        <v>107.97</v>
      </c>
      <c r="Y35" s="127">
        <f t="shared" si="6"/>
        <v>246.02</v>
      </c>
      <c r="Z35" s="127">
        <f t="shared" si="1"/>
        <v>17838.8</v>
      </c>
      <c r="AA35" s="127">
        <f t="shared" si="7"/>
        <v>40647.42</v>
      </c>
      <c r="AB35" s="27"/>
      <c r="AC35" s="324"/>
      <c r="AD35" s="181">
        <f t="shared" si="2"/>
        <v>246.03</v>
      </c>
      <c r="AE35" s="181">
        <f t="shared" si="3"/>
        <v>40649.08</v>
      </c>
      <c r="AF35" s="181">
        <v>1.1000000000000001</v>
      </c>
      <c r="AG35" s="181">
        <v>1.1000000000000001</v>
      </c>
      <c r="AH35" s="363" t="str">
        <f t="shared" si="8"/>
        <v/>
      </c>
      <c r="AI35" s="191">
        <v>246.02</v>
      </c>
      <c r="AJ35" s="190">
        <v>246.03</v>
      </c>
      <c r="AN35" s="70"/>
      <c r="AO35" s="367"/>
      <c r="AP35" s="367"/>
      <c r="AQ35" s="367"/>
    </row>
    <row r="36" spans="1:43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116">
        <v>2000</v>
      </c>
      <c r="G36" s="62"/>
      <c r="H36" s="62"/>
      <c r="I36" s="331"/>
      <c r="J36" s="61">
        <v>100</v>
      </c>
      <c r="K36" s="62">
        <v>200000</v>
      </c>
      <c r="L36" s="93"/>
      <c r="N36" s="46">
        <v>2000</v>
      </c>
      <c r="O36" s="46">
        <v>0</v>
      </c>
      <c r="P36" s="46">
        <v>200000</v>
      </c>
      <c r="Q36" s="98"/>
      <c r="R36" s="23" t="s">
        <v>1376</v>
      </c>
      <c r="S36" s="24" t="s">
        <v>1377</v>
      </c>
      <c r="T36" s="25" t="s">
        <v>34</v>
      </c>
      <c r="U36" s="26">
        <v>0</v>
      </c>
      <c r="V36" s="26">
        <f t="shared" si="4"/>
        <v>2000</v>
      </c>
      <c r="W36" s="26">
        <f t="shared" si="5"/>
        <v>100</v>
      </c>
      <c r="X36" s="127">
        <f t="shared" si="9"/>
        <v>0</v>
      </c>
      <c r="Y36" s="127">
        <f t="shared" si="6"/>
        <v>2000</v>
      </c>
      <c r="Z36" s="127">
        <f t="shared" si="1"/>
        <v>0</v>
      </c>
      <c r="AA36" s="127">
        <f t="shared" si="7"/>
        <v>200000</v>
      </c>
      <c r="AB36" s="27"/>
      <c r="AC36" s="324"/>
      <c r="AD36" s="181">
        <f t="shared" si="2"/>
        <v>2000</v>
      </c>
      <c r="AE36" s="181">
        <f t="shared" si="3"/>
        <v>200000</v>
      </c>
      <c r="AF36" s="181">
        <v>1.1000000000000001</v>
      </c>
      <c r="AG36" s="181">
        <v>1.1000000000000001</v>
      </c>
      <c r="AH36" s="363" t="str">
        <f t="shared" si="8"/>
        <v/>
      </c>
      <c r="AI36" s="190">
        <v>2000</v>
      </c>
      <c r="AJ36" s="188">
        <v>2000</v>
      </c>
      <c r="AN36" s="70"/>
      <c r="AO36" s="367"/>
      <c r="AP36" s="367"/>
      <c r="AQ36" s="367"/>
    </row>
    <row r="37" spans="1:43" x14ac:dyDescent="0.3">
      <c r="A37" s="144" t="s">
        <v>1310</v>
      </c>
      <c r="B37" s="269" t="s">
        <v>1311</v>
      </c>
      <c r="C37" s="206" t="s">
        <v>50</v>
      </c>
      <c r="D37" s="270"/>
      <c r="E37" s="271"/>
      <c r="F37" s="300">
        <v>3324.02</v>
      </c>
      <c r="G37" s="148"/>
      <c r="H37" s="148"/>
      <c r="I37" s="332"/>
      <c r="J37" s="146">
        <v>33.35</v>
      </c>
      <c r="K37" s="148">
        <v>110856.07</v>
      </c>
      <c r="L37" s="149"/>
      <c r="N37" s="46">
        <v>3324.02</v>
      </c>
      <c r="O37" s="46">
        <v>0</v>
      </c>
      <c r="P37" s="46">
        <v>110856.07</v>
      </c>
      <c r="Q37" s="98"/>
      <c r="R37" s="23" t="s">
        <v>1378</v>
      </c>
      <c r="S37" s="24" t="s">
        <v>1379</v>
      </c>
      <c r="T37" s="25" t="s">
        <v>50</v>
      </c>
      <c r="U37" s="26">
        <v>0</v>
      </c>
      <c r="V37" s="26">
        <f t="shared" si="4"/>
        <v>3324.02</v>
      </c>
      <c r="W37" s="26">
        <f t="shared" si="5"/>
        <v>33.35</v>
      </c>
      <c r="X37" s="127">
        <f t="shared" si="9"/>
        <v>0</v>
      </c>
      <c r="Y37" s="127">
        <f t="shared" si="6"/>
        <v>3324.02</v>
      </c>
      <c r="Z37" s="127">
        <f t="shared" si="1"/>
        <v>0</v>
      </c>
      <c r="AA37" s="127">
        <f t="shared" si="7"/>
        <v>110856.07</v>
      </c>
      <c r="AB37" s="27"/>
      <c r="AC37" s="324"/>
      <c r="AD37" s="181">
        <f t="shared" si="2"/>
        <v>3324.02</v>
      </c>
      <c r="AE37" s="181">
        <f t="shared" si="3"/>
        <v>110856.07</v>
      </c>
      <c r="AF37" s="181">
        <v>1.1000000000000001</v>
      </c>
      <c r="AG37" s="181">
        <v>1.1000000000000001</v>
      </c>
      <c r="AH37" s="363" t="str">
        <f t="shared" si="8"/>
        <v/>
      </c>
      <c r="AI37" s="190">
        <v>3324.02</v>
      </c>
      <c r="AJ37" s="188">
        <v>3324.02</v>
      </c>
      <c r="AN37" s="369"/>
      <c r="AO37" s="368"/>
      <c r="AP37" s="367"/>
      <c r="AQ37" s="367"/>
    </row>
    <row r="38" spans="1:43" s="282" customFormat="1" ht="64.5" customHeight="1" x14ac:dyDescent="0.3">
      <c r="A38" s="272" t="s">
        <v>3163</v>
      </c>
      <c r="B38" s="273" t="s">
        <v>3165</v>
      </c>
      <c r="C38" s="274" t="s">
        <v>97</v>
      </c>
      <c r="D38" s="275"/>
      <c r="E38" s="276"/>
      <c r="F38" s="275"/>
      <c r="G38" s="275"/>
      <c r="H38" s="275"/>
      <c r="I38" s="333">
        <v>5600</v>
      </c>
      <c r="J38" s="274">
        <v>350</v>
      </c>
      <c r="K38" s="275">
        <v>1960000</v>
      </c>
      <c r="L38" s="277"/>
      <c r="M38" s="278"/>
      <c r="N38" s="42"/>
      <c r="O38" s="42"/>
      <c r="P38" s="42"/>
      <c r="Q38" s="98"/>
      <c r="R38" s="13" t="s">
        <v>3225</v>
      </c>
      <c r="S38" s="286" t="str">
        <f t="shared" ref="S38:S39" si="10">B38</f>
        <v>交通維持，道路管制人員，夜間(22-06時)，義交</v>
      </c>
      <c r="T38" s="287" t="str">
        <f t="shared" ref="T38:T39" si="11">C38</f>
        <v>時</v>
      </c>
      <c r="U38" s="16"/>
      <c r="V38" s="16">
        <f t="shared" si="4"/>
        <v>5600</v>
      </c>
      <c r="W38" s="16">
        <f t="shared" si="5"/>
        <v>350</v>
      </c>
      <c r="X38" s="326">
        <f t="shared" si="9"/>
        <v>0</v>
      </c>
      <c r="Y38" s="16">
        <f t="shared" si="6"/>
        <v>0</v>
      </c>
      <c r="Z38" s="16">
        <f t="shared" si="1"/>
        <v>0</v>
      </c>
      <c r="AA38" s="16">
        <f t="shared" si="7"/>
        <v>0</v>
      </c>
      <c r="AB38" s="279"/>
      <c r="AC38" s="324"/>
      <c r="AD38" s="181">
        <f t="shared" si="2"/>
        <v>5600</v>
      </c>
      <c r="AE38" s="181">
        <f t="shared" ref="AE38:AE39" si="12">ROUND(W38*AD38,2)</f>
        <v>1960000</v>
      </c>
      <c r="AF38" s="181">
        <v>1.1000000000000001</v>
      </c>
      <c r="AG38" s="181">
        <v>1.1000000000000001</v>
      </c>
      <c r="AH38" s="364"/>
      <c r="AI38" s="296">
        <v>0</v>
      </c>
      <c r="AJ38" s="190">
        <v>5600</v>
      </c>
      <c r="AN38" s="369"/>
      <c r="AO38" s="368"/>
      <c r="AP38" s="367"/>
      <c r="AQ38" s="367"/>
    </row>
    <row r="39" spans="1:43" s="282" customFormat="1" ht="78" x14ac:dyDescent="0.3">
      <c r="A39" s="272" t="s">
        <v>3164</v>
      </c>
      <c r="B39" s="273" t="s">
        <v>3166</v>
      </c>
      <c r="C39" s="274" t="s">
        <v>23</v>
      </c>
      <c r="D39" s="275"/>
      <c r="E39" s="276"/>
      <c r="F39" s="275"/>
      <c r="G39" s="275"/>
      <c r="H39" s="275"/>
      <c r="I39" s="333">
        <v>6730.42</v>
      </c>
      <c r="J39" s="274">
        <v>858.41</v>
      </c>
      <c r="K39" s="275">
        <v>5777459.8300000001</v>
      </c>
      <c r="L39" s="277"/>
      <c r="M39" s="278"/>
      <c r="N39" s="42"/>
      <c r="O39" s="42"/>
      <c r="P39" s="42"/>
      <c r="Q39" s="98"/>
      <c r="R39" s="13" t="s">
        <v>3226</v>
      </c>
      <c r="S39" s="286" t="str">
        <f t="shared" si="10"/>
        <v>餘方自行處理(含水土保持)，總重35-35.9t傾卸貨車</v>
      </c>
      <c r="T39" s="287" t="str">
        <f t="shared" si="11"/>
        <v>M3</v>
      </c>
      <c r="U39" s="16"/>
      <c r="V39" s="16">
        <f t="shared" si="4"/>
        <v>6730.42</v>
      </c>
      <c r="W39" s="16">
        <f t="shared" si="5"/>
        <v>858.41</v>
      </c>
      <c r="X39" s="326">
        <f t="shared" si="9"/>
        <v>0</v>
      </c>
      <c r="Y39" s="16">
        <f t="shared" si="6"/>
        <v>0</v>
      </c>
      <c r="Z39" s="16">
        <f t="shared" si="1"/>
        <v>0</v>
      </c>
      <c r="AA39" s="16">
        <f t="shared" si="7"/>
        <v>0</v>
      </c>
      <c r="AB39" s="279"/>
      <c r="AC39" s="324"/>
      <c r="AD39" s="181">
        <f t="shared" si="2"/>
        <v>6730.42</v>
      </c>
      <c r="AE39" s="181">
        <f t="shared" si="12"/>
        <v>5777459.8300000001</v>
      </c>
      <c r="AF39" s="181">
        <v>1.1000000000000001</v>
      </c>
      <c r="AG39" s="181">
        <v>1.1000000000000001</v>
      </c>
      <c r="AH39" s="364"/>
      <c r="AI39" s="296">
        <v>0</v>
      </c>
      <c r="AJ39" s="190">
        <v>6730.42</v>
      </c>
      <c r="AN39" s="69"/>
      <c r="AO39" s="367"/>
      <c r="AP39" s="367"/>
      <c r="AQ39" s="367"/>
    </row>
    <row r="40" spans="1:43" s="69" customFormat="1" x14ac:dyDescent="0.3">
      <c r="A40" s="266" t="s">
        <v>99</v>
      </c>
      <c r="B40" s="267" t="s">
        <v>100</v>
      </c>
      <c r="C40" s="83" t="s">
        <v>14</v>
      </c>
      <c r="D40" s="84">
        <v>1</v>
      </c>
      <c r="E40" s="84"/>
      <c r="F40" s="84"/>
      <c r="G40" s="84"/>
      <c r="H40" s="84"/>
      <c r="I40" s="84"/>
      <c r="J40" s="84">
        <v>46687873.390000001</v>
      </c>
      <c r="K40" s="84">
        <v>46687873.390000001</v>
      </c>
      <c r="L40" s="268" t="s">
        <v>15</v>
      </c>
      <c r="M40" s="73"/>
      <c r="N40" s="45">
        <v>1</v>
      </c>
      <c r="O40" s="45">
        <v>2661833.86</v>
      </c>
      <c r="P40" s="45">
        <v>33232221.850000001</v>
      </c>
      <c r="Q40" s="98"/>
      <c r="R40" s="18" t="s">
        <v>1380</v>
      </c>
      <c r="S40" s="19" t="s">
        <v>100</v>
      </c>
      <c r="T40" s="20" t="s">
        <v>14</v>
      </c>
      <c r="U40" s="21">
        <v>1</v>
      </c>
      <c r="V40" s="21"/>
      <c r="W40" s="21">
        <f t="shared" si="5"/>
        <v>46687873.390000001</v>
      </c>
      <c r="X40" s="21">
        <f t="shared" ref="X40:Y40" si="13">IF(Z40=0,0,1)</f>
        <v>1</v>
      </c>
      <c r="Y40" s="21">
        <f t="shared" si="13"/>
        <v>1</v>
      </c>
      <c r="Z40" s="21">
        <f>SUMIFS(Z:Z,AG:AG,AF40)</f>
        <v>3957352.7899999996</v>
      </c>
      <c r="AA40" s="21">
        <f>SUMIFS(AA:AA,AG:AG,AF40)</f>
        <v>37189574.640000001</v>
      </c>
      <c r="AB40" s="22" t="s">
        <v>15</v>
      </c>
      <c r="AC40" s="324"/>
      <c r="AD40" s="181">
        <f t="shared" si="2"/>
        <v>1</v>
      </c>
      <c r="AE40" s="184"/>
      <c r="AF40" s="181">
        <v>1.2</v>
      </c>
      <c r="AG40" s="181"/>
      <c r="AH40" s="363" t="str">
        <f t="shared" si="8"/>
        <v/>
      </c>
      <c r="AI40" s="190">
        <v>1</v>
      </c>
      <c r="AJ40" s="188">
        <v>1</v>
      </c>
      <c r="AO40" s="367"/>
      <c r="AP40" s="367"/>
      <c r="AQ40" s="367"/>
    </row>
    <row r="41" spans="1:43" s="69" customFormat="1" ht="39" x14ac:dyDescent="0.3">
      <c r="A41" s="130" t="s">
        <v>101</v>
      </c>
      <c r="B41" s="131" t="s">
        <v>102</v>
      </c>
      <c r="C41" s="132" t="s">
        <v>103</v>
      </c>
      <c r="D41" s="133">
        <v>2347.79</v>
      </c>
      <c r="E41" s="75"/>
      <c r="F41" s="75"/>
      <c r="G41" s="75"/>
      <c r="H41" s="75"/>
      <c r="I41" s="75"/>
      <c r="J41" s="75">
        <v>320.74</v>
      </c>
      <c r="K41" s="75">
        <v>753030.16</v>
      </c>
      <c r="L41" s="91" t="s">
        <v>104</v>
      </c>
      <c r="M41" s="73"/>
      <c r="N41" s="46">
        <v>2101.59</v>
      </c>
      <c r="O41" s="46">
        <v>100135.03</v>
      </c>
      <c r="P41" s="46">
        <v>674063.98</v>
      </c>
      <c r="Q41" s="98"/>
      <c r="R41" s="23" t="s">
        <v>1421</v>
      </c>
      <c r="S41" s="24" t="s">
        <v>102</v>
      </c>
      <c r="T41" s="25" t="s">
        <v>103</v>
      </c>
      <c r="U41" s="26">
        <v>2347.79</v>
      </c>
      <c r="V41" s="26">
        <f t="shared" ref="V41:V104" si="14">IF(I41&gt;0,I41,IF(H41&gt;0,H41,IF(G41&gt;0,G41,IF(F41&gt;0,F41,IF(E41&gt;0,E41,D41)))))</f>
        <v>2347.79</v>
      </c>
      <c r="W41" s="26">
        <f t="shared" si="5"/>
        <v>320.74</v>
      </c>
      <c r="X41" s="243">
        <f t="shared" si="9"/>
        <v>121.99999999999955</v>
      </c>
      <c r="Y41" s="127">
        <f t="shared" si="6"/>
        <v>2223.5899999999997</v>
      </c>
      <c r="Z41" s="127">
        <f t="shared" ref="Z41:Z104" si="15">AA41-P41</f>
        <v>39130.280000000028</v>
      </c>
      <c r="AA41" s="127">
        <f t="shared" si="7"/>
        <v>713194.26</v>
      </c>
      <c r="AB41" s="33" t="s">
        <v>15</v>
      </c>
      <c r="AC41" s="324"/>
      <c r="AD41" s="181">
        <f t="shared" si="2"/>
        <v>2347.79</v>
      </c>
      <c r="AE41" s="181">
        <f>ROUND(W41*AD41,2)</f>
        <v>753030.16</v>
      </c>
      <c r="AF41" s="181">
        <v>1.2</v>
      </c>
      <c r="AG41" s="181">
        <v>1.2</v>
      </c>
      <c r="AH41" s="363" t="str">
        <f t="shared" si="8"/>
        <v/>
      </c>
      <c r="AI41" s="191">
        <f>822+115.6+380.73+236.3+234.76+312.2+122</f>
        <v>2223.5899999999997</v>
      </c>
      <c r="AJ41" s="188">
        <v>2347.79</v>
      </c>
      <c r="AO41" s="367"/>
      <c r="AP41" s="367"/>
      <c r="AQ41" s="367"/>
    </row>
    <row r="42" spans="1:43" s="69" customFormat="1" ht="58.5" x14ac:dyDescent="0.3">
      <c r="A42" s="55" t="s">
        <v>105</v>
      </c>
      <c r="B42" s="53" t="s">
        <v>106</v>
      </c>
      <c r="C42" s="54" t="s">
        <v>103</v>
      </c>
      <c r="D42" s="75">
        <v>755.76</v>
      </c>
      <c r="E42" s="75"/>
      <c r="F42" s="75"/>
      <c r="G42" s="75"/>
      <c r="H42" s="75"/>
      <c r="I42" s="75"/>
      <c r="J42" s="75">
        <v>346.08</v>
      </c>
      <c r="K42" s="75">
        <v>261553.42</v>
      </c>
      <c r="L42" s="91" t="s">
        <v>107</v>
      </c>
      <c r="M42" s="73"/>
      <c r="N42" s="46">
        <v>605.20000000000005</v>
      </c>
      <c r="O42" s="46">
        <v>60633.22</v>
      </c>
      <c r="P42" s="46">
        <v>209447.62</v>
      </c>
      <c r="Q42" s="98"/>
      <c r="R42" s="23" t="s">
        <v>1426</v>
      </c>
      <c r="S42" s="24" t="s">
        <v>106</v>
      </c>
      <c r="T42" s="25" t="s">
        <v>103</v>
      </c>
      <c r="U42" s="26">
        <v>755.76</v>
      </c>
      <c r="V42" s="26">
        <f t="shared" si="14"/>
        <v>755.76</v>
      </c>
      <c r="W42" s="26">
        <f t="shared" si="5"/>
        <v>346.08</v>
      </c>
      <c r="X42" s="243">
        <f t="shared" si="9"/>
        <v>107.5</v>
      </c>
      <c r="Y42" s="26">
        <f t="shared" si="6"/>
        <v>712.7</v>
      </c>
      <c r="Z42" s="26">
        <f t="shared" si="15"/>
        <v>37203.600000000006</v>
      </c>
      <c r="AA42" s="26">
        <f t="shared" si="7"/>
        <v>246651.22</v>
      </c>
      <c r="AB42" s="33" t="s">
        <v>15</v>
      </c>
      <c r="AC42" s="324"/>
      <c r="AD42" s="181">
        <f t="shared" si="2"/>
        <v>755.76</v>
      </c>
      <c r="AE42" s="181">
        <f t="shared" ref="AE42:AE105" si="16">ROUND(W42*AD42,2)</f>
        <v>261553.42</v>
      </c>
      <c r="AF42" s="181">
        <v>1.2</v>
      </c>
      <c r="AG42" s="181">
        <v>1.2</v>
      </c>
      <c r="AH42" s="363" t="str">
        <f t="shared" si="8"/>
        <v/>
      </c>
      <c r="AI42" s="191">
        <f>23+62.8+344.2+175.2+107.5</f>
        <v>712.7</v>
      </c>
      <c r="AJ42" s="188">
        <v>755.76</v>
      </c>
      <c r="AO42" s="367"/>
      <c r="AP42" s="367"/>
      <c r="AQ42" s="367"/>
    </row>
    <row r="43" spans="1:43" s="69" customFormat="1" ht="33" x14ac:dyDescent="0.3">
      <c r="A43" s="55" t="s">
        <v>108</v>
      </c>
      <c r="B43" s="53" t="s">
        <v>109</v>
      </c>
      <c r="C43" s="54" t="s">
        <v>110</v>
      </c>
      <c r="D43" s="75">
        <v>37233.480000000003</v>
      </c>
      <c r="E43" s="75"/>
      <c r="F43" s="75"/>
      <c r="G43" s="75"/>
      <c r="H43" s="75"/>
      <c r="I43" s="328">
        <v>38019.35</v>
      </c>
      <c r="J43" s="75">
        <v>36.4</v>
      </c>
      <c r="K43" s="75">
        <v>1383904.34</v>
      </c>
      <c r="L43" s="91" t="s">
        <v>111</v>
      </c>
      <c r="M43" s="73"/>
      <c r="N43" s="46">
        <v>34125.599999999999</v>
      </c>
      <c r="O43" s="46">
        <v>217038.64</v>
      </c>
      <c r="P43" s="46">
        <v>1242171.8400000001</v>
      </c>
      <c r="Q43" s="98"/>
      <c r="R43" s="23" t="s">
        <v>1402</v>
      </c>
      <c r="S43" s="24" t="s">
        <v>109</v>
      </c>
      <c r="T43" s="25" t="s">
        <v>110</v>
      </c>
      <c r="U43" s="26">
        <v>37233.480000000003</v>
      </c>
      <c r="V43" s="26">
        <f t="shared" si="14"/>
        <v>38019.35</v>
      </c>
      <c r="W43" s="26">
        <f t="shared" si="5"/>
        <v>36.4</v>
      </c>
      <c r="X43" s="243">
        <f t="shared" si="9"/>
        <v>3023.6999999999971</v>
      </c>
      <c r="Y43" s="26">
        <f t="shared" si="6"/>
        <v>37149.299999999996</v>
      </c>
      <c r="Z43" s="26">
        <f t="shared" si="15"/>
        <v>110062.67999999993</v>
      </c>
      <c r="AA43" s="26">
        <f t="shared" si="7"/>
        <v>1352234.52</v>
      </c>
      <c r="AB43" s="33" t="s">
        <v>15</v>
      </c>
      <c r="AC43" s="324"/>
      <c r="AD43" s="181">
        <f t="shared" si="2"/>
        <v>38019.35</v>
      </c>
      <c r="AE43" s="181">
        <f t="shared" si="16"/>
        <v>1383904.34</v>
      </c>
      <c r="AF43" s="181">
        <v>1.2</v>
      </c>
      <c r="AG43" s="181">
        <v>1.2</v>
      </c>
      <c r="AH43" s="363" t="str">
        <f t="shared" si="8"/>
        <v/>
      </c>
      <c r="AI43" s="191">
        <f>4011.3+10712+7037.8+2325.2+4076.7+5962.6+3023.7</f>
        <v>37149.299999999996</v>
      </c>
      <c r="AJ43" s="190">
        <v>38019.35</v>
      </c>
      <c r="AO43" s="367"/>
      <c r="AP43" s="367"/>
      <c r="AQ43" s="367"/>
    </row>
    <row r="44" spans="1:43" s="69" customFormat="1" ht="58.5" x14ac:dyDescent="0.3">
      <c r="A44" s="55" t="s">
        <v>112</v>
      </c>
      <c r="B44" s="53" t="s">
        <v>113</v>
      </c>
      <c r="C44" s="54" t="s">
        <v>23</v>
      </c>
      <c r="D44" s="75">
        <v>294.98</v>
      </c>
      <c r="E44" s="75"/>
      <c r="F44" s="75"/>
      <c r="G44" s="75"/>
      <c r="H44" s="75"/>
      <c r="I44" s="75"/>
      <c r="J44" s="75">
        <v>3115.13</v>
      </c>
      <c r="K44" s="75">
        <v>918901.05</v>
      </c>
      <c r="L44" s="91" t="s">
        <v>114</v>
      </c>
      <c r="M44" s="73"/>
      <c r="N44" s="46">
        <v>264.10000000000002</v>
      </c>
      <c r="O44" s="46">
        <v>49842.080000000002</v>
      </c>
      <c r="P44" s="46">
        <v>822705.83</v>
      </c>
      <c r="Q44" s="98"/>
      <c r="R44" s="23" t="s">
        <v>1373</v>
      </c>
      <c r="S44" s="24" t="s">
        <v>392</v>
      </c>
      <c r="T44" s="25" t="s">
        <v>23</v>
      </c>
      <c r="U44" s="26">
        <v>294.98</v>
      </c>
      <c r="V44" s="26">
        <f t="shared" si="14"/>
        <v>294.98</v>
      </c>
      <c r="W44" s="26">
        <f t="shared" si="5"/>
        <v>3115.13</v>
      </c>
      <c r="X44" s="243">
        <f t="shared" si="9"/>
        <v>12</v>
      </c>
      <c r="Y44" s="26">
        <f t="shared" si="6"/>
        <v>276.10000000000002</v>
      </c>
      <c r="Z44" s="26">
        <f t="shared" si="15"/>
        <v>37381.560000000056</v>
      </c>
      <c r="AA44" s="26">
        <f t="shared" si="7"/>
        <v>860087.39</v>
      </c>
      <c r="AB44" s="33" t="s">
        <v>15</v>
      </c>
      <c r="AC44" s="324"/>
      <c r="AD44" s="181">
        <f t="shared" si="2"/>
        <v>294.98</v>
      </c>
      <c r="AE44" s="181">
        <f t="shared" si="16"/>
        <v>918901.05</v>
      </c>
      <c r="AF44" s="181">
        <v>1.2</v>
      </c>
      <c r="AG44" s="181">
        <v>1.2</v>
      </c>
      <c r="AH44" s="363" t="str">
        <f t="shared" si="8"/>
        <v/>
      </c>
      <c r="AI44" s="191">
        <f>36.6+39.2+23.9+112.01+5.7+30.69+16+12</f>
        <v>276.10000000000002</v>
      </c>
      <c r="AJ44" s="188">
        <v>294.98</v>
      </c>
      <c r="AO44" s="367"/>
      <c r="AP44" s="367"/>
      <c r="AQ44" s="367"/>
    </row>
    <row r="45" spans="1:43" s="69" customFormat="1" ht="58.5" x14ac:dyDescent="0.3">
      <c r="A45" s="130" t="s">
        <v>115</v>
      </c>
      <c r="B45" s="131" t="s">
        <v>116</v>
      </c>
      <c r="C45" s="132" t="s">
        <v>23</v>
      </c>
      <c r="D45" s="133">
        <v>846.68</v>
      </c>
      <c r="E45" s="75"/>
      <c r="F45" s="75"/>
      <c r="G45" s="75"/>
      <c r="H45" s="75"/>
      <c r="I45" s="328">
        <v>932.9</v>
      </c>
      <c r="J45" s="75">
        <v>3321.13</v>
      </c>
      <c r="K45" s="75">
        <v>3098282.18</v>
      </c>
      <c r="L45" s="91" t="s">
        <v>117</v>
      </c>
      <c r="M45" s="73"/>
      <c r="N45" s="46">
        <v>846.68</v>
      </c>
      <c r="O45" s="46">
        <v>127132.86</v>
      </c>
      <c r="P45" s="46">
        <v>2811934.35</v>
      </c>
      <c r="Q45" s="98"/>
      <c r="R45" s="23" t="s">
        <v>1393</v>
      </c>
      <c r="S45" s="24" t="s">
        <v>116</v>
      </c>
      <c r="T45" s="25" t="s">
        <v>23</v>
      </c>
      <c r="U45" s="26">
        <v>846.68</v>
      </c>
      <c r="V45" s="26">
        <f t="shared" si="14"/>
        <v>932.9</v>
      </c>
      <c r="W45" s="26">
        <f t="shared" si="5"/>
        <v>3321.13</v>
      </c>
      <c r="X45" s="243">
        <f t="shared" si="9"/>
        <v>53.799999999999955</v>
      </c>
      <c r="Y45" s="26">
        <f>X45+N45</f>
        <v>900.4799999999999</v>
      </c>
      <c r="Z45" s="26">
        <f t="shared" si="15"/>
        <v>178676.79000000004</v>
      </c>
      <c r="AA45" s="26">
        <f t="shared" si="7"/>
        <v>2990611.14</v>
      </c>
      <c r="AB45" s="33" t="s">
        <v>15</v>
      </c>
      <c r="AC45" s="324"/>
      <c r="AD45" s="181">
        <f t="shared" si="2"/>
        <v>932.9</v>
      </c>
      <c r="AE45" s="181">
        <f t="shared" si="16"/>
        <v>3098282.18</v>
      </c>
      <c r="AF45" s="181">
        <v>1.2</v>
      </c>
      <c r="AG45" s="181">
        <v>1.2</v>
      </c>
      <c r="AH45" s="363" t="str">
        <f t="shared" si="8"/>
        <v/>
      </c>
      <c r="AI45" s="191">
        <f>282.3+157.6+131.2+92.3+145+38.2+0.08+53.8</f>
        <v>900.4799999999999</v>
      </c>
      <c r="AJ45" s="190">
        <v>932.9</v>
      </c>
      <c r="AO45" s="367"/>
      <c r="AP45" s="367"/>
      <c r="AQ45" s="367"/>
    </row>
    <row r="46" spans="1:43" s="69" customFormat="1" ht="26.1" customHeight="1" x14ac:dyDescent="0.3">
      <c r="A46" s="130" t="s">
        <v>118</v>
      </c>
      <c r="B46" s="131" t="s">
        <v>119</v>
      </c>
      <c r="C46" s="132" t="s">
        <v>50</v>
      </c>
      <c r="D46" s="133">
        <v>2387.33</v>
      </c>
      <c r="E46" s="75"/>
      <c r="F46" s="75"/>
      <c r="G46" s="75"/>
      <c r="H46" s="75"/>
      <c r="I46" s="328">
        <v>2715.61</v>
      </c>
      <c r="J46" s="75">
        <v>533.64</v>
      </c>
      <c r="K46" s="75">
        <v>1449158.12</v>
      </c>
      <c r="L46" s="91" t="s">
        <v>120</v>
      </c>
      <c r="M46" s="73"/>
      <c r="N46" s="46">
        <v>2386.39</v>
      </c>
      <c r="O46" s="46">
        <v>14675.1</v>
      </c>
      <c r="P46" s="46">
        <v>1273473.1599999999</v>
      </c>
      <c r="Q46" s="98"/>
      <c r="R46" s="23" t="s">
        <v>1403</v>
      </c>
      <c r="S46" s="24" t="s">
        <v>119</v>
      </c>
      <c r="T46" s="25" t="s">
        <v>50</v>
      </c>
      <c r="U46" s="26">
        <v>2387.33</v>
      </c>
      <c r="V46" s="26">
        <f t="shared" si="14"/>
        <v>2715.61</v>
      </c>
      <c r="W46" s="26">
        <f t="shared" si="5"/>
        <v>533.64</v>
      </c>
      <c r="X46" s="243">
        <f t="shared" si="9"/>
        <v>196.90000000000009</v>
      </c>
      <c r="Y46" s="26">
        <f t="shared" si="6"/>
        <v>2583.29</v>
      </c>
      <c r="Z46" s="26">
        <f t="shared" si="15"/>
        <v>105073.71999999997</v>
      </c>
      <c r="AA46" s="26">
        <f t="shared" si="7"/>
        <v>1378546.88</v>
      </c>
      <c r="AB46" s="33" t="s">
        <v>15</v>
      </c>
      <c r="AC46" s="324"/>
      <c r="AD46" s="181">
        <f t="shared" si="2"/>
        <v>2715.61</v>
      </c>
      <c r="AE46" s="181">
        <f t="shared" si="16"/>
        <v>1449158.12</v>
      </c>
      <c r="AF46" s="181">
        <v>1.2</v>
      </c>
      <c r="AG46" s="181">
        <v>1.2</v>
      </c>
      <c r="AH46" s="363" t="str">
        <f t="shared" si="8"/>
        <v/>
      </c>
      <c r="AI46" s="191">
        <f>815.4+226.8+231.1+653.04+121.2+311.35+27.5+196.9</f>
        <v>2583.29</v>
      </c>
      <c r="AJ46" s="190">
        <v>2715.61</v>
      </c>
      <c r="AO46" s="367"/>
      <c r="AP46" s="367"/>
      <c r="AQ46" s="367"/>
    </row>
    <row r="47" spans="1:43" s="69" customFormat="1" ht="26.1" customHeight="1" x14ac:dyDescent="0.3">
      <c r="A47" s="55" t="s">
        <v>121</v>
      </c>
      <c r="B47" s="53" t="s">
        <v>122</v>
      </c>
      <c r="C47" s="54" t="s">
        <v>50</v>
      </c>
      <c r="D47" s="75">
        <v>1362.2</v>
      </c>
      <c r="E47" s="75"/>
      <c r="F47" s="75"/>
      <c r="G47" s="75"/>
      <c r="H47" s="75"/>
      <c r="I47" s="328"/>
      <c r="J47" s="75">
        <v>1299.8900000000001</v>
      </c>
      <c r="K47" s="75">
        <v>1770710.16</v>
      </c>
      <c r="L47" s="91" t="s">
        <v>123</v>
      </c>
      <c r="M47" s="73"/>
      <c r="N47" s="46">
        <v>1042.2</v>
      </c>
      <c r="O47" s="46">
        <v>0</v>
      </c>
      <c r="P47" s="46">
        <v>1354745.36</v>
      </c>
      <c r="Q47" s="98"/>
      <c r="R47" s="23" t="s">
        <v>1427</v>
      </c>
      <c r="S47" s="24" t="s">
        <v>122</v>
      </c>
      <c r="T47" s="25" t="s">
        <v>50</v>
      </c>
      <c r="U47" s="26">
        <v>1362.2</v>
      </c>
      <c r="V47" s="26">
        <f t="shared" si="14"/>
        <v>1362.2</v>
      </c>
      <c r="W47" s="26">
        <f t="shared" si="5"/>
        <v>1299.8900000000001</v>
      </c>
      <c r="X47" s="243">
        <f t="shared" si="9"/>
        <v>193.59999999999991</v>
      </c>
      <c r="Y47" s="26">
        <f t="shared" si="6"/>
        <v>1235.8</v>
      </c>
      <c r="Z47" s="26">
        <f t="shared" si="15"/>
        <v>251658.69999999995</v>
      </c>
      <c r="AA47" s="26">
        <f t="shared" si="7"/>
        <v>1606404.06</v>
      </c>
      <c r="AB47" s="33" t="s">
        <v>15</v>
      </c>
      <c r="AC47" s="324"/>
      <c r="AD47" s="181">
        <f t="shared" si="2"/>
        <v>1362.2</v>
      </c>
      <c r="AE47" s="181">
        <f t="shared" si="16"/>
        <v>1770710.16</v>
      </c>
      <c r="AF47" s="181">
        <v>1.2</v>
      </c>
      <c r="AG47" s="181">
        <v>1.2</v>
      </c>
      <c r="AH47" s="363" t="str">
        <f t="shared" si="8"/>
        <v/>
      </c>
      <c r="AI47" s="191">
        <f>165+139.2+39.3+296.5+402.2+193.6</f>
        <v>1235.8</v>
      </c>
      <c r="AJ47" s="188">
        <v>1362.2</v>
      </c>
      <c r="AN47" s="363"/>
      <c r="AO47" s="368"/>
      <c r="AP47" s="367"/>
      <c r="AQ47" s="367"/>
    </row>
    <row r="48" spans="1:43" s="69" customFormat="1" ht="26.1" customHeight="1" x14ac:dyDescent="0.3">
      <c r="A48" s="130" t="s">
        <v>124</v>
      </c>
      <c r="B48" s="131" t="s">
        <v>125</v>
      </c>
      <c r="C48" s="132" t="s">
        <v>110</v>
      </c>
      <c r="D48" s="133">
        <v>4781.5600000000004</v>
      </c>
      <c r="E48" s="75"/>
      <c r="F48" s="75"/>
      <c r="G48" s="75"/>
      <c r="H48" s="75"/>
      <c r="I48" s="328">
        <v>17136.57</v>
      </c>
      <c r="J48" s="75">
        <v>60</v>
      </c>
      <c r="K48" s="75">
        <v>1028194.2</v>
      </c>
      <c r="L48" s="91" t="s">
        <v>126</v>
      </c>
      <c r="M48" s="73"/>
      <c r="N48" s="46">
        <v>4781.5</v>
      </c>
      <c r="O48" s="46">
        <v>0</v>
      </c>
      <c r="P48" s="46">
        <v>286890</v>
      </c>
      <c r="Q48" s="98"/>
      <c r="R48" s="23" t="s">
        <v>1428</v>
      </c>
      <c r="S48" s="24" t="s">
        <v>125</v>
      </c>
      <c r="T48" s="25" t="s">
        <v>110</v>
      </c>
      <c r="U48" s="26">
        <v>4781.5600000000004</v>
      </c>
      <c r="V48" s="26">
        <f t="shared" si="14"/>
        <v>17136.57</v>
      </c>
      <c r="W48" s="26">
        <f t="shared" si="5"/>
        <v>60</v>
      </c>
      <c r="X48" s="243">
        <f t="shared" si="9"/>
        <v>10351.620000000001</v>
      </c>
      <c r="Y48" s="127">
        <f t="shared" si="6"/>
        <v>15133.12</v>
      </c>
      <c r="Z48" s="127">
        <f t="shared" si="15"/>
        <v>621097.19999999995</v>
      </c>
      <c r="AA48" s="127">
        <f t="shared" si="7"/>
        <v>907987.2</v>
      </c>
      <c r="AB48" s="33" t="s">
        <v>15</v>
      </c>
      <c r="AC48" s="324"/>
      <c r="AD48" s="181">
        <f t="shared" si="2"/>
        <v>17136.57</v>
      </c>
      <c r="AE48" s="181">
        <f t="shared" si="16"/>
        <v>1028194.2</v>
      </c>
      <c r="AF48" s="181">
        <v>1.2</v>
      </c>
      <c r="AG48" s="181">
        <v>1.2</v>
      </c>
      <c r="AH48" s="363" t="str">
        <f t="shared" si="8"/>
        <v/>
      </c>
      <c r="AI48" s="191">
        <v>15133.12</v>
      </c>
      <c r="AJ48" s="190">
        <v>17136.57</v>
      </c>
      <c r="AN48" s="363"/>
      <c r="AO48" s="368"/>
      <c r="AP48" s="367"/>
      <c r="AQ48" s="367"/>
    </row>
    <row r="49" spans="1:43" s="69" customFormat="1" ht="58.5" x14ac:dyDescent="0.3">
      <c r="A49" s="130" t="s">
        <v>127</v>
      </c>
      <c r="B49" s="131" t="s">
        <v>128</v>
      </c>
      <c r="C49" s="132" t="s">
        <v>110</v>
      </c>
      <c r="D49" s="133">
        <v>4781.5600000000004</v>
      </c>
      <c r="E49" s="75"/>
      <c r="F49" s="75"/>
      <c r="G49" s="75"/>
      <c r="H49" s="75"/>
      <c r="I49" s="328">
        <v>17136.57</v>
      </c>
      <c r="J49" s="75">
        <v>31.9</v>
      </c>
      <c r="K49" s="75">
        <v>546656.57999999996</v>
      </c>
      <c r="L49" s="91" t="s">
        <v>129</v>
      </c>
      <c r="M49" s="73"/>
      <c r="N49" s="46">
        <v>4781.5</v>
      </c>
      <c r="O49" s="46">
        <v>0</v>
      </c>
      <c r="P49" s="46">
        <v>152529.85</v>
      </c>
      <c r="Q49" s="98"/>
      <c r="R49" s="23" t="s">
        <v>1387</v>
      </c>
      <c r="S49" s="24" t="s">
        <v>128</v>
      </c>
      <c r="T49" s="25" t="s">
        <v>110</v>
      </c>
      <c r="U49" s="26">
        <v>4781.5600000000004</v>
      </c>
      <c r="V49" s="26">
        <f t="shared" si="14"/>
        <v>17136.57</v>
      </c>
      <c r="W49" s="26">
        <f t="shared" si="5"/>
        <v>31.9</v>
      </c>
      <c r="X49" s="243">
        <f t="shared" si="9"/>
        <v>10351.620000000001</v>
      </c>
      <c r="Y49" s="127">
        <f t="shared" si="6"/>
        <v>15133.12</v>
      </c>
      <c r="Z49" s="127">
        <f t="shared" si="15"/>
        <v>330216.68000000005</v>
      </c>
      <c r="AA49" s="127">
        <f t="shared" si="7"/>
        <v>482746.53</v>
      </c>
      <c r="AB49" s="33" t="s">
        <v>15</v>
      </c>
      <c r="AC49" s="324"/>
      <c r="AD49" s="181">
        <f t="shared" si="2"/>
        <v>17136.57</v>
      </c>
      <c r="AE49" s="181">
        <f t="shared" si="16"/>
        <v>546656.57999999996</v>
      </c>
      <c r="AF49" s="181">
        <v>1.2</v>
      </c>
      <c r="AG49" s="181">
        <v>1.2</v>
      </c>
      <c r="AH49" s="363" t="str">
        <f t="shared" si="8"/>
        <v/>
      </c>
      <c r="AI49" s="191">
        <f>AI48</f>
        <v>15133.12</v>
      </c>
      <c r="AJ49" s="190">
        <v>17136.57</v>
      </c>
      <c r="AO49" s="367"/>
      <c r="AP49" s="367"/>
      <c r="AQ49" s="367"/>
    </row>
    <row r="50" spans="1:43" s="69" customFormat="1" ht="156" x14ac:dyDescent="0.3">
      <c r="A50" s="55" t="s">
        <v>130</v>
      </c>
      <c r="B50" s="53" t="s">
        <v>131</v>
      </c>
      <c r="C50" s="54" t="s">
        <v>110</v>
      </c>
      <c r="D50" s="75">
        <v>2300.86</v>
      </c>
      <c r="E50" s="75"/>
      <c r="F50" s="75"/>
      <c r="G50" s="75"/>
      <c r="H50" s="75"/>
      <c r="I50" s="328">
        <v>2741.71</v>
      </c>
      <c r="J50" s="75">
        <v>107.31</v>
      </c>
      <c r="K50" s="75">
        <v>294212.90000000002</v>
      </c>
      <c r="L50" s="91" t="s">
        <v>132</v>
      </c>
      <c r="M50" s="73"/>
      <c r="N50" s="46">
        <v>1855</v>
      </c>
      <c r="O50" s="46">
        <v>0</v>
      </c>
      <c r="P50" s="46">
        <v>199060.05</v>
      </c>
      <c r="Q50" s="98"/>
      <c r="R50" s="23" t="s">
        <v>1405</v>
      </c>
      <c r="S50" s="24" t="s">
        <v>131</v>
      </c>
      <c r="T50" s="25" t="s">
        <v>110</v>
      </c>
      <c r="U50" s="26">
        <v>2300.86</v>
      </c>
      <c r="V50" s="26">
        <f t="shared" si="14"/>
        <v>2741.71</v>
      </c>
      <c r="W50" s="26">
        <f t="shared" si="5"/>
        <v>107.31</v>
      </c>
      <c r="X50" s="243">
        <f t="shared" si="9"/>
        <v>886.59999999999991</v>
      </c>
      <c r="Y50" s="127">
        <f t="shared" si="6"/>
        <v>2741.6</v>
      </c>
      <c r="Z50" s="127">
        <f t="shared" si="15"/>
        <v>95141.049999999988</v>
      </c>
      <c r="AA50" s="127">
        <f t="shared" si="7"/>
        <v>294201.09999999998</v>
      </c>
      <c r="AB50" s="33" t="s">
        <v>15</v>
      </c>
      <c r="AC50" s="324"/>
      <c r="AD50" s="181">
        <f t="shared" si="2"/>
        <v>2741.71</v>
      </c>
      <c r="AE50" s="181">
        <f t="shared" si="16"/>
        <v>294212.90000000002</v>
      </c>
      <c r="AF50" s="181">
        <v>1.2</v>
      </c>
      <c r="AG50" s="181">
        <v>1.2</v>
      </c>
      <c r="AH50" s="363" t="str">
        <f t="shared" si="8"/>
        <v/>
      </c>
      <c r="AI50" s="191">
        <f>1855+456+430.6</f>
        <v>2741.6</v>
      </c>
      <c r="AJ50" s="190">
        <v>2741.71</v>
      </c>
      <c r="AO50" s="367"/>
      <c r="AP50" s="367"/>
      <c r="AQ50" s="367"/>
    </row>
    <row r="51" spans="1:43" s="69" customFormat="1" ht="31.5" x14ac:dyDescent="0.3">
      <c r="A51" s="55" t="s">
        <v>133</v>
      </c>
      <c r="B51" s="215" t="s">
        <v>134</v>
      </c>
      <c r="C51" s="54" t="s">
        <v>50</v>
      </c>
      <c r="D51" s="75">
        <v>5207.01</v>
      </c>
      <c r="E51" s="75"/>
      <c r="F51" s="75"/>
      <c r="G51" s="75"/>
      <c r="H51" s="75"/>
      <c r="I51" s="328">
        <v>4297.84</v>
      </c>
      <c r="J51" s="75">
        <v>2964</v>
      </c>
      <c r="K51" s="75">
        <v>12738797.76</v>
      </c>
      <c r="L51" s="137" t="s">
        <v>135</v>
      </c>
      <c r="M51" s="73"/>
      <c r="N51" s="46">
        <v>3666.49</v>
      </c>
      <c r="O51" s="46">
        <v>866377.2</v>
      </c>
      <c r="P51" s="46">
        <v>10867476.359999999</v>
      </c>
      <c r="Q51" s="98"/>
      <c r="R51" s="23" t="s">
        <v>1406</v>
      </c>
      <c r="S51" s="24" t="s">
        <v>134</v>
      </c>
      <c r="T51" s="25" t="s">
        <v>50</v>
      </c>
      <c r="U51" s="26">
        <v>5207.01</v>
      </c>
      <c r="V51" s="26">
        <f t="shared" si="14"/>
        <v>4297.84</v>
      </c>
      <c r="W51" s="26">
        <f t="shared" si="5"/>
        <v>2964</v>
      </c>
      <c r="X51" s="128">
        <f t="shared" si="9"/>
        <v>0</v>
      </c>
      <c r="Y51" s="26">
        <f t="shared" si="6"/>
        <v>3666.49</v>
      </c>
      <c r="Z51" s="26">
        <f t="shared" si="15"/>
        <v>0</v>
      </c>
      <c r="AA51" s="26">
        <f t="shared" si="7"/>
        <v>10867476.359999999</v>
      </c>
      <c r="AB51" s="33" t="s">
        <v>15</v>
      </c>
      <c r="AC51" s="325"/>
      <c r="AD51" s="263">
        <f t="shared" si="2"/>
        <v>4297.84</v>
      </c>
      <c r="AE51" s="263">
        <f t="shared" si="16"/>
        <v>12738797.76</v>
      </c>
      <c r="AF51" s="263">
        <v>1.2</v>
      </c>
      <c r="AG51" s="263">
        <v>1.2</v>
      </c>
      <c r="AH51" s="68" t="str">
        <f t="shared" si="8"/>
        <v/>
      </c>
      <c r="AI51" s="194">
        <f>1759.3+212.2+210.7+652.79+539.2+292.3</f>
        <v>3666.49</v>
      </c>
      <c r="AJ51" s="190">
        <v>4297.84</v>
      </c>
      <c r="AO51" s="367"/>
      <c r="AP51" s="367"/>
      <c r="AQ51" s="367"/>
    </row>
    <row r="52" spans="1:43" s="69" customFormat="1" ht="58.5" x14ac:dyDescent="0.3">
      <c r="A52" s="55" t="s">
        <v>136</v>
      </c>
      <c r="B52" s="53" t="s">
        <v>3138</v>
      </c>
      <c r="C52" s="54" t="s">
        <v>50</v>
      </c>
      <c r="D52" s="75">
        <v>693.8</v>
      </c>
      <c r="E52" s="75"/>
      <c r="F52" s="75"/>
      <c r="G52" s="75"/>
      <c r="H52" s="75"/>
      <c r="I52" s="75"/>
      <c r="J52" s="75">
        <v>3961.57</v>
      </c>
      <c r="K52" s="75">
        <v>2748537.27</v>
      </c>
      <c r="L52" s="137" t="s">
        <v>138</v>
      </c>
      <c r="M52" s="73"/>
      <c r="N52" s="46">
        <v>572</v>
      </c>
      <c r="O52" s="46">
        <v>206793.95</v>
      </c>
      <c r="P52" s="46">
        <v>2266018.04</v>
      </c>
      <c r="Q52" s="98"/>
      <c r="R52" s="23" t="s">
        <v>1414</v>
      </c>
      <c r="S52" s="24" t="s">
        <v>137</v>
      </c>
      <c r="T52" s="25" t="s">
        <v>50</v>
      </c>
      <c r="U52" s="26">
        <v>693.8</v>
      </c>
      <c r="V52" s="26">
        <f t="shared" si="14"/>
        <v>693.8</v>
      </c>
      <c r="W52" s="26">
        <f t="shared" si="5"/>
        <v>3961.57</v>
      </c>
      <c r="X52" s="243">
        <f>AI52-N52</f>
        <v>101.79999999999995</v>
      </c>
      <c r="Y52" s="127">
        <f t="shared" si="6"/>
        <v>673.8</v>
      </c>
      <c r="Z52" s="127">
        <f t="shared" si="15"/>
        <v>403287.83000000007</v>
      </c>
      <c r="AA52" s="127">
        <f t="shared" si="7"/>
        <v>2669305.87</v>
      </c>
      <c r="AB52" s="33" t="s">
        <v>15</v>
      </c>
      <c r="AC52" s="324"/>
      <c r="AD52" s="181">
        <f t="shared" si="2"/>
        <v>693.8</v>
      </c>
      <c r="AE52" s="181">
        <f t="shared" si="16"/>
        <v>2748537.27</v>
      </c>
      <c r="AF52" s="181">
        <v>1.2</v>
      </c>
      <c r="AG52" s="181">
        <v>1.2</v>
      </c>
      <c r="AH52" s="363" t="str">
        <f t="shared" si="8"/>
        <v/>
      </c>
      <c r="AI52" s="191">
        <v>673.8</v>
      </c>
      <c r="AJ52" s="188">
        <v>693.8</v>
      </c>
      <c r="AO52" s="367"/>
      <c r="AP52" s="367"/>
      <c r="AQ52" s="367"/>
    </row>
    <row r="53" spans="1:43" s="69" customFormat="1" ht="26.1" customHeight="1" x14ac:dyDescent="0.3">
      <c r="A53" s="55" t="s">
        <v>139</v>
      </c>
      <c r="B53" s="53" t="s">
        <v>140</v>
      </c>
      <c r="C53" s="54" t="s">
        <v>50</v>
      </c>
      <c r="D53" s="75">
        <v>375.23</v>
      </c>
      <c r="E53" s="75"/>
      <c r="F53" s="75"/>
      <c r="G53" s="75"/>
      <c r="H53" s="75"/>
      <c r="I53" s="75"/>
      <c r="J53" s="75">
        <v>3965.81</v>
      </c>
      <c r="K53" s="75">
        <v>1488090.89</v>
      </c>
      <c r="L53" s="137" t="s">
        <v>141</v>
      </c>
      <c r="M53" s="73"/>
      <c r="N53" s="46">
        <v>337.6</v>
      </c>
      <c r="O53" s="46">
        <v>486208.31</v>
      </c>
      <c r="P53" s="46">
        <v>1338857.46</v>
      </c>
      <c r="Q53" s="98"/>
      <c r="R53" s="23" t="s">
        <v>1429</v>
      </c>
      <c r="S53" s="24" t="s">
        <v>140</v>
      </c>
      <c r="T53" s="25" t="s">
        <v>50</v>
      </c>
      <c r="U53" s="26">
        <v>375.23</v>
      </c>
      <c r="V53" s="26">
        <f t="shared" si="14"/>
        <v>375.23</v>
      </c>
      <c r="W53" s="26">
        <f t="shared" si="5"/>
        <v>3965.81</v>
      </c>
      <c r="X53" s="243">
        <f t="shared" si="9"/>
        <v>12.199999999999989</v>
      </c>
      <c r="Y53" s="127">
        <f t="shared" si="6"/>
        <v>349.8</v>
      </c>
      <c r="Z53" s="127">
        <f t="shared" si="15"/>
        <v>48382.880000000121</v>
      </c>
      <c r="AA53" s="127">
        <f>ROUND(W53*Y53,2)</f>
        <v>1387240.34</v>
      </c>
      <c r="AB53" s="33" t="s">
        <v>15</v>
      </c>
      <c r="AC53" s="325"/>
      <c r="AD53" s="263">
        <f t="shared" si="2"/>
        <v>375.23</v>
      </c>
      <c r="AE53" s="263">
        <f t="shared" si="16"/>
        <v>1488090.89</v>
      </c>
      <c r="AF53" s="263">
        <v>1.2</v>
      </c>
      <c r="AG53" s="263">
        <v>1.2</v>
      </c>
      <c r="AH53" s="68" t="str">
        <f t="shared" si="8"/>
        <v/>
      </c>
      <c r="AI53" s="191">
        <v>349.8</v>
      </c>
      <c r="AJ53" s="188">
        <v>375.23</v>
      </c>
      <c r="AO53" s="367"/>
      <c r="AP53" s="367"/>
      <c r="AQ53" s="367"/>
    </row>
    <row r="54" spans="1:43" s="69" customFormat="1" ht="26.1" customHeight="1" x14ac:dyDescent="0.3">
      <c r="A54" s="55" t="s">
        <v>142</v>
      </c>
      <c r="B54" s="53" t="s">
        <v>143</v>
      </c>
      <c r="C54" s="54" t="s">
        <v>50</v>
      </c>
      <c r="D54" s="75">
        <v>34.799999999999997</v>
      </c>
      <c r="E54" s="75"/>
      <c r="F54" s="75"/>
      <c r="G54" s="75"/>
      <c r="H54" s="75"/>
      <c r="I54" s="75"/>
      <c r="J54" s="75">
        <v>773.88</v>
      </c>
      <c r="K54" s="75">
        <v>26931.02</v>
      </c>
      <c r="L54" s="91" t="s">
        <v>144</v>
      </c>
      <c r="M54" s="73"/>
      <c r="N54" s="46">
        <v>0</v>
      </c>
      <c r="O54" s="46">
        <v>0</v>
      </c>
      <c r="P54" s="46">
        <v>0</v>
      </c>
      <c r="Q54" s="98"/>
      <c r="R54" s="23" t="s">
        <v>1430</v>
      </c>
      <c r="S54" s="24" t="s">
        <v>143</v>
      </c>
      <c r="T54" s="25" t="s">
        <v>50</v>
      </c>
      <c r="U54" s="26">
        <v>34.799999999999997</v>
      </c>
      <c r="V54" s="26">
        <f t="shared" si="14"/>
        <v>34.799999999999997</v>
      </c>
      <c r="W54" s="26">
        <f t="shared" si="5"/>
        <v>773.88</v>
      </c>
      <c r="X54" s="26">
        <f t="shared" si="9"/>
        <v>0</v>
      </c>
      <c r="Y54" s="26">
        <f t="shared" si="6"/>
        <v>0</v>
      </c>
      <c r="Z54" s="26">
        <f t="shared" si="15"/>
        <v>0</v>
      </c>
      <c r="AA54" s="26">
        <f t="shared" si="7"/>
        <v>0</v>
      </c>
      <c r="AB54" s="33" t="s">
        <v>15</v>
      </c>
      <c r="AC54" s="324"/>
      <c r="AD54" s="181">
        <f t="shared" si="2"/>
        <v>34.799999999999997</v>
      </c>
      <c r="AE54" s="181">
        <f t="shared" si="16"/>
        <v>26931.02</v>
      </c>
      <c r="AF54" s="181">
        <v>1.2</v>
      </c>
      <c r="AG54" s="181">
        <v>1.2</v>
      </c>
      <c r="AH54" s="363" t="str">
        <f t="shared" si="8"/>
        <v/>
      </c>
      <c r="AI54" s="190">
        <v>0</v>
      </c>
      <c r="AJ54" s="188">
        <v>34.799999999999997</v>
      </c>
      <c r="AO54" s="367"/>
      <c r="AP54" s="367"/>
      <c r="AQ54" s="367"/>
    </row>
    <row r="55" spans="1:43" s="69" customFormat="1" ht="26.1" customHeight="1" x14ac:dyDescent="0.3">
      <c r="A55" s="55" t="s">
        <v>145</v>
      </c>
      <c r="B55" s="53" t="s">
        <v>146</v>
      </c>
      <c r="C55" s="54" t="s">
        <v>50</v>
      </c>
      <c r="D55" s="75">
        <v>11.98</v>
      </c>
      <c r="E55" s="75"/>
      <c r="F55" s="75"/>
      <c r="G55" s="75"/>
      <c r="H55" s="75"/>
      <c r="I55" s="75"/>
      <c r="J55" s="75">
        <v>948.4</v>
      </c>
      <c r="K55" s="75">
        <v>11361.83</v>
      </c>
      <c r="L55" s="91" t="s">
        <v>147</v>
      </c>
      <c r="M55" s="73"/>
      <c r="N55" s="46">
        <v>9.8000000000000007</v>
      </c>
      <c r="O55" s="46">
        <v>9294.32</v>
      </c>
      <c r="P55" s="46">
        <v>9294.32</v>
      </c>
      <c r="Q55" s="98"/>
      <c r="R55" s="23" t="s">
        <v>1431</v>
      </c>
      <c r="S55" s="24" t="s">
        <v>146</v>
      </c>
      <c r="T55" s="25" t="s">
        <v>50</v>
      </c>
      <c r="U55" s="26">
        <v>11.98</v>
      </c>
      <c r="V55" s="26">
        <f t="shared" si="14"/>
        <v>11.98</v>
      </c>
      <c r="W55" s="26">
        <f t="shared" si="5"/>
        <v>948.4</v>
      </c>
      <c r="X55" s="26">
        <f t="shared" si="9"/>
        <v>0</v>
      </c>
      <c r="Y55" s="26">
        <f t="shared" si="6"/>
        <v>9.8000000000000007</v>
      </c>
      <c r="Z55" s="26">
        <f t="shared" si="15"/>
        <v>0</v>
      </c>
      <c r="AA55" s="26">
        <f t="shared" si="7"/>
        <v>9294.32</v>
      </c>
      <c r="AB55" s="33" t="s">
        <v>15</v>
      </c>
      <c r="AC55" s="325"/>
      <c r="AD55" s="263">
        <f t="shared" si="2"/>
        <v>11.98</v>
      </c>
      <c r="AE55" s="263">
        <f t="shared" si="16"/>
        <v>11361.83</v>
      </c>
      <c r="AF55" s="263">
        <v>1.2</v>
      </c>
      <c r="AG55" s="263">
        <v>1.2</v>
      </c>
      <c r="AH55" s="68" t="str">
        <f t="shared" si="8"/>
        <v/>
      </c>
      <c r="AI55" s="194">
        <f>9.8</f>
        <v>9.8000000000000007</v>
      </c>
      <c r="AJ55" s="188">
        <v>11.98</v>
      </c>
      <c r="AO55" s="367"/>
      <c r="AP55" s="367"/>
      <c r="AQ55" s="367"/>
    </row>
    <row r="56" spans="1:43" s="69" customFormat="1" ht="26.1" customHeight="1" x14ac:dyDescent="0.3">
      <c r="A56" s="55" t="s">
        <v>148</v>
      </c>
      <c r="B56" s="53" t="s">
        <v>149</v>
      </c>
      <c r="C56" s="54" t="s">
        <v>50</v>
      </c>
      <c r="D56" s="75">
        <v>141.26</v>
      </c>
      <c r="E56" s="75"/>
      <c r="F56" s="75"/>
      <c r="G56" s="75"/>
      <c r="H56" s="75"/>
      <c r="I56" s="75"/>
      <c r="J56" s="75">
        <v>6163.46</v>
      </c>
      <c r="K56" s="75">
        <v>870650.36</v>
      </c>
      <c r="L56" s="91" t="s">
        <v>150</v>
      </c>
      <c r="M56" s="73"/>
      <c r="N56" s="46">
        <v>12</v>
      </c>
      <c r="O56" s="46">
        <v>0</v>
      </c>
      <c r="P56" s="46">
        <v>73961.52</v>
      </c>
      <c r="Q56" s="98"/>
      <c r="R56" s="23" t="s">
        <v>1395</v>
      </c>
      <c r="S56" s="24" t="s">
        <v>149</v>
      </c>
      <c r="T56" s="25" t="s">
        <v>50</v>
      </c>
      <c r="U56" s="26">
        <v>141.26</v>
      </c>
      <c r="V56" s="26">
        <f t="shared" si="14"/>
        <v>141.26</v>
      </c>
      <c r="W56" s="26">
        <f t="shared" si="5"/>
        <v>6163.46</v>
      </c>
      <c r="X56" s="128">
        <f t="shared" si="9"/>
        <v>0</v>
      </c>
      <c r="Y56" s="26">
        <f t="shared" si="6"/>
        <v>12</v>
      </c>
      <c r="Z56" s="26">
        <f t="shared" si="15"/>
        <v>0</v>
      </c>
      <c r="AA56" s="26">
        <f t="shared" si="7"/>
        <v>73961.52</v>
      </c>
      <c r="AB56" s="33" t="s">
        <v>15</v>
      </c>
      <c r="AC56" s="325"/>
      <c r="AD56" s="263">
        <f t="shared" si="2"/>
        <v>141.26</v>
      </c>
      <c r="AE56" s="263">
        <f t="shared" si="16"/>
        <v>870650.36</v>
      </c>
      <c r="AF56" s="263">
        <v>1.2</v>
      </c>
      <c r="AG56" s="263">
        <v>1.2</v>
      </c>
      <c r="AH56" s="68" t="str">
        <f t="shared" si="8"/>
        <v/>
      </c>
      <c r="AI56" s="194">
        <f>12</f>
        <v>12</v>
      </c>
      <c r="AJ56" s="188">
        <v>141.26</v>
      </c>
      <c r="AO56" s="367"/>
      <c r="AP56" s="367"/>
      <c r="AQ56" s="367"/>
    </row>
    <row r="57" spans="1:43" s="69" customFormat="1" ht="26.1" customHeight="1" x14ac:dyDescent="0.3">
      <c r="A57" s="130" t="s">
        <v>151</v>
      </c>
      <c r="B57" s="131" t="s">
        <v>152</v>
      </c>
      <c r="C57" s="132" t="s">
        <v>81</v>
      </c>
      <c r="D57" s="133">
        <v>1</v>
      </c>
      <c r="E57" s="75"/>
      <c r="F57" s="75"/>
      <c r="G57" s="75"/>
      <c r="H57" s="75"/>
      <c r="I57" s="75"/>
      <c r="J57" s="75">
        <v>169519.61</v>
      </c>
      <c r="K57" s="75">
        <v>169519.61</v>
      </c>
      <c r="L57" s="91" t="s">
        <v>153</v>
      </c>
      <c r="M57" s="73"/>
      <c r="N57" s="46">
        <v>1</v>
      </c>
      <c r="O57" s="46">
        <v>0</v>
      </c>
      <c r="P57" s="46">
        <v>169519.61</v>
      </c>
      <c r="Q57" s="98"/>
      <c r="R57" s="23" t="s">
        <v>1432</v>
      </c>
      <c r="S57" s="24" t="s">
        <v>152</v>
      </c>
      <c r="T57" s="25" t="s">
        <v>81</v>
      </c>
      <c r="U57" s="26">
        <v>1</v>
      </c>
      <c r="V57" s="26">
        <f t="shared" si="14"/>
        <v>1</v>
      </c>
      <c r="W57" s="26">
        <f t="shared" si="5"/>
        <v>169519.61</v>
      </c>
      <c r="X57" s="127">
        <f t="shared" si="9"/>
        <v>0</v>
      </c>
      <c r="Y57" s="127">
        <f t="shared" si="6"/>
        <v>1</v>
      </c>
      <c r="Z57" s="127">
        <f t="shared" si="15"/>
        <v>0</v>
      </c>
      <c r="AA57" s="127">
        <f t="shared" si="7"/>
        <v>169519.61</v>
      </c>
      <c r="AB57" s="33" t="s">
        <v>15</v>
      </c>
      <c r="AC57" s="324"/>
      <c r="AD57" s="181">
        <f t="shared" si="2"/>
        <v>1</v>
      </c>
      <c r="AE57" s="181">
        <f t="shared" si="16"/>
        <v>169519.61</v>
      </c>
      <c r="AF57" s="181">
        <v>1.2</v>
      </c>
      <c r="AG57" s="181">
        <v>1.2</v>
      </c>
      <c r="AH57" s="363" t="str">
        <f t="shared" si="8"/>
        <v/>
      </c>
      <c r="AI57" s="194">
        <f>1</f>
        <v>1</v>
      </c>
      <c r="AJ57" s="188">
        <v>1</v>
      </c>
      <c r="AO57" s="367"/>
      <c r="AP57" s="367"/>
      <c r="AQ57" s="367"/>
    </row>
    <row r="58" spans="1:43" s="69" customFormat="1" ht="26.1" customHeight="1" x14ac:dyDescent="0.3">
      <c r="A58" s="130" t="s">
        <v>154</v>
      </c>
      <c r="B58" s="131" t="s">
        <v>155</v>
      </c>
      <c r="C58" s="132" t="s">
        <v>81</v>
      </c>
      <c r="D58" s="133">
        <v>1</v>
      </c>
      <c r="E58" s="75"/>
      <c r="F58" s="75"/>
      <c r="G58" s="75"/>
      <c r="H58" s="75"/>
      <c r="I58" s="75"/>
      <c r="J58" s="75">
        <v>350211.64</v>
      </c>
      <c r="K58" s="75">
        <v>350211.64</v>
      </c>
      <c r="L58" s="91" t="s">
        <v>156</v>
      </c>
      <c r="M58" s="73"/>
      <c r="N58" s="46">
        <v>1</v>
      </c>
      <c r="O58" s="46">
        <v>0</v>
      </c>
      <c r="P58" s="46">
        <v>350211.64</v>
      </c>
      <c r="Q58" s="98"/>
      <c r="R58" s="23" t="s">
        <v>1433</v>
      </c>
      <c r="S58" s="24" t="s">
        <v>155</v>
      </c>
      <c r="T58" s="25" t="s">
        <v>81</v>
      </c>
      <c r="U58" s="26">
        <v>1</v>
      </c>
      <c r="V58" s="26">
        <f t="shared" si="14"/>
        <v>1</v>
      </c>
      <c r="W58" s="26">
        <f t="shared" si="5"/>
        <v>350211.64</v>
      </c>
      <c r="X58" s="127">
        <f t="shared" si="9"/>
        <v>0</v>
      </c>
      <c r="Y58" s="127">
        <f t="shared" si="6"/>
        <v>1</v>
      </c>
      <c r="Z58" s="127">
        <f t="shared" si="15"/>
        <v>0</v>
      </c>
      <c r="AA58" s="127">
        <f t="shared" si="7"/>
        <v>350211.64</v>
      </c>
      <c r="AB58" s="33" t="s">
        <v>15</v>
      </c>
      <c r="AC58" s="324"/>
      <c r="AD58" s="181">
        <f t="shared" si="2"/>
        <v>1</v>
      </c>
      <c r="AE58" s="181">
        <f t="shared" si="16"/>
        <v>350211.64</v>
      </c>
      <c r="AF58" s="181">
        <v>1.2</v>
      </c>
      <c r="AG58" s="181">
        <v>1.2</v>
      </c>
      <c r="AH58" s="363" t="str">
        <f t="shared" si="8"/>
        <v/>
      </c>
      <c r="AI58" s="194">
        <f>1</f>
        <v>1</v>
      </c>
      <c r="AJ58" s="188">
        <v>1</v>
      </c>
      <c r="AO58" s="367"/>
      <c r="AP58" s="367"/>
      <c r="AQ58" s="367"/>
    </row>
    <row r="59" spans="1:43" s="69" customFormat="1" ht="26.1" customHeight="1" x14ac:dyDescent="0.3">
      <c r="A59" s="55" t="s">
        <v>157</v>
      </c>
      <c r="B59" s="53" t="s">
        <v>158</v>
      </c>
      <c r="C59" s="54" t="s">
        <v>81</v>
      </c>
      <c r="D59" s="75">
        <v>1</v>
      </c>
      <c r="E59" s="75"/>
      <c r="F59" s="75"/>
      <c r="G59" s="75"/>
      <c r="H59" s="75"/>
      <c r="I59" s="75"/>
      <c r="J59" s="75">
        <v>309726.87</v>
      </c>
      <c r="K59" s="75">
        <v>309726.87</v>
      </c>
      <c r="L59" s="91" t="s">
        <v>159</v>
      </c>
      <c r="M59" s="73"/>
      <c r="N59" s="46">
        <v>0</v>
      </c>
      <c r="O59" s="46">
        <v>0</v>
      </c>
      <c r="P59" s="46">
        <v>0</v>
      </c>
      <c r="Q59" s="98"/>
      <c r="R59" s="23" t="s">
        <v>1382</v>
      </c>
      <c r="S59" s="24" t="s">
        <v>158</v>
      </c>
      <c r="T59" s="25" t="s">
        <v>81</v>
      </c>
      <c r="U59" s="26">
        <v>1</v>
      </c>
      <c r="V59" s="26">
        <f t="shared" si="14"/>
        <v>1</v>
      </c>
      <c r="W59" s="26">
        <f t="shared" si="5"/>
        <v>309726.87</v>
      </c>
      <c r="X59" s="26">
        <f t="shared" si="9"/>
        <v>0</v>
      </c>
      <c r="Y59" s="26">
        <f t="shared" si="6"/>
        <v>0</v>
      </c>
      <c r="Z59" s="26">
        <f t="shared" si="15"/>
        <v>0</v>
      </c>
      <c r="AA59" s="26">
        <f t="shared" si="7"/>
        <v>0</v>
      </c>
      <c r="AB59" s="33" t="s">
        <v>15</v>
      </c>
      <c r="AC59" s="324"/>
      <c r="AD59" s="181">
        <f t="shared" si="2"/>
        <v>1</v>
      </c>
      <c r="AE59" s="181">
        <f t="shared" si="16"/>
        <v>309726.87</v>
      </c>
      <c r="AF59" s="181">
        <v>1.2</v>
      </c>
      <c r="AG59" s="181">
        <v>1.2</v>
      </c>
      <c r="AH59" s="363" t="str">
        <f t="shared" si="8"/>
        <v/>
      </c>
      <c r="AI59" s="192">
        <v>0</v>
      </c>
      <c r="AJ59" s="188">
        <v>1</v>
      </c>
      <c r="AO59" s="367"/>
      <c r="AP59" s="367"/>
      <c r="AQ59" s="367"/>
    </row>
    <row r="60" spans="1:43" s="69" customFormat="1" ht="26.1" customHeight="1" x14ac:dyDescent="0.3">
      <c r="A60" s="130" t="s">
        <v>160</v>
      </c>
      <c r="B60" s="131" t="s">
        <v>161</v>
      </c>
      <c r="C60" s="132" t="s">
        <v>162</v>
      </c>
      <c r="D60" s="133">
        <v>19</v>
      </c>
      <c r="E60" s="75"/>
      <c r="F60" s="75"/>
      <c r="G60" s="75"/>
      <c r="H60" s="75"/>
      <c r="I60" s="75"/>
      <c r="J60" s="75">
        <v>1134.56</v>
      </c>
      <c r="K60" s="75">
        <v>21556.639999999999</v>
      </c>
      <c r="L60" s="91" t="s">
        <v>163</v>
      </c>
      <c r="M60" s="73"/>
      <c r="N60" s="46">
        <v>19</v>
      </c>
      <c r="O60" s="46">
        <v>0</v>
      </c>
      <c r="P60" s="46">
        <v>21556.639999999999</v>
      </c>
      <c r="Q60" s="98"/>
      <c r="R60" s="23" t="s">
        <v>1434</v>
      </c>
      <c r="S60" s="24" t="s">
        <v>161</v>
      </c>
      <c r="T60" s="25" t="s">
        <v>162</v>
      </c>
      <c r="U60" s="26">
        <v>19</v>
      </c>
      <c r="V60" s="26">
        <f t="shared" si="14"/>
        <v>19</v>
      </c>
      <c r="W60" s="26">
        <f t="shared" si="5"/>
        <v>1134.56</v>
      </c>
      <c r="X60" s="127">
        <f t="shared" si="9"/>
        <v>0</v>
      </c>
      <c r="Y60" s="127">
        <f t="shared" si="6"/>
        <v>19</v>
      </c>
      <c r="Z60" s="127">
        <f t="shared" si="15"/>
        <v>0</v>
      </c>
      <c r="AA60" s="127">
        <f t="shared" si="7"/>
        <v>21556.639999999999</v>
      </c>
      <c r="AB60" s="33" t="s">
        <v>15</v>
      </c>
      <c r="AC60" s="324"/>
      <c r="AD60" s="181">
        <f t="shared" si="2"/>
        <v>19</v>
      </c>
      <c r="AE60" s="181">
        <f t="shared" si="16"/>
        <v>21556.639999999999</v>
      </c>
      <c r="AF60" s="181">
        <v>1.2</v>
      </c>
      <c r="AG60" s="181">
        <v>1.2</v>
      </c>
      <c r="AH60" s="363" t="str">
        <f t="shared" si="8"/>
        <v/>
      </c>
      <c r="AI60" s="194">
        <f>14+5</f>
        <v>19</v>
      </c>
      <c r="AJ60" s="188">
        <v>19</v>
      </c>
      <c r="AO60" s="367"/>
      <c r="AP60" s="367"/>
      <c r="AQ60" s="367"/>
    </row>
    <row r="61" spans="1:43" s="69" customFormat="1" ht="26.1" customHeight="1" x14ac:dyDescent="0.3">
      <c r="A61" s="130" t="s">
        <v>164</v>
      </c>
      <c r="B61" s="131" t="s">
        <v>165</v>
      </c>
      <c r="C61" s="132" t="s">
        <v>103</v>
      </c>
      <c r="D61" s="133">
        <v>179.11</v>
      </c>
      <c r="E61" s="75"/>
      <c r="F61" s="75"/>
      <c r="G61" s="75"/>
      <c r="H61" s="75"/>
      <c r="I61" s="75"/>
      <c r="J61" s="120">
        <v>145.21</v>
      </c>
      <c r="K61" s="75">
        <v>26008.560000000001</v>
      </c>
      <c r="L61" s="91" t="s">
        <v>166</v>
      </c>
      <c r="M61" s="73"/>
      <c r="N61" s="46">
        <v>179.11</v>
      </c>
      <c r="O61" s="46">
        <v>0</v>
      </c>
      <c r="P61" s="46">
        <v>26008.560000000001</v>
      </c>
      <c r="Q61" s="98"/>
      <c r="R61" s="23" t="s">
        <v>1388</v>
      </c>
      <c r="S61" s="24" t="s">
        <v>165</v>
      </c>
      <c r="T61" s="25" t="s">
        <v>103</v>
      </c>
      <c r="U61" s="26">
        <v>179.11</v>
      </c>
      <c r="V61" s="26">
        <f t="shared" si="14"/>
        <v>179.11</v>
      </c>
      <c r="W61" s="26">
        <f t="shared" si="5"/>
        <v>145.21</v>
      </c>
      <c r="X61" s="127">
        <f t="shared" si="9"/>
        <v>0</v>
      </c>
      <c r="Y61" s="127">
        <f t="shared" si="6"/>
        <v>179.11</v>
      </c>
      <c r="Z61" s="127">
        <f t="shared" si="15"/>
        <v>0</v>
      </c>
      <c r="AA61" s="127">
        <f t="shared" si="7"/>
        <v>26008.560000000001</v>
      </c>
      <c r="AB61" s="33" t="s">
        <v>15</v>
      </c>
      <c r="AC61" s="324"/>
      <c r="AD61" s="181">
        <f t="shared" si="2"/>
        <v>179.11</v>
      </c>
      <c r="AE61" s="181">
        <f t="shared" si="16"/>
        <v>26008.560000000001</v>
      </c>
      <c r="AF61" s="181">
        <v>1.2</v>
      </c>
      <c r="AG61" s="181">
        <v>1.2</v>
      </c>
      <c r="AH61" s="363" t="str">
        <f t="shared" si="8"/>
        <v/>
      </c>
      <c r="AI61" s="194">
        <f>179.11</f>
        <v>179.11</v>
      </c>
      <c r="AJ61" s="188">
        <v>179.11</v>
      </c>
      <c r="AO61" s="367"/>
      <c r="AP61" s="367"/>
      <c r="AQ61" s="367"/>
    </row>
    <row r="62" spans="1:43" s="69" customFormat="1" ht="26.1" customHeight="1" x14ac:dyDescent="0.3">
      <c r="A62" s="55" t="s">
        <v>167</v>
      </c>
      <c r="B62" s="53" t="s">
        <v>168</v>
      </c>
      <c r="C62" s="54" t="s">
        <v>30</v>
      </c>
      <c r="D62" s="75">
        <v>789.8</v>
      </c>
      <c r="E62" s="75"/>
      <c r="F62" s="75"/>
      <c r="G62" s="75"/>
      <c r="H62" s="75"/>
      <c r="I62" s="75"/>
      <c r="J62" s="75">
        <v>2755.97</v>
      </c>
      <c r="K62" s="75">
        <v>2176665.11</v>
      </c>
      <c r="L62" s="91" t="s">
        <v>169</v>
      </c>
      <c r="M62" s="73"/>
      <c r="N62" s="46">
        <v>630.35</v>
      </c>
      <c r="O62" s="46">
        <v>169078.76</v>
      </c>
      <c r="P62" s="46">
        <v>1737225.69</v>
      </c>
      <c r="Q62" s="98"/>
      <c r="R62" s="23" t="s">
        <v>1389</v>
      </c>
      <c r="S62" s="24" t="s">
        <v>168</v>
      </c>
      <c r="T62" s="25" t="s">
        <v>30</v>
      </c>
      <c r="U62" s="26">
        <v>789.8</v>
      </c>
      <c r="V62" s="26">
        <f t="shared" si="14"/>
        <v>789.8</v>
      </c>
      <c r="W62" s="26">
        <f t="shared" si="5"/>
        <v>2755.97</v>
      </c>
      <c r="X62" s="243">
        <f t="shared" si="9"/>
        <v>110.44999999999993</v>
      </c>
      <c r="Y62" s="26">
        <f t="shared" si="6"/>
        <v>740.8</v>
      </c>
      <c r="Z62" s="26">
        <f t="shared" si="15"/>
        <v>304396.89000000013</v>
      </c>
      <c r="AA62" s="26">
        <f t="shared" si="7"/>
        <v>2041622.58</v>
      </c>
      <c r="AB62" s="33" t="s">
        <v>15</v>
      </c>
      <c r="AC62" s="324"/>
      <c r="AD62" s="181">
        <f t="shared" si="2"/>
        <v>789.8</v>
      </c>
      <c r="AE62" s="181">
        <f t="shared" si="16"/>
        <v>2176665.11</v>
      </c>
      <c r="AF62" s="181">
        <v>1.2</v>
      </c>
      <c r="AG62" s="181">
        <v>1.2</v>
      </c>
      <c r="AH62" s="363" t="str">
        <f t="shared" si="8"/>
        <v/>
      </c>
      <c r="AI62" s="191">
        <v>740.8</v>
      </c>
      <c r="AJ62" s="188">
        <v>789.8</v>
      </c>
      <c r="AO62" s="367"/>
      <c r="AP62" s="367"/>
      <c r="AQ62" s="367"/>
    </row>
    <row r="63" spans="1:43" s="69" customFormat="1" ht="26.1" customHeight="1" x14ac:dyDescent="0.3">
      <c r="A63" s="55" t="s">
        <v>170</v>
      </c>
      <c r="B63" s="53" t="s">
        <v>171</v>
      </c>
      <c r="C63" s="54" t="s">
        <v>30</v>
      </c>
      <c r="D63" s="75">
        <v>31.3</v>
      </c>
      <c r="E63" s="75"/>
      <c r="F63" s="75"/>
      <c r="G63" s="75"/>
      <c r="H63" s="75"/>
      <c r="I63" s="75"/>
      <c r="J63" s="75">
        <v>576.79999999999995</v>
      </c>
      <c r="K63" s="75">
        <v>18053.84</v>
      </c>
      <c r="L63" s="91" t="s">
        <v>172</v>
      </c>
      <c r="M63" s="73"/>
      <c r="N63" s="46">
        <v>0</v>
      </c>
      <c r="O63" s="46">
        <v>0</v>
      </c>
      <c r="P63" s="46">
        <v>0</v>
      </c>
      <c r="Q63" s="98"/>
      <c r="R63" s="23" t="s">
        <v>1390</v>
      </c>
      <c r="S63" s="24" t="s">
        <v>171</v>
      </c>
      <c r="T63" s="25" t="s">
        <v>30</v>
      </c>
      <c r="U63" s="26">
        <v>31.3</v>
      </c>
      <c r="V63" s="26">
        <f t="shared" si="14"/>
        <v>31.3</v>
      </c>
      <c r="W63" s="26">
        <f t="shared" si="5"/>
        <v>576.79999999999995</v>
      </c>
      <c r="X63" s="243">
        <f t="shared" si="9"/>
        <v>10.199999999999999</v>
      </c>
      <c r="Y63" s="26">
        <f t="shared" si="6"/>
        <v>10.199999999999999</v>
      </c>
      <c r="Z63" s="26">
        <f t="shared" si="15"/>
        <v>5883.36</v>
      </c>
      <c r="AA63" s="26">
        <f t="shared" si="7"/>
        <v>5883.36</v>
      </c>
      <c r="AB63" s="33" t="s">
        <v>15</v>
      </c>
      <c r="AC63" s="324"/>
      <c r="AD63" s="181">
        <f t="shared" si="2"/>
        <v>31.3</v>
      </c>
      <c r="AE63" s="181">
        <f t="shared" si="16"/>
        <v>18053.84</v>
      </c>
      <c r="AF63" s="181">
        <v>1.2</v>
      </c>
      <c r="AG63" s="181">
        <v>1.2</v>
      </c>
      <c r="AH63" s="363" t="str">
        <f t="shared" si="8"/>
        <v/>
      </c>
      <c r="AI63" s="191">
        <v>10.199999999999999</v>
      </c>
      <c r="AJ63" s="188">
        <v>31.3</v>
      </c>
      <c r="AO63" s="367"/>
      <c r="AP63" s="367"/>
      <c r="AQ63" s="367"/>
    </row>
    <row r="64" spans="1:43" s="69" customFormat="1" ht="26.1" customHeight="1" x14ac:dyDescent="0.3">
      <c r="A64" s="55" t="s">
        <v>173</v>
      </c>
      <c r="B64" s="215" t="s">
        <v>174</v>
      </c>
      <c r="C64" s="54" t="s">
        <v>30</v>
      </c>
      <c r="D64" s="75">
        <v>360.35</v>
      </c>
      <c r="E64" s="75"/>
      <c r="F64" s="75"/>
      <c r="G64" s="75"/>
      <c r="H64" s="75"/>
      <c r="I64" s="75"/>
      <c r="J64" s="75">
        <v>615.34</v>
      </c>
      <c r="K64" s="75">
        <v>221737.77</v>
      </c>
      <c r="L64" s="91" t="s">
        <v>175</v>
      </c>
      <c r="M64" s="73"/>
      <c r="N64" s="46">
        <v>292</v>
      </c>
      <c r="O64" s="46">
        <v>0</v>
      </c>
      <c r="P64" s="46">
        <v>179679.28</v>
      </c>
      <c r="Q64" s="98"/>
      <c r="R64" s="23" t="s">
        <v>1391</v>
      </c>
      <c r="S64" s="24" t="s">
        <v>174</v>
      </c>
      <c r="T64" s="25" t="s">
        <v>30</v>
      </c>
      <c r="U64" s="26">
        <v>360.35</v>
      </c>
      <c r="V64" s="26">
        <f t="shared" si="14"/>
        <v>360.35</v>
      </c>
      <c r="W64" s="26">
        <f t="shared" si="5"/>
        <v>615.34</v>
      </c>
      <c r="X64" s="128">
        <f t="shared" si="9"/>
        <v>0</v>
      </c>
      <c r="Y64" s="26">
        <f t="shared" si="6"/>
        <v>292</v>
      </c>
      <c r="Z64" s="26">
        <f t="shared" si="15"/>
        <v>0</v>
      </c>
      <c r="AA64" s="26">
        <f t="shared" si="7"/>
        <v>179679.28</v>
      </c>
      <c r="AB64" s="33" t="s">
        <v>15</v>
      </c>
      <c r="AC64" s="325"/>
      <c r="AD64" s="263">
        <f t="shared" si="2"/>
        <v>360.35</v>
      </c>
      <c r="AE64" s="263">
        <f t="shared" si="16"/>
        <v>221737.77</v>
      </c>
      <c r="AF64" s="263">
        <v>1.2</v>
      </c>
      <c r="AG64" s="263">
        <v>1.2</v>
      </c>
      <c r="AH64" s="68" t="str">
        <f t="shared" si="8"/>
        <v/>
      </c>
      <c r="AI64" s="194">
        <v>292</v>
      </c>
      <c r="AJ64" s="188">
        <v>360.35</v>
      </c>
      <c r="AO64" s="367"/>
      <c r="AP64" s="367"/>
      <c r="AQ64" s="367"/>
    </row>
    <row r="65" spans="1:43" s="69" customFormat="1" ht="26.1" customHeight="1" x14ac:dyDescent="0.3">
      <c r="A65" s="130" t="s">
        <v>176</v>
      </c>
      <c r="B65" s="131" t="s">
        <v>177</v>
      </c>
      <c r="C65" s="132" t="s">
        <v>30</v>
      </c>
      <c r="D65" s="133">
        <v>691.14</v>
      </c>
      <c r="E65" s="75"/>
      <c r="F65" s="75"/>
      <c r="G65" s="75"/>
      <c r="H65" s="75"/>
      <c r="I65" s="75"/>
      <c r="J65" s="75">
        <v>685.3</v>
      </c>
      <c r="K65" s="75">
        <v>473638.24</v>
      </c>
      <c r="L65" s="91" t="s">
        <v>178</v>
      </c>
      <c r="M65" s="73"/>
      <c r="N65" s="46">
        <v>670</v>
      </c>
      <c r="O65" s="46">
        <v>0</v>
      </c>
      <c r="P65" s="46">
        <v>459151</v>
      </c>
      <c r="Q65" s="98"/>
      <c r="R65" s="23" t="s">
        <v>1436</v>
      </c>
      <c r="S65" s="24" t="s">
        <v>177</v>
      </c>
      <c r="T65" s="25" t="s">
        <v>30</v>
      </c>
      <c r="U65" s="26">
        <v>691.14</v>
      </c>
      <c r="V65" s="26">
        <f t="shared" si="14"/>
        <v>691.14</v>
      </c>
      <c r="W65" s="26">
        <f t="shared" si="5"/>
        <v>685.3</v>
      </c>
      <c r="X65" s="127">
        <f t="shared" si="9"/>
        <v>0</v>
      </c>
      <c r="Y65" s="127">
        <f t="shared" si="6"/>
        <v>670</v>
      </c>
      <c r="Z65" s="127">
        <f t="shared" si="15"/>
        <v>0</v>
      </c>
      <c r="AA65" s="127">
        <f t="shared" si="7"/>
        <v>459151</v>
      </c>
      <c r="AB65" s="33" t="s">
        <v>15</v>
      </c>
      <c r="AC65" s="324"/>
      <c r="AD65" s="181">
        <f t="shared" si="2"/>
        <v>691.14</v>
      </c>
      <c r="AE65" s="181">
        <f t="shared" si="16"/>
        <v>473638.24</v>
      </c>
      <c r="AF65" s="181">
        <v>1.2</v>
      </c>
      <c r="AG65" s="181">
        <v>1.2</v>
      </c>
      <c r="AH65" s="363" t="str">
        <f t="shared" si="8"/>
        <v/>
      </c>
      <c r="AI65" s="194">
        <v>670</v>
      </c>
      <c r="AJ65" s="188">
        <v>691.14</v>
      </c>
      <c r="AO65" s="367"/>
      <c r="AP65" s="367"/>
      <c r="AQ65" s="367"/>
    </row>
    <row r="66" spans="1:43" s="69" customFormat="1" ht="26.1" customHeight="1" x14ac:dyDescent="0.3">
      <c r="A66" s="130" t="s">
        <v>179</v>
      </c>
      <c r="B66" s="131" t="s">
        <v>180</v>
      </c>
      <c r="C66" s="132" t="s">
        <v>30</v>
      </c>
      <c r="D66" s="133">
        <v>890.62</v>
      </c>
      <c r="E66" s="75"/>
      <c r="F66" s="75"/>
      <c r="G66" s="75"/>
      <c r="H66" s="75"/>
      <c r="I66" s="75"/>
      <c r="J66" s="75">
        <v>699.72</v>
      </c>
      <c r="K66" s="75">
        <v>623184.63</v>
      </c>
      <c r="L66" s="91" t="s">
        <v>181</v>
      </c>
      <c r="M66" s="73"/>
      <c r="N66" s="46">
        <v>876.5</v>
      </c>
      <c r="O66" s="46">
        <v>0</v>
      </c>
      <c r="P66" s="46">
        <v>613304.57999999996</v>
      </c>
      <c r="Q66" s="98"/>
      <c r="R66" s="23" t="s">
        <v>1374</v>
      </c>
      <c r="S66" s="24" t="s">
        <v>180</v>
      </c>
      <c r="T66" s="25" t="s">
        <v>30</v>
      </c>
      <c r="U66" s="26">
        <v>890.62</v>
      </c>
      <c r="V66" s="26">
        <f t="shared" si="14"/>
        <v>890.62</v>
      </c>
      <c r="W66" s="26">
        <f t="shared" si="5"/>
        <v>699.72</v>
      </c>
      <c r="X66" s="243">
        <f t="shared" si="9"/>
        <v>7.6000000000000227</v>
      </c>
      <c r="Y66" s="127">
        <f t="shared" si="6"/>
        <v>884.1</v>
      </c>
      <c r="Z66" s="127">
        <f t="shared" si="15"/>
        <v>5317.8699999999953</v>
      </c>
      <c r="AA66" s="127">
        <f t="shared" si="7"/>
        <v>618622.44999999995</v>
      </c>
      <c r="AB66" s="33" t="s">
        <v>15</v>
      </c>
      <c r="AC66" s="324"/>
      <c r="AD66" s="181">
        <f t="shared" si="2"/>
        <v>890.62</v>
      </c>
      <c r="AE66" s="181">
        <f t="shared" si="16"/>
        <v>623184.63</v>
      </c>
      <c r="AF66" s="181">
        <v>1.2</v>
      </c>
      <c r="AG66" s="181">
        <v>1.2</v>
      </c>
      <c r="AH66" s="363" t="str">
        <f t="shared" si="8"/>
        <v/>
      </c>
      <c r="AI66" s="191">
        <v>884.1</v>
      </c>
      <c r="AJ66" s="188">
        <v>890.62</v>
      </c>
      <c r="AO66" s="367"/>
      <c r="AP66" s="367"/>
      <c r="AQ66" s="367"/>
    </row>
    <row r="67" spans="1:43" s="69" customFormat="1" ht="26.1" customHeight="1" x14ac:dyDescent="0.3">
      <c r="A67" s="130" t="s">
        <v>182</v>
      </c>
      <c r="B67" s="131" t="s">
        <v>183</v>
      </c>
      <c r="C67" s="132" t="s">
        <v>30</v>
      </c>
      <c r="D67" s="133">
        <v>85.77</v>
      </c>
      <c r="E67" s="75"/>
      <c r="F67" s="75"/>
      <c r="G67" s="75"/>
      <c r="H67" s="75"/>
      <c r="I67" s="75"/>
      <c r="J67" s="75">
        <v>1199.33</v>
      </c>
      <c r="K67" s="75">
        <v>102866.53</v>
      </c>
      <c r="L67" s="91" t="s">
        <v>184</v>
      </c>
      <c r="M67" s="73"/>
      <c r="N67" s="46">
        <v>80.5</v>
      </c>
      <c r="O67" s="46">
        <v>0</v>
      </c>
      <c r="P67" s="46">
        <v>96546.07</v>
      </c>
      <c r="Q67" s="98"/>
      <c r="R67" s="23" t="s">
        <v>1376</v>
      </c>
      <c r="S67" s="24" t="s">
        <v>183</v>
      </c>
      <c r="T67" s="25" t="s">
        <v>30</v>
      </c>
      <c r="U67" s="26">
        <v>85.77</v>
      </c>
      <c r="V67" s="26">
        <f t="shared" si="14"/>
        <v>85.77</v>
      </c>
      <c r="W67" s="26">
        <f t="shared" si="5"/>
        <v>1199.33</v>
      </c>
      <c r="X67" s="127">
        <f t="shared" si="9"/>
        <v>0</v>
      </c>
      <c r="Y67" s="127">
        <f t="shared" si="6"/>
        <v>80.5</v>
      </c>
      <c r="Z67" s="127">
        <f t="shared" si="15"/>
        <v>0</v>
      </c>
      <c r="AA67" s="127">
        <f t="shared" si="7"/>
        <v>96546.07</v>
      </c>
      <c r="AB67" s="33" t="s">
        <v>15</v>
      </c>
      <c r="AC67" s="324"/>
      <c r="AD67" s="181">
        <f t="shared" si="2"/>
        <v>85.77</v>
      </c>
      <c r="AE67" s="181">
        <f t="shared" si="16"/>
        <v>102866.53</v>
      </c>
      <c r="AF67" s="181">
        <v>1.2</v>
      </c>
      <c r="AG67" s="181">
        <v>1.2</v>
      </c>
      <c r="AH67" s="363" t="str">
        <f t="shared" si="8"/>
        <v/>
      </c>
      <c r="AI67" s="194">
        <f>12+26.5+42</f>
        <v>80.5</v>
      </c>
      <c r="AJ67" s="188">
        <v>85.77</v>
      </c>
      <c r="AO67" s="367"/>
      <c r="AP67" s="367"/>
      <c r="AQ67" s="367"/>
    </row>
    <row r="68" spans="1:43" s="69" customFormat="1" ht="26.1" customHeight="1" x14ac:dyDescent="0.3">
      <c r="A68" s="130" t="s">
        <v>185</v>
      </c>
      <c r="B68" s="131" t="s">
        <v>186</v>
      </c>
      <c r="C68" s="132" t="s">
        <v>30</v>
      </c>
      <c r="D68" s="133">
        <v>187.82</v>
      </c>
      <c r="E68" s="75"/>
      <c r="F68" s="75"/>
      <c r="G68" s="75"/>
      <c r="H68" s="75"/>
      <c r="I68" s="75"/>
      <c r="J68" s="75">
        <v>57.68</v>
      </c>
      <c r="K68" s="75">
        <v>10833.46</v>
      </c>
      <c r="L68" s="91" t="s">
        <v>187</v>
      </c>
      <c r="M68" s="73"/>
      <c r="N68" s="46">
        <v>181.8</v>
      </c>
      <c r="O68" s="46">
        <v>0</v>
      </c>
      <c r="P68" s="46">
        <v>10486.22</v>
      </c>
      <c r="Q68" s="98"/>
      <c r="R68" s="23" t="s">
        <v>1378</v>
      </c>
      <c r="S68" s="24" t="s">
        <v>186</v>
      </c>
      <c r="T68" s="25" t="s">
        <v>30</v>
      </c>
      <c r="U68" s="26">
        <v>187.82</v>
      </c>
      <c r="V68" s="26">
        <f t="shared" si="14"/>
        <v>187.82</v>
      </c>
      <c r="W68" s="26">
        <f t="shared" si="5"/>
        <v>57.68</v>
      </c>
      <c r="X68" s="127">
        <f t="shared" si="9"/>
        <v>0</v>
      </c>
      <c r="Y68" s="127">
        <f t="shared" si="6"/>
        <v>181.8</v>
      </c>
      <c r="Z68" s="127">
        <f t="shared" si="15"/>
        <v>0</v>
      </c>
      <c r="AA68" s="127">
        <f t="shared" si="7"/>
        <v>10486.22</v>
      </c>
      <c r="AB68" s="33" t="s">
        <v>15</v>
      </c>
      <c r="AC68" s="324"/>
      <c r="AD68" s="181">
        <f t="shared" si="2"/>
        <v>187.82</v>
      </c>
      <c r="AE68" s="181">
        <f t="shared" si="16"/>
        <v>10833.46</v>
      </c>
      <c r="AF68" s="181">
        <v>1.2</v>
      </c>
      <c r="AG68" s="181">
        <v>1.2</v>
      </c>
      <c r="AH68" s="363" t="str">
        <f t="shared" si="8"/>
        <v/>
      </c>
      <c r="AI68" s="194">
        <f>132.6+49.2</f>
        <v>181.8</v>
      </c>
      <c r="AJ68" s="188">
        <v>187.82</v>
      </c>
      <c r="AO68" s="367"/>
      <c r="AP68" s="367"/>
      <c r="AQ68" s="367"/>
    </row>
    <row r="69" spans="1:43" s="69" customFormat="1" ht="26.1" customHeight="1" x14ac:dyDescent="0.3">
      <c r="A69" s="55" t="s">
        <v>188</v>
      </c>
      <c r="B69" s="53" t="s">
        <v>189</v>
      </c>
      <c r="C69" s="54" t="s">
        <v>30</v>
      </c>
      <c r="D69" s="75">
        <v>18.809999999999999</v>
      </c>
      <c r="E69" s="75"/>
      <c r="F69" s="75"/>
      <c r="G69" s="75"/>
      <c r="H69" s="75"/>
      <c r="I69" s="75"/>
      <c r="J69" s="75">
        <v>138.84</v>
      </c>
      <c r="K69" s="75">
        <v>2611.58</v>
      </c>
      <c r="L69" s="91" t="s">
        <v>190</v>
      </c>
      <c r="M69" s="73"/>
      <c r="N69" s="46">
        <v>15.2</v>
      </c>
      <c r="O69" s="46">
        <v>2110.37</v>
      </c>
      <c r="P69" s="46">
        <v>2110.37</v>
      </c>
      <c r="Q69" s="98"/>
      <c r="R69" s="23" t="s">
        <v>1438</v>
      </c>
      <c r="S69" s="24" t="s">
        <v>189</v>
      </c>
      <c r="T69" s="25" t="s">
        <v>30</v>
      </c>
      <c r="U69" s="26">
        <v>18.809999999999999</v>
      </c>
      <c r="V69" s="26">
        <f t="shared" si="14"/>
        <v>18.809999999999999</v>
      </c>
      <c r="W69" s="26">
        <f t="shared" si="5"/>
        <v>138.84</v>
      </c>
      <c r="X69" s="26">
        <f t="shared" si="9"/>
        <v>0</v>
      </c>
      <c r="Y69" s="26">
        <f t="shared" si="6"/>
        <v>15.2</v>
      </c>
      <c r="Z69" s="26">
        <f t="shared" si="15"/>
        <v>0</v>
      </c>
      <c r="AA69" s="26">
        <f t="shared" si="7"/>
        <v>2110.37</v>
      </c>
      <c r="AB69" s="33" t="s">
        <v>15</v>
      </c>
      <c r="AC69" s="325"/>
      <c r="AD69" s="263">
        <f t="shared" si="2"/>
        <v>18.809999999999999</v>
      </c>
      <c r="AE69" s="263">
        <f t="shared" si="16"/>
        <v>2611.58</v>
      </c>
      <c r="AF69" s="263">
        <v>1.2</v>
      </c>
      <c r="AG69" s="263">
        <v>1.2</v>
      </c>
      <c r="AH69" s="68" t="str">
        <f t="shared" si="8"/>
        <v/>
      </c>
      <c r="AI69" s="194">
        <f>15.2</f>
        <v>15.2</v>
      </c>
      <c r="AJ69" s="188">
        <v>18.809999999999999</v>
      </c>
      <c r="AO69" s="367"/>
      <c r="AP69" s="367"/>
      <c r="AQ69" s="367"/>
    </row>
    <row r="70" spans="1:43" s="69" customFormat="1" ht="26.1" customHeight="1" x14ac:dyDescent="0.3">
      <c r="A70" s="55" t="s">
        <v>191</v>
      </c>
      <c r="B70" s="53" t="s">
        <v>192</v>
      </c>
      <c r="C70" s="54" t="s">
        <v>50</v>
      </c>
      <c r="D70" s="75">
        <v>20.48</v>
      </c>
      <c r="E70" s="75"/>
      <c r="F70" s="75"/>
      <c r="G70" s="75"/>
      <c r="H70" s="75"/>
      <c r="I70" s="75"/>
      <c r="J70" s="75">
        <v>2145.42</v>
      </c>
      <c r="K70" s="75">
        <v>43938.2</v>
      </c>
      <c r="L70" s="91" t="s">
        <v>193</v>
      </c>
      <c r="M70" s="73"/>
      <c r="N70" s="46">
        <v>19.5</v>
      </c>
      <c r="O70" s="46">
        <v>0</v>
      </c>
      <c r="P70" s="46">
        <v>41835.69</v>
      </c>
      <c r="Q70" s="98"/>
      <c r="R70" s="23" t="s">
        <v>1439</v>
      </c>
      <c r="S70" s="24" t="s">
        <v>192</v>
      </c>
      <c r="T70" s="25" t="s">
        <v>50</v>
      </c>
      <c r="U70" s="26">
        <v>20.48</v>
      </c>
      <c r="V70" s="26">
        <f t="shared" si="14"/>
        <v>20.48</v>
      </c>
      <c r="W70" s="26">
        <f t="shared" si="5"/>
        <v>2145.42</v>
      </c>
      <c r="X70" s="128">
        <f t="shared" si="9"/>
        <v>0</v>
      </c>
      <c r="Y70" s="26">
        <f t="shared" si="6"/>
        <v>19.5</v>
      </c>
      <c r="Z70" s="26">
        <f t="shared" si="15"/>
        <v>0</v>
      </c>
      <c r="AA70" s="26">
        <f t="shared" si="7"/>
        <v>41835.69</v>
      </c>
      <c r="AB70" s="33" t="s">
        <v>15</v>
      </c>
      <c r="AC70" s="325"/>
      <c r="AD70" s="263">
        <f t="shared" si="2"/>
        <v>20.48</v>
      </c>
      <c r="AE70" s="263">
        <f t="shared" si="16"/>
        <v>43938.2</v>
      </c>
      <c r="AF70" s="263">
        <v>1.2</v>
      </c>
      <c r="AG70" s="263">
        <v>1.2</v>
      </c>
      <c r="AH70" s="68" t="str">
        <f t="shared" si="8"/>
        <v/>
      </c>
      <c r="AI70" s="194">
        <f>15.2+4.3</f>
        <v>19.5</v>
      </c>
      <c r="AJ70" s="188">
        <v>20.48</v>
      </c>
      <c r="AO70" s="367"/>
      <c r="AP70" s="367"/>
      <c r="AQ70" s="367"/>
    </row>
    <row r="71" spans="1:43" s="69" customFormat="1" ht="26.1" customHeight="1" x14ac:dyDescent="0.3">
      <c r="A71" s="55" t="s">
        <v>194</v>
      </c>
      <c r="B71" s="215" t="s">
        <v>195</v>
      </c>
      <c r="C71" s="54" t="s">
        <v>30</v>
      </c>
      <c r="D71" s="75">
        <v>354.7</v>
      </c>
      <c r="E71" s="75"/>
      <c r="F71" s="75"/>
      <c r="G71" s="75"/>
      <c r="H71" s="75"/>
      <c r="I71" s="328">
        <v>400.18</v>
      </c>
      <c r="J71" s="75">
        <v>511.4</v>
      </c>
      <c r="K71" s="75">
        <v>204652.05</v>
      </c>
      <c r="L71" s="91" t="s">
        <v>3143</v>
      </c>
      <c r="M71" s="73"/>
      <c r="N71" s="46">
        <v>354.7</v>
      </c>
      <c r="O71" s="46">
        <v>35491.160000000003</v>
      </c>
      <c r="P71" s="46">
        <v>181393.58</v>
      </c>
      <c r="Q71" s="98"/>
      <c r="R71" s="23" t="s">
        <v>1440</v>
      </c>
      <c r="S71" s="24" t="s">
        <v>195</v>
      </c>
      <c r="T71" s="25" t="s">
        <v>30</v>
      </c>
      <c r="U71" s="26">
        <v>354.7</v>
      </c>
      <c r="V71" s="26">
        <f t="shared" si="14"/>
        <v>400.18</v>
      </c>
      <c r="W71" s="26">
        <f t="shared" si="5"/>
        <v>511.4</v>
      </c>
      <c r="X71" s="243">
        <f t="shared" si="9"/>
        <v>31.999999999999943</v>
      </c>
      <c r="Y71" s="127">
        <f t="shared" si="6"/>
        <v>386.69999999999993</v>
      </c>
      <c r="Z71" s="127">
        <f t="shared" si="15"/>
        <v>16364.800000000017</v>
      </c>
      <c r="AA71" s="127">
        <f t="shared" si="7"/>
        <v>197758.38</v>
      </c>
      <c r="AB71" s="33" t="s">
        <v>15</v>
      </c>
      <c r="AC71" s="325"/>
      <c r="AD71" s="263">
        <f t="shared" si="2"/>
        <v>400.18</v>
      </c>
      <c r="AE71" s="263">
        <f t="shared" si="16"/>
        <v>204652.05</v>
      </c>
      <c r="AF71" s="263">
        <v>1.2</v>
      </c>
      <c r="AG71" s="263">
        <v>1.2</v>
      </c>
      <c r="AH71" s="68" t="str">
        <f t="shared" si="8"/>
        <v/>
      </c>
      <c r="AI71" s="191">
        <f>127+51.2+107.1+69.4+32</f>
        <v>386.69999999999993</v>
      </c>
      <c r="AJ71" s="190">
        <v>400.18</v>
      </c>
      <c r="AO71" s="367"/>
      <c r="AP71" s="367"/>
      <c r="AQ71" s="367"/>
    </row>
    <row r="72" spans="1:43" s="69" customFormat="1" ht="26.1" customHeight="1" x14ac:dyDescent="0.3">
      <c r="A72" s="55" t="s">
        <v>197</v>
      </c>
      <c r="B72" s="53" t="s">
        <v>198</v>
      </c>
      <c r="C72" s="54" t="s">
        <v>30</v>
      </c>
      <c r="D72" s="75">
        <v>44.7</v>
      </c>
      <c r="E72" s="75"/>
      <c r="F72" s="75"/>
      <c r="G72" s="75"/>
      <c r="H72" s="75"/>
      <c r="I72" s="328"/>
      <c r="J72" s="75">
        <v>578.86</v>
      </c>
      <c r="K72" s="75">
        <v>25875.040000000001</v>
      </c>
      <c r="L72" s="91" t="s">
        <v>199</v>
      </c>
      <c r="M72" s="73"/>
      <c r="N72" s="46">
        <v>32</v>
      </c>
      <c r="O72" s="46">
        <v>0</v>
      </c>
      <c r="P72" s="46">
        <v>18523.52</v>
      </c>
      <c r="Q72" s="98"/>
      <c r="R72" s="23" t="s">
        <v>1441</v>
      </c>
      <c r="S72" s="24" t="s">
        <v>198</v>
      </c>
      <c r="T72" s="25" t="s">
        <v>30</v>
      </c>
      <c r="U72" s="26">
        <v>44.7</v>
      </c>
      <c r="V72" s="26">
        <f t="shared" si="14"/>
        <v>44.7</v>
      </c>
      <c r="W72" s="26">
        <f t="shared" si="5"/>
        <v>578.86</v>
      </c>
      <c r="X72" s="243">
        <f t="shared" si="9"/>
        <v>9.7000000000000028</v>
      </c>
      <c r="Y72" s="127">
        <f t="shared" si="6"/>
        <v>41.7</v>
      </c>
      <c r="Z72" s="127">
        <f t="shared" si="15"/>
        <v>5614.9399999999987</v>
      </c>
      <c r="AA72" s="127">
        <f t="shared" si="7"/>
        <v>24138.46</v>
      </c>
      <c r="AB72" s="33" t="s">
        <v>15</v>
      </c>
      <c r="AC72" s="325"/>
      <c r="AD72" s="263">
        <f t="shared" si="2"/>
        <v>44.7</v>
      </c>
      <c r="AE72" s="263">
        <f t="shared" si="16"/>
        <v>25875.040000000001</v>
      </c>
      <c r="AF72" s="263">
        <v>1.2</v>
      </c>
      <c r="AG72" s="263">
        <v>1.2</v>
      </c>
      <c r="AH72" s="68" t="str">
        <f t="shared" si="8"/>
        <v/>
      </c>
      <c r="AI72" s="191">
        <v>41.7</v>
      </c>
      <c r="AJ72" s="188">
        <v>44.7</v>
      </c>
      <c r="AO72" s="367"/>
      <c r="AP72" s="367"/>
      <c r="AQ72" s="367"/>
    </row>
    <row r="73" spans="1:43" s="69" customFormat="1" ht="26.1" customHeight="1" x14ac:dyDescent="0.3">
      <c r="A73" s="55" t="s">
        <v>200</v>
      </c>
      <c r="B73" s="53" t="s">
        <v>201</v>
      </c>
      <c r="C73" s="54" t="s">
        <v>30</v>
      </c>
      <c r="D73" s="75">
        <v>31</v>
      </c>
      <c r="E73" s="75"/>
      <c r="F73" s="75"/>
      <c r="G73" s="75"/>
      <c r="H73" s="75"/>
      <c r="I73" s="328"/>
      <c r="J73" s="75">
        <v>723.06</v>
      </c>
      <c r="K73" s="75">
        <v>22414.86</v>
      </c>
      <c r="L73" s="91" t="s">
        <v>202</v>
      </c>
      <c r="M73" s="73"/>
      <c r="N73" s="46">
        <v>0</v>
      </c>
      <c r="O73" s="46">
        <v>0</v>
      </c>
      <c r="P73" s="46">
        <v>0</v>
      </c>
      <c r="Q73" s="98"/>
      <c r="R73" s="23" t="s">
        <v>1442</v>
      </c>
      <c r="S73" s="24" t="s">
        <v>201</v>
      </c>
      <c r="T73" s="25" t="s">
        <v>30</v>
      </c>
      <c r="U73" s="26">
        <v>31</v>
      </c>
      <c r="V73" s="26">
        <f t="shared" si="14"/>
        <v>31</v>
      </c>
      <c r="W73" s="26">
        <f t="shared" si="5"/>
        <v>723.06</v>
      </c>
      <c r="X73" s="243">
        <f t="shared" si="9"/>
        <v>29</v>
      </c>
      <c r="Y73" s="26">
        <f t="shared" si="6"/>
        <v>29</v>
      </c>
      <c r="Z73" s="26">
        <f t="shared" si="15"/>
        <v>20968.740000000002</v>
      </c>
      <c r="AA73" s="26">
        <f t="shared" si="7"/>
        <v>20968.740000000002</v>
      </c>
      <c r="AB73" s="33" t="s">
        <v>15</v>
      </c>
      <c r="AC73" s="325"/>
      <c r="AD73" s="263">
        <f t="shared" si="2"/>
        <v>31</v>
      </c>
      <c r="AE73" s="263">
        <f t="shared" si="16"/>
        <v>22414.86</v>
      </c>
      <c r="AF73" s="263">
        <v>1.2</v>
      </c>
      <c r="AG73" s="263">
        <v>1.2</v>
      </c>
      <c r="AH73" s="68" t="str">
        <f t="shared" si="8"/>
        <v/>
      </c>
      <c r="AI73" s="191">
        <v>29</v>
      </c>
      <c r="AJ73" s="188">
        <v>31</v>
      </c>
      <c r="AO73" s="367"/>
      <c r="AP73" s="367"/>
      <c r="AQ73" s="367"/>
    </row>
    <row r="74" spans="1:43" s="69" customFormat="1" ht="26.1" customHeight="1" x14ac:dyDescent="0.3">
      <c r="A74" s="55" t="s">
        <v>203</v>
      </c>
      <c r="B74" s="53" t="s">
        <v>204</v>
      </c>
      <c r="C74" s="54" t="s">
        <v>30</v>
      </c>
      <c r="D74" s="75">
        <v>18.100000000000001</v>
      </c>
      <c r="E74" s="75"/>
      <c r="F74" s="75"/>
      <c r="G74" s="75"/>
      <c r="H74" s="75"/>
      <c r="I74" s="328"/>
      <c r="J74" s="75">
        <v>829.15</v>
      </c>
      <c r="K74" s="75">
        <v>15007.62</v>
      </c>
      <c r="L74" s="91" t="s">
        <v>205</v>
      </c>
      <c r="M74" s="73"/>
      <c r="N74" s="46">
        <v>7</v>
      </c>
      <c r="O74" s="46">
        <v>0</v>
      </c>
      <c r="P74" s="46">
        <v>5804.05</v>
      </c>
      <c r="Q74" s="98"/>
      <c r="R74" s="23" t="s">
        <v>1443</v>
      </c>
      <c r="S74" s="24" t="s">
        <v>204</v>
      </c>
      <c r="T74" s="25" t="s">
        <v>30</v>
      </c>
      <c r="U74" s="26">
        <v>18.100000000000001</v>
      </c>
      <c r="V74" s="26">
        <f t="shared" si="14"/>
        <v>18.100000000000001</v>
      </c>
      <c r="W74" s="26">
        <f t="shared" si="5"/>
        <v>829.15</v>
      </c>
      <c r="X74" s="243">
        <f t="shared" si="9"/>
        <v>5</v>
      </c>
      <c r="Y74" s="26">
        <f t="shared" si="6"/>
        <v>12</v>
      </c>
      <c r="Z74" s="26">
        <f t="shared" si="15"/>
        <v>4145.7499999999991</v>
      </c>
      <c r="AA74" s="26">
        <f t="shared" si="7"/>
        <v>9949.7999999999993</v>
      </c>
      <c r="AB74" s="33" t="s">
        <v>15</v>
      </c>
      <c r="AC74" s="325"/>
      <c r="AD74" s="263">
        <f t="shared" ref="AD74:AD137" si="17">IF(V74=0,U74,V74)</f>
        <v>18.100000000000001</v>
      </c>
      <c r="AE74" s="263">
        <f t="shared" si="16"/>
        <v>15007.62</v>
      </c>
      <c r="AF74" s="263">
        <v>1.2</v>
      </c>
      <c r="AG74" s="263">
        <v>1.2</v>
      </c>
      <c r="AH74" s="68" t="str">
        <f t="shared" si="8"/>
        <v/>
      </c>
      <c r="AI74" s="191">
        <v>12</v>
      </c>
      <c r="AJ74" s="188">
        <v>18.100000000000001</v>
      </c>
      <c r="AO74" s="367"/>
      <c r="AP74" s="367"/>
      <c r="AQ74" s="367"/>
    </row>
    <row r="75" spans="1:43" s="69" customFormat="1" ht="26.1" customHeight="1" x14ac:dyDescent="0.3">
      <c r="A75" s="55" t="s">
        <v>206</v>
      </c>
      <c r="B75" s="53" t="s">
        <v>207</v>
      </c>
      <c r="C75" s="54" t="s">
        <v>30</v>
      </c>
      <c r="D75" s="75">
        <v>180.4</v>
      </c>
      <c r="E75" s="75"/>
      <c r="F75" s="75"/>
      <c r="G75" s="75"/>
      <c r="H75" s="75"/>
      <c r="I75" s="328"/>
      <c r="J75" s="75">
        <v>443.93</v>
      </c>
      <c r="K75" s="75">
        <v>80084.97</v>
      </c>
      <c r="L75" s="91" t="s">
        <v>208</v>
      </c>
      <c r="M75" s="73"/>
      <c r="N75" s="46">
        <v>0</v>
      </c>
      <c r="O75" s="46">
        <v>0</v>
      </c>
      <c r="P75" s="46">
        <v>0</v>
      </c>
      <c r="Q75" s="98"/>
      <c r="R75" s="23" t="s">
        <v>1444</v>
      </c>
      <c r="S75" s="24" t="s">
        <v>207</v>
      </c>
      <c r="T75" s="25" t="s">
        <v>30</v>
      </c>
      <c r="U75" s="26">
        <v>180.4</v>
      </c>
      <c r="V75" s="26">
        <f t="shared" si="14"/>
        <v>180.4</v>
      </c>
      <c r="W75" s="26">
        <f t="shared" ref="W75:W138" si="18">J75</f>
        <v>443.93</v>
      </c>
      <c r="X75" s="243">
        <f t="shared" si="9"/>
        <v>60</v>
      </c>
      <c r="Y75" s="26">
        <f t="shared" si="6"/>
        <v>60</v>
      </c>
      <c r="Z75" s="26">
        <f t="shared" si="15"/>
        <v>26635.8</v>
      </c>
      <c r="AA75" s="26">
        <f t="shared" si="7"/>
        <v>26635.8</v>
      </c>
      <c r="AB75" s="33" t="s">
        <v>15</v>
      </c>
      <c r="AC75" s="324"/>
      <c r="AD75" s="181">
        <f t="shared" si="17"/>
        <v>180.4</v>
      </c>
      <c r="AE75" s="181">
        <f t="shared" si="16"/>
        <v>80084.97</v>
      </c>
      <c r="AF75" s="181">
        <v>1.2</v>
      </c>
      <c r="AG75" s="181">
        <v>1.2</v>
      </c>
      <c r="AH75" s="363" t="str">
        <f t="shared" si="8"/>
        <v/>
      </c>
      <c r="AI75" s="191">
        <v>60</v>
      </c>
      <c r="AJ75" s="188">
        <v>180.4</v>
      </c>
      <c r="AO75" s="367"/>
      <c r="AP75" s="367"/>
      <c r="AQ75" s="367"/>
    </row>
    <row r="76" spans="1:43" s="69" customFormat="1" ht="26.1" customHeight="1" x14ac:dyDescent="0.3">
      <c r="A76" s="130" t="s">
        <v>209</v>
      </c>
      <c r="B76" s="131" t="s">
        <v>210</v>
      </c>
      <c r="C76" s="132" t="s">
        <v>30</v>
      </c>
      <c r="D76" s="133">
        <v>25.6</v>
      </c>
      <c r="E76" s="75"/>
      <c r="F76" s="75"/>
      <c r="G76" s="75"/>
      <c r="H76" s="75"/>
      <c r="I76" s="328"/>
      <c r="J76" s="75">
        <v>578.86</v>
      </c>
      <c r="K76" s="75">
        <v>14818.82</v>
      </c>
      <c r="L76" s="91" t="s">
        <v>211</v>
      </c>
      <c r="M76" s="73"/>
      <c r="N76" s="46">
        <v>24</v>
      </c>
      <c r="O76" s="46">
        <v>0</v>
      </c>
      <c r="P76" s="46">
        <v>13892.64</v>
      </c>
      <c r="Q76" s="98"/>
      <c r="R76" s="23" t="s">
        <v>1408</v>
      </c>
      <c r="S76" s="24" t="s">
        <v>210</v>
      </c>
      <c r="T76" s="25" t="s">
        <v>30</v>
      </c>
      <c r="U76" s="26">
        <v>25.6</v>
      </c>
      <c r="V76" s="26">
        <f t="shared" si="14"/>
        <v>25.6</v>
      </c>
      <c r="W76" s="26">
        <f t="shared" si="18"/>
        <v>578.86</v>
      </c>
      <c r="X76" s="127">
        <f t="shared" si="9"/>
        <v>0</v>
      </c>
      <c r="Y76" s="127">
        <f t="shared" si="6"/>
        <v>24</v>
      </c>
      <c r="Z76" s="127">
        <f t="shared" si="15"/>
        <v>0</v>
      </c>
      <c r="AA76" s="127">
        <f t="shared" si="7"/>
        <v>13892.64</v>
      </c>
      <c r="AB76" s="33" t="s">
        <v>15</v>
      </c>
      <c r="AC76" s="325"/>
      <c r="AD76" s="263">
        <f t="shared" si="17"/>
        <v>25.6</v>
      </c>
      <c r="AE76" s="263">
        <f t="shared" si="16"/>
        <v>14818.82</v>
      </c>
      <c r="AF76" s="263">
        <v>1.2</v>
      </c>
      <c r="AG76" s="263">
        <v>1.2</v>
      </c>
      <c r="AH76" s="68" t="str">
        <f t="shared" si="8"/>
        <v/>
      </c>
      <c r="AI76" s="194">
        <v>24</v>
      </c>
      <c r="AJ76" s="188">
        <v>25.6</v>
      </c>
      <c r="AO76" s="367"/>
      <c r="AP76" s="367"/>
      <c r="AQ76" s="367"/>
    </row>
    <row r="77" spans="1:43" s="69" customFormat="1" ht="26.1" customHeight="1" x14ac:dyDescent="0.3">
      <c r="A77" s="55" t="s">
        <v>212</v>
      </c>
      <c r="B77" s="215" t="s">
        <v>213</v>
      </c>
      <c r="C77" s="54" t="s">
        <v>81</v>
      </c>
      <c r="D77" s="75">
        <v>7</v>
      </c>
      <c r="E77" s="75"/>
      <c r="F77" s="75"/>
      <c r="G77" s="75"/>
      <c r="H77" s="75"/>
      <c r="I77" s="328"/>
      <c r="J77" s="75">
        <v>17307.09</v>
      </c>
      <c r="K77" s="75">
        <v>121149.63</v>
      </c>
      <c r="L77" s="91" t="s">
        <v>214</v>
      </c>
      <c r="M77" s="73"/>
      <c r="N77" s="46">
        <v>7</v>
      </c>
      <c r="O77" s="46">
        <v>17307.09</v>
      </c>
      <c r="P77" s="46">
        <v>121149.63</v>
      </c>
      <c r="Q77" s="98"/>
      <c r="R77" s="23" t="s">
        <v>1409</v>
      </c>
      <c r="S77" s="24" t="s">
        <v>213</v>
      </c>
      <c r="T77" s="25" t="s">
        <v>81</v>
      </c>
      <c r="U77" s="26">
        <v>7</v>
      </c>
      <c r="V77" s="26">
        <f t="shared" si="14"/>
        <v>7</v>
      </c>
      <c r="W77" s="26">
        <f t="shared" si="18"/>
        <v>17307.09</v>
      </c>
      <c r="X77" s="127">
        <f t="shared" si="9"/>
        <v>0</v>
      </c>
      <c r="Y77" s="127">
        <f t="shared" ref="Y77:Y134" si="19">X77+N77</f>
        <v>7</v>
      </c>
      <c r="Z77" s="127">
        <f t="shared" si="15"/>
        <v>0</v>
      </c>
      <c r="AA77" s="127">
        <f t="shared" ref="AA77:AA149" si="20">ROUND(W77*Y77,2)</f>
        <v>121149.63</v>
      </c>
      <c r="AB77" s="33" t="s">
        <v>15</v>
      </c>
      <c r="AC77" s="325"/>
      <c r="AD77" s="263">
        <f t="shared" si="17"/>
        <v>7</v>
      </c>
      <c r="AE77" s="263">
        <f t="shared" si="16"/>
        <v>121149.63</v>
      </c>
      <c r="AF77" s="263">
        <v>1.2</v>
      </c>
      <c r="AG77" s="263">
        <v>1.2</v>
      </c>
      <c r="AH77" s="68" t="str">
        <f t="shared" ref="AH77:AH149" si="21">IF(Y77&gt;AJ77,"超估","")</f>
        <v/>
      </c>
      <c r="AI77" s="194">
        <v>7</v>
      </c>
      <c r="AJ77" s="188">
        <v>7</v>
      </c>
      <c r="AO77" s="367"/>
      <c r="AP77" s="367"/>
      <c r="AQ77" s="367"/>
    </row>
    <row r="78" spans="1:43" s="69" customFormat="1" ht="26.1" customHeight="1" x14ac:dyDescent="0.3">
      <c r="A78" s="55" t="s">
        <v>215</v>
      </c>
      <c r="B78" s="53" t="s">
        <v>216</v>
      </c>
      <c r="C78" s="54" t="s">
        <v>30</v>
      </c>
      <c r="D78" s="75">
        <v>7.8</v>
      </c>
      <c r="E78" s="75"/>
      <c r="F78" s="75"/>
      <c r="G78" s="75"/>
      <c r="H78" s="75"/>
      <c r="I78" s="328"/>
      <c r="J78" s="75">
        <v>443.93</v>
      </c>
      <c r="K78" s="75">
        <v>3462.65</v>
      </c>
      <c r="L78" s="91" t="s">
        <v>217</v>
      </c>
      <c r="M78" s="73"/>
      <c r="N78" s="46">
        <v>0</v>
      </c>
      <c r="O78" s="46">
        <v>0</v>
      </c>
      <c r="P78" s="46">
        <v>0</v>
      </c>
      <c r="Q78" s="98"/>
      <c r="R78" s="23" t="s">
        <v>1410</v>
      </c>
      <c r="S78" s="24" t="s">
        <v>216</v>
      </c>
      <c r="T78" s="25" t="s">
        <v>30</v>
      </c>
      <c r="U78" s="26">
        <v>7.8</v>
      </c>
      <c r="V78" s="26">
        <f t="shared" si="14"/>
        <v>7.8</v>
      </c>
      <c r="W78" s="26">
        <f t="shared" si="18"/>
        <v>443.93</v>
      </c>
      <c r="X78" s="243">
        <f t="shared" ref="X78:X134" si="22">AI78-N78</f>
        <v>7.5</v>
      </c>
      <c r="Y78" s="127">
        <f t="shared" si="19"/>
        <v>7.5</v>
      </c>
      <c r="Z78" s="127">
        <f t="shared" si="15"/>
        <v>3329.48</v>
      </c>
      <c r="AA78" s="127">
        <f t="shared" si="20"/>
        <v>3329.48</v>
      </c>
      <c r="AB78" s="33" t="s">
        <v>15</v>
      </c>
      <c r="AC78" s="324"/>
      <c r="AD78" s="181">
        <f t="shared" si="17"/>
        <v>7.8</v>
      </c>
      <c r="AE78" s="181">
        <f t="shared" si="16"/>
        <v>3462.65</v>
      </c>
      <c r="AF78" s="181">
        <v>1.2</v>
      </c>
      <c r="AG78" s="181">
        <v>1.2</v>
      </c>
      <c r="AH78" s="363" t="str">
        <f t="shared" si="21"/>
        <v/>
      </c>
      <c r="AI78" s="191">
        <v>7.5</v>
      </c>
      <c r="AJ78" s="188">
        <v>7.8</v>
      </c>
      <c r="AO78" s="367"/>
      <c r="AP78" s="367"/>
      <c r="AQ78" s="367"/>
    </row>
    <row r="79" spans="1:43" s="69" customFormat="1" ht="26.1" customHeight="1" x14ac:dyDescent="0.3">
      <c r="A79" s="55" t="s">
        <v>218</v>
      </c>
      <c r="B79" s="53" t="s">
        <v>219</v>
      </c>
      <c r="C79" s="54" t="s">
        <v>81</v>
      </c>
      <c r="D79" s="75">
        <v>2</v>
      </c>
      <c r="E79" s="75"/>
      <c r="F79" s="75"/>
      <c r="G79" s="75"/>
      <c r="H79" s="75"/>
      <c r="I79" s="328"/>
      <c r="J79" s="75">
        <v>13705.7</v>
      </c>
      <c r="K79" s="75">
        <v>27411.4</v>
      </c>
      <c r="L79" s="91" t="s">
        <v>220</v>
      </c>
      <c r="M79" s="73"/>
      <c r="N79" s="46">
        <v>0</v>
      </c>
      <c r="O79" s="46">
        <v>0</v>
      </c>
      <c r="P79" s="46">
        <v>0</v>
      </c>
      <c r="Q79" s="98"/>
      <c r="R79" s="23" t="s">
        <v>1411</v>
      </c>
      <c r="S79" s="24" t="s">
        <v>219</v>
      </c>
      <c r="T79" s="25" t="s">
        <v>81</v>
      </c>
      <c r="U79" s="26">
        <v>2</v>
      </c>
      <c r="V79" s="26">
        <f t="shared" si="14"/>
        <v>2</v>
      </c>
      <c r="W79" s="26">
        <f t="shared" si="18"/>
        <v>13705.7</v>
      </c>
      <c r="X79" s="243">
        <f t="shared" si="22"/>
        <v>2</v>
      </c>
      <c r="Y79" s="127">
        <f t="shared" si="19"/>
        <v>2</v>
      </c>
      <c r="Z79" s="127">
        <f t="shared" si="15"/>
        <v>27411.4</v>
      </c>
      <c r="AA79" s="127">
        <f t="shared" si="20"/>
        <v>27411.4</v>
      </c>
      <c r="AB79" s="33" t="s">
        <v>15</v>
      </c>
      <c r="AC79" s="324"/>
      <c r="AD79" s="181">
        <f t="shared" si="17"/>
        <v>2</v>
      </c>
      <c r="AE79" s="181">
        <f t="shared" si="16"/>
        <v>27411.4</v>
      </c>
      <c r="AF79" s="181">
        <v>1.2</v>
      </c>
      <c r="AG79" s="181">
        <v>1.2</v>
      </c>
      <c r="AH79" s="363" t="str">
        <f t="shared" si="21"/>
        <v/>
      </c>
      <c r="AI79" s="191">
        <v>2</v>
      </c>
      <c r="AJ79" s="188">
        <v>2</v>
      </c>
      <c r="AO79" s="367"/>
      <c r="AP79" s="367"/>
      <c r="AQ79" s="367"/>
    </row>
    <row r="80" spans="1:43" s="69" customFormat="1" ht="26.1" customHeight="1" x14ac:dyDescent="0.3">
      <c r="A80" s="55" t="s">
        <v>221</v>
      </c>
      <c r="B80" s="53" t="s">
        <v>222</v>
      </c>
      <c r="C80" s="54" t="s">
        <v>81</v>
      </c>
      <c r="D80" s="75">
        <v>3</v>
      </c>
      <c r="E80" s="75"/>
      <c r="F80" s="75"/>
      <c r="G80" s="75"/>
      <c r="H80" s="75"/>
      <c r="I80" s="328"/>
      <c r="J80" s="75">
        <v>25126.95</v>
      </c>
      <c r="K80" s="75">
        <v>75380.850000000006</v>
      </c>
      <c r="L80" s="91" t="s">
        <v>223</v>
      </c>
      <c r="M80" s="73"/>
      <c r="N80" s="46">
        <v>0</v>
      </c>
      <c r="O80" s="46">
        <v>0</v>
      </c>
      <c r="P80" s="46">
        <v>0</v>
      </c>
      <c r="Q80" s="98"/>
      <c r="R80" s="23" t="s">
        <v>1445</v>
      </c>
      <c r="S80" s="24" t="s">
        <v>222</v>
      </c>
      <c r="T80" s="25" t="s">
        <v>81</v>
      </c>
      <c r="U80" s="26">
        <v>3</v>
      </c>
      <c r="V80" s="26">
        <f t="shared" si="14"/>
        <v>3</v>
      </c>
      <c r="W80" s="26">
        <f t="shared" si="18"/>
        <v>25126.95</v>
      </c>
      <c r="X80" s="243">
        <f t="shared" si="22"/>
        <v>3</v>
      </c>
      <c r="Y80" s="127">
        <f t="shared" si="19"/>
        <v>3</v>
      </c>
      <c r="Z80" s="127">
        <f t="shared" si="15"/>
        <v>75380.850000000006</v>
      </c>
      <c r="AA80" s="127">
        <f t="shared" si="20"/>
        <v>75380.850000000006</v>
      </c>
      <c r="AB80" s="33" t="s">
        <v>15</v>
      </c>
      <c r="AC80" s="324"/>
      <c r="AD80" s="181">
        <f t="shared" si="17"/>
        <v>3</v>
      </c>
      <c r="AE80" s="181">
        <f t="shared" si="16"/>
        <v>75380.850000000006</v>
      </c>
      <c r="AF80" s="181">
        <v>1.2</v>
      </c>
      <c r="AG80" s="181">
        <v>1.2</v>
      </c>
      <c r="AH80" s="363" t="str">
        <f t="shared" si="21"/>
        <v/>
      </c>
      <c r="AI80" s="191">
        <v>3</v>
      </c>
      <c r="AJ80" s="188">
        <v>3</v>
      </c>
      <c r="AO80" s="367"/>
      <c r="AP80" s="367"/>
      <c r="AQ80" s="367"/>
    </row>
    <row r="81" spans="1:43" s="69" customFormat="1" ht="26.1" customHeight="1" x14ac:dyDescent="0.3">
      <c r="A81" s="130" t="s">
        <v>224</v>
      </c>
      <c r="B81" s="131" t="s">
        <v>225</v>
      </c>
      <c r="C81" s="132" t="s">
        <v>30</v>
      </c>
      <c r="D81" s="133">
        <v>18</v>
      </c>
      <c r="E81" s="75"/>
      <c r="F81" s="75"/>
      <c r="G81" s="75"/>
      <c r="H81" s="75"/>
      <c r="I81" s="328"/>
      <c r="J81" s="75">
        <v>2901.57</v>
      </c>
      <c r="K81" s="75">
        <v>52228.26</v>
      </c>
      <c r="L81" s="91" t="s">
        <v>226</v>
      </c>
      <c r="M81" s="73"/>
      <c r="N81" s="46">
        <v>12</v>
      </c>
      <c r="O81" s="46">
        <v>0</v>
      </c>
      <c r="P81" s="46">
        <v>34818.839999999997</v>
      </c>
      <c r="Q81" s="98"/>
      <c r="R81" s="23" t="s">
        <v>1383</v>
      </c>
      <c r="S81" s="24" t="s">
        <v>225</v>
      </c>
      <c r="T81" s="25" t="s">
        <v>30</v>
      </c>
      <c r="U81" s="26">
        <v>18</v>
      </c>
      <c r="V81" s="26">
        <f t="shared" si="14"/>
        <v>18</v>
      </c>
      <c r="W81" s="26">
        <f t="shared" si="18"/>
        <v>2901.57</v>
      </c>
      <c r="X81" s="243">
        <f t="shared" si="22"/>
        <v>1.0999999999999996</v>
      </c>
      <c r="Y81" s="127">
        <f t="shared" si="19"/>
        <v>13.1</v>
      </c>
      <c r="Z81" s="127">
        <f t="shared" si="15"/>
        <v>3191.7300000000032</v>
      </c>
      <c r="AA81" s="127">
        <f t="shared" si="20"/>
        <v>38010.57</v>
      </c>
      <c r="AB81" s="33" t="s">
        <v>15</v>
      </c>
      <c r="AC81" s="325"/>
      <c r="AD81" s="263">
        <f t="shared" si="17"/>
        <v>18</v>
      </c>
      <c r="AE81" s="263">
        <f t="shared" si="16"/>
        <v>52228.26</v>
      </c>
      <c r="AF81" s="263">
        <v>1.2</v>
      </c>
      <c r="AG81" s="263">
        <v>1.2</v>
      </c>
      <c r="AH81" s="68" t="str">
        <f t="shared" si="21"/>
        <v/>
      </c>
      <c r="AI81" s="191">
        <v>13.1</v>
      </c>
      <c r="AJ81" s="188">
        <v>18</v>
      </c>
      <c r="AO81" s="367"/>
      <c r="AP81" s="367"/>
      <c r="AQ81" s="367"/>
    </row>
    <row r="82" spans="1:43" s="69" customFormat="1" ht="26.1" customHeight="1" x14ac:dyDescent="0.3">
      <c r="A82" s="130" t="s">
        <v>227</v>
      </c>
      <c r="B82" s="131" t="s">
        <v>228</v>
      </c>
      <c r="C82" s="132" t="s">
        <v>30</v>
      </c>
      <c r="D82" s="133">
        <v>17.100000000000001</v>
      </c>
      <c r="E82" s="75"/>
      <c r="F82" s="75"/>
      <c r="G82" s="75"/>
      <c r="H82" s="75"/>
      <c r="I82" s="343">
        <v>49</v>
      </c>
      <c r="J82" s="75">
        <v>1762.96</v>
      </c>
      <c r="K82" s="75">
        <v>86385.04</v>
      </c>
      <c r="L82" s="91" t="s">
        <v>229</v>
      </c>
      <c r="M82" s="73"/>
      <c r="N82" s="46">
        <v>17.100000000000001</v>
      </c>
      <c r="O82" s="46">
        <v>0</v>
      </c>
      <c r="P82" s="46">
        <v>30146.62</v>
      </c>
      <c r="Q82" s="98"/>
      <c r="R82" s="23" t="s">
        <v>1384</v>
      </c>
      <c r="S82" s="24" t="s">
        <v>228</v>
      </c>
      <c r="T82" s="25" t="s">
        <v>30</v>
      </c>
      <c r="U82" s="26">
        <v>17.100000000000001</v>
      </c>
      <c r="V82" s="26">
        <f t="shared" si="14"/>
        <v>49</v>
      </c>
      <c r="W82" s="26">
        <f t="shared" si="18"/>
        <v>1762.96</v>
      </c>
      <c r="X82" s="243">
        <f t="shared" si="22"/>
        <v>30</v>
      </c>
      <c r="Y82" s="127">
        <f t="shared" si="19"/>
        <v>47.1</v>
      </c>
      <c r="Z82" s="127">
        <f t="shared" si="15"/>
        <v>52888.800000000003</v>
      </c>
      <c r="AA82" s="127">
        <f t="shared" si="20"/>
        <v>83035.42</v>
      </c>
      <c r="AB82" s="33" t="s">
        <v>15</v>
      </c>
      <c r="AC82" s="324"/>
      <c r="AD82" s="181">
        <f t="shared" si="17"/>
        <v>49</v>
      </c>
      <c r="AE82" s="181">
        <f t="shared" si="16"/>
        <v>86385.04</v>
      </c>
      <c r="AF82" s="181">
        <v>1.2</v>
      </c>
      <c r="AG82" s="181">
        <v>1.2</v>
      </c>
      <c r="AH82" s="363" t="str">
        <f t="shared" si="21"/>
        <v/>
      </c>
      <c r="AI82" s="191">
        <v>47.1</v>
      </c>
      <c r="AJ82" s="190">
        <v>49</v>
      </c>
      <c r="AO82" s="367"/>
      <c r="AP82" s="367"/>
      <c r="AQ82" s="367"/>
    </row>
    <row r="83" spans="1:43" s="69" customFormat="1" ht="26.1" customHeight="1" x14ac:dyDescent="0.3">
      <c r="A83" s="130" t="s">
        <v>230</v>
      </c>
      <c r="B83" s="131" t="s">
        <v>231</v>
      </c>
      <c r="C83" s="132" t="s">
        <v>30</v>
      </c>
      <c r="D83" s="133">
        <v>77.400000000000006</v>
      </c>
      <c r="E83" s="75"/>
      <c r="F83" s="75"/>
      <c r="G83" s="75"/>
      <c r="H83" s="75"/>
      <c r="I83" s="328">
        <v>92.1</v>
      </c>
      <c r="J83" s="75">
        <v>1224.3</v>
      </c>
      <c r="K83" s="75">
        <v>112758.03</v>
      </c>
      <c r="L83" s="91" t="s">
        <v>232</v>
      </c>
      <c r="M83" s="73"/>
      <c r="N83" s="46">
        <v>77.400000000000006</v>
      </c>
      <c r="O83" s="46">
        <v>0</v>
      </c>
      <c r="P83" s="46">
        <v>94760.82</v>
      </c>
      <c r="Q83" s="98"/>
      <c r="R83" s="23" t="s">
        <v>1385</v>
      </c>
      <c r="S83" s="24" t="s">
        <v>231</v>
      </c>
      <c r="T83" s="25" t="s">
        <v>30</v>
      </c>
      <c r="U83" s="26">
        <v>77.400000000000006</v>
      </c>
      <c r="V83" s="26">
        <f t="shared" si="14"/>
        <v>92.1</v>
      </c>
      <c r="W83" s="26">
        <f t="shared" si="18"/>
        <v>1224.3</v>
      </c>
      <c r="X83" s="128">
        <f t="shared" si="22"/>
        <v>0</v>
      </c>
      <c r="Y83" s="127">
        <f t="shared" si="19"/>
        <v>77.400000000000006</v>
      </c>
      <c r="Z83" s="127">
        <f t="shared" si="15"/>
        <v>0</v>
      </c>
      <c r="AA83" s="127">
        <f t="shared" si="20"/>
        <v>94760.82</v>
      </c>
      <c r="AB83" s="33" t="s">
        <v>15</v>
      </c>
      <c r="AC83" s="325"/>
      <c r="AD83" s="263">
        <f t="shared" si="17"/>
        <v>92.1</v>
      </c>
      <c r="AE83" s="263">
        <f t="shared" si="16"/>
        <v>112758.03</v>
      </c>
      <c r="AF83" s="263">
        <v>1.2</v>
      </c>
      <c r="AG83" s="263">
        <v>1.2</v>
      </c>
      <c r="AH83" s="68" t="str">
        <f t="shared" si="21"/>
        <v/>
      </c>
      <c r="AI83" s="194">
        <f>56+21.4</f>
        <v>77.400000000000006</v>
      </c>
      <c r="AJ83" s="190">
        <v>92.1</v>
      </c>
      <c r="AO83" s="367"/>
      <c r="AP83" s="367"/>
      <c r="AQ83" s="367"/>
    </row>
    <row r="84" spans="1:43" s="69" customFormat="1" ht="26.1" customHeight="1" x14ac:dyDescent="0.3">
      <c r="A84" s="130" t="s">
        <v>233</v>
      </c>
      <c r="B84" s="131" t="s">
        <v>234</v>
      </c>
      <c r="C84" s="132" t="s">
        <v>30</v>
      </c>
      <c r="D84" s="133">
        <v>32.5</v>
      </c>
      <c r="E84" s="75"/>
      <c r="F84" s="75"/>
      <c r="G84" s="75"/>
      <c r="H84" s="75"/>
      <c r="I84" s="343">
        <v>0</v>
      </c>
      <c r="J84" s="75">
        <v>1148.7</v>
      </c>
      <c r="K84" s="75">
        <v>0</v>
      </c>
      <c r="L84" s="91" t="s">
        <v>235</v>
      </c>
      <c r="M84" s="73"/>
      <c r="N84" s="46">
        <v>0</v>
      </c>
      <c r="O84" s="46">
        <v>0</v>
      </c>
      <c r="P84" s="46">
        <v>0</v>
      </c>
      <c r="Q84" s="98"/>
      <c r="R84" s="23" t="s">
        <v>1446</v>
      </c>
      <c r="S84" s="24" t="s">
        <v>234</v>
      </c>
      <c r="T84" s="25" t="s">
        <v>30</v>
      </c>
      <c r="U84" s="26">
        <v>32.5</v>
      </c>
      <c r="V84" s="26">
        <v>0</v>
      </c>
      <c r="W84" s="26">
        <f t="shared" si="18"/>
        <v>1148.7</v>
      </c>
      <c r="X84" s="127">
        <f t="shared" si="22"/>
        <v>0</v>
      </c>
      <c r="Y84" s="127">
        <f t="shared" si="19"/>
        <v>0</v>
      </c>
      <c r="Z84" s="127">
        <f t="shared" si="15"/>
        <v>0</v>
      </c>
      <c r="AA84" s="127">
        <f t="shared" si="20"/>
        <v>0</v>
      </c>
      <c r="AB84" s="33" t="s">
        <v>15</v>
      </c>
      <c r="AC84" s="324"/>
      <c r="AD84" s="181">
        <v>0</v>
      </c>
      <c r="AE84" s="181">
        <f t="shared" si="16"/>
        <v>0</v>
      </c>
      <c r="AF84" s="181">
        <v>1.2</v>
      </c>
      <c r="AG84" s="181">
        <v>1.2</v>
      </c>
      <c r="AH84" s="363" t="str">
        <f t="shared" si="21"/>
        <v/>
      </c>
      <c r="AI84" s="190">
        <v>0</v>
      </c>
      <c r="AJ84" s="188">
        <v>0</v>
      </c>
      <c r="AO84" s="367"/>
      <c r="AP84" s="367"/>
      <c r="AQ84" s="367"/>
    </row>
    <row r="85" spans="1:43" s="69" customFormat="1" ht="26.1" customHeight="1" x14ac:dyDescent="0.3">
      <c r="A85" s="55" t="s">
        <v>236</v>
      </c>
      <c r="B85" s="53" t="s">
        <v>237</v>
      </c>
      <c r="C85" s="54" t="s">
        <v>81</v>
      </c>
      <c r="D85" s="75">
        <v>1</v>
      </c>
      <c r="E85" s="75"/>
      <c r="F85" s="75"/>
      <c r="G85" s="75"/>
      <c r="H85" s="75"/>
      <c r="I85" s="328"/>
      <c r="J85" s="75">
        <v>19780.169999999998</v>
      </c>
      <c r="K85" s="75">
        <v>19780.169999999998</v>
      </c>
      <c r="L85" s="91" t="s">
        <v>238</v>
      </c>
      <c r="M85" s="73"/>
      <c r="N85" s="46">
        <v>0</v>
      </c>
      <c r="O85" s="46">
        <v>0</v>
      </c>
      <c r="P85" s="46">
        <v>0</v>
      </c>
      <c r="Q85" s="98"/>
      <c r="R85" s="23" t="s">
        <v>1447</v>
      </c>
      <c r="S85" s="24" t="s">
        <v>237</v>
      </c>
      <c r="T85" s="25" t="s">
        <v>81</v>
      </c>
      <c r="U85" s="26">
        <v>1</v>
      </c>
      <c r="V85" s="26">
        <f t="shared" si="14"/>
        <v>1</v>
      </c>
      <c r="W85" s="26">
        <f t="shared" si="18"/>
        <v>19780.169999999998</v>
      </c>
      <c r="X85" s="26">
        <f t="shared" si="22"/>
        <v>0</v>
      </c>
      <c r="Y85" s="26">
        <f t="shared" si="19"/>
        <v>0</v>
      </c>
      <c r="Z85" s="26">
        <f t="shared" si="15"/>
        <v>0</v>
      </c>
      <c r="AA85" s="26">
        <f t="shared" si="20"/>
        <v>0</v>
      </c>
      <c r="AB85" s="33" t="s">
        <v>15</v>
      </c>
      <c r="AC85" s="324"/>
      <c r="AD85" s="181">
        <f t="shared" si="17"/>
        <v>1</v>
      </c>
      <c r="AE85" s="181">
        <f t="shared" si="16"/>
        <v>19780.169999999998</v>
      </c>
      <c r="AF85" s="181">
        <v>1.2</v>
      </c>
      <c r="AG85" s="181">
        <v>1.2</v>
      </c>
      <c r="AH85" s="363" t="str">
        <f t="shared" si="21"/>
        <v/>
      </c>
      <c r="AI85" s="190">
        <v>0</v>
      </c>
      <c r="AJ85" s="188">
        <v>1</v>
      </c>
      <c r="AO85" s="367"/>
      <c r="AP85" s="367"/>
      <c r="AQ85" s="367"/>
    </row>
    <row r="86" spans="1:43" s="69" customFormat="1" ht="26.1" customHeight="1" x14ac:dyDescent="0.3">
      <c r="A86" s="55" t="s">
        <v>239</v>
      </c>
      <c r="B86" s="53" t="s">
        <v>240</v>
      </c>
      <c r="C86" s="54" t="s">
        <v>81</v>
      </c>
      <c r="D86" s="75">
        <v>1</v>
      </c>
      <c r="E86" s="75"/>
      <c r="F86" s="75"/>
      <c r="G86" s="75"/>
      <c r="H86" s="75"/>
      <c r="I86" s="328"/>
      <c r="J86" s="75">
        <v>1218.03</v>
      </c>
      <c r="K86" s="75">
        <v>1218.03</v>
      </c>
      <c r="L86" s="91" t="s">
        <v>241</v>
      </c>
      <c r="M86" s="73"/>
      <c r="N86" s="46">
        <v>0</v>
      </c>
      <c r="O86" s="46">
        <v>0</v>
      </c>
      <c r="P86" s="46">
        <v>0</v>
      </c>
      <c r="Q86" s="98"/>
      <c r="R86" s="23" t="s">
        <v>1448</v>
      </c>
      <c r="S86" s="24" t="s">
        <v>240</v>
      </c>
      <c r="T86" s="25" t="s">
        <v>81</v>
      </c>
      <c r="U86" s="26">
        <v>1</v>
      </c>
      <c r="V86" s="26">
        <f t="shared" si="14"/>
        <v>1</v>
      </c>
      <c r="W86" s="26">
        <f t="shared" si="18"/>
        <v>1218.03</v>
      </c>
      <c r="X86" s="26">
        <f t="shared" si="22"/>
        <v>0</v>
      </c>
      <c r="Y86" s="26">
        <f t="shared" si="19"/>
        <v>0</v>
      </c>
      <c r="Z86" s="26">
        <f t="shared" si="15"/>
        <v>0</v>
      </c>
      <c r="AA86" s="26">
        <f t="shared" si="20"/>
        <v>0</v>
      </c>
      <c r="AB86" s="33" t="s">
        <v>15</v>
      </c>
      <c r="AC86" s="324"/>
      <c r="AD86" s="181">
        <f t="shared" si="17"/>
        <v>1</v>
      </c>
      <c r="AE86" s="181">
        <f t="shared" si="16"/>
        <v>1218.03</v>
      </c>
      <c r="AF86" s="181">
        <v>1.2</v>
      </c>
      <c r="AG86" s="181">
        <v>1.2</v>
      </c>
      <c r="AH86" s="363" t="str">
        <f t="shared" si="21"/>
        <v/>
      </c>
      <c r="AI86" s="190">
        <v>0</v>
      </c>
      <c r="AJ86" s="188">
        <v>1</v>
      </c>
      <c r="AO86" s="367"/>
      <c r="AP86" s="367"/>
      <c r="AQ86" s="367"/>
    </row>
    <row r="87" spans="1:43" s="69" customFormat="1" ht="26.1" customHeight="1" x14ac:dyDescent="0.3">
      <c r="A87" s="55" t="s">
        <v>242</v>
      </c>
      <c r="B87" s="53" t="s">
        <v>243</v>
      </c>
      <c r="C87" s="54" t="s">
        <v>81</v>
      </c>
      <c r="D87" s="75">
        <v>1</v>
      </c>
      <c r="E87" s="75"/>
      <c r="F87" s="75"/>
      <c r="G87" s="75"/>
      <c r="H87" s="75"/>
      <c r="I87" s="328"/>
      <c r="J87" s="75">
        <v>3110.7</v>
      </c>
      <c r="K87" s="75">
        <v>3110.7</v>
      </c>
      <c r="L87" s="91" t="s">
        <v>244</v>
      </c>
      <c r="M87" s="73"/>
      <c r="N87" s="46">
        <v>0</v>
      </c>
      <c r="O87" s="46">
        <v>0</v>
      </c>
      <c r="P87" s="46">
        <v>0</v>
      </c>
      <c r="Q87" s="98"/>
      <c r="R87" s="23" t="s">
        <v>1449</v>
      </c>
      <c r="S87" s="24" t="s">
        <v>243</v>
      </c>
      <c r="T87" s="25" t="s">
        <v>81</v>
      </c>
      <c r="U87" s="26">
        <v>1</v>
      </c>
      <c r="V87" s="26">
        <f t="shared" si="14"/>
        <v>1</v>
      </c>
      <c r="W87" s="26">
        <f t="shared" si="18"/>
        <v>3110.7</v>
      </c>
      <c r="X87" s="26">
        <f t="shared" si="22"/>
        <v>0</v>
      </c>
      <c r="Y87" s="26">
        <f t="shared" si="19"/>
        <v>0</v>
      </c>
      <c r="Z87" s="26">
        <f t="shared" si="15"/>
        <v>0</v>
      </c>
      <c r="AA87" s="26">
        <f t="shared" si="20"/>
        <v>0</v>
      </c>
      <c r="AB87" s="33" t="s">
        <v>15</v>
      </c>
      <c r="AC87" s="324"/>
      <c r="AD87" s="181">
        <f t="shared" si="17"/>
        <v>1</v>
      </c>
      <c r="AE87" s="181">
        <f t="shared" si="16"/>
        <v>3110.7</v>
      </c>
      <c r="AF87" s="181">
        <v>1.2</v>
      </c>
      <c r="AG87" s="181">
        <v>1.2</v>
      </c>
      <c r="AH87" s="363" t="str">
        <f t="shared" si="21"/>
        <v/>
      </c>
      <c r="AI87" s="190">
        <v>0</v>
      </c>
      <c r="AJ87" s="188">
        <v>1</v>
      </c>
      <c r="AO87" s="367"/>
      <c r="AP87" s="367"/>
      <c r="AQ87" s="367"/>
    </row>
    <row r="88" spans="1:43" s="69" customFormat="1" ht="26.1" customHeight="1" x14ac:dyDescent="0.3">
      <c r="A88" s="55" t="s">
        <v>245</v>
      </c>
      <c r="B88" s="53" t="s">
        <v>246</v>
      </c>
      <c r="C88" s="54" t="s">
        <v>81</v>
      </c>
      <c r="D88" s="75">
        <v>1</v>
      </c>
      <c r="E88" s="75"/>
      <c r="F88" s="75"/>
      <c r="G88" s="75"/>
      <c r="H88" s="75"/>
      <c r="I88" s="328"/>
      <c r="J88" s="75">
        <v>1251.0999999999999</v>
      </c>
      <c r="K88" s="75">
        <v>1251.0999999999999</v>
      </c>
      <c r="L88" s="91" t="s">
        <v>247</v>
      </c>
      <c r="M88" s="73"/>
      <c r="N88" s="46">
        <v>0</v>
      </c>
      <c r="O88" s="46">
        <v>0</v>
      </c>
      <c r="P88" s="46">
        <v>0</v>
      </c>
      <c r="Q88" s="98"/>
      <c r="R88" s="23" t="s">
        <v>1450</v>
      </c>
      <c r="S88" s="24" t="s">
        <v>246</v>
      </c>
      <c r="T88" s="25" t="s">
        <v>81</v>
      </c>
      <c r="U88" s="26">
        <v>1</v>
      </c>
      <c r="V88" s="26">
        <f t="shared" si="14"/>
        <v>1</v>
      </c>
      <c r="W88" s="26">
        <f t="shared" si="18"/>
        <v>1251.0999999999999</v>
      </c>
      <c r="X88" s="26">
        <f t="shared" si="22"/>
        <v>0</v>
      </c>
      <c r="Y88" s="26">
        <f t="shared" si="19"/>
        <v>0</v>
      </c>
      <c r="Z88" s="26">
        <f t="shared" si="15"/>
        <v>0</v>
      </c>
      <c r="AA88" s="26">
        <f t="shared" si="20"/>
        <v>0</v>
      </c>
      <c r="AB88" s="33" t="s">
        <v>15</v>
      </c>
      <c r="AC88" s="324"/>
      <c r="AD88" s="181">
        <f t="shared" si="17"/>
        <v>1</v>
      </c>
      <c r="AE88" s="181">
        <f t="shared" si="16"/>
        <v>1251.0999999999999</v>
      </c>
      <c r="AF88" s="181">
        <v>1.2</v>
      </c>
      <c r="AG88" s="181">
        <v>1.2</v>
      </c>
      <c r="AH88" s="363" t="str">
        <f t="shared" si="21"/>
        <v/>
      </c>
      <c r="AI88" s="190">
        <v>0</v>
      </c>
      <c r="AJ88" s="188">
        <v>1</v>
      </c>
      <c r="AO88" s="367"/>
      <c r="AP88" s="367"/>
      <c r="AQ88" s="367"/>
    </row>
    <row r="89" spans="1:43" s="69" customFormat="1" ht="26.1" customHeight="1" x14ac:dyDescent="0.3">
      <c r="A89" s="55" t="s">
        <v>248</v>
      </c>
      <c r="B89" s="53" t="s">
        <v>249</v>
      </c>
      <c r="C89" s="54" t="s">
        <v>81</v>
      </c>
      <c r="D89" s="75">
        <v>1</v>
      </c>
      <c r="E89" s="75"/>
      <c r="F89" s="75"/>
      <c r="G89" s="75"/>
      <c r="H89" s="75"/>
      <c r="I89" s="328"/>
      <c r="J89" s="75">
        <v>9500.58</v>
      </c>
      <c r="K89" s="75">
        <v>9500.58</v>
      </c>
      <c r="L89" s="91" t="s">
        <v>250</v>
      </c>
      <c r="M89" s="73"/>
      <c r="N89" s="46">
        <v>0</v>
      </c>
      <c r="O89" s="46">
        <v>0</v>
      </c>
      <c r="P89" s="46">
        <v>0</v>
      </c>
      <c r="Q89" s="98"/>
      <c r="R89" s="23" t="s">
        <v>1451</v>
      </c>
      <c r="S89" s="24" t="s">
        <v>249</v>
      </c>
      <c r="T89" s="25" t="s">
        <v>81</v>
      </c>
      <c r="U89" s="26">
        <v>1</v>
      </c>
      <c r="V89" s="26">
        <f t="shared" si="14"/>
        <v>1</v>
      </c>
      <c r="W89" s="26">
        <f t="shared" si="18"/>
        <v>9500.58</v>
      </c>
      <c r="X89" s="26">
        <f t="shared" si="22"/>
        <v>0</v>
      </c>
      <c r="Y89" s="26">
        <f t="shared" si="19"/>
        <v>0</v>
      </c>
      <c r="Z89" s="26">
        <f t="shared" si="15"/>
        <v>0</v>
      </c>
      <c r="AA89" s="26">
        <f t="shared" si="20"/>
        <v>0</v>
      </c>
      <c r="AB89" s="33" t="s">
        <v>15</v>
      </c>
      <c r="AC89" s="324"/>
      <c r="AD89" s="181">
        <f t="shared" si="17"/>
        <v>1</v>
      </c>
      <c r="AE89" s="181">
        <f t="shared" si="16"/>
        <v>9500.58</v>
      </c>
      <c r="AF89" s="181">
        <v>1.2</v>
      </c>
      <c r="AG89" s="181">
        <v>1.2</v>
      </c>
      <c r="AH89" s="363" t="str">
        <f t="shared" si="21"/>
        <v/>
      </c>
      <c r="AI89" s="190">
        <v>0</v>
      </c>
      <c r="AJ89" s="188">
        <v>1</v>
      </c>
      <c r="AO89" s="367"/>
      <c r="AP89" s="367"/>
      <c r="AQ89" s="367"/>
    </row>
    <row r="90" spans="1:43" s="69" customFormat="1" ht="26.1" customHeight="1" x14ac:dyDescent="0.3">
      <c r="A90" s="55" t="s">
        <v>251</v>
      </c>
      <c r="B90" s="53" t="s">
        <v>252</v>
      </c>
      <c r="C90" s="54" t="s">
        <v>81</v>
      </c>
      <c r="D90" s="75">
        <v>1</v>
      </c>
      <c r="E90" s="75"/>
      <c r="F90" s="75"/>
      <c r="G90" s="75"/>
      <c r="H90" s="75"/>
      <c r="I90" s="328"/>
      <c r="J90" s="75">
        <v>3871.43</v>
      </c>
      <c r="K90" s="75">
        <v>3871.43</v>
      </c>
      <c r="L90" s="91" t="s">
        <v>253</v>
      </c>
      <c r="M90" s="73"/>
      <c r="N90" s="46">
        <v>0</v>
      </c>
      <c r="O90" s="46">
        <v>0</v>
      </c>
      <c r="P90" s="46">
        <v>0</v>
      </c>
      <c r="Q90" s="98"/>
      <c r="R90" s="23" t="s">
        <v>1452</v>
      </c>
      <c r="S90" s="24" t="s">
        <v>252</v>
      </c>
      <c r="T90" s="25" t="s">
        <v>81</v>
      </c>
      <c r="U90" s="26">
        <v>1</v>
      </c>
      <c r="V90" s="26">
        <f t="shared" si="14"/>
        <v>1</v>
      </c>
      <c r="W90" s="26">
        <f t="shared" si="18"/>
        <v>3871.43</v>
      </c>
      <c r="X90" s="26">
        <f t="shared" si="22"/>
        <v>0</v>
      </c>
      <c r="Y90" s="26">
        <f t="shared" si="19"/>
        <v>0</v>
      </c>
      <c r="Z90" s="26">
        <f t="shared" si="15"/>
        <v>0</v>
      </c>
      <c r="AA90" s="26">
        <f t="shared" si="20"/>
        <v>0</v>
      </c>
      <c r="AB90" s="33" t="s">
        <v>15</v>
      </c>
      <c r="AC90" s="324"/>
      <c r="AD90" s="181">
        <f t="shared" si="17"/>
        <v>1</v>
      </c>
      <c r="AE90" s="181">
        <f t="shared" si="16"/>
        <v>3871.43</v>
      </c>
      <c r="AF90" s="181">
        <v>1.2</v>
      </c>
      <c r="AG90" s="181">
        <v>1.2</v>
      </c>
      <c r="AH90" s="363" t="str">
        <f t="shared" si="21"/>
        <v/>
      </c>
      <c r="AI90" s="190">
        <v>0</v>
      </c>
      <c r="AJ90" s="188">
        <v>1</v>
      </c>
      <c r="AO90" s="367"/>
      <c r="AP90" s="367"/>
      <c r="AQ90" s="367"/>
    </row>
    <row r="91" spans="1:43" s="69" customFormat="1" ht="26.1" customHeight="1" x14ac:dyDescent="0.3">
      <c r="A91" s="55" t="s">
        <v>254</v>
      </c>
      <c r="B91" s="53" t="s">
        <v>255</v>
      </c>
      <c r="C91" s="54" t="s">
        <v>81</v>
      </c>
      <c r="D91" s="75">
        <v>1</v>
      </c>
      <c r="E91" s="75"/>
      <c r="F91" s="75"/>
      <c r="G91" s="75"/>
      <c r="H91" s="75"/>
      <c r="I91" s="328"/>
      <c r="J91" s="75">
        <v>25380.34</v>
      </c>
      <c r="K91" s="75">
        <v>25380.34</v>
      </c>
      <c r="L91" s="91" t="s">
        <v>256</v>
      </c>
      <c r="M91" s="73"/>
      <c r="N91" s="46">
        <v>0</v>
      </c>
      <c r="O91" s="46">
        <v>0</v>
      </c>
      <c r="P91" s="46">
        <v>0</v>
      </c>
      <c r="Q91" s="98"/>
      <c r="R91" s="23" t="s">
        <v>1453</v>
      </c>
      <c r="S91" s="24" t="s">
        <v>255</v>
      </c>
      <c r="T91" s="25" t="s">
        <v>81</v>
      </c>
      <c r="U91" s="26">
        <v>1</v>
      </c>
      <c r="V91" s="26">
        <f t="shared" si="14"/>
        <v>1</v>
      </c>
      <c r="W91" s="26">
        <f t="shared" si="18"/>
        <v>25380.34</v>
      </c>
      <c r="X91" s="26">
        <f t="shared" si="22"/>
        <v>0</v>
      </c>
      <c r="Y91" s="26">
        <f t="shared" si="19"/>
        <v>0</v>
      </c>
      <c r="Z91" s="26">
        <f t="shared" si="15"/>
        <v>0</v>
      </c>
      <c r="AA91" s="26">
        <f t="shared" si="20"/>
        <v>0</v>
      </c>
      <c r="AB91" s="33" t="s">
        <v>15</v>
      </c>
      <c r="AC91" s="324"/>
      <c r="AD91" s="181">
        <f t="shared" si="17"/>
        <v>1</v>
      </c>
      <c r="AE91" s="181">
        <f t="shared" si="16"/>
        <v>25380.34</v>
      </c>
      <c r="AF91" s="181">
        <v>1.2</v>
      </c>
      <c r="AG91" s="181">
        <v>1.2</v>
      </c>
      <c r="AH91" s="363" t="str">
        <f t="shared" si="21"/>
        <v/>
      </c>
      <c r="AI91" s="190">
        <v>0</v>
      </c>
      <c r="AJ91" s="188">
        <v>1</v>
      </c>
      <c r="AN91" s="363"/>
      <c r="AO91" s="368"/>
      <c r="AP91" s="367"/>
      <c r="AQ91" s="367"/>
    </row>
    <row r="92" spans="1:43" s="69" customFormat="1" ht="26.1" customHeight="1" x14ac:dyDescent="0.3">
      <c r="A92" s="130" t="s">
        <v>257</v>
      </c>
      <c r="B92" s="131" t="s">
        <v>258</v>
      </c>
      <c r="C92" s="132" t="s">
        <v>30</v>
      </c>
      <c r="D92" s="133">
        <v>13.9</v>
      </c>
      <c r="E92" s="75"/>
      <c r="F92" s="75"/>
      <c r="G92" s="75"/>
      <c r="H92" s="75"/>
      <c r="I92" s="343">
        <v>0</v>
      </c>
      <c r="J92" s="75">
        <v>1285.31</v>
      </c>
      <c r="K92" s="75">
        <v>0</v>
      </c>
      <c r="L92" s="91" t="s">
        <v>259</v>
      </c>
      <c r="M92" s="73"/>
      <c r="N92" s="46">
        <v>13.9</v>
      </c>
      <c r="O92" s="46">
        <v>0</v>
      </c>
      <c r="P92" s="46">
        <v>17865.810000000001</v>
      </c>
      <c r="Q92" s="98"/>
      <c r="R92" s="23" t="s">
        <v>1454</v>
      </c>
      <c r="S92" s="24" t="s">
        <v>258</v>
      </c>
      <c r="T92" s="25" t="s">
        <v>30</v>
      </c>
      <c r="U92" s="26">
        <v>13.9</v>
      </c>
      <c r="V92" s="26">
        <v>0</v>
      </c>
      <c r="W92" s="26">
        <f t="shared" si="18"/>
        <v>1285.31</v>
      </c>
      <c r="X92" s="209">
        <f t="shared" si="22"/>
        <v>0</v>
      </c>
      <c r="Y92" s="127">
        <f t="shared" si="19"/>
        <v>13.9</v>
      </c>
      <c r="Z92" s="127">
        <f t="shared" si="15"/>
        <v>0</v>
      </c>
      <c r="AA92" s="127">
        <f t="shared" si="20"/>
        <v>17865.810000000001</v>
      </c>
      <c r="AB92" s="33" t="s">
        <v>15</v>
      </c>
      <c r="AC92" s="324"/>
      <c r="AD92" s="181">
        <v>0</v>
      </c>
      <c r="AE92" s="181">
        <f t="shared" si="16"/>
        <v>0</v>
      </c>
      <c r="AF92" s="181">
        <v>1.2</v>
      </c>
      <c r="AG92" s="181">
        <v>1.2</v>
      </c>
      <c r="AH92" s="363" t="str">
        <f t="shared" si="21"/>
        <v>超估</v>
      </c>
      <c r="AI92" s="191">
        <v>13.9</v>
      </c>
      <c r="AJ92" s="188">
        <v>0</v>
      </c>
      <c r="AO92" s="367"/>
      <c r="AP92" s="367"/>
      <c r="AQ92" s="367"/>
    </row>
    <row r="93" spans="1:43" s="69" customFormat="1" ht="26.1" customHeight="1" x14ac:dyDescent="0.3">
      <c r="A93" s="55" t="s">
        <v>260</v>
      </c>
      <c r="B93" s="53" t="s">
        <v>261</v>
      </c>
      <c r="C93" s="54" t="s">
        <v>30</v>
      </c>
      <c r="D93" s="75">
        <v>94.15</v>
      </c>
      <c r="E93" s="75"/>
      <c r="F93" s="75"/>
      <c r="G93" s="75"/>
      <c r="H93" s="75"/>
      <c r="I93" s="328">
        <v>130.1</v>
      </c>
      <c r="J93" s="75">
        <v>1976.06</v>
      </c>
      <c r="K93" s="75">
        <v>257085.41</v>
      </c>
      <c r="L93" s="91" t="s">
        <v>262</v>
      </c>
      <c r="M93" s="73"/>
      <c r="N93" s="46">
        <v>88.1</v>
      </c>
      <c r="O93" s="46">
        <v>0</v>
      </c>
      <c r="P93" s="46">
        <v>174090.89</v>
      </c>
      <c r="Q93" s="98"/>
      <c r="R93" s="23" t="s">
        <v>1455</v>
      </c>
      <c r="S93" s="24" t="s">
        <v>261</v>
      </c>
      <c r="T93" s="25" t="s">
        <v>30</v>
      </c>
      <c r="U93" s="26">
        <v>94.15</v>
      </c>
      <c r="V93" s="26">
        <f t="shared" si="14"/>
        <v>130.1</v>
      </c>
      <c r="W93" s="26">
        <f t="shared" si="18"/>
        <v>1976.06</v>
      </c>
      <c r="X93" s="243">
        <f t="shared" si="22"/>
        <v>0</v>
      </c>
      <c r="Y93" s="26">
        <f t="shared" si="19"/>
        <v>88.1</v>
      </c>
      <c r="Z93" s="26">
        <f t="shared" si="15"/>
        <v>0</v>
      </c>
      <c r="AA93" s="26">
        <f t="shared" si="20"/>
        <v>174090.89</v>
      </c>
      <c r="AB93" s="33" t="s">
        <v>15</v>
      </c>
      <c r="AC93" s="324"/>
      <c r="AD93" s="181">
        <f t="shared" si="17"/>
        <v>130.1</v>
      </c>
      <c r="AE93" s="181">
        <f t="shared" si="16"/>
        <v>257085.41</v>
      </c>
      <c r="AF93" s="181">
        <v>1.2</v>
      </c>
      <c r="AG93" s="181">
        <v>1.2</v>
      </c>
      <c r="AH93" s="363" t="str">
        <f t="shared" si="21"/>
        <v/>
      </c>
      <c r="AI93" s="191">
        <f>26.7+61.4</f>
        <v>88.1</v>
      </c>
      <c r="AJ93" s="190">
        <v>130.1</v>
      </c>
      <c r="AO93" s="367"/>
      <c r="AP93" s="367"/>
      <c r="AQ93" s="367"/>
    </row>
    <row r="94" spans="1:43" s="69" customFormat="1" ht="26.1" customHeight="1" x14ac:dyDescent="0.3">
      <c r="A94" s="130" t="s">
        <v>263</v>
      </c>
      <c r="B94" s="131" t="s">
        <v>264</v>
      </c>
      <c r="C94" s="132" t="s">
        <v>30</v>
      </c>
      <c r="D94" s="133">
        <v>13.5</v>
      </c>
      <c r="E94" s="75"/>
      <c r="F94" s="75"/>
      <c r="G94" s="75"/>
      <c r="H94" s="75"/>
      <c r="I94" s="328"/>
      <c r="J94" s="75">
        <v>1889.54</v>
      </c>
      <c r="K94" s="75">
        <v>25508.79</v>
      </c>
      <c r="L94" s="91" t="s">
        <v>265</v>
      </c>
      <c r="M94" s="73"/>
      <c r="N94" s="46">
        <v>13.1</v>
      </c>
      <c r="O94" s="46">
        <v>0</v>
      </c>
      <c r="P94" s="46">
        <v>24752.97</v>
      </c>
      <c r="Q94" s="98"/>
      <c r="R94" s="23" t="s">
        <v>1456</v>
      </c>
      <c r="S94" s="24" t="s">
        <v>264</v>
      </c>
      <c r="T94" s="25" t="s">
        <v>30</v>
      </c>
      <c r="U94" s="26">
        <v>13.5</v>
      </c>
      <c r="V94" s="26">
        <f t="shared" si="14"/>
        <v>13.5</v>
      </c>
      <c r="W94" s="26">
        <f t="shared" si="18"/>
        <v>1889.54</v>
      </c>
      <c r="X94" s="127">
        <f t="shared" si="22"/>
        <v>0</v>
      </c>
      <c r="Y94" s="127">
        <f t="shared" si="19"/>
        <v>13.1</v>
      </c>
      <c r="Z94" s="127">
        <f t="shared" si="15"/>
        <v>0</v>
      </c>
      <c r="AA94" s="127">
        <f t="shared" si="20"/>
        <v>24752.97</v>
      </c>
      <c r="AB94" s="33" t="s">
        <v>15</v>
      </c>
      <c r="AC94" s="325"/>
      <c r="AD94" s="263">
        <f t="shared" si="17"/>
        <v>13.5</v>
      </c>
      <c r="AE94" s="263">
        <f t="shared" si="16"/>
        <v>25508.79</v>
      </c>
      <c r="AF94" s="263">
        <v>1.2</v>
      </c>
      <c r="AG94" s="263">
        <v>1.2</v>
      </c>
      <c r="AH94" s="68" t="str">
        <f t="shared" si="21"/>
        <v/>
      </c>
      <c r="AI94" s="194">
        <f>11.5+1.6</f>
        <v>13.1</v>
      </c>
      <c r="AJ94" s="188">
        <v>13.5</v>
      </c>
      <c r="AO94" s="367"/>
      <c r="AP94" s="367"/>
      <c r="AQ94" s="367"/>
    </row>
    <row r="95" spans="1:43" s="69" customFormat="1" ht="24.75" x14ac:dyDescent="0.3">
      <c r="A95" s="130" t="s">
        <v>266</v>
      </c>
      <c r="B95" s="131" t="s">
        <v>267</v>
      </c>
      <c r="C95" s="132" t="s">
        <v>30</v>
      </c>
      <c r="D95" s="133">
        <v>13.7</v>
      </c>
      <c r="E95" s="75"/>
      <c r="F95" s="75"/>
      <c r="G95" s="75"/>
      <c r="H95" s="75"/>
      <c r="I95" s="328">
        <v>27.4</v>
      </c>
      <c r="J95" s="75">
        <v>1778.66</v>
      </c>
      <c r="K95" s="75">
        <v>48735.28</v>
      </c>
      <c r="L95" s="91" t="s">
        <v>268</v>
      </c>
      <c r="M95" s="73"/>
      <c r="N95" s="46">
        <v>13.7</v>
      </c>
      <c r="O95" s="46">
        <v>0</v>
      </c>
      <c r="P95" s="46">
        <v>24367.64</v>
      </c>
      <c r="Q95" s="98"/>
      <c r="R95" s="23" t="s">
        <v>1457</v>
      </c>
      <c r="S95" s="24" t="s">
        <v>267</v>
      </c>
      <c r="T95" s="25" t="s">
        <v>30</v>
      </c>
      <c r="U95" s="26">
        <v>13.7</v>
      </c>
      <c r="V95" s="26">
        <f t="shared" si="14"/>
        <v>27.4</v>
      </c>
      <c r="W95" s="26">
        <f t="shared" si="18"/>
        <v>1778.66</v>
      </c>
      <c r="X95" s="243">
        <f t="shared" si="22"/>
        <v>13</v>
      </c>
      <c r="Y95" s="127">
        <f t="shared" si="19"/>
        <v>26.7</v>
      </c>
      <c r="Z95" s="127">
        <f t="shared" si="15"/>
        <v>23122.58</v>
      </c>
      <c r="AA95" s="127">
        <f t="shared" si="20"/>
        <v>47490.22</v>
      </c>
      <c r="AB95" s="33" t="s">
        <v>15</v>
      </c>
      <c r="AC95" s="325"/>
      <c r="AD95" s="263">
        <f t="shared" si="17"/>
        <v>27.4</v>
      </c>
      <c r="AE95" s="263">
        <f t="shared" si="16"/>
        <v>48735.28</v>
      </c>
      <c r="AF95" s="263">
        <v>1.2</v>
      </c>
      <c r="AG95" s="263">
        <v>1.2</v>
      </c>
      <c r="AH95" s="68" t="str">
        <f t="shared" si="21"/>
        <v/>
      </c>
      <c r="AI95" s="191">
        <v>26.7</v>
      </c>
      <c r="AJ95" s="190">
        <v>27.4</v>
      </c>
      <c r="AO95" s="367"/>
      <c r="AP95" s="367"/>
      <c r="AQ95" s="367"/>
    </row>
    <row r="96" spans="1:43" s="69" customFormat="1" ht="26.1" customHeight="1" x14ac:dyDescent="0.3">
      <c r="A96" s="130" t="s">
        <v>269</v>
      </c>
      <c r="B96" s="131" t="s">
        <v>270</v>
      </c>
      <c r="C96" s="132" t="s">
        <v>30</v>
      </c>
      <c r="D96" s="133">
        <v>17.920000000000002</v>
      </c>
      <c r="E96" s="75"/>
      <c r="F96" s="75"/>
      <c r="G96" s="75"/>
      <c r="H96" s="75"/>
      <c r="I96" s="328">
        <v>48.1</v>
      </c>
      <c r="J96" s="75">
        <v>2939.14</v>
      </c>
      <c r="K96" s="75">
        <v>141372.63</v>
      </c>
      <c r="L96" s="91" t="s">
        <v>271</v>
      </c>
      <c r="M96" s="73"/>
      <c r="N96" s="46">
        <v>17.899999999999999</v>
      </c>
      <c r="O96" s="46">
        <v>0</v>
      </c>
      <c r="P96" s="46">
        <v>52610.61</v>
      </c>
      <c r="Q96" s="98"/>
      <c r="R96" s="23" t="s">
        <v>1458</v>
      </c>
      <c r="S96" s="24" t="s">
        <v>270</v>
      </c>
      <c r="T96" s="25" t="s">
        <v>30</v>
      </c>
      <c r="U96" s="26">
        <v>17.920000000000002</v>
      </c>
      <c r="V96" s="26">
        <f t="shared" si="14"/>
        <v>48.1</v>
      </c>
      <c r="W96" s="26">
        <f t="shared" si="18"/>
        <v>2939.14</v>
      </c>
      <c r="X96" s="243">
        <f t="shared" si="22"/>
        <v>28.200000000000003</v>
      </c>
      <c r="Y96" s="127">
        <f t="shared" si="19"/>
        <v>46.1</v>
      </c>
      <c r="Z96" s="127">
        <f t="shared" si="15"/>
        <v>82883.740000000005</v>
      </c>
      <c r="AA96" s="127">
        <f t="shared" si="20"/>
        <v>135494.35</v>
      </c>
      <c r="AB96" s="33" t="s">
        <v>15</v>
      </c>
      <c r="AC96" s="325"/>
      <c r="AD96" s="263">
        <f t="shared" si="17"/>
        <v>48.1</v>
      </c>
      <c r="AE96" s="263">
        <f t="shared" si="16"/>
        <v>141372.63</v>
      </c>
      <c r="AF96" s="263">
        <v>1.2</v>
      </c>
      <c r="AG96" s="263">
        <v>1.2</v>
      </c>
      <c r="AH96" s="68" t="str">
        <f t="shared" si="21"/>
        <v/>
      </c>
      <c r="AI96" s="191">
        <v>46.1</v>
      </c>
      <c r="AJ96" s="190">
        <v>48.1</v>
      </c>
      <c r="AO96" s="367"/>
      <c r="AP96" s="367"/>
      <c r="AQ96" s="367"/>
    </row>
    <row r="97" spans="1:43" s="69" customFormat="1" ht="26.1" customHeight="1" x14ac:dyDescent="0.3">
      <c r="A97" s="55" t="s">
        <v>272</v>
      </c>
      <c r="B97" s="53" t="s">
        <v>273</v>
      </c>
      <c r="C97" s="54" t="s">
        <v>81</v>
      </c>
      <c r="D97" s="75">
        <v>1</v>
      </c>
      <c r="E97" s="75"/>
      <c r="F97" s="75"/>
      <c r="G97" s="75"/>
      <c r="H97" s="75"/>
      <c r="I97" s="75"/>
      <c r="J97" s="75">
        <v>23030.799999999999</v>
      </c>
      <c r="K97" s="75">
        <v>23030.799999999999</v>
      </c>
      <c r="L97" s="91" t="s">
        <v>274</v>
      </c>
      <c r="M97" s="73"/>
      <c r="N97" s="46">
        <v>0</v>
      </c>
      <c r="O97" s="46">
        <v>0</v>
      </c>
      <c r="P97" s="46">
        <v>0</v>
      </c>
      <c r="Q97" s="98"/>
      <c r="R97" s="23" t="s">
        <v>1459</v>
      </c>
      <c r="S97" s="24" t="s">
        <v>273</v>
      </c>
      <c r="T97" s="25" t="s">
        <v>81</v>
      </c>
      <c r="U97" s="26">
        <v>1</v>
      </c>
      <c r="V97" s="26">
        <f t="shared" si="14"/>
        <v>1</v>
      </c>
      <c r="W97" s="26">
        <f t="shared" si="18"/>
        <v>23030.799999999999</v>
      </c>
      <c r="X97" s="26">
        <f t="shared" si="22"/>
        <v>0</v>
      </c>
      <c r="Y97" s="26">
        <f t="shared" si="19"/>
        <v>0</v>
      </c>
      <c r="Z97" s="26">
        <f t="shared" si="15"/>
        <v>0</v>
      </c>
      <c r="AA97" s="26">
        <f t="shared" si="20"/>
        <v>0</v>
      </c>
      <c r="AB97" s="33" t="s">
        <v>15</v>
      </c>
      <c r="AC97" s="324"/>
      <c r="AD97" s="181">
        <f t="shared" si="17"/>
        <v>1</v>
      </c>
      <c r="AE97" s="181">
        <f t="shared" si="16"/>
        <v>23030.799999999999</v>
      </c>
      <c r="AF97" s="181">
        <v>1.2</v>
      </c>
      <c r="AG97" s="181">
        <v>1.2</v>
      </c>
      <c r="AH97" s="363" t="str">
        <f t="shared" si="21"/>
        <v/>
      </c>
      <c r="AI97" s="190">
        <v>0</v>
      </c>
      <c r="AJ97" s="188">
        <v>1</v>
      </c>
      <c r="AO97" s="367"/>
      <c r="AP97" s="367"/>
      <c r="AQ97" s="367"/>
    </row>
    <row r="98" spans="1:43" s="69" customFormat="1" ht="26.1" customHeight="1" x14ac:dyDescent="0.3">
      <c r="A98" s="55" t="s">
        <v>275</v>
      </c>
      <c r="B98" s="53" t="s">
        <v>276</v>
      </c>
      <c r="C98" s="54" t="s">
        <v>81</v>
      </c>
      <c r="D98" s="75">
        <v>2</v>
      </c>
      <c r="E98" s="75"/>
      <c r="F98" s="75"/>
      <c r="G98" s="75"/>
      <c r="H98" s="75"/>
      <c r="I98" s="75"/>
      <c r="J98" s="75">
        <v>18605.919999999998</v>
      </c>
      <c r="K98" s="75">
        <v>37211.839999999997</v>
      </c>
      <c r="L98" s="91" t="s">
        <v>277</v>
      </c>
      <c r="M98" s="73"/>
      <c r="N98" s="46">
        <v>0</v>
      </c>
      <c r="O98" s="46">
        <v>0</v>
      </c>
      <c r="P98" s="46">
        <v>0</v>
      </c>
      <c r="Q98" s="98"/>
      <c r="R98" s="23" t="s">
        <v>1460</v>
      </c>
      <c r="S98" s="24" t="s">
        <v>276</v>
      </c>
      <c r="T98" s="25" t="s">
        <v>81</v>
      </c>
      <c r="U98" s="26">
        <v>2</v>
      </c>
      <c r="V98" s="26">
        <f t="shared" si="14"/>
        <v>2</v>
      </c>
      <c r="W98" s="26">
        <f t="shared" si="18"/>
        <v>18605.919999999998</v>
      </c>
      <c r="X98" s="26">
        <f t="shared" si="22"/>
        <v>0</v>
      </c>
      <c r="Y98" s="26">
        <f t="shared" si="19"/>
        <v>0</v>
      </c>
      <c r="Z98" s="26">
        <f t="shared" si="15"/>
        <v>0</v>
      </c>
      <c r="AA98" s="26">
        <f t="shared" si="20"/>
        <v>0</v>
      </c>
      <c r="AB98" s="33" t="s">
        <v>15</v>
      </c>
      <c r="AC98" s="324"/>
      <c r="AD98" s="181">
        <f t="shared" si="17"/>
        <v>2</v>
      </c>
      <c r="AE98" s="181">
        <f t="shared" si="16"/>
        <v>37211.839999999997</v>
      </c>
      <c r="AF98" s="181">
        <v>1.2</v>
      </c>
      <c r="AG98" s="181">
        <v>1.2</v>
      </c>
      <c r="AH98" s="363" t="str">
        <f t="shared" si="21"/>
        <v/>
      </c>
      <c r="AI98" s="190">
        <v>0</v>
      </c>
      <c r="AJ98" s="188">
        <v>2</v>
      </c>
      <c r="AO98" s="367"/>
      <c r="AP98" s="367"/>
      <c r="AQ98" s="367"/>
    </row>
    <row r="99" spans="1:43" s="69" customFormat="1" ht="26.1" customHeight="1" x14ac:dyDescent="0.3">
      <c r="A99" s="55" t="s">
        <v>278</v>
      </c>
      <c r="B99" s="53" t="s">
        <v>279</v>
      </c>
      <c r="C99" s="54" t="s">
        <v>81</v>
      </c>
      <c r="D99" s="75">
        <v>1</v>
      </c>
      <c r="E99" s="75"/>
      <c r="F99" s="75"/>
      <c r="G99" s="75"/>
      <c r="H99" s="75"/>
      <c r="I99" s="75"/>
      <c r="J99" s="75">
        <v>18605.919999999998</v>
      </c>
      <c r="K99" s="75">
        <v>18605.919999999998</v>
      </c>
      <c r="L99" s="91" t="s">
        <v>280</v>
      </c>
      <c r="M99" s="73"/>
      <c r="N99" s="46">
        <v>0</v>
      </c>
      <c r="O99" s="46">
        <v>0</v>
      </c>
      <c r="P99" s="46">
        <v>0</v>
      </c>
      <c r="Q99" s="98"/>
      <c r="R99" s="23" t="s">
        <v>1461</v>
      </c>
      <c r="S99" s="24" t="s">
        <v>279</v>
      </c>
      <c r="T99" s="25" t="s">
        <v>81</v>
      </c>
      <c r="U99" s="26">
        <v>1</v>
      </c>
      <c r="V99" s="26">
        <f t="shared" si="14"/>
        <v>1</v>
      </c>
      <c r="W99" s="26">
        <f t="shared" si="18"/>
        <v>18605.919999999998</v>
      </c>
      <c r="X99" s="26">
        <f t="shared" si="22"/>
        <v>0</v>
      </c>
      <c r="Y99" s="26">
        <f t="shared" si="19"/>
        <v>0</v>
      </c>
      <c r="Z99" s="26">
        <f t="shared" si="15"/>
        <v>0</v>
      </c>
      <c r="AA99" s="26">
        <f t="shared" si="20"/>
        <v>0</v>
      </c>
      <c r="AB99" s="33" t="s">
        <v>15</v>
      </c>
      <c r="AC99" s="324"/>
      <c r="AD99" s="181">
        <f t="shared" si="17"/>
        <v>1</v>
      </c>
      <c r="AE99" s="181">
        <f t="shared" si="16"/>
        <v>18605.919999999998</v>
      </c>
      <c r="AF99" s="181">
        <v>1.2</v>
      </c>
      <c r="AG99" s="181">
        <v>1.2</v>
      </c>
      <c r="AH99" s="363" t="str">
        <f t="shared" si="21"/>
        <v/>
      </c>
      <c r="AI99" s="190">
        <v>0</v>
      </c>
      <c r="AJ99" s="188">
        <v>1</v>
      </c>
      <c r="AO99" s="367"/>
      <c r="AP99" s="367"/>
      <c r="AQ99" s="367"/>
    </row>
    <row r="100" spans="1:43" s="69" customFormat="1" ht="26.1" customHeight="1" x14ac:dyDescent="0.3">
      <c r="A100" s="55" t="s">
        <v>281</v>
      </c>
      <c r="B100" s="53" t="s">
        <v>282</v>
      </c>
      <c r="C100" s="54" t="s">
        <v>81</v>
      </c>
      <c r="D100" s="75">
        <v>3</v>
      </c>
      <c r="E100" s="75"/>
      <c r="F100" s="75"/>
      <c r="G100" s="75"/>
      <c r="H100" s="75"/>
      <c r="I100" s="75"/>
      <c r="J100" s="75">
        <v>11655.48</v>
      </c>
      <c r="K100" s="75">
        <v>34966.44</v>
      </c>
      <c r="L100" s="91" t="s">
        <v>283</v>
      </c>
      <c r="M100" s="73"/>
      <c r="N100" s="46">
        <v>0</v>
      </c>
      <c r="O100" s="46">
        <v>0</v>
      </c>
      <c r="P100" s="46">
        <v>0</v>
      </c>
      <c r="Q100" s="98"/>
      <c r="R100" s="23" t="s">
        <v>1462</v>
      </c>
      <c r="S100" s="24" t="s">
        <v>282</v>
      </c>
      <c r="T100" s="25" t="s">
        <v>81</v>
      </c>
      <c r="U100" s="26">
        <v>3</v>
      </c>
      <c r="V100" s="26">
        <f t="shared" si="14"/>
        <v>3</v>
      </c>
      <c r="W100" s="26">
        <f t="shared" si="18"/>
        <v>11655.48</v>
      </c>
      <c r="X100" s="26">
        <f t="shared" si="22"/>
        <v>0</v>
      </c>
      <c r="Y100" s="26">
        <f t="shared" si="19"/>
        <v>0</v>
      </c>
      <c r="Z100" s="26">
        <f t="shared" si="15"/>
        <v>0</v>
      </c>
      <c r="AA100" s="26">
        <f t="shared" si="20"/>
        <v>0</v>
      </c>
      <c r="AB100" s="33" t="s">
        <v>15</v>
      </c>
      <c r="AC100" s="324"/>
      <c r="AD100" s="181">
        <f t="shared" si="17"/>
        <v>3</v>
      </c>
      <c r="AE100" s="181">
        <f t="shared" si="16"/>
        <v>34966.44</v>
      </c>
      <c r="AF100" s="181">
        <v>1.2</v>
      </c>
      <c r="AG100" s="181">
        <v>1.2</v>
      </c>
      <c r="AH100" s="363" t="str">
        <f t="shared" si="21"/>
        <v/>
      </c>
      <c r="AI100" s="190">
        <v>0</v>
      </c>
      <c r="AJ100" s="188">
        <v>3</v>
      </c>
      <c r="AO100" s="367"/>
      <c r="AP100" s="367"/>
      <c r="AQ100" s="367"/>
    </row>
    <row r="101" spans="1:43" s="69" customFormat="1" ht="26.1" customHeight="1" x14ac:dyDescent="0.3">
      <c r="A101" s="246" t="s">
        <v>284</v>
      </c>
      <c r="B101" s="247" t="s">
        <v>285</v>
      </c>
      <c r="C101" s="248" t="s">
        <v>81</v>
      </c>
      <c r="D101" s="249">
        <v>4</v>
      </c>
      <c r="E101" s="75"/>
      <c r="F101" s="75"/>
      <c r="G101" s="75"/>
      <c r="H101" s="75"/>
      <c r="I101" s="75"/>
      <c r="J101" s="75">
        <v>25108.91</v>
      </c>
      <c r="K101" s="75">
        <v>100435.64</v>
      </c>
      <c r="L101" s="91" t="s">
        <v>286</v>
      </c>
      <c r="M101" s="73"/>
      <c r="N101" s="46">
        <v>0</v>
      </c>
      <c r="O101" s="46">
        <v>0</v>
      </c>
      <c r="P101" s="46">
        <v>0</v>
      </c>
      <c r="Q101" s="98"/>
      <c r="R101" s="23" t="s">
        <v>1463</v>
      </c>
      <c r="S101" s="24" t="s">
        <v>285</v>
      </c>
      <c r="T101" s="25" t="s">
        <v>81</v>
      </c>
      <c r="U101" s="26">
        <v>4</v>
      </c>
      <c r="V101" s="26">
        <f t="shared" si="14"/>
        <v>4</v>
      </c>
      <c r="W101" s="26">
        <f t="shared" si="18"/>
        <v>25108.91</v>
      </c>
      <c r="X101" s="26">
        <f t="shared" si="22"/>
        <v>0</v>
      </c>
      <c r="Y101" s="26">
        <f t="shared" si="19"/>
        <v>0</v>
      </c>
      <c r="Z101" s="26">
        <f t="shared" si="15"/>
        <v>0</v>
      </c>
      <c r="AA101" s="26">
        <f t="shared" si="20"/>
        <v>0</v>
      </c>
      <c r="AB101" s="33" t="s">
        <v>15</v>
      </c>
      <c r="AC101" s="324"/>
      <c r="AD101" s="181">
        <f t="shared" si="17"/>
        <v>4</v>
      </c>
      <c r="AE101" s="181">
        <f t="shared" si="16"/>
        <v>100435.64</v>
      </c>
      <c r="AF101" s="181">
        <v>1.2</v>
      </c>
      <c r="AG101" s="181">
        <v>1.2</v>
      </c>
      <c r="AH101" s="363" t="str">
        <f t="shared" si="21"/>
        <v/>
      </c>
      <c r="AI101" s="190">
        <v>0</v>
      </c>
      <c r="AJ101" s="188">
        <v>4</v>
      </c>
      <c r="AO101" s="367"/>
      <c r="AP101" s="367"/>
      <c r="AQ101" s="367"/>
    </row>
    <row r="102" spans="1:43" s="69" customFormat="1" ht="26.1" customHeight="1" x14ac:dyDescent="0.3">
      <c r="A102" s="55" t="s">
        <v>287</v>
      </c>
      <c r="B102" s="53" t="s">
        <v>288</v>
      </c>
      <c r="C102" s="54" t="s">
        <v>81</v>
      </c>
      <c r="D102" s="75">
        <v>5</v>
      </c>
      <c r="E102" s="75"/>
      <c r="F102" s="75"/>
      <c r="G102" s="75"/>
      <c r="H102" s="75"/>
      <c r="I102" s="75"/>
      <c r="J102" s="75">
        <v>22416.92</v>
      </c>
      <c r="K102" s="75">
        <v>112084.6</v>
      </c>
      <c r="L102" s="91" t="s">
        <v>289</v>
      </c>
      <c r="M102" s="73"/>
      <c r="N102" s="46">
        <v>0</v>
      </c>
      <c r="O102" s="46">
        <v>0</v>
      </c>
      <c r="P102" s="46">
        <v>0</v>
      </c>
      <c r="Q102" s="98"/>
      <c r="R102" s="23" t="s">
        <v>1464</v>
      </c>
      <c r="S102" s="24" t="s">
        <v>288</v>
      </c>
      <c r="T102" s="25" t="s">
        <v>81</v>
      </c>
      <c r="U102" s="26">
        <v>5</v>
      </c>
      <c r="V102" s="26">
        <f t="shared" si="14"/>
        <v>5</v>
      </c>
      <c r="W102" s="26">
        <f t="shared" si="18"/>
        <v>22416.92</v>
      </c>
      <c r="X102" s="26">
        <f t="shared" si="22"/>
        <v>0</v>
      </c>
      <c r="Y102" s="26">
        <f t="shared" si="19"/>
        <v>0</v>
      </c>
      <c r="Z102" s="26">
        <f t="shared" si="15"/>
        <v>0</v>
      </c>
      <c r="AA102" s="26">
        <f t="shared" si="20"/>
        <v>0</v>
      </c>
      <c r="AB102" s="33" t="s">
        <v>15</v>
      </c>
      <c r="AC102" s="324"/>
      <c r="AD102" s="181">
        <f t="shared" si="17"/>
        <v>5</v>
      </c>
      <c r="AE102" s="181">
        <f t="shared" si="16"/>
        <v>112084.6</v>
      </c>
      <c r="AF102" s="181">
        <v>1.2</v>
      </c>
      <c r="AG102" s="181">
        <v>1.2</v>
      </c>
      <c r="AH102" s="363" t="str">
        <f t="shared" si="21"/>
        <v/>
      </c>
      <c r="AI102" s="190">
        <v>0</v>
      </c>
      <c r="AJ102" s="188">
        <v>5</v>
      </c>
      <c r="AO102" s="367"/>
      <c r="AP102" s="367"/>
      <c r="AQ102" s="367"/>
    </row>
    <row r="103" spans="1:43" s="69" customFormat="1" ht="26.1" customHeight="1" x14ac:dyDescent="0.3">
      <c r="A103" s="55" t="s">
        <v>290</v>
      </c>
      <c r="B103" s="53" t="s">
        <v>291</v>
      </c>
      <c r="C103" s="54" t="s">
        <v>81</v>
      </c>
      <c r="D103" s="75">
        <v>1</v>
      </c>
      <c r="E103" s="75"/>
      <c r="F103" s="75"/>
      <c r="G103" s="75"/>
      <c r="H103" s="75"/>
      <c r="I103" s="75"/>
      <c r="J103" s="75">
        <v>21724.76</v>
      </c>
      <c r="K103" s="75">
        <v>21724.76</v>
      </c>
      <c r="L103" s="91" t="s">
        <v>292</v>
      </c>
      <c r="M103" s="73"/>
      <c r="N103" s="46">
        <v>0</v>
      </c>
      <c r="O103" s="46">
        <v>0</v>
      </c>
      <c r="P103" s="46">
        <v>0</v>
      </c>
      <c r="Q103" s="98"/>
      <c r="R103" s="23" t="s">
        <v>1465</v>
      </c>
      <c r="S103" s="24" t="s">
        <v>291</v>
      </c>
      <c r="T103" s="25" t="s">
        <v>81</v>
      </c>
      <c r="U103" s="26">
        <v>1</v>
      </c>
      <c r="V103" s="26">
        <f t="shared" si="14"/>
        <v>1</v>
      </c>
      <c r="W103" s="26">
        <f t="shared" si="18"/>
        <v>21724.76</v>
      </c>
      <c r="X103" s="26">
        <f t="shared" si="22"/>
        <v>0</v>
      </c>
      <c r="Y103" s="26">
        <f t="shared" si="19"/>
        <v>0</v>
      </c>
      <c r="Z103" s="26">
        <f t="shared" si="15"/>
        <v>0</v>
      </c>
      <c r="AA103" s="26">
        <f t="shared" si="20"/>
        <v>0</v>
      </c>
      <c r="AB103" s="33" t="s">
        <v>15</v>
      </c>
      <c r="AC103" s="324"/>
      <c r="AD103" s="181">
        <f t="shared" si="17"/>
        <v>1</v>
      </c>
      <c r="AE103" s="181">
        <f t="shared" si="16"/>
        <v>21724.76</v>
      </c>
      <c r="AF103" s="181">
        <v>1.2</v>
      </c>
      <c r="AG103" s="181">
        <v>1.2</v>
      </c>
      <c r="AH103" s="363" t="str">
        <f t="shared" si="21"/>
        <v/>
      </c>
      <c r="AI103" s="190">
        <v>0</v>
      </c>
      <c r="AJ103" s="188">
        <v>1</v>
      </c>
      <c r="AO103" s="367"/>
      <c r="AP103" s="367"/>
      <c r="AQ103" s="367"/>
    </row>
    <row r="104" spans="1:43" s="69" customFormat="1" ht="26.1" customHeight="1" x14ac:dyDescent="0.3">
      <c r="A104" s="55" t="s">
        <v>293</v>
      </c>
      <c r="B104" s="53" t="s">
        <v>294</v>
      </c>
      <c r="C104" s="54" t="s">
        <v>81</v>
      </c>
      <c r="D104" s="75">
        <v>2</v>
      </c>
      <c r="E104" s="75"/>
      <c r="F104" s="75"/>
      <c r="G104" s="75"/>
      <c r="H104" s="75"/>
      <c r="I104" s="75"/>
      <c r="J104" s="75">
        <v>17341.04</v>
      </c>
      <c r="K104" s="75">
        <v>34682.080000000002</v>
      </c>
      <c r="L104" s="91" t="s">
        <v>295</v>
      </c>
      <c r="M104" s="73"/>
      <c r="N104" s="46">
        <v>0</v>
      </c>
      <c r="O104" s="46">
        <v>0</v>
      </c>
      <c r="P104" s="46">
        <v>0</v>
      </c>
      <c r="Q104" s="98"/>
      <c r="R104" s="23" t="s">
        <v>1466</v>
      </c>
      <c r="S104" s="24" t="s">
        <v>294</v>
      </c>
      <c r="T104" s="25" t="s">
        <v>81</v>
      </c>
      <c r="U104" s="26">
        <v>2</v>
      </c>
      <c r="V104" s="26">
        <f t="shared" si="14"/>
        <v>2</v>
      </c>
      <c r="W104" s="26">
        <f t="shared" si="18"/>
        <v>17341.04</v>
      </c>
      <c r="X104" s="26">
        <f t="shared" si="22"/>
        <v>0</v>
      </c>
      <c r="Y104" s="26">
        <f t="shared" si="19"/>
        <v>0</v>
      </c>
      <c r="Z104" s="26">
        <f t="shared" si="15"/>
        <v>0</v>
      </c>
      <c r="AA104" s="26">
        <f t="shared" si="20"/>
        <v>0</v>
      </c>
      <c r="AB104" s="33" t="s">
        <v>15</v>
      </c>
      <c r="AC104" s="324"/>
      <c r="AD104" s="181">
        <f t="shared" si="17"/>
        <v>2</v>
      </c>
      <c r="AE104" s="181">
        <f t="shared" si="16"/>
        <v>34682.080000000002</v>
      </c>
      <c r="AF104" s="181">
        <v>1.2</v>
      </c>
      <c r="AG104" s="181">
        <v>1.2</v>
      </c>
      <c r="AH104" s="363" t="str">
        <f t="shared" si="21"/>
        <v/>
      </c>
      <c r="AI104" s="190">
        <v>0</v>
      </c>
      <c r="AJ104" s="188">
        <v>2</v>
      </c>
      <c r="AO104" s="367"/>
      <c r="AP104" s="367"/>
      <c r="AQ104" s="367"/>
    </row>
    <row r="105" spans="1:43" s="69" customFormat="1" ht="26.1" customHeight="1" x14ac:dyDescent="0.3">
      <c r="A105" s="55" t="s">
        <v>296</v>
      </c>
      <c r="B105" s="53" t="s">
        <v>297</v>
      </c>
      <c r="C105" s="54" t="s">
        <v>81</v>
      </c>
      <c r="D105" s="75">
        <v>1</v>
      </c>
      <c r="E105" s="75"/>
      <c r="F105" s="75"/>
      <c r="G105" s="75"/>
      <c r="H105" s="75"/>
      <c r="I105" s="75"/>
      <c r="J105" s="75">
        <v>17341.04</v>
      </c>
      <c r="K105" s="75">
        <v>17341.04</v>
      </c>
      <c r="L105" s="91" t="s">
        <v>298</v>
      </c>
      <c r="M105" s="73"/>
      <c r="N105" s="46">
        <v>0</v>
      </c>
      <c r="O105" s="46">
        <v>0</v>
      </c>
      <c r="P105" s="46">
        <v>0</v>
      </c>
      <c r="Q105" s="98"/>
      <c r="R105" s="23" t="s">
        <v>1467</v>
      </c>
      <c r="S105" s="24" t="s">
        <v>297</v>
      </c>
      <c r="T105" s="25" t="s">
        <v>81</v>
      </c>
      <c r="U105" s="26">
        <v>1</v>
      </c>
      <c r="V105" s="26">
        <f t="shared" ref="V105:V143" si="23">IF(I105&gt;0,I105,IF(H105&gt;0,H105,IF(G105&gt;0,G105,IF(F105&gt;0,F105,IF(E105&gt;0,E105,D105)))))</f>
        <v>1</v>
      </c>
      <c r="W105" s="26">
        <f t="shared" si="18"/>
        <v>17341.04</v>
      </c>
      <c r="X105" s="26">
        <f t="shared" si="22"/>
        <v>0</v>
      </c>
      <c r="Y105" s="26">
        <f t="shared" si="19"/>
        <v>0</v>
      </c>
      <c r="Z105" s="26">
        <f t="shared" ref="Z105:Z134" si="24">AA105-P105</f>
        <v>0</v>
      </c>
      <c r="AA105" s="26">
        <f t="shared" si="20"/>
        <v>0</v>
      </c>
      <c r="AB105" s="33" t="s">
        <v>15</v>
      </c>
      <c r="AC105" s="324"/>
      <c r="AD105" s="181">
        <f t="shared" si="17"/>
        <v>1</v>
      </c>
      <c r="AE105" s="181">
        <f t="shared" si="16"/>
        <v>17341.04</v>
      </c>
      <c r="AF105" s="181">
        <v>1.2</v>
      </c>
      <c r="AG105" s="181">
        <v>1.2</v>
      </c>
      <c r="AH105" s="363" t="str">
        <f t="shared" si="21"/>
        <v/>
      </c>
      <c r="AI105" s="190">
        <v>0</v>
      </c>
      <c r="AJ105" s="188">
        <v>1</v>
      </c>
      <c r="AO105" s="367"/>
      <c r="AP105" s="367"/>
      <c r="AQ105" s="367"/>
    </row>
    <row r="106" spans="1:43" s="69" customFormat="1" ht="26.1" customHeight="1" x14ac:dyDescent="0.3">
      <c r="A106" s="55" t="s">
        <v>299</v>
      </c>
      <c r="B106" s="53" t="s">
        <v>300</v>
      </c>
      <c r="C106" s="54" t="s">
        <v>81</v>
      </c>
      <c r="D106" s="75">
        <v>6</v>
      </c>
      <c r="E106" s="75"/>
      <c r="F106" s="75"/>
      <c r="G106" s="75"/>
      <c r="H106" s="75"/>
      <c r="I106" s="75"/>
      <c r="J106" s="75">
        <v>17341.04</v>
      </c>
      <c r="K106" s="75">
        <v>104046.24</v>
      </c>
      <c r="L106" s="91" t="s">
        <v>301</v>
      </c>
      <c r="M106" s="73"/>
      <c r="N106" s="46">
        <v>0</v>
      </c>
      <c r="O106" s="46">
        <v>0</v>
      </c>
      <c r="P106" s="46">
        <v>0</v>
      </c>
      <c r="Q106" s="98"/>
      <c r="R106" s="23" t="s">
        <v>1468</v>
      </c>
      <c r="S106" s="24" t="s">
        <v>300</v>
      </c>
      <c r="T106" s="25" t="s">
        <v>81</v>
      </c>
      <c r="U106" s="26">
        <v>6</v>
      </c>
      <c r="V106" s="26">
        <f t="shared" si="23"/>
        <v>6</v>
      </c>
      <c r="W106" s="26">
        <f t="shared" si="18"/>
        <v>17341.04</v>
      </c>
      <c r="X106" s="26">
        <f t="shared" si="22"/>
        <v>0</v>
      </c>
      <c r="Y106" s="26">
        <f t="shared" si="19"/>
        <v>0</v>
      </c>
      <c r="Z106" s="26">
        <f t="shared" si="24"/>
        <v>0</v>
      </c>
      <c r="AA106" s="26">
        <f t="shared" si="20"/>
        <v>0</v>
      </c>
      <c r="AB106" s="33" t="s">
        <v>15</v>
      </c>
      <c r="AC106" s="324"/>
      <c r="AD106" s="181">
        <f t="shared" si="17"/>
        <v>6</v>
      </c>
      <c r="AE106" s="181">
        <f t="shared" ref="AE106:AE134" si="25">ROUND(W106*AD106,2)</f>
        <v>104046.24</v>
      </c>
      <c r="AF106" s="181">
        <v>1.2</v>
      </c>
      <c r="AG106" s="181">
        <v>1.2</v>
      </c>
      <c r="AH106" s="363" t="str">
        <f t="shared" si="21"/>
        <v/>
      </c>
      <c r="AI106" s="190">
        <v>0</v>
      </c>
      <c r="AJ106" s="188">
        <v>6</v>
      </c>
      <c r="AO106" s="367"/>
      <c r="AP106" s="367"/>
      <c r="AQ106" s="367"/>
    </row>
    <row r="107" spans="1:43" s="69" customFormat="1" ht="26.1" customHeight="1" x14ac:dyDescent="0.3">
      <c r="A107" s="55" t="s">
        <v>302</v>
      </c>
      <c r="B107" s="53" t="s">
        <v>303</v>
      </c>
      <c r="C107" s="54" t="s">
        <v>81</v>
      </c>
      <c r="D107" s="75">
        <v>2</v>
      </c>
      <c r="E107" s="75"/>
      <c r="F107" s="75"/>
      <c r="G107" s="75"/>
      <c r="H107" s="75"/>
      <c r="I107" s="75"/>
      <c r="J107" s="75">
        <v>17497.64</v>
      </c>
      <c r="K107" s="75">
        <v>34995.279999999999</v>
      </c>
      <c r="L107" s="91" t="s">
        <v>304</v>
      </c>
      <c r="M107" s="73"/>
      <c r="N107" s="46">
        <v>0</v>
      </c>
      <c r="O107" s="46">
        <v>0</v>
      </c>
      <c r="P107" s="46">
        <v>0</v>
      </c>
      <c r="Q107" s="98"/>
      <c r="R107" s="23" t="s">
        <v>1469</v>
      </c>
      <c r="S107" s="24" t="s">
        <v>303</v>
      </c>
      <c r="T107" s="25" t="s">
        <v>81</v>
      </c>
      <c r="U107" s="26">
        <v>2</v>
      </c>
      <c r="V107" s="26">
        <f t="shared" si="23"/>
        <v>2</v>
      </c>
      <c r="W107" s="26">
        <f t="shared" si="18"/>
        <v>17497.64</v>
      </c>
      <c r="X107" s="26">
        <f t="shared" si="22"/>
        <v>0</v>
      </c>
      <c r="Y107" s="26">
        <f t="shared" si="19"/>
        <v>0</v>
      </c>
      <c r="Z107" s="26">
        <f t="shared" si="24"/>
        <v>0</v>
      </c>
      <c r="AA107" s="26">
        <f t="shared" si="20"/>
        <v>0</v>
      </c>
      <c r="AB107" s="33" t="s">
        <v>15</v>
      </c>
      <c r="AC107" s="324"/>
      <c r="AD107" s="181">
        <f t="shared" si="17"/>
        <v>2</v>
      </c>
      <c r="AE107" s="181">
        <f t="shared" si="25"/>
        <v>34995.279999999999</v>
      </c>
      <c r="AF107" s="181">
        <v>1.2</v>
      </c>
      <c r="AG107" s="181">
        <v>1.2</v>
      </c>
      <c r="AH107" s="363" t="str">
        <f t="shared" si="21"/>
        <v/>
      </c>
      <c r="AI107" s="190">
        <v>0</v>
      </c>
      <c r="AJ107" s="188">
        <v>2</v>
      </c>
      <c r="AO107" s="367"/>
      <c r="AP107" s="367"/>
      <c r="AQ107" s="367"/>
    </row>
    <row r="108" spans="1:43" s="69" customFormat="1" ht="26.1" customHeight="1" x14ac:dyDescent="0.3">
      <c r="A108" s="55" t="s">
        <v>305</v>
      </c>
      <c r="B108" s="53" t="s">
        <v>306</v>
      </c>
      <c r="C108" s="54" t="s">
        <v>81</v>
      </c>
      <c r="D108" s="75">
        <v>2</v>
      </c>
      <c r="E108" s="75"/>
      <c r="F108" s="75"/>
      <c r="G108" s="75"/>
      <c r="H108" s="75"/>
      <c r="I108" s="75"/>
      <c r="J108" s="75">
        <v>1501.74</v>
      </c>
      <c r="K108" s="75">
        <v>3003.48</v>
      </c>
      <c r="L108" s="91" t="s">
        <v>307</v>
      </c>
      <c r="M108" s="73"/>
      <c r="N108" s="46">
        <v>0</v>
      </c>
      <c r="O108" s="46">
        <v>0</v>
      </c>
      <c r="P108" s="46">
        <v>0</v>
      </c>
      <c r="Q108" s="98"/>
      <c r="R108" s="23" t="s">
        <v>1470</v>
      </c>
      <c r="S108" s="24" t="s">
        <v>306</v>
      </c>
      <c r="T108" s="25" t="s">
        <v>81</v>
      </c>
      <c r="U108" s="26">
        <v>2</v>
      </c>
      <c r="V108" s="26">
        <f t="shared" si="23"/>
        <v>2</v>
      </c>
      <c r="W108" s="26">
        <f t="shared" si="18"/>
        <v>1501.74</v>
      </c>
      <c r="X108" s="26">
        <f t="shared" si="22"/>
        <v>0</v>
      </c>
      <c r="Y108" s="26">
        <f t="shared" si="19"/>
        <v>0</v>
      </c>
      <c r="Z108" s="26">
        <f t="shared" si="24"/>
        <v>0</v>
      </c>
      <c r="AA108" s="26">
        <f t="shared" si="20"/>
        <v>0</v>
      </c>
      <c r="AB108" s="33" t="s">
        <v>15</v>
      </c>
      <c r="AC108" s="324"/>
      <c r="AD108" s="181">
        <f t="shared" si="17"/>
        <v>2</v>
      </c>
      <c r="AE108" s="181">
        <f t="shared" si="25"/>
        <v>3003.48</v>
      </c>
      <c r="AF108" s="181">
        <v>1.2</v>
      </c>
      <c r="AG108" s="181">
        <v>1.2</v>
      </c>
      <c r="AH108" s="363" t="str">
        <f t="shared" si="21"/>
        <v/>
      </c>
      <c r="AI108" s="190">
        <v>0</v>
      </c>
      <c r="AJ108" s="188">
        <v>2</v>
      </c>
      <c r="AO108" s="367"/>
      <c r="AP108" s="367"/>
      <c r="AQ108" s="367"/>
    </row>
    <row r="109" spans="1:43" s="69" customFormat="1" ht="26.1" customHeight="1" x14ac:dyDescent="0.3">
      <c r="A109" s="55" t="s">
        <v>308</v>
      </c>
      <c r="B109" s="53" t="s">
        <v>309</v>
      </c>
      <c r="C109" s="54" t="s">
        <v>81</v>
      </c>
      <c r="D109" s="75">
        <v>1</v>
      </c>
      <c r="E109" s="75"/>
      <c r="F109" s="75"/>
      <c r="G109" s="75"/>
      <c r="H109" s="75"/>
      <c r="I109" s="328">
        <v>2</v>
      </c>
      <c r="J109" s="75">
        <v>994.98</v>
      </c>
      <c r="K109" s="75">
        <v>1989.96</v>
      </c>
      <c r="L109" s="91" t="s">
        <v>310</v>
      </c>
      <c r="M109" s="73"/>
      <c r="N109" s="46">
        <v>0</v>
      </c>
      <c r="O109" s="46">
        <v>0</v>
      </c>
      <c r="P109" s="46">
        <v>0</v>
      </c>
      <c r="Q109" s="98"/>
      <c r="R109" s="23" t="s">
        <v>1471</v>
      </c>
      <c r="S109" s="24" t="s">
        <v>309</v>
      </c>
      <c r="T109" s="25" t="s">
        <v>81</v>
      </c>
      <c r="U109" s="26">
        <v>1</v>
      </c>
      <c r="V109" s="26">
        <f t="shared" si="23"/>
        <v>2</v>
      </c>
      <c r="W109" s="26">
        <f t="shared" si="18"/>
        <v>994.98</v>
      </c>
      <c r="X109" s="26">
        <f t="shared" si="22"/>
        <v>0</v>
      </c>
      <c r="Y109" s="26">
        <f t="shared" si="19"/>
        <v>0</v>
      </c>
      <c r="Z109" s="26">
        <f t="shared" si="24"/>
        <v>0</v>
      </c>
      <c r="AA109" s="26">
        <f t="shared" si="20"/>
        <v>0</v>
      </c>
      <c r="AB109" s="33" t="s">
        <v>15</v>
      </c>
      <c r="AC109" s="324"/>
      <c r="AD109" s="181">
        <f t="shared" si="17"/>
        <v>2</v>
      </c>
      <c r="AE109" s="181">
        <f t="shared" si="25"/>
        <v>1989.96</v>
      </c>
      <c r="AF109" s="181">
        <v>1.2</v>
      </c>
      <c r="AG109" s="181">
        <v>1.2</v>
      </c>
      <c r="AH109" s="363" t="str">
        <f t="shared" si="21"/>
        <v/>
      </c>
      <c r="AI109" s="190">
        <v>0</v>
      </c>
      <c r="AJ109" s="190">
        <v>2</v>
      </c>
      <c r="AO109" s="367"/>
      <c r="AP109" s="367"/>
      <c r="AQ109" s="367"/>
    </row>
    <row r="110" spans="1:43" s="69" customFormat="1" ht="26.1" customHeight="1" x14ac:dyDescent="0.3">
      <c r="A110" s="55" t="s">
        <v>311</v>
      </c>
      <c r="B110" s="53" t="s">
        <v>312</v>
      </c>
      <c r="C110" s="54" t="s">
        <v>81</v>
      </c>
      <c r="D110" s="75">
        <v>12</v>
      </c>
      <c r="E110" s="75"/>
      <c r="F110" s="75"/>
      <c r="G110" s="75"/>
      <c r="H110" s="75"/>
      <c r="I110" s="328"/>
      <c r="J110" s="75">
        <v>331.66</v>
      </c>
      <c r="K110" s="75">
        <v>3979.92</v>
      </c>
      <c r="L110" s="91" t="s">
        <v>313</v>
      </c>
      <c r="M110" s="73"/>
      <c r="N110" s="46">
        <v>0</v>
      </c>
      <c r="O110" s="46">
        <v>0</v>
      </c>
      <c r="P110" s="46">
        <v>0</v>
      </c>
      <c r="Q110" s="98"/>
      <c r="R110" s="23" t="s">
        <v>1472</v>
      </c>
      <c r="S110" s="24" t="s">
        <v>312</v>
      </c>
      <c r="T110" s="25" t="s">
        <v>81</v>
      </c>
      <c r="U110" s="26">
        <v>12</v>
      </c>
      <c r="V110" s="26">
        <f t="shared" si="23"/>
        <v>12</v>
      </c>
      <c r="W110" s="26">
        <f t="shared" si="18"/>
        <v>331.66</v>
      </c>
      <c r="X110" s="26">
        <f t="shared" si="22"/>
        <v>0</v>
      </c>
      <c r="Y110" s="26">
        <f t="shared" si="19"/>
        <v>0</v>
      </c>
      <c r="Z110" s="26">
        <f t="shared" si="24"/>
        <v>0</v>
      </c>
      <c r="AA110" s="26">
        <f t="shared" si="20"/>
        <v>0</v>
      </c>
      <c r="AB110" s="33" t="s">
        <v>15</v>
      </c>
      <c r="AC110" s="324"/>
      <c r="AD110" s="181">
        <f t="shared" si="17"/>
        <v>12</v>
      </c>
      <c r="AE110" s="181">
        <f t="shared" si="25"/>
        <v>3979.92</v>
      </c>
      <c r="AF110" s="181">
        <v>1.2</v>
      </c>
      <c r="AG110" s="181">
        <v>1.2</v>
      </c>
      <c r="AH110" s="363" t="str">
        <f t="shared" si="21"/>
        <v/>
      </c>
      <c r="AI110" s="190">
        <v>0</v>
      </c>
      <c r="AJ110" s="188">
        <v>12</v>
      </c>
      <c r="AO110" s="367"/>
      <c r="AP110" s="367"/>
      <c r="AQ110" s="367"/>
    </row>
    <row r="111" spans="1:43" s="69" customFormat="1" ht="26.1" customHeight="1" x14ac:dyDescent="0.3">
      <c r="A111" s="55" t="s">
        <v>314</v>
      </c>
      <c r="B111" s="53" t="s">
        <v>315</v>
      </c>
      <c r="C111" s="54" t="s">
        <v>81</v>
      </c>
      <c r="D111" s="75">
        <v>2</v>
      </c>
      <c r="E111" s="75"/>
      <c r="F111" s="75"/>
      <c r="G111" s="75"/>
      <c r="H111" s="75"/>
      <c r="I111" s="328"/>
      <c r="J111" s="75">
        <v>1096.44</v>
      </c>
      <c r="K111" s="75">
        <v>2192.88</v>
      </c>
      <c r="L111" s="91" t="s">
        <v>316</v>
      </c>
      <c r="M111" s="73"/>
      <c r="N111" s="46">
        <v>0</v>
      </c>
      <c r="O111" s="46">
        <v>0</v>
      </c>
      <c r="P111" s="46">
        <v>0</v>
      </c>
      <c r="Q111" s="98"/>
      <c r="R111" s="23" t="s">
        <v>1473</v>
      </c>
      <c r="S111" s="24" t="s">
        <v>315</v>
      </c>
      <c r="T111" s="25" t="s">
        <v>81</v>
      </c>
      <c r="U111" s="26">
        <v>2</v>
      </c>
      <c r="V111" s="26">
        <f t="shared" si="23"/>
        <v>2</v>
      </c>
      <c r="W111" s="26">
        <f t="shared" si="18"/>
        <v>1096.44</v>
      </c>
      <c r="X111" s="26">
        <f t="shared" si="22"/>
        <v>0</v>
      </c>
      <c r="Y111" s="26">
        <f t="shared" si="19"/>
        <v>0</v>
      </c>
      <c r="Z111" s="26">
        <f t="shared" si="24"/>
        <v>0</v>
      </c>
      <c r="AA111" s="26">
        <f t="shared" si="20"/>
        <v>0</v>
      </c>
      <c r="AB111" s="33" t="s">
        <v>15</v>
      </c>
      <c r="AC111" s="324"/>
      <c r="AD111" s="181">
        <f t="shared" si="17"/>
        <v>2</v>
      </c>
      <c r="AE111" s="181">
        <f t="shared" si="25"/>
        <v>2192.88</v>
      </c>
      <c r="AF111" s="181">
        <v>1.2</v>
      </c>
      <c r="AG111" s="181">
        <v>1.2</v>
      </c>
      <c r="AH111" s="363" t="str">
        <f t="shared" si="21"/>
        <v/>
      </c>
      <c r="AI111" s="190">
        <v>0</v>
      </c>
      <c r="AJ111" s="188">
        <v>2</v>
      </c>
      <c r="AO111" s="367"/>
      <c r="AP111" s="367"/>
      <c r="AQ111" s="367"/>
    </row>
    <row r="112" spans="1:43" s="69" customFormat="1" ht="26.1" customHeight="1" x14ac:dyDescent="0.3">
      <c r="A112" s="55" t="s">
        <v>317</v>
      </c>
      <c r="B112" s="53" t="s">
        <v>318</v>
      </c>
      <c r="C112" s="54" t="s">
        <v>81</v>
      </c>
      <c r="D112" s="75">
        <v>4</v>
      </c>
      <c r="E112" s="75"/>
      <c r="F112" s="75"/>
      <c r="G112" s="75"/>
      <c r="H112" s="75"/>
      <c r="I112" s="328"/>
      <c r="J112" s="75">
        <v>952.24</v>
      </c>
      <c r="K112" s="75">
        <v>3808.96</v>
      </c>
      <c r="L112" s="91" t="s">
        <v>319</v>
      </c>
      <c r="M112" s="73"/>
      <c r="N112" s="46">
        <v>0</v>
      </c>
      <c r="O112" s="46">
        <v>0</v>
      </c>
      <c r="P112" s="46">
        <v>0</v>
      </c>
      <c r="Q112" s="98"/>
      <c r="R112" s="23" t="s">
        <v>1474</v>
      </c>
      <c r="S112" s="24" t="s">
        <v>318</v>
      </c>
      <c r="T112" s="25" t="s">
        <v>81</v>
      </c>
      <c r="U112" s="26">
        <v>4</v>
      </c>
      <c r="V112" s="26">
        <f t="shared" si="23"/>
        <v>4</v>
      </c>
      <c r="W112" s="26">
        <f t="shared" si="18"/>
        <v>952.24</v>
      </c>
      <c r="X112" s="26">
        <f t="shared" si="22"/>
        <v>0</v>
      </c>
      <c r="Y112" s="26">
        <f t="shared" si="19"/>
        <v>0</v>
      </c>
      <c r="Z112" s="26">
        <f t="shared" si="24"/>
        <v>0</v>
      </c>
      <c r="AA112" s="26">
        <f t="shared" si="20"/>
        <v>0</v>
      </c>
      <c r="AB112" s="33" t="s">
        <v>15</v>
      </c>
      <c r="AC112" s="324"/>
      <c r="AD112" s="181">
        <f t="shared" si="17"/>
        <v>4</v>
      </c>
      <c r="AE112" s="181">
        <f t="shared" si="25"/>
        <v>3808.96</v>
      </c>
      <c r="AF112" s="181">
        <v>1.2</v>
      </c>
      <c r="AG112" s="181">
        <v>1.2</v>
      </c>
      <c r="AH112" s="363" t="str">
        <f t="shared" si="21"/>
        <v/>
      </c>
      <c r="AI112" s="190">
        <v>0</v>
      </c>
      <c r="AJ112" s="188">
        <v>4</v>
      </c>
      <c r="AO112" s="367"/>
      <c r="AP112" s="367"/>
      <c r="AQ112" s="367"/>
    </row>
    <row r="113" spans="1:43" s="69" customFormat="1" ht="49.5" x14ac:dyDescent="0.3">
      <c r="A113" s="130" t="s">
        <v>320</v>
      </c>
      <c r="B113" s="240" t="s">
        <v>321</v>
      </c>
      <c r="C113" s="132" t="s">
        <v>50</v>
      </c>
      <c r="D113" s="133">
        <v>676.98</v>
      </c>
      <c r="E113" s="75">
        <v>773.78</v>
      </c>
      <c r="F113" s="75"/>
      <c r="G113" s="75"/>
      <c r="H113" s="75"/>
      <c r="I113" s="328"/>
      <c r="J113" s="75">
        <v>647.70000000000005</v>
      </c>
      <c r="K113" s="75">
        <v>501177.31</v>
      </c>
      <c r="L113" s="91" t="s">
        <v>322</v>
      </c>
      <c r="M113" s="73"/>
      <c r="N113" s="46">
        <v>769.18</v>
      </c>
      <c r="O113" s="46">
        <v>59717.94</v>
      </c>
      <c r="P113" s="46">
        <v>498197.89</v>
      </c>
      <c r="Q113" s="98"/>
      <c r="R113" s="23" t="s">
        <v>1475</v>
      </c>
      <c r="S113" s="24" t="s">
        <v>321</v>
      </c>
      <c r="T113" s="25" t="s">
        <v>50</v>
      </c>
      <c r="U113" s="26">
        <v>676.98</v>
      </c>
      <c r="V113" s="26">
        <f t="shared" si="23"/>
        <v>773.78</v>
      </c>
      <c r="W113" s="26">
        <f t="shared" si="18"/>
        <v>647.70000000000005</v>
      </c>
      <c r="X113" s="127">
        <f t="shared" si="22"/>
        <v>0</v>
      </c>
      <c r="Y113" s="127">
        <f t="shared" si="19"/>
        <v>769.18</v>
      </c>
      <c r="Z113" s="127">
        <f t="shared" si="24"/>
        <v>0</v>
      </c>
      <c r="AA113" s="127">
        <f t="shared" si="20"/>
        <v>498197.89</v>
      </c>
      <c r="AB113" s="27" t="s">
        <v>15</v>
      </c>
      <c r="AC113" s="324"/>
      <c r="AD113" s="181">
        <f t="shared" si="17"/>
        <v>773.78</v>
      </c>
      <c r="AE113" s="181">
        <f t="shared" si="25"/>
        <v>501177.31</v>
      </c>
      <c r="AF113" s="181">
        <v>1.2</v>
      </c>
      <c r="AG113" s="181">
        <v>1.2</v>
      </c>
      <c r="AH113" s="363" t="str">
        <f t="shared" si="21"/>
        <v/>
      </c>
      <c r="AI113" s="194">
        <f>354.83+231.1+91.05+92.2</f>
        <v>769.18</v>
      </c>
      <c r="AJ113" s="188">
        <v>773.78</v>
      </c>
      <c r="AO113" s="367"/>
      <c r="AP113" s="367"/>
      <c r="AQ113" s="367"/>
    </row>
    <row r="114" spans="1:43" s="69" customFormat="1" ht="24.75" x14ac:dyDescent="0.3">
      <c r="A114" s="55" t="s">
        <v>323</v>
      </c>
      <c r="B114" s="53" t="s">
        <v>3288</v>
      </c>
      <c r="C114" s="54" t="s">
        <v>325</v>
      </c>
      <c r="D114" s="75">
        <v>2</v>
      </c>
      <c r="E114" s="75"/>
      <c r="F114" s="75"/>
      <c r="G114" s="75"/>
      <c r="H114" s="75"/>
      <c r="I114" s="328"/>
      <c r="J114" s="75">
        <v>10413.299999999999</v>
      </c>
      <c r="K114" s="75">
        <v>20826.599999999999</v>
      </c>
      <c r="L114" s="91" t="s">
        <v>326</v>
      </c>
      <c r="M114" s="73"/>
      <c r="N114" s="46">
        <v>0</v>
      </c>
      <c r="O114" s="46">
        <v>0</v>
      </c>
      <c r="P114" s="46">
        <v>0</v>
      </c>
      <c r="Q114" s="98"/>
      <c r="R114" s="23" t="s">
        <v>1476</v>
      </c>
      <c r="S114" s="24" t="s">
        <v>324</v>
      </c>
      <c r="T114" s="25" t="s">
        <v>325</v>
      </c>
      <c r="U114" s="26">
        <v>2</v>
      </c>
      <c r="V114" s="26">
        <f t="shared" si="23"/>
        <v>2</v>
      </c>
      <c r="W114" s="26">
        <f t="shared" si="18"/>
        <v>10413.299999999999</v>
      </c>
      <c r="X114" s="26">
        <f t="shared" si="22"/>
        <v>0</v>
      </c>
      <c r="Y114" s="26">
        <f t="shared" si="19"/>
        <v>0</v>
      </c>
      <c r="Z114" s="26">
        <f t="shared" si="24"/>
        <v>0</v>
      </c>
      <c r="AA114" s="26">
        <f t="shared" si="20"/>
        <v>0</v>
      </c>
      <c r="AB114" s="33" t="s">
        <v>15</v>
      </c>
      <c r="AC114" s="324"/>
      <c r="AD114" s="181">
        <f t="shared" si="17"/>
        <v>2</v>
      </c>
      <c r="AE114" s="181">
        <f t="shared" si="25"/>
        <v>20826.599999999999</v>
      </c>
      <c r="AF114" s="181">
        <v>1.2</v>
      </c>
      <c r="AG114" s="181">
        <v>1.2</v>
      </c>
      <c r="AH114" s="363" t="str">
        <f t="shared" si="21"/>
        <v/>
      </c>
      <c r="AI114" s="192">
        <v>0</v>
      </c>
      <c r="AJ114" s="188">
        <v>2</v>
      </c>
      <c r="AO114" s="367"/>
      <c r="AP114" s="367"/>
      <c r="AQ114" s="367"/>
    </row>
    <row r="115" spans="1:43" s="69" customFormat="1" ht="24.75" x14ac:dyDescent="0.3">
      <c r="A115" s="130" t="s">
        <v>327</v>
      </c>
      <c r="B115" s="131" t="s">
        <v>328</v>
      </c>
      <c r="C115" s="132" t="s">
        <v>81</v>
      </c>
      <c r="D115" s="133">
        <v>1</v>
      </c>
      <c r="E115" s="75"/>
      <c r="F115" s="75"/>
      <c r="G115" s="75"/>
      <c r="H115" s="75"/>
      <c r="I115" s="328"/>
      <c r="J115" s="75">
        <v>101421.35</v>
      </c>
      <c r="K115" s="75">
        <v>101421.35</v>
      </c>
      <c r="L115" s="91" t="s">
        <v>329</v>
      </c>
      <c r="M115" s="73"/>
      <c r="N115" s="46">
        <v>1</v>
      </c>
      <c r="O115" s="46">
        <v>0</v>
      </c>
      <c r="P115" s="46">
        <v>101421.35</v>
      </c>
      <c r="Q115" s="98"/>
      <c r="R115" s="23" t="s">
        <v>1477</v>
      </c>
      <c r="S115" s="24" t="s">
        <v>328</v>
      </c>
      <c r="T115" s="25" t="s">
        <v>81</v>
      </c>
      <c r="U115" s="26">
        <v>1</v>
      </c>
      <c r="V115" s="26">
        <f t="shared" si="23"/>
        <v>1</v>
      </c>
      <c r="W115" s="26">
        <f t="shared" si="18"/>
        <v>101421.35</v>
      </c>
      <c r="X115" s="127">
        <f t="shared" si="22"/>
        <v>0</v>
      </c>
      <c r="Y115" s="127">
        <f t="shared" si="19"/>
        <v>1</v>
      </c>
      <c r="Z115" s="127">
        <f t="shared" si="24"/>
        <v>0</v>
      </c>
      <c r="AA115" s="127">
        <f t="shared" si="20"/>
        <v>101421.35</v>
      </c>
      <c r="AB115" s="33" t="s">
        <v>15</v>
      </c>
      <c r="AC115" s="324"/>
      <c r="AD115" s="181">
        <f t="shared" si="17"/>
        <v>1</v>
      </c>
      <c r="AE115" s="181">
        <f t="shared" si="25"/>
        <v>101421.35</v>
      </c>
      <c r="AF115" s="181">
        <v>1.2</v>
      </c>
      <c r="AG115" s="181">
        <v>1.2</v>
      </c>
      <c r="AH115" s="363" t="str">
        <f t="shared" si="21"/>
        <v/>
      </c>
      <c r="AI115" s="192">
        <v>1</v>
      </c>
      <c r="AJ115" s="188">
        <v>1</v>
      </c>
      <c r="AO115" s="367"/>
      <c r="AP115" s="367"/>
      <c r="AQ115" s="367"/>
    </row>
    <row r="116" spans="1:43" s="69" customFormat="1" ht="24.75" x14ac:dyDescent="0.3">
      <c r="A116" s="130" t="s">
        <v>330</v>
      </c>
      <c r="B116" s="131" t="s">
        <v>331</v>
      </c>
      <c r="C116" s="132" t="s">
        <v>325</v>
      </c>
      <c r="D116" s="133">
        <v>3</v>
      </c>
      <c r="E116" s="75"/>
      <c r="F116" s="75"/>
      <c r="G116" s="75"/>
      <c r="H116" s="75"/>
      <c r="I116" s="328"/>
      <c r="J116" s="75">
        <v>4575.26</v>
      </c>
      <c r="K116" s="75">
        <v>13725.78</v>
      </c>
      <c r="L116" s="91" t="s">
        <v>332</v>
      </c>
      <c r="M116" s="73"/>
      <c r="N116" s="46">
        <v>3</v>
      </c>
      <c r="O116" s="46">
        <v>13725.78</v>
      </c>
      <c r="P116" s="46">
        <v>13725.78</v>
      </c>
      <c r="Q116" s="98"/>
      <c r="R116" s="23" t="s">
        <v>1478</v>
      </c>
      <c r="S116" s="24" t="s">
        <v>331</v>
      </c>
      <c r="T116" s="25" t="s">
        <v>325</v>
      </c>
      <c r="U116" s="26">
        <v>3</v>
      </c>
      <c r="V116" s="26">
        <f t="shared" si="23"/>
        <v>3</v>
      </c>
      <c r="W116" s="26">
        <f t="shared" si="18"/>
        <v>4575.26</v>
      </c>
      <c r="X116" s="127">
        <f t="shared" si="22"/>
        <v>0</v>
      </c>
      <c r="Y116" s="127">
        <f t="shared" si="19"/>
        <v>3</v>
      </c>
      <c r="Z116" s="127">
        <f t="shared" si="24"/>
        <v>0</v>
      </c>
      <c r="AA116" s="127">
        <f t="shared" si="20"/>
        <v>13725.78</v>
      </c>
      <c r="AB116" s="33" t="s">
        <v>15</v>
      </c>
      <c r="AC116" s="324"/>
      <c r="AD116" s="181">
        <f t="shared" si="17"/>
        <v>3</v>
      </c>
      <c r="AE116" s="181">
        <f t="shared" si="25"/>
        <v>13725.78</v>
      </c>
      <c r="AF116" s="181">
        <v>1.2</v>
      </c>
      <c r="AG116" s="181">
        <v>1.2</v>
      </c>
      <c r="AH116" s="363" t="str">
        <f t="shared" si="21"/>
        <v/>
      </c>
      <c r="AI116" s="194">
        <f>3</f>
        <v>3</v>
      </c>
      <c r="AJ116" s="188">
        <v>3</v>
      </c>
      <c r="AO116" s="367"/>
      <c r="AP116" s="367"/>
      <c r="AQ116" s="367"/>
    </row>
    <row r="117" spans="1:43" s="69" customFormat="1" ht="24.75" x14ac:dyDescent="0.3">
      <c r="A117" s="55" t="s">
        <v>333</v>
      </c>
      <c r="B117" s="53" t="s">
        <v>334</v>
      </c>
      <c r="C117" s="54" t="s">
        <v>81</v>
      </c>
      <c r="D117" s="75">
        <v>1</v>
      </c>
      <c r="E117" s="75"/>
      <c r="F117" s="75"/>
      <c r="G117" s="75"/>
      <c r="H117" s="75"/>
      <c r="I117" s="328"/>
      <c r="J117" s="75">
        <v>12634.43</v>
      </c>
      <c r="K117" s="75">
        <v>12634.43</v>
      </c>
      <c r="L117" s="91" t="s">
        <v>335</v>
      </c>
      <c r="M117" s="73"/>
      <c r="N117" s="46">
        <v>0</v>
      </c>
      <c r="O117" s="46">
        <v>0</v>
      </c>
      <c r="P117" s="46">
        <v>0</v>
      </c>
      <c r="Q117" s="98"/>
      <c r="R117" s="23" t="s">
        <v>1479</v>
      </c>
      <c r="S117" s="24" t="s">
        <v>334</v>
      </c>
      <c r="T117" s="25" t="s">
        <v>81</v>
      </c>
      <c r="U117" s="26">
        <v>1</v>
      </c>
      <c r="V117" s="26">
        <f t="shared" si="23"/>
        <v>1</v>
      </c>
      <c r="W117" s="26">
        <f t="shared" si="18"/>
        <v>12634.43</v>
      </c>
      <c r="X117" s="26">
        <f t="shared" si="22"/>
        <v>0</v>
      </c>
      <c r="Y117" s="26">
        <f t="shared" si="19"/>
        <v>0</v>
      </c>
      <c r="Z117" s="26">
        <f t="shared" si="24"/>
        <v>0</v>
      </c>
      <c r="AA117" s="26">
        <f t="shared" si="20"/>
        <v>0</v>
      </c>
      <c r="AB117" s="33" t="s">
        <v>15</v>
      </c>
      <c r="AC117" s="324"/>
      <c r="AD117" s="181">
        <f t="shared" si="17"/>
        <v>1</v>
      </c>
      <c r="AE117" s="181">
        <f t="shared" si="25"/>
        <v>12634.43</v>
      </c>
      <c r="AF117" s="181">
        <v>1.2</v>
      </c>
      <c r="AG117" s="181">
        <v>1.2</v>
      </c>
      <c r="AH117" s="363" t="str">
        <f t="shared" si="21"/>
        <v/>
      </c>
      <c r="AI117" s="190">
        <v>0</v>
      </c>
      <c r="AJ117" s="188">
        <v>1</v>
      </c>
      <c r="AO117" s="367"/>
      <c r="AP117" s="367"/>
      <c r="AQ117" s="367"/>
    </row>
    <row r="118" spans="1:43" s="69" customFormat="1" x14ac:dyDescent="0.3">
      <c r="A118" s="130" t="s">
        <v>336</v>
      </c>
      <c r="B118" s="131" t="s">
        <v>337</v>
      </c>
      <c r="C118" s="132" t="s">
        <v>338</v>
      </c>
      <c r="D118" s="133">
        <v>63.68</v>
      </c>
      <c r="E118" s="75"/>
      <c r="F118" s="75"/>
      <c r="G118" s="75"/>
      <c r="H118" s="75"/>
      <c r="I118" s="343">
        <v>73.459999999999994</v>
      </c>
      <c r="J118" s="75">
        <v>15300</v>
      </c>
      <c r="K118" s="75">
        <v>1123938</v>
      </c>
      <c r="L118" s="91" t="s">
        <v>339</v>
      </c>
      <c r="M118" s="73"/>
      <c r="N118" s="46">
        <v>63.35</v>
      </c>
      <c r="O118" s="46">
        <v>89505</v>
      </c>
      <c r="P118" s="46">
        <v>969255</v>
      </c>
      <c r="Q118" s="98"/>
      <c r="R118" s="23" t="s">
        <v>1480</v>
      </c>
      <c r="S118" s="24" t="s">
        <v>337</v>
      </c>
      <c r="T118" s="25" t="s">
        <v>338</v>
      </c>
      <c r="U118" s="26">
        <v>63.68</v>
      </c>
      <c r="V118" s="26">
        <f t="shared" si="23"/>
        <v>73.459999999999994</v>
      </c>
      <c r="W118" s="26">
        <f t="shared" si="18"/>
        <v>15300</v>
      </c>
      <c r="X118" s="243">
        <f t="shared" si="22"/>
        <v>10.110000000000007</v>
      </c>
      <c r="Y118" s="127">
        <f t="shared" si="19"/>
        <v>73.460000000000008</v>
      </c>
      <c r="Z118" s="127">
        <f t="shared" si="24"/>
        <v>154683</v>
      </c>
      <c r="AA118" s="127">
        <f t="shared" si="20"/>
        <v>1123938</v>
      </c>
      <c r="AB118" s="33" t="s">
        <v>15</v>
      </c>
      <c r="AC118" s="324"/>
      <c r="AD118" s="181">
        <f t="shared" si="17"/>
        <v>73.459999999999994</v>
      </c>
      <c r="AE118" s="181">
        <f t="shared" si="25"/>
        <v>1123938</v>
      </c>
      <c r="AF118" s="181">
        <v>1.2</v>
      </c>
      <c r="AG118" s="181">
        <v>1.2</v>
      </c>
      <c r="AH118" s="363" t="str">
        <f t="shared" si="21"/>
        <v/>
      </c>
      <c r="AI118" s="191">
        <f>35.7+21.8+5.85+10.11</f>
        <v>73.460000000000008</v>
      </c>
      <c r="AJ118" s="190">
        <v>73.459999999999994</v>
      </c>
      <c r="AO118" s="367"/>
      <c r="AP118" s="367"/>
      <c r="AQ118" s="367"/>
    </row>
    <row r="119" spans="1:43" s="69" customFormat="1" ht="24.75" x14ac:dyDescent="0.3">
      <c r="A119" s="55" t="s">
        <v>340</v>
      </c>
      <c r="B119" s="53" t="s">
        <v>341</v>
      </c>
      <c r="C119" s="54" t="s">
        <v>81</v>
      </c>
      <c r="D119" s="75">
        <v>62</v>
      </c>
      <c r="E119" s="75"/>
      <c r="F119" s="75"/>
      <c r="G119" s="75"/>
      <c r="H119" s="75"/>
      <c r="I119" s="75"/>
      <c r="J119" s="75">
        <v>4498.58</v>
      </c>
      <c r="K119" s="75">
        <v>278911.96000000002</v>
      </c>
      <c r="L119" s="91" t="s">
        <v>342</v>
      </c>
      <c r="M119" s="73"/>
      <c r="N119" s="46">
        <v>50</v>
      </c>
      <c r="O119" s="46">
        <v>44985.8</v>
      </c>
      <c r="P119" s="46">
        <v>224929</v>
      </c>
      <c r="Q119" s="98"/>
      <c r="R119" s="23" t="s">
        <v>1481</v>
      </c>
      <c r="S119" s="24" t="s">
        <v>341</v>
      </c>
      <c r="T119" s="25" t="s">
        <v>81</v>
      </c>
      <c r="U119" s="26">
        <v>62</v>
      </c>
      <c r="V119" s="26">
        <f t="shared" si="23"/>
        <v>62</v>
      </c>
      <c r="W119" s="26">
        <f t="shared" si="18"/>
        <v>4498.58</v>
      </c>
      <c r="X119" s="128">
        <f t="shared" si="22"/>
        <v>0</v>
      </c>
      <c r="Y119" s="26">
        <f t="shared" si="19"/>
        <v>50</v>
      </c>
      <c r="Z119" s="26">
        <f t="shared" si="24"/>
        <v>0</v>
      </c>
      <c r="AA119" s="26">
        <f t="shared" si="20"/>
        <v>224929</v>
      </c>
      <c r="AB119" s="33" t="s">
        <v>15</v>
      </c>
      <c r="AC119" s="324"/>
      <c r="AD119" s="181">
        <f t="shared" si="17"/>
        <v>62</v>
      </c>
      <c r="AE119" s="181">
        <f t="shared" si="25"/>
        <v>278911.96000000002</v>
      </c>
      <c r="AF119" s="181">
        <v>1.2</v>
      </c>
      <c r="AG119" s="181">
        <v>1.2</v>
      </c>
      <c r="AH119" s="363" t="str">
        <f t="shared" si="21"/>
        <v/>
      </c>
      <c r="AI119" s="194">
        <f>16+3+21+10</f>
        <v>50</v>
      </c>
      <c r="AJ119" s="188">
        <v>62</v>
      </c>
      <c r="AO119" s="367"/>
      <c r="AP119" s="367"/>
      <c r="AQ119" s="367"/>
    </row>
    <row r="120" spans="1:43" s="69" customFormat="1" ht="24.75" x14ac:dyDescent="0.3">
      <c r="A120" s="55" t="s">
        <v>343</v>
      </c>
      <c r="B120" s="53" t="s">
        <v>344</v>
      </c>
      <c r="C120" s="54" t="s">
        <v>81</v>
      </c>
      <c r="D120" s="75">
        <v>15</v>
      </c>
      <c r="E120" s="75"/>
      <c r="F120" s="75"/>
      <c r="G120" s="75"/>
      <c r="H120" s="75"/>
      <c r="I120" s="75"/>
      <c r="J120" s="75">
        <v>3353.68</v>
      </c>
      <c r="K120" s="75">
        <v>50305.2</v>
      </c>
      <c r="L120" s="91" t="s">
        <v>345</v>
      </c>
      <c r="M120" s="73"/>
      <c r="N120" s="46">
        <v>12</v>
      </c>
      <c r="O120" s="46">
        <v>0</v>
      </c>
      <c r="P120" s="46">
        <v>40244.160000000003</v>
      </c>
      <c r="Q120" s="98"/>
      <c r="R120" s="23" t="s">
        <v>1482</v>
      </c>
      <c r="S120" s="24" t="s">
        <v>344</v>
      </c>
      <c r="T120" s="25" t="s">
        <v>81</v>
      </c>
      <c r="U120" s="26">
        <v>15</v>
      </c>
      <c r="V120" s="26">
        <f t="shared" si="23"/>
        <v>15</v>
      </c>
      <c r="W120" s="26">
        <f t="shared" si="18"/>
        <v>3353.68</v>
      </c>
      <c r="X120" s="243">
        <f t="shared" si="22"/>
        <v>3</v>
      </c>
      <c r="Y120" s="127">
        <f t="shared" si="19"/>
        <v>15</v>
      </c>
      <c r="Z120" s="127">
        <f t="shared" si="24"/>
        <v>10061.039999999994</v>
      </c>
      <c r="AA120" s="127">
        <f t="shared" si="20"/>
        <v>50305.2</v>
      </c>
      <c r="AB120" s="33" t="s">
        <v>15</v>
      </c>
      <c r="AC120" s="324"/>
      <c r="AD120" s="181">
        <f t="shared" si="17"/>
        <v>15</v>
      </c>
      <c r="AE120" s="181">
        <f t="shared" si="25"/>
        <v>50305.2</v>
      </c>
      <c r="AF120" s="181">
        <v>1.2</v>
      </c>
      <c r="AG120" s="181">
        <v>1.2</v>
      </c>
      <c r="AH120" s="363" t="str">
        <f t="shared" si="21"/>
        <v/>
      </c>
      <c r="AI120" s="191">
        <f>2+6+4+3</f>
        <v>15</v>
      </c>
      <c r="AJ120" s="188">
        <v>15</v>
      </c>
      <c r="AO120" s="367"/>
      <c r="AP120" s="367"/>
      <c r="AQ120" s="367"/>
    </row>
    <row r="121" spans="1:43" s="69" customFormat="1" ht="24.75" x14ac:dyDescent="0.3">
      <c r="A121" s="55" t="s">
        <v>346</v>
      </c>
      <c r="B121" s="53" t="s">
        <v>347</v>
      </c>
      <c r="C121" s="54" t="s">
        <v>30</v>
      </c>
      <c r="D121" s="75">
        <v>13</v>
      </c>
      <c r="E121" s="75"/>
      <c r="F121" s="75"/>
      <c r="G121" s="75"/>
      <c r="H121" s="75"/>
      <c r="I121" s="75"/>
      <c r="J121" s="75">
        <v>9874.4</v>
      </c>
      <c r="K121" s="75">
        <v>128367.2</v>
      </c>
      <c r="L121" s="91" t="s">
        <v>348</v>
      </c>
      <c r="M121" s="73"/>
      <c r="N121" s="46">
        <v>7</v>
      </c>
      <c r="O121" s="46">
        <v>0</v>
      </c>
      <c r="P121" s="46">
        <v>69120.800000000003</v>
      </c>
      <c r="Q121" s="98"/>
      <c r="R121" s="23" t="s">
        <v>1483</v>
      </c>
      <c r="S121" s="24" t="s">
        <v>347</v>
      </c>
      <c r="T121" s="25" t="s">
        <v>30</v>
      </c>
      <c r="U121" s="26">
        <v>13</v>
      </c>
      <c r="V121" s="26">
        <f t="shared" si="23"/>
        <v>13</v>
      </c>
      <c r="W121" s="26">
        <f t="shared" si="18"/>
        <v>9874.4</v>
      </c>
      <c r="X121" s="128">
        <f t="shared" si="22"/>
        <v>0</v>
      </c>
      <c r="Y121" s="26">
        <f t="shared" si="19"/>
        <v>7</v>
      </c>
      <c r="Z121" s="26">
        <f t="shared" si="24"/>
        <v>0</v>
      </c>
      <c r="AA121" s="26">
        <f t="shared" si="20"/>
        <v>69120.800000000003</v>
      </c>
      <c r="AB121" s="33" t="s">
        <v>15</v>
      </c>
      <c r="AC121" s="324"/>
      <c r="AD121" s="181">
        <f t="shared" si="17"/>
        <v>13</v>
      </c>
      <c r="AE121" s="181">
        <f t="shared" si="25"/>
        <v>128367.2</v>
      </c>
      <c r="AF121" s="181">
        <v>1.2</v>
      </c>
      <c r="AG121" s="181">
        <v>1.2</v>
      </c>
      <c r="AH121" s="363" t="str">
        <f t="shared" si="21"/>
        <v/>
      </c>
      <c r="AI121" s="194">
        <f>7</f>
        <v>7</v>
      </c>
      <c r="AJ121" s="188">
        <v>13</v>
      </c>
      <c r="AO121" s="367"/>
      <c r="AP121" s="367"/>
      <c r="AQ121" s="367"/>
    </row>
    <row r="122" spans="1:43" s="69" customFormat="1" ht="24.75" x14ac:dyDescent="0.3">
      <c r="A122" s="55" t="s">
        <v>349</v>
      </c>
      <c r="B122" s="53" t="s">
        <v>350</v>
      </c>
      <c r="C122" s="54" t="s">
        <v>30</v>
      </c>
      <c r="D122" s="75">
        <v>41.7</v>
      </c>
      <c r="E122" s="75"/>
      <c r="F122" s="75"/>
      <c r="G122" s="75"/>
      <c r="H122" s="75"/>
      <c r="I122" s="75"/>
      <c r="J122" s="75">
        <v>6554.37</v>
      </c>
      <c r="K122" s="75">
        <v>273317.23</v>
      </c>
      <c r="L122" s="91" t="s">
        <v>351</v>
      </c>
      <c r="M122" s="73"/>
      <c r="N122" s="46">
        <v>8.6</v>
      </c>
      <c r="O122" s="46">
        <v>0</v>
      </c>
      <c r="P122" s="46">
        <v>56367.58</v>
      </c>
      <c r="Q122" s="98"/>
      <c r="R122" s="23" t="s">
        <v>1484</v>
      </c>
      <c r="S122" s="24" t="s">
        <v>350</v>
      </c>
      <c r="T122" s="25" t="s">
        <v>30</v>
      </c>
      <c r="U122" s="26">
        <v>41.7</v>
      </c>
      <c r="V122" s="26">
        <f t="shared" si="23"/>
        <v>41.7</v>
      </c>
      <c r="W122" s="26">
        <f t="shared" si="18"/>
        <v>6554.37</v>
      </c>
      <c r="X122" s="128">
        <f t="shared" si="22"/>
        <v>0</v>
      </c>
      <c r="Y122" s="26">
        <f t="shared" si="19"/>
        <v>8.6</v>
      </c>
      <c r="Z122" s="26">
        <f t="shared" si="24"/>
        <v>0</v>
      </c>
      <c r="AA122" s="26">
        <f t="shared" si="20"/>
        <v>56367.58</v>
      </c>
      <c r="AB122" s="33" t="s">
        <v>15</v>
      </c>
      <c r="AC122" s="324"/>
      <c r="AD122" s="181">
        <f t="shared" si="17"/>
        <v>41.7</v>
      </c>
      <c r="AE122" s="181">
        <f t="shared" si="25"/>
        <v>273317.23</v>
      </c>
      <c r="AF122" s="181">
        <v>1.2</v>
      </c>
      <c r="AG122" s="181">
        <v>1.2</v>
      </c>
      <c r="AH122" s="363" t="str">
        <f t="shared" si="21"/>
        <v/>
      </c>
      <c r="AI122" s="194">
        <f>8.6</f>
        <v>8.6</v>
      </c>
      <c r="AJ122" s="188">
        <v>41.7</v>
      </c>
      <c r="AO122" s="367"/>
      <c r="AP122" s="367"/>
      <c r="AQ122" s="367"/>
    </row>
    <row r="123" spans="1:43" s="69" customFormat="1" ht="24.75" x14ac:dyDescent="0.3">
      <c r="A123" s="55" t="s">
        <v>352</v>
      </c>
      <c r="B123" s="53" t="s">
        <v>353</v>
      </c>
      <c r="C123" s="54" t="s">
        <v>30</v>
      </c>
      <c r="D123" s="75">
        <v>1.3</v>
      </c>
      <c r="E123" s="75"/>
      <c r="F123" s="75"/>
      <c r="G123" s="75"/>
      <c r="H123" s="75"/>
      <c r="I123" s="75"/>
      <c r="J123" s="75">
        <v>8390.73</v>
      </c>
      <c r="K123" s="75">
        <v>10907.95</v>
      </c>
      <c r="L123" s="91" t="s">
        <v>354</v>
      </c>
      <c r="M123" s="73"/>
      <c r="N123" s="46">
        <v>0</v>
      </c>
      <c r="O123" s="46">
        <v>0</v>
      </c>
      <c r="P123" s="46">
        <v>0</v>
      </c>
      <c r="Q123" s="98"/>
      <c r="R123" s="23" t="s">
        <v>1485</v>
      </c>
      <c r="S123" s="24" t="s">
        <v>353</v>
      </c>
      <c r="T123" s="25" t="s">
        <v>30</v>
      </c>
      <c r="U123" s="26">
        <v>1.3</v>
      </c>
      <c r="V123" s="26">
        <f t="shared" si="23"/>
        <v>1.3</v>
      </c>
      <c r="W123" s="26">
        <f t="shared" si="18"/>
        <v>8390.73</v>
      </c>
      <c r="X123" s="26">
        <f t="shared" si="22"/>
        <v>0</v>
      </c>
      <c r="Y123" s="26">
        <f t="shared" si="19"/>
        <v>0</v>
      </c>
      <c r="Z123" s="26">
        <f t="shared" si="24"/>
        <v>0</v>
      </c>
      <c r="AA123" s="26">
        <f t="shared" si="20"/>
        <v>0</v>
      </c>
      <c r="AB123" s="33" t="s">
        <v>15</v>
      </c>
      <c r="AC123" s="324"/>
      <c r="AD123" s="181">
        <f t="shared" si="17"/>
        <v>1.3</v>
      </c>
      <c r="AE123" s="181">
        <f t="shared" si="25"/>
        <v>10907.95</v>
      </c>
      <c r="AF123" s="181">
        <v>1.2</v>
      </c>
      <c r="AG123" s="181">
        <v>1.2</v>
      </c>
      <c r="AH123" s="363" t="str">
        <f t="shared" si="21"/>
        <v/>
      </c>
      <c r="AI123" s="190">
        <v>0</v>
      </c>
      <c r="AJ123" s="188">
        <v>1.3</v>
      </c>
      <c r="AO123" s="367"/>
      <c r="AP123" s="367"/>
      <c r="AQ123" s="367"/>
    </row>
    <row r="124" spans="1:43" s="69" customFormat="1" ht="39" x14ac:dyDescent="0.3">
      <c r="A124" s="55" t="s">
        <v>355</v>
      </c>
      <c r="B124" s="53" t="s">
        <v>356</v>
      </c>
      <c r="C124" s="54" t="s">
        <v>30</v>
      </c>
      <c r="D124" s="75">
        <v>122.3</v>
      </c>
      <c r="E124" s="75"/>
      <c r="F124" s="75"/>
      <c r="G124" s="75"/>
      <c r="H124" s="75"/>
      <c r="I124" s="75"/>
      <c r="J124" s="75">
        <v>671.99</v>
      </c>
      <c r="K124" s="75">
        <v>82184.38</v>
      </c>
      <c r="L124" s="91" t="s">
        <v>357</v>
      </c>
      <c r="M124" s="73"/>
      <c r="N124" s="46">
        <v>60</v>
      </c>
      <c r="O124" s="46">
        <v>40319.4</v>
      </c>
      <c r="P124" s="46">
        <v>40319.4</v>
      </c>
      <c r="Q124" s="98"/>
      <c r="R124" s="23" t="s">
        <v>1486</v>
      </c>
      <c r="S124" s="24" t="s">
        <v>356</v>
      </c>
      <c r="T124" s="25" t="s">
        <v>30</v>
      </c>
      <c r="U124" s="26">
        <v>122.3</v>
      </c>
      <c r="V124" s="26">
        <f t="shared" si="23"/>
        <v>122.3</v>
      </c>
      <c r="W124" s="26">
        <f t="shared" si="18"/>
        <v>671.99</v>
      </c>
      <c r="X124" s="243">
        <f t="shared" si="22"/>
        <v>0</v>
      </c>
      <c r="Y124" s="26">
        <f t="shared" si="19"/>
        <v>60</v>
      </c>
      <c r="Z124" s="26">
        <f t="shared" si="24"/>
        <v>0</v>
      </c>
      <c r="AA124" s="26">
        <f t="shared" si="20"/>
        <v>40319.4</v>
      </c>
      <c r="AB124" s="33" t="s">
        <v>15</v>
      </c>
      <c r="AC124" s="324"/>
      <c r="AD124" s="181">
        <f t="shared" si="17"/>
        <v>122.3</v>
      </c>
      <c r="AE124" s="181">
        <f t="shared" si="25"/>
        <v>82184.38</v>
      </c>
      <c r="AF124" s="181">
        <v>1.2</v>
      </c>
      <c r="AG124" s="181">
        <v>1.2</v>
      </c>
      <c r="AH124" s="363" t="str">
        <f t="shared" si="21"/>
        <v/>
      </c>
      <c r="AI124" s="191">
        <f>60</f>
        <v>60</v>
      </c>
      <c r="AJ124" s="188">
        <v>122.3</v>
      </c>
      <c r="AO124" s="367"/>
      <c r="AP124" s="367"/>
      <c r="AQ124" s="367"/>
    </row>
    <row r="125" spans="1:43" s="69" customFormat="1" ht="39" x14ac:dyDescent="0.3">
      <c r="A125" s="55" t="s">
        <v>358</v>
      </c>
      <c r="B125" s="53" t="s">
        <v>359</v>
      </c>
      <c r="C125" s="54" t="s">
        <v>30</v>
      </c>
      <c r="D125" s="75">
        <v>101.01</v>
      </c>
      <c r="E125" s="75"/>
      <c r="F125" s="75"/>
      <c r="G125" s="75"/>
      <c r="H125" s="75"/>
      <c r="I125" s="75"/>
      <c r="J125" s="75">
        <v>935.67</v>
      </c>
      <c r="K125" s="75">
        <v>94512.03</v>
      </c>
      <c r="L125" s="91" t="s">
        <v>360</v>
      </c>
      <c r="M125" s="73"/>
      <c r="N125" s="46">
        <v>55</v>
      </c>
      <c r="O125" s="46">
        <v>51461.85</v>
      </c>
      <c r="P125" s="46">
        <v>51461.85</v>
      </c>
      <c r="Q125" s="98"/>
      <c r="R125" s="23" t="s">
        <v>1487</v>
      </c>
      <c r="S125" s="24" t="s">
        <v>359</v>
      </c>
      <c r="T125" s="25" t="s">
        <v>30</v>
      </c>
      <c r="U125" s="26">
        <v>101.01</v>
      </c>
      <c r="V125" s="26">
        <f t="shared" si="23"/>
        <v>101.01</v>
      </c>
      <c r="W125" s="26">
        <f t="shared" si="18"/>
        <v>935.67</v>
      </c>
      <c r="X125" s="243">
        <f t="shared" si="22"/>
        <v>0</v>
      </c>
      <c r="Y125" s="26">
        <f t="shared" si="19"/>
        <v>55</v>
      </c>
      <c r="Z125" s="26">
        <f t="shared" si="24"/>
        <v>0</v>
      </c>
      <c r="AA125" s="26">
        <f t="shared" si="20"/>
        <v>51461.85</v>
      </c>
      <c r="AB125" s="33" t="s">
        <v>15</v>
      </c>
      <c r="AC125" s="324"/>
      <c r="AD125" s="181">
        <f t="shared" si="17"/>
        <v>101.01</v>
      </c>
      <c r="AE125" s="181">
        <f t="shared" si="25"/>
        <v>94512.03</v>
      </c>
      <c r="AF125" s="181">
        <v>1.2</v>
      </c>
      <c r="AG125" s="181">
        <v>1.2</v>
      </c>
      <c r="AH125" s="363" t="str">
        <f t="shared" si="21"/>
        <v/>
      </c>
      <c r="AI125" s="191">
        <f>55</f>
        <v>55</v>
      </c>
      <c r="AJ125" s="188">
        <v>101.01</v>
      </c>
      <c r="AO125" s="367"/>
      <c r="AP125" s="367"/>
      <c r="AQ125" s="367"/>
    </row>
    <row r="126" spans="1:43" s="69" customFormat="1" ht="24.75" x14ac:dyDescent="0.3">
      <c r="A126" s="55" t="s">
        <v>361</v>
      </c>
      <c r="B126" s="211" t="s">
        <v>362</v>
      </c>
      <c r="C126" s="54" t="s">
        <v>30</v>
      </c>
      <c r="D126" s="75">
        <v>489</v>
      </c>
      <c r="E126" s="75"/>
      <c r="F126" s="75"/>
      <c r="G126" s="75"/>
      <c r="H126" s="75"/>
      <c r="I126" s="75"/>
      <c r="J126" s="75">
        <v>658.31</v>
      </c>
      <c r="K126" s="75">
        <v>321913.59000000003</v>
      </c>
      <c r="L126" s="91" t="s">
        <v>363</v>
      </c>
      <c r="M126" s="73"/>
      <c r="N126" s="46">
        <v>377.7</v>
      </c>
      <c r="O126" s="46">
        <v>0</v>
      </c>
      <c r="P126" s="46">
        <v>248643.69</v>
      </c>
      <c r="Q126" s="98"/>
      <c r="R126" s="23" t="s">
        <v>1488</v>
      </c>
      <c r="S126" s="24" t="s">
        <v>362</v>
      </c>
      <c r="T126" s="25" t="s">
        <v>30</v>
      </c>
      <c r="U126" s="26">
        <v>489</v>
      </c>
      <c r="V126" s="26">
        <f t="shared" si="23"/>
        <v>489</v>
      </c>
      <c r="W126" s="26">
        <f t="shared" si="18"/>
        <v>658.31</v>
      </c>
      <c r="X126" s="243">
        <f t="shared" si="22"/>
        <v>81</v>
      </c>
      <c r="Y126" s="26">
        <f t="shared" si="19"/>
        <v>458.7</v>
      </c>
      <c r="Z126" s="26">
        <f t="shared" si="24"/>
        <v>53323.109999999986</v>
      </c>
      <c r="AA126" s="26">
        <f t="shared" si="20"/>
        <v>301966.8</v>
      </c>
      <c r="AB126" s="33" t="s">
        <v>15</v>
      </c>
      <c r="AC126" s="324"/>
      <c r="AD126" s="181">
        <f t="shared" si="17"/>
        <v>489</v>
      </c>
      <c r="AE126" s="181">
        <f t="shared" si="25"/>
        <v>321913.59000000003</v>
      </c>
      <c r="AF126" s="181">
        <v>1.2</v>
      </c>
      <c r="AG126" s="181">
        <v>1.2</v>
      </c>
      <c r="AH126" s="363" t="str">
        <f t="shared" si="21"/>
        <v/>
      </c>
      <c r="AI126" s="191">
        <f>277.7+100+81</f>
        <v>458.7</v>
      </c>
      <c r="AJ126" s="188">
        <v>489</v>
      </c>
      <c r="AO126" s="367"/>
      <c r="AP126" s="367"/>
      <c r="AQ126" s="367"/>
    </row>
    <row r="127" spans="1:43" s="69" customFormat="1" ht="24.75" x14ac:dyDescent="0.3">
      <c r="A127" s="55" t="s">
        <v>364</v>
      </c>
      <c r="B127" s="211" t="s">
        <v>3111</v>
      </c>
      <c r="C127" s="54" t="s">
        <v>30</v>
      </c>
      <c r="D127" s="75">
        <v>216</v>
      </c>
      <c r="E127" s="75"/>
      <c r="F127" s="75"/>
      <c r="G127" s="75"/>
      <c r="H127" s="75"/>
      <c r="I127" s="75"/>
      <c r="J127" s="75">
        <v>730.41</v>
      </c>
      <c r="K127" s="75">
        <v>157768.56</v>
      </c>
      <c r="L127" s="91" t="s">
        <v>366</v>
      </c>
      <c r="M127" s="73"/>
      <c r="N127" s="46">
        <v>180</v>
      </c>
      <c r="O127" s="46">
        <v>0</v>
      </c>
      <c r="P127" s="46">
        <v>131473.79999999999</v>
      </c>
      <c r="Q127" s="98"/>
      <c r="R127" s="23" t="s">
        <v>1489</v>
      </c>
      <c r="S127" s="24" t="s">
        <v>365</v>
      </c>
      <c r="T127" s="25" t="s">
        <v>30</v>
      </c>
      <c r="U127" s="26">
        <v>216</v>
      </c>
      <c r="V127" s="26">
        <f t="shared" si="23"/>
        <v>216</v>
      </c>
      <c r="W127" s="26">
        <f t="shared" si="18"/>
        <v>730.41</v>
      </c>
      <c r="X127" s="243">
        <f t="shared" si="22"/>
        <v>0</v>
      </c>
      <c r="Y127" s="26">
        <f t="shared" si="19"/>
        <v>180</v>
      </c>
      <c r="Z127" s="26">
        <f t="shared" si="24"/>
        <v>0</v>
      </c>
      <c r="AA127" s="26">
        <f t="shared" si="20"/>
        <v>131473.79999999999</v>
      </c>
      <c r="AB127" s="33" t="s">
        <v>15</v>
      </c>
      <c r="AC127" s="324"/>
      <c r="AD127" s="181">
        <f t="shared" si="17"/>
        <v>216</v>
      </c>
      <c r="AE127" s="181">
        <f t="shared" si="25"/>
        <v>157768.56</v>
      </c>
      <c r="AF127" s="181">
        <v>1.2</v>
      </c>
      <c r="AG127" s="181">
        <v>1.2</v>
      </c>
      <c r="AH127" s="363" t="str">
        <f t="shared" si="21"/>
        <v/>
      </c>
      <c r="AI127" s="191">
        <f>120+60</f>
        <v>180</v>
      </c>
      <c r="AJ127" s="188">
        <v>216</v>
      </c>
      <c r="AO127" s="367"/>
      <c r="AP127" s="367"/>
      <c r="AQ127" s="367"/>
    </row>
    <row r="128" spans="1:43" s="69" customFormat="1" ht="39" x14ac:dyDescent="0.3">
      <c r="A128" s="130" t="s">
        <v>367</v>
      </c>
      <c r="B128" s="131" t="s">
        <v>368</v>
      </c>
      <c r="C128" s="132" t="s">
        <v>30</v>
      </c>
      <c r="D128" s="133">
        <v>45.16</v>
      </c>
      <c r="E128" s="75"/>
      <c r="F128" s="75"/>
      <c r="G128" s="75"/>
      <c r="H128" s="75"/>
      <c r="I128" s="75"/>
      <c r="J128" s="75">
        <v>406.4</v>
      </c>
      <c r="K128" s="75">
        <v>18353.02</v>
      </c>
      <c r="L128" s="91" t="s">
        <v>369</v>
      </c>
      <c r="M128" s="73"/>
      <c r="N128" s="46">
        <v>45.1</v>
      </c>
      <c r="O128" s="46">
        <v>0</v>
      </c>
      <c r="P128" s="46">
        <v>18328.64</v>
      </c>
      <c r="Q128" s="98"/>
      <c r="R128" s="23" t="s">
        <v>1398</v>
      </c>
      <c r="S128" s="24" t="s">
        <v>368</v>
      </c>
      <c r="T128" s="25" t="s">
        <v>30</v>
      </c>
      <c r="U128" s="26">
        <v>45.16</v>
      </c>
      <c r="V128" s="26">
        <f t="shared" si="23"/>
        <v>45.16</v>
      </c>
      <c r="W128" s="26">
        <f t="shared" si="18"/>
        <v>406.4</v>
      </c>
      <c r="X128" s="127">
        <f t="shared" si="22"/>
        <v>0</v>
      </c>
      <c r="Y128" s="127">
        <f t="shared" si="19"/>
        <v>45.1</v>
      </c>
      <c r="Z128" s="127">
        <f t="shared" si="24"/>
        <v>0</v>
      </c>
      <c r="AA128" s="127">
        <f t="shared" si="20"/>
        <v>18328.64</v>
      </c>
      <c r="AB128" s="33" t="s">
        <v>15</v>
      </c>
      <c r="AC128" s="324"/>
      <c r="AD128" s="181">
        <f t="shared" si="17"/>
        <v>45.16</v>
      </c>
      <c r="AE128" s="181">
        <f t="shared" si="25"/>
        <v>18353.02</v>
      </c>
      <c r="AF128" s="181">
        <v>1.2</v>
      </c>
      <c r="AG128" s="181">
        <v>1.2</v>
      </c>
      <c r="AH128" s="363" t="str">
        <f t="shared" si="21"/>
        <v/>
      </c>
      <c r="AI128" s="194">
        <f>45.1</f>
        <v>45.1</v>
      </c>
      <c r="AJ128" s="188">
        <v>45.16</v>
      </c>
      <c r="AO128" s="367"/>
      <c r="AP128" s="367"/>
      <c r="AQ128" s="367"/>
    </row>
    <row r="129" spans="1:43" s="69" customFormat="1" ht="39" x14ac:dyDescent="0.3">
      <c r="A129" s="55" t="s">
        <v>370</v>
      </c>
      <c r="B129" s="211" t="s">
        <v>371</v>
      </c>
      <c r="C129" s="54" t="s">
        <v>30</v>
      </c>
      <c r="D129" s="75">
        <v>116.8</v>
      </c>
      <c r="E129" s="75"/>
      <c r="F129" s="75"/>
      <c r="G129" s="75"/>
      <c r="H129" s="75"/>
      <c r="I129" s="75"/>
      <c r="J129" s="75">
        <v>457.9</v>
      </c>
      <c r="K129" s="75">
        <v>53482.720000000001</v>
      </c>
      <c r="L129" s="91" t="s">
        <v>372</v>
      </c>
      <c r="M129" s="73"/>
      <c r="N129" s="46">
        <v>83.2</v>
      </c>
      <c r="O129" s="46">
        <v>0</v>
      </c>
      <c r="P129" s="46">
        <v>38097.279999999999</v>
      </c>
      <c r="Q129" s="98"/>
      <c r="R129" s="23" t="s">
        <v>1399</v>
      </c>
      <c r="S129" s="24" t="s">
        <v>371</v>
      </c>
      <c r="T129" s="25" t="s">
        <v>30</v>
      </c>
      <c r="U129" s="26">
        <v>116.8</v>
      </c>
      <c r="V129" s="26">
        <f t="shared" si="23"/>
        <v>116.8</v>
      </c>
      <c r="W129" s="26">
        <f t="shared" si="18"/>
        <v>457.9</v>
      </c>
      <c r="X129" s="243">
        <f t="shared" si="22"/>
        <v>0</v>
      </c>
      <c r="Y129" s="26">
        <f t="shared" si="19"/>
        <v>83.2</v>
      </c>
      <c r="Z129" s="26">
        <f t="shared" si="24"/>
        <v>0</v>
      </c>
      <c r="AA129" s="26">
        <f t="shared" si="20"/>
        <v>38097.279999999999</v>
      </c>
      <c r="AB129" s="33" t="s">
        <v>15</v>
      </c>
      <c r="AC129" s="324"/>
      <c r="AD129" s="181">
        <f t="shared" si="17"/>
        <v>116.8</v>
      </c>
      <c r="AE129" s="181">
        <f t="shared" si="25"/>
        <v>53482.720000000001</v>
      </c>
      <c r="AF129" s="181">
        <v>1.2</v>
      </c>
      <c r="AG129" s="181">
        <v>1.2</v>
      </c>
      <c r="AH129" s="363" t="str">
        <f t="shared" si="21"/>
        <v/>
      </c>
      <c r="AI129" s="191">
        <f>52+31.2</f>
        <v>83.2</v>
      </c>
      <c r="AJ129" s="188">
        <v>116.8</v>
      </c>
      <c r="AO129" s="367"/>
      <c r="AP129" s="367"/>
      <c r="AQ129" s="367"/>
    </row>
    <row r="130" spans="1:43" s="69" customFormat="1" ht="39" x14ac:dyDescent="0.3">
      <c r="A130" s="130" t="s">
        <v>373</v>
      </c>
      <c r="B130" s="131" t="s">
        <v>374</v>
      </c>
      <c r="C130" s="132" t="s">
        <v>30</v>
      </c>
      <c r="D130" s="133">
        <v>25.8</v>
      </c>
      <c r="E130" s="75"/>
      <c r="F130" s="75"/>
      <c r="G130" s="75"/>
      <c r="H130" s="75"/>
      <c r="I130" s="75"/>
      <c r="J130" s="75">
        <v>499.1</v>
      </c>
      <c r="K130" s="75">
        <v>12876.78</v>
      </c>
      <c r="L130" s="91" t="s">
        <v>375</v>
      </c>
      <c r="M130" s="73"/>
      <c r="N130" s="46">
        <v>21</v>
      </c>
      <c r="O130" s="46">
        <v>0</v>
      </c>
      <c r="P130" s="46">
        <v>10481.1</v>
      </c>
      <c r="Q130" s="98"/>
      <c r="R130" s="23" t="s">
        <v>1490</v>
      </c>
      <c r="S130" s="24" t="s">
        <v>374</v>
      </c>
      <c r="T130" s="25" t="s">
        <v>30</v>
      </c>
      <c r="U130" s="26">
        <v>25.8</v>
      </c>
      <c r="V130" s="26">
        <f t="shared" si="23"/>
        <v>25.8</v>
      </c>
      <c r="W130" s="26">
        <f t="shared" si="18"/>
        <v>499.1</v>
      </c>
      <c r="X130" s="209">
        <f t="shared" si="22"/>
        <v>0</v>
      </c>
      <c r="Y130" s="127">
        <f t="shared" si="19"/>
        <v>21</v>
      </c>
      <c r="Z130" s="127">
        <f t="shared" si="24"/>
        <v>0</v>
      </c>
      <c r="AA130" s="127">
        <f t="shared" si="20"/>
        <v>10481.1</v>
      </c>
      <c r="AB130" s="33" t="s">
        <v>15</v>
      </c>
      <c r="AC130" s="324"/>
      <c r="AD130" s="181">
        <f t="shared" si="17"/>
        <v>25.8</v>
      </c>
      <c r="AE130" s="181">
        <f t="shared" si="25"/>
        <v>12876.78</v>
      </c>
      <c r="AF130" s="181">
        <v>1.2</v>
      </c>
      <c r="AG130" s="181">
        <v>1.2</v>
      </c>
      <c r="AH130" s="363" t="str">
        <f t="shared" si="21"/>
        <v/>
      </c>
      <c r="AI130" s="191">
        <f>21</f>
        <v>21</v>
      </c>
      <c r="AJ130" s="188">
        <v>25.8</v>
      </c>
      <c r="AO130" s="367"/>
      <c r="AP130" s="367"/>
      <c r="AQ130" s="367"/>
    </row>
    <row r="131" spans="1:43" s="69" customFormat="1" ht="39" x14ac:dyDescent="0.3">
      <c r="A131" s="55" t="s">
        <v>376</v>
      </c>
      <c r="B131" s="53" t="s">
        <v>377</v>
      </c>
      <c r="C131" s="54" t="s">
        <v>30</v>
      </c>
      <c r="D131" s="75">
        <v>53.89</v>
      </c>
      <c r="E131" s="75"/>
      <c r="F131" s="75"/>
      <c r="G131" s="75"/>
      <c r="H131" s="75"/>
      <c r="I131" s="75"/>
      <c r="J131" s="75">
        <v>545.85</v>
      </c>
      <c r="K131" s="75">
        <v>29415.86</v>
      </c>
      <c r="L131" s="91" t="s">
        <v>378</v>
      </c>
      <c r="M131" s="73"/>
      <c r="N131" s="46">
        <v>40</v>
      </c>
      <c r="O131" s="46">
        <v>0</v>
      </c>
      <c r="P131" s="46">
        <v>21834</v>
      </c>
      <c r="Q131" s="98"/>
      <c r="R131" s="23" t="s">
        <v>1491</v>
      </c>
      <c r="S131" s="24" t="s">
        <v>377</v>
      </c>
      <c r="T131" s="25" t="s">
        <v>30</v>
      </c>
      <c r="U131" s="26">
        <v>53.89</v>
      </c>
      <c r="V131" s="26">
        <f t="shared" si="23"/>
        <v>53.89</v>
      </c>
      <c r="W131" s="26">
        <f t="shared" si="18"/>
        <v>545.85</v>
      </c>
      <c r="X131" s="199">
        <f t="shared" si="22"/>
        <v>0</v>
      </c>
      <c r="Y131" s="26">
        <f t="shared" si="19"/>
        <v>40</v>
      </c>
      <c r="Z131" s="26">
        <f t="shared" si="24"/>
        <v>0</v>
      </c>
      <c r="AA131" s="26">
        <f t="shared" si="20"/>
        <v>21834</v>
      </c>
      <c r="AB131" s="33" t="s">
        <v>15</v>
      </c>
      <c r="AC131" s="324"/>
      <c r="AD131" s="181">
        <f t="shared" si="17"/>
        <v>53.89</v>
      </c>
      <c r="AE131" s="181">
        <f t="shared" si="25"/>
        <v>29415.86</v>
      </c>
      <c r="AF131" s="181">
        <v>1.2</v>
      </c>
      <c r="AG131" s="181">
        <v>1.2</v>
      </c>
      <c r="AH131" s="363" t="str">
        <f t="shared" si="21"/>
        <v/>
      </c>
      <c r="AI131" s="191">
        <f>40</f>
        <v>40</v>
      </c>
      <c r="AJ131" s="188">
        <v>53.89</v>
      </c>
      <c r="AO131" s="367"/>
      <c r="AP131" s="367"/>
      <c r="AQ131" s="367"/>
    </row>
    <row r="132" spans="1:43" s="69" customFormat="1" ht="39" x14ac:dyDescent="0.3">
      <c r="A132" s="130" t="s">
        <v>379</v>
      </c>
      <c r="B132" s="131" t="s">
        <v>3156</v>
      </c>
      <c r="C132" s="132" t="s">
        <v>30</v>
      </c>
      <c r="D132" s="133">
        <v>21</v>
      </c>
      <c r="E132" s="75"/>
      <c r="F132" s="75"/>
      <c r="G132" s="75"/>
      <c r="H132" s="75"/>
      <c r="I132" s="75"/>
      <c r="J132" s="75">
        <v>644.09</v>
      </c>
      <c r="K132" s="75">
        <v>13525.89</v>
      </c>
      <c r="L132" s="91" t="s">
        <v>381</v>
      </c>
      <c r="M132" s="73"/>
      <c r="N132" s="46">
        <v>19</v>
      </c>
      <c r="O132" s="46">
        <v>0</v>
      </c>
      <c r="P132" s="46">
        <v>12237.71</v>
      </c>
      <c r="Q132" s="98"/>
      <c r="R132" s="23" t="s">
        <v>1492</v>
      </c>
      <c r="S132" s="24" t="s">
        <v>380</v>
      </c>
      <c r="T132" s="25" t="s">
        <v>30</v>
      </c>
      <c r="U132" s="26">
        <v>21</v>
      </c>
      <c r="V132" s="26">
        <f t="shared" si="23"/>
        <v>21</v>
      </c>
      <c r="W132" s="26">
        <f t="shared" si="18"/>
        <v>644.09</v>
      </c>
      <c r="X132" s="209">
        <f t="shared" si="22"/>
        <v>0</v>
      </c>
      <c r="Y132" s="127">
        <f t="shared" si="19"/>
        <v>19</v>
      </c>
      <c r="Z132" s="127">
        <f t="shared" si="24"/>
        <v>0</v>
      </c>
      <c r="AA132" s="127">
        <f t="shared" si="20"/>
        <v>12237.71</v>
      </c>
      <c r="AB132" s="33" t="s">
        <v>15</v>
      </c>
      <c r="AC132" s="324"/>
      <c r="AD132" s="181">
        <f t="shared" si="17"/>
        <v>21</v>
      </c>
      <c r="AE132" s="181">
        <f t="shared" si="25"/>
        <v>13525.89</v>
      </c>
      <c r="AF132" s="181">
        <v>1.2</v>
      </c>
      <c r="AG132" s="181">
        <v>1.2</v>
      </c>
      <c r="AH132" s="363" t="str">
        <f t="shared" si="21"/>
        <v/>
      </c>
      <c r="AI132" s="191">
        <f>19</f>
        <v>19</v>
      </c>
      <c r="AJ132" s="188">
        <v>21</v>
      </c>
      <c r="AO132" s="367"/>
      <c r="AP132" s="367"/>
      <c r="AQ132" s="367"/>
    </row>
    <row r="133" spans="1:43" s="69" customFormat="1" ht="33" x14ac:dyDescent="0.3">
      <c r="A133" s="130" t="s">
        <v>382</v>
      </c>
      <c r="B133" s="131" t="s">
        <v>383</v>
      </c>
      <c r="C133" s="132" t="s">
        <v>30</v>
      </c>
      <c r="D133" s="133">
        <v>275.60000000000002</v>
      </c>
      <c r="E133" s="75"/>
      <c r="F133" s="75"/>
      <c r="G133" s="75"/>
      <c r="H133" s="75"/>
      <c r="I133" s="75"/>
      <c r="J133" s="75">
        <v>7340.41</v>
      </c>
      <c r="K133" s="75">
        <v>2023017</v>
      </c>
      <c r="L133" s="91" t="s">
        <v>384</v>
      </c>
      <c r="M133" s="73"/>
      <c r="N133" s="46">
        <v>230</v>
      </c>
      <c r="O133" s="46">
        <v>0</v>
      </c>
      <c r="P133" s="46">
        <v>1688294.3</v>
      </c>
      <c r="Q133" s="98"/>
      <c r="R133" s="23" t="s">
        <v>1493</v>
      </c>
      <c r="S133" s="24" t="s">
        <v>383</v>
      </c>
      <c r="T133" s="25" t="s">
        <v>30</v>
      </c>
      <c r="U133" s="26">
        <v>275.60000000000002</v>
      </c>
      <c r="V133" s="26">
        <f t="shared" si="23"/>
        <v>275.60000000000002</v>
      </c>
      <c r="W133" s="26">
        <f t="shared" si="18"/>
        <v>7340.41</v>
      </c>
      <c r="X133" s="127">
        <f t="shared" si="22"/>
        <v>0</v>
      </c>
      <c r="Y133" s="127">
        <f t="shared" si="19"/>
        <v>230</v>
      </c>
      <c r="Z133" s="127">
        <f t="shared" si="24"/>
        <v>0</v>
      </c>
      <c r="AA133" s="127">
        <f t="shared" si="20"/>
        <v>1688294.3</v>
      </c>
      <c r="AB133" s="33" t="s">
        <v>15</v>
      </c>
      <c r="AC133" s="324"/>
      <c r="AD133" s="181">
        <f t="shared" si="17"/>
        <v>275.60000000000002</v>
      </c>
      <c r="AE133" s="181">
        <f t="shared" si="25"/>
        <v>2023017</v>
      </c>
      <c r="AF133" s="181">
        <v>1.2</v>
      </c>
      <c r="AG133" s="181">
        <v>1.2</v>
      </c>
      <c r="AH133" s="363" t="str">
        <f t="shared" si="21"/>
        <v/>
      </c>
      <c r="AI133" s="194">
        <f>182.3+47.7</f>
        <v>230</v>
      </c>
      <c r="AJ133" s="188">
        <v>275.60000000000002</v>
      </c>
      <c r="AO133" s="367"/>
      <c r="AP133" s="367"/>
      <c r="AQ133" s="367"/>
    </row>
    <row r="134" spans="1:43" s="69" customFormat="1" ht="24.75" x14ac:dyDescent="0.3">
      <c r="A134" s="130" t="s">
        <v>385</v>
      </c>
      <c r="B134" s="131" t="s">
        <v>386</v>
      </c>
      <c r="C134" s="132" t="s">
        <v>81</v>
      </c>
      <c r="D134" s="133">
        <v>1</v>
      </c>
      <c r="E134" s="75"/>
      <c r="F134" s="75"/>
      <c r="G134" s="75"/>
      <c r="H134" s="75"/>
      <c r="I134" s="75"/>
      <c r="J134" s="75">
        <v>913345.81</v>
      </c>
      <c r="K134" s="75">
        <v>913345.81</v>
      </c>
      <c r="L134" s="91" t="s">
        <v>387</v>
      </c>
      <c r="M134" s="73"/>
      <c r="N134" s="46">
        <v>1</v>
      </c>
      <c r="O134" s="46">
        <v>0</v>
      </c>
      <c r="P134" s="46">
        <v>913345.81</v>
      </c>
      <c r="Q134" s="98"/>
      <c r="R134" s="23" t="s">
        <v>1494</v>
      </c>
      <c r="S134" s="24" t="s">
        <v>386</v>
      </c>
      <c r="T134" s="25" t="s">
        <v>81</v>
      </c>
      <c r="U134" s="26">
        <v>1</v>
      </c>
      <c r="V134" s="26">
        <f t="shared" si="23"/>
        <v>1</v>
      </c>
      <c r="W134" s="26">
        <f t="shared" si="18"/>
        <v>913345.81</v>
      </c>
      <c r="X134" s="127">
        <f t="shared" si="22"/>
        <v>0</v>
      </c>
      <c r="Y134" s="127">
        <f t="shared" si="19"/>
        <v>1</v>
      </c>
      <c r="Z134" s="127">
        <f t="shared" si="24"/>
        <v>0</v>
      </c>
      <c r="AA134" s="127">
        <f t="shared" si="20"/>
        <v>913345.81</v>
      </c>
      <c r="AB134" s="33" t="s">
        <v>15</v>
      </c>
      <c r="AC134" s="324"/>
      <c r="AD134" s="181">
        <f t="shared" si="17"/>
        <v>1</v>
      </c>
      <c r="AE134" s="181">
        <f t="shared" si="25"/>
        <v>913345.81</v>
      </c>
      <c r="AF134" s="181">
        <v>1.2</v>
      </c>
      <c r="AG134" s="181">
        <v>1.2</v>
      </c>
      <c r="AH134" s="363" t="str">
        <f t="shared" si="21"/>
        <v/>
      </c>
      <c r="AI134" s="194">
        <v>1</v>
      </c>
      <c r="AJ134" s="188">
        <v>1</v>
      </c>
      <c r="AN134" s="281"/>
      <c r="AO134" s="367"/>
      <c r="AP134" s="367"/>
      <c r="AQ134" s="367"/>
    </row>
    <row r="135" spans="1:43" s="281" customFormat="1" ht="39" x14ac:dyDescent="0.3">
      <c r="A135" s="283" t="s">
        <v>3184</v>
      </c>
      <c r="B135" s="211" t="s">
        <v>3168</v>
      </c>
      <c r="C135" s="212" t="s">
        <v>50</v>
      </c>
      <c r="D135" s="213"/>
      <c r="E135" s="213"/>
      <c r="F135" s="213"/>
      <c r="G135" s="213"/>
      <c r="H135" s="213"/>
      <c r="I135" s="343">
        <v>145.4</v>
      </c>
      <c r="J135" s="213">
        <v>969.53</v>
      </c>
      <c r="K135" s="275">
        <v>140969.66</v>
      </c>
      <c r="L135" s="284"/>
      <c r="M135" s="278"/>
      <c r="N135" s="42"/>
      <c r="O135" s="42"/>
      <c r="P135" s="42"/>
      <c r="Q135" s="98"/>
      <c r="R135" s="13" t="s">
        <v>3167</v>
      </c>
      <c r="S135" s="286" t="str">
        <f>B135</f>
        <v>特殊地坪，壓花地坪</v>
      </c>
      <c r="T135" s="287" t="str">
        <f>C135</f>
        <v>M2</v>
      </c>
      <c r="U135" s="16"/>
      <c r="V135" s="16">
        <f t="shared" si="23"/>
        <v>145.4</v>
      </c>
      <c r="W135" s="16">
        <f t="shared" si="18"/>
        <v>969.53</v>
      </c>
      <c r="X135" s="334">
        <f t="shared" ref="X135:X143" si="26">AI135-N135</f>
        <v>142.30000000000001</v>
      </c>
      <c r="Y135" s="127">
        <f t="shared" ref="Y135:Y143" si="27">X135+N135</f>
        <v>142.30000000000001</v>
      </c>
      <c r="Z135" s="127">
        <f t="shared" ref="Z135:Z143" si="28">AA135-P135</f>
        <v>137964.12</v>
      </c>
      <c r="AA135" s="127">
        <f t="shared" ref="AA135:AA143" si="29">ROUND(W135*Y135,2)</f>
        <v>137964.12</v>
      </c>
      <c r="AB135" s="17"/>
      <c r="AC135" s="324"/>
      <c r="AD135" s="181">
        <f t="shared" si="17"/>
        <v>145.4</v>
      </c>
      <c r="AE135" s="181">
        <f t="shared" ref="AE135:AE143" si="30">ROUND(W135*AD135,2)</f>
        <v>140969.66</v>
      </c>
      <c r="AF135" s="181">
        <v>1.2</v>
      </c>
      <c r="AG135" s="181">
        <v>1.2</v>
      </c>
      <c r="AH135" s="364"/>
      <c r="AI135" s="296">
        <v>142.30000000000001</v>
      </c>
      <c r="AJ135" s="190">
        <v>145.4</v>
      </c>
      <c r="AN135" s="364"/>
      <c r="AO135" s="368"/>
      <c r="AP135" s="367"/>
      <c r="AQ135" s="367"/>
    </row>
    <row r="136" spans="1:43" s="281" customFormat="1" x14ac:dyDescent="0.3">
      <c r="A136" s="283" t="s">
        <v>3185</v>
      </c>
      <c r="B136" s="211" t="s">
        <v>3170</v>
      </c>
      <c r="C136" s="212" t="s">
        <v>50</v>
      </c>
      <c r="D136" s="213"/>
      <c r="E136" s="213"/>
      <c r="F136" s="213"/>
      <c r="G136" s="213"/>
      <c r="H136" s="213"/>
      <c r="I136" s="343">
        <v>909.17</v>
      </c>
      <c r="J136" s="213">
        <v>2666.52</v>
      </c>
      <c r="K136" s="275">
        <v>2424319.9900000002</v>
      </c>
      <c r="L136" s="284"/>
      <c r="M136" s="278"/>
      <c r="N136" s="42"/>
      <c r="O136" s="42"/>
      <c r="P136" s="42"/>
      <c r="Q136" s="98"/>
      <c r="R136" s="13" t="s">
        <v>3169</v>
      </c>
      <c r="S136" s="286" t="str">
        <f t="shared" ref="S136:S143" si="31">B136</f>
        <v>透水磚地坪B</v>
      </c>
      <c r="T136" s="287" t="str">
        <f t="shared" ref="T136:T143" si="32">C136</f>
        <v>M2</v>
      </c>
      <c r="U136" s="16"/>
      <c r="V136" s="16">
        <f t="shared" si="23"/>
        <v>909.17</v>
      </c>
      <c r="W136" s="16">
        <f t="shared" si="18"/>
        <v>2666.52</v>
      </c>
      <c r="X136" s="334">
        <f t="shared" si="26"/>
        <v>218.78</v>
      </c>
      <c r="Y136" s="127">
        <f t="shared" si="27"/>
        <v>218.78</v>
      </c>
      <c r="Z136" s="127">
        <f t="shared" si="28"/>
        <v>583381.25</v>
      </c>
      <c r="AA136" s="127">
        <f t="shared" si="29"/>
        <v>583381.25</v>
      </c>
      <c r="AB136" s="17"/>
      <c r="AC136" s="324"/>
      <c r="AD136" s="181">
        <f t="shared" si="17"/>
        <v>909.17</v>
      </c>
      <c r="AE136" s="181">
        <f t="shared" si="30"/>
        <v>2424319.9900000002</v>
      </c>
      <c r="AF136" s="181">
        <v>1.2</v>
      </c>
      <c r="AG136" s="181">
        <v>1.2</v>
      </c>
      <c r="AH136" s="364"/>
      <c r="AI136" s="296">
        <v>218.78</v>
      </c>
      <c r="AJ136" s="190">
        <v>909.17</v>
      </c>
      <c r="AN136" s="364"/>
      <c r="AO136" s="368"/>
      <c r="AP136" s="367"/>
      <c r="AQ136" s="367"/>
    </row>
    <row r="137" spans="1:43" s="281" customFormat="1" ht="58.5" x14ac:dyDescent="0.3">
      <c r="A137" s="283" t="s">
        <v>3186</v>
      </c>
      <c r="B137" s="211" t="s">
        <v>1774</v>
      </c>
      <c r="C137" s="212" t="s">
        <v>50</v>
      </c>
      <c r="D137" s="213"/>
      <c r="E137" s="213"/>
      <c r="F137" s="213"/>
      <c r="G137" s="213"/>
      <c r="H137" s="213"/>
      <c r="I137" s="343">
        <v>308.85000000000002</v>
      </c>
      <c r="J137" s="213">
        <v>458.74</v>
      </c>
      <c r="K137" s="275">
        <v>141681.85</v>
      </c>
      <c r="L137" s="284"/>
      <c r="M137" s="278"/>
      <c r="N137" s="42"/>
      <c r="O137" s="42"/>
      <c r="P137" s="42"/>
      <c r="Q137" s="98"/>
      <c r="R137" s="13" t="s">
        <v>3171</v>
      </c>
      <c r="S137" s="286" t="str">
        <f t="shared" si="31"/>
        <v>水泥砂漿粉刷，1：3水泥砂漿，面層粉光</v>
      </c>
      <c r="T137" s="287" t="str">
        <f t="shared" si="32"/>
        <v>M2</v>
      </c>
      <c r="U137" s="16"/>
      <c r="V137" s="16">
        <f t="shared" si="23"/>
        <v>308.85000000000002</v>
      </c>
      <c r="W137" s="16">
        <f t="shared" si="18"/>
        <v>458.74</v>
      </c>
      <c r="X137" s="334">
        <f t="shared" si="26"/>
        <v>120.5</v>
      </c>
      <c r="Y137" s="127">
        <f t="shared" si="27"/>
        <v>120.5</v>
      </c>
      <c r="Z137" s="127">
        <f t="shared" si="28"/>
        <v>55278.17</v>
      </c>
      <c r="AA137" s="127">
        <f t="shared" si="29"/>
        <v>55278.17</v>
      </c>
      <c r="AB137" s="17"/>
      <c r="AC137" s="324"/>
      <c r="AD137" s="181">
        <f t="shared" si="17"/>
        <v>308.85000000000002</v>
      </c>
      <c r="AE137" s="181">
        <f t="shared" si="30"/>
        <v>141681.85</v>
      </c>
      <c r="AF137" s="181">
        <v>1.2</v>
      </c>
      <c r="AG137" s="181">
        <v>1.2</v>
      </c>
      <c r="AH137" s="364"/>
      <c r="AI137" s="296">
        <v>120.5</v>
      </c>
      <c r="AJ137" s="190">
        <v>308.85000000000002</v>
      </c>
      <c r="AO137" s="367"/>
      <c r="AP137" s="367"/>
      <c r="AQ137" s="367"/>
    </row>
    <row r="138" spans="1:43" s="281" customFormat="1" ht="58.5" x14ac:dyDescent="0.3">
      <c r="A138" s="283" t="s">
        <v>3187</v>
      </c>
      <c r="B138" s="211" t="s">
        <v>3173</v>
      </c>
      <c r="C138" s="212" t="s">
        <v>2735</v>
      </c>
      <c r="D138" s="213"/>
      <c r="E138" s="213"/>
      <c r="F138" s="213"/>
      <c r="G138" s="213"/>
      <c r="H138" s="213"/>
      <c r="I138" s="337">
        <v>1454</v>
      </c>
      <c r="J138" s="213">
        <v>675.93</v>
      </c>
      <c r="K138" s="275">
        <v>982802.22</v>
      </c>
      <c r="L138" s="284"/>
      <c r="M138" s="278"/>
      <c r="N138" s="42"/>
      <c r="O138" s="42"/>
      <c r="P138" s="42"/>
      <c r="Q138" s="98"/>
      <c r="R138" s="13" t="s">
        <v>3172</v>
      </c>
      <c r="S138" s="286" t="str">
        <f t="shared" si="31"/>
        <v>既有木作修復更新，含拆除、運棄</v>
      </c>
      <c r="T138" s="287" t="str">
        <f t="shared" si="32"/>
        <v>才</v>
      </c>
      <c r="U138" s="16"/>
      <c r="V138" s="16">
        <f t="shared" si="23"/>
        <v>1454</v>
      </c>
      <c r="W138" s="16">
        <f t="shared" si="18"/>
        <v>675.93</v>
      </c>
      <c r="X138" s="16">
        <f t="shared" si="26"/>
        <v>0</v>
      </c>
      <c r="Y138" s="16">
        <f t="shared" si="27"/>
        <v>0</v>
      </c>
      <c r="Z138" s="16">
        <f t="shared" si="28"/>
        <v>0</v>
      </c>
      <c r="AA138" s="16">
        <f t="shared" si="29"/>
        <v>0</v>
      </c>
      <c r="AB138" s="17"/>
      <c r="AC138" s="324"/>
      <c r="AD138" s="181">
        <f t="shared" ref="AD138:AD201" si="33">IF(V138=0,U138,V138)</f>
        <v>1454</v>
      </c>
      <c r="AE138" s="181">
        <f t="shared" si="30"/>
        <v>982802.22</v>
      </c>
      <c r="AF138" s="181">
        <v>1.2</v>
      </c>
      <c r="AG138" s="181">
        <v>1.2</v>
      </c>
      <c r="AH138" s="364"/>
      <c r="AI138" s="285"/>
      <c r="AJ138" s="190">
        <v>1454</v>
      </c>
      <c r="AO138" s="367"/>
      <c r="AP138" s="367"/>
      <c r="AQ138" s="367"/>
    </row>
    <row r="139" spans="1:43" s="281" customFormat="1" ht="58.5" x14ac:dyDescent="0.3">
      <c r="A139" s="283" t="s">
        <v>3188</v>
      </c>
      <c r="B139" s="211" t="s">
        <v>3175</v>
      </c>
      <c r="C139" s="212" t="s">
        <v>50</v>
      </c>
      <c r="D139" s="213"/>
      <c r="E139" s="213"/>
      <c r="F139" s="213"/>
      <c r="G139" s="213"/>
      <c r="H139" s="213"/>
      <c r="I139" s="337">
        <v>988</v>
      </c>
      <c r="J139" s="213">
        <v>531.74</v>
      </c>
      <c r="K139" s="275">
        <v>525359.12</v>
      </c>
      <c r="L139" s="284"/>
      <c r="M139" s="278"/>
      <c r="N139" s="42"/>
      <c r="O139" s="42"/>
      <c r="P139" s="42"/>
      <c r="Q139" s="98"/>
      <c r="R139" s="13" t="s">
        <v>3174</v>
      </c>
      <c r="S139" s="286" t="str">
        <f t="shared" si="31"/>
        <v>園區內木作欄杆修整，含護木漆塗布</v>
      </c>
      <c r="T139" s="287" t="str">
        <f t="shared" si="32"/>
        <v>M2</v>
      </c>
      <c r="U139" s="16"/>
      <c r="V139" s="16">
        <f t="shared" si="23"/>
        <v>988</v>
      </c>
      <c r="W139" s="16">
        <f t="shared" ref="W139:W202" si="34">J139</f>
        <v>531.74</v>
      </c>
      <c r="X139" s="16">
        <f t="shared" si="26"/>
        <v>0</v>
      </c>
      <c r="Y139" s="16">
        <f t="shared" si="27"/>
        <v>0</v>
      </c>
      <c r="Z139" s="16">
        <f t="shared" si="28"/>
        <v>0</v>
      </c>
      <c r="AA139" s="16">
        <f t="shared" si="29"/>
        <v>0</v>
      </c>
      <c r="AB139" s="17"/>
      <c r="AC139" s="324"/>
      <c r="AD139" s="181">
        <f t="shared" si="33"/>
        <v>988</v>
      </c>
      <c r="AE139" s="181">
        <f t="shared" si="30"/>
        <v>525359.12</v>
      </c>
      <c r="AF139" s="181">
        <v>1.2</v>
      </c>
      <c r="AG139" s="181">
        <v>1.2</v>
      </c>
      <c r="AH139" s="364"/>
      <c r="AI139" s="285"/>
      <c r="AJ139" s="190">
        <v>988</v>
      </c>
      <c r="AO139" s="367"/>
      <c r="AP139" s="367"/>
      <c r="AQ139" s="367"/>
    </row>
    <row r="140" spans="1:43" s="281" customFormat="1" ht="39" x14ac:dyDescent="0.3">
      <c r="A140" s="283" t="s">
        <v>3282</v>
      </c>
      <c r="B140" s="211" t="s">
        <v>3177</v>
      </c>
      <c r="C140" s="212" t="s">
        <v>50</v>
      </c>
      <c r="D140" s="213"/>
      <c r="E140" s="213"/>
      <c r="F140" s="213"/>
      <c r="G140" s="213"/>
      <c r="H140" s="213"/>
      <c r="I140" s="337">
        <v>100.8</v>
      </c>
      <c r="J140" s="213">
        <v>1634.34</v>
      </c>
      <c r="K140" s="275">
        <v>164741.47</v>
      </c>
      <c r="L140" s="284"/>
      <c r="M140" s="278"/>
      <c r="N140" s="42"/>
      <c r="O140" s="42"/>
      <c r="P140" s="42"/>
      <c r="Q140" s="98"/>
      <c r="R140" s="13" t="s">
        <v>3176</v>
      </c>
      <c r="S140" s="286" t="str">
        <f t="shared" si="31"/>
        <v>園區既有鋼料除銹打磨修整塗裝</v>
      </c>
      <c r="T140" s="287" t="str">
        <f t="shared" si="32"/>
        <v>M2</v>
      </c>
      <c r="U140" s="16"/>
      <c r="V140" s="16">
        <f t="shared" si="23"/>
        <v>100.8</v>
      </c>
      <c r="W140" s="16">
        <f t="shared" si="34"/>
        <v>1634.34</v>
      </c>
      <c r="X140" s="16">
        <f t="shared" si="26"/>
        <v>0</v>
      </c>
      <c r="Y140" s="16">
        <f t="shared" si="27"/>
        <v>0</v>
      </c>
      <c r="Z140" s="16">
        <f t="shared" si="28"/>
        <v>0</v>
      </c>
      <c r="AA140" s="16">
        <f t="shared" si="29"/>
        <v>0</v>
      </c>
      <c r="AB140" s="17"/>
      <c r="AC140" s="324"/>
      <c r="AD140" s="181">
        <f t="shared" si="33"/>
        <v>100.8</v>
      </c>
      <c r="AE140" s="181">
        <f t="shared" si="30"/>
        <v>164741.47</v>
      </c>
      <c r="AF140" s="181">
        <v>1.2</v>
      </c>
      <c r="AG140" s="181">
        <v>1.2</v>
      </c>
      <c r="AH140" s="364"/>
      <c r="AI140" s="285"/>
      <c r="AJ140" s="190">
        <v>100.8</v>
      </c>
      <c r="AO140" s="367"/>
      <c r="AP140" s="367"/>
      <c r="AQ140" s="367"/>
    </row>
    <row r="141" spans="1:43" s="281" customFormat="1" x14ac:dyDescent="0.3">
      <c r="A141" s="283" t="s">
        <v>3283</v>
      </c>
      <c r="B141" s="211" t="s">
        <v>3179</v>
      </c>
      <c r="C141" s="212" t="s">
        <v>1014</v>
      </c>
      <c r="D141" s="213"/>
      <c r="E141" s="213"/>
      <c r="F141" s="213"/>
      <c r="G141" s="213"/>
      <c r="H141" s="213"/>
      <c r="I141" s="337">
        <v>14</v>
      </c>
      <c r="J141" s="213">
        <v>5716.19</v>
      </c>
      <c r="K141" s="275">
        <v>80026.66</v>
      </c>
      <c r="L141" s="284"/>
      <c r="M141" s="278"/>
      <c r="N141" s="42"/>
      <c r="O141" s="42"/>
      <c r="P141" s="42"/>
      <c r="Q141" s="98"/>
      <c r="R141" s="13" t="s">
        <v>3178</v>
      </c>
      <c r="S141" s="286" t="str">
        <f t="shared" si="31"/>
        <v>既有立柱補強</v>
      </c>
      <c r="T141" s="287" t="str">
        <f t="shared" si="32"/>
        <v>處</v>
      </c>
      <c r="U141" s="16"/>
      <c r="V141" s="16">
        <f t="shared" si="23"/>
        <v>14</v>
      </c>
      <c r="W141" s="16">
        <f t="shared" si="34"/>
        <v>5716.19</v>
      </c>
      <c r="X141" s="16">
        <f t="shared" si="26"/>
        <v>0</v>
      </c>
      <c r="Y141" s="16">
        <f t="shared" si="27"/>
        <v>0</v>
      </c>
      <c r="Z141" s="16">
        <f t="shared" si="28"/>
        <v>0</v>
      </c>
      <c r="AA141" s="16">
        <f t="shared" si="29"/>
        <v>0</v>
      </c>
      <c r="AB141" s="17"/>
      <c r="AC141" s="324"/>
      <c r="AD141" s="181">
        <f t="shared" si="33"/>
        <v>14</v>
      </c>
      <c r="AE141" s="181">
        <f t="shared" si="30"/>
        <v>80026.66</v>
      </c>
      <c r="AF141" s="181">
        <v>1.2</v>
      </c>
      <c r="AG141" s="181">
        <v>1.2</v>
      </c>
      <c r="AH141" s="364"/>
      <c r="AI141" s="285"/>
      <c r="AJ141" s="190">
        <v>14</v>
      </c>
      <c r="AO141" s="367"/>
      <c r="AP141" s="367"/>
      <c r="AQ141" s="367"/>
    </row>
    <row r="142" spans="1:43" s="281" customFormat="1" ht="58.5" x14ac:dyDescent="0.3">
      <c r="A142" s="283" t="s">
        <v>3284</v>
      </c>
      <c r="B142" s="211" t="s">
        <v>3181</v>
      </c>
      <c r="C142" s="212" t="s">
        <v>50</v>
      </c>
      <c r="D142" s="213"/>
      <c r="E142" s="213"/>
      <c r="F142" s="213"/>
      <c r="G142" s="213"/>
      <c r="H142" s="213"/>
      <c r="I142" s="337">
        <v>17.190000000000001</v>
      </c>
      <c r="J142" s="213">
        <v>4197.96</v>
      </c>
      <c r="K142" s="275">
        <v>72162.929999999993</v>
      </c>
      <c r="L142" s="284"/>
      <c r="M142" s="278"/>
      <c r="N142" s="42"/>
      <c r="O142" s="42"/>
      <c r="P142" s="42"/>
      <c r="Q142" s="98"/>
      <c r="R142" s="13" t="s">
        <v>3180</v>
      </c>
      <c r="S142" s="286" t="str">
        <f t="shared" si="31"/>
        <v>戶外專用電腦噴繪輸出及彩色膠膜</v>
      </c>
      <c r="T142" s="287" t="str">
        <f t="shared" si="32"/>
        <v>M2</v>
      </c>
      <c r="U142" s="16"/>
      <c r="V142" s="16">
        <f t="shared" si="23"/>
        <v>17.190000000000001</v>
      </c>
      <c r="W142" s="16">
        <f t="shared" si="34"/>
        <v>4197.96</v>
      </c>
      <c r="X142" s="16">
        <f t="shared" si="26"/>
        <v>0</v>
      </c>
      <c r="Y142" s="16">
        <f t="shared" si="27"/>
        <v>0</v>
      </c>
      <c r="Z142" s="16">
        <f t="shared" si="28"/>
        <v>0</v>
      </c>
      <c r="AA142" s="16">
        <f t="shared" si="29"/>
        <v>0</v>
      </c>
      <c r="AB142" s="17"/>
      <c r="AC142" s="324"/>
      <c r="AD142" s="181">
        <f t="shared" si="33"/>
        <v>17.190000000000001</v>
      </c>
      <c r="AE142" s="181">
        <f t="shared" si="30"/>
        <v>72162.929999999993</v>
      </c>
      <c r="AF142" s="181">
        <v>1.2</v>
      </c>
      <c r="AG142" s="181">
        <v>1.2</v>
      </c>
      <c r="AH142" s="364"/>
      <c r="AI142" s="285"/>
      <c r="AJ142" s="190">
        <v>17.190000000000001</v>
      </c>
      <c r="AO142" s="367"/>
      <c r="AP142" s="367"/>
      <c r="AQ142" s="367"/>
    </row>
    <row r="143" spans="1:43" s="281" customFormat="1" ht="49.5" x14ac:dyDescent="0.3">
      <c r="A143" s="283" t="s">
        <v>3285</v>
      </c>
      <c r="B143" s="303" t="s">
        <v>3183</v>
      </c>
      <c r="C143" s="212" t="s">
        <v>513</v>
      </c>
      <c r="D143" s="213"/>
      <c r="E143" s="213"/>
      <c r="F143" s="213"/>
      <c r="G143" s="213"/>
      <c r="H143" s="213"/>
      <c r="I143" s="337">
        <v>920</v>
      </c>
      <c r="J143" s="213">
        <v>51.97</v>
      </c>
      <c r="K143" s="275">
        <v>47812.4</v>
      </c>
      <c r="L143" s="284"/>
      <c r="M143" s="278"/>
      <c r="N143" s="42"/>
      <c r="O143" s="42"/>
      <c r="P143" s="42"/>
      <c r="Q143" s="98"/>
      <c r="R143" s="13" t="s">
        <v>3182</v>
      </c>
      <c r="S143" s="286" t="str">
        <f t="shared" si="31"/>
        <v>鋼筋，植筋，D13mm，鑽孔(含空氣槍清孔)及化學藥劑</v>
      </c>
      <c r="T143" s="287" t="str">
        <f t="shared" si="32"/>
        <v>孔</v>
      </c>
      <c r="U143" s="16"/>
      <c r="V143" s="16">
        <f t="shared" si="23"/>
        <v>920</v>
      </c>
      <c r="W143" s="16">
        <f t="shared" si="34"/>
        <v>51.97</v>
      </c>
      <c r="X143" s="334">
        <f t="shared" si="26"/>
        <v>920</v>
      </c>
      <c r="Y143" s="127">
        <f t="shared" si="27"/>
        <v>920</v>
      </c>
      <c r="Z143" s="127">
        <f t="shared" si="28"/>
        <v>47812.4</v>
      </c>
      <c r="AA143" s="127">
        <f t="shared" si="29"/>
        <v>47812.4</v>
      </c>
      <c r="AB143" s="17"/>
      <c r="AC143" s="324"/>
      <c r="AD143" s="181">
        <f t="shared" si="33"/>
        <v>920</v>
      </c>
      <c r="AE143" s="181">
        <f t="shared" si="30"/>
        <v>47812.4</v>
      </c>
      <c r="AF143" s="181">
        <v>1.2</v>
      </c>
      <c r="AG143" s="181">
        <v>1.2</v>
      </c>
      <c r="AH143" s="364"/>
      <c r="AI143" s="296">
        <v>920</v>
      </c>
      <c r="AJ143" s="190">
        <v>920</v>
      </c>
      <c r="AN143" s="69"/>
      <c r="AO143" s="367"/>
      <c r="AP143" s="367"/>
      <c r="AQ143" s="367"/>
    </row>
    <row r="144" spans="1:43" s="69" customFormat="1" x14ac:dyDescent="0.3">
      <c r="A144" s="79" t="s">
        <v>388</v>
      </c>
      <c r="B144" s="80" t="s">
        <v>389</v>
      </c>
      <c r="C144" s="81" t="s">
        <v>14</v>
      </c>
      <c r="D144" s="82">
        <v>1</v>
      </c>
      <c r="E144" s="82"/>
      <c r="F144" s="82"/>
      <c r="G144" s="82"/>
      <c r="H144" s="82"/>
      <c r="I144" s="82"/>
      <c r="J144" s="82">
        <v>62860224.049999997</v>
      </c>
      <c r="K144" s="82">
        <v>62860224.049999997</v>
      </c>
      <c r="L144" s="94" t="s">
        <v>15</v>
      </c>
      <c r="M144" s="73"/>
      <c r="N144" s="45">
        <v>1</v>
      </c>
      <c r="O144" s="45">
        <v>445198.56</v>
      </c>
      <c r="P144" s="45">
        <v>61123592.740000002</v>
      </c>
      <c r="Q144" s="98"/>
      <c r="R144" s="18" t="s">
        <v>1381</v>
      </c>
      <c r="S144" s="19" t="s">
        <v>389</v>
      </c>
      <c r="T144" s="20" t="s">
        <v>14</v>
      </c>
      <c r="U144" s="21">
        <v>1</v>
      </c>
      <c r="V144" s="21"/>
      <c r="W144" s="21">
        <f t="shared" si="34"/>
        <v>62860224.049999997</v>
      </c>
      <c r="X144" s="21">
        <f t="shared" ref="X144:Y144" si="35">IF(Z144=0,0,1)</f>
        <v>1</v>
      </c>
      <c r="Y144" s="21">
        <f t="shared" si="35"/>
        <v>1</v>
      </c>
      <c r="Z144" s="21">
        <f>SUMIFS(Z:Z,AG:AG,AF144)</f>
        <v>784923.40999999898</v>
      </c>
      <c r="AA144" s="21">
        <f>SUMIFS(AA:AA,AG:AG,AF144)</f>
        <v>61908516.150000028</v>
      </c>
      <c r="AB144" s="22" t="s">
        <v>15</v>
      </c>
      <c r="AC144" s="324"/>
      <c r="AD144" s="181">
        <f t="shared" si="33"/>
        <v>1</v>
      </c>
      <c r="AE144" s="184"/>
      <c r="AF144" s="184">
        <v>1.3</v>
      </c>
      <c r="AG144" s="184"/>
      <c r="AH144" s="363" t="str">
        <f t="shared" si="21"/>
        <v/>
      </c>
      <c r="AI144" s="190">
        <v>1</v>
      </c>
      <c r="AJ144" s="188">
        <v>1</v>
      </c>
      <c r="AO144" s="367"/>
      <c r="AP144" s="367"/>
      <c r="AQ144" s="367"/>
    </row>
    <row r="145" spans="1:43" s="69" customFormat="1" ht="39" x14ac:dyDescent="0.3">
      <c r="A145" s="130" t="s">
        <v>390</v>
      </c>
      <c r="B145" s="131" t="s">
        <v>102</v>
      </c>
      <c r="C145" s="132" t="s">
        <v>103</v>
      </c>
      <c r="D145" s="133">
        <v>274.45</v>
      </c>
      <c r="E145" s="75"/>
      <c r="F145" s="75"/>
      <c r="G145" s="75"/>
      <c r="H145" s="75"/>
      <c r="I145" s="75"/>
      <c r="J145" s="75">
        <v>320.74</v>
      </c>
      <c r="K145" s="75">
        <v>88027.09</v>
      </c>
      <c r="L145" s="91" t="s">
        <v>104</v>
      </c>
      <c r="M145" s="73"/>
      <c r="N145" s="46">
        <v>225</v>
      </c>
      <c r="O145" s="46">
        <v>0</v>
      </c>
      <c r="P145" s="46">
        <v>72166.5</v>
      </c>
      <c r="Q145" s="98"/>
      <c r="R145" s="23" t="s">
        <v>1421</v>
      </c>
      <c r="S145" s="24" t="s">
        <v>102</v>
      </c>
      <c r="T145" s="25" t="s">
        <v>103</v>
      </c>
      <c r="U145" s="26">
        <v>274.45</v>
      </c>
      <c r="V145" s="26">
        <f t="shared" ref="V145:V192" si="36">IF(I145&gt;0,I145,IF(H145&gt;0,H145,IF(G145&gt;0,G145,IF(F145&gt;0,F145,IF(E145&gt;0,E145,D145)))))</f>
        <v>274.45</v>
      </c>
      <c r="W145" s="26">
        <f t="shared" si="34"/>
        <v>320.74</v>
      </c>
      <c r="X145" s="243">
        <f t="shared" ref="X145:X192" si="37">AI145-N145</f>
        <v>49.449999999999989</v>
      </c>
      <c r="Y145" s="127">
        <f t="shared" ref="Y145:Y192" si="38">X145+N145</f>
        <v>274.45</v>
      </c>
      <c r="Z145" s="127">
        <f t="shared" ref="Z145:Z192" si="39">AA145-P145</f>
        <v>15860.589999999997</v>
      </c>
      <c r="AA145" s="127">
        <f t="shared" si="20"/>
        <v>88027.09</v>
      </c>
      <c r="AB145" s="33" t="s">
        <v>15</v>
      </c>
      <c r="AC145" s="325"/>
      <c r="AD145" s="263">
        <f t="shared" si="33"/>
        <v>274.45</v>
      </c>
      <c r="AE145" s="263">
        <f t="shared" ref="AE145:AE187" si="40">ROUND(W145*AD145,2)</f>
        <v>88027.09</v>
      </c>
      <c r="AF145" s="263">
        <v>1.3</v>
      </c>
      <c r="AG145" s="263">
        <v>1.3</v>
      </c>
      <c r="AH145" s="68" t="str">
        <f t="shared" si="21"/>
        <v/>
      </c>
      <c r="AI145" s="191">
        <v>274.45</v>
      </c>
      <c r="AJ145" s="188">
        <v>274.45</v>
      </c>
      <c r="AO145" s="367"/>
      <c r="AP145" s="367"/>
      <c r="AQ145" s="367"/>
    </row>
    <row r="146" spans="1:43" s="69" customFormat="1" ht="58.5" x14ac:dyDescent="0.3">
      <c r="A146" s="130" t="s">
        <v>391</v>
      </c>
      <c r="B146" s="131" t="s">
        <v>392</v>
      </c>
      <c r="C146" s="132" t="s">
        <v>23</v>
      </c>
      <c r="D146" s="133">
        <v>44.22</v>
      </c>
      <c r="E146" s="75"/>
      <c r="F146" s="75"/>
      <c r="G146" s="75"/>
      <c r="H146" s="75"/>
      <c r="I146" s="75"/>
      <c r="J146" s="75">
        <v>3115.13</v>
      </c>
      <c r="K146" s="75">
        <v>137751.04999999999</v>
      </c>
      <c r="L146" s="91" t="s">
        <v>114</v>
      </c>
      <c r="M146" s="73"/>
      <c r="N146" s="46">
        <v>39.79</v>
      </c>
      <c r="O146" s="46">
        <v>53580.23</v>
      </c>
      <c r="P146" s="46">
        <v>123951.02</v>
      </c>
      <c r="Q146" s="98"/>
      <c r="R146" s="23" t="s">
        <v>1426</v>
      </c>
      <c r="S146" s="24" t="s">
        <v>392</v>
      </c>
      <c r="T146" s="25" t="s">
        <v>23</v>
      </c>
      <c r="U146" s="26">
        <v>44.22</v>
      </c>
      <c r="V146" s="26">
        <f t="shared" si="36"/>
        <v>44.22</v>
      </c>
      <c r="W146" s="26">
        <f t="shared" si="34"/>
        <v>3115.13</v>
      </c>
      <c r="X146" s="127">
        <f t="shared" si="37"/>
        <v>0</v>
      </c>
      <c r="Y146" s="127">
        <f t="shared" si="38"/>
        <v>39.79</v>
      </c>
      <c r="Z146" s="127">
        <f t="shared" si="39"/>
        <v>0</v>
      </c>
      <c r="AA146" s="127">
        <f t="shared" si="20"/>
        <v>123951.02</v>
      </c>
      <c r="AB146" s="33" t="s">
        <v>15</v>
      </c>
      <c r="AC146" s="325"/>
      <c r="AD146" s="263">
        <f t="shared" si="33"/>
        <v>44.22</v>
      </c>
      <c r="AE146" s="263">
        <f t="shared" si="40"/>
        <v>137751.04999999999</v>
      </c>
      <c r="AF146" s="263">
        <v>1.3</v>
      </c>
      <c r="AG146" s="263">
        <v>1.3</v>
      </c>
      <c r="AH146" s="68" t="str">
        <f t="shared" si="21"/>
        <v/>
      </c>
      <c r="AI146" s="194">
        <v>39.79</v>
      </c>
      <c r="AJ146" s="188">
        <v>44.22</v>
      </c>
      <c r="AO146" s="367"/>
      <c r="AP146" s="367"/>
      <c r="AQ146" s="367"/>
    </row>
    <row r="147" spans="1:43" s="69" customFormat="1" ht="58.5" x14ac:dyDescent="0.3">
      <c r="A147" s="130" t="s">
        <v>393</v>
      </c>
      <c r="B147" s="131" t="s">
        <v>116</v>
      </c>
      <c r="C147" s="132" t="s">
        <v>23</v>
      </c>
      <c r="D147" s="133">
        <v>95.97</v>
      </c>
      <c r="E147" s="75"/>
      <c r="F147" s="75"/>
      <c r="G147" s="75"/>
      <c r="H147" s="75"/>
      <c r="I147" s="75"/>
      <c r="J147" s="75">
        <v>3321.13</v>
      </c>
      <c r="K147" s="75">
        <v>318728.84999999998</v>
      </c>
      <c r="L147" s="91" t="s">
        <v>117</v>
      </c>
      <c r="M147" s="73"/>
      <c r="N147" s="46">
        <v>91.9</v>
      </c>
      <c r="O147" s="46">
        <v>131184.64000000001</v>
      </c>
      <c r="P147" s="46">
        <v>305211.84999999998</v>
      </c>
      <c r="Q147" s="98"/>
      <c r="R147" s="23" t="s">
        <v>1402</v>
      </c>
      <c r="S147" s="24" t="s">
        <v>116</v>
      </c>
      <c r="T147" s="25" t="s">
        <v>23</v>
      </c>
      <c r="U147" s="26">
        <v>95.97</v>
      </c>
      <c r="V147" s="26">
        <f t="shared" si="36"/>
        <v>95.97</v>
      </c>
      <c r="W147" s="26">
        <f t="shared" si="34"/>
        <v>3321.13</v>
      </c>
      <c r="X147" s="243">
        <f t="shared" si="37"/>
        <v>3.2999999999999972</v>
      </c>
      <c r="Y147" s="127">
        <f t="shared" si="38"/>
        <v>95.2</v>
      </c>
      <c r="Z147" s="127">
        <f t="shared" si="39"/>
        <v>10959.73000000004</v>
      </c>
      <c r="AA147" s="127">
        <f t="shared" si="20"/>
        <v>316171.58</v>
      </c>
      <c r="AB147" s="33" t="s">
        <v>15</v>
      </c>
      <c r="AC147" s="325"/>
      <c r="AD147" s="263">
        <f t="shared" si="33"/>
        <v>95.97</v>
      </c>
      <c r="AE147" s="263">
        <f t="shared" si="40"/>
        <v>318728.84999999998</v>
      </c>
      <c r="AF147" s="263">
        <v>1.3</v>
      </c>
      <c r="AG147" s="263">
        <v>1.3</v>
      </c>
      <c r="AH147" s="68" t="str">
        <f t="shared" si="21"/>
        <v/>
      </c>
      <c r="AI147" s="191">
        <v>95.2</v>
      </c>
      <c r="AJ147" s="188">
        <v>95.97</v>
      </c>
      <c r="AO147" s="367"/>
      <c r="AP147" s="367"/>
      <c r="AQ147" s="367"/>
    </row>
    <row r="148" spans="1:43" s="69" customFormat="1" ht="58.5" x14ac:dyDescent="0.3">
      <c r="A148" s="130" t="s">
        <v>394</v>
      </c>
      <c r="B148" s="131" t="s">
        <v>395</v>
      </c>
      <c r="C148" s="132" t="s">
        <v>23</v>
      </c>
      <c r="D148" s="133">
        <v>1216.8</v>
      </c>
      <c r="E148" s="75"/>
      <c r="F148" s="75"/>
      <c r="G148" s="75"/>
      <c r="H148" s="133">
        <v>709.04</v>
      </c>
      <c r="I148" s="75"/>
      <c r="J148" s="75">
        <v>3643.73</v>
      </c>
      <c r="K148" s="75">
        <v>2583550.3199999998</v>
      </c>
      <c r="L148" s="91" t="s">
        <v>396</v>
      </c>
      <c r="M148" s="73"/>
      <c r="N148" s="46">
        <v>645.58000000000004</v>
      </c>
      <c r="O148" s="46">
        <v>0</v>
      </c>
      <c r="P148" s="46">
        <v>2352319.21</v>
      </c>
      <c r="Q148" s="98"/>
      <c r="R148" s="23" t="s">
        <v>1373</v>
      </c>
      <c r="S148" s="24" t="s">
        <v>395</v>
      </c>
      <c r="T148" s="25" t="s">
        <v>23</v>
      </c>
      <c r="U148" s="26">
        <v>1216.8</v>
      </c>
      <c r="V148" s="26">
        <f t="shared" si="36"/>
        <v>709.04</v>
      </c>
      <c r="W148" s="26">
        <f t="shared" si="34"/>
        <v>3643.73</v>
      </c>
      <c r="X148" s="127">
        <f t="shared" si="37"/>
        <v>0</v>
      </c>
      <c r="Y148" s="127">
        <f t="shared" si="38"/>
        <v>645.58000000000004</v>
      </c>
      <c r="Z148" s="127">
        <f t="shared" si="39"/>
        <v>0</v>
      </c>
      <c r="AA148" s="127">
        <f t="shared" si="20"/>
        <v>2352319.21</v>
      </c>
      <c r="AB148" s="33" t="s">
        <v>15</v>
      </c>
      <c r="AC148" s="325"/>
      <c r="AD148" s="263">
        <f t="shared" si="33"/>
        <v>709.04</v>
      </c>
      <c r="AE148" s="263">
        <f t="shared" si="40"/>
        <v>2583550.3199999998</v>
      </c>
      <c r="AF148" s="263">
        <v>1.3</v>
      </c>
      <c r="AG148" s="263">
        <v>1.3</v>
      </c>
      <c r="AH148" s="68" t="str">
        <f t="shared" si="21"/>
        <v/>
      </c>
      <c r="AI148" s="192">
        <v>645.58000000000004</v>
      </c>
      <c r="AJ148" s="188">
        <v>709.04</v>
      </c>
      <c r="AM148" s="195">
        <v>388.56</v>
      </c>
      <c r="AO148" s="367"/>
      <c r="AP148" s="367"/>
      <c r="AQ148" s="367"/>
    </row>
    <row r="149" spans="1:43" s="69" customFormat="1" ht="33" x14ac:dyDescent="0.3">
      <c r="A149" s="130" t="s">
        <v>397</v>
      </c>
      <c r="B149" s="122" t="s">
        <v>109</v>
      </c>
      <c r="C149" s="132" t="s">
        <v>110</v>
      </c>
      <c r="D149" s="133">
        <v>4788.7700000000004</v>
      </c>
      <c r="E149" s="75"/>
      <c r="F149" s="75"/>
      <c r="G149" s="75"/>
      <c r="H149" s="75"/>
      <c r="I149" s="75"/>
      <c r="J149" s="75">
        <v>36.4</v>
      </c>
      <c r="K149" s="75">
        <v>174311.23</v>
      </c>
      <c r="L149" s="91" t="s">
        <v>111</v>
      </c>
      <c r="M149" s="73"/>
      <c r="N149" s="46">
        <v>4778</v>
      </c>
      <c r="O149" s="46">
        <v>0</v>
      </c>
      <c r="P149" s="46">
        <v>173919.2</v>
      </c>
      <c r="Q149" s="98"/>
      <c r="R149" s="23" t="s">
        <v>1393</v>
      </c>
      <c r="S149" s="24" t="s">
        <v>109</v>
      </c>
      <c r="T149" s="25" t="s">
        <v>110</v>
      </c>
      <c r="U149" s="26">
        <v>4788.7700000000004</v>
      </c>
      <c r="V149" s="26">
        <f t="shared" si="36"/>
        <v>4788.7700000000004</v>
      </c>
      <c r="W149" s="26">
        <f t="shared" si="34"/>
        <v>36.4</v>
      </c>
      <c r="X149" s="127">
        <f t="shared" si="37"/>
        <v>0</v>
      </c>
      <c r="Y149" s="127">
        <f t="shared" si="38"/>
        <v>4778</v>
      </c>
      <c r="Z149" s="127">
        <f t="shared" si="39"/>
        <v>0</v>
      </c>
      <c r="AA149" s="127">
        <f t="shared" si="20"/>
        <v>173919.2</v>
      </c>
      <c r="AB149" s="33" t="s">
        <v>15</v>
      </c>
      <c r="AC149" s="325"/>
      <c r="AD149" s="263">
        <f t="shared" si="33"/>
        <v>4788.7700000000004</v>
      </c>
      <c r="AE149" s="263">
        <f t="shared" si="40"/>
        <v>174311.23</v>
      </c>
      <c r="AF149" s="263">
        <v>1.3</v>
      </c>
      <c r="AG149" s="263">
        <v>1.3</v>
      </c>
      <c r="AH149" s="68" t="str">
        <f t="shared" si="21"/>
        <v/>
      </c>
      <c r="AI149" s="192">
        <v>4778</v>
      </c>
      <c r="AJ149" s="188">
        <v>4788.7700000000004</v>
      </c>
      <c r="AM149" s="195">
        <v>4788.7700000000004</v>
      </c>
      <c r="AO149" s="367"/>
      <c r="AP149" s="367"/>
      <c r="AQ149" s="367"/>
    </row>
    <row r="150" spans="1:43" s="69" customFormat="1" ht="33" x14ac:dyDescent="0.3">
      <c r="A150" s="130" t="s">
        <v>398</v>
      </c>
      <c r="B150" s="122" t="s">
        <v>399</v>
      </c>
      <c r="C150" s="132" t="s">
        <v>110</v>
      </c>
      <c r="D150" s="133">
        <v>205535.32</v>
      </c>
      <c r="E150" s="75"/>
      <c r="F150" s="75"/>
      <c r="G150" s="75"/>
      <c r="H150" s="75"/>
      <c r="I150" s="75"/>
      <c r="J150" s="75">
        <v>38.71</v>
      </c>
      <c r="K150" s="75">
        <v>7956272.2400000002</v>
      </c>
      <c r="L150" s="91" t="s">
        <v>400</v>
      </c>
      <c r="M150" s="73"/>
      <c r="N150" s="46">
        <v>205151.02</v>
      </c>
      <c r="O150" s="46">
        <v>111736.41</v>
      </c>
      <c r="P150" s="46">
        <v>7941395.9800000004</v>
      </c>
      <c r="Q150" s="98"/>
      <c r="R150" s="23" t="s">
        <v>1403</v>
      </c>
      <c r="S150" s="24" t="s">
        <v>399</v>
      </c>
      <c r="T150" s="25" t="s">
        <v>110</v>
      </c>
      <c r="U150" s="26">
        <v>205535.32</v>
      </c>
      <c r="V150" s="26">
        <f t="shared" si="36"/>
        <v>205535.32</v>
      </c>
      <c r="W150" s="26">
        <f t="shared" si="34"/>
        <v>38.71</v>
      </c>
      <c r="X150" s="127">
        <f t="shared" si="37"/>
        <v>0</v>
      </c>
      <c r="Y150" s="127">
        <f t="shared" si="38"/>
        <v>205151.02</v>
      </c>
      <c r="Z150" s="127">
        <f t="shared" si="39"/>
        <v>0</v>
      </c>
      <c r="AA150" s="127">
        <f t="shared" ref="AA150:AA224" si="41">ROUND(W150*Y150,2)</f>
        <v>7941395.9800000004</v>
      </c>
      <c r="AB150" s="33" t="s">
        <v>15</v>
      </c>
      <c r="AC150" s="325"/>
      <c r="AD150" s="263">
        <f t="shared" si="33"/>
        <v>205535.32</v>
      </c>
      <c r="AE150" s="263">
        <f t="shared" si="40"/>
        <v>7956272.2400000002</v>
      </c>
      <c r="AF150" s="263">
        <v>1.3</v>
      </c>
      <c r="AG150" s="263">
        <v>1.3</v>
      </c>
      <c r="AH150" s="68" t="str">
        <f t="shared" ref="AH150:AH223" si="42">IF(Y150&gt;AJ150,"超估","")</f>
        <v/>
      </c>
      <c r="AI150" s="194">
        <f>202264.52+2886.5</f>
        <v>205151.02</v>
      </c>
      <c r="AJ150" s="188">
        <v>205535.32</v>
      </c>
      <c r="AM150" s="195">
        <v>72641</v>
      </c>
      <c r="AO150" s="367"/>
      <c r="AP150" s="367"/>
      <c r="AQ150" s="367"/>
    </row>
    <row r="151" spans="1:43" s="69" customFormat="1" ht="33" x14ac:dyDescent="0.3">
      <c r="A151" s="130" t="s">
        <v>401</v>
      </c>
      <c r="B151" s="131" t="s">
        <v>402</v>
      </c>
      <c r="C151" s="132" t="s">
        <v>50</v>
      </c>
      <c r="D151" s="133">
        <v>320.89999999999998</v>
      </c>
      <c r="E151" s="75"/>
      <c r="F151" s="75"/>
      <c r="G151" s="75"/>
      <c r="H151" s="133">
        <v>351.33</v>
      </c>
      <c r="I151" s="75"/>
      <c r="J151" s="75">
        <v>1154.98</v>
      </c>
      <c r="K151" s="75">
        <v>405779.12</v>
      </c>
      <c r="L151" s="91" t="s">
        <v>403</v>
      </c>
      <c r="M151" s="73"/>
      <c r="N151" s="46">
        <v>349.89</v>
      </c>
      <c r="O151" s="46">
        <v>34418.400000000001</v>
      </c>
      <c r="P151" s="46">
        <v>404115.95</v>
      </c>
      <c r="Q151" s="98"/>
      <c r="R151" s="23" t="s">
        <v>1427</v>
      </c>
      <c r="S151" s="24" t="s">
        <v>402</v>
      </c>
      <c r="T151" s="25" t="s">
        <v>50</v>
      </c>
      <c r="U151" s="26">
        <v>320.89999999999998</v>
      </c>
      <c r="V151" s="26">
        <f t="shared" si="36"/>
        <v>351.33</v>
      </c>
      <c r="W151" s="26">
        <f t="shared" si="34"/>
        <v>1154.98</v>
      </c>
      <c r="X151" s="127">
        <f t="shared" si="37"/>
        <v>0</v>
      </c>
      <c r="Y151" s="127">
        <f t="shared" si="38"/>
        <v>349.89</v>
      </c>
      <c r="Z151" s="127">
        <f t="shared" si="39"/>
        <v>0</v>
      </c>
      <c r="AA151" s="127">
        <f t="shared" si="41"/>
        <v>404115.95</v>
      </c>
      <c r="AB151" s="33" t="s">
        <v>15</v>
      </c>
      <c r="AC151" s="325"/>
      <c r="AD151" s="263">
        <f t="shared" si="33"/>
        <v>351.33</v>
      </c>
      <c r="AE151" s="263">
        <f t="shared" si="40"/>
        <v>405779.12</v>
      </c>
      <c r="AF151" s="263">
        <v>1.3</v>
      </c>
      <c r="AG151" s="263">
        <v>1.3</v>
      </c>
      <c r="AH151" s="68" t="str">
        <f t="shared" si="42"/>
        <v/>
      </c>
      <c r="AI151" s="194">
        <v>349.89</v>
      </c>
      <c r="AJ151" s="188">
        <v>351.33</v>
      </c>
      <c r="AM151" s="195">
        <v>351.34</v>
      </c>
      <c r="AO151" s="367"/>
      <c r="AP151" s="367"/>
      <c r="AQ151" s="367"/>
    </row>
    <row r="152" spans="1:43" s="69" customFormat="1" ht="57.75" x14ac:dyDescent="0.3">
      <c r="A152" s="130" t="s">
        <v>404</v>
      </c>
      <c r="B152" s="131" t="s">
        <v>405</v>
      </c>
      <c r="C152" s="132" t="s">
        <v>50</v>
      </c>
      <c r="D152" s="133">
        <v>493.85</v>
      </c>
      <c r="E152" s="203"/>
      <c r="F152" s="203"/>
      <c r="G152" s="203"/>
      <c r="H152" s="133">
        <v>574.89</v>
      </c>
      <c r="I152" s="75"/>
      <c r="J152" s="75">
        <v>982.98</v>
      </c>
      <c r="K152" s="75">
        <v>565105.37</v>
      </c>
      <c r="L152" s="91" t="s">
        <v>406</v>
      </c>
      <c r="M152" s="73"/>
      <c r="N152" s="46">
        <v>570.15</v>
      </c>
      <c r="O152" s="46">
        <v>75001.38</v>
      </c>
      <c r="P152" s="46">
        <v>560446.05000000005</v>
      </c>
      <c r="Q152" s="98"/>
      <c r="R152" s="23" t="s">
        <v>1428</v>
      </c>
      <c r="S152" s="24" t="s">
        <v>405</v>
      </c>
      <c r="T152" s="25" t="s">
        <v>50</v>
      </c>
      <c r="U152" s="26">
        <v>493.85</v>
      </c>
      <c r="V152" s="26">
        <f t="shared" si="36"/>
        <v>574.89</v>
      </c>
      <c r="W152" s="26">
        <f t="shared" si="34"/>
        <v>982.98</v>
      </c>
      <c r="X152" s="127">
        <f t="shared" si="37"/>
        <v>0</v>
      </c>
      <c r="Y152" s="127">
        <f t="shared" si="38"/>
        <v>570.15</v>
      </c>
      <c r="Z152" s="127">
        <f t="shared" si="39"/>
        <v>0</v>
      </c>
      <c r="AA152" s="127">
        <f t="shared" si="41"/>
        <v>560446.05000000005</v>
      </c>
      <c r="AB152" s="33" t="s">
        <v>15</v>
      </c>
      <c r="AC152" s="325"/>
      <c r="AD152" s="263">
        <f t="shared" si="33"/>
        <v>574.89</v>
      </c>
      <c r="AE152" s="263">
        <f t="shared" si="40"/>
        <v>565105.37</v>
      </c>
      <c r="AF152" s="263">
        <v>1.3</v>
      </c>
      <c r="AG152" s="263">
        <v>1.3</v>
      </c>
      <c r="AH152" s="68" t="str">
        <f t="shared" si="42"/>
        <v/>
      </c>
      <c r="AI152" s="192">
        <v>570.15</v>
      </c>
      <c r="AJ152" s="188">
        <v>574.89</v>
      </c>
      <c r="AM152" s="195">
        <v>574.89200000000017</v>
      </c>
      <c r="AO152" s="367"/>
      <c r="AP152" s="367"/>
      <c r="AQ152" s="367"/>
    </row>
    <row r="153" spans="1:43" s="69" customFormat="1" ht="41.25" x14ac:dyDescent="0.3">
      <c r="A153" s="130" t="s">
        <v>407</v>
      </c>
      <c r="B153" s="131" t="s">
        <v>408</v>
      </c>
      <c r="C153" s="132" t="s">
        <v>50</v>
      </c>
      <c r="D153" s="133">
        <v>126.48</v>
      </c>
      <c r="E153" s="203"/>
      <c r="F153" s="203"/>
      <c r="G153" s="203"/>
      <c r="H153" s="133">
        <v>138</v>
      </c>
      <c r="I153" s="75"/>
      <c r="J153" s="75">
        <v>804.79</v>
      </c>
      <c r="K153" s="75">
        <v>111061.02</v>
      </c>
      <c r="L153" s="91" t="s">
        <v>409</v>
      </c>
      <c r="M153" s="73"/>
      <c r="N153" s="46">
        <v>126.48</v>
      </c>
      <c r="O153" s="46">
        <v>0</v>
      </c>
      <c r="P153" s="46">
        <v>101789.84</v>
      </c>
      <c r="Q153" s="98"/>
      <c r="R153" s="23" t="s">
        <v>1387</v>
      </c>
      <c r="S153" s="24" t="s">
        <v>408</v>
      </c>
      <c r="T153" s="25" t="s">
        <v>50</v>
      </c>
      <c r="U153" s="26">
        <v>126.48</v>
      </c>
      <c r="V153" s="26">
        <f t="shared" si="36"/>
        <v>138</v>
      </c>
      <c r="W153" s="26">
        <f t="shared" si="34"/>
        <v>804.79</v>
      </c>
      <c r="X153" s="243">
        <f t="shared" si="37"/>
        <v>11.200000000000003</v>
      </c>
      <c r="Y153" s="127">
        <f t="shared" si="38"/>
        <v>137.68</v>
      </c>
      <c r="Z153" s="127">
        <f t="shared" si="39"/>
        <v>9013.6500000000087</v>
      </c>
      <c r="AA153" s="127">
        <f t="shared" si="41"/>
        <v>110803.49</v>
      </c>
      <c r="AB153" s="33" t="s">
        <v>15</v>
      </c>
      <c r="AC153" s="325"/>
      <c r="AD153" s="263">
        <f t="shared" si="33"/>
        <v>138</v>
      </c>
      <c r="AE153" s="263">
        <f t="shared" si="40"/>
        <v>111061.02</v>
      </c>
      <c r="AF153" s="263">
        <v>1.3</v>
      </c>
      <c r="AG153" s="263">
        <v>1.3</v>
      </c>
      <c r="AH153" s="68" t="str">
        <f t="shared" si="42"/>
        <v/>
      </c>
      <c r="AI153" s="193">
        <f>126.48+11.2</f>
        <v>137.68</v>
      </c>
      <c r="AJ153" s="188">
        <v>138</v>
      </c>
      <c r="AM153" s="195">
        <v>120</v>
      </c>
      <c r="AO153" s="367"/>
      <c r="AP153" s="367"/>
      <c r="AQ153" s="367"/>
    </row>
    <row r="154" spans="1:43" s="69" customFormat="1" ht="31.5" x14ac:dyDescent="0.3">
      <c r="A154" s="265" t="s">
        <v>410</v>
      </c>
      <c r="B154" s="131" t="s">
        <v>411</v>
      </c>
      <c r="C154" s="132" t="s">
        <v>412</v>
      </c>
      <c r="D154" s="133">
        <v>12205</v>
      </c>
      <c r="E154" s="75"/>
      <c r="F154" s="75"/>
      <c r="G154" s="75"/>
      <c r="H154" s="75"/>
      <c r="I154" s="75"/>
      <c r="J154" s="75">
        <v>75</v>
      </c>
      <c r="K154" s="75">
        <v>915375</v>
      </c>
      <c r="L154" s="91" t="s">
        <v>413</v>
      </c>
      <c r="M154" s="73"/>
      <c r="N154" s="46">
        <v>12132.8</v>
      </c>
      <c r="O154" s="46">
        <v>39277.5</v>
      </c>
      <c r="P154" s="46">
        <v>909960</v>
      </c>
      <c r="Q154" s="98"/>
      <c r="R154" s="23" t="s">
        <v>1405</v>
      </c>
      <c r="S154" s="24" t="s">
        <v>411</v>
      </c>
      <c r="T154" s="25" t="s">
        <v>412</v>
      </c>
      <c r="U154" s="26">
        <v>12205</v>
      </c>
      <c r="V154" s="26">
        <f t="shared" si="36"/>
        <v>12205</v>
      </c>
      <c r="W154" s="26">
        <f t="shared" si="34"/>
        <v>75</v>
      </c>
      <c r="X154" s="127">
        <f t="shared" si="37"/>
        <v>0</v>
      </c>
      <c r="Y154" s="127">
        <f t="shared" si="38"/>
        <v>12132.8</v>
      </c>
      <c r="Z154" s="127">
        <f t="shared" si="39"/>
        <v>0</v>
      </c>
      <c r="AA154" s="127">
        <f t="shared" si="41"/>
        <v>909960</v>
      </c>
      <c r="AB154" s="33" t="s">
        <v>15</v>
      </c>
      <c r="AC154" s="325"/>
      <c r="AD154" s="263">
        <f t="shared" si="33"/>
        <v>12205</v>
      </c>
      <c r="AE154" s="263">
        <f t="shared" si="40"/>
        <v>915375</v>
      </c>
      <c r="AF154" s="263">
        <v>1.3</v>
      </c>
      <c r="AG154" s="263">
        <v>1.3</v>
      </c>
      <c r="AH154" s="68" t="str">
        <f t="shared" si="42"/>
        <v/>
      </c>
      <c r="AI154" s="194">
        <f>6752.2+4233.9+623+523.7</f>
        <v>12132.8</v>
      </c>
      <c r="AJ154" s="188">
        <v>12205</v>
      </c>
      <c r="AO154" s="367"/>
      <c r="AP154" s="367"/>
      <c r="AQ154" s="367"/>
    </row>
    <row r="155" spans="1:43" s="69" customFormat="1" ht="33" x14ac:dyDescent="0.3">
      <c r="A155" s="265" t="s">
        <v>414</v>
      </c>
      <c r="B155" s="131" t="s">
        <v>125</v>
      </c>
      <c r="C155" s="132" t="s">
        <v>110</v>
      </c>
      <c r="D155" s="133">
        <v>8317</v>
      </c>
      <c r="E155" s="75"/>
      <c r="F155" s="75"/>
      <c r="G155" s="75"/>
      <c r="H155" s="75"/>
      <c r="I155" s="75"/>
      <c r="J155" s="75">
        <v>60</v>
      </c>
      <c r="K155" s="75">
        <v>499020</v>
      </c>
      <c r="L155" s="91" t="s">
        <v>126</v>
      </c>
      <c r="M155" s="73"/>
      <c r="N155" s="46">
        <v>8292.2000000000007</v>
      </c>
      <c r="O155" s="46">
        <v>0</v>
      </c>
      <c r="P155" s="46">
        <v>497532</v>
      </c>
      <c r="Q155" s="98"/>
      <c r="R155" s="23" t="s">
        <v>1406</v>
      </c>
      <c r="S155" s="24" t="s">
        <v>125</v>
      </c>
      <c r="T155" s="25" t="s">
        <v>110</v>
      </c>
      <c r="U155" s="26">
        <v>8317</v>
      </c>
      <c r="V155" s="26">
        <f t="shared" si="36"/>
        <v>8317</v>
      </c>
      <c r="W155" s="26">
        <f t="shared" si="34"/>
        <v>60</v>
      </c>
      <c r="X155" s="127">
        <f t="shared" si="37"/>
        <v>0</v>
      </c>
      <c r="Y155" s="127">
        <f t="shared" si="38"/>
        <v>8292.2000000000007</v>
      </c>
      <c r="Z155" s="127">
        <f t="shared" si="39"/>
        <v>0</v>
      </c>
      <c r="AA155" s="127">
        <f t="shared" si="41"/>
        <v>497532</v>
      </c>
      <c r="AB155" s="33" t="s">
        <v>15</v>
      </c>
      <c r="AC155" s="325"/>
      <c r="AD155" s="263">
        <f t="shared" si="33"/>
        <v>8317</v>
      </c>
      <c r="AE155" s="263">
        <f t="shared" si="40"/>
        <v>499020</v>
      </c>
      <c r="AF155" s="263">
        <v>1.3</v>
      </c>
      <c r="AG155" s="263">
        <v>1.3</v>
      </c>
      <c r="AH155" s="68" t="str">
        <f t="shared" si="42"/>
        <v/>
      </c>
      <c r="AI155" s="194">
        <f>5520+2390.2+382</f>
        <v>8292.2000000000007</v>
      </c>
      <c r="AJ155" s="188">
        <v>8317</v>
      </c>
      <c r="AO155" s="367"/>
      <c r="AP155" s="367"/>
      <c r="AQ155" s="367"/>
    </row>
    <row r="156" spans="1:43" s="69" customFormat="1" ht="58.5" x14ac:dyDescent="0.3">
      <c r="A156" s="265" t="s">
        <v>415</v>
      </c>
      <c r="B156" s="131" t="s">
        <v>3147</v>
      </c>
      <c r="C156" s="132" t="s">
        <v>110</v>
      </c>
      <c r="D156" s="133">
        <v>8317</v>
      </c>
      <c r="E156" s="75"/>
      <c r="F156" s="75"/>
      <c r="G156" s="75"/>
      <c r="H156" s="75"/>
      <c r="I156" s="75"/>
      <c r="J156" s="75">
        <v>31.9</v>
      </c>
      <c r="K156" s="75">
        <v>265312.3</v>
      </c>
      <c r="L156" s="91" t="s">
        <v>3148</v>
      </c>
      <c r="M156" s="73"/>
      <c r="N156" s="46">
        <v>8292.2000000000007</v>
      </c>
      <c r="O156" s="46">
        <v>0</v>
      </c>
      <c r="P156" s="46">
        <v>264521.18</v>
      </c>
      <c r="Q156" s="98"/>
      <c r="R156" s="23" t="s">
        <v>1414</v>
      </c>
      <c r="S156" s="24" t="s">
        <v>128</v>
      </c>
      <c r="T156" s="25" t="s">
        <v>110</v>
      </c>
      <c r="U156" s="26">
        <v>8317</v>
      </c>
      <c r="V156" s="26">
        <f t="shared" si="36"/>
        <v>8317</v>
      </c>
      <c r="W156" s="26">
        <f t="shared" si="34"/>
        <v>31.9</v>
      </c>
      <c r="X156" s="127">
        <f t="shared" si="37"/>
        <v>0</v>
      </c>
      <c r="Y156" s="127">
        <f t="shared" si="38"/>
        <v>8292.2000000000007</v>
      </c>
      <c r="Z156" s="127">
        <f t="shared" si="39"/>
        <v>0</v>
      </c>
      <c r="AA156" s="127">
        <f t="shared" si="41"/>
        <v>264521.18</v>
      </c>
      <c r="AB156" s="33" t="s">
        <v>15</v>
      </c>
      <c r="AC156" s="325"/>
      <c r="AD156" s="263">
        <f t="shared" si="33"/>
        <v>8317</v>
      </c>
      <c r="AE156" s="263">
        <f t="shared" si="40"/>
        <v>265312.3</v>
      </c>
      <c r="AF156" s="263">
        <v>1.3</v>
      </c>
      <c r="AG156" s="263">
        <v>1.3</v>
      </c>
      <c r="AH156" s="68" t="str">
        <f t="shared" si="42"/>
        <v/>
      </c>
      <c r="AI156" s="194">
        <f>AI155</f>
        <v>8292.2000000000007</v>
      </c>
      <c r="AJ156" s="188">
        <v>8317</v>
      </c>
      <c r="AO156" s="367"/>
      <c r="AP156" s="367"/>
      <c r="AQ156" s="367"/>
    </row>
    <row r="157" spans="1:43" s="69" customFormat="1" ht="58.5" x14ac:dyDescent="0.3">
      <c r="A157" s="265" t="s">
        <v>416</v>
      </c>
      <c r="B157" s="131" t="s">
        <v>417</v>
      </c>
      <c r="C157" s="132" t="s">
        <v>110</v>
      </c>
      <c r="D157" s="133">
        <v>1087</v>
      </c>
      <c r="E157" s="75"/>
      <c r="F157" s="75"/>
      <c r="G157" s="75"/>
      <c r="H157" s="75"/>
      <c r="I157" s="75"/>
      <c r="J157" s="75">
        <v>278.10000000000002</v>
      </c>
      <c r="K157" s="75">
        <v>302294.7</v>
      </c>
      <c r="L157" s="91" t="s">
        <v>418</v>
      </c>
      <c r="M157" s="73"/>
      <c r="N157" s="46">
        <v>1059.8</v>
      </c>
      <c r="O157" s="46">
        <v>0</v>
      </c>
      <c r="P157" s="46">
        <v>294730.38</v>
      </c>
      <c r="Q157" s="98"/>
      <c r="R157" s="23" t="s">
        <v>1429</v>
      </c>
      <c r="S157" s="24" t="s">
        <v>417</v>
      </c>
      <c r="T157" s="25" t="s">
        <v>110</v>
      </c>
      <c r="U157" s="26">
        <v>1087</v>
      </c>
      <c r="V157" s="26">
        <f t="shared" si="36"/>
        <v>1087</v>
      </c>
      <c r="W157" s="26">
        <f t="shared" si="34"/>
        <v>278.10000000000002</v>
      </c>
      <c r="X157" s="127">
        <f t="shared" si="37"/>
        <v>0</v>
      </c>
      <c r="Y157" s="127">
        <f t="shared" si="38"/>
        <v>1059.8</v>
      </c>
      <c r="Z157" s="127">
        <f t="shared" si="39"/>
        <v>0</v>
      </c>
      <c r="AA157" s="127">
        <f t="shared" si="41"/>
        <v>294730.38</v>
      </c>
      <c r="AB157" s="33" t="s">
        <v>15</v>
      </c>
      <c r="AC157" s="325"/>
      <c r="AD157" s="263">
        <f t="shared" si="33"/>
        <v>1087</v>
      </c>
      <c r="AE157" s="263">
        <f t="shared" si="40"/>
        <v>302294.7</v>
      </c>
      <c r="AF157" s="263">
        <v>1.3</v>
      </c>
      <c r="AG157" s="263">
        <v>1.3</v>
      </c>
      <c r="AH157" s="68" t="str">
        <f t="shared" si="42"/>
        <v/>
      </c>
      <c r="AI157" s="194">
        <f>526.1+533.7</f>
        <v>1059.8000000000002</v>
      </c>
      <c r="AJ157" s="188">
        <v>1087</v>
      </c>
      <c r="AO157" s="367"/>
      <c r="AP157" s="367"/>
      <c r="AQ157" s="367"/>
    </row>
    <row r="158" spans="1:43" s="69" customFormat="1" ht="78" x14ac:dyDescent="0.3">
      <c r="A158" s="265" t="s">
        <v>419</v>
      </c>
      <c r="B158" s="131" t="s">
        <v>420</v>
      </c>
      <c r="C158" s="132" t="s">
        <v>50</v>
      </c>
      <c r="D158" s="133">
        <v>172</v>
      </c>
      <c r="E158" s="75"/>
      <c r="F158" s="75"/>
      <c r="G158" s="75"/>
      <c r="H158" s="75"/>
      <c r="I158" s="75"/>
      <c r="J158" s="75">
        <v>1400</v>
      </c>
      <c r="K158" s="75">
        <v>240800</v>
      </c>
      <c r="L158" s="91" t="s">
        <v>421</v>
      </c>
      <c r="M158" s="73"/>
      <c r="N158" s="46">
        <v>171.4</v>
      </c>
      <c r="O158" s="46">
        <v>0</v>
      </c>
      <c r="P158" s="46">
        <v>239960</v>
      </c>
      <c r="Q158" s="98"/>
      <c r="R158" s="23" t="s">
        <v>1430</v>
      </c>
      <c r="S158" s="24" t="s">
        <v>420</v>
      </c>
      <c r="T158" s="25" t="s">
        <v>50</v>
      </c>
      <c r="U158" s="26">
        <v>172</v>
      </c>
      <c r="V158" s="26">
        <f t="shared" si="36"/>
        <v>172</v>
      </c>
      <c r="W158" s="26">
        <f t="shared" si="34"/>
        <v>1400</v>
      </c>
      <c r="X158" s="127">
        <f t="shared" si="37"/>
        <v>0</v>
      </c>
      <c r="Y158" s="127">
        <f t="shared" si="38"/>
        <v>171.4</v>
      </c>
      <c r="Z158" s="127">
        <f t="shared" si="39"/>
        <v>0</v>
      </c>
      <c r="AA158" s="127">
        <f t="shared" si="41"/>
        <v>239960</v>
      </c>
      <c r="AB158" s="33" t="s">
        <v>15</v>
      </c>
      <c r="AC158" s="325"/>
      <c r="AD158" s="263">
        <f t="shared" si="33"/>
        <v>172</v>
      </c>
      <c r="AE158" s="263">
        <f t="shared" si="40"/>
        <v>240800</v>
      </c>
      <c r="AF158" s="263">
        <v>1.3</v>
      </c>
      <c r="AG158" s="263">
        <v>1.3</v>
      </c>
      <c r="AH158" s="68" t="str">
        <f t="shared" si="42"/>
        <v/>
      </c>
      <c r="AI158" s="194">
        <f>69.6+101.8</f>
        <v>171.39999999999998</v>
      </c>
      <c r="AJ158" s="188">
        <v>172</v>
      </c>
      <c r="AO158" s="367"/>
      <c r="AP158" s="367"/>
      <c r="AQ158" s="367"/>
    </row>
    <row r="159" spans="1:43" s="69" customFormat="1" ht="156" x14ac:dyDescent="0.3">
      <c r="A159" s="130" t="s">
        <v>422</v>
      </c>
      <c r="B159" s="131" t="s">
        <v>3070</v>
      </c>
      <c r="C159" s="132" t="s">
        <v>110</v>
      </c>
      <c r="D159" s="133">
        <v>150400</v>
      </c>
      <c r="E159" s="75"/>
      <c r="F159" s="75"/>
      <c r="G159" s="75"/>
      <c r="H159" s="133">
        <v>154935.98000000001</v>
      </c>
      <c r="I159" s="75"/>
      <c r="J159" s="75">
        <v>107.31</v>
      </c>
      <c r="K159" s="75">
        <v>16626180.01</v>
      </c>
      <c r="L159" s="91" t="s">
        <v>132</v>
      </c>
      <c r="M159" s="73"/>
      <c r="N159" s="46">
        <v>154547.07999999999</v>
      </c>
      <c r="O159" s="46">
        <v>0</v>
      </c>
      <c r="P159" s="46">
        <v>16584447.15</v>
      </c>
      <c r="Q159" s="98"/>
      <c r="R159" s="23" t="s">
        <v>1431</v>
      </c>
      <c r="S159" s="24" t="s">
        <v>131</v>
      </c>
      <c r="T159" s="25" t="s">
        <v>110</v>
      </c>
      <c r="U159" s="26">
        <v>150400</v>
      </c>
      <c r="V159" s="26">
        <f t="shared" si="36"/>
        <v>154935.98000000001</v>
      </c>
      <c r="W159" s="26">
        <f t="shared" si="34"/>
        <v>107.31</v>
      </c>
      <c r="X159" s="243">
        <f t="shared" si="37"/>
        <v>375.60000000000582</v>
      </c>
      <c r="Y159" s="127">
        <f t="shared" si="38"/>
        <v>154922.68</v>
      </c>
      <c r="Z159" s="127">
        <f t="shared" si="39"/>
        <v>40305.639999998733</v>
      </c>
      <c r="AA159" s="127">
        <f t="shared" si="41"/>
        <v>16624752.789999999</v>
      </c>
      <c r="AB159" s="33" t="s">
        <v>15</v>
      </c>
      <c r="AC159" s="325"/>
      <c r="AD159" s="263">
        <f t="shared" si="33"/>
        <v>154935.98000000001</v>
      </c>
      <c r="AE159" s="263">
        <f t="shared" si="40"/>
        <v>16626180.01</v>
      </c>
      <c r="AF159" s="263">
        <v>1.3</v>
      </c>
      <c r="AG159" s="263">
        <v>1.3</v>
      </c>
      <c r="AH159" s="68" t="str">
        <f t="shared" si="42"/>
        <v/>
      </c>
      <c r="AI159" s="191">
        <f>150350.58+4196.5+375.6</f>
        <v>154922.68</v>
      </c>
      <c r="AJ159" s="188">
        <v>154935.98000000001</v>
      </c>
      <c r="AO159" s="367"/>
      <c r="AP159" s="367"/>
      <c r="AQ159" s="367"/>
    </row>
    <row r="160" spans="1:43" s="69" customFormat="1" ht="58.5" x14ac:dyDescent="0.3">
      <c r="A160" s="130" t="s">
        <v>423</v>
      </c>
      <c r="B160" s="131" t="s">
        <v>424</v>
      </c>
      <c r="C160" s="132" t="s">
        <v>50</v>
      </c>
      <c r="D160" s="133">
        <v>1140.1600000000001</v>
      </c>
      <c r="E160" s="75"/>
      <c r="F160" s="75"/>
      <c r="G160" s="75"/>
      <c r="H160" s="75"/>
      <c r="I160" s="343">
        <v>1270.02</v>
      </c>
      <c r="J160" s="75">
        <v>692.16</v>
      </c>
      <c r="K160" s="75">
        <v>879057.04</v>
      </c>
      <c r="L160" s="91" t="s">
        <v>425</v>
      </c>
      <c r="M160" s="73"/>
      <c r="N160" s="46">
        <v>1139.5999999999999</v>
      </c>
      <c r="O160" s="46">
        <v>0</v>
      </c>
      <c r="P160" s="46">
        <v>788785.54</v>
      </c>
      <c r="Q160" s="98"/>
      <c r="R160" s="23" t="s">
        <v>1395</v>
      </c>
      <c r="S160" s="24" t="s">
        <v>424</v>
      </c>
      <c r="T160" s="25" t="s">
        <v>50</v>
      </c>
      <c r="U160" s="26">
        <v>1140.1600000000001</v>
      </c>
      <c r="V160" s="26">
        <f t="shared" si="36"/>
        <v>1270.02</v>
      </c>
      <c r="W160" s="26">
        <f t="shared" si="34"/>
        <v>692.16</v>
      </c>
      <c r="X160" s="243">
        <f t="shared" si="37"/>
        <v>130.40000000000009</v>
      </c>
      <c r="Y160" s="127">
        <f t="shared" si="38"/>
        <v>1270</v>
      </c>
      <c r="Z160" s="127">
        <f t="shared" si="39"/>
        <v>90257.659999999916</v>
      </c>
      <c r="AA160" s="127">
        <f t="shared" si="41"/>
        <v>879043.2</v>
      </c>
      <c r="AB160" s="33" t="s">
        <v>15</v>
      </c>
      <c r="AC160" s="325"/>
      <c r="AD160" s="263">
        <f t="shared" si="33"/>
        <v>1270.02</v>
      </c>
      <c r="AE160" s="263">
        <f t="shared" si="40"/>
        <v>879057.04</v>
      </c>
      <c r="AF160" s="263">
        <v>1.3</v>
      </c>
      <c r="AG160" s="263">
        <v>1.3</v>
      </c>
      <c r="AH160" s="68" t="str">
        <f t="shared" si="42"/>
        <v/>
      </c>
      <c r="AI160" s="191">
        <f>1139.6+130.4</f>
        <v>1270</v>
      </c>
      <c r="AJ160" s="190">
        <v>1270.02</v>
      </c>
      <c r="AO160" s="367"/>
      <c r="AP160" s="367"/>
      <c r="AQ160" s="367"/>
    </row>
    <row r="161" spans="1:43" s="69" customFormat="1" ht="78" x14ac:dyDescent="0.3">
      <c r="A161" s="130" t="s">
        <v>426</v>
      </c>
      <c r="B161" s="131" t="s">
        <v>33</v>
      </c>
      <c r="C161" s="132" t="s">
        <v>34</v>
      </c>
      <c r="D161" s="133">
        <v>527.59</v>
      </c>
      <c r="E161" s="203"/>
      <c r="F161" s="203"/>
      <c r="G161" s="203"/>
      <c r="H161" s="203"/>
      <c r="I161" s="203"/>
      <c r="J161" s="75">
        <v>48.28</v>
      </c>
      <c r="K161" s="75">
        <v>25472.05</v>
      </c>
      <c r="L161" s="91" t="s">
        <v>35</v>
      </c>
      <c r="M161" s="73"/>
      <c r="N161" s="46">
        <v>527.59</v>
      </c>
      <c r="O161" s="46">
        <v>0</v>
      </c>
      <c r="P161" s="46">
        <v>25472.05</v>
      </c>
      <c r="Q161" s="98"/>
      <c r="R161" s="23" t="s">
        <v>1432</v>
      </c>
      <c r="S161" s="24" t="s">
        <v>33</v>
      </c>
      <c r="T161" s="25" t="s">
        <v>34</v>
      </c>
      <c r="U161" s="26">
        <v>527.59</v>
      </c>
      <c r="V161" s="26">
        <f t="shared" si="36"/>
        <v>527.59</v>
      </c>
      <c r="W161" s="26">
        <f t="shared" si="34"/>
        <v>48.28</v>
      </c>
      <c r="X161" s="127">
        <f t="shared" si="37"/>
        <v>0</v>
      </c>
      <c r="Y161" s="127">
        <f t="shared" si="38"/>
        <v>527.59</v>
      </c>
      <c r="Z161" s="127">
        <f t="shared" si="39"/>
        <v>0</v>
      </c>
      <c r="AA161" s="127">
        <f t="shared" si="41"/>
        <v>25472.05</v>
      </c>
      <c r="AB161" s="33" t="s">
        <v>15</v>
      </c>
      <c r="AC161" s="324"/>
      <c r="AD161" s="181">
        <f t="shared" si="33"/>
        <v>527.59</v>
      </c>
      <c r="AE161" s="181">
        <f t="shared" si="40"/>
        <v>25472.05</v>
      </c>
      <c r="AF161" s="181">
        <v>1.3</v>
      </c>
      <c r="AG161" s="181">
        <v>1.3</v>
      </c>
      <c r="AH161" s="363" t="str">
        <f t="shared" si="42"/>
        <v/>
      </c>
      <c r="AI161" s="190">
        <v>527.59</v>
      </c>
      <c r="AJ161" s="188">
        <v>527.59</v>
      </c>
      <c r="AO161" s="367"/>
      <c r="AP161" s="367"/>
      <c r="AQ161" s="367"/>
    </row>
    <row r="162" spans="1:43" s="69" customFormat="1" ht="78" x14ac:dyDescent="0.3">
      <c r="A162" s="130" t="s">
        <v>427</v>
      </c>
      <c r="B162" s="131" t="s">
        <v>428</v>
      </c>
      <c r="C162" s="132" t="s">
        <v>34</v>
      </c>
      <c r="D162" s="133">
        <v>355.42</v>
      </c>
      <c r="E162" s="203"/>
      <c r="F162" s="203"/>
      <c r="G162" s="203"/>
      <c r="H162" s="203"/>
      <c r="I162" s="343">
        <v>0</v>
      </c>
      <c r="J162" s="75">
        <v>721.06</v>
      </c>
      <c r="K162" s="75">
        <v>0</v>
      </c>
      <c r="L162" s="91" t="s">
        <v>429</v>
      </c>
      <c r="M162" s="73"/>
      <c r="N162" s="46">
        <v>0</v>
      </c>
      <c r="O162" s="46">
        <v>0</v>
      </c>
      <c r="P162" s="46">
        <v>0</v>
      </c>
      <c r="Q162" s="98"/>
      <c r="R162" s="23" t="s">
        <v>1433</v>
      </c>
      <c r="S162" s="24" t="s">
        <v>428</v>
      </c>
      <c r="T162" s="25" t="s">
        <v>34</v>
      </c>
      <c r="U162" s="26">
        <v>355.42</v>
      </c>
      <c r="V162" s="26">
        <v>0</v>
      </c>
      <c r="W162" s="26">
        <f t="shared" si="34"/>
        <v>721.06</v>
      </c>
      <c r="X162" s="127">
        <f t="shared" si="37"/>
        <v>0</v>
      </c>
      <c r="Y162" s="127">
        <f t="shared" si="38"/>
        <v>0</v>
      </c>
      <c r="Z162" s="127">
        <f t="shared" si="39"/>
        <v>0</v>
      </c>
      <c r="AA162" s="127">
        <f t="shared" si="41"/>
        <v>0</v>
      </c>
      <c r="AB162" s="33" t="s">
        <v>15</v>
      </c>
      <c r="AC162" s="324"/>
      <c r="AD162" s="181">
        <v>0</v>
      </c>
      <c r="AE162" s="181">
        <f t="shared" si="40"/>
        <v>0</v>
      </c>
      <c r="AF162" s="181">
        <v>1.3</v>
      </c>
      <c r="AG162" s="181">
        <v>1.3</v>
      </c>
      <c r="AH162" s="363" t="str">
        <f t="shared" si="42"/>
        <v/>
      </c>
      <c r="AI162" s="190">
        <v>0</v>
      </c>
      <c r="AJ162" s="188">
        <v>0</v>
      </c>
      <c r="AO162" s="367"/>
      <c r="AP162" s="367"/>
      <c r="AQ162" s="367"/>
    </row>
    <row r="163" spans="1:43" s="69" customFormat="1" x14ac:dyDescent="0.3">
      <c r="A163" s="55" t="s">
        <v>430</v>
      </c>
      <c r="B163" s="53" t="s">
        <v>431</v>
      </c>
      <c r="C163" s="202" t="s">
        <v>50</v>
      </c>
      <c r="D163" s="203">
        <v>272</v>
      </c>
      <c r="E163" s="203"/>
      <c r="F163" s="203">
        <v>32675</v>
      </c>
      <c r="G163" s="203"/>
      <c r="H163" s="203"/>
      <c r="I163" s="203"/>
      <c r="J163" s="75">
        <v>28</v>
      </c>
      <c r="K163" s="75">
        <v>914900</v>
      </c>
      <c r="L163" s="91" t="s">
        <v>432</v>
      </c>
      <c r="M163" s="73"/>
      <c r="N163" s="46">
        <v>29264</v>
      </c>
      <c r="O163" s="46">
        <v>0</v>
      </c>
      <c r="P163" s="46">
        <v>819392</v>
      </c>
      <c r="Q163" s="98"/>
      <c r="R163" s="23" t="s">
        <v>1382</v>
      </c>
      <c r="S163" s="24" t="s">
        <v>431</v>
      </c>
      <c r="T163" s="25" t="s">
        <v>50</v>
      </c>
      <c r="U163" s="26">
        <v>272</v>
      </c>
      <c r="V163" s="26">
        <f t="shared" si="36"/>
        <v>32675</v>
      </c>
      <c r="W163" s="26">
        <f t="shared" si="34"/>
        <v>28</v>
      </c>
      <c r="X163" s="243">
        <f t="shared" si="37"/>
        <v>1955</v>
      </c>
      <c r="Y163" s="26">
        <f t="shared" si="38"/>
        <v>31219</v>
      </c>
      <c r="Z163" s="26">
        <f t="shared" si="39"/>
        <v>54740</v>
      </c>
      <c r="AA163" s="26">
        <f t="shared" si="41"/>
        <v>874132</v>
      </c>
      <c r="AB163" s="27" t="s">
        <v>15</v>
      </c>
      <c r="AC163" s="324"/>
      <c r="AD163" s="181">
        <f t="shared" si="33"/>
        <v>32675</v>
      </c>
      <c r="AE163" s="181">
        <f t="shared" si="40"/>
        <v>914900</v>
      </c>
      <c r="AF163" s="181">
        <v>1.3</v>
      </c>
      <c r="AG163" s="181">
        <v>1.3</v>
      </c>
      <c r="AH163" s="363" t="str">
        <f t="shared" si="42"/>
        <v/>
      </c>
      <c r="AI163" s="191">
        <f>22573+928+1928+1980+1855+1955</f>
        <v>31219</v>
      </c>
      <c r="AJ163" s="188">
        <v>32675</v>
      </c>
      <c r="AO163" s="367"/>
      <c r="AP163" s="367"/>
      <c r="AQ163" s="367"/>
    </row>
    <row r="164" spans="1:43" s="69" customFormat="1" ht="58.5" x14ac:dyDescent="0.3">
      <c r="A164" s="130" t="s">
        <v>433</v>
      </c>
      <c r="B164" s="131" t="s">
        <v>434</v>
      </c>
      <c r="C164" s="132" t="s">
        <v>30</v>
      </c>
      <c r="D164" s="133">
        <v>744</v>
      </c>
      <c r="E164" s="203"/>
      <c r="F164" s="203"/>
      <c r="G164" s="203"/>
      <c r="H164" s="203"/>
      <c r="I164" s="203"/>
      <c r="J164" s="75">
        <v>19012.060000000001</v>
      </c>
      <c r="K164" s="75">
        <v>14144972.640000001</v>
      </c>
      <c r="L164" s="91" t="s">
        <v>435</v>
      </c>
      <c r="M164" s="73"/>
      <c r="N164" s="46">
        <v>744</v>
      </c>
      <c r="O164" s="46">
        <v>0</v>
      </c>
      <c r="P164" s="46">
        <v>14144972.640000001</v>
      </c>
      <c r="Q164" s="98"/>
      <c r="R164" s="23" t="s">
        <v>1434</v>
      </c>
      <c r="S164" s="24" t="s">
        <v>434</v>
      </c>
      <c r="T164" s="25" t="s">
        <v>30</v>
      </c>
      <c r="U164" s="26">
        <v>744</v>
      </c>
      <c r="V164" s="26">
        <f t="shared" si="36"/>
        <v>744</v>
      </c>
      <c r="W164" s="26">
        <f t="shared" si="34"/>
        <v>19012.060000000001</v>
      </c>
      <c r="X164" s="127">
        <f t="shared" si="37"/>
        <v>0</v>
      </c>
      <c r="Y164" s="127">
        <f t="shared" si="38"/>
        <v>744</v>
      </c>
      <c r="Z164" s="127">
        <f t="shared" si="39"/>
        <v>0</v>
      </c>
      <c r="AA164" s="127">
        <f t="shared" si="41"/>
        <v>14144972.640000001</v>
      </c>
      <c r="AB164" s="33" t="s">
        <v>15</v>
      </c>
      <c r="AC164" s="324"/>
      <c r="AD164" s="181">
        <f t="shared" si="33"/>
        <v>744</v>
      </c>
      <c r="AE164" s="181">
        <f t="shared" si="40"/>
        <v>14144972.640000001</v>
      </c>
      <c r="AF164" s="181">
        <v>1.3</v>
      </c>
      <c r="AG164" s="181">
        <v>1.3</v>
      </c>
      <c r="AH164" s="363" t="str">
        <f t="shared" si="42"/>
        <v/>
      </c>
      <c r="AI164" s="190">
        <v>744</v>
      </c>
      <c r="AJ164" s="188">
        <v>744</v>
      </c>
      <c r="AO164" s="367"/>
      <c r="AP164" s="367"/>
      <c r="AQ164" s="367"/>
    </row>
    <row r="165" spans="1:43" s="69" customFormat="1" ht="39" x14ac:dyDescent="0.3">
      <c r="A165" s="55" t="s">
        <v>436</v>
      </c>
      <c r="B165" s="53" t="s">
        <v>437</v>
      </c>
      <c r="C165" s="54" t="s">
        <v>50</v>
      </c>
      <c r="D165" s="75">
        <v>136</v>
      </c>
      <c r="E165" s="75"/>
      <c r="F165" s="75"/>
      <c r="G165" s="75"/>
      <c r="H165" s="75"/>
      <c r="I165" s="75"/>
      <c r="J165" s="75">
        <v>373.1</v>
      </c>
      <c r="K165" s="75">
        <v>50741.599999999999</v>
      </c>
      <c r="L165" s="91" t="s">
        <v>438</v>
      </c>
      <c r="M165" s="73"/>
      <c r="N165" s="46">
        <v>112</v>
      </c>
      <c r="O165" s="46">
        <v>0</v>
      </c>
      <c r="P165" s="46">
        <v>41787.199999999997</v>
      </c>
      <c r="Q165" s="98"/>
      <c r="R165" s="23" t="s">
        <v>1388</v>
      </c>
      <c r="S165" s="24" t="s">
        <v>437</v>
      </c>
      <c r="T165" s="25" t="s">
        <v>50</v>
      </c>
      <c r="U165" s="26">
        <v>136</v>
      </c>
      <c r="V165" s="26">
        <f t="shared" si="36"/>
        <v>136</v>
      </c>
      <c r="W165" s="26">
        <f t="shared" si="34"/>
        <v>373.1</v>
      </c>
      <c r="X165" s="128">
        <f t="shared" si="37"/>
        <v>0</v>
      </c>
      <c r="Y165" s="26">
        <f t="shared" si="38"/>
        <v>112</v>
      </c>
      <c r="Z165" s="26">
        <f t="shared" si="39"/>
        <v>0</v>
      </c>
      <c r="AA165" s="26">
        <f t="shared" si="41"/>
        <v>41787.199999999997</v>
      </c>
      <c r="AB165" s="33" t="s">
        <v>15</v>
      </c>
      <c r="AC165" s="325"/>
      <c r="AD165" s="263">
        <f t="shared" si="33"/>
        <v>136</v>
      </c>
      <c r="AE165" s="263">
        <f t="shared" si="40"/>
        <v>50741.599999999999</v>
      </c>
      <c r="AF165" s="263">
        <v>1.3</v>
      </c>
      <c r="AG165" s="263">
        <v>1.3</v>
      </c>
      <c r="AH165" s="68" t="str">
        <f t="shared" si="42"/>
        <v/>
      </c>
      <c r="AI165" s="194">
        <v>112</v>
      </c>
      <c r="AJ165" s="188">
        <v>136</v>
      </c>
      <c r="AO165" s="367"/>
      <c r="AP165" s="367"/>
      <c r="AQ165" s="367"/>
    </row>
    <row r="166" spans="1:43" s="69" customFormat="1" ht="58.5" x14ac:dyDescent="0.3">
      <c r="A166" s="130" t="s">
        <v>439</v>
      </c>
      <c r="B166" s="131" t="s">
        <v>440</v>
      </c>
      <c r="C166" s="132" t="s">
        <v>50</v>
      </c>
      <c r="D166" s="133">
        <v>136</v>
      </c>
      <c r="E166" s="75"/>
      <c r="F166" s="75"/>
      <c r="G166" s="75"/>
      <c r="H166" s="75"/>
      <c r="I166" s="75"/>
      <c r="J166" s="75">
        <v>616.53</v>
      </c>
      <c r="K166" s="75">
        <v>83848.08</v>
      </c>
      <c r="L166" s="91" t="s">
        <v>441</v>
      </c>
      <c r="M166" s="73"/>
      <c r="N166" s="46">
        <v>122.8</v>
      </c>
      <c r="O166" s="46">
        <v>0</v>
      </c>
      <c r="P166" s="46">
        <v>75709.88</v>
      </c>
      <c r="Q166" s="98"/>
      <c r="R166" s="23" t="s">
        <v>1389</v>
      </c>
      <c r="S166" s="24" t="s">
        <v>440</v>
      </c>
      <c r="T166" s="25" t="s">
        <v>50</v>
      </c>
      <c r="U166" s="26">
        <v>136</v>
      </c>
      <c r="V166" s="26">
        <f t="shared" si="36"/>
        <v>136</v>
      </c>
      <c r="W166" s="26">
        <f t="shared" si="34"/>
        <v>616.53</v>
      </c>
      <c r="X166" s="128">
        <f t="shared" si="37"/>
        <v>0</v>
      </c>
      <c r="Y166" s="127">
        <f t="shared" si="38"/>
        <v>122.8</v>
      </c>
      <c r="Z166" s="127">
        <f t="shared" si="39"/>
        <v>0</v>
      </c>
      <c r="AA166" s="127">
        <f t="shared" si="41"/>
        <v>75709.88</v>
      </c>
      <c r="AB166" s="33" t="s">
        <v>15</v>
      </c>
      <c r="AC166" s="325"/>
      <c r="AD166" s="263">
        <f t="shared" si="33"/>
        <v>136</v>
      </c>
      <c r="AE166" s="263">
        <f t="shared" si="40"/>
        <v>83848.08</v>
      </c>
      <c r="AF166" s="263">
        <v>1.3</v>
      </c>
      <c r="AG166" s="263">
        <v>1.3</v>
      </c>
      <c r="AH166" s="68" t="str">
        <f t="shared" si="42"/>
        <v/>
      </c>
      <c r="AI166" s="194">
        <f>122.8</f>
        <v>122.8</v>
      </c>
      <c r="AJ166" s="188">
        <v>136</v>
      </c>
      <c r="AO166" s="367"/>
      <c r="AP166" s="367"/>
      <c r="AQ166" s="367"/>
    </row>
    <row r="167" spans="1:43" s="69" customFormat="1" ht="39" x14ac:dyDescent="0.3">
      <c r="A167" s="55" t="s">
        <v>442</v>
      </c>
      <c r="B167" s="53" t="s">
        <v>443</v>
      </c>
      <c r="C167" s="54" t="s">
        <v>50</v>
      </c>
      <c r="D167" s="75">
        <v>3.6</v>
      </c>
      <c r="E167" s="75"/>
      <c r="F167" s="75"/>
      <c r="G167" s="75"/>
      <c r="H167" s="75"/>
      <c r="I167" s="75"/>
      <c r="J167" s="75">
        <v>2664.06</v>
      </c>
      <c r="K167" s="75">
        <v>9590.6200000000008</v>
      </c>
      <c r="L167" s="91" t="s">
        <v>444</v>
      </c>
      <c r="M167" s="73"/>
      <c r="N167" s="46">
        <v>0</v>
      </c>
      <c r="O167" s="46">
        <v>0</v>
      </c>
      <c r="P167" s="46">
        <v>0</v>
      </c>
      <c r="Q167" s="98"/>
      <c r="R167" s="23" t="s">
        <v>1390</v>
      </c>
      <c r="S167" s="24" t="s">
        <v>443</v>
      </c>
      <c r="T167" s="25" t="s">
        <v>50</v>
      </c>
      <c r="U167" s="26">
        <v>3.6</v>
      </c>
      <c r="V167" s="26">
        <f t="shared" si="36"/>
        <v>3.6</v>
      </c>
      <c r="W167" s="26">
        <f t="shared" si="34"/>
        <v>2664.06</v>
      </c>
      <c r="X167" s="26">
        <f t="shared" si="37"/>
        <v>0</v>
      </c>
      <c r="Y167" s="26">
        <f t="shared" si="38"/>
        <v>0</v>
      </c>
      <c r="Z167" s="26">
        <f t="shared" si="39"/>
        <v>0</v>
      </c>
      <c r="AA167" s="26">
        <f t="shared" si="41"/>
        <v>0</v>
      </c>
      <c r="AB167" s="33" t="s">
        <v>15</v>
      </c>
      <c r="AC167" s="324"/>
      <c r="AD167" s="181">
        <f t="shared" si="33"/>
        <v>3.6</v>
      </c>
      <c r="AE167" s="181">
        <f t="shared" si="40"/>
        <v>9590.6200000000008</v>
      </c>
      <c r="AF167" s="181">
        <v>1.3</v>
      </c>
      <c r="AG167" s="181">
        <v>1.3</v>
      </c>
      <c r="AH167" s="363" t="str">
        <f t="shared" si="42"/>
        <v/>
      </c>
      <c r="AI167" s="190">
        <v>0</v>
      </c>
      <c r="AJ167" s="188">
        <v>3.6</v>
      </c>
      <c r="AO167" s="367"/>
      <c r="AP167" s="367"/>
      <c r="AQ167" s="367"/>
    </row>
    <row r="168" spans="1:43" s="69" customFormat="1" ht="39" x14ac:dyDescent="0.3">
      <c r="A168" s="130" t="s">
        <v>445</v>
      </c>
      <c r="B168" s="131" t="s">
        <v>446</v>
      </c>
      <c r="C168" s="132" t="s">
        <v>30</v>
      </c>
      <c r="D168" s="133">
        <v>44</v>
      </c>
      <c r="E168" s="75"/>
      <c r="F168" s="75"/>
      <c r="G168" s="75"/>
      <c r="H168" s="75"/>
      <c r="I168" s="75"/>
      <c r="J168" s="75">
        <v>5183.22</v>
      </c>
      <c r="K168" s="75">
        <v>228061.68</v>
      </c>
      <c r="L168" s="137" t="s">
        <v>447</v>
      </c>
      <c r="M168" s="73"/>
      <c r="N168" s="46">
        <v>43.7</v>
      </c>
      <c r="O168" s="46">
        <v>0</v>
      </c>
      <c r="P168" s="46">
        <v>226506.71</v>
      </c>
      <c r="Q168" s="98"/>
      <c r="R168" s="23" t="s">
        <v>1391</v>
      </c>
      <c r="S168" s="24" t="s">
        <v>446</v>
      </c>
      <c r="T168" s="25" t="s">
        <v>30</v>
      </c>
      <c r="U168" s="26">
        <v>44</v>
      </c>
      <c r="V168" s="26">
        <f t="shared" si="36"/>
        <v>44</v>
      </c>
      <c r="W168" s="26">
        <f t="shared" si="34"/>
        <v>5183.22</v>
      </c>
      <c r="X168" s="127">
        <f t="shared" si="37"/>
        <v>0</v>
      </c>
      <c r="Y168" s="127">
        <f t="shared" si="38"/>
        <v>43.7</v>
      </c>
      <c r="Z168" s="127">
        <f t="shared" si="39"/>
        <v>0</v>
      </c>
      <c r="AA168" s="127">
        <f t="shared" si="41"/>
        <v>226506.71</v>
      </c>
      <c r="AB168" s="33" t="s">
        <v>15</v>
      </c>
      <c r="AC168" s="324"/>
      <c r="AD168" s="181">
        <f t="shared" si="33"/>
        <v>44</v>
      </c>
      <c r="AE168" s="181">
        <f t="shared" si="40"/>
        <v>228061.68</v>
      </c>
      <c r="AF168" s="181">
        <v>1.3</v>
      </c>
      <c r="AG168" s="181">
        <v>1.3</v>
      </c>
      <c r="AH168" s="363" t="str">
        <f t="shared" si="42"/>
        <v/>
      </c>
      <c r="AI168" s="194">
        <f>AI171</f>
        <v>43.7</v>
      </c>
      <c r="AJ168" s="188">
        <v>44</v>
      </c>
      <c r="AO168" s="367"/>
      <c r="AP168" s="367"/>
      <c r="AQ168" s="367"/>
    </row>
    <row r="169" spans="1:43" s="69" customFormat="1" ht="39" x14ac:dyDescent="0.3">
      <c r="A169" s="130" t="s">
        <v>448</v>
      </c>
      <c r="B169" s="131" t="s">
        <v>449</v>
      </c>
      <c r="C169" s="132" t="s">
        <v>30</v>
      </c>
      <c r="D169" s="133">
        <v>94.14</v>
      </c>
      <c r="E169" s="75"/>
      <c r="F169" s="75"/>
      <c r="G169" s="75"/>
      <c r="H169" s="75"/>
      <c r="I169" s="75"/>
      <c r="J169" s="75">
        <v>9392.57</v>
      </c>
      <c r="K169" s="75">
        <v>884216.54</v>
      </c>
      <c r="L169" s="137" t="s">
        <v>450</v>
      </c>
      <c r="M169" s="73"/>
      <c r="N169" s="46">
        <v>93.1</v>
      </c>
      <c r="O169" s="46">
        <v>0</v>
      </c>
      <c r="P169" s="46">
        <v>874448.27</v>
      </c>
      <c r="Q169" s="98"/>
      <c r="R169" s="23" t="s">
        <v>1436</v>
      </c>
      <c r="S169" s="24" t="s">
        <v>449</v>
      </c>
      <c r="T169" s="25" t="s">
        <v>30</v>
      </c>
      <c r="U169" s="26">
        <v>94.14</v>
      </c>
      <c r="V169" s="26">
        <f t="shared" si="36"/>
        <v>94.14</v>
      </c>
      <c r="W169" s="26">
        <f t="shared" si="34"/>
        <v>9392.57</v>
      </c>
      <c r="X169" s="127">
        <f t="shared" si="37"/>
        <v>0</v>
      </c>
      <c r="Y169" s="127">
        <f t="shared" si="38"/>
        <v>93.1</v>
      </c>
      <c r="Z169" s="127">
        <f t="shared" si="39"/>
        <v>0</v>
      </c>
      <c r="AA169" s="127">
        <f t="shared" si="41"/>
        <v>874448.27</v>
      </c>
      <c r="AB169" s="33" t="s">
        <v>15</v>
      </c>
      <c r="AC169" s="324"/>
      <c r="AD169" s="181">
        <f t="shared" si="33"/>
        <v>94.14</v>
      </c>
      <c r="AE169" s="181">
        <f t="shared" si="40"/>
        <v>884216.54</v>
      </c>
      <c r="AF169" s="181">
        <v>1.3</v>
      </c>
      <c r="AG169" s="181">
        <v>1.3</v>
      </c>
      <c r="AH169" s="363" t="str">
        <f t="shared" si="42"/>
        <v/>
      </c>
      <c r="AI169" s="194">
        <f>75+18.1</f>
        <v>93.1</v>
      </c>
      <c r="AJ169" s="188">
        <v>94.14</v>
      </c>
      <c r="AO169" s="367"/>
      <c r="AP169" s="367"/>
      <c r="AQ169" s="367"/>
    </row>
    <row r="170" spans="1:43" s="69" customFormat="1" ht="39" x14ac:dyDescent="0.3">
      <c r="A170" s="55" t="s">
        <v>451</v>
      </c>
      <c r="B170" s="53" t="s">
        <v>452</v>
      </c>
      <c r="C170" s="54" t="s">
        <v>30</v>
      </c>
      <c r="D170" s="75">
        <v>114</v>
      </c>
      <c r="E170" s="75"/>
      <c r="F170" s="75"/>
      <c r="G170" s="75"/>
      <c r="H170" s="75"/>
      <c r="I170" s="75"/>
      <c r="J170" s="75">
        <v>2388.5700000000002</v>
      </c>
      <c r="K170" s="75">
        <v>272296.98</v>
      </c>
      <c r="L170" s="137" t="s">
        <v>453</v>
      </c>
      <c r="M170" s="73"/>
      <c r="N170" s="46">
        <v>68</v>
      </c>
      <c r="O170" s="46">
        <v>0</v>
      </c>
      <c r="P170" s="46">
        <v>162422.76</v>
      </c>
      <c r="Q170" s="98"/>
      <c r="R170" s="23" t="s">
        <v>1374</v>
      </c>
      <c r="S170" s="24" t="s">
        <v>452</v>
      </c>
      <c r="T170" s="25" t="s">
        <v>30</v>
      </c>
      <c r="U170" s="26">
        <v>114</v>
      </c>
      <c r="V170" s="26">
        <f t="shared" si="36"/>
        <v>114</v>
      </c>
      <c r="W170" s="26">
        <f t="shared" si="34"/>
        <v>2388.5700000000002</v>
      </c>
      <c r="X170" s="128">
        <f t="shared" si="37"/>
        <v>0</v>
      </c>
      <c r="Y170" s="26">
        <f t="shared" si="38"/>
        <v>68</v>
      </c>
      <c r="Z170" s="26">
        <f t="shared" si="39"/>
        <v>0</v>
      </c>
      <c r="AA170" s="26">
        <f t="shared" si="41"/>
        <v>162422.76</v>
      </c>
      <c r="AB170" s="33" t="s">
        <v>15</v>
      </c>
      <c r="AC170" s="325"/>
      <c r="AD170" s="263">
        <f t="shared" si="33"/>
        <v>114</v>
      </c>
      <c r="AE170" s="263">
        <f t="shared" si="40"/>
        <v>272296.98</v>
      </c>
      <c r="AF170" s="263">
        <v>1.3</v>
      </c>
      <c r="AG170" s="263">
        <v>1.3</v>
      </c>
      <c r="AH170" s="68" t="str">
        <f t="shared" si="42"/>
        <v/>
      </c>
      <c r="AI170" s="194">
        <f>68</f>
        <v>68</v>
      </c>
      <c r="AJ170" s="188">
        <v>114</v>
      </c>
      <c r="AO170" s="367"/>
      <c r="AP170" s="367"/>
      <c r="AQ170" s="367"/>
    </row>
    <row r="171" spans="1:43" s="69" customFormat="1" ht="58.5" x14ac:dyDescent="0.3">
      <c r="A171" s="130" t="s">
        <v>454</v>
      </c>
      <c r="B171" s="131" t="s">
        <v>455</v>
      </c>
      <c r="C171" s="132" t="s">
        <v>30</v>
      </c>
      <c r="D171" s="133">
        <v>44</v>
      </c>
      <c r="E171" s="75"/>
      <c r="F171" s="75"/>
      <c r="G171" s="75"/>
      <c r="H171" s="75"/>
      <c r="I171" s="75"/>
      <c r="J171" s="75">
        <v>80192.710000000006</v>
      </c>
      <c r="K171" s="75">
        <v>3528479.24</v>
      </c>
      <c r="L171" s="137" t="s">
        <v>456</v>
      </c>
      <c r="M171" s="73"/>
      <c r="N171" s="46">
        <v>43.7</v>
      </c>
      <c r="O171" s="46">
        <v>0</v>
      </c>
      <c r="P171" s="46">
        <v>3504421.43</v>
      </c>
      <c r="Q171" s="98"/>
      <c r="R171" s="23" t="s">
        <v>1376</v>
      </c>
      <c r="S171" s="24" t="s">
        <v>455</v>
      </c>
      <c r="T171" s="25" t="s">
        <v>30</v>
      </c>
      <c r="U171" s="26">
        <v>44</v>
      </c>
      <c r="V171" s="26">
        <f t="shared" si="36"/>
        <v>44</v>
      </c>
      <c r="W171" s="26">
        <f t="shared" si="34"/>
        <v>80192.710000000006</v>
      </c>
      <c r="X171" s="127">
        <f t="shared" si="37"/>
        <v>0</v>
      </c>
      <c r="Y171" s="127">
        <f t="shared" si="38"/>
        <v>43.7</v>
      </c>
      <c r="Z171" s="127">
        <f t="shared" si="39"/>
        <v>0</v>
      </c>
      <c r="AA171" s="127">
        <f t="shared" si="41"/>
        <v>3504421.43</v>
      </c>
      <c r="AB171" s="33" t="s">
        <v>15</v>
      </c>
      <c r="AC171" s="324"/>
      <c r="AD171" s="181">
        <f t="shared" si="33"/>
        <v>44</v>
      </c>
      <c r="AE171" s="181">
        <f t="shared" si="40"/>
        <v>3528479.24</v>
      </c>
      <c r="AF171" s="181">
        <v>1.3</v>
      </c>
      <c r="AG171" s="181">
        <v>1.3</v>
      </c>
      <c r="AH171" s="363" t="str">
        <f t="shared" si="42"/>
        <v/>
      </c>
      <c r="AI171" s="194">
        <f>35+9-0.3</f>
        <v>43.7</v>
      </c>
      <c r="AJ171" s="188">
        <v>44</v>
      </c>
      <c r="AO171" s="367"/>
      <c r="AP171" s="367"/>
      <c r="AQ171" s="367"/>
    </row>
    <row r="172" spans="1:43" s="69" customFormat="1" ht="78" x14ac:dyDescent="0.3">
      <c r="A172" s="130" t="s">
        <v>457</v>
      </c>
      <c r="B172" s="131" t="s">
        <v>458</v>
      </c>
      <c r="C172" s="132" t="s">
        <v>30</v>
      </c>
      <c r="D172" s="133">
        <v>90</v>
      </c>
      <c r="E172" s="75"/>
      <c r="F172" s="75"/>
      <c r="G172" s="75"/>
      <c r="H172" s="75"/>
      <c r="I172" s="75"/>
      <c r="J172" s="75">
        <v>9257.1299999999992</v>
      </c>
      <c r="K172" s="75">
        <v>833141.7</v>
      </c>
      <c r="L172" s="137" t="s">
        <v>459</v>
      </c>
      <c r="M172" s="73"/>
      <c r="N172" s="46">
        <v>90</v>
      </c>
      <c r="O172" s="46">
        <v>0</v>
      </c>
      <c r="P172" s="46">
        <v>833141.7</v>
      </c>
      <c r="Q172" s="98"/>
      <c r="R172" s="23" t="s">
        <v>1378</v>
      </c>
      <c r="S172" s="24" t="s">
        <v>458</v>
      </c>
      <c r="T172" s="25" t="s">
        <v>30</v>
      </c>
      <c r="U172" s="26">
        <v>90</v>
      </c>
      <c r="V172" s="26">
        <f t="shared" si="36"/>
        <v>90</v>
      </c>
      <c r="W172" s="26">
        <f t="shared" si="34"/>
        <v>9257.1299999999992</v>
      </c>
      <c r="X172" s="127">
        <f t="shared" si="37"/>
        <v>0</v>
      </c>
      <c r="Y172" s="127">
        <f t="shared" si="38"/>
        <v>90</v>
      </c>
      <c r="Z172" s="127">
        <f t="shared" si="39"/>
        <v>0</v>
      </c>
      <c r="AA172" s="127">
        <f t="shared" si="41"/>
        <v>833141.7</v>
      </c>
      <c r="AB172" s="33" t="s">
        <v>15</v>
      </c>
      <c r="AC172" s="324"/>
      <c r="AD172" s="181">
        <f t="shared" si="33"/>
        <v>90</v>
      </c>
      <c r="AE172" s="181">
        <f t="shared" si="40"/>
        <v>833141.7</v>
      </c>
      <c r="AF172" s="181">
        <v>1.3</v>
      </c>
      <c r="AG172" s="181">
        <v>1.3</v>
      </c>
      <c r="AH172" s="363" t="str">
        <f t="shared" si="42"/>
        <v/>
      </c>
      <c r="AI172" s="194">
        <f>70+20</f>
        <v>90</v>
      </c>
      <c r="AJ172" s="188">
        <v>90</v>
      </c>
      <c r="AO172" s="367"/>
      <c r="AP172" s="367"/>
      <c r="AQ172" s="367"/>
    </row>
    <row r="173" spans="1:43" s="69" customFormat="1" ht="31.5" x14ac:dyDescent="0.3">
      <c r="A173" s="130" t="s">
        <v>460</v>
      </c>
      <c r="B173" s="131" t="s">
        <v>461</v>
      </c>
      <c r="C173" s="132" t="s">
        <v>81</v>
      </c>
      <c r="D173" s="133">
        <v>1</v>
      </c>
      <c r="E173" s="75"/>
      <c r="F173" s="75"/>
      <c r="G173" s="75"/>
      <c r="H173" s="75"/>
      <c r="I173" s="75"/>
      <c r="J173" s="75">
        <v>58649</v>
      </c>
      <c r="K173" s="75">
        <v>58649</v>
      </c>
      <c r="L173" s="137" t="s">
        <v>462</v>
      </c>
      <c r="M173" s="73"/>
      <c r="N173" s="46">
        <v>1</v>
      </c>
      <c r="O173" s="46">
        <v>0</v>
      </c>
      <c r="P173" s="46">
        <v>58649</v>
      </c>
      <c r="Q173" s="98"/>
      <c r="R173" s="23" t="s">
        <v>1438</v>
      </c>
      <c r="S173" s="24" t="s">
        <v>461</v>
      </c>
      <c r="T173" s="25" t="s">
        <v>81</v>
      </c>
      <c r="U173" s="26">
        <v>1</v>
      </c>
      <c r="V173" s="26">
        <f t="shared" si="36"/>
        <v>1</v>
      </c>
      <c r="W173" s="26">
        <f t="shared" si="34"/>
        <v>58649</v>
      </c>
      <c r="X173" s="127">
        <f t="shared" si="37"/>
        <v>0</v>
      </c>
      <c r="Y173" s="127">
        <f t="shared" si="38"/>
        <v>1</v>
      </c>
      <c r="Z173" s="127">
        <f t="shared" si="39"/>
        <v>0</v>
      </c>
      <c r="AA173" s="127">
        <f t="shared" si="41"/>
        <v>58649</v>
      </c>
      <c r="AB173" s="33" t="s">
        <v>15</v>
      </c>
      <c r="AC173" s="324"/>
      <c r="AD173" s="181">
        <f t="shared" si="33"/>
        <v>1</v>
      </c>
      <c r="AE173" s="181">
        <f t="shared" si="40"/>
        <v>58649</v>
      </c>
      <c r="AF173" s="181">
        <v>1.3</v>
      </c>
      <c r="AG173" s="181">
        <v>1.3</v>
      </c>
      <c r="AH173" s="363" t="str">
        <f t="shared" si="42"/>
        <v/>
      </c>
      <c r="AI173" s="194">
        <f>1</f>
        <v>1</v>
      </c>
      <c r="AJ173" s="188">
        <v>1</v>
      </c>
      <c r="AO173" s="367"/>
      <c r="AP173" s="367"/>
      <c r="AQ173" s="367"/>
    </row>
    <row r="174" spans="1:43" s="69" customFormat="1" ht="39" x14ac:dyDescent="0.3">
      <c r="A174" s="130" t="s">
        <v>463</v>
      </c>
      <c r="B174" s="131" t="s">
        <v>464</v>
      </c>
      <c r="C174" s="132" t="s">
        <v>81</v>
      </c>
      <c r="D174" s="133">
        <v>1</v>
      </c>
      <c r="E174" s="75"/>
      <c r="F174" s="75"/>
      <c r="G174" s="75"/>
      <c r="H174" s="75"/>
      <c r="I174" s="75"/>
      <c r="J174" s="75">
        <v>107614.5</v>
      </c>
      <c r="K174" s="75">
        <v>107614.5</v>
      </c>
      <c r="L174" s="137" t="s">
        <v>465</v>
      </c>
      <c r="M174" s="73"/>
      <c r="N174" s="46">
        <v>1</v>
      </c>
      <c r="O174" s="46">
        <v>0</v>
      </c>
      <c r="P174" s="46">
        <v>107614.5</v>
      </c>
      <c r="Q174" s="98"/>
      <c r="R174" s="23" t="s">
        <v>1439</v>
      </c>
      <c r="S174" s="24" t="s">
        <v>464</v>
      </c>
      <c r="T174" s="25" t="s">
        <v>81</v>
      </c>
      <c r="U174" s="26">
        <v>1</v>
      </c>
      <c r="V174" s="26">
        <f t="shared" si="36"/>
        <v>1</v>
      </c>
      <c r="W174" s="26">
        <f t="shared" si="34"/>
        <v>107614.5</v>
      </c>
      <c r="X174" s="127">
        <f t="shared" si="37"/>
        <v>0</v>
      </c>
      <c r="Y174" s="127">
        <f t="shared" si="38"/>
        <v>1</v>
      </c>
      <c r="Z174" s="127">
        <f t="shared" si="39"/>
        <v>0</v>
      </c>
      <c r="AA174" s="127">
        <f t="shared" si="41"/>
        <v>107614.5</v>
      </c>
      <c r="AB174" s="33" t="s">
        <v>15</v>
      </c>
      <c r="AC174" s="325"/>
      <c r="AD174" s="263">
        <f t="shared" si="33"/>
        <v>1</v>
      </c>
      <c r="AE174" s="263">
        <f t="shared" si="40"/>
        <v>107614.5</v>
      </c>
      <c r="AF174" s="263">
        <v>1.3</v>
      </c>
      <c r="AG174" s="263">
        <v>1.3</v>
      </c>
      <c r="AH174" s="68" t="str">
        <f t="shared" si="42"/>
        <v/>
      </c>
      <c r="AI174" s="194">
        <f>0.8+0.2</f>
        <v>1</v>
      </c>
      <c r="AJ174" s="188">
        <v>1</v>
      </c>
      <c r="AO174" s="367"/>
      <c r="AP174" s="367"/>
      <c r="AQ174" s="367"/>
    </row>
    <row r="175" spans="1:43" s="69" customFormat="1" ht="39" x14ac:dyDescent="0.3">
      <c r="A175" s="130" t="s">
        <v>466</v>
      </c>
      <c r="B175" s="131" t="s">
        <v>467</v>
      </c>
      <c r="C175" s="132" t="s">
        <v>30</v>
      </c>
      <c r="D175" s="133">
        <v>13.2</v>
      </c>
      <c r="E175" s="75"/>
      <c r="F175" s="75"/>
      <c r="G175" s="75"/>
      <c r="H175" s="75"/>
      <c r="I175" s="75"/>
      <c r="J175" s="75">
        <v>2809.33</v>
      </c>
      <c r="K175" s="75">
        <v>37083.160000000003</v>
      </c>
      <c r="L175" s="137" t="s">
        <v>468</v>
      </c>
      <c r="M175" s="73"/>
      <c r="N175" s="46">
        <v>12.9</v>
      </c>
      <c r="O175" s="46">
        <v>0</v>
      </c>
      <c r="P175" s="46">
        <v>36240.36</v>
      </c>
      <c r="Q175" s="98"/>
      <c r="R175" s="23" t="s">
        <v>1440</v>
      </c>
      <c r="S175" s="24" t="s">
        <v>467</v>
      </c>
      <c r="T175" s="25" t="s">
        <v>30</v>
      </c>
      <c r="U175" s="26">
        <v>13.2</v>
      </c>
      <c r="V175" s="26">
        <f t="shared" si="36"/>
        <v>13.2</v>
      </c>
      <c r="W175" s="26">
        <f t="shared" si="34"/>
        <v>2809.33</v>
      </c>
      <c r="X175" s="127">
        <f t="shared" si="37"/>
        <v>0</v>
      </c>
      <c r="Y175" s="127">
        <f t="shared" si="38"/>
        <v>12.9</v>
      </c>
      <c r="Z175" s="127">
        <f t="shared" si="39"/>
        <v>0</v>
      </c>
      <c r="AA175" s="127">
        <f t="shared" si="41"/>
        <v>36240.36</v>
      </c>
      <c r="AB175" s="33" t="s">
        <v>15</v>
      </c>
      <c r="AC175" s="325"/>
      <c r="AD175" s="263">
        <f t="shared" si="33"/>
        <v>13.2</v>
      </c>
      <c r="AE175" s="263">
        <f t="shared" si="40"/>
        <v>37083.160000000003</v>
      </c>
      <c r="AF175" s="263">
        <v>1.3</v>
      </c>
      <c r="AG175" s="263">
        <v>1.3</v>
      </c>
      <c r="AH175" s="68" t="str">
        <f t="shared" si="42"/>
        <v/>
      </c>
      <c r="AI175" s="194">
        <f>12.9</f>
        <v>12.9</v>
      </c>
      <c r="AJ175" s="188">
        <v>13.2</v>
      </c>
      <c r="AO175" s="367"/>
      <c r="AP175" s="367"/>
      <c r="AQ175" s="367"/>
    </row>
    <row r="176" spans="1:43" s="69" customFormat="1" ht="39" x14ac:dyDescent="0.3">
      <c r="A176" s="130" t="s">
        <v>469</v>
      </c>
      <c r="B176" s="131" t="s">
        <v>470</v>
      </c>
      <c r="C176" s="132" t="s">
        <v>30</v>
      </c>
      <c r="D176" s="133">
        <v>3</v>
      </c>
      <c r="E176" s="75"/>
      <c r="F176" s="75"/>
      <c r="G176" s="75"/>
      <c r="H176" s="75"/>
      <c r="I176" s="75"/>
      <c r="J176" s="75">
        <v>2433.89</v>
      </c>
      <c r="K176" s="75">
        <v>7301.67</v>
      </c>
      <c r="L176" s="137" t="s">
        <v>471</v>
      </c>
      <c r="M176" s="73"/>
      <c r="N176" s="46">
        <v>2.8</v>
      </c>
      <c r="O176" s="46">
        <v>0</v>
      </c>
      <c r="P176" s="46">
        <v>6814.89</v>
      </c>
      <c r="Q176" s="98"/>
      <c r="R176" s="23" t="s">
        <v>1441</v>
      </c>
      <c r="S176" s="24" t="s">
        <v>470</v>
      </c>
      <c r="T176" s="25" t="s">
        <v>30</v>
      </c>
      <c r="U176" s="26">
        <v>3</v>
      </c>
      <c r="V176" s="26">
        <f t="shared" si="36"/>
        <v>3</v>
      </c>
      <c r="W176" s="26">
        <f t="shared" si="34"/>
        <v>2433.89</v>
      </c>
      <c r="X176" s="127">
        <f t="shared" si="37"/>
        <v>0</v>
      </c>
      <c r="Y176" s="127">
        <f t="shared" si="38"/>
        <v>2.8</v>
      </c>
      <c r="Z176" s="127">
        <f t="shared" si="39"/>
        <v>0</v>
      </c>
      <c r="AA176" s="127">
        <f t="shared" si="41"/>
        <v>6814.89</v>
      </c>
      <c r="AB176" s="33" t="s">
        <v>15</v>
      </c>
      <c r="AC176" s="325"/>
      <c r="AD176" s="263">
        <f t="shared" si="33"/>
        <v>3</v>
      </c>
      <c r="AE176" s="263">
        <f t="shared" si="40"/>
        <v>7301.67</v>
      </c>
      <c r="AF176" s="263">
        <v>1.3</v>
      </c>
      <c r="AG176" s="263">
        <v>1.3</v>
      </c>
      <c r="AH176" s="68" t="str">
        <f t="shared" si="42"/>
        <v/>
      </c>
      <c r="AI176" s="194">
        <f>2.8</f>
        <v>2.8</v>
      </c>
      <c r="AJ176" s="188">
        <v>3</v>
      </c>
      <c r="AO176" s="367"/>
      <c r="AP176" s="367"/>
      <c r="AQ176" s="367"/>
    </row>
    <row r="177" spans="1:43" s="69" customFormat="1" ht="39" x14ac:dyDescent="0.3">
      <c r="A177" s="130" t="s">
        <v>472</v>
      </c>
      <c r="B177" s="131" t="s">
        <v>473</v>
      </c>
      <c r="C177" s="132" t="s">
        <v>30</v>
      </c>
      <c r="D177" s="133">
        <v>6</v>
      </c>
      <c r="E177" s="75"/>
      <c r="F177" s="75"/>
      <c r="G177" s="75"/>
      <c r="H177" s="75"/>
      <c r="I177" s="75"/>
      <c r="J177" s="75">
        <v>2888.64</v>
      </c>
      <c r="K177" s="75">
        <v>17331.84</v>
      </c>
      <c r="L177" s="137" t="s">
        <v>474</v>
      </c>
      <c r="M177" s="73"/>
      <c r="N177" s="46">
        <v>5.5</v>
      </c>
      <c r="O177" s="46">
        <v>0</v>
      </c>
      <c r="P177" s="46">
        <v>15887.52</v>
      </c>
      <c r="Q177" s="98"/>
      <c r="R177" s="23" t="s">
        <v>1442</v>
      </c>
      <c r="S177" s="24" t="s">
        <v>473</v>
      </c>
      <c r="T177" s="25" t="s">
        <v>30</v>
      </c>
      <c r="U177" s="26">
        <v>6</v>
      </c>
      <c r="V177" s="26">
        <f t="shared" si="36"/>
        <v>6</v>
      </c>
      <c r="W177" s="26">
        <f t="shared" si="34"/>
        <v>2888.64</v>
      </c>
      <c r="X177" s="127">
        <f t="shared" si="37"/>
        <v>0</v>
      </c>
      <c r="Y177" s="127">
        <f t="shared" si="38"/>
        <v>5.5</v>
      </c>
      <c r="Z177" s="127">
        <f t="shared" si="39"/>
        <v>0</v>
      </c>
      <c r="AA177" s="127">
        <f t="shared" si="41"/>
        <v>15887.52</v>
      </c>
      <c r="AB177" s="33" t="s">
        <v>15</v>
      </c>
      <c r="AC177" s="325"/>
      <c r="AD177" s="263">
        <f t="shared" si="33"/>
        <v>6</v>
      </c>
      <c r="AE177" s="263">
        <f t="shared" si="40"/>
        <v>17331.84</v>
      </c>
      <c r="AF177" s="263">
        <v>1.3</v>
      </c>
      <c r="AG177" s="263">
        <v>1.3</v>
      </c>
      <c r="AH177" s="68" t="str">
        <f t="shared" si="42"/>
        <v/>
      </c>
      <c r="AI177" s="194">
        <f>5.5</f>
        <v>5.5</v>
      </c>
      <c r="AJ177" s="188">
        <v>6</v>
      </c>
      <c r="AO177" s="367"/>
      <c r="AP177" s="367"/>
      <c r="AQ177" s="367"/>
    </row>
    <row r="178" spans="1:43" s="69" customFormat="1" ht="78" x14ac:dyDescent="0.3">
      <c r="A178" s="130" t="s">
        <v>475</v>
      </c>
      <c r="B178" s="131" t="s">
        <v>476</v>
      </c>
      <c r="C178" s="132" t="s">
        <v>14</v>
      </c>
      <c r="D178" s="133">
        <v>1</v>
      </c>
      <c r="E178" s="75"/>
      <c r="F178" s="75"/>
      <c r="G178" s="75"/>
      <c r="H178" s="75"/>
      <c r="I178" s="75"/>
      <c r="J178" s="75">
        <v>430876.81</v>
      </c>
      <c r="K178" s="75">
        <v>430876.81</v>
      </c>
      <c r="L178" s="137" t="s">
        <v>477</v>
      </c>
      <c r="M178" s="73"/>
      <c r="N178" s="46">
        <v>1</v>
      </c>
      <c r="O178" s="46">
        <v>0</v>
      </c>
      <c r="P178" s="46">
        <v>430876.81</v>
      </c>
      <c r="Q178" s="98"/>
      <c r="R178" s="23" t="s">
        <v>1443</v>
      </c>
      <c r="S178" s="24" t="s">
        <v>476</v>
      </c>
      <c r="T178" s="25" t="s">
        <v>14</v>
      </c>
      <c r="U178" s="26">
        <v>1</v>
      </c>
      <c r="V178" s="26">
        <f t="shared" si="36"/>
        <v>1</v>
      </c>
      <c r="W178" s="26">
        <f t="shared" si="34"/>
        <v>430876.81</v>
      </c>
      <c r="X178" s="127">
        <f t="shared" si="37"/>
        <v>0</v>
      </c>
      <c r="Y178" s="127">
        <f t="shared" si="38"/>
        <v>1</v>
      </c>
      <c r="Z178" s="127">
        <f t="shared" si="39"/>
        <v>0</v>
      </c>
      <c r="AA178" s="127">
        <f t="shared" si="41"/>
        <v>430876.81</v>
      </c>
      <c r="AB178" s="33" t="s">
        <v>15</v>
      </c>
      <c r="AC178" s="324"/>
      <c r="AD178" s="181">
        <f t="shared" si="33"/>
        <v>1</v>
      </c>
      <c r="AE178" s="181">
        <f t="shared" si="40"/>
        <v>430876.81</v>
      </c>
      <c r="AF178" s="181">
        <v>1.3</v>
      </c>
      <c r="AG178" s="181">
        <v>1.3</v>
      </c>
      <c r="AH178" s="363" t="str">
        <f t="shared" si="42"/>
        <v/>
      </c>
      <c r="AI178" s="194">
        <v>1</v>
      </c>
      <c r="AJ178" s="188">
        <v>1</v>
      </c>
      <c r="AO178" s="367"/>
      <c r="AP178" s="367"/>
      <c r="AQ178" s="367"/>
    </row>
    <row r="179" spans="1:43" s="69" customFormat="1" ht="39" x14ac:dyDescent="0.3">
      <c r="A179" s="130" t="s">
        <v>478</v>
      </c>
      <c r="B179" s="131" t="s">
        <v>479</v>
      </c>
      <c r="C179" s="132" t="s">
        <v>81</v>
      </c>
      <c r="D179" s="133">
        <v>1</v>
      </c>
      <c r="E179" s="75"/>
      <c r="F179" s="75"/>
      <c r="G179" s="75"/>
      <c r="H179" s="75"/>
      <c r="I179" s="75"/>
      <c r="J179" s="75">
        <v>29563.21</v>
      </c>
      <c r="K179" s="75">
        <v>29563.21</v>
      </c>
      <c r="L179" s="137" t="s">
        <v>480</v>
      </c>
      <c r="M179" s="73"/>
      <c r="N179" s="46">
        <v>1</v>
      </c>
      <c r="O179" s="46">
        <v>0</v>
      </c>
      <c r="P179" s="46">
        <v>29563.21</v>
      </c>
      <c r="Q179" s="98"/>
      <c r="R179" s="23" t="s">
        <v>1444</v>
      </c>
      <c r="S179" s="24" t="s">
        <v>479</v>
      </c>
      <c r="T179" s="25" t="s">
        <v>81</v>
      </c>
      <c r="U179" s="26">
        <v>1</v>
      </c>
      <c r="V179" s="26">
        <f t="shared" si="36"/>
        <v>1</v>
      </c>
      <c r="W179" s="26">
        <f t="shared" si="34"/>
        <v>29563.21</v>
      </c>
      <c r="X179" s="127">
        <f t="shared" si="37"/>
        <v>0</v>
      </c>
      <c r="Y179" s="127">
        <f t="shared" si="38"/>
        <v>1</v>
      </c>
      <c r="Z179" s="127">
        <f t="shared" si="39"/>
        <v>0</v>
      </c>
      <c r="AA179" s="127">
        <f t="shared" si="41"/>
        <v>29563.21</v>
      </c>
      <c r="AB179" s="33" t="s">
        <v>15</v>
      </c>
      <c r="AC179" s="324"/>
      <c r="AD179" s="181">
        <f t="shared" si="33"/>
        <v>1</v>
      </c>
      <c r="AE179" s="181">
        <f t="shared" si="40"/>
        <v>29563.21</v>
      </c>
      <c r="AF179" s="181">
        <v>1.3</v>
      </c>
      <c r="AG179" s="181">
        <v>1.3</v>
      </c>
      <c r="AH179" s="363" t="str">
        <f t="shared" si="42"/>
        <v/>
      </c>
      <c r="AI179" s="194">
        <v>1</v>
      </c>
      <c r="AJ179" s="188">
        <v>1</v>
      </c>
      <c r="AO179" s="367"/>
      <c r="AP179" s="367"/>
      <c r="AQ179" s="367"/>
    </row>
    <row r="180" spans="1:43" s="69" customFormat="1" ht="31.5" x14ac:dyDescent="0.3">
      <c r="A180" s="130" t="s">
        <v>481</v>
      </c>
      <c r="B180" s="131" t="s">
        <v>482</v>
      </c>
      <c r="C180" s="132" t="s">
        <v>81</v>
      </c>
      <c r="D180" s="133">
        <v>1</v>
      </c>
      <c r="E180" s="75"/>
      <c r="F180" s="75"/>
      <c r="G180" s="75"/>
      <c r="H180" s="75"/>
      <c r="I180" s="75"/>
      <c r="J180" s="75">
        <v>1061152.75</v>
      </c>
      <c r="K180" s="75">
        <v>1061152.75</v>
      </c>
      <c r="L180" s="137" t="s">
        <v>483</v>
      </c>
      <c r="M180" s="73"/>
      <c r="N180" s="46">
        <v>1</v>
      </c>
      <c r="O180" s="46">
        <v>0</v>
      </c>
      <c r="P180" s="46">
        <v>1061152.75</v>
      </c>
      <c r="Q180" s="98"/>
      <c r="R180" s="23" t="s">
        <v>1408</v>
      </c>
      <c r="S180" s="24" t="s">
        <v>482</v>
      </c>
      <c r="T180" s="25" t="s">
        <v>81</v>
      </c>
      <c r="U180" s="26">
        <v>1</v>
      </c>
      <c r="V180" s="26">
        <f t="shared" si="36"/>
        <v>1</v>
      </c>
      <c r="W180" s="26">
        <f t="shared" si="34"/>
        <v>1061152.75</v>
      </c>
      <c r="X180" s="127">
        <f t="shared" si="37"/>
        <v>0</v>
      </c>
      <c r="Y180" s="127">
        <f t="shared" si="38"/>
        <v>1</v>
      </c>
      <c r="Z180" s="127">
        <f t="shared" si="39"/>
        <v>0</v>
      </c>
      <c r="AA180" s="127">
        <f t="shared" si="41"/>
        <v>1061152.75</v>
      </c>
      <c r="AB180" s="33" t="s">
        <v>15</v>
      </c>
      <c r="AC180" s="324"/>
      <c r="AD180" s="181">
        <f t="shared" si="33"/>
        <v>1</v>
      </c>
      <c r="AE180" s="181">
        <f t="shared" si="40"/>
        <v>1061152.75</v>
      </c>
      <c r="AF180" s="181">
        <v>1.3</v>
      </c>
      <c r="AG180" s="181">
        <v>1.3</v>
      </c>
      <c r="AH180" s="363" t="str">
        <f t="shared" si="42"/>
        <v/>
      </c>
      <c r="AI180" s="194">
        <v>1</v>
      </c>
      <c r="AJ180" s="188">
        <v>1</v>
      </c>
      <c r="AO180" s="367"/>
      <c r="AP180" s="367"/>
      <c r="AQ180" s="367"/>
    </row>
    <row r="181" spans="1:43" s="69" customFormat="1" ht="31.5" x14ac:dyDescent="0.3">
      <c r="A181" s="130" t="s">
        <v>484</v>
      </c>
      <c r="B181" s="131" t="s">
        <v>485</v>
      </c>
      <c r="C181" s="132" t="s">
        <v>81</v>
      </c>
      <c r="D181" s="133">
        <v>1</v>
      </c>
      <c r="E181" s="75"/>
      <c r="F181" s="75"/>
      <c r="G181" s="75"/>
      <c r="H181" s="75"/>
      <c r="I181" s="75"/>
      <c r="J181" s="75">
        <v>2431046.88</v>
      </c>
      <c r="K181" s="75">
        <v>2431046.88</v>
      </c>
      <c r="L181" s="137" t="s">
        <v>486</v>
      </c>
      <c r="M181" s="73"/>
      <c r="N181" s="46">
        <v>1</v>
      </c>
      <c r="O181" s="46">
        <v>0</v>
      </c>
      <c r="P181" s="46">
        <v>2431046.88</v>
      </c>
      <c r="Q181" s="98"/>
      <c r="R181" s="23" t="s">
        <v>1409</v>
      </c>
      <c r="S181" s="24" t="s">
        <v>485</v>
      </c>
      <c r="T181" s="25" t="s">
        <v>81</v>
      </c>
      <c r="U181" s="26">
        <v>1</v>
      </c>
      <c r="V181" s="26">
        <f t="shared" si="36"/>
        <v>1</v>
      </c>
      <c r="W181" s="26">
        <f t="shared" si="34"/>
        <v>2431046.88</v>
      </c>
      <c r="X181" s="127">
        <f t="shared" si="37"/>
        <v>0</v>
      </c>
      <c r="Y181" s="127">
        <f t="shared" si="38"/>
        <v>1</v>
      </c>
      <c r="Z181" s="127">
        <f t="shared" si="39"/>
        <v>0</v>
      </c>
      <c r="AA181" s="127">
        <f t="shared" si="41"/>
        <v>2431046.88</v>
      </c>
      <c r="AB181" s="33" t="s">
        <v>15</v>
      </c>
      <c r="AC181" s="324"/>
      <c r="AD181" s="181">
        <f t="shared" si="33"/>
        <v>1</v>
      </c>
      <c r="AE181" s="181">
        <f t="shared" si="40"/>
        <v>2431046.88</v>
      </c>
      <c r="AF181" s="181">
        <v>1.3</v>
      </c>
      <c r="AG181" s="181">
        <v>1.3</v>
      </c>
      <c r="AH181" s="363" t="str">
        <f t="shared" si="42"/>
        <v/>
      </c>
      <c r="AI181" s="194">
        <v>1</v>
      </c>
      <c r="AJ181" s="188">
        <v>1</v>
      </c>
      <c r="AO181" s="367"/>
      <c r="AP181" s="367"/>
      <c r="AQ181" s="367"/>
    </row>
    <row r="182" spans="1:43" s="69" customFormat="1" x14ac:dyDescent="0.3">
      <c r="A182" s="134" t="s">
        <v>1312</v>
      </c>
      <c r="B182" s="135" t="s">
        <v>1313</v>
      </c>
      <c r="C182" s="204" t="s">
        <v>14</v>
      </c>
      <c r="D182" s="133"/>
      <c r="E182" s="59">
        <v>1</v>
      </c>
      <c r="F182" s="77"/>
      <c r="G182" s="205"/>
      <c r="H182" s="205"/>
      <c r="I182" s="205"/>
      <c r="J182" s="205">
        <v>87950.62</v>
      </c>
      <c r="K182" s="59">
        <v>87950.62</v>
      </c>
      <c r="L182" s="92"/>
      <c r="M182" s="73"/>
      <c r="N182" s="46">
        <v>1</v>
      </c>
      <c r="O182" s="46">
        <v>0</v>
      </c>
      <c r="P182" s="46">
        <v>87950.62</v>
      </c>
      <c r="Q182" s="98"/>
      <c r="R182" s="23" t="s">
        <v>1410</v>
      </c>
      <c r="S182" s="24" t="s">
        <v>1495</v>
      </c>
      <c r="T182" s="25" t="s">
        <v>14</v>
      </c>
      <c r="U182" s="26">
        <v>0</v>
      </c>
      <c r="V182" s="26">
        <f t="shared" si="36"/>
        <v>1</v>
      </c>
      <c r="W182" s="26">
        <f t="shared" si="34"/>
        <v>87950.62</v>
      </c>
      <c r="X182" s="127">
        <f t="shared" si="37"/>
        <v>0</v>
      </c>
      <c r="Y182" s="127">
        <f t="shared" si="38"/>
        <v>1</v>
      </c>
      <c r="Z182" s="127">
        <f t="shared" si="39"/>
        <v>0</v>
      </c>
      <c r="AA182" s="127">
        <f t="shared" si="41"/>
        <v>87950.62</v>
      </c>
      <c r="AB182" s="27"/>
      <c r="AC182" s="324"/>
      <c r="AD182" s="181">
        <f t="shared" si="33"/>
        <v>1</v>
      </c>
      <c r="AE182" s="181">
        <f t="shared" si="40"/>
        <v>87950.62</v>
      </c>
      <c r="AF182" s="181">
        <v>1.3</v>
      </c>
      <c r="AG182" s="181">
        <v>1.3</v>
      </c>
      <c r="AH182" s="363" t="str">
        <f t="shared" si="42"/>
        <v/>
      </c>
      <c r="AI182" s="190">
        <v>1</v>
      </c>
      <c r="AJ182" s="188">
        <v>1</v>
      </c>
      <c r="AO182" s="367"/>
      <c r="AP182" s="367"/>
      <c r="AQ182" s="367"/>
    </row>
    <row r="183" spans="1:43" s="69" customFormat="1" x14ac:dyDescent="0.3">
      <c r="A183" s="134" t="s">
        <v>1314</v>
      </c>
      <c r="B183" s="135" t="s">
        <v>1315</v>
      </c>
      <c r="C183" s="204" t="s">
        <v>30</v>
      </c>
      <c r="D183" s="133"/>
      <c r="E183" s="59">
        <v>24</v>
      </c>
      <c r="F183" s="289"/>
      <c r="G183" s="230"/>
      <c r="H183" s="230"/>
      <c r="I183" s="230"/>
      <c r="J183" s="230">
        <v>4257.93</v>
      </c>
      <c r="K183" s="59">
        <v>102190.32</v>
      </c>
      <c r="L183" s="92"/>
      <c r="M183" s="73"/>
      <c r="N183" s="46">
        <v>24</v>
      </c>
      <c r="O183" s="46">
        <v>0</v>
      </c>
      <c r="P183" s="46">
        <v>102190.32</v>
      </c>
      <c r="Q183" s="98"/>
      <c r="R183" s="23" t="s">
        <v>1411</v>
      </c>
      <c r="S183" s="24" t="s">
        <v>1496</v>
      </c>
      <c r="T183" s="25" t="s">
        <v>30</v>
      </c>
      <c r="U183" s="26">
        <v>0</v>
      </c>
      <c r="V183" s="26">
        <f t="shared" si="36"/>
        <v>24</v>
      </c>
      <c r="W183" s="26">
        <f t="shared" si="34"/>
        <v>4257.93</v>
      </c>
      <c r="X183" s="127">
        <f t="shared" si="37"/>
        <v>0</v>
      </c>
      <c r="Y183" s="127">
        <f t="shared" si="38"/>
        <v>24</v>
      </c>
      <c r="Z183" s="127">
        <f t="shared" si="39"/>
        <v>0</v>
      </c>
      <c r="AA183" s="127">
        <f t="shared" si="41"/>
        <v>102190.32</v>
      </c>
      <c r="AB183" s="27"/>
      <c r="AC183" s="324"/>
      <c r="AD183" s="181">
        <f t="shared" si="33"/>
        <v>24</v>
      </c>
      <c r="AE183" s="181">
        <f t="shared" si="40"/>
        <v>102190.32</v>
      </c>
      <c r="AF183" s="181">
        <v>1.3</v>
      </c>
      <c r="AG183" s="181">
        <v>1.3</v>
      </c>
      <c r="AH183" s="363" t="str">
        <f t="shared" si="42"/>
        <v/>
      </c>
      <c r="AI183" s="190">
        <v>24</v>
      </c>
      <c r="AJ183" s="188">
        <v>24</v>
      </c>
      <c r="AO183" s="367"/>
      <c r="AP183" s="367"/>
      <c r="AQ183" s="367"/>
    </row>
    <row r="184" spans="1:43" s="69" customFormat="1" x14ac:dyDescent="0.3">
      <c r="A184" s="134" t="s">
        <v>1316</v>
      </c>
      <c r="B184" s="135" t="s">
        <v>1317</v>
      </c>
      <c r="C184" s="204" t="s">
        <v>513</v>
      </c>
      <c r="D184" s="133"/>
      <c r="E184" s="59">
        <v>1</v>
      </c>
      <c r="F184" s="289"/>
      <c r="G184" s="230"/>
      <c r="H184" s="230"/>
      <c r="I184" s="230"/>
      <c r="J184" s="230">
        <v>200835.11</v>
      </c>
      <c r="K184" s="59">
        <v>200835.11</v>
      </c>
      <c r="L184" s="92"/>
      <c r="M184" s="73"/>
      <c r="N184" s="46">
        <v>1</v>
      </c>
      <c r="O184" s="46">
        <v>0</v>
      </c>
      <c r="P184" s="46">
        <v>200835.11</v>
      </c>
      <c r="Q184" s="98"/>
      <c r="R184" s="23" t="s">
        <v>1445</v>
      </c>
      <c r="S184" s="24" t="s">
        <v>1497</v>
      </c>
      <c r="T184" s="25" t="s">
        <v>513</v>
      </c>
      <c r="U184" s="26">
        <v>0</v>
      </c>
      <c r="V184" s="26">
        <f t="shared" si="36"/>
        <v>1</v>
      </c>
      <c r="W184" s="26">
        <f t="shared" si="34"/>
        <v>200835.11</v>
      </c>
      <c r="X184" s="127">
        <f t="shared" si="37"/>
        <v>0</v>
      </c>
      <c r="Y184" s="127">
        <f t="shared" si="38"/>
        <v>1</v>
      </c>
      <c r="Z184" s="127">
        <f t="shared" si="39"/>
        <v>0</v>
      </c>
      <c r="AA184" s="127">
        <f t="shared" si="41"/>
        <v>200835.11</v>
      </c>
      <c r="AB184" s="27"/>
      <c r="AC184" s="324"/>
      <c r="AD184" s="181">
        <f t="shared" si="33"/>
        <v>1</v>
      </c>
      <c r="AE184" s="181">
        <f t="shared" si="40"/>
        <v>200835.11</v>
      </c>
      <c r="AF184" s="181">
        <v>1.3</v>
      </c>
      <c r="AG184" s="181">
        <v>1.3</v>
      </c>
      <c r="AH184" s="363" t="str">
        <f t="shared" si="42"/>
        <v/>
      </c>
      <c r="AI184" s="190">
        <v>1</v>
      </c>
      <c r="AJ184" s="188">
        <v>1</v>
      </c>
      <c r="AN184" s="70"/>
      <c r="AO184" s="367"/>
      <c r="AP184" s="367"/>
      <c r="AQ184" s="367"/>
    </row>
    <row r="185" spans="1:43" x14ac:dyDescent="0.3">
      <c r="A185" s="134" t="s">
        <v>1318</v>
      </c>
      <c r="B185" s="135" t="s">
        <v>1319</v>
      </c>
      <c r="C185" s="204" t="s">
        <v>412</v>
      </c>
      <c r="D185" s="133"/>
      <c r="E185" s="78"/>
      <c r="F185" s="339">
        <v>150400</v>
      </c>
      <c r="G185" s="116"/>
      <c r="H185" s="359">
        <v>154935.98000000001</v>
      </c>
      <c r="I185" s="116"/>
      <c r="J185" s="290">
        <v>16.21</v>
      </c>
      <c r="K185" s="62">
        <v>2511512.2400000002</v>
      </c>
      <c r="L185" s="93"/>
      <c r="N185" s="46">
        <v>150350.57999999999</v>
      </c>
      <c r="O185" s="46">
        <v>0</v>
      </c>
      <c r="P185" s="46">
        <v>2437182.9</v>
      </c>
      <c r="Q185" s="98"/>
      <c r="R185" s="23" t="s">
        <v>1383</v>
      </c>
      <c r="S185" s="24" t="s">
        <v>1319</v>
      </c>
      <c r="T185" s="25" t="s">
        <v>412</v>
      </c>
      <c r="U185" s="26">
        <v>0</v>
      </c>
      <c r="V185" s="26">
        <f t="shared" si="36"/>
        <v>154935.98000000001</v>
      </c>
      <c r="W185" s="26">
        <f t="shared" si="34"/>
        <v>16.21</v>
      </c>
      <c r="X185" s="243">
        <f t="shared" si="37"/>
        <v>4572.1000000000058</v>
      </c>
      <c r="Y185" s="127">
        <f t="shared" si="38"/>
        <v>154922.68</v>
      </c>
      <c r="Z185" s="127">
        <f t="shared" si="39"/>
        <v>74113.740000000224</v>
      </c>
      <c r="AA185" s="127">
        <f t="shared" si="41"/>
        <v>2511296.64</v>
      </c>
      <c r="AB185" s="27"/>
      <c r="AC185" s="324"/>
      <c r="AD185" s="181">
        <f t="shared" si="33"/>
        <v>154935.98000000001</v>
      </c>
      <c r="AE185" s="181">
        <f t="shared" si="40"/>
        <v>2511512.2400000002</v>
      </c>
      <c r="AF185" s="181">
        <v>1.3</v>
      </c>
      <c r="AG185" s="181">
        <v>1.3</v>
      </c>
      <c r="AH185" s="363" t="str">
        <f t="shared" si="42"/>
        <v/>
      </c>
      <c r="AI185" s="191">
        <f>AI159</f>
        <v>154922.68</v>
      </c>
      <c r="AJ185" s="188">
        <v>154935.98000000001</v>
      </c>
      <c r="AN185" s="70"/>
      <c r="AO185" s="367"/>
      <c r="AP185" s="367"/>
      <c r="AQ185" s="367"/>
    </row>
    <row r="186" spans="1:43" ht="39" x14ac:dyDescent="0.3">
      <c r="A186" s="134" t="s">
        <v>1320</v>
      </c>
      <c r="B186" s="135" t="s">
        <v>1321</v>
      </c>
      <c r="C186" s="204" t="s">
        <v>325</v>
      </c>
      <c r="D186" s="133"/>
      <c r="E186" s="78"/>
      <c r="F186" s="163">
        <v>18</v>
      </c>
      <c r="G186" s="62"/>
      <c r="H186" s="62"/>
      <c r="I186" s="62"/>
      <c r="J186" s="290">
        <v>79588.210000000006</v>
      </c>
      <c r="K186" s="62">
        <v>1432587.78</v>
      </c>
      <c r="L186" s="93"/>
      <c r="N186" s="46">
        <v>18</v>
      </c>
      <c r="O186" s="46">
        <v>0</v>
      </c>
      <c r="P186" s="46">
        <v>1432587.78</v>
      </c>
      <c r="Q186" s="98"/>
      <c r="R186" s="23" t="s">
        <v>1384</v>
      </c>
      <c r="S186" s="24" t="s">
        <v>1321</v>
      </c>
      <c r="T186" s="25" t="s">
        <v>325</v>
      </c>
      <c r="U186" s="26">
        <v>0</v>
      </c>
      <c r="V186" s="26">
        <f t="shared" si="36"/>
        <v>18</v>
      </c>
      <c r="W186" s="26">
        <f t="shared" si="34"/>
        <v>79588.210000000006</v>
      </c>
      <c r="X186" s="127">
        <f t="shared" si="37"/>
        <v>0</v>
      </c>
      <c r="Y186" s="127">
        <f t="shared" si="38"/>
        <v>18</v>
      </c>
      <c r="Z186" s="127">
        <f t="shared" si="39"/>
        <v>0</v>
      </c>
      <c r="AA186" s="127">
        <f t="shared" si="41"/>
        <v>1432587.78</v>
      </c>
      <c r="AB186" s="27"/>
      <c r="AC186" s="324"/>
      <c r="AD186" s="181">
        <f t="shared" si="33"/>
        <v>18</v>
      </c>
      <c r="AE186" s="181">
        <f t="shared" si="40"/>
        <v>1432587.78</v>
      </c>
      <c r="AF186" s="181">
        <v>1.3</v>
      </c>
      <c r="AG186" s="181">
        <v>1.3</v>
      </c>
      <c r="AH186" s="363" t="str">
        <f t="shared" si="42"/>
        <v/>
      </c>
      <c r="AI186" s="194">
        <v>18</v>
      </c>
      <c r="AJ186" s="188">
        <v>18</v>
      </c>
      <c r="AN186" s="70"/>
      <c r="AO186" s="367"/>
      <c r="AP186" s="367"/>
      <c r="AQ186" s="367"/>
    </row>
    <row r="187" spans="1:43" ht="39" x14ac:dyDescent="0.3">
      <c r="A187" s="144" t="s">
        <v>1322</v>
      </c>
      <c r="B187" s="145" t="s">
        <v>1323</v>
      </c>
      <c r="C187" s="206" t="s">
        <v>325</v>
      </c>
      <c r="D187" s="170"/>
      <c r="E187" s="147"/>
      <c r="F187" s="164">
        <v>2</v>
      </c>
      <c r="G187" s="62"/>
      <c r="H187" s="62">
        <v>3</v>
      </c>
      <c r="I187" s="62"/>
      <c r="J187" s="290">
        <v>120491.2</v>
      </c>
      <c r="K187" s="148">
        <v>361473.6</v>
      </c>
      <c r="L187" s="149"/>
      <c r="N187" s="46">
        <v>3</v>
      </c>
      <c r="O187" s="46">
        <v>0</v>
      </c>
      <c r="P187" s="46">
        <v>361473.6</v>
      </c>
      <c r="Q187" s="98"/>
      <c r="R187" s="23" t="s">
        <v>1385</v>
      </c>
      <c r="S187" s="24" t="s">
        <v>1323</v>
      </c>
      <c r="T187" s="25" t="s">
        <v>325</v>
      </c>
      <c r="U187" s="26">
        <v>0</v>
      </c>
      <c r="V187" s="26">
        <f t="shared" si="36"/>
        <v>3</v>
      </c>
      <c r="W187" s="26">
        <f t="shared" si="34"/>
        <v>120491.2</v>
      </c>
      <c r="X187" s="127">
        <f t="shared" si="37"/>
        <v>0</v>
      </c>
      <c r="Y187" s="127">
        <f t="shared" si="38"/>
        <v>3</v>
      </c>
      <c r="Z187" s="127">
        <f t="shared" si="39"/>
        <v>0</v>
      </c>
      <c r="AA187" s="127">
        <f t="shared" si="41"/>
        <v>361473.6</v>
      </c>
      <c r="AB187" s="27"/>
      <c r="AC187" s="324"/>
      <c r="AD187" s="181">
        <f t="shared" si="33"/>
        <v>3</v>
      </c>
      <c r="AE187" s="181">
        <f t="shared" si="40"/>
        <v>361473.6</v>
      </c>
      <c r="AF187" s="181">
        <v>1.3</v>
      </c>
      <c r="AG187" s="181">
        <v>1.3</v>
      </c>
      <c r="AH187" s="363" t="str">
        <f t="shared" si="42"/>
        <v/>
      </c>
      <c r="AI187" s="194">
        <v>3</v>
      </c>
      <c r="AJ187" s="188">
        <v>3</v>
      </c>
      <c r="AN187" s="282"/>
      <c r="AO187" s="367"/>
      <c r="AP187" s="367"/>
      <c r="AQ187" s="367"/>
    </row>
    <row r="188" spans="1:43" s="282" customFormat="1" ht="58.5" x14ac:dyDescent="0.3">
      <c r="A188" s="272" t="s">
        <v>3194</v>
      </c>
      <c r="B188" s="276" t="s">
        <v>3189</v>
      </c>
      <c r="C188" s="274" t="s">
        <v>30</v>
      </c>
      <c r="D188" s="288"/>
      <c r="E188" s="288"/>
      <c r="F188" s="275"/>
      <c r="G188" s="275"/>
      <c r="H188" s="275"/>
      <c r="I188" s="346">
        <v>120</v>
      </c>
      <c r="J188" s="288">
        <v>273.47000000000003</v>
      </c>
      <c r="K188" s="275">
        <v>32816.400000000001</v>
      </c>
      <c r="L188" s="277"/>
      <c r="M188" s="278"/>
      <c r="N188" s="42"/>
      <c r="O188" s="42"/>
      <c r="P188" s="42"/>
      <c r="Q188" s="98"/>
      <c r="R188" s="13" t="s">
        <v>1446</v>
      </c>
      <c r="S188" s="286" t="str">
        <f t="shared" ref="S188:S192" si="43">B188</f>
        <v>2"PVC管埋設(含接頭、彎管、導線佈設等)</v>
      </c>
      <c r="T188" s="287" t="str">
        <f t="shared" ref="T188:T192" si="44">C188</f>
        <v>M</v>
      </c>
      <c r="U188" s="16"/>
      <c r="V188" s="16">
        <f t="shared" si="36"/>
        <v>120</v>
      </c>
      <c r="W188" s="16">
        <f t="shared" si="34"/>
        <v>273.47000000000003</v>
      </c>
      <c r="X188" s="243">
        <f t="shared" si="37"/>
        <v>120</v>
      </c>
      <c r="Y188" s="127">
        <f t="shared" si="38"/>
        <v>120</v>
      </c>
      <c r="Z188" s="127">
        <f t="shared" si="39"/>
        <v>32816.400000000001</v>
      </c>
      <c r="AA188" s="127">
        <f t="shared" si="41"/>
        <v>32816.400000000001</v>
      </c>
      <c r="AB188" s="17"/>
      <c r="AC188" s="324"/>
      <c r="AD188" s="181">
        <f t="shared" si="33"/>
        <v>120</v>
      </c>
      <c r="AE188" s="181">
        <f t="shared" ref="AE188:AE192" si="45">ROUND(W188*AD188,2)</f>
        <v>32816.400000000001</v>
      </c>
      <c r="AF188" s="181">
        <v>1.3</v>
      </c>
      <c r="AG188" s="181">
        <v>1.3</v>
      </c>
      <c r="AH188" s="364"/>
      <c r="AI188" s="340">
        <v>120</v>
      </c>
      <c r="AJ188" s="190">
        <v>120</v>
      </c>
      <c r="AO188" s="367"/>
      <c r="AP188" s="367"/>
      <c r="AQ188" s="367"/>
    </row>
    <row r="189" spans="1:43" s="282" customFormat="1" ht="58.5" x14ac:dyDescent="0.3">
      <c r="A189" s="272" t="s">
        <v>3195</v>
      </c>
      <c r="B189" s="276" t="s">
        <v>3190</v>
      </c>
      <c r="C189" s="274" t="s">
        <v>30</v>
      </c>
      <c r="D189" s="288"/>
      <c r="E189" s="288"/>
      <c r="F189" s="275"/>
      <c r="G189" s="275"/>
      <c r="H189" s="275"/>
      <c r="I189" s="346">
        <v>160</v>
      </c>
      <c r="J189" s="288">
        <v>304.22000000000003</v>
      </c>
      <c r="K189" s="275">
        <v>48675.199999999997</v>
      </c>
      <c r="L189" s="277"/>
      <c r="M189" s="278"/>
      <c r="N189" s="42"/>
      <c r="O189" s="42"/>
      <c r="P189" s="42"/>
      <c r="Q189" s="98"/>
      <c r="R189" s="13" t="s">
        <v>1447</v>
      </c>
      <c r="S189" s="286" t="str">
        <f t="shared" si="43"/>
        <v>3"PVC管埋設(含接頭、彎管、導線佈設等)</v>
      </c>
      <c r="T189" s="287" t="str">
        <f t="shared" si="44"/>
        <v>M</v>
      </c>
      <c r="U189" s="16"/>
      <c r="V189" s="16">
        <f t="shared" si="36"/>
        <v>160</v>
      </c>
      <c r="W189" s="16">
        <f t="shared" si="34"/>
        <v>304.22000000000003</v>
      </c>
      <c r="X189" s="243">
        <f t="shared" si="37"/>
        <v>160</v>
      </c>
      <c r="Y189" s="127">
        <f t="shared" si="38"/>
        <v>160</v>
      </c>
      <c r="Z189" s="127">
        <f t="shared" si="39"/>
        <v>48675.199999999997</v>
      </c>
      <c r="AA189" s="127">
        <f t="shared" si="41"/>
        <v>48675.199999999997</v>
      </c>
      <c r="AB189" s="17"/>
      <c r="AC189" s="324"/>
      <c r="AD189" s="181">
        <f t="shared" si="33"/>
        <v>160</v>
      </c>
      <c r="AE189" s="181">
        <f t="shared" si="45"/>
        <v>48675.199999999997</v>
      </c>
      <c r="AF189" s="181">
        <v>1.3</v>
      </c>
      <c r="AG189" s="181">
        <v>1.3</v>
      </c>
      <c r="AH189" s="364"/>
      <c r="AI189" s="340">
        <v>160</v>
      </c>
      <c r="AJ189" s="190">
        <v>160</v>
      </c>
      <c r="AO189" s="367"/>
      <c r="AP189" s="367"/>
      <c r="AQ189" s="367"/>
    </row>
    <row r="190" spans="1:43" s="282" customFormat="1" ht="58.5" x14ac:dyDescent="0.3">
      <c r="A190" s="272" t="s">
        <v>3196</v>
      </c>
      <c r="B190" s="276" t="s">
        <v>3191</v>
      </c>
      <c r="C190" s="274" t="s">
        <v>30</v>
      </c>
      <c r="D190" s="288"/>
      <c r="E190" s="288"/>
      <c r="F190" s="275"/>
      <c r="G190" s="275"/>
      <c r="H190" s="275"/>
      <c r="I190" s="346">
        <v>480</v>
      </c>
      <c r="J190" s="288">
        <v>324.97000000000003</v>
      </c>
      <c r="K190" s="275">
        <v>155985.60000000001</v>
      </c>
      <c r="L190" s="277"/>
      <c r="M190" s="278"/>
      <c r="N190" s="42"/>
      <c r="O190" s="42"/>
      <c r="P190" s="42"/>
      <c r="Q190" s="98"/>
      <c r="R190" s="13" t="s">
        <v>1448</v>
      </c>
      <c r="S190" s="286" t="str">
        <f t="shared" si="43"/>
        <v>4"PVC管埋設(含接頭、彎管、導線佈設等)</v>
      </c>
      <c r="T190" s="287" t="str">
        <f t="shared" si="44"/>
        <v>M</v>
      </c>
      <c r="U190" s="16"/>
      <c r="V190" s="16">
        <f t="shared" si="36"/>
        <v>480</v>
      </c>
      <c r="W190" s="16">
        <f t="shared" si="34"/>
        <v>324.97000000000003</v>
      </c>
      <c r="X190" s="243">
        <f t="shared" si="37"/>
        <v>480</v>
      </c>
      <c r="Y190" s="127">
        <f t="shared" si="38"/>
        <v>480</v>
      </c>
      <c r="Z190" s="127">
        <f t="shared" si="39"/>
        <v>155985.60000000001</v>
      </c>
      <c r="AA190" s="127">
        <f t="shared" si="41"/>
        <v>155985.60000000001</v>
      </c>
      <c r="AB190" s="17"/>
      <c r="AC190" s="324"/>
      <c r="AD190" s="181">
        <f t="shared" si="33"/>
        <v>480</v>
      </c>
      <c r="AE190" s="181">
        <f t="shared" si="45"/>
        <v>155985.60000000001</v>
      </c>
      <c r="AF190" s="181">
        <v>1.3</v>
      </c>
      <c r="AG190" s="181">
        <v>1.3</v>
      </c>
      <c r="AH190" s="364"/>
      <c r="AI190" s="340">
        <v>480</v>
      </c>
      <c r="AJ190" s="190">
        <v>480</v>
      </c>
      <c r="AO190" s="367"/>
      <c r="AP190" s="367"/>
      <c r="AQ190" s="367"/>
    </row>
    <row r="191" spans="1:43" s="282" customFormat="1" ht="78" x14ac:dyDescent="0.3">
      <c r="A191" s="272" t="s">
        <v>3197</v>
      </c>
      <c r="B191" s="276" t="s">
        <v>3192</v>
      </c>
      <c r="C191" s="274" t="s">
        <v>30</v>
      </c>
      <c r="D191" s="288"/>
      <c r="E191" s="288"/>
      <c r="F191" s="275"/>
      <c r="G191" s="275"/>
      <c r="H191" s="275"/>
      <c r="I191" s="346">
        <v>320</v>
      </c>
      <c r="J191" s="288">
        <v>788.11</v>
      </c>
      <c r="K191" s="275">
        <v>252195.20000000001</v>
      </c>
      <c r="L191" s="277"/>
      <c r="M191" s="278"/>
      <c r="N191" s="42"/>
      <c r="O191" s="42"/>
      <c r="P191" s="42"/>
      <c r="Q191" s="98"/>
      <c r="R191" s="13" t="s">
        <v>1449</v>
      </c>
      <c r="S191" s="286" t="str">
        <f t="shared" si="43"/>
        <v>6"PVC管埋設及附掛(含接頭、彎管及吊架、過管補強版等)</v>
      </c>
      <c r="T191" s="287" t="str">
        <f t="shared" si="44"/>
        <v>M</v>
      </c>
      <c r="U191" s="16"/>
      <c r="V191" s="16">
        <f t="shared" si="36"/>
        <v>320</v>
      </c>
      <c r="W191" s="16">
        <f t="shared" si="34"/>
        <v>788.11</v>
      </c>
      <c r="X191" s="243">
        <f t="shared" si="37"/>
        <v>320</v>
      </c>
      <c r="Y191" s="127">
        <f t="shared" si="38"/>
        <v>320</v>
      </c>
      <c r="Z191" s="127">
        <f t="shared" si="39"/>
        <v>252195.20000000001</v>
      </c>
      <c r="AA191" s="127">
        <f t="shared" si="41"/>
        <v>252195.20000000001</v>
      </c>
      <c r="AB191" s="17"/>
      <c r="AC191" s="324"/>
      <c r="AD191" s="181">
        <f t="shared" si="33"/>
        <v>320</v>
      </c>
      <c r="AE191" s="181">
        <f t="shared" si="45"/>
        <v>252195.20000000001</v>
      </c>
      <c r="AF191" s="181">
        <v>1.3</v>
      </c>
      <c r="AG191" s="181">
        <v>1.3</v>
      </c>
      <c r="AH191" s="364"/>
      <c r="AI191" s="340">
        <v>320</v>
      </c>
      <c r="AJ191" s="190">
        <v>320</v>
      </c>
      <c r="AN191" s="369"/>
      <c r="AO191" s="368"/>
      <c r="AP191" s="367"/>
      <c r="AQ191" s="367"/>
    </row>
    <row r="192" spans="1:43" s="282" customFormat="1" ht="39" x14ac:dyDescent="0.3">
      <c r="A192" s="272" t="s">
        <v>3198</v>
      </c>
      <c r="B192" s="276" t="s">
        <v>3193</v>
      </c>
      <c r="C192" s="274" t="s">
        <v>50</v>
      </c>
      <c r="D192" s="288"/>
      <c r="E192" s="288"/>
      <c r="F192" s="275"/>
      <c r="G192" s="275"/>
      <c r="H192" s="275"/>
      <c r="I192" s="346">
        <v>131.09</v>
      </c>
      <c r="J192" s="288">
        <v>3425.4</v>
      </c>
      <c r="K192" s="275">
        <v>449035.69</v>
      </c>
      <c r="L192" s="277"/>
      <c r="M192" s="278"/>
      <c r="N192" s="42"/>
      <c r="O192" s="42"/>
      <c r="P192" s="42"/>
      <c r="Q192" s="98"/>
      <c r="R192" s="13" t="s">
        <v>1450</v>
      </c>
      <c r="S192" s="286" t="str">
        <f t="shared" si="43"/>
        <v>仿清水混凝土塗裝</v>
      </c>
      <c r="T192" s="287" t="str">
        <f t="shared" si="44"/>
        <v>M2</v>
      </c>
      <c r="U192" s="16"/>
      <c r="V192" s="16">
        <f t="shared" si="36"/>
        <v>131.09</v>
      </c>
      <c r="W192" s="16">
        <f t="shared" si="34"/>
        <v>3425.4</v>
      </c>
      <c r="X192" s="243">
        <f t="shared" si="37"/>
        <v>0</v>
      </c>
      <c r="Y192" s="127">
        <f t="shared" si="38"/>
        <v>0</v>
      </c>
      <c r="Z192" s="127">
        <f t="shared" si="39"/>
        <v>0</v>
      </c>
      <c r="AA192" s="127">
        <f t="shared" si="41"/>
        <v>0</v>
      </c>
      <c r="AB192" s="17"/>
      <c r="AC192" s="324"/>
      <c r="AD192" s="181">
        <f t="shared" si="33"/>
        <v>131.09</v>
      </c>
      <c r="AE192" s="181">
        <f t="shared" si="45"/>
        <v>449035.69</v>
      </c>
      <c r="AF192" s="181">
        <v>1.3</v>
      </c>
      <c r="AG192" s="181">
        <v>1.3</v>
      </c>
      <c r="AH192" s="364"/>
      <c r="AI192" s="340">
        <v>0</v>
      </c>
      <c r="AJ192" s="190">
        <v>131.09</v>
      </c>
      <c r="AN192" s="69"/>
      <c r="AO192" s="367"/>
      <c r="AP192" s="367"/>
      <c r="AQ192" s="367"/>
    </row>
    <row r="193" spans="1:43" s="69" customFormat="1" x14ac:dyDescent="0.3">
      <c r="A193" s="266" t="s">
        <v>487</v>
      </c>
      <c r="B193" s="267" t="s">
        <v>488</v>
      </c>
      <c r="C193" s="83" t="s">
        <v>14</v>
      </c>
      <c r="D193" s="84">
        <v>1</v>
      </c>
      <c r="E193" s="84"/>
      <c r="F193" s="84"/>
      <c r="G193" s="84"/>
      <c r="H193" s="84"/>
      <c r="I193" s="84"/>
      <c r="J193" s="84">
        <v>28303620.390000001</v>
      </c>
      <c r="K193" s="84">
        <v>28303620.390000001</v>
      </c>
      <c r="L193" s="268" t="s">
        <v>15</v>
      </c>
      <c r="M193" s="73"/>
      <c r="N193" s="45">
        <v>1</v>
      </c>
      <c r="O193" s="45">
        <v>797783.62</v>
      </c>
      <c r="P193" s="45">
        <v>24395036.5</v>
      </c>
      <c r="Q193" s="98"/>
      <c r="R193" s="18" t="s">
        <v>1386</v>
      </c>
      <c r="S193" s="19" t="s">
        <v>488</v>
      </c>
      <c r="T193" s="20" t="s">
        <v>14</v>
      </c>
      <c r="U193" s="21">
        <v>1</v>
      </c>
      <c r="V193" s="21"/>
      <c r="W193" s="21">
        <f t="shared" si="34"/>
        <v>28303620.390000001</v>
      </c>
      <c r="X193" s="21">
        <f t="shared" ref="X193:Y193" si="46">IF(Z193=0,0,1)</f>
        <v>1</v>
      </c>
      <c r="Y193" s="21">
        <f t="shared" si="46"/>
        <v>1</v>
      </c>
      <c r="Z193" s="21">
        <f>SUMIFS(Z:Z,AG:AG,AF193)</f>
        <v>1803810.25</v>
      </c>
      <c r="AA193" s="21">
        <f>SUMIFS(AA:AA,AG:AG,AF193)</f>
        <v>26198846.749999996</v>
      </c>
      <c r="AB193" s="22" t="s">
        <v>15</v>
      </c>
      <c r="AC193" s="324"/>
      <c r="AD193" s="181">
        <f t="shared" si="33"/>
        <v>1</v>
      </c>
      <c r="AE193" s="184"/>
      <c r="AF193" s="184">
        <v>1.4</v>
      </c>
      <c r="AG193" s="184"/>
      <c r="AH193" s="363" t="str">
        <f t="shared" si="42"/>
        <v/>
      </c>
      <c r="AI193" s="190">
        <v>1</v>
      </c>
      <c r="AJ193" s="188">
        <v>1</v>
      </c>
      <c r="AO193" s="367"/>
      <c r="AP193" s="367"/>
      <c r="AQ193" s="367"/>
    </row>
    <row r="194" spans="1:43" s="69" customFormat="1" ht="58.5" x14ac:dyDescent="0.3">
      <c r="A194" s="130" t="s">
        <v>489</v>
      </c>
      <c r="B194" s="131" t="s">
        <v>392</v>
      </c>
      <c r="C194" s="132" t="s">
        <v>23</v>
      </c>
      <c r="D194" s="133">
        <v>20</v>
      </c>
      <c r="E194" s="75"/>
      <c r="F194" s="75"/>
      <c r="G194" s="75"/>
      <c r="H194" s="75"/>
      <c r="I194" s="75"/>
      <c r="J194" s="75">
        <v>3115.13</v>
      </c>
      <c r="K194" s="75">
        <v>62302.6</v>
      </c>
      <c r="L194" s="91" t="s">
        <v>114</v>
      </c>
      <c r="M194" s="73"/>
      <c r="N194" s="46">
        <v>19.45</v>
      </c>
      <c r="O194" s="46">
        <v>0</v>
      </c>
      <c r="P194" s="46">
        <v>60589.279999999999</v>
      </c>
      <c r="Q194" s="98"/>
      <c r="R194" s="23" t="s">
        <v>1421</v>
      </c>
      <c r="S194" s="24" t="s">
        <v>392</v>
      </c>
      <c r="T194" s="25" t="s">
        <v>23</v>
      </c>
      <c r="U194" s="26">
        <v>20</v>
      </c>
      <c r="V194" s="26">
        <f t="shared" ref="V194:V222" si="47">IF(I194&gt;0,I194,IF(H194&gt;0,H194,IF(G194&gt;0,G194,IF(F194&gt;0,F194,IF(E194&gt;0,E194,D194)))))</f>
        <v>20</v>
      </c>
      <c r="W194" s="26">
        <f t="shared" si="34"/>
        <v>3115.13</v>
      </c>
      <c r="X194" s="127">
        <f t="shared" ref="X194:X222" si="48">AI194-N194</f>
        <v>0</v>
      </c>
      <c r="Y194" s="127">
        <f t="shared" ref="Y194:Y267" si="49">X194+N194</f>
        <v>19.45</v>
      </c>
      <c r="Z194" s="127">
        <f t="shared" ref="Z194:Z222" si="50">AA194-P194</f>
        <v>0</v>
      </c>
      <c r="AA194" s="127">
        <f t="shared" si="41"/>
        <v>60589.279999999999</v>
      </c>
      <c r="AB194" s="33" t="s">
        <v>15</v>
      </c>
      <c r="AC194" s="324"/>
      <c r="AD194" s="181">
        <f t="shared" si="33"/>
        <v>20</v>
      </c>
      <c r="AE194" s="181">
        <f t="shared" ref="AE194:AE240" si="51">ROUND(W194*AD194,2)</f>
        <v>62302.6</v>
      </c>
      <c r="AF194" s="181">
        <v>1.4</v>
      </c>
      <c r="AG194" s="181">
        <v>1.4</v>
      </c>
      <c r="AH194" s="363" t="str">
        <f t="shared" si="42"/>
        <v/>
      </c>
      <c r="AI194" s="194">
        <v>19.45</v>
      </c>
      <c r="AJ194" s="188">
        <v>20</v>
      </c>
      <c r="AO194" s="367"/>
      <c r="AP194" s="367"/>
      <c r="AQ194" s="367"/>
    </row>
    <row r="195" spans="1:43" s="69" customFormat="1" ht="58.5" x14ac:dyDescent="0.3">
      <c r="A195" s="130" t="s">
        <v>490</v>
      </c>
      <c r="B195" s="131" t="s">
        <v>116</v>
      </c>
      <c r="C195" s="132" t="s">
        <v>23</v>
      </c>
      <c r="D195" s="133">
        <v>354</v>
      </c>
      <c r="E195" s="75"/>
      <c r="F195" s="75"/>
      <c r="G195" s="75"/>
      <c r="H195" s="75"/>
      <c r="I195" s="75"/>
      <c r="J195" s="75">
        <v>3321.13</v>
      </c>
      <c r="K195" s="75">
        <v>1175680.02</v>
      </c>
      <c r="L195" s="91" t="s">
        <v>117</v>
      </c>
      <c r="M195" s="73"/>
      <c r="N195" s="46">
        <v>326.60000000000002</v>
      </c>
      <c r="O195" s="46">
        <v>0</v>
      </c>
      <c r="P195" s="46">
        <v>1084681.06</v>
      </c>
      <c r="Q195" s="98"/>
      <c r="R195" s="23" t="s">
        <v>1426</v>
      </c>
      <c r="S195" s="24" t="s">
        <v>116</v>
      </c>
      <c r="T195" s="25" t="s">
        <v>23</v>
      </c>
      <c r="U195" s="26">
        <v>354</v>
      </c>
      <c r="V195" s="26">
        <f t="shared" si="47"/>
        <v>354</v>
      </c>
      <c r="W195" s="26">
        <f t="shared" si="34"/>
        <v>3321.13</v>
      </c>
      <c r="X195" s="127">
        <f t="shared" si="48"/>
        <v>0</v>
      </c>
      <c r="Y195" s="127">
        <f t="shared" si="49"/>
        <v>326.60000000000002</v>
      </c>
      <c r="Z195" s="127">
        <f t="shared" si="50"/>
        <v>0</v>
      </c>
      <c r="AA195" s="127">
        <f t="shared" si="41"/>
        <v>1084681.06</v>
      </c>
      <c r="AB195" s="33" t="s">
        <v>15</v>
      </c>
      <c r="AC195" s="324"/>
      <c r="AD195" s="181">
        <f t="shared" si="33"/>
        <v>354</v>
      </c>
      <c r="AE195" s="181">
        <f t="shared" si="51"/>
        <v>1175680.02</v>
      </c>
      <c r="AF195" s="181">
        <v>1.4</v>
      </c>
      <c r="AG195" s="181">
        <v>1.4</v>
      </c>
      <c r="AH195" s="363" t="str">
        <f t="shared" si="42"/>
        <v/>
      </c>
      <c r="AI195" s="194">
        <v>326.60000000000002</v>
      </c>
      <c r="AJ195" s="188">
        <v>354</v>
      </c>
      <c r="AO195" s="367"/>
      <c r="AP195" s="367"/>
      <c r="AQ195" s="367"/>
    </row>
    <row r="196" spans="1:43" s="69" customFormat="1" ht="58.5" x14ac:dyDescent="0.3">
      <c r="A196" s="130" t="s">
        <v>491</v>
      </c>
      <c r="B196" s="131" t="s">
        <v>395</v>
      </c>
      <c r="C196" s="132" t="s">
        <v>23</v>
      </c>
      <c r="D196" s="133">
        <v>690</v>
      </c>
      <c r="E196" s="203"/>
      <c r="F196" s="203">
        <v>0</v>
      </c>
      <c r="G196" s="203"/>
      <c r="H196" s="203"/>
      <c r="I196" s="203"/>
      <c r="J196" s="75">
        <v>3643.73</v>
      </c>
      <c r="K196" s="75">
        <v>0</v>
      </c>
      <c r="L196" s="91" t="s">
        <v>396</v>
      </c>
      <c r="M196" s="73"/>
      <c r="N196" s="46">
        <v>0</v>
      </c>
      <c r="O196" s="46">
        <v>0</v>
      </c>
      <c r="P196" s="46">
        <v>0</v>
      </c>
      <c r="Q196" s="98"/>
      <c r="R196" s="23" t="s">
        <v>1402</v>
      </c>
      <c r="S196" s="24" t="s">
        <v>395</v>
      </c>
      <c r="T196" s="25" t="s">
        <v>23</v>
      </c>
      <c r="U196" s="26">
        <v>690</v>
      </c>
      <c r="V196" s="26">
        <v>0</v>
      </c>
      <c r="W196" s="26">
        <f t="shared" si="34"/>
        <v>3643.73</v>
      </c>
      <c r="X196" s="127">
        <f t="shared" si="48"/>
        <v>0</v>
      </c>
      <c r="Y196" s="127">
        <f t="shared" si="49"/>
        <v>0</v>
      </c>
      <c r="Z196" s="127">
        <f t="shared" si="50"/>
        <v>0</v>
      </c>
      <c r="AA196" s="127">
        <f t="shared" si="41"/>
        <v>0</v>
      </c>
      <c r="AB196" s="33" t="s">
        <v>15</v>
      </c>
      <c r="AC196" s="324"/>
      <c r="AD196" s="181">
        <v>0</v>
      </c>
      <c r="AE196" s="181">
        <f t="shared" si="51"/>
        <v>0</v>
      </c>
      <c r="AF196" s="181">
        <v>1.4</v>
      </c>
      <c r="AG196" s="181">
        <v>1.4</v>
      </c>
      <c r="AH196" s="363" t="str">
        <f t="shared" si="42"/>
        <v/>
      </c>
      <c r="AI196" s="194">
        <v>0</v>
      </c>
      <c r="AJ196" s="188">
        <v>0</v>
      </c>
      <c r="AO196" s="367"/>
      <c r="AP196" s="367"/>
      <c r="AQ196" s="367"/>
    </row>
    <row r="197" spans="1:43" s="69" customFormat="1" ht="33" customHeight="1" x14ac:dyDescent="0.3">
      <c r="A197" s="130" t="s">
        <v>492</v>
      </c>
      <c r="B197" s="131" t="s">
        <v>493</v>
      </c>
      <c r="C197" s="132" t="s">
        <v>23</v>
      </c>
      <c r="D197" s="133">
        <v>1065</v>
      </c>
      <c r="E197" s="203"/>
      <c r="F197" s="203"/>
      <c r="G197" s="203"/>
      <c r="H197" s="203">
        <v>1900.83</v>
      </c>
      <c r="I197" s="203"/>
      <c r="J197" s="75">
        <v>200</v>
      </c>
      <c r="K197" s="75">
        <v>380166</v>
      </c>
      <c r="L197" s="91" t="s">
        <v>494</v>
      </c>
      <c r="M197" s="73"/>
      <c r="N197" s="46">
        <v>1815.71</v>
      </c>
      <c r="O197" s="46">
        <v>0</v>
      </c>
      <c r="P197" s="46">
        <v>363142</v>
      </c>
      <c r="Q197" s="98"/>
      <c r="R197" s="23" t="s">
        <v>1373</v>
      </c>
      <c r="S197" s="24" t="s">
        <v>493</v>
      </c>
      <c r="T197" s="25" t="s">
        <v>23</v>
      </c>
      <c r="U197" s="26">
        <v>1065</v>
      </c>
      <c r="V197" s="26">
        <f t="shared" si="47"/>
        <v>1900.83</v>
      </c>
      <c r="W197" s="26">
        <f t="shared" si="34"/>
        <v>200</v>
      </c>
      <c r="X197" s="127">
        <f>AI197-N197</f>
        <v>0</v>
      </c>
      <c r="Y197" s="127">
        <f t="shared" si="49"/>
        <v>1815.71</v>
      </c>
      <c r="Z197" s="127">
        <f t="shared" si="50"/>
        <v>0</v>
      </c>
      <c r="AA197" s="127">
        <f t="shared" si="41"/>
        <v>363142</v>
      </c>
      <c r="AB197" s="33" t="s">
        <v>15</v>
      </c>
      <c r="AC197" s="324"/>
      <c r="AD197" s="181">
        <f t="shared" si="33"/>
        <v>1900.83</v>
      </c>
      <c r="AE197" s="181">
        <f t="shared" si="51"/>
        <v>380166</v>
      </c>
      <c r="AF197" s="181">
        <v>1.4</v>
      </c>
      <c r="AG197" s="181">
        <v>1.4</v>
      </c>
      <c r="AH197" s="363" t="str">
        <f t="shared" si="42"/>
        <v/>
      </c>
      <c r="AI197" s="194">
        <v>1815.71</v>
      </c>
      <c r="AJ197" s="188">
        <v>1900.83</v>
      </c>
      <c r="AO197" s="367"/>
      <c r="AP197" s="367"/>
      <c r="AQ197" s="367"/>
    </row>
    <row r="198" spans="1:43" s="69" customFormat="1" ht="57.75" x14ac:dyDescent="0.3">
      <c r="A198" s="130" t="s">
        <v>495</v>
      </c>
      <c r="B198" s="131" t="s">
        <v>405</v>
      </c>
      <c r="C198" s="132" t="s">
        <v>50</v>
      </c>
      <c r="D198" s="133">
        <v>1229</v>
      </c>
      <c r="E198" s="203"/>
      <c r="F198" s="203"/>
      <c r="G198" s="203"/>
      <c r="H198" s="203">
        <v>1437.49</v>
      </c>
      <c r="I198" s="203"/>
      <c r="J198" s="75">
        <v>982.98</v>
      </c>
      <c r="K198" s="75">
        <v>1413023.92</v>
      </c>
      <c r="L198" s="91" t="s">
        <v>406</v>
      </c>
      <c r="M198" s="73"/>
      <c r="N198" s="46">
        <v>1435.8</v>
      </c>
      <c r="O198" s="46">
        <v>0</v>
      </c>
      <c r="P198" s="46">
        <v>1411362.68</v>
      </c>
      <c r="Q198" s="98"/>
      <c r="R198" s="23" t="s">
        <v>1393</v>
      </c>
      <c r="S198" s="24" t="s">
        <v>405</v>
      </c>
      <c r="T198" s="25" t="s">
        <v>50</v>
      </c>
      <c r="U198" s="26">
        <v>1229</v>
      </c>
      <c r="V198" s="26">
        <f t="shared" si="47"/>
        <v>1437.49</v>
      </c>
      <c r="W198" s="26">
        <f t="shared" si="34"/>
        <v>982.98</v>
      </c>
      <c r="X198" s="127">
        <f t="shared" si="48"/>
        <v>0</v>
      </c>
      <c r="Y198" s="127">
        <f t="shared" si="49"/>
        <v>1435.8</v>
      </c>
      <c r="Z198" s="127">
        <f t="shared" si="50"/>
        <v>0</v>
      </c>
      <c r="AA198" s="127">
        <f t="shared" si="41"/>
        <v>1411362.68</v>
      </c>
      <c r="AB198" s="33" t="s">
        <v>15</v>
      </c>
      <c r="AC198" s="325"/>
      <c r="AD198" s="263">
        <f t="shared" si="33"/>
        <v>1437.49</v>
      </c>
      <c r="AE198" s="263">
        <f t="shared" si="51"/>
        <v>1413023.92</v>
      </c>
      <c r="AF198" s="263">
        <v>1.4</v>
      </c>
      <c r="AG198" s="263">
        <v>1.4</v>
      </c>
      <c r="AH198" s="68" t="str">
        <f t="shared" si="42"/>
        <v/>
      </c>
      <c r="AI198" s="194">
        <f>1349+86.8</f>
        <v>1435.8</v>
      </c>
      <c r="AJ198" s="188">
        <v>1437.49</v>
      </c>
      <c r="AO198" s="367"/>
      <c r="AP198" s="367"/>
      <c r="AQ198" s="367"/>
    </row>
    <row r="199" spans="1:43" s="69" customFormat="1" ht="41.25" x14ac:dyDescent="0.3">
      <c r="A199" s="130" t="s">
        <v>496</v>
      </c>
      <c r="B199" s="131" t="s">
        <v>408</v>
      </c>
      <c r="C199" s="132" t="s">
        <v>50</v>
      </c>
      <c r="D199" s="133">
        <v>285</v>
      </c>
      <c r="E199" s="203"/>
      <c r="F199" s="203"/>
      <c r="G199" s="203"/>
      <c r="H199" s="203">
        <v>685.45</v>
      </c>
      <c r="I199" s="203"/>
      <c r="J199" s="75">
        <v>804.79</v>
      </c>
      <c r="K199" s="75">
        <v>551643.31000000006</v>
      </c>
      <c r="L199" s="91" t="s">
        <v>409</v>
      </c>
      <c r="M199" s="73"/>
      <c r="N199" s="46">
        <v>684.2</v>
      </c>
      <c r="O199" s="46">
        <v>0</v>
      </c>
      <c r="P199" s="46">
        <v>550637.31999999995</v>
      </c>
      <c r="Q199" s="98"/>
      <c r="R199" s="23" t="s">
        <v>1403</v>
      </c>
      <c r="S199" s="24" t="s">
        <v>408</v>
      </c>
      <c r="T199" s="25" t="s">
        <v>50</v>
      </c>
      <c r="U199" s="26">
        <v>285</v>
      </c>
      <c r="V199" s="26">
        <f t="shared" si="47"/>
        <v>685.45</v>
      </c>
      <c r="W199" s="26">
        <f t="shared" si="34"/>
        <v>804.79</v>
      </c>
      <c r="X199" s="127">
        <f t="shared" si="48"/>
        <v>0</v>
      </c>
      <c r="Y199" s="127">
        <f t="shared" si="49"/>
        <v>684.2</v>
      </c>
      <c r="Z199" s="127">
        <f t="shared" si="50"/>
        <v>0</v>
      </c>
      <c r="AA199" s="127">
        <f t="shared" si="41"/>
        <v>550637.31999999995</v>
      </c>
      <c r="AB199" s="33" t="s">
        <v>15</v>
      </c>
      <c r="AC199" s="325"/>
      <c r="AD199" s="263">
        <f t="shared" si="33"/>
        <v>685.45</v>
      </c>
      <c r="AE199" s="263">
        <f t="shared" si="51"/>
        <v>551643.31000000006</v>
      </c>
      <c r="AF199" s="263">
        <v>1.4</v>
      </c>
      <c r="AG199" s="263">
        <v>1.4</v>
      </c>
      <c r="AH199" s="68" t="str">
        <f t="shared" si="42"/>
        <v/>
      </c>
      <c r="AI199" s="194">
        <f>551+133.2</f>
        <v>684.2</v>
      </c>
      <c r="AJ199" s="188">
        <v>685.45</v>
      </c>
      <c r="AO199" s="367"/>
      <c r="AP199" s="367"/>
      <c r="AQ199" s="367"/>
    </row>
    <row r="200" spans="1:43" s="69" customFormat="1" ht="33" x14ac:dyDescent="0.3">
      <c r="A200" s="130" t="s">
        <v>497</v>
      </c>
      <c r="B200" s="131" t="s">
        <v>109</v>
      </c>
      <c r="C200" s="132" t="s">
        <v>110</v>
      </c>
      <c r="D200" s="133">
        <v>13716</v>
      </c>
      <c r="E200" s="203"/>
      <c r="F200" s="203"/>
      <c r="G200" s="203"/>
      <c r="H200" s="203">
        <v>18482.54</v>
      </c>
      <c r="I200" s="203"/>
      <c r="J200" s="75">
        <v>36.4</v>
      </c>
      <c r="K200" s="75">
        <v>672764.46</v>
      </c>
      <c r="L200" s="91" t="s">
        <v>111</v>
      </c>
      <c r="M200" s="73"/>
      <c r="N200" s="46">
        <v>18475.939999999999</v>
      </c>
      <c r="O200" s="46">
        <v>0</v>
      </c>
      <c r="P200" s="46">
        <v>672524.22</v>
      </c>
      <c r="Q200" s="98"/>
      <c r="R200" s="23" t="s">
        <v>1427</v>
      </c>
      <c r="S200" s="24" t="s">
        <v>109</v>
      </c>
      <c r="T200" s="25" t="s">
        <v>110</v>
      </c>
      <c r="U200" s="26">
        <v>13716</v>
      </c>
      <c r="V200" s="26">
        <f t="shared" si="47"/>
        <v>18482.54</v>
      </c>
      <c r="W200" s="26">
        <f t="shared" si="34"/>
        <v>36.4</v>
      </c>
      <c r="X200" s="127">
        <f t="shared" si="48"/>
        <v>0</v>
      </c>
      <c r="Y200" s="127">
        <f t="shared" si="49"/>
        <v>18475.939999999999</v>
      </c>
      <c r="Z200" s="127">
        <f t="shared" si="50"/>
        <v>0</v>
      </c>
      <c r="AA200" s="127">
        <f t="shared" si="41"/>
        <v>672524.22</v>
      </c>
      <c r="AB200" s="33" t="s">
        <v>15</v>
      </c>
      <c r="AC200" s="325"/>
      <c r="AD200" s="263">
        <f t="shared" si="33"/>
        <v>18482.54</v>
      </c>
      <c r="AE200" s="263">
        <f t="shared" si="51"/>
        <v>672764.46</v>
      </c>
      <c r="AF200" s="263">
        <v>1.4</v>
      </c>
      <c r="AG200" s="263">
        <v>1.4</v>
      </c>
      <c r="AH200" s="68" t="str">
        <f t="shared" si="42"/>
        <v/>
      </c>
      <c r="AI200" s="194">
        <f>13110.94+5365</f>
        <v>18475.940000000002</v>
      </c>
      <c r="AJ200" s="188">
        <v>18482.54</v>
      </c>
      <c r="AO200" s="367"/>
      <c r="AP200" s="367"/>
      <c r="AQ200" s="367"/>
    </row>
    <row r="201" spans="1:43" s="69" customFormat="1" ht="33" x14ac:dyDescent="0.3">
      <c r="A201" s="130" t="s">
        <v>498</v>
      </c>
      <c r="B201" s="131" t="s">
        <v>399</v>
      </c>
      <c r="C201" s="132" t="s">
        <v>110</v>
      </c>
      <c r="D201" s="133">
        <v>13810</v>
      </c>
      <c r="E201" s="203"/>
      <c r="F201" s="203"/>
      <c r="G201" s="203"/>
      <c r="H201" s="203">
        <v>36577.19</v>
      </c>
      <c r="I201" s="225"/>
      <c r="J201" s="75">
        <v>38.71</v>
      </c>
      <c r="K201" s="75">
        <v>1415903.02</v>
      </c>
      <c r="L201" s="91" t="s">
        <v>400</v>
      </c>
      <c r="M201" s="73"/>
      <c r="N201" s="46">
        <v>36483.800000000003</v>
      </c>
      <c r="O201" s="46">
        <v>0</v>
      </c>
      <c r="P201" s="46">
        <v>1412287.9</v>
      </c>
      <c r="Q201" s="98"/>
      <c r="R201" s="23" t="s">
        <v>1428</v>
      </c>
      <c r="S201" s="24" t="s">
        <v>399</v>
      </c>
      <c r="T201" s="25" t="s">
        <v>110</v>
      </c>
      <c r="U201" s="26">
        <v>13810</v>
      </c>
      <c r="V201" s="26">
        <f t="shared" si="47"/>
        <v>36577.19</v>
      </c>
      <c r="W201" s="26">
        <f t="shared" si="34"/>
        <v>38.71</v>
      </c>
      <c r="X201" s="127">
        <f t="shared" si="48"/>
        <v>0</v>
      </c>
      <c r="Y201" s="127">
        <f t="shared" si="49"/>
        <v>36483.800000000003</v>
      </c>
      <c r="Z201" s="127">
        <f t="shared" si="50"/>
        <v>0</v>
      </c>
      <c r="AA201" s="127">
        <f t="shared" si="41"/>
        <v>1412287.9</v>
      </c>
      <c r="AB201" s="33" t="s">
        <v>15</v>
      </c>
      <c r="AC201" s="325"/>
      <c r="AD201" s="263">
        <f t="shared" si="33"/>
        <v>36577.19</v>
      </c>
      <c r="AE201" s="263">
        <f t="shared" si="51"/>
        <v>1415903.02</v>
      </c>
      <c r="AF201" s="263">
        <v>1.4</v>
      </c>
      <c r="AG201" s="263">
        <v>1.4</v>
      </c>
      <c r="AH201" s="68" t="str">
        <f t="shared" si="42"/>
        <v/>
      </c>
      <c r="AI201" s="194">
        <f>28173+8310.8</f>
        <v>36483.800000000003</v>
      </c>
      <c r="AJ201" s="188">
        <v>36577.19</v>
      </c>
      <c r="AO201" s="367"/>
      <c r="AP201" s="367"/>
      <c r="AQ201" s="367"/>
    </row>
    <row r="202" spans="1:43" s="69" customFormat="1" ht="39" x14ac:dyDescent="0.3">
      <c r="A202" s="130" t="s">
        <v>499</v>
      </c>
      <c r="B202" s="131" t="s">
        <v>500</v>
      </c>
      <c r="C202" s="132" t="s">
        <v>50</v>
      </c>
      <c r="D202" s="133">
        <v>699</v>
      </c>
      <c r="E202" s="203"/>
      <c r="F202" s="203">
        <v>754.47</v>
      </c>
      <c r="G202" s="203"/>
      <c r="H202" s="162">
        <v>762.55</v>
      </c>
      <c r="I202" s="295"/>
      <c r="J202" s="166">
        <v>2510.79</v>
      </c>
      <c r="K202" s="75">
        <v>1914602.91</v>
      </c>
      <c r="L202" s="91" t="s">
        <v>501</v>
      </c>
      <c r="M202" s="73"/>
      <c r="N202" s="46">
        <v>754.3</v>
      </c>
      <c r="O202" s="46">
        <v>0</v>
      </c>
      <c r="P202" s="46">
        <v>1893888.9</v>
      </c>
      <c r="Q202" s="98"/>
      <c r="R202" s="23" t="s">
        <v>1387</v>
      </c>
      <c r="S202" s="24" t="s">
        <v>500</v>
      </c>
      <c r="T202" s="25" t="s">
        <v>50</v>
      </c>
      <c r="U202" s="26">
        <v>699</v>
      </c>
      <c r="V202" s="26">
        <f t="shared" si="47"/>
        <v>762.55</v>
      </c>
      <c r="W202" s="26">
        <f t="shared" si="34"/>
        <v>2510.79</v>
      </c>
      <c r="X202" s="243">
        <f t="shared" si="48"/>
        <v>8.25</v>
      </c>
      <c r="Y202" s="127">
        <f t="shared" si="49"/>
        <v>762.55</v>
      </c>
      <c r="Z202" s="127">
        <f t="shared" si="50"/>
        <v>20714.010000000009</v>
      </c>
      <c r="AA202" s="127">
        <f t="shared" si="41"/>
        <v>1914602.91</v>
      </c>
      <c r="AB202" s="27"/>
      <c r="AC202" s="325"/>
      <c r="AD202" s="263">
        <f t="shared" ref="AD202:AD265" si="52">IF(V202=0,U202,V202)</f>
        <v>762.55</v>
      </c>
      <c r="AE202" s="263">
        <f t="shared" si="51"/>
        <v>1914602.91</v>
      </c>
      <c r="AF202" s="263">
        <v>1.4</v>
      </c>
      <c r="AG202" s="263">
        <v>1.4</v>
      </c>
      <c r="AH202" s="68" t="str">
        <f t="shared" si="42"/>
        <v/>
      </c>
      <c r="AI202" s="191">
        <f>754.3+8.25</f>
        <v>762.55</v>
      </c>
      <c r="AJ202" s="188">
        <v>762.55</v>
      </c>
      <c r="AO202" s="367"/>
      <c r="AP202" s="367"/>
      <c r="AQ202" s="367"/>
    </row>
    <row r="203" spans="1:43" s="69" customFormat="1" ht="39" x14ac:dyDescent="0.3">
      <c r="A203" s="130" t="s">
        <v>502</v>
      </c>
      <c r="B203" s="131" t="s">
        <v>503</v>
      </c>
      <c r="C203" s="132" t="s">
        <v>103</v>
      </c>
      <c r="D203" s="133">
        <v>275</v>
      </c>
      <c r="E203" s="203"/>
      <c r="F203" s="203"/>
      <c r="G203" s="203"/>
      <c r="H203" s="162">
        <v>318.56</v>
      </c>
      <c r="I203" s="295"/>
      <c r="J203" s="166">
        <v>3298.06</v>
      </c>
      <c r="K203" s="75">
        <v>1050629.99</v>
      </c>
      <c r="L203" s="91" t="s">
        <v>504</v>
      </c>
      <c r="M203" s="73"/>
      <c r="N203" s="46">
        <v>304.60000000000002</v>
      </c>
      <c r="O203" s="46">
        <v>0</v>
      </c>
      <c r="P203" s="46">
        <v>1004589.08</v>
      </c>
      <c r="Q203" s="98"/>
      <c r="R203" s="23" t="s">
        <v>1405</v>
      </c>
      <c r="S203" s="24" t="s">
        <v>503</v>
      </c>
      <c r="T203" s="25" t="s">
        <v>103</v>
      </c>
      <c r="U203" s="26">
        <v>275</v>
      </c>
      <c r="V203" s="26">
        <f t="shared" si="47"/>
        <v>318.56</v>
      </c>
      <c r="W203" s="26">
        <f t="shared" ref="W203:W266" si="53">J203</f>
        <v>3298.06</v>
      </c>
      <c r="X203" s="243">
        <f t="shared" si="48"/>
        <v>13.95999999999998</v>
      </c>
      <c r="Y203" s="127">
        <f t="shared" si="49"/>
        <v>318.56</v>
      </c>
      <c r="Z203" s="127">
        <f t="shared" si="50"/>
        <v>46040.910000000033</v>
      </c>
      <c r="AA203" s="127">
        <f t="shared" si="41"/>
        <v>1050629.99</v>
      </c>
      <c r="AB203" s="33"/>
      <c r="AC203" s="325"/>
      <c r="AD203" s="263">
        <f t="shared" si="52"/>
        <v>318.56</v>
      </c>
      <c r="AE203" s="263">
        <f t="shared" si="51"/>
        <v>1050629.99</v>
      </c>
      <c r="AF203" s="263">
        <v>1.4</v>
      </c>
      <c r="AG203" s="263">
        <v>1.4</v>
      </c>
      <c r="AH203" s="68" t="str">
        <f t="shared" si="42"/>
        <v/>
      </c>
      <c r="AI203" s="191">
        <f>304.6+13.96</f>
        <v>318.56</v>
      </c>
      <c r="AJ203" s="188">
        <v>318.56</v>
      </c>
      <c r="AO203" s="367"/>
      <c r="AP203" s="367"/>
      <c r="AQ203" s="367"/>
    </row>
    <row r="204" spans="1:43" s="69" customFormat="1" ht="39" x14ac:dyDescent="0.3">
      <c r="A204" s="130" t="s">
        <v>505</v>
      </c>
      <c r="B204" s="131" t="s">
        <v>506</v>
      </c>
      <c r="C204" s="132" t="s">
        <v>50</v>
      </c>
      <c r="D204" s="133">
        <v>203</v>
      </c>
      <c r="E204" s="75"/>
      <c r="F204" s="75"/>
      <c r="G204" s="75"/>
      <c r="H204" s="162">
        <v>418.05</v>
      </c>
      <c r="I204" s="158"/>
      <c r="J204" s="166">
        <v>2952.19</v>
      </c>
      <c r="K204" s="75">
        <v>1234163.03</v>
      </c>
      <c r="L204" s="91" t="s">
        <v>507</v>
      </c>
      <c r="M204" s="73"/>
      <c r="N204" s="46">
        <v>392.5</v>
      </c>
      <c r="O204" s="46">
        <v>0</v>
      </c>
      <c r="P204" s="46">
        <v>1158734.58</v>
      </c>
      <c r="Q204" s="98"/>
      <c r="R204" s="23" t="s">
        <v>1406</v>
      </c>
      <c r="S204" s="24" t="s">
        <v>506</v>
      </c>
      <c r="T204" s="25" t="s">
        <v>50</v>
      </c>
      <c r="U204" s="26">
        <v>203</v>
      </c>
      <c r="V204" s="26">
        <f t="shared" si="47"/>
        <v>418.05</v>
      </c>
      <c r="W204" s="26">
        <f t="shared" si="53"/>
        <v>2952.19</v>
      </c>
      <c r="X204" s="243">
        <f t="shared" si="48"/>
        <v>25.550000000000011</v>
      </c>
      <c r="Y204" s="127">
        <f t="shared" si="49"/>
        <v>418.05</v>
      </c>
      <c r="Z204" s="127">
        <f t="shared" si="50"/>
        <v>75428.449999999953</v>
      </c>
      <c r="AA204" s="127">
        <f t="shared" si="41"/>
        <v>1234163.03</v>
      </c>
      <c r="AB204" s="33" t="s">
        <v>15</v>
      </c>
      <c r="AC204" s="325"/>
      <c r="AD204" s="263">
        <f t="shared" si="52"/>
        <v>418.05</v>
      </c>
      <c r="AE204" s="263">
        <f t="shared" si="51"/>
        <v>1234163.03</v>
      </c>
      <c r="AF204" s="263">
        <v>1.4</v>
      </c>
      <c r="AG204" s="263">
        <v>1.4</v>
      </c>
      <c r="AH204" s="68" t="str">
        <f t="shared" si="42"/>
        <v/>
      </c>
      <c r="AI204" s="191">
        <f>392.5+25.55</f>
        <v>418.05</v>
      </c>
      <c r="AJ204" s="188">
        <v>418.05</v>
      </c>
      <c r="AN204" s="363"/>
      <c r="AO204" s="368"/>
      <c r="AP204" s="367"/>
      <c r="AQ204" s="367"/>
    </row>
    <row r="205" spans="1:43" s="69" customFormat="1" ht="24.75" x14ac:dyDescent="0.3">
      <c r="A205" s="130" t="s">
        <v>508</v>
      </c>
      <c r="B205" s="131" t="s">
        <v>509</v>
      </c>
      <c r="C205" s="132" t="s">
        <v>50</v>
      </c>
      <c r="D205" s="133">
        <v>405</v>
      </c>
      <c r="E205" s="75"/>
      <c r="F205" s="75"/>
      <c r="G205" s="75"/>
      <c r="H205" s="161"/>
      <c r="I205" s="345">
        <v>835.62</v>
      </c>
      <c r="J205" s="166">
        <v>1454.57</v>
      </c>
      <c r="K205" s="75">
        <v>1215467.78</v>
      </c>
      <c r="L205" s="91" t="s">
        <v>510</v>
      </c>
      <c r="M205" s="73"/>
      <c r="N205" s="46">
        <v>405</v>
      </c>
      <c r="O205" s="46">
        <v>0</v>
      </c>
      <c r="P205" s="46">
        <v>589100.85</v>
      </c>
      <c r="Q205" s="98"/>
      <c r="R205" s="23" t="s">
        <v>1414</v>
      </c>
      <c r="S205" s="24" t="s">
        <v>509</v>
      </c>
      <c r="T205" s="25" t="s">
        <v>50</v>
      </c>
      <c r="U205" s="26">
        <v>405</v>
      </c>
      <c r="V205" s="26">
        <f t="shared" si="47"/>
        <v>835.62</v>
      </c>
      <c r="W205" s="26">
        <f t="shared" si="53"/>
        <v>1454.57</v>
      </c>
      <c r="X205" s="243">
        <f t="shared" si="48"/>
        <v>0</v>
      </c>
      <c r="Y205" s="127">
        <f t="shared" si="49"/>
        <v>405</v>
      </c>
      <c r="Z205" s="127">
        <f t="shared" si="50"/>
        <v>0</v>
      </c>
      <c r="AA205" s="127">
        <f t="shared" si="41"/>
        <v>589100.85</v>
      </c>
      <c r="AB205" s="33" t="s">
        <v>15</v>
      </c>
      <c r="AC205" s="324"/>
      <c r="AD205" s="181">
        <f t="shared" si="52"/>
        <v>835.62</v>
      </c>
      <c r="AE205" s="181">
        <f t="shared" si="51"/>
        <v>1215467.78</v>
      </c>
      <c r="AF205" s="181">
        <v>1.4</v>
      </c>
      <c r="AG205" s="181">
        <v>1.4</v>
      </c>
      <c r="AH205" s="363" t="str">
        <f t="shared" si="42"/>
        <v/>
      </c>
      <c r="AI205" s="191">
        <v>405</v>
      </c>
      <c r="AJ205" s="190">
        <v>835.62</v>
      </c>
      <c r="AO205" s="367"/>
      <c r="AP205" s="367"/>
      <c r="AQ205" s="367"/>
    </row>
    <row r="206" spans="1:43" s="69" customFormat="1" ht="78" x14ac:dyDescent="0.3">
      <c r="A206" s="130" t="s">
        <v>511</v>
      </c>
      <c r="B206" s="131" t="s">
        <v>512</v>
      </c>
      <c r="C206" s="132" t="s">
        <v>513</v>
      </c>
      <c r="D206" s="133">
        <v>372</v>
      </c>
      <c r="E206" s="75"/>
      <c r="F206" s="75"/>
      <c r="G206" s="75"/>
      <c r="H206" s="161"/>
      <c r="I206" s="158"/>
      <c r="J206" s="166">
        <v>435</v>
      </c>
      <c r="K206" s="75">
        <v>161820</v>
      </c>
      <c r="L206" s="91" t="s">
        <v>514</v>
      </c>
      <c r="M206" s="73"/>
      <c r="N206" s="46">
        <v>292</v>
      </c>
      <c r="O206" s="46">
        <v>0</v>
      </c>
      <c r="P206" s="46">
        <v>127020</v>
      </c>
      <c r="Q206" s="98"/>
      <c r="R206" s="23" t="s">
        <v>1429</v>
      </c>
      <c r="S206" s="24" t="s">
        <v>512</v>
      </c>
      <c r="T206" s="25" t="s">
        <v>513</v>
      </c>
      <c r="U206" s="26">
        <v>372</v>
      </c>
      <c r="V206" s="26">
        <f t="shared" si="47"/>
        <v>372</v>
      </c>
      <c r="W206" s="26">
        <f t="shared" si="53"/>
        <v>435</v>
      </c>
      <c r="X206" s="127">
        <f t="shared" si="48"/>
        <v>0</v>
      </c>
      <c r="Y206" s="127">
        <f t="shared" si="49"/>
        <v>292</v>
      </c>
      <c r="Z206" s="127">
        <f t="shared" si="50"/>
        <v>0</v>
      </c>
      <c r="AA206" s="127">
        <f t="shared" si="41"/>
        <v>127020</v>
      </c>
      <c r="AB206" s="33" t="s">
        <v>15</v>
      </c>
      <c r="AC206" s="324"/>
      <c r="AD206" s="181">
        <f t="shared" si="52"/>
        <v>372</v>
      </c>
      <c r="AE206" s="181">
        <f t="shared" si="51"/>
        <v>161820</v>
      </c>
      <c r="AF206" s="181">
        <v>1.4</v>
      </c>
      <c r="AG206" s="181">
        <v>1.4</v>
      </c>
      <c r="AH206" s="363" t="str">
        <f t="shared" si="42"/>
        <v/>
      </c>
      <c r="AI206" s="194">
        <v>292</v>
      </c>
      <c r="AJ206" s="188">
        <v>372</v>
      </c>
      <c r="AO206" s="367"/>
      <c r="AP206" s="367"/>
      <c r="AQ206" s="367"/>
    </row>
    <row r="207" spans="1:43" s="69" customFormat="1" ht="24.75" x14ac:dyDescent="0.3">
      <c r="A207" s="130" t="s">
        <v>515</v>
      </c>
      <c r="B207" s="131" t="s">
        <v>516</v>
      </c>
      <c r="C207" s="132" t="s">
        <v>50</v>
      </c>
      <c r="D207" s="133">
        <v>1984</v>
      </c>
      <c r="E207" s="75"/>
      <c r="F207" s="75"/>
      <c r="G207" s="75"/>
      <c r="H207" s="161"/>
      <c r="I207" s="158"/>
      <c r="J207" s="166">
        <v>885.8</v>
      </c>
      <c r="K207" s="75">
        <v>1757427.2</v>
      </c>
      <c r="L207" s="91" t="s">
        <v>517</v>
      </c>
      <c r="M207" s="73"/>
      <c r="N207" s="46">
        <v>1796.5</v>
      </c>
      <c r="O207" s="46">
        <v>0</v>
      </c>
      <c r="P207" s="46">
        <v>1591339.7</v>
      </c>
      <c r="Q207" s="98"/>
      <c r="R207" s="23" t="s">
        <v>1430</v>
      </c>
      <c r="S207" s="24" t="s">
        <v>516</v>
      </c>
      <c r="T207" s="25" t="s">
        <v>50</v>
      </c>
      <c r="U207" s="26">
        <v>1984</v>
      </c>
      <c r="V207" s="26">
        <f t="shared" si="47"/>
        <v>1984</v>
      </c>
      <c r="W207" s="26">
        <f t="shared" si="53"/>
        <v>885.8</v>
      </c>
      <c r="X207" s="127">
        <f t="shared" si="48"/>
        <v>0</v>
      </c>
      <c r="Y207" s="127">
        <f t="shared" si="49"/>
        <v>1796.5</v>
      </c>
      <c r="Z207" s="127">
        <f t="shared" si="50"/>
        <v>0</v>
      </c>
      <c r="AA207" s="127">
        <f t="shared" si="41"/>
        <v>1591339.7</v>
      </c>
      <c r="AB207" s="33" t="s">
        <v>15</v>
      </c>
      <c r="AC207" s="324"/>
      <c r="AD207" s="181">
        <f t="shared" si="52"/>
        <v>1984</v>
      </c>
      <c r="AE207" s="181">
        <f t="shared" si="51"/>
        <v>1757427.2</v>
      </c>
      <c r="AF207" s="181">
        <v>1.4</v>
      </c>
      <c r="AG207" s="181">
        <v>1.4</v>
      </c>
      <c r="AH207" s="363" t="str">
        <f t="shared" si="42"/>
        <v/>
      </c>
      <c r="AI207" s="190">
        <v>1796.5</v>
      </c>
      <c r="AJ207" s="188">
        <v>1984</v>
      </c>
      <c r="AO207" s="367"/>
      <c r="AP207" s="367"/>
      <c r="AQ207" s="367"/>
    </row>
    <row r="208" spans="1:43" s="69" customFormat="1" ht="24.75" x14ac:dyDescent="0.3">
      <c r="A208" s="130" t="s">
        <v>518</v>
      </c>
      <c r="B208" s="131" t="s">
        <v>189</v>
      </c>
      <c r="C208" s="132" t="s">
        <v>30</v>
      </c>
      <c r="D208" s="133">
        <v>45</v>
      </c>
      <c r="E208" s="75"/>
      <c r="F208" s="75"/>
      <c r="G208" s="75"/>
      <c r="H208" s="161"/>
      <c r="I208" s="158"/>
      <c r="J208" s="166">
        <v>138.84</v>
      </c>
      <c r="K208" s="75">
        <v>6247.8</v>
      </c>
      <c r="L208" s="91" t="s">
        <v>190</v>
      </c>
      <c r="M208" s="73"/>
      <c r="N208" s="46">
        <v>36.96</v>
      </c>
      <c r="O208" s="46">
        <v>0</v>
      </c>
      <c r="P208" s="46">
        <v>5131.53</v>
      </c>
      <c r="Q208" s="98"/>
      <c r="R208" s="23" t="s">
        <v>1431</v>
      </c>
      <c r="S208" s="24" t="s">
        <v>189</v>
      </c>
      <c r="T208" s="25" t="s">
        <v>30</v>
      </c>
      <c r="U208" s="26">
        <v>45</v>
      </c>
      <c r="V208" s="26">
        <f t="shared" si="47"/>
        <v>45</v>
      </c>
      <c r="W208" s="26">
        <f t="shared" si="53"/>
        <v>138.84</v>
      </c>
      <c r="X208" s="127">
        <f t="shared" si="48"/>
        <v>0</v>
      </c>
      <c r="Y208" s="127">
        <f t="shared" si="49"/>
        <v>36.96</v>
      </c>
      <c r="Z208" s="127">
        <f t="shared" si="50"/>
        <v>0</v>
      </c>
      <c r="AA208" s="127">
        <f t="shared" si="41"/>
        <v>5131.53</v>
      </c>
      <c r="AB208" s="33" t="s">
        <v>15</v>
      </c>
      <c r="AC208" s="324"/>
      <c r="AD208" s="181">
        <f t="shared" si="52"/>
        <v>45</v>
      </c>
      <c r="AE208" s="181">
        <f t="shared" si="51"/>
        <v>6247.8</v>
      </c>
      <c r="AF208" s="181">
        <v>1.4</v>
      </c>
      <c r="AG208" s="181">
        <v>1.4</v>
      </c>
      <c r="AH208" s="363" t="str">
        <f t="shared" si="42"/>
        <v/>
      </c>
      <c r="AI208" s="194">
        <v>36.96</v>
      </c>
      <c r="AJ208" s="188">
        <v>45</v>
      </c>
      <c r="AO208" s="367"/>
      <c r="AP208" s="367"/>
      <c r="AQ208" s="367"/>
    </row>
    <row r="209" spans="1:43" s="69" customFormat="1" ht="24.75" x14ac:dyDescent="0.3">
      <c r="A209" s="130" t="s">
        <v>519</v>
      </c>
      <c r="B209" s="131" t="s">
        <v>520</v>
      </c>
      <c r="C209" s="132" t="s">
        <v>30</v>
      </c>
      <c r="D209" s="133">
        <v>62</v>
      </c>
      <c r="E209" s="75"/>
      <c r="F209" s="75"/>
      <c r="G209" s="75"/>
      <c r="H209" s="224"/>
      <c r="I209" s="158"/>
      <c r="J209" s="166">
        <v>326.3</v>
      </c>
      <c r="K209" s="75">
        <v>20230.599999999999</v>
      </c>
      <c r="L209" s="91" t="s">
        <v>521</v>
      </c>
      <c r="M209" s="73"/>
      <c r="N209" s="46">
        <v>59</v>
      </c>
      <c r="O209" s="46">
        <v>0</v>
      </c>
      <c r="P209" s="46">
        <v>19251.7</v>
      </c>
      <c r="Q209" s="98"/>
      <c r="R209" s="23" t="s">
        <v>1395</v>
      </c>
      <c r="S209" s="24" t="s">
        <v>520</v>
      </c>
      <c r="T209" s="25" t="s">
        <v>30</v>
      </c>
      <c r="U209" s="26">
        <v>62</v>
      </c>
      <c r="V209" s="26">
        <f t="shared" si="47"/>
        <v>62</v>
      </c>
      <c r="W209" s="26">
        <f t="shared" si="53"/>
        <v>326.3</v>
      </c>
      <c r="X209" s="127">
        <f t="shared" si="48"/>
        <v>0</v>
      </c>
      <c r="Y209" s="127">
        <f t="shared" si="49"/>
        <v>59</v>
      </c>
      <c r="Z209" s="127">
        <f t="shared" si="50"/>
        <v>0</v>
      </c>
      <c r="AA209" s="127">
        <f t="shared" si="41"/>
        <v>19251.7</v>
      </c>
      <c r="AB209" s="33" t="s">
        <v>15</v>
      </c>
      <c r="AC209" s="324"/>
      <c r="AD209" s="181">
        <f t="shared" si="52"/>
        <v>62</v>
      </c>
      <c r="AE209" s="181">
        <f t="shared" si="51"/>
        <v>20230.599999999999</v>
      </c>
      <c r="AF209" s="181">
        <v>1.4</v>
      </c>
      <c r="AG209" s="181">
        <v>1.4</v>
      </c>
      <c r="AH209" s="363" t="str">
        <f t="shared" si="42"/>
        <v/>
      </c>
      <c r="AI209" s="194">
        <v>59</v>
      </c>
      <c r="AJ209" s="188">
        <v>62</v>
      </c>
      <c r="AN209" s="363"/>
      <c r="AO209" s="368"/>
      <c r="AP209" s="367"/>
      <c r="AQ209" s="367"/>
    </row>
    <row r="210" spans="1:43" s="69" customFormat="1" ht="58.5" x14ac:dyDescent="0.3">
      <c r="A210" s="55" t="s">
        <v>522</v>
      </c>
      <c r="B210" s="53" t="s">
        <v>424</v>
      </c>
      <c r="C210" s="54" t="s">
        <v>50</v>
      </c>
      <c r="D210" s="75">
        <v>275</v>
      </c>
      <c r="E210" s="75"/>
      <c r="F210" s="75"/>
      <c r="G210" s="161"/>
      <c r="H210" s="347">
        <v>2016.9</v>
      </c>
      <c r="I210" s="158"/>
      <c r="J210" s="166">
        <v>692.16</v>
      </c>
      <c r="K210" s="75">
        <v>1396017.5</v>
      </c>
      <c r="L210" s="91" t="s">
        <v>425</v>
      </c>
      <c r="M210" s="73"/>
      <c r="N210" s="46">
        <v>1427.6</v>
      </c>
      <c r="O210" s="46">
        <v>797783.62</v>
      </c>
      <c r="P210" s="46">
        <v>988127.62</v>
      </c>
      <c r="Q210" s="98"/>
      <c r="R210" s="23" t="s">
        <v>1432</v>
      </c>
      <c r="S210" s="24" t="s">
        <v>424</v>
      </c>
      <c r="T210" s="25" t="s">
        <v>50</v>
      </c>
      <c r="U210" s="26">
        <v>275</v>
      </c>
      <c r="V210" s="26">
        <f t="shared" si="47"/>
        <v>2016.9</v>
      </c>
      <c r="W210" s="26">
        <f t="shared" si="53"/>
        <v>692.16</v>
      </c>
      <c r="X210" s="243">
        <f t="shared" si="48"/>
        <v>0</v>
      </c>
      <c r="Y210" s="127">
        <f t="shared" si="49"/>
        <v>1427.6</v>
      </c>
      <c r="Z210" s="127">
        <f t="shared" si="50"/>
        <v>0</v>
      </c>
      <c r="AA210" s="127">
        <f t="shared" si="41"/>
        <v>988127.62</v>
      </c>
      <c r="AB210" s="33" t="s">
        <v>15</v>
      </c>
      <c r="AC210" s="324"/>
      <c r="AD210" s="181">
        <f t="shared" si="52"/>
        <v>2016.9</v>
      </c>
      <c r="AE210" s="181">
        <f t="shared" si="51"/>
        <v>1396017.5</v>
      </c>
      <c r="AF210" s="181">
        <v>1.4</v>
      </c>
      <c r="AG210" s="181">
        <v>1.4</v>
      </c>
      <c r="AH210" s="363" t="str">
        <f t="shared" si="42"/>
        <v/>
      </c>
      <c r="AI210" s="191">
        <v>1427.6</v>
      </c>
      <c r="AJ210" s="188">
        <v>2016.9</v>
      </c>
      <c r="AO210" s="367"/>
      <c r="AP210" s="367"/>
      <c r="AQ210" s="367"/>
    </row>
    <row r="211" spans="1:43" s="69" customFormat="1" ht="41.25" x14ac:dyDescent="0.3">
      <c r="A211" s="130" t="s">
        <v>523</v>
      </c>
      <c r="B211" s="131" t="s">
        <v>524</v>
      </c>
      <c r="C211" s="132" t="s">
        <v>30</v>
      </c>
      <c r="D211" s="133">
        <v>429</v>
      </c>
      <c r="E211" s="75"/>
      <c r="F211" s="75"/>
      <c r="G211" s="161"/>
      <c r="H211" s="235"/>
      <c r="I211" s="158"/>
      <c r="J211" s="166">
        <v>1707.13</v>
      </c>
      <c r="K211" s="75">
        <v>0</v>
      </c>
      <c r="L211" s="91" t="s">
        <v>525</v>
      </c>
      <c r="M211" s="73"/>
      <c r="N211" s="46">
        <v>0</v>
      </c>
      <c r="O211" s="46">
        <v>0</v>
      </c>
      <c r="P211" s="46">
        <v>0</v>
      </c>
      <c r="Q211" s="98"/>
      <c r="R211" s="23" t="s">
        <v>1433</v>
      </c>
      <c r="S211" s="24" t="s">
        <v>524</v>
      </c>
      <c r="T211" s="25" t="s">
        <v>30</v>
      </c>
      <c r="U211" s="26">
        <v>429</v>
      </c>
      <c r="V211" s="26">
        <v>0</v>
      </c>
      <c r="W211" s="26">
        <f t="shared" si="53"/>
        <v>1707.13</v>
      </c>
      <c r="X211" s="127">
        <f t="shared" si="48"/>
        <v>0</v>
      </c>
      <c r="Y211" s="127">
        <f t="shared" si="49"/>
        <v>0</v>
      </c>
      <c r="Z211" s="127">
        <f t="shared" si="50"/>
        <v>0</v>
      </c>
      <c r="AA211" s="127">
        <f t="shared" si="41"/>
        <v>0</v>
      </c>
      <c r="AB211" s="33" t="s">
        <v>15</v>
      </c>
      <c r="AC211" s="324"/>
      <c r="AD211" s="181">
        <v>0</v>
      </c>
      <c r="AE211" s="181">
        <f t="shared" si="51"/>
        <v>0</v>
      </c>
      <c r="AF211" s="181">
        <v>1.4</v>
      </c>
      <c r="AG211" s="181">
        <v>1.4</v>
      </c>
      <c r="AH211" s="363" t="str">
        <f t="shared" si="42"/>
        <v/>
      </c>
      <c r="AI211" s="190">
        <v>0</v>
      </c>
      <c r="AJ211" s="188">
        <v>0</v>
      </c>
      <c r="AO211" s="367"/>
      <c r="AP211" s="367"/>
      <c r="AQ211" s="367"/>
    </row>
    <row r="212" spans="1:43" s="69" customFormat="1" ht="39" x14ac:dyDescent="0.3">
      <c r="A212" s="130" t="s">
        <v>526</v>
      </c>
      <c r="B212" s="131" t="s">
        <v>527</v>
      </c>
      <c r="C212" s="132" t="s">
        <v>34</v>
      </c>
      <c r="D212" s="133">
        <v>1597.5</v>
      </c>
      <c r="E212" s="75"/>
      <c r="F212" s="75"/>
      <c r="G212" s="161"/>
      <c r="H212" s="235">
        <v>2059.1999999999998</v>
      </c>
      <c r="I212" s="158"/>
      <c r="J212" s="166">
        <v>49</v>
      </c>
      <c r="K212" s="75">
        <v>100900.8</v>
      </c>
      <c r="L212" s="91" t="s">
        <v>528</v>
      </c>
      <c r="M212" s="73"/>
      <c r="N212" s="46">
        <v>2059.1999999999998</v>
      </c>
      <c r="O212" s="46">
        <v>0</v>
      </c>
      <c r="P212" s="46">
        <v>100900.8</v>
      </c>
      <c r="Q212" s="98"/>
      <c r="R212" s="23" t="s">
        <v>1382</v>
      </c>
      <c r="S212" s="24" t="s">
        <v>527</v>
      </c>
      <c r="T212" s="25" t="s">
        <v>34</v>
      </c>
      <c r="U212" s="26">
        <v>1597.5</v>
      </c>
      <c r="V212" s="26">
        <f t="shared" si="47"/>
        <v>2059.1999999999998</v>
      </c>
      <c r="W212" s="26">
        <f t="shared" si="53"/>
        <v>49</v>
      </c>
      <c r="X212" s="127">
        <f t="shared" si="48"/>
        <v>0</v>
      </c>
      <c r="Y212" s="127">
        <f t="shared" si="49"/>
        <v>2059.1999999999998</v>
      </c>
      <c r="Z212" s="127">
        <f t="shared" si="50"/>
        <v>0</v>
      </c>
      <c r="AA212" s="127">
        <f t="shared" si="41"/>
        <v>100900.8</v>
      </c>
      <c r="AB212" s="33" t="s">
        <v>15</v>
      </c>
      <c r="AC212" s="324"/>
      <c r="AD212" s="181">
        <f t="shared" si="52"/>
        <v>2059.1999999999998</v>
      </c>
      <c r="AE212" s="181">
        <f t="shared" si="51"/>
        <v>100900.8</v>
      </c>
      <c r="AF212" s="181">
        <v>1.4</v>
      </c>
      <c r="AG212" s="181">
        <v>1.4</v>
      </c>
      <c r="AH212" s="363" t="str">
        <f t="shared" si="42"/>
        <v/>
      </c>
      <c r="AI212" s="194">
        <f>1530+529.2</f>
        <v>2059.1999999999998</v>
      </c>
      <c r="AJ212" s="190">
        <v>2059.1999999999998</v>
      </c>
      <c r="AO212" s="367"/>
      <c r="AP212" s="367"/>
      <c r="AQ212" s="367"/>
    </row>
    <row r="213" spans="1:43" s="69" customFormat="1" ht="39" x14ac:dyDescent="0.3">
      <c r="A213" s="134" t="s">
        <v>1324</v>
      </c>
      <c r="B213" s="135" t="s">
        <v>1325</v>
      </c>
      <c r="C213" s="204" t="s">
        <v>23</v>
      </c>
      <c r="D213" s="216"/>
      <c r="E213" s="117">
        <v>1362.5</v>
      </c>
      <c r="F213" s="77"/>
      <c r="G213" s="226"/>
      <c r="H213" s="294"/>
      <c r="I213" s="230"/>
      <c r="J213" s="178">
        <v>926.62</v>
      </c>
      <c r="K213" s="59">
        <v>1262519.75</v>
      </c>
      <c r="L213" s="92"/>
      <c r="M213" s="73"/>
      <c r="N213" s="46">
        <v>1345</v>
      </c>
      <c r="O213" s="46">
        <v>0</v>
      </c>
      <c r="P213" s="46">
        <v>1246303.8999999999</v>
      </c>
      <c r="Q213" s="98"/>
      <c r="R213" s="23" t="s">
        <v>1434</v>
      </c>
      <c r="S213" s="24" t="s">
        <v>1498</v>
      </c>
      <c r="T213" s="25" t="s">
        <v>23</v>
      </c>
      <c r="U213" s="26">
        <v>0</v>
      </c>
      <c r="V213" s="26">
        <f t="shared" si="47"/>
        <v>1362.5</v>
      </c>
      <c r="W213" s="26">
        <f t="shared" si="53"/>
        <v>926.62</v>
      </c>
      <c r="X213" s="127">
        <f t="shared" si="48"/>
        <v>0</v>
      </c>
      <c r="Y213" s="127">
        <f t="shared" si="49"/>
        <v>1345</v>
      </c>
      <c r="Z213" s="127">
        <f t="shared" si="50"/>
        <v>0</v>
      </c>
      <c r="AA213" s="127">
        <f t="shared" si="41"/>
        <v>1246303.8999999999</v>
      </c>
      <c r="AB213" s="27"/>
      <c r="AC213" s="324"/>
      <c r="AD213" s="181">
        <f t="shared" si="52"/>
        <v>1362.5</v>
      </c>
      <c r="AE213" s="181">
        <f t="shared" si="51"/>
        <v>1262519.75</v>
      </c>
      <c r="AF213" s="181">
        <v>1.4</v>
      </c>
      <c r="AG213" s="181">
        <v>1.4</v>
      </c>
      <c r="AH213" s="363" t="str">
        <f t="shared" si="42"/>
        <v/>
      </c>
      <c r="AI213" s="194">
        <v>1345</v>
      </c>
      <c r="AJ213" s="188">
        <v>1362.5</v>
      </c>
      <c r="AN213" s="70"/>
      <c r="AO213" s="367"/>
      <c r="AP213" s="367"/>
      <c r="AQ213" s="367"/>
    </row>
    <row r="214" spans="1:43" ht="58.5" x14ac:dyDescent="0.3">
      <c r="A214" s="134" t="s">
        <v>1326</v>
      </c>
      <c r="B214" s="135" t="s">
        <v>3136</v>
      </c>
      <c r="C214" s="204" t="s">
        <v>50</v>
      </c>
      <c r="D214" s="216"/>
      <c r="E214" s="78"/>
      <c r="F214" s="62">
        <v>548.70000000000005</v>
      </c>
      <c r="G214" s="163"/>
      <c r="H214" s="348">
        <v>805.73</v>
      </c>
      <c r="I214" s="62"/>
      <c r="J214" s="167">
        <v>3120.78</v>
      </c>
      <c r="K214" s="62">
        <v>2514506.0699999998</v>
      </c>
      <c r="L214" s="93"/>
      <c r="N214" s="46">
        <v>672.3</v>
      </c>
      <c r="O214" s="46">
        <v>0</v>
      </c>
      <c r="P214" s="46">
        <v>2098100.39</v>
      </c>
      <c r="Q214" s="98"/>
      <c r="R214" s="23" t="s">
        <v>1388</v>
      </c>
      <c r="S214" s="24" t="s">
        <v>1327</v>
      </c>
      <c r="T214" s="25" t="s">
        <v>50</v>
      </c>
      <c r="U214" s="26">
        <v>0</v>
      </c>
      <c r="V214" s="26">
        <f t="shared" si="47"/>
        <v>805.73</v>
      </c>
      <c r="W214" s="26">
        <f t="shared" si="53"/>
        <v>3120.78</v>
      </c>
      <c r="X214" s="243">
        <f t="shared" si="48"/>
        <v>133.43000000000006</v>
      </c>
      <c r="Y214" s="127">
        <f t="shared" si="49"/>
        <v>805.73</v>
      </c>
      <c r="Z214" s="127">
        <f t="shared" si="50"/>
        <v>416405.6799999997</v>
      </c>
      <c r="AA214" s="127">
        <f>ROUND(W214*Y214,2)</f>
        <v>2514506.0699999998</v>
      </c>
      <c r="AB214" s="27"/>
      <c r="AC214" s="324"/>
      <c r="AD214" s="181">
        <f t="shared" si="52"/>
        <v>805.73</v>
      </c>
      <c r="AE214" s="181">
        <f t="shared" si="51"/>
        <v>2514506.0699999998</v>
      </c>
      <c r="AF214" s="181">
        <v>1.4</v>
      </c>
      <c r="AG214" s="181">
        <v>1.4</v>
      </c>
      <c r="AH214" s="363" t="str">
        <f t="shared" si="42"/>
        <v/>
      </c>
      <c r="AI214" s="191">
        <f>672.3+133.43</f>
        <v>805.73</v>
      </c>
      <c r="AJ214" s="188">
        <v>805.73</v>
      </c>
      <c r="AN214" s="70"/>
      <c r="AO214" s="367"/>
      <c r="AP214" s="367"/>
      <c r="AQ214" s="367"/>
    </row>
    <row r="215" spans="1:43" ht="66" x14ac:dyDescent="0.3">
      <c r="A215" s="134" t="s">
        <v>1328</v>
      </c>
      <c r="B215" s="139" t="s">
        <v>1329</v>
      </c>
      <c r="C215" s="204" t="s">
        <v>30</v>
      </c>
      <c r="D215" s="216"/>
      <c r="E215" s="78"/>
      <c r="F215" s="62">
        <v>410</v>
      </c>
      <c r="G215" s="163"/>
      <c r="H215" s="163"/>
      <c r="I215" s="62"/>
      <c r="J215" s="167">
        <v>5733.63</v>
      </c>
      <c r="K215" s="62">
        <v>2350788.2999999998</v>
      </c>
      <c r="L215" s="93"/>
      <c r="N215" s="46">
        <v>410</v>
      </c>
      <c r="O215" s="46">
        <v>0</v>
      </c>
      <c r="P215" s="46">
        <v>2350788.2999999998</v>
      </c>
      <c r="Q215" s="98"/>
      <c r="R215" s="23" t="s">
        <v>1389</v>
      </c>
      <c r="S215" s="24" t="s">
        <v>1329</v>
      </c>
      <c r="T215" s="25" t="s">
        <v>30</v>
      </c>
      <c r="U215" s="26">
        <v>0</v>
      </c>
      <c r="V215" s="26">
        <f t="shared" si="47"/>
        <v>410</v>
      </c>
      <c r="W215" s="26">
        <f t="shared" si="53"/>
        <v>5733.63</v>
      </c>
      <c r="X215" s="127">
        <f t="shared" si="48"/>
        <v>0</v>
      </c>
      <c r="Y215" s="127">
        <f t="shared" si="49"/>
        <v>410</v>
      </c>
      <c r="Z215" s="127">
        <f t="shared" si="50"/>
        <v>0</v>
      </c>
      <c r="AA215" s="127">
        <f t="shared" si="41"/>
        <v>2350788.2999999998</v>
      </c>
      <c r="AB215" s="27"/>
      <c r="AC215" s="324"/>
      <c r="AD215" s="181">
        <f t="shared" si="52"/>
        <v>410</v>
      </c>
      <c r="AE215" s="181">
        <f t="shared" si="51"/>
        <v>2350788.2999999998</v>
      </c>
      <c r="AF215" s="181">
        <v>1.4</v>
      </c>
      <c r="AG215" s="181">
        <v>1.4</v>
      </c>
      <c r="AH215" s="363" t="str">
        <f t="shared" si="42"/>
        <v/>
      </c>
      <c r="AI215" s="190">
        <v>410</v>
      </c>
      <c r="AJ215" s="188">
        <v>410</v>
      </c>
      <c r="AN215" s="70"/>
      <c r="AO215" s="367"/>
      <c r="AP215" s="367"/>
      <c r="AQ215" s="367"/>
    </row>
    <row r="216" spans="1:43" ht="78" x14ac:dyDescent="0.3">
      <c r="A216" s="134" t="s">
        <v>1330</v>
      </c>
      <c r="B216" s="135" t="s">
        <v>3135</v>
      </c>
      <c r="C216" s="204" t="s">
        <v>23</v>
      </c>
      <c r="D216" s="216"/>
      <c r="E216" s="78"/>
      <c r="F216" s="62">
        <v>690</v>
      </c>
      <c r="G216" s="163"/>
      <c r="H216" s="163">
        <v>1526.83</v>
      </c>
      <c r="I216" s="62"/>
      <c r="J216" s="167">
        <v>3832.97</v>
      </c>
      <c r="K216" s="62">
        <v>5852293.5899999999</v>
      </c>
      <c r="L216" s="93"/>
      <c r="N216" s="46">
        <v>1469.66</v>
      </c>
      <c r="O216" s="46">
        <v>0</v>
      </c>
      <c r="P216" s="46">
        <v>5633162.6900000004</v>
      </c>
      <c r="Q216" s="98"/>
      <c r="R216" s="23" t="s">
        <v>1390</v>
      </c>
      <c r="S216" s="24" t="s">
        <v>1331</v>
      </c>
      <c r="T216" s="25" t="s">
        <v>23</v>
      </c>
      <c r="U216" s="26">
        <v>0</v>
      </c>
      <c r="V216" s="26">
        <f t="shared" si="47"/>
        <v>1526.83</v>
      </c>
      <c r="W216" s="26">
        <f t="shared" si="53"/>
        <v>3832.97</v>
      </c>
      <c r="X216" s="127">
        <f t="shared" si="48"/>
        <v>0</v>
      </c>
      <c r="Y216" s="127">
        <f t="shared" si="49"/>
        <v>1469.66</v>
      </c>
      <c r="Z216" s="127">
        <f t="shared" si="50"/>
        <v>0</v>
      </c>
      <c r="AA216" s="127">
        <f t="shared" si="41"/>
        <v>5633162.6900000004</v>
      </c>
      <c r="AB216" s="27"/>
      <c r="AC216" s="324"/>
      <c r="AD216" s="181">
        <f t="shared" si="52"/>
        <v>1526.83</v>
      </c>
      <c r="AE216" s="181">
        <f t="shared" si="51"/>
        <v>5852293.5899999999</v>
      </c>
      <c r="AF216" s="181">
        <v>1.4</v>
      </c>
      <c r="AG216" s="181">
        <v>1.4</v>
      </c>
      <c r="AH216" s="363" t="str">
        <f t="shared" si="42"/>
        <v/>
      </c>
      <c r="AI216" s="194">
        <v>1469.66</v>
      </c>
      <c r="AJ216" s="188">
        <v>1526.83</v>
      </c>
      <c r="AN216" s="70"/>
      <c r="AO216" s="367"/>
      <c r="AP216" s="367"/>
      <c r="AQ216" s="367"/>
    </row>
    <row r="217" spans="1:43" x14ac:dyDescent="0.3">
      <c r="A217" s="144" t="s">
        <v>1332</v>
      </c>
      <c r="B217" s="145" t="s">
        <v>1333</v>
      </c>
      <c r="C217" s="206" t="s">
        <v>50</v>
      </c>
      <c r="D217" s="270"/>
      <c r="E217" s="147"/>
      <c r="F217" s="148">
        <v>48</v>
      </c>
      <c r="G217" s="164"/>
      <c r="H217" s="164"/>
      <c r="I217" s="62"/>
      <c r="J217" s="168">
        <v>695.25</v>
      </c>
      <c r="K217" s="148">
        <v>33372</v>
      </c>
      <c r="L217" s="149"/>
      <c r="N217" s="46">
        <v>48</v>
      </c>
      <c r="O217" s="46">
        <v>0</v>
      </c>
      <c r="P217" s="46">
        <v>33372</v>
      </c>
      <c r="Q217" s="98"/>
      <c r="R217" s="23" t="s">
        <v>1391</v>
      </c>
      <c r="S217" s="24" t="s">
        <v>1333</v>
      </c>
      <c r="T217" s="25" t="s">
        <v>50</v>
      </c>
      <c r="U217" s="26">
        <v>0</v>
      </c>
      <c r="V217" s="26">
        <f t="shared" si="47"/>
        <v>48</v>
      </c>
      <c r="W217" s="26">
        <f t="shared" si="53"/>
        <v>695.25</v>
      </c>
      <c r="X217" s="127">
        <f t="shared" si="48"/>
        <v>0</v>
      </c>
      <c r="Y217" s="127">
        <f t="shared" si="49"/>
        <v>48</v>
      </c>
      <c r="Z217" s="127">
        <f t="shared" si="50"/>
        <v>0</v>
      </c>
      <c r="AA217" s="127">
        <f t="shared" si="41"/>
        <v>33372</v>
      </c>
      <c r="AB217" s="27"/>
      <c r="AC217" s="324"/>
      <c r="AD217" s="181">
        <f t="shared" si="52"/>
        <v>48</v>
      </c>
      <c r="AE217" s="181">
        <f t="shared" si="51"/>
        <v>33372</v>
      </c>
      <c r="AF217" s="181">
        <v>1.4</v>
      </c>
      <c r="AG217" s="181">
        <v>1.4</v>
      </c>
      <c r="AH217" s="363" t="str">
        <f t="shared" si="42"/>
        <v/>
      </c>
      <c r="AI217" s="190">
        <v>48</v>
      </c>
      <c r="AJ217" s="188">
        <v>48</v>
      </c>
      <c r="AN217" s="282"/>
      <c r="AO217" s="367"/>
      <c r="AP217" s="367"/>
      <c r="AQ217" s="367"/>
    </row>
    <row r="218" spans="1:43" s="282" customFormat="1" ht="58.5" x14ac:dyDescent="0.3">
      <c r="A218" s="272" t="s">
        <v>3202</v>
      </c>
      <c r="B218" s="276" t="s">
        <v>2874</v>
      </c>
      <c r="C218" s="274" t="s">
        <v>50</v>
      </c>
      <c r="D218" s="275"/>
      <c r="E218" s="288"/>
      <c r="F218" s="275"/>
      <c r="G218" s="275"/>
      <c r="H218" s="275"/>
      <c r="I218" s="346">
        <v>919.12</v>
      </c>
      <c r="J218" s="288">
        <v>235</v>
      </c>
      <c r="K218" s="275">
        <v>215993.2</v>
      </c>
      <c r="L218" s="277"/>
      <c r="M218" s="278"/>
      <c r="N218" s="42"/>
      <c r="O218" s="42"/>
      <c r="P218" s="42"/>
      <c r="Q218" s="98"/>
      <c r="R218" s="13" t="s">
        <v>3221</v>
      </c>
      <c r="S218" s="286" t="str">
        <f t="shared" ref="S218:S222" si="54">B218</f>
        <v>銲接鋼線網，D=10.00mm，15x15cm</v>
      </c>
      <c r="T218" s="287" t="str">
        <f t="shared" ref="T218:T222" si="55">C218</f>
        <v>M2</v>
      </c>
      <c r="U218" s="16"/>
      <c r="V218" s="16">
        <f t="shared" si="47"/>
        <v>919.12</v>
      </c>
      <c r="W218" s="16">
        <f t="shared" si="53"/>
        <v>235</v>
      </c>
      <c r="X218" s="334">
        <f t="shared" si="48"/>
        <v>917.8</v>
      </c>
      <c r="Y218" s="127">
        <f t="shared" si="49"/>
        <v>917.8</v>
      </c>
      <c r="Z218" s="127">
        <f t="shared" si="50"/>
        <v>215683</v>
      </c>
      <c r="AA218" s="127">
        <f t="shared" ref="AA218:AA222" si="56">ROUND(W218*Y218,2)</f>
        <v>215683</v>
      </c>
      <c r="AB218" s="279"/>
      <c r="AC218" s="324"/>
      <c r="AD218" s="181">
        <f t="shared" si="52"/>
        <v>919.12</v>
      </c>
      <c r="AE218" s="181">
        <f t="shared" ref="AE218:AE222" si="57">ROUND(W218*AD218,2)</f>
        <v>215993.2</v>
      </c>
      <c r="AF218" s="181">
        <v>1.4</v>
      </c>
      <c r="AG218" s="181">
        <v>1.4</v>
      </c>
      <c r="AH218" s="364"/>
      <c r="AI218" s="296">
        <v>917.8</v>
      </c>
      <c r="AJ218" s="190">
        <v>919.12</v>
      </c>
      <c r="AN218" s="369"/>
      <c r="AO218" s="368"/>
      <c r="AP218" s="367"/>
      <c r="AQ218" s="367"/>
    </row>
    <row r="219" spans="1:43" s="282" customFormat="1" ht="39" x14ac:dyDescent="0.3">
      <c r="A219" s="272" t="s">
        <v>3203</v>
      </c>
      <c r="B219" s="276" t="s">
        <v>3199</v>
      </c>
      <c r="C219" s="274" t="s">
        <v>50</v>
      </c>
      <c r="D219" s="275"/>
      <c r="E219" s="288"/>
      <c r="F219" s="275"/>
      <c r="G219" s="275"/>
      <c r="H219" s="275"/>
      <c r="I219" s="346">
        <v>2140.9</v>
      </c>
      <c r="J219" s="288">
        <v>613.58000000000004</v>
      </c>
      <c r="K219" s="275">
        <v>1313613.42</v>
      </c>
      <c r="L219" s="277"/>
      <c r="M219" s="278"/>
      <c r="N219" s="42"/>
      <c r="O219" s="42"/>
      <c r="P219" s="42"/>
      <c r="Q219" s="98"/>
      <c r="R219" s="13" t="s">
        <v>3222</v>
      </c>
      <c r="S219" s="286" t="str">
        <f t="shared" si="54"/>
        <v>地工織物，抗沖蝕網，疊接施工</v>
      </c>
      <c r="T219" s="287" t="str">
        <f t="shared" si="55"/>
        <v>M2</v>
      </c>
      <c r="U219" s="16"/>
      <c r="V219" s="16">
        <f t="shared" si="47"/>
        <v>2140.9</v>
      </c>
      <c r="W219" s="16">
        <f t="shared" si="53"/>
        <v>613.58000000000004</v>
      </c>
      <c r="X219" s="334">
        <f t="shared" si="48"/>
        <v>1310.2</v>
      </c>
      <c r="Y219" s="127">
        <f t="shared" si="49"/>
        <v>1310.2</v>
      </c>
      <c r="Z219" s="127">
        <f t="shared" si="50"/>
        <v>803912.52</v>
      </c>
      <c r="AA219" s="127">
        <f t="shared" si="56"/>
        <v>803912.52</v>
      </c>
      <c r="AB219" s="279"/>
      <c r="AC219" s="324"/>
      <c r="AD219" s="181">
        <f t="shared" si="52"/>
        <v>2140.9</v>
      </c>
      <c r="AE219" s="181">
        <f t="shared" si="57"/>
        <v>1313613.42</v>
      </c>
      <c r="AF219" s="181">
        <v>1.4</v>
      </c>
      <c r="AG219" s="181">
        <v>1.4</v>
      </c>
      <c r="AH219" s="364"/>
      <c r="AI219" s="296">
        <v>1310.2</v>
      </c>
      <c r="AJ219" s="190">
        <v>2140.9</v>
      </c>
      <c r="AO219" s="367"/>
      <c r="AP219" s="367"/>
      <c r="AQ219" s="367"/>
    </row>
    <row r="220" spans="1:43" s="282" customFormat="1" ht="39" x14ac:dyDescent="0.3">
      <c r="A220" s="272" t="s">
        <v>3204</v>
      </c>
      <c r="B220" s="276" t="s">
        <v>2628</v>
      </c>
      <c r="C220" s="274" t="s">
        <v>30</v>
      </c>
      <c r="D220" s="275"/>
      <c r="E220" s="288"/>
      <c r="F220" s="275"/>
      <c r="G220" s="275"/>
      <c r="H220" s="275"/>
      <c r="I220" s="346">
        <v>321.5</v>
      </c>
      <c r="J220" s="288">
        <v>120</v>
      </c>
      <c r="K220" s="275">
        <v>38580</v>
      </c>
      <c r="L220" s="277"/>
      <c r="M220" s="278"/>
      <c r="N220" s="42"/>
      <c r="O220" s="42"/>
      <c r="P220" s="42"/>
      <c r="Q220" s="98"/>
      <c r="R220" s="13" t="s">
        <v>3223</v>
      </c>
      <c r="S220" s="286" t="str">
        <f t="shared" si="54"/>
        <v>產品，∮2"PVC排水管</v>
      </c>
      <c r="T220" s="287" t="str">
        <f t="shared" si="55"/>
        <v>M</v>
      </c>
      <c r="U220" s="16"/>
      <c r="V220" s="16">
        <f t="shared" si="47"/>
        <v>321.5</v>
      </c>
      <c r="W220" s="16">
        <f t="shared" si="53"/>
        <v>120</v>
      </c>
      <c r="X220" s="334">
        <f t="shared" si="48"/>
        <v>315.5</v>
      </c>
      <c r="Y220" s="127">
        <f t="shared" si="49"/>
        <v>315.5</v>
      </c>
      <c r="Z220" s="127">
        <f t="shared" si="50"/>
        <v>37860</v>
      </c>
      <c r="AA220" s="127">
        <f t="shared" si="56"/>
        <v>37860</v>
      </c>
      <c r="AB220" s="279"/>
      <c r="AC220" s="324"/>
      <c r="AD220" s="181">
        <f t="shared" si="52"/>
        <v>321.5</v>
      </c>
      <c r="AE220" s="181">
        <f t="shared" si="57"/>
        <v>38580</v>
      </c>
      <c r="AF220" s="181">
        <v>1.4</v>
      </c>
      <c r="AG220" s="181">
        <v>1.4</v>
      </c>
      <c r="AH220" s="364"/>
      <c r="AI220" s="296">
        <v>315.5</v>
      </c>
      <c r="AJ220" s="190">
        <v>321.5</v>
      </c>
      <c r="AO220" s="367"/>
      <c r="AP220" s="367"/>
      <c r="AQ220" s="367"/>
    </row>
    <row r="221" spans="1:43" s="282" customFormat="1" x14ac:dyDescent="0.3">
      <c r="A221" s="272" t="s">
        <v>3205</v>
      </c>
      <c r="B221" s="276" t="s">
        <v>3200</v>
      </c>
      <c r="C221" s="274" t="s">
        <v>162</v>
      </c>
      <c r="D221" s="275"/>
      <c r="E221" s="288"/>
      <c r="F221" s="275"/>
      <c r="G221" s="275"/>
      <c r="H221" s="275"/>
      <c r="I221" s="346">
        <v>428</v>
      </c>
      <c r="J221" s="288">
        <v>324.83999999999997</v>
      </c>
      <c r="K221" s="275">
        <v>139031.51999999999</v>
      </c>
      <c r="L221" s="277"/>
      <c r="M221" s="278"/>
      <c r="N221" s="42"/>
      <c r="O221" s="42"/>
      <c r="P221" s="42"/>
      <c r="Q221" s="98"/>
      <c r="R221" s="13" t="s">
        <v>3224</v>
      </c>
      <c r="S221" s="286" t="str">
        <f t="shared" si="54"/>
        <v>洩水袋</v>
      </c>
      <c r="T221" s="287" t="str">
        <f t="shared" si="55"/>
        <v>個</v>
      </c>
      <c r="U221" s="16"/>
      <c r="V221" s="16">
        <f t="shared" si="47"/>
        <v>428</v>
      </c>
      <c r="W221" s="16">
        <f t="shared" si="53"/>
        <v>324.83999999999997</v>
      </c>
      <c r="X221" s="334">
        <f t="shared" si="48"/>
        <v>412</v>
      </c>
      <c r="Y221" s="127">
        <f t="shared" si="49"/>
        <v>412</v>
      </c>
      <c r="Z221" s="127">
        <f t="shared" si="50"/>
        <v>133834.07999999999</v>
      </c>
      <c r="AA221" s="127">
        <f t="shared" si="56"/>
        <v>133834.07999999999</v>
      </c>
      <c r="AB221" s="279"/>
      <c r="AC221" s="324"/>
      <c r="AD221" s="181">
        <f t="shared" si="52"/>
        <v>428</v>
      </c>
      <c r="AE221" s="181">
        <f t="shared" si="57"/>
        <v>139031.51999999999</v>
      </c>
      <c r="AF221" s="181">
        <v>1.4</v>
      </c>
      <c r="AG221" s="181">
        <v>1.4</v>
      </c>
      <c r="AH221" s="364"/>
      <c r="AI221" s="296">
        <v>412</v>
      </c>
      <c r="AJ221" s="190">
        <v>428</v>
      </c>
      <c r="AO221" s="367"/>
      <c r="AP221" s="367"/>
      <c r="AQ221" s="367"/>
    </row>
    <row r="222" spans="1:43" s="282" customFormat="1" ht="78" x14ac:dyDescent="0.3">
      <c r="A222" s="272" t="s">
        <v>3206</v>
      </c>
      <c r="B222" s="276" t="s">
        <v>3201</v>
      </c>
      <c r="C222" s="274" t="s">
        <v>513</v>
      </c>
      <c r="D222" s="275"/>
      <c r="E222" s="288"/>
      <c r="F222" s="275"/>
      <c r="G222" s="275"/>
      <c r="H222" s="275"/>
      <c r="I222" s="346">
        <v>568</v>
      </c>
      <c r="J222" s="288">
        <v>94.95</v>
      </c>
      <c r="K222" s="275">
        <v>53931.6</v>
      </c>
      <c r="L222" s="277"/>
      <c r="M222" s="278"/>
      <c r="N222" s="42"/>
      <c r="O222" s="42"/>
      <c r="P222" s="42"/>
      <c r="Q222" s="98"/>
      <c r="R222" s="13" t="s">
        <v>3225</v>
      </c>
      <c r="S222" s="286" t="str">
        <f t="shared" si="54"/>
        <v>鋼筋，植筋，D16mm，鑽孔(含空氣槍清孔)及化學藥劑</v>
      </c>
      <c r="T222" s="287" t="str">
        <f t="shared" si="55"/>
        <v>孔</v>
      </c>
      <c r="U222" s="16"/>
      <c r="V222" s="16">
        <f t="shared" si="47"/>
        <v>568</v>
      </c>
      <c r="W222" s="16">
        <f t="shared" si="53"/>
        <v>94.95</v>
      </c>
      <c r="X222" s="334">
        <f t="shared" si="48"/>
        <v>568</v>
      </c>
      <c r="Y222" s="127">
        <f t="shared" si="49"/>
        <v>568</v>
      </c>
      <c r="Z222" s="127">
        <f t="shared" si="50"/>
        <v>53931.6</v>
      </c>
      <c r="AA222" s="127">
        <f t="shared" si="56"/>
        <v>53931.6</v>
      </c>
      <c r="AB222" s="279"/>
      <c r="AC222" s="324"/>
      <c r="AD222" s="181">
        <f t="shared" si="52"/>
        <v>568</v>
      </c>
      <c r="AE222" s="181">
        <f t="shared" si="57"/>
        <v>53931.6</v>
      </c>
      <c r="AF222" s="181">
        <v>1.4</v>
      </c>
      <c r="AG222" s="181">
        <v>1.4</v>
      </c>
      <c r="AH222" s="364"/>
      <c r="AI222" s="296">
        <v>568</v>
      </c>
      <c r="AJ222" s="190">
        <v>568</v>
      </c>
      <c r="AN222" s="69"/>
      <c r="AO222" s="367"/>
      <c r="AP222" s="367"/>
      <c r="AQ222" s="367"/>
    </row>
    <row r="223" spans="1:43" s="69" customFormat="1" ht="33" customHeight="1" x14ac:dyDescent="0.3">
      <c r="A223" s="266" t="s">
        <v>529</v>
      </c>
      <c r="B223" s="267" t="s">
        <v>530</v>
      </c>
      <c r="C223" s="83" t="s">
        <v>14</v>
      </c>
      <c r="D223" s="84">
        <v>1</v>
      </c>
      <c r="E223" s="84"/>
      <c r="F223" s="84"/>
      <c r="G223" s="227"/>
      <c r="H223" s="291"/>
      <c r="I223" s="231"/>
      <c r="J223" s="292">
        <v>33480921.34</v>
      </c>
      <c r="K223" s="84">
        <v>33480921.34</v>
      </c>
      <c r="L223" s="268" t="s">
        <v>15</v>
      </c>
      <c r="M223" s="73"/>
      <c r="N223" s="45">
        <v>1</v>
      </c>
      <c r="O223" s="45">
        <v>31559.200000000001</v>
      </c>
      <c r="P223" s="45">
        <v>32558506.280000001</v>
      </c>
      <c r="Q223" s="98"/>
      <c r="R223" s="18" t="s">
        <v>1392</v>
      </c>
      <c r="S223" s="19" t="s">
        <v>530</v>
      </c>
      <c r="T223" s="20" t="s">
        <v>14</v>
      </c>
      <c r="U223" s="21">
        <v>1</v>
      </c>
      <c r="V223" s="21"/>
      <c r="W223" s="21">
        <f t="shared" si="53"/>
        <v>33480921.34</v>
      </c>
      <c r="X223" s="21">
        <f t="shared" ref="X223:Y223" si="58">IF(Z223=0,0,1)</f>
        <v>1</v>
      </c>
      <c r="Y223" s="21">
        <f t="shared" si="58"/>
        <v>1</v>
      </c>
      <c r="Z223" s="21">
        <f>SUMIFS(Z:Z,AG:AG,AF223)</f>
        <v>431634.55999999959</v>
      </c>
      <c r="AA223" s="21">
        <f>SUMIFS(AA:AA,AG:AG,AF223)</f>
        <v>32990140.839999996</v>
      </c>
      <c r="AB223" s="22" t="s">
        <v>15</v>
      </c>
      <c r="AC223" s="324"/>
      <c r="AD223" s="181">
        <f t="shared" si="52"/>
        <v>1</v>
      </c>
      <c r="AE223" s="181"/>
      <c r="AF223" s="184">
        <v>1.5</v>
      </c>
      <c r="AG223" s="184"/>
      <c r="AH223" s="363" t="str">
        <f t="shared" si="42"/>
        <v/>
      </c>
      <c r="AI223" s="190">
        <v>1</v>
      </c>
      <c r="AJ223" s="188">
        <v>1</v>
      </c>
      <c r="AO223" s="367"/>
      <c r="AP223" s="367"/>
      <c r="AQ223" s="367"/>
    </row>
    <row r="224" spans="1:43" s="69" customFormat="1" ht="49.5" customHeight="1" x14ac:dyDescent="0.3">
      <c r="A224" s="130" t="s">
        <v>531</v>
      </c>
      <c r="B224" s="131" t="s">
        <v>392</v>
      </c>
      <c r="C224" s="132" t="s">
        <v>23</v>
      </c>
      <c r="D224" s="133">
        <v>250</v>
      </c>
      <c r="E224" s="75"/>
      <c r="F224" s="75"/>
      <c r="G224" s="75"/>
      <c r="H224" s="229">
        <v>11.7</v>
      </c>
      <c r="I224" s="229"/>
      <c r="J224" s="75">
        <v>3115.13</v>
      </c>
      <c r="K224" s="75">
        <v>36447.019999999997</v>
      </c>
      <c r="L224" s="91" t="s">
        <v>114</v>
      </c>
      <c r="M224" s="73"/>
      <c r="N224" s="46">
        <v>11.7</v>
      </c>
      <c r="O224" s="46">
        <v>0</v>
      </c>
      <c r="P224" s="46">
        <v>36447.019999999997</v>
      </c>
      <c r="Q224" s="98"/>
      <c r="R224" s="23" t="s">
        <v>1421</v>
      </c>
      <c r="S224" s="24" t="s">
        <v>392</v>
      </c>
      <c r="T224" s="25" t="s">
        <v>23</v>
      </c>
      <c r="U224" s="26">
        <v>250</v>
      </c>
      <c r="V224" s="26">
        <f t="shared" ref="V224:V241" si="59">IF(I224&gt;0,I224,IF(H224&gt;0,H224,IF(G224&gt;0,G224,IF(F224&gt;0,F224,IF(E224&gt;0,E224,D224)))))</f>
        <v>11.7</v>
      </c>
      <c r="W224" s="26">
        <f t="shared" si="53"/>
        <v>3115.13</v>
      </c>
      <c r="X224" s="243">
        <v>0</v>
      </c>
      <c r="Y224" s="127">
        <f t="shared" si="49"/>
        <v>11.7</v>
      </c>
      <c r="Z224" s="127">
        <f t="shared" ref="Z224:Z241" si="60">AA224-P224</f>
        <v>0</v>
      </c>
      <c r="AA224" s="127">
        <f t="shared" si="41"/>
        <v>36447.019999999997</v>
      </c>
      <c r="AB224" s="33" t="s">
        <v>15</v>
      </c>
      <c r="AC224" s="324"/>
      <c r="AD224" s="181">
        <f t="shared" si="52"/>
        <v>11.7</v>
      </c>
      <c r="AE224" s="181">
        <f t="shared" si="51"/>
        <v>36447.019999999997</v>
      </c>
      <c r="AF224" s="181">
        <v>1.5</v>
      </c>
      <c r="AG224" s="181">
        <v>1.5</v>
      </c>
      <c r="AH224" s="363" t="str">
        <f t="shared" ref="AH224:AH292" si="61">IF(Y224&gt;AJ224,"超估","")</f>
        <v/>
      </c>
      <c r="AI224" s="191">
        <f>11.7+10.2</f>
        <v>21.9</v>
      </c>
      <c r="AJ224" s="188">
        <v>11.7</v>
      </c>
      <c r="AO224" s="367"/>
      <c r="AP224" s="367"/>
      <c r="AQ224" s="367"/>
    </row>
    <row r="225" spans="1:43" s="69" customFormat="1" ht="49.5" customHeight="1" x14ac:dyDescent="0.3">
      <c r="A225" s="130" t="s">
        <v>532</v>
      </c>
      <c r="B225" s="131" t="s">
        <v>116</v>
      </c>
      <c r="C225" s="132" t="s">
        <v>23</v>
      </c>
      <c r="D225" s="133">
        <v>2474</v>
      </c>
      <c r="E225" s="75"/>
      <c r="F225" s="75"/>
      <c r="G225" s="75"/>
      <c r="H225" s="75">
        <v>2593.6999999999998</v>
      </c>
      <c r="I225" s="75"/>
      <c r="J225" s="75">
        <v>3321.13</v>
      </c>
      <c r="K225" s="75">
        <v>8614014.8800000008</v>
      </c>
      <c r="L225" s="91" t="s">
        <v>117</v>
      </c>
      <c r="M225" s="73"/>
      <c r="N225" s="46">
        <v>2473.35</v>
      </c>
      <c r="O225" s="46">
        <v>0</v>
      </c>
      <c r="P225" s="46">
        <v>8214316.8899999997</v>
      </c>
      <c r="Q225" s="98"/>
      <c r="R225" s="23" t="s">
        <v>1426</v>
      </c>
      <c r="S225" s="24" t="s">
        <v>116</v>
      </c>
      <c r="T225" s="25" t="s">
        <v>23</v>
      </c>
      <c r="U225" s="26">
        <v>2474</v>
      </c>
      <c r="V225" s="26">
        <f t="shared" si="59"/>
        <v>2593.6999999999998</v>
      </c>
      <c r="W225" s="26">
        <f t="shared" si="53"/>
        <v>3321.13</v>
      </c>
      <c r="X225" s="243">
        <f t="shared" ref="X225:X241" si="62">AI225-N225</f>
        <v>87</v>
      </c>
      <c r="Y225" s="127">
        <f t="shared" si="49"/>
        <v>2560.35</v>
      </c>
      <c r="Z225" s="127">
        <f t="shared" si="60"/>
        <v>288938.30999999959</v>
      </c>
      <c r="AA225" s="127">
        <f t="shared" ref="AA225:AA293" si="63">ROUND(W225*Y225,2)</f>
        <v>8503255.1999999993</v>
      </c>
      <c r="AB225" s="33" t="s">
        <v>15</v>
      </c>
      <c r="AC225" s="324"/>
      <c r="AD225" s="181">
        <f t="shared" si="52"/>
        <v>2593.6999999999998</v>
      </c>
      <c r="AE225" s="181">
        <f t="shared" si="51"/>
        <v>8614014.8800000008</v>
      </c>
      <c r="AF225" s="181">
        <v>1.5</v>
      </c>
      <c r="AG225" s="181">
        <v>1.5</v>
      </c>
      <c r="AH225" s="363" t="str">
        <f t="shared" si="61"/>
        <v/>
      </c>
      <c r="AI225" s="191">
        <f>2473.35+87</f>
        <v>2560.35</v>
      </c>
      <c r="AJ225" s="188">
        <v>2593.6999999999998</v>
      </c>
      <c r="AM225" s="196">
        <v>2782.2855</v>
      </c>
      <c r="AO225" s="367"/>
      <c r="AP225" s="367"/>
      <c r="AQ225" s="367"/>
    </row>
    <row r="226" spans="1:43" s="69" customFormat="1" ht="49.5" customHeight="1" x14ac:dyDescent="0.3">
      <c r="A226" s="130" t="s">
        <v>533</v>
      </c>
      <c r="B226" s="131" t="s">
        <v>534</v>
      </c>
      <c r="C226" s="132" t="s">
        <v>23</v>
      </c>
      <c r="D226" s="133">
        <v>1187</v>
      </c>
      <c r="E226" s="75"/>
      <c r="F226" s="75"/>
      <c r="G226" s="75"/>
      <c r="H226" s="75">
        <v>1256.1500000000001</v>
      </c>
      <c r="I226" s="75"/>
      <c r="J226" s="75">
        <v>1749.25</v>
      </c>
      <c r="K226" s="75">
        <v>2197320.39</v>
      </c>
      <c r="L226" s="91" t="s">
        <v>535</v>
      </c>
      <c r="M226" s="73"/>
      <c r="N226" s="46">
        <v>1187</v>
      </c>
      <c r="O226" s="46">
        <v>0</v>
      </c>
      <c r="P226" s="46">
        <v>2076359.75</v>
      </c>
      <c r="Q226" s="98"/>
      <c r="R226" s="23" t="s">
        <v>1402</v>
      </c>
      <c r="S226" s="24" t="s">
        <v>534</v>
      </c>
      <c r="T226" s="25" t="s">
        <v>23</v>
      </c>
      <c r="U226" s="26">
        <v>1187</v>
      </c>
      <c r="V226" s="26">
        <f t="shared" si="59"/>
        <v>1256.1500000000001</v>
      </c>
      <c r="W226" s="26">
        <f t="shared" si="53"/>
        <v>1749.25</v>
      </c>
      <c r="X226" s="127">
        <f t="shared" si="62"/>
        <v>0</v>
      </c>
      <c r="Y226" s="127">
        <f t="shared" si="49"/>
        <v>1187</v>
      </c>
      <c r="Z226" s="127">
        <f t="shared" si="60"/>
        <v>0</v>
      </c>
      <c r="AA226" s="127">
        <f t="shared" si="63"/>
        <v>2076359.75</v>
      </c>
      <c r="AB226" s="33" t="s">
        <v>15</v>
      </c>
      <c r="AC226" s="324"/>
      <c r="AD226" s="181">
        <f t="shared" si="52"/>
        <v>1256.1500000000001</v>
      </c>
      <c r="AE226" s="181">
        <f t="shared" si="51"/>
        <v>2197320.39</v>
      </c>
      <c r="AF226" s="181">
        <v>1.5</v>
      </c>
      <c r="AG226" s="181">
        <v>1.5</v>
      </c>
      <c r="AH226" s="363" t="str">
        <f t="shared" si="61"/>
        <v/>
      </c>
      <c r="AI226" s="194">
        <v>1187</v>
      </c>
      <c r="AJ226" s="188">
        <v>1256.1500000000001</v>
      </c>
      <c r="AM226" s="195">
        <v>1161.5828000000001</v>
      </c>
      <c r="AO226" s="367"/>
      <c r="AP226" s="367"/>
      <c r="AQ226" s="367"/>
    </row>
    <row r="227" spans="1:43" s="69" customFormat="1" ht="39" x14ac:dyDescent="0.3">
      <c r="A227" s="130" t="s">
        <v>536</v>
      </c>
      <c r="B227" s="131" t="s">
        <v>493</v>
      </c>
      <c r="C227" s="132" t="s">
        <v>23</v>
      </c>
      <c r="D227" s="133">
        <v>3911</v>
      </c>
      <c r="E227" s="75"/>
      <c r="F227" s="75"/>
      <c r="G227" s="75"/>
      <c r="H227" s="75"/>
      <c r="I227" s="75"/>
      <c r="J227" s="75">
        <v>200</v>
      </c>
      <c r="K227" s="75">
        <v>782200</v>
      </c>
      <c r="L227" s="91" t="s">
        <v>494</v>
      </c>
      <c r="M227" s="73"/>
      <c r="N227" s="46">
        <v>3672.05</v>
      </c>
      <c r="O227" s="46">
        <v>0</v>
      </c>
      <c r="P227" s="46">
        <v>734410</v>
      </c>
      <c r="Q227" s="98"/>
      <c r="R227" s="23" t="s">
        <v>1373</v>
      </c>
      <c r="S227" s="24" t="s">
        <v>493</v>
      </c>
      <c r="T227" s="25" t="s">
        <v>23</v>
      </c>
      <c r="U227" s="26">
        <v>3911</v>
      </c>
      <c r="V227" s="26">
        <f t="shared" si="59"/>
        <v>3911</v>
      </c>
      <c r="W227" s="26">
        <f t="shared" si="53"/>
        <v>200</v>
      </c>
      <c r="X227" s="243">
        <f t="shared" si="62"/>
        <v>97.199999999999818</v>
      </c>
      <c r="Y227" s="127">
        <f t="shared" si="49"/>
        <v>3769.25</v>
      </c>
      <c r="Z227" s="127">
        <f t="shared" si="60"/>
        <v>19440</v>
      </c>
      <c r="AA227" s="127">
        <f t="shared" si="63"/>
        <v>753850</v>
      </c>
      <c r="AB227" s="33" t="s">
        <v>15</v>
      </c>
      <c r="AC227" s="324"/>
      <c r="AD227" s="181">
        <f t="shared" si="52"/>
        <v>3911</v>
      </c>
      <c r="AE227" s="181">
        <f t="shared" si="51"/>
        <v>782200</v>
      </c>
      <c r="AF227" s="181">
        <v>1.5</v>
      </c>
      <c r="AG227" s="181">
        <v>1.5</v>
      </c>
      <c r="AH227" s="363" t="str">
        <f t="shared" si="61"/>
        <v/>
      </c>
      <c r="AI227" s="191">
        <f>AI224+AI225+AI226</f>
        <v>3769.25</v>
      </c>
      <c r="AJ227" s="188">
        <v>3911</v>
      </c>
      <c r="AM227" s="198">
        <f>AM224+AM225+AM226</f>
        <v>3943.8683000000001</v>
      </c>
      <c r="AO227" s="367"/>
      <c r="AP227" s="367"/>
      <c r="AQ227" s="367"/>
    </row>
    <row r="228" spans="1:43" s="69" customFormat="1" ht="57.75" x14ac:dyDescent="0.3">
      <c r="A228" s="130" t="s">
        <v>537</v>
      </c>
      <c r="B228" s="131" t="s">
        <v>405</v>
      </c>
      <c r="C228" s="132" t="s">
        <v>50</v>
      </c>
      <c r="D228" s="133">
        <v>3820</v>
      </c>
      <c r="E228" s="75"/>
      <c r="F228" s="75">
        <v>4730</v>
      </c>
      <c r="G228" s="75"/>
      <c r="H228" s="75">
        <v>5411.06</v>
      </c>
      <c r="I228" s="75"/>
      <c r="J228" s="75">
        <v>982.98</v>
      </c>
      <c r="K228" s="75">
        <v>5318963.76</v>
      </c>
      <c r="L228" s="91" t="s">
        <v>406</v>
      </c>
      <c r="M228" s="73"/>
      <c r="N228" s="46">
        <v>5409.2</v>
      </c>
      <c r="O228" s="46">
        <v>0</v>
      </c>
      <c r="P228" s="46">
        <v>5317135.42</v>
      </c>
      <c r="Q228" s="98"/>
      <c r="R228" s="23" t="s">
        <v>1393</v>
      </c>
      <c r="S228" s="24" t="s">
        <v>405</v>
      </c>
      <c r="T228" s="25" t="s">
        <v>50</v>
      </c>
      <c r="U228" s="26">
        <v>3820</v>
      </c>
      <c r="V228" s="26">
        <f t="shared" si="59"/>
        <v>5411.06</v>
      </c>
      <c r="W228" s="26">
        <f t="shared" si="53"/>
        <v>982.98</v>
      </c>
      <c r="X228" s="127">
        <f t="shared" si="62"/>
        <v>0</v>
      </c>
      <c r="Y228" s="127">
        <f t="shared" si="49"/>
        <v>5409.2</v>
      </c>
      <c r="Z228" s="127">
        <f t="shared" si="60"/>
        <v>0</v>
      </c>
      <c r="AA228" s="127">
        <f t="shared" si="63"/>
        <v>5317135.42</v>
      </c>
      <c r="AB228" s="27" t="s">
        <v>15</v>
      </c>
      <c r="AC228" s="324"/>
      <c r="AD228" s="181">
        <f t="shared" si="52"/>
        <v>5411.06</v>
      </c>
      <c r="AE228" s="181">
        <f t="shared" si="51"/>
        <v>5318963.76</v>
      </c>
      <c r="AF228" s="181">
        <v>1.5</v>
      </c>
      <c r="AG228" s="181">
        <v>1.5</v>
      </c>
      <c r="AH228" s="363" t="str">
        <f t="shared" si="61"/>
        <v/>
      </c>
      <c r="AI228" s="194">
        <v>5409.2</v>
      </c>
      <c r="AJ228" s="188">
        <v>5411.06</v>
      </c>
      <c r="AM228" s="195">
        <v>5411.06</v>
      </c>
      <c r="AO228" s="367"/>
      <c r="AP228" s="367"/>
      <c r="AQ228" s="367"/>
    </row>
    <row r="229" spans="1:43" s="69" customFormat="1" ht="41.25" x14ac:dyDescent="0.3">
      <c r="A229" s="130" t="s">
        <v>538</v>
      </c>
      <c r="B229" s="131" t="s">
        <v>408</v>
      </c>
      <c r="C229" s="132" t="s">
        <v>50</v>
      </c>
      <c r="D229" s="133">
        <v>800</v>
      </c>
      <c r="E229" s="203"/>
      <c r="F229" s="203"/>
      <c r="G229" s="203"/>
      <c r="H229" s="203">
        <v>1811.33</v>
      </c>
      <c r="I229" s="203"/>
      <c r="J229" s="75">
        <v>804.79</v>
      </c>
      <c r="K229" s="75">
        <v>1457740.27</v>
      </c>
      <c r="L229" s="91" t="s">
        <v>409</v>
      </c>
      <c r="M229" s="73"/>
      <c r="N229" s="46">
        <v>1796.3</v>
      </c>
      <c r="O229" s="46">
        <v>0</v>
      </c>
      <c r="P229" s="46">
        <v>1445644.28</v>
      </c>
      <c r="Q229" s="98"/>
      <c r="R229" s="23" t="s">
        <v>1403</v>
      </c>
      <c r="S229" s="24" t="s">
        <v>408</v>
      </c>
      <c r="T229" s="25" t="s">
        <v>50</v>
      </c>
      <c r="U229" s="26">
        <v>800</v>
      </c>
      <c r="V229" s="26">
        <f t="shared" si="59"/>
        <v>1811.33</v>
      </c>
      <c r="W229" s="26">
        <f t="shared" si="53"/>
        <v>804.79</v>
      </c>
      <c r="X229" s="127">
        <f t="shared" si="62"/>
        <v>0</v>
      </c>
      <c r="Y229" s="127">
        <f t="shared" si="49"/>
        <v>1796.3</v>
      </c>
      <c r="Z229" s="127">
        <f t="shared" si="60"/>
        <v>0</v>
      </c>
      <c r="AA229" s="127">
        <f t="shared" si="63"/>
        <v>1445644.28</v>
      </c>
      <c r="AB229" s="33" t="s">
        <v>15</v>
      </c>
      <c r="AC229" s="324"/>
      <c r="AD229" s="181">
        <f t="shared" si="52"/>
        <v>1811.33</v>
      </c>
      <c r="AE229" s="181">
        <f t="shared" si="51"/>
        <v>1457740.27</v>
      </c>
      <c r="AF229" s="181">
        <v>1.5</v>
      </c>
      <c r="AG229" s="181">
        <v>1.5</v>
      </c>
      <c r="AH229" s="363" t="str">
        <f t="shared" si="61"/>
        <v/>
      </c>
      <c r="AI229" s="194">
        <v>1796.3</v>
      </c>
      <c r="AJ229" s="188">
        <v>1811.33</v>
      </c>
      <c r="AO229" s="367"/>
      <c r="AP229" s="367"/>
      <c r="AQ229" s="367"/>
    </row>
    <row r="230" spans="1:43" s="69" customFormat="1" ht="41.25" x14ac:dyDescent="0.3">
      <c r="A230" s="130" t="s">
        <v>539</v>
      </c>
      <c r="B230" s="131" t="s">
        <v>119</v>
      </c>
      <c r="C230" s="132" t="s">
        <v>50</v>
      </c>
      <c r="D230" s="133">
        <v>258</v>
      </c>
      <c r="E230" s="203"/>
      <c r="F230" s="203"/>
      <c r="G230" s="203"/>
      <c r="H230" s="203">
        <v>1210.32</v>
      </c>
      <c r="I230" s="203"/>
      <c r="J230" s="75">
        <v>533.64</v>
      </c>
      <c r="K230" s="75">
        <v>645875.16</v>
      </c>
      <c r="L230" s="91" t="s">
        <v>120</v>
      </c>
      <c r="M230" s="73"/>
      <c r="N230" s="46">
        <v>1121.2</v>
      </c>
      <c r="O230" s="46">
        <v>0</v>
      </c>
      <c r="P230" s="46">
        <v>598317.17000000004</v>
      </c>
      <c r="Q230" s="98"/>
      <c r="R230" s="23" t="s">
        <v>1427</v>
      </c>
      <c r="S230" s="24" t="s">
        <v>119</v>
      </c>
      <c r="T230" s="25" t="s">
        <v>50</v>
      </c>
      <c r="U230" s="26">
        <v>258</v>
      </c>
      <c r="V230" s="26">
        <f t="shared" si="59"/>
        <v>1210.32</v>
      </c>
      <c r="W230" s="26">
        <f t="shared" si="53"/>
        <v>533.64</v>
      </c>
      <c r="X230" s="243">
        <f t="shared" si="62"/>
        <v>85.299999999999955</v>
      </c>
      <c r="Y230" s="127">
        <f t="shared" si="49"/>
        <v>1206.5</v>
      </c>
      <c r="Z230" s="127">
        <f t="shared" si="60"/>
        <v>45519.489999999991</v>
      </c>
      <c r="AA230" s="127">
        <f t="shared" si="63"/>
        <v>643836.66</v>
      </c>
      <c r="AB230" s="33" t="s">
        <v>15</v>
      </c>
      <c r="AC230" s="324"/>
      <c r="AD230" s="181">
        <f t="shared" si="52"/>
        <v>1210.32</v>
      </c>
      <c r="AE230" s="181">
        <f t="shared" si="51"/>
        <v>645875.16</v>
      </c>
      <c r="AF230" s="181">
        <v>1.5</v>
      </c>
      <c r="AG230" s="181">
        <v>1.5</v>
      </c>
      <c r="AH230" s="363" t="str">
        <f t="shared" si="61"/>
        <v/>
      </c>
      <c r="AI230" s="191">
        <f>1121.2+85.3</f>
        <v>1206.5</v>
      </c>
      <c r="AJ230" s="188">
        <v>1210.32</v>
      </c>
      <c r="AO230" s="367"/>
      <c r="AP230" s="367"/>
      <c r="AQ230" s="367"/>
    </row>
    <row r="231" spans="1:43" s="69" customFormat="1" ht="33" x14ac:dyDescent="0.3">
      <c r="A231" s="130" t="s">
        <v>540</v>
      </c>
      <c r="B231" s="131" t="s">
        <v>109</v>
      </c>
      <c r="C231" s="132" t="s">
        <v>110</v>
      </c>
      <c r="D231" s="133">
        <v>133401</v>
      </c>
      <c r="E231" s="203"/>
      <c r="F231" s="203"/>
      <c r="G231" s="203"/>
      <c r="H231" s="203">
        <v>153939.46</v>
      </c>
      <c r="I231" s="203"/>
      <c r="J231" s="75">
        <v>36.4</v>
      </c>
      <c r="K231" s="75">
        <v>5603396.3399999999</v>
      </c>
      <c r="L231" s="91" t="s">
        <v>111</v>
      </c>
      <c r="M231" s="73"/>
      <c r="N231" s="46">
        <v>153669.92000000001</v>
      </c>
      <c r="O231" s="46">
        <v>0</v>
      </c>
      <c r="P231" s="46">
        <v>5593585.0899999999</v>
      </c>
      <c r="Q231" s="98"/>
      <c r="R231" s="23" t="s">
        <v>1428</v>
      </c>
      <c r="S231" s="24" t="s">
        <v>109</v>
      </c>
      <c r="T231" s="25" t="s">
        <v>110</v>
      </c>
      <c r="U231" s="26">
        <v>133401</v>
      </c>
      <c r="V231" s="26">
        <f t="shared" si="59"/>
        <v>153939.46</v>
      </c>
      <c r="W231" s="26">
        <f t="shared" si="53"/>
        <v>36.4</v>
      </c>
      <c r="X231" s="127">
        <f t="shared" si="62"/>
        <v>0</v>
      </c>
      <c r="Y231" s="127">
        <f t="shared" si="49"/>
        <v>153669.92000000001</v>
      </c>
      <c r="Z231" s="127">
        <f t="shared" si="60"/>
        <v>0</v>
      </c>
      <c r="AA231" s="127">
        <f t="shared" si="63"/>
        <v>5593585.0899999999</v>
      </c>
      <c r="AB231" s="33" t="s">
        <v>15</v>
      </c>
      <c r="AC231" s="324"/>
      <c r="AD231" s="181">
        <f t="shared" si="52"/>
        <v>153939.46</v>
      </c>
      <c r="AE231" s="181">
        <f t="shared" si="51"/>
        <v>5603396.3399999999</v>
      </c>
      <c r="AF231" s="181">
        <v>1.5</v>
      </c>
      <c r="AG231" s="181">
        <v>1.5</v>
      </c>
      <c r="AH231" s="363" t="str">
        <f t="shared" si="61"/>
        <v/>
      </c>
      <c r="AI231" s="194">
        <v>153669.92000000001</v>
      </c>
      <c r="AJ231" s="188">
        <v>153939.46</v>
      </c>
      <c r="AO231" s="367"/>
      <c r="AP231" s="367"/>
      <c r="AQ231" s="367"/>
    </row>
    <row r="232" spans="1:43" s="69" customFormat="1" ht="33" x14ac:dyDescent="0.3">
      <c r="A232" s="130" t="s">
        <v>541</v>
      </c>
      <c r="B232" s="131" t="s">
        <v>399</v>
      </c>
      <c r="C232" s="132" t="s">
        <v>110</v>
      </c>
      <c r="D232" s="133">
        <v>118802</v>
      </c>
      <c r="E232" s="203"/>
      <c r="F232" s="203"/>
      <c r="G232" s="203"/>
      <c r="H232" s="203">
        <v>185226.6</v>
      </c>
      <c r="I232" s="203"/>
      <c r="J232" s="75">
        <v>38.71</v>
      </c>
      <c r="K232" s="75">
        <v>7170121.6900000004</v>
      </c>
      <c r="L232" s="91" t="s">
        <v>400</v>
      </c>
      <c r="M232" s="73"/>
      <c r="N232" s="46">
        <v>185029</v>
      </c>
      <c r="O232" s="46">
        <v>0</v>
      </c>
      <c r="P232" s="46">
        <v>7162472.5899999999</v>
      </c>
      <c r="Q232" s="98"/>
      <c r="R232" s="23" t="s">
        <v>1387</v>
      </c>
      <c r="S232" s="24" t="s">
        <v>399</v>
      </c>
      <c r="T232" s="25" t="s">
        <v>110</v>
      </c>
      <c r="U232" s="26">
        <v>118802</v>
      </c>
      <c r="V232" s="26">
        <f t="shared" si="59"/>
        <v>185226.6</v>
      </c>
      <c r="W232" s="26">
        <f t="shared" si="53"/>
        <v>38.71</v>
      </c>
      <c r="X232" s="127">
        <f t="shared" si="62"/>
        <v>0</v>
      </c>
      <c r="Y232" s="127">
        <f t="shared" si="49"/>
        <v>185029</v>
      </c>
      <c r="Z232" s="127">
        <f t="shared" si="60"/>
        <v>0</v>
      </c>
      <c r="AA232" s="127">
        <f t="shared" si="63"/>
        <v>7162472.5899999999</v>
      </c>
      <c r="AB232" s="33" t="s">
        <v>15</v>
      </c>
      <c r="AC232" s="324"/>
      <c r="AD232" s="181">
        <f t="shared" si="52"/>
        <v>185226.6</v>
      </c>
      <c r="AE232" s="181">
        <f t="shared" si="51"/>
        <v>7170121.6900000004</v>
      </c>
      <c r="AF232" s="181">
        <v>1.5</v>
      </c>
      <c r="AG232" s="181">
        <v>1.5</v>
      </c>
      <c r="AH232" s="363" t="str">
        <f t="shared" si="61"/>
        <v/>
      </c>
      <c r="AI232" s="194">
        <v>185029</v>
      </c>
      <c r="AJ232" s="188">
        <v>185226.6</v>
      </c>
      <c r="AO232" s="367"/>
      <c r="AP232" s="367"/>
      <c r="AQ232" s="367"/>
    </row>
    <row r="233" spans="1:43" s="69" customFormat="1" ht="78" x14ac:dyDescent="0.3">
      <c r="A233" s="130" t="s">
        <v>542</v>
      </c>
      <c r="B233" s="131" t="s">
        <v>543</v>
      </c>
      <c r="C233" s="132" t="s">
        <v>30</v>
      </c>
      <c r="D233" s="133">
        <v>129</v>
      </c>
      <c r="E233" s="75"/>
      <c r="F233" s="75"/>
      <c r="G233" s="75"/>
      <c r="H233" s="75"/>
      <c r="I233" s="343">
        <v>93.9</v>
      </c>
      <c r="J233" s="75">
        <v>2865.95</v>
      </c>
      <c r="K233" s="75">
        <v>269112.71000000002</v>
      </c>
      <c r="L233" s="91" t="s">
        <v>544</v>
      </c>
      <c r="M233" s="73"/>
      <c r="N233" s="46">
        <v>78</v>
      </c>
      <c r="O233" s="46">
        <v>0</v>
      </c>
      <c r="P233" s="46">
        <v>223544.1</v>
      </c>
      <c r="Q233" s="98"/>
      <c r="R233" s="23" t="s">
        <v>1405</v>
      </c>
      <c r="S233" s="24" t="s">
        <v>543</v>
      </c>
      <c r="T233" s="25" t="s">
        <v>30</v>
      </c>
      <c r="U233" s="26">
        <v>129</v>
      </c>
      <c r="V233" s="26">
        <f t="shared" si="59"/>
        <v>93.9</v>
      </c>
      <c r="W233" s="26">
        <f t="shared" si="53"/>
        <v>2865.95</v>
      </c>
      <c r="X233" s="127">
        <f t="shared" si="62"/>
        <v>0</v>
      </c>
      <c r="Y233" s="127">
        <f t="shared" si="49"/>
        <v>78</v>
      </c>
      <c r="Z233" s="127">
        <f t="shared" si="60"/>
        <v>0</v>
      </c>
      <c r="AA233" s="127">
        <f t="shared" si="63"/>
        <v>223544.1</v>
      </c>
      <c r="AB233" s="33" t="s">
        <v>15</v>
      </c>
      <c r="AC233" s="324"/>
      <c r="AD233" s="181">
        <f t="shared" si="52"/>
        <v>93.9</v>
      </c>
      <c r="AE233" s="181">
        <f t="shared" si="51"/>
        <v>269112.71000000002</v>
      </c>
      <c r="AF233" s="181">
        <v>1.5</v>
      </c>
      <c r="AG233" s="181">
        <v>1.5</v>
      </c>
      <c r="AH233" s="363" t="str">
        <f t="shared" si="61"/>
        <v/>
      </c>
      <c r="AI233" s="194">
        <f>36+42</f>
        <v>78</v>
      </c>
      <c r="AJ233" s="190">
        <v>93.9</v>
      </c>
      <c r="AO233" s="367"/>
      <c r="AP233" s="367"/>
      <c r="AQ233" s="367"/>
    </row>
    <row r="234" spans="1:43" s="69" customFormat="1" ht="58.5" x14ac:dyDescent="0.3">
      <c r="A234" s="130" t="s">
        <v>545</v>
      </c>
      <c r="B234" s="131" t="s">
        <v>546</v>
      </c>
      <c r="C234" s="132" t="s">
        <v>81</v>
      </c>
      <c r="D234" s="133">
        <v>54</v>
      </c>
      <c r="E234" s="75"/>
      <c r="F234" s="75"/>
      <c r="G234" s="75"/>
      <c r="H234" s="75"/>
      <c r="I234" s="343">
        <v>33</v>
      </c>
      <c r="J234" s="75">
        <v>1478.05</v>
      </c>
      <c r="K234" s="75">
        <v>48775.65</v>
      </c>
      <c r="L234" s="91" t="s">
        <v>547</v>
      </c>
      <c r="M234" s="73"/>
      <c r="N234" s="46">
        <v>33</v>
      </c>
      <c r="O234" s="46">
        <v>0</v>
      </c>
      <c r="P234" s="46">
        <v>48775.65</v>
      </c>
      <c r="Q234" s="98"/>
      <c r="R234" s="23" t="s">
        <v>1406</v>
      </c>
      <c r="S234" s="24" t="s">
        <v>546</v>
      </c>
      <c r="T234" s="25" t="s">
        <v>81</v>
      </c>
      <c r="U234" s="26">
        <v>54</v>
      </c>
      <c r="V234" s="26">
        <f t="shared" si="59"/>
        <v>33</v>
      </c>
      <c r="W234" s="26">
        <f t="shared" si="53"/>
        <v>1478.05</v>
      </c>
      <c r="X234" s="127">
        <f t="shared" si="62"/>
        <v>0</v>
      </c>
      <c r="Y234" s="127">
        <f t="shared" si="49"/>
        <v>33</v>
      </c>
      <c r="Z234" s="127">
        <f t="shared" si="60"/>
        <v>0</v>
      </c>
      <c r="AA234" s="127">
        <f t="shared" si="63"/>
        <v>48775.65</v>
      </c>
      <c r="AB234" s="33" t="s">
        <v>15</v>
      </c>
      <c r="AC234" s="324"/>
      <c r="AD234" s="181">
        <f t="shared" si="52"/>
        <v>33</v>
      </c>
      <c r="AE234" s="181">
        <f t="shared" si="51"/>
        <v>48775.65</v>
      </c>
      <c r="AF234" s="181">
        <v>1.5</v>
      </c>
      <c r="AG234" s="181">
        <v>1.5</v>
      </c>
      <c r="AH234" s="363" t="str">
        <f t="shared" si="61"/>
        <v/>
      </c>
      <c r="AI234" s="194">
        <f>18+15</f>
        <v>33</v>
      </c>
      <c r="AJ234" s="190">
        <v>33</v>
      </c>
      <c r="AO234" s="367"/>
      <c r="AP234" s="367"/>
      <c r="AQ234" s="367"/>
    </row>
    <row r="235" spans="1:43" s="69" customFormat="1" ht="66" x14ac:dyDescent="0.3">
      <c r="A235" s="130" t="s">
        <v>548</v>
      </c>
      <c r="B235" s="240" t="s">
        <v>549</v>
      </c>
      <c r="C235" s="132" t="s">
        <v>30</v>
      </c>
      <c r="D235" s="133">
        <v>170</v>
      </c>
      <c r="E235" s="75"/>
      <c r="F235" s="75"/>
      <c r="G235" s="75"/>
      <c r="H235" s="75"/>
      <c r="I235" s="343">
        <v>109.9</v>
      </c>
      <c r="J235" s="75">
        <v>151.72</v>
      </c>
      <c r="K235" s="75">
        <v>16674.03</v>
      </c>
      <c r="L235" s="91" t="s">
        <v>550</v>
      </c>
      <c r="M235" s="73"/>
      <c r="N235" s="46">
        <v>91</v>
      </c>
      <c r="O235" s="46">
        <v>0</v>
      </c>
      <c r="P235" s="46">
        <v>13806.52</v>
      </c>
      <c r="Q235" s="98"/>
      <c r="R235" s="23" t="s">
        <v>1414</v>
      </c>
      <c r="S235" s="24" t="s">
        <v>549</v>
      </c>
      <c r="T235" s="25" t="s">
        <v>30</v>
      </c>
      <c r="U235" s="26">
        <v>170</v>
      </c>
      <c r="V235" s="26">
        <f t="shared" si="59"/>
        <v>109.9</v>
      </c>
      <c r="W235" s="26">
        <f t="shared" si="53"/>
        <v>151.72</v>
      </c>
      <c r="X235" s="127">
        <f t="shared" si="62"/>
        <v>0</v>
      </c>
      <c r="Y235" s="127">
        <f t="shared" si="49"/>
        <v>91</v>
      </c>
      <c r="Z235" s="127">
        <f t="shared" si="60"/>
        <v>0</v>
      </c>
      <c r="AA235" s="127">
        <f t="shared" si="63"/>
        <v>13806.52</v>
      </c>
      <c r="AB235" s="33" t="s">
        <v>15</v>
      </c>
      <c r="AC235" s="324"/>
      <c r="AD235" s="181">
        <f t="shared" si="52"/>
        <v>109.9</v>
      </c>
      <c r="AE235" s="181">
        <f t="shared" si="51"/>
        <v>16674.03</v>
      </c>
      <c r="AF235" s="181">
        <v>1.5</v>
      </c>
      <c r="AG235" s="181">
        <v>1.5</v>
      </c>
      <c r="AH235" s="363" t="str">
        <f t="shared" si="61"/>
        <v/>
      </c>
      <c r="AI235" s="194">
        <f>36+55</f>
        <v>91</v>
      </c>
      <c r="AJ235" s="190">
        <v>109.9</v>
      </c>
      <c r="AO235" s="367"/>
      <c r="AP235" s="367"/>
      <c r="AQ235" s="367"/>
    </row>
    <row r="236" spans="1:43" s="69" customFormat="1" ht="49.5" x14ac:dyDescent="0.3">
      <c r="A236" s="130" t="s">
        <v>551</v>
      </c>
      <c r="B236" s="240" t="s">
        <v>552</v>
      </c>
      <c r="C236" s="132" t="s">
        <v>325</v>
      </c>
      <c r="D236" s="133">
        <v>4</v>
      </c>
      <c r="E236" s="75"/>
      <c r="F236" s="75"/>
      <c r="G236" s="75"/>
      <c r="H236" s="75">
        <v>6</v>
      </c>
      <c r="I236" s="343">
        <v>8</v>
      </c>
      <c r="J236" s="75">
        <v>15779.6</v>
      </c>
      <c r="K236" s="75">
        <v>126236.8</v>
      </c>
      <c r="L236" s="91" t="s">
        <v>553</v>
      </c>
      <c r="M236" s="73"/>
      <c r="N236" s="46">
        <v>6</v>
      </c>
      <c r="O236" s="46">
        <v>31559.200000000001</v>
      </c>
      <c r="P236" s="46">
        <v>94677.6</v>
      </c>
      <c r="Q236" s="98"/>
      <c r="R236" s="23" t="s">
        <v>1429</v>
      </c>
      <c r="S236" s="24" t="s">
        <v>552</v>
      </c>
      <c r="T236" s="25" t="s">
        <v>325</v>
      </c>
      <c r="U236" s="26">
        <v>4</v>
      </c>
      <c r="V236" s="26">
        <f t="shared" si="59"/>
        <v>8</v>
      </c>
      <c r="W236" s="26">
        <f t="shared" si="53"/>
        <v>15779.6</v>
      </c>
      <c r="X236" s="243">
        <f t="shared" si="62"/>
        <v>2</v>
      </c>
      <c r="Y236" s="127">
        <f t="shared" si="49"/>
        <v>8</v>
      </c>
      <c r="Z236" s="127">
        <f t="shared" si="60"/>
        <v>31559.199999999997</v>
      </c>
      <c r="AA236" s="127">
        <f t="shared" si="63"/>
        <v>126236.8</v>
      </c>
      <c r="AB236" s="33" t="s">
        <v>15</v>
      </c>
      <c r="AC236" s="324"/>
      <c r="AD236" s="181">
        <f t="shared" si="52"/>
        <v>8</v>
      </c>
      <c r="AE236" s="181">
        <f t="shared" si="51"/>
        <v>126236.8</v>
      </c>
      <c r="AF236" s="181">
        <v>1.5</v>
      </c>
      <c r="AG236" s="181">
        <v>1.5</v>
      </c>
      <c r="AH236" s="363" t="str">
        <f t="shared" si="61"/>
        <v/>
      </c>
      <c r="AI236" s="191">
        <f>6+2</f>
        <v>8</v>
      </c>
      <c r="AJ236" s="190">
        <v>8</v>
      </c>
      <c r="AO236" s="367"/>
      <c r="AP236" s="367"/>
      <c r="AQ236" s="367"/>
    </row>
    <row r="237" spans="1:43" s="69" customFormat="1" ht="24.75" x14ac:dyDescent="0.3">
      <c r="A237" s="130" t="s">
        <v>554</v>
      </c>
      <c r="B237" s="131" t="s">
        <v>189</v>
      </c>
      <c r="C237" s="132" t="s">
        <v>30</v>
      </c>
      <c r="D237" s="133">
        <v>453</v>
      </c>
      <c r="E237" s="75"/>
      <c r="F237" s="75"/>
      <c r="G237" s="75"/>
      <c r="H237" s="75"/>
      <c r="I237" s="75"/>
      <c r="J237" s="75">
        <v>138.84</v>
      </c>
      <c r="K237" s="75">
        <v>62894.52</v>
      </c>
      <c r="L237" s="91" t="s">
        <v>190</v>
      </c>
      <c r="M237" s="73"/>
      <c r="N237" s="46">
        <v>376</v>
      </c>
      <c r="O237" s="46">
        <v>0</v>
      </c>
      <c r="P237" s="46">
        <v>52203.839999999997</v>
      </c>
      <c r="Q237" s="98"/>
      <c r="R237" s="23" t="s">
        <v>1430</v>
      </c>
      <c r="S237" s="24" t="s">
        <v>189</v>
      </c>
      <c r="T237" s="25" t="s">
        <v>30</v>
      </c>
      <c r="U237" s="26">
        <v>453</v>
      </c>
      <c r="V237" s="26">
        <f t="shared" si="59"/>
        <v>453</v>
      </c>
      <c r="W237" s="26">
        <f t="shared" si="53"/>
        <v>138.84</v>
      </c>
      <c r="X237" s="127">
        <f t="shared" si="62"/>
        <v>0</v>
      </c>
      <c r="Y237" s="127">
        <f t="shared" si="49"/>
        <v>376</v>
      </c>
      <c r="Z237" s="127">
        <f t="shared" si="60"/>
        <v>0</v>
      </c>
      <c r="AA237" s="127">
        <f t="shared" si="63"/>
        <v>52203.839999999997</v>
      </c>
      <c r="AB237" s="33" t="s">
        <v>15</v>
      </c>
      <c r="AC237" s="324"/>
      <c r="AD237" s="181">
        <f t="shared" si="52"/>
        <v>453</v>
      </c>
      <c r="AE237" s="181">
        <f t="shared" si="51"/>
        <v>62894.52</v>
      </c>
      <c r="AF237" s="181">
        <v>1.5</v>
      </c>
      <c r="AG237" s="181">
        <v>1.5</v>
      </c>
      <c r="AH237" s="363" t="str">
        <f t="shared" si="61"/>
        <v/>
      </c>
      <c r="AI237" s="194">
        <f>285+91</f>
        <v>376</v>
      </c>
      <c r="AJ237" s="188">
        <v>453</v>
      </c>
      <c r="AO237" s="367"/>
      <c r="AP237" s="367"/>
      <c r="AQ237" s="367"/>
    </row>
    <row r="238" spans="1:43" s="69" customFormat="1" ht="24.75" x14ac:dyDescent="0.3">
      <c r="A238" s="130" t="s">
        <v>555</v>
      </c>
      <c r="B238" s="131" t="s">
        <v>520</v>
      </c>
      <c r="C238" s="132" t="s">
        <v>30</v>
      </c>
      <c r="D238" s="133">
        <v>1680</v>
      </c>
      <c r="E238" s="75"/>
      <c r="F238" s="75"/>
      <c r="G238" s="75"/>
      <c r="H238" s="75"/>
      <c r="I238" s="75"/>
      <c r="J238" s="75">
        <v>326.3</v>
      </c>
      <c r="K238" s="75">
        <v>548184</v>
      </c>
      <c r="L238" s="91" t="s">
        <v>521</v>
      </c>
      <c r="M238" s="73"/>
      <c r="N238" s="46">
        <v>1298</v>
      </c>
      <c r="O238" s="46">
        <v>0</v>
      </c>
      <c r="P238" s="46">
        <v>423537.4</v>
      </c>
      <c r="Q238" s="98"/>
      <c r="R238" s="23" t="s">
        <v>1431</v>
      </c>
      <c r="S238" s="24" t="s">
        <v>520</v>
      </c>
      <c r="T238" s="25" t="s">
        <v>30</v>
      </c>
      <c r="U238" s="26">
        <v>1680</v>
      </c>
      <c r="V238" s="26">
        <f t="shared" si="59"/>
        <v>1680</v>
      </c>
      <c r="W238" s="26">
        <f t="shared" si="53"/>
        <v>326.3</v>
      </c>
      <c r="X238" s="127">
        <f t="shared" si="62"/>
        <v>0</v>
      </c>
      <c r="Y238" s="127">
        <f t="shared" si="49"/>
        <v>1298</v>
      </c>
      <c r="Z238" s="127">
        <f t="shared" si="60"/>
        <v>0</v>
      </c>
      <c r="AA238" s="127">
        <f t="shared" si="63"/>
        <v>423537.4</v>
      </c>
      <c r="AB238" s="33" t="s">
        <v>15</v>
      </c>
      <c r="AC238" s="324"/>
      <c r="AD238" s="181">
        <f t="shared" si="52"/>
        <v>1680</v>
      </c>
      <c r="AE238" s="181">
        <f t="shared" si="51"/>
        <v>548184</v>
      </c>
      <c r="AF238" s="181">
        <v>1.5</v>
      </c>
      <c r="AG238" s="181">
        <v>1.5</v>
      </c>
      <c r="AH238" s="363" t="str">
        <f t="shared" si="61"/>
        <v/>
      </c>
      <c r="AI238" s="194">
        <f>936+362</f>
        <v>1298</v>
      </c>
      <c r="AJ238" s="188">
        <v>1680</v>
      </c>
      <c r="AO238" s="367"/>
      <c r="AP238" s="367"/>
      <c r="AQ238" s="367"/>
    </row>
    <row r="239" spans="1:43" s="69" customFormat="1" ht="58.5" x14ac:dyDescent="0.3">
      <c r="A239" s="130" t="s">
        <v>556</v>
      </c>
      <c r="B239" s="131" t="s">
        <v>424</v>
      </c>
      <c r="C239" s="132" t="s">
        <v>50</v>
      </c>
      <c r="D239" s="133">
        <v>756</v>
      </c>
      <c r="E239" s="75"/>
      <c r="F239" s="75"/>
      <c r="G239" s="75"/>
      <c r="H239" s="75"/>
      <c r="I239" s="75"/>
      <c r="J239" s="75">
        <v>692.16</v>
      </c>
      <c r="K239" s="75">
        <v>523272.96000000002</v>
      </c>
      <c r="L239" s="91" t="s">
        <v>425</v>
      </c>
      <c r="M239" s="73"/>
      <c r="N239" s="46">
        <v>756</v>
      </c>
      <c r="O239" s="46">
        <v>0</v>
      </c>
      <c r="P239" s="46">
        <v>523272.96000000002</v>
      </c>
      <c r="Q239" s="98"/>
      <c r="R239" s="23" t="s">
        <v>1395</v>
      </c>
      <c r="S239" s="24" t="s">
        <v>424</v>
      </c>
      <c r="T239" s="25" t="s">
        <v>50</v>
      </c>
      <c r="U239" s="26">
        <v>756</v>
      </c>
      <c r="V239" s="26">
        <f t="shared" si="59"/>
        <v>756</v>
      </c>
      <c r="W239" s="26">
        <f t="shared" si="53"/>
        <v>692.16</v>
      </c>
      <c r="X239" s="127">
        <f t="shared" si="62"/>
        <v>0</v>
      </c>
      <c r="Y239" s="127">
        <f t="shared" si="49"/>
        <v>756</v>
      </c>
      <c r="Z239" s="127">
        <f t="shared" si="60"/>
        <v>0</v>
      </c>
      <c r="AA239" s="127">
        <f t="shared" si="63"/>
        <v>523272.96000000002</v>
      </c>
      <c r="AB239" s="33" t="s">
        <v>15</v>
      </c>
      <c r="AC239" s="324"/>
      <c r="AD239" s="181">
        <f t="shared" si="52"/>
        <v>756</v>
      </c>
      <c r="AE239" s="181">
        <f t="shared" si="51"/>
        <v>523272.96000000002</v>
      </c>
      <c r="AF239" s="181">
        <v>1.5</v>
      </c>
      <c r="AG239" s="181">
        <v>1.5</v>
      </c>
      <c r="AH239" s="363" t="str">
        <f t="shared" si="61"/>
        <v/>
      </c>
      <c r="AI239" s="194">
        <v>756</v>
      </c>
      <c r="AJ239" s="188">
        <v>756</v>
      </c>
      <c r="AO239" s="367"/>
      <c r="AP239" s="367"/>
      <c r="AQ239" s="367"/>
    </row>
    <row r="240" spans="1:43" s="69" customFormat="1" ht="58.5" x14ac:dyDescent="0.3">
      <c r="A240" s="130" t="s">
        <v>557</v>
      </c>
      <c r="B240" s="131" t="s">
        <v>558</v>
      </c>
      <c r="C240" s="132" t="s">
        <v>559</v>
      </c>
      <c r="D240" s="133">
        <v>32</v>
      </c>
      <c r="E240" s="75"/>
      <c r="F240" s="75"/>
      <c r="G240" s="75"/>
      <c r="H240" s="75"/>
      <c r="I240" s="75"/>
      <c r="J240" s="75">
        <v>422.3</v>
      </c>
      <c r="K240" s="75">
        <v>13513.6</v>
      </c>
      <c r="L240" s="91" t="s">
        <v>560</v>
      </c>
      <c r="M240" s="73"/>
      <c r="N240" s="46">
        <v>0</v>
      </c>
      <c r="O240" s="46">
        <v>0</v>
      </c>
      <c r="P240" s="46">
        <v>0</v>
      </c>
      <c r="Q240" s="98"/>
      <c r="R240" s="23" t="s">
        <v>1432</v>
      </c>
      <c r="S240" s="24" t="s">
        <v>558</v>
      </c>
      <c r="T240" s="25" t="s">
        <v>559</v>
      </c>
      <c r="U240" s="26">
        <v>32</v>
      </c>
      <c r="V240" s="26">
        <f t="shared" si="59"/>
        <v>32</v>
      </c>
      <c r="W240" s="26">
        <f t="shared" si="53"/>
        <v>422.3</v>
      </c>
      <c r="X240" s="26">
        <f t="shared" si="62"/>
        <v>0</v>
      </c>
      <c r="Y240" s="26">
        <f t="shared" si="49"/>
        <v>0</v>
      </c>
      <c r="Z240" s="26">
        <f t="shared" si="60"/>
        <v>0</v>
      </c>
      <c r="AA240" s="26">
        <f t="shared" si="63"/>
        <v>0</v>
      </c>
      <c r="AB240" s="33" t="s">
        <v>15</v>
      </c>
      <c r="AC240" s="324"/>
      <c r="AD240" s="181">
        <f t="shared" si="52"/>
        <v>32</v>
      </c>
      <c r="AE240" s="181">
        <f t="shared" si="51"/>
        <v>13513.6</v>
      </c>
      <c r="AF240" s="181">
        <v>1.5</v>
      </c>
      <c r="AG240" s="181">
        <v>1.5</v>
      </c>
      <c r="AH240" s="363" t="str">
        <f t="shared" si="61"/>
        <v/>
      </c>
      <c r="AI240" s="190">
        <v>0</v>
      </c>
      <c r="AJ240" s="188">
        <v>32</v>
      </c>
      <c r="AN240" s="281"/>
      <c r="AO240" s="367"/>
      <c r="AP240" s="367"/>
      <c r="AQ240" s="367"/>
    </row>
    <row r="241" spans="1:43" s="281" customFormat="1" ht="39" x14ac:dyDescent="0.3">
      <c r="A241" s="283" t="s">
        <v>3208</v>
      </c>
      <c r="B241" s="211" t="s">
        <v>3207</v>
      </c>
      <c r="C241" s="212" t="s">
        <v>30</v>
      </c>
      <c r="D241" s="213"/>
      <c r="E241" s="213"/>
      <c r="F241" s="213"/>
      <c r="G241" s="213"/>
      <c r="H241" s="213"/>
      <c r="I241" s="343">
        <v>12</v>
      </c>
      <c r="J241" s="213">
        <v>3848.13</v>
      </c>
      <c r="K241" s="275">
        <v>46177.56</v>
      </c>
      <c r="L241" s="284"/>
      <c r="M241" s="278"/>
      <c r="N241" s="42"/>
      <c r="O241" s="42"/>
      <c r="P241" s="42"/>
      <c r="Q241" s="98"/>
      <c r="R241" s="13" t="s">
        <v>3218</v>
      </c>
      <c r="S241" s="286" t="str">
        <f t="shared" ref="S241" si="64">B241</f>
        <v>12"排水鋼管，含埋設</v>
      </c>
      <c r="T241" s="287" t="str">
        <f t="shared" ref="T241" si="65">C241</f>
        <v>M</v>
      </c>
      <c r="U241" s="16"/>
      <c r="V241" s="16">
        <f t="shared" si="59"/>
        <v>12</v>
      </c>
      <c r="W241" s="16">
        <f t="shared" si="53"/>
        <v>3848.13</v>
      </c>
      <c r="X241" s="334">
        <f t="shared" si="62"/>
        <v>12</v>
      </c>
      <c r="Y241" s="127">
        <f t="shared" ref="Y241" si="66">X241+N241</f>
        <v>12</v>
      </c>
      <c r="Z241" s="127">
        <f t="shared" si="60"/>
        <v>46177.56</v>
      </c>
      <c r="AA241" s="127">
        <f t="shared" si="63"/>
        <v>46177.56</v>
      </c>
      <c r="AB241" s="17"/>
      <c r="AC241" s="324"/>
      <c r="AD241" s="181">
        <f t="shared" si="52"/>
        <v>12</v>
      </c>
      <c r="AE241" s="181">
        <f t="shared" ref="AE241" si="67">ROUND(W241*AD241,2)</f>
        <v>46177.56</v>
      </c>
      <c r="AF241" s="181">
        <v>1.5</v>
      </c>
      <c r="AG241" s="181">
        <v>1.5</v>
      </c>
      <c r="AH241" s="364"/>
      <c r="AI241" s="296">
        <f>12</f>
        <v>12</v>
      </c>
      <c r="AJ241" s="190">
        <v>12</v>
      </c>
      <c r="AN241" s="69"/>
      <c r="AO241" s="367"/>
      <c r="AP241" s="367"/>
      <c r="AQ241" s="367"/>
    </row>
    <row r="242" spans="1:43" s="69" customFormat="1" x14ac:dyDescent="0.3">
      <c r="A242" s="79" t="s">
        <v>561</v>
      </c>
      <c r="B242" s="80" t="s">
        <v>562</v>
      </c>
      <c r="C242" s="81" t="s">
        <v>14</v>
      </c>
      <c r="D242" s="82">
        <v>1</v>
      </c>
      <c r="E242" s="82"/>
      <c r="F242" s="82"/>
      <c r="G242" s="82"/>
      <c r="H242" s="82"/>
      <c r="I242" s="82"/>
      <c r="J242" s="82">
        <v>18979468.52</v>
      </c>
      <c r="K242" s="82">
        <v>18979468.52</v>
      </c>
      <c r="L242" s="94" t="s">
        <v>15</v>
      </c>
      <c r="M242" s="73"/>
      <c r="N242" s="45">
        <v>1</v>
      </c>
      <c r="O242" s="45">
        <v>0</v>
      </c>
      <c r="P242" s="45">
        <v>11873294.83</v>
      </c>
      <c r="Q242" s="98"/>
      <c r="R242" s="18" t="s">
        <v>1394</v>
      </c>
      <c r="S242" s="19" t="s">
        <v>562</v>
      </c>
      <c r="T242" s="20" t="s">
        <v>14</v>
      </c>
      <c r="U242" s="21">
        <v>1</v>
      </c>
      <c r="V242" s="21"/>
      <c r="W242" s="21">
        <f t="shared" si="53"/>
        <v>18979468.52</v>
      </c>
      <c r="X242" s="21">
        <f t="shared" ref="X242:Y242" si="68">IF(Z242=0,0,1)</f>
        <v>1</v>
      </c>
      <c r="Y242" s="21">
        <f t="shared" si="68"/>
        <v>1</v>
      </c>
      <c r="Z242" s="21">
        <f>SUMIFS(Z:Z,AG:AG,AF242)</f>
        <v>5378158.1599999992</v>
      </c>
      <c r="AA242" s="21">
        <f>SUMIFS(AA:AA,AG:AG,AF242)</f>
        <v>17251452.990000002</v>
      </c>
      <c r="AB242" s="22" t="s">
        <v>15</v>
      </c>
      <c r="AC242" s="324"/>
      <c r="AD242" s="181">
        <f t="shared" si="52"/>
        <v>1</v>
      </c>
      <c r="AE242" s="184"/>
      <c r="AF242" s="184">
        <v>1.6</v>
      </c>
      <c r="AG242" s="184"/>
      <c r="AH242" s="363" t="str">
        <f t="shared" si="61"/>
        <v/>
      </c>
      <c r="AI242" s="190">
        <v>1</v>
      </c>
      <c r="AJ242" s="188">
        <v>1</v>
      </c>
      <c r="AO242" s="367"/>
      <c r="AP242" s="367"/>
      <c r="AQ242" s="367"/>
    </row>
    <row r="243" spans="1:43" s="69" customFormat="1" ht="58.5" x14ac:dyDescent="0.3">
      <c r="A243" s="130" t="s">
        <v>563</v>
      </c>
      <c r="B243" s="131" t="s">
        <v>564</v>
      </c>
      <c r="C243" s="132" t="s">
        <v>23</v>
      </c>
      <c r="D243" s="133">
        <v>256</v>
      </c>
      <c r="E243" s="75"/>
      <c r="F243" s="75"/>
      <c r="G243" s="75"/>
      <c r="H243" s="75">
        <v>380.68</v>
      </c>
      <c r="I243" s="343">
        <v>482.1</v>
      </c>
      <c r="J243" s="75">
        <v>7517.56</v>
      </c>
      <c r="K243" s="75">
        <v>3624215.68</v>
      </c>
      <c r="L243" s="91" t="s">
        <v>565</v>
      </c>
      <c r="M243" s="73"/>
      <c r="N243" s="46">
        <v>380.68</v>
      </c>
      <c r="O243" s="46">
        <v>0</v>
      </c>
      <c r="P243" s="46">
        <v>2861784.74</v>
      </c>
      <c r="Q243" s="98"/>
      <c r="R243" s="23" t="s">
        <v>1421</v>
      </c>
      <c r="S243" s="24" t="s">
        <v>564</v>
      </c>
      <c r="T243" s="25" t="s">
        <v>23</v>
      </c>
      <c r="U243" s="26">
        <v>256</v>
      </c>
      <c r="V243" s="26">
        <f t="shared" ref="V243:V306" si="69">IF(I243&gt;0,I243,IF(H243&gt;0,H243,IF(G243&gt;0,G243,IF(F243&gt;0,F243,IF(E243&gt;0,E243,D243)))))</f>
        <v>482.1</v>
      </c>
      <c r="W243" s="26">
        <f t="shared" si="53"/>
        <v>7517.56</v>
      </c>
      <c r="X243" s="257">
        <f t="shared" ref="X243:X262" si="70">AI243-N243</f>
        <v>89.32</v>
      </c>
      <c r="Y243" s="127">
        <f t="shared" si="49"/>
        <v>470</v>
      </c>
      <c r="Z243" s="127">
        <f t="shared" ref="Z243:Z262" si="71">AA243-P243</f>
        <v>671468.46</v>
      </c>
      <c r="AA243" s="127">
        <f t="shared" si="63"/>
        <v>3533253.2</v>
      </c>
      <c r="AB243" s="33" t="s">
        <v>15</v>
      </c>
      <c r="AC243" s="324"/>
      <c r="AD243" s="181">
        <f t="shared" si="52"/>
        <v>482.1</v>
      </c>
      <c r="AE243" s="181">
        <f t="shared" ref="AE243:AE258" si="72">ROUND(W243*AD243,2)</f>
        <v>3624215.68</v>
      </c>
      <c r="AF243" s="181">
        <v>1.6</v>
      </c>
      <c r="AG243" s="181">
        <v>1.6</v>
      </c>
      <c r="AH243" s="363" t="str">
        <f t="shared" si="61"/>
        <v/>
      </c>
      <c r="AI243" s="191">
        <v>470</v>
      </c>
      <c r="AJ243" s="190">
        <v>482.1</v>
      </c>
      <c r="AO243" s="367"/>
      <c r="AP243" s="367"/>
      <c r="AQ243" s="367"/>
    </row>
    <row r="244" spans="1:43" s="69" customFormat="1" ht="58.5" x14ac:dyDescent="0.3">
      <c r="A244" s="55" t="s">
        <v>566</v>
      </c>
      <c r="B244" s="53" t="s">
        <v>3064</v>
      </c>
      <c r="C244" s="54" t="s">
        <v>23</v>
      </c>
      <c r="D244" s="75">
        <v>766</v>
      </c>
      <c r="E244" s="75"/>
      <c r="F244" s="75"/>
      <c r="G244" s="75"/>
      <c r="H244" s="75">
        <v>917.25</v>
      </c>
      <c r="I244" s="328"/>
      <c r="J244" s="75">
        <v>7496.96</v>
      </c>
      <c r="K244" s="75">
        <v>6876586.5599999996</v>
      </c>
      <c r="L244" s="91" t="s">
        <v>568</v>
      </c>
      <c r="M244" s="73"/>
      <c r="N244" s="46">
        <v>688.1</v>
      </c>
      <c r="O244" s="46">
        <v>0</v>
      </c>
      <c r="P244" s="46">
        <v>5158658.18</v>
      </c>
      <c r="Q244" s="98"/>
      <c r="R244" s="23" t="s">
        <v>1426</v>
      </c>
      <c r="S244" s="24" t="s">
        <v>567</v>
      </c>
      <c r="T244" s="25" t="s">
        <v>23</v>
      </c>
      <c r="U244" s="26">
        <v>766</v>
      </c>
      <c r="V244" s="26">
        <f t="shared" si="69"/>
        <v>917.25</v>
      </c>
      <c r="W244" s="26">
        <f t="shared" si="53"/>
        <v>7496.96</v>
      </c>
      <c r="X244" s="257">
        <f t="shared" si="70"/>
        <v>61.200000000000045</v>
      </c>
      <c r="Y244" s="26">
        <f t="shared" si="49"/>
        <v>749.30000000000007</v>
      </c>
      <c r="Z244" s="26">
        <f t="shared" si="71"/>
        <v>458813.95000000019</v>
      </c>
      <c r="AA244" s="26">
        <f t="shared" si="63"/>
        <v>5617472.1299999999</v>
      </c>
      <c r="AB244" s="33" t="s">
        <v>15</v>
      </c>
      <c r="AC244" s="325"/>
      <c r="AD244" s="263">
        <f t="shared" si="52"/>
        <v>917.25</v>
      </c>
      <c r="AE244" s="263">
        <f t="shared" si="72"/>
        <v>6876586.5599999996</v>
      </c>
      <c r="AF244" s="263">
        <v>1.6</v>
      </c>
      <c r="AG244" s="263">
        <v>1.6</v>
      </c>
      <c r="AH244" s="68" t="str">
        <f t="shared" si="61"/>
        <v/>
      </c>
      <c r="AI244" s="191">
        <f>437.3+1672*0.15+61.2</f>
        <v>749.30000000000007</v>
      </c>
      <c r="AJ244" s="188">
        <v>917.25</v>
      </c>
      <c r="AO244" s="367"/>
      <c r="AP244" s="367"/>
      <c r="AQ244" s="367"/>
    </row>
    <row r="245" spans="1:43" s="69" customFormat="1" ht="24.75" x14ac:dyDescent="0.3">
      <c r="A245" s="55" t="s">
        <v>569</v>
      </c>
      <c r="B245" s="53" t="s">
        <v>570</v>
      </c>
      <c r="C245" s="54" t="s">
        <v>50</v>
      </c>
      <c r="D245" s="75">
        <v>5103</v>
      </c>
      <c r="E245" s="75"/>
      <c r="F245" s="75"/>
      <c r="G245" s="75"/>
      <c r="H245" s="75"/>
      <c r="I245" s="328"/>
      <c r="J245" s="75">
        <v>11.6</v>
      </c>
      <c r="K245" s="75">
        <v>59194.8</v>
      </c>
      <c r="L245" s="91" t="s">
        <v>571</v>
      </c>
      <c r="M245" s="73"/>
      <c r="N245" s="46">
        <v>2634</v>
      </c>
      <c r="O245" s="46">
        <v>0</v>
      </c>
      <c r="P245" s="46">
        <v>30554.400000000001</v>
      </c>
      <c r="Q245" s="98"/>
      <c r="R245" s="23" t="s">
        <v>1402</v>
      </c>
      <c r="S245" s="24" t="s">
        <v>570</v>
      </c>
      <c r="T245" s="25" t="s">
        <v>50</v>
      </c>
      <c r="U245" s="26">
        <v>5103</v>
      </c>
      <c r="V245" s="26">
        <f t="shared" si="69"/>
        <v>5103</v>
      </c>
      <c r="W245" s="26">
        <f t="shared" si="53"/>
        <v>11.6</v>
      </c>
      <c r="X245" s="342">
        <f t="shared" si="70"/>
        <v>0</v>
      </c>
      <c r="Y245" s="26">
        <f t="shared" si="49"/>
        <v>2634</v>
      </c>
      <c r="Z245" s="26">
        <f t="shared" si="71"/>
        <v>0</v>
      </c>
      <c r="AA245" s="26">
        <f t="shared" si="63"/>
        <v>30554.400000000001</v>
      </c>
      <c r="AB245" s="33" t="s">
        <v>15</v>
      </c>
      <c r="AC245" s="325"/>
      <c r="AD245" s="263">
        <f t="shared" si="52"/>
        <v>5103</v>
      </c>
      <c r="AE245" s="263">
        <f t="shared" si="72"/>
        <v>59194.8</v>
      </c>
      <c r="AF245" s="263">
        <v>1.6</v>
      </c>
      <c r="AG245" s="263">
        <v>1.6</v>
      </c>
      <c r="AH245" s="68" t="str">
        <f t="shared" si="61"/>
        <v/>
      </c>
      <c r="AI245" s="194">
        <f>798+1836</f>
        <v>2634</v>
      </c>
      <c r="AJ245" s="188">
        <v>5103</v>
      </c>
      <c r="AO245" s="367"/>
      <c r="AP245" s="367"/>
      <c r="AQ245" s="367"/>
    </row>
    <row r="246" spans="1:43" s="69" customFormat="1" ht="58.5" x14ac:dyDescent="0.3">
      <c r="A246" s="55" t="s">
        <v>572</v>
      </c>
      <c r="B246" s="53" t="s">
        <v>573</v>
      </c>
      <c r="C246" s="54" t="s">
        <v>50</v>
      </c>
      <c r="D246" s="75">
        <v>5103</v>
      </c>
      <c r="E246" s="75"/>
      <c r="F246" s="75"/>
      <c r="G246" s="75"/>
      <c r="H246" s="75">
        <v>6734.4</v>
      </c>
      <c r="I246" s="328"/>
      <c r="J246" s="75">
        <v>42.46</v>
      </c>
      <c r="K246" s="75">
        <v>285942.62</v>
      </c>
      <c r="L246" s="91" t="s">
        <v>574</v>
      </c>
      <c r="M246" s="73"/>
      <c r="N246" s="46">
        <v>4306</v>
      </c>
      <c r="O246" s="46">
        <v>0</v>
      </c>
      <c r="P246" s="46">
        <v>182832.76</v>
      </c>
      <c r="Q246" s="98"/>
      <c r="R246" s="23" t="s">
        <v>1373</v>
      </c>
      <c r="S246" s="24" t="s">
        <v>573</v>
      </c>
      <c r="T246" s="25" t="s">
        <v>50</v>
      </c>
      <c r="U246" s="26">
        <v>5103</v>
      </c>
      <c r="V246" s="26">
        <f t="shared" si="69"/>
        <v>6734.4</v>
      </c>
      <c r="W246" s="26">
        <f t="shared" si="53"/>
        <v>42.46</v>
      </c>
      <c r="X246" s="342">
        <f t="shared" si="70"/>
        <v>0</v>
      </c>
      <c r="Y246" s="26">
        <f t="shared" si="49"/>
        <v>4306</v>
      </c>
      <c r="Z246" s="26">
        <f t="shared" si="71"/>
        <v>0</v>
      </c>
      <c r="AA246" s="26">
        <f t="shared" si="63"/>
        <v>182832.76</v>
      </c>
      <c r="AB246" s="33" t="s">
        <v>15</v>
      </c>
      <c r="AC246" s="325"/>
      <c r="AD246" s="263">
        <f t="shared" si="52"/>
        <v>6734.4</v>
      </c>
      <c r="AE246" s="263">
        <f t="shared" si="72"/>
        <v>285942.62</v>
      </c>
      <c r="AF246" s="263">
        <v>1.6</v>
      </c>
      <c r="AG246" s="263">
        <v>1.6</v>
      </c>
      <c r="AH246" s="68" t="str">
        <f t="shared" si="61"/>
        <v/>
      </c>
      <c r="AI246" s="194">
        <f>2381+1925</f>
        <v>4306</v>
      </c>
      <c r="AJ246" s="188">
        <v>6734.4</v>
      </c>
      <c r="AO246" s="367"/>
      <c r="AP246" s="367"/>
      <c r="AQ246" s="367"/>
    </row>
    <row r="247" spans="1:43" s="69" customFormat="1" ht="58.5" x14ac:dyDescent="0.3">
      <c r="A247" s="55" t="s">
        <v>575</v>
      </c>
      <c r="B247" s="53" t="s">
        <v>576</v>
      </c>
      <c r="C247" s="54" t="s">
        <v>50</v>
      </c>
      <c r="D247" s="75">
        <v>15307</v>
      </c>
      <c r="E247" s="75"/>
      <c r="F247" s="75"/>
      <c r="G247" s="75"/>
      <c r="H247" s="75">
        <v>19027.2</v>
      </c>
      <c r="I247" s="328">
        <v>21202.13</v>
      </c>
      <c r="J247" s="75">
        <v>15.96</v>
      </c>
      <c r="K247" s="75">
        <v>338385.99</v>
      </c>
      <c r="L247" s="91" t="s">
        <v>577</v>
      </c>
      <c r="M247" s="73"/>
      <c r="N247" s="46">
        <v>15118</v>
      </c>
      <c r="O247" s="46">
        <v>0</v>
      </c>
      <c r="P247" s="46">
        <v>241283.28</v>
      </c>
      <c r="Q247" s="98"/>
      <c r="R247" s="23" t="s">
        <v>1393</v>
      </c>
      <c r="S247" s="24" t="s">
        <v>576</v>
      </c>
      <c r="T247" s="25" t="s">
        <v>50</v>
      </c>
      <c r="U247" s="26">
        <v>15307</v>
      </c>
      <c r="V247" s="26">
        <f t="shared" si="69"/>
        <v>21202.13</v>
      </c>
      <c r="W247" s="26">
        <f t="shared" si="53"/>
        <v>15.96</v>
      </c>
      <c r="X247" s="257">
        <f t="shared" si="70"/>
        <v>2610.7000000000007</v>
      </c>
      <c r="Y247" s="26">
        <f t="shared" si="49"/>
        <v>17728.7</v>
      </c>
      <c r="Z247" s="26">
        <f t="shared" si="71"/>
        <v>41666.76999999999</v>
      </c>
      <c r="AA247" s="26">
        <f t="shared" si="63"/>
        <v>282950.05</v>
      </c>
      <c r="AB247" s="33" t="s">
        <v>15</v>
      </c>
      <c r="AC247" s="325"/>
      <c r="AD247" s="263">
        <f t="shared" si="52"/>
        <v>21202.13</v>
      </c>
      <c r="AE247" s="263">
        <f t="shared" si="72"/>
        <v>338385.99</v>
      </c>
      <c r="AF247" s="263">
        <v>1.6</v>
      </c>
      <c r="AG247" s="263">
        <v>1.6</v>
      </c>
      <c r="AH247" s="68" t="str">
        <f t="shared" si="61"/>
        <v/>
      </c>
      <c r="AI247" s="191">
        <f>7986+1500+5632+2610.7</f>
        <v>17728.7</v>
      </c>
      <c r="AJ247" s="190">
        <v>21202.13</v>
      </c>
      <c r="AO247" s="367"/>
      <c r="AP247" s="367"/>
      <c r="AQ247" s="367"/>
    </row>
    <row r="248" spans="1:43" s="69" customFormat="1" ht="58.5" x14ac:dyDescent="0.3">
      <c r="A248" s="130" t="s">
        <v>578</v>
      </c>
      <c r="B248" s="131" t="s">
        <v>392</v>
      </c>
      <c r="C248" s="132" t="s">
        <v>23</v>
      </c>
      <c r="D248" s="133">
        <v>24</v>
      </c>
      <c r="E248" s="75"/>
      <c r="F248" s="75"/>
      <c r="G248" s="75"/>
      <c r="H248" s="75"/>
      <c r="I248" s="328"/>
      <c r="J248" s="75">
        <v>3115.13</v>
      </c>
      <c r="K248" s="75">
        <v>74763.12</v>
      </c>
      <c r="L248" s="91" t="s">
        <v>114</v>
      </c>
      <c r="M248" s="73"/>
      <c r="N248" s="46">
        <v>24</v>
      </c>
      <c r="O248" s="46">
        <v>0</v>
      </c>
      <c r="P248" s="46">
        <v>74763.12</v>
      </c>
      <c r="Q248" s="98"/>
      <c r="R248" s="23" t="s">
        <v>1403</v>
      </c>
      <c r="S248" s="24" t="s">
        <v>392</v>
      </c>
      <c r="T248" s="25" t="s">
        <v>23</v>
      </c>
      <c r="U248" s="26">
        <v>24</v>
      </c>
      <c r="V248" s="26">
        <f t="shared" si="69"/>
        <v>24</v>
      </c>
      <c r="W248" s="26">
        <f t="shared" si="53"/>
        <v>3115.13</v>
      </c>
      <c r="X248" s="127">
        <f t="shared" si="70"/>
        <v>0</v>
      </c>
      <c r="Y248" s="127">
        <f t="shared" si="49"/>
        <v>24</v>
      </c>
      <c r="Z248" s="127">
        <f t="shared" si="71"/>
        <v>0</v>
      </c>
      <c r="AA248" s="127">
        <f t="shared" si="63"/>
        <v>74763.12</v>
      </c>
      <c r="AB248" s="33" t="s">
        <v>15</v>
      </c>
      <c r="AC248" s="324"/>
      <c r="AD248" s="181">
        <f t="shared" si="52"/>
        <v>24</v>
      </c>
      <c r="AE248" s="181">
        <f t="shared" si="72"/>
        <v>74763.12</v>
      </c>
      <c r="AF248" s="181">
        <v>1.6</v>
      </c>
      <c r="AG248" s="181">
        <v>1.6</v>
      </c>
      <c r="AH248" s="363" t="str">
        <f t="shared" si="61"/>
        <v/>
      </c>
      <c r="AI248" s="194">
        <f>5+19</f>
        <v>24</v>
      </c>
      <c r="AJ248" s="188">
        <v>24</v>
      </c>
      <c r="AO248" s="367"/>
      <c r="AP248" s="367"/>
      <c r="AQ248" s="367"/>
    </row>
    <row r="249" spans="1:43" s="69" customFormat="1" ht="58.5" x14ac:dyDescent="0.3">
      <c r="A249" s="130" t="s">
        <v>579</v>
      </c>
      <c r="B249" s="131" t="s">
        <v>116</v>
      </c>
      <c r="C249" s="132" t="s">
        <v>23</v>
      </c>
      <c r="D249" s="133">
        <v>237</v>
      </c>
      <c r="E249" s="75"/>
      <c r="F249" s="75"/>
      <c r="G249" s="75"/>
      <c r="H249" s="75"/>
      <c r="I249" s="343">
        <v>362.85</v>
      </c>
      <c r="J249" s="75">
        <v>3321.13</v>
      </c>
      <c r="K249" s="75">
        <v>1205072.02</v>
      </c>
      <c r="L249" s="91" t="s">
        <v>117</v>
      </c>
      <c r="M249" s="73"/>
      <c r="N249" s="46">
        <v>237</v>
      </c>
      <c r="O249" s="46">
        <v>0</v>
      </c>
      <c r="P249" s="46">
        <v>787107.81</v>
      </c>
      <c r="Q249" s="98"/>
      <c r="R249" s="23" t="s">
        <v>1427</v>
      </c>
      <c r="S249" s="24" t="s">
        <v>116</v>
      </c>
      <c r="T249" s="25" t="s">
        <v>23</v>
      </c>
      <c r="U249" s="26">
        <v>237</v>
      </c>
      <c r="V249" s="26">
        <f t="shared" si="69"/>
        <v>362.85</v>
      </c>
      <c r="W249" s="26">
        <f t="shared" si="53"/>
        <v>3321.13</v>
      </c>
      <c r="X249" s="243">
        <f t="shared" si="70"/>
        <v>125.85000000000002</v>
      </c>
      <c r="Y249" s="127">
        <f t="shared" si="49"/>
        <v>362.85</v>
      </c>
      <c r="Z249" s="127">
        <f t="shared" si="71"/>
        <v>417964.20999999996</v>
      </c>
      <c r="AA249" s="127">
        <f t="shared" si="63"/>
        <v>1205072.02</v>
      </c>
      <c r="AB249" s="33" t="s">
        <v>15</v>
      </c>
      <c r="AC249" s="324"/>
      <c r="AD249" s="181">
        <f t="shared" si="52"/>
        <v>362.85</v>
      </c>
      <c r="AE249" s="181">
        <f t="shared" si="72"/>
        <v>1205072.02</v>
      </c>
      <c r="AF249" s="181">
        <v>1.6</v>
      </c>
      <c r="AG249" s="181">
        <v>1.6</v>
      </c>
      <c r="AH249" s="363" t="str">
        <f t="shared" si="61"/>
        <v/>
      </c>
      <c r="AI249" s="191">
        <f>120.35+103.6+13.05+125.85</f>
        <v>362.85</v>
      </c>
      <c r="AJ249" s="190">
        <v>362.85</v>
      </c>
      <c r="AO249" s="367"/>
      <c r="AP249" s="367"/>
      <c r="AQ249" s="367"/>
    </row>
    <row r="250" spans="1:43" s="69" customFormat="1" ht="39" x14ac:dyDescent="0.3">
      <c r="A250" s="130" t="s">
        <v>580</v>
      </c>
      <c r="B250" s="131" t="s">
        <v>493</v>
      </c>
      <c r="C250" s="132" t="s">
        <v>23</v>
      </c>
      <c r="D250" s="133">
        <v>261</v>
      </c>
      <c r="E250" s="75"/>
      <c r="F250" s="75"/>
      <c r="G250" s="75"/>
      <c r="H250" s="75"/>
      <c r="I250" s="344">
        <v>386.85</v>
      </c>
      <c r="J250" s="75">
        <v>200</v>
      </c>
      <c r="K250" s="75">
        <v>77370</v>
      </c>
      <c r="L250" s="91" t="s">
        <v>494</v>
      </c>
      <c r="M250" s="73"/>
      <c r="N250" s="46">
        <v>261</v>
      </c>
      <c r="O250" s="46">
        <v>0</v>
      </c>
      <c r="P250" s="46">
        <v>52200</v>
      </c>
      <c r="Q250" s="98"/>
      <c r="R250" s="23" t="s">
        <v>1428</v>
      </c>
      <c r="S250" s="24" t="s">
        <v>493</v>
      </c>
      <c r="T250" s="25" t="s">
        <v>23</v>
      </c>
      <c r="U250" s="26">
        <v>261</v>
      </c>
      <c r="V250" s="26">
        <f t="shared" si="69"/>
        <v>386.85</v>
      </c>
      <c r="W250" s="26">
        <f t="shared" si="53"/>
        <v>200</v>
      </c>
      <c r="X250" s="243">
        <f t="shared" si="70"/>
        <v>125.85000000000002</v>
      </c>
      <c r="Y250" s="127">
        <f t="shared" si="49"/>
        <v>386.85</v>
      </c>
      <c r="Z250" s="127">
        <f t="shared" si="71"/>
        <v>25170</v>
      </c>
      <c r="AA250" s="127">
        <f t="shared" si="63"/>
        <v>77370</v>
      </c>
      <c r="AB250" s="33" t="s">
        <v>15</v>
      </c>
      <c r="AC250" s="324"/>
      <c r="AD250" s="181">
        <f t="shared" si="52"/>
        <v>386.85</v>
      </c>
      <c r="AE250" s="181">
        <f t="shared" si="72"/>
        <v>77370</v>
      </c>
      <c r="AF250" s="181">
        <v>1.6</v>
      </c>
      <c r="AG250" s="181">
        <v>1.6</v>
      </c>
      <c r="AH250" s="363" t="str">
        <f t="shared" si="61"/>
        <v/>
      </c>
      <c r="AI250" s="191">
        <f>AI248+AI249</f>
        <v>386.85</v>
      </c>
      <c r="AJ250" s="190">
        <v>386.85</v>
      </c>
      <c r="AO250" s="367"/>
      <c r="AP250" s="367"/>
      <c r="AQ250" s="367"/>
    </row>
    <row r="251" spans="1:43" s="69" customFormat="1" ht="33" x14ac:dyDescent="0.3">
      <c r="A251" s="130" t="s">
        <v>581</v>
      </c>
      <c r="B251" s="131" t="s">
        <v>582</v>
      </c>
      <c r="C251" s="132" t="s">
        <v>50</v>
      </c>
      <c r="D251" s="133">
        <v>745</v>
      </c>
      <c r="E251" s="75"/>
      <c r="F251" s="75"/>
      <c r="G251" s="75"/>
      <c r="H251" s="161"/>
      <c r="I251" s="345">
        <v>1025.82</v>
      </c>
      <c r="J251" s="166">
        <v>698.31</v>
      </c>
      <c r="K251" s="75">
        <v>716340.36</v>
      </c>
      <c r="L251" s="91" t="s">
        <v>583</v>
      </c>
      <c r="M251" s="73"/>
      <c r="N251" s="46">
        <v>745</v>
      </c>
      <c r="O251" s="46">
        <v>0</v>
      </c>
      <c r="P251" s="46">
        <v>520240.95</v>
      </c>
      <c r="Q251" s="98"/>
      <c r="R251" s="23" t="s">
        <v>1387</v>
      </c>
      <c r="S251" s="24" t="s">
        <v>582</v>
      </c>
      <c r="T251" s="25" t="s">
        <v>50</v>
      </c>
      <c r="U251" s="26">
        <v>745</v>
      </c>
      <c r="V251" s="26">
        <f t="shared" si="69"/>
        <v>1025.82</v>
      </c>
      <c r="W251" s="26">
        <f t="shared" si="53"/>
        <v>698.31</v>
      </c>
      <c r="X251" s="243">
        <f t="shared" si="70"/>
        <v>280.81999999999994</v>
      </c>
      <c r="Y251" s="127">
        <f t="shared" si="49"/>
        <v>1025.82</v>
      </c>
      <c r="Z251" s="127">
        <f t="shared" si="71"/>
        <v>196099.40999999997</v>
      </c>
      <c r="AA251" s="127">
        <f t="shared" si="63"/>
        <v>716340.36</v>
      </c>
      <c r="AB251" s="33" t="s">
        <v>15</v>
      </c>
      <c r="AC251" s="324"/>
      <c r="AD251" s="181">
        <f t="shared" si="52"/>
        <v>1025.82</v>
      </c>
      <c r="AE251" s="181">
        <f t="shared" si="72"/>
        <v>716340.36</v>
      </c>
      <c r="AF251" s="181">
        <v>1.6</v>
      </c>
      <c r="AG251" s="181">
        <v>1.6</v>
      </c>
      <c r="AH251" s="363" t="str">
        <f t="shared" si="61"/>
        <v/>
      </c>
      <c r="AI251" s="191">
        <f>256+312+177+280.82</f>
        <v>1025.82</v>
      </c>
      <c r="AJ251" s="190">
        <v>1025.82</v>
      </c>
      <c r="AO251" s="367"/>
      <c r="AP251" s="367"/>
      <c r="AQ251" s="367"/>
    </row>
    <row r="252" spans="1:43" s="69" customFormat="1" ht="41.25" x14ac:dyDescent="0.3">
      <c r="A252" s="130" t="s">
        <v>584</v>
      </c>
      <c r="B252" s="131" t="s">
        <v>119</v>
      </c>
      <c r="C252" s="132" t="s">
        <v>50</v>
      </c>
      <c r="D252" s="133">
        <v>915</v>
      </c>
      <c r="E252" s="75"/>
      <c r="F252" s="75"/>
      <c r="G252" s="75"/>
      <c r="H252" s="161"/>
      <c r="I252" s="345">
        <v>1236.82</v>
      </c>
      <c r="J252" s="166">
        <v>533.64</v>
      </c>
      <c r="K252" s="75">
        <v>660016.62</v>
      </c>
      <c r="L252" s="91" t="s">
        <v>120</v>
      </c>
      <c r="M252" s="73"/>
      <c r="N252" s="46">
        <v>915</v>
      </c>
      <c r="O252" s="46">
        <v>0</v>
      </c>
      <c r="P252" s="46">
        <v>488280.6</v>
      </c>
      <c r="Q252" s="98"/>
      <c r="R252" s="23" t="s">
        <v>1405</v>
      </c>
      <c r="S252" s="24" t="s">
        <v>119</v>
      </c>
      <c r="T252" s="25" t="s">
        <v>50</v>
      </c>
      <c r="U252" s="26">
        <v>915</v>
      </c>
      <c r="V252" s="26">
        <f t="shared" si="69"/>
        <v>1236.82</v>
      </c>
      <c r="W252" s="26">
        <f t="shared" si="53"/>
        <v>533.64</v>
      </c>
      <c r="X252" s="243">
        <f t="shared" si="70"/>
        <v>321.81999999999994</v>
      </c>
      <c r="Y252" s="127">
        <f t="shared" si="49"/>
        <v>1236.82</v>
      </c>
      <c r="Z252" s="127">
        <f t="shared" si="71"/>
        <v>171736.02000000002</v>
      </c>
      <c r="AA252" s="127">
        <f t="shared" si="63"/>
        <v>660016.62</v>
      </c>
      <c r="AB252" s="33" t="s">
        <v>15</v>
      </c>
      <c r="AC252" s="324"/>
      <c r="AD252" s="181">
        <f t="shared" si="52"/>
        <v>1236.82</v>
      </c>
      <c r="AE252" s="181">
        <f t="shared" si="72"/>
        <v>660016.62</v>
      </c>
      <c r="AF252" s="181">
        <v>1.6</v>
      </c>
      <c r="AG252" s="181">
        <v>1.6</v>
      </c>
      <c r="AH252" s="363" t="str">
        <f t="shared" si="61"/>
        <v/>
      </c>
      <c r="AI252" s="191">
        <f>254.5+622+38.5+321.82</f>
        <v>1236.82</v>
      </c>
      <c r="AJ252" s="190">
        <v>1236.82</v>
      </c>
      <c r="AO252" s="367"/>
      <c r="AP252" s="367"/>
      <c r="AQ252" s="367"/>
    </row>
    <row r="253" spans="1:43" s="69" customFormat="1" ht="33" x14ac:dyDescent="0.3">
      <c r="A253" s="130" t="s">
        <v>585</v>
      </c>
      <c r="B253" s="131" t="s">
        <v>109</v>
      </c>
      <c r="C253" s="132" t="s">
        <v>110</v>
      </c>
      <c r="D253" s="133">
        <v>9227</v>
      </c>
      <c r="E253" s="75"/>
      <c r="F253" s="75"/>
      <c r="G253" s="75"/>
      <c r="H253" s="161"/>
      <c r="I253" s="345">
        <v>64145.43</v>
      </c>
      <c r="J253" s="166">
        <v>36.4</v>
      </c>
      <c r="K253" s="75">
        <v>2334893.65</v>
      </c>
      <c r="L253" s="91" t="s">
        <v>111</v>
      </c>
      <c r="M253" s="73"/>
      <c r="N253" s="46">
        <v>9227</v>
      </c>
      <c r="O253" s="46">
        <v>0</v>
      </c>
      <c r="P253" s="46">
        <v>335862.8</v>
      </c>
      <c r="Q253" s="98"/>
      <c r="R253" s="23" t="s">
        <v>1406</v>
      </c>
      <c r="S253" s="24" t="s">
        <v>109</v>
      </c>
      <c r="T253" s="25" t="s">
        <v>110</v>
      </c>
      <c r="U253" s="26">
        <v>9227</v>
      </c>
      <c r="V253" s="26">
        <f t="shared" si="69"/>
        <v>64145.43</v>
      </c>
      <c r="W253" s="26">
        <f t="shared" si="53"/>
        <v>36.4</v>
      </c>
      <c r="X253" s="243">
        <f t="shared" si="70"/>
        <v>54918.43</v>
      </c>
      <c r="Y253" s="127">
        <f t="shared" si="49"/>
        <v>64145.43</v>
      </c>
      <c r="Z253" s="127">
        <f t="shared" si="71"/>
        <v>1999030.8499999999</v>
      </c>
      <c r="AA253" s="127">
        <f t="shared" si="63"/>
        <v>2334893.65</v>
      </c>
      <c r="AB253" s="33" t="s">
        <v>15</v>
      </c>
      <c r="AC253" s="324"/>
      <c r="AD253" s="181">
        <f t="shared" si="52"/>
        <v>64145.43</v>
      </c>
      <c r="AE253" s="181">
        <f t="shared" si="72"/>
        <v>2334893.65</v>
      </c>
      <c r="AF253" s="181">
        <v>1.6</v>
      </c>
      <c r="AG253" s="181">
        <v>1.6</v>
      </c>
      <c r="AH253" s="363" t="str">
        <f t="shared" si="61"/>
        <v/>
      </c>
      <c r="AI253" s="191">
        <f>9227+54918.43</f>
        <v>64145.43</v>
      </c>
      <c r="AJ253" s="190">
        <v>64145.43</v>
      </c>
      <c r="AO253" s="367"/>
      <c r="AP253" s="367"/>
      <c r="AQ253" s="367"/>
    </row>
    <row r="254" spans="1:43" s="69" customFormat="1" ht="78" x14ac:dyDescent="0.3">
      <c r="A254" s="130" t="s">
        <v>586</v>
      </c>
      <c r="B254" s="131" t="s">
        <v>587</v>
      </c>
      <c r="C254" s="132" t="s">
        <v>513</v>
      </c>
      <c r="D254" s="133">
        <v>189</v>
      </c>
      <c r="E254" s="75"/>
      <c r="F254" s="75"/>
      <c r="G254" s="75"/>
      <c r="H254" s="161"/>
      <c r="I254" s="345">
        <v>0</v>
      </c>
      <c r="J254" s="166">
        <v>40</v>
      </c>
      <c r="K254" s="75">
        <v>0</v>
      </c>
      <c r="L254" s="91" t="s">
        <v>588</v>
      </c>
      <c r="M254" s="73"/>
      <c r="N254" s="46">
        <v>0</v>
      </c>
      <c r="O254" s="46">
        <v>0</v>
      </c>
      <c r="P254" s="46">
        <v>0</v>
      </c>
      <c r="Q254" s="98"/>
      <c r="R254" s="23" t="s">
        <v>1414</v>
      </c>
      <c r="S254" s="24" t="s">
        <v>587</v>
      </c>
      <c r="T254" s="25" t="s">
        <v>513</v>
      </c>
      <c r="U254" s="26">
        <v>189</v>
      </c>
      <c r="V254" s="26">
        <v>0</v>
      </c>
      <c r="W254" s="26">
        <f t="shared" si="53"/>
        <v>40</v>
      </c>
      <c r="X254" s="127">
        <f t="shared" si="70"/>
        <v>0</v>
      </c>
      <c r="Y254" s="127">
        <f t="shared" si="49"/>
        <v>0</v>
      </c>
      <c r="Z254" s="127">
        <f t="shared" si="71"/>
        <v>0</v>
      </c>
      <c r="AA254" s="127">
        <f t="shared" si="63"/>
        <v>0</v>
      </c>
      <c r="AB254" s="33" t="s">
        <v>15</v>
      </c>
      <c r="AC254" s="324"/>
      <c r="AD254" s="181">
        <v>0</v>
      </c>
      <c r="AE254" s="181">
        <f t="shared" si="72"/>
        <v>0</v>
      </c>
      <c r="AF254" s="181">
        <v>1.6</v>
      </c>
      <c r="AG254" s="181">
        <v>1.6</v>
      </c>
      <c r="AH254" s="363" t="str">
        <f t="shared" si="61"/>
        <v/>
      </c>
      <c r="AI254" s="190">
        <v>0</v>
      </c>
      <c r="AJ254" s="188">
        <v>0</v>
      </c>
      <c r="AO254" s="367"/>
      <c r="AP254" s="367"/>
      <c r="AQ254" s="367"/>
    </row>
    <row r="255" spans="1:43" s="69" customFormat="1" ht="58.5" x14ac:dyDescent="0.3">
      <c r="A255" s="130" t="s">
        <v>589</v>
      </c>
      <c r="B255" s="131" t="s">
        <v>590</v>
      </c>
      <c r="C255" s="132" t="s">
        <v>325</v>
      </c>
      <c r="D255" s="133">
        <v>118</v>
      </c>
      <c r="E255" s="75"/>
      <c r="F255" s="75"/>
      <c r="G255" s="75"/>
      <c r="H255" s="161"/>
      <c r="I255" s="158"/>
      <c r="J255" s="166">
        <v>3615.3</v>
      </c>
      <c r="K255" s="75">
        <v>426605.4</v>
      </c>
      <c r="L255" s="91" t="s">
        <v>591</v>
      </c>
      <c r="M255" s="73"/>
      <c r="N255" s="46">
        <v>108</v>
      </c>
      <c r="O255" s="46">
        <v>0</v>
      </c>
      <c r="P255" s="46">
        <v>390452.4</v>
      </c>
      <c r="Q255" s="98"/>
      <c r="R255" s="23" t="s">
        <v>1429</v>
      </c>
      <c r="S255" s="24" t="s">
        <v>590</v>
      </c>
      <c r="T255" s="25" t="s">
        <v>325</v>
      </c>
      <c r="U255" s="26">
        <v>118</v>
      </c>
      <c r="V255" s="26">
        <f t="shared" si="69"/>
        <v>118</v>
      </c>
      <c r="W255" s="26">
        <f t="shared" si="53"/>
        <v>3615.3</v>
      </c>
      <c r="X255" s="128">
        <f t="shared" si="70"/>
        <v>0</v>
      </c>
      <c r="Y255" s="26">
        <f t="shared" si="49"/>
        <v>108</v>
      </c>
      <c r="Z255" s="26">
        <f t="shared" si="71"/>
        <v>0</v>
      </c>
      <c r="AA255" s="26">
        <f t="shared" si="63"/>
        <v>390452.4</v>
      </c>
      <c r="AB255" s="33" t="s">
        <v>15</v>
      </c>
      <c r="AC255" s="325"/>
      <c r="AD255" s="263">
        <f t="shared" si="52"/>
        <v>118</v>
      </c>
      <c r="AE255" s="263">
        <f t="shared" si="72"/>
        <v>426605.4</v>
      </c>
      <c r="AF255" s="263">
        <v>1.6</v>
      </c>
      <c r="AG255" s="263">
        <v>1.6</v>
      </c>
      <c r="AH255" s="68" t="str">
        <f t="shared" si="61"/>
        <v/>
      </c>
      <c r="AI255" s="194">
        <f>40+42+26</f>
        <v>108</v>
      </c>
      <c r="AJ255" s="188">
        <v>118</v>
      </c>
      <c r="AO255" s="367"/>
      <c r="AP255" s="367"/>
      <c r="AQ255" s="367"/>
    </row>
    <row r="256" spans="1:43" s="69" customFormat="1" ht="58.5" x14ac:dyDescent="0.3">
      <c r="A256" s="130" t="s">
        <v>592</v>
      </c>
      <c r="B256" s="131" t="s">
        <v>593</v>
      </c>
      <c r="C256" s="132" t="s">
        <v>110</v>
      </c>
      <c r="D256" s="133">
        <v>2773</v>
      </c>
      <c r="E256" s="75"/>
      <c r="F256" s="75"/>
      <c r="G256" s="75"/>
      <c r="H256" s="161"/>
      <c r="I256" s="158"/>
      <c r="J256" s="166">
        <v>113.98</v>
      </c>
      <c r="K256" s="75">
        <v>316066.53999999998</v>
      </c>
      <c r="L256" s="91" t="s">
        <v>594</v>
      </c>
      <c r="M256" s="73"/>
      <c r="N256" s="46">
        <v>2487</v>
      </c>
      <c r="O256" s="46">
        <v>0</v>
      </c>
      <c r="P256" s="46">
        <v>283468.26</v>
      </c>
      <c r="Q256" s="98"/>
      <c r="R256" s="23" t="s">
        <v>1430</v>
      </c>
      <c r="S256" s="24" t="s">
        <v>593</v>
      </c>
      <c r="T256" s="25" t="s">
        <v>110</v>
      </c>
      <c r="U256" s="26">
        <v>2773</v>
      </c>
      <c r="V256" s="26">
        <f t="shared" si="69"/>
        <v>2773</v>
      </c>
      <c r="W256" s="26">
        <f t="shared" si="53"/>
        <v>113.98</v>
      </c>
      <c r="X256" s="128">
        <f t="shared" si="70"/>
        <v>0</v>
      </c>
      <c r="Y256" s="26">
        <f t="shared" si="49"/>
        <v>2487</v>
      </c>
      <c r="Z256" s="26">
        <f t="shared" si="71"/>
        <v>0</v>
      </c>
      <c r="AA256" s="26">
        <f t="shared" si="63"/>
        <v>283468.26</v>
      </c>
      <c r="AB256" s="33" t="s">
        <v>15</v>
      </c>
      <c r="AC256" s="325"/>
      <c r="AD256" s="263">
        <f t="shared" si="52"/>
        <v>2773</v>
      </c>
      <c r="AE256" s="263">
        <f t="shared" si="72"/>
        <v>316066.53999999998</v>
      </c>
      <c r="AF256" s="263">
        <v>1.6</v>
      </c>
      <c r="AG256" s="263">
        <v>1.6</v>
      </c>
      <c r="AH256" s="68" t="str">
        <f t="shared" si="61"/>
        <v/>
      </c>
      <c r="AI256" s="194">
        <f>940+962+585</f>
        <v>2487</v>
      </c>
      <c r="AJ256" s="188">
        <v>2773</v>
      </c>
      <c r="AO256" s="367"/>
      <c r="AP256" s="367"/>
      <c r="AQ256" s="367"/>
    </row>
    <row r="257" spans="1:43" s="69" customFormat="1" ht="24.75" x14ac:dyDescent="0.3">
      <c r="A257" s="130" t="s">
        <v>595</v>
      </c>
      <c r="B257" s="131" t="s">
        <v>189</v>
      </c>
      <c r="C257" s="132" t="s">
        <v>30</v>
      </c>
      <c r="D257" s="133">
        <v>112</v>
      </c>
      <c r="E257" s="75"/>
      <c r="F257" s="75"/>
      <c r="G257" s="75"/>
      <c r="H257" s="224"/>
      <c r="I257" s="158"/>
      <c r="J257" s="166">
        <v>138.84</v>
      </c>
      <c r="K257" s="75">
        <v>15550.08</v>
      </c>
      <c r="L257" s="91" t="s">
        <v>190</v>
      </c>
      <c r="M257" s="73"/>
      <c r="N257" s="46">
        <v>112</v>
      </c>
      <c r="O257" s="46">
        <v>0</v>
      </c>
      <c r="P257" s="46">
        <v>15550.08</v>
      </c>
      <c r="Q257" s="98"/>
      <c r="R257" s="23" t="s">
        <v>1431</v>
      </c>
      <c r="S257" s="24" t="s">
        <v>189</v>
      </c>
      <c r="T257" s="25" t="s">
        <v>30</v>
      </c>
      <c r="U257" s="26">
        <v>112</v>
      </c>
      <c r="V257" s="26">
        <f t="shared" si="69"/>
        <v>112</v>
      </c>
      <c r="W257" s="26">
        <f t="shared" si="53"/>
        <v>138.84</v>
      </c>
      <c r="X257" s="127">
        <f t="shared" si="70"/>
        <v>0</v>
      </c>
      <c r="Y257" s="127">
        <f t="shared" si="49"/>
        <v>112</v>
      </c>
      <c r="Z257" s="127">
        <f t="shared" si="71"/>
        <v>0</v>
      </c>
      <c r="AA257" s="127">
        <f t="shared" si="63"/>
        <v>15550.08</v>
      </c>
      <c r="AB257" s="33" t="s">
        <v>15</v>
      </c>
      <c r="AC257" s="325"/>
      <c r="AD257" s="263">
        <f t="shared" si="52"/>
        <v>112</v>
      </c>
      <c r="AE257" s="263">
        <f t="shared" si="72"/>
        <v>15550.08</v>
      </c>
      <c r="AF257" s="263">
        <v>1.6</v>
      </c>
      <c r="AG257" s="263">
        <v>1.6</v>
      </c>
      <c r="AH257" s="68" t="str">
        <f t="shared" si="61"/>
        <v/>
      </c>
      <c r="AI257" s="194">
        <f>112</f>
        <v>112</v>
      </c>
      <c r="AJ257" s="188">
        <v>112</v>
      </c>
      <c r="AN257" s="68"/>
      <c r="AO257" s="368"/>
      <c r="AP257" s="367"/>
      <c r="AQ257" s="367"/>
    </row>
    <row r="258" spans="1:43" ht="39" x14ac:dyDescent="0.3">
      <c r="A258" s="144" t="s">
        <v>1334</v>
      </c>
      <c r="B258" s="145" t="s">
        <v>1335</v>
      </c>
      <c r="C258" s="206" t="s">
        <v>50</v>
      </c>
      <c r="D258" s="170"/>
      <c r="E258" s="147"/>
      <c r="F258" s="148">
        <v>518.22</v>
      </c>
      <c r="G258" s="140"/>
      <c r="H258" s="148"/>
      <c r="I258" s="346">
        <v>648.53</v>
      </c>
      <c r="J258" s="168">
        <v>868.85</v>
      </c>
      <c r="K258" s="148">
        <v>563475.29</v>
      </c>
      <c r="L258" s="93"/>
      <c r="N258" s="46">
        <v>518.22</v>
      </c>
      <c r="O258" s="46">
        <v>0</v>
      </c>
      <c r="P258" s="46">
        <v>450255.45</v>
      </c>
      <c r="Q258" s="98"/>
      <c r="R258" s="23" t="s">
        <v>1395</v>
      </c>
      <c r="S258" s="24" t="s">
        <v>1396</v>
      </c>
      <c r="T258" s="25" t="s">
        <v>50</v>
      </c>
      <c r="U258" s="26">
        <v>0</v>
      </c>
      <c r="V258" s="26">
        <f t="shared" si="69"/>
        <v>648.53</v>
      </c>
      <c r="W258" s="26">
        <f t="shared" si="53"/>
        <v>868.85</v>
      </c>
      <c r="X258" s="243">
        <f t="shared" si="70"/>
        <v>0</v>
      </c>
      <c r="Y258" s="127">
        <f t="shared" si="49"/>
        <v>518.22</v>
      </c>
      <c r="Z258" s="127">
        <f t="shared" si="71"/>
        <v>0</v>
      </c>
      <c r="AA258" s="127">
        <f t="shared" si="63"/>
        <v>450255.45</v>
      </c>
      <c r="AB258" s="27"/>
      <c r="AC258" s="325"/>
      <c r="AD258" s="263">
        <f t="shared" si="52"/>
        <v>648.53</v>
      </c>
      <c r="AE258" s="263">
        <f t="shared" si="72"/>
        <v>563475.29</v>
      </c>
      <c r="AF258" s="263">
        <v>1.6</v>
      </c>
      <c r="AG258" s="263">
        <v>1.6</v>
      </c>
      <c r="AH258" s="68" t="str">
        <f t="shared" si="61"/>
        <v/>
      </c>
      <c r="AI258" s="191">
        <v>518.22</v>
      </c>
      <c r="AJ258" s="190">
        <v>648.53</v>
      </c>
      <c r="AN258" s="282"/>
      <c r="AO258" s="367"/>
      <c r="AP258" s="367"/>
      <c r="AQ258" s="367"/>
    </row>
    <row r="259" spans="1:43" s="282" customFormat="1" ht="39" x14ac:dyDescent="0.3">
      <c r="A259" s="272" t="s">
        <v>3209</v>
      </c>
      <c r="B259" s="276" t="s">
        <v>3213</v>
      </c>
      <c r="C259" s="274" t="s">
        <v>103</v>
      </c>
      <c r="D259" s="288"/>
      <c r="E259" s="288"/>
      <c r="F259" s="275"/>
      <c r="G259" s="275"/>
      <c r="H259" s="275"/>
      <c r="I259" s="346">
        <v>879.36</v>
      </c>
      <c r="J259" s="288">
        <v>1299.01</v>
      </c>
      <c r="K259" s="275">
        <v>1142297.43</v>
      </c>
      <c r="L259" s="297"/>
      <c r="M259" s="278"/>
      <c r="N259" s="42"/>
      <c r="O259" s="42"/>
      <c r="P259" s="42"/>
      <c r="Q259" s="98"/>
      <c r="R259" s="13" t="s">
        <v>3217</v>
      </c>
      <c r="S259" s="286" t="str">
        <f t="shared" ref="S259:S262" si="73">B259</f>
        <v>級配粒料底層，碎石級配</v>
      </c>
      <c r="T259" s="287" t="str">
        <f t="shared" ref="T259:T262" si="74">C259</f>
        <v>C.M3</v>
      </c>
      <c r="U259" s="16"/>
      <c r="V259" s="16">
        <f t="shared" si="69"/>
        <v>879.36</v>
      </c>
      <c r="W259" s="16">
        <f t="shared" si="53"/>
        <v>1299.01</v>
      </c>
      <c r="X259" s="334">
        <f t="shared" si="70"/>
        <v>872.6</v>
      </c>
      <c r="Y259" s="127">
        <f t="shared" ref="Y259:Y262" si="75">X259+N259</f>
        <v>872.6</v>
      </c>
      <c r="Z259" s="127">
        <f t="shared" si="71"/>
        <v>1133516.1299999999</v>
      </c>
      <c r="AA259" s="127">
        <f t="shared" si="63"/>
        <v>1133516.1299999999</v>
      </c>
      <c r="AB259" s="16"/>
      <c r="AC259" s="324"/>
      <c r="AD259" s="181">
        <f t="shared" si="52"/>
        <v>879.36</v>
      </c>
      <c r="AE259" s="181">
        <f t="shared" ref="AE259:AE262" si="76">ROUND(W259*AD259,2)</f>
        <v>1142297.43</v>
      </c>
      <c r="AF259" s="181">
        <v>1.6</v>
      </c>
      <c r="AG259" s="181">
        <v>1.6</v>
      </c>
      <c r="AH259" s="364"/>
      <c r="AI259" s="296">
        <f>872.6</f>
        <v>872.6</v>
      </c>
      <c r="AJ259" s="190">
        <v>879.36</v>
      </c>
      <c r="AO259" s="367"/>
      <c r="AP259" s="367"/>
      <c r="AQ259" s="367"/>
    </row>
    <row r="260" spans="1:43" s="282" customFormat="1" ht="39" x14ac:dyDescent="0.3">
      <c r="A260" s="272" t="s">
        <v>3210</v>
      </c>
      <c r="B260" s="276" t="s">
        <v>3214</v>
      </c>
      <c r="C260" s="274" t="s">
        <v>325</v>
      </c>
      <c r="D260" s="288"/>
      <c r="E260" s="288"/>
      <c r="F260" s="275"/>
      <c r="G260" s="275"/>
      <c r="H260" s="275"/>
      <c r="I260" s="346">
        <v>30</v>
      </c>
      <c r="J260" s="288">
        <v>6028.76</v>
      </c>
      <c r="K260" s="275">
        <v>180862.8</v>
      </c>
      <c r="L260" s="297"/>
      <c r="M260" s="278"/>
      <c r="N260" s="42"/>
      <c r="O260" s="42"/>
      <c r="P260" s="42"/>
      <c r="Q260" s="98"/>
      <c r="R260" s="13" t="s">
        <v>3218</v>
      </c>
      <c r="S260" s="286" t="str">
        <f t="shared" si="73"/>
        <v>人行道化妝蓋板及底座</v>
      </c>
      <c r="T260" s="287" t="str">
        <f t="shared" si="74"/>
        <v>組</v>
      </c>
      <c r="U260" s="16"/>
      <c r="V260" s="16">
        <f t="shared" si="69"/>
        <v>30</v>
      </c>
      <c r="W260" s="16">
        <f t="shared" si="53"/>
        <v>6028.76</v>
      </c>
      <c r="X260" s="334">
        <f t="shared" si="70"/>
        <v>30</v>
      </c>
      <c r="Y260" s="127">
        <f t="shared" si="75"/>
        <v>30</v>
      </c>
      <c r="Z260" s="127">
        <f t="shared" si="71"/>
        <v>180862.8</v>
      </c>
      <c r="AA260" s="127">
        <f t="shared" si="63"/>
        <v>180862.8</v>
      </c>
      <c r="AB260" s="16"/>
      <c r="AC260" s="324"/>
      <c r="AD260" s="181">
        <f t="shared" si="52"/>
        <v>30</v>
      </c>
      <c r="AE260" s="181">
        <f t="shared" si="76"/>
        <v>180862.8</v>
      </c>
      <c r="AF260" s="181">
        <v>1.6</v>
      </c>
      <c r="AG260" s="181">
        <v>1.6</v>
      </c>
      <c r="AH260" s="364"/>
      <c r="AI260" s="296">
        <v>30</v>
      </c>
      <c r="AJ260" s="190">
        <v>30</v>
      </c>
      <c r="AO260" s="367"/>
      <c r="AP260" s="367"/>
      <c r="AQ260" s="367"/>
    </row>
    <row r="261" spans="1:43" s="282" customFormat="1" ht="39" x14ac:dyDescent="0.3">
      <c r="A261" s="272" t="s">
        <v>3211</v>
      </c>
      <c r="B261" s="276" t="s">
        <v>3215</v>
      </c>
      <c r="C261" s="274" t="s">
        <v>325</v>
      </c>
      <c r="D261" s="288"/>
      <c r="E261" s="288"/>
      <c r="F261" s="275"/>
      <c r="G261" s="275"/>
      <c r="H261" s="275"/>
      <c r="I261" s="346">
        <v>7</v>
      </c>
      <c r="J261" s="288">
        <v>6560.4</v>
      </c>
      <c r="K261" s="275">
        <v>45922.8</v>
      </c>
      <c r="L261" s="297"/>
      <c r="M261" s="278"/>
      <c r="N261" s="42"/>
      <c r="O261" s="42"/>
      <c r="P261" s="42"/>
      <c r="Q261" s="98"/>
      <c r="R261" s="13" t="s">
        <v>3219</v>
      </c>
      <c r="S261" s="286" t="str">
        <f t="shared" si="73"/>
        <v>道路交通標誌桿，含基礎</v>
      </c>
      <c r="T261" s="287" t="str">
        <f t="shared" si="74"/>
        <v>組</v>
      </c>
      <c r="U261" s="16"/>
      <c r="V261" s="16">
        <f t="shared" si="69"/>
        <v>7</v>
      </c>
      <c r="W261" s="16">
        <f t="shared" si="53"/>
        <v>6560.4</v>
      </c>
      <c r="X261" s="334">
        <f t="shared" si="70"/>
        <v>7</v>
      </c>
      <c r="Y261" s="127">
        <f t="shared" si="75"/>
        <v>7</v>
      </c>
      <c r="Z261" s="127">
        <f t="shared" si="71"/>
        <v>45922.8</v>
      </c>
      <c r="AA261" s="127">
        <f t="shared" si="63"/>
        <v>45922.8</v>
      </c>
      <c r="AB261" s="16"/>
      <c r="AC261" s="324"/>
      <c r="AD261" s="181">
        <f t="shared" si="52"/>
        <v>7</v>
      </c>
      <c r="AE261" s="181">
        <f t="shared" si="76"/>
        <v>45922.8</v>
      </c>
      <c r="AF261" s="181">
        <v>1.6</v>
      </c>
      <c r="AG261" s="181">
        <v>1.6</v>
      </c>
      <c r="AH261" s="364"/>
      <c r="AI261" s="296">
        <v>7</v>
      </c>
      <c r="AJ261" s="190">
        <v>7</v>
      </c>
      <c r="AO261" s="367"/>
      <c r="AP261" s="367"/>
      <c r="AQ261" s="367"/>
    </row>
    <row r="262" spans="1:43" s="282" customFormat="1" ht="39" x14ac:dyDescent="0.3">
      <c r="A262" s="272" t="s">
        <v>3212</v>
      </c>
      <c r="B262" s="276" t="s">
        <v>3216</v>
      </c>
      <c r="C262" s="274" t="s">
        <v>325</v>
      </c>
      <c r="D262" s="288"/>
      <c r="E262" s="288"/>
      <c r="F262" s="275"/>
      <c r="G262" s="275"/>
      <c r="H262" s="275"/>
      <c r="I262" s="346">
        <v>9</v>
      </c>
      <c r="J262" s="288">
        <v>3989.64</v>
      </c>
      <c r="K262" s="275">
        <v>35906.76</v>
      </c>
      <c r="L262" s="297"/>
      <c r="M262" s="278"/>
      <c r="N262" s="42"/>
      <c r="O262" s="42"/>
      <c r="P262" s="42"/>
      <c r="Q262" s="98"/>
      <c r="R262" s="13" t="s">
        <v>3220</v>
      </c>
      <c r="S262" s="286" t="str">
        <f t="shared" si="73"/>
        <v>道路交通標誌牌面</v>
      </c>
      <c r="T262" s="287" t="str">
        <f t="shared" si="74"/>
        <v>組</v>
      </c>
      <c r="U262" s="16"/>
      <c r="V262" s="16">
        <f t="shared" si="69"/>
        <v>9</v>
      </c>
      <c r="W262" s="16">
        <f t="shared" si="53"/>
        <v>3989.64</v>
      </c>
      <c r="X262" s="334">
        <f t="shared" si="70"/>
        <v>9</v>
      </c>
      <c r="Y262" s="127">
        <f t="shared" si="75"/>
        <v>9</v>
      </c>
      <c r="Z262" s="127">
        <f t="shared" si="71"/>
        <v>35906.76</v>
      </c>
      <c r="AA262" s="127">
        <f t="shared" si="63"/>
        <v>35906.76</v>
      </c>
      <c r="AB262" s="16"/>
      <c r="AC262" s="324"/>
      <c r="AD262" s="181">
        <f t="shared" si="52"/>
        <v>9</v>
      </c>
      <c r="AE262" s="181">
        <f t="shared" si="76"/>
        <v>35906.76</v>
      </c>
      <c r="AF262" s="181">
        <v>1.6</v>
      </c>
      <c r="AG262" s="181">
        <v>1.6</v>
      </c>
      <c r="AH262" s="364"/>
      <c r="AI262" s="296">
        <v>9</v>
      </c>
      <c r="AJ262" s="190">
        <v>9</v>
      </c>
      <c r="AN262" s="69"/>
      <c r="AO262" s="367"/>
      <c r="AP262" s="367"/>
      <c r="AQ262" s="367"/>
    </row>
    <row r="263" spans="1:43" s="69" customFormat="1" ht="33" customHeight="1" x14ac:dyDescent="0.3">
      <c r="A263" s="266" t="s">
        <v>596</v>
      </c>
      <c r="B263" s="267" t="s">
        <v>597</v>
      </c>
      <c r="C263" s="83" t="s">
        <v>14</v>
      </c>
      <c r="D263" s="84">
        <v>1</v>
      </c>
      <c r="E263" s="84"/>
      <c r="F263" s="84"/>
      <c r="G263" s="84"/>
      <c r="H263" s="84"/>
      <c r="I263" s="84"/>
      <c r="J263" s="84">
        <v>21270090.559999999</v>
      </c>
      <c r="K263" s="84">
        <v>21270090.559999999</v>
      </c>
      <c r="L263" s="94" t="s">
        <v>15</v>
      </c>
      <c r="M263" s="73"/>
      <c r="N263" s="45">
        <v>1</v>
      </c>
      <c r="O263" s="45">
        <v>452578.92</v>
      </c>
      <c r="P263" s="45">
        <v>4521262.8600000003</v>
      </c>
      <c r="Q263" s="98"/>
      <c r="R263" s="18" t="s">
        <v>1397</v>
      </c>
      <c r="S263" s="19" t="s">
        <v>597</v>
      </c>
      <c r="T263" s="20" t="s">
        <v>14</v>
      </c>
      <c r="U263" s="21">
        <v>1</v>
      </c>
      <c r="V263" s="21"/>
      <c r="W263" s="21">
        <f t="shared" si="53"/>
        <v>21270090.559999999</v>
      </c>
      <c r="X263" s="21">
        <f t="shared" ref="X263:Y263" si="77">IF(Z263=0,0,1)</f>
        <v>1</v>
      </c>
      <c r="Y263" s="21">
        <f t="shared" si="77"/>
        <v>1</v>
      </c>
      <c r="Z263" s="21">
        <f>SUMIFS(Z:Z,AG:AG,AF263)</f>
        <v>5986444.1200000001</v>
      </c>
      <c r="AA263" s="21">
        <f>SUMIFS(AA:AA,AG:AG,AF263)</f>
        <v>10507706.98</v>
      </c>
      <c r="AB263" s="22" t="s">
        <v>15</v>
      </c>
      <c r="AC263" s="324"/>
      <c r="AD263" s="181">
        <f t="shared" si="52"/>
        <v>1</v>
      </c>
      <c r="AE263" s="184"/>
      <c r="AF263" s="184">
        <v>1.7</v>
      </c>
      <c r="AG263" s="184"/>
      <c r="AH263" s="363" t="str">
        <f t="shared" si="61"/>
        <v/>
      </c>
      <c r="AI263" s="190">
        <v>1</v>
      </c>
      <c r="AJ263" s="188">
        <v>1</v>
      </c>
      <c r="AO263" s="367"/>
      <c r="AP263" s="367"/>
      <c r="AQ263" s="367"/>
    </row>
    <row r="264" spans="1:43" s="69" customFormat="1" ht="39" x14ac:dyDescent="0.3">
      <c r="A264" s="55" t="s">
        <v>598</v>
      </c>
      <c r="B264" s="53" t="s">
        <v>599</v>
      </c>
      <c r="C264" s="54" t="s">
        <v>103</v>
      </c>
      <c r="D264" s="75">
        <v>2596.6999999999998</v>
      </c>
      <c r="E264" s="75"/>
      <c r="F264" s="75"/>
      <c r="G264" s="75"/>
      <c r="H264" s="75"/>
      <c r="I264" s="75"/>
      <c r="J264" s="75">
        <v>704.52</v>
      </c>
      <c r="K264" s="75">
        <v>1829427.08</v>
      </c>
      <c r="L264" s="91" t="s">
        <v>600</v>
      </c>
      <c r="M264" s="73"/>
      <c r="N264" s="46">
        <v>1777.5</v>
      </c>
      <c r="O264" s="46">
        <v>276524.09999999998</v>
      </c>
      <c r="P264" s="46">
        <v>1252284.3</v>
      </c>
      <c r="Q264" s="98"/>
      <c r="R264" s="23" t="s">
        <v>1421</v>
      </c>
      <c r="S264" s="24" t="s">
        <v>599</v>
      </c>
      <c r="T264" s="25" t="s">
        <v>103</v>
      </c>
      <c r="U264" s="26">
        <v>2596.6999999999998</v>
      </c>
      <c r="V264" s="26">
        <f t="shared" si="69"/>
        <v>2596.6999999999998</v>
      </c>
      <c r="W264" s="26">
        <f t="shared" si="53"/>
        <v>704.52</v>
      </c>
      <c r="X264" s="243">
        <f t="shared" ref="X264:X327" si="78">AI264-N264</f>
        <v>128.79999999999995</v>
      </c>
      <c r="Y264" s="26">
        <f t="shared" si="49"/>
        <v>1906.3</v>
      </c>
      <c r="Z264" s="26">
        <f t="shared" ref="Z264:Z327" si="79">AA264-P264</f>
        <v>90742.179999999935</v>
      </c>
      <c r="AA264" s="26">
        <f t="shared" si="63"/>
        <v>1343026.48</v>
      </c>
      <c r="AB264" s="33" t="s">
        <v>15</v>
      </c>
      <c r="AC264" s="324"/>
      <c r="AD264" s="181">
        <f t="shared" si="52"/>
        <v>2596.6999999999998</v>
      </c>
      <c r="AE264" s="181">
        <f t="shared" ref="AE264:AE327" si="80">ROUND(W264*AD264,2)</f>
        <v>1829427.08</v>
      </c>
      <c r="AF264" s="181">
        <v>1.7</v>
      </c>
      <c r="AG264" s="181">
        <v>1.7</v>
      </c>
      <c r="AH264" s="363" t="str">
        <f t="shared" si="61"/>
        <v/>
      </c>
      <c r="AI264" s="191">
        <f>316+565+392+112+392.5+128.8</f>
        <v>1906.3</v>
      </c>
      <c r="AJ264" s="188">
        <v>2596.6999999999998</v>
      </c>
      <c r="AO264" s="367"/>
      <c r="AP264" s="367"/>
      <c r="AQ264" s="367"/>
    </row>
    <row r="265" spans="1:43" s="69" customFormat="1" ht="39" x14ac:dyDescent="0.3">
      <c r="A265" s="55" t="s">
        <v>601</v>
      </c>
      <c r="B265" s="53" t="s">
        <v>602</v>
      </c>
      <c r="C265" s="54" t="s">
        <v>559</v>
      </c>
      <c r="D265" s="75">
        <v>126</v>
      </c>
      <c r="E265" s="75"/>
      <c r="F265" s="75"/>
      <c r="G265" s="75"/>
      <c r="H265" s="75"/>
      <c r="I265" s="75"/>
      <c r="J265" s="75">
        <v>400</v>
      </c>
      <c r="K265" s="75">
        <v>50400</v>
      </c>
      <c r="L265" s="91" t="s">
        <v>603</v>
      </c>
      <c r="M265" s="73"/>
      <c r="N265" s="46">
        <v>0</v>
      </c>
      <c r="O265" s="46">
        <v>0</v>
      </c>
      <c r="P265" s="46">
        <v>0</v>
      </c>
      <c r="Q265" s="98"/>
      <c r="R265" s="23" t="s">
        <v>1426</v>
      </c>
      <c r="S265" s="24" t="s">
        <v>602</v>
      </c>
      <c r="T265" s="25" t="s">
        <v>559</v>
      </c>
      <c r="U265" s="26">
        <v>126</v>
      </c>
      <c r="V265" s="26">
        <f t="shared" si="69"/>
        <v>126</v>
      </c>
      <c r="W265" s="26">
        <f t="shared" si="53"/>
        <v>400</v>
      </c>
      <c r="X265" s="26">
        <f t="shared" si="78"/>
        <v>0</v>
      </c>
      <c r="Y265" s="26">
        <f t="shared" si="49"/>
        <v>0</v>
      </c>
      <c r="Z265" s="26">
        <f t="shared" si="79"/>
        <v>0</v>
      </c>
      <c r="AA265" s="26">
        <f t="shared" si="63"/>
        <v>0</v>
      </c>
      <c r="AB265" s="33" t="s">
        <v>15</v>
      </c>
      <c r="AC265" s="324"/>
      <c r="AD265" s="181">
        <f t="shared" si="52"/>
        <v>126</v>
      </c>
      <c r="AE265" s="181">
        <f t="shared" si="80"/>
        <v>50400</v>
      </c>
      <c r="AF265" s="181">
        <v>1.7</v>
      </c>
      <c r="AG265" s="181">
        <v>1.7</v>
      </c>
      <c r="AH265" s="363" t="str">
        <f t="shared" si="61"/>
        <v/>
      </c>
      <c r="AI265" s="190">
        <v>0</v>
      </c>
      <c r="AJ265" s="188">
        <v>126</v>
      </c>
      <c r="AO265" s="367"/>
      <c r="AP265" s="367"/>
      <c r="AQ265" s="367"/>
    </row>
    <row r="266" spans="1:43" s="69" customFormat="1" ht="58.5" x14ac:dyDescent="0.3">
      <c r="A266" s="55" t="s">
        <v>604</v>
      </c>
      <c r="B266" s="53" t="s">
        <v>605</v>
      </c>
      <c r="C266" s="54" t="s">
        <v>606</v>
      </c>
      <c r="D266" s="75">
        <v>12</v>
      </c>
      <c r="E266" s="75"/>
      <c r="F266" s="75"/>
      <c r="G266" s="75"/>
      <c r="H266" s="75"/>
      <c r="I266" s="75"/>
      <c r="J266" s="75">
        <v>3569.95</v>
      </c>
      <c r="K266" s="75">
        <v>42839.4</v>
      </c>
      <c r="L266" s="91" t="s">
        <v>607</v>
      </c>
      <c r="M266" s="73"/>
      <c r="N266" s="46">
        <v>0</v>
      </c>
      <c r="O266" s="46">
        <v>0</v>
      </c>
      <c r="P266" s="46">
        <v>0</v>
      </c>
      <c r="Q266" s="98"/>
      <c r="R266" s="23" t="s">
        <v>1402</v>
      </c>
      <c r="S266" s="24" t="s">
        <v>605</v>
      </c>
      <c r="T266" s="25" t="s">
        <v>606</v>
      </c>
      <c r="U266" s="26">
        <v>12</v>
      </c>
      <c r="V266" s="26">
        <f t="shared" si="69"/>
        <v>12</v>
      </c>
      <c r="W266" s="26">
        <f t="shared" si="53"/>
        <v>3569.95</v>
      </c>
      <c r="X266" s="26">
        <f t="shared" si="78"/>
        <v>0</v>
      </c>
      <c r="Y266" s="26">
        <f t="shared" si="49"/>
        <v>0</v>
      </c>
      <c r="Z266" s="26">
        <f t="shared" si="79"/>
        <v>0</v>
      </c>
      <c r="AA266" s="26">
        <f t="shared" si="63"/>
        <v>0</v>
      </c>
      <c r="AB266" s="33" t="s">
        <v>15</v>
      </c>
      <c r="AC266" s="324"/>
      <c r="AD266" s="181">
        <f t="shared" ref="AD266:AD329" si="81">IF(V266=0,U266,V266)</f>
        <v>12</v>
      </c>
      <c r="AE266" s="181">
        <f t="shared" si="80"/>
        <v>42839.4</v>
      </c>
      <c r="AF266" s="181">
        <v>1.7</v>
      </c>
      <c r="AG266" s="181">
        <v>1.7</v>
      </c>
      <c r="AH266" s="363" t="str">
        <f t="shared" si="61"/>
        <v/>
      </c>
      <c r="AI266" s="190">
        <v>0</v>
      </c>
      <c r="AJ266" s="188">
        <v>12</v>
      </c>
      <c r="AO266" s="367"/>
      <c r="AP266" s="367"/>
      <c r="AQ266" s="367"/>
    </row>
    <row r="267" spans="1:43" s="69" customFormat="1" ht="58.5" x14ac:dyDescent="0.3">
      <c r="A267" s="55" t="s">
        <v>608</v>
      </c>
      <c r="B267" s="53" t="s">
        <v>609</v>
      </c>
      <c r="C267" s="54" t="s">
        <v>606</v>
      </c>
      <c r="D267" s="75">
        <v>18</v>
      </c>
      <c r="E267" s="75"/>
      <c r="F267" s="75"/>
      <c r="G267" s="75"/>
      <c r="H267" s="75"/>
      <c r="I267" s="75"/>
      <c r="J267" s="75">
        <v>4083.1</v>
      </c>
      <c r="K267" s="75">
        <v>73495.8</v>
      </c>
      <c r="L267" s="91" t="s">
        <v>610</v>
      </c>
      <c r="M267" s="73"/>
      <c r="N267" s="46">
        <v>5</v>
      </c>
      <c r="O267" s="46">
        <v>0</v>
      </c>
      <c r="P267" s="46">
        <v>20415.5</v>
      </c>
      <c r="Q267" s="98"/>
      <c r="R267" s="23" t="s">
        <v>1373</v>
      </c>
      <c r="S267" s="24" t="s">
        <v>609</v>
      </c>
      <c r="T267" s="25" t="s">
        <v>606</v>
      </c>
      <c r="U267" s="26">
        <v>18</v>
      </c>
      <c r="V267" s="26">
        <f t="shared" si="69"/>
        <v>18</v>
      </c>
      <c r="W267" s="26">
        <f t="shared" ref="W267:W330" si="82">J267</f>
        <v>4083.1</v>
      </c>
      <c r="X267" s="26">
        <f t="shared" si="78"/>
        <v>0</v>
      </c>
      <c r="Y267" s="26">
        <f t="shared" si="49"/>
        <v>5</v>
      </c>
      <c r="Z267" s="26">
        <f t="shared" si="79"/>
        <v>0</v>
      </c>
      <c r="AA267" s="26">
        <f t="shared" si="63"/>
        <v>20415.5</v>
      </c>
      <c r="AB267" s="33" t="s">
        <v>15</v>
      </c>
      <c r="AC267" s="324"/>
      <c r="AD267" s="181">
        <f t="shared" si="81"/>
        <v>18</v>
      </c>
      <c r="AE267" s="181">
        <f t="shared" si="80"/>
        <v>73495.8</v>
      </c>
      <c r="AF267" s="181">
        <v>1.7</v>
      </c>
      <c r="AG267" s="181">
        <v>1.7</v>
      </c>
      <c r="AH267" s="363" t="str">
        <f t="shared" si="61"/>
        <v/>
      </c>
      <c r="AI267" s="190">
        <v>5</v>
      </c>
      <c r="AJ267" s="188">
        <v>18</v>
      </c>
      <c r="AO267" s="367"/>
      <c r="AP267" s="367"/>
      <c r="AQ267" s="367"/>
    </row>
    <row r="268" spans="1:43" s="69" customFormat="1" ht="58.5" x14ac:dyDescent="0.3">
      <c r="A268" s="130" t="s">
        <v>611</v>
      </c>
      <c r="B268" s="131" t="s">
        <v>612</v>
      </c>
      <c r="C268" s="132" t="s">
        <v>606</v>
      </c>
      <c r="D268" s="133">
        <v>5</v>
      </c>
      <c r="E268" s="203"/>
      <c r="F268" s="203"/>
      <c r="G268" s="203"/>
      <c r="H268" s="203"/>
      <c r="I268" s="203"/>
      <c r="J268" s="75">
        <v>7408.5</v>
      </c>
      <c r="K268" s="75">
        <v>37042.5</v>
      </c>
      <c r="L268" s="91" t="s">
        <v>613</v>
      </c>
      <c r="M268" s="73"/>
      <c r="N268" s="46">
        <v>5</v>
      </c>
      <c r="O268" s="46">
        <v>0</v>
      </c>
      <c r="P268" s="46">
        <v>37042.5</v>
      </c>
      <c r="Q268" s="98"/>
      <c r="R268" s="23" t="s">
        <v>1393</v>
      </c>
      <c r="S268" s="24" t="s">
        <v>612</v>
      </c>
      <c r="T268" s="25" t="s">
        <v>606</v>
      </c>
      <c r="U268" s="26">
        <v>5</v>
      </c>
      <c r="V268" s="26">
        <f t="shared" si="69"/>
        <v>5</v>
      </c>
      <c r="W268" s="26">
        <f t="shared" si="82"/>
        <v>7408.5</v>
      </c>
      <c r="X268" s="127">
        <f t="shared" si="78"/>
        <v>0</v>
      </c>
      <c r="Y268" s="127">
        <f t="shared" ref="Y268:Y331" si="83">X268+N268</f>
        <v>5</v>
      </c>
      <c r="Z268" s="127">
        <f t="shared" si="79"/>
        <v>0</v>
      </c>
      <c r="AA268" s="127">
        <f t="shared" si="63"/>
        <v>37042.5</v>
      </c>
      <c r="AB268" s="33" t="s">
        <v>15</v>
      </c>
      <c r="AC268" s="324"/>
      <c r="AD268" s="181">
        <f t="shared" si="81"/>
        <v>5</v>
      </c>
      <c r="AE268" s="181">
        <f t="shared" si="80"/>
        <v>37042.5</v>
      </c>
      <c r="AF268" s="181">
        <v>1.7</v>
      </c>
      <c r="AG268" s="181">
        <v>1.7</v>
      </c>
      <c r="AH268" s="363" t="str">
        <f t="shared" si="61"/>
        <v/>
      </c>
      <c r="AI268" s="190">
        <v>5</v>
      </c>
      <c r="AJ268" s="188">
        <v>5</v>
      </c>
      <c r="AO268" s="367"/>
      <c r="AP268" s="367"/>
      <c r="AQ268" s="367"/>
    </row>
    <row r="269" spans="1:43" s="69" customFormat="1" ht="49.5" x14ac:dyDescent="0.3">
      <c r="A269" s="130" t="s">
        <v>614</v>
      </c>
      <c r="B269" s="240" t="s">
        <v>615</v>
      </c>
      <c r="C269" s="132" t="s">
        <v>606</v>
      </c>
      <c r="D269" s="133">
        <v>5</v>
      </c>
      <c r="E269" s="203"/>
      <c r="F269" s="203"/>
      <c r="G269" s="203"/>
      <c r="H269" s="203"/>
      <c r="I269" s="203"/>
      <c r="J269" s="75">
        <v>10319.280000000001</v>
      </c>
      <c r="K269" s="75">
        <v>51596.4</v>
      </c>
      <c r="L269" s="91" t="s">
        <v>616</v>
      </c>
      <c r="M269" s="73"/>
      <c r="N269" s="46">
        <v>5</v>
      </c>
      <c r="O269" s="46">
        <v>0</v>
      </c>
      <c r="P269" s="46">
        <v>51596.4</v>
      </c>
      <c r="Q269" s="98"/>
      <c r="R269" s="23" t="s">
        <v>1403</v>
      </c>
      <c r="S269" s="24" t="s">
        <v>615</v>
      </c>
      <c r="T269" s="25" t="s">
        <v>606</v>
      </c>
      <c r="U269" s="26">
        <v>5</v>
      </c>
      <c r="V269" s="26">
        <f t="shared" si="69"/>
        <v>5</v>
      </c>
      <c r="W269" s="26">
        <f t="shared" si="82"/>
        <v>10319.280000000001</v>
      </c>
      <c r="X269" s="127">
        <f t="shared" si="78"/>
        <v>0</v>
      </c>
      <c r="Y269" s="127">
        <f t="shared" si="83"/>
        <v>5</v>
      </c>
      <c r="Z269" s="127">
        <f t="shared" si="79"/>
        <v>0</v>
      </c>
      <c r="AA269" s="127">
        <f t="shared" si="63"/>
        <v>51596.4</v>
      </c>
      <c r="AB269" s="33" t="s">
        <v>15</v>
      </c>
      <c r="AC269" s="324"/>
      <c r="AD269" s="181">
        <f t="shared" si="81"/>
        <v>5</v>
      </c>
      <c r="AE269" s="181">
        <f t="shared" si="80"/>
        <v>51596.4</v>
      </c>
      <c r="AF269" s="181">
        <v>1.7</v>
      </c>
      <c r="AG269" s="181">
        <v>1.7</v>
      </c>
      <c r="AH269" s="363" t="str">
        <f t="shared" si="61"/>
        <v/>
      </c>
      <c r="AI269" s="190">
        <v>5</v>
      </c>
      <c r="AJ269" s="188">
        <v>5</v>
      </c>
      <c r="AO269" s="367"/>
      <c r="AP269" s="367"/>
      <c r="AQ269" s="367"/>
    </row>
    <row r="270" spans="1:43" s="69" customFormat="1" ht="49.5" x14ac:dyDescent="0.3">
      <c r="A270" s="130" t="s">
        <v>617</v>
      </c>
      <c r="B270" s="240" t="s">
        <v>618</v>
      </c>
      <c r="C270" s="132" t="s">
        <v>606</v>
      </c>
      <c r="D270" s="133">
        <v>2</v>
      </c>
      <c r="E270" s="203"/>
      <c r="F270" s="203"/>
      <c r="G270" s="203"/>
      <c r="H270" s="203"/>
      <c r="I270" s="203"/>
      <c r="J270" s="75">
        <v>15164.14</v>
      </c>
      <c r="K270" s="75">
        <v>30328.28</v>
      </c>
      <c r="L270" s="91" t="s">
        <v>619</v>
      </c>
      <c r="M270" s="73"/>
      <c r="N270" s="46">
        <v>2</v>
      </c>
      <c r="O270" s="46">
        <v>0</v>
      </c>
      <c r="P270" s="46">
        <v>30328.28</v>
      </c>
      <c r="Q270" s="98"/>
      <c r="R270" s="23" t="s">
        <v>1427</v>
      </c>
      <c r="S270" s="24" t="s">
        <v>618</v>
      </c>
      <c r="T270" s="25" t="s">
        <v>606</v>
      </c>
      <c r="U270" s="26">
        <v>2</v>
      </c>
      <c r="V270" s="26">
        <f t="shared" si="69"/>
        <v>2</v>
      </c>
      <c r="W270" s="26">
        <f t="shared" si="82"/>
        <v>15164.14</v>
      </c>
      <c r="X270" s="127">
        <f t="shared" si="78"/>
        <v>0</v>
      </c>
      <c r="Y270" s="127">
        <f t="shared" si="83"/>
        <v>2</v>
      </c>
      <c r="Z270" s="127">
        <f t="shared" si="79"/>
        <v>0</v>
      </c>
      <c r="AA270" s="127">
        <f t="shared" si="63"/>
        <v>30328.28</v>
      </c>
      <c r="AB270" s="33" t="s">
        <v>15</v>
      </c>
      <c r="AC270" s="324"/>
      <c r="AD270" s="181">
        <f t="shared" si="81"/>
        <v>2</v>
      </c>
      <c r="AE270" s="181">
        <f t="shared" si="80"/>
        <v>30328.28</v>
      </c>
      <c r="AF270" s="181">
        <v>1.7</v>
      </c>
      <c r="AG270" s="181">
        <v>1.7</v>
      </c>
      <c r="AH270" s="363" t="str">
        <f t="shared" si="61"/>
        <v/>
      </c>
      <c r="AI270" s="190">
        <v>2</v>
      </c>
      <c r="AJ270" s="188">
        <v>2</v>
      </c>
      <c r="AO270" s="367"/>
      <c r="AP270" s="367"/>
      <c r="AQ270" s="367"/>
    </row>
    <row r="271" spans="1:43" s="69" customFormat="1" ht="49.5" x14ac:dyDescent="0.3">
      <c r="A271" s="130" t="s">
        <v>620</v>
      </c>
      <c r="B271" s="240" t="s">
        <v>621</v>
      </c>
      <c r="C271" s="132" t="s">
        <v>606</v>
      </c>
      <c r="D271" s="133">
        <v>6</v>
      </c>
      <c r="E271" s="203"/>
      <c r="F271" s="203"/>
      <c r="G271" s="203"/>
      <c r="H271" s="203"/>
      <c r="I271" s="203"/>
      <c r="J271" s="75">
        <v>21803.06</v>
      </c>
      <c r="K271" s="75">
        <v>130818.36</v>
      </c>
      <c r="L271" s="91" t="s">
        <v>622</v>
      </c>
      <c r="M271" s="73"/>
      <c r="N271" s="46">
        <v>6</v>
      </c>
      <c r="O271" s="46">
        <v>0</v>
      </c>
      <c r="P271" s="46">
        <v>130818.36</v>
      </c>
      <c r="Q271" s="98"/>
      <c r="R271" s="23" t="s">
        <v>1428</v>
      </c>
      <c r="S271" s="24" t="s">
        <v>621</v>
      </c>
      <c r="T271" s="25" t="s">
        <v>606</v>
      </c>
      <c r="U271" s="26">
        <v>6</v>
      </c>
      <c r="V271" s="26">
        <f t="shared" si="69"/>
        <v>6</v>
      </c>
      <c r="W271" s="26">
        <f t="shared" si="82"/>
        <v>21803.06</v>
      </c>
      <c r="X271" s="127">
        <f t="shared" si="78"/>
        <v>0</v>
      </c>
      <c r="Y271" s="127">
        <f t="shared" si="83"/>
        <v>6</v>
      </c>
      <c r="Z271" s="127">
        <f t="shared" si="79"/>
        <v>0</v>
      </c>
      <c r="AA271" s="127">
        <f t="shared" si="63"/>
        <v>130818.36</v>
      </c>
      <c r="AB271" s="33" t="s">
        <v>15</v>
      </c>
      <c r="AC271" s="324"/>
      <c r="AD271" s="181">
        <f t="shared" si="81"/>
        <v>6</v>
      </c>
      <c r="AE271" s="181">
        <f t="shared" si="80"/>
        <v>130818.36</v>
      </c>
      <c r="AF271" s="181">
        <v>1.7</v>
      </c>
      <c r="AG271" s="181">
        <v>1.7</v>
      </c>
      <c r="AH271" s="363" t="str">
        <f t="shared" si="61"/>
        <v/>
      </c>
      <c r="AI271" s="190">
        <v>6</v>
      </c>
      <c r="AJ271" s="188">
        <v>6</v>
      </c>
      <c r="AO271" s="367"/>
      <c r="AP271" s="367"/>
      <c r="AQ271" s="367"/>
    </row>
    <row r="272" spans="1:43" s="69" customFormat="1" ht="49.5" x14ac:dyDescent="0.3">
      <c r="A272" s="130" t="s">
        <v>623</v>
      </c>
      <c r="B272" s="240" t="s">
        <v>624</v>
      </c>
      <c r="C272" s="132" t="s">
        <v>606</v>
      </c>
      <c r="D272" s="133">
        <v>3</v>
      </c>
      <c r="E272" s="203"/>
      <c r="F272" s="203"/>
      <c r="G272" s="203"/>
      <c r="H272" s="203"/>
      <c r="I272" s="203"/>
      <c r="J272" s="75">
        <v>26196.51</v>
      </c>
      <c r="K272" s="75">
        <v>78589.53</v>
      </c>
      <c r="L272" s="91" t="s">
        <v>625</v>
      </c>
      <c r="M272" s="73"/>
      <c r="N272" s="46">
        <v>3</v>
      </c>
      <c r="O272" s="46">
        <v>0</v>
      </c>
      <c r="P272" s="46">
        <v>78589.53</v>
      </c>
      <c r="Q272" s="98"/>
      <c r="R272" s="23" t="s">
        <v>1387</v>
      </c>
      <c r="S272" s="24" t="s">
        <v>624</v>
      </c>
      <c r="T272" s="25" t="s">
        <v>606</v>
      </c>
      <c r="U272" s="26">
        <v>3</v>
      </c>
      <c r="V272" s="26">
        <f t="shared" si="69"/>
        <v>3</v>
      </c>
      <c r="W272" s="26">
        <f t="shared" si="82"/>
        <v>26196.51</v>
      </c>
      <c r="X272" s="127">
        <f t="shared" si="78"/>
        <v>0</v>
      </c>
      <c r="Y272" s="127">
        <f t="shared" si="83"/>
        <v>3</v>
      </c>
      <c r="Z272" s="127">
        <f t="shared" si="79"/>
        <v>0</v>
      </c>
      <c r="AA272" s="127">
        <f t="shared" si="63"/>
        <v>78589.53</v>
      </c>
      <c r="AB272" s="33" t="s">
        <v>15</v>
      </c>
      <c r="AC272" s="324"/>
      <c r="AD272" s="181">
        <f t="shared" si="81"/>
        <v>3</v>
      </c>
      <c r="AE272" s="181">
        <f t="shared" si="80"/>
        <v>78589.53</v>
      </c>
      <c r="AF272" s="181">
        <v>1.7</v>
      </c>
      <c r="AG272" s="181">
        <v>1.7</v>
      </c>
      <c r="AH272" s="363" t="str">
        <f t="shared" si="61"/>
        <v/>
      </c>
      <c r="AI272" s="190">
        <v>3</v>
      </c>
      <c r="AJ272" s="188">
        <v>3</v>
      </c>
      <c r="AO272" s="367"/>
      <c r="AP272" s="367"/>
      <c r="AQ272" s="367"/>
    </row>
    <row r="273" spans="1:43" s="69" customFormat="1" ht="49.5" x14ac:dyDescent="0.3">
      <c r="A273" s="130" t="s">
        <v>626</v>
      </c>
      <c r="B273" s="240" t="s">
        <v>627</v>
      </c>
      <c r="C273" s="132" t="s">
        <v>606</v>
      </c>
      <c r="D273" s="133">
        <v>2</v>
      </c>
      <c r="E273" s="203"/>
      <c r="F273" s="203"/>
      <c r="G273" s="203"/>
      <c r="H273" s="203"/>
      <c r="I273" s="203"/>
      <c r="J273" s="75">
        <v>29984.85</v>
      </c>
      <c r="K273" s="75">
        <v>59969.7</v>
      </c>
      <c r="L273" s="91" t="s">
        <v>628</v>
      </c>
      <c r="M273" s="73"/>
      <c r="N273" s="46">
        <v>2</v>
      </c>
      <c r="O273" s="46">
        <v>0</v>
      </c>
      <c r="P273" s="46">
        <v>59969.7</v>
      </c>
      <c r="Q273" s="98"/>
      <c r="R273" s="23" t="s">
        <v>1405</v>
      </c>
      <c r="S273" s="24" t="s">
        <v>627</v>
      </c>
      <c r="T273" s="25" t="s">
        <v>606</v>
      </c>
      <c r="U273" s="26">
        <v>2</v>
      </c>
      <c r="V273" s="26">
        <f t="shared" si="69"/>
        <v>2</v>
      </c>
      <c r="W273" s="26">
        <f t="shared" si="82"/>
        <v>29984.85</v>
      </c>
      <c r="X273" s="127">
        <f t="shared" si="78"/>
        <v>0</v>
      </c>
      <c r="Y273" s="127">
        <f t="shared" si="83"/>
        <v>2</v>
      </c>
      <c r="Z273" s="127">
        <f t="shared" si="79"/>
        <v>0</v>
      </c>
      <c r="AA273" s="127">
        <f t="shared" si="63"/>
        <v>59969.7</v>
      </c>
      <c r="AB273" s="33" t="s">
        <v>15</v>
      </c>
      <c r="AC273" s="324"/>
      <c r="AD273" s="181">
        <f t="shared" si="81"/>
        <v>2</v>
      </c>
      <c r="AE273" s="181">
        <f t="shared" si="80"/>
        <v>59969.7</v>
      </c>
      <c r="AF273" s="181">
        <v>1.7</v>
      </c>
      <c r="AG273" s="181">
        <v>1.7</v>
      </c>
      <c r="AH273" s="363" t="str">
        <f t="shared" si="61"/>
        <v/>
      </c>
      <c r="AI273" s="190">
        <v>2</v>
      </c>
      <c r="AJ273" s="188">
        <v>2</v>
      </c>
      <c r="AO273" s="367"/>
      <c r="AP273" s="367"/>
      <c r="AQ273" s="367"/>
    </row>
    <row r="274" spans="1:43" s="69" customFormat="1" ht="49.5" x14ac:dyDescent="0.3">
      <c r="A274" s="130" t="s">
        <v>629</v>
      </c>
      <c r="B274" s="240" t="s">
        <v>630</v>
      </c>
      <c r="C274" s="132" t="s">
        <v>606</v>
      </c>
      <c r="D274" s="133">
        <v>3</v>
      </c>
      <c r="E274" s="203"/>
      <c r="F274" s="203"/>
      <c r="G274" s="203"/>
      <c r="H274" s="203"/>
      <c r="I274" s="225"/>
      <c r="J274" s="75">
        <v>38914.949999999997</v>
      </c>
      <c r="K274" s="75">
        <v>116744.85</v>
      </c>
      <c r="L274" s="91" t="s">
        <v>631</v>
      </c>
      <c r="M274" s="73"/>
      <c r="N274" s="46">
        <v>3</v>
      </c>
      <c r="O274" s="46">
        <v>0</v>
      </c>
      <c r="P274" s="46">
        <v>116744.85</v>
      </c>
      <c r="Q274" s="98"/>
      <c r="R274" s="23" t="s">
        <v>1406</v>
      </c>
      <c r="S274" s="24" t="s">
        <v>630</v>
      </c>
      <c r="T274" s="25" t="s">
        <v>606</v>
      </c>
      <c r="U274" s="26">
        <v>3</v>
      </c>
      <c r="V274" s="26">
        <f t="shared" si="69"/>
        <v>3</v>
      </c>
      <c r="W274" s="26">
        <f t="shared" si="82"/>
        <v>38914.949999999997</v>
      </c>
      <c r="X274" s="127">
        <f t="shared" si="78"/>
        <v>0</v>
      </c>
      <c r="Y274" s="127">
        <f t="shared" si="83"/>
        <v>3</v>
      </c>
      <c r="Z274" s="127">
        <f t="shared" si="79"/>
        <v>0</v>
      </c>
      <c r="AA274" s="127">
        <f t="shared" si="63"/>
        <v>116744.85</v>
      </c>
      <c r="AB274" s="33" t="s">
        <v>15</v>
      </c>
      <c r="AC274" s="324"/>
      <c r="AD274" s="181">
        <f t="shared" si="81"/>
        <v>3</v>
      </c>
      <c r="AE274" s="181">
        <f t="shared" si="80"/>
        <v>116744.85</v>
      </c>
      <c r="AF274" s="181">
        <v>1.7</v>
      </c>
      <c r="AG274" s="181">
        <v>1.7</v>
      </c>
      <c r="AH274" s="363" t="str">
        <f t="shared" si="61"/>
        <v/>
      </c>
      <c r="AI274" s="190">
        <v>3</v>
      </c>
      <c r="AJ274" s="188">
        <v>3</v>
      </c>
      <c r="AO274" s="367"/>
      <c r="AP274" s="367"/>
      <c r="AQ274" s="367"/>
    </row>
    <row r="275" spans="1:43" s="69" customFormat="1" ht="49.5" x14ac:dyDescent="0.3">
      <c r="A275" s="130" t="s">
        <v>632</v>
      </c>
      <c r="B275" s="240" t="s">
        <v>633</v>
      </c>
      <c r="C275" s="132" t="s">
        <v>606</v>
      </c>
      <c r="D275" s="133">
        <v>3</v>
      </c>
      <c r="E275" s="203"/>
      <c r="F275" s="203"/>
      <c r="G275" s="203"/>
      <c r="H275" s="293"/>
      <c r="I275" s="295"/>
      <c r="J275" s="166">
        <v>43624.88</v>
      </c>
      <c r="K275" s="75">
        <v>130874.64</v>
      </c>
      <c r="L275" s="91" t="s">
        <v>634</v>
      </c>
      <c r="M275" s="73"/>
      <c r="N275" s="46">
        <v>3</v>
      </c>
      <c r="O275" s="46">
        <v>0</v>
      </c>
      <c r="P275" s="46">
        <v>130874.64</v>
      </c>
      <c r="Q275" s="98"/>
      <c r="R275" s="23" t="s">
        <v>1414</v>
      </c>
      <c r="S275" s="24" t="s">
        <v>633</v>
      </c>
      <c r="T275" s="25" t="s">
        <v>606</v>
      </c>
      <c r="U275" s="26">
        <v>3</v>
      </c>
      <c r="V275" s="26">
        <f t="shared" si="69"/>
        <v>3</v>
      </c>
      <c r="W275" s="26">
        <f t="shared" si="82"/>
        <v>43624.88</v>
      </c>
      <c r="X275" s="127">
        <f t="shared" si="78"/>
        <v>0</v>
      </c>
      <c r="Y275" s="127">
        <f t="shared" si="83"/>
        <v>3</v>
      </c>
      <c r="Z275" s="127">
        <f t="shared" si="79"/>
        <v>0</v>
      </c>
      <c r="AA275" s="127">
        <f t="shared" si="63"/>
        <v>130874.64</v>
      </c>
      <c r="AB275" s="33" t="s">
        <v>15</v>
      </c>
      <c r="AC275" s="324"/>
      <c r="AD275" s="181">
        <f t="shared" si="81"/>
        <v>3</v>
      </c>
      <c r="AE275" s="181">
        <f t="shared" si="80"/>
        <v>130874.64</v>
      </c>
      <c r="AF275" s="181">
        <v>1.7</v>
      </c>
      <c r="AG275" s="181">
        <v>1.7</v>
      </c>
      <c r="AH275" s="363" t="str">
        <f t="shared" si="61"/>
        <v/>
      </c>
      <c r="AI275" s="190">
        <v>3</v>
      </c>
      <c r="AJ275" s="188">
        <v>3</v>
      </c>
      <c r="AO275" s="367"/>
      <c r="AP275" s="367"/>
      <c r="AQ275" s="367"/>
    </row>
    <row r="276" spans="1:43" s="69" customFormat="1" ht="49.5" x14ac:dyDescent="0.3">
      <c r="A276" s="130" t="s">
        <v>635</v>
      </c>
      <c r="B276" s="240" t="s">
        <v>636</v>
      </c>
      <c r="C276" s="132" t="s">
        <v>606</v>
      </c>
      <c r="D276" s="133">
        <v>1</v>
      </c>
      <c r="E276" s="203"/>
      <c r="F276" s="203"/>
      <c r="G276" s="203"/>
      <c r="H276" s="293"/>
      <c r="I276" s="295"/>
      <c r="J276" s="166">
        <v>73088.800000000003</v>
      </c>
      <c r="K276" s="75">
        <v>73088.800000000003</v>
      </c>
      <c r="L276" s="91" t="s">
        <v>637</v>
      </c>
      <c r="M276" s="73"/>
      <c r="N276" s="46">
        <v>1</v>
      </c>
      <c r="O276" s="46">
        <v>0</v>
      </c>
      <c r="P276" s="46">
        <v>73088.800000000003</v>
      </c>
      <c r="Q276" s="98"/>
      <c r="R276" s="23" t="s">
        <v>1429</v>
      </c>
      <c r="S276" s="24" t="s">
        <v>636</v>
      </c>
      <c r="T276" s="25" t="s">
        <v>606</v>
      </c>
      <c r="U276" s="26">
        <v>1</v>
      </c>
      <c r="V276" s="26">
        <f t="shared" si="69"/>
        <v>1</v>
      </c>
      <c r="W276" s="26">
        <f t="shared" si="82"/>
        <v>73088.800000000003</v>
      </c>
      <c r="X276" s="127">
        <f t="shared" si="78"/>
        <v>0</v>
      </c>
      <c r="Y276" s="127">
        <f t="shared" si="83"/>
        <v>1</v>
      </c>
      <c r="Z276" s="127">
        <f t="shared" si="79"/>
        <v>0</v>
      </c>
      <c r="AA276" s="127">
        <f t="shared" si="63"/>
        <v>73088.800000000003</v>
      </c>
      <c r="AB276" s="33" t="s">
        <v>15</v>
      </c>
      <c r="AC276" s="324"/>
      <c r="AD276" s="181">
        <f t="shared" si="81"/>
        <v>1</v>
      </c>
      <c r="AE276" s="181">
        <f t="shared" si="80"/>
        <v>73088.800000000003</v>
      </c>
      <c r="AF276" s="181">
        <v>1.7</v>
      </c>
      <c r="AG276" s="181">
        <v>1.7</v>
      </c>
      <c r="AH276" s="363" t="str">
        <f t="shared" si="61"/>
        <v/>
      </c>
      <c r="AI276" s="190">
        <v>1</v>
      </c>
      <c r="AJ276" s="188">
        <v>1</v>
      </c>
      <c r="AO276" s="367"/>
      <c r="AP276" s="367"/>
      <c r="AQ276" s="367"/>
    </row>
    <row r="277" spans="1:43" s="69" customFormat="1" ht="58.5" x14ac:dyDescent="0.3">
      <c r="A277" s="55" t="s">
        <v>638</v>
      </c>
      <c r="B277" s="53" t="s">
        <v>639</v>
      </c>
      <c r="C277" s="54" t="s">
        <v>606</v>
      </c>
      <c r="D277" s="75">
        <v>6</v>
      </c>
      <c r="E277" s="75"/>
      <c r="F277" s="75"/>
      <c r="G277" s="75"/>
      <c r="H277" s="161"/>
      <c r="I277" s="158"/>
      <c r="J277" s="166">
        <v>22814.5</v>
      </c>
      <c r="K277" s="75">
        <v>136887</v>
      </c>
      <c r="L277" s="91" t="s">
        <v>640</v>
      </c>
      <c r="M277" s="73"/>
      <c r="N277" s="46">
        <v>3</v>
      </c>
      <c r="O277" s="46">
        <v>0</v>
      </c>
      <c r="P277" s="46">
        <v>68443.5</v>
      </c>
      <c r="Q277" s="98"/>
      <c r="R277" s="23" t="s">
        <v>1430</v>
      </c>
      <c r="S277" s="24" t="s">
        <v>639</v>
      </c>
      <c r="T277" s="25" t="s">
        <v>606</v>
      </c>
      <c r="U277" s="26">
        <v>6</v>
      </c>
      <c r="V277" s="26">
        <f t="shared" si="69"/>
        <v>6</v>
      </c>
      <c r="W277" s="26">
        <f t="shared" si="82"/>
        <v>22814.5</v>
      </c>
      <c r="X277" s="243">
        <f t="shared" si="78"/>
        <v>0</v>
      </c>
      <c r="Y277" s="26">
        <f t="shared" si="83"/>
        <v>3</v>
      </c>
      <c r="Z277" s="26">
        <f t="shared" si="79"/>
        <v>0</v>
      </c>
      <c r="AA277" s="26">
        <f t="shared" si="63"/>
        <v>68443.5</v>
      </c>
      <c r="AB277" s="33" t="s">
        <v>15</v>
      </c>
      <c r="AC277" s="324"/>
      <c r="AD277" s="181">
        <f t="shared" si="81"/>
        <v>6</v>
      </c>
      <c r="AE277" s="181">
        <f t="shared" si="80"/>
        <v>136887</v>
      </c>
      <c r="AF277" s="181">
        <v>1.7</v>
      </c>
      <c r="AG277" s="181">
        <v>1.7</v>
      </c>
      <c r="AH277" s="363" t="str">
        <f t="shared" si="61"/>
        <v/>
      </c>
      <c r="AI277" s="191">
        <f>3</f>
        <v>3</v>
      </c>
      <c r="AJ277" s="188">
        <v>6</v>
      </c>
      <c r="AO277" s="367"/>
      <c r="AP277" s="367"/>
      <c r="AQ277" s="367"/>
    </row>
    <row r="278" spans="1:43" s="69" customFormat="1" ht="66" x14ac:dyDescent="0.3">
      <c r="A278" s="130" t="s">
        <v>641</v>
      </c>
      <c r="B278" s="240" t="s">
        <v>642</v>
      </c>
      <c r="C278" s="132" t="s">
        <v>606</v>
      </c>
      <c r="D278" s="133">
        <v>3</v>
      </c>
      <c r="E278" s="203"/>
      <c r="F278" s="203"/>
      <c r="G278" s="203"/>
      <c r="H278" s="293">
        <v>8</v>
      </c>
      <c r="I278" s="295"/>
      <c r="J278" s="166">
        <v>1963.3</v>
      </c>
      <c r="K278" s="75">
        <v>15706.4</v>
      </c>
      <c r="L278" s="91" t="s">
        <v>643</v>
      </c>
      <c r="M278" s="73"/>
      <c r="N278" s="46">
        <v>3</v>
      </c>
      <c r="O278" s="46">
        <v>0</v>
      </c>
      <c r="P278" s="46">
        <v>5889.9</v>
      </c>
      <c r="Q278" s="98"/>
      <c r="R278" s="23" t="s">
        <v>1431</v>
      </c>
      <c r="S278" s="24" t="s">
        <v>642</v>
      </c>
      <c r="T278" s="25" t="s">
        <v>606</v>
      </c>
      <c r="U278" s="26">
        <v>3</v>
      </c>
      <c r="V278" s="26">
        <f t="shared" si="69"/>
        <v>8</v>
      </c>
      <c r="W278" s="26">
        <f t="shared" si="82"/>
        <v>1963.3</v>
      </c>
      <c r="X278" s="127">
        <f t="shared" si="78"/>
        <v>0</v>
      </c>
      <c r="Y278" s="127">
        <f t="shared" si="83"/>
        <v>3</v>
      </c>
      <c r="Z278" s="127">
        <f t="shared" si="79"/>
        <v>0</v>
      </c>
      <c r="AA278" s="127">
        <f t="shared" si="63"/>
        <v>5889.9</v>
      </c>
      <c r="AB278" s="33" t="s">
        <v>15</v>
      </c>
      <c r="AC278" s="324"/>
      <c r="AD278" s="181">
        <f t="shared" si="81"/>
        <v>8</v>
      </c>
      <c r="AE278" s="181">
        <f t="shared" si="80"/>
        <v>15706.4</v>
      </c>
      <c r="AF278" s="181">
        <v>1.7</v>
      </c>
      <c r="AG278" s="181">
        <v>1.7</v>
      </c>
      <c r="AH278" s="363" t="str">
        <f t="shared" si="61"/>
        <v/>
      </c>
      <c r="AI278" s="190">
        <v>3</v>
      </c>
      <c r="AJ278" s="188">
        <v>8</v>
      </c>
      <c r="AO278" s="367"/>
      <c r="AP278" s="367"/>
      <c r="AQ278" s="367"/>
    </row>
    <row r="279" spans="1:43" s="69" customFormat="1" ht="66" x14ac:dyDescent="0.3">
      <c r="A279" s="130" t="s">
        <v>644</v>
      </c>
      <c r="B279" s="240" t="s">
        <v>645</v>
      </c>
      <c r="C279" s="132" t="s">
        <v>606</v>
      </c>
      <c r="D279" s="133">
        <v>5</v>
      </c>
      <c r="E279" s="203"/>
      <c r="F279" s="203"/>
      <c r="G279" s="203"/>
      <c r="H279" s="293">
        <v>10</v>
      </c>
      <c r="I279" s="295"/>
      <c r="J279" s="166">
        <v>2216.6</v>
      </c>
      <c r="K279" s="75">
        <v>22166</v>
      </c>
      <c r="L279" s="91" t="s">
        <v>646</v>
      </c>
      <c r="M279" s="73"/>
      <c r="N279" s="46">
        <v>5</v>
      </c>
      <c r="O279" s="46">
        <v>0</v>
      </c>
      <c r="P279" s="46">
        <v>11083</v>
      </c>
      <c r="Q279" s="98"/>
      <c r="R279" s="23" t="s">
        <v>1395</v>
      </c>
      <c r="S279" s="24" t="s">
        <v>645</v>
      </c>
      <c r="T279" s="25" t="s">
        <v>606</v>
      </c>
      <c r="U279" s="26">
        <v>5</v>
      </c>
      <c r="V279" s="26">
        <f t="shared" si="69"/>
        <v>10</v>
      </c>
      <c r="W279" s="26">
        <f t="shared" si="82"/>
        <v>2216.6</v>
      </c>
      <c r="X279" s="127">
        <f t="shared" si="78"/>
        <v>0</v>
      </c>
      <c r="Y279" s="127">
        <f t="shared" si="83"/>
        <v>5</v>
      </c>
      <c r="Z279" s="127">
        <f t="shared" si="79"/>
        <v>0</v>
      </c>
      <c r="AA279" s="127">
        <f t="shared" si="63"/>
        <v>11083</v>
      </c>
      <c r="AB279" s="33" t="s">
        <v>15</v>
      </c>
      <c r="AC279" s="324"/>
      <c r="AD279" s="181">
        <f t="shared" si="81"/>
        <v>10</v>
      </c>
      <c r="AE279" s="181">
        <f t="shared" si="80"/>
        <v>22166</v>
      </c>
      <c r="AF279" s="181">
        <v>1.7</v>
      </c>
      <c r="AG279" s="181">
        <v>1.7</v>
      </c>
      <c r="AH279" s="363" t="str">
        <f t="shared" si="61"/>
        <v/>
      </c>
      <c r="AI279" s="190">
        <v>5</v>
      </c>
      <c r="AJ279" s="188">
        <v>10</v>
      </c>
      <c r="AO279" s="367"/>
      <c r="AP279" s="367"/>
      <c r="AQ279" s="367"/>
    </row>
    <row r="280" spans="1:43" s="69" customFormat="1" ht="66" x14ac:dyDescent="0.3">
      <c r="A280" s="55" t="s">
        <v>647</v>
      </c>
      <c r="B280" s="138" t="s">
        <v>648</v>
      </c>
      <c r="C280" s="54" t="s">
        <v>606</v>
      </c>
      <c r="D280" s="203">
        <v>7</v>
      </c>
      <c r="E280" s="203">
        <v>17</v>
      </c>
      <c r="F280" s="203"/>
      <c r="G280" s="203"/>
      <c r="H280" s="293"/>
      <c r="I280" s="295"/>
      <c r="J280" s="166">
        <v>2999.02</v>
      </c>
      <c r="K280" s="75">
        <v>50983.34</v>
      </c>
      <c r="L280" s="91" t="s">
        <v>649</v>
      </c>
      <c r="M280" s="73"/>
      <c r="N280" s="46">
        <v>7</v>
      </c>
      <c r="O280" s="46">
        <v>0</v>
      </c>
      <c r="P280" s="46">
        <v>20993.14</v>
      </c>
      <c r="Q280" s="98"/>
      <c r="R280" s="23" t="s">
        <v>1432</v>
      </c>
      <c r="S280" s="24" t="s">
        <v>648</v>
      </c>
      <c r="T280" s="25" t="s">
        <v>606</v>
      </c>
      <c r="U280" s="26">
        <v>7</v>
      </c>
      <c r="V280" s="26">
        <f t="shared" si="69"/>
        <v>17</v>
      </c>
      <c r="W280" s="26">
        <f t="shared" si="82"/>
        <v>2999.02</v>
      </c>
      <c r="X280" s="26">
        <f t="shared" si="78"/>
        <v>0</v>
      </c>
      <c r="Y280" s="26">
        <f t="shared" si="83"/>
        <v>7</v>
      </c>
      <c r="Z280" s="26">
        <f t="shared" si="79"/>
        <v>0</v>
      </c>
      <c r="AA280" s="26">
        <f t="shared" si="63"/>
        <v>20993.14</v>
      </c>
      <c r="AB280" s="27" t="s">
        <v>15</v>
      </c>
      <c r="AC280" s="324"/>
      <c r="AD280" s="181">
        <f t="shared" si="81"/>
        <v>17</v>
      </c>
      <c r="AE280" s="181">
        <f t="shared" si="80"/>
        <v>50983.34</v>
      </c>
      <c r="AF280" s="181">
        <v>1.7</v>
      </c>
      <c r="AG280" s="181">
        <v>1.7</v>
      </c>
      <c r="AH280" s="363" t="str">
        <f t="shared" si="61"/>
        <v/>
      </c>
      <c r="AI280" s="190">
        <v>7</v>
      </c>
      <c r="AJ280" s="188">
        <v>17</v>
      </c>
      <c r="AO280" s="367"/>
      <c r="AP280" s="367"/>
      <c r="AQ280" s="367"/>
    </row>
    <row r="281" spans="1:43" s="69" customFormat="1" ht="66" x14ac:dyDescent="0.3">
      <c r="A281" s="130" t="s">
        <v>650</v>
      </c>
      <c r="B281" s="240" t="s">
        <v>651</v>
      </c>
      <c r="C281" s="132" t="s">
        <v>606</v>
      </c>
      <c r="D281" s="133">
        <v>3</v>
      </c>
      <c r="E281" s="203"/>
      <c r="F281" s="203"/>
      <c r="G281" s="203"/>
      <c r="H281" s="293"/>
      <c r="I281" s="295"/>
      <c r="J281" s="166">
        <v>4720.5600000000004</v>
      </c>
      <c r="K281" s="75">
        <v>14161.68</v>
      </c>
      <c r="L281" s="91" t="s">
        <v>652</v>
      </c>
      <c r="M281" s="73"/>
      <c r="N281" s="46">
        <v>3</v>
      </c>
      <c r="O281" s="46">
        <v>0</v>
      </c>
      <c r="P281" s="46">
        <v>14161.68</v>
      </c>
      <c r="Q281" s="98"/>
      <c r="R281" s="23" t="s">
        <v>1433</v>
      </c>
      <c r="S281" s="24" t="s">
        <v>651</v>
      </c>
      <c r="T281" s="25" t="s">
        <v>606</v>
      </c>
      <c r="U281" s="26">
        <v>3</v>
      </c>
      <c r="V281" s="26">
        <f t="shared" si="69"/>
        <v>3</v>
      </c>
      <c r="W281" s="26">
        <f t="shared" si="82"/>
        <v>4720.5600000000004</v>
      </c>
      <c r="X281" s="127">
        <f t="shared" si="78"/>
        <v>0</v>
      </c>
      <c r="Y281" s="127">
        <f t="shared" si="83"/>
        <v>3</v>
      </c>
      <c r="Z281" s="127">
        <f t="shared" si="79"/>
        <v>0</v>
      </c>
      <c r="AA281" s="127">
        <f t="shared" si="63"/>
        <v>14161.68</v>
      </c>
      <c r="AB281" s="33" t="s">
        <v>15</v>
      </c>
      <c r="AC281" s="324"/>
      <c r="AD281" s="181">
        <f t="shared" si="81"/>
        <v>3</v>
      </c>
      <c r="AE281" s="181">
        <f t="shared" si="80"/>
        <v>14161.68</v>
      </c>
      <c r="AF281" s="181">
        <v>1.7</v>
      </c>
      <c r="AG281" s="181">
        <v>1.7</v>
      </c>
      <c r="AH281" s="363" t="str">
        <f t="shared" si="61"/>
        <v/>
      </c>
      <c r="AI281" s="190">
        <v>3</v>
      </c>
      <c r="AJ281" s="188">
        <v>3</v>
      </c>
      <c r="AO281" s="367"/>
      <c r="AP281" s="367"/>
      <c r="AQ281" s="367"/>
    </row>
    <row r="282" spans="1:43" s="69" customFormat="1" ht="66" x14ac:dyDescent="0.3">
      <c r="A282" s="130" t="s">
        <v>653</v>
      </c>
      <c r="B282" s="240" t="s">
        <v>654</v>
      </c>
      <c r="C282" s="132" t="s">
        <v>606</v>
      </c>
      <c r="D282" s="133">
        <v>4</v>
      </c>
      <c r="E282" s="203"/>
      <c r="F282" s="203"/>
      <c r="G282" s="203"/>
      <c r="H282" s="293">
        <v>5</v>
      </c>
      <c r="I282" s="295"/>
      <c r="J282" s="166">
        <v>5897.9</v>
      </c>
      <c r="K282" s="75">
        <v>29489.5</v>
      </c>
      <c r="L282" s="91" t="s">
        <v>655</v>
      </c>
      <c r="M282" s="73"/>
      <c r="N282" s="46">
        <v>4</v>
      </c>
      <c r="O282" s="46">
        <v>0</v>
      </c>
      <c r="P282" s="46">
        <v>23591.599999999999</v>
      </c>
      <c r="Q282" s="98"/>
      <c r="R282" s="23" t="s">
        <v>1382</v>
      </c>
      <c r="S282" s="24" t="s">
        <v>654</v>
      </c>
      <c r="T282" s="25" t="s">
        <v>606</v>
      </c>
      <c r="U282" s="26">
        <v>4</v>
      </c>
      <c r="V282" s="26">
        <f t="shared" si="69"/>
        <v>5</v>
      </c>
      <c r="W282" s="26">
        <f t="shared" si="82"/>
        <v>5897.9</v>
      </c>
      <c r="X282" s="127">
        <f t="shared" si="78"/>
        <v>0</v>
      </c>
      <c r="Y282" s="127">
        <f t="shared" si="83"/>
        <v>4</v>
      </c>
      <c r="Z282" s="127">
        <f t="shared" si="79"/>
        <v>0</v>
      </c>
      <c r="AA282" s="127">
        <f t="shared" si="63"/>
        <v>23591.599999999999</v>
      </c>
      <c r="AB282" s="33" t="s">
        <v>15</v>
      </c>
      <c r="AC282" s="324"/>
      <c r="AD282" s="181">
        <f t="shared" si="81"/>
        <v>5</v>
      </c>
      <c r="AE282" s="181">
        <f t="shared" si="80"/>
        <v>29489.5</v>
      </c>
      <c r="AF282" s="181">
        <v>1.7</v>
      </c>
      <c r="AG282" s="181">
        <v>1.7</v>
      </c>
      <c r="AH282" s="363" t="str">
        <f t="shared" si="61"/>
        <v/>
      </c>
      <c r="AI282" s="190">
        <v>4</v>
      </c>
      <c r="AJ282" s="188">
        <v>5</v>
      </c>
      <c r="AO282" s="367"/>
      <c r="AP282" s="367"/>
      <c r="AQ282" s="367"/>
    </row>
    <row r="283" spans="1:43" s="69" customFormat="1" ht="78" x14ac:dyDescent="0.3">
      <c r="A283" s="130" t="s">
        <v>656</v>
      </c>
      <c r="B283" s="131" t="s">
        <v>657</v>
      </c>
      <c r="C283" s="132" t="s">
        <v>606</v>
      </c>
      <c r="D283" s="133">
        <v>1</v>
      </c>
      <c r="E283" s="203"/>
      <c r="F283" s="203"/>
      <c r="G283" s="203"/>
      <c r="H283" s="293"/>
      <c r="I283" s="295"/>
      <c r="J283" s="166">
        <v>9356.16</v>
      </c>
      <c r="K283" s="75">
        <v>9356.16</v>
      </c>
      <c r="L283" s="91" t="s">
        <v>658</v>
      </c>
      <c r="M283" s="73"/>
      <c r="N283" s="46">
        <v>1</v>
      </c>
      <c r="O283" s="46">
        <v>0</v>
      </c>
      <c r="P283" s="46">
        <v>9356.16</v>
      </c>
      <c r="Q283" s="98"/>
      <c r="R283" s="23" t="s">
        <v>1434</v>
      </c>
      <c r="S283" s="24" t="s">
        <v>657</v>
      </c>
      <c r="T283" s="25" t="s">
        <v>606</v>
      </c>
      <c r="U283" s="26">
        <v>1</v>
      </c>
      <c r="V283" s="26">
        <f t="shared" si="69"/>
        <v>1</v>
      </c>
      <c r="W283" s="26">
        <f t="shared" si="82"/>
        <v>9356.16</v>
      </c>
      <c r="X283" s="127">
        <f t="shared" si="78"/>
        <v>0</v>
      </c>
      <c r="Y283" s="127">
        <f t="shared" si="83"/>
        <v>1</v>
      </c>
      <c r="Z283" s="127">
        <f t="shared" si="79"/>
        <v>0</v>
      </c>
      <c r="AA283" s="127">
        <f t="shared" si="63"/>
        <v>9356.16</v>
      </c>
      <c r="AB283" s="33" t="s">
        <v>15</v>
      </c>
      <c r="AC283" s="324"/>
      <c r="AD283" s="181">
        <f t="shared" si="81"/>
        <v>1</v>
      </c>
      <c r="AE283" s="181">
        <f t="shared" si="80"/>
        <v>9356.16</v>
      </c>
      <c r="AF283" s="181">
        <v>1.7</v>
      </c>
      <c r="AG283" s="181">
        <v>1.7</v>
      </c>
      <c r="AH283" s="363" t="str">
        <f t="shared" si="61"/>
        <v/>
      </c>
      <c r="AI283" s="190">
        <v>1</v>
      </c>
      <c r="AJ283" s="188">
        <v>1</v>
      </c>
      <c r="AO283" s="367"/>
      <c r="AP283" s="367"/>
      <c r="AQ283" s="367"/>
    </row>
    <row r="284" spans="1:43" s="69" customFormat="1" ht="58.5" x14ac:dyDescent="0.3">
      <c r="A284" s="130" t="s">
        <v>659</v>
      </c>
      <c r="B284" s="131" t="s">
        <v>660</v>
      </c>
      <c r="C284" s="132" t="s">
        <v>606</v>
      </c>
      <c r="D284" s="133">
        <v>1</v>
      </c>
      <c r="E284" s="203"/>
      <c r="F284" s="203"/>
      <c r="G284" s="203"/>
      <c r="H284" s="293"/>
      <c r="I284" s="295"/>
      <c r="J284" s="166">
        <v>13184.01</v>
      </c>
      <c r="K284" s="75">
        <v>13184.01</v>
      </c>
      <c r="L284" s="91" t="s">
        <v>661</v>
      </c>
      <c r="M284" s="73"/>
      <c r="N284" s="46">
        <v>1</v>
      </c>
      <c r="O284" s="46">
        <v>0</v>
      </c>
      <c r="P284" s="46">
        <v>13184.01</v>
      </c>
      <c r="Q284" s="98"/>
      <c r="R284" s="23" t="s">
        <v>1388</v>
      </c>
      <c r="S284" s="24" t="s">
        <v>660</v>
      </c>
      <c r="T284" s="25" t="s">
        <v>606</v>
      </c>
      <c r="U284" s="26">
        <v>1</v>
      </c>
      <c r="V284" s="26">
        <f t="shared" si="69"/>
        <v>1</v>
      </c>
      <c r="W284" s="26">
        <f t="shared" si="82"/>
        <v>13184.01</v>
      </c>
      <c r="X284" s="127">
        <f t="shared" si="78"/>
        <v>0</v>
      </c>
      <c r="Y284" s="127">
        <f t="shared" si="83"/>
        <v>1</v>
      </c>
      <c r="Z284" s="127">
        <f t="shared" si="79"/>
        <v>0</v>
      </c>
      <c r="AA284" s="127">
        <f t="shared" si="63"/>
        <v>13184.01</v>
      </c>
      <c r="AB284" s="33" t="s">
        <v>15</v>
      </c>
      <c r="AC284" s="324"/>
      <c r="AD284" s="181">
        <f t="shared" si="81"/>
        <v>1</v>
      </c>
      <c r="AE284" s="181">
        <f t="shared" si="80"/>
        <v>13184.01</v>
      </c>
      <c r="AF284" s="181">
        <v>1.7</v>
      </c>
      <c r="AG284" s="181">
        <v>1.7</v>
      </c>
      <c r="AH284" s="363" t="str">
        <f t="shared" si="61"/>
        <v/>
      </c>
      <c r="AI284" s="190">
        <v>1</v>
      </c>
      <c r="AJ284" s="188">
        <v>1</v>
      </c>
      <c r="AO284" s="367"/>
      <c r="AP284" s="367"/>
      <c r="AQ284" s="367"/>
    </row>
    <row r="285" spans="1:43" s="69" customFormat="1" ht="58.5" x14ac:dyDescent="0.3">
      <c r="A285" s="130" t="s">
        <v>662</v>
      </c>
      <c r="B285" s="131" t="s">
        <v>663</v>
      </c>
      <c r="C285" s="132" t="s">
        <v>30</v>
      </c>
      <c r="D285" s="133">
        <v>47.01</v>
      </c>
      <c r="E285" s="203"/>
      <c r="F285" s="203"/>
      <c r="G285" s="203"/>
      <c r="H285" s="293"/>
      <c r="I285" s="295"/>
      <c r="J285" s="166">
        <v>1859.87</v>
      </c>
      <c r="K285" s="75">
        <v>87432.49</v>
      </c>
      <c r="L285" s="91" t="s">
        <v>664</v>
      </c>
      <c r="M285" s="73"/>
      <c r="N285" s="46">
        <v>47.01</v>
      </c>
      <c r="O285" s="46">
        <v>0</v>
      </c>
      <c r="P285" s="46">
        <v>87432.49</v>
      </c>
      <c r="Q285" s="98"/>
      <c r="R285" s="23" t="s">
        <v>1389</v>
      </c>
      <c r="S285" s="24" t="s">
        <v>663</v>
      </c>
      <c r="T285" s="25" t="s">
        <v>30</v>
      </c>
      <c r="U285" s="26">
        <v>47.01</v>
      </c>
      <c r="V285" s="26">
        <f t="shared" si="69"/>
        <v>47.01</v>
      </c>
      <c r="W285" s="26">
        <f t="shared" si="82"/>
        <v>1859.87</v>
      </c>
      <c r="X285" s="127">
        <f t="shared" si="78"/>
        <v>0</v>
      </c>
      <c r="Y285" s="127">
        <f t="shared" si="83"/>
        <v>47.01</v>
      </c>
      <c r="Z285" s="127">
        <f t="shared" si="79"/>
        <v>0</v>
      </c>
      <c r="AA285" s="127">
        <f t="shared" si="63"/>
        <v>87432.49</v>
      </c>
      <c r="AB285" s="33" t="s">
        <v>15</v>
      </c>
      <c r="AC285" s="324"/>
      <c r="AD285" s="181">
        <f t="shared" si="81"/>
        <v>47.01</v>
      </c>
      <c r="AE285" s="181">
        <f t="shared" si="80"/>
        <v>87432.49</v>
      </c>
      <c r="AF285" s="181">
        <v>1.7</v>
      </c>
      <c r="AG285" s="181">
        <v>1.7</v>
      </c>
      <c r="AH285" s="363" t="str">
        <f t="shared" si="61"/>
        <v/>
      </c>
      <c r="AI285" s="190">
        <v>47.01</v>
      </c>
      <c r="AJ285" s="188">
        <v>47.01</v>
      </c>
      <c r="AO285" s="367"/>
      <c r="AP285" s="367"/>
      <c r="AQ285" s="367"/>
    </row>
    <row r="286" spans="1:43" s="69" customFormat="1" ht="78" x14ac:dyDescent="0.3">
      <c r="A286" s="130" t="s">
        <v>665</v>
      </c>
      <c r="B286" s="131" t="s">
        <v>666</v>
      </c>
      <c r="C286" s="132" t="s">
        <v>325</v>
      </c>
      <c r="D286" s="133">
        <v>63</v>
      </c>
      <c r="E286" s="203"/>
      <c r="F286" s="203"/>
      <c r="G286" s="203"/>
      <c r="H286" s="293"/>
      <c r="I286" s="295"/>
      <c r="J286" s="166">
        <v>40</v>
      </c>
      <c r="K286" s="75">
        <v>2520</v>
      </c>
      <c r="L286" s="91" t="s">
        <v>667</v>
      </c>
      <c r="M286" s="73"/>
      <c r="N286" s="46">
        <v>63</v>
      </c>
      <c r="O286" s="46">
        <v>0</v>
      </c>
      <c r="P286" s="46">
        <v>2520</v>
      </c>
      <c r="Q286" s="98"/>
      <c r="R286" s="23" t="s">
        <v>1390</v>
      </c>
      <c r="S286" s="24" t="s">
        <v>666</v>
      </c>
      <c r="T286" s="25" t="s">
        <v>325</v>
      </c>
      <c r="U286" s="26">
        <v>63</v>
      </c>
      <c r="V286" s="26">
        <f t="shared" si="69"/>
        <v>63</v>
      </c>
      <c r="W286" s="26">
        <f t="shared" si="82"/>
        <v>40</v>
      </c>
      <c r="X286" s="127">
        <f t="shared" si="78"/>
        <v>0</v>
      </c>
      <c r="Y286" s="127">
        <f t="shared" si="83"/>
        <v>63</v>
      </c>
      <c r="Z286" s="127">
        <f t="shared" si="79"/>
        <v>0</v>
      </c>
      <c r="AA286" s="127">
        <f t="shared" si="63"/>
        <v>2520</v>
      </c>
      <c r="AB286" s="33" t="s">
        <v>15</v>
      </c>
      <c r="AC286" s="324"/>
      <c r="AD286" s="181">
        <f t="shared" si="81"/>
        <v>63</v>
      </c>
      <c r="AE286" s="181">
        <f t="shared" si="80"/>
        <v>2520</v>
      </c>
      <c r="AF286" s="181">
        <v>1.7</v>
      </c>
      <c r="AG286" s="181">
        <v>1.7</v>
      </c>
      <c r="AH286" s="363" t="str">
        <f t="shared" si="61"/>
        <v/>
      </c>
      <c r="AI286" s="190">
        <v>63</v>
      </c>
      <c r="AJ286" s="188">
        <v>63</v>
      </c>
      <c r="AO286" s="367"/>
      <c r="AP286" s="367"/>
      <c r="AQ286" s="367"/>
    </row>
    <row r="287" spans="1:43" s="69" customFormat="1" ht="78" x14ac:dyDescent="0.3">
      <c r="A287" s="130" t="s">
        <v>668</v>
      </c>
      <c r="B287" s="131" t="s">
        <v>669</v>
      </c>
      <c r="C287" s="132" t="s">
        <v>162</v>
      </c>
      <c r="D287" s="133">
        <v>315</v>
      </c>
      <c r="E287" s="203"/>
      <c r="F287" s="203"/>
      <c r="G287" s="203"/>
      <c r="H287" s="293"/>
      <c r="I287" s="295"/>
      <c r="J287" s="166">
        <v>35</v>
      </c>
      <c r="K287" s="75">
        <v>11025</v>
      </c>
      <c r="L287" s="91" t="s">
        <v>670</v>
      </c>
      <c r="M287" s="73"/>
      <c r="N287" s="46">
        <v>315</v>
      </c>
      <c r="O287" s="46">
        <v>0</v>
      </c>
      <c r="P287" s="46">
        <v>11025</v>
      </c>
      <c r="Q287" s="98"/>
      <c r="R287" s="23" t="s">
        <v>1391</v>
      </c>
      <c r="S287" s="24" t="s">
        <v>669</v>
      </c>
      <c r="T287" s="25" t="s">
        <v>162</v>
      </c>
      <c r="U287" s="26">
        <v>315</v>
      </c>
      <c r="V287" s="26">
        <f t="shared" si="69"/>
        <v>315</v>
      </c>
      <c r="W287" s="26">
        <f t="shared" si="82"/>
        <v>35</v>
      </c>
      <c r="X287" s="127">
        <f t="shared" si="78"/>
        <v>0</v>
      </c>
      <c r="Y287" s="127">
        <f t="shared" si="83"/>
        <v>315</v>
      </c>
      <c r="Z287" s="127">
        <f t="shared" si="79"/>
        <v>0</v>
      </c>
      <c r="AA287" s="127">
        <f t="shared" si="63"/>
        <v>11025</v>
      </c>
      <c r="AB287" s="33" t="s">
        <v>15</v>
      </c>
      <c r="AC287" s="324"/>
      <c r="AD287" s="181">
        <f t="shared" si="81"/>
        <v>315</v>
      </c>
      <c r="AE287" s="181">
        <f t="shared" si="80"/>
        <v>11025</v>
      </c>
      <c r="AF287" s="181">
        <v>1.7</v>
      </c>
      <c r="AG287" s="181">
        <v>1.7</v>
      </c>
      <c r="AH287" s="363" t="str">
        <f t="shared" si="61"/>
        <v/>
      </c>
      <c r="AI287" s="190">
        <v>315</v>
      </c>
      <c r="AJ287" s="188">
        <v>315</v>
      </c>
      <c r="AO287" s="367"/>
      <c r="AP287" s="367"/>
      <c r="AQ287" s="367"/>
    </row>
    <row r="288" spans="1:43" s="69" customFormat="1" ht="78" x14ac:dyDescent="0.3">
      <c r="A288" s="55" t="s">
        <v>671</v>
      </c>
      <c r="B288" s="53" t="s">
        <v>672</v>
      </c>
      <c r="C288" s="54" t="s">
        <v>30</v>
      </c>
      <c r="D288" s="75">
        <v>1200</v>
      </c>
      <c r="E288" s="75"/>
      <c r="F288" s="75"/>
      <c r="G288" s="75"/>
      <c r="H288" s="161"/>
      <c r="I288" s="158"/>
      <c r="J288" s="166">
        <v>10</v>
      </c>
      <c r="K288" s="75">
        <v>12000</v>
      </c>
      <c r="L288" s="91" t="s">
        <v>673</v>
      </c>
      <c r="M288" s="73"/>
      <c r="N288" s="46">
        <v>500</v>
      </c>
      <c r="O288" s="46">
        <v>5000</v>
      </c>
      <c r="P288" s="46">
        <v>5000</v>
      </c>
      <c r="Q288" s="98"/>
      <c r="R288" s="23" t="s">
        <v>1436</v>
      </c>
      <c r="S288" s="24" t="s">
        <v>672</v>
      </c>
      <c r="T288" s="25" t="s">
        <v>30</v>
      </c>
      <c r="U288" s="26">
        <v>1200</v>
      </c>
      <c r="V288" s="26">
        <f t="shared" si="69"/>
        <v>1200</v>
      </c>
      <c r="W288" s="26">
        <f t="shared" si="82"/>
        <v>10</v>
      </c>
      <c r="X288" s="243">
        <f t="shared" si="78"/>
        <v>0</v>
      </c>
      <c r="Y288" s="26">
        <f t="shared" si="83"/>
        <v>500</v>
      </c>
      <c r="Z288" s="26">
        <f t="shared" si="79"/>
        <v>0</v>
      </c>
      <c r="AA288" s="26">
        <f t="shared" si="63"/>
        <v>5000</v>
      </c>
      <c r="AB288" s="33" t="s">
        <v>15</v>
      </c>
      <c r="AC288" s="324"/>
      <c r="AD288" s="181">
        <f t="shared" si="81"/>
        <v>1200</v>
      </c>
      <c r="AE288" s="181">
        <f t="shared" si="80"/>
        <v>12000</v>
      </c>
      <c r="AF288" s="181">
        <v>1.7</v>
      </c>
      <c r="AG288" s="181">
        <v>1.7</v>
      </c>
      <c r="AH288" s="363" t="str">
        <f t="shared" si="61"/>
        <v/>
      </c>
      <c r="AI288" s="191">
        <f>500</f>
        <v>500</v>
      </c>
      <c r="AJ288" s="188">
        <v>1200</v>
      </c>
      <c r="AO288" s="367"/>
      <c r="AP288" s="367"/>
      <c r="AQ288" s="367"/>
    </row>
    <row r="289" spans="1:43" s="69" customFormat="1" x14ac:dyDescent="0.3">
      <c r="A289" s="130" t="s">
        <v>674</v>
      </c>
      <c r="B289" s="131" t="s">
        <v>675</v>
      </c>
      <c r="C289" s="132" t="s">
        <v>50</v>
      </c>
      <c r="D289" s="133">
        <v>30.85</v>
      </c>
      <c r="E289" s="203"/>
      <c r="F289" s="203"/>
      <c r="G289" s="203"/>
      <c r="H289" s="293"/>
      <c r="I289" s="295"/>
      <c r="J289" s="166">
        <v>531</v>
      </c>
      <c r="K289" s="75">
        <v>16381.35</v>
      </c>
      <c r="L289" s="91" t="s">
        <v>676</v>
      </c>
      <c r="M289" s="73"/>
      <c r="N289" s="46">
        <v>30.85</v>
      </c>
      <c r="O289" s="46">
        <v>0</v>
      </c>
      <c r="P289" s="46">
        <v>16381.35</v>
      </c>
      <c r="Q289" s="98"/>
      <c r="R289" s="23" t="s">
        <v>1374</v>
      </c>
      <c r="S289" s="24" t="s">
        <v>675</v>
      </c>
      <c r="T289" s="25" t="s">
        <v>50</v>
      </c>
      <c r="U289" s="26">
        <v>30.85</v>
      </c>
      <c r="V289" s="26">
        <f t="shared" si="69"/>
        <v>30.85</v>
      </c>
      <c r="W289" s="26">
        <f t="shared" si="82"/>
        <v>531</v>
      </c>
      <c r="X289" s="127">
        <f t="shared" si="78"/>
        <v>0</v>
      </c>
      <c r="Y289" s="127">
        <f t="shared" si="83"/>
        <v>30.85</v>
      </c>
      <c r="Z289" s="127">
        <f t="shared" si="79"/>
        <v>0</v>
      </c>
      <c r="AA289" s="127">
        <f t="shared" si="63"/>
        <v>16381.35</v>
      </c>
      <c r="AB289" s="33" t="s">
        <v>15</v>
      </c>
      <c r="AC289" s="324"/>
      <c r="AD289" s="181">
        <f t="shared" si="81"/>
        <v>30.85</v>
      </c>
      <c r="AE289" s="181">
        <f t="shared" si="80"/>
        <v>16381.35</v>
      </c>
      <c r="AF289" s="181">
        <v>1.7</v>
      </c>
      <c r="AG289" s="181">
        <v>1.7</v>
      </c>
      <c r="AH289" s="363" t="str">
        <f t="shared" si="61"/>
        <v/>
      </c>
      <c r="AI289" s="190">
        <v>30.85</v>
      </c>
      <c r="AJ289" s="188">
        <v>30.85</v>
      </c>
      <c r="AO289" s="367"/>
      <c r="AP289" s="367"/>
      <c r="AQ289" s="367"/>
    </row>
    <row r="290" spans="1:43" s="69" customFormat="1" ht="24.75" x14ac:dyDescent="0.3">
      <c r="A290" s="130" t="s">
        <v>677</v>
      </c>
      <c r="B290" s="131" t="s">
        <v>678</v>
      </c>
      <c r="C290" s="132" t="s">
        <v>23</v>
      </c>
      <c r="D290" s="133">
        <v>3.7</v>
      </c>
      <c r="E290" s="203"/>
      <c r="F290" s="203"/>
      <c r="G290" s="203"/>
      <c r="H290" s="302"/>
      <c r="I290" s="295"/>
      <c r="J290" s="166">
        <v>3386.57</v>
      </c>
      <c r="K290" s="75">
        <v>12530.31</v>
      </c>
      <c r="L290" s="91" t="s">
        <v>679</v>
      </c>
      <c r="M290" s="73"/>
      <c r="N290" s="46">
        <v>3.7</v>
      </c>
      <c r="O290" s="46">
        <v>0</v>
      </c>
      <c r="P290" s="46">
        <v>12530.31</v>
      </c>
      <c r="Q290" s="98"/>
      <c r="R290" s="23" t="s">
        <v>1376</v>
      </c>
      <c r="S290" s="24" t="s">
        <v>678</v>
      </c>
      <c r="T290" s="25" t="s">
        <v>23</v>
      </c>
      <c r="U290" s="26">
        <v>3.7</v>
      </c>
      <c r="V290" s="26">
        <f t="shared" si="69"/>
        <v>3.7</v>
      </c>
      <c r="W290" s="26">
        <f t="shared" si="82"/>
        <v>3386.57</v>
      </c>
      <c r="X290" s="127">
        <f t="shared" si="78"/>
        <v>0</v>
      </c>
      <c r="Y290" s="127">
        <f t="shared" si="83"/>
        <v>3.7</v>
      </c>
      <c r="Z290" s="127">
        <f t="shared" si="79"/>
        <v>0</v>
      </c>
      <c r="AA290" s="127">
        <f t="shared" si="63"/>
        <v>12530.31</v>
      </c>
      <c r="AB290" s="33" t="s">
        <v>15</v>
      </c>
      <c r="AC290" s="324"/>
      <c r="AD290" s="181">
        <f t="shared" si="81"/>
        <v>3.7</v>
      </c>
      <c r="AE290" s="181">
        <f t="shared" si="80"/>
        <v>12530.31</v>
      </c>
      <c r="AF290" s="181">
        <v>1.7</v>
      </c>
      <c r="AG290" s="181">
        <v>1.7</v>
      </c>
      <c r="AH290" s="363" t="str">
        <f t="shared" si="61"/>
        <v/>
      </c>
      <c r="AI290" s="190">
        <v>3.7</v>
      </c>
      <c r="AJ290" s="188">
        <v>3.7</v>
      </c>
      <c r="AO290" s="367"/>
      <c r="AP290" s="367"/>
      <c r="AQ290" s="367"/>
    </row>
    <row r="291" spans="1:43" s="69" customFormat="1" x14ac:dyDescent="0.3">
      <c r="A291" s="55" t="s">
        <v>680</v>
      </c>
      <c r="B291" s="53" t="s">
        <v>681</v>
      </c>
      <c r="C291" s="54" t="s">
        <v>14</v>
      </c>
      <c r="D291" s="75">
        <v>1</v>
      </c>
      <c r="E291" s="75"/>
      <c r="F291" s="75"/>
      <c r="G291" s="161"/>
      <c r="H291" s="235"/>
      <c r="I291" s="158"/>
      <c r="J291" s="166">
        <v>108000</v>
      </c>
      <c r="K291" s="75">
        <v>108000</v>
      </c>
      <c r="L291" s="91" t="s">
        <v>682</v>
      </c>
      <c r="M291" s="73"/>
      <c r="N291" s="46">
        <v>0</v>
      </c>
      <c r="O291" s="46">
        <v>0</v>
      </c>
      <c r="P291" s="46">
        <v>0</v>
      </c>
      <c r="Q291" s="98"/>
      <c r="R291" s="23" t="s">
        <v>1378</v>
      </c>
      <c r="S291" s="24" t="s">
        <v>681</v>
      </c>
      <c r="T291" s="25" t="s">
        <v>14</v>
      </c>
      <c r="U291" s="26">
        <v>1</v>
      </c>
      <c r="V291" s="26">
        <f t="shared" si="69"/>
        <v>1</v>
      </c>
      <c r="W291" s="26">
        <f t="shared" si="82"/>
        <v>108000</v>
      </c>
      <c r="X291" s="26">
        <f t="shared" si="78"/>
        <v>0</v>
      </c>
      <c r="Y291" s="26">
        <f t="shared" si="83"/>
        <v>0</v>
      </c>
      <c r="Z291" s="26">
        <f t="shared" si="79"/>
        <v>0</v>
      </c>
      <c r="AA291" s="26">
        <f t="shared" si="63"/>
        <v>0</v>
      </c>
      <c r="AB291" s="33" t="s">
        <v>15</v>
      </c>
      <c r="AC291" s="324"/>
      <c r="AD291" s="181">
        <f t="shared" si="81"/>
        <v>1</v>
      </c>
      <c r="AE291" s="181">
        <f t="shared" si="80"/>
        <v>108000</v>
      </c>
      <c r="AF291" s="181">
        <v>1.7</v>
      </c>
      <c r="AG291" s="181">
        <v>1.7</v>
      </c>
      <c r="AH291" s="363" t="str">
        <f t="shared" si="61"/>
        <v/>
      </c>
      <c r="AI291" s="190">
        <v>0</v>
      </c>
      <c r="AJ291" s="188">
        <v>1</v>
      </c>
      <c r="AO291" s="367"/>
      <c r="AP291" s="367"/>
      <c r="AQ291" s="367"/>
    </row>
    <row r="292" spans="1:43" s="69" customFormat="1" ht="39" x14ac:dyDescent="0.3">
      <c r="A292" s="55" t="s">
        <v>683</v>
      </c>
      <c r="B292" s="53" t="s">
        <v>684</v>
      </c>
      <c r="C292" s="54" t="s">
        <v>50</v>
      </c>
      <c r="D292" s="75">
        <v>1448.32</v>
      </c>
      <c r="E292" s="75"/>
      <c r="F292" s="75"/>
      <c r="G292" s="161"/>
      <c r="H292" s="235"/>
      <c r="I292" s="158"/>
      <c r="J292" s="166">
        <v>500</v>
      </c>
      <c r="K292" s="75">
        <v>724160</v>
      </c>
      <c r="L292" s="91" t="s">
        <v>685</v>
      </c>
      <c r="M292" s="73"/>
      <c r="N292" s="46">
        <v>0</v>
      </c>
      <c r="O292" s="46">
        <v>0</v>
      </c>
      <c r="P292" s="46">
        <v>0</v>
      </c>
      <c r="Q292" s="98"/>
      <c r="R292" s="23" t="s">
        <v>1438</v>
      </c>
      <c r="S292" s="24" t="s">
        <v>684</v>
      </c>
      <c r="T292" s="25" t="s">
        <v>50</v>
      </c>
      <c r="U292" s="26">
        <v>1448.32</v>
      </c>
      <c r="V292" s="26">
        <f t="shared" si="69"/>
        <v>1448.32</v>
      </c>
      <c r="W292" s="26">
        <f t="shared" si="82"/>
        <v>500</v>
      </c>
      <c r="X292" s="199">
        <f t="shared" si="78"/>
        <v>0</v>
      </c>
      <c r="Y292" s="26">
        <f t="shared" si="83"/>
        <v>0</v>
      </c>
      <c r="Z292" s="26">
        <f t="shared" si="79"/>
        <v>0</v>
      </c>
      <c r="AA292" s="26">
        <f t="shared" si="63"/>
        <v>0</v>
      </c>
      <c r="AB292" s="33" t="s">
        <v>15</v>
      </c>
      <c r="AC292" s="324"/>
      <c r="AD292" s="181">
        <f t="shared" si="81"/>
        <v>1448.32</v>
      </c>
      <c r="AE292" s="181">
        <f t="shared" si="80"/>
        <v>724160</v>
      </c>
      <c r="AF292" s="181">
        <v>1.7</v>
      </c>
      <c r="AG292" s="181">
        <v>1.7</v>
      </c>
      <c r="AH292" s="363" t="str">
        <f t="shared" si="61"/>
        <v/>
      </c>
      <c r="AI292" s="191">
        <v>0</v>
      </c>
      <c r="AJ292" s="188">
        <v>1448.32</v>
      </c>
      <c r="AO292" s="367"/>
      <c r="AP292" s="367"/>
      <c r="AQ292" s="367"/>
    </row>
    <row r="293" spans="1:43" s="69" customFormat="1" ht="66" x14ac:dyDescent="0.3">
      <c r="A293" s="130" t="s">
        <v>686</v>
      </c>
      <c r="B293" s="240" t="s">
        <v>687</v>
      </c>
      <c r="C293" s="132" t="s">
        <v>606</v>
      </c>
      <c r="D293" s="133">
        <v>42</v>
      </c>
      <c r="E293" s="75"/>
      <c r="F293" s="75"/>
      <c r="G293" s="161"/>
      <c r="H293" s="235"/>
      <c r="I293" s="158"/>
      <c r="J293" s="166">
        <v>10176.969999999999</v>
      </c>
      <c r="K293" s="75">
        <v>427432.74</v>
      </c>
      <c r="L293" s="91" t="s">
        <v>688</v>
      </c>
      <c r="M293" s="73"/>
      <c r="N293" s="46">
        <v>42</v>
      </c>
      <c r="O293" s="46">
        <v>101769.7</v>
      </c>
      <c r="P293" s="46">
        <v>427432.74</v>
      </c>
      <c r="Q293" s="98"/>
      <c r="R293" s="23" t="s">
        <v>1439</v>
      </c>
      <c r="S293" s="24" t="s">
        <v>687</v>
      </c>
      <c r="T293" s="25" t="s">
        <v>606</v>
      </c>
      <c r="U293" s="26">
        <v>42</v>
      </c>
      <c r="V293" s="26">
        <f t="shared" si="69"/>
        <v>42</v>
      </c>
      <c r="W293" s="26">
        <f t="shared" si="82"/>
        <v>10176.969999999999</v>
      </c>
      <c r="X293" s="243">
        <f t="shared" si="78"/>
        <v>0</v>
      </c>
      <c r="Y293" s="127">
        <f t="shared" si="83"/>
        <v>42</v>
      </c>
      <c r="Z293" s="127">
        <f t="shared" si="79"/>
        <v>0</v>
      </c>
      <c r="AA293" s="127">
        <f t="shared" si="63"/>
        <v>427432.74</v>
      </c>
      <c r="AB293" s="33" t="s">
        <v>15</v>
      </c>
      <c r="AC293" s="324"/>
      <c r="AD293" s="181">
        <f t="shared" si="81"/>
        <v>42</v>
      </c>
      <c r="AE293" s="181">
        <f t="shared" si="80"/>
        <v>427432.74</v>
      </c>
      <c r="AF293" s="181">
        <v>1.7</v>
      </c>
      <c r="AG293" s="181">
        <v>1.7</v>
      </c>
      <c r="AH293" s="363" t="str">
        <f t="shared" ref="AH293:AH365" si="84">IF(Y293&gt;AJ293,"超估","")</f>
        <v/>
      </c>
      <c r="AI293" s="191">
        <v>42</v>
      </c>
      <c r="AJ293" s="188">
        <v>42</v>
      </c>
      <c r="AO293" s="367"/>
      <c r="AP293" s="367"/>
      <c r="AQ293" s="367"/>
    </row>
    <row r="294" spans="1:43" s="69" customFormat="1" ht="66" x14ac:dyDescent="0.3">
      <c r="A294" s="55" t="s">
        <v>689</v>
      </c>
      <c r="B294" s="138" t="s">
        <v>690</v>
      </c>
      <c r="C294" s="54" t="s">
        <v>606</v>
      </c>
      <c r="D294" s="75">
        <v>19</v>
      </c>
      <c r="E294" s="75"/>
      <c r="F294" s="75"/>
      <c r="G294" s="161"/>
      <c r="H294" s="235"/>
      <c r="I294" s="341">
        <v>1</v>
      </c>
      <c r="J294" s="166">
        <v>13526.18</v>
      </c>
      <c r="K294" s="75">
        <v>13526.18</v>
      </c>
      <c r="L294" s="91" t="s">
        <v>691</v>
      </c>
      <c r="M294" s="73"/>
      <c r="N294" s="46">
        <v>0</v>
      </c>
      <c r="O294" s="46">
        <v>0</v>
      </c>
      <c r="P294" s="46">
        <v>0</v>
      </c>
      <c r="Q294" s="98"/>
      <c r="R294" s="23" t="s">
        <v>1440</v>
      </c>
      <c r="S294" s="24" t="s">
        <v>690</v>
      </c>
      <c r="T294" s="25" t="s">
        <v>606</v>
      </c>
      <c r="U294" s="26">
        <v>19</v>
      </c>
      <c r="V294" s="26">
        <f t="shared" si="69"/>
        <v>1</v>
      </c>
      <c r="W294" s="26">
        <f t="shared" si="82"/>
        <v>13526.18</v>
      </c>
      <c r="X294" s="26">
        <f t="shared" si="78"/>
        <v>0</v>
      </c>
      <c r="Y294" s="26">
        <f t="shared" si="83"/>
        <v>0</v>
      </c>
      <c r="Z294" s="26">
        <f t="shared" si="79"/>
        <v>0</v>
      </c>
      <c r="AA294" s="26">
        <f t="shared" ref="AA294:AA366" si="85">ROUND(W294*Y294,2)</f>
        <v>0</v>
      </c>
      <c r="AB294" s="33" t="s">
        <v>15</v>
      </c>
      <c r="AC294" s="324"/>
      <c r="AD294" s="181">
        <f t="shared" si="81"/>
        <v>1</v>
      </c>
      <c r="AE294" s="181">
        <f t="shared" si="80"/>
        <v>13526.18</v>
      </c>
      <c r="AF294" s="181">
        <v>1.7</v>
      </c>
      <c r="AG294" s="181">
        <v>1.7</v>
      </c>
      <c r="AH294" s="363" t="str">
        <f t="shared" si="84"/>
        <v/>
      </c>
      <c r="AI294" s="190">
        <v>0</v>
      </c>
      <c r="AJ294" s="190">
        <v>1</v>
      </c>
      <c r="AO294" s="367"/>
      <c r="AP294" s="367"/>
      <c r="AQ294" s="367"/>
    </row>
    <row r="295" spans="1:43" s="69" customFormat="1" ht="66" x14ac:dyDescent="0.3">
      <c r="A295" s="130" t="s">
        <v>692</v>
      </c>
      <c r="B295" s="240" t="s">
        <v>693</v>
      </c>
      <c r="C295" s="132" t="s">
        <v>606</v>
      </c>
      <c r="D295" s="75">
        <v>8</v>
      </c>
      <c r="E295" s="75"/>
      <c r="F295" s="75"/>
      <c r="G295" s="161"/>
      <c r="H295" s="235"/>
      <c r="I295" s="345">
        <v>31</v>
      </c>
      <c r="J295" s="166">
        <v>8660.64</v>
      </c>
      <c r="K295" s="75">
        <v>268479.84000000003</v>
      </c>
      <c r="L295" s="91" t="s">
        <v>694</v>
      </c>
      <c r="M295" s="73"/>
      <c r="N295" s="46">
        <v>8</v>
      </c>
      <c r="O295" s="46">
        <v>69285.119999999995</v>
      </c>
      <c r="P295" s="46">
        <v>69285.119999999995</v>
      </c>
      <c r="Q295" s="98"/>
      <c r="R295" s="23" t="s">
        <v>1441</v>
      </c>
      <c r="S295" s="24" t="s">
        <v>693</v>
      </c>
      <c r="T295" s="25" t="s">
        <v>606</v>
      </c>
      <c r="U295" s="26">
        <v>8</v>
      </c>
      <c r="V295" s="26">
        <f t="shared" si="69"/>
        <v>31</v>
      </c>
      <c r="W295" s="26">
        <f t="shared" si="82"/>
        <v>8660.64</v>
      </c>
      <c r="X295" s="243">
        <f t="shared" si="78"/>
        <v>19</v>
      </c>
      <c r="Y295" s="127">
        <f t="shared" si="83"/>
        <v>27</v>
      </c>
      <c r="Z295" s="127">
        <f t="shared" si="79"/>
        <v>164552.16</v>
      </c>
      <c r="AA295" s="127">
        <f t="shared" si="85"/>
        <v>233837.28</v>
      </c>
      <c r="AB295" s="33" t="s">
        <v>15</v>
      </c>
      <c r="AC295" s="324"/>
      <c r="AD295" s="181">
        <f t="shared" si="81"/>
        <v>31</v>
      </c>
      <c r="AE295" s="181">
        <f t="shared" si="80"/>
        <v>268479.84000000003</v>
      </c>
      <c r="AF295" s="181">
        <v>1.7</v>
      </c>
      <c r="AG295" s="181">
        <v>1.7</v>
      </c>
      <c r="AH295" s="363" t="str">
        <f t="shared" si="84"/>
        <v/>
      </c>
      <c r="AI295" s="191">
        <v>27</v>
      </c>
      <c r="AJ295" s="190">
        <v>31</v>
      </c>
      <c r="AO295" s="367"/>
      <c r="AP295" s="367"/>
      <c r="AQ295" s="367"/>
    </row>
    <row r="296" spans="1:43" s="69" customFormat="1" ht="66" x14ac:dyDescent="0.3">
      <c r="A296" s="130" t="s">
        <v>695</v>
      </c>
      <c r="B296" s="240" t="s">
        <v>696</v>
      </c>
      <c r="C296" s="132" t="s">
        <v>606</v>
      </c>
      <c r="D296" s="75">
        <v>8</v>
      </c>
      <c r="E296" s="75"/>
      <c r="F296" s="75"/>
      <c r="G296" s="161"/>
      <c r="H296" s="235"/>
      <c r="I296" s="345">
        <v>16</v>
      </c>
      <c r="J296" s="166">
        <v>17930.64</v>
      </c>
      <c r="K296" s="75">
        <v>286890.23999999999</v>
      </c>
      <c r="L296" s="91" t="s">
        <v>697</v>
      </c>
      <c r="M296" s="73"/>
      <c r="N296" s="46">
        <v>0</v>
      </c>
      <c r="O296" s="46">
        <v>0</v>
      </c>
      <c r="P296" s="46">
        <v>0</v>
      </c>
      <c r="Q296" s="98"/>
      <c r="R296" s="23" t="s">
        <v>1442</v>
      </c>
      <c r="S296" s="24" t="s">
        <v>696</v>
      </c>
      <c r="T296" s="25" t="s">
        <v>606</v>
      </c>
      <c r="U296" s="26">
        <v>8</v>
      </c>
      <c r="V296" s="26">
        <f t="shared" si="69"/>
        <v>16</v>
      </c>
      <c r="W296" s="26">
        <f t="shared" si="82"/>
        <v>17930.64</v>
      </c>
      <c r="X296" s="243">
        <f t="shared" si="78"/>
        <v>0</v>
      </c>
      <c r="Y296" s="127">
        <f t="shared" si="83"/>
        <v>0</v>
      </c>
      <c r="Z296" s="127">
        <f t="shared" si="79"/>
        <v>0</v>
      </c>
      <c r="AA296" s="127">
        <f t="shared" si="85"/>
        <v>0</v>
      </c>
      <c r="AB296" s="33" t="s">
        <v>15</v>
      </c>
      <c r="AC296" s="324"/>
      <c r="AD296" s="181">
        <f t="shared" si="81"/>
        <v>16</v>
      </c>
      <c r="AE296" s="181">
        <f t="shared" si="80"/>
        <v>286890.23999999999</v>
      </c>
      <c r="AF296" s="181">
        <v>1.7</v>
      </c>
      <c r="AG296" s="181">
        <v>1.7</v>
      </c>
      <c r="AH296" s="363" t="str">
        <f t="shared" si="84"/>
        <v/>
      </c>
      <c r="AI296" s="191">
        <v>0</v>
      </c>
      <c r="AJ296" s="190">
        <v>16</v>
      </c>
      <c r="AO296" s="367"/>
      <c r="AP296" s="367"/>
      <c r="AQ296" s="367"/>
    </row>
    <row r="297" spans="1:43" s="69" customFormat="1" ht="66" x14ac:dyDescent="0.3">
      <c r="A297" s="55" t="s">
        <v>698</v>
      </c>
      <c r="B297" s="138" t="s">
        <v>699</v>
      </c>
      <c r="C297" s="54" t="s">
        <v>606</v>
      </c>
      <c r="D297" s="75">
        <v>14</v>
      </c>
      <c r="E297" s="75"/>
      <c r="F297" s="75"/>
      <c r="G297" s="161"/>
      <c r="H297" s="235"/>
      <c r="I297" s="341">
        <v>1</v>
      </c>
      <c r="J297" s="166">
        <v>5272.95</v>
      </c>
      <c r="K297" s="75">
        <v>5272.95</v>
      </c>
      <c r="L297" s="91" t="s">
        <v>700</v>
      </c>
      <c r="M297" s="73"/>
      <c r="N297" s="46">
        <v>0</v>
      </c>
      <c r="O297" s="46">
        <v>0</v>
      </c>
      <c r="P297" s="46">
        <v>0</v>
      </c>
      <c r="Q297" s="98"/>
      <c r="R297" s="23" t="s">
        <v>1443</v>
      </c>
      <c r="S297" s="24" t="s">
        <v>699</v>
      </c>
      <c r="T297" s="25" t="s">
        <v>606</v>
      </c>
      <c r="U297" s="26">
        <v>14</v>
      </c>
      <c r="V297" s="26">
        <f t="shared" si="69"/>
        <v>1</v>
      </c>
      <c r="W297" s="26">
        <f t="shared" si="82"/>
        <v>5272.95</v>
      </c>
      <c r="X297" s="26">
        <f t="shared" si="78"/>
        <v>0</v>
      </c>
      <c r="Y297" s="26">
        <f t="shared" si="83"/>
        <v>0</v>
      </c>
      <c r="Z297" s="26">
        <f t="shared" si="79"/>
        <v>0</v>
      </c>
      <c r="AA297" s="26">
        <f t="shared" si="85"/>
        <v>0</v>
      </c>
      <c r="AB297" s="33" t="s">
        <v>15</v>
      </c>
      <c r="AC297" s="324"/>
      <c r="AD297" s="181">
        <f t="shared" si="81"/>
        <v>1</v>
      </c>
      <c r="AE297" s="181">
        <f t="shared" si="80"/>
        <v>5272.95</v>
      </c>
      <c r="AF297" s="181">
        <v>1.7</v>
      </c>
      <c r="AG297" s="181">
        <v>1.7</v>
      </c>
      <c r="AH297" s="363" t="str">
        <f t="shared" si="84"/>
        <v/>
      </c>
      <c r="AI297" s="190">
        <v>0</v>
      </c>
      <c r="AJ297" s="190">
        <v>1</v>
      </c>
      <c r="AO297" s="367"/>
      <c r="AP297" s="367"/>
      <c r="AQ297" s="367"/>
    </row>
    <row r="298" spans="1:43" s="69" customFormat="1" ht="66" x14ac:dyDescent="0.3">
      <c r="A298" s="55" t="s">
        <v>701</v>
      </c>
      <c r="B298" s="138" t="s">
        <v>702</v>
      </c>
      <c r="C298" s="54" t="s">
        <v>606</v>
      </c>
      <c r="D298" s="75">
        <v>15</v>
      </c>
      <c r="E298" s="75"/>
      <c r="F298" s="75"/>
      <c r="G298" s="161"/>
      <c r="H298" s="235"/>
      <c r="I298" s="341">
        <v>1</v>
      </c>
      <c r="J298" s="166">
        <v>5272.95</v>
      </c>
      <c r="K298" s="75">
        <v>5272.95</v>
      </c>
      <c r="L298" s="91" t="s">
        <v>703</v>
      </c>
      <c r="M298" s="73"/>
      <c r="N298" s="46">
        <v>0</v>
      </c>
      <c r="O298" s="46">
        <v>0</v>
      </c>
      <c r="P298" s="46">
        <v>0</v>
      </c>
      <c r="Q298" s="98"/>
      <c r="R298" s="23" t="s">
        <v>1444</v>
      </c>
      <c r="S298" s="24" t="s">
        <v>702</v>
      </c>
      <c r="T298" s="25" t="s">
        <v>606</v>
      </c>
      <c r="U298" s="26">
        <v>15</v>
      </c>
      <c r="V298" s="26">
        <f t="shared" si="69"/>
        <v>1</v>
      </c>
      <c r="W298" s="26">
        <f t="shared" si="82"/>
        <v>5272.95</v>
      </c>
      <c r="X298" s="26">
        <f t="shared" si="78"/>
        <v>0</v>
      </c>
      <c r="Y298" s="26">
        <f t="shared" si="83"/>
        <v>0</v>
      </c>
      <c r="Z298" s="26">
        <f t="shared" si="79"/>
        <v>0</v>
      </c>
      <c r="AA298" s="26">
        <f t="shared" si="85"/>
        <v>0</v>
      </c>
      <c r="AB298" s="33" t="s">
        <v>15</v>
      </c>
      <c r="AC298" s="324"/>
      <c r="AD298" s="181">
        <f t="shared" si="81"/>
        <v>1</v>
      </c>
      <c r="AE298" s="181">
        <f t="shared" si="80"/>
        <v>5272.95</v>
      </c>
      <c r="AF298" s="181">
        <v>1.7</v>
      </c>
      <c r="AG298" s="181">
        <v>1.7</v>
      </c>
      <c r="AH298" s="363" t="str">
        <f t="shared" si="84"/>
        <v/>
      </c>
      <c r="AI298" s="190">
        <v>0</v>
      </c>
      <c r="AJ298" s="190">
        <v>1</v>
      </c>
      <c r="AO298" s="367"/>
      <c r="AP298" s="367"/>
      <c r="AQ298" s="367"/>
    </row>
    <row r="299" spans="1:43" s="69" customFormat="1" ht="66" x14ac:dyDescent="0.3">
      <c r="A299" s="130" t="s">
        <v>704</v>
      </c>
      <c r="B299" s="240" t="s">
        <v>705</v>
      </c>
      <c r="C299" s="132" t="s">
        <v>606</v>
      </c>
      <c r="D299" s="75">
        <v>1</v>
      </c>
      <c r="E299" s="75"/>
      <c r="F299" s="75"/>
      <c r="G299" s="161"/>
      <c r="H299" s="235"/>
      <c r="I299" s="345">
        <v>26</v>
      </c>
      <c r="J299" s="166">
        <v>7859.47</v>
      </c>
      <c r="K299" s="75">
        <v>204346.22</v>
      </c>
      <c r="L299" s="91" t="s">
        <v>706</v>
      </c>
      <c r="M299" s="73"/>
      <c r="N299" s="46">
        <v>0</v>
      </c>
      <c r="O299" s="46">
        <v>0</v>
      </c>
      <c r="P299" s="46">
        <v>0</v>
      </c>
      <c r="Q299" s="98"/>
      <c r="R299" s="23" t="s">
        <v>1408</v>
      </c>
      <c r="S299" s="24" t="s">
        <v>705</v>
      </c>
      <c r="T299" s="25" t="s">
        <v>606</v>
      </c>
      <c r="U299" s="26">
        <v>1</v>
      </c>
      <c r="V299" s="26">
        <f t="shared" si="69"/>
        <v>26</v>
      </c>
      <c r="W299" s="26">
        <f t="shared" si="82"/>
        <v>7859.47</v>
      </c>
      <c r="X299" s="243">
        <f t="shared" si="78"/>
        <v>20</v>
      </c>
      <c r="Y299" s="127">
        <f t="shared" si="83"/>
        <v>20</v>
      </c>
      <c r="Z299" s="127">
        <f t="shared" si="79"/>
        <v>157189.4</v>
      </c>
      <c r="AA299" s="127">
        <f t="shared" si="85"/>
        <v>157189.4</v>
      </c>
      <c r="AB299" s="33" t="s">
        <v>15</v>
      </c>
      <c r="AC299" s="324"/>
      <c r="AD299" s="181">
        <f t="shared" si="81"/>
        <v>26</v>
      </c>
      <c r="AE299" s="181">
        <f t="shared" si="80"/>
        <v>204346.22</v>
      </c>
      <c r="AF299" s="181">
        <v>1.7</v>
      </c>
      <c r="AG299" s="181">
        <v>1.7</v>
      </c>
      <c r="AH299" s="363" t="str">
        <f t="shared" si="84"/>
        <v/>
      </c>
      <c r="AI299" s="191">
        <v>20</v>
      </c>
      <c r="AJ299" s="190">
        <v>26</v>
      </c>
      <c r="AO299" s="367"/>
      <c r="AP299" s="367"/>
      <c r="AQ299" s="367"/>
    </row>
    <row r="300" spans="1:43" s="69" customFormat="1" ht="66" x14ac:dyDescent="0.3">
      <c r="A300" s="130" t="s">
        <v>707</v>
      </c>
      <c r="B300" s="240" t="s">
        <v>708</v>
      </c>
      <c r="C300" s="132" t="s">
        <v>606</v>
      </c>
      <c r="D300" s="75">
        <v>1</v>
      </c>
      <c r="E300" s="75"/>
      <c r="F300" s="75"/>
      <c r="G300" s="161"/>
      <c r="H300" s="235"/>
      <c r="I300" s="158"/>
      <c r="J300" s="166">
        <v>5839.45</v>
      </c>
      <c r="K300" s="75">
        <v>5839.45</v>
      </c>
      <c r="L300" s="91" t="s">
        <v>709</v>
      </c>
      <c r="M300" s="73"/>
      <c r="N300" s="46">
        <v>0</v>
      </c>
      <c r="O300" s="46">
        <v>0</v>
      </c>
      <c r="P300" s="46">
        <v>0</v>
      </c>
      <c r="Q300" s="98"/>
      <c r="R300" s="23" t="s">
        <v>1409</v>
      </c>
      <c r="S300" s="24" t="s">
        <v>708</v>
      </c>
      <c r="T300" s="25" t="s">
        <v>606</v>
      </c>
      <c r="U300" s="26">
        <v>1</v>
      </c>
      <c r="V300" s="26">
        <f t="shared" si="69"/>
        <v>1</v>
      </c>
      <c r="W300" s="26">
        <f t="shared" si="82"/>
        <v>5839.45</v>
      </c>
      <c r="X300" s="127">
        <f t="shared" si="78"/>
        <v>0</v>
      </c>
      <c r="Y300" s="127">
        <f t="shared" si="83"/>
        <v>0</v>
      </c>
      <c r="Z300" s="127">
        <f t="shared" si="79"/>
        <v>0</v>
      </c>
      <c r="AA300" s="127">
        <f t="shared" si="85"/>
        <v>0</v>
      </c>
      <c r="AB300" s="33" t="s">
        <v>15</v>
      </c>
      <c r="AC300" s="324"/>
      <c r="AD300" s="181">
        <f t="shared" si="81"/>
        <v>1</v>
      </c>
      <c r="AE300" s="181">
        <f t="shared" si="80"/>
        <v>5839.45</v>
      </c>
      <c r="AF300" s="181">
        <v>1.7</v>
      </c>
      <c r="AG300" s="181">
        <v>1.7</v>
      </c>
      <c r="AH300" s="363" t="str">
        <f t="shared" si="84"/>
        <v/>
      </c>
      <c r="AI300" s="190">
        <v>0</v>
      </c>
      <c r="AJ300" s="188">
        <v>1</v>
      </c>
      <c r="AO300" s="367"/>
      <c r="AP300" s="367"/>
      <c r="AQ300" s="367"/>
    </row>
    <row r="301" spans="1:43" s="69" customFormat="1" ht="66" x14ac:dyDescent="0.3">
      <c r="A301" s="55" t="s">
        <v>710</v>
      </c>
      <c r="B301" s="138" t="s">
        <v>711</v>
      </c>
      <c r="C301" s="54" t="s">
        <v>606</v>
      </c>
      <c r="D301" s="75">
        <v>1</v>
      </c>
      <c r="E301" s="75"/>
      <c r="F301" s="75"/>
      <c r="G301" s="161"/>
      <c r="H301" s="235"/>
      <c r="I301" s="158"/>
      <c r="J301" s="166">
        <v>7189.97</v>
      </c>
      <c r="K301" s="75">
        <v>7189.97</v>
      </c>
      <c r="L301" s="91" t="s">
        <v>712</v>
      </c>
      <c r="M301" s="73"/>
      <c r="N301" s="46">
        <v>0</v>
      </c>
      <c r="O301" s="46">
        <v>0</v>
      </c>
      <c r="P301" s="46">
        <v>0</v>
      </c>
      <c r="Q301" s="98"/>
      <c r="R301" s="23" t="s">
        <v>1410</v>
      </c>
      <c r="S301" s="24" t="s">
        <v>711</v>
      </c>
      <c r="T301" s="25" t="s">
        <v>606</v>
      </c>
      <c r="U301" s="26">
        <v>1</v>
      </c>
      <c r="V301" s="26">
        <f t="shared" si="69"/>
        <v>1</v>
      </c>
      <c r="W301" s="26">
        <f t="shared" si="82"/>
        <v>7189.97</v>
      </c>
      <c r="X301" s="26">
        <f t="shared" si="78"/>
        <v>0</v>
      </c>
      <c r="Y301" s="26">
        <f t="shared" si="83"/>
        <v>0</v>
      </c>
      <c r="Z301" s="26">
        <f t="shared" si="79"/>
        <v>0</v>
      </c>
      <c r="AA301" s="26">
        <f t="shared" si="85"/>
        <v>0</v>
      </c>
      <c r="AB301" s="33" t="s">
        <v>15</v>
      </c>
      <c r="AC301" s="324"/>
      <c r="AD301" s="181">
        <f t="shared" si="81"/>
        <v>1</v>
      </c>
      <c r="AE301" s="181">
        <f t="shared" si="80"/>
        <v>7189.97</v>
      </c>
      <c r="AF301" s="181">
        <v>1.7</v>
      </c>
      <c r="AG301" s="181">
        <v>1.7</v>
      </c>
      <c r="AH301" s="363" t="str">
        <f t="shared" si="84"/>
        <v/>
      </c>
      <c r="AI301" s="190">
        <v>0</v>
      </c>
      <c r="AJ301" s="188">
        <v>1</v>
      </c>
      <c r="AO301" s="367"/>
      <c r="AP301" s="367"/>
      <c r="AQ301" s="367"/>
    </row>
    <row r="302" spans="1:43" s="69" customFormat="1" ht="66" x14ac:dyDescent="0.3">
      <c r="A302" s="55" t="s">
        <v>713</v>
      </c>
      <c r="B302" s="138" t="s">
        <v>714</v>
      </c>
      <c r="C302" s="54" t="s">
        <v>606</v>
      </c>
      <c r="D302" s="75">
        <v>4</v>
      </c>
      <c r="E302" s="75"/>
      <c r="F302" s="75"/>
      <c r="G302" s="161"/>
      <c r="H302" s="235"/>
      <c r="I302" s="341">
        <v>1</v>
      </c>
      <c r="J302" s="166">
        <v>4860.95</v>
      </c>
      <c r="K302" s="75">
        <v>4860.95</v>
      </c>
      <c r="L302" s="91" t="s">
        <v>715</v>
      </c>
      <c r="M302" s="73"/>
      <c r="N302" s="46">
        <v>0</v>
      </c>
      <c r="O302" s="46">
        <v>0</v>
      </c>
      <c r="P302" s="46">
        <v>0</v>
      </c>
      <c r="Q302" s="98"/>
      <c r="R302" s="23" t="s">
        <v>1411</v>
      </c>
      <c r="S302" s="24" t="s">
        <v>714</v>
      </c>
      <c r="T302" s="25" t="s">
        <v>606</v>
      </c>
      <c r="U302" s="26">
        <v>4</v>
      </c>
      <c r="V302" s="26">
        <f t="shared" si="69"/>
        <v>1</v>
      </c>
      <c r="W302" s="26">
        <f t="shared" si="82"/>
        <v>4860.95</v>
      </c>
      <c r="X302" s="26">
        <f t="shared" si="78"/>
        <v>0</v>
      </c>
      <c r="Y302" s="26">
        <f t="shared" si="83"/>
        <v>0</v>
      </c>
      <c r="Z302" s="26">
        <f t="shared" si="79"/>
        <v>0</v>
      </c>
      <c r="AA302" s="26">
        <f t="shared" si="85"/>
        <v>0</v>
      </c>
      <c r="AB302" s="33" t="s">
        <v>15</v>
      </c>
      <c r="AC302" s="324"/>
      <c r="AD302" s="181">
        <f t="shared" si="81"/>
        <v>1</v>
      </c>
      <c r="AE302" s="181">
        <f t="shared" si="80"/>
        <v>4860.95</v>
      </c>
      <c r="AF302" s="181">
        <v>1.7</v>
      </c>
      <c r="AG302" s="181">
        <v>1.7</v>
      </c>
      <c r="AH302" s="363" t="str">
        <f t="shared" si="84"/>
        <v/>
      </c>
      <c r="AI302" s="190">
        <v>0</v>
      </c>
      <c r="AJ302" s="190">
        <v>1</v>
      </c>
      <c r="AO302" s="367"/>
      <c r="AP302" s="367"/>
      <c r="AQ302" s="367"/>
    </row>
    <row r="303" spans="1:43" s="69" customFormat="1" ht="66" x14ac:dyDescent="0.3">
      <c r="A303" s="130" t="s">
        <v>716</v>
      </c>
      <c r="B303" s="240" t="s">
        <v>717</v>
      </c>
      <c r="C303" s="132" t="s">
        <v>606</v>
      </c>
      <c r="D303" s="75">
        <v>1</v>
      </c>
      <c r="E303" s="75"/>
      <c r="F303" s="75"/>
      <c r="G303" s="161"/>
      <c r="H303" s="235"/>
      <c r="I303" s="345">
        <v>19</v>
      </c>
      <c r="J303" s="166">
        <v>14800.45</v>
      </c>
      <c r="K303" s="75">
        <v>281208.55</v>
      </c>
      <c r="L303" s="91" t="s">
        <v>718</v>
      </c>
      <c r="M303" s="73"/>
      <c r="N303" s="46">
        <v>0</v>
      </c>
      <c r="O303" s="46">
        <v>0</v>
      </c>
      <c r="P303" s="46">
        <v>0</v>
      </c>
      <c r="Q303" s="98"/>
      <c r="R303" s="23" t="s">
        <v>1445</v>
      </c>
      <c r="S303" s="24" t="s">
        <v>717</v>
      </c>
      <c r="T303" s="25" t="s">
        <v>606</v>
      </c>
      <c r="U303" s="26">
        <v>1</v>
      </c>
      <c r="V303" s="26">
        <f t="shared" si="69"/>
        <v>19</v>
      </c>
      <c r="W303" s="26">
        <f t="shared" si="82"/>
        <v>14800.45</v>
      </c>
      <c r="X303" s="243">
        <f t="shared" si="78"/>
        <v>19</v>
      </c>
      <c r="Y303" s="127">
        <f t="shared" si="83"/>
        <v>19</v>
      </c>
      <c r="Z303" s="127">
        <f t="shared" si="79"/>
        <v>281208.55</v>
      </c>
      <c r="AA303" s="127">
        <f t="shared" si="85"/>
        <v>281208.55</v>
      </c>
      <c r="AB303" s="33" t="s">
        <v>15</v>
      </c>
      <c r="AC303" s="324"/>
      <c r="AD303" s="181">
        <f t="shared" si="81"/>
        <v>19</v>
      </c>
      <c r="AE303" s="181">
        <f t="shared" si="80"/>
        <v>281208.55</v>
      </c>
      <c r="AF303" s="181">
        <v>1.7</v>
      </c>
      <c r="AG303" s="181">
        <v>1.7</v>
      </c>
      <c r="AH303" s="363" t="str">
        <f t="shared" si="84"/>
        <v/>
      </c>
      <c r="AI303" s="191">
        <v>19</v>
      </c>
      <c r="AJ303" s="190">
        <v>19</v>
      </c>
      <c r="AO303" s="367"/>
      <c r="AP303" s="367"/>
      <c r="AQ303" s="367"/>
    </row>
    <row r="304" spans="1:43" s="69" customFormat="1" ht="66" x14ac:dyDescent="0.3">
      <c r="A304" s="130" t="s">
        <v>719</v>
      </c>
      <c r="B304" s="240" t="s">
        <v>720</v>
      </c>
      <c r="C304" s="132" t="s">
        <v>606</v>
      </c>
      <c r="D304" s="75">
        <v>1</v>
      </c>
      <c r="E304" s="75"/>
      <c r="F304" s="75"/>
      <c r="G304" s="161"/>
      <c r="H304" s="235"/>
      <c r="I304" s="158"/>
      <c r="J304" s="166">
        <v>6661.47</v>
      </c>
      <c r="K304" s="75">
        <v>6661.47</v>
      </c>
      <c r="L304" s="91" t="s">
        <v>721</v>
      </c>
      <c r="M304" s="73"/>
      <c r="N304" s="46">
        <v>0</v>
      </c>
      <c r="O304" s="46">
        <v>0</v>
      </c>
      <c r="P304" s="46">
        <v>0</v>
      </c>
      <c r="Q304" s="98"/>
      <c r="R304" s="23" t="s">
        <v>1383</v>
      </c>
      <c r="S304" s="24" t="s">
        <v>720</v>
      </c>
      <c r="T304" s="25" t="s">
        <v>606</v>
      </c>
      <c r="U304" s="26">
        <v>1</v>
      </c>
      <c r="V304" s="26">
        <f t="shared" si="69"/>
        <v>1</v>
      </c>
      <c r="W304" s="26">
        <f t="shared" si="82"/>
        <v>6661.47</v>
      </c>
      <c r="X304" s="127">
        <f t="shared" si="78"/>
        <v>0</v>
      </c>
      <c r="Y304" s="127">
        <f t="shared" si="83"/>
        <v>0</v>
      </c>
      <c r="Z304" s="127">
        <f t="shared" si="79"/>
        <v>0</v>
      </c>
      <c r="AA304" s="127">
        <f t="shared" si="85"/>
        <v>0</v>
      </c>
      <c r="AB304" s="33" t="s">
        <v>15</v>
      </c>
      <c r="AC304" s="324"/>
      <c r="AD304" s="181">
        <f t="shared" si="81"/>
        <v>1</v>
      </c>
      <c r="AE304" s="181">
        <f t="shared" si="80"/>
        <v>6661.47</v>
      </c>
      <c r="AF304" s="181">
        <v>1.7</v>
      </c>
      <c r="AG304" s="181">
        <v>1.7</v>
      </c>
      <c r="AH304" s="363" t="str">
        <f t="shared" si="84"/>
        <v/>
      </c>
      <c r="AI304" s="190">
        <v>0</v>
      </c>
      <c r="AJ304" s="188">
        <v>1</v>
      </c>
      <c r="AO304" s="367"/>
      <c r="AP304" s="367"/>
      <c r="AQ304" s="367"/>
    </row>
    <row r="305" spans="1:43" s="69" customFormat="1" ht="66" x14ac:dyDescent="0.3">
      <c r="A305" s="130" t="s">
        <v>722</v>
      </c>
      <c r="B305" s="240" t="s">
        <v>723</v>
      </c>
      <c r="C305" s="132" t="s">
        <v>606</v>
      </c>
      <c r="D305" s="75">
        <v>1</v>
      </c>
      <c r="E305" s="75"/>
      <c r="F305" s="75"/>
      <c r="G305" s="161"/>
      <c r="H305" s="235"/>
      <c r="I305" s="158"/>
      <c r="J305" s="166">
        <v>15584.47</v>
      </c>
      <c r="K305" s="75">
        <v>15584.47</v>
      </c>
      <c r="L305" s="91" t="s">
        <v>724</v>
      </c>
      <c r="M305" s="73"/>
      <c r="N305" s="46">
        <v>0</v>
      </c>
      <c r="O305" s="46">
        <v>0</v>
      </c>
      <c r="P305" s="46">
        <v>0</v>
      </c>
      <c r="Q305" s="98"/>
      <c r="R305" s="23" t="s">
        <v>1384</v>
      </c>
      <c r="S305" s="24" t="s">
        <v>723</v>
      </c>
      <c r="T305" s="25" t="s">
        <v>606</v>
      </c>
      <c r="U305" s="26">
        <v>1</v>
      </c>
      <c r="V305" s="26">
        <f t="shared" si="69"/>
        <v>1</v>
      </c>
      <c r="W305" s="26">
        <f t="shared" si="82"/>
        <v>15584.47</v>
      </c>
      <c r="X305" s="127">
        <f t="shared" si="78"/>
        <v>0</v>
      </c>
      <c r="Y305" s="127">
        <f t="shared" si="83"/>
        <v>0</v>
      </c>
      <c r="Z305" s="127">
        <f t="shared" si="79"/>
        <v>0</v>
      </c>
      <c r="AA305" s="127">
        <f t="shared" si="85"/>
        <v>0</v>
      </c>
      <c r="AB305" s="33" t="s">
        <v>15</v>
      </c>
      <c r="AC305" s="324"/>
      <c r="AD305" s="181">
        <f t="shared" si="81"/>
        <v>1</v>
      </c>
      <c r="AE305" s="181">
        <f t="shared" si="80"/>
        <v>15584.47</v>
      </c>
      <c r="AF305" s="181">
        <v>1.7</v>
      </c>
      <c r="AG305" s="181">
        <v>1.7</v>
      </c>
      <c r="AH305" s="363" t="str">
        <f t="shared" si="84"/>
        <v/>
      </c>
      <c r="AI305" s="190">
        <v>0</v>
      </c>
      <c r="AJ305" s="188">
        <v>1</v>
      </c>
      <c r="AO305" s="367"/>
      <c r="AP305" s="367"/>
      <c r="AQ305" s="367"/>
    </row>
    <row r="306" spans="1:43" s="69" customFormat="1" ht="66" x14ac:dyDescent="0.3">
      <c r="A306" s="55" t="s">
        <v>725</v>
      </c>
      <c r="B306" s="138" t="s">
        <v>726</v>
      </c>
      <c r="C306" s="54" t="s">
        <v>606</v>
      </c>
      <c r="D306" s="75">
        <v>4</v>
      </c>
      <c r="E306" s="75"/>
      <c r="F306" s="75"/>
      <c r="G306" s="161"/>
      <c r="H306" s="235"/>
      <c r="I306" s="158"/>
      <c r="J306" s="166">
        <v>3949.4</v>
      </c>
      <c r="K306" s="75">
        <v>15797.6</v>
      </c>
      <c r="L306" s="91" t="s">
        <v>727</v>
      </c>
      <c r="M306" s="73"/>
      <c r="N306" s="46">
        <v>0</v>
      </c>
      <c r="O306" s="46">
        <v>0</v>
      </c>
      <c r="P306" s="46">
        <v>0</v>
      </c>
      <c r="Q306" s="98"/>
      <c r="R306" s="23" t="s">
        <v>1385</v>
      </c>
      <c r="S306" s="24" t="s">
        <v>726</v>
      </c>
      <c r="T306" s="25" t="s">
        <v>606</v>
      </c>
      <c r="U306" s="26">
        <v>4</v>
      </c>
      <c r="V306" s="26">
        <f t="shared" si="69"/>
        <v>4</v>
      </c>
      <c r="W306" s="26">
        <f t="shared" si="82"/>
        <v>3949.4</v>
      </c>
      <c r="X306" s="26">
        <f t="shared" si="78"/>
        <v>0</v>
      </c>
      <c r="Y306" s="26">
        <f t="shared" si="83"/>
        <v>0</v>
      </c>
      <c r="Z306" s="26">
        <f t="shared" si="79"/>
        <v>0</v>
      </c>
      <c r="AA306" s="26">
        <f t="shared" si="85"/>
        <v>0</v>
      </c>
      <c r="AB306" s="33" t="s">
        <v>15</v>
      </c>
      <c r="AC306" s="324"/>
      <c r="AD306" s="181">
        <f t="shared" si="81"/>
        <v>4</v>
      </c>
      <c r="AE306" s="181">
        <f t="shared" si="80"/>
        <v>15797.6</v>
      </c>
      <c r="AF306" s="181">
        <v>1.7</v>
      </c>
      <c r="AG306" s="181">
        <v>1.7</v>
      </c>
      <c r="AH306" s="363" t="str">
        <f t="shared" si="84"/>
        <v/>
      </c>
      <c r="AI306" s="190">
        <v>0</v>
      </c>
      <c r="AJ306" s="188">
        <v>4</v>
      </c>
      <c r="AO306" s="367"/>
      <c r="AP306" s="367"/>
      <c r="AQ306" s="367"/>
    </row>
    <row r="307" spans="1:43" s="69" customFormat="1" ht="49.5" x14ac:dyDescent="0.3">
      <c r="A307" s="55" t="s">
        <v>728</v>
      </c>
      <c r="B307" s="138" t="s">
        <v>729</v>
      </c>
      <c r="C307" s="54" t="s">
        <v>606</v>
      </c>
      <c r="D307" s="75">
        <v>1</v>
      </c>
      <c r="E307" s="75"/>
      <c r="F307" s="75"/>
      <c r="G307" s="161"/>
      <c r="H307" s="235"/>
      <c r="I307" s="341">
        <v>722</v>
      </c>
      <c r="J307" s="166">
        <v>227.07</v>
      </c>
      <c r="K307" s="75">
        <v>163944.54</v>
      </c>
      <c r="L307" s="91" t="s">
        <v>730</v>
      </c>
      <c r="M307" s="73"/>
      <c r="N307" s="46">
        <v>0</v>
      </c>
      <c r="O307" s="46">
        <v>0</v>
      </c>
      <c r="P307" s="46">
        <v>0</v>
      </c>
      <c r="Q307" s="98"/>
      <c r="R307" s="23" t="s">
        <v>1446</v>
      </c>
      <c r="S307" s="24" t="s">
        <v>729</v>
      </c>
      <c r="T307" s="25" t="s">
        <v>606</v>
      </c>
      <c r="U307" s="26">
        <v>1</v>
      </c>
      <c r="V307" s="26">
        <f t="shared" ref="V307:V361" si="86">IF(I307&gt;0,I307,IF(H307&gt;0,H307,IF(G307&gt;0,G307,IF(F307&gt;0,F307,IF(E307&gt;0,E307,D307)))))</f>
        <v>722</v>
      </c>
      <c r="W307" s="26">
        <f t="shared" si="82"/>
        <v>227.07</v>
      </c>
      <c r="X307" s="199">
        <f t="shared" si="78"/>
        <v>0</v>
      </c>
      <c r="Y307" s="26">
        <f t="shared" si="83"/>
        <v>0</v>
      </c>
      <c r="Z307" s="26">
        <f t="shared" si="79"/>
        <v>0</v>
      </c>
      <c r="AA307" s="26">
        <f t="shared" si="85"/>
        <v>0</v>
      </c>
      <c r="AB307" s="33" t="s">
        <v>15</v>
      </c>
      <c r="AC307" s="324"/>
      <c r="AD307" s="181">
        <f t="shared" si="81"/>
        <v>722</v>
      </c>
      <c r="AE307" s="181">
        <f t="shared" si="80"/>
        <v>163944.54</v>
      </c>
      <c r="AF307" s="181">
        <v>1.7</v>
      </c>
      <c r="AG307" s="181">
        <v>1.7</v>
      </c>
      <c r="AH307" s="363" t="str">
        <f t="shared" si="84"/>
        <v/>
      </c>
      <c r="AI307" s="191">
        <v>0</v>
      </c>
      <c r="AJ307" s="190">
        <v>722</v>
      </c>
      <c r="AO307" s="367"/>
      <c r="AP307" s="367"/>
      <c r="AQ307" s="367"/>
    </row>
    <row r="308" spans="1:43" s="69" customFormat="1" ht="49.5" x14ac:dyDescent="0.3">
      <c r="A308" s="130" t="s">
        <v>731</v>
      </c>
      <c r="B308" s="240" t="s">
        <v>732</v>
      </c>
      <c r="C308" s="132" t="s">
        <v>606</v>
      </c>
      <c r="D308" s="75">
        <v>1</v>
      </c>
      <c r="E308" s="75"/>
      <c r="F308" s="75"/>
      <c r="G308" s="161"/>
      <c r="H308" s="235"/>
      <c r="I308" s="341"/>
      <c r="J308" s="166">
        <v>277.02999999999997</v>
      </c>
      <c r="K308" s="75">
        <v>277.02999999999997</v>
      </c>
      <c r="L308" s="91" t="s">
        <v>733</v>
      </c>
      <c r="M308" s="73"/>
      <c r="N308" s="46">
        <v>0</v>
      </c>
      <c r="O308" s="46">
        <v>0</v>
      </c>
      <c r="P308" s="46">
        <v>0</v>
      </c>
      <c r="Q308" s="98"/>
      <c r="R308" s="23" t="s">
        <v>1447</v>
      </c>
      <c r="S308" s="24" t="s">
        <v>732</v>
      </c>
      <c r="T308" s="25" t="s">
        <v>606</v>
      </c>
      <c r="U308" s="26">
        <v>1</v>
      </c>
      <c r="V308" s="26">
        <f t="shared" si="86"/>
        <v>1</v>
      </c>
      <c r="W308" s="26">
        <f t="shared" si="82"/>
        <v>277.02999999999997</v>
      </c>
      <c r="X308" s="127">
        <f t="shared" si="78"/>
        <v>0</v>
      </c>
      <c r="Y308" s="127">
        <f t="shared" si="83"/>
        <v>0</v>
      </c>
      <c r="Z308" s="127">
        <f t="shared" si="79"/>
        <v>0</v>
      </c>
      <c r="AA308" s="127">
        <f t="shared" si="85"/>
        <v>0</v>
      </c>
      <c r="AB308" s="33" t="s">
        <v>15</v>
      </c>
      <c r="AC308" s="324"/>
      <c r="AD308" s="181">
        <f t="shared" si="81"/>
        <v>1</v>
      </c>
      <c r="AE308" s="181">
        <f t="shared" si="80"/>
        <v>277.02999999999997</v>
      </c>
      <c r="AF308" s="181">
        <v>1.7</v>
      </c>
      <c r="AG308" s="181">
        <v>1.7</v>
      </c>
      <c r="AH308" s="363" t="str">
        <f t="shared" si="84"/>
        <v/>
      </c>
      <c r="AI308" s="190">
        <v>0</v>
      </c>
      <c r="AJ308" s="188">
        <v>1</v>
      </c>
      <c r="AO308" s="367"/>
      <c r="AP308" s="367"/>
      <c r="AQ308" s="367"/>
    </row>
    <row r="309" spans="1:43" s="69" customFormat="1" ht="49.5" x14ac:dyDescent="0.3">
      <c r="A309" s="55" t="s">
        <v>734</v>
      </c>
      <c r="B309" s="138" t="s">
        <v>735</v>
      </c>
      <c r="C309" s="54" t="s">
        <v>606</v>
      </c>
      <c r="D309" s="75">
        <v>1</v>
      </c>
      <c r="E309" s="75"/>
      <c r="F309" s="75"/>
      <c r="G309" s="161"/>
      <c r="H309" s="235"/>
      <c r="I309" s="341">
        <v>1331</v>
      </c>
      <c r="J309" s="166">
        <v>286.3</v>
      </c>
      <c r="K309" s="75">
        <v>381065.3</v>
      </c>
      <c r="L309" s="91" t="s">
        <v>736</v>
      </c>
      <c r="M309" s="73"/>
      <c r="N309" s="46">
        <v>0</v>
      </c>
      <c r="O309" s="46">
        <v>0</v>
      </c>
      <c r="P309" s="46">
        <v>0</v>
      </c>
      <c r="Q309" s="98"/>
      <c r="R309" s="23" t="s">
        <v>1448</v>
      </c>
      <c r="S309" s="24" t="s">
        <v>735</v>
      </c>
      <c r="T309" s="25" t="s">
        <v>606</v>
      </c>
      <c r="U309" s="26">
        <v>1</v>
      </c>
      <c r="V309" s="26">
        <f t="shared" si="86"/>
        <v>1331</v>
      </c>
      <c r="W309" s="26">
        <f t="shared" si="82"/>
        <v>286.3</v>
      </c>
      <c r="X309" s="199">
        <f t="shared" si="78"/>
        <v>594</v>
      </c>
      <c r="Y309" s="26">
        <f t="shared" si="83"/>
        <v>594</v>
      </c>
      <c r="Z309" s="26">
        <f t="shared" si="79"/>
        <v>170062.2</v>
      </c>
      <c r="AA309" s="26">
        <f t="shared" si="85"/>
        <v>170062.2</v>
      </c>
      <c r="AB309" s="33" t="s">
        <v>15</v>
      </c>
      <c r="AC309" s="324"/>
      <c r="AD309" s="181">
        <f t="shared" si="81"/>
        <v>1331</v>
      </c>
      <c r="AE309" s="181">
        <f t="shared" si="80"/>
        <v>381065.3</v>
      </c>
      <c r="AF309" s="181">
        <v>1.7</v>
      </c>
      <c r="AG309" s="181">
        <v>1.7</v>
      </c>
      <c r="AH309" s="363" t="str">
        <f t="shared" si="84"/>
        <v/>
      </c>
      <c r="AI309" s="191">
        <v>594</v>
      </c>
      <c r="AJ309" s="190">
        <v>1331</v>
      </c>
      <c r="AO309" s="367"/>
      <c r="AP309" s="367"/>
      <c r="AQ309" s="367"/>
    </row>
    <row r="310" spans="1:43" s="69" customFormat="1" ht="49.5" x14ac:dyDescent="0.3">
      <c r="A310" s="130" t="s">
        <v>737</v>
      </c>
      <c r="B310" s="240" t="s">
        <v>738</v>
      </c>
      <c r="C310" s="132" t="s">
        <v>606</v>
      </c>
      <c r="D310" s="75">
        <v>1</v>
      </c>
      <c r="E310" s="75"/>
      <c r="F310" s="75"/>
      <c r="G310" s="161"/>
      <c r="H310" s="235"/>
      <c r="I310" s="341">
        <v>478</v>
      </c>
      <c r="J310" s="166">
        <v>134.37</v>
      </c>
      <c r="K310" s="75">
        <v>64228.86</v>
      </c>
      <c r="L310" s="91" t="s">
        <v>739</v>
      </c>
      <c r="M310" s="73"/>
      <c r="N310" s="46">
        <v>0</v>
      </c>
      <c r="O310" s="46">
        <v>0</v>
      </c>
      <c r="P310" s="46">
        <v>0</v>
      </c>
      <c r="Q310" s="98"/>
      <c r="R310" s="23" t="s">
        <v>1449</v>
      </c>
      <c r="S310" s="24" t="s">
        <v>738</v>
      </c>
      <c r="T310" s="25" t="s">
        <v>606</v>
      </c>
      <c r="U310" s="26">
        <v>1</v>
      </c>
      <c r="V310" s="26">
        <f t="shared" si="86"/>
        <v>478</v>
      </c>
      <c r="W310" s="26">
        <f t="shared" si="82"/>
        <v>134.37</v>
      </c>
      <c r="X310" s="209">
        <f t="shared" si="78"/>
        <v>0</v>
      </c>
      <c r="Y310" s="127">
        <f t="shared" si="83"/>
        <v>0</v>
      </c>
      <c r="Z310" s="127">
        <f t="shared" si="79"/>
        <v>0</v>
      </c>
      <c r="AA310" s="127">
        <f t="shared" si="85"/>
        <v>0</v>
      </c>
      <c r="AB310" s="33" t="s">
        <v>15</v>
      </c>
      <c r="AC310" s="324"/>
      <c r="AD310" s="181">
        <f t="shared" si="81"/>
        <v>478</v>
      </c>
      <c r="AE310" s="181">
        <f t="shared" si="80"/>
        <v>64228.86</v>
      </c>
      <c r="AF310" s="181">
        <v>1.7</v>
      </c>
      <c r="AG310" s="181">
        <v>1.7</v>
      </c>
      <c r="AH310" s="363" t="str">
        <f t="shared" si="84"/>
        <v/>
      </c>
      <c r="AI310" s="191">
        <v>0</v>
      </c>
      <c r="AJ310" s="190">
        <v>478</v>
      </c>
      <c r="AO310" s="367"/>
      <c r="AP310" s="367"/>
      <c r="AQ310" s="367"/>
    </row>
    <row r="311" spans="1:43" s="69" customFormat="1" ht="49.5" x14ac:dyDescent="0.3">
      <c r="A311" s="130" t="s">
        <v>740</v>
      </c>
      <c r="B311" s="240" t="s">
        <v>741</v>
      </c>
      <c r="C311" s="132" t="s">
        <v>606</v>
      </c>
      <c r="D311" s="75">
        <v>1</v>
      </c>
      <c r="E311" s="75"/>
      <c r="F311" s="75"/>
      <c r="G311" s="161"/>
      <c r="H311" s="235"/>
      <c r="I311" s="345">
        <v>6268</v>
      </c>
      <c r="J311" s="166">
        <v>142.1</v>
      </c>
      <c r="K311" s="75">
        <v>890682.8</v>
      </c>
      <c r="L311" s="91" t="s">
        <v>742</v>
      </c>
      <c r="M311" s="73"/>
      <c r="N311" s="46">
        <v>0</v>
      </c>
      <c r="O311" s="46">
        <v>0</v>
      </c>
      <c r="P311" s="46">
        <v>0</v>
      </c>
      <c r="Q311" s="98"/>
      <c r="R311" s="23" t="s">
        <v>1450</v>
      </c>
      <c r="S311" s="24" t="s">
        <v>741</v>
      </c>
      <c r="T311" s="25" t="s">
        <v>606</v>
      </c>
      <c r="U311" s="26">
        <v>1</v>
      </c>
      <c r="V311" s="26">
        <f t="shared" si="86"/>
        <v>6268</v>
      </c>
      <c r="W311" s="26">
        <f t="shared" si="82"/>
        <v>142.1</v>
      </c>
      <c r="X311" s="199">
        <f t="shared" si="78"/>
        <v>6100</v>
      </c>
      <c r="Y311" s="127">
        <f t="shared" si="83"/>
        <v>6100</v>
      </c>
      <c r="Z311" s="127">
        <f t="shared" si="79"/>
        <v>866810</v>
      </c>
      <c r="AA311" s="127">
        <f t="shared" si="85"/>
        <v>866810</v>
      </c>
      <c r="AB311" s="33" t="s">
        <v>15</v>
      </c>
      <c r="AC311" s="324"/>
      <c r="AD311" s="181">
        <f t="shared" si="81"/>
        <v>6268</v>
      </c>
      <c r="AE311" s="181">
        <f t="shared" si="80"/>
        <v>890682.8</v>
      </c>
      <c r="AF311" s="181">
        <v>1.7</v>
      </c>
      <c r="AG311" s="181">
        <v>1.7</v>
      </c>
      <c r="AH311" s="363" t="str">
        <f t="shared" si="84"/>
        <v/>
      </c>
      <c r="AI311" s="191">
        <v>6100</v>
      </c>
      <c r="AJ311" s="190">
        <v>6268</v>
      </c>
      <c r="AO311" s="367"/>
      <c r="AP311" s="367"/>
      <c r="AQ311" s="367"/>
    </row>
    <row r="312" spans="1:43" s="69" customFormat="1" ht="49.5" x14ac:dyDescent="0.3">
      <c r="A312" s="55" t="s">
        <v>743</v>
      </c>
      <c r="B312" s="138" t="s">
        <v>744</v>
      </c>
      <c r="C312" s="54" t="s">
        <v>606</v>
      </c>
      <c r="D312" s="75">
        <v>1</v>
      </c>
      <c r="E312" s="75"/>
      <c r="F312" s="75"/>
      <c r="G312" s="161"/>
      <c r="H312" s="235"/>
      <c r="I312" s="341">
        <v>2843</v>
      </c>
      <c r="J312" s="166">
        <v>90.32</v>
      </c>
      <c r="K312" s="75">
        <v>256779.76</v>
      </c>
      <c r="L312" s="91" t="s">
        <v>745</v>
      </c>
      <c r="M312" s="73"/>
      <c r="N312" s="46">
        <v>0</v>
      </c>
      <c r="O312" s="46">
        <v>0</v>
      </c>
      <c r="P312" s="46">
        <v>0</v>
      </c>
      <c r="Q312" s="98"/>
      <c r="R312" s="23" t="s">
        <v>1451</v>
      </c>
      <c r="S312" s="24" t="s">
        <v>744</v>
      </c>
      <c r="T312" s="25" t="s">
        <v>606</v>
      </c>
      <c r="U312" s="26">
        <v>1</v>
      </c>
      <c r="V312" s="26">
        <f t="shared" si="86"/>
        <v>2843</v>
      </c>
      <c r="W312" s="26">
        <f t="shared" si="82"/>
        <v>90.32</v>
      </c>
      <c r="X312" s="199">
        <f t="shared" si="78"/>
        <v>1100</v>
      </c>
      <c r="Y312" s="26">
        <f t="shared" si="83"/>
        <v>1100</v>
      </c>
      <c r="Z312" s="26">
        <f t="shared" si="79"/>
        <v>99352</v>
      </c>
      <c r="AA312" s="26">
        <f t="shared" si="85"/>
        <v>99352</v>
      </c>
      <c r="AB312" s="33" t="s">
        <v>15</v>
      </c>
      <c r="AC312" s="324"/>
      <c r="AD312" s="181">
        <f t="shared" si="81"/>
        <v>2843</v>
      </c>
      <c r="AE312" s="181">
        <f t="shared" si="80"/>
        <v>256779.76</v>
      </c>
      <c r="AF312" s="181">
        <v>1.7</v>
      </c>
      <c r="AG312" s="181">
        <v>1.7</v>
      </c>
      <c r="AH312" s="363" t="str">
        <f t="shared" si="84"/>
        <v/>
      </c>
      <c r="AI312" s="191">
        <v>1100</v>
      </c>
      <c r="AJ312" s="190">
        <v>2843</v>
      </c>
      <c r="AO312" s="367"/>
      <c r="AP312" s="367"/>
      <c r="AQ312" s="367"/>
    </row>
    <row r="313" spans="1:43" s="69" customFormat="1" ht="49.5" x14ac:dyDescent="0.3">
      <c r="A313" s="130" t="s">
        <v>746</v>
      </c>
      <c r="B313" s="240" t="s">
        <v>747</v>
      </c>
      <c r="C313" s="132" t="s">
        <v>606</v>
      </c>
      <c r="D313" s="75">
        <v>1</v>
      </c>
      <c r="E313" s="75"/>
      <c r="F313" s="75"/>
      <c r="G313" s="161"/>
      <c r="H313" s="235"/>
      <c r="I313" s="345">
        <v>2202</v>
      </c>
      <c r="J313" s="166">
        <v>125.1</v>
      </c>
      <c r="K313" s="75">
        <v>275470.2</v>
      </c>
      <c r="L313" s="91" t="s">
        <v>748</v>
      </c>
      <c r="M313" s="73"/>
      <c r="N313" s="46">
        <v>0</v>
      </c>
      <c r="O313" s="46">
        <v>0</v>
      </c>
      <c r="P313" s="46">
        <v>0</v>
      </c>
      <c r="Q313" s="98"/>
      <c r="R313" s="23" t="s">
        <v>1452</v>
      </c>
      <c r="S313" s="24" t="s">
        <v>747</v>
      </c>
      <c r="T313" s="25" t="s">
        <v>606</v>
      </c>
      <c r="U313" s="26">
        <v>1</v>
      </c>
      <c r="V313" s="26">
        <f t="shared" si="86"/>
        <v>2202</v>
      </c>
      <c r="W313" s="26">
        <f t="shared" si="82"/>
        <v>125.1</v>
      </c>
      <c r="X313" s="199">
        <f t="shared" si="78"/>
        <v>2100</v>
      </c>
      <c r="Y313" s="127">
        <f t="shared" si="83"/>
        <v>2100</v>
      </c>
      <c r="Z313" s="127">
        <f t="shared" si="79"/>
        <v>262710</v>
      </c>
      <c r="AA313" s="127">
        <f t="shared" si="85"/>
        <v>262710</v>
      </c>
      <c r="AB313" s="33" t="s">
        <v>15</v>
      </c>
      <c r="AC313" s="324"/>
      <c r="AD313" s="181">
        <f t="shared" si="81"/>
        <v>2202</v>
      </c>
      <c r="AE313" s="181">
        <f t="shared" si="80"/>
        <v>275470.2</v>
      </c>
      <c r="AF313" s="181">
        <v>1.7</v>
      </c>
      <c r="AG313" s="181">
        <v>1.7</v>
      </c>
      <c r="AH313" s="363" t="str">
        <f t="shared" si="84"/>
        <v/>
      </c>
      <c r="AI313" s="191">
        <v>2100</v>
      </c>
      <c r="AJ313" s="190">
        <v>2202</v>
      </c>
      <c r="AO313" s="367"/>
      <c r="AP313" s="367"/>
      <c r="AQ313" s="367"/>
    </row>
    <row r="314" spans="1:43" s="69" customFormat="1" ht="49.5" x14ac:dyDescent="0.3">
      <c r="A314" s="130" t="s">
        <v>749</v>
      </c>
      <c r="B314" s="240" t="s">
        <v>750</v>
      </c>
      <c r="C314" s="132" t="s">
        <v>606</v>
      </c>
      <c r="D314" s="75">
        <v>1</v>
      </c>
      <c r="E314" s="75"/>
      <c r="F314" s="75"/>
      <c r="G314" s="161"/>
      <c r="H314" s="235"/>
      <c r="I314" s="158"/>
      <c r="J314" s="166">
        <v>137.04</v>
      </c>
      <c r="K314" s="75">
        <v>137.04</v>
      </c>
      <c r="L314" s="91" t="s">
        <v>751</v>
      </c>
      <c r="M314" s="73"/>
      <c r="N314" s="46">
        <v>0</v>
      </c>
      <c r="O314" s="46">
        <v>0</v>
      </c>
      <c r="P314" s="46">
        <v>0</v>
      </c>
      <c r="Q314" s="98"/>
      <c r="R314" s="23" t="s">
        <v>1453</v>
      </c>
      <c r="S314" s="24" t="s">
        <v>750</v>
      </c>
      <c r="T314" s="25" t="s">
        <v>606</v>
      </c>
      <c r="U314" s="26">
        <v>1</v>
      </c>
      <c r="V314" s="26">
        <f t="shared" si="86"/>
        <v>1</v>
      </c>
      <c r="W314" s="26">
        <f t="shared" si="82"/>
        <v>137.04</v>
      </c>
      <c r="X314" s="127">
        <f t="shared" si="78"/>
        <v>0</v>
      </c>
      <c r="Y314" s="127">
        <f t="shared" si="83"/>
        <v>0</v>
      </c>
      <c r="Z314" s="127">
        <f t="shared" si="79"/>
        <v>0</v>
      </c>
      <c r="AA314" s="127">
        <f t="shared" si="85"/>
        <v>0</v>
      </c>
      <c r="AB314" s="33" t="s">
        <v>15</v>
      </c>
      <c r="AC314" s="324"/>
      <c r="AD314" s="181">
        <f t="shared" si="81"/>
        <v>1</v>
      </c>
      <c r="AE314" s="181">
        <f t="shared" si="80"/>
        <v>137.04</v>
      </c>
      <c r="AF314" s="181">
        <v>1.7</v>
      </c>
      <c r="AG314" s="181">
        <v>1.7</v>
      </c>
      <c r="AH314" s="363" t="str">
        <f t="shared" si="84"/>
        <v/>
      </c>
      <c r="AI314" s="190">
        <v>0</v>
      </c>
      <c r="AJ314" s="188">
        <v>1</v>
      </c>
      <c r="AO314" s="367"/>
      <c r="AP314" s="367"/>
      <c r="AQ314" s="367"/>
    </row>
    <row r="315" spans="1:43" s="69" customFormat="1" ht="49.5" x14ac:dyDescent="0.3">
      <c r="A315" s="55" t="s">
        <v>752</v>
      </c>
      <c r="B315" s="138" t="s">
        <v>753</v>
      </c>
      <c r="C315" s="54" t="s">
        <v>606</v>
      </c>
      <c r="D315" s="75">
        <v>1</v>
      </c>
      <c r="E315" s="75"/>
      <c r="F315" s="75"/>
      <c r="G315" s="161"/>
      <c r="H315" s="235"/>
      <c r="I315" s="341">
        <v>1007</v>
      </c>
      <c r="J315" s="166">
        <v>107.12</v>
      </c>
      <c r="K315" s="75">
        <v>107869.84</v>
      </c>
      <c r="L315" s="91" t="s">
        <v>754</v>
      </c>
      <c r="M315" s="73"/>
      <c r="N315" s="46">
        <v>0</v>
      </c>
      <c r="O315" s="46">
        <v>0</v>
      </c>
      <c r="P315" s="46">
        <v>0</v>
      </c>
      <c r="Q315" s="98"/>
      <c r="R315" s="23" t="s">
        <v>1454</v>
      </c>
      <c r="S315" s="24" t="s">
        <v>753</v>
      </c>
      <c r="T315" s="25" t="s">
        <v>606</v>
      </c>
      <c r="U315" s="26">
        <v>1</v>
      </c>
      <c r="V315" s="26">
        <f t="shared" si="86"/>
        <v>1007</v>
      </c>
      <c r="W315" s="26">
        <f t="shared" si="82"/>
        <v>107.12</v>
      </c>
      <c r="X315" s="199">
        <f t="shared" si="78"/>
        <v>0</v>
      </c>
      <c r="Y315" s="26">
        <f t="shared" si="83"/>
        <v>0</v>
      </c>
      <c r="Z315" s="26">
        <f t="shared" si="79"/>
        <v>0</v>
      </c>
      <c r="AA315" s="26">
        <f t="shared" si="85"/>
        <v>0</v>
      </c>
      <c r="AB315" s="33" t="s">
        <v>15</v>
      </c>
      <c r="AC315" s="324"/>
      <c r="AD315" s="181">
        <f t="shared" si="81"/>
        <v>1007</v>
      </c>
      <c r="AE315" s="181">
        <f t="shared" si="80"/>
        <v>107869.84</v>
      </c>
      <c r="AF315" s="181">
        <v>1.7</v>
      </c>
      <c r="AG315" s="181">
        <v>1.7</v>
      </c>
      <c r="AH315" s="363" t="str">
        <f t="shared" si="84"/>
        <v/>
      </c>
      <c r="AI315" s="191">
        <v>0</v>
      </c>
      <c r="AJ315" s="190">
        <v>1007</v>
      </c>
      <c r="AO315" s="367"/>
      <c r="AP315" s="367"/>
      <c r="AQ315" s="367"/>
    </row>
    <row r="316" spans="1:43" s="69" customFormat="1" ht="49.5" x14ac:dyDescent="0.3">
      <c r="A316" s="55" t="s">
        <v>755</v>
      </c>
      <c r="B316" s="138" t="s">
        <v>756</v>
      </c>
      <c r="C316" s="54" t="s">
        <v>606</v>
      </c>
      <c r="D316" s="75">
        <v>1</v>
      </c>
      <c r="E316" s="75"/>
      <c r="F316" s="75"/>
      <c r="G316" s="161"/>
      <c r="H316" s="235"/>
      <c r="I316" s="341">
        <v>1139</v>
      </c>
      <c r="J316" s="166">
        <v>124.17</v>
      </c>
      <c r="K316" s="75">
        <v>141429.63</v>
      </c>
      <c r="L316" s="91" t="s">
        <v>757</v>
      </c>
      <c r="M316" s="73"/>
      <c r="N316" s="46">
        <v>0</v>
      </c>
      <c r="O316" s="46">
        <v>0</v>
      </c>
      <c r="P316" s="46">
        <v>0</v>
      </c>
      <c r="Q316" s="98"/>
      <c r="R316" s="23" t="s">
        <v>1455</v>
      </c>
      <c r="S316" s="24" t="s">
        <v>756</v>
      </c>
      <c r="T316" s="25" t="s">
        <v>606</v>
      </c>
      <c r="U316" s="26">
        <v>1</v>
      </c>
      <c r="V316" s="26">
        <f t="shared" si="86"/>
        <v>1139</v>
      </c>
      <c r="W316" s="26">
        <f t="shared" si="82"/>
        <v>124.17</v>
      </c>
      <c r="X316" s="199">
        <f t="shared" si="78"/>
        <v>0</v>
      </c>
      <c r="Y316" s="26">
        <f t="shared" si="83"/>
        <v>0</v>
      </c>
      <c r="Z316" s="26">
        <f t="shared" si="79"/>
        <v>0</v>
      </c>
      <c r="AA316" s="26">
        <f t="shared" si="85"/>
        <v>0</v>
      </c>
      <c r="AB316" s="33" t="s">
        <v>15</v>
      </c>
      <c r="AC316" s="324"/>
      <c r="AD316" s="181">
        <f t="shared" si="81"/>
        <v>1139</v>
      </c>
      <c r="AE316" s="181">
        <f t="shared" si="80"/>
        <v>141429.63</v>
      </c>
      <c r="AF316" s="181">
        <v>1.7</v>
      </c>
      <c r="AG316" s="181">
        <v>1.7</v>
      </c>
      <c r="AH316" s="363" t="str">
        <f t="shared" si="84"/>
        <v/>
      </c>
      <c r="AI316" s="191">
        <v>0</v>
      </c>
      <c r="AJ316" s="190">
        <v>1139</v>
      </c>
      <c r="AO316" s="367"/>
      <c r="AP316" s="367"/>
      <c r="AQ316" s="367"/>
    </row>
    <row r="317" spans="1:43" s="69" customFormat="1" ht="49.5" x14ac:dyDescent="0.3">
      <c r="A317" s="55" t="s">
        <v>758</v>
      </c>
      <c r="B317" s="138" t="s">
        <v>759</v>
      </c>
      <c r="C317" s="54" t="s">
        <v>606</v>
      </c>
      <c r="D317" s="75">
        <v>1</v>
      </c>
      <c r="E317" s="75"/>
      <c r="F317" s="75"/>
      <c r="G317" s="161"/>
      <c r="H317" s="235"/>
      <c r="I317" s="341">
        <v>2260</v>
      </c>
      <c r="J317" s="166">
        <v>121.59</v>
      </c>
      <c r="K317" s="75">
        <v>274793.40000000002</v>
      </c>
      <c r="L317" s="91" t="s">
        <v>760</v>
      </c>
      <c r="M317" s="73"/>
      <c r="N317" s="46">
        <v>0</v>
      </c>
      <c r="O317" s="46">
        <v>0</v>
      </c>
      <c r="P317" s="46">
        <v>0</v>
      </c>
      <c r="Q317" s="98"/>
      <c r="R317" s="23" t="s">
        <v>1456</v>
      </c>
      <c r="S317" s="24" t="s">
        <v>759</v>
      </c>
      <c r="T317" s="25" t="s">
        <v>606</v>
      </c>
      <c r="U317" s="26">
        <v>1</v>
      </c>
      <c r="V317" s="26">
        <f t="shared" si="86"/>
        <v>2260</v>
      </c>
      <c r="W317" s="26">
        <f t="shared" si="82"/>
        <v>121.59</v>
      </c>
      <c r="X317" s="199">
        <f t="shared" si="78"/>
        <v>0</v>
      </c>
      <c r="Y317" s="26">
        <f t="shared" si="83"/>
        <v>0</v>
      </c>
      <c r="Z317" s="26">
        <f t="shared" si="79"/>
        <v>0</v>
      </c>
      <c r="AA317" s="26">
        <f t="shared" si="85"/>
        <v>0</v>
      </c>
      <c r="AB317" s="33" t="s">
        <v>15</v>
      </c>
      <c r="AC317" s="324"/>
      <c r="AD317" s="181">
        <f t="shared" si="81"/>
        <v>2260</v>
      </c>
      <c r="AE317" s="181">
        <f t="shared" si="80"/>
        <v>274793.40000000002</v>
      </c>
      <c r="AF317" s="181">
        <v>1.7</v>
      </c>
      <c r="AG317" s="181">
        <v>1.7</v>
      </c>
      <c r="AH317" s="363" t="str">
        <f t="shared" si="84"/>
        <v/>
      </c>
      <c r="AI317" s="191">
        <v>0</v>
      </c>
      <c r="AJ317" s="190">
        <v>2260</v>
      </c>
      <c r="AO317" s="367"/>
      <c r="AP317" s="367"/>
      <c r="AQ317" s="367"/>
    </row>
    <row r="318" spans="1:43" s="69" customFormat="1" ht="49.5" x14ac:dyDescent="0.3">
      <c r="A318" s="55" t="s">
        <v>761</v>
      </c>
      <c r="B318" s="138" t="s">
        <v>762</v>
      </c>
      <c r="C318" s="54" t="s">
        <v>606</v>
      </c>
      <c r="D318" s="75">
        <v>1</v>
      </c>
      <c r="E318" s="75"/>
      <c r="F318" s="75"/>
      <c r="G318" s="161"/>
      <c r="H318" s="235"/>
      <c r="I318" s="341">
        <v>867</v>
      </c>
      <c r="J318" s="166">
        <v>154.51</v>
      </c>
      <c r="K318" s="75">
        <v>133960.17000000001</v>
      </c>
      <c r="L318" s="91" t="s">
        <v>763</v>
      </c>
      <c r="M318" s="73"/>
      <c r="N318" s="46">
        <v>0</v>
      </c>
      <c r="O318" s="46">
        <v>0</v>
      </c>
      <c r="P318" s="46">
        <v>0</v>
      </c>
      <c r="Q318" s="98"/>
      <c r="R318" s="23" t="s">
        <v>1457</v>
      </c>
      <c r="S318" s="24" t="s">
        <v>762</v>
      </c>
      <c r="T318" s="25" t="s">
        <v>606</v>
      </c>
      <c r="U318" s="26">
        <v>1</v>
      </c>
      <c r="V318" s="26">
        <f t="shared" si="86"/>
        <v>867</v>
      </c>
      <c r="W318" s="26">
        <f t="shared" si="82"/>
        <v>154.51</v>
      </c>
      <c r="X318" s="199">
        <f t="shared" si="78"/>
        <v>0</v>
      </c>
      <c r="Y318" s="26">
        <f t="shared" si="83"/>
        <v>0</v>
      </c>
      <c r="Z318" s="26">
        <f t="shared" si="79"/>
        <v>0</v>
      </c>
      <c r="AA318" s="26">
        <f t="shared" si="85"/>
        <v>0</v>
      </c>
      <c r="AB318" s="33" t="s">
        <v>15</v>
      </c>
      <c r="AC318" s="324"/>
      <c r="AD318" s="181">
        <f t="shared" si="81"/>
        <v>867</v>
      </c>
      <c r="AE318" s="181">
        <f t="shared" si="80"/>
        <v>133960.17000000001</v>
      </c>
      <c r="AF318" s="181">
        <v>1.7</v>
      </c>
      <c r="AG318" s="181">
        <v>1.7</v>
      </c>
      <c r="AH318" s="363" t="str">
        <f t="shared" si="84"/>
        <v/>
      </c>
      <c r="AI318" s="191">
        <v>0</v>
      </c>
      <c r="AJ318" s="190">
        <v>867</v>
      </c>
      <c r="AO318" s="367"/>
      <c r="AP318" s="367"/>
      <c r="AQ318" s="367"/>
    </row>
    <row r="319" spans="1:43" s="69" customFormat="1" ht="49.5" x14ac:dyDescent="0.3">
      <c r="A319" s="55" t="s">
        <v>764</v>
      </c>
      <c r="B319" s="138" t="s">
        <v>765</v>
      </c>
      <c r="C319" s="54" t="s">
        <v>606</v>
      </c>
      <c r="D319" s="75">
        <v>1</v>
      </c>
      <c r="E319" s="75"/>
      <c r="F319" s="75"/>
      <c r="G319" s="161"/>
      <c r="H319" s="235"/>
      <c r="I319" s="341">
        <v>6916</v>
      </c>
      <c r="J319" s="166">
        <v>36.549999999999997</v>
      </c>
      <c r="K319" s="75">
        <v>252779.8</v>
      </c>
      <c r="L319" s="91" t="s">
        <v>766</v>
      </c>
      <c r="M319" s="73"/>
      <c r="N319" s="46">
        <v>0</v>
      </c>
      <c r="O319" s="46">
        <v>0</v>
      </c>
      <c r="P319" s="46">
        <v>0</v>
      </c>
      <c r="Q319" s="98"/>
      <c r="R319" s="23" t="s">
        <v>1458</v>
      </c>
      <c r="S319" s="24" t="s">
        <v>765</v>
      </c>
      <c r="T319" s="25" t="s">
        <v>606</v>
      </c>
      <c r="U319" s="26">
        <v>1</v>
      </c>
      <c r="V319" s="26">
        <f t="shared" si="86"/>
        <v>6916</v>
      </c>
      <c r="W319" s="26">
        <f t="shared" si="82"/>
        <v>36.549999999999997</v>
      </c>
      <c r="X319" s="199">
        <f t="shared" si="78"/>
        <v>0</v>
      </c>
      <c r="Y319" s="26">
        <f t="shared" si="83"/>
        <v>0</v>
      </c>
      <c r="Z319" s="26">
        <f t="shared" si="79"/>
        <v>0</v>
      </c>
      <c r="AA319" s="26">
        <f t="shared" si="85"/>
        <v>0</v>
      </c>
      <c r="AB319" s="33" t="s">
        <v>15</v>
      </c>
      <c r="AC319" s="324"/>
      <c r="AD319" s="181">
        <f t="shared" si="81"/>
        <v>6916</v>
      </c>
      <c r="AE319" s="181">
        <f t="shared" si="80"/>
        <v>252779.8</v>
      </c>
      <c r="AF319" s="181">
        <v>1.7</v>
      </c>
      <c r="AG319" s="181">
        <v>1.7</v>
      </c>
      <c r="AH319" s="363" t="str">
        <f t="shared" si="84"/>
        <v/>
      </c>
      <c r="AI319" s="191">
        <v>0</v>
      </c>
      <c r="AJ319" s="190">
        <v>6916</v>
      </c>
      <c r="AO319" s="367"/>
      <c r="AP319" s="367"/>
      <c r="AQ319" s="367"/>
    </row>
    <row r="320" spans="1:43" s="69" customFormat="1" ht="49.5" x14ac:dyDescent="0.3">
      <c r="A320" s="55" t="s">
        <v>767</v>
      </c>
      <c r="B320" s="138" t="s">
        <v>768</v>
      </c>
      <c r="C320" s="54" t="s">
        <v>606</v>
      </c>
      <c r="D320" s="75">
        <v>1</v>
      </c>
      <c r="E320" s="75"/>
      <c r="F320" s="75"/>
      <c r="G320" s="161"/>
      <c r="H320" s="235"/>
      <c r="I320" s="341">
        <v>4205</v>
      </c>
      <c r="J320" s="166">
        <v>27.8</v>
      </c>
      <c r="K320" s="75">
        <v>116899</v>
      </c>
      <c r="L320" s="91" t="s">
        <v>769</v>
      </c>
      <c r="M320" s="73"/>
      <c r="N320" s="46">
        <v>0</v>
      </c>
      <c r="O320" s="46">
        <v>0</v>
      </c>
      <c r="P320" s="46">
        <v>0</v>
      </c>
      <c r="Q320" s="98"/>
      <c r="R320" s="23" t="s">
        <v>1459</v>
      </c>
      <c r="S320" s="24" t="s">
        <v>768</v>
      </c>
      <c r="T320" s="25" t="s">
        <v>606</v>
      </c>
      <c r="U320" s="26">
        <v>1</v>
      </c>
      <c r="V320" s="26">
        <f t="shared" si="86"/>
        <v>4205</v>
      </c>
      <c r="W320" s="26">
        <f t="shared" si="82"/>
        <v>27.8</v>
      </c>
      <c r="X320" s="199">
        <f t="shared" si="78"/>
        <v>0</v>
      </c>
      <c r="Y320" s="26">
        <f t="shared" si="83"/>
        <v>0</v>
      </c>
      <c r="Z320" s="26">
        <f t="shared" si="79"/>
        <v>0</v>
      </c>
      <c r="AA320" s="26">
        <f t="shared" si="85"/>
        <v>0</v>
      </c>
      <c r="AB320" s="33" t="s">
        <v>15</v>
      </c>
      <c r="AC320" s="324"/>
      <c r="AD320" s="181">
        <f t="shared" si="81"/>
        <v>4205</v>
      </c>
      <c r="AE320" s="181">
        <f t="shared" si="80"/>
        <v>116899</v>
      </c>
      <c r="AF320" s="181">
        <v>1.7</v>
      </c>
      <c r="AG320" s="181">
        <v>1.7</v>
      </c>
      <c r="AH320" s="363" t="str">
        <f t="shared" si="84"/>
        <v/>
      </c>
      <c r="AI320" s="191">
        <v>0</v>
      </c>
      <c r="AJ320" s="190">
        <v>4205</v>
      </c>
      <c r="AO320" s="367"/>
      <c r="AP320" s="367"/>
      <c r="AQ320" s="367"/>
    </row>
    <row r="321" spans="1:43" s="69" customFormat="1" ht="49.5" x14ac:dyDescent="0.3">
      <c r="A321" s="130" t="s">
        <v>770</v>
      </c>
      <c r="B321" s="240" t="s">
        <v>771</v>
      </c>
      <c r="C321" s="132" t="s">
        <v>606</v>
      </c>
      <c r="D321" s="75">
        <v>1</v>
      </c>
      <c r="E321" s="75"/>
      <c r="F321" s="75"/>
      <c r="G321" s="161"/>
      <c r="H321" s="235"/>
      <c r="I321" s="345">
        <v>408</v>
      </c>
      <c r="J321" s="166">
        <v>105.13</v>
      </c>
      <c r="K321" s="75">
        <v>42893.04</v>
      </c>
      <c r="L321" s="91" t="s">
        <v>772</v>
      </c>
      <c r="M321" s="73"/>
      <c r="N321" s="46">
        <v>0</v>
      </c>
      <c r="O321" s="46">
        <v>0</v>
      </c>
      <c r="P321" s="46">
        <v>0</v>
      </c>
      <c r="Q321" s="98"/>
      <c r="R321" s="23" t="s">
        <v>1460</v>
      </c>
      <c r="S321" s="24" t="s">
        <v>771</v>
      </c>
      <c r="T321" s="25" t="s">
        <v>606</v>
      </c>
      <c r="U321" s="26">
        <v>1</v>
      </c>
      <c r="V321" s="26">
        <f t="shared" si="86"/>
        <v>408</v>
      </c>
      <c r="W321" s="26">
        <f t="shared" si="82"/>
        <v>105.13</v>
      </c>
      <c r="X321" s="199">
        <f t="shared" si="78"/>
        <v>400</v>
      </c>
      <c r="Y321" s="127">
        <f t="shared" si="83"/>
        <v>400</v>
      </c>
      <c r="Z321" s="127">
        <f t="shared" si="79"/>
        <v>42052</v>
      </c>
      <c r="AA321" s="127">
        <f t="shared" si="85"/>
        <v>42052</v>
      </c>
      <c r="AB321" s="33" t="s">
        <v>15</v>
      </c>
      <c r="AC321" s="324"/>
      <c r="AD321" s="181">
        <f t="shared" si="81"/>
        <v>408</v>
      </c>
      <c r="AE321" s="181">
        <f t="shared" si="80"/>
        <v>42893.04</v>
      </c>
      <c r="AF321" s="181">
        <v>1.7</v>
      </c>
      <c r="AG321" s="181">
        <v>1.7</v>
      </c>
      <c r="AH321" s="363" t="str">
        <f t="shared" si="84"/>
        <v/>
      </c>
      <c r="AI321" s="191">
        <v>400</v>
      </c>
      <c r="AJ321" s="190">
        <v>408</v>
      </c>
      <c r="AO321" s="367"/>
      <c r="AP321" s="367"/>
      <c r="AQ321" s="367"/>
    </row>
    <row r="322" spans="1:43" s="69" customFormat="1" ht="49.5" x14ac:dyDescent="0.3">
      <c r="A322" s="55" t="s">
        <v>773</v>
      </c>
      <c r="B322" s="138" t="s">
        <v>774</v>
      </c>
      <c r="C322" s="54" t="s">
        <v>606</v>
      </c>
      <c r="D322" s="75">
        <v>1</v>
      </c>
      <c r="E322" s="75"/>
      <c r="F322" s="75"/>
      <c r="G322" s="161"/>
      <c r="H322" s="235"/>
      <c r="I322" s="341">
        <v>4860</v>
      </c>
      <c r="J322" s="166">
        <v>53.12</v>
      </c>
      <c r="K322" s="75">
        <v>258163.20000000001</v>
      </c>
      <c r="L322" s="91" t="s">
        <v>775</v>
      </c>
      <c r="M322" s="73"/>
      <c r="N322" s="46">
        <v>0</v>
      </c>
      <c r="O322" s="46">
        <v>0</v>
      </c>
      <c r="P322" s="46">
        <v>0</v>
      </c>
      <c r="Q322" s="98"/>
      <c r="R322" s="23" t="s">
        <v>1461</v>
      </c>
      <c r="S322" s="24" t="s">
        <v>774</v>
      </c>
      <c r="T322" s="25" t="s">
        <v>606</v>
      </c>
      <c r="U322" s="26">
        <v>1</v>
      </c>
      <c r="V322" s="26">
        <f t="shared" si="86"/>
        <v>4860</v>
      </c>
      <c r="W322" s="26">
        <f t="shared" si="82"/>
        <v>53.12</v>
      </c>
      <c r="X322" s="199">
        <f t="shared" si="78"/>
        <v>1475</v>
      </c>
      <c r="Y322" s="26">
        <f t="shared" si="83"/>
        <v>1475</v>
      </c>
      <c r="Z322" s="26">
        <f t="shared" si="79"/>
        <v>78352</v>
      </c>
      <c r="AA322" s="26">
        <f t="shared" si="85"/>
        <v>78352</v>
      </c>
      <c r="AB322" s="33" t="s">
        <v>15</v>
      </c>
      <c r="AC322" s="324"/>
      <c r="AD322" s="181">
        <f t="shared" si="81"/>
        <v>4860</v>
      </c>
      <c r="AE322" s="181">
        <f t="shared" si="80"/>
        <v>258163.20000000001</v>
      </c>
      <c r="AF322" s="181">
        <v>1.7</v>
      </c>
      <c r="AG322" s="181">
        <v>1.7</v>
      </c>
      <c r="AH322" s="363" t="str">
        <f t="shared" si="84"/>
        <v/>
      </c>
      <c r="AI322" s="191">
        <v>1475</v>
      </c>
      <c r="AJ322" s="190">
        <v>4860</v>
      </c>
      <c r="AO322" s="367"/>
      <c r="AP322" s="367"/>
      <c r="AQ322" s="367"/>
    </row>
    <row r="323" spans="1:43" s="69" customFormat="1" ht="49.5" x14ac:dyDescent="0.3">
      <c r="A323" s="130" t="s">
        <v>776</v>
      </c>
      <c r="B323" s="240" t="s">
        <v>777</v>
      </c>
      <c r="C323" s="132" t="s">
        <v>606</v>
      </c>
      <c r="D323" s="75">
        <v>1</v>
      </c>
      <c r="E323" s="75"/>
      <c r="F323" s="75"/>
      <c r="G323" s="161"/>
      <c r="H323" s="235"/>
      <c r="I323" s="158"/>
      <c r="J323" s="166">
        <v>36.380000000000003</v>
      </c>
      <c r="K323" s="75">
        <v>36.380000000000003</v>
      </c>
      <c r="L323" s="91" t="s">
        <v>778</v>
      </c>
      <c r="M323" s="73"/>
      <c r="N323" s="46">
        <v>0</v>
      </c>
      <c r="O323" s="46">
        <v>0</v>
      </c>
      <c r="P323" s="46">
        <v>0</v>
      </c>
      <c r="Q323" s="98"/>
      <c r="R323" s="23" t="s">
        <v>1462</v>
      </c>
      <c r="S323" s="24" t="s">
        <v>777</v>
      </c>
      <c r="T323" s="25" t="s">
        <v>606</v>
      </c>
      <c r="U323" s="26">
        <v>1</v>
      </c>
      <c r="V323" s="26">
        <f t="shared" si="86"/>
        <v>1</v>
      </c>
      <c r="W323" s="26">
        <f t="shared" si="82"/>
        <v>36.380000000000003</v>
      </c>
      <c r="X323" s="127">
        <f t="shared" si="78"/>
        <v>0</v>
      </c>
      <c r="Y323" s="127">
        <f t="shared" si="83"/>
        <v>0</v>
      </c>
      <c r="Z323" s="127">
        <f t="shared" si="79"/>
        <v>0</v>
      </c>
      <c r="AA323" s="127">
        <f t="shared" si="85"/>
        <v>0</v>
      </c>
      <c r="AB323" s="33" t="s">
        <v>15</v>
      </c>
      <c r="AC323" s="324"/>
      <c r="AD323" s="181">
        <f t="shared" si="81"/>
        <v>1</v>
      </c>
      <c r="AE323" s="181">
        <f t="shared" si="80"/>
        <v>36.380000000000003</v>
      </c>
      <c r="AF323" s="181">
        <v>1.7</v>
      </c>
      <c r="AG323" s="181">
        <v>1.7</v>
      </c>
      <c r="AH323" s="363" t="str">
        <f t="shared" si="84"/>
        <v/>
      </c>
      <c r="AI323" s="190">
        <v>0</v>
      </c>
      <c r="AJ323" s="188">
        <v>1</v>
      </c>
      <c r="AO323" s="367"/>
      <c r="AP323" s="367"/>
      <c r="AQ323" s="367"/>
    </row>
    <row r="324" spans="1:43" s="69" customFormat="1" ht="49.5" x14ac:dyDescent="0.3">
      <c r="A324" s="55" t="s">
        <v>779</v>
      </c>
      <c r="B324" s="138" t="s">
        <v>780</v>
      </c>
      <c r="C324" s="54" t="s">
        <v>606</v>
      </c>
      <c r="D324" s="75">
        <v>1</v>
      </c>
      <c r="E324" s="75"/>
      <c r="F324" s="75"/>
      <c r="G324" s="161"/>
      <c r="H324" s="235"/>
      <c r="I324" s="341">
        <v>2283</v>
      </c>
      <c r="J324" s="166">
        <v>59.74</v>
      </c>
      <c r="K324" s="75">
        <v>136386.42000000001</v>
      </c>
      <c r="L324" s="91" t="s">
        <v>781</v>
      </c>
      <c r="M324" s="73"/>
      <c r="N324" s="46">
        <v>0</v>
      </c>
      <c r="O324" s="46">
        <v>0</v>
      </c>
      <c r="P324" s="46">
        <v>0</v>
      </c>
      <c r="Q324" s="98"/>
      <c r="R324" s="23" t="s">
        <v>1463</v>
      </c>
      <c r="S324" s="24" t="s">
        <v>780</v>
      </c>
      <c r="T324" s="25" t="s">
        <v>606</v>
      </c>
      <c r="U324" s="26">
        <v>1</v>
      </c>
      <c r="V324" s="26">
        <f t="shared" si="86"/>
        <v>2283</v>
      </c>
      <c r="W324" s="26">
        <f t="shared" si="82"/>
        <v>59.74</v>
      </c>
      <c r="X324" s="199">
        <f t="shared" si="78"/>
        <v>0</v>
      </c>
      <c r="Y324" s="26">
        <f t="shared" si="83"/>
        <v>0</v>
      </c>
      <c r="Z324" s="26">
        <f t="shared" si="79"/>
        <v>0</v>
      </c>
      <c r="AA324" s="26">
        <f t="shared" si="85"/>
        <v>0</v>
      </c>
      <c r="AB324" s="33" t="s">
        <v>15</v>
      </c>
      <c r="AC324" s="324"/>
      <c r="AD324" s="181">
        <f t="shared" si="81"/>
        <v>2283</v>
      </c>
      <c r="AE324" s="181">
        <f t="shared" si="80"/>
        <v>136386.42000000001</v>
      </c>
      <c r="AF324" s="181">
        <v>1.7</v>
      </c>
      <c r="AG324" s="181">
        <v>1.7</v>
      </c>
      <c r="AH324" s="363" t="str">
        <f t="shared" si="84"/>
        <v/>
      </c>
      <c r="AI324" s="191">
        <v>0</v>
      </c>
      <c r="AJ324" s="190">
        <v>2283</v>
      </c>
      <c r="AO324" s="367"/>
      <c r="AP324" s="367"/>
      <c r="AQ324" s="367"/>
    </row>
    <row r="325" spans="1:43" s="69" customFormat="1" ht="49.5" x14ac:dyDescent="0.3">
      <c r="A325" s="55" t="s">
        <v>782</v>
      </c>
      <c r="B325" s="138" t="s">
        <v>783</v>
      </c>
      <c r="C325" s="54" t="s">
        <v>606</v>
      </c>
      <c r="D325" s="75">
        <v>1</v>
      </c>
      <c r="E325" s="75"/>
      <c r="F325" s="75"/>
      <c r="G325" s="161"/>
      <c r="H325" s="235"/>
      <c r="I325" s="341">
        <v>3653</v>
      </c>
      <c r="J325" s="166">
        <v>80.41</v>
      </c>
      <c r="K325" s="75">
        <v>293737.73</v>
      </c>
      <c r="L325" s="91" t="s">
        <v>784</v>
      </c>
      <c r="M325" s="73"/>
      <c r="N325" s="46">
        <v>0</v>
      </c>
      <c r="O325" s="46">
        <v>0</v>
      </c>
      <c r="P325" s="46">
        <v>0</v>
      </c>
      <c r="Q325" s="98"/>
      <c r="R325" s="23" t="s">
        <v>1464</v>
      </c>
      <c r="S325" s="24" t="s">
        <v>783</v>
      </c>
      <c r="T325" s="25" t="s">
        <v>606</v>
      </c>
      <c r="U325" s="26">
        <v>1</v>
      </c>
      <c r="V325" s="26">
        <f t="shared" si="86"/>
        <v>3653</v>
      </c>
      <c r="W325" s="26">
        <f t="shared" si="82"/>
        <v>80.41</v>
      </c>
      <c r="X325" s="199">
        <f t="shared" si="78"/>
        <v>0</v>
      </c>
      <c r="Y325" s="26">
        <f t="shared" si="83"/>
        <v>0</v>
      </c>
      <c r="Z325" s="26">
        <f t="shared" si="79"/>
        <v>0</v>
      </c>
      <c r="AA325" s="26">
        <f t="shared" si="85"/>
        <v>0</v>
      </c>
      <c r="AB325" s="33" t="s">
        <v>15</v>
      </c>
      <c r="AC325" s="324"/>
      <c r="AD325" s="181">
        <f t="shared" si="81"/>
        <v>3653</v>
      </c>
      <c r="AE325" s="181">
        <f t="shared" si="80"/>
        <v>293737.73</v>
      </c>
      <c r="AF325" s="181">
        <v>1.7</v>
      </c>
      <c r="AG325" s="181">
        <v>1.7</v>
      </c>
      <c r="AH325" s="363" t="str">
        <f t="shared" si="84"/>
        <v/>
      </c>
      <c r="AI325" s="191">
        <v>0</v>
      </c>
      <c r="AJ325" s="190">
        <v>3653</v>
      </c>
      <c r="AO325" s="367"/>
      <c r="AP325" s="367"/>
      <c r="AQ325" s="367"/>
    </row>
    <row r="326" spans="1:43" s="69" customFormat="1" ht="49.5" x14ac:dyDescent="0.3">
      <c r="A326" s="55" t="s">
        <v>785</v>
      </c>
      <c r="B326" s="138" t="s">
        <v>786</v>
      </c>
      <c r="C326" s="54" t="s">
        <v>606</v>
      </c>
      <c r="D326" s="75">
        <v>1</v>
      </c>
      <c r="E326" s="75"/>
      <c r="F326" s="75"/>
      <c r="G326" s="161"/>
      <c r="H326" s="235"/>
      <c r="I326" s="341">
        <v>20708</v>
      </c>
      <c r="J326" s="166">
        <v>64.959999999999994</v>
      </c>
      <c r="K326" s="75">
        <v>1345191.68</v>
      </c>
      <c r="L326" s="91" t="s">
        <v>787</v>
      </c>
      <c r="M326" s="73"/>
      <c r="N326" s="46">
        <v>0</v>
      </c>
      <c r="O326" s="46">
        <v>0</v>
      </c>
      <c r="P326" s="46">
        <v>0</v>
      </c>
      <c r="Q326" s="98"/>
      <c r="R326" s="23" t="s">
        <v>1465</v>
      </c>
      <c r="S326" s="24" t="s">
        <v>786</v>
      </c>
      <c r="T326" s="25" t="s">
        <v>606</v>
      </c>
      <c r="U326" s="26">
        <v>1</v>
      </c>
      <c r="V326" s="26">
        <f t="shared" si="86"/>
        <v>20708</v>
      </c>
      <c r="W326" s="26">
        <f t="shared" si="82"/>
        <v>64.959999999999994</v>
      </c>
      <c r="X326" s="199">
        <f t="shared" si="78"/>
        <v>2100</v>
      </c>
      <c r="Y326" s="26">
        <f t="shared" si="83"/>
        <v>2100</v>
      </c>
      <c r="Z326" s="26">
        <f t="shared" si="79"/>
        <v>136416</v>
      </c>
      <c r="AA326" s="26">
        <f t="shared" si="85"/>
        <v>136416</v>
      </c>
      <c r="AB326" s="33" t="s">
        <v>15</v>
      </c>
      <c r="AC326" s="324"/>
      <c r="AD326" s="181">
        <f t="shared" si="81"/>
        <v>20708</v>
      </c>
      <c r="AE326" s="181">
        <f t="shared" si="80"/>
        <v>1345191.68</v>
      </c>
      <c r="AF326" s="181">
        <v>1.7</v>
      </c>
      <c r="AG326" s="181">
        <v>1.7</v>
      </c>
      <c r="AH326" s="363" t="str">
        <f t="shared" si="84"/>
        <v/>
      </c>
      <c r="AI326" s="191">
        <v>2100</v>
      </c>
      <c r="AJ326" s="190">
        <v>20708</v>
      </c>
      <c r="AO326" s="367"/>
      <c r="AP326" s="367"/>
      <c r="AQ326" s="367"/>
    </row>
    <row r="327" spans="1:43" s="69" customFormat="1" ht="49.5" x14ac:dyDescent="0.3">
      <c r="A327" s="130" t="s">
        <v>788</v>
      </c>
      <c r="B327" s="240" t="s">
        <v>789</v>
      </c>
      <c r="C327" s="132" t="s">
        <v>606</v>
      </c>
      <c r="D327" s="75">
        <v>1</v>
      </c>
      <c r="E327" s="75"/>
      <c r="F327" s="75"/>
      <c r="G327" s="161"/>
      <c r="H327" s="235"/>
      <c r="I327" s="158"/>
      <c r="J327" s="166">
        <v>95.86</v>
      </c>
      <c r="K327" s="75">
        <v>95.86</v>
      </c>
      <c r="L327" s="91" t="s">
        <v>790</v>
      </c>
      <c r="M327" s="73"/>
      <c r="N327" s="46">
        <v>0</v>
      </c>
      <c r="O327" s="46">
        <v>0</v>
      </c>
      <c r="P327" s="46">
        <v>0</v>
      </c>
      <c r="Q327" s="98"/>
      <c r="R327" s="23" t="s">
        <v>1466</v>
      </c>
      <c r="S327" s="24" t="s">
        <v>789</v>
      </c>
      <c r="T327" s="25" t="s">
        <v>606</v>
      </c>
      <c r="U327" s="26">
        <v>1</v>
      </c>
      <c r="V327" s="26">
        <f t="shared" si="86"/>
        <v>1</v>
      </c>
      <c r="W327" s="26">
        <f t="shared" si="82"/>
        <v>95.86</v>
      </c>
      <c r="X327" s="127">
        <f t="shared" si="78"/>
        <v>0</v>
      </c>
      <c r="Y327" s="127">
        <f t="shared" si="83"/>
        <v>0</v>
      </c>
      <c r="Z327" s="127">
        <f t="shared" si="79"/>
        <v>0</v>
      </c>
      <c r="AA327" s="127">
        <f t="shared" si="85"/>
        <v>0</v>
      </c>
      <c r="AB327" s="33" t="s">
        <v>15</v>
      </c>
      <c r="AC327" s="324"/>
      <c r="AD327" s="181">
        <f t="shared" si="81"/>
        <v>1</v>
      </c>
      <c r="AE327" s="181">
        <f t="shared" si="80"/>
        <v>95.86</v>
      </c>
      <c r="AF327" s="181">
        <v>1.7</v>
      </c>
      <c r="AG327" s="181">
        <v>1.7</v>
      </c>
      <c r="AH327" s="363" t="str">
        <f t="shared" si="84"/>
        <v/>
      </c>
      <c r="AI327" s="190">
        <v>0</v>
      </c>
      <c r="AJ327" s="188">
        <v>1</v>
      </c>
      <c r="AO327" s="367"/>
      <c r="AP327" s="367"/>
      <c r="AQ327" s="367"/>
    </row>
    <row r="328" spans="1:43" s="69" customFormat="1" ht="49.5" x14ac:dyDescent="0.3">
      <c r="A328" s="55" t="s">
        <v>791</v>
      </c>
      <c r="B328" s="138" t="s">
        <v>792</v>
      </c>
      <c r="C328" s="54" t="s">
        <v>606</v>
      </c>
      <c r="D328" s="75">
        <v>1</v>
      </c>
      <c r="E328" s="75"/>
      <c r="F328" s="75"/>
      <c r="G328" s="161"/>
      <c r="H328" s="235"/>
      <c r="I328" s="341">
        <v>1905</v>
      </c>
      <c r="J328" s="166">
        <v>93.29</v>
      </c>
      <c r="K328" s="75">
        <v>177717.45</v>
      </c>
      <c r="L328" s="91" t="s">
        <v>793</v>
      </c>
      <c r="M328" s="73"/>
      <c r="N328" s="46">
        <v>0</v>
      </c>
      <c r="O328" s="46">
        <v>0</v>
      </c>
      <c r="P328" s="46">
        <v>0</v>
      </c>
      <c r="Q328" s="98"/>
      <c r="R328" s="23" t="s">
        <v>1467</v>
      </c>
      <c r="S328" s="24" t="s">
        <v>792</v>
      </c>
      <c r="T328" s="25" t="s">
        <v>606</v>
      </c>
      <c r="U328" s="26">
        <v>1</v>
      </c>
      <c r="V328" s="26">
        <f t="shared" si="86"/>
        <v>1905</v>
      </c>
      <c r="W328" s="26">
        <f t="shared" si="82"/>
        <v>93.29</v>
      </c>
      <c r="X328" s="26">
        <f t="shared" ref="X328:X361" si="87">AI328-N328</f>
        <v>0</v>
      </c>
      <c r="Y328" s="26">
        <f t="shared" si="83"/>
        <v>0</v>
      </c>
      <c r="Z328" s="26">
        <f t="shared" ref="Z328:Z361" si="88">AA328-P328</f>
        <v>0</v>
      </c>
      <c r="AA328" s="26">
        <f t="shared" si="85"/>
        <v>0</v>
      </c>
      <c r="AB328" s="33" t="s">
        <v>15</v>
      </c>
      <c r="AC328" s="324"/>
      <c r="AD328" s="181">
        <f t="shared" si="81"/>
        <v>1905</v>
      </c>
      <c r="AE328" s="181">
        <f t="shared" ref="AE328:AE400" si="89">ROUND(W328*AD328,2)</f>
        <v>177717.45</v>
      </c>
      <c r="AF328" s="181">
        <v>1.7</v>
      </c>
      <c r="AG328" s="181">
        <v>1.7</v>
      </c>
      <c r="AH328" s="363" t="str">
        <f t="shared" si="84"/>
        <v/>
      </c>
      <c r="AI328" s="190">
        <v>0</v>
      </c>
      <c r="AJ328" s="190">
        <v>1905</v>
      </c>
      <c r="AO328" s="367"/>
      <c r="AP328" s="367"/>
      <c r="AQ328" s="367"/>
    </row>
    <row r="329" spans="1:43" s="69" customFormat="1" ht="49.5" x14ac:dyDescent="0.3">
      <c r="A329" s="55" t="s">
        <v>794</v>
      </c>
      <c r="B329" s="138" t="s">
        <v>795</v>
      </c>
      <c r="C329" s="54" t="s">
        <v>606</v>
      </c>
      <c r="D329" s="75">
        <v>1</v>
      </c>
      <c r="E329" s="75"/>
      <c r="F329" s="75"/>
      <c r="G329" s="161"/>
      <c r="H329" s="235"/>
      <c r="I329" s="341">
        <v>4290</v>
      </c>
      <c r="J329" s="166">
        <v>93.8</v>
      </c>
      <c r="K329" s="75">
        <v>402402</v>
      </c>
      <c r="L329" s="91" t="s">
        <v>796</v>
      </c>
      <c r="M329" s="73"/>
      <c r="N329" s="46">
        <v>0</v>
      </c>
      <c r="O329" s="46">
        <v>0</v>
      </c>
      <c r="P329" s="46">
        <v>0</v>
      </c>
      <c r="Q329" s="98"/>
      <c r="R329" s="23" t="s">
        <v>1468</v>
      </c>
      <c r="S329" s="24" t="s">
        <v>795</v>
      </c>
      <c r="T329" s="25" t="s">
        <v>606</v>
      </c>
      <c r="U329" s="26">
        <v>1</v>
      </c>
      <c r="V329" s="26">
        <f t="shared" si="86"/>
        <v>4290</v>
      </c>
      <c r="W329" s="26">
        <f t="shared" si="82"/>
        <v>93.8</v>
      </c>
      <c r="X329" s="26">
        <f t="shared" si="87"/>
        <v>0</v>
      </c>
      <c r="Y329" s="26">
        <f t="shared" si="83"/>
        <v>0</v>
      </c>
      <c r="Z329" s="26">
        <f t="shared" si="88"/>
        <v>0</v>
      </c>
      <c r="AA329" s="26">
        <f t="shared" si="85"/>
        <v>0</v>
      </c>
      <c r="AB329" s="33" t="s">
        <v>15</v>
      </c>
      <c r="AC329" s="324"/>
      <c r="AD329" s="181">
        <f t="shared" si="81"/>
        <v>4290</v>
      </c>
      <c r="AE329" s="181">
        <f t="shared" si="89"/>
        <v>402402</v>
      </c>
      <c r="AF329" s="181">
        <v>1.7</v>
      </c>
      <c r="AG329" s="181">
        <v>1.7</v>
      </c>
      <c r="AH329" s="363" t="str">
        <f t="shared" si="84"/>
        <v/>
      </c>
      <c r="AI329" s="190">
        <v>0</v>
      </c>
      <c r="AJ329" s="190">
        <v>4290</v>
      </c>
      <c r="AO329" s="367"/>
      <c r="AP329" s="367"/>
      <c r="AQ329" s="367"/>
    </row>
    <row r="330" spans="1:43" s="69" customFormat="1" ht="49.5" x14ac:dyDescent="0.3">
      <c r="A330" s="55" t="s">
        <v>797</v>
      </c>
      <c r="B330" s="138" t="s">
        <v>798</v>
      </c>
      <c r="C330" s="54" t="s">
        <v>606</v>
      </c>
      <c r="D330" s="75">
        <v>1</v>
      </c>
      <c r="E330" s="75"/>
      <c r="F330" s="75"/>
      <c r="G330" s="161"/>
      <c r="H330" s="235"/>
      <c r="I330" s="341">
        <v>613</v>
      </c>
      <c r="J330" s="166">
        <v>63.35</v>
      </c>
      <c r="K330" s="75">
        <v>38833.550000000003</v>
      </c>
      <c r="L330" s="91" t="s">
        <v>799</v>
      </c>
      <c r="M330" s="73"/>
      <c r="N330" s="46">
        <v>0</v>
      </c>
      <c r="O330" s="46">
        <v>0</v>
      </c>
      <c r="P330" s="46">
        <v>0</v>
      </c>
      <c r="Q330" s="98"/>
      <c r="R330" s="23" t="s">
        <v>1469</v>
      </c>
      <c r="S330" s="24" t="s">
        <v>798</v>
      </c>
      <c r="T330" s="25" t="s">
        <v>606</v>
      </c>
      <c r="U330" s="26">
        <v>1</v>
      </c>
      <c r="V330" s="26">
        <f t="shared" si="86"/>
        <v>613</v>
      </c>
      <c r="W330" s="26">
        <f t="shared" si="82"/>
        <v>63.35</v>
      </c>
      <c r="X330" s="26">
        <f t="shared" si="87"/>
        <v>0</v>
      </c>
      <c r="Y330" s="26">
        <f t="shared" si="83"/>
        <v>0</v>
      </c>
      <c r="Z330" s="26">
        <f t="shared" si="88"/>
        <v>0</v>
      </c>
      <c r="AA330" s="26">
        <f t="shared" si="85"/>
        <v>0</v>
      </c>
      <c r="AB330" s="33" t="s">
        <v>15</v>
      </c>
      <c r="AC330" s="324"/>
      <c r="AD330" s="181">
        <f t="shared" ref="AD330:AD393" si="90">IF(V330=0,U330,V330)</f>
        <v>613</v>
      </c>
      <c r="AE330" s="181">
        <f t="shared" si="89"/>
        <v>38833.550000000003</v>
      </c>
      <c r="AF330" s="181">
        <v>1.7</v>
      </c>
      <c r="AG330" s="181">
        <v>1.7</v>
      </c>
      <c r="AH330" s="363" t="str">
        <f t="shared" si="84"/>
        <v/>
      </c>
      <c r="AI330" s="190">
        <v>0</v>
      </c>
      <c r="AJ330" s="190">
        <v>613</v>
      </c>
      <c r="AO330" s="367"/>
      <c r="AP330" s="367"/>
      <c r="AQ330" s="367"/>
    </row>
    <row r="331" spans="1:43" s="69" customFormat="1" ht="49.5" x14ac:dyDescent="0.3">
      <c r="A331" s="55" t="s">
        <v>800</v>
      </c>
      <c r="B331" s="138" t="s">
        <v>801</v>
      </c>
      <c r="C331" s="54" t="s">
        <v>606</v>
      </c>
      <c r="D331" s="75">
        <v>1</v>
      </c>
      <c r="E331" s="75"/>
      <c r="F331" s="75"/>
      <c r="G331" s="161"/>
      <c r="H331" s="235"/>
      <c r="I331" s="341">
        <v>690</v>
      </c>
      <c r="J331" s="166">
        <v>156.05000000000001</v>
      </c>
      <c r="K331" s="75">
        <v>107674.5</v>
      </c>
      <c r="L331" s="91" t="s">
        <v>802</v>
      </c>
      <c r="M331" s="73"/>
      <c r="N331" s="46">
        <v>0</v>
      </c>
      <c r="O331" s="46">
        <v>0</v>
      </c>
      <c r="P331" s="46">
        <v>0</v>
      </c>
      <c r="Q331" s="98"/>
      <c r="R331" s="23" t="s">
        <v>1470</v>
      </c>
      <c r="S331" s="24" t="s">
        <v>801</v>
      </c>
      <c r="T331" s="25" t="s">
        <v>606</v>
      </c>
      <c r="U331" s="26">
        <v>1</v>
      </c>
      <c r="V331" s="26">
        <f t="shared" si="86"/>
        <v>690</v>
      </c>
      <c r="W331" s="26">
        <f t="shared" ref="W331:W394" si="91">J331</f>
        <v>156.05000000000001</v>
      </c>
      <c r="X331" s="26">
        <f t="shared" si="87"/>
        <v>0</v>
      </c>
      <c r="Y331" s="26">
        <f t="shared" si="83"/>
        <v>0</v>
      </c>
      <c r="Z331" s="26">
        <f t="shared" si="88"/>
        <v>0</v>
      </c>
      <c r="AA331" s="26">
        <f t="shared" si="85"/>
        <v>0</v>
      </c>
      <c r="AB331" s="33" t="s">
        <v>15</v>
      </c>
      <c r="AC331" s="324"/>
      <c r="AD331" s="181">
        <f t="shared" si="90"/>
        <v>690</v>
      </c>
      <c r="AE331" s="181">
        <f t="shared" si="89"/>
        <v>107674.5</v>
      </c>
      <c r="AF331" s="181">
        <v>1.7</v>
      </c>
      <c r="AG331" s="181">
        <v>1.7</v>
      </c>
      <c r="AH331" s="363" t="str">
        <f t="shared" si="84"/>
        <v/>
      </c>
      <c r="AI331" s="190">
        <v>0</v>
      </c>
      <c r="AJ331" s="190">
        <v>690</v>
      </c>
      <c r="AO331" s="367"/>
      <c r="AP331" s="367"/>
      <c r="AQ331" s="367"/>
    </row>
    <row r="332" spans="1:43" s="69" customFormat="1" ht="49.5" x14ac:dyDescent="0.3">
      <c r="A332" s="55" t="s">
        <v>803</v>
      </c>
      <c r="B332" s="138" t="s">
        <v>804</v>
      </c>
      <c r="C332" s="54" t="s">
        <v>606</v>
      </c>
      <c r="D332" s="75">
        <v>1</v>
      </c>
      <c r="E332" s="75"/>
      <c r="F332" s="75"/>
      <c r="G332" s="161"/>
      <c r="H332" s="235"/>
      <c r="I332" s="341">
        <v>1335</v>
      </c>
      <c r="J332" s="166">
        <v>69.08</v>
      </c>
      <c r="K332" s="75">
        <v>92221.8</v>
      </c>
      <c r="L332" s="91" t="s">
        <v>805</v>
      </c>
      <c r="M332" s="73"/>
      <c r="N332" s="46">
        <v>0</v>
      </c>
      <c r="O332" s="46">
        <v>0</v>
      </c>
      <c r="P332" s="46">
        <v>0</v>
      </c>
      <c r="Q332" s="98"/>
      <c r="R332" s="23" t="s">
        <v>1471</v>
      </c>
      <c r="S332" s="24" t="s">
        <v>804</v>
      </c>
      <c r="T332" s="25" t="s">
        <v>606</v>
      </c>
      <c r="U332" s="26">
        <v>1</v>
      </c>
      <c r="V332" s="26">
        <f t="shared" si="86"/>
        <v>1335</v>
      </c>
      <c r="W332" s="26">
        <f t="shared" si="91"/>
        <v>69.08</v>
      </c>
      <c r="X332" s="26">
        <f t="shared" si="87"/>
        <v>0</v>
      </c>
      <c r="Y332" s="26">
        <f t="shared" ref="Y332:Y408" si="92">X332+N332</f>
        <v>0</v>
      </c>
      <c r="Z332" s="26">
        <f t="shared" si="88"/>
        <v>0</v>
      </c>
      <c r="AA332" s="26">
        <f t="shared" si="85"/>
        <v>0</v>
      </c>
      <c r="AB332" s="33" t="s">
        <v>15</v>
      </c>
      <c r="AC332" s="324"/>
      <c r="AD332" s="181">
        <f t="shared" si="90"/>
        <v>1335</v>
      </c>
      <c r="AE332" s="181">
        <f t="shared" si="89"/>
        <v>92221.8</v>
      </c>
      <c r="AF332" s="181">
        <v>1.7</v>
      </c>
      <c r="AG332" s="181">
        <v>1.7</v>
      </c>
      <c r="AH332" s="363" t="str">
        <f t="shared" si="84"/>
        <v/>
      </c>
      <c r="AI332" s="190">
        <v>0</v>
      </c>
      <c r="AJ332" s="190">
        <v>1335</v>
      </c>
      <c r="AO332" s="367"/>
      <c r="AP332" s="367"/>
      <c r="AQ332" s="367"/>
    </row>
    <row r="333" spans="1:43" s="69" customFormat="1" ht="49.5" x14ac:dyDescent="0.3">
      <c r="A333" s="55" t="s">
        <v>806</v>
      </c>
      <c r="B333" s="138" t="s">
        <v>807</v>
      </c>
      <c r="C333" s="54" t="s">
        <v>606</v>
      </c>
      <c r="D333" s="75">
        <v>1</v>
      </c>
      <c r="E333" s="75"/>
      <c r="F333" s="75"/>
      <c r="G333" s="161"/>
      <c r="H333" s="235"/>
      <c r="I333" s="341"/>
      <c r="J333" s="166">
        <v>55.62</v>
      </c>
      <c r="K333" s="75">
        <v>55.62</v>
      </c>
      <c r="L333" s="91" t="s">
        <v>808</v>
      </c>
      <c r="M333" s="73"/>
      <c r="N333" s="46">
        <v>0</v>
      </c>
      <c r="O333" s="46">
        <v>0</v>
      </c>
      <c r="P333" s="46">
        <v>0</v>
      </c>
      <c r="Q333" s="98"/>
      <c r="R333" s="23" t="s">
        <v>1472</v>
      </c>
      <c r="S333" s="24" t="s">
        <v>807</v>
      </c>
      <c r="T333" s="25" t="s">
        <v>606</v>
      </c>
      <c r="U333" s="26">
        <v>1</v>
      </c>
      <c r="V333" s="26">
        <f t="shared" si="86"/>
        <v>1</v>
      </c>
      <c r="W333" s="26">
        <f t="shared" si="91"/>
        <v>55.62</v>
      </c>
      <c r="X333" s="26">
        <f t="shared" si="87"/>
        <v>0</v>
      </c>
      <c r="Y333" s="26">
        <f t="shared" si="92"/>
        <v>0</v>
      </c>
      <c r="Z333" s="26">
        <f t="shared" si="88"/>
        <v>0</v>
      </c>
      <c r="AA333" s="26">
        <f t="shared" si="85"/>
        <v>0</v>
      </c>
      <c r="AB333" s="33" t="s">
        <v>15</v>
      </c>
      <c r="AC333" s="324"/>
      <c r="AD333" s="181">
        <f t="shared" si="90"/>
        <v>1</v>
      </c>
      <c r="AE333" s="181">
        <f t="shared" si="89"/>
        <v>55.62</v>
      </c>
      <c r="AF333" s="181">
        <v>1.7</v>
      </c>
      <c r="AG333" s="181">
        <v>1.7</v>
      </c>
      <c r="AH333" s="363" t="str">
        <f t="shared" si="84"/>
        <v/>
      </c>
      <c r="AI333" s="190">
        <v>0</v>
      </c>
      <c r="AJ333" s="188">
        <v>1</v>
      </c>
      <c r="AO333" s="367"/>
      <c r="AP333" s="367"/>
      <c r="AQ333" s="367"/>
    </row>
    <row r="334" spans="1:43" s="69" customFormat="1" ht="49.5" x14ac:dyDescent="0.3">
      <c r="A334" s="55" t="s">
        <v>809</v>
      </c>
      <c r="B334" s="138" t="s">
        <v>810</v>
      </c>
      <c r="C334" s="54" t="s">
        <v>606</v>
      </c>
      <c r="D334" s="75">
        <v>1</v>
      </c>
      <c r="E334" s="75"/>
      <c r="F334" s="75"/>
      <c r="G334" s="161"/>
      <c r="H334" s="235"/>
      <c r="I334" s="341">
        <v>1323</v>
      </c>
      <c r="J334" s="166">
        <v>91.67</v>
      </c>
      <c r="K334" s="75">
        <v>121279.41</v>
      </c>
      <c r="L334" s="91" t="s">
        <v>811</v>
      </c>
      <c r="M334" s="73"/>
      <c r="N334" s="46">
        <v>0</v>
      </c>
      <c r="O334" s="46">
        <v>0</v>
      </c>
      <c r="P334" s="46">
        <v>0</v>
      </c>
      <c r="Q334" s="98"/>
      <c r="R334" s="23" t="s">
        <v>1473</v>
      </c>
      <c r="S334" s="24" t="s">
        <v>810</v>
      </c>
      <c r="T334" s="25" t="s">
        <v>606</v>
      </c>
      <c r="U334" s="26">
        <v>1</v>
      </c>
      <c r="V334" s="26">
        <f t="shared" si="86"/>
        <v>1323</v>
      </c>
      <c r="W334" s="26">
        <f t="shared" si="91"/>
        <v>91.67</v>
      </c>
      <c r="X334" s="26">
        <f t="shared" si="87"/>
        <v>0</v>
      </c>
      <c r="Y334" s="26">
        <f t="shared" si="92"/>
        <v>0</v>
      </c>
      <c r="Z334" s="26">
        <f t="shared" si="88"/>
        <v>0</v>
      </c>
      <c r="AA334" s="26">
        <f t="shared" si="85"/>
        <v>0</v>
      </c>
      <c r="AB334" s="33" t="s">
        <v>15</v>
      </c>
      <c r="AC334" s="324"/>
      <c r="AD334" s="181">
        <f t="shared" si="90"/>
        <v>1323</v>
      </c>
      <c r="AE334" s="181">
        <f t="shared" si="89"/>
        <v>121279.41</v>
      </c>
      <c r="AF334" s="181">
        <v>1.7</v>
      </c>
      <c r="AG334" s="181">
        <v>1.7</v>
      </c>
      <c r="AH334" s="363" t="str">
        <f t="shared" si="84"/>
        <v/>
      </c>
      <c r="AI334" s="190">
        <v>0</v>
      </c>
      <c r="AJ334" s="190">
        <v>1323</v>
      </c>
      <c r="AO334" s="367"/>
      <c r="AP334" s="367"/>
      <c r="AQ334" s="367"/>
    </row>
    <row r="335" spans="1:43" s="69" customFormat="1" ht="49.5" x14ac:dyDescent="0.3">
      <c r="A335" s="55" t="s">
        <v>812</v>
      </c>
      <c r="B335" s="138" t="s">
        <v>813</v>
      </c>
      <c r="C335" s="54" t="s">
        <v>606</v>
      </c>
      <c r="D335" s="75">
        <v>1</v>
      </c>
      <c r="E335" s="75"/>
      <c r="F335" s="75"/>
      <c r="G335" s="161"/>
      <c r="H335" s="235"/>
      <c r="I335" s="158"/>
      <c r="J335" s="166">
        <v>68.5</v>
      </c>
      <c r="K335" s="75">
        <v>68.5</v>
      </c>
      <c r="L335" s="91" t="s">
        <v>814</v>
      </c>
      <c r="M335" s="73"/>
      <c r="N335" s="46">
        <v>0</v>
      </c>
      <c r="O335" s="46">
        <v>0</v>
      </c>
      <c r="P335" s="46">
        <v>0</v>
      </c>
      <c r="Q335" s="98"/>
      <c r="R335" s="23" t="s">
        <v>1474</v>
      </c>
      <c r="S335" s="24" t="s">
        <v>813</v>
      </c>
      <c r="T335" s="25" t="s">
        <v>606</v>
      </c>
      <c r="U335" s="26">
        <v>1</v>
      </c>
      <c r="V335" s="26">
        <f t="shared" si="86"/>
        <v>1</v>
      </c>
      <c r="W335" s="26">
        <f t="shared" si="91"/>
        <v>68.5</v>
      </c>
      <c r="X335" s="26">
        <f t="shared" si="87"/>
        <v>0</v>
      </c>
      <c r="Y335" s="26">
        <f t="shared" si="92"/>
        <v>0</v>
      </c>
      <c r="Z335" s="26">
        <f t="shared" si="88"/>
        <v>0</v>
      </c>
      <c r="AA335" s="26">
        <f t="shared" si="85"/>
        <v>0</v>
      </c>
      <c r="AB335" s="33" t="s">
        <v>15</v>
      </c>
      <c r="AC335" s="324"/>
      <c r="AD335" s="181">
        <f t="shared" si="90"/>
        <v>1</v>
      </c>
      <c r="AE335" s="181">
        <f t="shared" si="89"/>
        <v>68.5</v>
      </c>
      <c r="AF335" s="181">
        <v>1.7</v>
      </c>
      <c r="AG335" s="181">
        <v>1.7</v>
      </c>
      <c r="AH335" s="363" t="str">
        <f t="shared" si="84"/>
        <v/>
      </c>
      <c r="AI335" s="190">
        <v>0</v>
      </c>
      <c r="AJ335" s="188">
        <v>1</v>
      </c>
      <c r="AO335" s="367"/>
      <c r="AP335" s="367"/>
      <c r="AQ335" s="367"/>
    </row>
    <row r="336" spans="1:43" s="69" customFormat="1" ht="49.5" x14ac:dyDescent="0.3">
      <c r="A336" s="55" t="s">
        <v>815</v>
      </c>
      <c r="B336" s="138" t="s">
        <v>816</v>
      </c>
      <c r="C336" s="54" t="s">
        <v>606</v>
      </c>
      <c r="D336" s="75">
        <v>1</v>
      </c>
      <c r="E336" s="75"/>
      <c r="F336" s="75"/>
      <c r="G336" s="161"/>
      <c r="H336" s="235"/>
      <c r="I336" s="341">
        <v>934</v>
      </c>
      <c r="J336" s="166">
        <v>58.2</v>
      </c>
      <c r="K336" s="75">
        <v>54358.8</v>
      </c>
      <c r="L336" s="91" t="s">
        <v>817</v>
      </c>
      <c r="M336" s="73"/>
      <c r="N336" s="46">
        <v>0</v>
      </c>
      <c r="O336" s="46">
        <v>0</v>
      </c>
      <c r="P336" s="46">
        <v>0</v>
      </c>
      <c r="Q336" s="98"/>
      <c r="R336" s="23" t="s">
        <v>1475</v>
      </c>
      <c r="S336" s="24" t="s">
        <v>816</v>
      </c>
      <c r="T336" s="25" t="s">
        <v>606</v>
      </c>
      <c r="U336" s="26">
        <v>1</v>
      </c>
      <c r="V336" s="26">
        <f t="shared" si="86"/>
        <v>934</v>
      </c>
      <c r="W336" s="26">
        <f t="shared" si="91"/>
        <v>58.2</v>
      </c>
      <c r="X336" s="26">
        <f t="shared" si="87"/>
        <v>0</v>
      </c>
      <c r="Y336" s="26">
        <f t="shared" si="92"/>
        <v>0</v>
      </c>
      <c r="Z336" s="26">
        <f t="shared" si="88"/>
        <v>0</v>
      </c>
      <c r="AA336" s="26">
        <f t="shared" si="85"/>
        <v>0</v>
      </c>
      <c r="AB336" s="33" t="s">
        <v>15</v>
      </c>
      <c r="AC336" s="324"/>
      <c r="AD336" s="181">
        <f t="shared" si="90"/>
        <v>934</v>
      </c>
      <c r="AE336" s="181">
        <f t="shared" si="89"/>
        <v>54358.8</v>
      </c>
      <c r="AF336" s="181">
        <v>1.7</v>
      </c>
      <c r="AG336" s="181">
        <v>1.7</v>
      </c>
      <c r="AH336" s="363" t="str">
        <f t="shared" si="84"/>
        <v/>
      </c>
      <c r="AI336" s="190">
        <v>0</v>
      </c>
      <c r="AJ336" s="190">
        <v>934</v>
      </c>
      <c r="AO336" s="367"/>
      <c r="AP336" s="367"/>
      <c r="AQ336" s="367"/>
    </row>
    <row r="337" spans="1:43" s="69" customFormat="1" ht="49.5" x14ac:dyDescent="0.3">
      <c r="A337" s="55" t="s">
        <v>818</v>
      </c>
      <c r="B337" s="138" t="s">
        <v>819</v>
      </c>
      <c r="C337" s="54" t="s">
        <v>606</v>
      </c>
      <c r="D337" s="75">
        <v>1</v>
      </c>
      <c r="E337" s="75"/>
      <c r="F337" s="75"/>
      <c r="G337" s="161"/>
      <c r="H337" s="235"/>
      <c r="I337" s="341"/>
      <c r="J337" s="166">
        <v>70.040000000000006</v>
      </c>
      <c r="K337" s="75">
        <v>70.040000000000006</v>
      </c>
      <c r="L337" s="91" t="s">
        <v>820</v>
      </c>
      <c r="M337" s="73"/>
      <c r="N337" s="46">
        <v>0</v>
      </c>
      <c r="O337" s="46">
        <v>0</v>
      </c>
      <c r="P337" s="46">
        <v>0</v>
      </c>
      <c r="Q337" s="98"/>
      <c r="R337" s="23" t="s">
        <v>1476</v>
      </c>
      <c r="S337" s="24" t="s">
        <v>819</v>
      </c>
      <c r="T337" s="25" t="s">
        <v>606</v>
      </c>
      <c r="U337" s="26">
        <v>1</v>
      </c>
      <c r="V337" s="26">
        <f t="shared" si="86"/>
        <v>1</v>
      </c>
      <c r="W337" s="26">
        <f t="shared" si="91"/>
        <v>70.040000000000006</v>
      </c>
      <c r="X337" s="26">
        <f t="shared" si="87"/>
        <v>0</v>
      </c>
      <c r="Y337" s="26">
        <f t="shared" si="92"/>
        <v>0</v>
      </c>
      <c r="Z337" s="26">
        <f t="shared" si="88"/>
        <v>0</v>
      </c>
      <c r="AA337" s="26">
        <f t="shared" si="85"/>
        <v>0</v>
      </c>
      <c r="AB337" s="33" t="s">
        <v>15</v>
      </c>
      <c r="AC337" s="324"/>
      <c r="AD337" s="181">
        <f t="shared" si="90"/>
        <v>1</v>
      </c>
      <c r="AE337" s="181">
        <f t="shared" si="89"/>
        <v>70.040000000000006</v>
      </c>
      <c r="AF337" s="181">
        <v>1.7</v>
      </c>
      <c r="AG337" s="181">
        <v>1.7</v>
      </c>
      <c r="AH337" s="363" t="str">
        <f t="shared" si="84"/>
        <v/>
      </c>
      <c r="AI337" s="190">
        <v>0</v>
      </c>
      <c r="AJ337" s="188">
        <v>1</v>
      </c>
      <c r="AO337" s="367"/>
      <c r="AP337" s="367"/>
      <c r="AQ337" s="367"/>
    </row>
    <row r="338" spans="1:43" s="69" customFormat="1" ht="49.5" x14ac:dyDescent="0.3">
      <c r="A338" s="55" t="s">
        <v>821</v>
      </c>
      <c r="B338" s="138" t="s">
        <v>822</v>
      </c>
      <c r="C338" s="54" t="s">
        <v>606</v>
      </c>
      <c r="D338" s="75">
        <v>1</v>
      </c>
      <c r="E338" s="75"/>
      <c r="F338" s="75"/>
      <c r="G338" s="161"/>
      <c r="H338" s="235"/>
      <c r="I338" s="341">
        <v>2725</v>
      </c>
      <c r="J338" s="166">
        <v>61.29</v>
      </c>
      <c r="K338" s="75">
        <v>167015.25</v>
      </c>
      <c r="L338" s="91" t="s">
        <v>823</v>
      </c>
      <c r="M338" s="73"/>
      <c r="N338" s="46">
        <v>0</v>
      </c>
      <c r="O338" s="46">
        <v>0</v>
      </c>
      <c r="P338" s="46">
        <v>0</v>
      </c>
      <c r="Q338" s="98"/>
      <c r="R338" s="23" t="s">
        <v>1477</v>
      </c>
      <c r="S338" s="24" t="s">
        <v>822</v>
      </c>
      <c r="T338" s="25" t="s">
        <v>606</v>
      </c>
      <c r="U338" s="26">
        <v>1</v>
      </c>
      <c r="V338" s="26">
        <f t="shared" si="86"/>
        <v>2725</v>
      </c>
      <c r="W338" s="26">
        <f t="shared" si="91"/>
        <v>61.29</v>
      </c>
      <c r="X338" s="26">
        <f t="shared" si="87"/>
        <v>0</v>
      </c>
      <c r="Y338" s="26">
        <f t="shared" si="92"/>
        <v>0</v>
      </c>
      <c r="Z338" s="26">
        <f t="shared" si="88"/>
        <v>0</v>
      </c>
      <c r="AA338" s="26">
        <f t="shared" si="85"/>
        <v>0</v>
      </c>
      <c r="AB338" s="33" t="s">
        <v>15</v>
      </c>
      <c r="AC338" s="324"/>
      <c r="AD338" s="181">
        <f t="shared" si="90"/>
        <v>2725</v>
      </c>
      <c r="AE338" s="181">
        <f t="shared" si="89"/>
        <v>167015.25</v>
      </c>
      <c r="AF338" s="181">
        <v>1.7</v>
      </c>
      <c r="AG338" s="181">
        <v>1.7</v>
      </c>
      <c r="AH338" s="363" t="str">
        <f t="shared" si="84"/>
        <v/>
      </c>
      <c r="AI338" s="190">
        <v>0</v>
      </c>
      <c r="AJ338" s="190">
        <v>2725</v>
      </c>
      <c r="AO338" s="367"/>
      <c r="AP338" s="367"/>
      <c r="AQ338" s="367"/>
    </row>
    <row r="339" spans="1:43" s="69" customFormat="1" ht="49.5" x14ac:dyDescent="0.3">
      <c r="A339" s="55" t="s">
        <v>824</v>
      </c>
      <c r="B339" s="138" t="s">
        <v>825</v>
      </c>
      <c r="C339" s="54" t="s">
        <v>606</v>
      </c>
      <c r="D339" s="75">
        <v>1</v>
      </c>
      <c r="E339" s="75"/>
      <c r="F339" s="75"/>
      <c r="G339" s="161"/>
      <c r="H339" s="235"/>
      <c r="I339" s="341">
        <v>833</v>
      </c>
      <c r="J339" s="166">
        <v>59.74</v>
      </c>
      <c r="K339" s="75">
        <v>49763.42</v>
      </c>
      <c r="L339" s="91" t="s">
        <v>826</v>
      </c>
      <c r="M339" s="73"/>
      <c r="N339" s="46">
        <v>0</v>
      </c>
      <c r="O339" s="46">
        <v>0</v>
      </c>
      <c r="P339" s="46">
        <v>0</v>
      </c>
      <c r="Q339" s="98"/>
      <c r="R339" s="23" t="s">
        <v>1478</v>
      </c>
      <c r="S339" s="24" t="s">
        <v>825</v>
      </c>
      <c r="T339" s="25" t="s">
        <v>606</v>
      </c>
      <c r="U339" s="26">
        <v>1</v>
      </c>
      <c r="V339" s="26">
        <f t="shared" si="86"/>
        <v>833</v>
      </c>
      <c r="W339" s="26">
        <f t="shared" si="91"/>
        <v>59.74</v>
      </c>
      <c r="X339" s="26">
        <f t="shared" si="87"/>
        <v>0</v>
      </c>
      <c r="Y339" s="26">
        <f t="shared" si="92"/>
        <v>0</v>
      </c>
      <c r="Z339" s="26">
        <f t="shared" si="88"/>
        <v>0</v>
      </c>
      <c r="AA339" s="26">
        <f t="shared" si="85"/>
        <v>0</v>
      </c>
      <c r="AB339" s="33" t="s">
        <v>15</v>
      </c>
      <c r="AC339" s="324"/>
      <c r="AD339" s="181">
        <f t="shared" si="90"/>
        <v>833</v>
      </c>
      <c r="AE339" s="181">
        <f t="shared" si="89"/>
        <v>49763.42</v>
      </c>
      <c r="AF339" s="181">
        <v>1.7</v>
      </c>
      <c r="AG339" s="181">
        <v>1.7</v>
      </c>
      <c r="AH339" s="363" t="str">
        <f t="shared" si="84"/>
        <v/>
      </c>
      <c r="AI339" s="190">
        <v>0</v>
      </c>
      <c r="AJ339" s="190">
        <v>833</v>
      </c>
      <c r="AO339" s="367"/>
      <c r="AP339" s="367"/>
      <c r="AQ339" s="367"/>
    </row>
    <row r="340" spans="1:43" s="69" customFormat="1" ht="33" x14ac:dyDescent="0.3">
      <c r="A340" s="55" t="s">
        <v>827</v>
      </c>
      <c r="B340" s="138" t="s">
        <v>828</v>
      </c>
      <c r="C340" s="54" t="s">
        <v>606</v>
      </c>
      <c r="D340" s="75">
        <v>1</v>
      </c>
      <c r="E340" s="75"/>
      <c r="F340" s="75"/>
      <c r="G340" s="161"/>
      <c r="H340" s="235"/>
      <c r="I340" s="341">
        <v>880</v>
      </c>
      <c r="J340" s="166">
        <v>69.58</v>
      </c>
      <c r="K340" s="75">
        <v>61230.400000000001</v>
      </c>
      <c r="L340" s="91" t="s">
        <v>829</v>
      </c>
      <c r="M340" s="73"/>
      <c r="N340" s="46">
        <v>0</v>
      </c>
      <c r="O340" s="46">
        <v>0</v>
      </c>
      <c r="P340" s="46">
        <v>0</v>
      </c>
      <c r="Q340" s="98"/>
      <c r="R340" s="23" t="s">
        <v>1479</v>
      </c>
      <c r="S340" s="24" t="s">
        <v>828</v>
      </c>
      <c r="T340" s="25" t="s">
        <v>606</v>
      </c>
      <c r="U340" s="26">
        <v>1</v>
      </c>
      <c r="V340" s="26">
        <f t="shared" si="86"/>
        <v>880</v>
      </c>
      <c r="W340" s="26">
        <f t="shared" si="91"/>
        <v>69.58</v>
      </c>
      <c r="X340" s="199">
        <f t="shared" si="87"/>
        <v>800</v>
      </c>
      <c r="Y340" s="26">
        <f t="shared" si="92"/>
        <v>800</v>
      </c>
      <c r="Z340" s="26">
        <f t="shared" si="88"/>
        <v>55664</v>
      </c>
      <c r="AA340" s="26">
        <f t="shared" si="85"/>
        <v>55664</v>
      </c>
      <c r="AB340" s="33" t="s">
        <v>15</v>
      </c>
      <c r="AC340" s="324"/>
      <c r="AD340" s="181">
        <f t="shared" si="90"/>
        <v>880</v>
      </c>
      <c r="AE340" s="181">
        <f t="shared" si="89"/>
        <v>61230.400000000001</v>
      </c>
      <c r="AF340" s="181">
        <v>1.7</v>
      </c>
      <c r="AG340" s="181">
        <v>1.7</v>
      </c>
      <c r="AH340" s="363" t="str">
        <f t="shared" si="84"/>
        <v/>
      </c>
      <c r="AI340" s="191">
        <v>800</v>
      </c>
      <c r="AJ340" s="190">
        <v>880</v>
      </c>
      <c r="AO340" s="367"/>
      <c r="AP340" s="367"/>
      <c r="AQ340" s="367"/>
    </row>
    <row r="341" spans="1:43" s="69" customFormat="1" ht="33" x14ac:dyDescent="0.3">
      <c r="A341" s="55" t="s">
        <v>830</v>
      </c>
      <c r="B341" s="138" t="s">
        <v>831</v>
      </c>
      <c r="C341" s="54" t="s">
        <v>606</v>
      </c>
      <c r="D341" s="75">
        <v>1</v>
      </c>
      <c r="E341" s="75"/>
      <c r="F341" s="75"/>
      <c r="G341" s="161"/>
      <c r="H341" s="235"/>
      <c r="I341" s="158"/>
      <c r="J341" s="166">
        <v>112.84</v>
      </c>
      <c r="K341" s="75">
        <v>112.84</v>
      </c>
      <c r="L341" s="91" t="s">
        <v>832</v>
      </c>
      <c r="M341" s="73"/>
      <c r="N341" s="46">
        <v>0</v>
      </c>
      <c r="O341" s="46">
        <v>0</v>
      </c>
      <c r="P341" s="46">
        <v>0</v>
      </c>
      <c r="Q341" s="98"/>
      <c r="R341" s="23" t="s">
        <v>1480</v>
      </c>
      <c r="S341" s="24" t="s">
        <v>831</v>
      </c>
      <c r="T341" s="25" t="s">
        <v>606</v>
      </c>
      <c r="U341" s="26">
        <v>1</v>
      </c>
      <c r="V341" s="26">
        <f t="shared" si="86"/>
        <v>1</v>
      </c>
      <c r="W341" s="26">
        <f t="shared" si="91"/>
        <v>112.84</v>
      </c>
      <c r="X341" s="26">
        <f t="shared" si="87"/>
        <v>0</v>
      </c>
      <c r="Y341" s="26">
        <f t="shared" si="92"/>
        <v>0</v>
      </c>
      <c r="Z341" s="26">
        <f t="shared" si="88"/>
        <v>0</v>
      </c>
      <c r="AA341" s="26">
        <f t="shared" si="85"/>
        <v>0</v>
      </c>
      <c r="AB341" s="33" t="s">
        <v>15</v>
      </c>
      <c r="AC341" s="324"/>
      <c r="AD341" s="181">
        <f t="shared" si="90"/>
        <v>1</v>
      </c>
      <c r="AE341" s="181">
        <f t="shared" si="89"/>
        <v>112.84</v>
      </c>
      <c r="AF341" s="181">
        <v>1.7</v>
      </c>
      <c r="AG341" s="181">
        <v>1.7</v>
      </c>
      <c r="AH341" s="363" t="str">
        <f t="shared" si="84"/>
        <v/>
      </c>
      <c r="AI341" s="190">
        <v>0</v>
      </c>
      <c r="AJ341" s="188">
        <v>1</v>
      </c>
      <c r="AO341" s="367"/>
      <c r="AP341" s="367"/>
      <c r="AQ341" s="367"/>
    </row>
    <row r="342" spans="1:43" s="69" customFormat="1" ht="33" x14ac:dyDescent="0.3">
      <c r="A342" s="55" t="s">
        <v>833</v>
      </c>
      <c r="B342" s="138" t="s">
        <v>834</v>
      </c>
      <c r="C342" s="54" t="s">
        <v>606</v>
      </c>
      <c r="D342" s="75">
        <v>1</v>
      </c>
      <c r="E342" s="75"/>
      <c r="F342" s="75"/>
      <c r="G342" s="161"/>
      <c r="H342" s="235"/>
      <c r="I342" s="158"/>
      <c r="J342" s="166">
        <v>102.54</v>
      </c>
      <c r="K342" s="75">
        <v>102.54</v>
      </c>
      <c r="L342" s="91" t="s">
        <v>835</v>
      </c>
      <c r="M342" s="73"/>
      <c r="N342" s="46">
        <v>0</v>
      </c>
      <c r="O342" s="46">
        <v>0</v>
      </c>
      <c r="P342" s="46">
        <v>0</v>
      </c>
      <c r="Q342" s="98"/>
      <c r="R342" s="23" t="s">
        <v>1481</v>
      </c>
      <c r="S342" s="24" t="s">
        <v>834</v>
      </c>
      <c r="T342" s="25" t="s">
        <v>606</v>
      </c>
      <c r="U342" s="26">
        <v>1</v>
      </c>
      <c r="V342" s="26">
        <f t="shared" si="86"/>
        <v>1</v>
      </c>
      <c r="W342" s="26">
        <f t="shared" si="91"/>
        <v>102.54</v>
      </c>
      <c r="X342" s="26">
        <f t="shared" si="87"/>
        <v>0</v>
      </c>
      <c r="Y342" s="26">
        <f t="shared" si="92"/>
        <v>0</v>
      </c>
      <c r="Z342" s="26">
        <f t="shared" si="88"/>
        <v>0</v>
      </c>
      <c r="AA342" s="26">
        <f t="shared" si="85"/>
        <v>0</v>
      </c>
      <c r="AB342" s="33" t="s">
        <v>15</v>
      </c>
      <c r="AC342" s="324"/>
      <c r="AD342" s="181">
        <f t="shared" si="90"/>
        <v>1</v>
      </c>
      <c r="AE342" s="181">
        <f t="shared" si="89"/>
        <v>102.54</v>
      </c>
      <c r="AF342" s="181">
        <v>1.7</v>
      </c>
      <c r="AG342" s="181">
        <v>1.7</v>
      </c>
      <c r="AH342" s="363" t="str">
        <f t="shared" si="84"/>
        <v/>
      </c>
      <c r="AI342" s="190">
        <v>0</v>
      </c>
      <c r="AJ342" s="188">
        <v>1</v>
      </c>
      <c r="AO342" s="367"/>
      <c r="AP342" s="367"/>
      <c r="AQ342" s="367"/>
    </row>
    <row r="343" spans="1:43" s="69" customFormat="1" ht="49.5" x14ac:dyDescent="0.3">
      <c r="A343" s="55" t="s">
        <v>836</v>
      </c>
      <c r="B343" s="138" t="s">
        <v>837</v>
      </c>
      <c r="C343" s="54" t="s">
        <v>606</v>
      </c>
      <c r="D343" s="75">
        <v>1</v>
      </c>
      <c r="E343" s="75"/>
      <c r="F343" s="75"/>
      <c r="G343" s="161"/>
      <c r="H343" s="235"/>
      <c r="I343" s="341">
        <v>5815</v>
      </c>
      <c r="J343" s="166">
        <v>82.99</v>
      </c>
      <c r="K343" s="75">
        <v>482586.85</v>
      </c>
      <c r="L343" s="91" t="s">
        <v>838</v>
      </c>
      <c r="M343" s="73"/>
      <c r="N343" s="46">
        <v>0</v>
      </c>
      <c r="O343" s="46">
        <v>0</v>
      </c>
      <c r="P343" s="46">
        <v>0</v>
      </c>
      <c r="Q343" s="98"/>
      <c r="R343" s="23" t="s">
        <v>1482</v>
      </c>
      <c r="S343" s="24" t="s">
        <v>837</v>
      </c>
      <c r="T343" s="25" t="s">
        <v>606</v>
      </c>
      <c r="U343" s="26">
        <v>1</v>
      </c>
      <c r="V343" s="26">
        <f t="shared" si="86"/>
        <v>5815</v>
      </c>
      <c r="W343" s="26">
        <f t="shared" si="91"/>
        <v>82.99</v>
      </c>
      <c r="X343" s="199">
        <f t="shared" si="87"/>
        <v>4950</v>
      </c>
      <c r="Y343" s="26">
        <f t="shared" si="92"/>
        <v>4950</v>
      </c>
      <c r="Z343" s="26">
        <f t="shared" si="88"/>
        <v>410800.5</v>
      </c>
      <c r="AA343" s="26">
        <f t="shared" si="85"/>
        <v>410800.5</v>
      </c>
      <c r="AB343" s="33" t="s">
        <v>15</v>
      </c>
      <c r="AC343" s="324"/>
      <c r="AD343" s="181">
        <f t="shared" si="90"/>
        <v>5815</v>
      </c>
      <c r="AE343" s="181">
        <f t="shared" si="89"/>
        <v>482586.85</v>
      </c>
      <c r="AF343" s="181">
        <v>1.7</v>
      </c>
      <c r="AG343" s="181">
        <v>1.7</v>
      </c>
      <c r="AH343" s="363" t="str">
        <f t="shared" si="84"/>
        <v/>
      </c>
      <c r="AI343" s="191">
        <v>4950</v>
      </c>
      <c r="AJ343" s="190">
        <v>5815</v>
      </c>
      <c r="AO343" s="367"/>
      <c r="AP343" s="367"/>
      <c r="AQ343" s="367"/>
    </row>
    <row r="344" spans="1:43" s="69" customFormat="1" ht="49.5" x14ac:dyDescent="0.3">
      <c r="A344" s="55" t="s">
        <v>839</v>
      </c>
      <c r="B344" s="138" t="s">
        <v>840</v>
      </c>
      <c r="C344" s="54" t="s">
        <v>606</v>
      </c>
      <c r="D344" s="75">
        <v>1</v>
      </c>
      <c r="E344" s="75"/>
      <c r="F344" s="75"/>
      <c r="G344" s="161"/>
      <c r="H344" s="235"/>
      <c r="I344" s="341"/>
      <c r="J344" s="166">
        <v>80.41</v>
      </c>
      <c r="K344" s="75">
        <v>80.41</v>
      </c>
      <c r="L344" s="91" t="s">
        <v>841</v>
      </c>
      <c r="M344" s="73"/>
      <c r="N344" s="46">
        <v>0</v>
      </c>
      <c r="O344" s="46">
        <v>0</v>
      </c>
      <c r="P344" s="46">
        <v>0</v>
      </c>
      <c r="Q344" s="98"/>
      <c r="R344" s="23" t="s">
        <v>1483</v>
      </c>
      <c r="S344" s="24" t="s">
        <v>840</v>
      </c>
      <c r="T344" s="25" t="s">
        <v>606</v>
      </c>
      <c r="U344" s="26">
        <v>1</v>
      </c>
      <c r="V344" s="26">
        <f t="shared" si="86"/>
        <v>1</v>
      </c>
      <c r="W344" s="26">
        <f t="shared" si="91"/>
        <v>80.41</v>
      </c>
      <c r="X344" s="26">
        <f t="shared" si="87"/>
        <v>0</v>
      </c>
      <c r="Y344" s="26">
        <f t="shared" si="92"/>
        <v>0</v>
      </c>
      <c r="Z344" s="26">
        <f t="shared" si="88"/>
        <v>0</v>
      </c>
      <c r="AA344" s="26">
        <f t="shared" si="85"/>
        <v>0</v>
      </c>
      <c r="AB344" s="33" t="s">
        <v>15</v>
      </c>
      <c r="AC344" s="324"/>
      <c r="AD344" s="181">
        <f t="shared" si="90"/>
        <v>1</v>
      </c>
      <c r="AE344" s="181">
        <f t="shared" si="89"/>
        <v>80.41</v>
      </c>
      <c r="AF344" s="181">
        <v>1.7</v>
      </c>
      <c r="AG344" s="181">
        <v>1.7</v>
      </c>
      <c r="AH344" s="363" t="str">
        <f t="shared" si="84"/>
        <v/>
      </c>
      <c r="AI344" s="190">
        <v>0</v>
      </c>
      <c r="AJ344" s="188">
        <v>1</v>
      </c>
      <c r="AO344" s="367"/>
      <c r="AP344" s="367"/>
      <c r="AQ344" s="367"/>
    </row>
    <row r="345" spans="1:43" s="69" customFormat="1" ht="49.5" x14ac:dyDescent="0.3">
      <c r="A345" s="55" t="s">
        <v>842</v>
      </c>
      <c r="B345" s="138" t="s">
        <v>843</v>
      </c>
      <c r="C345" s="54" t="s">
        <v>606</v>
      </c>
      <c r="D345" s="75">
        <v>1</v>
      </c>
      <c r="E345" s="75"/>
      <c r="F345" s="75"/>
      <c r="G345" s="161"/>
      <c r="H345" s="235"/>
      <c r="I345" s="341"/>
      <c r="J345" s="166">
        <v>101.01</v>
      </c>
      <c r="K345" s="75">
        <v>101.01</v>
      </c>
      <c r="L345" s="91" t="s">
        <v>844</v>
      </c>
      <c r="M345" s="73"/>
      <c r="N345" s="46">
        <v>0</v>
      </c>
      <c r="O345" s="46">
        <v>0</v>
      </c>
      <c r="P345" s="46">
        <v>0</v>
      </c>
      <c r="Q345" s="98"/>
      <c r="R345" s="23" t="s">
        <v>1484</v>
      </c>
      <c r="S345" s="24" t="s">
        <v>843</v>
      </c>
      <c r="T345" s="25" t="s">
        <v>606</v>
      </c>
      <c r="U345" s="26">
        <v>1</v>
      </c>
      <c r="V345" s="26">
        <f t="shared" si="86"/>
        <v>1</v>
      </c>
      <c r="W345" s="26">
        <f t="shared" si="91"/>
        <v>101.01</v>
      </c>
      <c r="X345" s="26">
        <f t="shared" si="87"/>
        <v>0</v>
      </c>
      <c r="Y345" s="26">
        <f t="shared" si="92"/>
        <v>0</v>
      </c>
      <c r="Z345" s="26">
        <f t="shared" si="88"/>
        <v>0</v>
      </c>
      <c r="AA345" s="26">
        <f t="shared" si="85"/>
        <v>0</v>
      </c>
      <c r="AB345" s="33" t="s">
        <v>15</v>
      </c>
      <c r="AC345" s="324"/>
      <c r="AD345" s="181">
        <f t="shared" si="90"/>
        <v>1</v>
      </c>
      <c r="AE345" s="181">
        <f t="shared" si="89"/>
        <v>101.01</v>
      </c>
      <c r="AF345" s="181">
        <v>1.7</v>
      </c>
      <c r="AG345" s="181">
        <v>1.7</v>
      </c>
      <c r="AH345" s="363" t="str">
        <f t="shared" si="84"/>
        <v/>
      </c>
      <c r="AI345" s="190">
        <v>0</v>
      </c>
      <c r="AJ345" s="188">
        <v>1</v>
      </c>
      <c r="AO345" s="367"/>
      <c r="AP345" s="367"/>
      <c r="AQ345" s="367"/>
    </row>
    <row r="346" spans="1:43" s="69" customFormat="1" ht="49.5" x14ac:dyDescent="0.3">
      <c r="A346" s="55" t="s">
        <v>845</v>
      </c>
      <c r="B346" s="138" t="s">
        <v>846</v>
      </c>
      <c r="C346" s="54" t="s">
        <v>606</v>
      </c>
      <c r="D346" s="75">
        <v>1</v>
      </c>
      <c r="E346" s="75"/>
      <c r="F346" s="75"/>
      <c r="G346" s="161"/>
      <c r="H346" s="235"/>
      <c r="I346" s="341">
        <v>1657</v>
      </c>
      <c r="J346" s="166">
        <v>76.290000000000006</v>
      </c>
      <c r="K346" s="75">
        <v>126412.53</v>
      </c>
      <c r="L346" s="91" t="s">
        <v>847</v>
      </c>
      <c r="M346" s="73"/>
      <c r="N346" s="46">
        <v>0</v>
      </c>
      <c r="O346" s="46">
        <v>0</v>
      </c>
      <c r="P346" s="46">
        <v>0</v>
      </c>
      <c r="Q346" s="98"/>
      <c r="R346" s="23" t="s">
        <v>1485</v>
      </c>
      <c r="S346" s="24" t="s">
        <v>846</v>
      </c>
      <c r="T346" s="25" t="s">
        <v>606</v>
      </c>
      <c r="U346" s="26">
        <v>1</v>
      </c>
      <c r="V346" s="26">
        <f t="shared" si="86"/>
        <v>1657</v>
      </c>
      <c r="W346" s="26">
        <f t="shared" si="91"/>
        <v>76.290000000000006</v>
      </c>
      <c r="X346" s="199">
        <f t="shared" si="87"/>
        <v>1400</v>
      </c>
      <c r="Y346" s="26">
        <f t="shared" si="92"/>
        <v>1400</v>
      </c>
      <c r="Z346" s="26">
        <f t="shared" si="88"/>
        <v>106806</v>
      </c>
      <c r="AA346" s="26">
        <f t="shared" si="85"/>
        <v>106806</v>
      </c>
      <c r="AB346" s="33" t="s">
        <v>15</v>
      </c>
      <c r="AC346" s="324"/>
      <c r="AD346" s="181">
        <f t="shared" si="90"/>
        <v>1657</v>
      </c>
      <c r="AE346" s="181">
        <f t="shared" si="89"/>
        <v>126412.53</v>
      </c>
      <c r="AF346" s="181">
        <v>1.7</v>
      </c>
      <c r="AG346" s="181">
        <v>1.7</v>
      </c>
      <c r="AH346" s="363" t="str">
        <f t="shared" si="84"/>
        <v/>
      </c>
      <c r="AI346" s="191">
        <v>1400</v>
      </c>
      <c r="AJ346" s="190">
        <v>1657</v>
      </c>
      <c r="AO346" s="367"/>
      <c r="AP346" s="367"/>
      <c r="AQ346" s="367"/>
    </row>
    <row r="347" spans="1:43" s="69" customFormat="1" ht="33" x14ac:dyDescent="0.3">
      <c r="A347" s="55" t="s">
        <v>848</v>
      </c>
      <c r="B347" s="138" t="s">
        <v>849</v>
      </c>
      <c r="C347" s="54" t="s">
        <v>606</v>
      </c>
      <c r="D347" s="75">
        <v>1</v>
      </c>
      <c r="E347" s="75"/>
      <c r="F347" s="75"/>
      <c r="G347" s="161"/>
      <c r="H347" s="235"/>
      <c r="I347" s="341">
        <v>759</v>
      </c>
      <c r="J347" s="166">
        <v>73.650000000000006</v>
      </c>
      <c r="K347" s="75">
        <v>55900.35</v>
      </c>
      <c r="L347" s="91" t="s">
        <v>850</v>
      </c>
      <c r="M347" s="73"/>
      <c r="N347" s="46">
        <v>0</v>
      </c>
      <c r="O347" s="46">
        <v>0</v>
      </c>
      <c r="P347" s="46">
        <v>0</v>
      </c>
      <c r="Q347" s="98"/>
      <c r="R347" s="23" t="s">
        <v>1486</v>
      </c>
      <c r="S347" s="24" t="s">
        <v>849</v>
      </c>
      <c r="T347" s="25" t="s">
        <v>606</v>
      </c>
      <c r="U347" s="26">
        <v>1</v>
      </c>
      <c r="V347" s="26">
        <f t="shared" si="86"/>
        <v>759</v>
      </c>
      <c r="W347" s="26">
        <f t="shared" si="91"/>
        <v>73.650000000000006</v>
      </c>
      <c r="X347" s="199">
        <f t="shared" si="87"/>
        <v>320</v>
      </c>
      <c r="Y347" s="26">
        <f t="shared" si="92"/>
        <v>320</v>
      </c>
      <c r="Z347" s="26">
        <f t="shared" si="88"/>
        <v>23568</v>
      </c>
      <c r="AA347" s="26">
        <f t="shared" si="85"/>
        <v>23568</v>
      </c>
      <c r="AB347" s="33" t="s">
        <v>15</v>
      </c>
      <c r="AC347" s="324"/>
      <c r="AD347" s="181">
        <f t="shared" si="90"/>
        <v>759</v>
      </c>
      <c r="AE347" s="181">
        <f t="shared" si="89"/>
        <v>55900.35</v>
      </c>
      <c r="AF347" s="181">
        <v>1.7</v>
      </c>
      <c r="AG347" s="181">
        <v>1.7</v>
      </c>
      <c r="AH347" s="363" t="str">
        <f t="shared" si="84"/>
        <v/>
      </c>
      <c r="AI347" s="191">
        <v>320</v>
      </c>
      <c r="AJ347" s="190">
        <v>759</v>
      </c>
      <c r="AO347" s="367"/>
      <c r="AP347" s="367"/>
      <c r="AQ347" s="367"/>
    </row>
    <row r="348" spans="1:43" s="69" customFormat="1" ht="58.5" x14ac:dyDescent="0.3">
      <c r="A348" s="130" t="s">
        <v>851</v>
      </c>
      <c r="B348" s="131" t="s">
        <v>852</v>
      </c>
      <c r="C348" s="54" t="s">
        <v>50</v>
      </c>
      <c r="D348" s="75">
        <v>1</v>
      </c>
      <c r="E348" s="75"/>
      <c r="F348" s="75"/>
      <c r="G348" s="161"/>
      <c r="H348" s="235"/>
      <c r="I348" s="345">
        <v>1489</v>
      </c>
      <c r="J348" s="166">
        <v>43.78</v>
      </c>
      <c r="K348" s="75">
        <v>65188.42</v>
      </c>
      <c r="L348" s="91" t="s">
        <v>853</v>
      </c>
      <c r="M348" s="73"/>
      <c r="N348" s="46">
        <v>0</v>
      </c>
      <c r="O348" s="46">
        <v>0</v>
      </c>
      <c r="P348" s="46">
        <v>0</v>
      </c>
      <c r="Q348" s="98"/>
      <c r="R348" s="23" t="s">
        <v>1487</v>
      </c>
      <c r="S348" s="24" t="s">
        <v>852</v>
      </c>
      <c r="T348" s="25" t="s">
        <v>50</v>
      </c>
      <c r="U348" s="26">
        <v>1</v>
      </c>
      <c r="V348" s="26">
        <f t="shared" si="86"/>
        <v>1489</v>
      </c>
      <c r="W348" s="26">
        <f t="shared" si="91"/>
        <v>43.78</v>
      </c>
      <c r="X348" s="243">
        <f t="shared" si="87"/>
        <v>1489</v>
      </c>
      <c r="Y348" s="127">
        <f t="shared" si="92"/>
        <v>1489</v>
      </c>
      <c r="Z348" s="127">
        <f t="shared" si="88"/>
        <v>65188.42</v>
      </c>
      <c r="AA348" s="127">
        <f t="shared" si="85"/>
        <v>65188.42</v>
      </c>
      <c r="AB348" s="33" t="s">
        <v>15</v>
      </c>
      <c r="AC348" s="324"/>
      <c r="AD348" s="181">
        <f t="shared" si="90"/>
        <v>1489</v>
      </c>
      <c r="AE348" s="181">
        <f t="shared" si="89"/>
        <v>65188.42</v>
      </c>
      <c r="AF348" s="181">
        <v>1.7</v>
      </c>
      <c r="AG348" s="181">
        <v>1.7</v>
      </c>
      <c r="AH348" s="363" t="str">
        <f t="shared" si="84"/>
        <v/>
      </c>
      <c r="AI348" s="191">
        <v>1489</v>
      </c>
      <c r="AJ348" s="190">
        <v>1489</v>
      </c>
      <c r="AO348" s="367"/>
      <c r="AP348" s="367"/>
      <c r="AQ348" s="367"/>
    </row>
    <row r="349" spans="1:43" s="69" customFormat="1" ht="39" x14ac:dyDescent="0.3">
      <c r="A349" s="55" t="s">
        <v>854</v>
      </c>
      <c r="B349" s="53" t="s">
        <v>855</v>
      </c>
      <c r="C349" s="54" t="s">
        <v>856</v>
      </c>
      <c r="D349" s="75">
        <v>1</v>
      </c>
      <c r="E349" s="75"/>
      <c r="F349" s="75"/>
      <c r="G349" s="161"/>
      <c r="H349" s="235"/>
      <c r="I349" s="341">
        <v>27100</v>
      </c>
      <c r="J349" s="166">
        <v>28.11</v>
      </c>
      <c r="K349" s="75">
        <v>761781</v>
      </c>
      <c r="L349" s="91" t="s">
        <v>857</v>
      </c>
      <c r="M349" s="73"/>
      <c r="N349" s="46">
        <v>0</v>
      </c>
      <c r="O349" s="46">
        <v>0</v>
      </c>
      <c r="P349" s="46">
        <v>0</v>
      </c>
      <c r="Q349" s="98"/>
      <c r="R349" s="23" t="s">
        <v>1488</v>
      </c>
      <c r="S349" s="24" t="s">
        <v>855</v>
      </c>
      <c r="T349" s="25" t="s">
        <v>856</v>
      </c>
      <c r="U349" s="26">
        <v>1</v>
      </c>
      <c r="V349" s="26">
        <f t="shared" si="86"/>
        <v>27100</v>
      </c>
      <c r="W349" s="26">
        <f t="shared" si="91"/>
        <v>28.11</v>
      </c>
      <c r="X349" s="199">
        <f t="shared" si="87"/>
        <v>16000</v>
      </c>
      <c r="Y349" s="26">
        <f t="shared" si="92"/>
        <v>16000</v>
      </c>
      <c r="Z349" s="26">
        <f t="shared" si="88"/>
        <v>449760</v>
      </c>
      <c r="AA349" s="26">
        <f t="shared" si="85"/>
        <v>449760</v>
      </c>
      <c r="AB349" s="33" t="s">
        <v>15</v>
      </c>
      <c r="AC349" s="324"/>
      <c r="AD349" s="181">
        <f t="shared" si="90"/>
        <v>27100</v>
      </c>
      <c r="AE349" s="181">
        <f t="shared" si="89"/>
        <v>761781</v>
      </c>
      <c r="AF349" s="181">
        <v>1.7</v>
      </c>
      <c r="AG349" s="181">
        <v>1.7</v>
      </c>
      <c r="AH349" s="363" t="str">
        <f t="shared" si="84"/>
        <v/>
      </c>
      <c r="AI349" s="191">
        <v>16000</v>
      </c>
      <c r="AJ349" s="190">
        <v>27100</v>
      </c>
      <c r="AO349" s="367"/>
      <c r="AP349" s="367"/>
      <c r="AQ349" s="367"/>
    </row>
    <row r="350" spans="1:43" s="69" customFormat="1" ht="24.75" x14ac:dyDescent="0.3">
      <c r="A350" s="55" t="s">
        <v>858</v>
      </c>
      <c r="B350" s="53" t="s">
        <v>859</v>
      </c>
      <c r="C350" s="54" t="s">
        <v>50</v>
      </c>
      <c r="D350" s="75">
        <v>1</v>
      </c>
      <c r="E350" s="75"/>
      <c r="F350" s="75"/>
      <c r="G350" s="224"/>
      <c r="H350" s="235"/>
      <c r="I350" s="341">
        <v>6966</v>
      </c>
      <c r="J350" s="166">
        <v>245.47</v>
      </c>
      <c r="K350" s="75">
        <v>1709944.02</v>
      </c>
      <c r="L350" s="91" t="s">
        <v>860</v>
      </c>
      <c r="M350" s="73"/>
      <c r="N350" s="46">
        <v>0</v>
      </c>
      <c r="O350" s="46">
        <v>0</v>
      </c>
      <c r="P350" s="46">
        <v>0</v>
      </c>
      <c r="Q350" s="98"/>
      <c r="R350" s="23" t="s">
        <v>1489</v>
      </c>
      <c r="S350" s="24" t="s">
        <v>859</v>
      </c>
      <c r="T350" s="25" t="s">
        <v>50</v>
      </c>
      <c r="U350" s="26">
        <v>1</v>
      </c>
      <c r="V350" s="26">
        <f t="shared" si="86"/>
        <v>6966</v>
      </c>
      <c r="W350" s="26">
        <f t="shared" si="91"/>
        <v>245.47</v>
      </c>
      <c r="X350" s="199">
        <f t="shared" si="87"/>
        <v>1200</v>
      </c>
      <c r="Y350" s="26">
        <f t="shared" si="92"/>
        <v>1200</v>
      </c>
      <c r="Z350" s="26">
        <f t="shared" si="88"/>
        <v>294564</v>
      </c>
      <c r="AA350" s="26">
        <f t="shared" si="85"/>
        <v>294564</v>
      </c>
      <c r="AB350" s="33" t="s">
        <v>15</v>
      </c>
      <c r="AC350" s="324"/>
      <c r="AD350" s="181">
        <f t="shared" si="90"/>
        <v>6966</v>
      </c>
      <c r="AE350" s="181">
        <f t="shared" si="89"/>
        <v>1709944.02</v>
      </c>
      <c r="AF350" s="181">
        <v>1.7</v>
      </c>
      <c r="AG350" s="181">
        <v>1.7</v>
      </c>
      <c r="AH350" s="363" t="str">
        <f t="shared" si="84"/>
        <v/>
      </c>
      <c r="AI350" s="191">
        <v>1200</v>
      </c>
      <c r="AJ350" s="190">
        <v>6966</v>
      </c>
      <c r="AN350" s="70"/>
      <c r="AO350" s="367"/>
      <c r="AP350" s="367"/>
      <c r="AQ350" s="367"/>
    </row>
    <row r="351" spans="1:43" x14ac:dyDescent="0.3">
      <c r="A351" s="67" t="s">
        <v>1336</v>
      </c>
      <c r="B351" s="64" t="s">
        <v>1337</v>
      </c>
      <c r="C351" s="61" t="s">
        <v>30</v>
      </c>
      <c r="D351" s="78"/>
      <c r="E351" s="78"/>
      <c r="F351" s="62">
        <v>73.48</v>
      </c>
      <c r="G351" s="163"/>
      <c r="H351" s="163"/>
      <c r="I351" s="62"/>
      <c r="J351" s="167">
        <v>839.94</v>
      </c>
      <c r="K351" s="62">
        <v>61718.79</v>
      </c>
      <c r="L351" s="93"/>
      <c r="N351" s="46">
        <v>0</v>
      </c>
      <c r="O351" s="46">
        <v>0</v>
      </c>
      <c r="P351" s="46">
        <v>0</v>
      </c>
      <c r="Q351" s="98"/>
      <c r="R351" s="23" t="s">
        <v>1398</v>
      </c>
      <c r="S351" s="24" t="s">
        <v>1337</v>
      </c>
      <c r="T351" s="25" t="s">
        <v>30</v>
      </c>
      <c r="U351" s="26">
        <v>0</v>
      </c>
      <c r="V351" s="26">
        <f t="shared" si="86"/>
        <v>73.48</v>
      </c>
      <c r="W351" s="26">
        <f t="shared" si="91"/>
        <v>839.94</v>
      </c>
      <c r="X351" s="26">
        <f t="shared" si="87"/>
        <v>0</v>
      </c>
      <c r="Y351" s="26">
        <f t="shared" si="92"/>
        <v>0</v>
      </c>
      <c r="Z351" s="26">
        <f t="shared" si="88"/>
        <v>0</v>
      </c>
      <c r="AA351" s="26">
        <f>ROUND(W351*Y351,2)</f>
        <v>0</v>
      </c>
      <c r="AB351" s="27"/>
      <c r="AC351" s="324"/>
      <c r="AD351" s="181">
        <f t="shared" si="90"/>
        <v>73.48</v>
      </c>
      <c r="AE351" s="181">
        <f t="shared" si="89"/>
        <v>61718.79</v>
      </c>
      <c r="AF351" s="181">
        <v>1.7</v>
      </c>
      <c r="AG351" s="181">
        <v>1.7</v>
      </c>
      <c r="AH351" s="363" t="str">
        <f t="shared" si="84"/>
        <v/>
      </c>
      <c r="AI351" s="190">
        <v>0</v>
      </c>
      <c r="AJ351" s="188">
        <v>73.48</v>
      </c>
      <c r="AN351" s="70"/>
      <c r="AO351" s="367"/>
      <c r="AP351" s="367"/>
      <c r="AQ351" s="367"/>
    </row>
    <row r="352" spans="1:43" ht="39" x14ac:dyDescent="0.3">
      <c r="A352" s="298" t="s">
        <v>1338</v>
      </c>
      <c r="B352" s="299" t="s">
        <v>1339</v>
      </c>
      <c r="C352" s="146" t="s">
        <v>1359</v>
      </c>
      <c r="D352" s="147"/>
      <c r="E352" s="147"/>
      <c r="F352" s="300">
        <v>17856</v>
      </c>
      <c r="G352" s="164"/>
      <c r="H352" s="164"/>
      <c r="I352" s="62"/>
      <c r="J352" s="168">
        <v>150</v>
      </c>
      <c r="K352" s="148">
        <v>2678400</v>
      </c>
      <c r="L352" s="149"/>
      <c r="N352" s="46">
        <v>11608</v>
      </c>
      <c r="O352" s="46">
        <v>0</v>
      </c>
      <c r="P352" s="46">
        <v>1741200</v>
      </c>
      <c r="Q352" s="98"/>
      <c r="R352" s="23" t="s">
        <v>1399</v>
      </c>
      <c r="S352" s="24" t="s">
        <v>1339</v>
      </c>
      <c r="T352" s="25" t="s">
        <v>1359</v>
      </c>
      <c r="U352" s="26">
        <v>0</v>
      </c>
      <c r="V352" s="26">
        <f t="shared" si="86"/>
        <v>17856</v>
      </c>
      <c r="W352" s="26">
        <f t="shared" si="91"/>
        <v>150</v>
      </c>
      <c r="X352" s="243">
        <f t="shared" si="87"/>
        <v>0</v>
      </c>
      <c r="Y352" s="26">
        <f t="shared" si="92"/>
        <v>11608</v>
      </c>
      <c r="Z352" s="26">
        <f t="shared" si="88"/>
        <v>0</v>
      </c>
      <c r="AA352" s="26">
        <f t="shared" si="85"/>
        <v>1741200</v>
      </c>
      <c r="AB352" s="27"/>
      <c r="AC352" s="324"/>
      <c r="AD352" s="181">
        <f t="shared" si="90"/>
        <v>17856</v>
      </c>
      <c r="AE352" s="181">
        <f t="shared" si="89"/>
        <v>2678400</v>
      </c>
      <c r="AF352" s="181">
        <v>1.7</v>
      </c>
      <c r="AG352" s="181">
        <v>1.7</v>
      </c>
      <c r="AH352" s="363" t="str">
        <f t="shared" si="84"/>
        <v/>
      </c>
      <c r="AI352" s="191">
        <f>10000+1608</f>
        <v>11608</v>
      </c>
      <c r="AJ352" s="188">
        <v>17856</v>
      </c>
      <c r="AN352" s="282"/>
      <c r="AO352" s="367"/>
      <c r="AP352" s="367"/>
      <c r="AQ352" s="367"/>
    </row>
    <row r="353" spans="1:43" s="282" customFormat="1" ht="66" x14ac:dyDescent="0.3">
      <c r="A353" s="272" t="s">
        <v>3227</v>
      </c>
      <c r="B353" s="349" t="s">
        <v>3236</v>
      </c>
      <c r="C353" s="274" t="s">
        <v>606</v>
      </c>
      <c r="D353" s="288"/>
      <c r="E353" s="288"/>
      <c r="F353" s="301"/>
      <c r="G353" s="275"/>
      <c r="H353" s="275"/>
      <c r="I353" s="346">
        <v>19</v>
      </c>
      <c r="J353" s="288">
        <v>40413.589999999997</v>
      </c>
      <c r="K353" s="275">
        <v>767858.21</v>
      </c>
      <c r="L353" s="277"/>
      <c r="M353" s="278"/>
      <c r="N353" s="42"/>
      <c r="O353" s="42"/>
      <c r="P353" s="42"/>
      <c r="Q353" s="98"/>
      <c r="R353" s="13" t="s">
        <v>1490</v>
      </c>
      <c r="S353" s="286" t="str">
        <f t="shared" ref="S353:S361" si="93">B353</f>
        <v>水茄苳，450≦樹高&lt;500cm，220≦樹幅&lt;240cm，14≦米高直徑&lt;16cm</v>
      </c>
      <c r="T353" s="287" t="str">
        <f t="shared" ref="T353:T361" si="94">C353</f>
        <v>株</v>
      </c>
      <c r="U353" s="16"/>
      <c r="V353" s="16">
        <f t="shared" si="86"/>
        <v>19</v>
      </c>
      <c r="W353" s="16">
        <f t="shared" si="91"/>
        <v>40413.589999999997</v>
      </c>
      <c r="X353" s="334">
        <f t="shared" si="87"/>
        <v>19</v>
      </c>
      <c r="Y353" s="127">
        <f t="shared" si="92"/>
        <v>19</v>
      </c>
      <c r="Z353" s="127">
        <f t="shared" si="88"/>
        <v>767858.21</v>
      </c>
      <c r="AA353" s="127">
        <f t="shared" si="85"/>
        <v>767858.21</v>
      </c>
      <c r="AB353" s="279"/>
      <c r="AC353" s="324"/>
      <c r="AD353" s="181">
        <f t="shared" si="90"/>
        <v>19</v>
      </c>
      <c r="AE353" s="181">
        <f t="shared" ref="AE353:AE361" si="95">ROUND(W353*AD353,2)</f>
        <v>767858.21</v>
      </c>
      <c r="AF353" s="181">
        <v>1.7</v>
      </c>
      <c r="AG353" s="181">
        <v>1.7</v>
      </c>
      <c r="AH353" s="364"/>
      <c r="AI353" s="296">
        <v>19</v>
      </c>
      <c r="AJ353" s="190">
        <v>19</v>
      </c>
      <c r="AO353" s="367"/>
      <c r="AP353" s="367"/>
      <c r="AQ353" s="367"/>
    </row>
    <row r="354" spans="1:43" s="282" customFormat="1" ht="66" x14ac:dyDescent="0.3">
      <c r="A354" s="272" t="s">
        <v>3228</v>
      </c>
      <c r="B354" s="349" t="s">
        <v>3237</v>
      </c>
      <c r="C354" s="274" t="s">
        <v>606</v>
      </c>
      <c r="D354" s="288"/>
      <c r="E354" s="288"/>
      <c r="F354" s="301"/>
      <c r="G354" s="275"/>
      <c r="H354" s="275"/>
      <c r="I354" s="346">
        <v>15</v>
      </c>
      <c r="J354" s="288">
        <v>24864.34</v>
      </c>
      <c r="K354" s="275">
        <v>372965.1</v>
      </c>
      <c r="L354" s="277"/>
      <c r="M354" s="278"/>
      <c r="N354" s="42"/>
      <c r="O354" s="42"/>
      <c r="P354" s="42"/>
      <c r="Q354" s="98"/>
      <c r="R354" s="13" t="s">
        <v>1491</v>
      </c>
      <c r="S354" s="286" t="str">
        <f t="shared" si="93"/>
        <v>台灣石楠，250≦樹高&lt;300cm，160≦樹幅&lt;180cm，8≦米高直徑&lt;10cm</v>
      </c>
      <c r="T354" s="287" t="str">
        <f t="shared" si="94"/>
        <v>株</v>
      </c>
      <c r="U354" s="16"/>
      <c r="V354" s="16">
        <f t="shared" si="86"/>
        <v>15</v>
      </c>
      <c r="W354" s="16">
        <f t="shared" si="91"/>
        <v>24864.34</v>
      </c>
      <c r="X354" s="334">
        <f t="shared" si="87"/>
        <v>0</v>
      </c>
      <c r="Y354" s="127">
        <f t="shared" si="92"/>
        <v>0</v>
      </c>
      <c r="Z354" s="127">
        <f t="shared" si="88"/>
        <v>0</v>
      </c>
      <c r="AA354" s="127">
        <f t="shared" si="85"/>
        <v>0</v>
      </c>
      <c r="AB354" s="279"/>
      <c r="AC354" s="324"/>
      <c r="AD354" s="181">
        <f t="shared" si="90"/>
        <v>15</v>
      </c>
      <c r="AE354" s="181">
        <f t="shared" si="95"/>
        <v>372965.1</v>
      </c>
      <c r="AF354" s="181">
        <v>1.7</v>
      </c>
      <c r="AG354" s="181">
        <v>1.7</v>
      </c>
      <c r="AH354" s="364"/>
      <c r="AI354" s="296">
        <v>0</v>
      </c>
      <c r="AJ354" s="190">
        <v>15</v>
      </c>
      <c r="AO354" s="367"/>
      <c r="AP354" s="367"/>
      <c r="AQ354" s="367"/>
    </row>
    <row r="355" spans="1:43" s="282" customFormat="1" ht="66" x14ac:dyDescent="0.3">
      <c r="A355" s="272" t="s">
        <v>3229</v>
      </c>
      <c r="B355" s="349" t="s">
        <v>3238</v>
      </c>
      <c r="C355" s="274" t="s">
        <v>606</v>
      </c>
      <c r="D355" s="288"/>
      <c r="E355" s="288"/>
      <c r="F355" s="301"/>
      <c r="G355" s="275"/>
      <c r="H355" s="275"/>
      <c r="I355" s="346">
        <v>18</v>
      </c>
      <c r="J355" s="288">
        <v>42644.21</v>
      </c>
      <c r="K355" s="275">
        <v>767595.78</v>
      </c>
      <c r="L355" s="277"/>
      <c r="M355" s="278"/>
      <c r="N355" s="42"/>
      <c r="O355" s="42"/>
      <c r="P355" s="42"/>
      <c r="Q355" s="98"/>
      <c r="R355" s="13" t="s">
        <v>1492</v>
      </c>
      <c r="S355" s="286" t="str">
        <f t="shared" si="93"/>
        <v>九芎，450≦樹高&lt;500cm，220≦樹幅&lt;240cm，14≦米高直徑&lt;16cm</v>
      </c>
      <c r="T355" s="287" t="str">
        <f t="shared" si="94"/>
        <v>株</v>
      </c>
      <c r="U355" s="16"/>
      <c r="V355" s="16">
        <f t="shared" si="86"/>
        <v>18</v>
      </c>
      <c r="W355" s="16">
        <f t="shared" si="91"/>
        <v>42644.21</v>
      </c>
      <c r="X355" s="334">
        <f t="shared" si="87"/>
        <v>18</v>
      </c>
      <c r="Y355" s="127">
        <f t="shared" si="92"/>
        <v>18</v>
      </c>
      <c r="Z355" s="127">
        <f t="shared" si="88"/>
        <v>767595.78</v>
      </c>
      <c r="AA355" s="127">
        <f t="shared" si="85"/>
        <v>767595.78</v>
      </c>
      <c r="AB355" s="279"/>
      <c r="AC355" s="324"/>
      <c r="AD355" s="181">
        <f t="shared" si="90"/>
        <v>18</v>
      </c>
      <c r="AE355" s="181">
        <f t="shared" si="95"/>
        <v>767595.78</v>
      </c>
      <c r="AF355" s="181">
        <v>1.7</v>
      </c>
      <c r="AG355" s="181">
        <v>1.7</v>
      </c>
      <c r="AH355" s="364"/>
      <c r="AI355" s="296">
        <v>18</v>
      </c>
      <c r="AJ355" s="190">
        <v>18</v>
      </c>
      <c r="AO355" s="367"/>
      <c r="AP355" s="367"/>
      <c r="AQ355" s="367"/>
    </row>
    <row r="356" spans="1:43" s="282" customFormat="1" ht="66" x14ac:dyDescent="0.3">
      <c r="A356" s="272" t="s">
        <v>3230</v>
      </c>
      <c r="B356" s="349" t="s">
        <v>3239</v>
      </c>
      <c r="C356" s="274" t="s">
        <v>606</v>
      </c>
      <c r="D356" s="288"/>
      <c r="E356" s="288"/>
      <c r="F356" s="301"/>
      <c r="G356" s="275"/>
      <c r="H356" s="275"/>
      <c r="I356" s="346">
        <v>13</v>
      </c>
      <c r="J356" s="288">
        <v>32692.34</v>
      </c>
      <c r="K356" s="275">
        <v>425000.42</v>
      </c>
      <c r="L356" s="277"/>
      <c r="M356" s="278"/>
      <c r="N356" s="42"/>
      <c r="O356" s="42"/>
      <c r="P356" s="42"/>
      <c r="Q356" s="98"/>
      <c r="R356" s="13" t="s">
        <v>1493</v>
      </c>
      <c r="S356" s="286" t="str">
        <f t="shared" si="93"/>
        <v>水柳，450≦樹高&lt;500cm，220≦樹幅&lt;240cm，14≦米高直徑&lt;16cm</v>
      </c>
      <c r="T356" s="287" t="str">
        <f t="shared" si="94"/>
        <v>株</v>
      </c>
      <c r="U356" s="16"/>
      <c r="V356" s="16">
        <f t="shared" si="86"/>
        <v>13</v>
      </c>
      <c r="W356" s="16">
        <f t="shared" si="91"/>
        <v>32692.34</v>
      </c>
      <c r="X356" s="334">
        <f t="shared" si="87"/>
        <v>8</v>
      </c>
      <c r="Y356" s="127">
        <f t="shared" si="92"/>
        <v>8</v>
      </c>
      <c r="Z356" s="127">
        <f t="shared" si="88"/>
        <v>261538.72</v>
      </c>
      <c r="AA356" s="127">
        <f t="shared" si="85"/>
        <v>261538.72</v>
      </c>
      <c r="AB356" s="279"/>
      <c r="AC356" s="324"/>
      <c r="AD356" s="181">
        <f t="shared" si="90"/>
        <v>13</v>
      </c>
      <c r="AE356" s="181">
        <f t="shared" si="95"/>
        <v>425000.42</v>
      </c>
      <c r="AF356" s="181">
        <v>1.7</v>
      </c>
      <c r="AG356" s="181">
        <v>1.7</v>
      </c>
      <c r="AH356" s="364"/>
      <c r="AI356" s="296">
        <v>8</v>
      </c>
      <c r="AJ356" s="190">
        <v>13</v>
      </c>
      <c r="AO356" s="367"/>
      <c r="AP356" s="367"/>
      <c r="AQ356" s="367"/>
    </row>
    <row r="357" spans="1:43" s="282" customFormat="1" ht="66" x14ac:dyDescent="0.3">
      <c r="A357" s="272" t="s">
        <v>3231</v>
      </c>
      <c r="B357" s="349" t="s">
        <v>3240</v>
      </c>
      <c r="C357" s="274" t="s">
        <v>606</v>
      </c>
      <c r="D357" s="288"/>
      <c r="E357" s="288"/>
      <c r="F357" s="301"/>
      <c r="G357" s="275"/>
      <c r="H357" s="275"/>
      <c r="I357" s="346">
        <v>4</v>
      </c>
      <c r="J357" s="288">
        <v>31867.73</v>
      </c>
      <c r="K357" s="275">
        <v>127470.92</v>
      </c>
      <c r="L357" s="277"/>
      <c r="M357" s="278"/>
      <c r="N357" s="42"/>
      <c r="O357" s="42"/>
      <c r="P357" s="42"/>
      <c r="Q357" s="98"/>
      <c r="R357" s="13" t="s">
        <v>1494</v>
      </c>
      <c r="S357" s="286" t="str">
        <f t="shared" si="93"/>
        <v>烏桕，400≦樹高&lt;450cm，200≦樹幅&lt;220cm，14≦米高直徑&lt;16cm</v>
      </c>
      <c r="T357" s="287" t="str">
        <f t="shared" si="94"/>
        <v>株</v>
      </c>
      <c r="U357" s="16"/>
      <c r="V357" s="16">
        <f t="shared" si="86"/>
        <v>4</v>
      </c>
      <c r="W357" s="16">
        <f t="shared" si="91"/>
        <v>31867.73</v>
      </c>
      <c r="X357" s="334">
        <f t="shared" si="87"/>
        <v>0</v>
      </c>
      <c r="Y357" s="127">
        <f t="shared" si="92"/>
        <v>0</v>
      </c>
      <c r="Z357" s="127">
        <f t="shared" si="88"/>
        <v>0</v>
      </c>
      <c r="AA357" s="127">
        <f t="shared" si="85"/>
        <v>0</v>
      </c>
      <c r="AB357" s="279"/>
      <c r="AC357" s="324"/>
      <c r="AD357" s="181">
        <f t="shared" si="90"/>
        <v>4</v>
      </c>
      <c r="AE357" s="181">
        <f t="shared" si="95"/>
        <v>127470.92</v>
      </c>
      <c r="AF357" s="181">
        <v>1.7</v>
      </c>
      <c r="AG357" s="181">
        <v>1.7</v>
      </c>
      <c r="AH357" s="364"/>
      <c r="AI357" s="296">
        <v>0</v>
      </c>
      <c r="AJ357" s="190">
        <v>4</v>
      </c>
      <c r="AO357" s="367"/>
      <c r="AP357" s="367"/>
      <c r="AQ357" s="367"/>
    </row>
    <row r="358" spans="1:43" s="282" customFormat="1" ht="66" x14ac:dyDescent="0.3">
      <c r="A358" s="272" t="s">
        <v>3232</v>
      </c>
      <c r="B358" s="349" t="s">
        <v>3241</v>
      </c>
      <c r="C358" s="274" t="s">
        <v>606</v>
      </c>
      <c r="D358" s="288"/>
      <c r="E358" s="288"/>
      <c r="F358" s="301"/>
      <c r="G358" s="275"/>
      <c r="H358" s="275"/>
      <c r="I358" s="346">
        <v>18</v>
      </c>
      <c r="J358" s="288">
        <v>10969.38</v>
      </c>
      <c r="K358" s="275">
        <v>197448.84</v>
      </c>
      <c r="L358" s="277"/>
      <c r="M358" s="278"/>
      <c r="N358" s="42"/>
      <c r="O358" s="42"/>
      <c r="P358" s="42"/>
      <c r="Q358" s="98"/>
      <c r="R358" s="13" t="s">
        <v>3167</v>
      </c>
      <c r="S358" s="286" t="str">
        <f t="shared" si="93"/>
        <v>樟樹，400≦樹高&lt;450cm，200≦樹幅&lt;220cm，10≦米高直徑&lt;12cm</v>
      </c>
      <c r="T358" s="287" t="str">
        <f t="shared" si="94"/>
        <v>株</v>
      </c>
      <c r="U358" s="16"/>
      <c r="V358" s="16">
        <f t="shared" si="86"/>
        <v>18</v>
      </c>
      <c r="W358" s="16">
        <f t="shared" si="91"/>
        <v>10969.38</v>
      </c>
      <c r="X358" s="334">
        <f t="shared" si="87"/>
        <v>0</v>
      </c>
      <c r="Y358" s="127">
        <f t="shared" si="92"/>
        <v>0</v>
      </c>
      <c r="Z358" s="127">
        <f t="shared" si="88"/>
        <v>0</v>
      </c>
      <c r="AA358" s="127">
        <f t="shared" si="85"/>
        <v>0</v>
      </c>
      <c r="AB358" s="279"/>
      <c r="AC358" s="324"/>
      <c r="AD358" s="181">
        <f t="shared" si="90"/>
        <v>18</v>
      </c>
      <c r="AE358" s="181">
        <f t="shared" si="95"/>
        <v>197448.84</v>
      </c>
      <c r="AF358" s="181">
        <v>1.7</v>
      </c>
      <c r="AG358" s="181">
        <v>1.7</v>
      </c>
      <c r="AH358" s="364"/>
      <c r="AI358" s="296">
        <v>0</v>
      </c>
      <c r="AJ358" s="190">
        <v>18</v>
      </c>
      <c r="AO358" s="367"/>
      <c r="AP358" s="367"/>
      <c r="AQ358" s="367"/>
    </row>
    <row r="359" spans="1:43" s="282" customFormat="1" ht="49.5" x14ac:dyDescent="0.3">
      <c r="A359" s="272" t="s">
        <v>3233</v>
      </c>
      <c r="B359" s="349" t="s">
        <v>3242</v>
      </c>
      <c r="C359" s="274" t="s">
        <v>606</v>
      </c>
      <c r="D359" s="288"/>
      <c r="E359" s="288"/>
      <c r="F359" s="301"/>
      <c r="G359" s="275"/>
      <c r="H359" s="275"/>
      <c r="I359" s="333">
        <v>2760</v>
      </c>
      <c r="J359" s="288">
        <v>132.66999999999999</v>
      </c>
      <c r="K359" s="275">
        <v>366169.2</v>
      </c>
      <c r="L359" s="277"/>
      <c r="M359" s="278"/>
      <c r="N359" s="42"/>
      <c r="O359" s="42"/>
      <c r="P359" s="42"/>
      <c r="Q359" s="98"/>
      <c r="R359" s="13" t="s">
        <v>3169</v>
      </c>
      <c r="S359" s="286" t="str">
        <f t="shared" si="93"/>
        <v>番茉莉，50≦高度&lt;60cm，25≦寬度&lt;30cm</v>
      </c>
      <c r="T359" s="287" t="str">
        <f t="shared" si="94"/>
        <v>株</v>
      </c>
      <c r="U359" s="16"/>
      <c r="V359" s="16">
        <f t="shared" si="86"/>
        <v>2760</v>
      </c>
      <c r="W359" s="16">
        <f t="shared" si="91"/>
        <v>132.66999999999999</v>
      </c>
      <c r="X359" s="334">
        <f t="shared" si="87"/>
        <v>2200</v>
      </c>
      <c r="Y359" s="16">
        <f t="shared" si="92"/>
        <v>2200</v>
      </c>
      <c r="Z359" s="16">
        <f t="shared" si="88"/>
        <v>291874</v>
      </c>
      <c r="AA359" s="16">
        <f t="shared" si="85"/>
        <v>291874</v>
      </c>
      <c r="AB359" s="279"/>
      <c r="AC359" s="324"/>
      <c r="AD359" s="181">
        <f t="shared" si="90"/>
        <v>2760</v>
      </c>
      <c r="AE359" s="181">
        <f t="shared" si="95"/>
        <v>366169.2</v>
      </c>
      <c r="AF359" s="181">
        <v>1.7</v>
      </c>
      <c r="AG359" s="181">
        <v>1.7</v>
      </c>
      <c r="AH359" s="364"/>
      <c r="AI359" s="296">
        <v>2200</v>
      </c>
      <c r="AJ359" s="190">
        <v>2760</v>
      </c>
      <c r="AO359" s="367"/>
      <c r="AP359" s="367"/>
      <c r="AQ359" s="367"/>
    </row>
    <row r="360" spans="1:43" s="282" customFormat="1" ht="58.5" x14ac:dyDescent="0.3">
      <c r="A360" s="272" t="s">
        <v>3234</v>
      </c>
      <c r="B360" s="276" t="s">
        <v>3243</v>
      </c>
      <c r="C360" s="274" t="s">
        <v>606</v>
      </c>
      <c r="D360" s="288"/>
      <c r="E360" s="288"/>
      <c r="F360" s="301"/>
      <c r="G360" s="275"/>
      <c r="H360" s="275"/>
      <c r="I360" s="333">
        <v>1323</v>
      </c>
      <c r="J360" s="288">
        <v>142.25</v>
      </c>
      <c r="K360" s="275">
        <v>188196.75</v>
      </c>
      <c r="L360" s="277"/>
      <c r="M360" s="278"/>
      <c r="N360" s="42"/>
      <c r="O360" s="42"/>
      <c r="P360" s="42"/>
      <c r="Q360" s="98"/>
      <c r="R360" s="13" t="s">
        <v>3171</v>
      </c>
      <c r="S360" s="286" t="str">
        <f t="shared" si="93"/>
        <v>紙莎草，30≦高度&lt;40cm，寬度&lt;10cm</v>
      </c>
      <c r="T360" s="287" t="str">
        <f t="shared" si="94"/>
        <v>株</v>
      </c>
      <c r="U360" s="16"/>
      <c r="V360" s="16">
        <f t="shared" si="86"/>
        <v>1323</v>
      </c>
      <c r="W360" s="16">
        <f t="shared" si="91"/>
        <v>142.25</v>
      </c>
      <c r="X360" s="334">
        <f t="shared" si="87"/>
        <v>0</v>
      </c>
      <c r="Y360" s="16">
        <f t="shared" si="92"/>
        <v>0</v>
      </c>
      <c r="Z360" s="16">
        <f t="shared" si="88"/>
        <v>0</v>
      </c>
      <c r="AA360" s="16">
        <f t="shared" si="85"/>
        <v>0</v>
      </c>
      <c r="AB360" s="279"/>
      <c r="AC360" s="324"/>
      <c r="AD360" s="181">
        <f t="shared" si="90"/>
        <v>1323</v>
      </c>
      <c r="AE360" s="181">
        <f t="shared" si="95"/>
        <v>188196.75</v>
      </c>
      <c r="AF360" s="181">
        <v>1.7</v>
      </c>
      <c r="AG360" s="181">
        <v>1.7</v>
      </c>
      <c r="AH360" s="364"/>
      <c r="AI360" s="296">
        <v>0</v>
      </c>
      <c r="AJ360" s="190">
        <v>1323</v>
      </c>
      <c r="AO360" s="367"/>
      <c r="AP360" s="367"/>
      <c r="AQ360" s="367"/>
    </row>
    <row r="361" spans="1:43" s="282" customFormat="1" ht="39" x14ac:dyDescent="0.3">
      <c r="A361" s="272" t="s">
        <v>3235</v>
      </c>
      <c r="B361" s="276" t="s">
        <v>3244</v>
      </c>
      <c r="C361" s="274" t="s">
        <v>606</v>
      </c>
      <c r="D361" s="288"/>
      <c r="E361" s="288"/>
      <c r="F361" s="301"/>
      <c r="G361" s="275"/>
      <c r="H361" s="275"/>
      <c r="I361" s="346">
        <v>446</v>
      </c>
      <c r="J361" s="288">
        <v>417</v>
      </c>
      <c r="K361" s="275">
        <v>185982</v>
      </c>
      <c r="L361" s="277"/>
      <c r="M361" s="278"/>
      <c r="N361" s="42"/>
      <c r="O361" s="42"/>
      <c r="P361" s="42"/>
      <c r="Q361" s="98"/>
      <c r="R361" s="13" t="s">
        <v>3172</v>
      </c>
      <c r="S361" s="286" t="str">
        <f t="shared" si="93"/>
        <v>九重葛，120≦高度&lt;150cm</v>
      </c>
      <c r="T361" s="287" t="str">
        <f t="shared" si="94"/>
        <v>株</v>
      </c>
      <c r="U361" s="16"/>
      <c r="V361" s="16">
        <f t="shared" si="86"/>
        <v>446</v>
      </c>
      <c r="W361" s="16">
        <f t="shared" si="91"/>
        <v>417</v>
      </c>
      <c r="X361" s="334">
        <f t="shared" si="87"/>
        <v>340</v>
      </c>
      <c r="Y361" s="127">
        <f t="shared" si="92"/>
        <v>340</v>
      </c>
      <c r="Z361" s="127">
        <f t="shared" si="88"/>
        <v>141780</v>
      </c>
      <c r="AA361" s="127">
        <f t="shared" si="85"/>
        <v>141780</v>
      </c>
      <c r="AB361" s="279"/>
      <c r="AC361" s="324"/>
      <c r="AD361" s="181">
        <f t="shared" si="90"/>
        <v>446</v>
      </c>
      <c r="AE361" s="181">
        <f t="shared" si="95"/>
        <v>185982</v>
      </c>
      <c r="AF361" s="181">
        <v>1.7</v>
      </c>
      <c r="AG361" s="181">
        <v>1.7</v>
      </c>
      <c r="AH361" s="364"/>
      <c r="AI361" s="296">
        <v>340</v>
      </c>
      <c r="AJ361" s="190">
        <v>446</v>
      </c>
      <c r="AN361" s="69"/>
      <c r="AO361" s="367"/>
      <c r="AP361" s="367"/>
      <c r="AQ361" s="367"/>
    </row>
    <row r="362" spans="1:43" s="69" customFormat="1" x14ac:dyDescent="0.3">
      <c r="A362" s="266" t="s">
        <v>861</v>
      </c>
      <c r="B362" s="267" t="s">
        <v>862</v>
      </c>
      <c r="C362" s="83" t="s">
        <v>14</v>
      </c>
      <c r="D362" s="84">
        <v>1</v>
      </c>
      <c r="E362" s="84"/>
      <c r="F362" s="84"/>
      <c r="G362" s="84"/>
      <c r="H362" s="84"/>
      <c r="I362" s="84"/>
      <c r="J362" s="84">
        <v>6915687.3899999997</v>
      </c>
      <c r="K362" s="84">
        <v>6915687.3899999997</v>
      </c>
      <c r="L362" s="268" t="s">
        <v>15</v>
      </c>
      <c r="M362" s="73"/>
      <c r="N362" s="45">
        <v>1</v>
      </c>
      <c r="O362" s="45">
        <v>51387.6</v>
      </c>
      <c r="P362" s="45">
        <v>3152453.88</v>
      </c>
      <c r="Q362" s="98"/>
      <c r="R362" s="18" t="s">
        <v>1400</v>
      </c>
      <c r="S362" s="19" t="s">
        <v>862</v>
      </c>
      <c r="T362" s="20" t="s">
        <v>14</v>
      </c>
      <c r="U362" s="21">
        <v>1</v>
      </c>
      <c r="V362" s="21"/>
      <c r="W362" s="21">
        <f t="shared" si="91"/>
        <v>6915687.3899999997</v>
      </c>
      <c r="X362" s="21">
        <f t="shared" ref="X362:Y362" si="96">IF(Z362=0,0,1)</f>
        <v>1</v>
      </c>
      <c r="Y362" s="21">
        <f t="shared" si="96"/>
        <v>1</v>
      </c>
      <c r="Z362" s="21">
        <f>SUMIFS(Z:Z,AG:AG,AF362)</f>
        <v>627631.28</v>
      </c>
      <c r="AA362" s="21">
        <f>SUMIFS(AA:AA,AG:AG,AF362)</f>
        <v>3780085.1600000011</v>
      </c>
      <c r="AB362" s="22" t="s">
        <v>15</v>
      </c>
      <c r="AC362" s="324"/>
      <c r="AD362" s="181">
        <f t="shared" si="90"/>
        <v>1</v>
      </c>
      <c r="AE362" s="184"/>
      <c r="AF362" s="184">
        <v>1.8</v>
      </c>
      <c r="AG362" s="184"/>
      <c r="AH362" s="363" t="str">
        <f t="shared" si="84"/>
        <v/>
      </c>
      <c r="AI362" s="190">
        <v>1</v>
      </c>
      <c r="AJ362" s="188">
        <v>1</v>
      </c>
      <c r="AO362" s="367"/>
      <c r="AP362" s="367"/>
      <c r="AQ362" s="367"/>
    </row>
    <row r="363" spans="1:43" s="69" customFormat="1" ht="49.5" customHeight="1" x14ac:dyDescent="0.3">
      <c r="A363" s="55" t="s">
        <v>863</v>
      </c>
      <c r="B363" s="53" t="s">
        <v>864</v>
      </c>
      <c r="C363" s="54" t="s">
        <v>14</v>
      </c>
      <c r="D363" s="75">
        <v>1</v>
      </c>
      <c r="E363" s="75"/>
      <c r="F363" s="75"/>
      <c r="G363" s="75"/>
      <c r="H363" s="75"/>
      <c r="I363" s="75"/>
      <c r="J363" s="75">
        <v>69458</v>
      </c>
      <c r="K363" s="75">
        <v>69458</v>
      </c>
      <c r="L363" s="91" t="s">
        <v>865</v>
      </c>
      <c r="M363" s="73"/>
      <c r="N363" s="46">
        <v>0</v>
      </c>
      <c r="O363" s="46">
        <v>0</v>
      </c>
      <c r="P363" s="46">
        <v>0</v>
      </c>
      <c r="Q363" s="98"/>
      <c r="R363" s="23" t="s">
        <v>1421</v>
      </c>
      <c r="S363" s="24" t="s">
        <v>864</v>
      </c>
      <c r="T363" s="25" t="s">
        <v>14</v>
      </c>
      <c r="U363" s="26">
        <v>1</v>
      </c>
      <c r="V363" s="26">
        <f t="shared" ref="V363:V406" si="97">IF(I363&gt;0,I363,IF(H363&gt;0,H363,IF(G363&gt;0,G363,IF(F363&gt;0,F363,IF(E363&gt;0,E363,D363)))))</f>
        <v>1</v>
      </c>
      <c r="W363" s="26">
        <f t="shared" si="91"/>
        <v>69458</v>
      </c>
      <c r="X363" s="26">
        <f t="shared" ref="X363:X406" si="98">AI363-N363</f>
        <v>0</v>
      </c>
      <c r="Y363" s="26">
        <f t="shared" si="92"/>
        <v>0</v>
      </c>
      <c r="Z363" s="26">
        <f t="shared" ref="Z363:Z406" si="99">AA363-P363</f>
        <v>0</v>
      </c>
      <c r="AA363" s="26">
        <f t="shared" si="85"/>
        <v>0</v>
      </c>
      <c r="AB363" s="33" t="s">
        <v>15</v>
      </c>
      <c r="AC363" s="324"/>
      <c r="AD363" s="181">
        <f t="shared" si="90"/>
        <v>1</v>
      </c>
      <c r="AE363" s="181">
        <f t="shared" si="89"/>
        <v>69458</v>
      </c>
      <c r="AF363" s="181">
        <v>1.8</v>
      </c>
      <c r="AG363" s="181">
        <v>1.8</v>
      </c>
      <c r="AH363" s="363" t="str">
        <f t="shared" si="84"/>
        <v/>
      </c>
      <c r="AI363" s="190">
        <v>0</v>
      </c>
      <c r="AJ363" s="188">
        <v>1</v>
      </c>
      <c r="AO363" s="367"/>
      <c r="AP363" s="367"/>
      <c r="AQ363" s="367"/>
    </row>
    <row r="364" spans="1:43" s="69" customFormat="1" ht="39" x14ac:dyDescent="0.3">
      <c r="A364" s="55" t="s">
        <v>866</v>
      </c>
      <c r="B364" s="53" t="s">
        <v>867</v>
      </c>
      <c r="C364" s="54" t="s">
        <v>14</v>
      </c>
      <c r="D364" s="75">
        <v>1</v>
      </c>
      <c r="E364" s="75"/>
      <c r="F364" s="75"/>
      <c r="G364" s="75"/>
      <c r="H364" s="75"/>
      <c r="I364" s="75"/>
      <c r="J364" s="75">
        <v>94852.479999999996</v>
      </c>
      <c r="K364" s="75">
        <v>94852.479999999996</v>
      </c>
      <c r="L364" s="91" t="s">
        <v>868</v>
      </c>
      <c r="M364" s="73"/>
      <c r="N364" s="46">
        <v>0</v>
      </c>
      <c r="O364" s="46">
        <v>0</v>
      </c>
      <c r="P364" s="46">
        <v>0</v>
      </c>
      <c r="Q364" s="98"/>
      <c r="R364" s="23" t="s">
        <v>1426</v>
      </c>
      <c r="S364" s="24" t="s">
        <v>867</v>
      </c>
      <c r="T364" s="25" t="s">
        <v>14</v>
      </c>
      <c r="U364" s="26">
        <v>1</v>
      </c>
      <c r="V364" s="26">
        <f t="shared" si="97"/>
        <v>1</v>
      </c>
      <c r="W364" s="26">
        <f t="shared" si="91"/>
        <v>94852.479999999996</v>
      </c>
      <c r="X364" s="26">
        <f t="shared" si="98"/>
        <v>0</v>
      </c>
      <c r="Y364" s="26">
        <f t="shared" si="92"/>
        <v>0</v>
      </c>
      <c r="Z364" s="26">
        <f t="shared" si="99"/>
        <v>0</v>
      </c>
      <c r="AA364" s="26">
        <f t="shared" si="85"/>
        <v>0</v>
      </c>
      <c r="AB364" s="33" t="s">
        <v>15</v>
      </c>
      <c r="AC364" s="324"/>
      <c r="AD364" s="181">
        <f t="shared" si="90"/>
        <v>1</v>
      </c>
      <c r="AE364" s="181">
        <f t="shared" si="89"/>
        <v>94852.479999999996</v>
      </c>
      <c r="AF364" s="181">
        <v>1.8</v>
      </c>
      <c r="AG364" s="181">
        <v>1.8</v>
      </c>
      <c r="AH364" s="363" t="str">
        <f t="shared" si="84"/>
        <v/>
      </c>
      <c r="AI364" s="190">
        <v>0</v>
      </c>
      <c r="AJ364" s="188">
        <v>1</v>
      </c>
      <c r="AO364" s="367"/>
      <c r="AP364" s="367"/>
      <c r="AQ364" s="367"/>
    </row>
    <row r="365" spans="1:43" s="69" customFormat="1" ht="58.5" x14ac:dyDescent="0.3">
      <c r="A365" s="130" t="s">
        <v>869</v>
      </c>
      <c r="B365" s="131" t="s">
        <v>870</v>
      </c>
      <c r="C365" s="132" t="s">
        <v>14</v>
      </c>
      <c r="D365" s="133">
        <v>1</v>
      </c>
      <c r="E365" s="75"/>
      <c r="F365" s="75"/>
      <c r="G365" s="75"/>
      <c r="H365" s="75"/>
      <c r="I365" s="75"/>
      <c r="J365" s="75">
        <v>251510</v>
      </c>
      <c r="K365" s="75">
        <v>251510</v>
      </c>
      <c r="L365" s="91" t="s">
        <v>871</v>
      </c>
      <c r="M365" s="73"/>
      <c r="N365" s="46">
        <v>1</v>
      </c>
      <c r="O365" s="46">
        <v>0</v>
      </c>
      <c r="P365" s="46">
        <v>251510</v>
      </c>
      <c r="Q365" s="98"/>
      <c r="R365" s="23" t="s">
        <v>1402</v>
      </c>
      <c r="S365" s="24" t="s">
        <v>870</v>
      </c>
      <c r="T365" s="25" t="s">
        <v>14</v>
      </c>
      <c r="U365" s="26">
        <v>1</v>
      </c>
      <c r="V365" s="26">
        <f t="shared" si="97"/>
        <v>1</v>
      </c>
      <c r="W365" s="26">
        <f t="shared" si="91"/>
        <v>251510</v>
      </c>
      <c r="X365" s="127">
        <f t="shared" si="98"/>
        <v>0</v>
      </c>
      <c r="Y365" s="127">
        <f t="shared" si="92"/>
        <v>1</v>
      </c>
      <c r="Z365" s="127">
        <f t="shared" si="99"/>
        <v>0</v>
      </c>
      <c r="AA365" s="127">
        <f t="shared" si="85"/>
        <v>251510</v>
      </c>
      <c r="AB365" s="33" t="s">
        <v>15</v>
      </c>
      <c r="AC365" s="324"/>
      <c r="AD365" s="181">
        <f t="shared" si="90"/>
        <v>1</v>
      </c>
      <c r="AE365" s="181">
        <f t="shared" si="89"/>
        <v>251510</v>
      </c>
      <c r="AF365" s="181">
        <v>1.8</v>
      </c>
      <c r="AG365" s="181">
        <v>1.8</v>
      </c>
      <c r="AH365" s="363" t="str">
        <f t="shared" si="84"/>
        <v/>
      </c>
      <c r="AI365" s="194">
        <v>1</v>
      </c>
      <c r="AJ365" s="188">
        <v>1</v>
      </c>
      <c r="AO365" s="367"/>
      <c r="AP365" s="367"/>
      <c r="AQ365" s="367"/>
    </row>
    <row r="366" spans="1:43" s="69" customFormat="1" ht="39" x14ac:dyDescent="0.3">
      <c r="A366" s="130" t="s">
        <v>872</v>
      </c>
      <c r="B366" s="131" t="s">
        <v>873</v>
      </c>
      <c r="C366" s="132" t="s">
        <v>14</v>
      </c>
      <c r="D366" s="133">
        <v>1</v>
      </c>
      <c r="E366" s="75"/>
      <c r="F366" s="75"/>
      <c r="G366" s="75"/>
      <c r="H366" s="75"/>
      <c r="I366" s="343">
        <v>0</v>
      </c>
      <c r="J366" s="75">
        <v>174688.22</v>
      </c>
      <c r="K366" s="75">
        <v>0</v>
      </c>
      <c r="L366" s="91" t="s">
        <v>874</v>
      </c>
      <c r="M366" s="73"/>
      <c r="N366" s="46">
        <v>0</v>
      </c>
      <c r="O366" s="46">
        <v>0</v>
      </c>
      <c r="P366" s="46">
        <v>0</v>
      </c>
      <c r="Q366" s="98"/>
      <c r="R366" s="23" t="s">
        <v>1373</v>
      </c>
      <c r="S366" s="24" t="s">
        <v>873</v>
      </c>
      <c r="T366" s="25" t="s">
        <v>14</v>
      </c>
      <c r="U366" s="26">
        <v>1</v>
      </c>
      <c r="V366" s="26">
        <v>0</v>
      </c>
      <c r="W366" s="26">
        <f t="shared" si="91"/>
        <v>174688.22</v>
      </c>
      <c r="X366" s="127">
        <f t="shared" si="98"/>
        <v>0</v>
      </c>
      <c r="Y366" s="127">
        <f t="shared" si="92"/>
        <v>0</v>
      </c>
      <c r="Z366" s="127">
        <f t="shared" si="99"/>
        <v>0</v>
      </c>
      <c r="AA366" s="127">
        <f t="shared" si="85"/>
        <v>0</v>
      </c>
      <c r="AB366" s="33" t="s">
        <v>15</v>
      </c>
      <c r="AC366" s="324"/>
      <c r="AD366" s="181">
        <v>0</v>
      </c>
      <c r="AE366" s="181">
        <f t="shared" si="89"/>
        <v>0</v>
      </c>
      <c r="AF366" s="181">
        <v>1.8</v>
      </c>
      <c r="AG366" s="181">
        <v>1.8</v>
      </c>
      <c r="AH366" s="363" t="str">
        <f t="shared" ref="AH366:AH469" si="100">IF(Y366&gt;AJ366,"超估","")</f>
        <v/>
      </c>
      <c r="AI366" s="190">
        <v>0</v>
      </c>
      <c r="AJ366" s="188">
        <v>0</v>
      </c>
      <c r="AO366" s="367"/>
      <c r="AP366" s="367"/>
      <c r="AQ366" s="367"/>
    </row>
    <row r="367" spans="1:43" s="69" customFormat="1" ht="39" x14ac:dyDescent="0.3">
      <c r="A367" s="55" t="s">
        <v>875</v>
      </c>
      <c r="B367" s="53" t="s">
        <v>876</v>
      </c>
      <c r="C367" s="54" t="s">
        <v>14</v>
      </c>
      <c r="D367" s="75">
        <v>1</v>
      </c>
      <c r="E367" s="75"/>
      <c r="F367" s="75"/>
      <c r="G367" s="75"/>
      <c r="H367" s="75"/>
      <c r="I367" s="75"/>
      <c r="J367" s="75">
        <v>21221.84</v>
      </c>
      <c r="K367" s="75">
        <v>21221.84</v>
      </c>
      <c r="L367" s="91" t="s">
        <v>877</v>
      </c>
      <c r="M367" s="73"/>
      <c r="N367" s="46">
        <v>0</v>
      </c>
      <c r="O367" s="46">
        <v>0</v>
      </c>
      <c r="P367" s="46">
        <v>0</v>
      </c>
      <c r="Q367" s="98"/>
      <c r="R367" s="23" t="s">
        <v>1393</v>
      </c>
      <c r="S367" s="24" t="s">
        <v>876</v>
      </c>
      <c r="T367" s="25" t="s">
        <v>14</v>
      </c>
      <c r="U367" s="26">
        <v>1</v>
      </c>
      <c r="V367" s="26">
        <f t="shared" si="97"/>
        <v>1</v>
      </c>
      <c r="W367" s="26">
        <f t="shared" si="91"/>
        <v>21221.84</v>
      </c>
      <c r="X367" s="26">
        <f t="shared" si="98"/>
        <v>0</v>
      </c>
      <c r="Y367" s="26">
        <f t="shared" si="92"/>
        <v>0</v>
      </c>
      <c r="Z367" s="26">
        <f t="shared" si="99"/>
        <v>0</v>
      </c>
      <c r="AA367" s="26">
        <f t="shared" ref="AA367:AA406" si="101">ROUND(W367*Y367,2)</f>
        <v>0</v>
      </c>
      <c r="AB367" s="33" t="s">
        <v>15</v>
      </c>
      <c r="AC367" s="324"/>
      <c r="AD367" s="181">
        <f t="shared" si="90"/>
        <v>1</v>
      </c>
      <c r="AE367" s="181">
        <f t="shared" si="89"/>
        <v>21221.84</v>
      </c>
      <c r="AF367" s="181">
        <v>1.8</v>
      </c>
      <c r="AG367" s="181">
        <v>1.8</v>
      </c>
      <c r="AH367" s="363" t="str">
        <f t="shared" si="100"/>
        <v/>
      </c>
      <c r="AI367" s="190">
        <v>0</v>
      </c>
      <c r="AJ367" s="188">
        <v>1</v>
      </c>
      <c r="AO367" s="367"/>
      <c r="AP367" s="367"/>
      <c r="AQ367" s="367"/>
    </row>
    <row r="368" spans="1:43" s="69" customFormat="1" ht="78" x14ac:dyDescent="0.3">
      <c r="A368" s="130" t="s">
        <v>878</v>
      </c>
      <c r="B368" s="131" t="s">
        <v>879</v>
      </c>
      <c r="C368" s="132" t="s">
        <v>3144</v>
      </c>
      <c r="D368" s="133">
        <v>12</v>
      </c>
      <c r="E368" s="75"/>
      <c r="F368" s="75"/>
      <c r="G368" s="75"/>
      <c r="H368" s="75"/>
      <c r="I368" s="75"/>
      <c r="J368" s="75">
        <v>42800</v>
      </c>
      <c r="K368" s="75">
        <v>513600</v>
      </c>
      <c r="L368" s="91" t="s">
        <v>880</v>
      </c>
      <c r="M368" s="73"/>
      <c r="N368" s="46">
        <v>12</v>
      </c>
      <c r="O368" s="46">
        <v>0</v>
      </c>
      <c r="P368" s="46">
        <v>513600</v>
      </c>
      <c r="Q368" s="98"/>
      <c r="R368" s="23" t="s">
        <v>1403</v>
      </c>
      <c r="S368" s="24" t="s">
        <v>879</v>
      </c>
      <c r="T368" s="25" t="s">
        <v>81</v>
      </c>
      <c r="U368" s="26">
        <v>12</v>
      </c>
      <c r="V368" s="26">
        <f t="shared" si="97"/>
        <v>12</v>
      </c>
      <c r="W368" s="26">
        <f t="shared" si="91"/>
        <v>42800</v>
      </c>
      <c r="X368" s="127">
        <f t="shared" si="98"/>
        <v>0</v>
      </c>
      <c r="Y368" s="127">
        <f t="shared" si="92"/>
        <v>12</v>
      </c>
      <c r="Z368" s="127">
        <f t="shared" si="99"/>
        <v>0</v>
      </c>
      <c r="AA368" s="127">
        <f t="shared" si="101"/>
        <v>513600</v>
      </c>
      <c r="AB368" s="33" t="s">
        <v>15</v>
      </c>
      <c r="AC368" s="324"/>
      <c r="AD368" s="181">
        <f t="shared" si="90"/>
        <v>12</v>
      </c>
      <c r="AE368" s="181">
        <f t="shared" si="89"/>
        <v>513600</v>
      </c>
      <c r="AF368" s="181">
        <v>1.8</v>
      </c>
      <c r="AG368" s="181">
        <v>1.8</v>
      </c>
      <c r="AH368" s="363" t="str">
        <f t="shared" si="100"/>
        <v/>
      </c>
      <c r="AI368" s="194">
        <f>4+8</f>
        <v>12</v>
      </c>
      <c r="AJ368" s="188">
        <v>12</v>
      </c>
      <c r="AO368" s="367"/>
      <c r="AP368" s="367"/>
      <c r="AQ368" s="367"/>
    </row>
    <row r="369" spans="1:43" s="69" customFormat="1" ht="97.5" x14ac:dyDescent="0.3">
      <c r="A369" s="130" t="s">
        <v>881</v>
      </c>
      <c r="B369" s="131" t="s">
        <v>882</v>
      </c>
      <c r="C369" s="132" t="s">
        <v>81</v>
      </c>
      <c r="D369" s="133">
        <v>7</v>
      </c>
      <c r="E369" s="75"/>
      <c r="F369" s="75"/>
      <c r="G369" s="75"/>
      <c r="H369" s="75"/>
      <c r="I369" s="75"/>
      <c r="J369" s="75">
        <v>60400</v>
      </c>
      <c r="K369" s="75">
        <v>422800</v>
      </c>
      <c r="L369" s="91" t="s">
        <v>883</v>
      </c>
      <c r="M369" s="73"/>
      <c r="N369" s="46">
        <v>7</v>
      </c>
      <c r="O369" s="46">
        <v>0</v>
      </c>
      <c r="P369" s="46">
        <v>422800</v>
      </c>
      <c r="Q369" s="98"/>
      <c r="R369" s="23" t="s">
        <v>1427</v>
      </c>
      <c r="S369" s="24" t="s">
        <v>882</v>
      </c>
      <c r="T369" s="25" t="s">
        <v>81</v>
      </c>
      <c r="U369" s="26">
        <v>7</v>
      </c>
      <c r="V369" s="26">
        <f t="shared" si="97"/>
        <v>7</v>
      </c>
      <c r="W369" s="26">
        <f t="shared" si="91"/>
        <v>60400</v>
      </c>
      <c r="X369" s="127">
        <f t="shared" si="98"/>
        <v>0</v>
      </c>
      <c r="Y369" s="127">
        <f t="shared" si="92"/>
        <v>7</v>
      </c>
      <c r="Z369" s="127">
        <f t="shared" si="99"/>
        <v>0</v>
      </c>
      <c r="AA369" s="127">
        <f t="shared" si="101"/>
        <v>422800</v>
      </c>
      <c r="AB369" s="33" t="s">
        <v>15</v>
      </c>
      <c r="AC369" s="324"/>
      <c r="AD369" s="181">
        <f t="shared" si="90"/>
        <v>7</v>
      </c>
      <c r="AE369" s="181">
        <f t="shared" si="89"/>
        <v>422800</v>
      </c>
      <c r="AF369" s="181">
        <v>1.8</v>
      </c>
      <c r="AG369" s="181">
        <v>1.8</v>
      </c>
      <c r="AH369" s="363" t="str">
        <f t="shared" si="100"/>
        <v/>
      </c>
      <c r="AI369" s="194">
        <f>5+1+1</f>
        <v>7</v>
      </c>
      <c r="AJ369" s="188">
        <v>7</v>
      </c>
      <c r="AO369" s="367"/>
      <c r="AP369" s="367"/>
      <c r="AQ369" s="367"/>
    </row>
    <row r="370" spans="1:43" s="69" customFormat="1" ht="97.5" x14ac:dyDescent="0.3">
      <c r="A370" s="55" t="s">
        <v>884</v>
      </c>
      <c r="B370" s="53" t="s">
        <v>885</v>
      </c>
      <c r="C370" s="54" t="s">
        <v>81</v>
      </c>
      <c r="D370" s="75">
        <v>13</v>
      </c>
      <c r="E370" s="75"/>
      <c r="F370" s="75"/>
      <c r="G370" s="75"/>
      <c r="H370" s="75"/>
      <c r="I370" s="75"/>
      <c r="J370" s="75">
        <v>35000</v>
      </c>
      <c r="K370" s="75">
        <v>455000</v>
      </c>
      <c r="L370" s="91" t="s">
        <v>886</v>
      </c>
      <c r="M370" s="73"/>
      <c r="N370" s="46">
        <v>5</v>
      </c>
      <c r="O370" s="46">
        <v>0</v>
      </c>
      <c r="P370" s="46">
        <v>175000</v>
      </c>
      <c r="Q370" s="98"/>
      <c r="R370" s="23" t="s">
        <v>1428</v>
      </c>
      <c r="S370" s="24" t="s">
        <v>885</v>
      </c>
      <c r="T370" s="25" t="s">
        <v>81</v>
      </c>
      <c r="U370" s="26">
        <v>13</v>
      </c>
      <c r="V370" s="26">
        <f t="shared" si="97"/>
        <v>13</v>
      </c>
      <c r="W370" s="26">
        <f t="shared" si="91"/>
        <v>35000</v>
      </c>
      <c r="X370" s="243">
        <f t="shared" si="98"/>
        <v>0</v>
      </c>
      <c r="Y370" s="26">
        <f t="shared" si="92"/>
        <v>5</v>
      </c>
      <c r="Z370" s="26">
        <f t="shared" si="99"/>
        <v>0</v>
      </c>
      <c r="AA370" s="26">
        <f t="shared" si="101"/>
        <v>175000</v>
      </c>
      <c r="AB370" s="33" t="s">
        <v>15</v>
      </c>
      <c r="AC370" s="324"/>
      <c r="AD370" s="181">
        <f t="shared" si="90"/>
        <v>13</v>
      </c>
      <c r="AE370" s="181">
        <f t="shared" si="89"/>
        <v>455000</v>
      </c>
      <c r="AF370" s="181">
        <v>1.8</v>
      </c>
      <c r="AG370" s="181">
        <v>1.8</v>
      </c>
      <c r="AH370" s="363" t="str">
        <f t="shared" si="100"/>
        <v/>
      </c>
      <c r="AI370" s="191">
        <f>5</f>
        <v>5</v>
      </c>
      <c r="AJ370" s="188">
        <v>13</v>
      </c>
      <c r="AO370" s="367"/>
      <c r="AP370" s="367"/>
      <c r="AQ370" s="367"/>
    </row>
    <row r="371" spans="1:43" s="69" customFormat="1" ht="78" x14ac:dyDescent="0.3">
      <c r="A371" s="55" t="s">
        <v>887</v>
      </c>
      <c r="B371" s="53" t="s">
        <v>888</v>
      </c>
      <c r="C371" s="54" t="s">
        <v>81</v>
      </c>
      <c r="D371" s="75">
        <v>13</v>
      </c>
      <c r="E371" s="75"/>
      <c r="F371" s="75"/>
      <c r="G371" s="75"/>
      <c r="H371" s="75"/>
      <c r="I371" s="75"/>
      <c r="J371" s="75">
        <v>10000</v>
      </c>
      <c r="K371" s="75">
        <v>130000</v>
      </c>
      <c r="L371" s="91" t="s">
        <v>889</v>
      </c>
      <c r="M371" s="73"/>
      <c r="N371" s="46">
        <v>0</v>
      </c>
      <c r="O371" s="46">
        <v>0</v>
      </c>
      <c r="P371" s="46">
        <v>0</v>
      </c>
      <c r="Q371" s="98"/>
      <c r="R371" s="23" t="s">
        <v>1387</v>
      </c>
      <c r="S371" s="24" t="s">
        <v>888</v>
      </c>
      <c r="T371" s="25" t="s">
        <v>81</v>
      </c>
      <c r="U371" s="26">
        <v>13</v>
      </c>
      <c r="V371" s="26">
        <f t="shared" si="97"/>
        <v>13</v>
      </c>
      <c r="W371" s="26">
        <f t="shared" si="91"/>
        <v>10000</v>
      </c>
      <c r="X371" s="26">
        <f t="shared" si="98"/>
        <v>0</v>
      </c>
      <c r="Y371" s="26">
        <f t="shared" si="92"/>
        <v>0</v>
      </c>
      <c r="Z371" s="26">
        <f t="shared" si="99"/>
        <v>0</v>
      </c>
      <c r="AA371" s="26">
        <f t="shared" si="101"/>
        <v>0</v>
      </c>
      <c r="AB371" s="33" t="s">
        <v>15</v>
      </c>
      <c r="AC371" s="324"/>
      <c r="AD371" s="181">
        <f t="shared" si="90"/>
        <v>13</v>
      </c>
      <c r="AE371" s="181">
        <f t="shared" si="89"/>
        <v>130000</v>
      </c>
      <c r="AF371" s="181">
        <v>1.8</v>
      </c>
      <c r="AG371" s="181">
        <v>1.8</v>
      </c>
      <c r="AH371" s="363" t="str">
        <f t="shared" si="100"/>
        <v/>
      </c>
      <c r="AI371" s="190">
        <v>0</v>
      </c>
      <c r="AJ371" s="188">
        <v>13</v>
      </c>
      <c r="AO371" s="367"/>
      <c r="AP371" s="367"/>
      <c r="AQ371" s="367"/>
    </row>
    <row r="372" spans="1:43" s="69" customFormat="1" ht="39" x14ac:dyDescent="0.3">
      <c r="A372" s="55" t="s">
        <v>890</v>
      </c>
      <c r="B372" s="53" t="s">
        <v>891</v>
      </c>
      <c r="C372" s="54" t="s">
        <v>325</v>
      </c>
      <c r="D372" s="75">
        <v>2</v>
      </c>
      <c r="E372" s="75"/>
      <c r="F372" s="75"/>
      <c r="G372" s="75"/>
      <c r="H372" s="75"/>
      <c r="I372" s="75"/>
      <c r="J372" s="75">
        <v>1500</v>
      </c>
      <c r="K372" s="75">
        <v>3000</v>
      </c>
      <c r="L372" s="91" t="s">
        <v>892</v>
      </c>
      <c r="M372" s="73"/>
      <c r="N372" s="46">
        <v>0</v>
      </c>
      <c r="O372" s="46">
        <v>0</v>
      </c>
      <c r="P372" s="46">
        <v>0</v>
      </c>
      <c r="Q372" s="98"/>
      <c r="R372" s="23" t="s">
        <v>1405</v>
      </c>
      <c r="S372" s="24" t="s">
        <v>891</v>
      </c>
      <c r="T372" s="25" t="s">
        <v>325</v>
      </c>
      <c r="U372" s="26">
        <v>2</v>
      </c>
      <c r="V372" s="26">
        <f t="shared" si="97"/>
        <v>2</v>
      </c>
      <c r="W372" s="26">
        <f t="shared" si="91"/>
        <v>1500</v>
      </c>
      <c r="X372" s="26">
        <f t="shared" si="98"/>
        <v>0</v>
      </c>
      <c r="Y372" s="26">
        <f t="shared" si="92"/>
        <v>0</v>
      </c>
      <c r="Z372" s="26">
        <f t="shared" si="99"/>
        <v>0</v>
      </c>
      <c r="AA372" s="26">
        <f t="shared" si="101"/>
        <v>0</v>
      </c>
      <c r="AB372" s="33" t="s">
        <v>15</v>
      </c>
      <c r="AC372" s="324"/>
      <c r="AD372" s="181">
        <f t="shared" si="90"/>
        <v>2</v>
      </c>
      <c r="AE372" s="181">
        <f t="shared" si="89"/>
        <v>3000</v>
      </c>
      <c r="AF372" s="181">
        <v>1.8</v>
      </c>
      <c r="AG372" s="181">
        <v>1.8</v>
      </c>
      <c r="AH372" s="363" t="str">
        <f t="shared" si="100"/>
        <v/>
      </c>
      <c r="AI372" s="190">
        <v>0</v>
      </c>
      <c r="AJ372" s="188">
        <v>2</v>
      </c>
      <c r="AO372" s="367"/>
      <c r="AP372" s="367"/>
      <c r="AQ372" s="367"/>
    </row>
    <row r="373" spans="1:43" s="69" customFormat="1" ht="39" x14ac:dyDescent="0.3">
      <c r="A373" s="55" t="s">
        <v>893</v>
      </c>
      <c r="B373" s="53" t="s">
        <v>894</v>
      </c>
      <c r="C373" s="54" t="s">
        <v>325</v>
      </c>
      <c r="D373" s="75">
        <v>2</v>
      </c>
      <c r="E373" s="75"/>
      <c r="F373" s="75"/>
      <c r="G373" s="75"/>
      <c r="H373" s="75"/>
      <c r="I373" s="75"/>
      <c r="J373" s="75">
        <v>4000</v>
      </c>
      <c r="K373" s="75">
        <v>8000</v>
      </c>
      <c r="L373" s="91" t="s">
        <v>895</v>
      </c>
      <c r="M373" s="73"/>
      <c r="N373" s="46">
        <v>0</v>
      </c>
      <c r="O373" s="46">
        <v>0</v>
      </c>
      <c r="P373" s="46">
        <v>0</v>
      </c>
      <c r="Q373" s="98"/>
      <c r="R373" s="23" t="s">
        <v>1406</v>
      </c>
      <c r="S373" s="24" t="s">
        <v>894</v>
      </c>
      <c r="T373" s="25" t="s">
        <v>325</v>
      </c>
      <c r="U373" s="26">
        <v>2</v>
      </c>
      <c r="V373" s="26">
        <f t="shared" si="97"/>
        <v>2</v>
      </c>
      <c r="W373" s="26">
        <f t="shared" si="91"/>
        <v>4000</v>
      </c>
      <c r="X373" s="26">
        <f t="shared" si="98"/>
        <v>0</v>
      </c>
      <c r="Y373" s="26">
        <f t="shared" si="92"/>
        <v>0</v>
      </c>
      <c r="Z373" s="26">
        <f t="shared" si="99"/>
        <v>0</v>
      </c>
      <c r="AA373" s="26">
        <f t="shared" si="101"/>
        <v>0</v>
      </c>
      <c r="AB373" s="33" t="s">
        <v>15</v>
      </c>
      <c r="AC373" s="324"/>
      <c r="AD373" s="181">
        <f t="shared" si="90"/>
        <v>2</v>
      </c>
      <c r="AE373" s="181">
        <f t="shared" si="89"/>
        <v>8000</v>
      </c>
      <c r="AF373" s="181">
        <v>1.8</v>
      </c>
      <c r="AG373" s="181">
        <v>1.8</v>
      </c>
      <c r="AH373" s="363" t="str">
        <f t="shared" si="100"/>
        <v/>
      </c>
      <c r="AI373" s="190">
        <v>0</v>
      </c>
      <c r="AJ373" s="188">
        <v>2</v>
      </c>
      <c r="AO373" s="367"/>
      <c r="AP373" s="367"/>
      <c r="AQ373" s="367"/>
    </row>
    <row r="374" spans="1:43" s="69" customFormat="1" x14ac:dyDescent="0.3">
      <c r="A374" s="258" t="s">
        <v>896</v>
      </c>
      <c r="B374" s="215" t="s">
        <v>897</v>
      </c>
      <c r="C374" s="259" t="s">
        <v>30</v>
      </c>
      <c r="D374" s="260">
        <v>216.55</v>
      </c>
      <c r="E374" s="75"/>
      <c r="F374" s="75"/>
      <c r="G374" s="75"/>
      <c r="H374" s="75"/>
      <c r="I374" s="75"/>
      <c r="J374" s="75">
        <v>800</v>
      </c>
      <c r="K374" s="75">
        <v>173240</v>
      </c>
      <c r="L374" s="91" t="s">
        <v>898</v>
      </c>
      <c r="M374" s="73"/>
      <c r="N374" s="46">
        <v>115</v>
      </c>
      <c r="O374" s="46">
        <v>0</v>
      </c>
      <c r="P374" s="46">
        <v>92000</v>
      </c>
      <c r="Q374" s="98"/>
      <c r="R374" s="23" t="s">
        <v>1414</v>
      </c>
      <c r="S374" s="24" t="s">
        <v>897</v>
      </c>
      <c r="T374" s="25" t="s">
        <v>30</v>
      </c>
      <c r="U374" s="26">
        <v>216.55</v>
      </c>
      <c r="V374" s="26">
        <f t="shared" si="97"/>
        <v>216.55</v>
      </c>
      <c r="W374" s="26">
        <f t="shared" si="91"/>
        <v>800</v>
      </c>
      <c r="X374" s="128">
        <f t="shared" si="98"/>
        <v>0</v>
      </c>
      <c r="Y374" s="26">
        <f t="shared" si="92"/>
        <v>115</v>
      </c>
      <c r="Z374" s="26">
        <f t="shared" si="99"/>
        <v>0</v>
      </c>
      <c r="AA374" s="26">
        <f t="shared" si="101"/>
        <v>92000</v>
      </c>
      <c r="AB374" s="33" t="s">
        <v>15</v>
      </c>
      <c r="AC374" s="324"/>
      <c r="AD374" s="181">
        <f t="shared" si="90"/>
        <v>216.55</v>
      </c>
      <c r="AE374" s="181">
        <f t="shared" si="89"/>
        <v>173240</v>
      </c>
      <c r="AF374" s="181">
        <v>1.8</v>
      </c>
      <c r="AG374" s="181">
        <v>1.8</v>
      </c>
      <c r="AH374" s="363" t="str">
        <f t="shared" si="100"/>
        <v/>
      </c>
      <c r="AI374" s="194">
        <f>115</f>
        <v>115</v>
      </c>
      <c r="AJ374" s="188">
        <v>216.55</v>
      </c>
      <c r="AO374" s="367"/>
      <c r="AP374" s="367"/>
      <c r="AQ374" s="367"/>
    </row>
    <row r="375" spans="1:43" s="69" customFormat="1" ht="39" x14ac:dyDescent="0.3">
      <c r="A375" s="130" t="s">
        <v>899</v>
      </c>
      <c r="B375" s="131" t="s">
        <v>900</v>
      </c>
      <c r="C375" s="132" t="s">
        <v>325</v>
      </c>
      <c r="D375" s="133">
        <v>5</v>
      </c>
      <c r="E375" s="75"/>
      <c r="F375" s="75"/>
      <c r="G375" s="75"/>
      <c r="H375" s="75"/>
      <c r="I375" s="75"/>
      <c r="J375" s="75">
        <v>11300</v>
      </c>
      <c r="K375" s="75">
        <v>56500</v>
      </c>
      <c r="L375" s="91" t="s">
        <v>901</v>
      </c>
      <c r="M375" s="73"/>
      <c r="N375" s="46">
        <v>0</v>
      </c>
      <c r="O375" s="46">
        <v>0</v>
      </c>
      <c r="P375" s="46">
        <v>0</v>
      </c>
      <c r="Q375" s="98"/>
      <c r="R375" s="23" t="s">
        <v>1429</v>
      </c>
      <c r="S375" s="24" t="s">
        <v>900</v>
      </c>
      <c r="T375" s="25" t="s">
        <v>325</v>
      </c>
      <c r="U375" s="26">
        <v>5</v>
      </c>
      <c r="V375" s="26">
        <f t="shared" si="97"/>
        <v>5</v>
      </c>
      <c r="W375" s="26">
        <f t="shared" si="91"/>
        <v>11300</v>
      </c>
      <c r="X375" s="199">
        <f t="shared" si="98"/>
        <v>5</v>
      </c>
      <c r="Y375" s="127">
        <f t="shared" si="92"/>
        <v>5</v>
      </c>
      <c r="Z375" s="127">
        <f t="shared" si="99"/>
        <v>56500</v>
      </c>
      <c r="AA375" s="127">
        <f t="shared" si="101"/>
        <v>56500</v>
      </c>
      <c r="AB375" s="33" t="s">
        <v>15</v>
      </c>
      <c r="AC375" s="324"/>
      <c r="AD375" s="181">
        <f t="shared" si="90"/>
        <v>5</v>
      </c>
      <c r="AE375" s="181">
        <f t="shared" si="89"/>
        <v>56500</v>
      </c>
      <c r="AF375" s="181">
        <v>1.8</v>
      </c>
      <c r="AG375" s="181">
        <v>1.8</v>
      </c>
      <c r="AH375" s="363" t="str">
        <f t="shared" si="100"/>
        <v/>
      </c>
      <c r="AI375" s="193">
        <v>5</v>
      </c>
      <c r="AJ375" s="188">
        <v>5</v>
      </c>
      <c r="AO375" s="367"/>
      <c r="AP375" s="367"/>
      <c r="AQ375" s="367"/>
    </row>
    <row r="376" spans="1:43" s="69" customFormat="1" x14ac:dyDescent="0.3">
      <c r="A376" s="55" t="s">
        <v>902</v>
      </c>
      <c r="B376" s="53" t="s">
        <v>903</v>
      </c>
      <c r="C376" s="54" t="s">
        <v>325</v>
      </c>
      <c r="D376" s="75">
        <v>8</v>
      </c>
      <c r="E376" s="75"/>
      <c r="F376" s="75"/>
      <c r="G376" s="75"/>
      <c r="H376" s="75"/>
      <c r="I376" s="75"/>
      <c r="J376" s="75">
        <v>13500</v>
      </c>
      <c r="K376" s="75">
        <v>108000</v>
      </c>
      <c r="L376" s="91" t="s">
        <v>904</v>
      </c>
      <c r="M376" s="73"/>
      <c r="N376" s="46">
        <v>0</v>
      </c>
      <c r="O376" s="46">
        <v>0</v>
      </c>
      <c r="P376" s="46">
        <v>0</v>
      </c>
      <c r="Q376" s="98"/>
      <c r="R376" s="23" t="s">
        <v>1430</v>
      </c>
      <c r="S376" s="24" t="s">
        <v>903</v>
      </c>
      <c r="T376" s="25" t="s">
        <v>325</v>
      </c>
      <c r="U376" s="26">
        <v>8</v>
      </c>
      <c r="V376" s="26">
        <f t="shared" si="97"/>
        <v>8</v>
      </c>
      <c r="W376" s="26">
        <f t="shared" si="91"/>
        <v>13500</v>
      </c>
      <c r="X376" s="26">
        <f t="shared" si="98"/>
        <v>0</v>
      </c>
      <c r="Y376" s="26">
        <f t="shared" si="92"/>
        <v>0</v>
      </c>
      <c r="Z376" s="26">
        <f t="shared" si="99"/>
        <v>0</v>
      </c>
      <c r="AA376" s="26">
        <f t="shared" si="101"/>
        <v>0</v>
      </c>
      <c r="AB376" s="33" t="s">
        <v>15</v>
      </c>
      <c r="AC376" s="324"/>
      <c r="AD376" s="181">
        <f t="shared" si="90"/>
        <v>8</v>
      </c>
      <c r="AE376" s="181">
        <f t="shared" si="89"/>
        <v>108000</v>
      </c>
      <c r="AF376" s="181">
        <v>1.8</v>
      </c>
      <c r="AG376" s="181">
        <v>1.8</v>
      </c>
      <c r="AH376" s="363" t="str">
        <f t="shared" si="100"/>
        <v/>
      </c>
      <c r="AI376" s="190">
        <v>0</v>
      </c>
      <c r="AJ376" s="188">
        <v>8</v>
      </c>
      <c r="AO376" s="367"/>
      <c r="AP376" s="367"/>
      <c r="AQ376" s="367"/>
    </row>
    <row r="377" spans="1:43" s="69" customFormat="1" ht="24.75" x14ac:dyDescent="0.3">
      <c r="A377" s="55" t="s">
        <v>905</v>
      </c>
      <c r="B377" s="53" t="s">
        <v>906</v>
      </c>
      <c r="C377" s="54" t="s">
        <v>73</v>
      </c>
      <c r="D377" s="75">
        <v>1</v>
      </c>
      <c r="E377" s="75"/>
      <c r="F377" s="75"/>
      <c r="G377" s="75"/>
      <c r="H377" s="75"/>
      <c r="I377" s="75"/>
      <c r="J377" s="75">
        <v>112963.49</v>
      </c>
      <c r="K377" s="75">
        <v>112963.49</v>
      </c>
      <c r="L377" s="91" t="s">
        <v>907</v>
      </c>
      <c r="M377" s="73"/>
      <c r="N377" s="46">
        <v>0</v>
      </c>
      <c r="O377" s="46">
        <v>0</v>
      </c>
      <c r="P377" s="46">
        <v>0</v>
      </c>
      <c r="Q377" s="98"/>
      <c r="R377" s="23" t="s">
        <v>1431</v>
      </c>
      <c r="S377" s="24" t="s">
        <v>906</v>
      </c>
      <c r="T377" s="25" t="s">
        <v>73</v>
      </c>
      <c r="U377" s="26">
        <v>1</v>
      </c>
      <c r="V377" s="26">
        <f t="shared" si="97"/>
        <v>1</v>
      </c>
      <c r="W377" s="26">
        <f t="shared" si="91"/>
        <v>112963.49</v>
      </c>
      <c r="X377" s="26">
        <f t="shared" si="98"/>
        <v>0</v>
      </c>
      <c r="Y377" s="26">
        <f t="shared" si="92"/>
        <v>0</v>
      </c>
      <c r="Z377" s="26">
        <f t="shared" si="99"/>
        <v>0</v>
      </c>
      <c r="AA377" s="26">
        <f t="shared" si="101"/>
        <v>0</v>
      </c>
      <c r="AB377" s="33" t="s">
        <v>15</v>
      </c>
      <c r="AC377" s="324"/>
      <c r="AD377" s="181">
        <f t="shared" si="90"/>
        <v>1</v>
      </c>
      <c r="AE377" s="181">
        <f t="shared" si="89"/>
        <v>112963.49</v>
      </c>
      <c r="AF377" s="181">
        <v>1.8</v>
      </c>
      <c r="AG377" s="181">
        <v>1.8</v>
      </c>
      <c r="AH377" s="363" t="str">
        <f t="shared" si="100"/>
        <v/>
      </c>
      <c r="AI377" s="190">
        <v>0</v>
      </c>
      <c r="AJ377" s="188">
        <v>1</v>
      </c>
      <c r="AO377" s="367"/>
      <c r="AP377" s="367"/>
      <c r="AQ377" s="367"/>
    </row>
    <row r="378" spans="1:43" s="69" customFormat="1" ht="24.75" x14ac:dyDescent="0.3">
      <c r="A378" s="130" t="s">
        <v>908</v>
      </c>
      <c r="B378" s="131" t="s">
        <v>909</v>
      </c>
      <c r="C378" s="132" t="s">
        <v>14</v>
      </c>
      <c r="D378" s="133">
        <v>1</v>
      </c>
      <c r="E378" s="75"/>
      <c r="F378" s="75"/>
      <c r="G378" s="75"/>
      <c r="H378" s="75"/>
      <c r="I378" s="343">
        <v>0</v>
      </c>
      <c r="J378" s="75">
        <v>322500</v>
      </c>
      <c r="K378" s="75">
        <v>0</v>
      </c>
      <c r="L378" s="91" t="s">
        <v>910</v>
      </c>
      <c r="M378" s="73"/>
      <c r="N378" s="46">
        <v>0</v>
      </c>
      <c r="O378" s="46">
        <v>0</v>
      </c>
      <c r="P378" s="46">
        <v>0</v>
      </c>
      <c r="Q378" s="98"/>
      <c r="R378" s="23" t="s">
        <v>1395</v>
      </c>
      <c r="S378" s="24" t="s">
        <v>909</v>
      </c>
      <c r="T378" s="25" t="s">
        <v>14</v>
      </c>
      <c r="U378" s="26">
        <v>1</v>
      </c>
      <c r="V378" s="26">
        <v>0</v>
      </c>
      <c r="W378" s="26">
        <f t="shared" si="91"/>
        <v>322500</v>
      </c>
      <c r="X378" s="127">
        <f t="shared" si="98"/>
        <v>0</v>
      </c>
      <c r="Y378" s="127">
        <f t="shared" si="92"/>
        <v>0</v>
      </c>
      <c r="Z378" s="127">
        <f t="shared" si="99"/>
        <v>0</v>
      </c>
      <c r="AA378" s="127">
        <f t="shared" si="101"/>
        <v>0</v>
      </c>
      <c r="AB378" s="33" t="s">
        <v>15</v>
      </c>
      <c r="AC378" s="324"/>
      <c r="AD378" s="181">
        <v>0</v>
      </c>
      <c r="AE378" s="181">
        <f t="shared" si="89"/>
        <v>0</v>
      </c>
      <c r="AF378" s="181">
        <v>1.8</v>
      </c>
      <c r="AG378" s="181">
        <v>1.8</v>
      </c>
      <c r="AH378" s="363" t="str">
        <f t="shared" si="100"/>
        <v/>
      </c>
      <c r="AI378" s="190">
        <v>0</v>
      </c>
      <c r="AJ378" s="188">
        <v>0</v>
      </c>
      <c r="AO378" s="367"/>
      <c r="AP378" s="367"/>
      <c r="AQ378" s="367"/>
    </row>
    <row r="379" spans="1:43" s="69" customFormat="1" x14ac:dyDescent="0.3">
      <c r="A379" s="246" t="s">
        <v>911</v>
      </c>
      <c r="B379" s="247" t="s">
        <v>912</v>
      </c>
      <c r="C379" s="248" t="s">
        <v>325</v>
      </c>
      <c r="D379" s="249">
        <v>7</v>
      </c>
      <c r="E379" s="75"/>
      <c r="F379" s="75"/>
      <c r="G379" s="75"/>
      <c r="H379" s="75"/>
      <c r="I379" s="75"/>
      <c r="J379" s="75">
        <v>15500</v>
      </c>
      <c r="K379" s="75">
        <v>108500</v>
      </c>
      <c r="L379" s="91" t="s">
        <v>913</v>
      </c>
      <c r="M379" s="73"/>
      <c r="N379" s="46">
        <v>0</v>
      </c>
      <c r="O379" s="46">
        <v>0</v>
      </c>
      <c r="P379" s="46">
        <v>0</v>
      </c>
      <c r="Q379" s="98"/>
      <c r="R379" s="23" t="s">
        <v>1432</v>
      </c>
      <c r="S379" s="24" t="s">
        <v>912</v>
      </c>
      <c r="T379" s="25" t="s">
        <v>325</v>
      </c>
      <c r="U379" s="26">
        <v>7</v>
      </c>
      <c r="V379" s="26">
        <f t="shared" si="97"/>
        <v>7</v>
      </c>
      <c r="W379" s="26">
        <f t="shared" si="91"/>
        <v>15500</v>
      </c>
      <c r="X379" s="26">
        <f t="shared" si="98"/>
        <v>0</v>
      </c>
      <c r="Y379" s="26">
        <f t="shared" si="92"/>
        <v>0</v>
      </c>
      <c r="Z379" s="26">
        <f t="shared" si="99"/>
        <v>0</v>
      </c>
      <c r="AA379" s="26">
        <f t="shared" si="101"/>
        <v>0</v>
      </c>
      <c r="AB379" s="33" t="s">
        <v>15</v>
      </c>
      <c r="AC379" s="324"/>
      <c r="AD379" s="181">
        <f t="shared" si="90"/>
        <v>7</v>
      </c>
      <c r="AE379" s="181">
        <f t="shared" si="89"/>
        <v>108500</v>
      </c>
      <c r="AF379" s="181">
        <v>1.8</v>
      </c>
      <c r="AG379" s="181">
        <v>1.8</v>
      </c>
      <c r="AH379" s="363" t="str">
        <f t="shared" si="100"/>
        <v/>
      </c>
      <c r="AI379" s="190">
        <v>0</v>
      </c>
      <c r="AJ379" s="188">
        <v>7</v>
      </c>
      <c r="AO379" s="367"/>
      <c r="AP379" s="367"/>
      <c r="AQ379" s="367"/>
    </row>
    <row r="380" spans="1:43" s="69" customFormat="1" ht="24.75" x14ac:dyDescent="0.3">
      <c r="A380" s="246" t="s">
        <v>914</v>
      </c>
      <c r="B380" s="247" t="s">
        <v>915</v>
      </c>
      <c r="C380" s="248" t="s">
        <v>325</v>
      </c>
      <c r="D380" s="249">
        <v>2</v>
      </c>
      <c r="E380" s="75"/>
      <c r="F380" s="75"/>
      <c r="G380" s="75"/>
      <c r="H380" s="75"/>
      <c r="I380" s="75"/>
      <c r="J380" s="75">
        <v>113300</v>
      </c>
      <c r="K380" s="75">
        <v>226600</v>
      </c>
      <c r="L380" s="91" t="s">
        <v>916</v>
      </c>
      <c r="M380" s="73"/>
      <c r="N380" s="46">
        <v>0</v>
      </c>
      <c r="O380" s="46">
        <v>0</v>
      </c>
      <c r="P380" s="46">
        <v>0</v>
      </c>
      <c r="Q380" s="98"/>
      <c r="R380" s="23" t="s">
        <v>1433</v>
      </c>
      <c r="S380" s="24" t="s">
        <v>915</v>
      </c>
      <c r="T380" s="25" t="s">
        <v>325</v>
      </c>
      <c r="U380" s="26">
        <v>2</v>
      </c>
      <c r="V380" s="26">
        <f t="shared" si="97"/>
        <v>2</v>
      </c>
      <c r="W380" s="26">
        <f t="shared" si="91"/>
        <v>113300</v>
      </c>
      <c r="X380" s="26">
        <f t="shared" si="98"/>
        <v>0</v>
      </c>
      <c r="Y380" s="26">
        <f t="shared" si="92"/>
        <v>0</v>
      </c>
      <c r="Z380" s="26">
        <f t="shared" si="99"/>
        <v>0</v>
      </c>
      <c r="AA380" s="26">
        <f t="shared" si="101"/>
        <v>0</v>
      </c>
      <c r="AB380" s="33" t="s">
        <v>15</v>
      </c>
      <c r="AC380" s="324"/>
      <c r="AD380" s="181">
        <f t="shared" si="90"/>
        <v>2</v>
      </c>
      <c r="AE380" s="181">
        <f t="shared" si="89"/>
        <v>226600</v>
      </c>
      <c r="AF380" s="181">
        <v>1.8</v>
      </c>
      <c r="AG380" s="181">
        <v>1.8</v>
      </c>
      <c r="AH380" s="363" t="str">
        <f t="shared" si="100"/>
        <v/>
      </c>
      <c r="AI380" s="190">
        <v>0</v>
      </c>
      <c r="AJ380" s="188">
        <v>2</v>
      </c>
      <c r="AO380" s="367"/>
      <c r="AP380" s="367"/>
      <c r="AQ380" s="367"/>
    </row>
    <row r="381" spans="1:43" s="69" customFormat="1" x14ac:dyDescent="0.3">
      <c r="A381" s="130" t="s">
        <v>917</v>
      </c>
      <c r="B381" s="131" t="s">
        <v>918</v>
      </c>
      <c r="C381" s="132" t="s">
        <v>325</v>
      </c>
      <c r="D381" s="133">
        <v>9</v>
      </c>
      <c r="E381" s="75"/>
      <c r="F381" s="75"/>
      <c r="G381" s="75"/>
      <c r="H381" s="75"/>
      <c r="I381" s="343">
        <v>13</v>
      </c>
      <c r="J381" s="75">
        <v>100000</v>
      </c>
      <c r="K381" s="75">
        <v>1300000</v>
      </c>
      <c r="L381" s="91" t="s">
        <v>919</v>
      </c>
      <c r="M381" s="73"/>
      <c r="N381" s="46">
        <v>9</v>
      </c>
      <c r="O381" s="46">
        <v>0</v>
      </c>
      <c r="P381" s="46">
        <v>900000</v>
      </c>
      <c r="Q381" s="98"/>
      <c r="R381" s="23" t="s">
        <v>1382</v>
      </c>
      <c r="S381" s="24" t="s">
        <v>918</v>
      </c>
      <c r="T381" s="25" t="s">
        <v>325</v>
      </c>
      <c r="U381" s="26">
        <v>9</v>
      </c>
      <c r="V381" s="26">
        <f t="shared" si="97"/>
        <v>13</v>
      </c>
      <c r="W381" s="26">
        <f t="shared" si="91"/>
        <v>100000</v>
      </c>
      <c r="X381" s="243">
        <f t="shared" si="98"/>
        <v>4</v>
      </c>
      <c r="Y381" s="127">
        <f t="shared" si="92"/>
        <v>13</v>
      </c>
      <c r="Z381" s="127">
        <f t="shared" si="99"/>
        <v>400000</v>
      </c>
      <c r="AA381" s="127">
        <f t="shared" si="101"/>
        <v>1300000</v>
      </c>
      <c r="AB381" s="33" t="s">
        <v>15</v>
      </c>
      <c r="AC381" s="324"/>
      <c r="AD381" s="181">
        <f t="shared" si="90"/>
        <v>13</v>
      </c>
      <c r="AE381" s="181">
        <f t="shared" si="89"/>
        <v>1300000</v>
      </c>
      <c r="AF381" s="181">
        <v>1.8</v>
      </c>
      <c r="AG381" s="181">
        <v>1.8</v>
      </c>
      <c r="AH381" s="363" t="str">
        <f t="shared" si="100"/>
        <v/>
      </c>
      <c r="AI381" s="191">
        <v>13</v>
      </c>
      <c r="AJ381" s="190">
        <v>13</v>
      </c>
      <c r="AO381" s="367"/>
      <c r="AP381" s="367"/>
      <c r="AQ381" s="367"/>
    </row>
    <row r="382" spans="1:43" s="69" customFormat="1" x14ac:dyDescent="0.3">
      <c r="A382" s="130" t="s">
        <v>920</v>
      </c>
      <c r="B382" s="131" t="s">
        <v>921</v>
      </c>
      <c r="C382" s="132" t="s">
        <v>81</v>
      </c>
      <c r="D382" s="133">
        <v>2</v>
      </c>
      <c r="E382" s="75"/>
      <c r="F382" s="75"/>
      <c r="G382" s="75"/>
      <c r="H382" s="75"/>
      <c r="I382" s="75"/>
      <c r="J382" s="75">
        <v>15000</v>
      </c>
      <c r="K382" s="75">
        <v>30000</v>
      </c>
      <c r="L382" s="91" t="s">
        <v>922</v>
      </c>
      <c r="M382" s="73"/>
      <c r="N382" s="46">
        <v>2</v>
      </c>
      <c r="O382" s="46">
        <v>0</v>
      </c>
      <c r="P382" s="46">
        <v>30000</v>
      </c>
      <c r="Q382" s="98"/>
      <c r="R382" s="23" t="s">
        <v>1434</v>
      </c>
      <c r="S382" s="24" t="s">
        <v>921</v>
      </c>
      <c r="T382" s="25" t="s">
        <v>81</v>
      </c>
      <c r="U382" s="26">
        <v>2</v>
      </c>
      <c r="V382" s="26">
        <f t="shared" si="97"/>
        <v>2</v>
      </c>
      <c r="W382" s="26">
        <f t="shared" si="91"/>
        <v>15000</v>
      </c>
      <c r="X382" s="127">
        <f t="shared" si="98"/>
        <v>0</v>
      </c>
      <c r="Y382" s="127">
        <f t="shared" si="92"/>
        <v>2</v>
      </c>
      <c r="Z382" s="127">
        <f t="shared" si="99"/>
        <v>0</v>
      </c>
      <c r="AA382" s="127">
        <f t="shared" si="101"/>
        <v>30000</v>
      </c>
      <c r="AB382" s="33" t="s">
        <v>15</v>
      </c>
      <c r="AC382" s="324"/>
      <c r="AD382" s="181">
        <f t="shared" si="90"/>
        <v>2</v>
      </c>
      <c r="AE382" s="181">
        <f t="shared" si="89"/>
        <v>30000</v>
      </c>
      <c r="AF382" s="181">
        <v>1.8</v>
      </c>
      <c r="AG382" s="181">
        <v>1.8</v>
      </c>
      <c r="AH382" s="363" t="str">
        <f t="shared" si="100"/>
        <v/>
      </c>
      <c r="AI382" s="194">
        <v>2</v>
      </c>
      <c r="AJ382" s="188">
        <v>2</v>
      </c>
      <c r="AO382" s="367"/>
      <c r="AP382" s="367"/>
      <c r="AQ382" s="367"/>
    </row>
    <row r="383" spans="1:43" s="69" customFormat="1" ht="39" x14ac:dyDescent="0.3">
      <c r="A383" s="55" t="s">
        <v>923</v>
      </c>
      <c r="B383" s="53" t="s">
        <v>3157</v>
      </c>
      <c r="C383" s="54" t="s">
        <v>925</v>
      </c>
      <c r="D383" s="75">
        <v>1</v>
      </c>
      <c r="E383" s="75"/>
      <c r="F383" s="75"/>
      <c r="G383" s="75"/>
      <c r="H383" s="75"/>
      <c r="I383" s="75"/>
      <c r="J383" s="75">
        <v>15000</v>
      </c>
      <c r="K383" s="75">
        <v>15000</v>
      </c>
      <c r="L383" s="91" t="s">
        <v>926</v>
      </c>
      <c r="M383" s="73"/>
      <c r="N383" s="46">
        <v>0</v>
      </c>
      <c r="O383" s="46">
        <v>0</v>
      </c>
      <c r="P383" s="46">
        <v>0</v>
      </c>
      <c r="Q383" s="98"/>
      <c r="R383" s="23" t="s">
        <v>1388</v>
      </c>
      <c r="S383" s="24" t="s">
        <v>924</v>
      </c>
      <c r="T383" s="25" t="s">
        <v>925</v>
      </c>
      <c r="U383" s="26">
        <v>1</v>
      </c>
      <c r="V383" s="26">
        <f t="shared" si="97"/>
        <v>1</v>
      </c>
      <c r="W383" s="26">
        <f t="shared" si="91"/>
        <v>15000</v>
      </c>
      <c r="X383" s="26">
        <f t="shared" si="98"/>
        <v>0</v>
      </c>
      <c r="Y383" s="26">
        <f t="shared" si="92"/>
        <v>0</v>
      </c>
      <c r="Z383" s="26">
        <f t="shared" si="99"/>
        <v>0</v>
      </c>
      <c r="AA383" s="26">
        <f t="shared" si="101"/>
        <v>0</v>
      </c>
      <c r="AB383" s="33" t="s">
        <v>15</v>
      </c>
      <c r="AC383" s="324"/>
      <c r="AD383" s="181">
        <f t="shared" si="90"/>
        <v>1</v>
      </c>
      <c r="AE383" s="181">
        <f t="shared" si="89"/>
        <v>15000</v>
      </c>
      <c r="AF383" s="181">
        <v>1.8</v>
      </c>
      <c r="AG383" s="181">
        <v>1.8</v>
      </c>
      <c r="AH383" s="363" t="str">
        <f t="shared" si="100"/>
        <v/>
      </c>
      <c r="AI383" s="190">
        <v>0</v>
      </c>
      <c r="AJ383" s="188">
        <v>1</v>
      </c>
      <c r="AO383" s="367"/>
      <c r="AP383" s="367"/>
      <c r="AQ383" s="367"/>
    </row>
    <row r="384" spans="1:43" s="69" customFormat="1" x14ac:dyDescent="0.3">
      <c r="A384" s="55" t="s">
        <v>927</v>
      </c>
      <c r="B384" s="53" t="s">
        <v>928</v>
      </c>
      <c r="C384" s="54" t="s">
        <v>325</v>
      </c>
      <c r="D384" s="75">
        <v>1</v>
      </c>
      <c r="E384" s="75"/>
      <c r="F384" s="75"/>
      <c r="G384" s="75"/>
      <c r="H384" s="75"/>
      <c r="I384" s="75"/>
      <c r="J384" s="75">
        <v>1500</v>
      </c>
      <c r="K384" s="75">
        <v>1500</v>
      </c>
      <c r="L384" s="91" t="s">
        <v>929</v>
      </c>
      <c r="M384" s="73"/>
      <c r="N384" s="46">
        <v>0</v>
      </c>
      <c r="O384" s="46">
        <v>0</v>
      </c>
      <c r="P384" s="46">
        <v>0</v>
      </c>
      <c r="Q384" s="98"/>
      <c r="R384" s="23" t="s">
        <v>1389</v>
      </c>
      <c r="S384" s="24" t="s">
        <v>928</v>
      </c>
      <c r="T384" s="25" t="s">
        <v>325</v>
      </c>
      <c r="U384" s="26">
        <v>1</v>
      </c>
      <c r="V384" s="26">
        <f t="shared" si="97"/>
        <v>1</v>
      </c>
      <c r="W384" s="26">
        <f t="shared" si="91"/>
        <v>1500</v>
      </c>
      <c r="X384" s="26">
        <f t="shared" si="98"/>
        <v>0</v>
      </c>
      <c r="Y384" s="26">
        <f t="shared" si="92"/>
        <v>0</v>
      </c>
      <c r="Z384" s="26">
        <f t="shared" si="99"/>
        <v>0</v>
      </c>
      <c r="AA384" s="26">
        <f t="shared" si="101"/>
        <v>0</v>
      </c>
      <c r="AB384" s="33" t="s">
        <v>15</v>
      </c>
      <c r="AC384" s="324"/>
      <c r="AD384" s="181">
        <f t="shared" si="90"/>
        <v>1</v>
      </c>
      <c r="AE384" s="181">
        <f t="shared" si="89"/>
        <v>1500</v>
      </c>
      <c r="AF384" s="181">
        <v>1.8</v>
      </c>
      <c r="AG384" s="181">
        <v>1.8</v>
      </c>
      <c r="AH384" s="363" t="str">
        <f t="shared" si="100"/>
        <v/>
      </c>
      <c r="AI384" s="190">
        <v>0</v>
      </c>
      <c r="AJ384" s="188">
        <v>1</v>
      </c>
      <c r="AO384" s="367"/>
      <c r="AP384" s="367"/>
      <c r="AQ384" s="367"/>
    </row>
    <row r="385" spans="1:43" s="69" customFormat="1" ht="39" x14ac:dyDescent="0.3">
      <c r="A385" s="55" t="s">
        <v>930</v>
      </c>
      <c r="B385" s="53" t="s">
        <v>931</v>
      </c>
      <c r="C385" s="54" t="s">
        <v>932</v>
      </c>
      <c r="D385" s="75">
        <v>3</v>
      </c>
      <c r="E385" s="75"/>
      <c r="F385" s="75"/>
      <c r="G385" s="75"/>
      <c r="H385" s="75"/>
      <c r="I385" s="75"/>
      <c r="J385" s="75">
        <v>2600</v>
      </c>
      <c r="K385" s="75">
        <v>7800</v>
      </c>
      <c r="L385" s="91" t="s">
        <v>933</v>
      </c>
      <c r="M385" s="73"/>
      <c r="N385" s="46">
        <v>0</v>
      </c>
      <c r="O385" s="46">
        <v>0</v>
      </c>
      <c r="P385" s="46">
        <v>0</v>
      </c>
      <c r="Q385" s="98"/>
      <c r="R385" s="23" t="s">
        <v>1390</v>
      </c>
      <c r="S385" s="24" t="s">
        <v>931</v>
      </c>
      <c r="T385" s="25" t="s">
        <v>932</v>
      </c>
      <c r="U385" s="26">
        <v>3</v>
      </c>
      <c r="V385" s="26">
        <f t="shared" si="97"/>
        <v>3</v>
      </c>
      <c r="W385" s="26">
        <f t="shared" si="91"/>
        <v>2600</v>
      </c>
      <c r="X385" s="26">
        <f t="shared" si="98"/>
        <v>0</v>
      </c>
      <c r="Y385" s="26">
        <f t="shared" si="92"/>
        <v>0</v>
      </c>
      <c r="Z385" s="26">
        <f t="shared" si="99"/>
        <v>0</v>
      </c>
      <c r="AA385" s="26">
        <f t="shared" si="101"/>
        <v>0</v>
      </c>
      <c r="AB385" s="33" t="s">
        <v>15</v>
      </c>
      <c r="AC385" s="324"/>
      <c r="AD385" s="181">
        <f t="shared" si="90"/>
        <v>3</v>
      </c>
      <c r="AE385" s="181">
        <f t="shared" si="89"/>
        <v>7800</v>
      </c>
      <c r="AF385" s="181">
        <v>1.8</v>
      </c>
      <c r="AG385" s="181">
        <v>1.8</v>
      </c>
      <c r="AH385" s="363" t="str">
        <f t="shared" si="100"/>
        <v/>
      </c>
      <c r="AI385" s="190">
        <v>0</v>
      </c>
      <c r="AJ385" s="188">
        <v>3</v>
      </c>
      <c r="AO385" s="367"/>
      <c r="AP385" s="367"/>
      <c r="AQ385" s="367"/>
    </row>
    <row r="386" spans="1:43" s="69" customFormat="1" ht="58.5" x14ac:dyDescent="0.3">
      <c r="A386" s="55" t="s">
        <v>934</v>
      </c>
      <c r="B386" s="53" t="s">
        <v>935</v>
      </c>
      <c r="C386" s="54" t="s">
        <v>932</v>
      </c>
      <c r="D386" s="75">
        <v>38</v>
      </c>
      <c r="E386" s="75"/>
      <c r="F386" s="75"/>
      <c r="G386" s="75"/>
      <c r="H386" s="75"/>
      <c r="I386" s="75"/>
      <c r="J386" s="75">
        <v>4460</v>
      </c>
      <c r="K386" s="75">
        <v>169480</v>
      </c>
      <c r="L386" s="91" t="s">
        <v>936</v>
      </c>
      <c r="M386" s="73"/>
      <c r="N386" s="46">
        <v>31</v>
      </c>
      <c r="O386" s="46">
        <v>0</v>
      </c>
      <c r="P386" s="46">
        <v>138260</v>
      </c>
      <c r="Q386" s="98"/>
      <c r="R386" s="23" t="s">
        <v>1391</v>
      </c>
      <c r="S386" s="24" t="s">
        <v>935</v>
      </c>
      <c r="T386" s="25" t="s">
        <v>932</v>
      </c>
      <c r="U386" s="26">
        <v>38</v>
      </c>
      <c r="V386" s="26">
        <f t="shared" si="97"/>
        <v>38</v>
      </c>
      <c r="W386" s="26">
        <f t="shared" si="91"/>
        <v>4460</v>
      </c>
      <c r="X386" s="128">
        <f t="shared" si="98"/>
        <v>0</v>
      </c>
      <c r="Y386" s="26">
        <f t="shared" si="92"/>
        <v>31</v>
      </c>
      <c r="Z386" s="26">
        <f t="shared" si="99"/>
        <v>0</v>
      </c>
      <c r="AA386" s="26">
        <f t="shared" si="101"/>
        <v>138260</v>
      </c>
      <c r="AB386" s="33" t="s">
        <v>15</v>
      </c>
      <c r="AC386" s="325"/>
      <c r="AD386" s="263">
        <f t="shared" si="90"/>
        <v>38</v>
      </c>
      <c r="AE386" s="263">
        <f t="shared" si="89"/>
        <v>169480</v>
      </c>
      <c r="AF386" s="263">
        <v>1.8</v>
      </c>
      <c r="AG386" s="263">
        <v>1.8</v>
      </c>
      <c r="AH386" s="68" t="str">
        <f t="shared" si="100"/>
        <v/>
      </c>
      <c r="AI386" s="194">
        <v>31</v>
      </c>
      <c r="AJ386" s="188">
        <v>38</v>
      </c>
      <c r="AO386" s="367"/>
      <c r="AP386" s="367"/>
      <c r="AQ386" s="367"/>
    </row>
    <row r="387" spans="1:43" s="69" customFormat="1" ht="58.5" x14ac:dyDescent="0.3">
      <c r="A387" s="55" t="s">
        <v>937</v>
      </c>
      <c r="B387" s="118" t="s">
        <v>938</v>
      </c>
      <c r="C387" s="119" t="s">
        <v>30</v>
      </c>
      <c r="D387" s="120">
        <v>1352</v>
      </c>
      <c r="E387" s="75"/>
      <c r="F387" s="75"/>
      <c r="G387" s="75"/>
      <c r="H387" s="75"/>
      <c r="I387" s="75"/>
      <c r="J387" s="75">
        <v>30.59</v>
      </c>
      <c r="K387" s="75">
        <v>41357.68</v>
      </c>
      <c r="L387" s="91" t="s">
        <v>939</v>
      </c>
      <c r="M387" s="73"/>
      <c r="N387" s="46">
        <v>1083</v>
      </c>
      <c r="O387" s="46">
        <v>0</v>
      </c>
      <c r="P387" s="46">
        <v>33128.97</v>
      </c>
      <c r="Q387" s="98"/>
      <c r="R387" s="23" t="s">
        <v>1436</v>
      </c>
      <c r="S387" s="24" t="s">
        <v>938</v>
      </c>
      <c r="T387" s="25" t="s">
        <v>30</v>
      </c>
      <c r="U387" s="26">
        <v>1352</v>
      </c>
      <c r="V387" s="26">
        <f t="shared" si="97"/>
        <v>1352</v>
      </c>
      <c r="W387" s="26">
        <f t="shared" si="91"/>
        <v>30.59</v>
      </c>
      <c r="X387" s="128">
        <f t="shared" si="98"/>
        <v>0</v>
      </c>
      <c r="Y387" s="26">
        <f t="shared" si="92"/>
        <v>1083</v>
      </c>
      <c r="Z387" s="26">
        <f t="shared" si="99"/>
        <v>0</v>
      </c>
      <c r="AA387" s="26">
        <f t="shared" si="101"/>
        <v>33128.97</v>
      </c>
      <c r="AB387" s="33" t="s">
        <v>15</v>
      </c>
      <c r="AC387" s="325"/>
      <c r="AD387" s="263">
        <f t="shared" si="90"/>
        <v>1352</v>
      </c>
      <c r="AE387" s="263">
        <f t="shared" si="89"/>
        <v>41357.68</v>
      </c>
      <c r="AF387" s="263">
        <v>1.8</v>
      </c>
      <c r="AG387" s="263">
        <v>1.8</v>
      </c>
      <c r="AH387" s="68" t="str">
        <f t="shared" si="100"/>
        <v/>
      </c>
      <c r="AI387" s="194">
        <f>1083</f>
        <v>1083</v>
      </c>
      <c r="AJ387" s="188">
        <v>1352</v>
      </c>
      <c r="AO387" s="367"/>
      <c r="AP387" s="367"/>
      <c r="AQ387" s="367"/>
    </row>
    <row r="388" spans="1:43" s="69" customFormat="1" ht="78" x14ac:dyDescent="0.3">
      <c r="A388" s="55" t="s">
        <v>940</v>
      </c>
      <c r="B388" s="118" t="s">
        <v>941</v>
      </c>
      <c r="C388" s="119" t="s">
        <v>30</v>
      </c>
      <c r="D388" s="120">
        <v>300</v>
      </c>
      <c r="E388" s="75"/>
      <c r="F388" s="75"/>
      <c r="G388" s="75"/>
      <c r="H388" s="75"/>
      <c r="I388" s="75"/>
      <c r="J388" s="75">
        <v>972.45</v>
      </c>
      <c r="K388" s="75">
        <v>291735</v>
      </c>
      <c r="L388" s="91" t="s">
        <v>942</v>
      </c>
      <c r="M388" s="73"/>
      <c r="N388" s="46">
        <v>0</v>
      </c>
      <c r="O388" s="46">
        <v>0</v>
      </c>
      <c r="P388" s="46">
        <v>0</v>
      </c>
      <c r="Q388" s="98"/>
      <c r="R388" s="23" t="s">
        <v>1374</v>
      </c>
      <c r="S388" s="24" t="s">
        <v>941</v>
      </c>
      <c r="T388" s="25" t="s">
        <v>30</v>
      </c>
      <c r="U388" s="26">
        <v>300</v>
      </c>
      <c r="V388" s="26">
        <f t="shared" si="97"/>
        <v>300</v>
      </c>
      <c r="W388" s="26">
        <f t="shared" si="91"/>
        <v>972.45</v>
      </c>
      <c r="X388" s="26">
        <f t="shared" si="98"/>
        <v>0</v>
      </c>
      <c r="Y388" s="26">
        <f t="shared" si="92"/>
        <v>0</v>
      </c>
      <c r="Z388" s="26">
        <f t="shared" si="99"/>
        <v>0</v>
      </c>
      <c r="AA388" s="26">
        <f t="shared" si="101"/>
        <v>0</v>
      </c>
      <c r="AB388" s="33" t="s">
        <v>15</v>
      </c>
      <c r="AC388" s="324"/>
      <c r="AD388" s="181">
        <f t="shared" si="90"/>
        <v>300</v>
      </c>
      <c r="AE388" s="181">
        <f t="shared" si="89"/>
        <v>291735</v>
      </c>
      <c r="AF388" s="181">
        <v>1.8</v>
      </c>
      <c r="AG388" s="181">
        <v>1.8</v>
      </c>
      <c r="AH388" s="363" t="str">
        <f t="shared" si="100"/>
        <v/>
      </c>
      <c r="AI388" s="190">
        <v>0</v>
      </c>
      <c r="AJ388" s="188">
        <v>300</v>
      </c>
      <c r="AO388" s="367"/>
      <c r="AP388" s="367"/>
      <c r="AQ388" s="367"/>
    </row>
    <row r="389" spans="1:43" s="69" customFormat="1" ht="78" x14ac:dyDescent="0.3">
      <c r="A389" s="55" t="s">
        <v>943</v>
      </c>
      <c r="B389" s="53" t="s">
        <v>944</v>
      </c>
      <c r="C389" s="54" t="s">
        <v>30</v>
      </c>
      <c r="D389" s="75">
        <v>252</v>
      </c>
      <c r="E389" s="75"/>
      <c r="F389" s="75"/>
      <c r="G389" s="75"/>
      <c r="H389" s="75"/>
      <c r="I389" s="75"/>
      <c r="J389" s="75">
        <v>628.34</v>
      </c>
      <c r="K389" s="75">
        <v>158341.68</v>
      </c>
      <c r="L389" s="91" t="s">
        <v>945</v>
      </c>
      <c r="M389" s="73"/>
      <c r="N389" s="46">
        <v>0</v>
      </c>
      <c r="O389" s="46">
        <v>0</v>
      </c>
      <c r="P389" s="46">
        <v>0</v>
      </c>
      <c r="Q389" s="98"/>
      <c r="R389" s="23" t="s">
        <v>1376</v>
      </c>
      <c r="S389" s="24" t="s">
        <v>944</v>
      </c>
      <c r="T389" s="25" t="s">
        <v>30</v>
      </c>
      <c r="U389" s="26">
        <v>252</v>
      </c>
      <c r="V389" s="26">
        <f t="shared" si="97"/>
        <v>252</v>
      </c>
      <c r="W389" s="26">
        <f t="shared" si="91"/>
        <v>628.34</v>
      </c>
      <c r="X389" s="26">
        <f t="shared" si="98"/>
        <v>0</v>
      </c>
      <c r="Y389" s="26">
        <f t="shared" si="92"/>
        <v>0</v>
      </c>
      <c r="Z389" s="26">
        <f t="shared" si="99"/>
        <v>0</v>
      </c>
      <c r="AA389" s="26">
        <f t="shared" si="101"/>
        <v>0</v>
      </c>
      <c r="AB389" s="33" t="s">
        <v>15</v>
      </c>
      <c r="AC389" s="324"/>
      <c r="AD389" s="181">
        <f t="shared" si="90"/>
        <v>252</v>
      </c>
      <c r="AE389" s="181">
        <f t="shared" si="89"/>
        <v>158341.68</v>
      </c>
      <c r="AF389" s="181">
        <v>1.8</v>
      </c>
      <c r="AG389" s="181">
        <v>1.8</v>
      </c>
      <c r="AH389" s="363" t="str">
        <f t="shared" si="100"/>
        <v/>
      </c>
      <c r="AI389" s="190">
        <v>0</v>
      </c>
      <c r="AJ389" s="188">
        <v>252</v>
      </c>
      <c r="AO389" s="367"/>
      <c r="AP389" s="367"/>
      <c r="AQ389" s="367"/>
    </row>
    <row r="390" spans="1:43" s="69" customFormat="1" ht="78" x14ac:dyDescent="0.3">
      <c r="A390" s="55" t="s">
        <v>946</v>
      </c>
      <c r="B390" s="53" t="s">
        <v>947</v>
      </c>
      <c r="C390" s="54" t="s">
        <v>30</v>
      </c>
      <c r="D390" s="75">
        <v>36</v>
      </c>
      <c r="E390" s="75"/>
      <c r="F390" s="75"/>
      <c r="G390" s="75"/>
      <c r="H390" s="75"/>
      <c r="I390" s="75"/>
      <c r="J390" s="75">
        <v>497.09</v>
      </c>
      <c r="K390" s="75">
        <v>17895.240000000002</v>
      </c>
      <c r="L390" s="91" t="s">
        <v>948</v>
      </c>
      <c r="M390" s="73"/>
      <c r="N390" s="46">
        <v>0</v>
      </c>
      <c r="O390" s="46">
        <v>0</v>
      </c>
      <c r="P390" s="46">
        <v>0</v>
      </c>
      <c r="Q390" s="98"/>
      <c r="R390" s="23" t="s">
        <v>1378</v>
      </c>
      <c r="S390" s="24" t="s">
        <v>947</v>
      </c>
      <c r="T390" s="25" t="s">
        <v>30</v>
      </c>
      <c r="U390" s="26">
        <v>36</v>
      </c>
      <c r="V390" s="26">
        <f t="shared" si="97"/>
        <v>36</v>
      </c>
      <c r="W390" s="26">
        <f t="shared" si="91"/>
        <v>497.09</v>
      </c>
      <c r="X390" s="26">
        <f t="shared" si="98"/>
        <v>0</v>
      </c>
      <c r="Y390" s="26">
        <f t="shared" si="92"/>
        <v>0</v>
      </c>
      <c r="Z390" s="26">
        <f t="shared" si="99"/>
        <v>0</v>
      </c>
      <c r="AA390" s="26">
        <f t="shared" si="101"/>
        <v>0</v>
      </c>
      <c r="AB390" s="33" t="s">
        <v>15</v>
      </c>
      <c r="AC390" s="324"/>
      <c r="AD390" s="181">
        <f t="shared" si="90"/>
        <v>36</v>
      </c>
      <c r="AE390" s="181">
        <f t="shared" si="89"/>
        <v>17895.240000000002</v>
      </c>
      <c r="AF390" s="181">
        <v>1.8</v>
      </c>
      <c r="AG390" s="181">
        <v>1.8</v>
      </c>
      <c r="AH390" s="363" t="str">
        <f t="shared" si="100"/>
        <v/>
      </c>
      <c r="AI390" s="190">
        <v>0</v>
      </c>
      <c r="AJ390" s="188">
        <v>36</v>
      </c>
      <c r="AO390" s="367"/>
      <c r="AP390" s="367"/>
      <c r="AQ390" s="367"/>
    </row>
    <row r="391" spans="1:43" s="69" customFormat="1" ht="78" x14ac:dyDescent="0.3">
      <c r="A391" s="55" t="s">
        <v>949</v>
      </c>
      <c r="B391" s="53" t="s">
        <v>950</v>
      </c>
      <c r="C391" s="54" t="s">
        <v>30</v>
      </c>
      <c r="D391" s="75">
        <v>159</v>
      </c>
      <c r="E391" s="75"/>
      <c r="F391" s="75"/>
      <c r="G391" s="75"/>
      <c r="H391" s="75"/>
      <c r="I391" s="75"/>
      <c r="J391" s="75">
        <v>270.2</v>
      </c>
      <c r="K391" s="75">
        <v>42961.8</v>
      </c>
      <c r="L391" s="91" t="s">
        <v>951</v>
      </c>
      <c r="M391" s="73"/>
      <c r="N391" s="46">
        <v>0</v>
      </c>
      <c r="O391" s="46">
        <v>0</v>
      </c>
      <c r="P391" s="46">
        <v>0</v>
      </c>
      <c r="Q391" s="98"/>
      <c r="R391" s="23" t="s">
        <v>1438</v>
      </c>
      <c r="S391" s="24" t="s">
        <v>950</v>
      </c>
      <c r="T391" s="25" t="s">
        <v>30</v>
      </c>
      <c r="U391" s="26">
        <v>159</v>
      </c>
      <c r="V391" s="26">
        <f t="shared" si="97"/>
        <v>159</v>
      </c>
      <c r="W391" s="26">
        <f t="shared" si="91"/>
        <v>270.2</v>
      </c>
      <c r="X391" s="26">
        <f t="shared" si="98"/>
        <v>0</v>
      </c>
      <c r="Y391" s="26">
        <f t="shared" si="92"/>
        <v>0</v>
      </c>
      <c r="Z391" s="26">
        <f t="shared" si="99"/>
        <v>0</v>
      </c>
      <c r="AA391" s="26">
        <f t="shared" si="101"/>
        <v>0</v>
      </c>
      <c r="AB391" s="33" t="s">
        <v>15</v>
      </c>
      <c r="AC391" s="324"/>
      <c r="AD391" s="181">
        <f t="shared" si="90"/>
        <v>159</v>
      </c>
      <c r="AE391" s="181">
        <f t="shared" si="89"/>
        <v>42961.8</v>
      </c>
      <c r="AF391" s="181">
        <v>1.8</v>
      </c>
      <c r="AG391" s="181">
        <v>1.8</v>
      </c>
      <c r="AH391" s="363" t="str">
        <f t="shared" si="100"/>
        <v/>
      </c>
      <c r="AI391" s="190">
        <v>0</v>
      </c>
      <c r="AJ391" s="188">
        <v>159</v>
      </c>
      <c r="AO391" s="367"/>
      <c r="AP391" s="367"/>
      <c r="AQ391" s="367"/>
    </row>
    <row r="392" spans="1:43" s="69" customFormat="1" ht="78" x14ac:dyDescent="0.3">
      <c r="A392" s="55" t="s">
        <v>952</v>
      </c>
      <c r="B392" s="53" t="s">
        <v>953</v>
      </c>
      <c r="C392" s="54" t="s">
        <v>30</v>
      </c>
      <c r="D392" s="75">
        <v>1199</v>
      </c>
      <c r="E392" s="75"/>
      <c r="F392" s="75"/>
      <c r="G392" s="75"/>
      <c r="H392" s="75"/>
      <c r="I392" s="328">
        <v>2197.1999999999998</v>
      </c>
      <c r="J392" s="75">
        <v>152.94</v>
      </c>
      <c r="K392" s="75">
        <v>336039.77</v>
      </c>
      <c r="L392" s="91" t="s">
        <v>954</v>
      </c>
      <c r="M392" s="73"/>
      <c r="N392" s="46">
        <v>1169</v>
      </c>
      <c r="O392" s="46">
        <v>0</v>
      </c>
      <c r="P392" s="46">
        <v>178786.86</v>
      </c>
      <c r="Q392" s="98"/>
      <c r="R392" s="23" t="s">
        <v>1439</v>
      </c>
      <c r="S392" s="24" t="s">
        <v>953</v>
      </c>
      <c r="T392" s="25" t="s">
        <v>30</v>
      </c>
      <c r="U392" s="26">
        <v>1199</v>
      </c>
      <c r="V392" s="26">
        <f t="shared" si="97"/>
        <v>2197.1999999999998</v>
      </c>
      <c r="W392" s="26">
        <f t="shared" si="91"/>
        <v>152.94</v>
      </c>
      <c r="X392" s="243">
        <f t="shared" si="98"/>
        <v>0</v>
      </c>
      <c r="Y392" s="26">
        <f t="shared" si="92"/>
        <v>1169</v>
      </c>
      <c r="Z392" s="26">
        <f t="shared" si="99"/>
        <v>0</v>
      </c>
      <c r="AA392" s="26">
        <f t="shared" si="101"/>
        <v>178786.86</v>
      </c>
      <c r="AB392" s="33" t="s">
        <v>15</v>
      </c>
      <c r="AC392" s="324"/>
      <c r="AD392" s="181">
        <f t="shared" si="90"/>
        <v>2197.1999999999998</v>
      </c>
      <c r="AE392" s="181">
        <f t="shared" si="89"/>
        <v>336039.77</v>
      </c>
      <c r="AF392" s="181">
        <v>1.8</v>
      </c>
      <c r="AG392" s="181">
        <v>1.8</v>
      </c>
      <c r="AH392" s="363" t="str">
        <f t="shared" si="100"/>
        <v/>
      </c>
      <c r="AI392" s="191">
        <f>427+136.9+605.1</f>
        <v>1169</v>
      </c>
      <c r="AJ392" s="190">
        <v>2197.1999999999998</v>
      </c>
      <c r="AO392" s="367"/>
      <c r="AP392" s="367"/>
      <c r="AQ392" s="367"/>
    </row>
    <row r="393" spans="1:43" s="69" customFormat="1" ht="49.5" x14ac:dyDescent="0.3">
      <c r="A393" s="130" t="s">
        <v>955</v>
      </c>
      <c r="B393" s="240" t="s">
        <v>956</v>
      </c>
      <c r="C393" s="132" t="s">
        <v>30</v>
      </c>
      <c r="D393" s="133">
        <v>144</v>
      </c>
      <c r="E393" s="75"/>
      <c r="F393" s="75"/>
      <c r="G393" s="75"/>
      <c r="H393" s="75"/>
      <c r="I393" s="75"/>
      <c r="J393" s="75">
        <v>228.14</v>
      </c>
      <c r="K393" s="75">
        <v>32852.160000000003</v>
      </c>
      <c r="L393" s="91" t="s">
        <v>957</v>
      </c>
      <c r="M393" s="73"/>
      <c r="N393" s="46">
        <v>144</v>
      </c>
      <c r="O393" s="46">
        <v>0</v>
      </c>
      <c r="P393" s="46">
        <v>32852.160000000003</v>
      </c>
      <c r="Q393" s="98"/>
      <c r="R393" s="23" t="s">
        <v>1440</v>
      </c>
      <c r="S393" s="24" t="s">
        <v>956</v>
      </c>
      <c r="T393" s="25" t="s">
        <v>30</v>
      </c>
      <c r="U393" s="26">
        <v>144</v>
      </c>
      <c r="V393" s="26">
        <f t="shared" si="97"/>
        <v>144</v>
      </c>
      <c r="W393" s="26">
        <f t="shared" si="91"/>
        <v>228.14</v>
      </c>
      <c r="X393" s="127">
        <f t="shared" si="98"/>
        <v>0</v>
      </c>
      <c r="Y393" s="127">
        <f t="shared" si="92"/>
        <v>144</v>
      </c>
      <c r="Z393" s="127">
        <f t="shared" si="99"/>
        <v>0</v>
      </c>
      <c r="AA393" s="127">
        <f t="shared" si="101"/>
        <v>32852.160000000003</v>
      </c>
      <c r="AB393" s="33" t="s">
        <v>15</v>
      </c>
      <c r="AC393" s="324"/>
      <c r="AD393" s="181">
        <f t="shared" si="90"/>
        <v>144</v>
      </c>
      <c r="AE393" s="181">
        <f t="shared" si="89"/>
        <v>32852.160000000003</v>
      </c>
      <c r="AF393" s="181">
        <v>1.8</v>
      </c>
      <c r="AG393" s="181">
        <v>1.8</v>
      </c>
      <c r="AH393" s="363" t="str">
        <f t="shared" si="100"/>
        <v/>
      </c>
      <c r="AI393" s="194">
        <f>75+69</f>
        <v>144</v>
      </c>
      <c r="AJ393" s="188">
        <v>144</v>
      </c>
      <c r="AO393" s="367"/>
      <c r="AP393" s="367"/>
      <c r="AQ393" s="367"/>
    </row>
    <row r="394" spans="1:43" s="69" customFormat="1" ht="39" x14ac:dyDescent="0.3">
      <c r="A394" s="55" t="s">
        <v>958</v>
      </c>
      <c r="B394" s="53" t="s">
        <v>959</v>
      </c>
      <c r="C394" s="54" t="s">
        <v>14</v>
      </c>
      <c r="D394" s="75">
        <v>1</v>
      </c>
      <c r="E394" s="75"/>
      <c r="F394" s="75"/>
      <c r="G394" s="75"/>
      <c r="H394" s="75"/>
      <c r="I394" s="75"/>
      <c r="J394" s="75">
        <v>90448.13</v>
      </c>
      <c r="K394" s="75">
        <v>90448.13</v>
      </c>
      <c r="L394" s="91" t="s">
        <v>960</v>
      </c>
      <c r="M394" s="73"/>
      <c r="N394" s="46">
        <v>0</v>
      </c>
      <c r="O394" s="46">
        <v>0</v>
      </c>
      <c r="P394" s="46">
        <v>0</v>
      </c>
      <c r="Q394" s="98"/>
      <c r="R394" s="23" t="s">
        <v>1441</v>
      </c>
      <c r="S394" s="24" t="s">
        <v>959</v>
      </c>
      <c r="T394" s="25" t="s">
        <v>14</v>
      </c>
      <c r="U394" s="26">
        <v>1</v>
      </c>
      <c r="V394" s="26">
        <f t="shared" si="97"/>
        <v>1</v>
      </c>
      <c r="W394" s="26">
        <f t="shared" si="91"/>
        <v>90448.13</v>
      </c>
      <c r="X394" s="26">
        <f t="shared" si="98"/>
        <v>0</v>
      </c>
      <c r="Y394" s="26">
        <f t="shared" si="92"/>
        <v>0</v>
      </c>
      <c r="Z394" s="26">
        <f t="shared" si="99"/>
        <v>0</v>
      </c>
      <c r="AA394" s="26">
        <f t="shared" si="101"/>
        <v>0</v>
      </c>
      <c r="AB394" s="33" t="s">
        <v>15</v>
      </c>
      <c r="AC394" s="324"/>
      <c r="AD394" s="181">
        <f t="shared" ref="AD394:AD457" si="102">IF(V394=0,U394,V394)</f>
        <v>1</v>
      </c>
      <c r="AE394" s="181">
        <f t="shared" si="89"/>
        <v>90448.13</v>
      </c>
      <c r="AF394" s="181">
        <v>1.8</v>
      </c>
      <c r="AG394" s="181">
        <v>1.8</v>
      </c>
      <c r="AH394" s="363" t="str">
        <f t="shared" si="100"/>
        <v/>
      </c>
      <c r="AI394" s="190">
        <v>0</v>
      </c>
      <c r="AJ394" s="188">
        <v>1</v>
      </c>
      <c r="AO394" s="367"/>
      <c r="AP394" s="367"/>
      <c r="AQ394" s="367"/>
    </row>
    <row r="395" spans="1:43" s="69" customFormat="1" ht="57" x14ac:dyDescent="0.3">
      <c r="A395" s="55" t="s">
        <v>961</v>
      </c>
      <c r="B395" s="254" t="s">
        <v>962</v>
      </c>
      <c r="C395" s="54" t="s">
        <v>30</v>
      </c>
      <c r="D395" s="75">
        <v>2702</v>
      </c>
      <c r="E395" s="75"/>
      <c r="F395" s="75"/>
      <c r="G395" s="75"/>
      <c r="H395" s="75"/>
      <c r="I395" s="75"/>
      <c r="J395" s="75">
        <v>81.569999999999993</v>
      </c>
      <c r="K395" s="75">
        <v>220402.14</v>
      </c>
      <c r="L395" s="91" t="s">
        <v>963</v>
      </c>
      <c r="M395" s="73"/>
      <c r="N395" s="46">
        <v>2166</v>
      </c>
      <c r="O395" s="46">
        <v>0</v>
      </c>
      <c r="P395" s="46">
        <v>176680.62</v>
      </c>
      <c r="Q395" s="98"/>
      <c r="R395" s="23" t="s">
        <v>1442</v>
      </c>
      <c r="S395" s="24" t="s">
        <v>962</v>
      </c>
      <c r="T395" s="25" t="s">
        <v>30</v>
      </c>
      <c r="U395" s="26">
        <v>2702</v>
      </c>
      <c r="V395" s="26">
        <f t="shared" si="97"/>
        <v>2702</v>
      </c>
      <c r="W395" s="26">
        <f t="shared" ref="W395:W458" si="103">J395</f>
        <v>81.569999999999993</v>
      </c>
      <c r="X395" s="128">
        <f t="shared" si="98"/>
        <v>0</v>
      </c>
      <c r="Y395" s="26">
        <f t="shared" si="92"/>
        <v>2166</v>
      </c>
      <c r="Z395" s="26">
        <f t="shared" si="99"/>
        <v>0</v>
      </c>
      <c r="AA395" s="26">
        <f t="shared" si="101"/>
        <v>176680.62</v>
      </c>
      <c r="AB395" s="33" t="s">
        <v>15</v>
      </c>
      <c r="AC395" s="324"/>
      <c r="AD395" s="181">
        <f t="shared" si="102"/>
        <v>2702</v>
      </c>
      <c r="AE395" s="181">
        <f t="shared" si="89"/>
        <v>220402.14</v>
      </c>
      <c r="AF395" s="181">
        <v>1.8</v>
      </c>
      <c r="AG395" s="181">
        <v>1.8</v>
      </c>
      <c r="AH395" s="363" t="str">
        <f t="shared" si="100"/>
        <v/>
      </c>
      <c r="AI395" s="194">
        <f>1127.8+1038.2</f>
        <v>2166</v>
      </c>
      <c r="AJ395" s="188">
        <v>2702</v>
      </c>
      <c r="AO395" s="367"/>
      <c r="AP395" s="367"/>
      <c r="AQ395" s="367"/>
    </row>
    <row r="396" spans="1:43" s="69" customFormat="1" ht="39" x14ac:dyDescent="0.3">
      <c r="A396" s="130" t="s">
        <v>964</v>
      </c>
      <c r="B396" s="131" t="s">
        <v>965</v>
      </c>
      <c r="C396" s="132" t="s">
        <v>14</v>
      </c>
      <c r="D396" s="133">
        <v>1</v>
      </c>
      <c r="E396" s="75"/>
      <c r="F396" s="75"/>
      <c r="G396" s="75"/>
      <c r="H396" s="75"/>
      <c r="I396" s="75"/>
      <c r="J396" s="75">
        <v>25939</v>
      </c>
      <c r="K396" s="75">
        <v>25939</v>
      </c>
      <c r="L396" s="91" t="s">
        <v>966</v>
      </c>
      <c r="M396" s="73"/>
      <c r="N396" s="46">
        <v>1</v>
      </c>
      <c r="O396" s="46">
        <v>0</v>
      </c>
      <c r="P396" s="46">
        <v>25939</v>
      </c>
      <c r="Q396" s="98"/>
      <c r="R396" s="23" t="s">
        <v>1443</v>
      </c>
      <c r="S396" s="24" t="s">
        <v>965</v>
      </c>
      <c r="T396" s="25" t="s">
        <v>14</v>
      </c>
      <c r="U396" s="26">
        <v>1</v>
      </c>
      <c r="V396" s="26">
        <f t="shared" si="97"/>
        <v>1</v>
      </c>
      <c r="W396" s="26">
        <f t="shared" si="103"/>
        <v>25939</v>
      </c>
      <c r="X396" s="127">
        <f t="shared" si="98"/>
        <v>0</v>
      </c>
      <c r="Y396" s="127">
        <f t="shared" si="92"/>
        <v>1</v>
      </c>
      <c r="Z396" s="127">
        <f t="shared" si="99"/>
        <v>0</v>
      </c>
      <c r="AA396" s="127">
        <f t="shared" si="101"/>
        <v>25939</v>
      </c>
      <c r="AB396" s="33" t="s">
        <v>15</v>
      </c>
      <c r="AC396" s="324"/>
      <c r="AD396" s="181">
        <f t="shared" si="102"/>
        <v>1</v>
      </c>
      <c r="AE396" s="181">
        <f t="shared" si="89"/>
        <v>25939</v>
      </c>
      <c r="AF396" s="181">
        <v>1.8</v>
      </c>
      <c r="AG396" s="181">
        <v>1.8</v>
      </c>
      <c r="AH396" s="363" t="str">
        <f t="shared" si="100"/>
        <v/>
      </c>
      <c r="AI396" s="194">
        <v>1</v>
      </c>
      <c r="AJ396" s="188">
        <v>1</v>
      </c>
      <c r="AO396" s="367"/>
      <c r="AP396" s="367"/>
      <c r="AQ396" s="367"/>
    </row>
    <row r="397" spans="1:43" s="69" customFormat="1" ht="58.5" x14ac:dyDescent="0.3">
      <c r="A397" s="55" t="s">
        <v>967</v>
      </c>
      <c r="B397" s="215" t="s">
        <v>3159</v>
      </c>
      <c r="C397" s="54" t="s">
        <v>30</v>
      </c>
      <c r="D397" s="75">
        <v>1272</v>
      </c>
      <c r="E397" s="75"/>
      <c r="F397" s="75"/>
      <c r="G397" s="75"/>
      <c r="H397" s="75"/>
      <c r="I397" s="75"/>
      <c r="J397" s="75">
        <v>36.96</v>
      </c>
      <c r="K397" s="75">
        <v>47013.120000000003</v>
      </c>
      <c r="L397" s="91" t="s">
        <v>969</v>
      </c>
      <c r="M397" s="73"/>
      <c r="N397" s="46">
        <v>727.8</v>
      </c>
      <c r="O397" s="46">
        <v>11088</v>
      </c>
      <c r="P397" s="46">
        <v>26899.49</v>
      </c>
      <c r="Q397" s="98"/>
      <c r="R397" s="23" t="s">
        <v>1444</v>
      </c>
      <c r="S397" s="24" t="s">
        <v>968</v>
      </c>
      <c r="T397" s="25" t="s">
        <v>30</v>
      </c>
      <c r="U397" s="26">
        <v>1272</v>
      </c>
      <c r="V397" s="26">
        <f t="shared" si="97"/>
        <v>1272</v>
      </c>
      <c r="W397" s="26">
        <f t="shared" si="103"/>
        <v>36.96</v>
      </c>
      <c r="X397" s="128">
        <f t="shared" si="98"/>
        <v>0</v>
      </c>
      <c r="Y397" s="26">
        <f t="shared" si="92"/>
        <v>727.8</v>
      </c>
      <c r="Z397" s="26">
        <f t="shared" si="99"/>
        <v>0</v>
      </c>
      <c r="AA397" s="26">
        <f t="shared" si="101"/>
        <v>26899.49</v>
      </c>
      <c r="AB397" s="33" t="s">
        <v>15</v>
      </c>
      <c r="AC397" s="325"/>
      <c r="AD397" s="263">
        <f t="shared" si="102"/>
        <v>1272</v>
      </c>
      <c r="AE397" s="263">
        <f t="shared" si="89"/>
        <v>47013.120000000003</v>
      </c>
      <c r="AF397" s="263">
        <v>1.8</v>
      </c>
      <c r="AG397" s="263">
        <v>1.8</v>
      </c>
      <c r="AH397" s="68" t="str">
        <f t="shared" si="100"/>
        <v/>
      </c>
      <c r="AI397" s="194">
        <f>365.5+62.3+300</f>
        <v>727.8</v>
      </c>
      <c r="AJ397" s="188">
        <v>1272</v>
      </c>
      <c r="AO397" s="367"/>
      <c r="AP397" s="367"/>
      <c r="AQ397" s="367"/>
    </row>
    <row r="398" spans="1:43" s="69" customFormat="1" ht="58.5" x14ac:dyDescent="0.3">
      <c r="A398" s="55" t="s">
        <v>970</v>
      </c>
      <c r="B398" s="215" t="s">
        <v>971</v>
      </c>
      <c r="C398" s="54" t="s">
        <v>30</v>
      </c>
      <c r="D398" s="75">
        <v>1470</v>
      </c>
      <c r="E398" s="75"/>
      <c r="F398" s="75"/>
      <c r="G398" s="75"/>
      <c r="H398" s="75"/>
      <c r="I398" s="75"/>
      <c r="J398" s="75">
        <v>62.45</v>
      </c>
      <c r="K398" s="75">
        <v>91801.5</v>
      </c>
      <c r="L398" s="91" t="s">
        <v>972</v>
      </c>
      <c r="M398" s="73"/>
      <c r="N398" s="46">
        <v>1083</v>
      </c>
      <c r="O398" s="46">
        <v>0</v>
      </c>
      <c r="P398" s="46">
        <v>67633.350000000006</v>
      </c>
      <c r="Q398" s="98"/>
      <c r="R398" s="23" t="s">
        <v>1408</v>
      </c>
      <c r="S398" s="24" t="s">
        <v>971</v>
      </c>
      <c r="T398" s="25" t="s">
        <v>30</v>
      </c>
      <c r="U398" s="26">
        <v>1470</v>
      </c>
      <c r="V398" s="26">
        <f t="shared" si="97"/>
        <v>1470</v>
      </c>
      <c r="W398" s="26">
        <f t="shared" si="103"/>
        <v>62.45</v>
      </c>
      <c r="X398" s="128">
        <f t="shared" si="98"/>
        <v>0</v>
      </c>
      <c r="Y398" s="26">
        <f t="shared" si="92"/>
        <v>1083</v>
      </c>
      <c r="Z398" s="26">
        <f t="shared" si="99"/>
        <v>0</v>
      </c>
      <c r="AA398" s="26">
        <f t="shared" si="101"/>
        <v>67633.350000000006</v>
      </c>
      <c r="AB398" s="33" t="s">
        <v>15</v>
      </c>
      <c r="AC398" s="325"/>
      <c r="AD398" s="263">
        <f t="shared" si="102"/>
        <v>1470</v>
      </c>
      <c r="AE398" s="263">
        <f t="shared" si="89"/>
        <v>91801.5</v>
      </c>
      <c r="AF398" s="263">
        <v>1.8</v>
      </c>
      <c r="AG398" s="263">
        <v>1.8</v>
      </c>
      <c r="AH398" s="68" t="str">
        <f t="shared" si="100"/>
        <v/>
      </c>
      <c r="AI398" s="194">
        <f>427+136.9+519.1</f>
        <v>1083</v>
      </c>
      <c r="AJ398" s="188">
        <v>1470</v>
      </c>
      <c r="AO398" s="367"/>
      <c r="AP398" s="367"/>
      <c r="AQ398" s="367"/>
    </row>
    <row r="399" spans="1:43" s="69" customFormat="1" ht="58.5" x14ac:dyDescent="0.3">
      <c r="A399" s="130" t="s">
        <v>973</v>
      </c>
      <c r="B399" s="131" t="s">
        <v>974</v>
      </c>
      <c r="C399" s="132" t="s">
        <v>30</v>
      </c>
      <c r="D399" s="133">
        <v>407</v>
      </c>
      <c r="E399" s="75"/>
      <c r="F399" s="75"/>
      <c r="G399" s="75"/>
      <c r="H399" s="75"/>
      <c r="I399" s="328">
        <v>784</v>
      </c>
      <c r="J399" s="75">
        <v>90.49</v>
      </c>
      <c r="K399" s="75">
        <v>70944.160000000003</v>
      </c>
      <c r="L399" s="91" t="s">
        <v>975</v>
      </c>
      <c r="M399" s="73"/>
      <c r="N399" s="46">
        <v>407</v>
      </c>
      <c r="O399" s="46">
        <v>0</v>
      </c>
      <c r="P399" s="46">
        <v>36829.43</v>
      </c>
      <c r="Q399" s="98"/>
      <c r="R399" s="23" t="s">
        <v>1409</v>
      </c>
      <c r="S399" s="24" t="s">
        <v>974</v>
      </c>
      <c r="T399" s="25" t="s">
        <v>30</v>
      </c>
      <c r="U399" s="26">
        <v>407</v>
      </c>
      <c r="V399" s="26">
        <f t="shared" si="97"/>
        <v>784</v>
      </c>
      <c r="W399" s="26">
        <f t="shared" si="103"/>
        <v>90.49</v>
      </c>
      <c r="X399" s="128">
        <f t="shared" si="98"/>
        <v>0</v>
      </c>
      <c r="Y399" s="127">
        <f t="shared" si="92"/>
        <v>407</v>
      </c>
      <c r="Z399" s="127">
        <f t="shared" si="99"/>
        <v>0</v>
      </c>
      <c r="AA399" s="127">
        <f t="shared" si="101"/>
        <v>36829.43</v>
      </c>
      <c r="AB399" s="33" t="s">
        <v>15</v>
      </c>
      <c r="AC399" s="325"/>
      <c r="AD399" s="263">
        <f t="shared" si="102"/>
        <v>784</v>
      </c>
      <c r="AE399" s="263">
        <f t="shared" si="89"/>
        <v>70944.160000000003</v>
      </c>
      <c r="AF399" s="263">
        <v>1.8</v>
      </c>
      <c r="AG399" s="263">
        <v>1.8</v>
      </c>
      <c r="AH399" s="68" t="str">
        <f t="shared" si="100"/>
        <v/>
      </c>
      <c r="AI399" s="194">
        <f>149+258</f>
        <v>407</v>
      </c>
      <c r="AJ399" s="190">
        <v>784</v>
      </c>
      <c r="AO399" s="367"/>
      <c r="AP399" s="367"/>
      <c r="AQ399" s="367"/>
    </row>
    <row r="400" spans="1:43" s="69" customFormat="1" ht="58.5" x14ac:dyDescent="0.3">
      <c r="A400" s="130" t="s">
        <v>976</v>
      </c>
      <c r="B400" s="131" t="s">
        <v>977</v>
      </c>
      <c r="C400" s="132" t="s">
        <v>30</v>
      </c>
      <c r="D400" s="133">
        <v>55</v>
      </c>
      <c r="E400" s="75"/>
      <c r="F400" s="75"/>
      <c r="G400" s="75"/>
      <c r="H400" s="75"/>
      <c r="I400" s="328">
        <v>515</v>
      </c>
      <c r="J400" s="75">
        <v>186.08</v>
      </c>
      <c r="K400" s="75">
        <v>95831.2</v>
      </c>
      <c r="L400" s="91" t="s">
        <v>978</v>
      </c>
      <c r="M400" s="73"/>
      <c r="N400" s="46">
        <v>55</v>
      </c>
      <c r="O400" s="46">
        <v>0</v>
      </c>
      <c r="P400" s="46">
        <v>10234.4</v>
      </c>
      <c r="Q400" s="98"/>
      <c r="R400" s="23" t="s">
        <v>1410</v>
      </c>
      <c r="S400" s="24" t="s">
        <v>977</v>
      </c>
      <c r="T400" s="25" t="s">
        <v>30</v>
      </c>
      <c r="U400" s="26">
        <v>55</v>
      </c>
      <c r="V400" s="26">
        <f t="shared" si="97"/>
        <v>515</v>
      </c>
      <c r="W400" s="26">
        <f t="shared" si="103"/>
        <v>186.08</v>
      </c>
      <c r="X400" s="128">
        <f t="shared" si="98"/>
        <v>0</v>
      </c>
      <c r="Y400" s="127">
        <f t="shared" si="92"/>
        <v>55</v>
      </c>
      <c r="Z400" s="127">
        <f t="shared" si="99"/>
        <v>0</v>
      </c>
      <c r="AA400" s="127">
        <f t="shared" si="101"/>
        <v>10234.4</v>
      </c>
      <c r="AB400" s="33" t="s">
        <v>15</v>
      </c>
      <c r="AC400" s="325"/>
      <c r="AD400" s="263">
        <f t="shared" si="102"/>
        <v>515</v>
      </c>
      <c r="AE400" s="263">
        <f t="shared" si="89"/>
        <v>95831.2</v>
      </c>
      <c r="AF400" s="263">
        <v>1.8</v>
      </c>
      <c r="AG400" s="263">
        <v>1.8</v>
      </c>
      <c r="AH400" s="68" t="str">
        <f t="shared" si="100"/>
        <v/>
      </c>
      <c r="AI400" s="194">
        <f>55</f>
        <v>55</v>
      </c>
      <c r="AJ400" s="190">
        <v>515</v>
      </c>
      <c r="AO400" s="367"/>
      <c r="AP400" s="367"/>
      <c r="AQ400" s="367"/>
    </row>
    <row r="401" spans="1:43" s="69" customFormat="1" ht="39" x14ac:dyDescent="0.3">
      <c r="A401" s="55" t="s">
        <v>979</v>
      </c>
      <c r="B401" s="53" t="s">
        <v>980</v>
      </c>
      <c r="C401" s="54" t="s">
        <v>14</v>
      </c>
      <c r="D401" s="75">
        <v>1</v>
      </c>
      <c r="E401" s="75"/>
      <c r="F401" s="75"/>
      <c r="G401" s="75"/>
      <c r="H401" s="75"/>
      <c r="I401" s="75"/>
      <c r="J401" s="75">
        <v>51046</v>
      </c>
      <c r="K401" s="75">
        <v>51046</v>
      </c>
      <c r="L401" s="91" t="s">
        <v>981</v>
      </c>
      <c r="M401" s="73"/>
      <c r="N401" s="46">
        <v>0</v>
      </c>
      <c r="O401" s="46">
        <v>0</v>
      </c>
      <c r="P401" s="46">
        <v>0</v>
      </c>
      <c r="Q401" s="98"/>
      <c r="R401" s="23" t="s">
        <v>1411</v>
      </c>
      <c r="S401" s="24" t="s">
        <v>980</v>
      </c>
      <c r="T401" s="25" t="s">
        <v>14</v>
      </c>
      <c r="U401" s="26">
        <v>1</v>
      </c>
      <c r="V401" s="26">
        <f t="shared" si="97"/>
        <v>1</v>
      </c>
      <c r="W401" s="26">
        <f t="shared" si="103"/>
        <v>51046</v>
      </c>
      <c r="X401" s="26">
        <f t="shared" si="98"/>
        <v>0</v>
      </c>
      <c r="Y401" s="26">
        <f t="shared" si="92"/>
        <v>0</v>
      </c>
      <c r="Z401" s="26">
        <f t="shared" si="99"/>
        <v>0</v>
      </c>
      <c r="AA401" s="26">
        <f t="shared" si="101"/>
        <v>0</v>
      </c>
      <c r="AB401" s="33" t="s">
        <v>15</v>
      </c>
      <c r="AC401" s="324"/>
      <c r="AD401" s="181">
        <f t="shared" si="102"/>
        <v>1</v>
      </c>
      <c r="AE401" s="181">
        <f t="shared" ref="AE401:AE403" si="104">ROUND(W401*AD401,2)</f>
        <v>51046</v>
      </c>
      <c r="AF401" s="181">
        <v>1.8</v>
      </c>
      <c r="AG401" s="181">
        <v>1.8</v>
      </c>
      <c r="AH401" s="363" t="str">
        <f t="shared" si="100"/>
        <v/>
      </c>
      <c r="AI401" s="190">
        <v>0</v>
      </c>
      <c r="AJ401" s="188">
        <v>1</v>
      </c>
      <c r="AO401" s="367"/>
      <c r="AP401" s="367"/>
      <c r="AQ401" s="367"/>
    </row>
    <row r="402" spans="1:43" s="69" customFormat="1" ht="39" x14ac:dyDescent="0.3">
      <c r="A402" s="55" t="s">
        <v>982</v>
      </c>
      <c r="B402" s="53" t="s">
        <v>983</v>
      </c>
      <c r="C402" s="54" t="s">
        <v>30</v>
      </c>
      <c r="D402" s="75">
        <v>132</v>
      </c>
      <c r="E402" s="75"/>
      <c r="F402" s="75"/>
      <c r="G402" s="75"/>
      <c r="H402" s="75"/>
      <c r="I402" s="75"/>
      <c r="J402" s="75">
        <v>671.66</v>
      </c>
      <c r="K402" s="75">
        <v>88659.12</v>
      </c>
      <c r="L402" s="91" t="s">
        <v>984</v>
      </c>
      <c r="M402" s="73"/>
      <c r="N402" s="46">
        <v>60</v>
      </c>
      <c r="O402" s="46">
        <v>40299.599999999999</v>
      </c>
      <c r="P402" s="46">
        <v>40299.599999999999</v>
      </c>
      <c r="Q402" s="98"/>
      <c r="R402" s="23" t="s">
        <v>1445</v>
      </c>
      <c r="S402" s="24" t="s">
        <v>983</v>
      </c>
      <c r="T402" s="25" t="s">
        <v>30</v>
      </c>
      <c r="U402" s="26">
        <v>132</v>
      </c>
      <c r="V402" s="26">
        <f t="shared" si="97"/>
        <v>132</v>
      </c>
      <c r="W402" s="26">
        <f t="shared" si="103"/>
        <v>671.66</v>
      </c>
      <c r="X402" s="199">
        <f t="shared" si="98"/>
        <v>60</v>
      </c>
      <c r="Y402" s="26">
        <f t="shared" si="92"/>
        <v>120</v>
      </c>
      <c r="Z402" s="26">
        <f t="shared" si="99"/>
        <v>40299.599999999999</v>
      </c>
      <c r="AA402" s="26">
        <f t="shared" si="101"/>
        <v>80599.199999999997</v>
      </c>
      <c r="AB402" s="33" t="s">
        <v>15</v>
      </c>
      <c r="AC402" s="325"/>
      <c r="AD402" s="263">
        <f t="shared" si="102"/>
        <v>132</v>
      </c>
      <c r="AE402" s="263">
        <f t="shared" si="104"/>
        <v>88659.12</v>
      </c>
      <c r="AF402" s="263">
        <v>1.8</v>
      </c>
      <c r="AG402" s="263">
        <v>1.8</v>
      </c>
      <c r="AH402" s="68" t="str">
        <f t="shared" si="100"/>
        <v/>
      </c>
      <c r="AI402" s="191">
        <v>120</v>
      </c>
      <c r="AJ402" s="188">
        <v>132</v>
      </c>
      <c r="AO402" s="367"/>
      <c r="AP402" s="367"/>
      <c r="AQ402" s="367"/>
    </row>
    <row r="403" spans="1:43" s="69" customFormat="1" ht="39" x14ac:dyDescent="0.3">
      <c r="A403" s="55" t="s">
        <v>985</v>
      </c>
      <c r="B403" s="53" t="s">
        <v>986</v>
      </c>
      <c r="C403" s="54" t="s">
        <v>14</v>
      </c>
      <c r="D403" s="75">
        <v>1</v>
      </c>
      <c r="E403" s="75"/>
      <c r="F403" s="75"/>
      <c r="G403" s="75"/>
      <c r="H403" s="75"/>
      <c r="I403" s="75"/>
      <c r="J403" s="75">
        <v>24347</v>
      </c>
      <c r="K403" s="75">
        <v>24347</v>
      </c>
      <c r="L403" s="91" t="s">
        <v>987</v>
      </c>
      <c r="M403" s="73"/>
      <c r="N403" s="46">
        <v>0</v>
      </c>
      <c r="O403" s="46">
        <v>0</v>
      </c>
      <c r="P403" s="46">
        <v>0</v>
      </c>
      <c r="Q403" s="98"/>
      <c r="R403" s="23" t="s">
        <v>1383</v>
      </c>
      <c r="S403" s="24" t="s">
        <v>986</v>
      </c>
      <c r="T403" s="25" t="s">
        <v>14</v>
      </c>
      <c r="U403" s="26">
        <v>1</v>
      </c>
      <c r="V403" s="26">
        <f t="shared" si="97"/>
        <v>1</v>
      </c>
      <c r="W403" s="26">
        <f t="shared" si="103"/>
        <v>24347</v>
      </c>
      <c r="X403" s="26">
        <f t="shared" si="98"/>
        <v>0</v>
      </c>
      <c r="Y403" s="26">
        <f t="shared" si="92"/>
        <v>0</v>
      </c>
      <c r="Z403" s="26">
        <f t="shared" si="99"/>
        <v>0</v>
      </c>
      <c r="AA403" s="26">
        <f t="shared" si="101"/>
        <v>0</v>
      </c>
      <c r="AB403" s="33" t="s">
        <v>15</v>
      </c>
      <c r="AC403" s="324"/>
      <c r="AD403" s="181">
        <f t="shared" si="102"/>
        <v>1</v>
      </c>
      <c r="AE403" s="181">
        <f t="shared" si="104"/>
        <v>24347</v>
      </c>
      <c r="AF403" s="181">
        <v>1.8</v>
      </c>
      <c r="AG403" s="181">
        <v>1.8</v>
      </c>
      <c r="AH403" s="363" t="str">
        <f t="shared" si="100"/>
        <v/>
      </c>
      <c r="AI403" s="190">
        <v>0</v>
      </c>
      <c r="AJ403" s="188">
        <v>1</v>
      </c>
      <c r="AN403" s="281"/>
      <c r="AO403" s="367"/>
      <c r="AP403" s="367"/>
      <c r="AQ403" s="367"/>
    </row>
    <row r="404" spans="1:43" s="281" customFormat="1" x14ac:dyDescent="0.3">
      <c r="A404" s="283" t="s">
        <v>3245</v>
      </c>
      <c r="B404" s="211" t="s">
        <v>3248</v>
      </c>
      <c r="C404" s="212" t="s">
        <v>81</v>
      </c>
      <c r="D404" s="213"/>
      <c r="E404" s="213"/>
      <c r="F404" s="213"/>
      <c r="G404" s="213"/>
      <c r="H404" s="213"/>
      <c r="I404" s="337">
        <v>17</v>
      </c>
      <c r="J404" s="213">
        <v>9345.1200000000008</v>
      </c>
      <c r="K404" s="275">
        <v>158867.04</v>
      </c>
      <c r="L404" s="277"/>
      <c r="M404" s="278"/>
      <c r="N404" s="42"/>
      <c r="O404" s="42"/>
      <c r="P404" s="42"/>
      <c r="Q404" s="98"/>
      <c r="R404" s="13" t="s">
        <v>3251</v>
      </c>
      <c r="S404" s="286" t="str">
        <f t="shared" ref="S404:S406" si="105">B404</f>
        <v>手孔埋設</v>
      </c>
      <c r="T404" s="287" t="str">
        <f t="shared" ref="T404:T406" si="106">C404</f>
        <v>座</v>
      </c>
      <c r="U404" s="16"/>
      <c r="V404" s="16">
        <f t="shared" si="97"/>
        <v>17</v>
      </c>
      <c r="W404" s="16">
        <f t="shared" si="103"/>
        <v>9345.1200000000008</v>
      </c>
      <c r="X404" s="334">
        <f t="shared" si="98"/>
        <v>14</v>
      </c>
      <c r="Y404" s="16">
        <f t="shared" ref="Y404:Y406" si="107">X404+N404</f>
        <v>14</v>
      </c>
      <c r="Z404" s="16">
        <f t="shared" si="99"/>
        <v>130831.67999999999</v>
      </c>
      <c r="AA404" s="16">
        <f t="shared" si="101"/>
        <v>130831.67999999999</v>
      </c>
      <c r="AB404" s="17"/>
      <c r="AC404" s="324"/>
      <c r="AD404" s="181">
        <f t="shared" si="102"/>
        <v>17</v>
      </c>
      <c r="AE404" s="181">
        <f t="shared" ref="AE404:AE406" si="108">ROUND(W404*AD404,2)</f>
        <v>158867.04</v>
      </c>
      <c r="AF404" s="181">
        <v>1.8</v>
      </c>
      <c r="AG404" s="181">
        <v>1.8</v>
      </c>
      <c r="AH404" s="364"/>
      <c r="AI404" s="356">
        <v>14</v>
      </c>
      <c r="AJ404" s="190">
        <v>17</v>
      </c>
      <c r="AO404" s="367"/>
      <c r="AP404" s="367"/>
      <c r="AQ404" s="367"/>
    </row>
    <row r="405" spans="1:43" s="281" customFormat="1" ht="78" x14ac:dyDescent="0.3">
      <c r="A405" s="283" t="s">
        <v>3246</v>
      </c>
      <c r="B405" s="211" t="s">
        <v>3249</v>
      </c>
      <c r="C405" s="212" t="s">
        <v>14</v>
      </c>
      <c r="D405" s="213"/>
      <c r="E405" s="213"/>
      <c r="F405" s="213"/>
      <c r="G405" s="213"/>
      <c r="H405" s="213"/>
      <c r="I405" s="337">
        <v>1</v>
      </c>
      <c r="J405" s="213">
        <v>644687.24</v>
      </c>
      <c r="K405" s="275">
        <v>644687.24</v>
      </c>
      <c r="L405" s="277"/>
      <c r="M405" s="278"/>
      <c r="N405" s="42"/>
      <c r="O405" s="42"/>
      <c r="P405" s="42"/>
      <c r="Q405" s="98"/>
      <c r="R405" s="13" t="s">
        <v>3252</v>
      </c>
      <c r="S405" s="286" t="str">
        <f t="shared" si="105"/>
        <v>液位警報系統(系統規劃建置、網路線佈設等)</v>
      </c>
      <c r="T405" s="287" t="str">
        <f t="shared" si="106"/>
        <v>式</v>
      </c>
      <c r="U405" s="16"/>
      <c r="V405" s="16">
        <f t="shared" si="97"/>
        <v>1</v>
      </c>
      <c r="W405" s="16">
        <f t="shared" si="103"/>
        <v>644687.24</v>
      </c>
      <c r="X405" s="16">
        <f t="shared" si="98"/>
        <v>0</v>
      </c>
      <c r="Y405" s="16">
        <f t="shared" si="107"/>
        <v>0</v>
      </c>
      <c r="Z405" s="16">
        <f t="shared" si="99"/>
        <v>0</v>
      </c>
      <c r="AA405" s="16">
        <f t="shared" si="101"/>
        <v>0</v>
      </c>
      <c r="AB405" s="17"/>
      <c r="AC405" s="324"/>
      <c r="AD405" s="181">
        <f t="shared" si="102"/>
        <v>1</v>
      </c>
      <c r="AE405" s="181">
        <f t="shared" si="108"/>
        <v>644687.24</v>
      </c>
      <c r="AF405" s="181">
        <v>1.8</v>
      </c>
      <c r="AG405" s="181">
        <v>1.8</v>
      </c>
      <c r="AH405" s="364"/>
      <c r="AI405" s="280"/>
      <c r="AJ405" s="190">
        <v>1</v>
      </c>
      <c r="AO405" s="367"/>
      <c r="AP405" s="367"/>
      <c r="AQ405" s="367"/>
    </row>
    <row r="406" spans="1:43" s="281" customFormat="1" ht="39" x14ac:dyDescent="0.3">
      <c r="A406" s="283" t="s">
        <v>3247</v>
      </c>
      <c r="B406" s="211" t="s">
        <v>3250</v>
      </c>
      <c r="C406" s="212" t="s">
        <v>325</v>
      </c>
      <c r="D406" s="213"/>
      <c r="E406" s="213"/>
      <c r="F406" s="213"/>
      <c r="G406" s="213"/>
      <c r="H406" s="213"/>
      <c r="I406" s="337">
        <v>18</v>
      </c>
      <c r="J406" s="213">
        <v>5860.7</v>
      </c>
      <c r="K406" s="275">
        <v>105492.6</v>
      </c>
      <c r="L406" s="277"/>
      <c r="M406" s="278"/>
      <c r="N406" s="42"/>
      <c r="O406" s="42"/>
      <c r="P406" s="42"/>
      <c r="Q406" s="98"/>
      <c r="R406" s="13" t="s">
        <v>3253</v>
      </c>
      <c r="S406" s="286" t="str">
        <f t="shared" si="105"/>
        <v>道路照明，路燈，色溫調整</v>
      </c>
      <c r="T406" s="287" t="str">
        <f t="shared" si="106"/>
        <v>組</v>
      </c>
      <c r="U406" s="16"/>
      <c r="V406" s="16">
        <f t="shared" si="97"/>
        <v>18</v>
      </c>
      <c r="W406" s="16">
        <f t="shared" si="103"/>
        <v>5860.7</v>
      </c>
      <c r="X406" s="16">
        <f t="shared" si="98"/>
        <v>0</v>
      </c>
      <c r="Y406" s="16">
        <f t="shared" si="107"/>
        <v>0</v>
      </c>
      <c r="Z406" s="16">
        <f t="shared" si="99"/>
        <v>0</v>
      </c>
      <c r="AA406" s="16">
        <f t="shared" si="101"/>
        <v>0</v>
      </c>
      <c r="AB406" s="17"/>
      <c r="AC406" s="324"/>
      <c r="AD406" s="181">
        <f t="shared" si="102"/>
        <v>18</v>
      </c>
      <c r="AE406" s="181">
        <f t="shared" si="108"/>
        <v>105492.6</v>
      </c>
      <c r="AF406" s="181">
        <v>1.8</v>
      </c>
      <c r="AG406" s="181">
        <v>1.8</v>
      </c>
      <c r="AH406" s="364"/>
      <c r="AI406" s="280"/>
      <c r="AJ406" s="190">
        <v>18</v>
      </c>
      <c r="AN406" s="69"/>
      <c r="AO406" s="367"/>
      <c r="AP406" s="367"/>
      <c r="AQ406" s="367"/>
    </row>
    <row r="407" spans="1:43" s="69" customFormat="1" ht="39" x14ac:dyDescent="0.3">
      <c r="A407" s="79" t="s">
        <v>988</v>
      </c>
      <c r="B407" s="80" t="s">
        <v>989</v>
      </c>
      <c r="C407" s="81" t="s">
        <v>14</v>
      </c>
      <c r="D407" s="82">
        <v>1</v>
      </c>
      <c r="E407" s="82"/>
      <c r="F407" s="82"/>
      <c r="G407" s="82"/>
      <c r="H407" s="82"/>
      <c r="I407" s="82"/>
      <c r="J407" s="82">
        <v>9899611.0700000003</v>
      </c>
      <c r="K407" s="82">
        <v>9899611.0700000003</v>
      </c>
      <c r="L407" s="94" t="s">
        <v>15</v>
      </c>
      <c r="M407" s="73"/>
      <c r="N407" s="45">
        <v>1</v>
      </c>
      <c r="O407" s="45">
        <v>249392.15</v>
      </c>
      <c r="P407" s="45">
        <v>7531335.7599999998</v>
      </c>
      <c r="Q407" s="98"/>
      <c r="R407" s="18" t="s">
        <v>1401</v>
      </c>
      <c r="S407" s="19" t="s">
        <v>989</v>
      </c>
      <c r="T407" s="20" t="s">
        <v>14</v>
      </c>
      <c r="U407" s="21">
        <v>1</v>
      </c>
      <c r="V407" s="21"/>
      <c r="W407" s="21">
        <f t="shared" si="103"/>
        <v>9899611.0700000003</v>
      </c>
      <c r="X407" s="21">
        <f t="shared" ref="X407:Y407" si="109">IF(Z407=0,0,1)</f>
        <v>1</v>
      </c>
      <c r="Y407" s="21">
        <f t="shared" si="109"/>
        <v>1</v>
      </c>
      <c r="Z407" s="21">
        <f>SUMIFS(Z:Z,AG:AG,AF407)</f>
        <v>245493.5</v>
      </c>
      <c r="AA407" s="21">
        <f>SUMIFS(AA:AA,AG:AG,AF407)</f>
        <v>7776829.2599999998</v>
      </c>
      <c r="AB407" s="22" t="s">
        <v>15</v>
      </c>
      <c r="AC407" s="324"/>
      <c r="AD407" s="181">
        <f t="shared" si="102"/>
        <v>1</v>
      </c>
      <c r="AE407" s="184"/>
      <c r="AF407" s="184">
        <v>1.9</v>
      </c>
      <c r="AG407" s="184"/>
      <c r="AH407" s="363" t="str">
        <f t="shared" si="100"/>
        <v/>
      </c>
      <c r="AI407" s="190">
        <v>1</v>
      </c>
      <c r="AJ407" s="188">
        <v>1</v>
      </c>
      <c r="AO407" s="367"/>
      <c r="AP407" s="367"/>
      <c r="AQ407" s="367"/>
    </row>
    <row r="408" spans="1:43" s="69" customFormat="1" ht="33" x14ac:dyDescent="0.3">
      <c r="A408" s="55" t="s">
        <v>990</v>
      </c>
      <c r="B408" s="138" t="s">
        <v>991</v>
      </c>
      <c r="C408" s="54" t="s">
        <v>30</v>
      </c>
      <c r="D408" s="75">
        <v>1088</v>
      </c>
      <c r="E408" s="75">
        <v>975</v>
      </c>
      <c r="F408" s="75"/>
      <c r="G408" s="75"/>
      <c r="H408" s="328">
        <v>2893</v>
      </c>
      <c r="I408" s="75"/>
      <c r="J408" s="75">
        <v>247.2</v>
      </c>
      <c r="K408" s="75">
        <v>715149.6</v>
      </c>
      <c r="L408" s="91" t="s">
        <v>992</v>
      </c>
      <c r="M408" s="73"/>
      <c r="N408" s="46">
        <v>975</v>
      </c>
      <c r="O408" s="46">
        <v>0</v>
      </c>
      <c r="P408" s="46">
        <v>241020</v>
      </c>
      <c r="Q408" s="98"/>
      <c r="R408" s="23" t="s">
        <v>1421</v>
      </c>
      <c r="S408" s="24" t="s">
        <v>991</v>
      </c>
      <c r="T408" s="25" t="s">
        <v>30</v>
      </c>
      <c r="U408" s="26">
        <v>1088</v>
      </c>
      <c r="V408" s="26">
        <f t="shared" ref="V408:V414" si="110">IF(I408&gt;0,I408,IF(H408&gt;0,H408,IF(G408&gt;0,G408,IF(F408&gt;0,F408,IF(E408&gt;0,E408,D408)))))</f>
        <v>2893</v>
      </c>
      <c r="W408" s="26">
        <f t="shared" si="103"/>
        <v>247.2</v>
      </c>
      <c r="X408" s="128">
        <f t="shared" ref="X408:X431" si="111">AI408-N408</f>
        <v>0</v>
      </c>
      <c r="Y408" s="26">
        <f t="shared" si="92"/>
        <v>975</v>
      </c>
      <c r="Z408" s="26">
        <f t="shared" ref="Z408:Z431" si="112">AA408-P408</f>
        <v>0</v>
      </c>
      <c r="AA408" s="26">
        <f t="shared" ref="AA408:AA431" si="113">ROUND(W408*Y408,2)</f>
        <v>241020</v>
      </c>
      <c r="AB408" s="27" t="s">
        <v>15</v>
      </c>
      <c r="AC408" s="325"/>
      <c r="AD408" s="263">
        <f t="shared" si="102"/>
        <v>2893</v>
      </c>
      <c r="AE408" s="263">
        <f t="shared" ref="AE408:AE433" si="114">ROUND(W408*AD408,2)</f>
        <v>715149.6</v>
      </c>
      <c r="AF408" s="263">
        <v>1.9</v>
      </c>
      <c r="AG408" s="263">
        <v>1.9</v>
      </c>
      <c r="AH408" s="68" t="str">
        <f t="shared" si="100"/>
        <v/>
      </c>
      <c r="AI408" s="194">
        <v>975</v>
      </c>
      <c r="AJ408" s="188">
        <v>2893</v>
      </c>
      <c r="AO408" s="367"/>
      <c r="AP408" s="367"/>
      <c r="AQ408" s="367"/>
    </row>
    <row r="409" spans="1:43" s="69" customFormat="1" ht="49.5" x14ac:dyDescent="0.3">
      <c r="A409" s="55" t="s">
        <v>993</v>
      </c>
      <c r="B409" s="138" t="s">
        <v>994</v>
      </c>
      <c r="C409" s="54" t="s">
        <v>30</v>
      </c>
      <c r="D409" s="75">
        <v>1088</v>
      </c>
      <c r="E409" s="75">
        <v>975</v>
      </c>
      <c r="F409" s="75"/>
      <c r="G409" s="75"/>
      <c r="H409" s="328">
        <v>2893</v>
      </c>
      <c r="I409" s="75"/>
      <c r="J409" s="75">
        <v>236.9</v>
      </c>
      <c r="K409" s="75">
        <v>685351.7</v>
      </c>
      <c r="L409" s="91" t="s">
        <v>995</v>
      </c>
      <c r="M409" s="73"/>
      <c r="N409" s="46">
        <v>975</v>
      </c>
      <c r="O409" s="46">
        <v>0</v>
      </c>
      <c r="P409" s="46">
        <v>230977.5</v>
      </c>
      <c r="Q409" s="98"/>
      <c r="R409" s="23" t="s">
        <v>1426</v>
      </c>
      <c r="S409" s="24" t="s">
        <v>994</v>
      </c>
      <c r="T409" s="25" t="s">
        <v>30</v>
      </c>
      <c r="U409" s="26">
        <v>1088</v>
      </c>
      <c r="V409" s="26">
        <f t="shared" si="110"/>
        <v>2893</v>
      </c>
      <c r="W409" s="26">
        <f t="shared" si="103"/>
        <v>236.9</v>
      </c>
      <c r="X409" s="128">
        <f t="shared" si="111"/>
        <v>0</v>
      </c>
      <c r="Y409" s="26">
        <f t="shared" ref="Y409:Y431" si="115">X409+N409</f>
        <v>975</v>
      </c>
      <c r="Z409" s="26">
        <f>AA409-P409</f>
        <v>0</v>
      </c>
      <c r="AA409" s="26">
        <f t="shared" si="113"/>
        <v>230977.5</v>
      </c>
      <c r="AB409" s="27" t="s">
        <v>15</v>
      </c>
      <c r="AC409" s="325"/>
      <c r="AD409" s="263">
        <f t="shared" si="102"/>
        <v>2893</v>
      </c>
      <c r="AE409" s="263">
        <f t="shared" si="114"/>
        <v>685351.7</v>
      </c>
      <c r="AF409" s="263">
        <v>1.9</v>
      </c>
      <c r="AG409" s="263">
        <v>1.9</v>
      </c>
      <c r="AH409" s="68" t="str">
        <f t="shared" si="100"/>
        <v/>
      </c>
      <c r="AI409" s="194">
        <v>975</v>
      </c>
      <c r="AJ409" s="188">
        <v>2893</v>
      </c>
      <c r="AO409" s="367"/>
      <c r="AP409" s="367"/>
      <c r="AQ409" s="367"/>
    </row>
    <row r="410" spans="1:43" s="69" customFormat="1" ht="39" x14ac:dyDescent="0.3">
      <c r="A410" s="55" t="s">
        <v>996</v>
      </c>
      <c r="B410" s="53" t="s">
        <v>997</v>
      </c>
      <c r="C410" s="54" t="s">
        <v>998</v>
      </c>
      <c r="D410" s="75">
        <v>6984</v>
      </c>
      <c r="E410" s="75">
        <v>8144</v>
      </c>
      <c r="F410" s="75">
        <v>8744</v>
      </c>
      <c r="G410" s="75"/>
      <c r="H410" s="328">
        <v>9795.5</v>
      </c>
      <c r="I410" s="75"/>
      <c r="J410" s="75">
        <v>252.35</v>
      </c>
      <c r="K410" s="75">
        <v>2471894.4300000002</v>
      </c>
      <c r="L410" s="91" t="s">
        <v>999</v>
      </c>
      <c r="M410" s="73"/>
      <c r="N410" s="46">
        <v>9394</v>
      </c>
      <c r="O410" s="46">
        <v>52993.5</v>
      </c>
      <c r="P410" s="46">
        <v>2370575.9</v>
      </c>
      <c r="Q410" s="98"/>
      <c r="R410" s="23" t="s">
        <v>1402</v>
      </c>
      <c r="S410" s="24" t="s">
        <v>997</v>
      </c>
      <c r="T410" s="25" t="s">
        <v>998</v>
      </c>
      <c r="U410" s="26">
        <v>6984</v>
      </c>
      <c r="V410" s="26">
        <f t="shared" si="110"/>
        <v>9795.5</v>
      </c>
      <c r="W410" s="26">
        <f t="shared" si="103"/>
        <v>252.35</v>
      </c>
      <c r="X410" s="243">
        <f t="shared" si="111"/>
        <v>210</v>
      </c>
      <c r="Y410" s="26">
        <f t="shared" si="115"/>
        <v>9604</v>
      </c>
      <c r="Z410" s="26">
        <f t="shared" si="112"/>
        <v>52993.5</v>
      </c>
      <c r="AA410" s="26">
        <f t="shared" si="113"/>
        <v>2423569.4</v>
      </c>
      <c r="AB410" s="27" t="s">
        <v>15</v>
      </c>
      <c r="AC410" s="325"/>
      <c r="AD410" s="263">
        <f t="shared" si="102"/>
        <v>9795.5</v>
      </c>
      <c r="AE410" s="263">
        <f t="shared" si="114"/>
        <v>2471894.4300000002</v>
      </c>
      <c r="AF410" s="263">
        <v>1.9</v>
      </c>
      <c r="AG410" s="263">
        <v>1.9</v>
      </c>
      <c r="AH410" s="68" t="str">
        <f t="shared" si="100"/>
        <v/>
      </c>
      <c r="AI410" s="191">
        <f>7744+360+360+510+210+210+210</f>
        <v>9604</v>
      </c>
      <c r="AJ410" s="188">
        <v>9795.5</v>
      </c>
      <c r="AO410" s="367"/>
      <c r="AP410" s="367"/>
      <c r="AQ410" s="367"/>
    </row>
    <row r="411" spans="1:43" s="69" customFormat="1" ht="66" x14ac:dyDescent="0.3">
      <c r="A411" s="130" t="s">
        <v>1000</v>
      </c>
      <c r="B411" s="240" t="s">
        <v>1001</v>
      </c>
      <c r="C411" s="132" t="s">
        <v>14</v>
      </c>
      <c r="D411" s="133">
        <v>1</v>
      </c>
      <c r="E411" s="75"/>
      <c r="F411" s="75"/>
      <c r="G411" s="75"/>
      <c r="H411" s="75"/>
      <c r="I411" s="75"/>
      <c r="J411" s="75">
        <v>350000</v>
      </c>
      <c r="K411" s="75">
        <v>350000</v>
      </c>
      <c r="L411" s="91" t="s">
        <v>1002</v>
      </c>
      <c r="M411" s="73"/>
      <c r="N411" s="46">
        <v>1</v>
      </c>
      <c r="O411" s="46">
        <v>0</v>
      </c>
      <c r="P411" s="46">
        <v>157500</v>
      </c>
      <c r="Q411" s="98"/>
      <c r="R411" s="23" t="s">
        <v>1373</v>
      </c>
      <c r="S411" s="24" t="s">
        <v>1001</v>
      </c>
      <c r="T411" s="25" t="s">
        <v>14</v>
      </c>
      <c r="U411" s="26">
        <v>1</v>
      </c>
      <c r="V411" s="26">
        <f t="shared" si="110"/>
        <v>1</v>
      </c>
      <c r="W411" s="26">
        <f t="shared" si="103"/>
        <v>350000</v>
      </c>
      <c r="X411" s="243">
        <v>0.5</v>
      </c>
      <c r="Y411" s="209">
        <f>IF(AA411=0,0,1)</f>
        <v>1</v>
      </c>
      <c r="Z411" s="209">
        <f>AA411-P411</f>
        <v>192500</v>
      </c>
      <c r="AA411" s="209">
        <v>350000</v>
      </c>
      <c r="AB411" s="123">
        <f>AA411/K411</f>
        <v>1</v>
      </c>
      <c r="AC411" s="325"/>
      <c r="AD411" s="263">
        <f t="shared" si="102"/>
        <v>1</v>
      </c>
      <c r="AE411" s="263">
        <f t="shared" si="114"/>
        <v>350000</v>
      </c>
      <c r="AF411" s="263">
        <v>1.9</v>
      </c>
      <c r="AG411" s="263">
        <v>1.9</v>
      </c>
      <c r="AH411" s="68" t="str">
        <f t="shared" si="100"/>
        <v/>
      </c>
      <c r="AI411" s="191">
        <v>1</v>
      </c>
      <c r="AJ411" s="188">
        <v>1</v>
      </c>
      <c r="AO411" s="367"/>
      <c r="AP411" s="367"/>
      <c r="AQ411" s="367"/>
    </row>
    <row r="412" spans="1:43" s="69" customFormat="1" ht="49.5" x14ac:dyDescent="0.3">
      <c r="A412" s="55" t="s">
        <v>1003</v>
      </c>
      <c r="B412" s="138" t="s">
        <v>1004</v>
      </c>
      <c r="C412" s="54" t="s">
        <v>97</v>
      </c>
      <c r="D412" s="75">
        <v>1</v>
      </c>
      <c r="E412" s="75">
        <v>2480</v>
      </c>
      <c r="F412" s="75"/>
      <c r="G412" s="75"/>
      <c r="H412" s="328">
        <v>3149</v>
      </c>
      <c r="I412" s="75"/>
      <c r="J412" s="75">
        <v>931.12</v>
      </c>
      <c r="K412" s="75">
        <v>2932096.88</v>
      </c>
      <c r="L412" s="91" t="s">
        <v>1005</v>
      </c>
      <c r="M412" s="73"/>
      <c r="N412" s="46">
        <v>2362</v>
      </c>
      <c r="O412" s="46">
        <v>111734.39999999999</v>
      </c>
      <c r="P412" s="46">
        <v>2199305.44</v>
      </c>
      <c r="Q412" s="98"/>
      <c r="R412" s="23" t="s">
        <v>1393</v>
      </c>
      <c r="S412" s="24" t="s">
        <v>1004</v>
      </c>
      <c r="T412" s="25" t="s">
        <v>97</v>
      </c>
      <c r="U412" s="26">
        <v>1</v>
      </c>
      <c r="V412" s="26">
        <f t="shared" si="110"/>
        <v>3149</v>
      </c>
      <c r="W412" s="26">
        <f t="shared" si="103"/>
        <v>931.12</v>
      </c>
      <c r="X412" s="128">
        <f t="shared" si="111"/>
        <v>0</v>
      </c>
      <c r="Y412" s="26">
        <f t="shared" si="115"/>
        <v>2362</v>
      </c>
      <c r="Z412" s="26">
        <f t="shared" si="112"/>
        <v>0</v>
      </c>
      <c r="AA412" s="26">
        <f t="shared" si="113"/>
        <v>2199305.44</v>
      </c>
      <c r="AB412" s="27" t="s">
        <v>15</v>
      </c>
      <c r="AC412" s="325"/>
      <c r="AD412" s="263">
        <f t="shared" si="102"/>
        <v>3149</v>
      </c>
      <c r="AE412" s="263">
        <f t="shared" si="114"/>
        <v>2932096.88</v>
      </c>
      <c r="AF412" s="263">
        <v>1.9</v>
      </c>
      <c r="AG412" s="263">
        <v>1.9</v>
      </c>
      <c r="AH412" s="68" t="str">
        <f t="shared" si="100"/>
        <v/>
      </c>
      <c r="AI412" s="194">
        <f>2060+182+120</f>
        <v>2362</v>
      </c>
      <c r="AJ412" s="188">
        <v>3149</v>
      </c>
      <c r="AO412" s="367"/>
      <c r="AP412" s="367"/>
      <c r="AQ412" s="367"/>
    </row>
    <row r="413" spans="1:43" s="69" customFormat="1" ht="24.75" x14ac:dyDescent="0.3">
      <c r="A413" s="55" t="s">
        <v>1006</v>
      </c>
      <c r="B413" s="53" t="s">
        <v>678</v>
      </c>
      <c r="C413" s="54" t="s">
        <v>23</v>
      </c>
      <c r="D413" s="75">
        <v>1</v>
      </c>
      <c r="E413" s="203">
        <v>91</v>
      </c>
      <c r="F413" s="203">
        <v>291</v>
      </c>
      <c r="G413" s="203"/>
      <c r="H413" s="338">
        <v>438</v>
      </c>
      <c r="I413" s="203"/>
      <c r="J413" s="75">
        <v>3386.57</v>
      </c>
      <c r="K413" s="75">
        <v>1483317.66</v>
      </c>
      <c r="L413" s="91" t="s">
        <v>679</v>
      </c>
      <c r="M413" s="73"/>
      <c r="N413" s="46">
        <v>316</v>
      </c>
      <c r="O413" s="46">
        <v>84664.25</v>
      </c>
      <c r="P413" s="46">
        <v>1070156.1200000001</v>
      </c>
      <c r="Q413" s="98"/>
      <c r="R413" s="23" t="s">
        <v>1403</v>
      </c>
      <c r="S413" s="24" t="s">
        <v>678</v>
      </c>
      <c r="T413" s="25" t="s">
        <v>23</v>
      </c>
      <c r="U413" s="26">
        <v>1</v>
      </c>
      <c r="V413" s="26">
        <f t="shared" si="110"/>
        <v>438</v>
      </c>
      <c r="W413" s="26">
        <f t="shared" si="103"/>
        <v>3386.57</v>
      </c>
      <c r="X413" s="128">
        <f t="shared" si="111"/>
        <v>0</v>
      </c>
      <c r="Y413" s="26">
        <f t="shared" si="115"/>
        <v>316</v>
      </c>
      <c r="Z413" s="26">
        <f t="shared" si="112"/>
        <v>0</v>
      </c>
      <c r="AA413" s="26">
        <f t="shared" si="113"/>
        <v>1070156.1200000001</v>
      </c>
      <c r="AB413" s="27" t="s">
        <v>15</v>
      </c>
      <c r="AC413" s="325"/>
      <c r="AD413" s="263">
        <f t="shared" si="102"/>
        <v>438</v>
      </c>
      <c r="AE413" s="263">
        <f t="shared" si="114"/>
        <v>1483317.66</v>
      </c>
      <c r="AF413" s="263">
        <v>1.9</v>
      </c>
      <c r="AG413" s="263">
        <v>1.9</v>
      </c>
      <c r="AH413" s="68" t="str">
        <f t="shared" si="100"/>
        <v/>
      </c>
      <c r="AI413" s="194">
        <f>291+25</f>
        <v>316</v>
      </c>
      <c r="AJ413" s="188">
        <v>438</v>
      </c>
      <c r="AO413" s="367"/>
      <c r="AP413" s="367"/>
      <c r="AQ413" s="367"/>
    </row>
    <row r="414" spans="1:43" s="69" customFormat="1" ht="66" x14ac:dyDescent="0.3">
      <c r="A414" s="134" t="s">
        <v>1340</v>
      </c>
      <c r="B414" s="139" t="s">
        <v>3137</v>
      </c>
      <c r="C414" s="204" t="s">
        <v>30</v>
      </c>
      <c r="D414" s="133"/>
      <c r="E414" s="59">
        <v>130</v>
      </c>
      <c r="F414" s="77"/>
      <c r="G414" s="77"/>
      <c r="H414" s="77"/>
      <c r="I414" s="77"/>
      <c r="J414" s="77">
        <v>9706.16</v>
      </c>
      <c r="K414" s="59">
        <v>1261800.8</v>
      </c>
      <c r="L414" s="92"/>
      <c r="M414" s="73"/>
      <c r="N414" s="46">
        <v>130</v>
      </c>
      <c r="O414" s="46">
        <v>0</v>
      </c>
      <c r="P414" s="46">
        <v>1261800.8</v>
      </c>
      <c r="Q414" s="98"/>
      <c r="R414" s="23" t="s">
        <v>1427</v>
      </c>
      <c r="S414" s="24" t="s">
        <v>1500</v>
      </c>
      <c r="T414" s="25" t="s">
        <v>30</v>
      </c>
      <c r="U414" s="26">
        <v>0</v>
      </c>
      <c r="V414" s="26">
        <f t="shared" si="110"/>
        <v>130</v>
      </c>
      <c r="W414" s="26">
        <f t="shared" si="103"/>
        <v>9706.16</v>
      </c>
      <c r="X414" s="127">
        <f t="shared" si="111"/>
        <v>0</v>
      </c>
      <c r="Y414" s="127">
        <f t="shared" si="115"/>
        <v>130</v>
      </c>
      <c r="Z414" s="127">
        <f t="shared" si="112"/>
        <v>0</v>
      </c>
      <c r="AA414" s="127">
        <f t="shared" si="113"/>
        <v>1261800.8</v>
      </c>
      <c r="AB414" s="27"/>
      <c r="AC414" s="324"/>
      <c r="AD414" s="181">
        <f t="shared" si="102"/>
        <v>130</v>
      </c>
      <c r="AE414" s="181">
        <f t="shared" si="114"/>
        <v>1261800.8</v>
      </c>
      <c r="AF414" s="181">
        <v>1.9</v>
      </c>
      <c r="AG414" s="181">
        <v>1.9</v>
      </c>
      <c r="AH414" s="363" t="str">
        <f t="shared" si="100"/>
        <v/>
      </c>
      <c r="AI414" s="194">
        <v>130</v>
      </c>
      <c r="AJ414" s="188">
        <v>130</v>
      </c>
      <c r="AO414" s="367"/>
      <c r="AP414" s="367"/>
      <c r="AQ414" s="367"/>
    </row>
    <row r="415" spans="1:43" s="69" customFormat="1" x14ac:dyDescent="0.3">
      <c r="A415" s="79" t="s">
        <v>3254</v>
      </c>
      <c r="B415" s="80" t="s">
        <v>3286</v>
      </c>
      <c r="C415" s="81" t="s">
        <v>14</v>
      </c>
      <c r="D415" s="82"/>
      <c r="E415" s="82"/>
      <c r="F415" s="82"/>
      <c r="G415" s="82"/>
      <c r="H415" s="82"/>
      <c r="I415" s="82">
        <v>1</v>
      </c>
      <c r="J415" s="82">
        <v>6916525.5499999998</v>
      </c>
      <c r="K415" s="82">
        <v>6916525.5499999998</v>
      </c>
      <c r="L415" s="94" t="s">
        <v>15</v>
      </c>
      <c r="M415" s="73"/>
      <c r="N415" s="45"/>
      <c r="O415" s="45"/>
      <c r="P415" s="45"/>
      <c r="Q415" s="98"/>
      <c r="R415" s="18" t="s">
        <v>3254</v>
      </c>
      <c r="S415" s="19" t="str">
        <f t="shared" ref="S415:S431" si="116">B415</f>
        <v>涼亭工程</v>
      </c>
      <c r="T415" s="20" t="str">
        <f t="shared" ref="T415:T431" si="117">C415</f>
        <v>式</v>
      </c>
      <c r="U415" s="21"/>
      <c r="V415" s="21">
        <v>1</v>
      </c>
      <c r="W415" s="21">
        <f t="shared" si="103"/>
        <v>6916525.5499999998</v>
      </c>
      <c r="X415" s="21">
        <f t="shared" ref="X415" si="118">IF(Z415=0,0,1)</f>
        <v>1</v>
      </c>
      <c r="Y415" s="21">
        <f t="shared" ref="Y415" si="119">IF(AA415=0,0,1)</f>
        <v>1</v>
      </c>
      <c r="Z415" s="21">
        <f>SUMIFS(Z:Z,AG:AG,AF415)</f>
        <v>750567.96000000008</v>
      </c>
      <c r="AA415" s="21">
        <f>SUMIFS(AA:AA,AG:AG,AF415)</f>
        <v>750567.96000000008</v>
      </c>
      <c r="AB415" s="22" t="s">
        <v>15</v>
      </c>
      <c r="AC415" s="324"/>
      <c r="AD415" s="181">
        <f t="shared" si="102"/>
        <v>1</v>
      </c>
      <c r="AE415" s="184"/>
      <c r="AF415" s="184">
        <v>1.111</v>
      </c>
      <c r="AG415" s="184"/>
      <c r="AH415" s="363" t="str">
        <f t="shared" ref="AH415" si="120">IF(Y415&gt;AJ415,"超估","")</f>
        <v/>
      </c>
      <c r="AI415" s="190">
        <v>1</v>
      </c>
      <c r="AJ415" s="190">
        <v>1</v>
      </c>
      <c r="AN415" s="281"/>
      <c r="AO415" s="367"/>
      <c r="AP415" s="367"/>
      <c r="AQ415" s="367"/>
    </row>
    <row r="416" spans="1:43" s="281" customFormat="1" ht="49.5" x14ac:dyDescent="0.3">
      <c r="A416" s="283" t="s">
        <v>3255</v>
      </c>
      <c r="B416" s="303" t="s">
        <v>33</v>
      </c>
      <c r="C416" s="212" t="s">
        <v>34</v>
      </c>
      <c r="D416" s="213"/>
      <c r="E416" s="213"/>
      <c r="F416" s="213"/>
      <c r="G416" s="213"/>
      <c r="H416" s="213"/>
      <c r="I416" s="343">
        <v>17.57</v>
      </c>
      <c r="J416" s="213">
        <v>48.28</v>
      </c>
      <c r="K416" s="213">
        <v>848.28</v>
      </c>
      <c r="L416" s="284"/>
      <c r="M416" s="278"/>
      <c r="N416" s="42"/>
      <c r="O416" s="42"/>
      <c r="P416" s="42"/>
      <c r="Q416" s="98"/>
      <c r="R416" s="13" t="s">
        <v>3274</v>
      </c>
      <c r="S416" s="286" t="str">
        <f t="shared" si="116"/>
        <v>基地及路幅開挖，未含運費，(機械挖，0.7～0.79m3開挖機)</v>
      </c>
      <c r="T416" s="287" t="str">
        <f t="shared" si="117"/>
        <v>B.M3</v>
      </c>
      <c r="U416" s="16"/>
      <c r="V416" s="16">
        <f t="shared" ref="V416:V431" si="121">IF(I416&gt;0,I416,IF(H416&gt;0,H416,IF(G416&gt;0,G416,IF(F416&gt;0,F416,IF(E416&gt;0,E416,D416)))))</f>
        <v>17.57</v>
      </c>
      <c r="W416" s="16">
        <f t="shared" si="103"/>
        <v>48.28</v>
      </c>
      <c r="X416" s="334">
        <f t="shared" si="111"/>
        <v>17.57</v>
      </c>
      <c r="Y416" s="127">
        <f t="shared" si="115"/>
        <v>17.57</v>
      </c>
      <c r="Z416" s="127">
        <f t="shared" si="112"/>
        <v>848.28</v>
      </c>
      <c r="AA416" s="127">
        <f t="shared" si="113"/>
        <v>848.28</v>
      </c>
      <c r="AB416" s="279"/>
      <c r="AC416" s="324"/>
      <c r="AD416" s="181">
        <f t="shared" si="102"/>
        <v>17.57</v>
      </c>
      <c r="AE416" s="181">
        <f t="shared" si="114"/>
        <v>848.28</v>
      </c>
      <c r="AF416" s="184">
        <v>1.111</v>
      </c>
      <c r="AG416" s="184">
        <v>1.111</v>
      </c>
      <c r="AH416" s="365"/>
      <c r="AI416" s="296">
        <v>17.57</v>
      </c>
      <c r="AJ416" s="190">
        <v>17.57</v>
      </c>
      <c r="AO416" s="367"/>
      <c r="AP416" s="367"/>
      <c r="AQ416" s="367"/>
    </row>
    <row r="417" spans="1:43" s="281" customFormat="1" x14ac:dyDescent="0.3">
      <c r="A417" s="283" t="s">
        <v>3256</v>
      </c>
      <c r="B417" s="303" t="s">
        <v>431</v>
      </c>
      <c r="C417" s="212" t="s">
        <v>50</v>
      </c>
      <c r="D417" s="213"/>
      <c r="E417" s="213"/>
      <c r="F417" s="213"/>
      <c r="G417" s="213"/>
      <c r="H417" s="213"/>
      <c r="I417" s="343">
        <v>93.17</v>
      </c>
      <c r="J417" s="213">
        <v>28</v>
      </c>
      <c r="K417" s="213">
        <v>2608.7600000000002</v>
      </c>
      <c r="L417" s="284"/>
      <c r="M417" s="278"/>
      <c r="N417" s="42"/>
      <c r="O417" s="42"/>
      <c r="P417" s="42"/>
      <c r="Q417" s="98"/>
      <c r="R417" s="13" t="s">
        <v>3275</v>
      </c>
      <c r="S417" s="286" t="str">
        <f t="shared" si="116"/>
        <v>放樣</v>
      </c>
      <c r="T417" s="287" t="str">
        <f t="shared" si="117"/>
        <v>M2</v>
      </c>
      <c r="U417" s="16"/>
      <c r="V417" s="16">
        <f t="shared" si="121"/>
        <v>93.17</v>
      </c>
      <c r="W417" s="16">
        <f t="shared" si="103"/>
        <v>28</v>
      </c>
      <c r="X417" s="334">
        <f t="shared" si="111"/>
        <v>93.17</v>
      </c>
      <c r="Y417" s="127">
        <f t="shared" si="115"/>
        <v>93.17</v>
      </c>
      <c r="Z417" s="127">
        <f t="shared" si="112"/>
        <v>2608.7600000000002</v>
      </c>
      <c r="AA417" s="127">
        <f t="shared" si="113"/>
        <v>2608.7600000000002</v>
      </c>
      <c r="AB417" s="279"/>
      <c r="AC417" s="324"/>
      <c r="AD417" s="181">
        <f t="shared" si="102"/>
        <v>93.17</v>
      </c>
      <c r="AE417" s="181">
        <f t="shared" si="114"/>
        <v>2608.7600000000002</v>
      </c>
      <c r="AF417" s="184">
        <v>1.111</v>
      </c>
      <c r="AG417" s="184">
        <v>1.111</v>
      </c>
      <c r="AH417" s="365"/>
      <c r="AI417" s="296">
        <v>93.17</v>
      </c>
      <c r="AJ417" s="190">
        <v>93.17</v>
      </c>
      <c r="AO417" s="367"/>
      <c r="AP417" s="367"/>
      <c r="AQ417" s="367"/>
    </row>
    <row r="418" spans="1:43" s="281" customFormat="1" ht="58.5" x14ac:dyDescent="0.3">
      <c r="A418" s="283" t="s">
        <v>3257</v>
      </c>
      <c r="B418" s="211" t="s">
        <v>106</v>
      </c>
      <c r="C418" s="212" t="s">
        <v>103</v>
      </c>
      <c r="D418" s="213"/>
      <c r="E418" s="213"/>
      <c r="F418" s="213"/>
      <c r="G418" s="213"/>
      <c r="H418" s="213"/>
      <c r="I418" s="343">
        <v>17.57</v>
      </c>
      <c r="J418" s="213">
        <v>346.08</v>
      </c>
      <c r="K418" s="213">
        <v>6080.63</v>
      </c>
      <c r="L418" s="284"/>
      <c r="M418" s="278"/>
      <c r="N418" s="42"/>
      <c r="O418" s="42"/>
      <c r="P418" s="42"/>
      <c r="Q418" s="98"/>
      <c r="R418" s="13" t="s">
        <v>1402</v>
      </c>
      <c r="S418" s="286" t="str">
        <f t="shared" si="116"/>
        <v>構造物回填，回填及夯實，人工夯實</v>
      </c>
      <c r="T418" s="287" t="str">
        <f t="shared" si="117"/>
        <v>C.M3</v>
      </c>
      <c r="U418" s="16"/>
      <c r="V418" s="16">
        <f t="shared" si="121"/>
        <v>17.57</v>
      </c>
      <c r="W418" s="16">
        <f t="shared" si="103"/>
        <v>346.08</v>
      </c>
      <c r="X418" s="334">
        <f t="shared" si="111"/>
        <v>17.57</v>
      </c>
      <c r="Y418" s="127">
        <f t="shared" si="115"/>
        <v>17.57</v>
      </c>
      <c r="Z418" s="127">
        <f t="shared" si="112"/>
        <v>6080.63</v>
      </c>
      <c r="AA418" s="127">
        <f t="shared" si="113"/>
        <v>6080.63</v>
      </c>
      <c r="AB418" s="279"/>
      <c r="AC418" s="324"/>
      <c r="AD418" s="181">
        <f t="shared" si="102"/>
        <v>17.57</v>
      </c>
      <c r="AE418" s="181">
        <f t="shared" si="114"/>
        <v>6080.63</v>
      </c>
      <c r="AF418" s="184">
        <v>1.111</v>
      </c>
      <c r="AG418" s="184">
        <v>1.111</v>
      </c>
      <c r="AH418" s="365"/>
      <c r="AI418" s="296">
        <v>17.57</v>
      </c>
      <c r="AJ418" s="190">
        <v>17.57</v>
      </c>
      <c r="AO418" s="367"/>
      <c r="AP418" s="367"/>
      <c r="AQ418" s="367"/>
    </row>
    <row r="419" spans="1:43" s="281" customFormat="1" x14ac:dyDescent="0.3">
      <c r="A419" s="283" t="s">
        <v>3258</v>
      </c>
      <c r="B419" s="303" t="s">
        <v>119</v>
      </c>
      <c r="C419" s="212" t="s">
        <v>50</v>
      </c>
      <c r="D419" s="213"/>
      <c r="E419" s="213"/>
      <c r="F419" s="213"/>
      <c r="G419" s="213"/>
      <c r="H419" s="213"/>
      <c r="I419" s="343">
        <v>82.73</v>
      </c>
      <c r="J419" s="213">
        <v>533.64</v>
      </c>
      <c r="K419" s="213">
        <v>44148.04</v>
      </c>
      <c r="L419" s="284"/>
      <c r="M419" s="278"/>
      <c r="N419" s="42"/>
      <c r="O419" s="42"/>
      <c r="P419" s="42"/>
      <c r="Q419" s="98"/>
      <c r="R419" s="13" t="s">
        <v>1373</v>
      </c>
      <c r="S419" s="286" t="str">
        <f t="shared" si="116"/>
        <v>普通模板，丙種</v>
      </c>
      <c r="T419" s="287" t="str">
        <f t="shared" si="117"/>
        <v>M2</v>
      </c>
      <c r="U419" s="16"/>
      <c r="V419" s="16">
        <f t="shared" si="121"/>
        <v>82.73</v>
      </c>
      <c r="W419" s="16">
        <f t="shared" si="103"/>
        <v>533.64</v>
      </c>
      <c r="X419" s="334">
        <f t="shared" si="111"/>
        <v>82.73</v>
      </c>
      <c r="Y419" s="127">
        <f t="shared" si="115"/>
        <v>82.73</v>
      </c>
      <c r="Z419" s="127">
        <f t="shared" si="112"/>
        <v>44148.04</v>
      </c>
      <c r="AA419" s="127">
        <f t="shared" si="113"/>
        <v>44148.04</v>
      </c>
      <c r="AB419" s="304"/>
      <c r="AC419" s="324"/>
      <c r="AD419" s="181">
        <f t="shared" si="102"/>
        <v>82.73</v>
      </c>
      <c r="AE419" s="181">
        <f t="shared" si="114"/>
        <v>44148.04</v>
      </c>
      <c r="AF419" s="184">
        <v>1.111</v>
      </c>
      <c r="AG419" s="184">
        <v>1.111</v>
      </c>
      <c r="AH419" s="365"/>
      <c r="AI419" s="296">
        <v>82.73</v>
      </c>
      <c r="AJ419" s="190">
        <v>82.73</v>
      </c>
      <c r="AO419" s="367"/>
      <c r="AP419" s="367"/>
      <c r="AQ419" s="367"/>
    </row>
    <row r="420" spans="1:43" s="281" customFormat="1" x14ac:dyDescent="0.3">
      <c r="A420" s="283" t="s">
        <v>3259</v>
      </c>
      <c r="B420" s="303" t="s">
        <v>122</v>
      </c>
      <c r="C420" s="212" t="s">
        <v>50</v>
      </c>
      <c r="D420" s="213"/>
      <c r="E420" s="213"/>
      <c r="F420" s="213"/>
      <c r="G420" s="213"/>
      <c r="H420" s="213"/>
      <c r="I420" s="343">
        <v>28.02</v>
      </c>
      <c r="J420" s="213">
        <v>1299.8900000000001</v>
      </c>
      <c r="K420" s="213">
        <v>36422.92</v>
      </c>
      <c r="L420" s="284"/>
      <c r="M420" s="278"/>
      <c r="N420" s="42"/>
      <c r="O420" s="42"/>
      <c r="P420" s="42"/>
      <c r="Q420" s="98"/>
      <c r="R420" s="13" t="s">
        <v>1393</v>
      </c>
      <c r="S420" s="286" t="str">
        <f t="shared" si="116"/>
        <v>清水模板，鋼模</v>
      </c>
      <c r="T420" s="287" t="str">
        <f t="shared" si="117"/>
        <v>M2</v>
      </c>
      <c r="U420" s="16"/>
      <c r="V420" s="16">
        <f t="shared" si="121"/>
        <v>28.02</v>
      </c>
      <c r="W420" s="16">
        <f t="shared" si="103"/>
        <v>1299.8900000000001</v>
      </c>
      <c r="X420" s="334">
        <f t="shared" si="111"/>
        <v>28.02</v>
      </c>
      <c r="Y420" s="127">
        <f t="shared" si="115"/>
        <v>28.02</v>
      </c>
      <c r="Z420" s="127">
        <f t="shared" si="112"/>
        <v>36422.92</v>
      </c>
      <c r="AA420" s="127">
        <f t="shared" si="113"/>
        <v>36422.92</v>
      </c>
      <c r="AB420" s="279"/>
      <c r="AC420" s="324"/>
      <c r="AD420" s="181">
        <f t="shared" si="102"/>
        <v>28.02</v>
      </c>
      <c r="AE420" s="181">
        <f t="shared" si="114"/>
        <v>36422.92</v>
      </c>
      <c r="AF420" s="184">
        <v>1.111</v>
      </c>
      <c r="AG420" s="184">
        <v>1.111</v>
      </c>
      <c r="AH420" s="365"/>
      <c r="AI420" s="296">
        <v>28.02</v>
      </c>
      <c r="AJ420" s="190">
        <v>28.02</v>
      </c>
      <c r="AO420" s="367"/>
      <c r="AP420" s="367"/>
      <c r="AQ420" s="367"/>
    </row>
    <row r="421" spans="1:43" s="281" customFormat="1" ht="33" x14ac:dyDescent="0.3">
      <c r="A421" s="283" t="s">
        <v>3260</v>
      </c>
      <c r="B421" s="303" t="s">
        <v>392</v>
      </c>
      <c r="C421" s="212" t="s">
        <v>23</v>
      </c>
      <c r="D421" s="213"/>
      <c r="E421" s="213"/>
      <c r="F421" s="213"/>
      <c r="G421" s="213"/>
      <c r="H421" s="213"/>
      <c r="I421" s="343">
        <v>2.94</v>
      </c>
      <c r="J421" s="213">
        <v>3115.13</v>
      </c>
      <c r="K421" s="213">
        <v>9158.48</v>
      </c>
      <c r="L421" s="284"/>
      <c r="M421" s="278"/>
      <c r="N421" s="42"/>
      <c r="O421" s="42"/>
      <c r="P421" s="42"/>
      <c r="Q421" s="98"/>
      <c r="R421" s="13" t="s">
        <v>1403</v>
      </c>
      <c r="S421" s="286" t="str">
        <f t="shared" si="116"/>
        <v>結構用混凝土，預拌，140kgf/cm2</v>
      </c>
      <c r="T421" s="287" t="str">
        <f t="shared" si="117"/>
        <v>M3</v>
      </c>
      <c r="U421" s="16"/>
      <c r="V421" s="16">
        <f t="shared" si="121"/>
        <v>2.94</v>
      </c>
      <c r="W421" s="16">
        <f t="shared" si="103"/>
        <v>3115.13</v>
      </c>
      <c r="X421" s="334">
        <f t="shared" si="111"/>
        <v>2.94</v>
      </c>
      <c r="Y421" s="127">
        <f t="shared" si="115"/>
        <v>2.94</v>
      </c>
      <c r="Z421" s="127">
        <f t="shared" si="112"/>
        <v>9158.48</v>
      </c>
      <c r="AA421" s="127">
        <f t="shared" si="113"/>
        <v>9158.48</v>
      </c>
      <c r="AB421" s="279"/>
      <c r="AC421" s="324"/>
      <c r="AD421" s="181">
        <f t="shared" si="102"/>
        <v>2.94</v>
      </c>
      <c r="AE421" s="181">
        <f t="shared" si="114"/>
        <v>9158.48</v>
      </c>
      <c r="AF421" s="184">
        <v>1.111</v>
      </c>
      <c r="AG421" s="184">
        <v>1.111</v>
      </c>
      <c r="AH421" s="365"/>
      <c r="AI421" s="296">
        <v>2.94</v>
      </c>
      <c r="AJ421" s="190">
        <v>2.94</v>
      </c>
      <c r="AO421" s="367"/>
      <c r="AP421" s="367"/>
      <c r="AQ421" s="367"/>
    </row>
    <row r="422" spans="1:43" s="281" customFormat="1" ht="33" x14ac:dyDescent="0.3">
      <c r="A422" s="283" t="s">
        <v>3261</v>
      </c>
      <c r="B422" s="303" t="s">
        <v>116</v>
      </c>
      <c r="C422" s="212" t="s">
        <v>23</v>
      </c>
      <c r="D422" s="213"/>
      <c r="E422" s="213"/>
      <c r="F422" s="213"/>
      <c r="G422" s="213"/>
      <c r="H422" s="213"/>
      <c r="I422" s="343">
        <v>21.45</v>
      </c>
      <c r="J422" s="213">
        <v>3321.13</v>
      </c>
      <c r="K422" s="213">
        <v>71238.240000000005</v>
      </c>
      <c r="L422" s="284"/>
      <c r="M422" s="278"/>
      <c r="N422" s="42"/>
      <c r="O422" s="42"/>
      <c r="P422" s="42"/>
      <c r="Q422" s="98"/>
      <c r="R422" s="13" t="s">
        <v>1427</v>
      </c>
      <c r="S422" s="286" t="str">
        <f t="shared" si="116"/>
        <v>結構用混凝土，預拌，210kgf/cm2</v>
      </c>
      <c r="T422" s="287" t="str">
        <f t="shared" si="117"/>
        <v>M3</v>
      </c>
      <c r="U422" s="16"/>
      <c r="V422" s="16">
        <f t="shared" si="121"/>
        <v>21.45</v>
      </c>
      <c r="W422" s="16">
        <f t="shared" si="103"/>
        <v>3321.13</v>
      </c>
      <c r="X422" s="334">
        <f t="shared" si="111"/>
        <v>21.45</v>
      </c>
      <c r="Y422" s="127">
        <f t="shared" si="115"/>
        <v>21.45</v>
      </c>
      <c r="Z422" s="127">
        <f t="shared" si="112"/>
        <v>71238.240000000005</v>
      </c>
      <c r="AA422" s="127">
        <f t="shared" si="113"/>
        <v>71238.240000000005</v>
      </c>
      <c r="AB422" s="279"/>
      <c r="AC422" s="324"/>
      <c r="AD422" s="181">
        <f t="shared" si="102"/>
        <v>21.45</v>
      </c>
      <c r="AE422" s="181">
        <f t="shared" si="114"/>
        <v>71238.240000000005</v>
      </c>
      <c r="AF422" s="184">
        <v>1.111</v>
      </c>
      <c r="AG422" s="184">
        <v>1.111</v>
      </c>
      <c r="AH422" s="365"/>
      <c r="AI422" s="296">
        <v>21.45</v>
      </c>
      <c r="AJ422" s="190">
        <v>21.45</v>
      </c>
      <c r="AO422" s="367"/>
      <c r="AP422" s="367"/>
      <c r="AQ422" s="367"/>
    </row>
    <row r="423" spans="1:43" s="281" customFormat="1" x14ac:dyDescent="0.3">
      <c r="A423" s="283" t="s">
        <v>3262</v>
      </c>
      <c r="B423" s="303" t="s">
        <v>109</v>
      </c>
      <c r="C423" s="212" t="s">
        <v>110</v>
      </c>
      <c r="D423" s="213"/>
      <c r="E423" s="213"/>
      <c r="F423" s="213"/>
      <c r="G423" s="213"/>
      <c r="H423" s="213"/>
      <c r="I423" s="343">
        <v>1747.16</v>
      </c>
      <c r="J423" s="213">
        <v>36.4</v>
      </c>
      <c r="K423" s="213">
        <v>63596.62</v>
      </c>
      <c r="L423" s="284"/>
      <c r="M423" s="278"/>
      <c r="N423" s="42"/>
      <c r="O423" s="42"/>
      <c r="P423" s="42"/>
      <c r="Q423" s="98"/>
      <c r="R423" s="13" t="s">
        <v>1428</v>
      </c>
      <c r="S423" s="286" t="str">
        <f t="shared" si="116"/>
        <v>鋼筋，SD280W</v>
      </c>
      <c r="T423" s="287" t="str">
        <f t="shared" si="117"/>
        <v>KG</v>
      </c>
      <c r="U423" s="16"/>
      <c r="V423" s="16">
        <f t="shared" si="121"/>
        <v>1747.16</v>
      </c>
      <c r="W423" s="16">
        <f t="shared" si="103"/>
        <v>36.4</v>
      </c>
      <c r="X423" s="334">
        <f t="shared" si="111"/>
        <v>1747.16</v>
      </c>
      <c r="Y423" s="127">
        <f t="shared" si="115"/>
        <v>1747.16</v>
      </c>
      <c r="Z423" s="127">
        <f t="shared" si="112"/>
        <v>63596.62</v>
      </c>
      <c r="AA423" s="127">
        <f t="shared" si="113"/>
        <v>63596.62</v>
      </c>
      <c r="AB423" s="279"/>
      <c r="AC423" s="324"/>
      <c r="AD423" s="181">
        <f t="shared" si="102"/>
        <v>1747.16</v>
      </c>
      <c r="AE423" s="181">
        <f t="shared" si="114"/>
        <v>63596.62</v>
      </c>
      <c r="AF423" s="184">
        <v>1.111</v>
      </c>
      <c r="AG423" s="184">
        <v>1.111</v>
      </c>
      <c r="AH423" s="365"/>
      <c r="AI423" s="296">
        <v>1747.16</v>
      </c>
      <c r="AJ423" s="190">
        <v>1747.16</v>
      </c>
      <c r="AO423" s="367"/>
      <c r="AP423" s="367"/>
      <c r="AQ423" s="367"/>
    </row>
    <row r="424" spans="1:43" s="281" customFormat="1" ht="99" x14ac:dyDescent="0.3">
      <c r="A424" s="283" t="s">
        <v>3263</v>
      </c>
      <c r="B424" s="303" t="s">
        <v>131</v>
      </c>
      <c r="C424" s="212" t="s">
        <v>110</v>
      </c>
      <c r="D424" s="213"/>
      <c r="E424" s="213"/>
      <c r="F424" s="213"/>
      <c r="G424" s="213"/>
      <c r="H424" s="213"/>
      <c r="I424" s="337">
        <v>1971.61</v>
      </c>
      <c r="J424" s="213">
        <v>107.31</v>
      </c>
      <c r="K424" s="213">
        <v>211573.47</v>
      </c>
      <c r="L424" s="284"/>
      <c r="M424" s="278"/>
      <c r="N424" s="42"/>
      <c r="O424" s="42"/>
      <c r="P424" s="42"/>
      <c r="Q424" s="98"/>
      <c r="R424" s="13" t="s">
        <v>1387</v>
      </c>
      <c r="S424" s="286" t="str">
        <f t="shared" si="116"/>
        <v>結構用鋼材，銲接結構用軋鋼料，SM400B鋼構工程及製作、組立工程(含加勁板、續接板、螺絲、螺栓、螺帽等)</v>
      </c>
      <c r="T424" s="287" t="str">
        <f t="shared" si="117"/>
        <v>KG</v>
      </c>
      <c r="U424" s="16"/>
      <c r="V424" s="16">
        <f t="shared" si="121"/>
        <v>1971.61</v>
      </c>
      <c r="W424" s="16">
        <f t="shared" si="103"/>
        <v>107.31</v>
      </c>
      <c r="X424" s="334">
        <f t="shared" si="111"/>
        <v>1235.2</v>
      </c>
      <c r="Y424" s="16">
        <f t="shared" si="115"/>
        <v>1235.2</v>
      </c>
      <c r="Z424" s="16">
        <f t="shared" si="112"/>
        <v>132549.31</v>
      </c>
      <c r="AA424" s="16">
        <f t="shared" si="113"/>
        <v>132549.31</v>
      </c>
      <c r="AB424" s="279"/>
      <c r="AC424" s="324"/>
      <c r="AD424" s="181">
        <f t="shared" si="102"/>
        <v>1971.61</v>
      </c>
      <c r="AE424" s="181">
        <f t="shared" si="114"/>
        <v>211573.47</v>
      </c>
      <c r="AF424" s="184">
        <v>1.111</v>
      </c>
      <c r="AG424" s="184">
        <v>1.111</v>
      </c>
      <c r="AH424" s="365"/>
      <c r="AI424" s="296">
        <v>1235.2</v>
      </c>
      <c r="AJ424" s="190">
        <v>1971.61</v>
      </c>
      <c r="AO424" s="367"/>
      <c r="AP424" s="367"/>
      <c r="AQ424" s="367"/>
    </row>
    <row r="425" spans="1:43" s="281" customFormat="1" x14ac:dyDescent="0.3">
      <c r="A425" s="283" t="s">
        <v>3264</v>
      </c>
      <c r="B425" s="303" t="s">
        <v>125</v>
      </c>
      <c r="C425" s="212" t="s">
        <v>110</v>
      </c>
      <c r="D425" s="213"/>
      <c r="E425" s="213"/>
      <c r="F425" s="213"/>
      <c r="G425" s="213"/>
      <c r="H425" s="213"/>
      <c r="I425" s="337">
        <v>3256.5</v>
      </c>
      <c r="J425" s="213">
        <v>60</v>
      </c>
      <c r="K425" s="213">
        <v>195390</v>
      </c>
      <c r="L425" s="284"/>
      <c r="M425" s="278"/>
      <c r="N425" s="42"/>
      <c r="O425" s="42"/>
      <c r="P425" s="42"/>
      <c r="Q425" s="98"/>
      <c r="R425" s="13" t="s">
        <v>1405</v>
      </c>
      <c r="S425" s="286" t="str">
        <f t="shared" si="116"/>
        <v>鍍鋅鋼料</v>
      </c>
      <c r="T425" s="287" t="str">
        <f t="shared" si="117"/>
        <v>KG</v>
      </c>
      <c r="U425" s="16"/>
      <c r="V425" s="16">
        <f t="shared" si="121"/>
        <v>3256.5</v>
      </c>
      <c r="W425" s="16">
        <f t="shared" si="103"/>
        <v>60</v>
      </c>
      <c r="X425" s="334">
        <f t="shared" si="111"/>
        <v>2168.1</v>
      </c>
      <c r="Y425" s="16">
        <f t="shared" si="115"/>
        <v>2168.1</v>
      </c>
      <c r="Z425" s="16">
        <f t="shared" si="112"/>
        <v>130086</v>
      </c>
      <c r="AA425" s="16">
        <f t="shared" si="113"/>
        <v>130086</v>
      </c>
      <c r="AB425" s="279"/>
      <c r="AC425" s="324"/>
      <c r="AD425" s="181">
        <f t="shared" si="102"/>
        <v>3256.5</v>
      </c>
      <c r="AE425" s="181">
        <f t="shared" si="114"/>
        <v>195390</v>
      </c>
      <c r="AF425" s="184">
        <v>1.111</v>
      </c>
      <c r="AG425" s="184">
        <v>1.111</v>
      </c>
      <c r="AH425" s="365"/>
      <c r="AI425" s="296">
        <v>2168.1</v>
      </c>
      <c r="AJ425" s="190">
        <v>3256.5</v>
      </c>
      <c r="AO425" s="367"/>
      <c r="AP425" s="367"/>
      <c r="AQ425" s="367"/>
    </row>
    <row r="426" spans="1:43" s="281" customFormat="1" ht="49.5" x14ac:dyDescent="0.3">
      <c r="A426" s="283" t="s">
        <v>3265</v>
      </c>
      <c r="B426" s="303" t="s">
        <v>128</v>
      </c>
      <c r="C426" s="212" t="s">
        <v>110</v>
      </c>
      <c r="D426" s="213"/>
      <c r="E426" s="213"/>
      <c r="F426" s="213"/>
      <c r="G426" s="213"/>
      <c r="H426" s="213"/>
      <c r="I426" s="337">
        <v>3256.5</v>
      </c>
      <c r="J426" s="213">
        <v>31.9</v>
      </c>
      <c r="K426" s="213">
        <v>103882.35</v>
      </c>
      <c r="L426" s="284"/>
      <c r="M426" s="278"/>
      <c r="N426" s="42"/>
      <c r="O426" s="42"/>
      <c r="P426" s="42"/>
      <c r="Q426" s="98"/>
      <c r="R426" s="13" t="s">
        <v>1406</v>
      </c>
      <c r="S426" s="286" t="str">
        <f t="shared" si="116"/>
        <v>金屬材料，鋼料，裁切加工銲製(工廠加工)</v>
      </c>
      <c r="T426" s="287" t="str">
        <f t="shared" si="117"/>
        <v>KG</v>
      </c>
      <c r="U426" s="16"/>
      <c r="V426" s="16">
        <f t="shared" si="121"/>
        <v>3256.5</v>
      </c>
      <c r="W426" s="16">
        <f t="shared" si="103"/>
        <v>31.9</v>
      </c>
      <c r="X426" s="334">
        <f t="shared" si="111"/>
        <v>2168.1</v>
      </c>
      <c r="Y426" s="16">
        <f t="shared" si="115"/>
        <v>2168.1</v>
      </c>
      <c r="Z426" s="16">
        <f t="shared" si="112"/>
        <v>69162.39</v>
      </c>
      <c r="AA426" s="16">
        <f t="shared" si="113"/>
        <v>69162.39</v>
      </c>
      <c r="AB426" s="279"/>
      <c r="AC426" s="324"/>
      <c r="AD426" s="181">
        <f t="shared" si="102"/>
        <v>3256.5</v>
      </c>
      <c r="AE426" s="181">
        <f t="shared" si="114"/>
        <v>103882.35</v>
      </c>
      <c r="AF426" s="184">
        <v>1.111</v>
      </c>
      <c r="AG426" s="184">
        <v>1.111</v>
      </c>
      <c r="AH426" s="365"/>
      <c r="AI426" s="296">
        <f>AI425</f>
        <v>2168.1</v>
      </c>
      <c r="AJ426" s="190">
        <v>3256.5</v>
      </c>
      <c r="AN426" s="364"/>
      <c r="AO426" s="368"/>
      <c r="AP426" s="367"/>
      <c r="AQ426" s="367"/>
    </row>
    <row r="427" spans="1:43" s="281" customFormat="1" ht="33" x14ac:dyDescent="0.3">
      <c r="A427" s="283" t="s">
        <v>3266</v>
      </c>
      <c r="B427" s="303" t="s">
        <v>417</v>
      </c>
      <c r="C427" s="212" t="s">
        <v>110</v>
      </c>
      <c r="D427" s="213"/>
      <c r="E427" s="213"/>
      <c r="F427" s="213"/>
      <c r="G427" s="213"/>
      <c r="H427" s="213"/>
      <c r="I427" s="337">
        <v>5029.79</v>
      </c>
      <c r="J427" s="213">
        <v>278.10000000000002</v>
      </c>
      <c r="K427" s="213">
        <v>1398784.6</v>
      </c>
      <c r="L427" s="284"/>
      <c r="M427" s="278"/>
      <c r="N427" s="42"/>
      <c r="O427" s="42"/>
      <c r="P427" s="42"/>
      <c r="Q427" s="98"/>
      <c r="R427" s="13" t="s">
        <v>1414</v>
      </c>
      <c r="S427" s="286" t="str">
        <f t="shared" si="116"/>
        <v>不銹鋼料，SUS304，含加工安裝等</v>
      </c>
      <c r="T427" s="287" t="str">
        <f t="shared" si="117"/>
        <v>KG</v>
      </c>
      <c r="U427" s="16"/>
      <c r="V427" s="16">
        <f t="shared" si="121"/>
        <v>5029.79</v>
      </c>
      <c r="W427" s="16">
        <f t="shared" si="103"/>
        <v>278.10000000000002</v>
      </c>
      <c r="X427" s="334">
        <f t="shared" si="111"/>
        <v>0</v>
      </c>
      <c r="Y427" s="16">
        <f t="shared" si="115"/>
        <v>0</v>
      </c>
      <c r="Z427" s="16">
        <f t="shared" si="112"/>
        <v>0</v>
      </c>
      <c r="AA427" s="16">
        <f t="shared" si="113"/>
        <v>0</v>
      </c>
      <c r="AB427" s="279"/>
      <c r="AC427" s="324"/>
      <c r="AD427" s="181">
        <f t="shared" si="102"/>
        <v>5029.79</v>
      </c>
      <c r="AE427" s="181">
        <f t="shared" si="114"/>
        <v>1398784.6</v>
      </c>
      <c r="AF427" s="184">
        <v>1.111</v>
      </c>
      <c r="AG427" s="184">
        <v>1.111</v>
      </c>
      <c r="AH427" s="365"/>
      <c r="AI427" s="296">
        <v>0</v>
      </c>
      <c r="AJ427" s="190">
        <v>5029.79</v>
      </c>
      <c r="AN427" s="364"/>
      <c r="AO427" s="368"/>
      <c r="AP427" s="367"/>
      <c r="AQ427" s="367"/>
    </row>
    <row r="428" spans="1:43" s="281" customFormat="1" ht="33" x14ac:dyDescent="0.3">
      <c r="A428" s="283" t="s">
        <v>3267</v>
      </c>
      <c r="B428" s="303" t="s">
        <v>3271</v>
      </c>
      <c r="C428" s="212" t="s">
        <v>50</v>
      </c>
      <c r="D428" s="213"/>
      <c r="E428" s="213"/>
      <c r="F428" s="213"/>
      <c r="G428" s="213"/>
      <c r="H428" s="213"/>
      <c r="I428" s="337">
        <v>94.85</v>
      </c>
      <c r="J428" s="213">
        <v>4997.58</v>
      </c>
      <c r="K428" s="213">
        <v>474020.46</v>
      </c>
      <c r="L428" s="284"/>
      <c r="M428" s="278"/>
      <c r="N428" s="42"/>
      <c r="O428" s="42"/>
      <c r="P428" s="42"/>
      <c r="Q428" s="98"/>
      <c r="R428" s="13" t="s">
        <v>1429</v>
      </c>
      <c r="S428" s="286" t="str">
        <f t="shared" si="116"/>
        <v>不鏽鋼板雷射造型切割</v>
      </c>
      <c r="T428" s="287" t="str">
        <f t="shared" si="117"/>
        <v>M2</v>
      </c>
      <c r="U428" s="16"/>
      <c r="V428" s="16">
        <f t="shared" si="121"/>
        <v>94.85</v>
      </c>
      <c r="W428" s="16">
        <f t="shared" si="103"/>
        <v>4997.58</v>
      </c>
      <c r="X428" s="334">
        <f t="shared" si="111"/>
        <v>0</v>
      </c>
      <c r="Y428" s="16">
        <f t="shared" si="115"/>
        <v>0</v>
      </c>
      <c r="Z428" s="16">
        <f t="shared" si="112"/>
        <v>0</v>
      </c>
      <c r="AA428" s="16">
        <f t="shared" si="113"/>
        <v>0</v>
      </c>
      <c r="AB428" s="279"/>
      <c r="AC428" s="324"/>
      <c r="AD428" s="181">
        <f t="shared" si="102"/>
        <v>94.85</v>
      </c>
      <c r="AE428" s="181">
        <f t="shared" si="114"/>
        <v>474020.46</v>
      </c>
      <c r="AF428" s="184">
        <v>1.111</v>
      </c>
      <c r="AG428" s="184">
        <v>1.111</v>
      </c>
      <c r="AH428" s="365"/>
      <c r="AI428" s="296">
        <v>0</v>
      </c>
      <c r="AJ428" s="190">
        <v>94.85</v>
      </c>
      <c r="AO428" s="367"/>
      <c r="AP428" s="367"/>
      <c r="AQ428" s="367"/>
    </row>
    <row r="429" spans="1:43" s="281" customFormat="1" ht="33" x14ac:dyDescent="0.3">
      <c r="A429" s="283" t="s">
        <v>3268</v>
      </c>
      <c r="B429" s="303" t="s">
        <v>424</v>
      </c>
      <c r="C429" s="212" t="s">
        <v>50</v>
      </c>
      <c r="D429" s="213"/>
      <c r="E429" s="213"/>
      <c r="F429" s="213"/>
      <c r="G429" s="213"/>
      <c r="H429" s="213"/>
      <c r="I429" s="337">
        <v>390.48</v>
      </c>
      <c r="J429" s="213">
        <v>692.16</v>
      </c>
      <c r="K429" s="213">
        <v>270274.64</v>
      </c>
      <c r="L429" s="284"/>
      <c r="M429" s="278"/>
      <c r="N429" s="42"/>
      <c r="O429" s="42"/>
      <c r="P429" s="42"/>
      <c r="Q429" s="98"/>
      <c r="R429" s="13" t="s">
        <v>1430</v>
      </c>
      <c r="S429" s="286" t="str">
        <f t="shared" si="116"/>
        <v>施工輔助設施，施工架，鋼管，框式</v>
      </c>
      <c r="T429" s="287" t="str">
        <f t="shared" si="117"/>
        <v>M2</v>
      </c>
      <c r="U429" s="16"/>
      <c r="V429" s="16">
        <f t="shared" si="121"/>
        <v>390.48</v>
      </c>
      <c r="W429" s="16">
        <f t="shared" si="103"/>
        <v>692.16</v>
      </c>
      <c r="X429" s="334">
        <f t="shared" si="111"/>
        <v>266.8</v>
      </c>
      <c r="Y429" s="16">
        <f t="shared" si="115"/>
        <v>266.8</v>
      </c>
      <c r="Z429" s="16">
        <f t="shared" si="112"/>
        <v>184668.29</v>
      </c>
      <c r="AA429" s="16">
        <f t="shared" si="113"/>
        <v>184668.29</v>
      </c>
      <c r="AB429" s="279"/>
      <c r="AC429" s="324"/>
      <c r="AD429" s="181">
        <f t="shared" si="102"/>
        <v>390.48</v>
      </c>
      <c r="AE429" s="181">
        <f t="shared" si="114"/>
        <v>270274.64</v>
      </c>
      <c r="AF429" s="184">
        <v>1.111</v>
      </c>
      <c r="AG429" s="184">
        <v>1.111</v>
      </c>
      <c r="AH429" s="365"/>
      <c r="AI429" s="296">
        <v>266.8</v>
      </c>
      <c r="AJ429" s="190">
        <v>390.48</v>
      </c>
      <c r="AN429" s="364"/>
      <c r="AO429" s="368"/>
      <c r="AP429" s="367"/>
      <c r="AQ429" s="367"/>
    </row>
    <row r="430" spans="1:43" s="281" customFormat="1" ht="39" x14ac:dyDescent="0.3">
      <c r="A430" s="283" t="s">
        <v>3269</v>
      </c>
      <c r="B430" s="211" t="s">
        <v>3272</v>
      </c>
      <c r="C430" s="212" t="s">
        <v>81</v>
      </c>
      <c r="D430" s="213"/>
      <c r="E430" s="213"/>
      <c r="F430" s="213"/>
      <c r="G430" s="213"/>
      <c r="H430" s="213"/>
      <c r="I430" s="337">
        <v>1</v>
      </c>
      <c r="J430" s="213">
        <v>738224.66</v>
      </c>
      <c r="K430" s="213">
        <v>738224.66</v>
      </c>
      <c r="L430" s="284"/>
      <c r="M430" s="278"/>
      <c r="N430" s="42"/>
      <c r="O430" s="42"/>
      <c r="P430" s="42"/>
      <c r="Q430" s="98"/>
      <c r="R430" s="13" t="s">
        <v>1431</v>
      </c>
      <c r="S430" s="286" t="str">
        <f t="shared" si="116"/>
        <v>觀溪亭地坪及外飾面</v>
      </c>
      <c r="T430" s="287" t="str">
        <f t="shared" si="117"/>
        <v>座</v>
      </c>
      <c r="U430" s="16"/>
      <c r="V430" s="16">
        <f t="shared" si="121"/>
        <v>1</v>
      </c>
      <c r="W430" s="16">
        <f t="shared" si="103"/>
        <v>738224.66</v>
      </c>
      <c r="X430" s="334">
        <f t="shared" si="111"/>
        <v>0</v>
      </c>
      <c r="Y430" s="16">
        <f t="shared" si="115"/>
        <v>0</v>
      </c>
      <c r="Z430" s="16">
        <f t="shared" si="112"/>
        <v>0</v>
      </c>
      <c r="AA430" s="16">
        <f t="shared" si="113"/>
        <v>0</v>
      </c>
      <c r="AB430" s="279"/>
      <c r="AC430" s="324"/>
      <c r="AD430" s="181">
        <f t="shared" si="102"/>
        <v>1</v>
      </c>
      <c r="AE430" s="181">
        <f t="shared" si="114"/>
        <v>738224.66</v>
      </c>
      <c r="AF430" s="184">
        <v>1.111</v>
      </c>
      <c r="AG430" s="184">
        <v>1.111</v>
      </c>
      <c r="AH430" s="365"/>
      <c r="AI430" s="296">
        <v>0</v>
      </c>
      <c r="AJ430" s="190">
        <v>1</v>
      </c>
      <c r="AN430" s="364"/>
      <c r="AO430" s="368"/>
      <c r="AP430" s="367"/>
      <c r="AQ430" s="367"/>
    </row>
    <row r="431" spans="1:43" s="281" customFormat="1" ht="82.5" x14ac:dyDescent="0.3">
      <c r="A431" s="283" t="s">
        <v>3270</v>
      </c>
      <c r="B431" s="305" t="s">
        <v>3273</v>
      </c>
      <c r="C431" s="274" t="s">
        <v>81</v>
      </c>
      <c r="D431" s="213"/>
      <c r="E431" s="275"/>
      <c r="F431" s="213"/>
      <c r="G431" s="213"/>
      <c r="H431" s="213"/>
      <c r="I431" s="337">
        <v>1</v>
      </c>
      <c r="J431" s="301">
        <v>3290273.4</v>
      </c>
      <c r="K431" s="275">
        <v>3290273.4</v>
      </c>
      <c r="L431" s="284"/>
      <c r="M431" s="278"/>
      <c r="N431" s="42"/>
      <c r="O431" s="42"/>
      <c r="P431" s="42"/>
      <c r="Q431" s="98"/>
      <c r="R431" s="13" t="s">
        <v>1395</v>
      </c>
      <c r="S431" s="286" t="str">
        <f t="shared" si="116"/>
        <v>蝶舞亭地坪及外飾面(含板材手工鍛造成型、板材手工拋磨、造型製作、工廠內假組立等)</v>
      </c>
      <c r="T431" s="287" t="str">
        <f t="shared" si="117"/>
        <v>座</v>
      </c>
      <c r="U431" s="16"/>
      <c r="V431" s="16">
        <f t="shared" si="121"/>
        <v>1</v>
      </c>
      <c r="W431" s="16">
        <f t="shared" si="103"/>
        <v>3290273.4</v>
      </c>
      <c r="X431" s="334">
        <f t="shared" si="111"/>
        <v>0</v>
      </c>
      <c r="Y431" s="16">
        <f t="shared" si="115"/>
        <v>0</v>
      </c>
      <c r="Z431" s="16">
        <f t="shared" si="112"/>
        <v>0</v>
      </c>
      <c r="AA431" s="16">
        <f t="shared" si="113"/>
        <v>0</v>
      </c>
      <c r="AB431" s="279"/>
      <c r="AC431" s="324"/>
      <c r="AD431" s="181">
        <f t="shared" si="102"/>
        <v>1</v>
      </c>
      <c r="AE431" s="181">
        <f t="shared" si="114"/>
        <v>3290273.4</v>
      </c>
      <c r="AF431" s="184">
        <v>1.111</v>
      </c>
      <c r="AG431" s="184">
        <v>1.111</v>
      </c>
      <c r="AH431" s="365"/>
      <c r="AI431" s="296">
        <v>0</v>
      </c>
      <c r="AJ431" s="190">
        <v>1</v>
      </c>
      <c r="AN431" s="69"/>
      <c r="AO431" s="367"/>
      <c r="AP431" s="367"/>
      <c r="AQ431" s="367"/>
    </row>
    <row r="432" spans="1:43" s="69" customFormat="1" x14ac:dyDescent="0.3">
      <c r="A432" s="79" t="s">
        <v>3278</v>
      </c>
      <c r="B432" s="80" t="s">
        <v>3279</v>
      </c>
      <c r="C432" s="81" t="s">
        <v>14</v>
      </c>
      <c r="D432" s="82"/>
      <c r="E432" s="82"/>
      <c r="F432" s="82"/>
      <c r="G432" s="82"/>
      <c r="H432" s="82"/>
      <c r="I432" s="82">
        <v>1</v>
      </c>
      <c r="J432" s="82">
        <v>699665</v>
      </c>
      <c r="K432" s="82">
        <v>699665</v>
      </c>
      <c r="L432" s="94" t="s">
        <v>15</v>
      </c>
      <c r="M432" s="73"/>
      <c r="N432" s="45"/>
      <c r="O432" s="45"/>
      <c r="P432" s="45"/>
      <c r="Q432" s="98"/>
      <c r="R432" s="18" t="s">
        <v>3254</v>
      </c>
      <c r="S432" s="19" t="str">
        <f t="shared" ref="S432:S433" si="122">B432</f>
        <v>工程效益</v>
      </c>
      <c r="T432" s="20" t="str">
        <f t="shared" ref="T432:T433" si="123">C432</f>
        <v>式</v>
      </c>
      <c r="U432" s="21"/>
      <c r="V432" s="21">
        <v>1</v>
      </c>
      <c r="W432" s="21">
        <f t="shared" si="103"/>
        <v>699665</v>
      </c>
      <c r="X432" s="21">
        <f t="shared" ref="X432" si="124">IF(Z432=0,0,1)</f>
        <v>0</v>
      </c>
      <c r="Y432" s="21">
        <f t="shared" ref="Y432" si="125">IF(AA432=0,0,1)</f>
        <v>0</v>
      </c>
      <c r="Z432" s="21">
        <f>SUMIFS(Z:Z,AG:AG,AF432)</f>
        <v>0</v>
      </c>
      <c r="AA432" s="21">
        <f>SUMIFS(AA:AA,AG:AG,AF432)</f>
        <v>0</v>
      </c>
      <c r="AB432" s="22" t="s">
        <v>15</v>
      </c>
      <c r="AC432" s="324"/>
      <c r="AD432" s="181">
        <f t="shared" si="102"/>
        <v>1</v>
      </c>
      <c r="AE432" s="184"/>
      <c r="AF432" s="184">
        <v>1.1113</v>
      </c>
      <c r="AG432" s="184"/>
      <c r="AH432" s="363" t="str">
        <f t="shared" ref="AH432" si="126">IF(Y432&gt;AJ432,"超估","")</f>
        <v/>
      </c>
      <c r="AI432" s="190">
        <v>1</v>
      </c>
      <c r="AJ432" s="190">
        <v>1</v>
      </c>
      <c r="AN432" s="281"/>
      <c r="AO432" s="367"/>
      <c r="AP432" s="367"/>
      <c r="AQ432" s="367"/>
    </row>
    <row r="433" spans="1:43" s="281" customFormat="1" x14ac:dyDescent="0.3">
      <c r="A433" s="283" t="s">
        <v>3281</v>
      </c>
      <c r="B433" s="305" t="s">
        <v>3280</v>
      </c>
      <c r="C433" s="274" t="s">
        <v>14</v>
      </c>
      <c r="D433" s="213"/>
      <c r="E433" s="275"/>
      <c r="F433" s="213"/>
      <c r="G433" s="213"/>
      <c r="H433" s="213"/>
      <c r="I433" s="213">
        <v>1</v>
      </c>
      <c r="J433" s="301">
        <v>699665</v>
      </c>
      <c r="K433" s="275">
        <v>699665</v>
      </c>
      <c r="L433" s="284" t="s">
        <v>15</v>
      </c>
      <c r="M433" s="278"/>
      <c r="N433" s="42"/>
      <c r="O433" s="42"/>
      <c r="P433" s="42"/>
      <c r="Q433" s="98"/>
      <c r="R433" s="13" t="s">
        <v>3274</v>
      </c>
      <c r="S433" s="286" t="str">
        <f t="shared" si="122"/>
        <v>工程效益宣導活動</v>
      </c>
      <c r="T433" s="287" t="str">
        <f t="shared" si="123"/>
        <v>式</v>
      </c>
      <c r="U433" s="16"/>
      <c r="V433" s="16">
        <f t="shared" ref="V433" si="127">IF(I433&gt;0,I433,IF(H433&gt;0,H433,IF(G433&gt;0,G433,IF(F433&gt;0,F433,IF(E433&gt;0,E433,D433)))))</f>
        <v>1</v>
      </c>
      <c r="W433" s="16">
        <f t="shared" si="103"/>
        <v>699665</v>
      </c>
      <c r="X433" s="16">
        <f t="shared" ref="X433" si="128">AI433-N433</f>
        <v>0</v>
      </c>
      <c r="Y433" s="16">
        <f t="shared" ref="Y433" si="129">X433+N433</f>
        <v>0</v>
      </c>
      <c r="Z433" s="16">
        <f t="shared" ref="Z433" si="130">AA433-P433</f>
        <v>0</v>
      </c>
      <c r="AA433" s="16">
        <f t="shared" ref="AA433" si="131">ROUND(W433*Y433,2)</f>
        <v>0</v>
      </c>
      <c r="AB433" s="279" t="s">
        <v>15</v>
      </c>
      <c r="AC433" s="324"/>
      <c r="AD433" s="181">
        <f t="shared" si="102"/>
        <v>1</v>
      </c>
      <c r="AE433" s="181">
        <f t="shared" si="114"/>
        <v>699665</v>
      </c>
      <c r="AF433" s="184">
        <v>1.1113</v>
      </c>
      <c r="AG433" s="184">
        <v>1.1113</v>
      </c>
      <c r="AH433" s="365" t="str">
        <f t="shared" ref="AH433" si="132">IF(Y433&gt;AJ433,"超估","")</f>
        <v/>
      </c>
      <c r="AI433" s="285"/>
      <c r="AJ433" s="190">
        <v>1</v>
      </c>
      <c r="AN433" s="315"/>
      <c r="AO433" s="367"/>
      <c r="AP433" s="367"/>
      <c r="AQ433" s="367"/>
    </row>
    <row r="434" spans="1:43" s="315" customFormat="1" x14ac:dyDescent="0.3">
      <c r="A434" s="85" t="s">
        <v>1007</v>
      </c>
      <c r="B434" s="86" t="s">
        <v>1008</v>
      </c>
      <c r="C434" s="87" t="s">
        <v>14</v>
      </c>
      <c r="D434" s="88">
        <v>1</v>
      </c>
      <c r="E434" s="88"/>
      <c r="F434" s="88"/>
      <c r="G434" s="88"/>
      <c r="H434" s="88"/>
      <c r="I434" s="318"/>
      <c r="J434" s="88">
        <v>28415313.68</v>
      </c>
      <c r="K434" s="88">
        <v>28415313.68</v>
      </c>
      <c r="L434" s="95" t="s">
        <v>15</v>
      </c>
      <c r="M434" s="306"/>
      <c r="N434" s="307">
        <v>1</v>
      </c>
      <c r="O434" s="307">
        <v>394800.4</v>
      </c>
      <c r="P434" s="307">
        <v>25381848.100000001</v>
      </c>
      <c r="Q434" s="98"/>
      <c r="R434" s="308" t="s">
        <v>1404</v>
      </c>
      <c r="S434" s="309" t="s">
        <v>1008</v>
      </c>
      <c r="T434" s="310" t="s">
        <v>14</v>
      </c>
      <c r="U434" s="311">
        <v>1</v>
      </c>
      <c r="V434" s="311"/>
      <c r="W434" s="311">
        <f t="shared" si="103"/>
        <v>28415313.68</v>
      </c>
      <c r="X434" s="311">
        <f t="shared" ref="X434:Y434" si="133">IF(Z434=0,0,1)</f>
        <v>1</v>
      </c>
      <c r="Y434" s="311">
        <f t="shared" si="133"/>
        <v>1</v>
      </c>
      <c r="Z434" s="311">
        <f>SUMIFS(Z:Z,AG:AG,AF434)</f>
        <v>458213.97000000003</v>
      </c>
      <c r="AA434" s="311">
        <f>SUMIFS(AA:AA,AG:AG,AF434)</f>
        <v>25840062.070000004</v>
      </c>
      <c r="AB434" s="312" t="s">
        <v>15</v>
      </c>
      <c r="AC434" s="324"/>
      <c r="AD434" s="313">
        <f t="shared" si="102"/>
        <v>1</v>
      </c>
      <c r="AE434" s="313"/>
      <c r="AF434" s="313">
        <v>2</v>
      </c>
      <c r="AG434" s="313"/>
      <c r="AH434" s="366" t="str">
        <f t="shared" si="100"/>
        <v/>
      </c>
      <c r="AI434" s="314">
        <v>1</v>
      </c>
      <c r="AJ434" s="362">
        <v>1</v>
      </c>
      <c r="AN434" s="363"/>
      <c r="AO434" s="368"/>
      <c r="AP434" s="367"/>
      <c r="AQ434" s="367"/>
    </row>
    <row r="435" spans="1:43" s="69" customFormat="1" ht="39" x14ac:dyDescent="0.3">
      <c r="A435" s="55" t="s">
        <v>1009</v>
      </c>
      <c r="B435" s="53" t="s">
        <v>1010</v>
      </c>
      <c r="C435" s="54" t="s">
        <v>14</v>
      </c>
      <c r="D435" s="75">
        <v>1</v>
      </c>
      <c r="E435" s="75"/>
      <c r="F435" s="75"/>
      <c r="G435" s="75"/>
      <c r="H435" s="161"/>
      <c r="I435" s="158"/>
      <c r="J435" s="166">
        <v>711302</v>
      </c>
      <c r="K435" s="75">
        <v>711302</v>
      </c>
      <c r="L435" s="91" t="s">
        <v>1011</v>
      </c>
      <c r="M435" s="73"/>
      <c r="N435" s="46">
        <v>0.4</v>
      </c>
      <c r="O435" s="46">
        <v>142260.4</v>
      </c>
      <c r="P435" s="46">
        <v>284520.8</v>
      </c>
      <c r="Q435" s="98"/>
      <c r="R435" s="23" t="s">
        <v>1421</v>
      </c>
      <c r="S435" s="24" t="s">
        <v>1010</v>
      </c>
      <c r="T435" s="25" t="s">
        <v>14</v>
      </c>
      <c r="U435" s="26">
        <v>1</v>
      </c>
      <c r="V435" s="26">
        <f t="shared" ref="V435:V463" si="134">IF(I435&gt;0,I435,IF(H435&gt;0,H435,IF(G435&gt;0,G435,IF(F435&gt;0,F435,IF(E435&gt;0,E435,D435)))))</f>
        <v>1</v>
      </c>
      <c r="W435" s="26">
        <f t="shared" si="103"/>
        <v>711302</v>
      </c>
      <c r="X435" s="199">
        <f>AI435-N435</f>
        <v>0.19999999999999996</v>
      </c>
      <c r="Y435" s="26">
        <f t="shared" ref="Y435:Y515" si="135">X435+N435</f>
        <v>0.6</v>
      </c>
      <c r="Z435" s="26">
        <f t="shared" ref="Z435:Z463" si="136">AA435-P435</f>
        <v>142260.40000000002</v>
      </c>
      <c r="AA435" s="26">
        <f>ROUND(W435*Y435,2)</f>
        <v>426781.2</v>
      </c>
      <c r="AB435" s="33" t="s">
        <v>15</v>
      </c>
      <c r="AC435" s="324"/>
      <c r="AD435" s="181">
        <f t="shared" si="102"/>
        <v>1</v>
      </c>
      <c r="AE435" s="181">
        <f t="shared" ref="AE435:AE463" si="137">ROUND(W435*AD435,2)</f>
        <v>711302</v>
      </c>
      <c r="AF435" s="181">
        <v>2</v>
      </c>
      <c r="AG435" s="181">
        <v>2</v>
      </c>
      <c r="AH435" s="363" t="str">
        <f t="shared" si="100"/>
        <v/>
      </c>
      <c r="AI435" s="191">
        <v>0.6</v>
      </c>
      <c r="AJ435" s="188">
        <v>1</v>
      </c>
      <c r="AO435" s="367"/>
      <c r="AP435" s="367"/>
      <c r="AQ435" s="367"/>
    </row>
    <row r="436" spans="1:43" s="69" customFormat="1" ht="33" customHeight="1" x14ac:dyDescent="0.3">
      <c r="A436" s="55" t="s">
        <v>1012</v>
      </c>
      <c r="B436" s="53" t="s">
        <v>3153</v>
      </c>
      <c r="C436" s="54" t="s">
        <v>1014</v>
      </c>
      <c r="D436" s="75">
        <v>7</v>
      </c>
      <c r="E436" s="75"/>
      <c r="F436" s="75"/>
      <c r="G436" s="75"/>
      <c r="H436" s="224"/>
      <c r="I436" s="158"/>
      <c r="J436" s="166">
        <v>50000</v>
      </c>
      <c r="K436" s="75">
        <v>350000</v>
      </c>
      <c r="L436" s="91" t="s">
        <v>1015</v>
      </c>
      <c r="M436" s="73"/>
      <c r="N436" s="46">
        <v>1</v>
      </c>
      <c r="O436" s="46">
        <v>0</v>
      </c>
      <c r="P436" s="46">
        <v>50000</v>
      </c>
      <c r="Q436" s="98"/>
      <c r="R436" s="23" t="s">
        <v>1426</v>
      </c>
      <c r="S436" s="24" t="s">
        <v>1013</v>
      </c>
      <c r="T436" s="25" t="s">
        <v>1014</v>
      </c>
      <c r="U436" s="26">
        <v>7</v>
      </c>
      <c r="V436" s="26">
        <f t="shared" si="134"/>
        <v>7</v>
      </c>
      <c r="W436" s="26">
        <f t="shared" si="103"/>
        <v>50000</v>
      </c>
      <c r="X436" s="243">
        <f t="shared" ref="X436:X463" si="138">AI436-N436</f>
        <v>0</v>
      </c>
      <c r="Y436" s="26">
        <f t="shared" si="135"/>
        <v>1</v>
      </c>
      <c r="Z436" s="26">
        <f t="shared" si="136"/>
        <v>0</v>
      </c>
      <c r="AA436" s="26">
        <f t="shared" ref="AA436:AA463" si="139">ROUND(W436*Y436,2)</f>
        <v>50000</v>
      </c>
      <c r="AB436" s="33" t="s">
        <v>15</v>
      </c>
      <c r="AC436" s="324"/>
      <c r="AD436" s="181">
        <f t="shared" si="102"/>
        <v>7</v>
      </c>
      <c r="AE436" s="181">
        <f t="shared" si="137"/>
        <v>350000</v>
      </c>
      <c r="AF436" s="181">
        <v>2</v>
      </c>
      <c r="AG436" s="181">
        <v>2</v>
      </c>
      <c r="AH436" s="363" t="str">
        <f t="shared" si="100"/>
        <v/>
      </c>
      <c r="AI436" s="191">
        <f>1</f>
        <v>1</v>
      </c>
      <c r="AJ436" s="188">
        <v>7</v>
      </c>
      <c r="AO436" s="367"/>
      <c r="AP436" s="367"/>
      <c r="AQ436" s="367"/>
    </row>
    <row r="437" spans="1:43" s="69" customFormat="1" x14ac:dyDescent="0.3">
      <c r="A437" s="130" t="s">
        <v>1016</v>
      </c>
      <c r="B437" s="131" t="s">
        <v>1017</v>
      </c>
      <c r="C437" s="132" t="s">
        <v>50</v>
      </c>
      <c r="D437" s="133">
        <v>360</v>
      </c>
      <c r="E437" s="75"/>
      <c r="F437" s="133">
        <v>400</v>
      </c>
      <c r="G437" s="224"/>
      <c r="H437" s="235"/>
      <c r="I437" s="158"/>
      <c r="J437" s="166">
        <v>22500</v>
      </c>
      <c r="K437" s="75">
        <v>9000000</v>
      </c>
      <c r="L437" s="91" t="s">
        <v>1018</v>
      </c>
      <c r="M437" s="73"/>
      <c r="N437" s="46">
        <v>400</v>
      </c>
      <c r="O437" s="46">
        <v>0</v>
      </c>
      <c r="P437" s="46">
        <v>9000000</v>
      </c>
      <c r="Q437" s="98"/>
      <c r="R437" s="23" t="s">
        <v>1402</v>
      </c>
      <c r="S437" s="24" t="s">
        <v>1017</v>
      </c>
      <c r="T437" s="25" t="s">
        <v>50</v>
      </c>
      <c r="U437" s="26">
        <v>360</v>
      </c>
      <c r="V437" s="26">
        <f t="shared" si="134"/>
        <v>400</v>
      </c>
      <c r="W437" s="26">
        <f t="shared" si="103"/>
        <v>22500</v>
      </c>
      <c r="X437" s="127">
        <f t="shared" si="138"/>
        <v>0</v>
      </c>
      <c r="Y437" s="127">
        <f t="shared" si="135"/>
        <v>400</v>
      </c>
      <c r="Z437" s="127">
        <f t="shared" si="136"/>
        <v>0</v>
      </c>
      <c r="AA437" s="127">
        <f t="shared" si="139"/>
        <v>9000000</v>
      </c>
      <c r="AB437" s="27" t="s">
        <v>15</v>
      </c>
      <c r="AC437" s="324"/>
      <c r="AD437" s="181">
        <f t="shared" si="102"/>
        <v>400</v>
      </c>
      <c r="AE437" s="181">
        <f t="shared" si="137"/>
        <v>9000000</v>
      </c>
      <c r="AF437" s="181">
        <v>2</v>
      </c>
      <c r="AG437" s="181">
        <v>2</v>
      </c>
      <c r="AH437" s="363" t="str">
        <f t="shared" si="100"/>
        <v/>
      </c>
      <c r="AI437" s="190">
        <v>400</v>
      </c>
      <c r="AJ437" s="188">
        <v>400</v>
      </c>
      <c r="AO437" s="367"/>
      <c r="AP437" s="367"/>
      <c r="AQ437" s="367"/>
    </row>
    <row r="438" spans="1:43" s="69" customFormat="1" ht="82.5" x14ac:dyDescent="0.3">
      <c r="A438" s="55" t="s">
        <v>1019</v>
      </c>
      <c r="B438" s="138" t="s">
        <v>1020</v>
      </c>
      <c r="C438" s="54" t="s">
        <v>1021</v>
      </c>
      <c r="D438" s="75">
        <v>730</v>
      </c>
      <c r="E438" s="75">
        <v>910</v>
      </c>
      <c r="F438" s="161">
        <v>3650</v>
      </c>
      <c r="G438" s="235"/>
      <c r="H438" s="235"/>
      <c r="I438" s="158"/>
      <c r="J438" s="166">
        <v>806</v>
      </c>
      <c r="K438" s="75">
        <v>2941900</v>
      </c>
      <c r="L438" s="91" t="s">
        <v>1022</v>
      </c>
      <c r="M438" s="73"/>
      <c r="N438" s="46">
        <v>2529</v>
      </c>
      <c r="O438" s="46">
        <v>72540</v>
      </c>
      <c r="P438" s="46">
        <v>2038374</v>
      </c>
      <c r="Q438" s="98"/>
      <c r="R438" s="23" t="s">
        <v>1373</v>
      </c>
      <c r="S438" s="24" t="s">
        <v>1020</v>
      </c>
      <c r="T438" s="25" t="s">
        <v>1021</v>
      </c>
      <c r="U438" s="26">
        <v>730</v>
      </c>
      <c r="V438" s="26">
        <f t="shared" si="134"/>
        <v>3650</v>
      </c>
      <c r="W438" s="26">
        <f t="shared" si="103"/>
        <v>806</v>
      </c>
      <c r="X438" s="250">
        <f t="shared" si="138"/>
        <v>93</v>
      </c>
      <c r="Y438" s="26">
        <f t="shared" si="135"/>
        <v>2622</v>
      </c>
      <c r="Z438" s="26">
        <f t="shared" si="136"/>
        <v>74958</v>
      </c>
      <c r="AA438" s="26">
        <f t="shared" si="139"/>
        <v>2113332</v>
      </c>
      <c r="AB438" s="27" t="s">
        <v>15</v>
      </c>
      <c r="AC438" s="324"/>
      <c r="AD438" s="181">
        <f t="shared" si="102"/>
        <v>3650</v>
      </c>
      <c r="AE438" s="181">
        <f t="shared" si="137"/>
        <v>2941900</v>
      </c>
      <c r="AF438" s="181">
        <v>2</v>
      </c>
      <c r="AG438" s="181">
        <v>2</v>
      </c>
      <c r="AH438" s="363" t="str">
        <f t="shared" si="100"/>
        <v/>
      </c>
      <c r="AI438" s="191">
        <f>2070+93+93+90+93+90+93</f>
        <v>2622</v>
      </c>
      <c r="AJ438" s="188">
        <v>3650</v>
      </c>
      <c r="AO438" s="367"/>
      <c r="AP438" s="367"/>
      <c r="AQ438" s="367"/>
    </row>
    <row r="439" spans="1:43" s="69" customFormat="1" ht="33" customHeight="1" x14ac:dyDescent="0.3">
      <c r="A439" s="130" t="s">
        <v>1023</v>
      </c>
      <c r="B439" s="131" t="s">
        <v>1024</v>
      </c>
      <c r="C439" s="132" t="s">
        <v>1014</v>
      </c>
      <c r="D439" s="133">
        <v>2</v>
      </c>
      <c r="E439" s="75">
        <v>4</v>
      </c>
      <c r="F439" s="162">
        <v>5</v>
      </c>
      <c r="G439" s="235"/>
      <c r="H439" s="235"/>
      <c r="I439" s="158"/>
      <c r="J439" s="166">
        <v>50000</v>
      </c>
      <c r="K439" s="75">
        <v>250000</v>
      </c>
      <c r="L439" s="91" t="s">
        <v>1025</v>
      </c>
      <c r="M439" s="73"/>
      <c r="N439" s="46">
        <v>5</v>
      </c>
      <c r="O439" s="46">
        <v>0</v>
      </c>
      <c r="P439" s="46">
        <v>250000</v>
      </c>
      <c r="Q439" s="98"/>
      <c r="R439" s="23" t="s">
        <v>1393</v>
      </c>
      <c r="S439" s="24" t="s">
        <v>1024</v>
      </c>
      <c r="T439" s="25" t="s">
        <v>1014</v>
      </c>
      <c r="U439" s="26">
        <v>2</v>
      </c>
      <c r="V439" s="26">
        <f t="shared" si="134"/>
        <v>5</v>
      </c>
      <c r="W439" s="26">
        <f t="shared" si="103"/>
        <v>50000</v>
      </c>
      <c r="X439" s="127">
        <f t="shared" si="138"/>
        <v>0</v>
      </c>
      <c r="Y439" s="127">
        <f t="shared" si="135"/>
        <v>5</v>
      </c>
      <c r="Z439" s="127">
        <f t="shared" si="136"/>
        <v>0</v>
      </c>
      <c r="AA439" s="127">
        <f t="shared" si="139"/>
        <v>250000</v>
      </c>
      <c r="AB439" s="27" t="s">
        <v>15</v>
      </c>
      <c r="AC439" s="324"/>
      <c r="AD439" s="181">
        <f t="shared" si="102"/>
        <v>5</v>
      </c>
      <c r="AE439" s="181">
        <f t="shared" si="137"/>
        <v>250000</v>
      </c>
      <c r="AF439" s="181">
        <v>2</v>
      </c>
      <c r="AG439" s="181">
        <v>2</v>
      </c>
      <c r="AH439" s="363" t="str">
        <f t="shared" si="100"/>
        <v/>
      </c>
      <c r="AI439" s="190">
        <v>5</v>
      </c>
      <c r="AJ439" s="188">
        <v>5</v>
      </c>
      <c r="AO439" s="367"/>
      <c r="AP439" s="367"/>
      <c r="AQ439" s="367"/>
    </row>
    <row r="440" spans="1:43" s="69" customFormat="1" ht="36.75" customHeight="1" x14ac:dyDescent="0.3">
      <c r="A440" s="55" t="s">
        <v>1026</v>
      </c>
      <c r="B440" s="53" t="s">
        <v>1027</v>
      </c>
      <c r="C440" s="54" t="s">
        <v>1028</v>
      </c>
      <c r="D440" s="75">
        <v>24</v>
      </c>
      <c r="E440" s="75"/>
      <c r="F440" s="161"/>
      <c r="G440" s="235"/>
      <c r="H440" s="235"/>
      <c r="I440" s="341">
        <v>28</v>
      </c>
      <c r="J440" s="166">
        <v>180000</v>
      </c>
      <c r="K440" s="75">
        <v>5040000</v>
      </c>
      <c r="L440" s="91" t="s">
        <v>1029</v>
      </c>
      <c r="M440" s="73"/>
      <c r="N440" s="46">
        <v>23</v>
      </c>
      <c r="O440" s="46">
        <v>180000</v>
      </c>
      <c r="P440" s="46">
        <v>4140000</v>
      </c>
      <c r="Q440" s="98"/>
      <c r="R440" s="23" t="s">
        <v>1403</v>
      </c>
      <c r="S440" s="24" t="s">
        <v>1027</v>
      </c>
      <c r="T440" s="25" t="s">
        <v>1028</v>
      </c>
      <c r="U440" s="26">
        <v>24</v>
      </c>
      <c r="V440" s="26">
        <f t="shared" si="134"/>
        <v>28</v>
      </c>
      <c r="W440" s="26">
        <f t="shared" si="103"/>
        <v>180000</v>
      </c>
      <c r="X440" s="250">
        <f t="shared" si="138"/>
        <v>1</v>
      </c>
      <c r="Y440" s="26">
        <f t="shared" si="135"/>
        <v>24</v>
      </c>
      <c r="Z440" s="26">
        <f t="shared" si="136"/>
        <v>180000</v>
      </c>
      <c r="AA440" s="26">
        <f t="shared" si="139"/>
        <v>4320000</v>
      </c>
      <c r="AB440" s="33" t="s">
        <v>15</v>
      </c>
      <c r="AC440" s="324"/>
      <c r="AD440" s="181">
        <f t="shared" si="102"/>
        <v>28</v>
      </c>
      <c r="AE440" s="181">
        <f t="shared" si="137"/>
        <v>5040000</v>
      </c>
      <c r="AF440" s="181">
        <v>2</v>
      </c>
      <c r="AG440" s="181">
        <v>2</v>
      </c>
      <c r="AH440" s="363" t="str">
        <f t="shared" si="100"/>
        <v/>
      </c>
      <c r="AI440" s="191">
        <f>17+1+1+1+1+1+1+1</f>
        <v>24</v>
      </c>
      <c r="AJ440" s="190">
        <v>28</v>
      </c>
      <c r="AO440" s="367"/>
      <c r="AP440" s="367"/>
      <c r="AQ440" s="367"/>
    </row>
    <row r="441" spans="1:43" s="69" customFormat="1" ht="34.5" customHeight="1" x14ac:dyDescent="0.3">
      <c r="A441" s="55" t="s">
        <v>1030</v>
      </c>
      <c r="B441" s="53" t="s">
        <v>1031</v>
      </c>
      <c r="C441" s="54" t="s">
        <v>14</v>
      </c>
      <c r="D441" s="75">
        <v>1</v>
      </c>
      <c r="E441" s="75"/>
      <c r="F441" s="161"/>
      <c r="G441" s="235"/>
      <c r="H441" s="235"/>
      <c r="I441" s="158"/>
      <c r="J441" s="166">
        <v>205982.81</v>
      </c>
      <c r="K441" s="75">
        <v>205982.81</v>
      </c>
      <c r="L441" s="91" t="s">
        <v>1032</v>
      </c>
      <c r="M441" s="73"/>
      <c r="N441" s="46">
        <v>0</v>
      </c>
      <c r="O441" s="46">
        <v>0</v>
      </c>
      <c r="P441" s="46">
        <v>0</v>
      </c>
      <c r="Q441" s="98"/>
      <c r="R441" s="23" t="s">
        <v>1427</v>
      </c>
      <c r="S441" s="24" t="s">
        <v>1031</v>
      </c>
      <c r="T441" s="25" t="s">
        <v>14</v>
      </c>
      <c r="U441" s="26">
        <v>1</v>
      </c>
      <c r="V441" s="26">
        <f t="shared" si="134"/>
        <v>1</v>
      </c>
      <c r="W441" s="26">
        <f t="shared" si="103"/>
        <v>205982.81</v>
      </c>
      <c r="X441" s="26">
        <f t="shared" si="138"/>
        <v>0</v>
      </c>
      <c r="Y441" s="26">
        <f t="shared" si="135"/>
        <v>0</v>
      </c>
      <c r="Z441" s="26">
        <f t="shared" si="136"/>
        <v>0</v>
      </c>
      <c r="AA441" s="26">
        <f t="shared" si="139"/>
        <v>0</v>
      </c>
      <c r="AB441" s="33" t="s">
        <v>15</v>
      </c>
      <c r="AC441" s="324"/>
      <c r="AD441" s="181">
        <f t="shared" si="102"/>
        <v>1</v>
      </c>
      <c r="AE441" s="181">
        <f t="shared" si="137"/>
        <v>205982.81</v>
      </c>
      <c r="AF441" s="181">
        <v>2</v>
      </c>
      <c r="AG441" s="181">
        <v>2</v>
      </c>
      <c r="AH441" s="363" t="str">
        <f t="shared" si="100"/>
        <v/>
      </c>
      <c r="AI441" s="190">
        <v>0</v>
      </c>
      <c r="AJ441" s="188">
        <v>1</v>
      </c>
      <c r="AO441" s="367"/>
      <c r="AP441" s="367"/>
      <c r="AQ441" s="367"/>
    </row>
    <row r="442" spans="1:43" s="69" customFormat="1" ht="33" customHeight="1" x14ac:dyDescent="0.3">
      <c r="A442" s="130" t="s">
        <v>1033</v>
      </c>
      <c r="B442" s="131" t="s">
        <v>1034</v>
      </c>
      <c r="C442" s="132" t="s">
        <v>14</v>
      </c>
      <c r="D442" s="133">
        <v>1</v>
      </c>
      <c r="E442" s="75"/>
      <c r="F442" s="161"/>
      <c r="G442" s="235"/>
      <c r="H442" s="235"/>
      <c r="I442" s="158"/>
      <c r="J442" s="166">
        <v>2425000</v>
      </c>
      <c r="K442" s="75">
        <v>2425000</v>
      </c>
      <c r="L442" s="91" t="s">
        <v>1035</v>
      </c>
      <c r="M442" s="73"/>
      <c r="N442" s="46">
        <v>1</v>
      </c>
      <c r="O442" s="46">
        <v>0</v>
      </c>
      <c r="P442" s="46">
        <v>2425000</v>
      </c>
      <c r="Q442" s="98"/>
      <c r="R442" s="23" t="s">
        <v>1428</v>
      </c>
      <c r="S442" s="24" t="s">
        <v>1034</v>
      </c>
      <c r="T442" s="25" t="s">
        <v>14</v>
      </c>
      <c r="U442" s="26">
        <v>1</v>
      </c>
      <c r="V442" s="26">
        <f t="shared" si="134"/>
        <v>1</v>
      </c>
      <c r="W442" s="26">
        <f t="shared" si="103"/>
        <v>2425000</v>
      </c>
      <c r="X442" s="127">
        <f t="shared" si="138"/>
        <v>0</v>
      </c>
      <c r="Y442" s="127">
        <f t="shared" si="135"/>
        <v>1</v>
      </c>
      <c r="Z442" s="127">
        <f t="shared" si="136"/>
        <v>0</v>
      </c>
      <c r="AA442" s="127">
        <f t="shared" si="139"/>
        <v>2425000</v>
      </c>
      <c r="AB442" s="33" t="s">
        <v>1499</v>
      </c>
      <c r="AC442" s="324"/>
      <c r="AD442" s="181">
        <f t="shared" si="102"/>
        <v>1</v>
      </c>
      <c r="AE442" s="181">
        <f t="shared" si="137"/>
        <v>2425000</v>
      </c>
      <c r="AF442" s="181">
        <v>2</v>
      </c>
      <c r="AG442" s="181">
        <v>2</v>
      </c>
      <c r="AH442" s="363" t="str">
        <f t="shared" si="100"/>
        <v/>
      </c>
      <c r="AI442" s="190">
        <v>1</v>
      </c>
      <c r="AJ442" s="188">
        <v>1</v>
      </c>
      <c r="AN442" s="363"/>
      <c r="AO442" s="368"/>
      <c r="AP442" s="367"/>
      <c r="AQ442" s="367"/>
    </row>
    <row r="443" spans="1:43" s="69" customFormat="1" ht="33" customHeight="1" x14ac:dyDescent="0.3">
      <c r="A443" s="55" t="s">
        <v>1036</v>
      </c>
      <c r="B443" s="53" t="s">
        <v>1037</v>
      </c>
      <c r="C443" s="54" t="s">
        <v>14</v>
      </c>
      <c r="D443" s="75">
        <v>1</v>
      </c>
      <c r="E443" s="75"/>
      <c r="F443" s="161"/>
      <c r="G443" s="235"/>
      <c r="H443" s="235"/>
      <c r="I443" s="158"/>
      <c r="J443" s="166">
        <v>350000</v>
      </c>
      <c r="K443" s="75">
        <v>350000</v>
      </c>
      <c r="L443" s="91" t="s">
        <v>1038</v>
      </c>
      <c r="M443" s="73"/>
      <c r="N443" s="46">
        <v>0.85</v>
      </c>
      <c r="O443" s="46">
        <v>0</v>
      </c>
      <c r="P443" s="46">
        <v>297500</v>
      </c>
      <c r="Q443" s="98"/>
      <c r="R443" s="23" t="s">
        <v>1387</v>
      </c>
      <c r="S443" s="24" t="s">
        <v>1037</v>
      </c>
      <c r="T443" s="25" t="s">
        <v>14</v>
      </c>
      <c r="U443" s="26">
        <v>1</v>
      </c>
      <c r="V443" s="26">
        <f t="shared" si="134"/>
        <v>1</v>
      </c>
      <c r="W443" s="26">
        <f t="shared" si="103"/>
        <v>350000</v>
      </c>
      <c r="X443" s="243">
        <f t="shared" si="138"/>
        <v>0</v>
      </c>
      <c r="Y443" s="26">
        <f t="shared" si="135"/>
        <v>0.85</v>
      </c>
      <c r="Z443" s="26">
        <f>AA443-P443</f>
        <v>0</v>
      </c>
      <c r="AA443" s="26">
        <f>ROUND(W443*Y443,2)</f>
        <v>297500</v>
      </c>
      <c r="AB443" s="33" t="s">
        <v>15</v>
      </c>
      <c r="AC443" s="324"/>
      <c r="AD443" s="181">
        <f t="shared" si="102"/>
        <v>1</v>
      </c>
      <c r="AE443" s="181">
        <f t="shared" si="137"/>
        <v>350000</v>
      </c>
      <c r="AF443" s="181">
        <v>2</v>
      </c>
      <c r="AG443" s="181">
        <v>2</v>
      </c>
      <c r="AH443" s="363" t="str">
        <f t="shared" si="100"/>
        <v/>
      </c>
      <c r="AI443" s="191">
        <v>0.85</v>
      </c>
      <c r="AJ443" s="188">
        <v>1</v>
      </c>
      <c r="AN443" s="70"/>
      <c r="AO443" s="367"/>
      <c r="AP443" s="367"/>
      <c r="AQ443" s="367"/>
    </row>
    <row r="444" spans="1:43" x14ac:dyDescent="0.3">
      <c r="A444" s="134" t="s">
        <v>1342</v>
      </c>
      <c r="B444" s="135" t="s">
        <v>1343</v>
      </c>
      <c r="C444" s="204" t="s">
        <v>50</v>
      </c>
      <c r="D444" s="133"/>
      <c r="E444" s="78"/>
      <c r="F444" s="348">
        <v>320</v>
      </c>
      <c r="G444" s="163"/>
      <c r="H444" s="163"/>
      <c r="I444" s="62"/>
      <c r="J444" s="167">
        <v>10869.24</v>
      </c>
      <c r="K444" s="62">
        <v>3478156.8</v>
      </c>
      <c r="L444" s="93"/>
      <c r="N444" s="46">
        <v>320</v>
      </c>
      <c r="O444" s="46">
        <v>0</v>
      </c>
      <c r="P444" s="46">
        <v>3478156.8</v>
      </c>
      <c r="Q444" s="98"/>
      <c r="R444" s="23" t="s">
        <v>1405</v>
      </c>
      <c r="S444" s="24" t="s">
        <v>1343</v>
      </c>
      <c r="T444" s="25" t="s">
        <v>50</v>
      </c>
      <c r="U444" s="26">
        <v>0</v>
      </c>
      <c r="V444" s="26">
        <f t="shared" si="134"/>
        <v>320</v>
      </c>
      <c r="W444" s="26">
        <f t="shared" si="103"/>
        <v>10869.24</v>
      </c>
      <c r="X444" s="127">
        <f t="shared" si="138"/>
        <v>0</v>
      </c>
      <c r="Y444" s="127">
        <f t="shared" si="135"/>
        <v>320</v>
      </c>
      <c r="Z444" s="127">
        <f t="shared" si="136"/>
        <v>0</v>
      </c>
      <c r="AA444" s="127">
        <f t="shared" si="139"/>
        <v>3478156.8</v>
      </c>
      <c r="AB444" s="27"/>
      <c r="AC444" s="324"/>
      <c r="AD444" s="181">
        <f t="shared" si="102"/>
        <v>320</v>
      </c>
      <c r="AE444" s="181">
        <f t="shared" si="137"/>
        <v>3478156.8</v>
      </c>
      <c r="AF444" s="181">
        <v>2</v>
      </c>
      <c r="AG444" s="181">
        <v>2</v>
      </c>
      <c r="AH444" s="363" t="str">
        <f t="shared" si="100"/>
        <v/>
      </c>
      <c r="AI444" s="194">
        <v>320</v>
      </c>
      <c r="AJ444" s="188">
        <v>320</v>
      </c>
      <c r="AN444" s="70"/>
      <c r="AO444" s="367"/>
      <c r="AP444" s="367"/>
      <c r="AQ444" s="367"/>
    </row>
    <row r="445" spans="1:43" x14ac:dyDescent="0.3">
      <c r="A445" s="144" t="s">
        <v>1344</v>
      </c>
      <c r="B445" s="145" t="s">
        <v>1345</v>
      </c>
      <c r="C445" s="206" t="s">
        <v>325</v>
      </c>
      <c r="D445" s="170"/>
      <c r="E445" s="147"/>
      <c r="F445" s="164">
        <v>2</v>
      </c>
      <c r="G445" s="163"/>
      <c r="H445" s="163"/>
      <c r="I445" s="346">
        <v>3</v>
      </c>
      <c r="J445" s="168">
        <v>60995.57</v>
      </c>
      <c r="K445" s="148">
        <v>182986.71</v>
      </c>
      <c r="L445" s="149"/>
      <c r="N445" s="46">
        <v>2</v>
      </c>
      <c r="O445" s="46">
        <v>0</v>
      </c>
      <c r="P445" s="46">
        <v>121991.14</v>
      </c>
      <c r="Q445" s="98"/>
      <c r="R445" s="23" t="s">
        <v>1406</v>
      </c>
      <c r="S445" s="24" t="s">
        <v>1345</v>
      </c>
      <c r="T445" s="25" t="s">
        <v>325</v>
      </c>
      <c r="U445" s="26">
        <v>0</v>
      </c>
      <c r="V445" s="26">
        <f t="shared" si="134"/>
        <v>3</v>
      </c>
      <c r="W445" s="26">
        <f t="shared" si="103"/>
        <v>60995.57</v>
      </c>
      <c r="X445" s="243">
        <f t="shared" si="138"/>
        <v>1</v>
      </c>
      <c r="Y445" s="127">
        <f t="shared" si="135"/>
        <v>3</v>
      </c>
      <c r="Z445" s="127">
        <f t="shared" si="136"/>
        <v>60995.569999999992</v>
      </c>
      <c r="AA445" s="127">
        <f t="shared" si="139"/>
        <v>182986.71</v>
      </c>
      <c r="AB445" s="27"/>
      <c r="AC445" s="324"/>
      <c r="AD445" s="181">
        <f t="shared" si="102"/>
        <v>3</v>
      </c>
      <c r="AE445" s="181">
        <f t="shared" si="137"/>
        <v>182986.71</v>
      </c>
      <c r="AF445" s="181">
        <v>2</v>
      </c>
      <c r="AG445" s="181">
        <v>2</v>
      </c>
      <c r="AH445" s="363" t="str">
        <f t="shared" si="100"/>
        <v/>
      </c>
      <c r="AI445" s="193">
        <f>2+1</f>
        <v>3</v>
      </c>
      <c r="AJ445" s="190">
        <v>3</v>
      </c>
      <c r="AN445" s="70"/>
      <c r="AO445" s="367"/>
      <c r="AP445" s="367"/>
      <c r="AQ445" s="367"/>
    </row>
    <row r="446" spans="1:43" ht="39" x14ac:dyDescent="0.3">
      <c r="A446" s="207" t="s">
        <v>3072</v>
      </c>
      <c r="B446" s="208" t="s">
        <v>3073</v>
      </c>
      <c r="C446" s="204" t="s">
        <v>97</v>
      </c>
      <c r="D446" s="171"/>
      <c r="E446" s="158"/>
      <c r="F446" s="165"/>
      <c r="G446" s="219">
        <v>220</v>
      </c>
      <c r="H446" s="317"/>
      <c r="I446" s="159"/>
      <c r="J446" s="169">
        <v>1159.82</v>
      </c>
      <c r="K446" s="159">
        <v>255160.4</v>
      </c>
      <c r="L446" s="172"/>
      <c r="N446" s="46">
        <v>220</v>
      </c>
      <c r="O446" s="46">
        <v>0</v>
      </c>
      <c r="P446" s="46">
        <v>255160.4</v>
      </c>
      <c r="Q446" s="98"/>
      <c r="R446" s="23" t="s">
        <v>1414</v>
      </c>
      <c r="S446" s="24" t="s">
        <v>3073</v>
      </c>
      <c r="T446" s="25" t="s">
        <v>97</v>
      </c>
      <c r="U446" s="26"/>
      <c r="V446" s="26">
        <f t="shared" si="134"/>
        <v>220</v>
      </c>
      <c r="W446" s="169">
        <f t="shared" si="103"/>
        <v>1159.82</v>
      </c>
      <c r="X446" s="127">
        <f t="shared" si="138"/>
        <v>0</v>
      </c>
      <c r="Y446" s="127">
        <f>X446+N446</f>
        <v>220</v>
      </c>
      <c r="Z446" s="127">
        <f t="shared" si="136"/>
        <v>0</v>
      </c>
      <c r="AA446" s="127">
        <f t="shared" si="139"/>
        <v>255160.4</v>
      </c>
      <c r="AB446" s="27"/>
      <c r="AC446" s="324"/>
      <c r="AD446" s="200">
        <f t="shared" si="102"/>
        <v>220</v>
      </c>
      <c r="AE446" s="181">
        <f t="shared" si="137"/>
        <v>255160.4</v>
      </c>
      <c r="AF446" s="181">
        <v>2</v>
      </c>
      <c r="AG446" s="181">
        <v>2</v>
      </c>
      <c r="AH446" s="363"/>
      <c r="AI446" s="190">
        <v>220</v>
      </c>
      <c r="AJ446" s="188">
        <v>220</v>
      </c>
      <c r="AN446" s="70"/>
      <c r="AO446" s="367"/>
      <c r="AP446" s="367"/>
      <c r="AQ446" s="367"/>
    </row>
    <row r="447" spans="1:43" ht="39" x14ac:dyDescent="0.3">
      <c r="A447" s="207" t="s">
        <v>3074</v>
      </c>
      <c r="B447" s="208" t="s">
        <v>3075</v>
      </c>
      <c r="C447" s="204" t="s">
        <v>97</v>
      </c>
      <c r="D447" s="171"/>
      <c r="E447" s="158"/>
      <c r="F447" s="165"/>
      <c r="G447" s="219">
        <v>264.5</v>
      </c>
      <c r="H447" s="317"/>
      <c r="I447" s="159"/>
      <c r="J447" s="169">
        <v>689.89</v>
      </c>
      <c r="K447" s="159">
        <v>182475.91</v>
      </c>
      <c r="L447" s="172"/>
      <c r="N447" s="46">
        <v>264.5</v>
      </c>
      <c r="O447" s="46">
        <v>0</v>
      </c>
      <c r="P447" s="46">
        <v>182475.91</v>
      </c>
      <c r="Q447" s="98"/>
      <c r="R447" s="23" t="s">
        <v>1429</v>
      </c>
      <c r="S447" s="24" t="s">
        <v>3075</v>
      </c>
      <c r="T447" s="25" t="s">
        <v>97</v>
      </c>
      <c r="U447" s="26"/>
      <c r="V447" s="26">
        <f t="shared" si="134"/>
        <v>264.5</v>
      </c>
      <c r="W447" s="169">
        <f t="shared" si="103"/>
        <v>689.89</v>
      </c>
      <c r="X447" s="127">
        <f t="shared" si="138"/>
        <v>0</v>
      </c>
      <c r="Y447" s="127">
        <f t="shared" ref="Y447:Y463" si="140">X447+N447</f>
        <v>264.5</v>
      </c>
      <c r="Z447" s="127">
        <f t="shared" si="136"/>
        <v>0</v>
      </c>
      <c r="AA447" s="127">
        <f t="shared" si="139"/>
        <v>182475.91</v>
      </c>
      <c r="AB447" s="27"/>
      <c r="AC447" s="324"/>
      <c r="AD447" s="200">
        <f t="shared" si="102"/>
        <v>264.5</v>
      </c>
      <c r="AE447" s="181">
        <f t="shared" si="137"/>
        <v>182475.91</v>
      </c>
      <c r="AF447" s="181">
        <v>2</v>
      </c>
      <c r="AG447" s="181">
        <v>2</v>
      </c>
      <c r="AH447" s="363"/>
      <c r="AI447" s="190">
        <v>264.5</v>
      </c>
      <c r="AJ447" s="188">
        <v>264.5</v>
      </c>
      <c r="AN447" s="70"/>
      <c r="AO447" s="367"/>
      <c r="AP447" s="367"/>
      <c r="AQ447" s="367"/>
    </row>
    <row r="448" spans="1:43" ht="49.5" x14ac:dyDescent="0.3">
      <c r="A448" s="207" t="s">
        <v>3076</v>
      </c>
      <c r="B448" s="241" t="s">
        <v>3077</v>
      </c>
      <c r="C448" s="204" t="s">
        <v>97</v>
      </c>
      <c r="D448" s="171"/>
      <c r="E448" s="158"/>
      <c r="F448" s="165"/>
      <c r="G448" s="219">
        <v>218.5</v>
      </c>
      <c r="H448" s="317"/>
      <c r="I448" s="159"/>
      <c r="J448" s="169">
        <v>899.86</v>
      </c>
      <c r="K448" s="159">
        <v>196619.41</v>
      </c>
      <c r="L448" s="172"/>
      <c r="N448" s="46">
        <v>218.5</v>
      </c>
      <c r="O448" s="46">
        <v>0</v>
      </c>
      <c r="P448" s="46">
        <v>196619.41</v>
      </c>
      <c r="Q448" s="98"/>
      <c r="R448" s="23" t="s">
        <v>1430</v>
      </c>
      <c r="S448" s="24" t="s">
        <v>3077</v>
      </c>
      <c r="T448" s="25" t="s">
        <v>97</v>
      </c>
      <c r="U448" s="26"/>
      <c r="V448" s="26">
        <f t="shared" si="134"/>
        <v>218.5</v>
      </c>
      <c r="W448" s="169">
        <f t="shared" si="103"/>
        <v>899.86</v>
      </c>
      <c r="X448" s="127">
        <f t="shared" si="138"/>
        <v>0</v>
      </c>
      <c r="Y448" s="127">
        <f t="shared" si="140"/>
        <v>218.5</v>
      </c>
      <c r="Z448" s="127">
        <f t="shared" si="136"/>
        <v>0</v>
      </c>
      <c r="AA448" s="127">
        <f t="shared" si="139"/>
        <v>196619.41</v>
      </c>
      <c r="AB448" s="27"/>
      <c r="AC448" s="324"/>
      <c r="AD448" s="200">
        <f t="shared" si="102"/>
        <v>218.5</v>
      </c>
      <c r="AE448" s="181">
        <f t="shared" si="137"/>
        <v>196619.41</v>
      </c>
      <c r="AF448" s="181">
        <v>2</v>
      </c>
      <c r="AG448" s="181">
        <v>2</v>
      </c>
      <c r="AH448" s="363"/>
      <c r="AI448" s="190">
        <v>218.5</v>
      </c>
      <c r="AJ448" s="188">
        <v>218.5</v>
      </c>
      <c r="AN448" s="70"/>
      <c r="AO448" s="367"/>
      <c r="AP448" s="367"/>
      <c r="AQ448" s="367"/>
    </row>
    <row r="449" spans="1:43" ht="58.5" x14ac:dyDescent="0.3">
      <c r="A449" s="207" t="s">
        <v>3078</v>
      </c>
      <c r="B449" s="208" t="s">
        <v>3292</v>
      </c>
      <c r="C449" s="204" t="s">
        <v>97</v>
      </c>
      <c r="D449" s="171"/>
      <c r="E449" s="158"/>
      <c r="F449" s="165"/>
      <c r="G449" s="219">
        <v>87.5</v>
      </c>
      <c r="H449" s="317"/>
      <c r="I449" s="159"/>
      <c r="J449" s="169">
        <v>1499.76</v>
      </c>
      <c r="K449" s="159">
        <v>131229</v>
      </c>
      <c r="L449" s="172"/>
      <c r="N449" s="46">
        <v>87.5</v>
      </c>
      <c r="O449" s="46">
        <v>0</v>
      </c>
      <c r="P449" s="46">
        <v>131229</v>
      </c>
      <c r="Q449" s="98"/>
      <c r="R449" s="23" t="s">
        <v>1431</v>
      </c>
      <c r="S449" s="24" t="s">
        <v>3079</v>
      </c>
      <c r="T449" s="25" t="s">
        <v>97</v>
      </c>
      <c r="U449" s="26"/>
      <c r="V449" s="26">
        <f t="shared" si="134"/>
        <v>87.5</v>
      </c>
      <c r="W449" s="169">
        <f t="shared" si="103"/>
        <v>1499.76</v>
      </c>
      <c r="X449" s="127">
        <f t="shared" si="138"/>
        <v>0</v>
      </c>
      <c r="Y449" s="127">
        <f t="shared" si="140"/>
        <v>87.5</v>
      </c>
      <c r="Z449" s="127">
        <f t="shared" si="136"/>
        <v>0</v>
      </c>
      <c r="AA449" s="127">
        <f t="shared" si="139"/>
        <v>131229</v>
      </c>
      <c r="AB449" s="27"/>
      <c r="AC449" s="324"/>
      <c r="AD449" s="200">
        <f t="shared" si="102"/>
        <v>87.5</v>
      </c>
      <c r="AE449" s="181">
        <f t="shared" si="137"/>
        <v>131229</v>
      </c>
      <c r="AF449" s="181">
        <v>2</v>
      </c>
      <c r="AG449" s="181">
        <v>2</v>
      </c>
      <c r="AH449" s="363"/>
      <c r="AI449" s="190">
        <v>87.5</v>
      </c>
      <c r="AJ449" s="188">
        <v>87.5</v>
      </c>
      <c r="AN449" s="70"/>
      <c r="AO449" s="367"/>
      <c r="AP449" s="367"/>
      <c r="AQ449" s="367"/>
    </row>
    <row r="450" spans="1:43" ht="39" x14ac:dyDescent="0.3">
      <c r="A450" s="207" t="s">
        <v>3080</v>
      </c>
      <c r="B450" s="208" t="s">
        <v>3081</v>
      </c>
      <c r="C450" s="204" t="s">
        <v>97</v>
      </c>
      <c r="D450" s="171"/>
      <c r="E450" s="158"/>
      <c r="F450" s="159"/>
      <c r="G450" s="219">
        <v>144.5</v>
      </c>
      <c r="H450" s="165"/>
      <c r="I450" s="159"/>
      <c r="J450" s="169">
        <v>1419.78</v>
      </c>
      <c r="K450" s="159">
        <v>205158.21</v>
      </c>
      <c r="L450" s="172"/>
      <c r="N450" s="46">
        <v>144.5</v>
      </c>
      <c r="O450" s="46">
        <v>0</v>
      </c>
      <c r="P450" s="46">
        <v>205158.21</v>
      </c>
      <c r="Q450" s="98"/>
      <c r="R450" s="23" t="s">
        <v>1395</v>
      </c>
      <c r="S450" s="24" t="s">
        <v>3081</v>
      </c>
      <c r="T450" s="25" t="s">
        <v>97</v>
      </c>
      <c r="U450" s="26"/>
      <c r="V450" s="26">
        <f t="shared" si="134"/>
        <v>144.5</v>
      </c>
      <c r="W450" s="158">
        <f t="shared" si="103"/>
        <v>1419.78</v>
      </c>
      <c r="X450" s="127">
        <f t="shared" si="138"/>
        <v>0</v>
      </c>
      <c r="Y450" s="127">
        <f t="shared" si="140"/>
        <v>144.5</v>
      </c>
      <c r="Z450" s="127">
        <f t="shared" si="136"/>
        <v>0</v>
      </c>
      <c r="AA450" s="127">
        <f t="shared" si="139"/>
        <v>205158.21</v>
      </c>
      <c r="AB450" s="27"/>
      <c r="AC450" s="324"/>
      <c r="AD450" s="200">
        <f t="shared" si="102"/>
        <v>144.5</v>
      </c>
      <c r="AE450" s="181">
        <f t="shared" si="137"/>
        <v>205158.21</v>
      </c>
      <c r="AF450" s="181">
        <v>2</v>
      </c>
      <c r="AG450" s="181">
        <v>2</v>
      </c>
      <c r="AH450" s="363"/>
      <c r="AI450" s="190">
        <v>144.5</v>
      </c>
      <c r="AJ450" s="188">
        <v>144.5</v>
      </c>
      <c r="AN450" s="70"/>
      <c r="AO450" s="367"/>
      <c r="AP450" s="367"/>
      <c r="AQ450" s="367"/>
    </row>
    <row r="451" spans="1:43" ht="39" x14ac:dyDescent="0.3">
      <c r="A451" s="207" t="s">
        <v>3082</v>
      </c>
      <c r="B451" s="208" t="s">
        <v>3291</v>
      </c>
      <c r="C451" s="204" t="s">
        <v>97</v>
      </c>
      <c r="D451" s="171"/>
      <c r="E451" s="158"/>
      <c r="F451" s="159"/>
      <c r="G451" s="219">
        <v>27</v>
      </c>
      <c r="H451" s="165"/>
      <c r="I451" s="159"/>
      <c r="J451" s="169">
        <v>2999.53</v>
      </c>
      <c r="K451" s="159">
        <v>80987.31</v>
      </c>
      <c r="L451" s="172"/>
      <c r="N451" s="46">
        <v>27</v>
      </c>
      <c r="O451" s="46">
        <v>0</v>
      </c>
      <c r="P451" s="46">
        <v>80987.31</v>
      </c>
      <c r="Q451" s="98"/>
      <c r="R451" s="23" t="s">
        <v>1432</v>
      </c>
      <c r="S451" s="24" t="s">
        <v>3083</v>
      </c>
      <c r="T451" s="25" t="s">
        <v>97</v>
      </c>
      <c r="U451" s="26"/>
      <c r="V451" s="26">
        <f t="shared" si="134"/>
        <v>27</v>
      </c>
      <c r="W451" s="158">
        <f t="shared" si="103"/>
        <v>2999.53</v>
      </c>
      <c r="X451" s="127">
        <f t="shared" si="138"/>
        <v>0</v>
      </c>
      <c r="Y451" s="127">
        <f t="shared" si="140"/>
        <v>27</v>
      </c>
      <c r="Z451" s="127">
        <f t="shared" si="136"/>
        <v>0</v>
      </c>
      <c r="AA451" s="127">
        <f t="shared" si="139"/>
        <v>80987.31</v>
      </c>
      <c r="AB451" s="27"/>
      <c r="AC451" s="324"/>
      <c r="AD451" s="200">
        <f t="shared" si="102"/>
        <v>27</v>
      </c>
      <c r="AE451" s="181">
        <f t="shared" si="137"/>
        <v>80987.31</v>
      </c>
      <c r="AF451" s="181">
        <v>2</v>
      </c>
      <c r="AG451" s="181">
        <v>2</v>
      </c>
      <c r="AH451" s="363"/>
      <c r="AI451" s="190">
        <v>27</v>
      </c>
      <c r="AJ451" s="188">
        <v>27</v>
      </c>
      <c r="AN451" s="70"/>
      <c r="AO451" s="367"/>
      <c r="AP451" s="367"/>
      <c r="AQ451" s="367"/>
    </row>
    <row r="452" spans="1:43" ht="39" x14ac:dyDescent="0.3">
      <c r="A452" s="207" t="s">
        <v>3084</v>
      </c>
      <c r="B452" s="208" t="s">
        <v>3085</v>
      </c>
      <c r="C452" s="204" t="s">
        <v>97</v>
      </c>
      <c r="D452" s="171"/>
      <c r="E452" s="158"/>
      <c r="F452" s="159"/>
      <c r="G452" s="219">
        <v>28</v>
      </c>
      <c r="H452" s="159"/>
      <c r="I452" s="159"/>
      <c r="J452" s="158">
        <v>1364.78</v>
      </c>
      <c r="K452" s="159">
        <v>38213.839999999997</v>
      </c>
      <c r="L452" s="172"/>
      <c r="N452" s="46">
        <v>28</v>
      </c>
      <c r="O452" s="46">
        <v>0</v>
      </c>
      <c r="P452" s="46">
        <v>38213.839999999997</v>
      </c>
      <c r="Q452" s="98"/>
      <c r="R452" s="23" t="s">
        <v>1433</v>
      </c>
      <c r="S452" s="24" t="s">
        <v>3085</v>
      </c>
      <c r="T452" s="25" t="s">
        <v>97</v>
      </c>
      <c r="U452" s="26"/>
      <c r="V452" s="26">
        <f t="shared" si="134"/>
        <v>28</v>
      </c>
      <c r="W452" s="158">
        <f t="shared" si="103"/>
        <v>1364.78</v>
      </c>
      <c r="X452" s="127">
        <f t="shared" si="138"/>
        <v>0</v>
      </c>
      <c r="Y452" s="127">
        <f t="shared" si="140"/>
        <v>28</v>
      </c>
      <c r="Z452" s="127">
        <f t="shared" si="136"/>
        <v>0</v>
      </c>
      <c r="AA452" s="127">
        <f t="shared" si="139"/>
        <v>38213.839999999997</v>
      </c>
      <c r="AB452" s="27"/>
      <c r="AC452" s="324"/>
      <c r="AD452" s="200">
        <f t="shared" si="102"/>
        <v>28</v>
      </c>
      <c r="AE452" s="181">
        <f t="shared" si="137"/>
        <v>38213.839999999997</v>
      </c>
      <c r="AF452" s="181">
        <v>2</v>
      </c>
      <c r="AG452" s="181">
        <v>2</v>
      </c>
      <c r="AH452" s="363"/>
      <c r="AI452" s="190">
        <v>28</v>
      </c>
      <c r="AJ452" s="188">
        <v>28</v>
      </c>
      <c r="AN452" s="70"/>
      <c r="AO452" s="367"/>
      <c r="AP452" s="367"/>
      <c r="AQ452" s="367"/>
    </row>
    <row r="453" spans="1:43" ht="58.5" x14ac:dyDescent="0.3">
      <c r="A453" s="207" t="s">
        <v>3086</v>
      </c>
      <c r="B453" s="208" t="s">
        <v>3087</v>
      </c>
      <c r="C453" s="204" t="s">
        <v>97</v>
      </c>
      <c r="D453" s="171"/>
      <c r="E453" s="158"/>
      <c r="F453" s="159"/>
      <c r="G453" s="219">
        <v>156</v>
      </c>
      <c r="H453" s="159"/>
      <c r="I453" s="159"/>
      <c r="J453" s="158">
        <v>771.88</v>
      </c>
      <c r="K453" s="159">
        <v>120413.28</v>
      </c>
      <c r="L453" s="172"/>
      <c r="N453" s="46">
        <v>156</v>
      </c>
      <c r="O453" s="46">
        <v>0</v>
      </c>
      <c r="P453" s="46">
        <v>120413.28</v>
      </c>
      <c r="Q453" s="98"/>
      <c r="R453" s="23" t="s">
        <v>1382</v>
      </c>
      <c r="S453" s="24" t="s">
        <v>3087</v>
      </c>
      <c r="T453" s="25" t="s">
        <v>97</v>
      </c>
      <c r="U453" s="26"/>
      <c r="V453" s="26">
        <f t="shared" si="134"/>
        <v>156</v>
      </c>
      <c r="W453" s="158">
        <f t="shared" si="103"/>
        <v>771.88</v>
      </c>
      <c r="X453" s="127">
        <f t="shared" si="138"/>
        <v>0</v>
      </c>
      <c r="Y453" s="127">
        <f t="shared" si="140"/>
        <v>156</v>
      </c>
      <c r="Z453" s="127">
        <f t="shared" si="136"/>
        <v>0</v>
      </c>
      <c r="AA453" s="127">
        <f t="shared" si="139"/>
        <v>120413.28</v>
      </c>
      <c r="AB453" s="27"/>
      <c r="AC453" s="324"/>
      <c r="AD453" s="200">
        <f t="shared" si="102"/>
        <v>156</v>
      </c>
      <c r="AE453" s="181">
        <f t="shared" si="137"/>
        <v>120413.28</v>
      </c>
      <c r="AF453" s="181">
        <v>2</v>
      </c>
      <c r="AG453" s="181">
        <v>2</v>
      </c>
      <c r="AH453" s="363"/>
      <c r="AI453" s="190">
        <v>156</v>
      </c>
      <c r="AJ453" s="188">
        <v>156</v>
      </c>
      <c r="AN453" s="70"/>
      <c r="AO453" s="367"/>
      <c r="AP453" s="367"/>
      <c r="AQ453" s="367"/>
    </row>
    <row r="454" spans="1:43" ht="58.5" x14ac:dyDescent="0.3">
      <c r="A454" s="207" t="s">
        <v>3088</v>
      </c>
      <c r="B454" s="208" t="s">
        <v>3293</v>
      </c>
      <c r="C454" s="204" t="s">
        <v>97</v>
      </c>
      <c r="D454" s="171"/>
      <c r="E454" s="158"/>
      <c r="F454" s="159"/>
      <c r="G454" s="355">
        <v>1917</v>
      </c>
      <c r="H454" s="219"/>
      <c r="I454" s="219"/>
      <c r="J454" s="158">
        <v>400.94</v>
      </c>
      <c r="K454" s="159">
        <v>768601.98</v>
      </c>
      <c r="L454" s="172"/>
      <c r="N454" s="46">
        <v>1917</v>
      </c>
      <c r="O454" s="46">
        <v>0</v>
      </c>
      <c r="P454" s="46">
        <v>768601.98</v>
      </c>
      <c r="Q454" s="98"/>
      <c r="R454" s="23" t="s">
        <v>1434</v>
      </c>
      <c r="S454" s="24" t="s">
        <v>3089</v>
      </c>
      <c r="T454" s="25" t="s">
        <v>97</v>
      </c>
      <c r="U454" s="26"/>
      <c r="V454" s="26">
        <f t="shared" si="134"/>
        <v>1917</v>
      </c>
      <c r="W454" s="158">
        <f t="shared" si="103"/>
        <v>400.94</v>
      </c>
      <c r="X454" s="127">
        <f t="shared" si="138"/>
        <v>0</v>
      </c>
      <c r="Y454" s="127">
        <f t="shared" si="140"/>
        <v>1917</v>
      </c>
      <c r="Z454" s="127">
        <f t="shared" si="136"/>
        <v>0</v>
      </c>
      <c r="AA454" s="127">
        <f t="shared" si="139"/>
        <v>768601.98</v>
      </c>
      <c r="AB454" s="27"/>
      <c r="AC454" s="324"/>
      <c r="AD454" s="200">
        <f t="shared" si="102"/>
        <v>1917</v>
      </c>
      <c r="AE454" s="181">
        <f t="shared" si="137"/>
        <v>768601.98</v>
      </c>
      <c r="AF454" s="181">
        <v>2</v>
      </c>
      <c r="AG454" s="181">
        <v>2</v>
      </c>
      <c r="AH454" s="363"/>
      <c r="AI454" s="190">
        <v>1917</v>
      </c>
      <c r="AJ454" s="188">
        <v>1917</v>
      </c>
      <c r="AN454" s="70"/>
      <c r="AO454" s="367"/>
      <c r="AP454" s="367"/>
      <c r="AQ454" s="367"/>
    </row>
    <row r="455" spans="1:43" x14ac:dyDescent="0.3">
      <c r="A455" s="207" t="s">
        <v>3090</v>
      </c>
      <c r="B455" s="208" t="s">
        <v>3091</v>
      </c>
      <c r="C455" s="204" t="s">
        <v>97</v>
      </c>
      <c r="D455" s="171"/>
      <c r="E455" s="158"/>
      <c r="F455" s="159"/>
      <c r="G455" s="219">
        <v>380</v>
      </c>
      <c r="H455" s="159"/>
      <c r="I455" s="159"/>
      <c r="J455" s="158">
        <v>280.95999999999998</v>
      </c>
      <c r="K455" s="159">
        <v>106764.8</v>
      </c>
      <c r="L455" s="172"/>
      <c r="N455" s="46">
        <v>380</v>
      </c>
      <c r="O455" s="46">
        <v>0</v>
      </c>
      <c r="P455" s="46">
        <v>106764.8</v>
      </c>
      <c r="Q455" s="98"/>
      <c r="R455" s="23" t="s">
        <v>1388</v>
      </c>
      <c r="S455" s="24" t="s">
        <v>3091</v>
      </c>
      <c r="T455" s="25" t="s">
        <v>97</v>
      </c>
      <c r="U455" s="26"/>
      <c r="V455" s="26">
        <f t="shared" si="134"/>
        <v>380</v>
      </c>
      <c r="W455" s="158">
        <f t="shared" si="103"/>
        <v>280.95999999999998</v>
      </c>
      <c r="X455" s="127">
        <f t="shared" si="138"/>
        <v>0</v>
      </c>
      <c r="Y455" s="127">
        <f t="shared" si="140"/>
        <v>380</v>
      </c>
      <c r="Z455" s="127">
        <f t="shared" si="136"/>
        <v>0</v>
      </c>
      <c r="AA455" s="127">
        <f t="shared" si="139"/>
        <v>106764.8</v>
      </c>
      <c r="AB455" s="27"/>
      <c r="AC455" s="324"/>
      <c r="AD455" s="200">
        <f t="shared" si="102"/>
        <v>380</v>
      </c>
      <c r="AE455" s="181">
        <f t="shared" si="137"/>
        <v>106764.8</v>
      </c>
      <c r="AF455" s="181">
        <v>2</v>
      </c>
      <c r="AG455" s="181">
        <v>2</v>
      </c>
      <c r="AH455" s="363"/>
      <c r="AI455" s="190">
        <v>380</v>
      </c>
      <c r="AJ455" s="188">
        <v>380</v>
      </c>
      <c r="AN455" s="70"/>
      <c r="AO455" s="367"/>
      <c r="AP455" s="367"/>
      <c r="AQ455" s="367"/>
    </row>
    <row r="456" spans="1:43" ht="49.5" x14ac:dyDescent="0.3">
      <c r="A456" s="207" t="s">
        <v>3092</v>
      </c>
      <c r="B456" s="241" t="s">
        <v>3093</v>
      </c>
      <c r="C456" s="204" t="s">
        <v>97</v>
      </c>
      <c r="D456" s="171"/>
      <c r="E456" s="158"/>
      <c r="F456" s="159"/>
      <c r="G456" s="219">
        <v>660.5</v>
      </c>
      <c r="H456" s="159"/>
      <c r="I456" s="159"/>
      <c r="J456" s="158">
        <v>800.87</v>
      </c>
      <c r="K456" s="159">
        <v>528974.64</v>
      </c>
      <c r="L456" s="172"/>
      <c r="N456" s="46">
        <v>660.5</v>
      </c>
      <c r="O456" s="46">
        <v>0</v>
      </c>
      <c r="P456" s="46">
        <v>528974.64</v>
      </c>
      <c r="Q456" s="98"/>
      <c r="R456" s="23" t="s">
        <v>1389</v>
      </c>
      <c r="S456" s="24" t="s">
        <v>3093</v>
      </c>
      <c r="T456" s="25" t="s">
        <v>97</v>
      </c>
      <c r="U456" s="26"/>
      <c r="V456" s="26">
        <f t="shared" si="134"/>
        <v>660.5</v>
      </c>
      <c r="W456" s="158">
        <f t="shared" si="103"/>
        <v>800.87</v>
      </c>
      <c r="X456" s="127">
        <f t="shared" si="138"/>
        <v>0</v>
      </c>
      <c r="Y456" s="127">
        <f t="shared" si="140"/>
        <v>660.5</v>
      </c>
      <c r="Z456" s="127">
        <f t="shared" si="136"/>
        <v>0</v>
      </c>
      <c r="AA456" s="127">
        <f t="shared" si="139"/>
        <v>528974.64</v>
      </c>
      <c r="AB456" s="27"/>
      <c r="AC456" s="324"/>
      <c r="AD456" s="200">
        <f t="shared" si="102"/>
        <v>660.5</v>
      </c>
      <c r="AE456" s="181">
        <f t="shared" si="137"/>
        <v>528974.64</v>
      </c>
      <c r="AF456" s="181">
        <v>2</v>
      </c>
      <c r="AG456" s="181">
        <v>2</v>
      </c>
      <c r="AH456" s="363"/>
      <c r="AI456" s="190">
        <v>660.5</v>
      </c>
      <c r="AJ456" s="188">
        <v>660.5</v>
      </c>
      <c r="AN456" s="70"/>
      <c r="AO456" s="367"/>
      <c r="AP456" s="367"/>
      <c r="AQ456" s="367"/>
    </row>
    <row r="457" spans="1:43" ht="39" x14ac:dyDescent="0.3">
      <c r="A457" s="207" t="s">
        <v>3094</v>
      </c>
      <c r="B457" s="208" t="s">
        <v>3095</v>
      </c>
      <c r="C457" s="204" t="s">
        <v>97</v>
      </c>
      <c r="D457" s="171"/>
      <c r="E457" s="158"/>
      <c r="F457" s="159"/>
      <c r="G457" s="219">
        <v>288.5</v>
      </c>
      <c r="H457" s="159"/>
      <c r="I457" s="159"/>
      <c r="J457" s="158">
        <v>561.91</v>
      </c>
      <c r="K457" s="159">
        <v>162111.04000000001</v>
      </c>
      <c r="L457" s="172"/>
      <c r="N457" s="46">
        <v>288.5</v>
      </c>
      <c r="O457" s="46">
        <v>0</v>
      </c>
      <c r="P457" s="46">
        <v>162111.04000000001</v>
      </c>
      <c r="Q457" s="98"/>
      <c r="R457" s="23" t="s">
        <v>1390</v>
      </c>
      <c r="S457" s="24" t="s">
        <v>3095</v>
      </c>
      <c r="T457" s="25" t="s">
        <v>97</v>
      </c>
      <c r="U457" s="26"/>
      <c r="V457" s="26">
        <f t="shared" si="134"/>
        <v>288.5</v>
      </c>
      <c r="W457" s="158">
        <f t="shared" si="103"/>
        <v>561.91</v>
      </c>
      <c r="X457" s="127">
        <f t="shared" si="138"/>
        <v>0</v>
      </c>
      <c r="Y457" s="127">
        <f t="shared" si="140"/>
        <v>288.5</v>
      </c>
      <c r="Z457" s="127">
        <f t="shared" si="136"/>
        <v>0</v>
      </c>
      <c r="AA457" s="127">
        <f t="shared" si="139"/>
        <v>162111.04000000001</v>
      </c>
      <c r="AB457" s="27"/>
      <c r="AC457" s="324"/>
      <c r="AD457" s="200">
        <f t="shared" si="102"/>
        <v>288.5</v>
      </c>
      <c r="AE457" s="181">
        <f t="shared" si="137"/>
        <v>162111.04000000001</v>
      </c>
      <c r="AF457" s="181">
        <v>2</v>
      </c>
      <c r="AG457" s="181">
        <v>2</v>
      </c>
      <c r="AH457" s="363"/>
      <c r="AI457" s="190">
        <v>288.5</v>
      </c>
      <c r="AJ457" s="188">
        <v>288.5</v>
      </c>
      <c r="AN457" s="70"/>
      <c r="AO457" s="367"/>
      <c r="AP457" s="367"/>
      <c r="AQ457" s="367"/>
    </row>
    <row r="458" spans="1:43" ht="39" x14ac:dyDescent="0.3">
      <c r="A458" s="207" t="s">
        <v>3096</v>
      </c>
      <c r="B458" s="208" t="s">
        <v>3097</v>
      </c>
      <c r="C458" s="204" t="s">
        <v>97</v>
      </c>
      <c r="D458" s="171"/>
      <c r="E458" s="158"/>
      <c r="F458" s="159"/>
      <c r="G458" s="219">
        <v>438</v>
      </c>
      <c r="H458" s="159"/>
      <c r="I458" s="159"/>
      <c r="J458" s="158">
        <v>519.91999999999996</v>
      </c>
      <c r="K458" s="159">
        <v>227724.96</v>
      </c>
      <c r="L458" s="172"/>
      <c r="N458" s="46">
        <v>438</v>
      </c>
      <c r="O458" s="46">
        <v>0</v>
      </c>
      <c r="P458" s="46">
        <v>227724.96</v>
      </c>
      <c r="Q458" s="98"/>
      <c r="R458" s="23" t="s">
        <v>1391</v>
      </c>
      <c r="S458" s="24" t="s">
        <v>3097</v>
      </c>
      <c r="T458" s="25" t="s">
        <v>97</v>
      </c>
      <c r="U458" s="26"/>
      <c r="V458" s="26">
        <f t="shared" si="134"/>
        <v>438</v>
      </c>
      <c r="W458" s="158">
        <f t="shared" si="103"/>
        <v>519.91999999999996</v>
      </c>
      <c r="X458" s="127">
        <f t="shared" si="138"/>
        <v>0</v>
      </c>
      <c r="Y458" s="127">
        <f t="shared" si="140"/>
        <v>438</v>
      </c>
      <c r="Z458" s="127">
        <f t="shared" si="136"/>
        <v>0</v>
      </c>
      <c r="AA458" s="127">
        <f t="shared" si="139"/>
        <v>227724.96</v>
      </c>
      <c r="AB458" s="27"/>
      <c r="AC458" s="324"/>
      <c r="AD458" s="200">
        <f t="shared" ref="AD458:AD521" si="141">IF(V458=0,U458,V458)</f>
        <v>438</v>
      </c>
      <c r="AE458" s="181">
        <f t="shared" si="137"/>
        <v>227724.96</v>
      </c>
      <c r="AF458" s="181">
        <v>2</v>
      </c>
      <c r="AG458" s="181">
        <v>2</v>
      </c>
      <c r="AH458" s="363"/>
      <c r="AI458" s="190">
        <v>438</v>
      </c>
      <c r="AJ458" s="188">
        <v>438</v>
      </c>
      <c r="AN458" s="70"/>
      <c r="AO458" s="367"/>
      <c r="AP458" s="367"/>
      <c r="AQ458" s="367"/>
    </row>
    <row r="459" spans="1:43" ht="39" x14ac:dyDescent="0.3">
      <c r="A459" s="207" t="s">
        <v>3098</v>
      </c>
      <c r="B459" s="208" t="s">
        <v>3099</v>
      </c>
      <c r="C459" s="204" t="s">
        <v>97</v>
      </c>
      <c r="D459" s="171"/>
      <c r="E459" s="158"/>
      <c r="F459" s="159"/>
      <c r="G459" s="219">
        <v>54</v>
      </c>
      <c r="H459" s="159"/>
      <c r="I459" s="159"/>
      <c r="J459" s="158">
        <v>1579.75</v>
      </c>
      <c r="K459" s="159">
        <v>85306.5</v>
      </c>
      <c r="L459" s="172"/>
      <c r="N459" s="46">
        <v>54</v>
      </c>
      <c r="O459" s="46">
        <v>0</v>
      </c>
      <c r="P459" s="46">
        <v>85306.5</v>
      </c>
      <c r="Q459" s="98"/>
      <c r="R459" s="23" t="s">
        <v>1436</v>
      </c>
      <c r="S459" s="24" t="s">
        <v>3099</v>
      </c>
      <c r="T459" s="25" t="s">
        <v>97</v>
      </c>
      <c r="U459" s="26"/>
      <c r="V459" s="26">
        <f t="shared" si="134"/>
        <v>54</v>
      </c>
      <c r="W459" s="158">
        <f t="shared" ref="W459:W522" si="142">J459</f>
        <v>1579.75</v>
      </c>
      <c r="X459" s="127">
        <f t="shared" si="138"/>
        <v>0</v>
      </c>
      <c r="Y459" s="127">
        <f t="shared" si="140"/>
        <v>54</v>
      </c>
      <c r="Z459" s="127">
        <f t="shared" si="136"/>
        <v>0</v>
      </c>
      <c r="AA459" s="127">
        <f t="shared" si="139"/>
        <v>85306.5</v>
      </c>
      <c r="AB459" s="27"/>
      <c r="AC459" s="324"/>
      <c r="AD459" s="200">
        <f t="shared" si="141"/>
        <v>54</v>
      </c>
      <c r="AE459" s="181">
        <f t="shared" si="137"/>
        <v>85306.5</v>
      </c>
      <c r="AF459" s="181">
        <v>2</v>
      </c>
      <c r="AG459" s="181">
        <v>2</v>
      </c>
      <c r="AH459" s="363"/>
      <c r="AI459" s="190">
        <v>54</v>
      </c>
      <c r="AJ459" s="188">
        <v>54</v>
      </c>
      <c r="AN459" s="70"/>
      <c r="AO459" s="367"/>
      <c r="AP459" s="367"/>
      <c r="AQ459" s="367"/>
    </row>
    <row r="460" spans="1:43" ht="39" x14ac:dyDescent="0.3">
      <c r="A460" s="207" t="s">
        <v>3100</v>
      </c>
      <c r="B460" s="208" t="s">
        <v>3101</v>
      </c>
      <c r="C460" s="204" t="s">
        <v>97</v>
      </c>
      <c r="D460" s="171"/>
      <c r="E460" s="158"/>
      <c r="F460" s="159"/>
      <c r="G460" s="219">
        <v>519.5</v>
      </c>
      <c r="H460" s="159"/>
      <c r="I460" s="159"/>
      <c r="J460" s="158">
        <v>209.97</v>
      </c>
      <c r="K460" s="159">
        <v>109079.42</v>
      </c>
      <c r="L460" s="172"/>
      <c r="N460" s="46">
        <v>519.5</v>
      </c>
      <c r="O460" s="46">
        <v>0</v>
      </c>
      <c r="P460" s="46">
        <v>109079.42</v>
      </c>
      <c r="Q460" s="98"/>
      <c r="R460" s="23" t="s">
        <v>1374</v>
      </c>
      <c r="S460" s="24" t="s">
        <v>3101</v>
      </c>
      <c r="T460" s="25" t="s">
        <v>97</v>
      </c>
      <c r="U460" s="26"/>
      <c r="V460" s="26">
        <f t="shared" si="134"/>
        <v>519.5</v>
      </c>
      <c r="W460" s="158">
        <f t="shared" si="142"/>
        <v>209.97</v>
      </c>
      <c r="X460" s="127">
        <f t="shared" si="138"/>
        <v>0</v>
      </c>
      <c r="Y460" s="127">
        <f t="shared" si="140"/>
        <v>519.5</v>
      </c>
      <c r="Z460" s="127">
        <f t="shared" si="136"/>
        <v>0</v>
      </c>
      <c r="AA460" s="127">
        <f t="shared" si="139"/>
        <v>109079.42</v>
      </c>
      <c r="AB460" s="27"/>
      <c r="AC460" s="324"/>
      <c r="AD460" s="200">
        <f t="shared" si="141"/>
        <v>519.5</v>
      </c>
      <c r="AE460" s="181">
        <f t="shared" si="137"/>
        <v>109079.42</v>
      </c>
      <c r="AF460" s="181">
        <v>2</v>
      </c>
      <c r="AG460" s="181">
        <v>2</v>
      </c>
      <c r="AH460" s="363"/>
      <c r="AI460" s="190">
        <v>519.5</v>
      </c>
      <c r="AJ460" s="188">
        <v>519.5</v>
      </c>
      <c r="AN460" s="70"/>
      <c r="AO460" s="367"/>
      <c r="AP460" s="367"/>
      <c r="AQ460" s="367"/>
    </row>
    <row r="461" spans="1:43" ht="66" x14ac:dyDescent="0.3">
      <c r="A461" s="207" t="s">
        <v>3102</v>
      </c>
      <c r="B461" s="241" t="s">
        <v>3103</v>
      </c>
      <c r="C461" s="204" t="s">
        <v>66</v>
      </c>
      <c r="D461" s="171"/>
      <c r="E461" s="158"/>
      <c r="F461" s="159"/>
      <c r="G461" s="159">
        <v>5</v>
      </c>
      <c r="H461" s="159"/>
      <c r="I461" s="159"/>
      <c r="J461" s="158">
        <v>10798.3</v>
      </c>
      <c r="K461" s="159">
        <v>53991.5</v>
      </c>
      <c r="L461" s="172"/>
      <c r="N461" s="46">
        <v>5</v>
      </c>
      <c r="O461" s="46">
        <v>0</v>
      </c>
      <c r="P461" s="46">
        <v>53991.5</v>
      </c>
      <c r="Q461" s="98"/>
      <c r="R461" s="23" t="s">
        <v>1376</v>
      </c>
      <c r="S461" s="24" t="s">
        <v>3103</v>
      </c>
      <c r="T461" s="25" t="s">
        <v>66</v>
      </c>
      <c r="U461" s="26"/>
      <c r="V461" s="26">
        <f t="shared" si="134"/>
        <v>5</v>
      </c>
      <c r="W461" s="158">
        <f t="shared" si="142"/>
        <v>10798.3</v>
      </c>
      <c r="X461" s="127">
        <f t="shared" si="138"/>
        <v>0</v>
      </c>
      <c r="Y461" s="127">
        <f t="shared" si="140"/>
        <v>5</v>
      </c>
      <c r="Z461" s="127">
        <f t="shared" si="136"/>
        <v>0</v>
      </c>
      <c r="AA461" s="127">
        <f t="shared" si="139"/>
        <v>53991.5</v>
      </c>
      <c r="AB461" s="27"/>
      <c r="AC461" s="324"/>
      <c r="AD461" s="200">
        <f t="shared" si="141"/>
        <v>5</v>
      </c>
      <c r="AE461" s="181">
        <f t="shared" si="137"/>
        <v>53991.5</v>
      </c>
      <c r="AF461" s="181">
        <v>2</v>
      </c>
      <c r="AG461" s="181">
        <v>2</v>
      </c>
      <c r="AH461" s="363"/>
      <c r="AI461" s="190">
        <v>5</v>
      </c>
      <c r="AJ461" s="188">
        <v>5</v>
      </c>
      <c r="AN461" s="70"/>
      <c r="AO461" s="367"/>
      <c r="AP461" s="367"/>
      <c r="AQ461" s="367"/>
    </row>
    <row r="462" spans="1:43" ht="66" x14ac:dyDescent="0.3">
      <c r="A462" s="207" t="s">
        <v>3104</v>
      </c>
      <c r="B462" s="241" t="s">
        <v>3105</v>
      </c>
      <c r="C462" s="204" t="s">
        <v>66</v>
      </c>
      <c r="D462" s="171"/>
      <c r="E462" s="158"/>
      <c r="F462" s="159"/>
      <c r="G462" s="159">
        <v>6</v>
      </c>
      <c r="H462" s="159"/>
      <c r="I462" s="159"/>
      <c r="J462" s="158">
        <v>7248.86</v>
      </c>
      <c r="K462" s="159">
        <v>43493.16</v>
      </c>
      <c r="L462" s="172"/>
      <c r="N462" s="46">
        <v>6</v>
      </c>
      <c r="O462" s="46">
        <v>0</v>
      </c>
      <c r="P462" s="46">
        <v>43493.16</v>
      </c>
      <c r="Q462" s="98"/>
      <c r="R462" s="23" t="s">
        <v>1378</v>
      </c>
      <c r="S462" s="24" t="s">
        <v>3105</v>
      </c>
      <c r="T462" s="25" t="s">
        <v>66</v>
      </c>
      <c r="U462" s="26"/>
      <c r="V462" s="26">
        <f t="shared" si="134"/>
        <v>6</v>
      </c>
      <c r="W462" s="158">
        <f t="shared" si="142"/>
        <v>7248.86</v>
      </c>
      <c r="X462" s="127">
        <f t="shared" si="138"/>
        <v>0</v>
      </c>
      <c r="Y462" s="127">
        <f t="shared" si="140"/>
        <v>6</v>
      </c>
      <c r="Z462" s="127">
        <f t="shared" si="136"/>
        <v>0</v>
      </c>
      <c r="AA462" s="127">
        <f t="shared" si="139"/>
        <v>43493.16</v>
      </c>
      <c r="AB462" s="27"/>
      <c r="AC462" s="324"/>
      <c r="AD462" s="200">
        <f t="shared" si="141"/>
        <v>6</v>
      </c>
      <c r="AE462" s="181">
        <f t="shared" si="137"/>
        <v>43493.16</v>
      </c>
      <c r="AF462" s="181">
        <v>2</v>
      </c>
      <c r="AG462" s="181">
        <v>2</v>
      </c>
      <c r="AH462" s="363"/>
      <c r="AI462" s="190">
        <v>6</v>
      </c>
      <c r="AJ462" s="188">
        <v>6</v>
      </c>
      <c r="AN462" s="70"/>
      <c r="AO462" s="367"/>
      <c r="AP462" s="367"/>
      <c r="AQ462" s="367"/>
    </row>
    <row r="463" spans="1:43" ht="25.5" customHeight="1" x14ac:dyDescent="0.3">
      <c r="A463" s="233">
        <v>2.29</v>
      </c>
      <c r="B463" s="180" t="s">
        <v>3294</v>
      </c>
      <c r="C463" s="58" t="s">
        <v>97</v>
      </c>
      <c r="D463" s="230"/>
      <c r="E463" s="230"/>
      <c r="F463" s="59"/>
      <c r="G463" s="59"/>
      <c r="H463" s="59">
        <v>320</v>
      </c>
      <c r="I463" s="330">
        <v>656</v>
      </c>
      <c r="J463" s="230">
        <v>280</v>
      </c>
      <c r="K463" s="59">
        <v>183680</v>
      </c>
      <c r="L463" s="234"/>
      <c r="N463" s="46">
        <v>0</v>
      </c>
      <c r="O463" s="46">
        <v>0</v>
      </c>
      <c r="P463" s="46">
        <v>0</v>
      </c>
      <c r="Q463" s="98"/>
      <c r="R463" s="23">
        <v>29</v>
      </c>
      <c r="S463" s="24" t="s">
        <v>1527</v>
      </c>
      <c r="T463" s="25" t="s">
        <v>97</v>
      </c>
      <c r="U463" s="26"/>
      <c r="V463" s="26">
        <f t="shared" si="134"/>
        <v>656</v>
      </c>
      <c r="W463" s="158">
        <f t="shared" si="142"/>
        <v>280</v>
      </c>
      <c r="X463" s="26">
        <f t="shared" si="138"/>
        <v>0</v>
      </c>
      <c r="Y463" s="26">
        <f t="shared" si="140"/>
        <v>0</v>
      </c>
      <c r="Z463" s="26">
        <f t="shared" si="136"/>
        <v>0</v>
      </c>
      <c r="AA463" s="26">
        <f t="shared" si="139"/>
        <v>0</v>
      </c>
      <c r="AB463" s="27"/>
      <c r="AC463" s="324"/>
      <c r="AD463" s="200">
        <f t="shared" si="141"/>
        <v>656</v>
      </c>
      <c r="AE463" s="181">
        <f t="shared" si="137"/>
        <v>183680</v>
      </c>
      <c r="AF463" s="200">
        <v>2</v>
      </c>
      <c r="AG463" s="181">
        <v>2</v>
      </c>
      <c r="AH463" s="363"/>
      <c r="AI463" s="190">
        <v>0</v>
      </c>
      <c r="AJ463" s="190">
        <v>656</v>
      </c>
      <c r="AN463" s="69"/>
      <c r="AO463" s="367"/>
      <c r="AP463" s="367"/>
      <c r="AQ463" s="367"/>
    </row>
    <row r="464" spans="1:43" s="69" customFormat="1" ht="33" customHeight="1" x14ac:dyDescent="0.3">
      <c r="A464" s="150" t="s">
        <v>1039</v>
      </c>
      <c r="B464" s="151" t="s">
        <v>1040</v>
      </c>
      <c r="C464" s="152" t="s">
        <v>14</v>
      </c>
      <c r="D464" s="153">
        <v>1</v>
      </c>
      <c r="E464" s="153"/>
      <c r="F464" s="153"/>
      <c r="G464" s="153"/>
      <c r="H464" s="153"/>
      <c r="I464" s="153"/>
      <c r="J464" s="153">
        <v>3727423.71</v>
      </c>
      <c r="K464" s="153">
        <v>3727423.71</v>
      </c>
      <c r="L464" s="154" t="s">
        <v>15</v>
      </c>
      <c r="M464" s="73"/>
      <c r="N464" s="42">
        <v>1</v>
      </c>
      <c r="O464" s="42">
        <v>0</v>
      </c>
      <c r="P464" s="42">
        <v>2608273.71</v>
      </c>
      <c r="Q464" s="98"/>
      <c r="R464" s="13" t="s">
        <v>1407</v>
      </c>
      <c r="S464" s="14" t="s">
        <v>1040</v>
      </c>
      <c r="T464" s="15" t="s">
        <v>14</v>
      </c>
      <c r="U464" s="16">
        <v>1</v>
      </c>
      <c r="V464" s="16"/>
      <c r="W464" s="16">
        <f t="shared" si="142"/>
        <v>3727423.71</v>
      </c>
      <c r="X464" s="16">
        <f t="shared" ref="X464:Y464" si="143">IF(Z464=0,0,1)</f>
        <v>1</v>
      </c>
      <c r="Y464" s="16">
        <f t="shared" si="143"/>
        <v>1</v>
      </c>
      <c r="Z464" s="16">
        <f>SUMIFS(Z:Z,AG:AG,AF464)</f>
        <v>138550</v>
      </c>
      <c r="AA464" s="16">
        <f>SUMIFS(AA:AA,AG:AG,AF464)</f>
        <v>2746823.7099999995</v>
      </c>
      <c r="AB464" s="17" t="s">
        <v>15</v>
      </c>
      <c r="AC464" s="232"/>
      <c r="AD464" s="181">
        <f t="shared" si="141"/>
        <v>1</v>
      </c>
      <c r="AE464" s="183"/>
      <c r="AF464" s="183">
        <v>3</v>
      </c>
      <c r="AG464" s="183"/>
      <c r="AH464" s="363" t="str">
        <f t="shared" si="100"/>
        <v/>
      </c>
      <c r="AI464" s="190">
        <v>1</v>
      </c>
      <c r="AJ464" s="188">
        <v>1</v>
      </c>
      <c r="AO464" s="367"/>
      <c r="AP464" s="367"/>
      <c r="AQ464" s="367"/>
    </row>
    <row r="465" spans="1:43" s="69" customFormat="1" ht="82.5" x14ac:dyDescent="0.3">
      <c r="A465" s="130" t="s">
        <v>1041</v>
      </c>
      <c r="B465" s="240" t="s">
        <v>1042</v>
      </c>
      <c r="C465" s="132" t="s">
        <v>162</v>
      </c>
      <c r="D465" s="133">
        <v>340</v>
      </c>
      <c r="E465" s="75"/>
      <c r="F465" s="75"/>
      <c r="G465" s="75"/>
      <c r="H465" s="75"/>
      <c r="I465" s="75"/>
      <c r="J465" s="75">
        <v>300</v>
      </c>
      <c r="K465" s="75">
        <v>102000</v>
      </c>
      <c r="L465" s="91" t="s">
        <v>1043</v>
      </c>
      <c r="M465" s="73"/>
      <c r="N465" s="46">
        <v>219</v>
      </c>
      <c r="O465" s="46">
        <v>0</v>
      </c>
      <c r="P465" s="46">
        <v>65700</v>
      </c>
      <c r="Q465" s="98"/>
      <c r="R465" s="23" t="s">
        <v>1421</v>
      </c>
      <c r="S465" s="24" t="s">
        <v>1042</v>
      </c>
      <c r="T465" s="25" t="s">
        <v>162</v>
      </c>
      <c r="U465" s="26">
        <v>340</v>
      </c>
      <c r="V465" s="26">
        <f t="shared" ref="V465:V503" si="144">IF(I465&gt;0,I465,IF(H465&gt;0,H465,IF(G465&gt;0,G465,IF(F465&gt;0,F465,IF(E465&gt;0,E465,D465)))))</f>
        <v>340</v>
      </c>
      <c r="W465" s="26">
        <f t="shared" si="142"/>
        <v>300</v>
      </c>
      <c r="X465" s="243">
        <f t="shared" ref="X465:X503" si="145">AI465-N465</f>
        <v>121</v>
      </c>
      <c r="Y465" s="127">
        <f t="shared" si="135"/>
        <v>340</v>
      </c>
      <c r="Z465" s="127">
        <f t="shared" ref="Z465:Z503" si="146">AA465-P465</f>
        <v>36300</v>
      </c>
      <c r="AA465" s="127">
        <f t="shared" ref="AA465:AA503" si="147">ROUND(W465*Y465,2)</f>
        <v>102000</v>
      </c>
      <c r="AB465" s="33" t="s">
        <v>15</v>
      </c>
      <c r="AC465" s="324"/>
      <c r="AD465" s="181">
        <f t="shared" si="141"/>
        <v>340</v>
      </c>
      <c r="AE465" s="181">
        <f t="shared" ref="AE465:AE503" si="148">ROUND(W465*AD465,2)</f>
        <v>102000</v>
      </c>
      <c r="AF465" s="181">
        <v>3</v>
      </c>
      <c r="AG465" s="181">
        <v>3</v>
      </c>
      <c r="AH465" s="363" t="str">
        <f t="shared" si="100"/>
        <v/>
      </c>
      <c r="AI465" s="191">
        <v>340</v>
      </c>
      <c r="AJ465" s="188">
        <v>340</v>
      </c>
      <c r="AM465" s="69">
        <v>0</v>
      </c>
      <c r="AO465" s="367"/>
      <c r="AP465" s="367"/>
      <c r="AQ465" s="367"/>
    </row>
    <row r="466" spans="1:43" s="69" customFormat="1" ht="66" x14ac:dyDescent="0.3">
      <c r="A466" s="130" t="s">
        <v>1044</v>
      </c>
      <c r="B466" s="240" t="s">
        <v>1045</v>
      </c>
      <c r="C466" s="132" t="s">
        <v>325</v>
      </c>
      <c r="D466" s="133">
        <v>68</v>
      </c>
      <c r="E466" s="75"/>
      <c r="F466" s="75"/>
      <c r="G466" s="75"/>
      <c r="H466" s="75"/>
      <c r="I466" s="75"/>
      <c r="J466" s="75">
        <v>3000</v>
      </c>
      <c r="K466" s="75">
        <v>204000</v>
      </c>
      <c r="L466" s="91" t="s">
        <v>1046</v>
      </c>
      <c r="M466" s="73"/>
      <c r="N466" s="46">
        <v>52</v>
      </c>
      <c r="O466" s="46">
        <v>0</v>
      </c>
      <c r="P466" s="46">
        <v>156000</v>
      </c>
      <c r="Q466" s="98"/>
      <c r="R466" s="23" t="s">
        <v>1426</v>
      </c>
      <c r="S466" s="24" t="s">
        <v>1045</v>
      </c>
      <c r="T466" s="25" t="s">
        <v>325</v>
      </c>
      <c r="U466" s="26">
        <v>68</v>
      </c>
      <c r="V466" s="26">
        <f t="shared" si="144"/>
        <v>68</v>
      </c>
      <c r="W466" s="26">
        <f t="shared" si="142"/>
        <v>3000</v>
      </c>
      <c r="X466" s="243">
        <f t="shared" si="145"/>
        <v>16</v>
      </c>
      <c r="Y466" s="127">
        <f t="shared" si="135"/>
        <v>68</v>
      </c>
      <c r="Z466" s="127">
        <f t="shared" si="146"/>
        <v>48000</v>
      </c>
      <c r="AA466" s="127">
        <f t="shared" si="147"/>
        <v>204000</v>
      </c>
      <c r="AB466" s="33" t="s">
        <v>15</v>
      </c>
      <c r="AC466" s="324"/>
      <c r="AD466" s="181">
        <f t="shared" si="141"/>
        <v>68</v>
      </c>
      <c r="AE466" s="181">
        <f t="shared" si="148"/>
        <v>204000</v>
      </c>
      <c r="AF466" s="181">
        <v>3</v>
      </c>
      <c r="AG466" s="181">
        <v>3</v>
      </c>
      <c r="AH466" s="363" t="str">
        <f t="shared" si="100"/>
        <v/>
      </c>
      <c r="AI466" s="191">
        <v>68</v>
      </c>
      <c r="AJ466" s="188">
        <v>68</v>
      </c>
      <c r="AM466" s="69">
        <v>0</v>
      </c>
      <c r="AO466" s="367"/>
      <c r="AP466" s="367"/>
      <c r="AQ466" s="367"/>
    </row>
    <row r="467" spans="1:43" s="69" customFormat="1" ht="49.5" x14ac:dyDescent="0.3">
      <c r="A467" s="130" t="s">
        <v>1047</v>
      </c>
      <c r="B467" s="240" t="s">
        <v>1048</v>
      </c>
      <c r="C467" s="132" t="s">
        <v>325</v>
      </c>
      <c r="D467" s="133">
        <v>68</v>
      </c>
      <c r="E467" s="75"/>
      <c r="F467" s="75"/>
      <c r="G467" s="75"/>
      <c r="H467" s="75"/>
      <c r="I467" s="75"/>
      <c r="J467" s="75">
        <v>150</v>
      </c>
      <c r="K467" s="75">
        <v>10200</v>
      </c>
      <c r="L467" s="91" t="s">
        <v>1049</v>
      </c>
      <c r="M467" s="73"/>
      <c r="N467" s="46">
        <v>52</v>
      </c>
      <c r="O467" s="46">
        <v>0</v>
      </c>
      <c r="P467" s="46">
        <v>7800</v>
      </c>
      <c r="Q467" s="98"/>
      <c r="R467" s="23" t="s">
        <v>1402</v>
      </c>
      <c r="S467" s="24" t="s">
        <v>1048</v>
      </c>
      <c r="T467" s="25" t="s">
        <v>325</v>
      </c>
      <c r="U467" s="26">
        <v>68</v>
      </c>
      <c r="V467" s="26">
        <f t="shared" si="144"/>
        <v>68</v>
      </c>
      <c r="W467" s="26">
        <f t="shared" si="142"/>
        <v>150</v>
      </c>
      <c r="X467" s="243">
        <f t="shared" si="145"/>
        <v>16</v>
      </c>
      <c r="Y467" s="127">
        <f t="shared" si="135"/>
        <v>68</v>
      </c>
      <c r="Z467" s="127">
        <f t="shared" si="146"/>
        <v>2400</v>
      </c>
      <c r="AA467" s="127">
        <f t="shared" si="147"/>
        <v>10200</v>
      </c>
      <c r="AB467" s="33" t="s">
        <v>15</v>
      </c>
      <c r="AC467" s="324"/>
      <c r="AD467" s="181">
        <f t="shared" si="141"/>
        <v>68</v>
      </c>
      <c r="AE467" s="181">
        <f t="shared" si="148"/>
        <v>10200</v>
      </c>
      <c r="AF467" s="181">
        <v>3</v>
      </c>
      <c r="AG467" s="181">
        <v>3</v>
      </c>
      <c r="AH467" s="363" t="str">
        <f t="shared" si="100"/>
        <v/>
      </c>
      <c r="AI467" s="191">
        <v>68</v>
      </c>
      <c r="AJ467" s="188">
        <v>68</v>
      </c>
      <c r="AM467" s="69">
        <v>0</v>
      </c>
      <c r="AO467" s="367"/>
      <c r="AP467" s="367"/>
      <c r="AQ467" s="367"/>
    </row>
    <row r="468" spans="1:43" s="69" customFormat="1" ht="66" x14ac:dyDescent="0.3">
      <c r="A468" s="55" t="s">
        <v>1050</v>
      </c>
      <c r="B468" s="138" t="s">
        <v>1051</v>
      </c>
      <c r="C468" s="54" t="s">
        <v>1052</v>
      </c>
      <c r="D468" s="75">
        <v>9</v>
      </c>
      <c r="E468" s="75"/>
      <c r="F468" s="75"/>
      <c r="G468" s="75"/>
      <c r="H468" s="75"/>
      <c r="I468" s="75"/>
      <c r="J468" s="75">
        <v>1200</v>
      </c>
      <c r="K468" s="75">
        <v>10800</v>
      </c>
      <c r="L468" s="91" t="s">
        <v>1053</v>
      </c>
      <c r="M468" s="73"/>
      <c r="N468" s="46">
        <v>3</v>
      </c>
      <c r="O468" s="46">
        <v>0</v>
      </c>
      <c r="P468" s="46">
        <v>3600</v>
      </c>
      <c r="Q468" s="98"/>
      <c r="R468" s="23" t="s">
        <v>1373</v>
      </c>
      <c r="S468" s="24" t="s">
        <v>1051</v>
      </c>
      <c r="T468" s="25" t="s">
        <v>1052</v>
      </c>
      <c r="U468" s="26">
        <v>9</v>
      </c>
      <c r="V468" s="26">
        <f t="shared" si="144"/>
        <v>9</v>
      </c>
      <c r="W468" s="26">
        <f t="shared" si="142"/>
        <v>1200</v>
      </c>
      <c r="X468" s="243">
        <f t="shared" si="145"/>
        <v>0</v>
      </c>
      <c r="Y468" s="26">
        <f t="shared" si="135"/>
        <v>3</v>
      </c>
      <c r="Z468" s="26">
        <f t="shared" si="146"/>
        <v>0</v>
      </c>
      <c r="AA468" s="26">
        <f t="shared" si="147"/>
        <v>3600</v>
      </c>
      <c r="AB468" s="33" t="s">
        <v>15</v>
      </c>
      <c r="AC468" s="324"/>
      <c r="AD468" s="181">
        <f t="shared" si="141"/>
        <v>9</v>
      </c>
      <c r="AE468" s="181">
        <f t="shared" si="148"/>
        <v>10800</v>
      </c>
      <c r="AF468" s="181">
        <v>3</v>
      </c>
      <c r="AG468" s="181">
        <v>3</v>
      </c>
      <c r="AH468" s="363" t="str">
        <f t="shared" si="100"/>
        <v/>
      </c>
      <c r="AI468" s="191">
        <f>3</f>
        <v>3</v>
      </c>
      <c r="AJ468" s="188">
        <v>9</v>
      </c>
      <c r="AM468" s="69">
        <v>0</v>
      </c>
      <c r="AO468" s="367"/>
      <c r="AP468" s="367"/>
      <c r="AQ468" s="367"/>
    </row>
    <row r="469" spans="1:43" s="69" customFormat="1" ht="82.5" x14ac:dyDescent="0.3">
      <c r="A469" s="130" t="s">
        <v>1054</v>
      </c>
      <c r="B469" s="240" t="s">
        <v>3114</v>
      </c>
      <c r="C469" s="132" t="s">
        <v>325</v>
      </c>
      <c r="D469" s="133">
        <v>38</v>
      </c>
      <c r="E469" s="75"/>
      <c r="F469" s="75"/>
      <c r="G469" s="75"/>
      <c r="H469" s="75"/>
      <c r="I469" s="75"/>
      <c r="J469" s="75">
        <v>650</v>
      </c>
      <c r="K469" s="75">
        <v>24700</v>
      </c>
      <c r="L469" s="91" t="s">
        <v>1056</v>
      </c>
      <c r="M469" s="73"/>
      <c r="N469" s="46">
        <v>25</v>
      </c>
      <c r="O469" s="46">
        <v>0</v>
      </c>
      <c r="P469" s="46">
        <v>16250</v>
      </c>
      <c r="Q469" s="98"/>
      <c r="R469" s="23" t="s">
        <v>1393</v>
      </c>
      <c r="S469" s="24" t="s">
        <v>1055</v>
      </c>
      <c r="T469" s="25" t="s">
        <v>325</v>
      </c>
      <c r="U469" s="26">
        <v>38</v>
      </c>
      <c r="V469" s="26">
        <f t="shared" si="144"/>
        <v>38</v>
      </c>
      <c r="W469" s="26">
        <f t="shared" si="142"/>
        <v>650</v>
      </c>
      <c r="X469" s="243">
        <f t="shared" si="145"/>
        <v>13</v>
      </c>
      <c r="Y469" s="127">
        <f t="shared" si="135"/>
        <v>38</v>
      </c>
      <c r="Z469" s="127">
        <f t="shared" si="146"/>
        <v>8450</v>
      </c>
      <c r="AA469" s="127">
        <f t="shared" si="147"/>
        <v>24700</v>
      </c>
      <c r="AB469" s="33" t="s">
        <v>15</v>
      </c>
      <c r="AC469" s="324"/>
      <c r="AD469" s="181">
        <f t="shared" si="141"/>
        <v>38</v>
      </c>
      <c r="AE469" s="181">
        <f t="shared" si="148"/>
        <v>24700</v>
      </c>
      <c r="AF469" s="181">
        <v>3</v>
      </c>
      <c r="AG469" s="181">
        <v>3</v>
      </c>
      <c r="AH469" s="363" t="str">
        <f t="shared" si="100"/>
        <v/>
      </c>
      <c r="AI469" s="191">
        <v>38</v>
      </c>
      <c r="AJ469" s="188">
        <v>38</v>
      </c>
      <c r="AM469" s="69">
        <v>0</v>
      </c>
      <c r="AO469" s="367"/>
      <c r="AP469" s="367"/>
      <c r="AQ469" s="367"/>
    </row>
    <row r="470" spans="1:43" s="69" customFormat="1" ht="66" customHeight="1" x14ac:dyDescent="0.3">
      <c r="A470" s="130" t="s">
        <v>1057</v>
      </c>
      <c r="B470" s="240" t="s">
        <v>3115</v>
      </c>
      <c r="C470" s="132" t="s">
        <v>325</v>
      </c>
      <c r="D470" s="133">
        <v>38</v>
      </c>
      <c r="E470" s="75"/>
      <c r="F470" s="75"/>
      <c r="G470" s="75"/>
      <c r="H470" s="75"/>
      <c r="I470" s="75"/>
      <c r="J470" s="75">
        <v>1300</v>
      </c>
      <c r="K470" s="75">
        <v>49400</v>
      </c>
      <c r="L470" s="91" t="s">
        <v>1059</v>
      </c>
      <c r="M470" s="73"/>
      <c r="N470" s="46">
        <v>25</v>
      </c>
      <c r="O470" s="46">
        <v>0</v>
      </c>
      <c r="P470" s="46">
        <v>32500</v>
      </c>
      <c r="Q470" s="98"/>
      <c r="R470" s="23" t="s">
        <v>1403</v>
      </c>
      <c r="S470" s="24" t="s">
        <v>1058</v>
      </c>
      <c r="T470" s="25" t="s">
        <v>325</v>
      </c>
      <c r="U470" s="26">
        <v>38</v>
      </c>
      <c r="V470" s="26">
        <f t="shared" si="144"/>
        <v>38</v>
      </c>
      <c r="W470" s="26">
        <f t="shared" si="142"/>
        <v>1300</v>
      </c>
      <c r="X470" s="243">
        <f t="shared" si="145"/>
        <v>13</v>
      </c>
      <c r="Y470" s="127">
        <f t="shared" si="135"/>
        <v>38</v>
      </c>
      <c r="Z470" s="127">
        <f t="shared" si="146"/>
        <v>16900</v>
      </c>
      <c r="AA470" s="127">
        <f t="shared" si="147"/>
        <v>49400</v>
      </c>
      <c r="AB470" s="33" t="s">
        <v>15</v>
      </c>
      <c r="AC470" s="324"/>
      <c r="AD470" s="181">
        <f t="shared" si="141"/>
        <v>38</v>
      </c>
      <c r="AE470" s="181">
        <f t="shared" si="148"/>
        <v>49400</v>
      </c>
      <c r="AF470" s="181">
        <v>3</v>
      </c>
      <c r="AG470" s="181">
        <v>3</v>
      </c>
      <c r="AH470" s="363" t="str">
        <f t="shared" ref="AH470:AH534" si="149">IF(Y470&gt;AJ470,"超估","")</f>
        <v/>
      </c>
      <c r="AI470" s="191">
        <v>38</v>
      </c>
      <c r="AJ470" s="188">
        <v>38</v>
      </c>
      <c r="AM470" s="69">
        <v>0</v>
      </c>
      <c r="AO470" s="367"/>
      <c r="AP470" s="367"/>
      <c r="AQ470" s="367"/>
    </row>
    <row r="471" spans="1:43" s="69" customFormat="1" ht="66" customHeight="1" x14ac:dyDescent="0.3">
      <c r="A471" s="55" t="s">
        <v>1060</v>
      </c>
      <c r="B471" s="138" t="s">
        <v>3116</v>
      </c>
      <c r="C471" s="54" t="s">
        <v>325</v>
      </c>
      <c r="D471" s="75">
        <v>7</v>
      </c>
      <c r="E471" s="75"/>
      <c r="F471" s="75"/>
      <c r="G471" s="75"/>
      <c r="H471" s="75"/>
      <c r="I471" s="75"/>
      <c r="J471" s="75">
        <v>3500</v>
      </c>
      <c r="K471" s="75">
        <v>24500</v>
      </c>
      <c r="L471" s="91" t="s">
        <v>1062</v>
      </c>
      <c r="M471" s="73"/>
      <c r="N471" s="46">
        <v>0</v>
      </c>
      <c r="O471" s="46">
        <v>0</v>
      </c>
      <c r="P471" s="46">
        <v>0</v>
      </c>
      <c r="Q471" s="98"/>
      <c r="R471" s="23" t="s">
        <v>1427</v>
      </c>
      <c r="S471" s="24" t="s">
        <v>1061</v>
      </c>
      <c r="T471" s="25" t="s">
        <v>325</v>
      </c>
      <c r="U471" s="26">
        <v>7</v>
      </c>
      <c r="V471" s="26">
        <f t="shared" si="144"/>
        <v>7</v>
      </c>
      <c r="W471" s="26">
        <f t="shared" si="142"/>
        <v>3500</v>
      </c>
      <c r="X471" s="26">
        <f t="shared" si="145"/>
        <v>0</v>
      </c>
      <c r="Y471" s="26">
        <f t="shared" si="135"/>
        <v>0</v>
      </c>
      <c r="Z471" s="26">
        <f t="shared" si="146"/>
        <v>0</v>
      </c>
      <c r="AA471" s="26">
        <f t="shared" si="147"/>
        <v>0</v>
      </c>
      <c r="AB471" s="33" t="s">
        <v>15</v>
      </c>
      <c r="AC471" s="324"/>
      <c r="AD471" s="181">
        <f t="shared" si="141"/>
        <v>7</v>
      </c>
      <c r="AE471" s="181">
        <f t="shared" si="148"/>
        <v>24500</v>
      </c>
      <c r="AF471" s="181">
        <v>3</v>
      </c>
      <c r="AG471" s="181">
        <v>3</v>
      </c>
      <c r="AH471" s="363" t="str">
        <f t="shared" si="149"/>
        <v/>
      </c>
      <c r="AI471" s="190">
        <v>0</v>
      </c>
      <c r="AJ471" s="188">
        <v>7</v>
      </c>
      <c r="AM471" s="69">
        <v>0</v>
      </c>
      <c r="AO471" s="367"/>
      <c r="AP471" s="367"/>
      <c r="AQ471" s="367"/>
    </row>
    <row r="472" spans="1:43" s="69" customFormat="1" ht="66" customHeight="1" x14ac:dyDescent="0.3">
      <c r="A472" s="130" t="s">
        <v>1063</v>
      </c>
      <c r="B472" s="357" t="s">
        <v>1064</v>
      </c>
      <c r="C472" s="132" t="s">
        <v>325</v>
      </c>
      <c r="D472" s="133">
        <v>5</v>
      </c>
      <c r="E472" s="75"/>
      <c r="F472" s="75"/>
      <c r="G472" s="75"/>
      <c r="H472" s="75"/>
      <c r="I472" s="75"/>
      <c r="J472" s="75">
        <v>700</v>
      </c>
      <c r="K472" s="75">
        <v>3500</v>
      </c>
      <c r="L472" s="91" t="s">
        <v>1065</v>
      </c>
      <c r="M472" s="73"/>
      <c r="N472" s="46">
        <v>0</v>
      </c>
      <c r="O472" s="46">
        <v>0</v>
      </c>
      <c r="P472" s="46">
        <v>0</v>
      </c>
      <c r="Q472" s="98"/>
      <c r="R472" s="23" t="s">
        <v>1428</v>
      </c>
      <c r="S472" s="24" t="s">
        <v>1064</v>
      </c>
      <c r="T472" s="25" t="s">
        <v>325</v>
      </c>
      <c r="U472" s="26">
        <v>5</v>
      </c>
      <c r="V472" s="26">
        <f t="shared" si="144"/>
        <v>5</v>
      </c>
      <c r="W472" s="26">
        <f t="shared" si="142"/>
        <v>700</v>
      </c>
      <c r="X472" s="199">
        <f t="shared" si="145"/>
        <v>5</v>
      </c>
      <c r="Y472" s="127">
        <f t="shared" si="135"/>
        <v>5</v>
      </c>
      <c r="Z472" s="127">
        <f t="shared" si="146"/>
        <v>3500</v>
      </c>
      <c r="AA472" s="127">
        <f t="shared" si="147"/>
        <v>3500</v>
      </c>
      <c r="AB472" s="33" t="s">
        <v>15</v>
      </c>
      <c r="AC472" s="324"/>
      <c r="AD472" s="181">
        <f t="shared" si="141"/>
        <v>5</v>
      </c>
      <c r="AE472" s="181">
        <f t="shared" si="148"/>
        <v>3500</v>
      </c>
      <c r="AF472" s="181">
        <v>3</v>
      </c>
      <c r="AG472" s="181">
        <v>3</v>
      </c>
      <c r="AH472" s="363" t="str">
        <f t="shared" si="149"/>
        <v/>
      </c>
      <c r="AI472" s="193">
        <v>5</v>
      </c>
      <c r="AJ472" s="188">
        <v>5</v>
      </c>
      <c r="AM472" s="69">
        <v>0</v>
      </c>
      <c r="AO472" s="367"/>
      <c r="AP472" s="367"/>
      <c r="AQ472" s="367"/>
    </row>
    <row r="473" spans="1:43" s="69" customFormat="1" ht="57" customHeight="1" x14ac:dyDescent="0.3">
      <c r="A473" s="55" t="s">
        <v>1066</v>
      </c>
      <c r="B473" s="254" t="s">
        <v>1067</v>
      </c>
      <c r="C473" s="54" t="s">
        <v>66</v>
      </c>
      <c r="D473" s="75">
        <v>1</v>
      </c>
      <c r="E473" s="75"/>
      <c r="F473" s="75"/>
      <c r="G473" s="75"/>
      <c r="H473" s="75"/>
      <c r="I473" s="75"/>
      <c r="J473" s="75">
        <v>15000</v>
      </c>
      <c r="K473" s="75">
        <v>15000</v>
      </c>
      <c r="L473" s="91" t="s">
        <v>1068</v>
      </c>
      <c r="M473" s="73"/>
      <c r="N473" s="46">
        <v>0</v>
      </c>
      <c r="O473" s="46">
        <v>0</v>
      </c>
      <c r="P473" s="46">
        <v>0</v>
      </c>
      <c r="Q473" s="98"/>
      <c r="R473" s="23" t="s">
        <v>1387</v>
      </c>
      <c r="S473" s="24" t="s">
        <v>1067</v>
      </c>
      <c r="T473" s="25" t="s">
        <v>66</v>
      </c>
      <c r="U473" s="26">
        <v>1</v>
      </c>
      <c r="V473" s="26">
        <f t="shared" si="144"/>
        <v>1</v>
      </c>
      <c r="W473" s="26">
        <f t="shared" si="142"/>
        <v>15000</v>
      </c>
      <c r="X473" s="26">
        <f t="shared" si="145"/>
        <v>0</v>
      </c>
      <c r="Y473" s="26">
        <f t="shared" si="135"/>
        <v>0</v>
      </c>
      <c r="Z473" s="26">
        <f t="shared" si="146"/>
        <v>0</v>
      </c>
      <c r="AA473" s="26">
        <f t="shared" si="147"/>
        <v>0</v>
      </c>
      <c r="AB473" s="33" t="s">
        <v>15</v>
      </c>
      <c r="AC473" s="324"/>
      <c r="AD473" s="181">
        <f t="shared" si="141"/>
        <v>1</v>
      </c>
      <c r="AE473" s="181">
        <f t="shared" si="148"/>
        <v>15000</v>
      </c>
      <c r="AF473" s="181">
        <v>3</v>
      </c>
      <c r="AG473" s="181">
        <v>3</v>
      </c>
      <c r="AH473" s="363" t="str">
        <f t="shared" si="149"/>
        <v/>
      </c>
      <c r="AI473" s="190">
        <v>0</v>
      </c>
      <c r="AJ473" s="188">
        <v>1</v>
      </c>
      <c r="AM473" s="69">
        <v>0</v>
      </c>
      <c r="AO473" s="367"/>
      <c r="AP473" s="367"/>
      <c r="AQ473" s="367"/>
    </row>
    <row r="474" spans="1:43" s="69" customFormat="1" ht="56.25" customHeight="1" x14ac:dyDescent="0.3">
      <c r="A474" s="55" t="s">
        <v>1069</v>
      </c>
      <c r="B474" s="254" t="s">
        <v>1070</v>
      </c>
      <c r="C474" s="54" t="s">
        <v>325</v>
      </c>
      <c r="D474" s="75">
        <v>1</v>
      </c>
      <c r="E474" s="75"/>
      <c r="F474" s="75"/>
      <c r="G474" s="75"/>
      <c r="H474" s="75"/>
      <c r="I474" s="75"/>
      <c r="J474" s="75">
        <v>6000</v>
      </c>
      <c r="K474" s="75">
        <v>6000</v>
      </c>
      <c r="L474" s="91" t="s">
        <v>1071</v>
      </c>
      <c r="M474" s="73"/>
      <c r="N474" s="46">
        <v>0</v>
      </c>
      <c r="O474" s="46">
        <v>0</v>
      </c>
      <c r="P474" s="46">
        <v>0</v>
      </c>
      <c r="Q474" s="98"/>
      <c r="R474" s="23" t="s">
        <v>1405</v>
      </c>
      <c r="S474" s="24" t="s">
        <v>1070</v>
      </c>
      <c r="T474" s="25" t="s">
        <v>325</v>
      </c>
      <c r="U474" s="26">
        <v>1</v>
      </c>
      <c r="V474" s="26">
        <f t="shared" si="144"/>
        <v>1</v>
      </c>
      <c r="W474" s="26">
        <f t="shared" si="142"/>
        <v>6000</v>
      </c>
      <c r="X474" s="26">
        <f t="shared" si="145"/>
        <v>0</v>
      </c>
      <c r="Y474" s="26">
        <f t="shared" si="135"/>
        <v>0</v>
      </c>
      <c r="Z474" s="26">
        <f t="shared" si="146"/>
        <v>0</v>
      </c>
      <c r="AA474" s="26">
        <f t="shared" si="147"/>
        <v>0</v>
      </c>
      <c r="AB474" s="33" t="s">
        <v>15</v>
      </c>
      <c r="AC474" s="324"/>
      <c r="AD474" s="181">
        <f t="shared" si="141"/>
        <v>1</v>
      </c>
      <c r="AE474" s="181">
        <f t="shared" si="148"/>
        <v>6000</v>
      </c>
      <c r="AF474" s="181">
        <v>3</v>
      </c>
      <c r="AG474" s="181">
        <v>3</v>
      </c>
      <c r="AH474" s="363" t="str">
        <f t="shared" si="149"/>
        <v/>
      </c>
      <c r="AI474" s="190">
        <v>0</v>
      </c>
      <c r="AJ474" s="188">
        <v>1</v>
      </c>
      <c r="AM474" s="69">
        <v>0</v>
      </c>
      <c r="AO474" s="367"/>
      <c r="AP474" s="367"/>
      <c r="AQ474" s="367"/>
    </row>
    <row r="475" spans="1:43" s="69" customFormat="1" ht="92.25" customHeight="1" x14ac:dyDescent="0.3">
      <c r="A475" s="130" t="s">
        <v>1072</v>
      </c>
      <c r="B475" s="357" t="s">
        <v>3295</v>
      </c>
      <c r="C475" s="132" t="s">
        <v>325</v>
      </c>
      <c r="D475" s="133">
        <v>1</v>
      </c>
      <c r="E475" s="75"/>
      <c r="F475" s="75"/>
      <c r="G475" s="75"/>
      <c r="H475" s="75"/>
      <c r="I475" s="75"/>
      <c r="J475" s="75">
        <v>49500</v>
      </c>
      <c r="K475" s="75">
        <v>49500</v>
      </c>
      <c r="L475" s="91" t="s">
        <v>1074</v>
      </c>
      <c r="M475" s="73"/>
      <c r="N475" s="46">
        <v>1</v>
      </c>
      <c r="O475" s="46">
        <v>0</v>
      </c>
      <c r="P475" s="46">
        <v>49500</v>
      </c>
      <c r="Q475" s="98"/>
      <c r="R475" s="23" t="s">
        <v>1406</v>
      </c>
      <c r="S475" s="24" t="s">
        <v>1073</v>
      </c>
      <c r="T475" s="25" t="s">
        <v>325</v>
      </c>
      <c r="U475" s="26">
        <v>1</v>
      </c>
      <c r="V475" s="26">
        <f t="shared" si="144"/>
        <v>1</v>
      </c>
      <c r="W475" s="26">
        <f t="shared" si="142"/>
        <v>49500</v>
      </c>
      <c r="X475" s="127">
        <f t="shared" si="145"/>
        <v>0</v>
      </c>
      <c r="Y475" s="127">
        <f t="shared" si="135"/>
        <v>1</v>
      </c>
      <c r="Z475" s="127">
        <f t="shared" si="146"/>
        <v>0</v>
      </c>
      <c r="AA475" s="127">
        <f t="shared" si="147"/>
        <v>49500</v>
      </c>
      <c r="AB475" s="33" t="s">
        <v>15</v>
      </c>
      <c r="AC475" s="324"/>
      <c r="AD475" s="181">
        <f t="shared" si="141"/>
        <v>1</v>
      </c>
      <c r="AE475" s="181">
        <f t="shared" si="148"/>
        <v>49500</v>
      </c>
      <c r="AF475" s="181">
        <v>3</v>
      </c>
      <c r="AG475" s="181">
        <v>3</v>
      </c>
      <c r="AH475" s="363" t="str">
        <f t="shared" si="149"/>
        <v/>
      </c>
      <c r="AI475" s="194">
        <v>1</v>
      </c>
      <c r="AJ475" s="188">
        <v>1</v>
      </c>
      <c r="AM475" s="69">
        <v>0</v>
      </c>
      <c r="AO475" s="367"/>
      <c r="AP475" s="367"/>
      <c r="AQ475" s="367"/>
    </row>
    <row r="476" spans="1:43" s="69" customFormat="1" ht="66" customHeight="1" x14ac:dyDescent="0.3">
      <c r="A476" s="55" t="s">
        <v>1075</v>
      </c>
      <c r="B476" s="138" t="s">
        <v>3118</v>
      </c>
      <c r="C476" s="54" t="s">
        <v>325</v>
      </c>
      <c r="D476" s="75">
        <v>8</v>
      </c>
      <c r="E476" s="75"/>
      <c r="F476" s="75"/>
      <c r="G476" s="75"/>
      <c r="H476" s="75"/>
      <c r="I476" s="75"/>
      <c r="J476" s="75">
        <v>3000</v>
      </c>
      <c r="K476" s="75">
        <v>24000</v>
      </c>
      <c r="L476" s="91" t="s">
        <v>1077</v>
      </c>
      <c r="M476" s="73"/>
      <c r="N476" s="46">
        <v>0</v>
      </c>
      <c r="O476" s="46">
        <v>0</v>
      </c>
      <c r="P476" s="46">
        <v>0</v>
      </c>
      <c r="Q476" s="98"/>
      <c r="R476" s="23" t="s">
        <v>1414</v>
      </c>
      <c r="S476" s="24" t="s">
        <v>1076</v>
      </c>
      <c r="T476" s="25" t="s">
        <v>325</v>
      </c>
      <c r="U476" s="26">
        <v>8</v>
      </c>
      <c r="V476" s="26">
        <f t="shared" si="144"/>
        <v>8</v>
      </c>
      <c r="W476" s="26">
        <f t="shared" si="142"/>
        <v>3000</v>
      </c>
      <c r="X476" s="199">
        <f t="shared" si="145"/>
        <v>3</v>
      </c>
      <c r="Y476" s="26">
        <f t="shared" si="135"/>
        <v>3</v>
      </c>
      <c r="Z476" s="26">
        <f t="shared" si="146"/>
        <v>9000</v>
      </c>
      <c r="AA476" s="26">
        <f t="shared" si="147"/>
        <v>9000</v>
      </c>
      <c r="AB476" s="33" t="s">
        <v>15</v>
      </c>
      <c r="AC476" s="324"/>
      <c r="AD476" s="181">
        <f t="shared" si="141"/>
        <v>8</v>
      </c>
      <c r="AE476" s="181">
        <f t="shared" si="148"/>
        <v>24000</v>
      </c>
      <c r="AF476" s="181">
        <v>3</v>
      </c>
      <c r="AG476" s="181">
        <v>3</v>
      </c>
      <c r="AH476" s="363" t="str">
        <f t="shared" si="149"/>
        <v/>
      </c>
      <c r="AI476" s="193">
        <v>3</v>
      </c>
      <c r="AJ476" s="188">
        <v>8</v>
      </c>
      <c r="AM476" s="69">
        <v>0</v>
      </c>
      <c r="AO476" s="367"/>
      <c r="AP476" s="367"/>
      <c r="AQ476" s="367"/>
    </row>
    <row r="477" spans="1:43" s="69" customFormat="1" ht="33" customHeight="1" x14ac:dyDescent="0.3">
      <c r="A477" s="130" t="s">
        <v>1078</v>
      </c>
      <c r="B477" s="240" t="s">
        <v>1079</v>
      </c>
      <c r="C477" s="132" t="s">
        <v>66</v>
      </c>
      <c r="D477" s="133">
        <v>75</v>
      </c>
      <c r="E477" s="75"/>
      <c r="F477" s="75"/>
      <c r="G477" s="75"/>
      <c r="H477" s="75"/>
      <c r="I477" s="75"/>
      <c r="J477" s="75">
        <v>12000</v>
      </c>
      <c r="K477" s="75">
        <v>900000</v>
      </c>
      <c r="L477" s="91" t="s">
        <v>1080</v>
      </c>
      <c r="M477" s="73"/>
      <c r="N477" s="46">
        <v>75</v>
      </c>
      <c r="O477" s="46">
        <v>0</v>
      </c>
      <c r="P477" s="46">
        <v>900000</v>
      </c>
      <c r="Q477" s="98"/>
      <c r="R477" s="23" t="s">
        <v>1429</v>
      </c>
      <c r="S477" s="24" t="s">
        <v>1079</v>
      </c>
      <c r="T477" s="25" t="s">
        <v>66</v>
      </c>
      <c r="U477" s="26">
        <v>75</v>
      </c>
      <c r="V477" s="26">
        <f t="shared" si="144"/>
        <v>75</v>
      </c>
      <c r="W477" s="26">
        <f t="shared" si="142"/>
        <v>12000</v>
      </c>
      <c r="X477" s="127">
        <f t="shared" si="145"/>
        <v>0</v>
      </c>
      <c r="Y477" s="127">
        <f t="shared" si="135"/>
        <v>75</v>
      </c>
      <c r="Z477" s="127">
        <f t="shared" si="146"/>
        <v>0</v>
      </c>
      <c r="AA477" s="127">
        <f t="shared" si="147"/>
        <v>900000</v>
      </c>
      <c r="AB477" s="33" t="s">
        <v>15</v>
      </c>
      <c r="AC477" s="324"/>
      <c r="AD477" s="181">
        <f t="shared" si="141"/>
        <v>75</v>
      </c>
      <c r="AE477" s="181">
        <f t="shared" si="148"/>
        <v>900000</v>
      </c>
      <c r="AF477" s="181">
        <v>3</v>
      </c>
      <c r="AG477" s="181">
        <v>3</v>
      </c>
      <c r="AH477" s="363" t="str">
        <f t="shared" si="149"/>
        <v/>
      </c>
      <c r="AI477" s="194">
        <f>50+25</f>
        <v>75</v>
      </c>
      <c r="AJ477" s="188">
        <v>75</v>
      </c>
      <c r="AM477" s="69">
        <v>0</v>
      </c>
      <c r="AO477" s="367"/>
      <c r="AP477" s="367"/>
      <c r="AQ477" s="367"/>
    </row>
    <row r="478" spans="1:43" s="69" customFormat="1" ht="33" customHeight="1" x14ac:dyDescent="0.3">
      <c r="A478" s="130" t="s">
        <v>1081</v>
      </c>
      <c r="B478" s="240" t="s">
        <v>1082</v>
      </c>
      <c r="C478" s="132" t="s">
        <v>1014</v>
      </c>
      <c r="D478" s="133">
        <v>75</v>
      </c>
      <c r="E478" s="75"/>
      <c r="F478" s="75"/>
      <c r="G478" s="75"/>
      <c r="H478" s="75"/>
      <c r="I478" s="75"/>
      <c r="J478" s="75">
        <v>1500</v>
      </c>
      <c r="K478" s="75">
        <v>112500</v>
      </c>
      <c r="L478" s="91" t="s">
        <v>1083</v>
      </c>
      <c r="M478" s="73"/>
      <c r="N478" s="46">
        <v>30</v>
      </c>
      <c r="O478" s="46">
        <v>0</v>
      </c>
      <c r="P478" s="46">
        <v>45000</v>
      </c>
      <c r="Q478" s="98"/>
      <c r="R478" s="23" t="s">
        <v>1430</v>
      </c>
      <c r="S478" s="24" t="s">
        <v>1082</v>
      </c>
      <c r="T478" s="25" t="s">
        <v>1014</v>
      </c>
      <c r="U478" s="26">
        <v>75</v>
      </c>
      <c r="V478" s="26">
        <f t="shared" si="144"/>
        <v>75</v>
      </c>
      <c r="W478" s="26">
        <f t="shared" si="142"/>
        <v>1500</v>
      </c>
      <c r="X478" s="127">
        <f t="shared" si="145"/>
        <v>0</v>
      </c>
      <c r="Y478" s="127">
        <f t="shared" si="135"/>
        <v>30</v>
      </c>
      <c r="Z478" s="127">
        <f t="shared" si="146"/>
        <v>0</v>
      </c>
      <c r="AA478" s="127">
        <f t="shared" si="147"/>
        <v>45000</v>
      </c>
      <c r="AB478" s="33" t="s">
        <v>15</v>
      </c>
      <c r="AC478" s="324"/>
      <c r="AD478" s="181">
        <f t="shared" si="141"/>
        <v>75</v>
      </c>
      <c r="AE478" s="181">
        <f t="shared" si="148"/>
        <v>112500</v>
      </c>
      <c r="AF478" s="181">
        <v>3</v>
      </c>
      <c r="AG478" s="181">
        <v>3</v>
      </c>
      <c r="AH478" s="363" t="str">
        <f t="shared" si="149"/>
        <v/>
      </c>
      <c r="AI478" s="194">
        <f>30</f>
        <v>30</v>
      </c>
      <c r="AJ478" s="188">
        <v>75</v>
      </c>
      <c r="AM478" s="69">
        <v>0</v>
      </c>
      <c r="AO478" s="367"/>
      <c r="AP478" s="367"/>
      <c r="AQ478" s="367"/>
    </row>
    <row r="479" spans="1:43" s="69" customFormat="1" ht="66" customHeight="1" x14ac:dyDescent="0.3">
      <c r="A479" s="130" t="s">
        <v>1084</v>
      </c>
      <c r="B479" s="358" t="s">
        <v>1085</v>
      </c>
      <c r="C479" s="132" t="s">
        <v>325</v>
      </c>
      <c r="D479" s="133">
        <v>1</v>
      </c>
      <c r="E479" s="75"/>
      <c r="F479" s="75"/>
      <c r="G479" s="75"/>
      <c r="H479" s="75"/>
      <c r="I479" s="75"/>
      <c r="J479" s="75">
        <v>12000</v>
      </c>
      <c r="K479" s="75">
        <v>12000</v>
      </c>
      <c r="L479" s="91" t="s">
        <v>1086</v>
      </c>
      <c r="M479" s="73"/>
      <c r="N479" s="46">
        <v>0</v>
      </c>
      <c r="O479" s="46">
        <v>0</v>
      </c>
      <c r="P479" s="46">
        <v>0</v>
      </c>
      <c r="Q479" s="98"/>
      <c r="R479" s="23" t="s">
        <v>1431</v>
      </c>
      <c r="S479" s="24" t="s">
        <v>1085</v>
      </c>
      <c r="T479" s="25" t="s">
        <v>325</v>
      </c>
      <c r="U479" s="26">
        <v>1</v>
      </c>
      <c r="V479" s="26">
        <f t="shared" si="144"/>
        <v>1</v>
      </c>
      <c r="W479" s="26">
        <f t="shared" si="142"/>
        <v>12000</v>
      </c>
      <c r="X479" s="199">
        <f t="shared" si="145"/>
        <v>1</v>
      </c>
      <c r="Y479" s="127">
        <f t="shared" si="135"/>
        <v>1</v>
      </c>
      <c r="Z479" s="127">
        <f t="shared" si="146"/>
        <v>12000</v>
      </c>
      <c r="AA479" s="127">
        <f t="shared" si="147"/>
        <v>12000</v>
      </c>
      <c r="AB479" s="33" t="s">
        <v>15</v>
      </c>
      <c r="AC479" s="324"/>
      <c r="AD479" s="181">
        <f t="shared" si="141"/>
        <v>1</v>
      </c>
      <c r="AE479" s="181">
        <f t="shared" si="148"/>
        <v>12000</v>
      </c>
      <c r="AF479" s="181">
        <v>3</v>
      </c>
      <c r="AG479" s="181">
        <v>3</v>
      </c>
      <c r="AH479" s="363" t="str">
        <f t="shared" si="149"/>
        <v/>
      </c>
      <c r="AI479" s="193">
        <v>1</v>
      </c>
      <c r="AJ479" s="188">
        <v>1</v>
      </c>
      <c r="AM479" s="69">
        <v>0</v>
      </c>
      <c r="AO479" s="367"/>
      <c r="AP479" s="367"/>
      <c r="AQ479" s="367"/>
    </row>
    <row r="480" spans="1:43" s="69" customFormat="1" ht="49.5" customHeight="1" x14ac:dyDescent="0.3">
      <c r="A480" s="130" t="s">
        <v>1087</v>
      </c>
      <c r="B480" s="240" t="s">
        <v>1088</v>
      </c>
      <c r="C480" s="132" t="s">
        <v>325</v>
      </c>
      <c r="D480" s="133">
        <v>1</v>
      </c>
      <c r="E480" s="75"/>
      <c r="F480" s="75"/>
      <c r="G480" s="75"/>
      <c r="H480" s="75"/>
      <c r="I480" s="75"/>
      <c r="J480" s="75">
        <v>2000</v>
      </c>
      <c r="K480" s="75">
        <v>2000</v>
      </c>
      <c r="L480" s="91" t="s">
        <v>1089</v>
      </c>
      <c r="M480" s="73"/>
      <c r="N480" s="46">
        <v>0</v>
      </c>
      <c r="O480" s="46">
        <v>0</v>
      </c>
      <c r="P480" s="46">
        <v>0</v>
      </c>
      <c r="Q480" s="98"/>
      <c r="R480" s="23" t="s">
        <v>1395</v>
      </c>
      <c r="S480" s="24" t="s">
        <v>1088</v>
      </c>
      <c r="T480" s="25" t="s">
        <v>325</v>
      </c>
      <c r="U480" s="26">
        <v>1</v>
      </c>
      <c r="V480" s="26">
        <f t="shared" si="144"/>
        <v>1</v>
      </c>
      <c r="W480" s="26">
        <f t="shared" si="142"/>
        <v>2000</v>
      </c>
      <c r="X480" s="199">
        <f t="shared" si="145"/>
        <v>1</v>
      </c>
      <c r="Y480" s="127">
        <f t="shared" si="135"/>
        <v>1</v>
      </c>
      <c r="Z480" s="127">
        <f t="shared" si="146"/>
        <v>2000</v>
      </c>
      <c r="AA480" s="127">
        <f t="shared" si="147"/>
        <v>2000</v>
      </c>
      <c r="AB480" s="33" t="s">
        <v>15</v>
      </c>
      <c r="AC480" s="324"/>
      <c r="AD480" s="181">
        <f t="shared" si="141"/>
        <v>1</v>
      </c>
      <c r="AE480" s="181">
        <f t="shared" si="148"/>
        <v>2000</v>
      </c>
      <c r="AF480" s="181">
        <v>3</v>
      </c>
      <c r="AG480" s="181">
        <v>3</v>
      </c>
      <c r="AH480" s="363" t="str">
        <f t="shared" si="149"/>
        <v/>
      </c>
      <c r="AI480" s="193">
        <v>1</v>
      </c>
      <c r="AJ480" s="188">
        <v>1</v>
      </c>
      <c r="AM480" s="69">
        <v>0</v>
      </c>
      <c r="AO480" s="367"/>
      <c r="AP480" s="367"/>
      <c r="AQ480" s="367"/>
    </row>
    <row r="481" spans="1:43" s="69" customFormat="1" ht="66" customHeight="1" x14ac:dyDescent="0.3">
      <c r="A481" s="55" t="s">
        <v>1090</v>
      </c>
      <c r="B481" s="138" t="s">
        <v>3119</v>
      </c>
      <c r="C481" s="54" t="s">
        <v>325</v>
      </c>
      <c r="D481" s="75">
        <v>14</v>
      </c>
      <c r="E481" s="75"/>
      <c r="F481" s="75"/>
      <c r="G481" s="75"/>
      <c r="H481" s="75"/>
      <c r="I481" s="75"/>
      <c r="J481" s="75">
        <v>3000</v>
      </c>
      <c r="K481" s="75">
        <v>42000</v>
      </c>
      <c r="L481" s="91" t="s">
        <v>1092</v>
      </c>
      <c r="M481" s="73"/>
      <c r="N481" s="46">
        <v>8</v>
      </c>
      <c r="O481" s="46">
        <v>0</v>
      </c>
      <c r="P481" s="46">
        <v>24000</v>
      </c>
      <c r="Q481" s="98"/>
      <c r="R481" s="23" t="s">
        <v>1432</v>
      </c>
      <c r="S481" s="24" t="s">
        <v>1091</v>
      </c>
      <c r="T481" s="25" t="s">
        <v>325</v>
      </c>
      <c r="U481" s="26">
        <v>14</v>
      </c>
      <c r="V481" s="26">
        <f t="shared" si="144"/>
        <v>14</v>
      </c>
      <c r="W481" s="26">
        <f t="shared" si="142"/>
        <v>3000</v>
      </c>
      <c r="X481" s="243">
        <f t="shared" si="145"/>
        <v>0</v>
      </c>
      <c r="Y481" s="26">
        <f t="shared" si="135"/>
        <v>8</v>
      </c>
      <c r="Z481" s="26">
        <f t="shared" si="146"/>
        <v>0</v>
      </c>
      <c r="AA481" s="26">
        <f t="shared" si="147"/>
        <v>24000</v>
      </c>
      <c r="AB481" s="33" t="s">
        <v>15</v>
      </c>
      <c r="AC481" s="324"/>
      <c r="AD481" s="181">
        <f t="shared" si="141"/>
        <v>14</v>
      </c>
      <c r="AE481" s="181">
        <f t="shared" si="148"/>
        <v>42000</v>
      </c>
      <c r="AF481" s="181">
        <v>3</v>
      </c>
      <c r="AG481" s="181">
        <v>3</v>
      </c>
      <c r="AH481" s="363" t="str">
        <f t="shared" si="149"/>
        <v/>
      </c>
      <c r="AI481" s="191">
        <f>8</f>
        <v>8</v>
      </c>
      <c r="AJ481" s="188">
        <v>14</v>
      </c>
      <c r="AM481" s="69">
        <v>0</v>
      </c>
      <c r="AO481" s="367"/>
      <c r="AP481" s="367"/>
      <c r="AQ481" s="367"/>
    </row>
    <row r="482" spans="1:43" s="69" customFormat="1" ht="49.5" customHeight="1" x14ac:dyDescent="0.3">
      <c r="A482" s="130" t="s">
        <v>1093</v>
      </c>
      <c r="B482" s="358" t="s">
        <v>1094</v>
      </c>
      <c r="C482" s="132" t="s">
        <v>325</v>
      </c>
      <c r="D482" s="133">
        <v>3</v>
      </c>
      <c r="E482" s="75"/>
      <c r="F482" s="75"/>
      <c r="G482" s="75"/>
      <c r="H482" s="75"/>
      <c r="I482" s="75"/>
      <c r="J482" s="75">
        <v>1400</v>
      </c>
      <c r="K482" s="75">
        <v>4200</v>
      </c>
      <c r="L482" s="91" t="s">
        <v>1095</v>
      </c>
      <c r="M482" s="73"/>
      <c r="N482" s="46">
        <v>3</v>
      </c>
      <c r="O482" s="46">
        <v>0</v>
      </c>
      <c r="P482" s="46">
        <v>4200</v>
      </c>
      <c r="Q482" s="98"/>
      <c r="R482" s="23" t="s">
        <v>1433</v>
      </c>
      <c r="S482" s="24" t="s">
        <v>1094</v>
      </c>
      <c r="T482" s="25" t="s">
        <v>325</v>
      </c>
      <c r="U482" s="26">
        <v>3</v>
      </c>
      <c r="V482" s="26">
        <f t="shared" si="144"/>
        <v>3</v>
      </c>
      <c r="W482" s="26">
        <f t="shared" si="142"/>
        <v>1400</v>
      </c>
      <c r="X482" s="127">
        <f t="shared" si="145"/>
        <v>0</v>
      </c>
      <c r="Y482" s="127">
        <f t="shared" si="135"/>
        <v>3</v>
      </c>
      <c r="Z482" s="127">
        <f t="shared" si="146"/>
        <v>0</v>
      </c>
      <c r="AA482" s="127">
        <f t="shared" si="147"/>
        <v>4200</v>
      </c>
      <c r="AB482" s="33" t="s">
        <v>15</v>
      </c>
      <c r="AC482" s="324"/>
      <c r="AD482" s="181">
        <f t="shared" si="141"/>
        <v>3</v>
      </c>
      <c r="AE482" s="181">
        <f t="shared" si="148"/>
        <v>4200</v>
      </c>
      <c r="AF482" s="181">
        <v>3</v>
      </c>
      <c r="AG482" s="181">
        <v>3</v>
      </c>
      <c r="AH482" s="363" t="str">
        <f t="shared" si="149"/>
        <v/>
      </c>
      <c r="AI482" s="194">
        <f>3</f>
        <v>3</v>
      </c>
      <c r="AJ482" s="188">
        <v>3</v>
      </c>
      <c r="AM482" s="69">
        <v>0</v>
      </c>
      <c r="AO482" s="367"/>
      <c r="AP482" s="367"/>
      <c r="AQ482" s="367"/>
    </row>
    <row r="483" spans="1:43" s="69" customFormat="1" ht="66" customHeight="1" x14ac:dyDescent="0.3">
      <c r="A483" s="55" t="s">
        <v>1096</v>
      </c>
      <c r="B483" s="138" t="s">
        <v>3140</v>
      </c>
      <c r="C483" s="54" t="s">
        <v>66</v>
      </c>
      <c r="D483" s="75">
        <v>5</v>
      </c>
      <c r="E483" s="75"/>
      <c r="F483" s="75"/>
      <c r="G483" s="75"/>
      <c r="H483" s="75"/>
      <c r="I483" s="75"/>
      <c r="J483" s="75">
        <v>18000</v>
      </c>
      <c r="K483" s="75">
        <v>90000</v>
      </c>
      <c r="L483" s="91" t="s">
        <v>1098</v>
      </c>
      <c r="M483" s="73"/>
      <c r="N483" s="46">
        <v>0</v>
      </c>
      <c r="O483" s="46">
        <v>0</v>
      </c>
      <c r="P483" s="46">
        <v>0</v>
      </c>
      <c r="Q483" s="98"/>
      <c r="R483" s="23" t="s">
        <v>1382</v>
      </c>
      <c r="S483" s="24" t="s">
        <v>1097</v>
      </c>
      <c r="T483" s="25" t="s">
        <v>66</v>
      </c>
      <c r="U483" s="26">
        <v>5</v>
      </c>
      <c r="V483" s="26">
        <f t="shared" si="144"/>
        <v>5</v>
      </c>
      <c r="W483" s="26">
        <f t="shared" si="142"/>
        <v>18000</v>
      </c>
      <c r="X483" s="26">
        <f t="shared" si="145"/>
        <v>0</v>
      </c>
      <c r="Y483" s="26">
        <f t="shared" si="135"/>
        <v>0</v>
      </c>
      <c r="Z483" s="26">
        <f t="shared" si="146"/>
        <v>0</v>
      </c>
      <c r="AA483" s="26">
        <f t="shared" si="147"/>
        <v>0</v>
      </c>
      <c r="AB483" s="33" t="s">
        <v>15</v>
      </c>
      <c r="AC483" s="324"/>
      <c r="AD483" s="181">
        <f t="shared" si="141"/>
        <v>5</v>
      </c>
      <c r="AE483" s="181">
        <f t="shared" si="148"/>
        <v>90000</v>
      </c>
      <c r="AF483" s="181">
        <v>3</v>
      </c>
      <c r="AG483" s="181">
        <v>3</v>
      </c>
      <c r="AH483" s="363" t="str">
        <f t="shared" si="149"/>
        <v/>
      </c>
      <c r="AI483" s="190">
        <v>0</v>
      </c>
      <c r="AJ483" s="188">
        <v>5</v>
      </c>
      <c r="AM483" s="69">
        <v>0</v>
      </c>
      <c r="AO483" s="367"/>
      <c r="AP483" s="367"/>
      <c r="AQ483" s="367"/>
    </row>
    <row r="484" spans="1:43" s="69" customFormat="1" ht="49.5" customHeight="1" x14ac:dyDescent="0.3">
      <c r="A484" s="55" t="s">
        <v>1099</v>
      </c>
      <c r="B484" s="138" t="s">
        <v>1100</v>
      </c>
      <c r="C484" s="54" t="s">
        <v>66</v>
      </c>
      <c r="D484" s="75">
        <v>1</v>
      </c>
      <c r="E484" s="75"/>
      <c r="F484" s="75"/>
      <c r="G484" s="75"/>
      <c r="H484" s="75"/>
      <c r="I484" s="75"/>
      <c r="J484" s="75">
        <v>9000</v>
      </c>
      <c r="K484" s="75">
        <v>9000</v>
      </c>
      <c r="L484" s="91" t="s">
        <v>1101</v>
      </c>
      <c r="M484" s="73"/>
      <c r="N484" s="46">
        <v>0</v>
      </c>
      <c r="O484" s="46">
        <v>0</v>
      </c>
      <c r="P484" s="46">
        <v>0</v>
      </c>
      <c r="Q484" s="98"/>
      <c r="R484" s="23" t="s">
        <v>1434</v>
      </c>
      <c r="S484" s="24" t="s">
        <v>1100</v>
      </c>
      <c r="T484" s="25" t="s">
        <v>66</v>
      </c>
      <c r="U484" s="26">
        <v>1</v>
      </c>
      <c r="V484" s="26">
        <f t="shared" si="144"/>
        <v>1</v>
      </c>
      <c r="W484" s="26">
        <f t="shared" si="142"/>
        <v>9000</v>
      </c>
      <c r="X484" s="26">
        <f t="shared" si="145"/>
        <v>0</v>
      </c>
      <c r="Y484" s="26">
        <f t="shared" si="135"/>
        <v>0</v>
      </c>
      <c r="Z484" s="26">
        <f t="shared" si="146"/>
        <v>0</v>
      </c>
      <c r="AA484" s="26">
        <f t="shared" si="147"/>
        <v>0</v>
      </c>
      <c r="AB484" s="33" t="s">
        <v>15</v>
      </c>
      <c r="AC484" s="324"/>
      <c r="AD484" s="181">
        <f t="shared" si="141"/>
        <v>1</v>
      </c>
      <c r="AE484" s="181">
        <f t="shared" si="148"/>
        <v>9000</v>
      </c>
      <c r="AF484" s="181">
        <v>3</v>
      </c>
      <c r="AG484" s="181">
        <v>3</v>
      </c>
      <c r="AH484" s="363" t="str">
        <f t="shared" si="149"/>
        <v/>
      </c>
      <c r="AI484" s="190">
        <v>0</v>
      </c>
      <c r="AJ484" s="188">
        <v>1</v>
      </c>
      <c r="AM484" s="69">
        <v>0</v>
      </c>
      <c r="AO484" s="367"/>
      <c r="AP484" s="367"/>
      <c r="AQ484" s="367"/>
    </row>
    <row r="485" spans="1:43" s="69" customFormat="1" ht="49.5" customHeight="1" x14ac:dyDescent="0.3">
      <c r="A485" s="55" t="s">
        <v>1102</v>
      </c>
      <c r="B485" s="138" t="s">
        <v>3120</v>
      </c>
      <c r="C485" s="54" t="s">
        <v>325</v>
      </c>
      <c r="D485" s="75">
        <v>3</v>
      </c>
      <c r="E485" s="75"/>
      <c r="F485" s="75"/>
      <c r="G485" s="75"/>
      <c r="H485" s="75"/>
      <c r="I485" s="75"/>
      <c r="J485" s="75">
        <v>6000</v>
      </c>
      <c r="K485" s="75">
        <v>18000</v>
      </c>
      <c r="L485" s="91" t="s">
        <v>1104</v>
      </c>
      <c r="M485" s="73"/>
      <c r="N485" s="46">
        <v>1</v>
      </c>
      <c r="O485" s="46">
        <v>0</v>
      </c>
      <c r="P485" s="46">
        <v>6000</v>
      </c>
      <c r="Q485" s="98"/>
      <c r="R485" s="23" t="s">
        <v>1388</v>
      </c>
      <c r="S485" s="24" t="s">
        <v>1103</v>
      </c>
      <c r="T485" s="25" t="s">
        <v>325</v>
      </c>
      <c r="U485" s="26">
        <v>3</v>
      </c>
      <c r="V485" s="26">
        <f t="shared" si="144"/>
        <v>3</v>
      </c>
      <c r="W485" s="26">
        <f t="shared" si="142"/>
        <v>6000</v>
      </c>
      <c r="X485" s="243">
        <f t="shared" si="145"/>
        <v>0</v>
      </c>
      <c r="Y485" s="26">
        <f t="shared" si="135"/>
        <v>1</v>
      </c>
      <c r="Z485" s="26">
        <f t="shared" si="146"/>
        <v>0</v>
      </c>
      <c r="AA485" s="26">
        <f t="shared" si="147"/>
        <v>6000</v>
      </c>
      <c r="AB485" s="33" t="s">
        <v>15</v>
      </c>
      <c r="AC485" s="324"/>
      <c r="AD485" s="181">
        <f t="shared" si="141"/>
        <v>3</v>
      </c>
      <c r="AE485" s="181">
        <f t="shared" si="148"/>
        <v>18000</v>
      </c>
      <c r="AF485" s="181">
        <v>3</v>
      </c>
      <c r="AG485" s="181">
        <v>3</v>
      </c>
      <c r="AH485" s="363" t="str">
        <f t="shared" si="149"/>
        <v/>
      </c>
      <c r="AI485" s="191">
        <f>1</f>
        <v>1</v>
      </c>
      <c r="AJ485" s="188">
        <v>3</v>
      </c>
      <c r="AM485" s="69">
        <v>0</v>
      </c>
      <c r="AO485" s="367"/>
      <c r="AP485" s="367"/>
      <c r="AQ485" s="367"/>
    </row>
    <row r="486" spans="1:43" s="69" customFormat="1" ht="49.5" customHeight="1" x14ac:dyDescent="0.3">
      <c r="A486" s="130" t="s">
        <v>1105</v>
      </c>
      <c r="B486" s="240" t="s">
        <v>3121</v>
      </c>
      <c r="C486" s="132" t="s">
        <v>66</v>
      </c>
      <c r="D486" s="133">
        <v>1</v>
      </c>
      <c r="E486" s="75"/>
      <c r="F486" s="75"/>
      <c r="G486" s="75"/>
      <c r="H486" s="75"/>
      <c r="I486" s="75"/>
      <c r="J486" s="75">
        <v>2500</v>
      </c>
      <c r="K486" s="75">
        <v>2500</v>
      </c>
      <c r="L486" s="91" t="s">
        <v>1107</v>
      </c>
      <c r="M486" s="73"/>
      <c r="N486" s="46">
        <v>1</v>
      </c>
      <c r="O486" s="46">
        <v>0</v>
      </c>
      <c r="P486" s="46">
        <v>2500</v>
      </c>
      <c r="Q486" s="98"/>
      <c r="R486" s="23" t="s">
        <v>1389</v>
      </c>
      <c r="S486" s="24" t="s">
        <v>1106</v>
      </c>
      <c r="T486" s="25" t="s">
        <v>66</v>
      </c>
      <c r="U486" s="26">
        <v>1</v>
      </c>
      <c r="V486" s="26">
        <f t="shared" si="144"/>
        <v>1</v>
      </c>
      <c r="W486" s="26">
        <f t="shared" si="142"/>
        <v>2500</v>
      </c>
      <c r="X486" s="127">
        <f t="shared" si="145"/>
        <v>0</v>
      </c>
      <c r="Y486" s="127">
        <f t="shared" si="135"/>
        <v>1</v>
      </c>
      <c r="Z486" s="127">
        <f t="shared" si="146"/>
        <v>0</v>
      </c>
      <c r="AA486" s="127">
        <f t="shared" si="147"/>
        <v>2500</v>
      </c>
      <c r="AB486" s="33" t="s">
        <v>15</v>
      </c>
      <c r="AC486" s="324"/>
      <c r="AD486" s="181">
        <f t="shared" si="141"/>
        <v>1</v>
      </c>
      <c r="AE486" s="181">
        <f t="shared" si="148"/>
        <v>2500</v>
      </c>
      <c r="AF486" s="181">
        <v>3</v>
      </c>
      <c r="AG486" s="181">
        <v>3</v>
      </c>
      <c r="AH486" s="363" t="str">
        <f t="shared" si="149"/>
        <v/>
      </c>
      <c r="AI486" s="194">
        <f>1</f>
        <v>1</v>
      </c>
      <c r="AJ486" s="188">
        <v>1</v>
      </c>
      <c r="AM486" s="69">
        <v>0</v>
      </c>
      <c r="AO486" s="367"/>
      <c r="AP486" s="367"/>
      <c r="AQ486" s="367"/>
    </row>
    <row r="487" spans="1:43" s="69" customFormat="1" ht="49.5" customHeight="1" x14ac:dyDescent="0.3">
      <c r="A487" s="130" t="s">
        <v>1108</v>
      </c>
      <c r="B487" s="240" t="s">
        <v>1109</v>
      </c>
      <c r="C487" s="132" t="s">
        <v>66</v>
      </c>
      <c r="D487" s="133">
        <v>1</v>
      </c>
      <c r="E487" s="75"/>
      <c r="F487" s="75"/>
      <c r="G487" s="75"/>
      <c r="H487" s="75"/>
      <c r="I487" s="75"/>
      <c r="J487" s="75">
        <v>2500</v>
      </c>
      <c r="K487" s="75">
        <v>2500</v>
      </c>
      <c r="L487" s="91" t="s">
        <v>1110</v>
      </c>
      <c r="M487" s="73"/>
      <c r="N487" s="46">
        <v>1</v>
      </c>
      <c r="O487" s="46">
        <v>0</v>
      </c>
      <c r="P487" s="46">
        <v>2500</v>
      </c>
      <c r="Q487" s="98"/>
      <c r="R487" s="23" t="s">
        <v>1390</v>
      </c>
      <c r="S487" s="24" t="s">
        <v>1109</v>
      </c>
      <c r="T487" s="25" t="s">
        <v>66</v>
      </c>
      <c r="U487" s="26">
        <v>1</v>
      </c>
      <c r="V487" s="26">
        <f t="shared" si="144"/>
        <v>1</v>
      </c>
      <c r="W487" s="26">
        <f t="shared" si="142"/>
        <v>2500</v>
      </c>
      <c r="X487" s="127">
        <f t="shared" si="145"/>
        <v>0</v>
      </c>
      <c r="Y487" s="127">
        <f t="shared" si="135"/>
        <v>1</v>
      </c>
      <c r="Z487" s="127">
        <f t="shared" si="146"/>
        <v>0</v>
      </c>
      <c r="AA487" s="127">
        <f t="shared" si="147"/>
        <v>2500</v>
      </c>
      <c r="AB487" s="33" t="s">
        <v>15</v>
      </c>
      <c r="AC487" s="324"/>
      <c r="AD487" s="181">
        <f t="shared" si="141"/>
        <v>1</v>
      </c>
      <c r="AE487" s="181">
        <f t="shared" si="148"/>
        <v>2500</v>
      </c>
      <c r="AF487" s="181">
        <v>3</v>
      </c>
      <c r="AG487" s="181">
        <v>3</v>
      </c>
      <c r="AH487" s="363" t="str">
        <f t="shared" si="149"/>
        <v/>
      </c>
      <c r="AI487" s="194">
        <f>1</f>
        <v>1</v>
      </c>
      <c r="AJ487" s="188">
        <v>1</v>
      </c>
      <c r="AM487" s="69">
        <v>0</v>
      </c>
      <c r="AO487" s="367"/>
      <c r="AP487" s="367"/>
      <c r="AQ487" s="367"/>
    </row>
    <row r="488" spans="1:43" s="69" customFormat="1" ht="49.5" customHeight="1" x14ac:dyDescent="0.3">
      <c r="A488" s="55" t="s">
        <v>1111</v>
      </c>
      <c r="B488" s="254" t="s">
        <v>3296</v>
      </c>
      <c r="C488" s="54" t="s">
        <v>325</v>
      </c>
      <c r="D488" s="75">
        <v>4</v>
      </c>
      <c r="E488" s="75"/>
      <c r="F488" s="75"/>
      <c r="G488" s="75"/>
      <c r="H488" s="75"/>
      <c r="I488" s="75"/>
      <c r="J488" s="75">
        <v>3000</v>
      </c>
      <c r="K488" s="75">
        <v>12000</v>
      </c>
      <c r="L488" s="91" t="s">
        <v>1113</v>
      </c>
      <c r="M488" s="73"/>
      <c r="N488" s="46">
        <v>2</v>
      </c>
      <c r="O488" s="46">
        <v>0</v>
      </c>
      <c r="P488" s="46">
        <v>6000</v>
      </c>
      <c r="Q488" s="98"/>
      <c r="R488" s="23" t="s">
        <v>1391</v>
      </c>
      <c r="S488" s="24" t="s">
        <v>1112</v>
      </c>
      <c r="T488" s="25" t="s">
        <v>325</v>
      </c>
      <c r="U488" s="26">
        <v>4</v>
      </c>
      <c r="V488" s="26">
        <f t="shared" si="144"/>
        <v>4</v>
      </c>
      <c r="W488" s="26">
        <f t="shared" si="142"/>
        <v>3000</v>
      </c>
      <c r="X488" s="243">
        <f t="shared" si="145"/>
        <v>0</v>
      </c>
      <c r="Y488" s="26">
        <f t="shared" si="135"/>
        <v>2</v>
      </c>
      <c r="Z488" s="26">
        <f t="shared" si="146"/>
        <v>0</v>
      </c>
      <c r="AA488" s="26">
        <f t="shared" si="147"/>
        <v>6000</v>
      </c>
      <c r="AB488" s="33" t="s">
        <v>15</v>
      </c>
      <c r="AC488" s="324"/>
      <c r="AD488" s="181">
        <f t="shared" si="141"/>
        <v>4</v>
      </c>
      <c r="AE488" s="181">
        <f t="shared" si="148"/>
        <v>12000</v>
      </c>
      <c r="AF488" s="181">
        <v>3</v>
      </c>
      <c r="AG488" s="181">
        <v>3</v>
      </c>
      <c r="AH488" s="363" t="str">
        <f t="shared" si="149"/>
        <v/>
      </c>
      <c r="AI488" s="191">
        <f>2</f>
        <v>2</v>
      </c>
      <c r="AJ488" s="188">
        <v>4</v>
      </c>
      <c r="AM488" s="69">
        <v>0</v>
      </c>
      <c r="AO488" s="367"/>
      <c r="AP488" s="367"/>
      <c r="AQ488" s="367"/>
    </row>
    <row r="489" spans="1:43" s="69" customFormat="1" ht="66" customHeight="1" x14ac:dyDescent="0.3">
      <c r="A489" s="130" t="s">
        <v>1114</v>
      </c>
      <c r="B489" s="240" t="s">
        <v>3123</v>
      </c>
      <c r="C489" s="132" t="s">
        <v>325</v>
      </c>
      <c r="D489" s="133">
        <v>2</v>
      </c>
      <c r="E489" s="75"/>
      <c r="F489" s="75"/>
      <c r="G489" s="75"/>
      <c r="H489" s="75"/>
      <c r="I489" s="75"/>
      <c r="J489" s="75">
        <v>20000</v>
      </c>
      <c r="K489" s="75">
        <v>40000</v>
      </c>
      <c r="L489" s="91" t="s">
        <v>1116</v>
      </c>
      <c r="M489" s="73"/>
      <c r="N489" s="46">
        <v>2</v>
      </c>
      <c r="O489" s="46">
        <v>0</v>
      </c>
      <c r="P489" s="46">
        <v>40000</v>
      </c>
      <c r="Q489" s="98"/>
      <c r="R489" s="23" t="s">
        <v>1436</v>
      </c>
      <c r="S489" s="24" t="s">
        <v>1115</v>
      </c>
      <c r="T489" s="25" t="s">
        <v>325</v>
      </c>
      <c r="U489" s="26">
        <v>2</v>
      </c>
      <c r="V489" s="26">
        <f t="shared" si="144"/>
        <v>2</v>
      </c>
      <c r="W489" s="26">
        <f t="shared" si="142"/>
        <v>20000</v>
      </c>
      <c r="X489" s="127">
        <f t="shared" si="145"/>
        <v>0</v>
      </c>
      <c r="Y489" s="127">
        <f t="shared" si="135"/>
        <v>2</v>
      </c>
      <c r="Z489" s="127">
        <f t="shared" si="146"/>
        <v>0</v>
      </c>
      <c r="AA489" s="127">
        <f t="shared" si="147"/>
        <v>40000</v>
      </c>
      <c r="AB489" s="33" t="s">
        <v>15</v>
      </c>
      <c r="AC489" s="324"/>
      <c r="AD489" s="181">
        <f t="shared" si="141"/>
        <v>2</v>
      </c>
      <c r="AE489" s="181">
        <f t="shared" si="148"/>
        <v>40000</v>
      </c>
      <c r="AF489" s="181">
        <v>3</v>
      </c>
      <c r="AG489" s="181">
        <v>3</v>
      </c>
      <c r="AH489" s="363" t="str">
        <f t="shared" si="149"/>
        <v/>
      </c>
      <c r="AI489" s="194">
        <f>2</f>
        <v>2</v>
      </c>
      <c r="AJ489" s="188">
        <v>2</v>
      </c>
      <c r="AM489" s="69">
        <v>0</v>
      </c>
      <c r="AO489" s="367"/>
      <c r="AP489" s="367"/>
      <c r="AQ489" s="367"/>
    </row>
    <row r="490" spans="1:43" s="69" customFormat="1" ht="49.5" customHeight="1" x14ac:dyDescent="0.3">
      <c r="A490" s="55" t="s">
        <v>1117</v>
      </c>
      <c r="B490" s="254" t="s">
        <v>1118</v>
      </c>
      <c r="C490" s="54" t="s">
        <v>66</v>
      </c>
      <c r="D490" s="75">
        <v>1</v>
      </c>
      <c r="E490" s="75"/>
      <c r="F490" s="75"/>
      <c r="G490" s="75"/>
      <c r="H490" s="75"/>
      <c r="I490" s="75"/>
      <c r="J490" s="75">
        <v>15000</v>
      </c>
      <c r="K490" s="75">
        <v>15000</v>
      </c>
      <c r="L490" s="91" t="s">
        <v>1119</v>
      </c>
      <c r="M490" s="73"/>
      <c r="N490" s="46">
        <v>0</v>
      </c>
      <c r="O490" s="46">
        <v>0</v>
      </c>
      <c r="P490" s="46">
        <v>0</v>
      </c>
      <c r="Q490" s="98"/>
      <c r="R490" s="23" t="s">
        <v>1374</v>
      </c>
      <c r="S490" s="24" t="s">
        <v>1118</v>
      </c>
      <c r="T490" s="25" t="s">
        <v>66</v>
      </c>
      <c r="U490" s="26">
        <v>1</v>
      </c>
      <c r="V490" s="26">
        <f t="shared" si="144"/>
        <v>1</v>
      </c>
      <c r="W490" s="26">
        <f t="shared" si="142"/>
        <v>15000</v>
      </c>
      <c r="X490" s="26">
        <f t="shared" si="145"/>
        <v>0</v>
      </c>
      <c r="Y490" s="26">
        <f t="shared" si="135"/>
        <v>0</v>
      </c>
      <c r="Z490" s="26">
        <f t="shared" si="146"/>
        <v>0</v>
      </c>
      <c r="AA490" s="26">
        <f t="shared" si="147"/>
        <v>0</v>
      </c>
      <c r="AB490" s="33" t="s">
        <v>15</v>
      </c>
      <c r="AC490" s="324"/>
      <c r="AD490" s="181">
        <f t="shared" si="141"/>
        <v>1</v>
      </c>
      <c r="AE490" s="181">
        <f t="shared" si="148"/>
        <v>15000</v>
      </c>
      <c r="AF490" s="181">
        <v>3</v>
      </c>
      <c r="AG490" s="181">
        <v>3</v>
      </c>
      <c r="AH490" s="363" t="str">
        <f t="shared" si="149"/>
        <v/>
      </c>
      <c r="AI490" s="190">
        <v>0</v>
      </c>
      <c r="AJ490" s="188">
        <v>1</v>
      </c>
      <c r="AM490" s="69">
        <v>0</v>
      </c>
      <c r="AO490" s="367"/>
      <c r="AP490" s="367"/>
      <c r="AQ490" s="367"/>
    </row>
    <row r="491" spans="1:43" s="69" customFormat="1" ht="49.5" customHeight="1" x14ac:dyDescent="0.3">
      <c r="A491" s="55" t="s">
        <v>1120</v>
      </c>
      <c r="B491" s="254" t="s">
        <v>3297</v>
      </c>
      <c r="C491" s="54" t="s">
        <v>1122</v>
      </c>
      <c r="D491" s="75">
        <v>3</v>
      </c>
      <c r="E491" s="75"/>
      <c r="F491" s="75"/>
      <c r="G491" s="75"/>
      <c r="H491" s="75"/>
      <c r="I491" s="75"/>
      <c r="J491" s="75">
        <v>1300</v>
      </c>
      <c r="K491" s="75">
        <v>3900</v>
      </c>
      <c r="L491" s="91" t="s">
        <v>1123</v>
      </c>
      <c r="M491" s="73"/>
      <c r="N491" s="46">
        <v>0</v>
      </c>
      <c r="O491" s="46">
        <v>0</v>
      </c>
      <c r="P491" s="46">
        <v>0</v>
      </c>
      <c r="Q491" s="98"/>
      <c r="R491" s="23" t="s">
        <v>1376</v>
      </c>
      <c r="S491" s="24" t="s">
        <v>1121</v>
      </c>
      <c r="T491" s="25" t="s">
        <v>1122</v>
      </c>
      <c r="U491" s="26">
        <v>3</v>
      </c>
      <c r="V491" s="26">
        <f t="shared" si="144"/>
        <v>3</v>
      </c>
      <c r="W491" s="26">
        <f t="shared" si="142"/>
        <v>1300</v>
      </c>
      <c r="X491" s="26">
        <f t="shared" si="145"/>
        <v>0</v>
      </c>
      <c r="Y491" s="26">
        <f t="shared" si="135"/>
        <v>0</v>
      </c>
      <c r="Z491" s="26">
        <f t="shared" si="146"/>
        <v>0</v>
      </c>
      <c r="AA491" s="26">
        <f t="shared" si="147"/>
        <v>0</v>
      </c>
      <c r="AB491" s="33" t="s">
        <v>15</v>
      </c>
      <c r="AC491" s="324"/>
      <c r="AD491" s="181">
        <f t="shared" si="141"/>
        <v>3</v>
      </c>
      <c r="AE491" s="181">
        <f t="shared" si="148"/>
        <v>3900</v>
      </c>
      <c r="AF491" s="181">
        <v>3</v>
      </c>
      <c r="AG491" s="181">
        <v>3</v>
      </c>
      <c r="AH491" s="363" t="str">
        <f t="shared" si="149"/>
        <v/>
      </c>
      <c r="AI491" s="190">
        <v>0</v>
      </c>
      <c r="AJ491" s="188">
        <v>3</v>
      </c>
      <c r="AM491" s="69">
        <v>0</v>
      </c>
      <c r="AO491" s="367"/>
      <c r="AP491" s="367"/>
      <c r="AQ491" s="367"/>
    </row>
    <row r="492" spans="1:43" s="69" customFormat="1" ht="33" customHeight="1" x14ac:dyDescent="0.3">
      <c r="A492" s="55" t="s">
        <v>1124</v>
      </c>
      <c r="B492" s="138" t="s">
        <v>3124</v>
      </c>
      <c r="C492" s="54" t="s">
        <v>1122</v>
      </c>
      <c r="D492" s="75">
        <v>6</v>
      </c>
      <c r="E492" s="75"/>
      <c r="F492" s="75"/>
      <c r="G492" s="75"/>
      <c r="H492" s="75"/>
      <c r="I492" s="75"/>
      <c r="J492" s="75">
        <v>1000</v>
      </c>
      <c r="K492" s="75">
        <v>6000</v>
      </c>
      <c r="L492" s="91" t="s">
        <v>1126</v>
      </c>
      <c r="M492" s="73"/>
      <c r="N492" s="46">
        <v>0</v>
      </c>
      <c r="O492" s="46">
        <v>0</v>
      </c>
      <c r="P492" s="46">
        <v>0</v>
      </c>
      <c r="Q492" s="98"/>
      <c r="R492" s="23" t="s">
        <v>1378</v>
      </c>
      <c r="S492" s="24" t="s">
        <v>1125</v>
      </c>
      <c r="T492" s="25" t="s">
        <v>1122</v>
      </c>
      <c r="U492" s="26">
        <v>6</v>
      </c>
      <c r="V492" s="26">
        <f t="shared" si="144"/>
        <v>6</v>
      </c>
      <c r="W492" s="26">
        <f t="shared" si="142"/>
        <v>1000</v>
      </c>
      <c r="X492" s="26">
        <f t="shared" si="145"/>
        <v>0</v>
      </c>
      <c r="Y492" s="26">
        <f t="shared" si="135"/>
        <v>0</v>
      </c>
      <c r="Z492" s="26">
        <f t="shared" si="146"/>
        <v>0</v>
      </c>
      <c r="AA492" s="26">
        <f t="shared" si="147"/>
        <v>0</v>
      </c>
      <c r="AB492" s="33" t="s">
        <v>15</v>
      </c>
      <c r="AC492" s="324"/>
      <c r="AD492" s="181">
        <f t="shared" si="141"/>
        <v>6</v>
      </c>
      <c r="AE492" s="181">
        <f t="shared" si="148"/>
        <v>6000</v>
      </c>
      <c r="AF492" s="181">
        <v>3</v>
      </c>
      <c r="AG492" s="181">
        <v>3</v>
      </c>
      <c r="AH492" s="363" t="str">
        <f t="shared" si="149"/>
        <v/>
      </c>
      <c r="AI492" s="190">
        <v>0</v>
      </c>
      <c r="AJ492" s="188">
        <v>6</v>
      </c>
      <c r="AM492" s="69">
        <v>0</v>
      </c>
      <c r="AO492" s="367"/>
      <c r="AP492" s="367"/>
      <c r="AQ492" s="367"/>
    </row>
    <row r="493" spans="1:43" s="69" customFormat="1" ht="33" customHeight="1" x14ac:dyDescent="0.3">
      <c r="A493" s="55" t="s">
        <v>1127</v>
      </c>
      <c r="B493" s="138" t="s">
        <v>1128</v>
      </c>
      <c r="C493" s="54" t="s">
        <v>325</v>
      </c>
      <c r="D493" s="75">
        <v>2</v>
      </c>
      <c r="E493" s="75"/>
      <c r="F493" s="75"/>
      <c r="G493" s="75"/>
      <c r="H493" s="75"/>
      <c r="I493" s="75"/>
      <c r="J493" s="75">
        <v>9000</v>
      </c>
      <c r="K493" s="75">
        <v>18000</v>
      </c>
      <c r="L493" s="91" t="s">
        <v>1129</v>
      </c>
      <c r="M493" s="73"/>
      <c r="N493" s="46">
        <v>0</v>
      </c>
      <c r="O493" s="46">
        <v>0</v>
      </c>
      <c r="P493" s="46">
        <v>0</v>
      </c>
      <c r="Q493" s="98"/>
      <c r="R493" s="23" t="s">
        <v>1438</v>
      </c>
      <c r="S493" s="24" t="s">
        <v>1128</v>
      </c>
      <c r="T493" s="25" t="s">
        <v>325</v>
      </c>
      <c r="U493" s="26">
        <v>2</v>
      </c>
      <c r="V493" s="26">
        <f t="shared" si="144"/>
        <v>2</v>
      </c>
      <c r="W493" s="26">
        <f t="shared" si="142"/>
        <v>9000</v>
      </c>
      <c r="X493" s="26">
        <f t="shared" si="145"/>
        <v>0</v>
      </c>
      <c r="Y493" s="26">
        <f t="shared" si="135"/>
        <v>0</v>
      </c>
      <c r="Z493" s="26">
        <f t="shared" si="146"/>
        <v>0</v>
      </c>
      <c r="AA493" s="26">
        <f t="shared" si="147"/>
        <v>0</v>
      </c>
      <c r="AB493" s="33" t="s">
        <v>15</v>
      </c>
      <c r="AC493" s="324"/>
      <c r="AD493" s="181">
        <f t="shared" si="141"/>
        <v>2</v>
      </c>
      <c r="AE493" s="181">
        <f t="shared" si="148"/>
        <v>18000</v>
      </c>
      <c r="AF493" s="181">
        <v>3</v>
      </c>
      <c r="AG493" s="181">
        <v>3</v>
      </c>
      <c r="AH493" s="363" t="str">
        <f t="shared" si="149"/>
        <v/>
      </c>
      <c r="AI493" s="190">
        <v>0</v>
      </c>
      <c r="AJ493" s="188">
        <v>2</v>
      </c>
      <c r="AM493" s="69">
        <v>0</v>
      </c>
      <c r="AO493" s="367"/>
      <c r="AP493" s="367"/>
      <c r="AQ493" s="367"/>
    </row>
    <row r="494" spans="1:43" s="69" customFormat="1" ht="49.5" customHeight="1" x14ac:dyDescent="0.3">
      <c r="A494" s="55" t="s">
        <v>1130</v>
      </c>
      <c r="B494" s="138" t="s">
        <v>3127</v>
      </c>
      <c r="C494" s="54" t="s">
        <v>325</v>
      </c>
      <c r="D494" s="75">
        <v>3</v>
      </c>
      <c r="E494" s="75"/>
      <c r="F494" s="75"/>
      <c r="G494" s="75"/>
      <c r="H494" s="75"/>
      <c r="I494" s="75"/>
      <c r="J494" s="75">
        <v>4200</v>
      </c>
      <c r="K494" s="75">
        <v>12600</v>
      </c>
      <c r="L494" s="91" t="s">
        <v>1132</v>
      </c>
      <c r="M494" s="73"/>
      <c r="N494" s="46">
        <v>2</v>
      </c>
      <c r="O494" s="46">
        <v>0</v>
      </c>
      <c r="P494" s="46">
        <v>8400</v>
      </c>
      <c r="Q494" s="98"/>
      <c r="R494" s="23" t="s">
        <v>1439</v>
      </c>
      <c r="S494" s="24" t="s">
        <v>1131</v>
      </c>
      <c r="T494" s="25" t="s">
        <v>325</v>
      </c>
      <c r="U494" s="26">
        <v>3</v>
      </c>
      <c r="V494" s="26">
        <f t="shared" si="144"/>
        <v>3</v>
      </c>
      <c r="W494" s="26">
        <f t="shared" si="142"/>
        <v>4200</v>
      </c>
      <c r="X494" s="243">
        <f t="shared" si="145"/>
        <v>0</v>
      </c>
      <c r="Y494" s="26">
        <f t="shared" si="135"/>
        <v>2</v>
      </c>
      <c r="Z494" s="26">
        <f t="shared" si="146"/>
        <v>0</v>
      </c>
      <c r="AA494" s="26">
        <f t="shared" si="147"/>
        <v>8400</v>
      </c>
      <c r="AB494" s="33" t="s">
        <v>15</v>
      </c>
      <c r="AC494" s="324"/>
      <c r="AD494" s="181">
        <f t="shared" si="141"/>
        <v>3</v>
      </c>
      <c r="AE494" s="181">
        <f t="shared" si="148"/>
        <v>12600</v>
      </c>
      <c r="AF494" s="181">
        <v>3</v>
      </c>
      <c r="AG494" s="181">
        <v>3</v>
      </c>
      <c r="AH494" s="363" t="str">
        <f t="shared" si="149"/>
        <v/>
      </c>
      <c r="AI494" s="191">
        <f>2</f>
        <v>2</v>
      </c>
      <c r="AJ494" s="188">
        <v>3</v>
      </c>
      <c r="AO494" s="367"/>
      <c r="AP494" s="367"/>
      <c r="AQ494" s="367"/>
    </row>
    <row r="495" spans="1:43" s="69" customFormat="1" ht="49.5" customHeight="1" x14ac:dyDescent="0.3">
      <c r="A495" s="130" t="s">
        <v>1133</v>
      </c>
      <c r="B495" s="358" t="s">
        <v>3298</v>
      </c>
      <c r="C495" s="132" t="s">
        <v>66</v>
      </c>
      <c r="D495" s="133">
        <v>4</v>
      </c>
      <c r="E495" s="75"/>
      <c r="F495" s="75"/>
      <c r="G495" s="75"/>
      <c r="H495" s="75"/>
      <c r="I495" s="75"/>
      <c r="J495" s="75">
        <v>1000</v>
      </c>
      <c r="K495" s="75">
        <v>4000</v>
      </c>
      <c r="L495" s="91" t="s">
        <v>1135</v>
      </c>
      <c r="M495" s="73"/>
      <c r="N495" s="46">
        <v>4</v>
      </c>
      <c r="O495" s="46">
        <v>0</v>
      </c>
      <c r="P495" s="46">
        <v>4000</v>
      </c>
      <c r="Q495" s="98"/>
      <c r="R495" s="23" t="s">
        <v>1440</v>
      </c>
      <c r="S495" s="24" t="s">
        <v>1134</v>
      </c>
      <c r="T495" s="25" t="s">
        <v>66</v>
      </c>
      <c r="U495" s="26">
        <v>4</v>
      </c>
      <c r="V495" s="26">
        <f t="shared" si="144"/>
        <v>4</v>
      </c>
      <c r="W495" s="26">
        <f t="shared" si="142"/>
        <v>1000</v>
      </c>
      <c r="X495" s="127">
        <f t="shared" si="145"/>
        <v>0</v>
      </c>
      <c r="Y495" s="127">
        <f t="shared" si="135"/>
        <v>4</v>
      </c>
      <c r="Z495" s="127">
        <f t="shared" si="146"/>
        <v>0</v>
      </c>
      <c r="AA495" s="127">
        <f t="shared" si="147"/>
        <v>4000</v>
      </c>
      <c r="AB495" s="33" t="s">
        <v>15</v>
      </c>
      <c r="AC495" s="324"/>
      <c r="AD495" s="181">
        <f t="shared" si="141"/>
        <v>4</v>
      </c>
      <c r="AE495" s="181">
        <f t="shared" si="148"/>
        <v>4000</v>
      </c>
      <c r="AF495" s="181">
        <v>3</v>
      </c>
      <c r="AG495" s="181">
        <v>3</v>
      </c>
      <c r="AH495" s="363" t="str">
        <f t="shared" si="149"/>
        <v/>
      </c>
      <c r="AI495" s="194">
        <f>4</f>
        <v>4</v>
      </c>
      <c r="AJ495" s="188">
        <v>4</v>
      </c>
      <c r="AO495" s="367"/>
      <c r="AP495" s="367"/>
      <c r="AQ495" s="367"/>
    </row>
    <row r="496" spans="1:43" s="69" customFormat="1" ht="49.5" customHeight="1" x14ac:dyDescent="0.3">
      <c r="A496" s="55" t="s">
        <v>1136</v>
      </c>
      <c r="B496" s="254" t="s">
        <v>3299</v>
      </c>
      <c r="C496" s="54" t="s">
        <v>325</v>
      </c>
      <c r="D496" s="75">
        <v>15</v>
      </c>
      <c r="E496" s="75"/>
      <c r="F496" s="75"/>
      <c r="G496" s="75"/>
      <c r="H496" s="75"/>
      <c r="I496" s="75"/>
      <c r="J496" s="75">
        <v>4500</v>
      </c>
      <c r="K496" s="75">
        <v>67500</v>
      </c>
      <c r="L496" s="91" t="s">
        <v>1138</v>
      </c>
      <c r="M496" s="73"/>
      <c r="N496" s="46">
        <v>9</v>
      </c>
      <c r="O496" s="46">
        <v>0</v>
      </c>
      <c r="P496" s="46">
        <v>40500</v>
      </c>
      <c r="Q496" s="98"/>
      <c r="R496" s="23" t="s">
        <v>1441</v>
      </c>
      <c r="S496" s="24" t="s">
        <v>1137</v>
      </c>
      <c r="T496" s="25" t="s">
        <v>325</v>
      </c>
      <c r="U496" s="26">
        <v>15</v>
      </c>
      <c r="V496" s="26">
        <f t="shared" si="144"/>
        <v>15</v>
      </c>
      <c r="W496" s="26">
        <f t="shared" si="142"/>
        <v>4500</v>
      </c>
      <c r="X496" s="243">
        <f t="shared" si="145"/>
        <v>0</v>
      </c>
      <c r="Y496" s="26">
        <f t="shared" si="135"/>
        <v>9</v>
      </c>
      <c r="Z496" s="26">
        <f t="shared" si="146"/>
        <v>0</v>
      </c>
      <c r="AA496" s="26">
        <f t="shared" si="147"/>
        <v>40500</v>
      </c>
      <c r="AB496" s="33" t="s">
        <v>15</v>
      </c>
      <c r="AC496" s="324"/>
      <c r="AD496" s="181">
        <f t="shared" si="141"/>
        <v>15</v>
      </c>
      <c r="AE496" s="181">
        <f t="shared" si="148"/>
        <v>67500</v>
      </c>
      <c r="AF496" s="181">
        <v>3</v>
      </c>
      <c r="AG496" s="181">
        <v>3</v>
      </c>
      <c r="AH496" s="363" t="str">
        <f t="shared" si="149"/>
        <v/>
      </c>
      <c r="AI496" s="191">
        <f>9</f>
        <v>9</v>
      </c>
      <c r="AJ496" s="188">
        <v>15</v>
      </c>
      <c r="AO496" s="367"/>
      <c r="AP496" s="367"/>
      <c r="AQ496" s="367"/>
    </row>
    <row r="497" spans="1:43" s="69" customFormat="1" ht="33" customHeight="1" x14ac:dyDescent="0.3">
      <c r="A497" s="55" t="s">
        <v>1139</v>
      </c>
      <c r="B497" s="138" t="s">
        <v>3128</v>
      </c>
      <c r="C497" s="54" t="s">
        <v>325</v>
      </c>
      <c r="D497" s="75">
        <v>2</v>
      </c>
      <c r="E497" s="75"/>
      <c r="F497" s="75"/>
      <c r="G497" s="75"/>
      <c r="H497" s="75"/>
      <c r="I497" s="76"/>
      <c r="J497" s="75">
        <v>636300</v>
      </c>
      <c r="K497" s="75">
        <v>1272600</v>
      </c>
      <c r="L497" s="91" t="s">
        <v>1141</v>
      </c>
      <c r="M497" s="73"/>
      <c r="N497" s="46">
        <v>1</v>
      </c>
      <c r="O497" s="46">
        <v>0</v>
      </c>
      <c r="P497" s="46">
        <v>636300</v>
      </c>
      <c r="Q497" s="98"/>
      <c r="R497" s="23" t="s">
        <v>1442</v>
      </c>
      <c r="S497" s="24" t="s">
        <v>1140</v>
      </c>
      <c r="T497" s="25" t="s">
        <v>325</v>
      </c>
      <c r="U497" s="26">
        <v>2</v>
      </c>
      <c r="V497" s="26">
        <f t="shared" si="144"/>
        <v>2</v>
      </c>
      <c r="W497" s="26">
        <f t="shared" si="142"/>
        <v>636300</v>
      </c>
      <c r="X497" s="26">
        <f t="shared" si="145"/>
        <v>0</v>
      </c>
      <c r="Y497" s="26">
        <f t="shared" si="135"/>
        <v>1</v>
      </c>
      <c r="Z497" s="26">
        <f t="shared" si="146"/>
        <v>0</v>
      </c>
      <c r="AA497" s="26">
        <f t="shared" si="147"/>
        <v>636300</v>
      </c>
      <c r="AB497" s="33" t="s">
        <v>15</v>
      </c>
      <c r="AC497" s="324"/>
      <c r="AD497" s="181">
        <f t="shared" si="141"/>
        <v>2</v>
      </c>
      <c r="AE497" s="181">
        <f t="shared" si="148"/>
        <v>1272600</v>
      </c>
      <c r="AF497" s="181">
        <v>3</v>
      </c>
      <c r="AG497" s="181">
        <v>3</v>
      </c>
      <c r="AH497" s="363" t="str">
        <f t="shared" si="149"/>
        <v/>
      </c>
      <c r="AI497" s="190">
        <v>1</v>
      </c>
      <c r="AJ497" s="188">
        <v>2</v>
      </c>
      <c r="AO497" s="367"/>
      <c r="AP497" s="367"/>
      <c r="AQ497" s="367"/>
    </row>
    <row r="498" spans="1:43" s="69" customFormat="1" ht="49.5" customHeight="1" x14ac:dyDescent="0.3">
      <c r="A498" s="130" t="s">
        <v>1142</v>
      </c>
      <c r="B498" s="240" t="s">
        <v>3131</v>
      </c>
      <c r="C498" s="132" t="s">
        <v>1144</v>
      </c>
      <c r="D498" s="133">
        <v>4</v>
      </c>
      <c r="E498" s="75"/>
      <c r="F498" s="75"/>
      <c r="G498" s="75"/>
      <c r="H498" s="224"/>
      <c r="I498" s="158"/>
      <c r="J498" s="166">
        <v>2000</v>
      </c>
      <c r="K498" s="75">
        <v>8000</v>
      </c>
      <c r="L498" s="91" t="s">
        <v>1145</v>
      </c>
      <c r="M498" s="73"/>
      <c r="N498" s="46">
        <v>4</v>
      </c>
      <c r="O498" s="46">
        <v>0</v>
      </c>
      <c r="P498" s="46">
        <v>8000</v>
      </c>
      <c r="Q498" s="98"/>
      <c r="R498" s="23" t="s">
        <v>1443</v>
      </c>
      <c r="S498" s="24" t="s">
        <v>1143</v>
      </c>
      <c r="T498" s="25" t="s">
        <v>1144</v>
      </c>
      <c r="U498" s="26">
        <v>4</v>
      </c>
      <c r="V498" s="26">
        <f t="shared" si="144"/>
        <v>4</v>
      </c>
      <c r="W498" s="26">
        <f t="shared" si="142"/>
        <v>2000</v>
      </c>
      <c r="X498" s="127">
        <f t="shared" si="145"/>
        <v>0</v>
      </c>
      <c r="Y498" s="127">
        <f t="shared" si="135"/>
        <v>4</v>
      </c>
      <c r="Z498" s="127">
        <f t="shared" si="146"/>
        <v>0</v>
      </c>
      <c r="AA498" s="127">
        <f t="shared" si="147"/>
        <v>8000</v>
      </c>
      <c r="AB498" s="33" t="s">
        <v>15</v>
      </c>
      <c r="AC498" s="324"/>
      <c r="AD498" s="181">
        <f t="shared" si="141"/>
        <v>4</v>
      </c>
      <c r="AE498" s="181">
        <f t="shared" si="148"/>
        <v>8000</v>
      </c>
      <c r="AF498" s="181">
        <v>3</v>
      </c>
      <c r="AG498" s="181">
        <v>3</v>
      </c>
      <c r="AH498" s="363" t="str">
        <f t="shared" si="149"/>
        <v/>
      </c>
      <c r="AI498" s="194">
        <f>4</f>
        <v>4</v>
      </c>
      <c r="AJ498" s="188">
        <v>4</v>
      </c>
      <c r="AO498" s="367"/>
      <c r="AP498" s="367"/>
      <c r="AQ498" s="367"/>
    </row>
    <row r="499" spans="1:43" s="69" customFormat="1" x14ac:dyDescent="0.3">
      <c r="A499" s="134">
        <v>3.35</v>
      </c>
      <c r="B499" s="135" t="s">
        <v>1346</v>
      </c>
      <c r="C499" s="204" t="s">
        <v>325</v>
      </c>
      <c r="D499" s="133"/>
      <c r="E499" s="59">
        <v>1</v>
      </c>
      <c r="F499" s="77"/>
      <c r="G499" s="226"/>
      <c r="H499" s="294"/>
      <c r="I499" s="230"/>
      <c r="J499" s="178">
        <v>119161.05</v>
      </c>
      <c r="K499" s="59">
        <v>119161.05</v>
      </c>
      <c r="L499" s="92"/>
      <c r="M499" s="73"/>
      <c r="N499" s="46">
        <v>1</v>
      </c>
      <c r="O499" s="46">
        <v>0</v>
      </c>
      <c r="P499" s="46">
        <v>119161.05</v>
      </c>
      <c r="Q499" s="98"/>
      <c r="R499" s="23" t="s">
        <v>1444</v>
      </c>
      <c r="S499" s="24" t="s">
        <v>1501</v>
      </c>
      <c r="T499" s="25" t="s">
        <v>325</v>
      </c>
      <c r="U499" s="26">
        <v>0</v>
      </c>
      <c r="V499" s="26">
        <f t="shared" si="144"/>
        <v>1</v>
      </c>
      <c r="W499" s="26">
        <f t="shared" si="142"/>
        <v>119161.05</v>
      </c>
      <c r="X499" s="127">
        <f t="shared" si="145"/>
        <v>0</v>
      </c>
      <c r="Y499" s="127">
        <f t="shared" si="135"/>
        <v>1</v>
      </c>
      <c r="Z499" s="127">
        <f t="shared" si="146"/>
        <v>0</v>
      </c>
      <c r="AA499" s="127">
        <f t="shared" si="147"/>
        <v>119161.05</v>
      </c>
      <c r="AB499" s="27"/>
      <c r="AC499" s="324"/>
      <c r="AD499" s="181">
        <f t="shared" si="141"/>
        <v>1</v>
      </c>
      <c r="AE499" s="181">
        <f t="shared" si="148"/>
        <v>119161.05</v>
      </c>
      <c r="AF499" s="181">
        <v>3</v>
      </c>
      <c r="AG499" s="181">
        <v>3</v>
      </c>
      <c r="AH499" s="363" t="str">
        <f t="shared" si="149"/>
        <v/>
      </c>
      <c r="AI499" s="190">
        <v>1</v>
      </c>
      <c r="AJ499" s="188">
        <v>1</v>
      </c>
      <c r="AN499" s="70"/>
      <c r="AO499" s="367"/>
      <c r="AP499" s="367"/>
      <c r="AQ499" s="367"/>
    </row>
    <row r="500" spans="1:43" ht="39" x14ac:dyDescent="0.3">
      <c r="A500" s="134" t="s">
        <v>1347</v>
      </c>
      <c r="B500" s="135" t="s">
        <v>1348</v>
      </c>
      <c r="C500" s="204" t="s">
        <v>325</v>
      </c>
      <c r="D500" s="133"/>
      <c r="E500" s="78"/>
      <c r="F500" s="62">
        <v>1</v>
      </c>
      <c r="G500" s="163"/>
      <c r="H500" s="163"/>
      <c r="I500" s="62"/>
      <c r="J500" s="167">
        <v>74988.5</v>
      </c>
      <c r="K500" s="62">
        <v>74988.5</v>
      </c>
      <c r="L500" s="93"/>
      <c r="N500" s="46">
        <v>1</v>
      </c>
      <c r="O500" s="46">
        <v>0</v>
      </c>
      <c r="P500" s="46">
        <v>74988.5</v>
      </c>
      <c r="Q500" s="98"/>
      <c r="R500" s="23" t="s">
        <v>1408</v>
      </c>
      <c r="S500" s="24" t="s">
        <v>1348</v>
      </c>
      <c r="T500" s="25" t="s">
        <v>325</v>
      </c>
      <c r="U500" s="26">
        <v>0</v>
      </c>
      <c r="V500" s="26">
        <f t="shared" si="144"/>
        <v>1</v>
      </c>
      <c r="W500" s="26">
        <f t="shared" si="142"/>
        <v>74988.5</v>
      </c>
      <c r="X500" s="127">
        <f t="shared" si="145"/>
        <v>0</v>
      </c>
      <c r="Y500" s="127">
        <f t="shared" si="135"/>
        <v>1</v>
      </c>
      <c r="Z500" s="127">
        <f t="shared" si="146"/>
        <v>0</v>
      </c>
      <c r="AA500" s="127">
        <f t="shared" si="147"/>
        <v>74988.5</v>
      </c>
      <c r="AB500" s="27"/>
      <c r="AC500" s="324"/>
      <c r="AD500" s="181">
        <f t="shared" si="141"/>
        <v>1</v>
      </c>
      <c r="AE500" s="181">
        <f t="shared" si="148"/>
        <v>74988.5</v>
      </c>
      <c r="AF500" s="181">
        <v>3</v>
      </c>
      <c r="AG500" s="181">
        <v>3</v>
      </c>
      <c r="AH500" s="363" t="str">
        <f t="shared" si="149"/>
        <v/>
      </c>
      <c r="AI500" s="190">
        <v>1</v>
      </c>
      <c r="AJ500" s="188">
        <v>1</v>
      </c>
      <c r="AN500" s="70"/>
      <c r="AO500" s="367"/>
      <c r="AP500" s="367"/>
      <c r="AQ500" s="367"/>
    </row>
    <row r="501" spans="1:43" ht="82.5" x14ac:dyDescent="0.3">
      <c r="A501" s="134" t="s">
        <v>1349</v>
      </c>
      <c r="B501" s="139" t="s">
        <v>3132</v>
      </c>
      <c r="C501" s="204" t="s">
        <v>325</v>
      </c>
      <c r="D501" s="133"/>
      <c r="E501" s="78"/>
      <c r="F501" s="62">
        <v>2</v>
      </c>
      <c r="G501" s="163"/>
      <c r="H501" s="163"/>
      <c r="I501" s="62"/>
      <c r="J501" s="167">
        <v>83493.929999999993</v>
      </c>
      <c r="K501" s="62">
        <v>166987.85999999999</v>
      </c>
      <c r="L501" s="93"/>
      <c r="N501" s="46">
        <v>2</v>
      </c>
      <c r="O501" s="46">
        <v>0</v>
      </c>
      <c r="P501" s="46">
        <v>166987.85999999999</v>
      </c>
      <c r="Q501" s="98"/>
      <c r="R501" s="23" t="s">
        <v>1409</v>
      </c>
      <c r="S501" s="24" t="s">
        <v>1350</v>
      </c>
      <c r="T501" s="25" t="s">
        <v>325</v>
      </c>
      <c r="U501" s="26">
        <v>0</v>
      </c>
      <c r="V501" s="26">
        <f t="shared" si="144"/>
        <v>2</v>
      </c>
      <c r="W501" s="26">
        <f t="shared" si="142"/>
        <v>83493.929999999993</v>
      </c>
      <c r="X501" s="127">
        <f t="shared" si="145"/>
        <v>0</v>
      </c>
      <c r="Y501" s="127">
        <f t="shared" si="135"/>
        <v>2</v>
      </c>
      <c r="Z501" s="127">
        <f t="shared" si="146"/>
        <v>0</v>
      </c>
      <c r="AA501" s="127">
        <f t="shared" si="147"/>
        <v>166987.85999999999</v>
      </c>
      <c r="AB501" s="27"/>
      <c r="AC501" s="324"/>
      <c r="AD501" s="181">
        <f t="shared" si="141"/>
        <v>2</v>
      </c>
      <c r="AE501" s="181">
        <f t="shared" si="148"/>
        <v>166987.85999999999</v>
      </c>
      <c r="AF501" s="181">
        <v>3</v>
      </c>
      <c r="AG501" s="181">
        <v>3</v>
      </c>
      <c r="AH501" s="363" t="str">
        <f t="shared" si="149"/>
        <v/>
      </c>
      <c r="AI501" s="190">
        <v>2</v>
      </c>
      <c r="AJ501" s="188">
        <v>2</v>
      </c>
      <c r="AN501" s="70"/>
      <c r="AO501" s="367"/>
      <c r="AP501" s="367"/>
      <c r="AQ501" s="367"/>
    </row>
    <row r="502" spans="1:43" ht="66" x14ac:dyDescent="0.3">
      <c r="A502" s="134" t="s">
        <v>1351</v>
      </c>
      <c r="B502" s="139" t="s">
        <v>3133</v>
      </c>
      <c r="C502" s="204" t="s">
        <v>325</v>
      </c>
      <c r="D502" s="133"/>
      <c r="E502" s="78"/>
      <c r="F502" s="62">
        <v>2</v>
      </c>
      <c r="G502" s="163"/>
      <c r="H502" s="163"/>
      <c r="I502" s="62"/>
      <c r="J502" s="167">
        <v>76194.460000000006</v>
      </c>
      <c r="K502" s="62">
        <v>152388.92000000001</v>
      </c>
      <c r="L502" s="93"/>
      <c r="N502" s="46">
        <v>2</v>
      </c>
      <c r="O502" s="46">
        <v>0</v>
      </c>
      <c r="P502" s="46">
        <v>152388.92000000001</v>
      </c>
      <c r="Q502" s="98"/>
      <c r="R502" s="23" t="s">
        <v>1410</v>
      </c>
      <c r="S502" s="24" t="s">
        <v>1352</v>
      </c>
      <c r="T502" s="25" t="s">
        <v>325</v>
      </c>
      <c r="U502" s="26">
        <v>0</v>
      </c>
      <c r="V502" s="26">
        <f t="shared" si="144"/>
        <v>2</v>
      </c>
      <c r="W502" s="26">
        <f t="shared" si="142"/>
        <v>76194.460000000006</v>
      </c>
      <c r="X502" s="127">
        <f t="shared" si="145"/>
        <v>0</v>
      </c>
      <c r="Y502" s="127">
        <f t="shared" si="135"/>
        <v>2</v>
      </c>
      <c r="Z502" s="127">
        <f t="shared" si="146"/>
        <v>0</v>
      </c>
      <c r="AA502" s="127">
        <f t="shared" si="147"/>
        <v>152388.92000000001</v>
      </c>
      <c r="AB502" s="27"/>
      <c r="AC502" s="324"/>
      <c r="AD502" s="181">
        <f t="shared" si="141"/>
        <v>2</v>
      </c>
      <c r="AE502" s="181">
        <f t="shared" si="148"/>
        <v>152388.92000000001</v>
      </c>
      <c r="AF502" s="181">
        <v>3</v>
      </c>
      <c r="AG502" s="181">
        <v>3</v>
      </c>
      <c r="AH502" s="363" t="str">
        <f t="shared" si="149"/>
        <v/>
      </c>
      <c r="AI502" s="190">
        <v>2</v>
      </c>
      <c r="AJ502" s="188">
        <v>2</v>
      </c>
      <c r="AN502" s="70"/>
      <c r="AO502" s="367"/>
      <c r="AP502" s="367"/>
      <c r="AQ502" s="367"/>
    </row>
    <row r="503" spans="1:43" ht="49.5" x14ac:dyDescent="0.3">
      <c r="A503" s="134" t="s">
        <v>1353</v>
      </c>
      <c r="B503" s="139" t="s">
        <v>3134</v>
      </c>
      <c r="C503" s="204" t="s">
        <v>325</v>
      </c>
      <c r="D503" s="133"/>
      <c r="E503" s="78"/>
      <c r="F503" s="62">
        <v>2</v>
      </c>
      <c r="G503" s="163"/>
      <c r="H503" s="163"/>
      <c r="I503" s="62"/>
      <c r="J503" s="167">
        <v>17998.689999999999</v>
      </c>
      <c r="K503" s="62">
        <v>35997.379999999997</v>
      </c>
      <c r="L503" s="93"/>
      <c r="N503" s="46">
        <v>2</v>
      </c>
      <c r="O503" s="46">
        <v>0</v>
      </c>
      <c r="P503" s="46">
        <v>35997.379999999997</v>
      </c>
      <c r="Q503" s="98"/>
      <c r="R503" s="23" t="s">
        <v>1411</v>
      </c>
      <c r="S503" s="24" t="s">
        <v>1354</v>
      </c>
      <c r="T503" s="25" t="s">
        <v>325</v>
      </c>
      <c r="U503" s="26">
        <v>0</v>
      </c>
      <c r="V503" s="26">
        <f t="shared" si="144"/>
        <v>2</v>
      </c>
      <c r="W503" s="26">
        <f t="shared" si="142"/>
        <v>17998.689999999999</v>
      </c>
      <c r="X503" s="127">
        <f t="shared" si="145"/>
        <v>0</v>
      </c>
      <c r="Y503" s="127">
        <f t="shared" si="135"/>
        <v>2</v>
      </c>
      <c r="Z503" s="127">
        <f t="shared" si="146"/>
        <v>0</v>
      </c>
      <c r="AA503" s="127">
        <f t="shared" si="147"/>
        <v>35997.379999999997</v>
      </c>
      <c r="AB503" s="27"/>
      <c r="AC503" s="324"/>
      <c r="AD503" s="181">
        <f t="shared" si="141"/>
        <v>2</v>
      </c>
      <c r="AE503" s="181">
        <f t="shared" si="148"/>
        <v>35997.379999999997</v>
      </c>
      <c r="AF503" s="181">
        <v>3</v>
      </c>
      <c r="AG503" s="181">
        <v>3</v>
      </c>
      <c r="AH503" s="363" t="str">
        <f t="shared" si="149"/>
        <v/>
      </c>
      <c r="AI503" s="190">
        <v>2</v>
      </c>
      <c r="AJ503" s="188">
        <v>2</v>
      </c>
      <c r="AN503" s="69"/>
      <c r="AO503" s="367"/>
      <c r="AP503" s="367"/>
      <c r="AQ503" s="367"/>
    </row>
    <row r="504" spans="1:43" s="69" customFormat="1" ht="33" customHeight="1" x14ac:dyDescent="0.3">
      <c r="A504" s="85" t="s">
        <v>1146</v>
      </c>
      <c r="B504" s="86" t="s">
        <v>1147</v>
      </c>
      <c r="C504" s="87" t="s">
        <v>14</v>
      </c>
      <c r="D504" s="88">
        <v>1</v>
      </c>
      <c r="E504" s="88"/>
      <c r="F504" s="88"/>
      <c r="G504" s="236"/>
      <c r="H504" s="319"/>
      <c r="I504" s="238"/>
      <c r="J504" s="237">
        <v>4074390.62</v>
      </c>
      <c r="K504" s="88">
        <v>4074390.62</v>
      </c>
      <c r="L504" s="95" t="s">
        <v>15</v>
      </c>
      <c r="M504" s="73"/>
      <c r="N504" s="42">
        <v>1</v>
      </c>
      <c r="O504" s="42">
        <v>215044.16</v>
      </c>
      <c r="P504" s="42">
        <v>2006267</v>
      </c>
      <c r="Q504" s="98"/>
      <c r="R504" s="13" t="s">
        <v>1412</v>
      </c>
      <c r="S504" s="14" t="s">
        <v>1147</v>
      </c>
      <c r="T504" s="15" t="s">
        <v>14</v>
      </c>
      <c r="U504" s="16">
        <v>1</v>
      </c>
      <c r="V504" s="16"/>
      <c r="W504" s="16">
        <f t="shared" si="142"/>
        <v>4074390.62</v>
      </c>
      <c r="X504" s="16">
        <f t="shared" ref="X504:Y504" si="150">IF(Z504=0,0,1)</f>
        <v>1</v>
      </c>
      <c r="Y504" s="16">
        <f t="shared" si="150"/>
        <v>1</v>
      </c>
      <c r="Z504" s="16">
        <f>SUMIFS(Z:Z,AG:AG,AF504)</f>
        <v>263837.09000000003</v>
      </c>
      <c r="AA504" s="16">
        <f>SUMIFS(AA:AA,AG:AG,AF504)</f>
        <v>2270104.09</v>
      </c>
      <c r="AB504" s="17" t="s">
        <v>15</v>
      </c>
      <c r="AC504" s="232"/>
      <c r="AD504" s="181">
        <f t="shared" si="141"/>
        <v>1</v>
      </c>
      <c r="AE504" s="183"/>
      <c r="AF504" s="183">
        <v>4</v>
      </c>
      <c r="AG504" s="183"/>
      <c r="AH504" s="363" t="str">
        <f t="shared" si="149"/>
        <v/>
      </c>
      <c r="AI504" s="190">
        <v>1</v>
      </c>
      <c r="AJ504" s="188">
        <v>1</v>
      </c>
      <c r="AN504" s="363"/>
      <c r="AO504" s="368"/>
      <c r="AP504" s="367"/>
      <c r="AQ504" s="367"/>
    </row>
    <row r="505" spans="1:43" s="69" customFormat="1" ht="49.5" customHeight="1" x14ac:dyDescent="0.3">
      <c r="A505" s="55" t="s">
        <v>1148</v>
      </c>
      <c r="B505" s="53" t="s">
        <v>1149</v>
      </c>
      <c r="C505" s="54" t="s">
        <v>1150</v>
      </c>
      <c r="D505" s="75">
        <v>48</v>
      </c>
      <c r="E505" s="75"/>
      <c r="F505" s="75"/>
      <c r="G505" s="75"/>
      <c r="H505" s="320"/>
      <c r="I505" s="341">
        <v>56</v>
      </c>
      <c r="J505" s="166">
        <v>13068.13</v>
      </c>
      <c r="K505" s="75">
        <v>731815.28</v>
      </c>
      <c r="L505" s="91" t="s">
        <v>1151</v>
      </c>
      <c r="M505" s="73"/>
      <c r="N505" s="46">
        <v>44</v>
      </c>
      <c r="O505" s="46">
        <v>26136.26</v>
      </c>
      <c r="P505" s="46">
        <v>574997.72</v>
      </c>
      <c r="Q505" s="98"/>
      <c r="R505" s="23" t="s">
        <v>1421</v>
      </c>
      <c r="S505" s="24" t="s">
        <v>1149</v>
      </c>
      <c r="T505" s="25" t="s">
        <v>1150</v>
      </c>
      <c r="U505" s="26">
        <v>48</v>
      </c>
      <c r="V505" s="26">
        <f t="shared" ref="V505:V507" si="151">IF(I505&gt;0,I505,IF(H505&gt;0,H505,IF(G505&gt;0,G505,IF(F505&gt;0,F505,IF(E505&gt;0,E505,D505)))))</f>
        <v>56</v>
      </c>
      <c r="W505" s="26">
        <f t="shared" si="142"/>
        <v>13068.13</v>
      </c>
      <c r="X505" s="250">
        <f t="shared" ref="X505:X507" si="152">AI505-N505</f>
        <v>2</v>
      </c>
      <c r="Y505" s="26">
        <f t="shared" si="135"/>
        <v>46</v>
      </c>
      <c r="Z505" s="26">
        <f>AA505-P505</f>
        <v>26136.260000000009</v>
      </c>
      <c r="AA505" s="26">
        <f t="shared" ref="AA505:AA507" si="153">ROUND(W505*Y505,2)</f>
        <v>601133.98</v>
      </c>
      <c r="AB505" s="33" t="s">
        <v>15</v>
      </c>
      <c r="AC505" s="324"/>
      <c r="AD505" s="181">
        <f t="shared" si="141"/>
        <v>56</v>
      </c>
      <c r="AE505" s="181">
        <f t="shared" ref="AE505:AE507" si="154">ROUND(W505*AD505,2)</f>
        <v>731815.28</v>
      </c>
      <c r="AF505" s="181">
        <v>4</v>
      </c>
      <c r="AG505" s="181">
        <v>4</v>
      </c>
      <c r="AH505" s="363" t="str">
        <f t="shared" si="149"/>
        <v/>
      </c>
      <c r="AI505" s="191">
        <v>46</v>
      </c>
      <c r="AJ505" s="190">
        <v>56</v>
      </c>
      <c r="AN505" s="363"/>
      <c r="AO505" s="368"/>
      <c r="AP505" s="367"/>
      <c r="AQ505" s="367"/>
    </row>
    <row r="506" spans="1:43" s="69" customFormat="1" ht="66" customHeight="1" x14ac:dyDescent="0.3">
      <c r="A506" s="55" t="s">
        <v>1152</v>
      </c>
      <c r="B506" s="53" t="s">
        <v>1153</v>
      </c>
      <c r="C506" s="54" t="s">
        <v>998</v>
      </c>
      <c r="D506" s="75">
        <v>6720</v>
      </c>
      <c r="E506" s="75"/>
      <c r="F506" s="75"/>
      <c r="G506" s="76"/>
      <c r="H506" s="76"/>
      <c r="I506" s="350">
        <v>28182</v>
      </c>
      <c r="J506" s="75">
        <v>54.57</v>
      </c>
      <c r="K506" s="75">
        <v>1537891.74</v>
      </c>
      <c r="L506" s="91" t="s">
        <v>1154</v>
      </c>
      <c r="M506" s="73"/>
      <c r="N506" s="46">
        <v>5880</v>
      </c>
      <c r="O506" s="46">
        <v>68212.5</v>
      </c>
      <c r="P506" s="46">
        <v>320871.59999999998</v>
      </c>
      <c r="Q506" s="98"/>
      <c r="R506" s="23" t="s">
        <v>1426</v>
      </c>
      <c r="S506" s="24" t="s">
        <v>1153</v>
      </c>
      <c r="T506" s="25" t="s">
        <v>998</v>
      </c>
      <c r="U506" s="26">
        <v>6720</v>
      </c>
      <c r="V506" s="26">
        <f t="shared" si="151"/>
        <v>28182</v>
      </c>
      <c r="W506" s="26">
        <f t="shared" si="142"/>
        <v>54.57</v>
      </c>
      <c r="X506" s="250">
        <f t="shared" si="152"/>
        <v>2755</v>
      </c>
      <c r="Y506" s="26">
        <f t="shared" si="135"/>
        <v>8635</v>
      </c>
      <c r="Z506" s="26">
        <f>AA506-P506</f>
        <v>150340.35000000003</v>
      </c>
      <c r="AA506" s="26">
        <f t="shared" si="153"/>
        <v>471211.95</v>
      </c>
      <c r="AB506" s="33" t="s">
        <v>15</v>
      </c>
      <c r="AC506" s="324"/>
      <c r="AD506" s="181">
        <f t="shared" si="141"/>
        <v>28182</v>
      </c>
      <c r="AE506" s="181">
        <f t="shared" si="154"/>
        <v>1537891.74</v>
      </c>
      <c r="AF506" s="181">
        <v>4</v>
      </c>
      <c r="AG506" s="181">
        <v>4</v>
      </c>
      <c r="AH506" s="363" t="str">
        <f t="shared" si="149"/>
        <v/>
      </c>
      <c r="AI506" s="191">
        <v>8635</v>
      </c>
      <c r="AJ506" s="190">
        <v>28182</v>
      </c>
      <c r="AO506" s="367"/>
      <c r="AP506" s="367"/>
      <c r="AQ506" s="367"/>
    </row>
    <row r="507" spans="1:43" s="69" customFormat="1" ht="39" x14ac:dyDescent="0.3">
      <c r="A507" s="66">
        <v>4.3</v>
      </c>
      <c r="B507" s="57" t="s">
        <v>1355</v>
      </c>
      <c r="C507" s="58" t="s">
        <v>1360</v>
      </c>
      <c r="D507" s="77"/>
      <c r="E507" s="117">
        <v>1570</v>
      </c>
      <c r="F507" s="59"/>
      <c r="G507" s="59"/>
      <c r="H507" s="59"/>
      <c r="I507" s="59"/>
      <c r="J507" s="178">
        <v>1149.48</v>
      </c>
      <c r="K507" s="59">
        <v>1804683.6</v>
      </c>
      <c r="L507" s="92"/>
      <c r="M507" s="73"/>
      <c r="N507" s="46">
        <v>966</v>
      </c>
      <c r="O507" s="46">
        <v>120695.4</v>
      </c>
      <c r="P507" s="46">
        <v>1110397.68</v>
      </c>
      <c r="Q507" s="98"/>
      <c r="R507" s="23" t="s">
        <v>1402</v>
      </c>
      <c r="S507" s="24" t="s">
        <v>1502</v>
      </c>
      <c r="T507" s="25" t="s">
        <v>1360</v>
      </c>
      <c r="U507" s="26">
        <v>0</v>
      </c>
      <c r="V507" s="26">
        <f t="shared" si="151"/>
        <v>1570</v>
      </c>
      <c r="W507" s="26">
        <f t="shared" si="142"/>
        <v>1149.48</v>
      </c>
      <c r="X507" s="250">
        <f t="shared" si="152"/>
        <v>76</v>
      </c>
      <c r="Y507" s="26">
        <f t="shared" si="135"/>
        <v>1042</v>
      </c>
      <c r="Z507" s="26">
        <f>AA507-P507</f>
        <v>87360.479999999981</v>
      </c>
      <c r="AA507" s="26">
        <f t="shared" si="153"/>
        <v>1197758.1599999999</v>
      </c>
      <c r="AB507" s="27"/>
      <c r="AC507" s="324"/>
      <c r="AD507" s="181">
        <f t="shared" si="141"/>
        <v>1570</v>
      </c>
      <c r="AE507" s="181">
        <f t="shared" si="154"/>
        <v>1804683.6</v>
      </c>
      <c r="AF507" s="181">
        <v>4</v>
      </c>
      <c r="AG507" s="181">
        <v>4</v>
      </c>
      <c r="AH507" s="363" t="str">
        <f t="shared" si="149"/>
        <v/>
      </c>
      <c r="AI507" s="191">
        <f>591+56+56+86+72+105+76</f>
        <v>1042</v>
      </c>
      <c r="AJ507" s="188">
        <v>1570</v>
      </c>
      <c r="AO507" s="367"/>
      <c r="AP507" s="367"/>
      <c r="AQ507" s="367"/>
    </row>
    <row r="508" spans="1:43" s="69" customFormat="1" ht="33" customHeight="1" x14ac:dyDescent="0.3">
      <c r="A508" s="85" t="s">
        <v>1155</v>
      </c>
      <c r="B508" s="86" t="s">
        <v>1156</v>
      </c>
      <c r="C508" s="87" t="s">
        <v>14</v>
      </c>
      <c r="D508" s="88">
        <v>1</v>
      </c>
      <c r="E508" s="88"/>
      <c r="F508" s="88"/>
      <c r="G508" s="153"/>
      <c r="H508" s="153"/>
      <c r="I508" s="153"/>
      <c r="J508" s="88">
        <v>10848539.710000001</v>
      </c>
      <c r="K508" s="88">
        <v>10848539.710000001</v>
      </c>
      <c r="L508" s="95" t="s">
        <v>15</v>
      </c>
      <c r="M508" s="73"/>
      <c r="N508" s="42">
        <v>1</v>
      </c>
      <c r="O508" s="42">
        <v>66797.759999999995</v>
      </c>
      <c r="P508" s="42">
        <v>10281322.02</v>
      </c>
      <c r="Q508" s="98"/>
      <c r="R508" s="13" t="s">
        <v>1413</v>
      </c>
      <c r="S508" s="14" t="s">
        <v>1156</v>
      </c>
      <c r="T508" s="15" t="s">
        <v>14</v>
      </c>
      <c r="U508" s="16">
        <v>1</v>
      </c>
      <c r="V508" s="16"/>
      <c r="W508" s="16">
        <f t="shared" si="142"/>
        <v>10848539.710000001</v>
      </c>
      <c r="X508" s="16">
        <f t="shared" ref="X508:Y508" si="155">IF(Z508=0,0,1)</f>
        <v>1</v>
      </c>
      <c r="Y508" s="16">
        <f t="shared" si="155"/>
        <v>1</v>
      </c>
      <c r="Z508" s="16">
        <f>SUMIFS(Z:Z,AG:AG,AF508)</f>
        <v>74018.119999999923</v>
      </c>
      <c r="AA508" s="16">
        <f>SUMIFS(AA:AA,AG:AG,AF508)</f>
        <v>10355340.140000001</v>
      </c>
      <c r="AB508" s="17" t="s">
        <v>15</v>
      </c>
      <c r="AC508" s="232"/>
      <c r="AD508" s="181">
        <f t="shared" si="141"/>
        <v>1</v>
      </c>
      <c r="AE508" s="183"/>
      <c r="AF508" s="183">
        <v>5</v>
      </c>
      <c r="AG508" s="183"/>
      <c r="AH508" s="363" t="str">
        <f t="shared" si="149"/>
        <v/>
      </c>
      <c r="AI508" s="190">
        <v>1</v>
      </c>
      <c r="AJ508" s="188">
        <v>1</v>
      </c>
      <c r="AO508" s="367"/>
      <c r="AP508" s="367"/>
      <c r="AQ508" s="367"/>
    </row>
    <row r="509" spans="1:43" s="69" customFormat="1" ht="49.5" customHeight="1" x14ac:dyDescent="0.3">
      <c r="A509" s="130" t="s">
        <v>1157</v>
      </c>
      <c r="B509" s="240" t="s">
        <v>1158</v>
      </c>
      <c r="C509" s="132" t="s">
        <v>30</v>
      </c>
      <c r="D509" s="133">
        <v>1698.29</v>
      </c>
      <c r="E509" s="75"/>
      <c r="F509" s="75"/>
      <c r="G509" s="75"/>
      <c r="H509" s="75"/>
      <c r="I509" s="75"/>
      <c r="J509" s="75">
        <v>3662.23</v>
      </c>
      <c r="K509" s="75">
        <v>6219528.5899999999</v>
      </c>
      <c r="L509" s="91" t="s">
        <v>1159</v>
      </c>
      <c r="M509" s="73"/>
      <c r="N509" s="46">
        <v>1698.29</v>
      </c>
      <c r="O509" s="46">
        <v>0</v>
      </c>
      <c r="P509" s="46">
        <v>6219528.5899999999</v>
      </c>
      <c r="Q509" s="98"/>
      <c r="R509" s="23" t="s">
        <v>1421</v>
      </c>
      <c r="S509" s="24" t="s">
        <v>1158</v>
      </c>
      <c r="T509" s="25" t="s">
        <v>30</v>
      </c>
      <c r="U509" s="26">
        <v>1698.29</v>
      </c>
      <c r="V509" s="26">
        <f t="shared" ref="V509:V528" si="156">IF(I509&gt;0,I509,IF(H509&gt;0,H509,IF(G509&gt;0,G509,IF(F509&gt;0,F509,IF(E509&gt;0,E509,D509)))))</f>
        <v>1698.29</v>
      </c>
      <c r="W509" s="26">
        <f t="shared" si="142"/>
        <v>3662.23</v>
      </c>
      <c r="X509" s="127">
        <f t="shared" ref="X509:X528" si="157">AI509-N509</f>
        <v>0</v>
      </c>
      <c r="Y509" s="127">
        <f t="shared" si="135"/>
        <v>1698.29</v>
      </c>
      <c r="Z509" s="127">
        <f t="shared" ref="Z509:Z528" si="158">AA509-P509</f>
        <v>0</v>
      </c>
      <c r="AA509" s="127">
        <f t="shared" ref="AA509:AA528" si="159">ROUND(W509*Y509,2)</f>
        <v>6219528.5899999999</v>
      </c>
      <c r="AB509" s="33" t="s">
        <v>15</v>
      </c>
      <c r="AC509" s="324"/>
      <c r="AD509" s="181">
        <f t="shared" si="141"/>
        <v>1698.29</v>
      </c>
      <c r="AE509" s="181">
        <f t="shared" ref="AE509:AE528" si="160">ROUND(W509*AD509,2)</f>
        <v>6219528.5899999999</v>
      </c>
      <c r="AF509" s="181">
        <v>5</v>
      </c>
      <c r="AG509" s="181">
        <v>5</v>
      </c>
      <c r="AH509" s="363" t="str">
        <f t="shared" si="149"/>
        <v/>
      </c>
      <c r="AI509" s="190">
        <v>1698.29</v>
      </c>
      <c r="AJ509" s="188">
        <v>1698.29</v>
      </c>
      <c r="AO509" s="367"/>
      <c r="AP509" s="367"/>
      <c r="AQ509" s="367"/>
    </row>
    <row r="510" spans="1:43" s="69" customFormat="1" ht="49.5" x14ac:dyDescent="0.3">
      <c r="A510" s="130" t="s">
        <v>1160</v>
      </c>
      <c r="B510" s="240" t="s">
        <v>1161</v>
      </c>
      <c r="C510" s="132" t="s">
        <v>50</v>
      </c>
      <c r="D510" s="133">
        <v>2123.4</v>
      </c>
      <c r="E510" s="75"/>
      <c r="F510" s="75"/>
      <c r="G510" s="75"/>
      <c r="H510" s="75"/>
      <c r="I510" s="328">
        <v>2363.4</v>
      </c>
      <c r="J510" s="75">
        <v>353</v>
      </c>
      <c r="K510" s="75">
        <v>834280.2</v>
      </c>
      <c r="L510" s="91" t="s">
        <v>1162</v>
      </c>
      <c r="M510" s="73"/>
      <c r="N510" s="46">
        <v>2123.4</v>
      </c>
      <c r="O510" s="46">
        <v>0</v>
      </c>
      <c r="P510" s="46">
        <v>749560.2</v>
      </c>
      <c r="Q510" s="98"/>
      <c r="R510" s="23" t="s">
        <v>1426</v>
      </c>
      <c r="S510" s="24" t="s">
        <v>1161</v>
      </c>
      <c r="T510" s="25" t="s">
        <v>50</v>
      </c>
      <c r="U510" s="26">
        <v>2123.4</v>
      </c>
      <c r="V510" s="26">
        <f t="shared" si="156"/>
        <v>2363.4</v>
      </c>
      <c r="W510" s="26">
        <f t="shared" si="142"/>
        <v>353</v>
      </c>
      <c r="X510" s="243">
        <f t="shared" si="157"/>
        <v>0</v>
      </c>
      <c r="Y510" s="127">
        <v>2123.4</v>
      </c>
      <c r="Z510" s="127">
        <f t="shared" si="158"/>
        <v>0</v>
      </c>
      <c r="AA510" s="127">
        <f t="shared" si="159"/>
        <v>749560.2</v>
      </c>
      <c r="AB510" s="33" t="s">
        <v>15</v>
      </c>
      <c r="AC510" s="324"/>
      <c r="AD510" s="181">
        <f t="shared" si="141"/>
        <v>2363.4</v>
      </c>
      <c r="AE510" s="181">
        <f t="shared" si="160"/>
        <v>834280.2</v>
      </c>
      <c r="AF510" s="181">
        <v>5</v>
      </c>
      <c r="AG510" s="181">
        <v>5</v>
      </c>
      <c r="AH510" s="363" t="str">
        <f t="shared" si="149"/>
        <v/>
      </c>
      <c r="AI510" s="191">
        <f>2123.4</f>
        <v>2123.4</v>
      </c>
      <c r="AJ510" s="190">
        <v>2363.4</v>
      </c>
      <c r="AO510" s="367"/>
      <c r="AP510" s="367"/>
      <c r="AQ510" s="367"/>
    </row>
    <row r="511" spans="1:43" s="69" customFormat="1" ht="42" customHeight="1" x14ac:dyDescent="0.3">
      <c r="A511" s="130" t="s">
        <v>1163</v>
      </c>
      <c r="B511" s="240" t="s">
        <v>1164</v>
      </c>
      <c r="C511" s="132" t="s">
        <v>162</v>
      </c>
      <c r="D511" s="133">
        <v>59</v>
      </c>
      <c r="E511" s="75"/>
      <c r="F511" s="75"/>
      <c r="G511" s="75"/>
      <c r="H511" s="75"/>
      <c r="I511" s="328"/>
      <c r="J511" s="75">
        <v>217.02</v>
      </c>
      <c r="K511" s="75">
        <v>12804.18</v>
      </c>
      <c r="L511" s="91" t="s">
        <v>1165</v>
      </c>
      <c r="M511" s="73"/>
      <c r="N511" s="46">
        <v>59</v>
      </c>
      <c r="O511" s="46">
        <v>0</v>
      </c>
      <c r="P511" s="46">
        <v>12804.18</v>
      </c>
      <c r="Q511" s="98"/>
      <c r="R511" s="23" t="s">
        <v>1402</v>
      </c>
      <c r="S511" s="24" t="s">
        <v>1164</v>
      </c>
      <c r="T511" s="25" t="s">
        <v>162</v>
      </c>
      <c r="U511" s="26">
        <v>59</v>
      </c>
      <c r="V511" s="26">
        <f t="shared" si="156"/>
        <v>59</v>
      </c>
      <c r="W511" s="26">
        <f t="shared" si="142"/>
        <v>217.02</v>
      </c>
      <c r="X511" s="127">
        <f t="shared" si="157"/>
        <v>0</v>
      </c>
      <c r="Y511" s="127">
        <f t="shared" si="135"/>
        <v>59</v>
      </c>
      <c r="Z511" s="127">
        <f t="shared" si="158"/>
        <v>0</v>
      </c>
      <c r="AA511" s="127">
        <f t="shared" si="159"/>
        <v>12804.18</v>
      </c>
      <c r="AB511" s="33" t="s">
        <v>15</v>
      </c>
      <c r="AC511" s="324"/>
      <c r="AD511" s="181">
        <f t="shared" si="141"/>
        <v>59</v>
      </c>
      <c r="AE511" s="181">
        <f t="shared" si="160"/>
        <v>12804.18</v>
      </c>
      <c r="AF511" s="181">
        <v>5</v>
      </c>
      <c r="AG511" s="181">
        <v>5</v>
      </c>
      <c r="AH511" s="363" t="str">
        <f t="shared" si="149"/>
        <v/>
      </c>
      <c r="AI511" s="194">
        <v>59</v>
      </c>
      <c r="AJ511" s="188">
        <v>59</v>
      </c>
      <c r="AO511" s="367"/>
      <c r="AP511" s="367"/>
      <c r="AQ511" s="367"/>
    </row>
    <row r="512" spans="1:43" s="69" customFormat="1" ht="26.1" customHeight="1" x14ac:dyDescent="0.3">
      <c r="A512" s="130" t="s">
        <v>1166</v>
      </c>
      <c r="B512" s="131" t="s">
        <v>1167</v>
      </c>
      <c r="C512" s="132" t="s">
        <v>559</v>
      </c>
      <c r="D512" s="133">
        <v>30</v>
      </c>
      <c r="E512" s="75"/>
      <c r="F512" s="75"/>
      <c r="G512" s="75"/>
      <c r="H512" s="75"/>
      <c r="I512" s="328"/>
      <c r="J512" s="75">
        <v>50</v>
      </c>
      <c r="K512" s="75">
        <v>1500</v>
      </c>
      <c r="L512" s="91" t="s">
        <v>1168</v>
      </c>
      <c r="M512" s="73"/>
      <c r="N512" s="46">
        <v>30</v>
      </c>
      <c r="O512" s="46">
        <v>0</v>
      </c>
      <c r="P512" s="46">
        <v>1500</v>
      </c>
      <c r="Q512" s="98"/>
      <c r="R512" s="23" t="s">
        <v>1373</v>
      </c>
      <c r="S512" s="24" t="s">
        <v>1167</v>
      </c>
      <c r="T512" s="25" t="s">
        <v>559</v>
      </c>
      <c r="U512" s="26">
        <v>30</v>
      </c>
      <c r="V512" s="26">
        <f t="shared" si="156"/>
        <v>30</v>
      </c>
      <c r="W512" s="26">
        <f t="shared" si="142"/>
        <v>50</v>
      </c>
      <c r="X512" s="127">
        <f t="shared" si="157"/>
        <v>0</v>
      </c>
      <c r="Y512" s="127">
        <f t="shared" si="135"/>
        <v>30</v>
      </c>
      <c r="Z512" s="127">
        <f t="shared" si="158"/>
        <v>0</v>
      </c>
      <c r="AA512" s="127">
        <f t="shared" si="159"/>
        <v>1500</v>
      </c>
      <c r="AB512" s="33" t="s">
        <v>15</v>
      </c>
      <c r="AC512" s="324"/>
      <c r="AD512" s="181">
        <f t="shared" si="141"/>
        <v>30</v>
      </c>
      <c r="AE512" s="181">
        <f t="shared" si="160"/>
        <v>1500</v>
      </c>
      <c r="AF512" s="181">
        <v>5</v>
      </c>
      <c r="AG512" s="181">
        <v>5</v>
      </c>
      <c r="AH512" s="363" t="str">
        <f t="shared" si="149"/>
        <v/>
      </c>
      <c r="AI512" s="194">
        <v>30</v>
      </c>
      <c r="AJ512" s="188">
        <v>30</v>
      </c>
      <c r="AO512" s="367"/>
      <c r="AP512" s="367"/>
      <c r="AQ512" s="367"/>
    </row>
    <row r="513" spans="1:43" s="69" customFormat="1" ht="26.1" customHeight="1" x14ac:dyDescent="0.3">
      <c r="A513" s="130" t="s">
        <v>1169</v>
      </c>
      <c r="B513" s="131" t="s">
        <v>1170</v>
      </c>
      <c r="C513" s="132" t="s">
        <v>81</v>
      </c>
      <c r="D513" s="133">
        <v>9</v>
      </c>
      <c r="E513" s="75"/>
      <c r="F513" s="75"/>
      <c r="G513" s="75"/>
      <c r="H513" s="75"/>
      <c r="I513" s="328"/>
      <c r="J513" s="75">
        <v>1900.97</v>
      </c>
      <c r="K513" s="75">
        <v>17108.73</v>
      </c>
      <c r="L513" s="91" t="s">
        <v>1171</v>
      </c>
      <c r="M513" s="73"/>
      <c r="N513" s="46">
        <v>9</v>
      </c>
      <c r="O513" s="46">
        <v>0</v>
      </c>
      <c r="P513" s="46">
        <v>17108.73</v>
      </c>
      <c r="Q513" s="98"/>
      <c r="R513" s="23" t="s">
        <v>1393</v>
      </c>
      <c r="S513" s="24" t="s">
        <v>1170</v>
      </c>
      <c r="T513" s="25" t="s">
        <v>81</v>
      </c>
      <c r="U513" s="26">
        <v>9</v>
      </c>
      <c r="V513" s="26">
        <f t="shared" si="156"/>
        <v>9</v>
      </c>
      <c r="W513" s="26">
        <f t="shared" si="142"/>
        <v>1900.97</v>
      </c>
      <c r="X513" s="127">
        <f t="shared" si="157"/>
        <v>0</v>
      </c>
      <c r="Y513" s="127">
        <f t="shared" si="135"/>
        <v>9</v>
      </c>
      <c r="Z513" s="127">
        <f t="shared" si="158"/>
        <v>0</v>
      </c>
      <c r="AA513" s="127">
        <f t="shared" si="159"/>
        <v>17108.73</v>
      </c>
      <c r="AB513" s="33" t="s">
        <v>15</v>
      </c>
      <c r="AC513" s="324"/>
      <c r="AD513" s="181">
        <f t="shared" si="141"/>
        <v>9</v>
      </c>
      <c r="AE513" s="181">
        <f t="shared" si="160"/>
        <v>17108.73</v>
      </c>
      <c r="AF513" s="181">
        <v>5</v>
      </c>
      <c r="AG513" s="181">
        <v>5</v>
      </c>
      <c r="AH513" s="363" t="str">
        <f t="shared" si="149"/>
        <v/>
      </c>
      <c r="AI513" s="190">
        <v>9</v>
      </c>
      <c r="AJ513" s="188">
        <v>9</v>
      </c>
      <c r="AO513" s="367"/>
      <c r="AP513" s="367"/>
      <c r="AQ513" s="367"/>
    </row>
    <row r="514" spans="1:43" s="69" customFormat="1" ht="26.1" customHeight="1" x14ac:dyDescent="0.3">
      <c r="A514" s="130" t="s">
        <v>1172</v>
      </c>
      <c r="B514" s="131" t="s">
        <v>1173</v>
      </c>
      <c r="C514" s="132" t="s">
        <v>81</v>
      </c>
      <c r="D514" s="133">
        <v>5</v>
      </c>
      <c r="E514" s="75"/>
      <c r="F514" s="75"/>
      <c r="G514" s="75"/>
      <c r="H514" s="75"/>
      <c r="I514" s="328"/>
      <c r="J514" s="75">
        <v>1230.75</v>
      </c>
      <c r="K514" s="75">
        <v>6153.75</v>
      </c>
      <c r="L514" s="91" t="s">
        <v>1174</v>
      </c>
      <c r="M514" s="73"/>
      <c r="N514" s="46">
        <v>5</v>
      </c>
      <c r="O514" s="46">
        <v>0</v>
      </c>
      <c r="P514" s="46">
        <v>6153.75</v>
      </c>
      <c r="Q514" s="98"/>
      <c r="R514" s="23" t="s">
        <v>1403</v>
      </c>
      <c r="S514" s="24" t="s">
        <v>1173</v>
      </c>
      <c r="T514" s="25" t="s">
        <v>81</v>
      </c>
      <c r="U514" s="26">
        <v>5</v>
      </c>
      <c r="V514" s="26">
        <f t="shared" si="156"/>
        <v>5</v>
      </c>
      <c r="W514" s="26">
        <f t="shared" si="142"/>
        <v>1230.75</v>
      </c>
      <c r="X514" s="127">
        <f t="shared" si="157"/>
        <v>0</v>
      </c>
      <c r="Y514" s="127">
        <f t="shared" si="135"/>
        <v>5</v>
      </c>
      <c r="Z514" s="127">
        <f t="shared" si="158"/>
        <v>0</v>
      </c>
      <c r="AA514" s="127">
        <f t="shared" si="159"/>
        <v>6153.75</v>
      </c>
      <c r="AB514" s="33" t="s">
        <v>15</v>
      </c>
      <c r="AC514" s="324"/>
      <c r="AD514" s="181">
        <f t="shared" si="141"/>
        <v>5</v>
      </c>
      <c r="AE514" s="181">
        <f t="shared" si="160"/>
        <v>6153.75</v>
      </c>
      <c r="AF514" s="181">
        <v>5</v>
      </c>
      <c r="AG514" s="181">
        <v>5</v>
      </c>
      <c r="AH514" s="363" t="str">
        <f t="shared" si="149"/>
        <v/>
      </c>
      <c r="AI514" s="190">
        <v>5</v>
      </c>
      <c r="AJ514" s="188">
        <v>5</v>
      </c>
      <c r="AO514" s="367"/>
      <c r="AP514" s="367"/>
      <c r="AQ514" s="367"/>
    </row>
    <row r="515" spans="1:43" s="69" customFormat="1" ht="24.75" x14ac:dyDescent="0.3">
      <c r="A515" s="55" t="s">
        <v>1175</v>
      </c>
      <c r="B515" s="53" t="s">
        <v>1176</v>
      </c>
      <c r="C515" s="54" t="s">
        <v>81</v>
      </c>
      <c r="D515" s="75">
        <v>756</v>
      </c>
      <c r="E515" s="75"/>
      <c r="F515" s="75"/>
      <c r="G515" s="75"/>
      <c r="H515" s="75"/>
      <c r="I515" s="328"/>
      <c r="J515" s="75">
        <v>1666.11</v>
      </c>
      <c r="K515" s="75">
        <v>1259579.1599999999</v>
      </c>
      <c r="L515" s="91" t="s">
        <v>1177</v>
      </c>
      <c r="M515" s="73"/>
      <c r="N515" s="46">
        <v>659</v>
      </c>
      <c r="O515" s="46">
        <v>26657.759999999998</v>
      </c>
      <c r="P515" s="46">
        <v>1097966.49</v>
      </c>
      <c r="Q515" s="98"/>
      <c r="R515" s="23" t="s">
        <v>1427</v>
      </c>
      <c r="S515" s="24" t="s">
        <v>1176</v>
      </c>
      <c r="T515" s="25" t="s">
        <v>81</v>
      </c>
      <c r="U515" s="26">
        <v>756</v>
      </c>
      <c r="V515" s="26">
        <f t="shared" si="156"/>
        <v>756</v>
      </c>
      <c r="W515" s="26">
        <f t="shared" si="142"/>
        <v>1666.11</v>
      </c>
      <c r="X515" s="243">
        <f t="shared" si="157"/>
        <v>22</v>
      </c>
      <c r="Y515" s="26">
        <f t="shared" si="135"/>
        <v>681</v>
      </c>
      <c r="Z515" s="26">
        <f t="shared" si="158"/>
        <v>36654.419999999925</v>
      </c>
      <c r="AA515" s="26">
        <f t="shared" si="159"/>
        <v>1134620.9099999999</v>
      </c>
      <c r="AB515" s="33" t="s">
        <v>15</v>
      </c>
      <c r="AC515" s="324"/>
      <c r="AD515" s="181">
        <f t="shared" si="141"/>
        <v>756</v>
      </c>
      <c r="AE515" s="181">
        <f t="shared" si="160"/>
        <v>1259579.1599999999</v>
      </c>
      <c r="AF515" s="181">
        <v>5</v>
      </c>
      <c r="AG515" s="181">
        <v>5</v>
      </c>
      <c r="AH515" s="363" t="str">
        <f t="shared" si="149"/>
        <v/>
      </c>
      <c r="AI515" s="191">
        <f>471+52+26+22+52+20+16+22</f>
        <v>681</v>
      </c>
      <c r="AJ515" s="188">
        <v>756</v>
      </c>
      <c r="AO515" s="367"/>
      <c r="AP515" s="367"/>
      <c r="AQ515" s="367"/>
    </row>
    <row r="516" spans="1:43" s="69" customFormat="1" ht="49.5" customHeight="1" x14ac:dyDescent="0.3">
      <c r="A516" s="130" t="s">
        <v>1178</v>
      </c>
      <c r="B516" s="240" t="s">
        <v>1179</v>
      </c>
      <c r="C516" s="132" t="s">
        <v>81</v>
      </c>
      <c r="D516" s="133">
        <v>2</v>
      </c>
      <c r="E516" s="75"/>
      <c r="F516" s="75"/>
      <c r="G516" s="75"/>
      <c r="H516" s="75"/>
      <c r="I516" s="328">
        <v>3</v>
      </c>
      <c r="J516" s="75">
        <v>48513</v>
      </c>
      <c r="K516" s="75">
        <v>145539</v>
      </c>
      <c r="L516" s="91" t="s">
        <v>1180</v>
      </c>
      <c r="M516" s="73"/>
      <c r="N516" s="46">
        <v>2</v>
      </c>
      <c r="O516" s="46">
        <v>0</v>
      </c>
      <c r="P516" s="46">
        <v>97026</v>
      </c>
      <c r="Q516" s="98"/>
      <c r="R516" s="23" t="s">
        <v>1428</v>
      </c>
      <c r="S516" s="24" t="s">
        <v>1179</v>
      </c>
      <c r="T516" s="25" t="s">
        <v>81</v>
      </c>
      <c r="U516" s="26">
        <v>2</v>
      </c>
      <c r="V516" s="26">
        <f t="shared" si="156"/>
        <v>3</v>
      </c>
      <c r="W516" s="26">
        <f t="shared" si="142"/>
        <v>48513</v>
      </c>
      <c r="X516" s="243">
        <f t="shared" si="157"/>
        <v>0</v>
      </c>
      <c r="Y516" s="127">
        <v>2</v>
      </c>
      <c r="Z516" s="127">
        <f t="shared" si="158"/>
        <v>0</v>
      </c>
      <c r="AA516" s="127">
        <f t="shared" si="159"/>
        <v>97026</v>
      </c>
      <c r="AB516" s="33" t="s">
        <v>15</v>
      </c>
      <c r="AC516" s="324"/>
      <c r="AD516" s="181">
        <f t="shared" si="141"/>
        <v>3</v>
      </c>
      <c r="AE516" s="181">
        <f t="shared" si="160"/>
        <v>145539</v>
      </c>
      <c r="AF516" s="181">
        <v>5</v>
      </c>
      <c r="AG516" s="181">
        <v>5</v>
      </c>
      <c r="AH516" s="363" t="str">
        <f t="shared" si="149"/>
        <v/>
      </c>
      <c r="AI516" s="191">
        <f>2</f>
        <v>2</v>
      </c>
      <c r="AJ516" s="190">
        <v>3</v>
      </c>
      <c r="AO516" s="367"/>
      <c r="AP516" s="367"/>
      <c r="AQ516" s="367"/>
    </row>
    <row r="517" spans="1:43" s="69" customFormat="1" ht="58.5" x14ac:dyDescent="0.3">
      <c r="A517" s="130" t="s">
        <v>1181</v>
      </c>
      <c r="B517" s="131" t="s">
        <v>1182</v>
      </c>
      <c r="C517" s="132" t="s">
        <v>1183</v>
      </c>
      <c r="D517" s="133">
        <v>18</v>
      </c>
      <c r="E517" s="75">
        <v>38</v>
      </c>
      <c r="F517" s="75"/>
      <c r="G517" s="75"/>
      <c r="H517" s="75"/>
      <c r="I517" s="75"/>
      <c r="J517" s="75">
        <v>587.1</v>
      </c>
      <c r="K517" s="75">
        <v>22309.8</v>
      </c>
      <c r="L517" s="91" t="s">
        <v>1184</v>
      </c>
      <c r="M517" s="73"/>
      <c r="N517" s="46">
        <v>38</v>
      </c>
      <c r="O517" s="46">
        <v>0</v>
      </c>
      <c r="P517" s="46">
        <v>22309.8</v>
      </c>
      <c r="Q517" s="98"/>
      <c r="R517" s="23" t="s">
        <v>1387</v>
      </c>
      <c r="S517" s="24" t="s">
        <v>1182</v>
      </c>
      <c r="T517" s="25" t="s">
        <v>1183</v>
      </c>
      <c r="U517" s="26">
        <v>18</v>
      </c>
      <c r="V517" s="26">
        <f t="shared" si="156"/>
        <v>38</v>
      </c>
      <c r="W517" s="26">
        <f t="shared" si="142"/>
        <v>587.1</v>
      </c>
      <c r="X517" s="127">
        <f t="shared" si="157"/>
        <v>0</v>
      </c>
      <c r="Y517" s="127">
        <f t="shared" ref="Y517:Y551" si="161">X517+N517</f>
        <v>38</v>
      </c>
      <c r="Z517" s="127">
        <f t="shared" si="158"/>
        <v>0</v>
      </c>
      <c r="AA517" s="127">
        <f t="shared" si="159"/>
        <v>22309.8</v>
      </c>
      <c r="AB517" s="27" t="s">
        <v>15</v>
      </c>
      <c r="AC517" s="324"/>
      <c r="AD517" s="181">
        <f t="shared" si="141"/>
        <v>38</v>
      </c>
      <c r="AE517" s="181">
        <f t="shared" si="160"/>
        <v>22309.8</v>
      </c>
      <c r="AF517" s="181">
        <v>5</v>
      </c>
      <c r="AG517" s="181">
        <v>5</v>
      </c>
      <c r="AH517" s="363" t="str">
        <f t="shared" si="149"/>
        <v/>
      </c>
      <c r="AI517" s="194">
        <v>38</v>
      </c>
      <c r="AJ517" s="188">
        <v>38</v>
      </c>
      <c r="AO517" s="367"/>
      <c r="AP517" s="367"/>
      <c r="AQ517" s="367"/>
    </row>
    <row r="518" spans="1:43" s="69" customFormat="1" ht="33.75" customHeight="1" x14ac:dyDescent="0.3">
      <c r="A518" s="55" t="s">
        <v>1185</v>
      </c>
      <c r="B518" s="53" t="s">
        <v>1186</v>
      </c>
      <c r="C518" s="54" t="s">
        <v>162</v>
      </c>
      <c r="D518" s="75">
        <v>9</v>
      </c>
      <c r="E518" s="75"/>
      <c r="F518" s="75"/>
      <c r="G518" s="75"/>
      <c r="H518" s="75"/>
      <c r="I518" s="75"/>
      <c r="J518" s="75">
        <v>664.14</v>
      </c>
      <c r="K518" s="75">
        <v>5977.26</v>
      </c>
      <c r="L518" s="91" t="s">
        <v>1187</v>
      </c>
      <c r="M518" s="73"/>
      <c r="N518" s="46">
        <v>0</v>
      </c>
      <c r="O518" s="46">
        <v>0</v>
      </c>
      <c r="P518" s="46">
        <v>0</v>
      </c>
      <c r="Q518" s="98"/>
      <c r="R518" s="23" t="s">
        <v>1405</v>
      </c>
      <c r="S518" s="24" t="s">
        <v>1186</v>
      </c>
      <c r="T518" s="25" t="s">
        <v>162</v>
      </c>
      <c r="U518" s="26">
        <v>9</v>
      </c>
      <c r="V518" s="26">
        <f t="shared" si="156"/>
        <v>9</v>
      </c>
      <c r="W518" s="26">
        <f t="shared" si="142"/>
        <v>664.14</v>
      </c>
      <c r="X518" s="243">
        <f t="shared" si="157"/>
        <v>5</v>
      </c>
      <c r="Y518" s="26">
        <f t="shared" si="161"/>
        <v>5</v>
      </c>
      <c r="Z518" s="26">
        <f t="shared" si="158"/>
        <v>3320.7</v>
      </c>
      <c r="AA518" s="26">
        <f t="shared" si="159"/>
        <v>3320.7</v>
      </c>
      <c r="AB518" s="33" t="s">
        <v>15</v>
      </c>
      <c r="AC518" s="324"/>
      <c r="AD518" s="181">
        <f t="shared" si="141"/>
        <v>9</v>
      </c>
      <c r="AE518" s="181">
        <f t="shared" si="160"/>
        <v>5977.26</v>
      </c>
      <c r="AF518" s="181">
        <v>5</v>
      </c>
      <c r="AG518" s="181">
        <v>5</v>
      </c>
      <c r="AH518" s="363" t="str">
        <f t="shared" si="149"/>
        <v/>
      </c>
      <c r="AI518" s="191">
        <f>5</f>
        <v>5</v>
      </c>
      <c r="AJ518" s="188">
        <v>9</v>
      </c>
      <c r="AO518" s="367"/>
      <c r="AP518" s="367"/>
      <c r="AQ518" s="367"/>
    </row>
    <row r="519" spans="1:43" s="69" customFormat="1" ht="39" x14ac:dyDescent="0.3">
      <c r="A519" s="55" t="s">
        <v>1188</v>
      </c>
      <c r="B519" s="53" t="s">
        <v>1189</v>
      </c>
      <c r="C519" s="54" t="s">
        <v>81</v>
      </c>
      <c r="D519" s="75">
        <v>68</v>
      </c>
      <c r="E519" s="75"/>
      <c r="F519" s="75"/>
      <c r="G519" s="75"/>
      <c r="H519" s="75"/>
      <c r="I519" s="75"/>
      <c r="J519" s="75">
        <v>847.07</v>
      </c>
      <c r="K519" s="75">
        <v>57600.76</v>
      </c>
      <c r="L519" s="91" t="s">
        <v>1190</v>
      </c>
      <c r="M519" s="73"/>
      <c r="N519" s="46">
        <v>40</v>
      </c>
      <c r="O519" s="46">
        <v>0</v>
      </c>
      <c r="P519" s="46">
        <v>33882.800000000003</v>
      </c>
      <c r="Q519" s="98"/>
      <c r="R519" s="23" t="s">
        <v>1406</v>
      </c>
      <c r="S519" s="24" t="s">
        <v>1189</v>
      </c>
      <c r="T519" s="25" t="s">
        <v>81</v>
      </c>
      <c r="U519" s="26">
        <v>68</v>
      </c>
      <c r="V519" s="26">
        <f t="shared" si="156"/>
        <v>68</v>
      </c>
      <c r="W519" s="26">
        <f t="shared" si="142"/>
        <v>847.07</v>
      </c>
      <c r="X519" s="128">
        <f t="shared" si="157"/>
        <v>0</v>
      </c>
      <c r="Y519" s="26">
        <f t="shared" si="161"/>
        <v>40</v>
      </c>
      <c r="Z519" s="26">
        <f t="shared" si="158"/>
        <v>0</v>
      </c>
      <c r="AA519" s="26">
        <f t="shared" si="159"/>
        <v>33882.800000000003</v>
      </c>
      <c r="AB519" s="33" t="s">
        <v>15</v>
      </c>
      <c r="AC519" s="324"/>
      <c r="AD519" s="181">
        <f t="shared" si="141"/>
        <v>68</v>
      </c>
      <c r="AE519" s="181">
        <f t="shared" si="160"/>
        <v>57600.76</v>
      </c>
      <c r="AF519" s="181">
        <v>5</v>
      </c>
      <c r="AG519" s="181">
        <v>5</v>
      </c>
      <c r="AH519" s="363" t="str">
        <f t="shared" si="149"/>
        <v/>
      </c>
      <c r="AI519" s="190">
        <v>40</v>
      </c>
      <c r="AJ519" s="188">
        <v>68</v>
      </c>
      <c r="AO519" s="367"/>
      <c r="AP519" s="367"/>
      <c r="AQ519" s="367"/>
    </row>
    <row r="520" spans="1:43" s="69" customFormat="1" ht="41.25" x14ac:dyDescent="0.3">
      <c r="A520" s="130" t="s">
        <v>1191</v>
      </c>
      <c r="B520" s="131" t="s">
        <v>1192</v>
      </c>
      <c r="C520" s="132" t="s">
        <v>30</v>
      </c>
      <c r="D520" s="133">
        <v>27.54</v>
      </c>
      <c r="E520" s="75"/>
      <c r="F520" s="75">
        <v>87.54</v>
      </c>
      <c r="G520" s="75"/>
      <c r="H520" s="75"/>
      <c r="I520" s="75"/>
      <c r="J520" s="75">
        <v>293.74</v>
      </c>
      <c r="K520" s="75">
        <v>25714</v>
      </c>
      <c r="L520" s="91" t="s">
        <v>1193</v>
      </c>
      <c r="M520" s="73"/>
      <c r="N520" s="46">
        <v>87.54</v>
      </c>
      <c r="O520" s="46">
        <v>0</v>
      </c>
      <c r="P520" s="46">
        <v>25714</v>
      </c>
      <c r="Q520" s="98"/>
      <c r="R520" s="23" t="s">
        <v>1414</v>
      </c>
      <c r="S520" s="24" t="s">
        <v>1192</v>
      </c>
      <c r="T520" s="25" t="s">
        <v>30</v>
      </c>
      <c r="U520" s="26">
        <v>27.54</v>
      </c>
      <c r="V520" s="26">
        <f t="shared" si="156"/>
        <v>87.54</v>
      </c>
      <c r="W520" s="26">
        <f t="shared" si="142"/>
        <v>293.74</v>
      </c>
      <c r="X520" s="127">
        <f t="shared" si="157"/>
        <v>0</v>
      </c>
      <c r="Y520" s="127">
        <f t="shared" si="161"/>
        <v>87.54</v>
      </c>
      <c r="Z520" s="127">
        <f t="shared" si="158"/>
        <v>0</v>
      </c>
      <c r="AA520" s="127">
        <f t="shared" si="159"/>
        <v>25714</v>
      </c>
      <c r="AB520" s="27" t="s">
        <v>15</v>
      </c>
      <c r="AC520" s="324"/>
      <c r="AD520" s="181">
        <f t="shared" si="141"/>
        <v>87.54</v>
      </c>
      <c r="AE520" s="181">
        <f t="shared" si="160"/>
        <v>25714</v>
      </c>
      <c r="AF520" s="181">
        <v>5</v>
      </c>
      <c r="AG520" s="181">
        <v>5</v>
      </c>
      <c r="AH520" s="363" t="str">
        <f t="shared" si="149"/>
        <v/>
      </c>
      <c r="AI520" s="190">
        <v>87.54</v>
      </c>
      <c r="AJ520" s="188">
        <v>87.54</v>
      </c>
      <c r="AO520" s="367"/>
      <c r="AP520" s="367"/>
      <c r="AQ520" s="367"/>
    </row>
    <row r="521" spans="1:43" s="69" customFormat="1" ht="33" customHeight="1" x14ac:dyDescent="0.3">
      <c r="A521" s="130" t="s">
        <v>1194</v>
      </c>
      <c r="B521" s="131" t="s">
        <v>1195</v>
      </c>
      <c r="C521" s="132" t="s">
        <v>1196</v>
      </c>
      <c r="D521" s="133">
        <v>2</v>
      </c>
      <c r="E521" s="75"/>
      <c r="F521" s="75"/>
      <c r="G521" s="76"/>
      <c r="H521" s="76"/>
      <c r="I521" s="76"/>
      <c r="J521" s="76">
        <v>10000</v>
      </c>
      <c r="K521" s="76">
        <v>20000</v>
      </c>
      <c r="L521" s="91" t="s">
        <v>1197</v>
      </c>
      <c r="M521" s="73"/>
      <c r="N521" s="46">
        <v>2</v>
      </c>
      <c r="O521" s="46">
        <v>0</v>
      </c>
      <c r="P521" s="46">
        <v>20000</v>
      </c>
      <c r="Q521" s="98"/>
      <c r="R521" s="23" t="s">
        <v>1429</v>
      </c>
      <c r="S521" s="24" t="s">
        <v>1195</v>
      </c>
      <c r="T521" s="25" t="s">
        <v>1196</v>
      </c>
      <c r="U521" s="26">
        <v>2</v>
      </c>
      <c r="V521" s="26">
        <f t="shared" si="156"/>
        <v>2</v>
      </c>
      <c r="W521" s="26">
        <f t="shared" si="142"/>
        <v>10000</v>
      </c>
      <c r="X521" s="127">
        <f t="shared" si="157"/>
        <v>0</v>
      </c>
      <c r="Y521" s="127">
        <f t="shared" si="161"/>
        <v>2</v>
      </c>
      <c r="Z521" s="127">
        <f t="shared" si="158"/>
        <v>0</v>
      </c>
      <c r="AA521" s="127">
        <f t="shared" si="159"/>
        <v>20000</v>
      </c>
      <c r="AB521" s="33" t="s">
        <v>15</v>
      </c>
      <c r="AC521" s="324"/>
      <c r="AD521" s="181">
        <f t="shared" si="141"/>
        <v>2</v>
      </c>
      <c r="AE521" s="181">
        <f t="shared" si="160"/>
        <v>20000</v>
      </c>
      <c r="AF521" s="181">
        <v>5</v>
      </c>
      <c r="AG521" s="181">
        <v>5</v>
      </c>
      <c r="AH521" s="363" t="str">
        <f t="shared" si="149"/>
        <v/>
      </c>
      <c r="AI521" s="190">
        <v>2</v>
      </c>
      <c r="AJ521" s="188">
        <v>2</v>
      </c>
      <c r="AO521" s="367"/>
      <c r="AP521" s="367"/>
      <c r="AQ521" s="367"/>
    </row>
    <row r="522" spans="1:43" s="69" customFormat="1" ht="33" customHeight="1" x14ac:dyDescent="0.3">
      <c r="A522" s="55" t="s">
        <v>1198</v>
      </c>
      <c r="B522" s="53" t="s">
        <v>1199</v>
      </c>
      <c r="C522" s="54" t="s">
        <v>30</v>
      </c>
      <c r="D522" s="75">
        <v>1064.31</v>
      </c>
      <c r="E522" s="75"/>
      <c r="F522" s="161"/>
      <c r="G522" s="158"/>
      <c r="H522" s="158"/>
      <c r="I522" s="158"/>
      <c r="J522" s="158">
        <v>210</v>
      </c>
      <c r="K522" s="158">
        <v>223505.1</v>
      </c>
      <c r="L522" s="321" t="s">
        <v>1200</v>
      </c>
      <c r="M522" s="73"/>
      <c r="N522" s="46">
        <v>987</v>
      </c>
      <c r="O522" s="46">
        <v>6720</v>
      </c>
      <c r="P522" s="46">
        <v>207270</v>
      </c>
      <c r="Q522" s="98"/>
      <c r="R522" s="23" t="s">
        <v>1430</v>
      </c>
      <c r="S522" s="24" t="s">
        <v>1199</v>
      </c>
      <c r="T522" s="25" t="s">
        <v>30</v>
      </c>
      <c r="U522" s="26">
        <v>1064.31</v>
      </c>
      <c r="V522" s="26">
        <f t="shared" si="156"/>
        <v>1064.31</v>
      </c>
      <c r="W522" s="26">
        <f t="shared" si="142"/>
        <v>210</v>
      </c>
      <c r="X522" s="243">
        <f t="shared" si="157"/>
        <v>22.299999999999955</v>
      </c>
      <c r="Y522" s="26">
        <f t="shared" si="161"/>
        <v>1009.3</v>
      </c>
      <c r="Z522" s="26">
        <f t="shared" si="158"/>
        <v>4683</v>
      </c>
      <c r="AA522" s="26">
        <f t="shared" si="159"/>
        <v>211953</v>
      </c>
      <c r="AB522" s="33" t="s">
        <v>15</v>
      </c>
      <c r="AC522" s="324"/>
      <c r="AD522" s="181">
        <f t="shared" ref="AD522:AD557" si="162">IF(V522=0,U522,V522)</f>
        <v>1064.31</v>
      </c>
      <c r="AE522" s="181">
        <f t="shared" si="160"/>
        <v>223505.1</v>
      </c>
      <c r="AF522" s="181">
        <v>5</v>
      </c>
      <c r="AG522" s="181">
        <v>5</v>
      </c>
      <c r="AH522" s="363" t="str">
        <f t="shared" si="149"/>
        <v/>
      </c>
      <c r="AI522" s="191">
        <f>845+110+32+22.3</f>
        <v>1009.3</v>
      </c>
      <c r="AJ522" s="188">
        <v>1064.31</v>
      </c>
      <c r="AO522" s="367"/>
      <c r="AP522" s="367"/>
      <c r="AQ522" s="367"/>
    </row>
    <row r="523" spans="1:43" s="69" customFormat="1" ht="39" x14ac:dyDescent="0.3">
      <c r="A523" s="55" t="s">
        <v>1201</v>
      </c>
      <c r="B523" s="53" t="s">
        <v>1202</v>
      </c>
      <c r="C523" s="54" t="s">
        <v>30</v>
      </c>
      <c r="D523" s="75">
        <v>1910.54</v>
      </c>
      <c r="E523" s="75"/>
      <c r="F523" s="161"/>
      <c r="G523" s="158"/>
      <c r="H523" s="158"/>
      <c r="I523" s="158"/>
      <c r="J523" s="158">
        <v>300</v>
      </c>
      <c r="K523" s="158">
        <v>573162</v>
      </c>
      <c r="L523" s="321" t="s">
        <v>1203</v>
      </c>
      <c r="M523" s="73"/>
      <c r="N523" s="46">
        <v>1640.4</v>
      </c>
      <c r="O523" s="46">
        <v>19680</v>
      </c>
      <c r="P523" s="46">
        <v>492120</v>
      </c>
      <c r="Q523" s="98"/>
      <c r="R523" s="23" t="s">
        <v>1431</v>
      </c>
      <c r="S523" s="24" t="s">
        <v>1202</v>
      </c>
      <c r="T523" s="25" t="s">
        <v>30</v>
      </c>
      <c r="U523" s="26">
        <v>1910.54</v>
      </c>
      <c r="V523" s="26">
        <f t="shared" si="156"/>
        <v>1910.54</v>
      </c>
      <c r="W523" s="26">
        <f t="shared" ref="W523:W557" si="163">J523</f>
        <v>300</v>
      </c>
      <c r="X523" s="243">
        <f t="shared" si="157"/>
        <v>71.799999999999727</v>
      </c>
      <c r="Y523" s="26">
        <f t="shared" si="161"/>
        <v>1712.1999999999998</v>
      </c>
      <c r="Z523" s="26">
        <f t="shared" si="158"/>
        <v>21540</v>
      </c>
      <c r="AA523" s="26">
        <f t="shared" si="159"/>
        <v>513660</v>
      </c>
      <c r="AB523" s="33" t="s">
        <v>15</v>
      </c>
      <c r="AC523" s="324"/>
      <c r="AD523" s="181">
        <f t="shared" si="162"/>
        <v>1910.54</v>
      </c>
      <c r="AE523" s="181">
        <f t="shared" si="160"/>
        <v>573162</v>
      </c>
      <c r="AF523" s="181">
        <v>5</v>
      </c>
      <c r="AG523" s="181">
        <v>5</v>
      </c>
      <c r="AH523" s="363" t="str">
        <f t="shared" si="149"/>
        <v/>
      </c>
      <c r="AI523" s="191">
        <f>1106+136+265.3+67.5+65.6+71.8</f>
        <v>1712.1999999999998</v>
      </c>
      <c r="AJ523" s="188">
        <v>1910.54</v>
      </c>
      <c r="AO523" s="367"/>
      <c r="AP523" s="367"/>
      <c r="AQ523" s="367"/>
    </row>
    <row r="524" spans="1:43" s="69" customFormat="1" ht="39" x14ac:dyDescent="0.3">
      <c r="A524" s="55" t="s">
        <v>1204</v>
      </c>
      <c r="B524" s="53" t="s">
        <v>1205</v>
      </c>
      <c r="C524" s="54" t="s">
        <v>30</v>
      </c>
      <c r="D524" s="75">
        <v>2738.45</v>
      </c>
      <c r="E524" s="75"/>
      <c r="F524" s="161"/>
      <c r="G524" s="158"/>
      <c r="H524" s="158"/>
      <c r="I524" s="158"/>
      <c r="J524" s="158">
        <v>200</v>
      </c>
      <c r="K524" s="158">
        <v>547690</v>
      </c>
      <c r="L524" s="321" t="s">
        <v>1206</v>
      </c>
      <c r="M524" s="73"/>
      <c r="N524" s="46">
        <v>2228</v>
      </c>
      <c r="O524" s="46">
        <v>13740</v>
      </c>
      <c r="P524" s="46">
        <v>445600</v>
      </c>
      <c r="Q524" s="98"/>
      <c r="R524" s="23" t="s">
        <v>1395</v>
      </c>
      <c r="S524" s="24" t="s">
        <v>1205</v>
      </c>
      <c r="T524" s="25" t="s">
        <v>30</v>
      </c>
      <c r="U524" s="26">
        <v>2738.45</v>
      </c>
      <c r="V524" s="26">
        <f t="shared" si="156"/>
        <v>2738.45</v>
      </c>
      <c r="W524" s="26">
        <f t="shared" si="163"/>
        <v>200</v>
      </c>
      <c r="X524" s="243">
        <f t="shared" si="157"/>
        <v>39.099999999999909</v>
      </c>
      <c r="Y524" s="26">
        <f t="shared" si="161"/>
        <v>2267.1</v>
      </c>
      <c r="Z524" s="26">
        <f t="shared" si="158"/>
        <v>7820</v>
      </c>
      <c r="AA524" s="26">
        <f t="shared" si="159"/>
        <v>453420</v>
      </c>
      <c r="AB524" s="33" t="s">
        <v>15</v>
      </c>
      <c r="AC524" s="324"/>
      <c r="AD524" s="181">
        <f t="shared" si="162"/>
        <v>2738.45</v>
      </c>
      <c r="AE524" s="181">
        <f t="shared" si="160"/>
        <v>547690</v>
      </c>
      <c r="AF524" s="181">
        <v>5</v>
      </c>
      <c r="AG524" s="181">
        <v>5</v>
      </c>
      <c r="AH524" s="363" t="str">
        <f t="shared" si="149"/>
        <v/>
      </c>
      <c r="AI524" s="191">
        <f>1256.3+192+337.2+121.2+215.8+36.8+68.7+39.1</f>
        <v>2267.1</v>
      </c>
      <c r="AJ524" s="188">
        <v>2738.45</v>
      </c>
      <c r="AO524" s="367"/>
      <c r="AP524" s="367"/>
      <c r="AQ524" s="367"/>
    </row>
    <row r="525" spans="1:43" s="69" customFormat="1" ht="33" customHeight="1" x14ac:dyDescent="0.3">
      <c r="A525" s="55" t="s">
        <v>1207</v>
      </c>
      <c r="B525" s="53" t="s">
        <v>1208</v>
      </c>
      <c r="C525" s="54" t="s">
        <v>14</v>
      </c>
      <c r="D525" s="75">
        <v>1</v>
      </c>
      <c r="E525" s="75"/>
      <c r="F525" s="224"/>
      <c r="G525" s="158"/>
      <c r="H525" s="158"/>
      <c r="I525" s="158"/>
      <c r="J525" s="158">
        <v>21460.9</v>
      </c>
      <c r="K525" s="158">
        <v>21460.9</v>
      </c>
      <c r="L525" s="321" t="s">
        <v>1209</v>
      </c>
      <c r="M525" s="73"/>
      <c r="N525" s="46">
        <v>0</v>
      </c>
      <c r="O525" s="46">
        <v>0</v>
      </c>
      <c r="P525" s="46">
        <v>0</v>
      </c>
      <c r="Q525" s="98"/>
      <c r="R525" s="23" t="s">
        <v>1432</v>
      </c>
      <c r="S525" s="24" t="s">
        <v>1208</v>
      </c>
      <c r="T525" s="25" t="s">
        <v>14</v>
      </c>
      <c r="U525" s="26">
        <v>1</v>
      </c>
      <c r="V525" s="26">
        <f t="shared" si="156"/>
        <v>1</v>
      </c>
      <c r="W525" s="26">
        <f t="shared" si="163"/>
        <v>21460.9</v>
      </c>
      <c r="X525" s="26">
        <f t="shared" si="157"/>
        <v>0</v>
      </c>
      <c r="Y525" s="26">
        <f t="shared" si="161"/>
        <v>0</v>
      </c>
      <c r="Z525" s="352">
        <f t="shared" si="158"/>
        <v>0</v>
      </c>
      <c r="AA525" s="26">
        <f t="shared" si="159"/>
        <v>0</v>
      </c>
      <c r="AB525" s="33" t="s">
        <v>15</v>
      </c>
      <c r="AC525" s="324"/>
      <c r="AD525" s="181">
        <f t="shared" si="162"/>
        <v>1</v>
      </c>
      <c r="AE525" s="181">
        <f t="shared" si="160"/>
        <v>21460.9</v>
      </c>
      <c r="AF525" s="181">
        <v>5</v>
      </c>
      <c r="AG525" s="181">
        <v>5</v>
      </c>
      <c r="AH525" s="363" t="str">
        <f t="shared" si="149"/>
        <v/>
      </c>
      <c r="AI525" s="190">
        <v>0</v>
      </c>
      <c r="AJ525" s="188">
        <v>1</v>
      </c>
      <c r="AO525" s="367"/>
      <c r="AP525" s="367"/>
      <c r="AQ525" s="367"/>
    </row>
    <row r="526" spans="1:43" s="69" customFormat="1" ht="39" x14ac:dyDescent="0.3">
      <c r="A526" s="251">
        <v>5.18</v>
      </c>
      <c r="B526" s="252" t="s">
        <v>1356</v>
      </c>
      <c r="C526" s="157" t="s">
        <v>97</v>
      </c>
      <c r="D526" s="253"/>
      <c r="E526" s="59">
        <v>720</v>
      </c>
      <c r="F526" s="57"/>
      <c r="G526" s="180"/>
      <c r="H526" s="180"/>
      <c r="I526" s="180"/>
      <c r="J526" s="230">
        <v>273.11</v>
      </c>
      <c r="K526" s="59">
        <v>196639.2</v>
      </c>
      <c r="L526" s="322"/>
      <c r="M526" s="73"/>
      <c r="N526" s="46">
        <v>640</v>
      </c>
      <c r="O526" s="46">
        <v>0</v>
      </c>
      <c r="P526" s="46">
        <v>174790.39999999999</v>
      </c>
      <c r="Q526" s="98"/>
      <c r="R526" s="23" t="s">
        <v>1433</v>
      </c>
      <c r="S526" s="24" t="s">
        <v>1503</v>
      </c>
      <c r="T526" s="25" t="s">
        <v>97</v>
      </c>
      <c r="U526" s="26">
        <v>0</v>
      </c>
      <c r="V526" s="26">
        <f t="shared" si="156"/>
        <v>720</v>
      </c>
      <c r="W526" s="26">
        <f t="shared" si="163"/>
        <v>273.11</v>
      </c>
      <c r="X526" s="128">
        <f t="shared" si="157"/>
        <v>0</v>
      </c>
      <c r="Y526" s="26">
        <f t="shared" si="161"/>
        <v>640</v>
      </c>
      <c r="Z526" s="26">
        <f t="shared" si="158"/>
        <v>0</v>
      </c>
      <c r="AA526" s="26">
        <f t="shared" si="159"/>
        <v>174790.39999999999</v>
      </c>
      <c r="AB526" s="27"/>
      <c r="AC526" s="324"/>
      <c r="AD526" s="181">
        <f t="shared" si="162"/>
        <v>720</v>
      </c>
      <c r="AE526" s="181">
        <f t="shared" si="160"/>
        <v>196639.2</v>
      </c>
      <c r="AF526" s="181">
        <v>5</v>
      </c>
      <c r="AG526" s="181">
        <v>5</v>
      </c>
      <c r="AH526" s="363" t="str">
        <f t="shared" si="149"/>
        <v/>
      </c>
      <c r="AI526" s="191">
        <v>640</v>
      </c>
      <c r="AJ526" s="188">
        <v>720</v>
      </c>
      <c r="AO526" s="367"/>
      <c r="AP526" s="367"/>
      <c r="AQ526" s="367"/>
    </row>
    <row r="527" spans="1:43" s="69" customFormat="1" ht="58.5" x14ac:dyDescent="0.3">
      <c r="A527" s="144">
        <v>5.19</v>
      </c>
      <c r="B527" s="145" t="s">
        <v>1357</v>
      </c>
      <c r="C527" s="206" t="s">
        <v>30</v>
      </c>
      <c r="D527" s="221"/>
      <c r="E527" s="175">
        <v>212</v>
      </c>
      <c r="F527" s="57"/>
      <c r="G527" s="180"/>
      <c r="H527" s="180"/>
      <c r="I527" s="180"/>
      <c r="J527" s="230">
        <v>1859.87</v>
      </c>
      <c r="K527" s="59">
        <v>394292.44</v>
      </c>
      <c r="L527" s="323"/>
      <c r="M527" s="73"/>
      <c r="N527" s="46">
        <v>212</v>
      </c>
      <c r="O527" s="46">
        <v>0</v>
      </c>
      <c r="P527" s="46">
        <v>394292.44</v>
      </c>
      <c r="Q527" s="98"/>
      <c r="R527" s="23" t="s">
        <v>1382</v>
      </c>
      <c r="S527" s="24" t="s">
        <v>1504</v>
      </c>
      <c r="T527" s="25" t="s">
        <v>30</v>
      </c>
      <c r="U527" s="26">
        <v>0</v>
      </c>
      <c r="V527" s="26">
        <f t="shared" si="156"/>
        <v>212</v>
      </c>
      <c r="W527" s="26">
        <f t="shared" si="163"/>
        <v>1859.87</v>
      </c>
      <c r="X527" s="127">
        <f t="shared" si="157"/>
        <v>0</v>
      </c>
      <c r="Y527" s="127">
        <f t="shared" si="161"/>
        <v>212</v>
      </c>
      <c r="Z527" s="127">
        <f t="shared" si="158"/>
        <v>0</v>
      </c>
      <c r="AA527" s="127">
        <f t="shared" si="159"/>
        <v>394292.44</v>
      </c>
      <c r="AB527" s="27"/>
      <c r="AC527" s="324"/>
      <c r="AD527" s="181">
        <f t="shared" si="162"/>
        <v>212</v>
      </c>
      <c r="AE527" s="181">
        <f t="shared" si="160"/>
        <v>394292.44</v>
      </c>
      <c r="AF527" s="181">
        <v>5</v>
      </c>
      <c r="AG527" s="181">
        <v>5</v>
      </c>
      <c r="AH527" s="363" t="str">
        <f t="shared" si="149"/>
        <v/>
      </c>
      <c r="AI527" s="190">
        <v>212</v>
      </c>
      <c r="AJ527" s="188">
        <v>212</v>
      </c>
      <c r="AO527" s="367"/>
      <c r="AP527" s="367"/>
      <c r="AQ527" s="367"/>
    </row>
    <row r="528" spans="1:43" s="69" customFormat="1" ht="39" x14ac:dyDescent="0.3">
      <c r="A528" s="210" t="s">
        <v>3106</v>
      </c>
      <c r="B528" s="208" t="s">
        <v>3107</v>
      </c>
      <c r="C528" s="204" t="s">
        <v>14</v>
      </c>
      <c r="D528" s="208"/>
      <c r="E528" s="159"/>
      <c r="F528" s="156"/>
      <c r="G528" s="156">
        <v>1</v>
      </c>
      <c r="H528" s="156"/>
      <c r="I528" s="156"/>
      <c r="J528" s="158">
        <v>263694.64</v>
      </c>
      <c r="K528" s="159">
        <v>263694.64</v>
      </c>
      <c r="L528" s="160"/>
      <c r="M528" s="73"/>
      <c r="N528" s="46">
        <v>1</v>
      </c>
      <c r="O528" s="46">
        <v>0</v>
      </c>
      <c r="P528" s="46">
        <v>263694.64</v>
      </c>
      <c r="Q528" s="98"/>
      <c r="R528" s="23" t="s">
        <v>3108</v>
      </c>
      <c r="S528" s="24" t="s">
        <v>3107</v>
      </c>
      <c r="T528" s="25" t="s">
        <v>14</v>
      </c>
      <c r="U528" s="26"/>
      <c r="V528" s="26">
        <f t="shared" si="156"/>
        <v>1</v>
      </c>
      <c r="W528" s="26">
        <f t="shared" si="163"/>
        <v>263694.64</v>
      </c>
      <c r="X528" s="127">
        <f t="shared" si="157"/>
        <v>0</v>
      </c>
      <c r="Y528" s="127">
        <f t="shared" si="161"/>
        <v>1</v>
      </c>
      <c r="Z528" s="127">
        <f t="shared" si="158"/>
        <v>0</v>
      </c>
      <c r="AA528" s="127">
        <f t="shared" si="159"/>
        <v>263694.64</v>
      </c>
      <c r="AB528" s="27"/>
      <c r="AC528" s="324"/>
      <c r="AD528" s="181">
        <f t="shared" si="162"/>
        <v>1</v>
      </c>
      <c r="AE528" s="181">
        <f t="shared" si="160"/>
        <v>263694.64</v>
      </c>
      <c r="AF528" s="181">
        <v>5</v>
      </c>
      <c r="AG528" s="181">
        <v>5</v>
      </c>
      <c r="AH528" s="363"/>
      <c r="AI528" s="192">
        <v>1</v>
      </c>
      <c r="AJ528" s="188">
        <v>1</v>
      </c>
      <c r="AO528" s="367"/>
      <c r="AP528" s="367"/>
      <c r="AQ528" s="367"/>
    </row>
    <row r="529" spans="1:43" s="69" customFormat="1" x14ac:dyDescent="0.3">
      <c r="A529" s="150" t="s">
        <v>1210</v>
      </c>
      <c r="B529" s="151" t="s">
        <v>1211</v>
      </c>
      <c r="C529" s="152" t="s">
        <v>14</v>
      </c>
      <c r="D529" s="153">
        <v>1</v>
      </c>
      <c r="E529" s="153"/>
      <c r="F529" s="153"/>
      <c r="G529" s="153"/>
      <c r="H529" s="153"/>
      <c r="I529" s="153"/>
      <c r="J529" s="153">
        <v>3523470.96</v>
      </c>
      <c r="K529" s="153">
        <v>3523470.96</v>
      </c>
      <c r="L529" s="154" t="s">
        <v>15</v>
      </c>
      <c r="M529" s="73"/>
      <c r="N529" s="42">
        <v>1</v>
      </c>
      <c r="O529" s="42">
        <v>0</v>
      </c>
      <c r="P529" s="42">
        <v>3068201.86</v>
      </c>
      <c r="Q529" s="98"/>
      <c r="R529" s="13" t="s">
        <v>1415</v>
      </c>
      <c r="S529" s="14" t="s">
        <v>1211</v>
      </c>
      <c r="T529" s="15" t="s">
        <v>14</v>
      </c>
      <c r="U529" s="16">
        <v>1</v>
      </c>
      <c r="V529" s="16"/>
      <c r="W529" s="16">
        <f t="shared" si="163"/>
        <v>3523470.96</v>
      </c>
      <c r="X529" s="16">
        <f t="shared" ref="X529:Y529" si="164">IF(Z529=0,0,1)</f>
        <v>1</v>
      </c>
      <c r="Y529" s="16">
        <f t="shared" si="164"/>
        <v>1</v>
      </c>
      <c r="Z529" s="16">
        <f>SUMIFS(Z:Z,AG:AG,AF529)</f>
        <v>103236</v>
      </c>
      <c r="AA529" s="16">
        <f>SUMIFS(AA:AA,AG:AG,AF529)</f>
        <v>3171437.8600000003</v>
      </c>
      <c r="AB529" s="17" t="s">
        <v>15</v>
      </c>
      <c r="AC529" s="232"/>
      <c r="AD529" s="181">
        <f t="shared" si="162"/>
        <v>1</v>
      </c>
      <c r="AE529" s="183"/>
      <c r="AF529" s="183">
        <v>6</v>
      </c>
      <c r="AG529" s="183"/>
      <c r="AH529" s="363" t="str">
        <f t="shared" si="149"/>
        <v/>
      </c>
      <c r="AI529" s="190">
        <v>1</v>
      </c>
      <c r="AJ529" s="188">
        <v>1</v>
      </c>
      <c r="AO529" s="367"/>
      <c r="AP529" s="367"/>
      <c r="AQ529" s="367"/>
    </row>
    <row r="530" spans="1:43" s="69" customFormat="1" ht="33" customHeight="1" x14ac:dyDescent="0.3">
      <c r="A530" s="130" t="s">
        <v>1212</v>
      </c>
      <c r="B530" s="131" t="s">
        <v>1213</v>
      </c>
      <c r="C530" s="132" t="s">
        <v>1014</v>
      </c>
      <c r="D530" s="133">
        <v>10</v>
      </c>
      <c r="E530" s="75"/>
      <c r="F530" s="75"/>
      <c r="G530" s="75"/>
      <c r="H530" s="75"/>
      <c r="I530" s="75"/>
      <c r="J530" s="75">
        <v>770</v>
      </c>
      <c r="K530" s="75">
        <v>7700</v>
      </c>
      <c r="L530" s="91" t="s">
        <v>1214</v>
      </c>
      <c r="M530" s="73"/>
      <c r="N530" s="46">
        <v>10</v>
      </c>
      <c r="O530" s="46">
        <v>0</v>
      </c>
      <c r="P530" s="46">
        <v>7700</v>
      </c>
      <c r="Q530" s="98"/>
      <c r="R530" s="23" t="s">
        <v>1421</v>
      </c>
      <c r="S530" s="24" t="s">
        <v>1213</v>
      </c>
      <c r="T530" s="25" t="s">
        <v>1014</v>
      </c>
      <c r="U530" s="26">
        <v>10</v>
      </c>
      <c r="V530" s="26">
        <f t="shared" ref="V530:V548" si="165">IF(I530&gt;0,I530,IF(H530&gt;0,H530,IF(G530&gt;0,G530,IF(F530&gt;0,F530,IF(E530&gt;0,E530,D530)))))</f>
        <v>10</v>
      </c>
      <c r="W530" s="26">
        <f t="shared" si="163"/>
        <v>770</v>
      </c>
      <c r="X530" s="127">
        <f t="shared" ref="X530:X548" si="166">AI530-N530</f>
        <v>0</v>
      </c>
      <c r="Y530" s="127">
        <f t="shared" si="161"/>
        <v>10</v>
      </c>
      <c r="Z530" s="127">
        <f t="shared" ref="Z530:Z546" si="167">AA530-P530</f>
        <v>0</v>
      </c>
      <c r="AA530" s="127">
        <f t="shared" ref="AA530:AA547" si="168">ROUND(W530*Y530,2)</f>
        <v>7700</v>
      </c>
      <c r="AB530" s="33" t="s">
        <v>15</v>
      </c>
      <c r="AC530" s="324"/>
      <c r="AD530" s="181">
        <f t="shared" si="162"/>
        <v>10</v>
      </c>
      <c r="AE530" s="181">
        <f t="shared" ref="AE530:AE548" si="169">ROUND(W530*AD530,2)</f>
        <v>7700</v>
      </c>
      <c r="AF530" s="181">
        <v>6</v>
      </c>
      <c r="AG530" s="181">
        <v>6</v>
      </c>
      <c r="AH530" s="363" t="str">
        <f t="shared" si="149"/>
        <v/>
      </c>
      <c r="AI530" s="190">
        <v>10</v>
      </c>
      <c r="AJ530" s="188">
        <v>10</v>
      </c>
      <c r="AO530" s="367"/>
      <c r="AP530" s="367"/>
      <c r="AQ530" s="367"/>
    </row>
    <row r="531" spans="1:43" s="69" customFormat="1" ht="33" customHeight="1" x14ac:dyDescent="0.3">
      <c r="A531" s="130" t="s">
        <v>1215</v>
      </c>
      <c r="B531" s="131" t="s">
        <v>1216</v>
      </c>
      <c r="C531" s="132" t="s">
        <v>1217</v>
      </c>
      <c r="D531" s="133">
        <v>100</v>
      </c>
      <c r="E531" s="75"/>
      <c r="F531" s="75"/>
      <c r="G531" s="75"/>
      <c r="H531" s="75"/>
      <c r="I531" s="75"/>
      <c r="J531" s="75">
        <v>201</v>
      </c>
      <c r="K531" s="75">
        <v>20100</v>
      </c>
      <c r="L531" s="91" t="s">
        <v>1218</v>
      </c>
      <c r="M531" s="73"/>
      <c r="N531" s="46">
        <v>100</v>
      </c>
      <c r="O531" s="46">
        <v>0</v>
      </c>
      <c r="P531" s="46">
        <v>20100</v>
      </c>
      <c r="Q531" s="98"/>
      <c r="R531" s="23" t="s">
        <v>1426</v>
      </c>
      <c r="S531" s="24" t="s">
        <v>1216</v>
      </c>
      <c r="T531" s="25" t="s">
        <v>1217</v>
      </c>
      <c r="U531" s="26">
        <v>100</v>
      </c>
      <c r="V531" s="26">
        <f t="shared" si="165"/>
        <v>100</v>
      </c>
      <c r="W531" s="26">
        <f t="shared" si="163"/>
        <v>201</v>
      </c>
      <c r="X531" s="127">
        <f t="shared" si="166"/>
        <v>0</v>
      </c>
      <c r="Y531" s="127">
        <f t="shared" si="161"/>
        <v>100</v>
      </c>
      <c r="Z531" s="127">
        <f t="shared" si="167"/>
        <v>0</v>
      </c>
      <c r="AA531" s="127">
        <f t="shared" si="168"/>
        <v>20100</v>
      </c>
      <c r="AB531" s="33" t="s">
        <v>15</v>
      </c>
      <c r="AC531" s="324"/>
      <c r="AD531" s="181">
        <f t="shared" si="162"/>
        <v>100</v>
      </c>
      <c r="AE531" s="181">
        <f t="shared" si="169"/>
        <v>20100</v>
      </c>
      <c r="AF531" s="181">
        <v>6</v>
      </c>
      <c r="AG531" s="181">
        <v>6</v>
      </c>
      <c r="AH531" s="363" t="str">
        <f t="shared" si="149"/>
        <v/>
      </c>
      <c r="AI531" s="190">
        <v>100</v>
      </c>
      <c r="AJ531" s="188">
        <v>100</v>
      </c>
      <c r="AO531" s="367"/>
      <c r="AP531" s="367"/>
      <c r="AQ531" s="367"/>
    </row>
    <row r="532" spans="1:43" s="69" customFormat="1" ht="58.5" x14ac:dyDescent="0.3">
      <c r="A532" s="130" t="s">
        <v>1219</v>
      </c>
      <c r="B532" s="131" t="s">
        <v>1220</v>
      </c>
      <c r="C532" s="132" t="s">
        <v>1221</v>
      </c>
      <c r="D532" s="133">
        <v>50</v>
      </c>
      <c r="E532" s="75"/>
      <c r="F532" s="75"/>
      <c r="G532" s="75"/>
      <c r="H532" s="75"/>
      <c r="I532" s="75"/>
      <c r="J532" s="75">
        <v>300</v>
      </c>
      <c r="K532" s="75">
        <v>15000</v>
      </c>
      <c r="L532" s="91" t="s">
        <v>1222</v>
      </c>
      <c r="M532" s="73"/>
      <c r="N532" s="46">
        <v>50</v>
      </c>
      <c r="O532" s="46">
        <v>0</v>
      </c>
      <c r="P532" s="46">
        <v>15000</v>
      </c>
      <c r="Q532" s="98"/>
      <c r="R532" s="23" t="s">
        <v>1402</v>
      </c>
      <c r="S532" s="24" t="s">
        <v>1220</v>
      </c>
      <c r="T532" s="25" t="s">
        <v>1221</v>
      </c>
      <c r="U532" s="26">
        <v>50</v>
      </c>
      <c r="V532" s="26">
        <f t="shared" si="165"/>
        <v>50</v>
      </c>
      <c r="W532" s="26">
        <f t="shared" si="163"/>
        <v>300</v>
      </c>
      <c r="X532" s="127">
        <f t="shared" si="166"/>
        <v>0</v>
      </c>
      <c r="Y532" s="127">
        <f t="shared" si="161"/>
        <v>50</v>
      </c>
      <c r="Z532" s="127">
        <f t="shared" si="167"/>
        <v>0</v>
      </c>
      <c r="AA532" s="127">
        <f t="shared" si="168"/>
        <v>15000</v>
      </c>
      <c r="AB532" s="33" t="s">
        <v>15</v>
      </c>
      <c r="AC532" s="324"/>
      <c r="AD532" s="181">
        <f t="shared" si="162"/>
        <v>50</v>
      </c>
      <c r="AE532" s="181">
        <f t="shared" si="169"/>
        <v>15000</v>
      </c>
      <c r="AF532" s="181">
        <v>6</v>
      </c>
      <c r="AG532" s="181">
        <v>6</v>
      </c>
      <c r="AH532" s="363" t="str">
        <f t="shared" si="149"/>
        <v/>
      </c>
      <c r="AI532" s="190">
        <v>50</v>
      </c>
      <c r="AJ532" s="188">
        <v>50</v>
      </c>
      <c r="AO532" s="367"/>
      <c r="AP532" s="367"/>
      <c r="AQ532" s="367"/>
    </row>
    <row r="533" spans="1:43" s="69" customFormat="1" ht="33" customHeight="1" x14ac:dyDescent="0.3">
      <c r="A533" s="130" t="s">
        <v>1223</v>
      </c>
      <c r="B533" s="131" t="s">
        <v>1224</v>
      </c>
      <c r="C533" s="132" t="s">
        <v>325</v>
      </c>
      <c r="D533" s="133">
        <v>75</v>
      </c>
      <c r="E533" s="75"/>
      <c r="F533" s="75"/>
      <c r="G533" s="75"/>
      <c r="H533" s="75"/>
      <c r="I533" s="75"/>
      <c r="J533" s="75">
        <v>650</v>
      </c>
      <c r="K533" s="75">
        <v>48750</v>
      </c>
      <c r="L533" s="91" t="s">
        <v>1225</v>
      </c>
      <c r="M533" s="73"/>
      <c r="N533" s="46">
        <v>75</v>
      </c>
      <c r="O533" s="46">
        <v>0</v>
      </c>
      <c r="P533" s="46">
        <v>48750</v>
      </c>
      <c r="Q533" s="98"/>
      <c r="R533" s="23" t="s">
        <v>1373</v>
      </c>
      <c r="S533" s="24" t="s">
        <v>1224</v>
      </c>
      <c r="T533" s="25" t="s">
        <v>325</v>
      </c>
      <c r="U533" s="26">
        <v>75</v>
      </c>
      <c r="V533" s="26">
        <f t="shared" si="165"/>
        <v>75</v>
      </c>
      <c r="W533" s="26">
        <f t="shared" si="163"/>
        <v>650</v>
      </c>
      <c r="X533" s="127">
        <f t="shared" si="166"/>
        <v>0</v>
      </c>
      <c r="Y533" s="127">
        <f t="shared" si="161"/>
        <v>75</v>
      </c>
      <c r="Z533" s="127">
        <f t="shared" si="167"/>
        <v>0</v>
      </c>
      <c r="AA533" s="127">
        <f t="shared" si="168"/>
        <v>48750</v>
      </c>
      <c r="AB533" s="33" t="s">
        <v>15</v>
      </c>
      <c r="AC533" s="324"/>
      <c r="AD533" s="181">
        <f t="shared" si="162"/>
        <v>75</v>
      </c>
      <c r="AE533" s="181">
        <f t="shared" si="169"/>
        <v>48750</v>
      </c>
      <c r="AF533" s="181">
        <v>6</v>
      </c>
      <c r="AG533" s="181">
        <v>6</v>
      </c>
      <c r="AH533" s="363" t="str">
        <f t="shared" si="149"/>
        <v/>
      </c>
      <c r="AI533" s="190">
        <v>75</v>
      </c>
      <c r="AJ533" s="188">
        <v>75</v>
      </c>
      <c r="AO533" s="367"/>
      <c r="AP533" s="367"/>
      <c r="AQ533" s="367"/>
    </row>
    <row r="534" spans="1:43" s="69" customFormat="1" ht="33" customHeight="1" x14ac:dyDescent="0.3">
      <c r="A534" s="130" t="s">
        <v>1226</v>
      </c>
      <c r="B534" s="131" t="s">
        <v>1227</v>
      </c>
      <c r="C534" s="132" t="s">
        <v>1228</v>
      </c>
      <c r="D534" s="133">
        <v>200</v>
      </c>
      <c r="E534" s="75"/>
      <c r="F534" s="75"/>
      <c r="G534" s="75"/>
      <c r="H534" s="75"/>
      <c r="I534" s="75"/>
      <c r="J534" s="75">
        <v>28</v>
      </c>
      <c r="K534" s="75">
        <v>5600</v>
      </c>
      <c r="L534" s="91" t="s">
        <v>1229</v>
      </c>
      <c r="M534" s="73"/>
      <c r="N534" s="46">
        <v>200</v>
      </c>
      <c r="O534" s="46">
        <v>0</v>
      </c>
      <c r="P534" s="46">
        <v>5600</v>
      </c>
      <c r="Q534" s="98"/>
      <c r="R534" s="23" t="s">
        <v>1393</v>
      </c>
      <c r="S534" s="24" t="s">
        <v>1227</v>
      </c>
      <c r="T534" s="25" t="s">
        <v>1228</v>
      </c>
      <c r="U534" s="26">
        <v>200</v>
      </c>
      <c r="V534" s="26">
        <f t="shared" si="165"/>
        <v>200</v>
      </c>
      <c r="W534" s="26">
        <f t="shared" si="163"/>
        <v>28</v>
      </c>
      <c r="X534" s="127">
        <f t="shared" si="166"/>
        <v>0</v>
      </c>
      <c r="Y534" s="127">
        <f t="shared" si="161"/>
        <v>200</v>
      </c>
      <c r="Z534" s="127">
        <f t="shared" si="167"/>
        <v>0</v>
      </c>
      <c r="AA534" s="127">
        <f t="shared" si="168"/>
        <v>5600</v>
      </c>
      <c r="AB534" s="33" t="s">
        <v>15</v>
      </c>
      <c r="AC534" s="324"/>
      <c r="AD534" s="181">
        <f t="shared" si="162"/>
        <v>200</v>
      </c>
      <c r="AE534" s="181">
        <f t="shared" si="169"/>
        <v>5600</v>
      </c>
      <c r="AF534" s="181">
        <v>6</v>
      </c>
      <c r="AG534" s="181">
        <v>6</v>
      </c>
      <c r="AH534" s="363" t="str">
        <f t="shared" si="149"/>
        <v/>
      </c>
      <c r="AI534" s="190">
        <v>200</v>
      </c>
      <c r="AJ534" s="188">
        <v>200</v>
      </c>
      <c r="AO534" s="367"/>
      <c r="AP534" s="367"/>
      <c r="AQ534" s="367"/>
    </row>
    <row r="535" spans="1:43" s="69" customFormat="1" ht="33" customHeight="1" x14ac:dyDescent="0.3">
      <c r="A535" s="55" t="s">
        <v>1230</v>
      </c>
      <c r="B535" s="53" t="s">
        <v>1231</v>
      </c>
      <c r="C535" s="54" t="s">
        <v>1228</v>
      </c>
      <c r="D535" s="75">
        <v>100</v>
      </c>
      <c r="E535" s="75"/>
      <c r="F535" s="75"/>
      <c r="G535" s="75"/>
      <c r="H535" s="75"/>
      <c r="I535" s="75"/>
      <c r="J535" s="75">
        <v>500</v>
      </c>
      <c r="K535" s="75">
        <v>50000</v>
      </c>
      <c r="L535" s="91" t="s">
        <v>1232</v>
      </c>
      <c r="M535" s="73"/>
      <c r="N535" s="46">
        <v>87</v>
      </c>
      <c r="O535" s="46">
        <v>0</v>
      </c>
      <c r="P535" s="46">
        <v>43500</v>
      </c>
      <c r="Q535" s="98"/>
      <c r="R535" s="23" t="s">
        <v>1403</v>
      </c>
      <c r="S535" s="24" t="s">
        <v>1231</v>
      </c>
      <c r="T535" s="25" t="s">
        <v>1228</v>
      </c>
      <c r="U535" s="26">
        <v>100</v>
      </c>
      <c r="V535" s="26">
        <f t="shared" si="165"/>
        <v>100</v>
      </c>
      <c r="W535" s="26">
        <f t="shared" si="163"/>
        <v>500</v>
      </c>
      <c r="X535" s="243">
        <f t="shared" si="166"/>
        <v>5</v>
      </c>
      <c r="Y535" s="26">
        <f t="shared" si="161"/>
        <v>92</v>
      </c>
      <c r="Z535" s="26">
        <f t="shared" si="167"/>
        <v>2500</v>
      </c>
      <c r="AA535" s="26">
        <f t="shared" si="168"/>
        <v>46000</v>
      </c>
      <c r="AB535" s="33" t="s">
        <v>15</v>
      </c>
      <c r="AC535" s="324"/>
      <c r="AD535" s="181">
        <f t="shared" si="162"/>
        <v>100</v>
      </c>
      <c r="AE535" s="181">
        <f t="shared" si="169"/>
        <v>50000</v>
      </c>
      <c r="AF535" s="181">
        <v>6</v>
      </c>
      <c r="AG535" s="181">
        <v>6</v>
      </c>
      <c r="AH535" s="363" t="str">
        <f t="shared" ref="AH535:AH561" si="170">IF(Y535&gt;AJ535,"超估","")</f>
        <v/>
      </c>
      <c r="AI535" s="191">
        <f>62+25+5</f>
        <v>92</v>
      </c>
      <c r="AJ535" s="188">
        <v>100</v>
      </c>
      <c r="AO535" s="367"/>
      <c r="AP535" s="367"/>
      <c r="AQ535" s="367"/>
    </row>
    <row r="536" spans="1:43" s="69" customFormat="1" ht="33" customHeight="1" x14ac:dyDescent="0.3">
      <c r="A536" s="55" t="s">
        <v>1233</v>
      </c>
      <c r="B536" s="53" t="s">
        <v>1234</v>
      </c>
      <c r="C536" s="54" t="s">
        <v>1235</v>
      </c>
      <c r="D536" s="75">
        <v>75</v>
      </c>
      <c r="E536" s="75"/>
      <c r="F536" s="75"/>
      <c r="G536" s="75"/>
      <c r="H536" s="75"/>
      <c r="I536" s="75"/>
      <c r="J536" s="75">
        <v>280</v>
      </c>
      <c r="K536" s="75">
        <v>21000</v>
      </c>
      <c r="L536" s="91" t="s">
        <v>1236</v>
      </c>
      <c r="M536" s="73"/>
      <c r="N536" s="46">
        <v>53</v>
      </c>
      <c r="O536" s="46">
        <v>0</v>
      </c>
      <c r="P536" s="46">
        <v>14840</v>
      </c>
      <c r="Q536" s="98"/>
      <c r="R536" s="23" t="s">
        <v>1427</v>
      </c>
      <c r="S536" s="24" t="s">
        <v>1234</v>
      </c>
      <c r="T536" s="25" t="s">
        <v>1235</v>
      </c>
      <c r="U536" s="26">
        <v>75</v>
      </c>
      <c r="V536" s="26">
        <f t="shared" si="165"/>
        <v>75</v>
      </c>
      <c r="W536" s="26">
        <f t="shared" si="163"/>
        <v>280</v>
      </c>
      <c r="X536" s="243">
        <f t="shared" si="166"/>
        <v>5</v>
      </c>
      <c r="Y536" s="26">
        <f t="shared" si="161"/>
        <v>58</v>
      </c>
      <c r="Z536" s="26">
        <f t="shared" si="167"/>
        <v>1400</v>
      </c>
      <c r="AA536" s="26">
        <f t="shared" si="168"/>
        <v>16240</v>
      </c>
      <c r="AB536" s="33" t="s">
        <v>15</v>
      </c>
      <c r="AC536" s="324"/>
      <c r="AD536" s="181">
        <f t="shared" si="162"/>
        <v>75</v>
      </c>
      <c r="AE536" s="181">
        <f t="shared" si="169"/>
        <v>21000</v>
      </c>
      <c r="AF536" s="181">
        <v>6</v>
      </c>
      <c r="AG536" s="181">
        <v>6</v>
      </c>
      <c r="AH536" s="363" t="str">
        <f t="shared" si="170"/>
        <v/>
      </c>
      <c r="AI536" s="191">
        <f>38+15+5</f>
        <v>58</v>
      </c>
      <c r="AJ536" s="188">
        <v>75</v>
      </c>
      <c r="AO536" s="367"/>
      <c r="AP536" s="367"/>
      <c r="AQ536" s="367"/>
    </row>
    <row r="537" spans="1:43" s="69" customFormat="1" ht="82.5" x14ac:dyDescent="0.3">
      <c r="A537" s="130" t="s">
        <v>1237</v>
      </c>
      <c r="B537" s="240" t="s">
        <v>1238</v>
      </c>
      <c r="C537" s="132" t="s">
        <v>1235</v>
      </c>
      <c r="D537" s="133">
        <v>50</v>
      </c>
      <c r="E537" s="75"/>
      <c r="F537" s="75"/>
      <c r="G537" s="75"/>
      <c r="H537" s="75"/>
      <c r="I537" s="75"/>
      <c r="J537" s="75">
        <v>350</v>
      </c>
      <c r="K537" s="75">
        <v>17500</v>
      </c>
      <c r="L537" s="91" t="s">
        <v>1239</v>
      </c>
      <c r="M537" s="73"/>
      <c r="N537" s="46">
        <v>50</v>
      </c>
      <c r="O537" s="46">
        <v>0</v>
      </c>
      <c r="P537" s="46">
        <v>17500</v>
      </c>
      <c r="Q537" s="98"/>
      <c r="R537" s="23" t="s">
        <v>1428</v>
      </c>
      <c r="S537" s="24" t="s">
        <v>1238</v>
      </c>
      <c r="T537" s="25" t="s">
        <v>1235</v>
      </c>
      <c r="U537" s="26">
        <v>50</v>
      </c>
      <c r="V537" s="26">
        <f t="shared" si="165"/>
        <v>50</v>
      </c>
      <c r="W537" s="26">
        <f t="shared" si="163"/>
        <v>350</v>
      </c>
      <c r="X537" s="127">
        <f t="shared" si="166"/>
        <v>0</v>
      </c>
      <c r="Y537" s="127">
        <f t="shared" si="161"/>
        <v>50</v>
      </c>
      <c r="Z537" s="127">
        <f t="shared" si="167"/>
        <v>0</v>
      </c>
      <c r="AA537" s="127">
        <f t="shared" si="168"/>
        <v>17500</v>
      </c>
      <c r="AB537" s="33" t="s">
        <v>15</v>
      </c>
      <c r="AC537" s="324"/>
      <c r="AD537" s="181">
        <f t="shared" si="162"/>
        <v>50</v>
      </c>
      <c r="AE537" s="181">
        <f t="shared" si="169"/>
        <v>17500</v>
      </c>
      <c r="AF537" s="181">
        <v>6</v>
      </c>
      <c r="AG537" s="181">
        <v>6</v>
      </c>
      <c r="AH537" s="363" t="str">
        <f t="shared" si="170"/>
        <v/>
      </c>
      <c r="AI537" s="190">
        <v>50</v>
      </c>
      <c r="AJ537" s="188">
        <v>50</v>
      </c>
      <c r="AO537" s="367"/>
      <c r="AP537" s="367"/>
      <c r="AQ537" s="367"/>
    </row>
    <row r="538" spans="1:43" s="69" customFormat="1" ht="33" customHeight="1" x14ac:dyDescent="0.3">
      <c r="A538" s="130" t="s">
        <v>1240</v>
      </c>
      <c r="B538" s="131" t="s">
        <v>1241</v>
      </c>
      <c r="C538" s="132" t="s">
        <v>325</v>
      </c>
      <c r="D538" s="133">
        <v>10</v>
      </c>
      <c r="E538" s="75"/>
      <c r="F538" s="75"/>
      <c r="G538" s="75"/>
      <c r="H538" s="75"/>
      <c r="I538" s="75"/>
      <c r="J538" s="75">
        <v>560</v>
      </c>
      <c r="K538" s="75">
        <v>5600</v>
      </c>
      <c r="L538" s="91" t="s">
        <v>1242</v>
      </c>
      <c r="M538" s="73"/>
      <c r="N538" s="46">
        <v>10</v>
      </c>
      <c r="O538" s="46">
        <v>0</v>
      </c>
      <c r="P538" s="46">
        <v>5600</v>
      </c>
      <c r="Q538" s="98"/>
      <c r="R538" s="23" t="s">
        <v>1387</v>
      </c>
      <c r="S538" s="24" t="s">
        <v>1241</v>
      </c>
      <c r="T538" s="25" t="s">
        <v>325</v>
      </c>
      <c r="U538" s="26">
        <v>10</v>
      </c>
      <c r="V538" s="26">
        <f t="shared" si="165"/>
        <v>10</v>
      </c>
      <c r="W538" s="26">
        <f t="shared" si="163"/>
        <v>560</v>
      </c>
      <c r="X538" s="127">
        <f t="shared" si="166"/>
        <v>0</v>
      </c>
      <c r="Y538" s="127">
        <f t="shared" si="161"/>
        <v>10</v>
      </c>
      <c r="Z538" s="127">
        <f t="shared" si="167"/>
        <v>0</v>
      </c>
      <c r="AA538" s="127">
        <f t="shared" si="168"/>
        <v>5600</v>
      </c>
      <c r="AB538" s="33" t="s">
        <v>15</v>
      </c>
      <c r="AC538" s="324"/>
      <c r="AD538" s="181">
        <f t="shared" si="162"/>
        <v>10</v>
      </c>
      <c r="AE538" s="181">
        <f t="shared" si="169"/>
        <v>5600</v>
      </c>
      <c r="AF538" s="181">
        <v>6</v>
      </c>
      <c r="AG538" s="181">
        <v>6</v>
      </c>
      <c r="AH538" s="363" t="str">
        <f t="shared" si="170"/>
        <v/>
      </c>
      <c r="AI538" s="194">
        <v>10</v>
      </c>
      <c r="AJ538" s="188">
        <v>10</v>
      </c>
      <c r="AO538" s="367"/>
      <c r="AP538" s="367"/>
      <c r="AQ538" s="367"/>
    </row>
    <row r="539" spans="1:43" s="69" customFormat="1" ht="33" customHeight="1" x14ac:dyDescent="0.3">
      <c r="A539" s="130" t="s">
        <v>1243</v>
      </c>
      <c r="B539" s="131" t="s">
        <v>1244</v>
      </c>
      <c r="C539" s="132" t="s">
        <v>162</v>
      </c>
      <c r="D539" s="133">
        <v>4</v>
      </c>
      <c r="E539" s="75"/>
      <c r="F539" s="75"/>
      <c r="G539" s="75"/>
      <c r="H539" s="75"/>
      <c r="I539" s="75"/>
      <c r="J539" s="75">
        <v>250</v>
      </c>
      <c r="K539" s="75">
        <v>1000</v>
      </c>
      <c r="L539" s="91" t="s">
        <v>1245</v>
      </c>
      <c r="M539" s="73"/>
      <c r="N539" s="46">
        <v>4</v>
      </c>
      <c r="O539" s="46">
        <v>0</v>
      </c>
      <c r="P539" s="46">
        <v>1000</v>
      </c>
      <c r="Q539" s="98"/>
      <c r="R539" s="23" t="s">
        <v>1405</v>
      </c>
      <c r="S539" s="24" t="s">
        <v>1244</v>
      </c>
      <c r="T539" s="25" t="s">
        <v>162</v>
      </c>
      <c r="U539" s="26">
        <v>4</v>
      </c>
      <c r="V539" s="26">
        <f t="shared" si="165"/>
        <v>4</v>
      </c>
      <c r="W539" s="26">
        <f t="shared" si="163"/>
        <v>250</v>
      </c>
      <c r="X539" s="127">
        <f t="shared" si="166"/>
        <v>0</v>
      </c>
      <c r="Y539" s="127">
        <f t="shared" si="161"/>
        <v>4</v>
      </c>
      <c r="Z539" s="127">
        <f t="shared" si="167"/>
        <v>0</v>
      </c>
      <c r="AA539" s="127">
        <f t="shared" si="168"/>
        <v>1000</v>
      </c>
      <c r="AB539" s="33" t="s">
        <v>15</v>
      </c>
      <c r="AC539" s="324"/>
      <c r="AD539" s="181">
        <f t="shared" si="162"/>
        <v>4</v>
      </c>
      <c r="AE539" s="181">
        <f t="shared" si="169"/>
        <v>1000</v>
      </c>
      <c r="AF539" s="181">
        <v>6</v>
      </c>
      <c r="AG539" s="181">
        <v>6</v>
      </c>
      <c r="AH539" s="363" t="str">
        <f t="shared" si="170"/>
        <v/>
      </c>
      <c r="AI539" s="190">
        <v>4</v>
      </c>
      <c r="AJ539" s="188">
        <v>4</v>
      </c>
      <c r="AO539" s="367"/>
      <c r="AP539" s="367"/>
      <c r="AQ539" s="367"/>
    </row>
    <row r="540" spans="1:43" s="69" customFormat="1" ht="49.5" customHeight="1" x14ac:dyDescent="0.3">
      <c r="A540" s="130" t="s">
        <v>1246</v>
      </c>
      <c r="B540" s="240" t="s">
        <v>1247</v>
      </c>
      <c r="C540" s="132" t="s">
        <v>325</v>
      </c>
      <c r="D540" s="133">
        <v>5</v>
      </c>
      <c r="E540" s="75"/>
      <c r="F540" s="75"/>
      <c r="G540" s="75"/>
      <c r="H540" s="75"/>
      <c r="I540" s="75"/>
      <c r="J540" s="75">
        <v>8300</v>
      </c>
      <c r="K540" s="75">
        <v>41500</v>
      </c>
      <c r="L540" s="91" t="s">
        <v>1248</v>
      </c>
      <c r="M540" s="73"/>
      <c r="N540" s="46">
        <v>5</v>
      </c>
      <c r="O540" s="46">
        <v>0</v>
      </c>
      <c r="P540" s="46">
        <v>41500</v>
      </c>
      <c r="Q540" s="98"/>
      <c r="R540" s="23" t="s">
        <v>1406</v>
      </c>
      <c r="S540" s="24" t="s">
        <v>1247</v>
      </c>
      <c r="T540" s="25" t="s">
        <v>325</v>
      </c>
      <c r="U540" s="26">
        <v>5</v>
      </c>
      <c r="V540" s="26">
        <f t="shared" si="165"/>
        <v>5</v>
      </c>
      <c r="W540" s="26">
        <f t="shared" si="163"/>
        <v>8300</v>
      </c>
      <c r="X540" s="127">
        <f t="shared" si="166"/>
        <v>0</v>
      </c>
      <c r="Y540" s="127">
        <f t="shared" si="161"/>
        <v>5</v>
      </c>
      <c r="Z540" s="127">
        <f t="shared" si="167"/>
        <v>0</v>
      </c>
      <c r="AA540" s="127">
        <f t="shared" si="168"/>
        <v>41500</v>
      </c>
      <c r="AB540" s="33" t="s">
        <v>15</v>
      </c>
      <c r="AC540" s="324"/>
      <c r="AD540" s="181">
        <f t="shared" si="162"/>
        <v>5</v>
      </c>
      <c r="AE540" s="181">
        <f t="shared" si="169"/>
        <v>41500</v>
      </c>
      <c r="AF540" s="181">
        <v>6</v>
      </c>
      <c r="AG540" s="181">
        <v>6</v>
      </c>
      <c r="AH540" s="363" t="str">
        <f t="shared" si="170"/>
        <v/>
      </c>
      <c r="AI540" s="190">
        <v>5</v>
      </c>
      <c r="AJ540" s="188">
        <v>5</v>
      </c>
      <c r="AO540" s="367"/>
      <c r="AP540" s="367"/>
      <c r="AQ540" s="367"/>
    </row>
    <row r="541" spans="1:43" s="69" customFormat="1" ht="33" customHeight="1" x14ac:dyDescent="0.3">
      <c r="A541" s="130" t="s">
        <v>1249</v>
      </c>
      <c r="B541" s="131" t="s">
        <v>1250</v>
      </c>
      <c r="C541" s="132" t="s">
        <v>325</v>
      </c>
      <c r="D541" s="133">
        <v>5</v>
      </c>
      <c r="E541" s="75"/>
      <c r="F541" s="75"/>
      <c r="G541" s="75"/>
      <c r="H541" s="75"/>
      <c r="I541" s="75"/>
      <c r="J541" s="75">
        <v>1160</v>
      </c>
      <c r="K541" s="75">
        <v>5800</v>
      </c>
      <c r="L541" s="91" t="s">
        <v>1251</v>
      </c>
      <c r="M541" s="73"/>
      <c r="N541" s="46">
        <v>5</v>
      </c>
      <c r="O541" s="46">
        <v>0</v>
      </c>
      <c r="P541" s="46">
        <v>5800</v>
      </c>
      <c r="Q541" s="98"/>
      <c r="R541" s="23" t="s">
        <v>1414</v>
      </c>
      <c r="S541" s="24" t="s">
        <v>1250</v>
      </c>
      <c r="T541" s="25" t="s">
        <v>325</v>
      </c>
      <c r="U541" s="26">
        <v>5</v>
      </c>
      <c r="V541" s="26">
        <f t="shared" si="165"/>
        <v>5</v>
      </c>
      <c r="W541" s="26">
        <f t="shared" si="163"/>
        <v>1160</v>
      </c>
      <c r="X541" s="127">
        <f t="shared" si="166"/>
        <v>0</v>
      </c>
      <c r="Y541" s="127">
        <f t="shared" si="161"/>
        <v>5</v>
      </c>
      <c r="Z541" s="127">
        <f t="shared" si="167"/>
        <v>0</v>
      </c>
      <c r="AA541" s="127">
        <f t="shared" si="168"/>
        <v>5800</v>
      </c>
      <c r="AB541" s="33" t="s">
        <v>15</v>
      </c>
      <c r="AC541" s="324"/>
      <c r="AD541" s="181">
        <f t="shared" si="162"/>
        <v>5</v>
      </c>
      <c r="AE541" s="181">
        <f t="shared" si="169"/>
        <v>5800</v>
      </c>
      <c r="AF541" s="181">
        <v>6</v>
      </c>
      <c r="AG541" s="181">
        <v>6</v>
      </c>
      <c r="AH541" s="363" t="str">
        <f t="shared" si="170"/>
        <v/>
      </c>
      <c r="AI541" s="190">
        <v>5</v>
      </c>
      <c r="AJ541" s="188">
        <v>5</v>
      </c>
      <c r="AO541" s="367"/>
      <c r="AP541" s="367"/>
      <c r="AQ541" s="367"/>
    </row>
    <row r="542" spans="1:43" s="69" customFormat="1" ht="66" x14ac:dyDescent="0.3">
      <c r="A542" s="130" t="s">
        <v>1252</v>
      </c>
      <c r="B542" s="240" t="s">
        <v>1253</v>
      </c>
      <c r="C542" s="132" t="s">
        <v>325</v>
      </c>
      <c r="D542" s="133">
        <v>5</v>
      </c>
      <c r="E542" s="75"/>
      <c r="F542" s="75"/>
      <c r="G542" s="75"/>
      <c r="H542" s="75"/>
      <c r="I542" s="75"/>
      <c r="J542" s="75">
        <v>600</v>
      </c>
      <c r="K542" s="75">
        <v>3000</v>
      </c>
      <c r="L542" s="91" t="s">
        <v>1254</v>
      </c>
      <c r="M542" s="73"/>
      <c r="N542" s="46">
        <v>5</v>
      </c>
      <c r="O542" s="46">
        <v>0</v>
      </c>
      <c r="P542" s="46">
        <v>3000</v>
      </c>
      <c r="Q542" s="98"/>
      <c r="R542" s="23" t="s">
        <v>1429</v>
      </c>
      <c r="S542" s="24" t="s">
        <v>1253</v>
      </c>
      <c r="T542" s="25" t="s">
        <v>325</v>
      </c>
      <c r="U542" s="26">
        <v>5</v>
      </c>
      <c r="V542" s="26">
        <f t="shared" si="165"/>
        <v>5</v>
      </c>
      <c r="W542" s="26">
        <f t="shared" si="163"/>
        <v>600</v>
      </c>
      <c r="X542" s="127">
        <f t="shared" si="166"/>
        <v>0</v>
      </c>
      <c r="Y542" s="127">
        <f t="shared" si="161"/>
        <v>5</v>
      </c>
      <c r="Z542" s="127">
        <f t="shared" si="167"/>
        <v>0</v>
      </c>
      <c r="AA542" s="127">
        <f t="shared" si="168"/>
        <v>3000</v>
      </c>
      <c r="AB542" s="33" t="s">
        <v>15</v>
      </c>
      <c r="AC542" s="324"/>
      <c r="AD542" s="181">
        <f t="shared" si="162"/>
        <v>5</v>
      </c>
      <c r="AE542" s="181">
        <f t="shared" si="169"/>
        <v>3000</v>
      </c>
      <c r="AF542" s="181">
        <v>6</v>
      </c>
      <c r="AG542" s="181">
        <v>6</v>
      </c>
      <c r="AH542" s="363" t="str">
        <f t="shared" si="170"/>
        <v/>
      </c>
      <c r="AI542" s="190">
        <v>5</v>
      </c>
      <c r="AJ542" s="188">
        <v>5</v>
      </c>
      <c r="AO542" s="367"/>
      <c r="AP542" s="367"/>
      <c r="AQ542" s="367"/>
    </row>
    <row r="543" spans="1:43" s="69" customFormat="1" ht="49.5" customHeight="1" x14ac:dyDescent="0.3">
      <c r="A543" s="130" t="s">
        <v>1255</v>
      </c>
      <c r="B543" s="240" t="s">
        <v>1256</v>
      </c>
      <c r="C543" s="132" t="s">
        <v>325</v>
      </c>
      <c r="D543" s="133">
        <v>5</v>
      </c>
      <c r="E543" s="75"/>
      <c r="F543" s="75"/>
      <c r="G543" s="75"/>
      <c r="H543" s="75"/>
      <c r="I543" s="75"/>
      <c r="J543" s="75">
        <v>1800</v>
      </c>
      <c r="K543" s="75">
        <v>9000</v>
      </c>
      <c r="L543" s="91" t="s">
        <v>1257</v>
      </c>
      <c r="M543" s="73"/>
      <c r="N543" s="46">
        <v>5</v>
      </c>
      <c r="O543" s="46">
        <v>0</v>
      </c>
      <c r="P543" s="46">
        <v>9000</v>
      </c>
      <c r="Q543" s="98"/>
      <c r="R543" s="23" t="s">
        <v>1430</v>
      </c>
      <c r="S543" s="24" t="s">
        <v>1256</v>
      </c>
      <c r="T543" s="25" t="s">
        <v>325</v>
      </c>
      <c r="U543" s="26">
        <v>5</v>
      </c>
      <c r="V543" s="26">
        <f t="shared" si="165"/>
        <v>5</v>
      </c>
      <c r="W543" s="26">
        <f t="shared" si="163"/>
        <v>1800</v>
      </c>
      <c r="X543" s="127">
        <f t="shared" si="166"/>
        <v>0</v>
      </c>
      <c r="Y543" s="127">
        <f t="shared" si="161"/>
        <v>5</v>
      </c>
      <c r="Z543" s="127">
        <f t="shared" si="167"/>
        <v>0</v>
      </c>
      <c r="AA543" s="127">
        <f t="shared" si="168"/>
        <v>9000</v>
      </c>
      <c r="AB543" s="33" t="s">
        <v>15</v>
      </c>
      <c r="AC543" s="324"/>
      <c r="AD543" s="181">
        <f t="shared" si="162"/>
        <v>5</v>
      </c>
      <c r="AE543" s="181">
        <f t="shared" si="169"/>
        <v>9000</v>
      </c>
      <c r="AF543" s="181">
        <v>6</v>
      </c>
      <c r="AG543" s="181">
        <v>6</v>
      </c>
      <c r="AH543" s="363" t="str">
        <f t="shared" si="170"/>
        <v/>
      </c>
      <c r="AI543" s="190">
        <v>5</v>
      </c>
      <c r="AJ543" s="188">
        <v>5</v>
      </c>
      <c r="AO543" s="367"/>
      <c r="AP543" s="367"/>
      <c r="AQ543" s="367"/>
    </row>
    <row r="544" spans="1:43" s="69" customFormat="1" ht="78" x14ac:dyDescent="0.3">
      <c r="A544" s="55" t="s">
        <v>1258</v>
      </c>
      <c r="B544" s="53" t="s">
        <v>1259</v>
      </c>
      <c r="C544" s="54" t="s">
        <v>325</v>
      </c>
      <c r="D544" s="75">
        <v>80</v>
      </c>
      <c r="E544" s="75"/>
      <c r="F544" s="75"/>
      <c r="G544" s="75"/>
      <c r="H544" s="75"/>
      <c r="I544" s="75"/>
      <c r="J544" s="75">
        <v>2200</v>
      </c>
      <c r="K544" s="75">
        <v>176000</v>
      </c>
      <c r="L544" s="91" t="s">
        <v>1260</v>
      </c>
      <c r="M544" s="73"/>
      <c r="N544" s="46">
        <v>70</v>
      </c>
      <c r="O544" s="46">
        <v>0</v>
      </c>
      <c r="P544" s="46">
        <v>154000</v>
      </c>
      <c r="Q544" s="98"/>
      <c r="R544" s="23" t="s">
        <v>1431</v>
      </c>
      <c r="S544" s="24" t="s">
        <v>1259</v>
      </c>
      <c r="T544" s="25" t="s">
        <v>325</v>
      </c>
      <c r="U544" s="26">
        <v>80</v>
      </c>
      <c r="V544" s="26">
        <f t="shared" si="165"/>
        <v>80</v>
      </c>
      <c r="W544" s="26">
        <f t="shared" si="163"/>
        <v>2200</v>
      </c>
      <c r="X544" s="243">
        <f t="shared" si="166"/>
        <v>2</v>
      </c>
      <c r="Y544" s="26">
        <f t="shared" si="161"/>
        <v>72</v>
      </c>
      <c r="Z544" s="26">
        <f t="shared" si="167"/>
        <v>4400</v>
      </c>
      <c r="AA544" s="26">
        <f t="shared" si="168"/>
        <v>158400</v>
      </c>
      <c r="AB544" s="33" t="s">
        <v>15</v>
      </c>
      <c r="AC544" s="324"/>
      <c r="AD544" s="181">
        <f t="shared" si="162"/>
        <v>80</v>
      </c>
      <c r="AE544" s="181">
        <f t="shared" si="169"/>
        <v>176000</v>
      </c>
      <c r="AF544" s="181">
        <v>6</v>
      </c>
      <c r="AG544" s="181">
        <v>6</v>
      </c>
      <c r="AH544" s="363" t="str">
        <f t="shared" si="170"/>
        <v/>
      </c>
      <c r="AI544" s="191">
        <f>65+5+2</f>
        <v>72</v>
      </c>
      <c r="AJ544" s="188">
        <v>80</v>
      </c>
      <c r="AO544" s="367"/>
      <c r="AP544" s="367"/>
      <c r="AQ544" s="367"/>
    </row>
    <row r="545" spans="1:43" s="69" customFormat="1" ht="42" x14ac:dyDescent="0.3">
      <c r="A545" s="130" t="s">
        <v>1261</v>
      </c>
      <c r="B545" s="131" t="s">
        <v>1262</v>
      </c>
      <c r="C545" s="132" t="s">
        <v>14</v>
      </c>
      <c r="D545" s="133">
        <v>1</v>
      </c>
      <c r="E545" s="75"/>
      <c r="F545" s="75"/>
      <c r="G545" s="75"/>
      <c r="H545" s="75"/>
      <c r="I545" s="75"/>
      <c r="J545" s="75">
        <v>261478.99</v>
      </c>
      <c r="K545" s="75">
        <v>261478.99</v>
      </c>
      <c r="L545" s="91" t="s">
        <v>1263</v>
      </c>
      <c r="M545" s="73"/>
      <c r="N545" s="46">
        <v>1</v>
      </c>
      <c r="O545" s="46">
        <v>0</v>
      </c>
      <c r="P545" s="46">
        <v>261478.99</v>
      </c>
      <c r="Q545" s="98"/>
      <c r="R545" s="23" t="s">
        <v>1395</v>
      </c>
      <c r="S545" s="24" t="s">
        <v>1262</v>
      </c>
      <c r="T545" s="25" t="s">
        <v>14</v>
      </c>
      <c r="U545" s="26">
        <v>1</v>
      </c>
      <c r="V545" s="26">
        <f t="shared" si="165"/>
        <v>1</v>
      </c>
      <c r="W545" s="26">
        <f t="shared" si="163"/>
        <v>261478.99</v>
      </c>
      <c r="X545" s="127">
        <f t="shared" si="166"/>
        <v>0</v>
      </c>
      <c r="Y545" s="127">
        <f t="shared" si="161"/>
        <v>1</v>
      </c>
      <c r="Z545" s="127">
        <f t="shared" si="167"/>
        <v>0</v>
      </c>
      <c r="AA545" s="127">
        <f t="shared" si="168"/>
        <v>261478.99</v>
      </c>
      <c r="AB545" s="33" t="s">
        <v>1499</v>
      </c>
      <c r="AC545" s="324"/>
      <c r="AD545" s="181">
        <f t="shared" si="162"/>
        <v>1</v>
      </c>
      <c r="AE545" s="181">
        <f t="shared" si="169"/>
        <v>261478.99</v>
      </c>
      <c r="AF545" s="181">
        <v>6</v>
      </c>
      <c r="AG545" s="181">
        <v>6</v>
      </c>
      <c r="AH545" s="363" t="str">
        <f t="shared" si="170"/>
        <v/>
      </c>
      <c r="AI545" s="190">
        <v>1</v>
      </c>
      <c r="AJ545" s="188">
        <v>1</v>
      </c>
      <c r="AO545" s="367"/>
      <c r="AP545" s="367"/>
      <c r="AQ545" s="367"/>
    </row>
    <row r="546" spans="1:43" s="69" customFormat="1" ht="39" x14ac:dyDescent="0.3">
      <c r="A546" s="55" t="s">
        <v>1264</v>
      </c>
      <c r="B546" s="53" t="s">
        <v>1265</v>
      </c>
      <c r="C546" s="54" t="s">
        <v>30</v>
      </c>
      <c r="D546" s="75">
        <v>5000</v>
      </c>
      <c r="E546" s="75"/>
      <c r="F546" s="75"/>
      <c r="G546" s="75"/>
      <c r="H546" s="75"/>
      <c r="I546" s="75"/>
      <c r="J546" s="75">
        <v>13</v>
      </c>
      <c r="K546" s="75">
        <v>65000</v>
      </c>
      <c r="L546" s="91" t="s">
        <v>1266</v>
      </c>
      <c r="M546" s="73"/>
      <c r="N546" s="46">
        <v>3140</v>
      </c>
      <c r="O546" s="46">
        <v>0</v>
      </c>
      <c r="P546" s="46">
        <v>40820</v>
      </c>
      <c r="Q546" s="98"/>
      <c r="R546" s="23" t="s">
        <v>1432</v>
      </c>
      <c r="S546" s="24" t="s">
        <v>1265</v>
      </c>
      <c r="T546" s="25" t="s">
        <v>30</v>
      </c>
      <c r="U546" s="26">
        <v>5000</v>
      </c>
      <c r="V546" s="26">
        <f t="shared" si="165"/>
        <v>5000</v>
      </c>
      <c r="W546" s="26">
        <f t="shared" si="163"/>
        <v>13</v>
      </c>
      <c r="X546" s="243">
        <f t="shared" si="166"/>
        <v>0</v>
      </c>
      <c r="Y546" s="26">
        <f t="shared" si="161"/>
        <v>3140</v>
      </c>
      <c r="Z546" s="26">
        <f t="shared" si="167"/>
        <v>0</v>
      </c>
      <c r="AA546" s="26">
        <f t="shared" si="168"/>
        <v>40820</v>
      </c>
      <c r="AB546" s="33" t="s">
        <v>15</v>
      </c>
      <c r="AC546" s="324"/>
      <c r="AD546" s="181">
        <f t="shared" si="162"/>
        <v>5000</v>
      </c>
      <c r="AE546" s="181">
        <f t="shared" si="169"/>
        <v>65000</v>
      </c>
      <c r="AF546" s="181">
        <v>6</v>
      </c>
      <c r="AG546" s="181">
        <v>6</v>
      </c>
      <c r="AH546" s="363" t="str">
        <f t="shared" si="170"/>
        <v/>
      </c>
      <c r="AI546" s="191">
        <f>1250+1255+635</f>
        <v>3140</v>
      </c>
      <c r="AJ546" s="188">
        <v>5000</v>
      </c>
      <c r="AO546" s="367"/>
      <c r="AP546" s="367"/>
      <c r="AQ546" s="367"/>
    </row>
    <row r="547" spans="1:43" s="69" customFormat="1" ht="39" x14ac:dyDescent="0.3">
      <c r="A547" s="55" t="s">
        <v>1267</v>
      </c>
      <c r="B547" s="53" t="s">
        <v>1268</v>
      </c>
      <c r="C547" s="54" t="s">
        <v>1269</v>
      </c>
      <c r="D547" s="75">
        <v>48</v>
      </c>
      <c r="E547" s="75"/>
      <c r="F547" s="75"/>
      <c r="G547" s="75"/>
      <c r="H547" s="75"/>
      <c r="I547" s="328">
        <v>56</v>
      </c>
      <c r="J547" s="75">
        <v>47468</v>
      </c>
      <c r="K547" s="75">
        <v>2658208</v>
      </c>
      <c r="L547" s="91" t="s">
        <v>1270</v>
      </c>
      <c r="M547" s="73"/>
      <c r="N547" s="46">
        <v>48</v>
      </c>
      <c r="O547" s="46">
        <v>0</v>
      </c>
      <c r="P547" s="46">
        <v>2278464</v>
      </c>
      <c r="Q547" s="98"/>
      <c r="R547" s="23" t="s">
        <v>1433</v>
      </c>
      <c r="S547" s="24" t="s">
        <v>1268</v>
      </c>
      <c r="T547" s="25" t="s">
        <v>1269</v>
      </c>
      <c r="U547" s="26">
        <v>48</v>
      </c>
      <c r="V547" s="26">
        <f t="shared" si="165"/>
        <v>56</v>
      </c>
      <c r="W547" s="26">
        <f t="shared" si="163"/>
        <v>47468</v>
      </c>
      <c r="X547" s="250">
        <f t="shared" si="166"/>
        <v>2</v>
      </c>
      <c r="Y547" s="26">
        <f t="shared" si="161"/>
        <v>50</v>
      </c>
      <c r="Z547" s="26">
        <f>AA547-P547</f>
        <v>94936</v>
      </c>
      <c r="AA547" s="26">
        <f t="shared" si="168"/>
        <v>2373400</v>
      </c>
      <c r="AB547" s="33" t="s">
        <v>15</v>
      </c>
      <c r="AC547" s="324"/>
      <c r="AD547" s="181">
        <f t="shared" si="162"/>
        <v>56</v>
      </c>
      <c r="AE547" s="181">
        <f t="shared" si="169"/>
        <v>2658208</v>
      </c>
      <c r="AF547" s="181">
        <v>6</v>
      </c>
      <c r="AG547" s="181">
        <v>6</v>
      </c>
      <c r="AH547" s="363" t="str">
        <f t="shared" si="170"/>
        <v/>
      </c>
      <c r="AI547" s="191">
        <f>39+1+2+2+2+2+2</f>
        <v>50</v>
      </c>
      <c r="AJ547" s="190">
        <v>56</v>
      </c>
      <c r="AN547" s="363"/>
      <c r="AO547" s="368"/>
      <c r="AP547" s="367"/>
      <c r="AQ547" s="367"/>
    </row>
    <row r="548" spans="1:43" s="69" customFormat="1" ht="58.5" x14ac:dyDescent="0.3">
      <c r="A548" s="55" t="s">
        <v>1271</v>
      </c>
      <c r="B548" s="53" t="s">
        <v>1272</v>
      </c>
      <c r="C548" s="54" t="s">
        <v>14</v>
      </c>
      <c r="D548" s="75">
        <v>1</v>
      </c>
      <c r="E548" s="75"/>
      <c r="F548" s="75"/>
      <c r="G548" s="75"/>
      <c r="H548" s="75"/>
      <c r="I548" s="328"/>
      <c r="J548" s="75">
        <v>111233.97</v>
      </c>
      <c r="K548" s="75">
        <v>111233.97</v>
      </c>
      <c r="L548" s="91" t="s">
        <v>1273</v>
      </c>
      <c r="M548" s="73"/>
      <c r="N548" s="46">
        <v>0.85</v>
      </c>
      <c r="O548" s="46">
        <v>0</v>
      </c>
      <c r="P548" s="46">
        <v>94548.87</v>
      </c>
      <c r="Q548" s="98"/>
      <c r="R548" s="23" t="s">
        <v>1382</v>
      </c>
      <c r="S548" s="24" t="s">
        <v>1272</v>
      </c>
      <c r="T548" s="25" t="s">
        <v>14</v>
      </c>
      <c r="U548" s="26">
        <v>1</v>
      </c>
      <c r="V548" s="26">
        <f t="shared" si="165"/>
        <v>1</v>
      </c>
      <c r="W548" s="26">
        <f t="shared" si="163"/>
        <v>111233.97</v>
      </c>
      <c r="X548" s="243">
        <f t="shared" si="166"/>
        <v>0</v>
      </c>
      <c r="Y548" s="26">
        <f t="shared" si="161"/>
        <v>0.85</v>
      </c>
      <c r="Z548" s="136">
        <f>AA548-P548</f>
        <v>0</v>
      </c>
      <c r="AA548" s="26">
        <f>ROUND(W548*Y548,2)</f>
        <v>94548.87</v>
      </c>
      <c r="AB548" s="33" t="s">
        <v>15</v>
      </c>
      <c r="AC548" s="324"/>
      <c r="AD548" s="181">
        <f t="shared" si="162"/>
        <v>1</v>
      </c>
      <c r="AE548" s="181">
        <f t="shared" si="169"/>
        <v>111233.97</v>
      </c>
      <c r="AF548" s="181">
        <v>6</v>
      </c>
      <c r="AG548" s="181">
        <v>6</v>
      </c>
      <c r="AH548" s="363" t="str">
        <f t="shared" si="170"/>
        <v/>
      </c>
      <c r="AI548" s="191">
        <f>0.8+0.05</f>
        <v>0.85000000000000009</v>
      </c>
      <c r="AJ548" s="188">
        <v>1</v>
      </c>
      <c r="AM548" s="69">
        <f>P548/AA548</f>
        <v>1</v>
      </c>
      <c r="AO548" s="367"/>
      <c r="AP548" s="367"/>
      <c r="AQ548" s="367"/>
    </row>
    <row r="549" spans="1:43" s="69" customFormat="1" x14ac:dyDescent="0.3">
      <c r="A549" s="85" t="s">
        <v>1274</v>
      </c>
      <c r="B549" s="86" t="s">
        <v>1275</v>
      </c>
      <c r="C549" s="87" t="s">
        <v>14</v>
      </c>
      <c r="D549" s="88">
        <v>1</v>
      </c>
      <c r="E549" s="88"/>
      <c r="F549" s="88"/>
      <c r="G549" s="88"/>
      <c r="H549" s="88"/>
      <c r="I549" s="353"/>
      <c r="J549" s="88">
        <v>3264123.96</v>
      </c>
      <c r="K549" s="88">
        <v>3264123.96</v>
      </c>
      <c r="L549" s="95" t="s">
        <v>15</v>
      </c>
      <c r="M549" s="73"/>
      <c r="N549" s="42">
        <v>1</v>
      </c>
      <c r="O549" s="42">
        <v>0</v>
      </c>
      <c r="P549" s="42">
        <v>2793492.57</v>
      </c>
      <c r="Q549" s="98"/>
      <c r="R549" s="13" t="s">
        <v>1416</v>
      </c>
      <c r="S549" s="14" t="s">
        <v>1275</v>
      </c>
      <c r="T549" s="15" t="s">
        <v>14</v>
      </c>
      <c r="U549" s="16">
        <v>1</v>
      </c>
      <c r="V549" s="16"/>
      <c r="W549" s="16">
        <f t="shared" si="163"/>
        <v>3264123.96</v>
      </c>
      <c r="X549" s="16">
        <f t="shared" ref="X549:Y549" si="171">IF(Z549=0,0,1)</f>
        <v>1</v>
      </c>
      <c r="Y549" s="16">
        <f t="shared" si="171"/>
        <v>1</v>
      </c>
      <c r="Z549" s="16">
        <f>SUMIFS(Z:Z,AG:AG,AF549)</f>
        <v>94936</v>
      </c>
      <c r="AA549" s="16">
        <f>SUMIFS(AA:AA,AG:AG,AF549)</f>
        <v>2888428.57</v>
      </c>
      <c r="AB549" s="17" t="s">
        <v>15</v>
      </c>
      <c r="AC549" s="232"/>
      <c r="AD549" s="181">
        <f t="shared" si="162"/>
        <v>1</v>
      </c>
      <c r="AE549" s="183">
        <f>K549</f>
        <v>3264123.96</v>
      </c>
      <c r="AF549" s="183">
        <v>7</v>
      </c>
      <c r="AG549" s="183"/>
      <c r="AH549" s="363" t="str">
        <f t="shared" si="170"/>
        <v/>
      </c>
      <c r="AI549" s="190">
        <v>1</v>
      </c>
      <c r="AJ549" s="188">
        <v>1</v>
      </c>
      <c r="AO549" s="367"/>
      <c r="AP549" s="367"/>
      <c r="AQ549" s="367"/>
    </row>
    <row r="550" spans="1:43" s="69" customFormat="1" ht="39" x14ac:dyDescent="0.3">
      <c r="A550" s="55" t="s">
        <v>1276</v>
      </c>
      <c r="B550" s="53" t="s">
        <v>1277</v>
      </c>
      <c r="C550" s="54" t="s">
        <v>1269</v>
      </c>
      <c r="D550" s="75">
        <v>48</v>
      </c>
      <c r="E550" s="75"/>
      <c r="F550" s="75"/>
      <c r="G550" s="75"/>
      <c r="H550" s="75"/>
      <c r="I550" s="328">
        <v>56</v>
      </c>
      <c r="J550" s="75">
        <v>47468</v>
      </c>
      <c r="K550" s="75">
        <v>2658208</v>
      </c>
      <c r="L550" s="91" t="s">
        <v>1278</v>
      </c>
      <c r="M550" s="73"/>
      <c r="N550" s="46">
        <v>48</v>
      </c>
      <c r="O550" s="46">
        <v>0</v>
      </c>
      <c r="P550" s="46">
        <v>2278464</v>
      </c>
      <c r="Q550" s="98"/>
      <c r="R550" s="23" t="s">
        <v>1421</v>
      </c>
      <c r="S550" s="24" t="s">
        <v>1277</v>
      </c>
      <c r="T550" s="25" t="s">
        <v>1269</v>
      </c>
      <c r="U550" s="26">
        <v>48</v>
      </c>
      <c r="V550" s="26">
        <f t="shared" ref="V550:V551" si="172">IF(I550&gt;0,I550,IF(H550&gt;0,H550,IF(G550&gt;0,G550,IF(F550&gt;0,F550,IF(E550&gt;0,E550,D550)))))</f>
        <v>56</v>
      </c>
      <c r="W550" s="26">
        <f t="shared" si="163"/>
        <v>47468</v>
      </c>
      <c r="X550" s="250">
        <f t="shared" ref="X550:X551" si="173">AI550-N550</f>
        <v>2</v>
      </c>
      <c r="Y550" s="26">
        <f t="shared" si="161"/>
        <v>50</v>
      </c>
      <c r="Z550" s="26">
        <f>AA550-P550</f>
        <v>94936</v>
      </c>
      <c r="AA550" s="26">
        <f t="shared" ref="AA550:AA551" si="174">ROUND(W550*Y550,2)</f>
        <v>2373400</v>
      </c>
      <c r="AB550" s="33" t="s">
        <v>15</v>
      </c>
      <c r="AC550" s="324"/>
      <c r="AD550" s="181">
        <f t="shared" si="162"/>
        <v>56</v>
      </c>
      <c r="AE550" s="181">
        <f t="shared" ref="AE550:AE551" si="175">ROUND(W550*AD550,2)</f>
        <v>2658208</v>
      </c>
      <c r="AF550" s="181">
        <v>7</v>
      </c>
      <c r="AG550" s="181">
        <v>7</v>
      </c>
      <c r="AH550" s="363" t="str">
        <f t="shared" si="170"/>
        <v/>
      </c>
      <c r="AI550" s="191">
        <f>39+1+2+2+2+2+2</f>
        <v>50</v>
      </c>
      <c r="AJ550" s="190">
        <v>56</v>
      </c>
      <c r="AN550" s="363"/>
      <c r="AO550" s="368"/>
      <c r="AP550" s="367"/>
      <c r="AQ550" s="367"/>
    </row>
    <row r="551" spans="1:43" s="69" customFormat="1" ht="24.75" x14ac:dyDescent="0.3">
      <c r="A551" s="55" t="s">
        <v>1279</v>
      </c>
      <c r="B551" s="53" t="s">
        <v>1280</v>
      </c>
      <c r="C551" s="54" t="s">
        <v>14</v>
      </c>
      <c r="D551" s="75">
        <v>1</v>
      </c>
      <c r="E551" s="75"/>
      <c r="F551" s="75"/>
      <c r="G551" s="75"/>
      <c r="H551" s="75"/>
      <c r="I551" s="75"/>
      <c r="J551" s="75">
        <v>605915.96</v>
      </c>
      <c r="K551" s="75">
        <v>605915.96</v>
      </c>
      <c r="L551" s="91" t="s">
        <v>1281</v>
      </c>
      <c r="M551" s="73"/>
      <c r="N551" s="46">
        <v>0.85</v>
      </c>
      <c r="O551" s="46">
        <v>0</v>
      </c>
      <c r="P551" s="46">
        <v>515028.57</v>
      </c>
      <c r="Q551" s="98"/>
      <c r="R551" s="23" t="s">
        <v>1426</v>
      </c>
      <c r="S551" s="24" t="s">
        <v>1280</v>
      </c>
      <c r="T551" s="25" t="s">
        <v>14</v>
      </c>
      <c r="U551" s="26">
        <v>1</v>
      </c>
      <c r="V551" s="26">
        <f t="shared" si="172"/>
        <v>1</v>
      </c>
      <c r="W551" s="26">
        <f t="shared" si="163"/>
        <v>605915.96</v>
      </c>
      <c r="X551" s="243">
        <f t="shared" si="173"/>
        <v>0</v>
      </c>
      <c r="Y551" s="26">
        <f t="shared" si="161"/>
        <v>0.85</v>
      </c>
      <c r="Z551" s="136">
        <f>AA551-P551</f>
        <v>0</v>
      </c>
      <c r="AA551" s="26">
        <f t="shared" si="174"/>
        <v>515028.57</v>
      </c>
      <c r="AB551" s="33" t="s">
        <v>15</v>
      </c>
      <c r="AC551" s="324"/>
      <c r="AD551" s="181">
        <f t="shared" si="162"/>
        <v>1</v>
      </c>
      <c r="AE551" s="181">
        <f t="shared" si="175"/>
        <v>605915.96</v>
      </c>
      <c r="AF551" s="181">
        <v>7</v>
      </c>
      <c r="AG551" s="181">
        <v>7</v>
      </c>
      <c r="AH551" s="363" t="str">
        <f t="shared" si="170"/>
        <v/>
      </c>
      <c r="AI551" s="191">
        <f>0.8+0.05</f>
        <v>0.85000000000000009</v>
      </c>
      <c r="AJ551" s="188">
        <v>1</v>
      </c>
      <c r="AM551" s="69">
        <f>P551/AA551</f>
        <v>1</v>
      </c>
      <c r="AO551" s="367"/>
      <c r="AP551" s="367"/>
      <c r="AQ551" s="367"/>
    </row>
    <row r="552" spans="1:43" s="69" customFormat="1" ht="63" x14ac:dyDescent="0.3">
      <c r="A552" s="85" t="s">
        <v>1282</v>
      </c>
      <c r="B552" s="86" t="s">
        <v>1283</v>
      </c>
      <c r="C552" s="87" t="s">
        <v>14</v>
      </c>
      <c r="D552" s="88">
        <v>1</v>
      </c>
      <c r="E552" s="88"/>
      <c r="F552" s="88"/>
      <c r="G552" s="88"/>
      <c r="H552" s="88"/>
      <c r="I552" s="88"/>
      <c r="J552" s="88">
        <v>41582787.450000003</v>
      </c>
      <c r="K552" s="88">
        <v>41582787.450000003</v>
      </c>
      <c r="L552" s="95" t="s">
        <v>1284</v>
      </c>
      <c r="M552" s="73"/>
      <c r="N552" s="42">
        <v>1</v>
      </c>
      <c r="O552" s="42">
        <v>718045.52</v>
      </c>
      <c r="P552" s="42">
        <v>33416921.52</v>
      </c>
      <c r="Q552" s="98"/>
      <c r="R552" s="28" t="s">
        <v>1417</v>
      </c>
      <c r="S552" s="29" t="s">
        <v>1283</v>
      </c>
      <c r="T552" s="30" t="s">
        <v>14</v>
      </c>
      <c r="U552" s="31">
        <v>1</v>
      </c>
      <c r="V552" s="31"/>
      <c r="W552" s="31">
        <f t="shared" si="163"/>
        <v>41582787.450000003</v>
      </c>
      <c r="X552" s="31">
        <f t="shared" ref="X552:Y553" si="176">IF(Z552=0,0,1)</f>
        <v>1</v>
      </c>
      <c r="Y552" s="31">
        <f t="shared" si="176"/>
        <v>1</v>
      </c>
      <c r="Z552" s="31">
        <f>AA552-P552</f>
        <v>2722201.949999962</v>
      </c>
      <c r="AA552" s="31">
        <f>AA7-AA8-AA434-AA464-AA504-AA508-AA529-AA549-AA553-AA556</f>
        <v>36139123.469999962</v>
      </c>
      <c r="AB552" s="32" t="s">
        <v>1418</v>
      </c>
      <c r="AC552" s="324"/>
      <c r="AD552" s="181">
        <f t="shared" si="162"/>
        <v>1</v>
      </c>
      <c r="AE552" s="183"/>
      <c r="AF552" s="183">
        <v>8</v>
      </c>
      <c r="AG552" s="183"/>
      <c r="AH552" s="363" t="str">
        <f t="shared" si="170"/>
        <v/>
      </c>
      <c r="AI552" s="190">
        <v>1</v>
      </c>
      <c r="AJ552" s="188">
        <v>1</v>
      </c>
      <c r="AO552" s="367"/>
      <c r="AP552" s="367"/>
      <c r="AQ552" s="367"/>
    </row>
    <row r="553" spans="1:43" s="69" customFormat="1" ht="157.5" x14ac:dyDescent="0.3">
      <c r="A553" s="85" t="s">
        <v>1285</v>
      </c>
      <c r="B553" s="86" t="s">
        <v>1286</v>
      </c>
      <c r="C553" s="87" t="s">
        <v>14</v>
      </c>
      <c r="D553" s="88">
        <v>1</v>
      </c>
      <c r="E553" s="88"/>
      <c r="F553" s="88"/>
      <c r="G553" s="88"/>
      <c r="H553" s="88"/>
      <c r="I553" s="88"/>
      <c r="J553" s="88">
        <v>3907660.8</v>
      </c>
      <c r="K553" s="88">
        <v>3907660.8</v>
      </c>
      <c r="L553" s="95" t="s">
        <v>1287</v>
      </c>
      <c r="M553" s="73"/>
      <c r="N553" s="42">
        <v>1</v>
      </c>
      <c r="O553" s="42">
        <v>0</v>
      </c>
      <c r="P553" s="42">
        <v>3335100</v>
      </c>
      <c r="Q553" s="98"/>
      <c r="R553" s="13" t="s">
        <v>1419</v>
      </c>
      <c r="S553" s="14" t="s">
        <v>1286</v>
      </c>
      <c r="T553" s="15" t="s">
        <v>14</v>
      </c>
      <c r="U553" s="16">
        <v>1</v>
      </c>
      <c r="V553" s="16"/>
      <c r="W553" s="16">
        <f t="shared" si="163"/>
        <v>3907660.8</v>
      </c>
      <c r="X553" s="16">
        <f t="shared" si="176"/>
        <v>1</v>
      </c>
      <c r="Y553" s="16">
        <f t="shared" si="176"/>
        <v>1</v>
      </c>
      <c r="Z553" s="16">
        <f>SUMIFS(Z:Z,AG:AG,AF553)</f>
        <v>491580</v>
      </c>
      <c r="AA553" s="16">
        <f>SUMIFS(AA:AA,AG:AG,AF553)</f>
        <v>3826680</v>
      </c>
      <c r="AB553" s="17" t="s">
        <v>1287</v>
      </c>
      <c r="AC553" s="232"/>
      <c r="AD553" s="181">
        <f t="shared" si="162"/>
        <v>1</v>
      </c>
      <c r="AE553" s="183"/>
      <c r="AF553" s="183">
        <v>9</v>
      </c>
      <c r="AG553" s="183"/>
      <c r="AH553" s="363" t="str">
        <f t="shared" si="170"/>
        <v/>
      </c>
      <c r="AI553" s="190">
        <v>1</v>
      </c>
      <c r="AJ553" s="188">
        <v>1</v>
      </c>
      <c r="AO553" s="367"/>
      <c r="AP553" s="367"/>
      <c r="AQ553" s="367"/>
    </row>
    <row r="554" spans="1:43" s="69" customFormat="1" ht="39" x14ac:dyDescent="0.3">
      <c r="A554" s="55" t="s">
        <v>1288</v>
      </c>
      <c r="B554" s="53" t="s">
        <v>1286</v>
      </c>
      <c r="C554" s="54" t="s">
        <v>23</v>
      </c>
      <c r="D554" s="75">
        <v>22240</v>
      </c>
      <c r="E554" s="75"/>
      <c r="F554" s="75"/>
      <c r="G554" s="75"/>
      <c r="H554" s="75"/>
      <c r="I554" s="75">
        <v>16836</v>
      </c>
      <c r="J554" s="75">
        <v>150</v>
      </c>
      <c r="K554" s="75">
        <v>2525400</v>
      </c>
      <c r="L554" s="91" t="s">
        <v>1289</v>
      </c>
      <c r="M554" s="73"/>
      <c r="N554" s="46">
        <v>22234</v>
      </c>
      <c r="O554" s="46">
        <v>0</v>
      </c>
      <c r="P554" s="46">
        <v>3335100</v>
      </c>
      <c r="Q554" s="98"/>
      <c r="R554" s="23" t="s">
        <v>1421</v>
      </c>
      <c r="S554" s="24" t="s">
        <v>1286</v>
      </c>
      <c r="T554" s="25" t="s">
        <v>23</v>
      </c>
      <c r="U554" s="26">
        <v>22240</v>
      </c>
      <c r="V554" s="26">
        <f t="shared" ref="V554:V555" si="177">IF(I554&gt;0,I554,IF(H554&gt;0,H554,IF(G554&gt;0,G554,IF(F554&gt;0,F554,IF(E554&gt;0,E554,D554)))))</f>
        <v>16836</v>
      </c>
      <c r="W554" s="26">
        <f t="shared" si="163"/>
        <v>150</v>
      </c>
      <c r="X554" s="354">
        <f t="shared" ref="X554:X555" si="178">AI554-N554</f>
        <v>-5398</v>
      </c>
      <c r="Y554" s="26">
        <f t="shared" ref="Y554:Y555" si="179">X554+N554</f>
        <v>16836</v>
      </c>
      <c r="Z554" s="26">
        <f>AA554-P554</f>
        <v>-809700</v>
      </c>
      <c r="AA554" s="26">
        <f>ROUND(W554*Y554,2)</f>
        <v>2525400</v>
      </c>
      <c r="AB554" s="33" t="s">
        <v>15</v>
      </c>
      <c r="AC554" s="324"/>
      <c r="AD554" s="181">
        <f t="shared" si="162"/>
        <v>16836</v>
      </c>
      <c r="AE554" s="181">
        <f t="shared" ref="AE554:AE555" si="180">ROUND(W554*AD554,2)</f>
        <v>2525400</v>
      </c>
      <c r="AF554" s="181">
        <v>9</v>
      </c>
      <c r="AG554" s="181">
        <v>9</v>
      </c>
      <c r="AH554" s="363" t="str">
        <f t="shared" si="170"/>
        <v/>
      </c>
      <c r="AI554" s="191">
        <v>16836</v>
      </c>
      <c r="AJ554" s="190">
        <v>16836</v>
      </c>
      <c r="AN554" s="281"/>
      <c r="AO554" s="367"/>
      <c r="AP554" s="367"/>
      <c r="AQ554" s="367"/>
    </row>
    <row r="555" spans="1:43" s="281" customFormat="1" ht="39" x14ac:dyDescent="0.3">
      <c r="A555" s="316" t="s">
        <v>3277</v>
      </c>
      <c r="B555" s="211" t="s">
        <v>3276</v>
      </c>
      <c r="C555" s="212" t="s">
        <v>23</v>
      </c>
      <c r="D555" s="213"/>
      <c r="E555" s="213"/>
      <c r="F555" s="213"/>
      <c r="G555" s="213"/>
      <c r="H555" s="213"/>
      <c r="I555" s="213">
        <v>5759.42</v>
      </c>
      <c r="J555" s="213">
        <v>240</v>
      </c>
      <c r="K555" s="213">
        <v>1382260.8</v>
      </c>
      <c r="L555" s="284"/>
      <c r="M555" s="278"/>
      <c r="N555" s="42"/>
      <c r="O555" s="42"/>
      <c r="P555" s="42"/>
      <c r="Q555" s="98"/>
      <c r="R555" s="13" t="s">
        <v>3275</v>
      </c>
      <c r="S555" s="286" t="str">
        <f t="shared" ref="S555" si="181">B555</f>
        <v>台北港土方管理費(114年起)</v>
      </c>
      <c r="T555" s="287" t="str">
        <f t="shared" ref="T555" si="182">C555</f>
        <v>M3</v>
      </c>
      <c r="U555" s="16"/>
      <c r="V555" s="16">
        <f t="shared" si="177"/>
        <v>5759.42</v>
      </c>
      <c r="W555" s="16">
        <f t="shared" si="163"/>
        <v>240</v>
      </c>
      <c r="X555" s="334">
        <f t="shared" si="178"/>
        <v>5422</v>
      </c>
      <c r="Y555" s="16">
        <f t="shared" si="179"/>
        <v>5422</v>
      </c>
      <c r="Z555" s="16">
        <f t="shared" ref="Z555" si="183">AA555-P555</f>
        <v>1301280</v>
      </c>
      <c r="AA555" s="16">
        <f t="shared" ref="AA555" si="184">ROUND(W555*Y555,2)</f>
        <v>1301280</v>
      </c>
      <c r="AB555" s="17"/>
      <c r="AC555" s="324"/>
      <c r="AD555" s="181">
        <f t="shared" si="162"/>
        <v>5759.42</v>
      </c>
      <c r="AE555" s="181">
        <f t="shared" si="180"/>
        <v>1382260.8</v>
      </c>
      <c r="AF555" s="181">
        <v>9</v>
      </c>
      <c r="AG555" s="181">
        <v>9</v>
      </c>
      <c r="AH555" s="364"/>
      <c r="AI555" s="296">
        <f>AI16-AI554</f>
        <v>5422</v>
      </c>
      <c r="AJ555" s="361">
        <v>5759.42</v>
      </c>
      <c r="AN555" s="69"/>
      <c r="AO555" s="367"/>
      <c r="AP555" s="367"/>
      <c r="AQ555" s="367"/>
    </row>
    <row r="556" spans="1:43" s="69" customFormat="1" ht="178.5" x14ac:dyDescent="0.3">
      <c r="A556" s="85" t="s">
        <v>1290</v>
      </c>
      <c r="B556" s="86" t="s">
        <v>1291</v>
      </c>
      <c r="C556" s="87" t="s">
        <v>14</v>
      </c>
      <c r="D556" s="88">
        <v>1</v>
      </c>
      <c r="E556" s="88"/>
      <c r="F556" s="88"/>
      <c r="G556" s="88"/>
      <c r="H556" s="88"/>
      <c r="I556" s="88"/>
      <c r="J556" s="88">
        <v>212800</v>
      </c>
      <c r="K556" s="88">
        <v>212800</v>
      </c>
      <c r="L556" s="95" t="s">
        <v>1292</v>
      </c>
      <c r="M556" s="73"/>
      <c r="N556" s="42">
        <v>1</v>
      </c>
      <c r="O556" s="42">
        <v>0</v>
      </c>
      <c r="P556" s="42">
        <v>212800</v>
      </c>
      <c r="Q556" s="98"/>
      <c r="R556" s="13" t="s">
        <v>1420</v>
      </c>
      <c r="S556" s="14" t="s">
        <v>1291</v>
      </c>
      <c r="T556" s="15" t="s">
        <v>14</v>
      </c>
      <c r="U556" s="16">
        <v>1</v>
      </c>
      <c r="V556" s="16"/>
      <c r="W556" s="16">
        <f t="shared" si="163"/>
        <v>212800</v>
      </c>
      <c r="X556" s="16">
        <f t="shared" ref="X556:Y556" si="185">IF(Z556=0,0,1)</f>
        <v>0</v>
      </c>
      <c r="Y556" s="16">
        <f t="shared" si="185"/>
        <v>1</v>
      </c>
      <c r="Z556" s="16">
        <f>SUMIFS(Z:Z,AG:AG,AF556)</f>
        <v>0</v>
      </c>
      <c r="AA556" s="16">
        <f>SUMIFS(AA:AA,AG:AG,AF556)</f>
        <v>212800</v>
      </c>
      <c r="AB556" s="17" t="s">
        <v>1292</v>
      </c>
      <c r="AC556" s="232"/>
      <c r="AD556" s="181">
        <f t="shared" si="162"/>
        <v>1</v>
      </c>
      <c r="AE556" s="183"/>
      <c r="AF556" s="183">
        <v>10</v>
      </c>
      <c r="AG556" s="183"/>
      <c r="AH556" s="363" t="str">
        <f t="shared" si="170"/>
        <v/>
      </c>
      <c r="AI556" s="190">
        <v>1</v>
      </c>
      <c r="AJ556" s="188">
        <v>1</v>
      </c>
      <c r="AO556" s="367"/>
      <c r="AP556" s="367"/>
      <c r="AQ556" s="367"/>
    </row>
    <row r="557" spans="1:43" s="69" customFormat="1" ht="39" x14ac:dyDescent="0.3">
      <c r="A557" s="55" t="s">
        <v>1293</v>
      </c>
      <c r="B557" s="53" t="s">
        <v>1294</v>
      </c>
      <c r="C557" s="54" t="s">
        <v>50</v>
      </c>
      <c r="D557" s="75">
        <v>3800</v>
      </c>
      <c r="E557" s="75"/>
      <c r="F557" s="75"/>
      <c r="G557" s="75"/>
      <c r="H557" s="75"/>
      <c r="I557" s="75"/>
      <c r="J557" s="75">
        <v>56</v>
      </c>
      <c r="K557" s="75">
        <v>212800</v>
      </c>
      <c r="L557" s="91" t="s">
        <v>1295</v>
      </c>
      <c r="M557" s="73"/>
      <c r="N557" s="46">
        <v>3800</v>
      </c>
      <c r="O557" s="46">
        <v>0</v>
      </c>
      <c r="P557" s="46">
        <v>212800</v>
      </c>
      <c r="Q557" s="98"/>
      <c r="R557" s="23" t="s">
        <v>1421</v>
      </c>
      <c r="S557" s="24" t="s">
        <v>1294</v>
      </c>
      <c r="T557" s="25" t="s">
        <v>50</v>
      </c>
      <c r="U557" s="26">
        <v>3800</v>
      </c>
      <c r="V557" s="26">
        <v>3800</v>
      </c>
      <c r="W557" s="26">
        <f t="shared" si="163"/>
        <v>56</v>
      </c>
      <c r="X557" s="26">
        <f t="shared" ref="X557" si="186">AI557-N557</f>
        <v>0</v>
      </c>
      <c r="Y557" s="26">
        <f t="shared" ref="Y557" si="187">X557+N557</f>
        <v>3800</v>
      </c>
      <c r="Z557" s="26">
        <v>0</v>
      </c>
      <c r="AA557" s="26">
        <f t="shared" ref="AA557" si="188">ROUND(W557*Y557,2)</f>
        <v>212800</v>
      </c>
      <c r="AB557" s="33" t="s">
        <v>15</v>
      </c>
      <c r="AC557" s="324"/>
      <c r="AD557" s="181">
        <f t="shared" si="162"/>
        <v>3800</v>
      </c>
      <c r="AE557" s="181">
        <f t="shared" ref="AE557" si="189">ROUND(W557*AD557,2)</f>
        <v>212800</v>
      </c>
      <c r="AF557" s="181">
        <v>10</v>
      </c>
      <c r="AG557" s="181">
        <v>10</v>
      </c>
      <c r="AH557" s="363" t="str">
        <f t="shared" si="170"/>
        <v/>
      </c>
      <c r="AI557" s="190">
        <v>3800</v>
      </c>
      <c r="AJ557" s="188">
        <v>3800</v>
      </c>
      <c r="AP557" s="367"/>
      <c r="AQ557" s="367"/>
    </row>
    <row r="558" spans="1:43" s="69" customFormat="1" ht="39" x14ac:dyDescent="0.3">
      <c r="A558" s="52"/>
      <c r="B558" s="53" t="s">
        <v>1296</v>
      </c>
      <c r="C558" s="54"/>
      <c r="D558" s="75"/>
      <c r="E558" s="75"/>
      <c r="F558" s="75"/>
      <c r="G558" s="75"/>
      <c r="H558" s="75"/>
      <c r="I558" s="75"/>
      <c r="J558" s="75"/>
      <c r="K558" s="75"/>
      <c r="L558" s="91"/>
      <c r="M558" s="73"/>
      <c r="N558" s="46"/>
      <c r="O558" s="46">
        <v>14809200.000000067</v>
      </c>
      <c r="P558" s="46">
        <v>326596600</v>
      </c>
      <c r="Q558" s="98"/>
      <c r="R558" s="23" t="s">
        <v>1421</v>
      </c>
      <c r="S558" s="24" t="s">
        <v>1422</v>
      </c>
      <c r="T558" s="25"/>
      <c r="U558" s="26"/>
      <c r="V558" s="26"/>
      <c r="W558" s="26"/>
      <c r="X558" s="26"/>
      <c r="Y558" s="26"/>
      <c r="Z558" s="26">
        <f>Z8+Z434+Z464+Z504+Z508+Z529+Z549+Z552+Z553+Z556</f>
        <v>28074799.999999966</v>
      </c>
      <c r="AA558" s="26">
        <f>ROUNDDOWN((AA8+AA434+AA464+AA504+AA508+AA529+AA549+AA553+AA556+(AA8+AA434+AA464+AA504+AA508+AA529+AA549)*0.1095000004)/1000,1)*1000</f>
        <v>370217100</v>
      </c>
      <c r="AB558" s="33"/>
      <c r="AC558" s="324"/>
      <c r="AD558" s="181"/>
      <c r="AE558" s="181"/>
      <c r="AF558" s="181"/>
      <c r="AG558" s="181"/>
      <c r="AH558" s="363" t="str">
        <f t="shared" si="170"/>
        <v/>
      </c>
      <c r="AI558" s="190"/>
      <c r="AJ558" s="188">
        <v>0</v>
      </c>
      <c r="AP558" s="367"/>
      <c r="AQ558" s="367"/>
    </row>
    <row r="559" spans="1:43" s="69" customFormat="1" x14ac:dyDescent="0.3">
      <c r="A559" s="52"/>
      <c r="B559" s="53" t="s">
        <v>1297</v>
      </c>
      <c r="C559" s="54"/>
      <c r="D559" s="75"/>
      <c r="E559" s="75"/>
      <c r="F559" s="75"/>
      <c r="G559" s="75"/>
      <c r="H559" s="75"/>
      <c r="I559" s="75"/>
      <c r="J559" s="75"/>
      <c r="K559" s="75"/>
      <c r="L559" s="91"/>
      <c r="M559" s="73"/>
      <c r="N559" s="39"/>
      <c r="O559" s="39">
        <v>9675</v>
      </c>
      <c r="P559" s="39">
        <v>19291</v>
      </c>
      <c r="Q559" s="98"/>
      <c r="R559" s="8" t="s">
        <v>1505</v>
      </c>
      <c r="S559" s="9" t="s">
        <v>1506</v>
      </c>
      <c r="T559" s="10" t="s">
        <v>14</v>
      </c>
      <c r="U559" s="11"/>
      <c r="V559" s="11"/>
      <c r="W559" s="11"/>
      <c r="X559" s="11"/>
      <c r="Y559" s="11"/>
      <c r="Z559" s="11">
        <v>9675</v>
      </c>
      <c r="AA559" s="11">
        <v>19291</v>
      </c>
      <c r="AB559" s="12" t="s">
        <v>15</v>
      </c>
      <c r="AC559" s="324"/>
      <c r="AD559" s="182"/>
      <c r="AE559" s="182">
        <v>295040.74</v>
      </c>
      <c r="AF559" s="182">
        <v>12929586.060000001</v>
      </c>
      <c r="AG559" s="182"/>
      <c r="AH559" s="363" t="str">
        <f t="shared" si="170"/>
        <v/>
      </c>
      <c r="AI559" s="190"/>
      <c r="AJ559" s="188">
        <v>0</v>
      </c>
      <c r="AP559" s="367"/>
      <c r="AQ559" s="367"/>
    </row>
    <row r="560" spans="1:43" s="69" customFormat="1" x14ac:dyDescent="0.3">
      <c r="A560" s="382" t="s">
        <v>1298</v>
      </c>
      <c r="B560" s="383"/>
      <c r="C560" s="383"/>
      <c r="D560" s="383"/>
      <c r="E560" s="383"/>
      <c r="F560" s="383"/>
      <c r="G560" s="383"/>
      <c r="H560" s="383"/>
      <c r="I560" s="383"/>
      <c r="J560" s="383"/>
      <c r="K560" s="383"/>
      <c r="L560" s="384"/>
      <c r="M560" s="89"/>
      <c r="N560" s="46"/>
      <c r="O560" s="46">
        <v>2999475</v>
      </c>
      <c r="P560" s="46">
        <v>131240691</v>
      </c>
      <c r="Q560" s="98"/>
      <c r="R560" s="23" t="s">
        <v>1421</v>
      </c>
      <c r="S560" s="24" t="s">
        <v>1507</v>
      </c>
      <c r="T560" s="25"/>
      <c r="U560" s="26"/>
      <c r="V560" s="26"/>
      <c r="W560" s="26"/>
      <c r="X560" s="26"/>
      <c r="Y560" s="26"/>
      <c r="Z560" s="26">
        <v>2999475</v>
      </c>
      <c r="AA560" s="26">
        <v>131240691</v>
      </c>
      <c r="AB560" s="33"/>
      <c r="AC560" s="324"/>
      <c r="AD560" s="181"/>
      <c r="AE560" s="181"/>
      <c r="AF560" s="181"/>
      <c r="AG560" s="181"/>
      <c r="AH560" s="363" t="str">
        <f t="shared" si="170"/>
        <v/>
      </c>
      <c r="AI560" s="190"/>
      <c r="AJ560" s="188">
        <v>0</v>
      </c>
      <c r="AP560" s="367"/>
      <c r="AQ560" s="367"/>
    </row>
    <row r="561" spans="1:43" s="69" customFormat="1" ht="153" customHeight="1" x14ac:dyDescent="0.3">
      <c r="A561" s="390" t="s">
        <v>1299</v>
      </c>
      <c r="B561" s="391"/>
      <c r="C561" s="391"/>
      <c r="D561" s="391"/>
      <c r="E561" s="391"/>
      <c r="F561" s="391"/>
      <c r="G561" s="391"/>
      <c r="H561" s="391"/>
      <c r="I561" s="391"/>
      <c r="J561" s="391"/>
      <c r="K561" s="391"/>
      <c r="L561" s="392"/>
      <c r="M561" s="90"/>
      <c r="N561" s="39"/>
      <c r="O561" s="39">
        <v>0</v>
      </c>
      <c r="P561" s="39">
        <v>737520</v>
      </c>
      <c r="Q561" s="98"/>
      <c r="R561" s="8" t="s">
        <v>1508</v>
      </c>
      <c r="S561" s="9" t="s">
        <v>1509</v>
      </c>
      <c r="T561" s="10" t="s">
        <v>14</v>
      </c>
      <c r="U561" s="11"/>
      <c r="V561" s="11"/>
      <c r="W561" s="11"/>
      <c r="X561" s="11"/>
      <c r="Y561" s="11"/>
      <c r="Z561" s="11">
        <v>0</v>
      </c>
      <c r="AA561" s="11">
        <f>SUM(AA562:AA564)</f>
        <v>1334372</v>
      </c>
      <c r="AB561" s="12" t="s">
        <v>15</v>
      </c>
      <c r="AC561" s="324"/>
      <c r="AD561" s="182"/>
      <c r="AE561" s="182"/>
      <c r="AF561" s="182"/>
      <c r="AG561" s="182"/>
      <c r="AH561" s="363" t="str">
        <f t="shared" si="170"/>
        <v/>
      </c>
      <c r="AI561" s="190"/>
      <c r="AJ561" s="188">
        <v>0</v>
      </c>
      <c r="AP561" s="367"/>
      <c r="AQ561" s="367"/>
    </row>
    <row r="562" spans="1:43" ht="39" x14ac:dyDescent="0.3">
      <c r="A562" s="72" t="s">
        <v>1421</v>
      </c>
      <c r="B562" s="73" t="s">
        <v>1510</v>
      </c>
      <c r="N562" s="46">
        <v>978.64</v>
      </c>
      <c r="O562" s="46">
        <v>0</v>
      </c>
      <c r="P562" s="46">
        <v>562718</v>
      </c>
      <c r="Q562" s="98"/>
      <c r="R562" s="23" t="s">
        <v>1421</v>
      </c>
      <c r="S562" s="24" t="s">
        <v>1510</v>
      </c>
      <c r="T562" s="25" t="s">
        <v>23</v>
      </c>
      <c r="U562" s="26"/>
      <c r="V562" s="26"/>
      <c r="W562" s="26">
        <v>575</v>
      </c>
      <c r="X562" s="26">
        <f>Y562-N562</f>
        <v>117.5200000000001</v>
      </c>
      <c r="Y562" s="26">
        <v>1096.1600000000001</v>
      </c>
      <c r="Z562" s="26">
        <f>AA562-P562</f>
        <v>67574</v>
      </c>
      <c r="AA562" s="26">
        <f>ROUNDDOWN(W562*Y562,0)</f>
        <v>630292</v>
      </c>
      <c r="AB562" s="33" t="s">
        <v>15</v>
      </c>
      <c r="AC562" s="36"/>
      <c r="AH562" s="363"/>
      <c r="AI562" s="185">
        <v>1096.1600000000001</v>
      </c>
      <c r="AJ562" s="188">
        <v>0</v>
      </c>
      <c r="AN562" s="69"/>
      <c r="AO562" s="69"/>
      <c r="AP562" s="367"/>
      <c r="AQ562" s="367"/>
    </row>
    <row r="563" spans="1:43" ht="58.5" x14ac:dyDescent="0.3">
      <c r="A563" s="72" t="s">
        <v>1426</v>
      </c>
      <c r="B563" s="73" t="s">
        <v>1511</v>
      </c>
      <c r="N563" s="46">
        <v>0</v>
      </c>
      <c r="O563" s="46">
        <v>0</v>
      </c>
      <c r="P563" s="46">
        <v>0</v>
      </c>
      <c r="Q563" s="98"/>
      <c r="R563" s="23" t="s">
        <v>1426</v>
      </c>
      <c r="S563" s="24" t="s">
        <v>1511</v>
      </c>
      <c r="T563" s="25" t="s">
        <v>110</v>
      </c>
      <c r="U563" s="26"/>
      <c r="V563" s="26"/>
      <c r="W563" s="26">
        <v>20</v>
      </c>
      <c r="X563" s="26">
        <f>Y563-N563</f>
        <v>0</v>
      </c>
      <c r="Y563" s="26">
        <v>0</v>
      </c>
      <c r="Z563" s="26">
        <f>AA563-P563</f>
        <v>0</v>
      </c>
      <c r="AA563" s="26">
        <f>ROUNDDOWN(W563*Y563,0)</f>
        <v>0</v>
      </c>
      <c r="AB563" s="33" t="s">
        <v>15</v>
      </c>
      <c r="AC563" s="36"/>
      <c r="AH563" s="363"/>
      <c r="AI563" s="185">
        <v>0</v>
      </c>
      <c r="AJ563" s="188"/>
      <c r="AN563" s="69"/>
      <c r="AO563" s="69"/>
      <c r="AP563" s="367"/>
      <c r="AQ563" s="367"/>
    </row>
    <row r="564" spans="1:43" x14ac:dyDescent="0.3">
      <c r="A564" s="72" t="s">
        <v>1402</v>
      </c>
      <c r="B564" s="73" t="s">
        <v>1512</v>
      </c>
      <c r="N564" s="46">
        <v>88010</v>
      </c>
      <c r="O564" s="46">
        <v>0</v>
      </c>
      <c r="P564" s="46">
        <v>704080</v>
      </c>
      <c r="Q564" s="98"/>
      <c r="R564" s="23" t="s">
        <v>1402</v>
      </c>
      <c r="S564" s="24" t="s">
        <v>1512</v>
      </c>
      <c r="T564" s="25" t="s">
        <v>110</v>
      </c>
      <c r="U564" s="26"/>
      <c r="V564" s="26"/>
      <c r="W564" s="26">
        <v>8</v>
      </c>
      <c r="X564" s="26">
        <f>Y564-N564</f>
        <v>0</v>
      </c>
      <c r="Y564" s="26">
        <v>88010</v>
      </c>
      <c r="Z564" s="26">
        <f>AA564-P564</f>
        <v>0</v>
      </c>
      <c r="AA564" s="26">
        <f>ROUNDDOWN(W564*Y564,0)</f>
        <v>704080</v>
      </c>
      <c r="AB564" s="33" t="s">
        <v>15</v>
      </c>
      <c r="AC564" s="36"/>
      <c r="AH564" s="363"/>
      <c r="AI564" s="185">
        <v>88010</v>
      </c>
      <c r="AJ564" s="188"/>
      <c r="AN564" s="70"/>
      <c r="AO564" s="70"/>
      <c r="AP564" s="367"/>
      <c r="AQ564" s="367"/>
    </row>
  </sheetData>
  <autoFilter ref="A6:WUN564" xr:uid="{782A1AF2-35E1-475A-B0C3-12096C942F99}"/>
  <mergeCells count="13">
    <mergeCell ref="AA5:AB5"/>
    <mergeCell ref="A560:L560"/>
    <mergeCell ref="A1:L1"/>
    <mergeCell ref="A2:L2"/>
    <mergeCell ref="A3:L3"/>
    <mergeCell ref="R3:AB3"/>
    <mergeCell ref="A4:L4"/>
    <mergeCell ref="R4:AB4"/>
    <mergeCell ref="A561:L561"/>
    <mergeCell ref="A5:J5"/>
    <mergeCell ref="K5:L5"/>
    <mergeCell ref="N5:P5"/>
    <mergeCell ref="R5:Y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4BFC-F772-4100-AC36-2B2B0895225F}">
  <sheetPr>
    <tabColor theme="9" tint="0.39997558519241921"/>
  </sheetPr>
  <dimension ref="A1:AQ564"/>
  <sheetViews>
    <sheetView view="pageBreakPreview" topLeftCell="A6" zoomScale="80" zoomScaleNormal="80" zoomScaleSheetLayoutView="80" workbookViewId="0">
      <pane ySplit="1200" topLeftCell="A298" activePane="bottomLeft"/>
      <selection activeCell="AA7" sqref="AA7"/>
      <selection pane="bottomLeft" activeCell="N329" sqref="N329"/>
    </sheetView>
  </sheetViews>
  <sheetFormatPr defaultColWidth="8.5" defaultRowHeight="19.5" x14ac:dyDescent="0.3"/>
  <cols>
    <col min="1" max="1" width="5.25" style="72" customWidth="1"/>
    <col min="2" max="2" width="19.5" style="73" customWidth="1"/>
    <col min="3" max="3" width="5.5" style="73" customWidth="1"/>
    <col min="4" max="4" width="11.625" style="73" customWidth="1"/>
    <col min="5" max="5" width="12.375" style="73" customWidth="1"/>
    <col min="6" max="6" width="13.125" style="73" customWidth="1"/>
    <col min="7" max="7" width="10.125" style="73" customWidth="1"/>
    <col min="8" max="8" width="16" style="73" customWidth="1"/>
    <col min="9" max="9" width="15" style="73" bestFit="1" customWidth="1"/>
    <col min="10" max="10" width="16.5" style="73" customWidth="1"/>
    <col min="11" max="11" width="21.5" style="73" customWidth="1"/>
    <col min="12" max="12" width="10.875" style="73" customWidth="1"/>
    <col min="13" max="13" width="1.5" style="73" customWidth="1"/>
    <col min="14" max="16" width="11.5" style="2" customWidth="1"/>
    <col min="17" max="17" width="1.25" style="96" customWidth="1"/>
    <col min="18" max="18" width="4.25" style="3" hidden="1" customWidth="1"/>
    <col min="19" max="19" width="23.25" hidden="1" customWidth="1"/>
    <col min="20" max="20" width="5.75" hidden="1" customWidth="1"/>
    <col min="21" max="21" width="9" hidden="1" customWidth="1"/>
    <col min="22" max="22" width="9.375" hidden="1" customWidth="1"/>
    <col min="23" max="23" width="5" hidden="1" customWidth="1"/>
    <col min="24" max="24" width="11.375" style="371" customWidth="1"/>
    <col min="25" max="25" width="11.75" customWidth="1"/>
    <col min="26" max="26" width="12.875" customWidth="1"/>
    <col min="27" max="27" width="12" customWidth="1"/>
    <col min="28" max="28" width="5.25" style="34" customWidth="1"/>
    <col min="29" max="29" width="1.75" customWidth="1"/>
    <col min="30" max="33" width="1.75" style="181" customWidth="1"/>
    <col min="34" max="34" width="5.875" style="68" customWidth="1"/>
    <col min="35" max="35" width="16.5" style="185" customWidth="1"/>
    <col min="36" max="36" width="15.375" style="185" customWidth="1"/>
    <col min="37" max="37" width="8.375" style="70" customWidth="1"/>
    <col min="38" max="38" width="1.625" style="70" customWidth="1"/>
    <col min="39" max="39" width="16.375" style="70" bestFit="1" customWidth="1"/>
    <col min="40" max="40" width="16.125" style="68" bestFit="1" customWidth="1"/>
    <col min="41" max="41" width="20.25" style="68" bestFit="1" customWidth="1"/>
    <col min="42" max="42" width="14.625" style="70" bestFit="1" customWidth="1"/>
    <col min="43" max="43" width="8" style="70" bestFit="1" customWidth="1"/>
    <col min="44" max="225" width="8.5" style="70"/>
    <col min="226" max="226" width="5.25" style="70" customWidth="1"/>
    <col min="227" max="227" width="26.25" style="70" customWidth="1"/>
    <col min="228" max="228" width="5.5" style="70" customWidth="1"/>
    <col min="229" max="229" width="8.5" style="70"/>
    <col min="230" max="231" width="10.875" style="70" customWidth="1"/>
    <col min="232" max="232" width="15.25" style="70" customWidth="1"/>
    <col min="233" max="233" width="0.75" style="70" customWidth="1"/>
    <col min="234" max="236" width="0.625" style="70" customWidth="1"/>
    <col min="237" max="481" width="8.5" style="70"/>
    <col min="482" max="482" width="5.25" style="70" customWidth="1"/>
    <col min="483" max="483" width="26.25" style="70" customWidth="1"/>
    <col min="484" max="484" width="5.5" style="70" customWidth="1"/>
    <col min="485" max="485" width="8.5" style="70"/>
    <col min="486" max="487" width="10.875" style="70" customWidth="1"/>
    <col min="488" max="488" width="15.25" style="70" customWidth="1"/>
    <col min="489" max="489" width="0.75" style="70" customWidth="1"/>
    <col min="490" max="492" width="0.625" style="70" customWidth="1"/>
    <col min="493" max="737" width="8.5" style="70"/>
    <col min="738" max="738" width="5.25" style="70" customWidth="1"/>
    <col min="739" max="739" width="26.25" style="70" customWidth="1"/>
    <col min="740" max="740" width="5.5" style="70" customWidth="1"/>
    <col min="741" max="741" width="8.5" style="70"/>
    <col min="742" max="743" width="10.875" style="70" customWidth="1"/>
    <col min="744" max="744" width="15.25" style="70" customWidth="1"/>
    <col min="745" max="745" width="0.75" style="70" customWidth="1"/>
    <col min="746" max="748" width="0.625" style="70" customWidth="1"/>
    <col min="749" max="993" width="8.5" style="70"/>
    <col min="994" max="994" width="5.25" style="70" customWidth="1"/>
    <col min="995" max="995" width="26.25" style="70" customWidth="1"/>
    <col min="996" max="996" width="5.5" style="70" customWidth="1"/>
    <col min="997" max="997" width="8.5" style="70"/>
    <col min="998" max="999" width="10.875" style="70" customWidth="1"/>
    <col min="1000" max="1000" width="15.25" style="70" customWidth="1"/>
    <col min="1001" max="1001" width="0.75" style="70" customWidth="1"/>
    <col min="1002" max="1004" width="0.625" style="70" customWidth="1"/>
    <col min="1005" max="1249" width="8.5" style="70"/>
    <col min="1250" max="1250" width="5.25" style="70" customWidth="1"/>
    <col min="1251" max="1251" width="26.25" style="70" customWidth="1"/>
    <col min="1252" max="1252" width="5.5" style="70" customWidth="1"/>
    <col min="1253" max="1253" width="8.5" style="70"/>
    <col min="1254" max="1255" width="10.875" style="70" customWidth="1"/>
    <col min="1256" max="1256" width="15.25" style="70" customWidth="1"/>
    <col min="1257" max="1257" width="0.75" style="70" customWidth="1"/>
    <col min="1258" max="1260" width="0.625" style="70" customWidth="1"/>
    <col min="1261" max="1505" width="8.5" style="70"/>
    <col min="1506" max="1506" width="5.25" style="70" customWidth="1"/>
    <col min="1507" max="1507" width="26.25" style="70" customWidth="1"/>
    <col min="1508" max="1508" width="5.5" style="70" customWidth="1"/>
    <col min="1509" max="1509" width="8.5" style="70"/>
    <col min="1510" max="1511" width="10.875" style="70" customWidth="1"/>
    <col min="1512" max="1512" width="15.25" style="70" customWidth="1"/>
    <col min="1513" max="1513" width="0.75" style="70" customWidth="1"/>
    <col min="1514" max="1516" width="0.625" style="70" customWidth="1"/>
    <col min="1517" max="1761" width="8.5" style="70"/>
    <col min="1762" max="1762" width="5.25" style="70" customWidth="1"/>
    <col min="1763" max="1763" width="26.25" style="70" customWidth="1"/>
    <col min="1764" max="1764" width="5.5" style="70" customWidth="1"/>
    <col min="1765" max="1765" width="8.5" style="70"/>
    <col min="1766" max="1767" width="10.875" style="70" customWidth="1"/>
    <col min="1768" max="1768" width="15.25" style="70" customWidth="1"/>
    <col min="1769" max="1769" width="0.75" style="70" customWidth="1"/>
    <col min="1770" max="1772" width="0.625" style="70" customWidth="1"/>
    <col min="1773" max="2017" width="8.5" style="70"/>
    <col min="2018" max="2018" width="5.25" style="70" customWidth="1"/>
    <col min="2019" max="2019" width="26.25" style="70" customWidth="1"/>
    <col min="2020" max="2020" width="5.5" style="70" customWidth="1"/>
    <col min="2021" max="2021" width="8.5" style="70"/>
    <col min="2022" max="2023" width="10.875" style="70" customWidth="1"/>
    <col min="2024" max="2024" width="15.25" style="70" customWidth="1"/>
    <col min="2025" max="2025" width="0.75" style="70" customWidth="1"/>
    <col min="2026" max="2028" width="0.625" style="70" customWidth="1"/>
    <col min="2029" max="2273" width="8.5" style="70"/>
    <col min="2274" max="2274" width="5.25" style="70" customWidth="1"/>
    <col min="2275" max="2275" width="26.25" style="70" customWidth="1"/>
    <col min="2276" max="2276" width="5.5" style="70" customWidth="1"/>
    <col min="2277" max="2277" width="8.5" style="70"/>
    <col min="2278" max="2279" width="10.875" style="70" customWidth="1"/>
    <col min="2280" max="2280" width="15.25" style="70" customWidth="1"/>
    <col min="2281" max="2281" width="0.75" style="70" customWidth="1"/>
    <col min="2282" max="2284" width="0.625" style="70" customWidth="1"/>
    <col min="2285" max="2529" width="8.5" style="70"/>
    <col min="2530" max="2530" width="5.25" style="70" customWidth="1"/>
    <col min="2531" max="2531" width="26.25" style="70" customWidth="1"/>
    <col min="2532" max="2532" width="5.5" style="70" customWidth="1"/>
    <col min="2533" max="2533" width="8.5" style="70"/>
    <col min="2534" max="2535" width="10.875" style="70" customWidth="1"/>
    <col min="2536" max="2536" width="15.25" style="70" customWidth="1"/>
    <col min="2537" max="2537" width="0.75" style="70" customWidth="1"/>
    <col min="2538" max="2540" width="0.625" style="70" customWidth="1"/>
    <col min="2541" max="2785" width="8.5" style="70"/>
    <col min="2786" max="2786" width="5.25" style="70" customWidth="1"/>
    <col min="2787" max="2787" width="26.25" style="70" customWidth="1"/>
    <col min="2788" max="2788" width="5.5" style="70" customWidth="1"/>
    <col min="2789" max="2789" width="8.5" style="70"/>
    <col min="2790" max="2791" width="10.875" style="70" customWidth="1"/>
    <col min="2792" max="2792" width="15.25" style="70" customWidth="1"/>
    <col min="2793" max="2793" width="0.75" style="70" customWidth="1"/>
    <col min="2794" max="2796" width="0.625" style="70" customWidth="1"/>
    <col min="2797" max="3041" width="8.5" style="70"/>
    <col min="3042" max="3042" width="5.25" style="70" customWidth="1"/>
    <col min="3043" max="3043" width="26.25" style="70" customWidth="1"/>
    <col min="3044" max="3044" width="5.5" style="70" customWidth="1"/>
    <col min="3045" max="3045" width="8.5" style="70"/>
    <col min="3046" max="3047" width="10.875" style="70" customWidth="1"/>
    <col min="3048" max="3048" width="15.25" style="70" customWidth="1"/>
    <col min="3049" max="3049" width="0.75" style="70" customWidth="1"/>
    <col min="3050" max="3052" width="0.625" style="70" customWidth="1"/>
    <col min="3053" max="3297" width="8.5" style="70"/>
    <col min="3298" max="3298" width="5.25" style="70" customWidth="1"/>
    <col min="3299" max="3299" width="26.25" style="70" customWidth="1"/>
    <col min="3300" max="3300" width="5.5" style="70" customWidth="1"/>
    <col min="3301" max="3301" width="8.5" style="70"/>
    <col min="3302" max="3303" width="10.875" style="70" customWidth="1"/>
    <col min="3304" max="3304" width="15.25" style="70" customWidth="1"/>
    <col min="3305" max="3305" width="0.75" style="70" customWidth="1"/>
    <col min="3306" max="3308" width="0.625" style="70" customWidth="1"/>
    <col min="3309" max="3553" width="8.5" style="70"/>
    <col min="3554" max="3554" width="5.25" style="70" customWidth="1"/>
    <col min="3555" max="3555" width="26.25" style="70" customWidth="1"/>
    <col min="3556" max="3556" width="5.5" style="70" customWidth="1"/>
    <col min="3557" max="3557" width="8.5" style="70"/>
    <col min="3558" max="3559" width="10.875" style="70" customWidth="1"/>
    <col min="3560" max="3560" width="15.25" style="70" customWidth="1"/>
    <col min="3561" max="3561" width="0.75" style="70" customWidth="1"/>
    <col min="3562" max="3564" width="0.625" style="70" customWidth="1"/>
    <col min="3565" max="3809" width="8.5" style="70"/>
    <col min="3810" max="3810" width="5.25" style="70" customWidth="1"/>
    <col min="3811" max="3811" width="26.25" style="70" customWidth="1"/>
    <col min="3812" max="3812" width="5.5" style="70" customWidth="1"/>
    <col min="3813" max="3813" width="8.5" style="70"/>
    <col min="3814" max="3815" width="10.875" style="70" customWidth="1"/>
    <col min="3816" max="3816" width="15.25" style="70" customWidth="1"/>
    <col min="3817" max="3817" width="0.75" style="70" customWidth="1"/>
    <col min="3818" max="3820" width="0.625" style="70" customWidth="1"/>
    <col min="3821" max="4065" width="8.5" style="70"/>
    <col min="4066" max="4066" width="5.25" style="70" customWidth="1"/>
    <col min="4067" max="4067" width="26.25" style="70" customWidth="1"/>
    <col min="4068" max="4068" width="5.5" style="70" customWidth="1"/>
    <col min="4069" max="4069" width="8.5" style="70"/>
    <col min="4070" max="4071" width="10.875" style="70" customWidth="1"/>
    <col min="4072" max="4072" width="15.25" style="70" customWidth="1"/>
    <col min="4073" max="4073" width="0.75" style="70" customWidth="1"/>
    <col min="4074" max="4076" width="0.625" style="70" customWidth="1"/>
    <col min="4077" max="4321" width="8.5" style="70"/>
    <col min="4322" max="4322" width="5.25" style="70" customWidth="1"/>
    <col min="4323" max="4323" width="26.25" style="70" customWidth="1"/>
    <col min="4324" max="4324" width="5.5" style="70" customWidth="1"/>
    <col min="4325" max="4325" width="8.5" style="70"/>
    <col min="4326" max="4327" width="10.875" style="70" customWidth="1"/>
    <col min="4328" max="4328" width="15.25" style="70" customWidth="1"/>
    <col min="4329" max="4329" width="0.75" style="70" customWidth="1"/>
    <col min="4330" max="4332" width="0.625" style="70" customWidth="1"/>
    <col min="4333" max="4577" width="8.5" style="70"/>
    <col min="4578" max="4578" width="5.25" style="70" customWidth="1"/>
    <col min="4579" max="4579" width="26.25" style="70" customWidth="1"/>
    <col min="4580" max="4580" width="5.5" style="70" customWidth="1"/>
    <col min="4581" max="4581" width="8.5" style="70"/>
    <col min="4582" max="4583" width="10.875" style="70" customWidth="1"/>
    <col min="4584" max="4584" width="15.25" style="70" customWidth="1"/>
    <col min="4585" max="4585" width="0.75" style="70" customWidth="1"/>
    <col min="4586" max="4588" width="0.625" style="70" customWidth="1"/>
    <col min="4589" max="4833" width="8.5" style="70"/>
    <col min="4834" max="4834" width="5.25" style="70" customWidth="1"/>
    <col min="4835" max="4835" width="26.25" style="70" customWidth="1"/>
    <col min="4836" max="4836" width="5.5" style="70" customWidth="1"/>
    <col min="4837" max="4837" width="8.5" style="70"/>
    <col min="4838" max="4839" width="10.875" style="70" customWidth="1"/>
    <col min="4840" max="4840" width="15.25" style="70" customWidth="1"/>
    <col min="4841" max="4841" width="0.75" style="70" customWidth="1"/>
    <col min="4842" max="4844" width="0.625" style="70" customWidth="1"/>
    <col min="4845" max="5089" width="8.5" style="70"/>
    <col min="5090" max="5090" width="5.25" style="70" customWidth="1"/>
    <col min="5091" max="5091" width="26.25" style="70" customWidth="1"/>
    <col min="5092" max="5092" width="5.5" style="70" customWidth="1"/>
    <col min="5093" max="5093" width="8.5" style="70"/>
    <col min="5094" max="5095" width="10.875" style="70" customWidth="1"/>
    <col min="5096" max="5096" width="15.25" style="70" customWidth="1"/>
    <col min="5097" max="5097" width="0.75" style="70" customWidth="1"/>
    <col min="5098" max="5100" width="0.625" style="70" customWidth="1"/>
    <col min="5101" max="5345" width="8.5" style="70"/>
    <col min="5346" max="5346" width="5.25" style="70" customWidth="1"/>
    <col min="5347" max="5347" width="26.25" style="70" customWidth="1"/>
    <col min="5348" max="5348" width="5.5" style="70" customWidth="1"/>
    <col min="5349" max="5349" width="8.5" style="70"/>
    <col min="5350" max="5351" width="10.875" style="70" customWidth="1"/>
    <col min="5352" max="5352" width="15.25" style="70" customWidth="1"/>
    <col min="5353" max="5353" width="0.75" style="70" customWidth="1"/>
    <col min="5354" max="5356" width="0.625" style="70" customWidth="1"/>
    <col min="5357" max="5601" width="8.5" style="70"/>
    <col min="5602" max="5602" width="5.25" style="70" customWidth="1"/>
    <col min="5603" max="5603" width="26.25" style="70" customWidth="1"/>
    <col min="5604" max="5604" width="5.5" style="70" customWidth="1"/>
    <col min="5605" max="5605" width="8.5" style="70"/>
    <col min="5606" max="5607" width="10.875" style="70" customWidth="1"/>
    <col min="5608" max="5608" width="15.25" style="70" customWidth="1"/>
    <col min="5609" max="5609" width="0.75" style="70" customWidth="1"/>
    <col min="5610" max="5612" width="0.625" style="70" customWidth="1"/>
    <col min="5613" max="5857" width="8.5" style="70"/>
    <col min="5858" max="5858" width="5.25" style="70" customWidth="1"/>
    <col min="5859" max="5859" width="26.25" style="70" customWidth="1"/>
    <col min="5860" max="5860" width="5.5" style="70" customWidth="1"/>
    <col min="5861" max="5861" width="8.5" style="70"/>
    <col min="5862" max="5863" width="10.875" style="70" customWidth="1"/>
    <col min="5864" max="5864" width="15.25" style="70" customWidth="1"/>
    <col min="5865" max="5865" width="0.75" style="70" customWidth="1"/>
    <col min="5866" max="5868" width="0.625" style="70" customWidth="1"/>
    <col min="5869" max="6113" width="8.5" style="70"/>
    <col min="6114" max="6114" width="5.25" style="70" customWidth="1"/>
    <col min="6115" max="6115" width="26.25" style="70" customWidth="1"/>
    <col min="6116" max="6116" width="5.5" style="70" customWidth="1"/>
    <col min="6117" max="6117" width="8.5" style="70"/>
    <col min="6118" max="6119" width="10.875" style="70" customWidth="1"/>
    <col min="6120" max="6120" width="15.25" style="70" customWidth="1"/>
    <col min="6121" max="6121" width="0.75" style="70" customWidth="1"/>
    <col min="6122" max="6124" width="0.625" style="70" customWidth="1"/>
    <col min="6125" max="6369" width="8.5" style="70"/>
    <col min="6370" max="6370" width="5.25" style="70" customWidth="1"/>
    <col min="6371" max="6371" width="26.25" style="70" customWidth="1"/>
    <col min="6372" max="6372" width="5.5" style="70" customWidth="1"/>
    <col min="6373" max="6373" width="8.5" style="70"/>
    <col min="6374" max="6375" width="10.875" style="70" customWidth="1"/>
    <col min="6376" max="6376" width="15.25" style="70" customWidth="1"/>
    <col min="6377" max="6377" width="0.75" style="70" customWidth="1"/>
    <col min="6378" max="6380" width="0.625" style="70" customWidth="1"/>
    <col min="6381" max="6625" width="8.5" style="70"/>
    <col min="6626" max="6626" width="5.25" style="70" customWidth="1"/>
    <col min="6627" max="6627" width="26.25" style="70" customWidth="1"/>
    <col min="6628" max="6628" width="5.5" style="70" customWidth="1"/>
    <col min="6629" max="6629" width="8.5" style="70"/>
    <col min="6630" max="6631" width="10.875" style="70" customWidth="1"/>
    <col min="6632" max="6632" width="15.25" style="70" customWidth="1"/>
    <col min="6633" max="6633" width="0.75" style="70" customWidth="1"/>
    <col min="6634" max="6636" width="0.625" style="70" customWidth="1"/>
    <col min="6637" max="6881" width="8.5" style="70"/>
    <col min="6882" max="6882" width="5.25" style="70" customWidth="1"/>
    <col min="6883" max="6883" width="26.25" style="70" customWidth="1"/>
    <col min="6884" max="6884" width="5.5" style="70" customWidth="1"/>
    <col min="6885" max="6885" width="8.5" style="70"/>
    <col min="6886" max="6887" width="10.875" style="70" customWidth="1"/>
    <col min="6888" max="6888" width="15.25" style="70" customWidth="1"/>
    <col min="6889" max="6889" width="0.75" style="70" customWidth="1"/>
    <col min="6890" max="6892" width="0.625" style="70" customWidth="1"/>
    <col min="6893" max="7137" width="8.5" style="70"/>
    <col min="7138" max="7138" width="5.25" style="70" customWidth="1"/>
    <col min="7139" max="7139" width="26.25" style="70" customWidth="1"/>
    <col min="7140" max="7140" width="5.5" style="70" customWidth="1"/>
    <col min="7141" max="7141" width="8.5" style="70"/>
    <col min="7142" max="7143" width="10.875" style="70" customWidth="1"/>
    <col min="7144" max="7144" width="15.25" style="70" customWidth="1"/>
    <col min="7145" max="7145" width="0.75" style="70" customWidth="1"/>
    <col min="7146" max="7148" width="0.625" style="70" customWidth="1"/>
    <col min="7149" max="7393" width="8.5" style="70"/>
    <col min="7394" max="7394" width="5.25" style="70" customWidth="1"/>
    <col min="7395" max="7395" width="26.25" style="70" customWidth="1"/>
    <col min="7396" max="7396" width="5.5" style="70" customWidth="1"/>
    <col min="7397" max="7397" width="8.5" style="70"/>
    <col min="7398" max="7399" width="10.875" style="70" customWidth="1"/>
    <col min="7400" max="7400" width="15.25" style="70" customWidth="1"/>
    <col min="7401" max="7401" width="0.75" style="70" customWidth="1"/>
    <col min="7402" max="7404" width="0.625" style="70" customWidth="1"/>
    <col min="7405" max="7649" width="8.5" style="70"/>
    <col min="7650" max="7650" width="5.25" style="70" customWidth="1"/>
    <col min="7651" max="7651" width="26.25" style="70" customWidth="1"/>
    <col min="7652" max="7652" width="5.5" style="70" customWidth="1"/>
    <col min="7653" max="7653" width="8.5" style="70"/>
    <col min="7654" max="7655" width="10.875" style="70" customWidth="1"/>
    <col min="7656" max="7656" width="15.25" style="70" customWidth="1"/>
    <col min="7657" max="7657" width="0.75" style="70" customWidth="1"/>
    <col min="7658" max="7660" width="0.625" style="70" customWidth="1"/>
    <col min="7661" max="7905" width="8.5" style="70"/>
    <col min="7906" max="7906" width="5.25" style="70" customWidth="1"/>
    <col min="7907" max="7907" width="26.25" style="70" customWidth="1"/>
    <col min="7908" max="7908" width="5.5" style="70" customWidth="1"/>
    <col min="7909" max="7909" width="8.5" style="70"/>
    <col min="7910" max="7911" width="10.875" style="70" customWidth="1"/>
    <col min="7912" max="7912" width="15.25" style="70" customWidth="1"/>
    <col min="7913" max="7913" width="0.75" style="70" customWidth="1"/>
    <col min="7914" max="7916" width="0.625" style="70" customWidth="1"/>
    <col min="7917" max="8161" width="8.5" style="70"/>
    <col min="8162" max="8162" width="5.25" style="70" customWidth="1"/>
    <col min="8163" max="8163" width="26.25" style="70" customWidth="1"/>
    <col min="8164" max="8164" width="5.5" style="70" customWidth="1"/>
    <col min="8165" max="8165" width="8.5" style="70"/>
    <col min="8166" max="8167" width="10.875" style="70" customWidth="1"/>
    <col min="8168" max="8168" width="15.25" style="70" customWidth="1"/>
    <col min="8169" max="8169" width="0.75" style="70" customWidth="1"/>
    <col min="8170" max="8172" width="0.625" style="70" customWidth="1"/>
    <col min="8173" max="8417" width="8.5" style="70"/>
    <col min="8418" max="8418" width="5.25" style="70" customWidth="1"/>
    <col min="8419" max="8419" width="26.25" style="70" customWidth="1"/>
    <col min="8420" max="8420" width="5.5" style="70" customWidth="1"/>
    <col min="8421" max="8421" width="8.5" style="70"/>
    <col min="8422" max="8423" width="10.875" style="70" customWidth="1"/>
    <col min="8424" max="8424" width="15.25" style="70" customWidth="1"/>
    <col min="8425" max="8425" width="0.75" style="70" customWidth="1"/>
    <col min="8426" max="8428" width="0.625" style="70" customWidth="1"/>
    <col min="8429" max="8673" width="8.5" style="70"/>
    <col min="8674" max="8674" width="5.25" style="70" customWidth="1"/>
    <col min="8675" max="8675" width="26.25" style="70" customWidth="1"/>
    <col min="8676" max="8676" width="5.5" style="70" customWidth="1"/>
    <col min="8677" max="8677" width="8.5" style="70"/>
    <col min="8678" max="8679" width="10.875" style="70" customWidth="1"/>
    <col min="8680" max="8680" width="15.25" style="70" customWidth="1"/>
    <col min="8681" max="8681" width="0.75" style="70" customWidth="1"/>
    <col min="8682" max="8684" width="0.625" style="70" customWidth="1"/>
    <col min="8685" max="8929" width="8.5" style="70"/>
    <col min="8930" max="8930" width="5.25" style="70" customWidth="1"/>
    <col min="8931" max="8931" width="26.25" style="70" customWidth="1"/>
    <col min="8932" max="8932" width="5.5" style="70" customWidth="1"/>
    <col min="8933" max="8933" width="8.5" style="70"/>
    <col min="8934" max="8935" width="10.875" style="70" customWidth="1"/>
    <col min="8936" max="8936" width="15.25" style="70" customWidth="1"/>
    <col min="8937" max="8937" width="0.75" style="70" customWidth="1"/>
    <col min="8938" max="8940" width="0.625" style="70" customWidth="1"/>
    <col min="8941" max="9185" width="8.5" style="70"/>
    <col min="9186" max="9186" width="5.25" style="70" customWidth="1"/>
    <col min="9187" max="9187" width="26.25" style="70" customWidth="1"/>
    <col min="9188" max="9188" width="5.5" style="70" customWidth="1"/>
    <col min="9189" max="9189" width="8.5" style="70"/>
    <col min="9190" max="9191" width="10.875" style="70" customWidth="1"/>
    <col min="9192" max="9192" width="15.25" style="70" customWidth="1"/>
    <col min="9193" max="9193" width="0.75" style="70" customWidth="1"/>
    <col min="9194" max="9196" width="0.625" style="70" customWidth="1"/>
    <col min="9197" max="9441" width="8.5" style="70"/>
    <col min="9442" max="9442" width="5.25" style="70" customWidth="1"/>
    <col min="9443" max="9443" width="26.25" style="70" customWidth="1"/>
    <col min="9444" max="9444" width="5.5" style="70" customWidth="1"/>
    <col min="9445" max="9445" width="8.5" style="70"/>
    <col min="9446" max="9447" width="10.875" style="70" customWidth="1"/>
    <col min="9448" max="9448" width="15.25" style="70" customWidth="1"/>
    <col min="9449" max="9449" width="0.75" style="70" customWidth="1"/>
    <col min="9450" max="9452" width="0.625" style="70" customWidth="1"/>
    <col min="9453" max="9697" width="8.5" style="70"/>
    <col min="9698" max="9698" width="5.25" style="70" customWidth="1"/>
    <col min="9699" max="9699" width="26.25" style="70" customWidth="1"/>
    <col min="9700" max="9700" width="5.5" style="70" customWidth="1"/>
    <col min="9701" max="9701" width="8.5" style="70"/>
    <col min="9702" max="9703" width="10.875" style="70" customWidth="1"/>
    <col min="9704" max="9704" width="15.25" style="70" customWidth="1"/>
    <col min="9705" max="9705" width="0.75" style="70" customWidth="1"/>
    <col min="9706" max="9708" width="0.625" style="70" customWidth="1"/>
    <col min="9709" max="9953" width="8.5" style="70"/>
    <col min="9954" max="9954" width="5.25" style="70" customWidth="1"/>
    <col min="9955" max="9955" width="26.25" style="70" customWidth="1"/>
    <col min="9956" max="9956" width="5.5" style="70" customWidth="1"/>
    <col min="9957" max="9957" width="8.5" style="70"/>
    <col min="9958" max="9959" width="10.875" style="70" customWidth="1"/>
    <col min="9960" max="9960" width="15.25" style="70" customWidth="1"/>
    <col min="9961" max="9961" width="0.75" style="70" customWidth="1"/>
    <col min="9962" max="9964" width="0.625" style="70" customWidth="1"/>
    <col min="9965" max="10209" width="8.5" style="70"/>
    <col min="10210" max="10210" width="5.25" style="70" customWidth="1"/>
    <col min="10211" max="10211" width="26.25" style="70" customWidth="1"/>
    <col min="10212" max="10212" width="5.5" style="70" customWidth="1"/>
    <col min="10213" max="10213" width="8.5" style="70"/>
    <col min="10214" max="10215" width="10.875" style="70" customWidth="1"/>
    <col min="10216" max="10216" width="15.25" style="70" customWidth="1"/>
    <col min="10217" max="10217" width="0.75" style="70" customWidth="1"/>
    <col min="10218" max="10220" width="0.625" style="70" customWidth="1"/>
    <col min="10221" max="10465" width="8.5" style="70"/>
    <col min="10466" max="10466" width="5.25" style="70" customWidth="1"/>
    <col min="10467" max="10467" width="26.25" style="70" customWidth="1"/>
    <col min="10468" max="10468" width="5.5" style="70" customWidth="1"/>
    <col min="10469" max="10469" width="8.5" style="70"/>
    <col min="10470" max="10471" width="10.875" style="70" customWidth="1"/>
    <col min="10472" max="10472" width="15.25" style="70" customWidth="1"/>
    <col min="10473" max="10473" width="0.75" style="70" customWidth="1"/>
    <col min="10474" max="10476" width="0.625" style="70" customWidth="1"/>
    <col min="10477" max="10721" width="8.5" style="70"/>
    <col min="10722" max="10722" width="5.25" style="70" customWidth="1"/>
    <col min="10723" max="10723" width="26.25" style="70" customWidth="1"/>
    <col min="10724" max="10724" width="5.5" style="70" customWidth="1"/>
    <col min="10725" max="10725" width="8.5" style="70"/>
    <col min="10726" max="10727" width="10.875" style="70" customWidth="1"/>
    <col min="10728" max="10728" width="15.25" style="70" customWidth="1"/>
    <col min="10729" max="10729" width="0.75" style="70" customWidth="1"/>
    <col min="10730" max="10732" width="0.625" style="70" customWidth="1"/>
    <col min="10733" max="10977" width="8.5" style="70"/>
    <col min="10978" max="10978" width="5.25" style="70" customWidth="1"/>
    <col min="10979" max="10979" width="26.25" style="70" customWidth="1"/>
    <col min="10980" max="10980" width="5.5" style="70" customWidth="1"/>
    <col min="10981" max="10981" width="8.5" style="70"/>
    <col min="10982" max="10983" width="10.875" style="70" customWidth="1"/>
    <col min="10984" max="10984" width="15.25" style="70" customWidth="1"/>
    <col min="10985" max="10985" width="0.75" style="70" customWidth="1"/>
    <col min="10986" max="10988" width="0.625" style="70" customWidth="1"/>
    <col min="10989" max="11233" width="8.5" style="70"/>
    <col min="11234" max="11234" width="5.25" style="70" customWidth="1"/>
    <col min="11235" max="11235" width="26.25" style="70" customWidth="1"/>
    <col min="11236" max="11236" width="5.5" style="70" customWidth="1"/>
    <col min="11237" max="11237" width="8.5" style="70"/>
    <col min="11238" max="11239" width="10.875" style="70" customWidth="1"/>
    <col min="11240" max="11240" width="15.25" style="70" customWidth="1"/>
    <col min="11241" max="11241" width="0.75" style="70" customWidth="1"/>
    <col min="11242" max="11244" width="0.625" style="70" customWidth="1"/>
    <col min="11245" max="11489" width="8.5" style="70"/>
    <col min="11490" max="11490" width="5.25" style="70" customWidth="1"/>
    <col min="11491" max="11491" width="26.25" style="70" customWidth="1"/>
    <col min="11492" max="11492" width="5.5" style="70" customWidth="1"/>
    <col min="11493" max="11493" width="8.5" style="70"/>
    <col min="11494" max="11495" width="10.875" style="70" customWidth="1"/>
    <col min="11496" max="11496" width="15.25" style="70" customWidth="1"/>
    <col min="11497" max="11497" width="0.75" style="70" customWidth="1"/>
    <col min="11498" max="11500" width="0.625" style="70" customWidth="1"/>
    <col min="11501" max="11745" width="8.5" style="70"/>
    <col min="11746" max="11746" width="5.25" style="70" customWidth="1"/>
    <col min="11747" max="11747" width="26.25" style="70" customWidth="1"/>
    <col min="11748" max="11748" width="5.5" style="70" customWidth="1"/>
    <col min="11749" max="11749" width="8.5" style="70"/>
    <col min="11750" max="11751" width="10.875" style="70" customWidth="1"/>
    <col min="11752" max="11752" width="15.25" style="70" customWidth="1"/>
    <col min="11753" max="11753" width="0.75" style="70" customWidth="1"/>
    <col min="11754" max="11756" width="0.625" style="70" customWidth="1"/>
    <col min="11757" max="12001" width="8.5" style="70"/>
    <col min="12002" max="12002" width="5.25" style="70" customWidth="1"/>
    <col min="12003" max="12003" width="26.25" style="70" customWidth="1"/>
    <col min="12004" max="12004" width="5.5" style="70" customWidth="1"/>
    <col min="12005" max="12005" width="8.5" style="70"/>
    <col min="12006" max="12007" width="10.875" style="70" customWidth="1"/>
    <col min="12008" max="12008" width="15.25" style="70" customWidth="1"/>
    <col min="12009" max="12009" width="0.75" style="70" customWidth="1"/>
    <col min="12010" max="12012" width="0.625" style="70" customWidth="1"/>
    <col min="12013" max="12257" width="8.5" style="70"/>
    <col min="12258" max="12258" width="5.25" style="70" customWidth="1"/>
    <col min="12259" max="12259" width="26.25" style="70" customWidth="1"/>
    <col min="12260" max="12260" width="5.5" style="70" customWidth="1"/>
    <col min="12261" max="12261" width="8.5" style="70"/>
    <col min="12262" max="12263" width="10.875" style="70" customWidth="1"/>
    <col min="12264" max="12264" width="15.25" style="70" customWidth="1"/>
    <col min="12265" max="12265" width="0.75" style="70" customWidth="1"/>
    <col min="12266" max="12268" width="0.625" style="70" customWidth="1"/>
    <col min="12269" max="12513" width="8.5" style="70"/>
    <col min="12514" max="12514" width="5.25" style="70" customWidth="1"/>
    <col min="12515" max="12515" width="26.25" style="70" customWidth="1"/>
    <col min="12516" max="12516" width="5.5" style="70" customWidth="1"/>
    <col min="12517" max="12517" width="8.5" style="70"/>
    <col min="12518" max="12519" width="10.875" style="70" customWidth="1"/>
    <col min="12520" max="12520" width="15.25" style="70" customWidth="1"/>
    <col min="12521" max="12521" width="0.75" style="70" customWidth="1"/>
    <col min="12522" max="12524" width="0.625" style="70" customWidth="1"/>
    <col min="12525" max="12769" width="8.5" style="70"/>
    <col min="12770" max="12770" width="5.25" style="70" customWidth="1"/>
    <col min="12771" max="12771" width="26.25" style="70" customWidth="1"/>
    <col min="12772" max="12772" width="5.5" style="70" customWidth="1"/>
    <col min="12773" max="12773" width="8.5" style="70"/>
    <col min="12774" max="12775" width="10.875" style="70" customWidth="1"/>
    <col min="12776" max="12776" width="15.25" style="70" customWidth="1"/>
    <col min="12777" max="12777" width="0.75" style="70" customWidth="1"/>
    <col min="12778" max="12780" width="0.625" style="70" customWidth="1"/>
    <col min="12781" max="13025" width="8.5" style="70"/>
    <col min="13026" max="13026" width="5.25" style="70" customWidth="1"/>
    <col min="13027" max="13027" width="26.25" style="70" customWidth="1"/>
    <col min="13028" max="13028" width="5.5" style="70" customWidth="1"/>
    <col min="13029" max="13029" width="8.5" style="70"/>
    <col min="13030" max="13031" width="10.875" style="70" customWidth="1"/>
    <col min="13032" max="13032" width="15.25" style="70" customWidth="1"/>
    <col min="13033" max="13033" width="0.75" style="70" customWidth="1"/>
    <col min="13034" max="13036" width="0.625" style="70" customWidth="1"/>
    <col min="13037" max="13281" width="8.5" style="70"/>
    <col min="13282" max="13282" width="5.25" style="70" customWidth="1"/>
    <col min="13283" max="13283" width="26.25" style="70" customWidth="1"/>
    <col min="13284" max="13284" width="5.5" style="70" customWidth="1"/>
    <col min="13285" max="13285" width="8.5" style="70"/>
    <col min="13286" max="13287" width="10.875" style="70" customWidth="1"/>
    <col min="13288" max="13288" width="15.25" style="70" customWidth="1"/>
    <col min="13289" max="13289" width="0.75" style="70" customWidth="1"/>
    <col min="13290" max="13292" width="0.625" style="70" customWidth="1"/>
    <col min="13293" max="13537" width="8.5" style="70"/>
    <col min="13538" max="13538" width="5.25" style="70" customWidth="1"/>
    <col min="13539" max="13539" width="26.25" style="70" customWidth="1"/>
    <col min="13540" max="13540" width="5.5" style="70" customWidth="1"/>
    <col min="13541" max="13541" width="8.5" style="70"/>
    <col min="13542" max="13543" width="10.875" style="70" customWidth="1"/>
    <col min="13544" max="13544" width="15.25" style="70" customWidth="1"/>
    <col min="13545" max="13545" width="0.75" style="70" customWidth="1"/>
    <col min="13546" max="13548" width="0.625" style="70" customWidth="1"/>
    <col min="13549" max="13793" width="8.5" style="70"/>
    <col min="13794" max="13794" width="5.25" style="70" customWidth="1"/>
    <col min="13795" max="13795" width="26.25" style="70" customWidth="1"/>
    <col min="13796" max="13796" width="5.5" style="70" customWidth="1"/>
    <col min="13797" max="13797" width="8.5" style="70"/>
    <col min="13798" max="13799" width="10.875" style="70" customWidth="1"/>
    <col min="13800" max="13800" width="15.25" style="70" customWidth="1"/>
    <col min="13801" max="13801" width="0.75" style="70" customWidth="1"/>
    <col min="13802" max="13804" width="0.625" style="70" customWidth="1"/>
    <col min="13805" max="14049" width="8.5" style="70"/>
    <col min="14050" max="14050" width="5.25" style="70" customWidth="1"/>
    <col min="14051" max="14051" width="26.25" style="70" customWidth="1"/>
    <col min="14052" max="14052" width="5.5" style="70" customWidth="1"/>
    <col min="14053" max="14053" width="8.5" style="70"/>
    <col min="14054" max="14055" width="10.875" style="70" customWidth="1"/>
    <col min="14056" max="14056" width="15.25" style="70" customWidth="1"/>
    <col min="14057" max="14057" width="0.75" style="70" customWidth="1"/>
    <col min="14058" max="14060" width="0.625" style="70" customWidth="1"/>
    <col min="14061" max="14305" width="8.5" style="70"/>
    <col min="14306" max="14306" width="5.25" style="70" customWidth="1"/>
    <col min="14307" max="14307" width="26.25" style="70" customWidth="1"/>
    <col min="14308" max="14308" width="5.5" style="70" customWidth="1"/>
    <col min="14309" max="14309" width="8.5" style="70"/>
    <col min="14310" max="14311" width="10.875" style="70" customWidth="1"/>
    <col min="14312" max="14312" width="15.25" style="70" customWidth="1"/>
    <col min="14313" max="14313" width="0.75" style="70" customWidth="1"/>
    <col min="14314" max="14316" width="0.625" style="70" customWidth="1"/>
    <col min="14317" max="14561" width="8.5" style="70"/>
    <col min="14562" max="14562" width="5.25" style="70" customWidth="1"/>
    <col min="14563" max="14563" width="26.25" style="70" customWidth="1"/>
    <col min="14564" max="14564" width="5.5" style="70" customWidth="1"/>
    <col min="14565" max="14565" width="8.5" style="70"/>
    <col min="14566" max="14567" width="10.875" style="70" customWidth="1"/>
    <col min="14568" max="14568" width="15.25" style="70" customWidth="1"/>
    <col min="14569" max="14569" width="0.75" style="70" customWidth="1"/>
    <col min="14570" max="14572" width="0.625" style="70" customWidth="1"/>
    <col min="14573" max="14817" width="8.5" style="70"/>
    <col min="14818" max="14818" width="5.25" style="70" customWidth="1"/>
    <col min="14819" max="14819" width="26.25" style="70" customWidth="1"/>
    <col min="14820" max="14820" width="5.5" style="70" customWidth="1"/>
    <col min="14821" max="14821" width="8.5" style="70"/>
    <col min="14822" max="14823" width="10.875" style="70" customWidth="1"/>
    <col min="14824" max="14824" width="15.25" style="70" customWidth="1"/>
    <col min="14825" max="14825" width="0.75" style="70" customWidth="1"/>
    <col min="14826" max="14828" width="0.625" style="70" customWidth="1"/>
    <col min="14829" max="15073" width="8.5" style="70"/>
    <col min="15074" max="15074" width="5.25" style="70" customWidth="1"/>
    <col min="15075" max="15075" width="26.25" style="70" customWidth="1"/>
    <col min="15076" max="15076" width="5.5" style="70" customWidth="1"/>
    <col min="15077" max="15077" width="8.5" style="70"/>
    <col min="15078" max="15079" width="10.875" style="70" customWidth="1"/>
    <col min="15080" max="15080" width="15.25" style="70" customWidth="1"/>
    <col min="15081" max="15081" width="0.75" style="70" customWidth="1"/>
    <col min="15082" max="15084" width="0.625" style="70" customWidth="1"/>
    <col min="15085" max="15329" width="8.5" style="70"/>
    <col min="15330" max="15330" width="5.25" style="70" customWidth="1"/>
    <col min="15331" max="15331" width="26.25" style="70" customWidth="1"/>
    <col min="15332" max="15332" width="5.5" style="70" customWidth="1"/>
    <col min="15333" max="15333" width="8.5" style="70"/>
    <col min="15334" max="15335" width="10.875" style="70" customWidth="1"/>
    <col min="15336" max="15336" width="15.25" style="70" customWidth="1"/>
    <col min="15337" max="15337" width="0.75" style="70" customWidth="1"/>
    <col min="15338" max="15340" width="0.625" style="70" customWidth="1"/>
    <col min="15341" max="15585" width="8.5" style="70"/>
    <col min="15586" max="15586" width="5.25" style="70" customWidth="1"/>
    <col min="15587" max="15587" width="26.25" style="70" customWidth="1"/>
    <col min="15588" max="15588" width="5.5" style="70" customWidth="1"/>
    <col min="15589" max="15589" width="8.5" style="70"/>
    <col min="15590" max="15591" width="10.875" style="70" customWidth="1"/>
    <col min="15592" max="15592" width="15.25" style="70" customWidth="1"/>
    <col min="15593" max="15593" width="0.75" style="70" customWidth="1"/>
    <col min="15594" max="15596" width="0.625" style="70" customWidth="1"/>
    <col min="15597" max="15841" width="8.5" style="70"/>
    <col min="15842" max="15842" width="5.25" style="70" customWidth="1"/>
    <col min="15843" max="15843" width="26.25" style="70" customWidth="1"/>
    <col min="15844" max="15844" width="5.5" style="70" customWidth="1"/>
    <col min="15845" max="15845" width="8.5" style="70"/>
    <col min="15846" max="15847" width="10.875" style="70" customWidth="1"/>
    <col min="15848" max="15848" width="15.25" style="70" customWidth="1"/>
    <col min="15849" max="15849" width="0.75" style="70" customWidth="1"/>
    <col min="15850" max="15852" width="0.625" style="70" customWidth="1"/>
    <col min="15853" max="16097" width="8.5" style="70"/>
    <col min="16098" max="16098" width="5.25" style="70" customWidth="1"/>
    <col min="16099" max="16099" width="26.25" style="70" customWidth="1"/>
    <col min="16100" max="16100" width="5.5" style="70" customWidth="1"/>
    <col min="16101" max="16101" width="8.5" style="70"/>
    <col min="16102" max="16103" width="10.875" style="70" customWidth="1"/>
    <col min="16104" max="16104" width="15.25" style="70" customWidth="1"/>
    <col min="16105" max="16105" width="0.75" style="70" customWidth="1"/>
    <col min="16106" max="16108" width="0.625" style="70" customWidth="1"/>
    <col min="16109" max="16384" width="8.5" style="70"/>
  </cols>
  <sheetData>
    <row r="1" spans="1:43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47"/>
      <c r="X1" s="370"/>
      <c r="Y1" s="99"/>
      <c r="Z1" s="99"/>
      <c r="AA1" s="99"/>
      <c r="AB1" s="100"/>
    </row>
    <row r="2" spans="1:43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47"/>
    </row>
    <row r="3" spans="1:43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47"/>
      <c r="R3" s="386" t="s">
        <v>0</v>
      </c>
      <c r="S3" s="387"/>
      <c r="T3" s="387"/>
      <c r="U3" s="387"/>
      <c r="V3" s="387"/>
      <c r="W3" s="387"/>
      <c r="X3" s="387"/>
      <c r="Y3" s="387"/>
      <c r="Z3" s="387"/>
      <c r="AA3" s="387"/>
      <c r="AB3" s="387"/>
    </row>
    <row r="4" spans="1:43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48"/>
      <c r="R4" s="389">
        <v>29</v>
      </c>
      <c r="S4" s="387"/>
      <c r="T4" s="387"/>
      <c r="U4" s="387"/>
      <c r="V4" s="387"/>
      <c r="W4" s="387"/>
      <c r="X4" s="387"/>
      <c r="Y4" s="387"/>
      <c r="Z4" s="387"/>
      <c r="AA4" s="387"/>
      <c r="AB4" s="387"/>
    </row>
    <row r="5" spans="1:43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88"/>
      <c r="K5" s="393" t="s">
        <v>4</v>
      </c>
      <c r="L5" s="393"/>
      <c r="M5" s="74"/>
      <c r="N5" s="394" t="s">
        <v>3300</v>
      </c>
      <c r="O5" s="394"/>
      <c r="P5" s="394"/>
      <c r="Q5" s="96"/>
      <c r="R5" s="395" t="s">
        <v>2</v>
      </c>
      <c r="S5" s="396"/>
      <c r="T5" s="396"/>
      <c r="U5" s="396"/>
      <c r="V5" s="396"/>
      <c r="W5" s="396"/>
      <c r="X5" s="396"/>
      <c r="Y5" s="396"/>
      <c r="Z5" s="4" t="s">
        <v>1361</v>
      </c>
      <c r="AA5" s="380">
        <v>46053</v>
      </c>
      <c r="AB5" s="381"/>
      <c r="AC5"/>
      <c r="AD5" s="181"/>
      <c r="AE5" s="181"/>
      <c r="AF5" s="181"/>
      <c r="AG5" s="181"/>
    </row>
    <row r="6" spans="1:43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0" t="s">
        <v>3162</v>
      </c>
      <c r="J6" s="351" t="s">
        <v>9</v>
      </c>
      <c r="K6" s="51" t="s">
        <v>3068</v>
      </c>
      <c r="L6" s="50" t="s">
        <v>11</v>
      </c>
      <c r="M6" s="47"/>
      <c r="N6" s="1" t="s">
        <v>1423</v>
      </c>
      <c r="O6" s="1" t="s">
        <v>1424</v>
      </c>
      <c r="P6" s="1" t="s">
        <v>1425</v>
      </c>
      <c r="Q6" s="97"/>
      <c r="R6" s="5" t="s">
        <v>5</v>
      </c>
      <c r="S6" s="6" t="s">
        <v>1362</v>
      </c>
      <c r="T6" s="6" t="s">
        <v>7</v>
      </c>
      <c r="U6" s="6" t="s">
        <v>1363</v>
      </c>
      <c r="V6" s="6" t="s">
        <v>1364</v>
      </c>
      <c r="W6" s="6" t="s">
        <v>1365</v>
      </c>
      <c r="X6" s="6" t="s">
        <v>1366</v>
      </c>
      <c r="Y6" s="214" t="s">
        <v>1367</v>
      </c>
      <c r="Z6" s="214" t="s">
        <v>1368</v>
      </c>
      <c r="AA6" s="214" t="s">
        <v>1369</v>
      </c>
      <c r="AB6" s="7" t="s">
        <v>1370</v>
      </c>
      <c r="AC6" s="36"/>
      <c r="AI6" s="222">
        <f>AK7</f>
        <v>0.88173900000000005</v>
      </c>
      <c r="AJ6" s="360">
        <f>AK9</f>
        <v>1.1571383896875296E-2</v>
      </c>
      <c r="AK6" s="197" t="s">
        <v>1513</v>
      </c>
      <c r="AM6" s="68" t="s">
        <v>3110</v>
      </c>
    </row>
    <row r="7" spans="1:43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/>
      <c r="K7" s="75">
        <v>425454729</v>
      </c>
      <c r="L7" s="53" t="s">
        <v>15</v>
      </c>
      <c r="M7" s="73"/>
      <c r="N7" s="39">
        <v>1</v>
      </c>
      <c r="O7" s="39">
        <v>28074799.999999966</v>
      </c>
      <c r="P7" s="39">
        <v>370217100</v>
      </c>
      <c r="Q7" s="98"/>
      <c r="R7" s="8" t="s">
        <v>12</v>
      </c>
      <c r="S7" s="9" t="s">
        <v>13</v>
      </c>
      <c r="T7" s="10" t="s">
        <v>14</v>
      </c>
      <c r="U7" s="11">
        <v>1</v>
      </c>
      <c r="V7" s="11"/>
      <c r="W7" s="11">
        <f>W8+W434+W464+W504+W508+W529+W549+W552+W553+W556</f>
        <v>425454728.99999994</v>
      </c>
      <c r="X7" s="11">
        <f>IF(Z7=0,0,1)</f>
        <v>1</v>
      </c>
      <c r="Y7" s="11">
        <f>IF(AA7=0,0,1)</f>
        <v>1</v>
      </c>
      <c r="Z7" s="11">
        <f>Z8+Z434+Z464+Z504+Z508+Z529+Z549+Z552+Z553+Z556</f>
        <v>4923100.0000000428</v>
      </c>
      <c r="AA7" s="11">
        <f>ROUNDDOWN((AA8+AA434+AA464+AA504+AA508+AA529+AA549+AA553+AA556+(AA8+AA434+AA464+AA504+AA508+AA529+AA549)*0.1095000004)/1000,1)*1000</f>
        <v>375140200</v>
      </c>
      <c r="AB7" s="12" t="s">
        <v>15</v>
      </c>
      <c r="AC7" s="232"/>
      <c r="AD7" s="182"/>
      <c r="AE7" s="182"/>
      <c r="AF7" s="182"/>
      <c r="AG7" s="182"/>
      <c r="AH7" s="363"/>
      <c r="AI7" s="186"/>
      <c r="AJ7" s="126">
        <f>K7</f>
        <v>425454729</v>
      </c>
      <c r="AK7" s="201">
        <f>ROUND(AA7/AJ7,6)</f>
        <v>0.88173900000000005</v>
      </c>
      <c r="AP7" s="367"/>
      <c r="AQ7" s="367"/>
    </row>
    <row r="8" spans="1:43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/>
      <c r="K8" s="88">
        <v>325898218.11000001</v>
      </c>
      <c r="L8" s="86" t="s">
        <v>15</v>
      </c>
      <c r="M8" s="73"/>
      <c r="N8" s="42">
        <v>1</v>
      </c>
      <c r="O8" s="42">
        <v>23728226.870000005</v>
      </c>
      <c r="P8" s="42">
        <v>282766300.09000003</v>
      </c>
      <c r="Q8" s="98"/>
      <c r="R8" s="13" t="s">
        <v>1371</v>
      </c>
      <c r="S8" s="14" t="s">
        <v>18</v>
      </c>
      <c r="T8" s="15" t="s">
        <v>14</v>
      </c>
      <c r="U8" s="16">
        <v>1</v>
      </c>
      <c r="V8" s="16"/>
      <c r="W8" s="16">
        <f>W9+W40+W144+W193+W223+W242+W263+W362+W407+W415+W432</f>
        <v>325898218.11000001</v>
      </c>
      <c r="X8" s="16">
        <f t="shared" ref="X8:Y9" si="0">IF(Z8=0,0,1)</f>
        <v>1</v>
      </c>
      <c r="Y8" s="16">
        <f t="shared" si="0"/>
        <v>1</v>
      </c>
      <c r="Z8" s="16">
        <f>Z9+Z40+Z144+Z193+Z223+Z242+Z263+Z362+Z407+Z415+Z432</f>
        <v>3619149.3</v>
      </c>
      <c r="AA8" s="16">
        <f>AA9+AA40+AA144+AA193+AA223+AA242+AA263+AA362+AA407+AA415+AA432</f>
        <v>286385449.38999999</v>
      </c>
      <c r="AB8" s="17" t="s">
        <v>15</v>
      </c>
      <c r="AC8" s="232"/>
      <c r="AD8" s="183"/>
      <c r="AE8" s="183"/>
      <c r="AF8" s="183"/>
      <c r="AG8" s="183"/>
      <c r="AH8" s="363"/>
      <c r="AI8" s="185"/>
      <c r="AJ8" s="188"/>
      <c r="AK8" s="124" t="s">
        <v>1514</v>
      </c>
      <c r="AP8" s="367"/>
      <c r="AQ8" s="367"/>
    </row>
    <row r="9" spans="1:43" s="69" customFormat="1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/>
      <c r="K9" s="82">
        <v>89884530.849999994</v>
      </c>
      <c r="L9" s="80" t="s">
        <v>15</v>
      </c>
      <c r="M9" s="73"/>
      <c r="N9" s="45">
        <v>1</v>
      </c>
      <c r="O9" s="45">
        <v>3762210.8400000026</v>
      </c>
      <c r="P9" s="45">
        <v>84412579.359999985</v>
      </c>
      <c r="Q9" s="98"/>
      <c r="R9" s="18" t="s">
        <v>1372</v>
      </c>
      <c r="S9" s="19" t="s">
        <v>20</v>
      </c>
      <c r="T9" s="20" t="s">
        <v>14</v>
      </c>
      <c r="U9" s="21">
        <v>1</v>
      </c>
      <c r="V9" s="21"/>
      <c r="W9" s="21">
        <f>SUMIFS(AE:AE,AF:AF,AF9)</f>
        <v>89884530.849999994</v>
      </c>
      <c r="X9" s="21">
        <f t="shared" si="0"/>
        <v>0</v>
      </c>
      <c r="Y9" s="21">
        <f t="shared" si="0"/>
        <v>1</v>
      </c>
      <c r="Z9" s="21">
        <f>SUMIFS(Z:Z,AG:AG,AF9)</f>
        <v>0</v>
      </c>
      <c r="AA9" s="21">
        <f>SUMIFS(AA:AA,AG:AG,AF9)</f>
        <v>84412579.359999985</v>
      </c>
      <c r="AB9" s="22" t="s">
        <v>15</v>
      </c>
      <c r="AC9" s="232"/>
      <c r="AD9" s="184">
        <f>IF(V9=0,U9,V9)</f>
        <v>1</v>
      </c>
      <c r="AE9" s="184"/>
      <c r="AF9" s="181">
        <v>1.1000000000000001</v>
      </c>
      <c r="AG9" s="181"/>
      <c r="AH9" s="363"/>
      <c r="AI9" s="189" t="s">
        <v>3061</v>
      </c>
      <c r="AJ9" s="188"/>
      <c r="AK9" s="125">
        <f>Z7/AJ7</f>
        <v>1.1571383896875296E-2</v>
      </c>
      <c r="AM9" s="101" t="s">
        <v>3062</v>
      </c>
      <c r="AO9" s="367"/>
      <c r="AP9" s="367"/>
      <c r="AQ9" s="367"/>
    </row>
    <row r="10" spans="1:43" s="69" customFormat="1" ht="58.5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/>
      <c r="I10" s="75"/>
      <c r="J10" s="75">
        <v>193.12</v>
      </c>
      <c r="K10" s="75">
        <v>105184.74</v>
      </c>
      <c r="L10" s="91" t="s">
        <v>24</v>
      </c>
      <c r="M10" s="73"/>
      <c r="N10" s="46">
        <v>532.65</v>
      </c>
      <c r="O10" s="46">
        <v>10882.309999999998</v>
      </c>
      <c r="P10" s="46">
        <v>102865.37</v>
      </c>
      <c r="Q10" s="98"/>
      <c r="R10" s="23" t="s">
        <v>1421</v>
      </c>
      <c r="S10" s="24" t="s">
        <v>22</v>
      </c>
      <c r="T10" s="25" t="s">
        <v>23</v>
      </c>
      <c r="U10" s="26">
        <v>544.66</v>
      </c>
      <c r="V10" s="26">
        <f>IF(I10&gt;0,I10,IF(H10&gt;0,H10,IF(G10&gt;0,G10,IF(F10&gt;0,F10,IF(E10&gt;0,E10,D10)))))</f>
        <v>544.66</v>
      </c>
      <c r="W10" s="26">
        <f>J10</f>
        <v>193.12</v>
      </c>
      <c r="X10" s="127">
        <f>AI10-N10</f>
        <v>0</v>
      </c>
      <c r="Y10" s="127">
        <f>X10+N10</f>
        <v>532.65</v>
      </c>
      <c r="Z10" s="127">
        <f t="shared" ref="Z10:Z39" si="1">AA10-P10</f>
        <v>0</v>
      </c>
      <c r="AA10" s="127">
        <f>ROUND(W10*Y10,2)</f>
        <v>102865.37</v>
      </c>
      <c r="AB10" s="33" t="s">
        <v>15</v>
      </c>
      <c r="AC10" s="324"/>
      <c r="AD10" s="181">
        <f t="shared" ref="AD10:AD73" si="2">IF(V10=0,U10,V10)</f>
        <v>544.66</v>
      </c>
      <c r="AE10" s="181">
        <f t="shared" ref="AE10:AE39" si="3">ROUND(W10*AD10,2)</f>
        <v>105184.74</v>
      </c>
      <c r="AF10" s="181">
        <v>1.1000000000000001</v>
      </c>
      <c r="AG10" s="181">
        <v>1.1000000000000001</v>
      </c>
      <c r="AH10" s="363" t="str">
        <f>IF(Y10&gt;AJ10,"超估","")</f>
        <v/>
      </c>
      <c r="AI10" s="194">
        <f>408.7+67.6+56.35</f>
        <v>532.65</v>
      </c>
      <c r="AJ10" s="188">
        <v>544.66</v>
      </c>
      <c r="AO10" s="367"/>
      <c r="AP10" s="367"/>
      <c r="AQ10" s="367"/>
    </row>
    <row r="11" spans="1:43" s="69" customFormat="1" ht="58.5" x14ac:dyDescent="0.3">
      <c r="A11" s="55" t="s">
        <v>25</v>
      </c>
      <c r="B11" s="53" t="s">
        <v>26</v>
      </c>
      <c r="C11" s="54" t="s">
        <v>23</v>
      </c>
      <c r="D11" s="75">
        <v>7089.42</v>
      </c>
      <c r="E11" s="75"/>
      <c r="F11" s="75"/>
      <c r="G11" s="75"/>
      <c r="H11" s="75"/>
      <c r="I11" s="75"/>
      <c r="J11" s="75">
        <v>1046.22</v>
      </c>
      <c r="K11" s="75">
        <v>7417092.9900000002</v>
      </c>
      <c r="L11" s="91" t="s">
        <v>27</v>
      </c>
      <c r="M11" s="73"/>
      <c r="N11" s="46">
        <v>7089.2099999999991</v>
      </c>
      <c r="O11" s="46">
        <v>159234.69000000041</v>
      </c>
      <c r="P11" s="46">
        <v>7416873.29</v>
      </c>
      <c r="Q11" s="98"/>
      <c r="R11" s="23" t="s">
        <v>1426</v>
      </c>
      <c r="S11" s="24" t="s">
        <v>26</v>
      </c>
      <c r="T11" s="25" t="s">
        <v>23</v>
      </c>
      <c r="U11" s="26">
        <v>7089.42</v>
      </c>
      <c r="V11" s="26">
        <f t="shared" ref="V11:V39" si="4">IF(I11&gt;0,I11,IF(H11&gt;0,H11,IF(G11&gt;0,G11,IF(F11&gt;0,F11,IF(E11&gt;0,E11,D11)))))</f>
        <v>7089.42</v>
      </c>
      <c r="W11" s="26">
        <f t="shared" ref="W11:W74" si="5">J11</f>
        <v>1046.22</v>
      </c>
      <c r="X11" s="127">
        <f>AI11-N11</f>
        <v>0</v>
      </c>
      <c r="Y11" s="127">
        <f t="shared" ref="Y11:Y76" si="6">X11+N11</f>
        <v>7089.2099999999991</v>
      </c>
      <c r="Z11" s="127">
        <f t="shared" si="1"/>
        <v>0</v>
      </c>
      <c r="AA11" s="127">
        <f t="shared" ref="AA11:AA76" si="7">ROUND(W11*Y11,2)</f>
        <v>7416873.29</v>
      </c>
      <c r="AB11" s="33" t="s">
        <v>15</v>
      </c>
      <c r="AC11" s="324"/>
      <c r="AD11" s="181">
        <f t="shared" si="2"/>
        <v>7089.42</v>
      </c>
      <c r="AE11" s="181">
        <f t="shared" si="3"/>
        <v>7417092.9900000002</v>
      </c>
      <c r="AF11" s="181">
        <v>1.1000000000000001</v>
      </c>
      <c r="AG11" s="181">
        <v>1.1000000000000001</v>
      </c>
      <c r="AH11" s="363" t="str">
        <f t="shared" ref="AH11:AH76" si="8">IF(Y11&gt;AJ11,"超估","")</f>
        <v/>
      </c>
      <c r="AI11" s="194">
        <f>6531.11+35.5+231.7+102.5+36.2+152.2</f>
        <v>7089.2099999999991</v>
      </c>
      <c r="AJ11" s="188">
        <v>7089.42</v>
      </c>
      <c r="AO11" s="367"/>
      <c r="AP11" s="367"/>
      <c r="AQ11" s="367"/>
    </row>
    <row r="12" spans="1:43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/>
      <c r="I12" s="75"/>
      <c r="J12" s="75">
        <v>6200</v>
      </c>
      <c r="K12" s="75">
        <v>28619200</v>
      </c>
      <c r="L12" s="91" t="s">
        <v>31</v>
      </c>
      <c r="M12" s="73"/>
      <c r="N12" s="46">
        <v>4610.7</v>
      </c>
      <c r="O12" s="46">
        <v>0</v>
      </c>
      <c r="P12" s="46">
        <v>28586340</v>
      </c>
      <c r="Q12" s="98"/>
      <c r="R12" s="23" t="s">
        <v>1402</v>
      </c>
      <c r="S12" s="24" t="s">
        <v>29</v>
      </c>
      <c r="T12" s="25" t="s">
        <v>30</v>
      </c>
      <c r="U12" s="26">
        <v>4616</v>
      </c>
      <c r="V12" s="26">
        <f t="shared" si="4"/>
        <v>4616</v>
      </c>
      <c r="W12" s="26">
        <f t="shared" si="5"/>
        <v>6200</v>
      </c>
      <c r="X12" s="127">
        <f t="shared" ref="X12:X77" si="9">AI12-N12</f>
        <v>0</v>
      </c>
      <c r="Y12" s="127">
        <f t="shared" si="6"/>
        <v>4610.7</v>
      </c>
      <c r="Z12" s="127">
        <f t="shared" si="1"/>
        <v>0</v>
      </c>
      <c r="AA12" s="127">
        <f t="shared" si="7"/>
        <v>28586340</v>
      </c>
      <c r="AB12" s="33" t="s">
        <v>15</v>
      </c>
      <c r="AC12" s="324"/>
      <c r="AD12" s="181">
        <f t="shared" si="2"/>
        <v>4616</v>
      </c>
      <c r="AE12" s="181">
        <f t="shared" si="3"/>
        <v>28619200</v>
      </c>
      <c r="AF12" s="181">
        <v>1.1000000000000001</v>
      </c>
      <c r="AG12" s="181">
        <v>1.1000000000000001</v>
      </c>
      <c r="AH12" s="363" t="str">
        <f t="shared" si="8"/>
        <v/>
      </c>
      <c r="AI12" s="192">
        <v>4610.7</v>
      </c>
      <c r="AJ12" s="188">
        <v>4616</v>
      </c>
      <c r="AO12" s="367"/>
      <c r="AP12" s="367"/>
      <c r="AQ12" s="367"/>
    </row>
    <row r="13" spans="1:43" s="69" customFormat="1" ht="78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/>
      <c r="I13" s="75"/>
      <c r="J13" s="75">
        <v>48.28</v>
      </c>
      <c r="K13" s="75">
        <v>1533324.52</v>
      </c>
      <c r="L13" s="91" t="s">
        <v>35</v>
      </c>
      <c r="M13" s="73"/>
      <c r="N13" s="46">
        <v>30315.299999999996</v>
      </c>
      <c r="O13" s="46">
        <v>30479.159999999916</v>
      </c>
      <c r="P13" s="46">
        <v>1463622.68</v>
      </c>
      <c r="Q13" s="98"/>
      <c r="R13" s="23" t="s">
        <v>1373</v>
      </c>
      <c r="S13" s="24" t="s">
        <v>33</v>
      </c>
      <c r="T13" s="25" t="s">
        <v>34</v>
      </c>
      <c r="U13" s="26">
        <v>29759</v>
      </c>
      <c r="V13" s="26">
        <f t="shared" si="4"/>
        <v>31759</v>
      </c>
      <c r="W13" s="26">
        <f t="shared" si="5"/>
        <v>48.28</v>
      </c>
      <c r="X13" s="127">
        <f>AI13-N13</f>
        <v>0</v>
      </c>
      <c r="Y13" s="127">
        <f>X13+N13</f>
        <v>30315.299999999996</v>
      </c>
      <c r="Z13" s="127">
        <f t="shared" si="1"/>
        <v>0</v>
      </c>
      <c r="AA13" s="127">
        <f t="shared" si="7"/>
        <v>1463622.68</v>
      </c>
      <c r="AB13" s="27" t="s">
        <v>15</v>
      </c>
      <c r="AC13" s="324"/>
      <c r="AD13" s="263">
        <f t="shared" si="2"/>
        <v>31759</v>
      </c>
      <c r="AE13" s="263">
        <f t="shared" si="3"/>
        <v>1533324.52</v>
      </c>
      <c r="AF13" s="263">
        <v>1.1000000000000001</v>
      </c>
      <c r="AG13" s="263">
        <v>1.1000000000000001</v>
      </c>
      <c r="AH13" s="68" t="str">
        <f t="shared" si="8"/>
        <v/>
      </c>
      <c r="AI13" s="194">
        <f>28942.8+415.6+325.6+631.3</f>
        <v>30315.299999999996</v>
      </c>
      <c r="AJ13" s="188">
        <v>31759</v>
      </c>
      <c r="AO13" s="367"/>
      <c r="AP13" s="367"/>
      <c r="AQ13" s="367"/>
    </row>
    <row r="14" spans="1:43" s="69" customFormat="1" ht="58.5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/>
      <c r="I14" s="343">
        <v>1561.19</v>
      </c>
      <c r="J14" s="75">
        <v>599.75</v>
      </c>
      <c r="K14" s="75">
        <v>936323.7</v>
      </c>
      <c r="L14" s="91" t="s">
        <v>38</v>
      </c>
      <c r="M14" s="73"/>
      <c r="N14" s="46">
        <v>1520.5900000000001</v>
      </c>
      <c r="O14" s="46">
        <v>473292.70999999996</v>
      </c>
      <c r="P14" s="46">
        <v>911973.85</v>
      </c>
      <c r="Q14" s="98"/>
      <c r="R14" s="23" t="s">
        <v>1393</v>
      </c>
      <c r="S14" s="24" t="s">
        <v>37</v>
      </c>
      <c r="T14" s="25" t="s">
        <v>23</v>
      </c>
      <c r="U14" s="26">
        <v>731.44</v>
      </c>
      <c r="V14" s="26">
        <f t="shared" si="4"/>
        <v>1561.19</v>
      </c>
      <c r="W14" s="26">
        <f t="shared" si="5"/>
        <v>599.75</v>
      </c>
      <c r="X14" s="127">
        <f>AI14-N14</f>
        <v>0</v>
      </c>
      <c r="Y14" s="127">
        <f t="shared" si="6"/>
        <v>1520.5900000000001</v>
      </c>
      <c r="Z14" s="127">
        <f t="shared" si="1"/>
        <v>0</v>
      </c>
      <c r="AA14" s="127">
        <f t="shared" si="7"/>
        <v>911973.85</v>
      </c>
      <c r="AB14" s="33" t="s">
        <v>15</v>
      </c>
      <c r="AC14" s="324"/>
      <c r="AD14" s="263">
        <f t="shared" si="2"/>
        <v>1561.19</v>
      </c>
      <c r="AE14" s="263">
        <f t="shared" si="3"/>
        <v>936323.7</v>
      </c>
      <c r="AF14" s="263">
        <v>1.1000000000000001</v>
      </c>
      <c r="AG14" s="263">
        <v>1.1000000000000001</v>
      </c>
      <c r="AH14" s="68" t="str">
        <f>IF(Y14&gt;AJ14,"超估","")</f>
        <v/>
      </c>
      <c r="AI14" s="194">
        <f>519.43+212.01+789.15</f>
        <v>1520.59</v>
      </c>
      <c r="AJ14" s="190">
        <v>1561.19</v>
      </c>
      <c r="AO14" s="367"/>
      <c r="AP14" s="367"/>
      <c r="AQ14" s="367"/>
    </row>
    <row r="15" spans="1:43" s="69" customFormat="1" ht="39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/>
      <c r="I15" s="328"/>
      <c r="J15" s="75">
        <v>104.64</v>
      </c>
      <c r="K15" s="75">
        <v>786788.16</v>
      </c>
      <c r="L15" s="91" t="s">
        <v>41</v>
      </c>
      <c r="M15" s="73"/>
      <c r="N15" s="46">
        <v>3959.2</v>
      </c>
      <c r="O15" s="46">
        <v>0</v>
      </c>
      <c r="P15" s="46">
        <v>414290.69</v>
      </c>
      <c r="Q15" s="98"/>
      <c r="R15" s="23" t="s">
        <v>1403</v>
      </c>
      <c r="S15" s="24" t="s">
        <v>40</v>
      </c>
      <c r="T15" s="25" t="s">
        <v>23</v>
      </c>
      <c r="U15" s="26">
        <v>7519</v>
      </c>
      <c r="V15" s="26">
        <f t="shared" si="4"/>
        <v>7519</v>
      </c>
      <c r="W15" s="26">
        <f t="shared" si="5"/>
        <v>104.64</v>
      </c>
      <c r="X15" s="127">
        <f t="shared" si="9"/>
        <v>0</v>
      </c>
      <c r="Y15" s="127">
        <f t="shared" si="6"/>
        <v>3959.2</v>
      </c>
      <c r="Z15" s="127">
        <f t="shared" si="1"/>
        <v>0</v>
      </c>
      <c r="AA15" s="127">
        <f t="shared" si="7"/>
        <v>414290.69</v>
      </c>
      <c r="AB15" s="33" t="s">
        <v>15</v>
      </c>
      <c r="AC15" s="325"/>
      <c r="AD15" s="263">
        <f t="shared" si="2"/>
        <v>7519</v>
      </c>
      <c r="AE15" s="263">
        <f t="shared" si="3"/>
        <v>786788.16</v>
      </c>
      <c r="AF15" s="263">
        <v>1.1000000000000001</v>
      </c>
      <c r="AG15" s="263">
        <v>1.1000000000000001</v>
      </c>
      <c r="AH15" s="68" t="str">
        <f t="shared" si="8"/>
        <v/>
      </c>
      <c r="AI15" s="194">
        <f>2219+252.6+967+520.6</f>
        <v>3959.2</v>
      </c>
      <c r="AJ15" s="188">
        <v>7519</v>
      </c>
      <c r="AO15" s="367"/>
      <c r="AP15" s="367"/>
      <c r="AQ15" s="367"/>
    </row>
    <row r="16" spans="1:43" s="69" customFormat="1" ht="41.25" x14ac:dyDescent="0.3">
      <c r="A16" s="55" t="s">
        <v>42</v>
      </c>
      <c r="B16" s="118" t="s">
        <v>3289</v>
      </c>
      <c r="C16" s="119" t="s">
        <v>34</v>
      </c>
      <c r="D16" s="120">
        <v>22240</v>
      </c>
      <c r="E16" s="75"/>
      <c r="F16" s="75"/>
      <c r="G16" s="75"/>
      <c r="H16" s="75"/>
      <c r="I16" s="328">
        <v>22595.42</v>
      </c>
      <c r="J16" s="75">
        <v>1027.43</v>
      </c>
      <c r="K16" s="75">
        <v>23215212.370000001</v>
      </c>
      <c r="L16" s="91" t="s">
        <v>44</v>
      </c>
      <c r="M16" s="73"/>
      <c r="N16" s="46">
        <v>22258</v>
      </c>
      <c r="O16" s="46">
        <v>2071298.8800000027</v>
      </c>
      <c r="P16" s="46">
        <v>22868536.940000001</v>
      </c>
      <c r="Q16" s="98"/>
      <c r="R16" s="23" t="s">
        <v>1427</v>
      </c>
      <c r="S16" s="24" t="s">
        <v>43</v>
      </c>
      <c r="T16" s="25" t="s">
        <v>34</v>
      </c>
      <c r="U16" s="26">
        <v>22240</v>
      </c>
      <c r="V16" s="26">
        <f t="shared" si="4"/>
        <v>22595.42</v>
      </c>
      <c r="W16" s="26">
        <f t="shared" si="5"/>
        <v>1027.43</v>
      </c>
      <c r="X16" s="127">
        <f t="shared" si="9"/>
        <v>0</v>
      </c>
      <c r="Y16" s="121">
        <f t="shared" si="6"/>
        <v>22258</v>
      </c>
      <c r="Z16" s="127">
        <f t="shared" si="1"/>
        <v>0</v>
      </c>
      <c r="AA16" s="127">
        <f t="shared" si="7"/>
        <v>22868536.940000001</v>
      </c>
      <c r="AB16" s="33" t="s">
        <v>15</v>
      </c>
      <c r="AC16" s="324"/>
      <c r="AD16" s="181">
        <f t="shared" si="2"/>
        <v>22595.42</v>
      </c>
      <c r="AE16" s="181">
        <f t="shared" si="3"/>
        <v>23215212.370000001</v>
      </c>
      <c r="AF16" s="181">
        <v>1.1000000000000001</v>
      </c>
      <c r="AG16" s="181">
        <v>1.1000000000000001</v>
      </c>
      <c r="AH16" s="363" t="str">
        <f t="shared" si="8"/>
        <v/>
      </c>
      <c r="AI16" s="194">
        <f>19090+12*96+168*12</f>
        <v>22258</v>
      </c>
      <c r="AJ16" s="190">
        <v>22595.42</v>
      </c>
      <c r="AN16" s="363"/>
      <c r="AO16" s="368"/>
      <c r="AP16" s="367"/>
      <c r="AQ16" s="367"/>
    </row>
    <row r="17" spans="1:43" s="69" customFormat="1" ht="58.5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/>
      <c r="I17" s="343">
        <v>0</v>
      </c>
      <c r="J17" s="75">
        <v>1085.04</v>
      </c>
      <c r="K17" s="75">
        <v>0</v>
      </c>
      <c r="L17" s="91" t="s">
        <v>47</v>
      </c>
      <c r="M17" s="73"/>
      <c r="N17" s="46">
        <v>4956</v>
      </c>
      <c r="O17" s="46">
        <v>0</v>
      </c>
      <c r="P17" s="46">
        <v>5377458.2400000002</v>
      </c>
      <c r="Q17" s="98"/>
      <c r="R17" s="23" t="s">
        <v>1428</v>
      </c>
      <c r="S17" s="24" t="s">
        <v>46</v>
      </c>
      <c r="T17" s="25" t="s">
        <v>23</v>
      </c>
      <c r="U17" s="26">
        <v>6730.42</v>
      </c>
      <c r="V17" s="26">
        <v>0</v>
      </c>
      <c r="W17" s="26">
        <f t="shared" si="5"/>
        <v>1085.04</v>
      </c>
      <c r="X17" s="372">
        <f t="shared" si="9"/>
        <v>0</v>
      </c>
      <c r="Y17" s="377">
        <f t="shared" si="6"/>
        <v>4956</v>
      </c>
      <c r="Z17" s="127">
        <f t="shared" si="1"/>
        <v>0</v>
      </c>
      <c r="AA17" s="127">
        <f t="shared" si="7"/>
        <v>5377458.2400000002</v>
      </c>
      <c r="AB17" s="33" t="s">
        <v>15</v>
      </c>
      <c r="AC17" s="324"/>
      <c r="AD17" s="181">
        <v>0</v>
      </c>
      <c r="AE17" s="181">
        <f t="shared" si="3"/>
        <v>0</v>
      </c>
      <c r="AF17" s="181">
        <v>1.1000000000000001</v>
      </c>
      <c r="AG17" s="181">
        <v>1.1000000000000001</v>
      </c>
      <c r="AH17" s="363" t="str">
        <f t="shared" si="8"/>
        <v>超估</v>
      </c>
      <c r="AI17" s="194">
        <v>4956</v>
      </c>
      <c r="AJ17" s="190">
        <v>0</v>
      </c>
      <c r="AO17" s="367"/>
      <c r="AP17" s="367"/>
      <c r="AQ17" s="367"/>
    </row>
    <row r="18" spans="1:43" s="69" customFormat="1" ht="97.5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/>
      <c r="I18" s="75"/>
      <c r="J18" s="75">
        <v>30.45</v>
      </c>
      <c r="K18" s="75">
        <v>113745.98</v>
      </c>
      <c r="L18" s="91" t="s">
        <v>51</v>
      </c>
      <c r="M18" s="73"/>
      <c r="N18" s="46">
        <v>3723.2</v>
      </c>
      <c r="O18" s="46">
        <v>0</v>
      </c>
      <c r="P18" s="46">
        <v>113371.44</v>
      </c>
      <c r="Q18" s="98"/>
      <c r="R18" s="23" t="s">
        <v>1387</v>
      </c>
      <c r="S18" s="24" t="s">
        <v>49</v>
      </c>
      <c r="T18" s="25" t="s">
        <v>50</v>
      </c>
      <c r="U18" s="26">
        <v>3735.5</v>
      </c>
      <c r="V18" s="26">
        <f t="shared" si="4"/>
        <v>3735.5</v>
      </c>
      <c r="W18" s="26">
        <f t="shared" si="5"/>
        <v>30.45</v>
      </c>
      <c r="X18" s="127">
        <f t="shared" si="9"/>
        <v>0</v>
      </c>
      <c r="Y18" s="127">
        <f t="shared" si="6"/>
        <v>3723.2</v>
      </c>
      <c r="Z18" s="127">
        <f t="shared" si="1"/>
        <v>0</v>
      </c>
      <c r="AA18" s="127">
        <f t="shared" si="7"/>
        <v>113371.44</v>
      </c>
      <c r="AB18" s="33" t="s">
        <v>15</v>
      </c>
      <c r="AC18" s="324"/>
      <c r="AD18" s="181">
        <f t="shared" si="2"/>
        <v>3735.5</v>
      </c>
      <c r="AE18" s="181">
        <f t="shared" si="3"/>
        <v>113745.98</v>
      </c>
      <c r="AF18" s="181">
        <v>1.1000000000000001</v>
      </c>
      <c r="AG18" s="181">
        <v>1.1000000000000001</v>
      </c>
      <c r="AH18" s="363" t="str">
        <f t="shared" si="8"/>
        <v/>
      </c>
      <c r="AI18" s="194">
        <f>2100+1623.2</f>
        <v>3723.2</v>
      </c>
      <c r="AJ18" s="188">
        <v>3735.5</v>
      </c>
      <c r="AO18" s="367"/>
      <c r="AP18" s="367"/>
      <c r="AQ18" s="367"/>
    </row>
    <row r="19" spans="1:43" s="69" customFormat="1" ht="78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/>
      <c r="I19" s="75"/>
      <c r="J19" s="75">
        <v>28.48</v>
      </c>
      <c r="K19" s="75">
        <v>290638.40000000002</v>
      </c>
      <c r="L19" s="91" t="s">
        <v>54</v>
      </c>
      <c r="M19" s="73"/>
      <c r="N19" s="46">
        <v>9100</v>
      </c>
      <c r="O19" s="46">
        <v>33469.700000000012</v>
      </c>
      <c r="P19" s="46">
        <v>259168</v>
      </c>
      <c r="Q19" s="98"/>
      <c r="R19" s="23" t="s">
        <v>1405</v>
      </c>
      <c r="S19" s="24" t="s">
        <v>53</v>
      </c>
      <c r="T19" s="25" t="s">
        <v>50</v>
      </c>
      <c r="U19" s="26">
        <v>10205</v>
      </c>
      <c r="V19" s="26">
        <f t="shared" si="4"/>
        <v>10205</v>
      </c>
      <c r="W19" s="26">
        <f t="shared" si="5"/>
        <v>28.48</v>
      </c>
      <c r="X19" s="127">
        <f t="shared" si="9"/>
        <v>0</v>
      </c>
      <c r="Y19" s="127">
        <f t="shared" si="6"/>
        <v>9100</v>
      </c>
      <c r="Z19" s="127">
        <f t="shared" si="1"/>
        <v>0</v>
      </c>
      <c r="AA19" s="127">
        <f t="shared" si="7"/>
        <v>259168</v>
      </c>
      <c r="AB19" s="33" t="s">
        <v>15</v>
      </c>
      <c r="AC19" s="324"/>
      <c r="AD19" s="181">
        <f t="shared" si="2"/>
        <v>10205</v>
      </c>
      <c r="AE19" s="181">
        <f t="shared" si="3"/>
        <v>290638.40000000002</v>
      </c>
      <c r="AF19" s="181">
        <v>1.1000000000000001</v>
      </c>
      <c r="AG19" s="181">
        <v>1.1000000000000001</v>
      </c>
      <c r="AH19" s="363" t="str">
        <f t="shared" si="8"/>
        <v/>
      </c>
      <c r="AI19" s="194">
        <f>300+2363.8+198*2.2*2+128*2.2*2+3826.6+1175.2</f>
        <v>9100</v>
      </c>
      <c r="AJ19" s="188">
        <v>10205</v>
      </c>
      <c r="AO19" s="367"/>
      <c r="AP19" s="367"/>
      <c r="AQ19" s="367"/>
    </row>
    <row r="20" spans="1:43" s="69" customFormat="1" ht="78" x14ac:dyDescent="0.3">
      <c r="A20" s="130" t="s">
        <v>55</v>
      </c>
      <c r="B20" s="131" t="s">
        <v>56</v>
      </c>
      <c r="C20" s="132" t="s">
        <v>30</v>
      </c>
      <c r="D20" s="133">
        <v>142.6</v>
      </c>
      <c r="E20" s="75"/>
      <c r="F20" s="75"/>
      <c r="G20" s="75"/>
      <c r="H20" s="75"/>
      <c r="I20" s="75"/>
      <c r="J20" s="75">
        <v>65.400000000000006</v>
      </c>
      <c r="K20" s="75">
        <v>9326.0400000000009</v>
      </c>
      <c r="L20" s="91" t="s">
        <v>57</v>
      </c>
      <c r="M20" s="73"/>
      <c r="N20" s="46">
        <v>142.19999999999999</v>
      </c>
      <c r="O20" s="46">
        <v>0</v>
      </c>
      <c r="P20" s="46">
        <v>9299.8799999999992</v>
      </c>
      <c r="Q20" s="98"/>
      <c r="R20" s="23" t="s">
        <v>1406</v>
      </c>
      <c r="S20" s="24" t="s">
        <v>56</v>
      </c>
      <c r="T20" s="25" t="s">
        <v>30</v>
      </c>
      <c r="U20" s="26">
        <v>142.6</v>
      </c>
      <c r="V20" s="26">
        <f t="shared" si="4"/>
        <v>142.6</v>
      </c>
      <c r="W20" s="26">
        <f t="shared" si="5"/>
        <v>65.400000000000006</v>
      </c>
      <c r="X20" s="127">
        <f t="shared" si="9"/>
        <v>0</v>
      </c>
      <c r="Y20" s="127">
        <f t="shared" si="6"/>
        <v>142.19999999999999</v>
      </c>
      <c r="Z20" s="127">
        <f t="shared" si="1"/>
        <v>0</v>
      </c>
      <c r="AA20" s="127">
        <f t="shared" si="7"/>
        <v>9299.8799999999992</v>
      </c>
      <c r="AB20" s="33" t="s">
        <v>15</v>
      </c>
      <c r="AC20" s="324"/>
      <c r="AD20" s="181">
        <f t="shared" si="2"/>
        <v>142.6</v>
      </c>
      <c r="AE20" s="181">
        <f t="shared" si="3"/>
        <v>9326.0400000000009</v>
      </c>
      <c r="AF20" s="181">
        <v>1.1000000000000001</v>
      </c>
      <c r="AG20" s="181">
        <v>1.1000000000000001</v>
      </c>
      <c r="AH20" s="363" t="str">
        <f t="shared" si="8"/>
        <v/>
      </c>
      <c r="AI20" s="192">
        <f>73+69.2</f>
        <v>142.19999999999999</v>
      </c>
      <c r="AJ20" s="188">
        <v>142.6</v>
      </c>
      <c r="AO20" s="367"/>
      <c r="AP20" s="367"/>
      <c r="AQ20" s="367"/>
    </row>
    <row r="21" spans="1:43" s="69" customFormat="1" ht="58.5" x14ac:dyDescent="0.3">
      <c r="A21" s="130" t="s">
        <v>58</v>
      </c>
      <c r="B21" s="131" t="s">
        <v>59</v>
      </c>
      <c r="C21" s="132" t="s">
        <v>50</v>
      </c>
      <c r="D21" s="133">
        <v>8459.2999999999993</v>
      </c>
      <c r="E21" s="75"/>
      <c r="F21" s="75"/>
      <c r="G21" s="75"/>
      <c r="H21" s="75"/>
      <c r="I21" s="75"/>
      <c r="J21" s="75">
        <v>20.190000000000001</v>
      </c>
      <c r="K21" s="75">
        <v>170793.27</v>
      </c>
      <c r="L21" s="91" t="s">
        <v>60</v>
      </c>
      <c r="M21" s="73"/>
      <c r="N21" s="46">
        <v>8459.2999999999993</v>
      </c>
      <c r="O21" s="46">
        <v>0</v>
      </c>
      <c r="P21" s="46">
        <v>170793.27</v>
      </c>
      <c r="Q21" s="98"/>
      <c r="R21" s="23" t="s">
        <v>1414</v>
      </c>
      <c r="S21" s="24" t="s">
        <v>59</v>
      </c>
      <c r="T21" s="25" t="s">
        <v>50</v>
      </c>
      <c r="U21" s="26">
        <v>8459.2999999999993</v>
      </c>
      <c r="V21" s="26">
        <f t="shared" si="4"/>
        <v>8459.2999999999993</v>
      </c>
      <c r="W21" s="26">
        <f t="shared" si="5"/>
        <v>20.190000000000001</v>
      </c>
      <c r="X21" s="127">
        <f t="shared" si="9"/>
        <v>0</v>
      </c>
      <c r="Y21" s="127">
        <f t="shared" si="6"/>
        <v>8459.2999999999993</v>
      </c>
      <c r="Z21" s="127">
        <f t="shared" si="1"/>
        <v>0</v>
      </c>
      <c r="AA21" s="127">
        <f t="shared" si="7"/>
        <v>170793.27</v>
      </c>
      <c r="AB21" s="33" t="s">
        <v>15</v>
      </c>
      <c r="AC21" s="324"/>
      <c r="AD21" s="181">
        <f t="shared" si="2"/>
        <v>8459.2999999999993</v>
      </c>
      <c r="AE21" s="181">
        <f t="shared" si="3"/>
        <v>170793.27</v>
      </c>
      <c r="AF21" s="181">
        <v>1.1000000000000001</v>
      </c>
      <c r="AG21" s="181">
        <v>1.1000000000000001</v>
      </c>
      <c r="AH21" s="363" t="str">
        <f t="shared" si="8"/>
        <v/>
      </c>
      <c r="AI21" s="194">
        <f>7834+625.3</f>
        <v>8459.2999999999993</v>
      </c>
      <c r="AJ21" s="188">
        <v>8459.2999999999993</v>
      </c>
      <c r="AO21" s="367"/>
      <c r="AP21" s="367"/>
      <c r="AQ21" s="367"/>
    </row>
    <row r="22" spans="1:43" s="69" customFormat="1" ht="39" x14ac:dyDescent="0.3">
      <c r="A22" s="55" t="s">
        <v>61</v>
      </c>
      <c r="B22" s="118" t="s">
        <v>3290</v>
      </c>
      <c r="C22" s="119" t="s">
        <v>23</v>
      </c>
      <c r="D22" s="120">
        <v>1268.9000000000001</v>
      </c>
      <c r="E22" s="75"/>
      <c r="F22" s="75"/>
      <c r="G22" s="75"/>
      <c r="H22" s="75"/>
      <c r="I22" s="75"/>
      <c r="J22" s="75">
        <v>2492.81</v>
      </c>
      <c r="K22" s="75">
        <v>3163126.61</v>
      </c>
      <c r="L22" s="91" t="s">
        <v>63</v>
      </c>
      <c r="M22" s="73"/>
      <c r="N22" s="46">
        <v>1268.9000000000001</v>
      </c>
      <c r="O22" s="46">
        <v>965714.58999999985</v>
      </c>
      <c r="P22" s="46">
        <v>3163126.61</v>
      </c>
      <c r="Q22" s="98"/>
      <c r="R22" s="23" t="s">
        <v>1429</v>
      </c>
      <c r="S22" s="24" t="s">
        <v>62</v>
      </c>
      <c r="T22" s="25" t="s">
        <v>23</v>
      </c>
      <c r="U22" s="26">
        <v>1268.9000000000001</v>
      </c>
      <c r="V22" s="26">
        <f t="shared" si="4"/>
        <v>1268.9000000000001</v>
      </c>
      <c r="W22" s="26">
        <f t="shared" si="5"/>
        <v>2492.81</v>
      </c>
      <c r="X22" s="127">
        <f t="shared" si="9"/>
        <v>0</v>
      </c>
      <c r="Y22" s="127">
        <f t="shared" si="6"/>
        <v>1268.9000000000001</v>
      </c>
      <c r="Z22" s="127">
        <f t="shared" si="1"/>
        <v>0</v>
      </c>
      <c r="AA22" s="127">
        <f t="shared" si="7"/>
        <v>3163126.61</v>
      </c>
      <c r="AB22" s="33" t="s">
        <v>15</v>
      </c>
      <c r="AC22" s="324"/>
      <c r="AD22" s="181">
        <f t="shared" si="2"/>
        <v>1268.9000000000001</v>
      </c>
      <c r="AE22" s="181">
        <f t="shared" si="3"/>
        <v>3163126.61</v>
      </c>
      <c r="AF22" s="181">
        <v>1.1000000000000001</v>
      </c>
      <c r="AG22" s="181">
        <v>1.1000000000000001</v>
      </c>
      <c r="AH22" s="363" t="str">
        <f t="shared" si="8"/>
        <v/>
      </c>
      <c r="AI22" s="194">
        <f>369+63+60+389.5+387.4</f>
        <v>1268.9000000000001</v>
      </c>
      <c r="AJ22" s="188">
        <v>1268.9000000000001</v>
      </c>
      <c r="AO22" s="367"/>
      <c r="AP22" s="367"/>
      <c r="AQ22" s="367"/>
    </row>
    <row r="23" spans="1:43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/>
      <c r="I23" s="75"/>
      <c r="J23" s="75">
        <v>521.17999999999995</v>
      </c>
      <c r="K23" s="75">
        <v>343457.62</v>
      </c>
      <c r="L23" s="91" t="s">
        <v>67</v>
      </c>
      <c r="M23" s="73"/>
      <c r="N23" s="46">
        <v>659</v>
      </c>
      <c r="O23" s="46">
        <v>0</v>
      </c>
      <c r="P23" s="46">
        <v>343457.62</v>
      </c>
      <c r="Q23" s="98"/>
      <c r="R23" s="23" t="s">
        <v>1430</v>
      </c>
      <c r="S23" s="24" t="s">
        <v>65</v>
      </c>
      <c r="T23" s="25" t="s">
        <v>66</v>
      </c>
      <c r="U23" s="26">
        <v>659</v>
      </c>
      <c r="V23" s="26">
        <f t="shared" si="4"/>
        <v>659</v>
      </c>
      <c r="W23" s="26">
        <f t="shared" si="5"/>
        <v>521.17999999999995</v>
      </c>
      <c r="X23" s="127">
        <f t="shared" si="9"/>
        <v>0</v>
      </c>
      <c r="Y23" s="127">
        <f t="shared" si="6"/>
        <v>659</v>
      </c>
      <c r="Z23" s="127">
        <f t="shared" si="1"/>
        <v>0</v>
      </c>
      <c r="AA23" s="127">
        <f t="shared" si="7"/>
        <v>343457.62</v>
      </c>
      <c r="AB23" s="33" t="s">
        <v>15</v>
      </c>
      <c r="AC23" s="324"/>
      <c r="AD23" s="181">
        <f t="shared" si="2"/>
        <v>659</v>
      </c>
      <c r="AE23" s="181">
        <f t="shared" si="3"/>
        <v>343457.62</v>
      </c>
      <c r="AF23" s="181">
        <v>1.1000000000000001</v>
      </c>
      <c r="AG23" s="181">
        <v>1.1000000000000001</v>
      </c>
      <c r="AH23" s="363" t="str">
        <f t="shared" si="8"/>
        <v/>
      </c>
      <c r="AI23" s="192">
        <v>659</v>
      </c>
      <c r="AJ23" s="188">
        <v>659</v>
      </c>
      <c r="AO23" s="367"/>
      <c r="AP23" s="367"/>
      <c r="AQ23" s="367"/>
    </row>
    <row r="24" spans="1:43" s="69" customFormat="1" ht="58.5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/>
      <c r="I24" s="75"/>
      <c r="J24" s="75">
        <v>289.69</v>
      </c>
      <c r="K24" s="75">
        <v>73378.48</v>
      </c>
      <c r="L24" s="91" t="s">
        <v>70</v>
      </c>
      <c r="M24" s="73"/>
      <c r="N24" s="46">
        <v>250</v>
      </c>
      <c r="O24" s="46">
        <v>0</v>
      </c>
      <c r="P24" s="46">
        <v>72422.5</v>
      </c>
      <c r="Q24" s="98"/>
      <c r="R24" s="23" t="s">
        <v>1431</v>
      </c>
      <c r="S24" s="24" t="s">
        <v>69</v>
      </c>
      <c r="T24" s="25" t="s">
        <v>30</v>
      </c>
      <c r="U24" s="26">
        <v>253.3</v>
      </c>
      <c r="V24" s="26">
        <f t="shared" si="4"/>
        <v>253.3</v>
      </c>
      <c r="W24" s="26">
        <f t="shared" si="5"/>
        <v>289.69</v>
      </c>
      <c r="X24" s="127">
        <f t="shared" si="9"/>
        <v>0</v>
      </c>
      <c r="Y24" s="127">
        <f t="shared" si="6"/>
        <v>250</v>
      </c>
      <c r="Z24" s="127">
        <f t="shared" si="1"/>
        <v>0</v>
      </c>
      <c r="AA24" s="127">
        <f t="shared" si="7"/>
        <v>72422.5</v>
      </c>
      <c r="AB24" s="33" t="s">
        <v>15</v>
      </c>
      <c r="AC24" s="324"/>
      <c r="AD24" s="181">
        <f t="shared" si="2"/>
        <v>253.3</v>
      </c>
      <c r="AE24" s="181">
        <f t="shared" si="3"/>
        <v>73378.48</v>
      </c>
      <c r="AF24" s="181">
        <v>1.1000000000000001</v>
      </c>
      <c r="AG24" s="181">
        <v>1.1000000000000001</v>
      </c>
      <c r="AH24" s="363" t="str">
        <f t="shared" si="8"/>
        <v/>
      </c>
      <c r="AI24" s="192">
        <v>250</v>
      </c>
      <c r="AJ24" s="188">
        <v>253.3</v>
      </c>
      <c r="AO24" s="367"/>
      <c r="AP24" s="367"/>
      <c r="AQ24" s="367"/>
    </row>
    <row r="25" spans="1:43" s="69" customFormat="1" ht="39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/>
      <c r="I25" s="75"/>
      <c r="J25" s="75">
        <v>3311.45</v>
      </c>
      <c r="K25" s="75">
        <v>264916</v>
      </c>
      <c r="L25" s="91" t="s">
        <v>74</v>
      </c>
      <c r="M25" s="73"/>
      <c r="N25" s="46">
        <v>30</v>
      </c>
      <c r="O25" s="46">
        <v>0</v>
      </c>
      <c r="P25" s="46">
        <v>99343.5</v>
      </c>
      <c r="Q25" s="98"/>
      <c r="R25" s="23" t="s">
        <v>1395</v>
      </c>
      <c r="S25" s="24" t="s">
        <v>72</v>
      </c>
      <c r="T25" s="25" t="s">
        <v>73</v>
      </c>
      <c r="U25" s="26">
        <v>80</v>
      </c>
      <c r="V25" s="26">
        <f t="shared" si="4"/>
        <v>80</v>
      </c>
      <c r="W25" s="26">
        <f t="shared" si="5"/>
        <v>3311.45</v>
      </c>
      <c r="X25" s="26">
        <f t="shared" si="9"/>
        <v>0</v>
      </c>
      <c r="Y25" s="26">
        <f t="shared" si="6"/>
        <v>30</v>
      </c>
      <c r="Z25" s="26">
        <f t="shared" si="1"/>
        <v>0</v>
      </c>
      <c r="AA25" s="26">
        <f t="shared" si="7"/>
        <v>99343.5</v>
      </c>
      <c r="AB25" s="33" t="s">
        <v>15</v>
      </c>
      <c r="AC25" s="325"/>
      <c r="AD25" s="263">
        <f t="shared" si="2"/>
        <v>80</v>
      </c>
      <c r="AE25" s="263">
        <f t="shared" si="3"/>
        <v>264916</v>
      </c>
      <c r="AF25" s="263">
        <v>1.1000000000000001</v>
      </c>
      <c r="AG25" s="263">
        <v>1.1000000000000001</v>
      </c>
      <c r="AH25" s="68" t="str">
        <f t="shared" si="8"/>
        <v/>
      </c>
      <c r="AI25" s="192">
        <f>30</f>
        <v>30</v>
      </c>
      <c r="AJ25" s="188">
        <v>80</v>
      </c>
      <c r="AO25" s="367"/>
      <c r="AP25" s="367"/>
      <c r="AQ25" s="367"/>
    </row>
    <row r="26" spans="1:43" s="69" customFormat="1" ht="39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/>
      <c r="I26" s="75"/>
      <c r="J26" s="75">
        <v>3082.28</v>
      </c>
      <c r="K26" s="75">
        <v>3939153.84</v>
      </c>
      <c r="L26" s="91" t="s">
        <v>78</v>
      </c>
      <c r="M26" s="73"/>
      <c r="N26" s="46">
        <v>1153</v>
      </c>
      <c r="O26" s="46">
        <v>0</v>
      </c>
      <c r="P26" s="46">
        <v>3553868.84</v>
      </c>
      <c r="Q26" s="98"/>
      <c r="R26" s="23" t="s">
        <v>1432</v>
      </c>
      <c r="S26" s="24" t="s">
        <v>76</v>
      </c>
      <c r="T26" s="25" t="s">
        <v>77</v>
      </c>
      <c r="U26" s="26">
        <v>1278</v>
      </c>
      <c r="V26" s="26">
        <f t="shared" si="4"/>
        <v>1278</v>
      </c>
      <c r="W26" s="26">
        <f t="shared" si="5"/>
        <v>3082.28</v>
      </c>
      <c r="X26" s="128">
        <f t="shared" si="9"/>
        <v>0</v>
      </c>
      <c r="Y26" s="121">
        <f t="shared" si="6"/>
        <v>1153</v>
      </c>
      <c r="Z26" s="26">
        <f t="shared" si="1"/>
        <v>0</v>
      </c>
      <c r="AA26" s="26">
        <f t="shared" si="7"/>
        <v>3553868.84</v>
      </c>
      <c r="AB26" s="33" t="s">
        <v>15</v>
      </c>
      <c r="AC26" s="324"/>
      <c r="AD26" s="181">
        <f t="shared" si="2"/>
        <v>1278</v>
      </c>
      <c r="AE26" s="181">
        <f t="shared" si="3"/>
        <v>3939153.84</v>
      </c>
      <c r="AF26" s="181">
        <v>1.1000000000000001</v>
      </c>
      <c r="AG26" s="181">
        <v>1.1000000000000001</v>
      </c>
      <c r="AH26" s="363" t="str">
        <f t="shared" si="8"/>
        <v/>
      </c>
      <c r="AI26" s="192">
        <v>1153</v>
      </c>
      <c r="AJ26" s="188">
        <v>1278</v>
      </c>
      <c r="AO26" s="367"/>
      <c r="AP26" s="367"/>
      <c r="AQ26" s="367"/>
    </row>
    <row r="27" spans="1:43" s="69" customFormat="1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/>
      <c r="I27" s="75"/>
      <c r="J27" s="75">
        <v>1200</v>
      </c>
      <c r="K27" s="75">
        <v>36000</v>
      </c>
      <c r="L27" s="91" t="s">
        <v>82</v>
      </c>
      <c r="M27" s="73"/>
      <c r="N27" s="46">
        <v>0</v>
      </c>
      <c r="O27" s="46">
        <v>0</v>
      </c>
      <c r="P27" s="46">
        <v>0</v>
      </c>
      <c r="Q27" s="98"/>
      <c r="R27" s="23" t="s">
        <v>1433</v>
      </c>
      <c r="S27" s="24" t="s">
        <v>80</v>
      </c>
      <c r="T27" s="25" t="s">
        <v>81</v>
      </c>
      <c r="U27" s="26">
        <v>30</v>
      </c>
      <c r="V27" s="26">
        <f t="shared" si="4"/>
        <v>30</v>
      </c>
      <c r="W27" s="26">
        <f t="shared" si="5"/>
        <v>1200</v>
      </c>
      <c r="X27" s="26">
        <f t="shared" si="9"/>
        <v>0</v>
      </c>
      <c r="Y27" s="26">
        <f t="shared" si="6"/>
        <v>0</v>
      </c>
      <c r="Z27" s="26">
        <f t="shared" si="1"/>
        <v>0</v>
      </c>
      <c r="AA27" s="26">
        <f t="shared" si="7"/>
        <v>0</v>
      </c>
      <c r="AB27" s="33" t="s">
        <v>15</v>
      </c>
      <c r="AC27" s="324"/>
      <c r="AD27" s="181">
        <f t="shared" si="2"/>
        <v>30</v>
      </c>
      <c r="AE27" s="181">
        <f t="shared" si="3"/>
        <v>36000</v>
      </c>
      <c r="AF27" s="181">
        <v>1.1000000000000001</v>
      </c>
      <c r="AG27" s="181">
        <v>1.1000000000000001</v>
      </c>
      <c r="AH27" s="363" t="str">
        <f t="shared" si="8"/>
        <v/>
      </c>
      <c r="AI27" s="192">
        <v>0</v>
      </c>
      <c r="AJ27" s="188">
        <v>30</v>
      </c>
      <c r="AO27" s="367"/>
      <c r="AP27" s="367"/>
      <c r="AQ27" s="367"/>
    </row>
    <row r="28" spans="1:43" s="69" customFormat="1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/>
      <c r="I28" s="75"/>
      <c r="J28" s="75">
        <v>3000</v>
      </c>
      <c r="K28" s="75">
        <v>36000</v>
      </c>
      <c r="L28" s="91" t="s">
        <v>85</v>
      </c>
      <c r="M28" s="73"/>
      <c r="N28" s="46">
        <v>12</v>
      </c>
      <c r="O28" s="46">
        <v>0</v>
      </c>
      <c r="P28" s="46">
        <v>36000</v>
      </c>
      <c r="Q28" s="98"/>
      <c r="R28" s="23" t="s">
        <v>1382</v>
      </c>
      <c r="S28" s="24" t="s">
        <v>84</v>
      </c>
      <c r="T28" s="25" t="s">
        <v>81</v>
      </c>
      <c r="U28" s="26">
        <v>12</v>
      </c>
      <c r="V28" s="26">
        <f t="shared" si="4"/>
        <v>12</v>
      </c>
      <c r="W28" s="26">
        <f t="shared" si="5"/>
        <v>3000</v>
      </c>
      <c r="X28" s="127">
        <f t="shared" si="9"/>
        <v>0</v>
      </c>
      <c r="Y28" s="127">
        <f t="shared" si="6"/>
        <v>12</v>
      </c>
      <c r="Z28" s="127">
        <f t="shared" si="1"/>
        <v>0</v>
      </c>
      <c r="AA28" s="127">
        <f t="shared" si="7"/>
        <v>36000</v>
      </c>
      <c r="AB28" s="33" t="s">
        <v>15</v>
      </c>
      <c r="AC28" s="324"/>
      <c r="AD28" s="181">
        <f t="shared" si="2"/>
        <v>12</v>
      </c>
      <c r="AE28" s="181">
        <f t="shared" si="3"/>
        <v>36000</v>
      </c>
      <c r="AF28" s="181">
        <v>1.1000000000000001</v>
      </c>
      <c r="AG28" s="181">
        <v>1.1000000000000001</v>
      </c>
      <c r="AH28" s="363" t="str">
        <f t="shared" si="8"/>
        <v/>
      </c>
      <c r="AI28" s="192">
        <v>12</v>
      </c>
      <c r="AJ28" s="188">
        <v>12</v>
      </c>
      <c r="AO28" s="367"/>
      <c r="AP28" s="367"/>
      <c r="AQ28" s="367"/>
    </row>
    <row r="29" spans="1:43" s="69" customFormat="1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/>
      <c r="I29" s="75"/>
      <c r="J29" s="75">
        <v>3000</v>
      </c>
      <c r="K29" s="75">
        <v>60000</v>
      </c>
      <c r="L29" s="91" t="s">
        <v>88</v>
      </c>
      <c r="M29" s="73"/>
      <c r="N29" s="46">
        <v>20</v>
      </c>
      <c r="O29" s="46">
        <v>0</v>
      </c>
      <c r="P29" s="46">
        <v>60000</v>
      </c>
      <c r="Q29" s="98"/>
      <c r="R29" s="23" t="s">
        <v>1434</v>
      </c>
      <c r="S29" s="24" t="s">
        <v>87</v>
      </c>
      <c r="T29" s="25" t="s">
        <v>81</v>
      </c>
      <c r="U29" s="26">
        <v>20</v>
      </c>
      <c r="V29" s="26">
        <f t="shared" si="4"/>
        <v>20</v>
      </c>
      <c r="W29" s="26">
        <f t="shared" si="5"/>
        <v>3000</v>
      </c>
      <c r="X29" s="127">
        <f t="shared" si="9"/>
        <v>0</v>
      </c>
      <c r="Y29" s="127">
        <f t="shared" si="6"/>
        <v>20</v>
      </c>
      <c r="Z29" s="127">
        <f t="shared" si="1"/>
        <v>0</v>
      </c>
      <c r="AA29" s="127">
        <f t="shared" si="7"/>
        <v>60000</v>
      </c>
      <c r="AB29" s="33" t="s">
        <v>15</v>
      </c>
      <c r="AC29" s="324"/>
      <c r="AD29" s="181">
        <f t="shared" si="2"/>
        <v>20</v>
      </c>
      <c r="AE29" s="181">
        <f t="shared" si="3"/>
        <v>60000</v>
      </c>
      <c r="AF29" s="181">
        <v>1.1000000000000001</v>
      </c>
      <c r="AG29" s="181">
        <v>1.1000000000000001</v>
      </c>
      <c r="AH29" s="363" t="str">
        <f t="shared" si="8"/>
        <v/>
      </c>
      <c r="AI29" s="192">
        <v>20</v>
      </c>
      <c r="AJ29" s="188">
        <v>20</v>
      </c>
      <c r="AO29" s="367"/>
      <c r="AP29" s="367"/>
      <c r="AQ29" s="367"/>
    </row>
    <row r="30" spans="1:43" s="69" customFormat="1" x14ac:dyDescent="0.3">
      <c r="A30" s="130" t="s">
        <v>89</v>
      </c>
      <c r="B30" s="131" t="s">
        <v>90</v>
      </c>
      <c r="C30" s="132" t="s">
        <v>81</v>
      </c>
      <c r="D30" s="133">
        <v>19</v>
      </c>
      <c r="E30" s="75"/>
      <c r="F30" s="75"/>
      <c r="G30" s="75"/>
      <c r="H30" s="75"/>
      <c r="I30" s="75"/>
      <c r="J30" s="75">
        <v>3000</v>
      </c>
      <c r="K30" s="75">
        <v>57000</v>
      </c>
      <c r="L30" s="91" t="s">
        <v>91</v>
      </c>
      <c r="M30" s="73"/>
      <c r="N30" s="46">
        <v>16</v>
      </c>
      <c r="O30" s="46">
        <v>0</v>
      </c>
      <c r="P30" s="46">
        <v>48000</v>
      </c>
      <c r="Q30" s="98"/>
      <c r="R30" s="23" t="s">
        <v>1388</v>
      </c>
      <c r="S30" s="24" t="s">
        <v>90</v>
      </c>
      <c r="T30" s="25" t="s">
        <v>81</v>
      </c>
      <c r="U30" s="26">
        <v>19</v>
      </c>
      <c r="V30" s="26">
        <f t="shared" si="4"/>
        <v>19</v>
      </c>
      <c r="W30" s="26">
        <f t="shared" si="5"/>
        <v>3000</v>
      </c>
      <c r="X30" s="127">
        <f t="shared" si="9"/>
        <v>0</v>
      </c>
      <c r="Y30" s="127">
        <f t="shared" si="6"/>
        <v>16</v>
      </c>
      <c r="Z30" s="127">
        <f t="shared" si="1"/>
        <v>0</v>
      </c>
      <c r="AA30" s="127">
        <f t="shared" si="7"/>
        <v>48000</v>
      </c>
      <c r="AB30" s="33" t="s">
        <v>15</v>
      </c>
      <c r="AC30" s="324"/>
      <c r="AD30" s="181">
        <f t="shared" si="2"/>
        <v>19</v>
      </c>
      <c r="AE30" s="181">
        <f t="shared" si="3"/>
        <v>57000</v>
      </c>
      <c r="AF30" s="181">
        <v>1.1000000000000001</v>
      </c>
      <c r="AG30" s="181">
        <v>1.1000000000000001</v>
      </c>
      <c r="AH30" s="363" t="str">
        <f t="shared" si="8"/>
        <v/>
      </c>
      <c r="AI30" s="194">
        <v>16</v>
      </c>
      <c r="AJ30" s="188">
        <v>19</v>
      </c>
      <c r="AO30" s="367"/>
      <c r="AP30" s="367"/>
      <c r="AQ30" s="367"/>
    </row>
    <row r="31" spans="1:43" s="69" customFormat="1" ht="39" x14ac:dyDescent="0.3">
      <c r="A31" s="130" t="s">
        <v>92</v>
      </c>
      <c r="B31" s="131" t="s">
        <v>93</v>
      </c>
      <c r="C31" s="132" t="s">
        <v>14</v>
      </c>
      <c r="D31" s="133">
        <v>1</v>
      </c>
      <c r="E31" s="75"/>
      <c r="F31" s="75"/>
      <c r="G31" s="75"/>
      <c r="H31" s="75"/>
      <c r="I31" s="75"/>
      <c r="J31" s="75">
        <v>400000</v>
      </c>
      <c r="K31" s="75">
        <v>400000</v>
      </c>
      <c r="L31" s="91" t="s">
        <v>94</v>
      </c>
      <c r="M31" s="73"/>
      <c r="N31" s="46">
        <v>1</v>
      </c>
      <c r="O31" s="46">
        <v>0</v>
      </c>
      <c r="P31" s="46">
        <v>400000</v>
      </c>
      <c r="Q31" s="98"/>
      <c r="R31" s="23" t="s">
        <v>1389</v>
      </c>
      <c r="S31" s="24" t="s">
        <v>93</v>
      </c>
      <c r="T31" s="25" t="s">
        <v>14</v>
      </c>
      <c r="U31" s="26">
        <v>1</v>
      </c>
      <c r="V31" s="26">
        <f t="shared" si="4"/>
        <v>1</v>
      </c>
      <c r="W31" s="26">
        <f t="shared" si="5"/>
        <v>400000</v>
      </c>
      <c r="X31" s="127">
        <f t="shared" si="9"/>
        <v>0</v>
      </c>
      <c r="Y31" s="127">
        <f t="shared" si="6"/>
        <v>1</v>
      </c>
      <c r="Z31" s="127">
        <f t="shared" si="1"/>
        <v>0</v>
      </c>
      <c r="AA31" s="127">
        <f t="shared" si="7"/>
        <v>400000</v>
      </c>
      <c r="AB31" s="33" t="s">
        <v>15</v>
      </c>
      <c r="AC31" s="324"/>
      <c r="AD31" s="181">
        <f t="shared" si="2"/>
        <v>1</v>
      </c>
      <c r="AE31" s="181">
        <f t="shared" si="3"/>
        <v>400000</v>
      </c>
      <c r="AF31" s="181">
        <v>1.1000000000000001</v>
      </c>
      <c r="AG31" s="181">
        <v>1.1000000000000001</v>
      </c>
      <c r="AH31" s="363" t="str">
        <f t="shared" si="8"/>
        <v/>
      </c>
      <c r="AI31" s="192">
        <f>0.5+0.5</f>
        <v>1</v>
      </c>
      <c r="AJ31" s="188">
        <v>1</v>
      </c>
      <c r="AO31" s="367"/>
      <c r="AP31" s="367"/>
      <c r="AQ31" s="367"/>
    </row>
    <row r="32" spans="1:43" s="69" customFormat="1" ht="54" customHeight="1" x14ac:dyDescent="0.3">
      <c r="A32" s="55" t="s">
        <v>95</v>
      </c>
      <c r="B32" s="138" t="s">
        <v>96</v>
      </c>
      <c r="C32" s="56" t="s">
        <v>97</v>
      </c>
      <c r="D32" s="336">
        <v>30800</v>
      </c>
      <c r="E32" s="76"/>
      <c r="F32" s="76"/>
      <c r="G32" s="76"/>
      <c r="H32" s="76"/>
      <c r="I32" s="329">
        <v>25200</v>
      </c>
      <c r="J32" s="75">
        <v>280</v>
      </c>
      <c r="K32" s="75">
        <v>7056000</v>
      </c>
      <c r="L32" s="91" t="s">
        <v>3160</v>
      </c>
      <c r="M32" s="73"/>
      <c r="N32" s="46">
        <v>20362</v>
      </c>
      <c r="O32" s="46">
        <v>0</v>
      </c>
      <c r="P32" s="46">
        <v>5701360</v>
      </c>
      <c r="Q32" s="98"/>
      <c r="R32" s="23" t="s">
        <v>1390</v>
      </c>
      <c r="S32" s="24" t="s">
        <v>96</v>
      </c>
      <c r="T32" s="25" t="s">
        <v>97</v>
      </c>
      <c r="U32" s="26">
        <v>30800</v>
      </c>
      <c r="V32" s="26">
        <f t="shared" si="4"/>
        <v>25200</v>
      </c>
      <c r="W32" s="26">
        <f t="shared" si="5"/>
        <v>280</v>
      </c>
      <c r="X32" s="128">
        <f t="shared" si="9"/>
        <v>0</v>
      </c>
      <c r="Y32" s="26">
        <f t="shared" si="6"/>
        <v>20362</v>
      </c>
      <c r="Z32" s="26">
        <f t="shared" si="1"/>
        <v>0</v>
      </c>
      <c r="AA32" s="26">
        <f t="shared" si="7"/>
        <v>5701360</v>
      </c>
      <c r="AB32" s="33" t="s">
        <v>15</v>
      </c>
      <c r="AC32" s="325"/>
      <c r="AD32" s="263">
        <f t="shared" si="2"/>
        <v>25200</v>
      </c>
      <c r="AE32" s="263">
        <f t="shared" si="3"/>
        <v>7056000</v>
      </c>
      <c r="AF32" s="263">
        <v>1.1000000000000001</v>
      </c>
      <c r="AG32" s="263">
        <v>1.1000000000000001</v>
      </c>
      <c r="AH32" s="68" t="str">
        <f t="shared" si="8"/>
        <v/>
      </c>
      <c r="AI32" s="194">
        <f>13162+1120+1160+1620+1962+882+456</f>
        <v>20362</v>
      </c>
      <c r="AJ32" s="190">
        <v>25200</v>
      </c>
      <c r="AO32" s="367"/>
      <c r="AP32" s="367"/>
      <c r="AQ32" s="367"/>
    </row>
    <row r="33" spans="1:43" s="69" customFormat="1" ht="58.5" x14ac:dyDescent="0.3">
      <c r="A33" s="134" t="s">
        <v>1302</v>
      </c>
      <c r="B33" s="135" t="s">
        <v>1303</v>
      </c>
      <c r="C33" s="204" t="s">
        <v>50</v>
      </c>
      <c r="D33" s="216"/>
      <c r="E33" s="117">
        <v>2405</v>
      </c>
      <c r="F33" s="59"/>
      <c r="G33" s="59"/>
      <c r="H33" s="59"/>
      <c r="I33" s="330"/>
      <c r="J33" s="58">
        <v>70.23</v>
      </c>
      <c r="K33" s="59">
        <v>168903.15</v>
      </c>
      <c r="L33" s="92"/>
      <c r="M33" s="73"/>
      <c r="N33" s="46">
        <v>2405</v>
      </c>
      <c r="O33" s="46">
        <v>0</v>
      </c>
      <c r="P33" s="46">
        <v>168903.15</v>
      </c>
      <c r="Q33" s="98"/>
      <c r="R33" s="23" t="s">
        <v>1391</v>
      </c>
      <c r="S33" s="24" t="s">
        <v>1435</v>
      </c>
      <c r="T33" s="25" t="s">
        <v>50</v>
      </c>
      <c r="U33" s="26">
        <v>0</v>
      </c>
      <c r="V33" s="26">
        <f t="shared" si="4"/>
        <v>2405</v>
      </c>
      <c r="W33" s="26">
        <f t="shared" si="5"/>
        <v>70.23</v>
      </c>
      <c r="X33" s="127">
        <f t="shared" si="9"/>
        <v>0</v>
      </c>
      <c r="Y33" s="127">
        <f t="shared" si="6"/>
        <v>2405</v>
      </c>
      <c r="Z33" s="127">
        <f t="shared" si="1"/>
        <v>0</v>
      </c>
      <c r="AA33" s="127">
        <f t="shared" si="7"/>
        <v>168903.15</v>
      </c>
      <c r="AB33" s="27" t="s">
        <v>15</v>
      </c>
      <c r="AC33" s="324"/>
      <c r="AD33" s="181">
        <f t="shared" si="2"/>
        <v>2405</v>
      </c>
      <c r="AE33" s="181">
        <f t="shared" si="3"/>
        <v>168903.15</v>
      </c>
      <c r="AF33" s="181">
        <v>1.1000000000000001</v>
      </c>
      <c r="AG33" s="181">
        <v>1.1000000000000001</v>
      </c>
      <c r="AH33" s="363" t="str">
        <f t="shared" si="8"/>
        <v/>
      </c>
      <c r="AI33" s="192">
        <v>2405</v>
      </c>
      <c r="AJ33" s="188">
        <v>2405</v>
      </c>
      <c r="AN33" s="68"/>
      <c r="AO33" s="368"/>
      <c r="AP33" s="367"/>
      <c r="AQ33" s="367"/>
    </row>
    <row r="34" spans="1:4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/>
      <c r="I34" s="331"/>
      <c r="J34" s="61">
        <v>20000</v>
      </c>
      <c r="K34" s="62">
        <v>3000000</v>
      </c>
      <c r="L34" s="93"/>
      <c r="N34" s="46">
        <v>136</v>
      </c>
      <c r="O34" s="46">
        <v>0</v>
      </c>
      <c r="P34" s="46">
        <v>2720000</v>
      </c>
      <c r="Q34" s="98"/>
      <c r="R34" s="23" t="s">
        <v>1436</v>
      </c>
      <c r="S34" s="24" t="s">
        <v>1437</v>
      </c>
      <c r="T34" s="25" t="s">
        <v>1358</v>
      </c>
      <c r="U34" s="26">
        <v>0</v>
      </c>
      <c r="V34" s="26">
        <f t="shared" si="4"/>
        <v>150</v>
      </c>
      <c r="W34" s="26">
        <f t="shared" si="5"/>
        <v>20000</v>
      </c>
      <c r="X34" s="128">
        <f t="shared" si="9"/>
        <v>0</v>
      </c>
      <c r="Y34" s="127">
        <f t="shared" si="6"/>
        <v>136</v>
      </c>
      <c r="Z34" s="127">
        <f t="shared" si="1"/>
        <v>0</v>
      </c>
      <c r="AA34" s="127">
        <f t="shared" si="7"/>
        <v>2720000</v>
      </c>
      <c r="AB34" s="27"/>
      <c r="AC34" s="325"/>
      <c r="AD34" s="263">
        <f t="shared" si="2"/>
        <v>150</v>
      </c>
      <c r="AE34" s="263">
        <f t="shared" si="3"/>
        <v>3000000</v>
      </c>
      <c r="AF34" s="263">
        <v>1.1000000000000001</v>
      </c>
      <c r="AG34" s="263">
        <v>1.1000000000000001</v>
      </c>
      <c r="AH34" s="68" t="str">
        <f t="shared" si="8"/>
        <v/>
      </c>
      <c r="AI34" s="194">
        <v>136</v>
      </c>
      <c r="AJ34" s="188">
        <v>150</v>
      </c>
      <c r="AN34" s="70"/>
      <c r="AO34" s="367"/>
      <c r="AP34" s="367"/>
      <c r="AQ34" s="367"/>
    </row>
    <row r="35" spans="1:43" ht="42" customHeight="1" x14ac:dyDescent="0.3">
      <c r="A35" s="134" t="s">
        <v>1306</v>
      </c>
      <c r="B35" s="335" t="s">
        <v>1307</v>
      </c>
      <c r="C35" s="204" t="s">
        <v>50</v>
      </c>
      <c r="D35" s="216"/>
      <c r="E35" s="63"/>
      <c r="F35" s="62">
        <v>138.05000000000001</v>
      </c>
      <c r="G35" s="62"/>
      <c r="H35" s="62"/>
      <c r="I35" s="346">
        <v>246.03</v>
      </c>
      <c r="J35" s="61">
        <v>165.22</v>
      </c>
      <c r="K35" s="62">
        <v>40649.08</v>
      </c>
      <c r="L35" s="93"/>
      <c r="N35" s="46">
        <v>246.02</v>
      </c>
      <c r="O35" s="46">
        <v>17838.8</v>
      </c>
      <c r="P35" s="46">
        <v>40647.42</v>
      </c>
      <c r="Q35" s="98"/>
      <c r="R35" s="23" t="s">
        <v>1374</v>
      </c>
      <c r="S35" s="24" t="s">
        <v>1375</v>
      </c>
      <c r="T35" s="25" t="s">
        <v>50</v>
      </c>
      <c r="U35" s="26">
        <v>0</v>
      </c>
      <c r="V35" s="26">
        <f t="shared" si="4"/>
        <v>246.03</v>
      </c>
      <c r="W35" s="26">
        <f t="shared" si="5"/>
        <v>165.22</v>
      </c>
      <c r="X35" s="127">
        <f t="shared" si="9"/>
        <v>0</v>
      </c>
      <c r="Y35" s="127">
        <f t="shared" si="6"/>
        <v>246.02</v>
      </c>
      <c r="Z35" s="127">
        <f t="shared" si="1"/>
        <v>0</v>
      </c>
      <c r="AA35" s="127">
        <f t="shared" si="7"/>
        <v>40647.42</v>
      </c>
      <c r="AB35" s="27"/>
      <c r="AC35" s="324"/>
      <c r="AD35" s="181">
        <f t="shared" si="2"/>
        <v>246.03</v>
      </c>
      <c r="AE35" s="181">
        <f t="shared" si="3"/>
        <v>40649.08</v>
      </c>
      <c r="AF35" s="181">
        <v>1.1000000000000001</v>
      </c>
      <c r="AG35" s="181">
        <v>1.1000000000000001</v>
      </c>
      <c r="AH35" s="363" t="str">
        <f t="shared" si="8"/>
        <v/>
      </c>
      <c r="AI35" s="194">
        <v>246.02</v>
      </c>
      <c r="AJ35" s="190">
        <v>246.03</v>
      </c>
      <c r="AN35" s="70"/>
      <c r="AO35" s="367"/>
      <c r="AP35" s="367"/>
      <c r="AQ35" s="367"/>
    </row>
    <row r="36" spans="1:43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116">
        <v>2000</v>
      </c>
      <c r="G36" s="62"/>
      <c r="H36" s="62"/>
      <c r="I36" s="331"/>
      <c r="J36" s="61">
        <v>100</v>
      </c>
      <c r="K36" s="62">
        <v>200000</v>
      </c>
      <c r="L36" s="93"/>
      <c r="N36" s="46">
        <v>2000</v>
      </c>
      <c r="O36" s="46">
        <v>0</v>
      </c>
      <c r="P36" s="46">
        <v>200000</v>
      </c>
      <c r="Q36" s="98"/>
      <c r="R36" s="23" t="s">
        <v>1376</v>
      </c>
      <c r="S36" s="24" t="s">
        <v>1377</v>
      </c>
      <c r="T36" s="25" t="s">
        <v>34</v>
      </c>
      <c r="U36" s="26">
        <v>0</v>
      </c>
      <c r="V36" s="26">
        <f t="shared" si="4"/>
        <v>2000</v>
      </c>
      <c r="W36" s="26">
        <f t="shared" si="5"/>
        <v>100</v>
      </c>
      <c r="X36" s="127">
        <f t="shared" si="9"/>
        <v>0</v>
      </c>
      <c r="Y36" s="127">
        <f t="shared" si="6"/>
        <v>2000</v>
      </c>
      <c r="Z36" s="127">
        <f t="shared" si="1"/>
        <v>0</v>
      </c>
      <c r="AA36" s="127">
        <f t="shared" si="7"/>
        <v>200000</v>
      </c>
      <c r="AB36" s="27"/>
      <c r="AC36" s="324"/>
      <c r="AD36" s="181">
        <f t="shared" si="2"/>
        <v>2000</v>
      </c>
      <c r="AE36" s="181">
        <f t="shared" si="3"/>
        <v>200000</v>
      </c>
      <c r="AF36" s="181">
        <v>1.1000000000000001</v>
      </c>
      <c r="AG36" s="181">
        <v>1.1000000000000001</v>
      </c>
      <c r="AH36" s="363" t="str">
        <f t="shared" si="8"/>
        <v/>
      </c>
      <c r="AI36" s="192">
        <v>2000</v>
      </c>
      <c r="AJ36" s="188">
        <v>2000</v>
      </c>
      <c r="AN36" s="70"/>
      <c r="AO36" s="367"/>
      <c r="AP36" s="367"/>
      <c r="AQ36" s="367"/>
    </row>
    <row r="37" spans="1:43" x14ac:dyDescent="0.3">
      <c r="A37" s="144" t="s">
        <v>1310</v>
      </c>
      <c r="B37" s="269" t="s">
        <v>1311</v>
      </c>
      <c r="C37" s="206" t="s">
        <v>50</v>
      </c>
      <c r="D37" s="270"/>
      <c r="E37" s="271"/>
      <c r="F37" s="300">
        <v>3324.02</v>
      </c>
      <c r="G37" s="148"/>
      <c r="H37" s="148"/>
      <c r="I37" s="332"/>
      <c r="J37" s="146">
        <v>33.35</v>
      </c>
      <c r="K37" s="148">
        <v>110856.07</v>
      </c>
      <c r="L37" s="149"/>
      <c r="N37" s="46">
        <v>3324.02</v>
      </c>
      <c r="O37" s="46">
        <v>0</v>
      </c>
      <c r="P37" s="46">
        <v>110856.07</v>
      </c>
      <c r="Q37" s="98"/>
      <c r="R37" s="23" t="s">
        <v>1378</v>
      </c>
      <c r="S37" s="24" t="s">
        <v>1379</v>
      </c>
      <c r="T37" s="25" t="s">
        <v>50</v>
      </c>
      <c r="U37" s="26">
        <v>0</v>
      </c>
      <c r="V37" s="26">
        <f t="shared" si="4"/>
        <v>3324.02</v>
      </c>
      <c r="W37" s="26">
        <f t="shared" si="5"/>
        <v>33.35</v>
      </c>
      <c r="X37" s="127">
        <f t="shared" si="9"/>
        <v>0</v>
      </c>
      <c r="Y37" s="127">
        <f t="shared" si="6"/>
        <v>3324.02</v>
      </c>
      <c r="Z37" s="127">
        <f t="shared" si="1"/>
        <v>0</v>
      </c>
      <c r="AA37" s="127">
        <f t="shared" si="7"/>
        <v>110856.07</v>
      </c>
      <c r="AB37" s="27"/>
      <c r="AC37" s="324"/>
      <c r="AD37" s="181">
        <f t="shared" si="2"/>
        <v>3324.02</v>
      </c>
      <c r="AE37" s="181">
        <f t="shared" si="3"/>
        <v>110856.07</v>
      </c>
      <c r="AF37" s="181">
        <v>1.1000000000000001</v>
      </c>
      <c r="AG37" s="181">
        <v>1.1000000000000001</v>
      </c>
      <c r="AH37" s="363" t="str">
        <f t="shared" si="8"/>
        <v/>
      </c>
      <c r="AI37" s="192">
        <v>3324.02</v>
      </c>
      <c r="AJ37" s="188">
        <v>3324.02</v>
      </c>
      <c r="AN37" s="369"/>
      <c r="AO37" s="368"/>
      <c r="AP37" s="367"/>
      <c r="AQ37" s="367"/>
    </row>
    <row r="38" spans="1:43" s="282" customFormat="1" ht="64.5" customHeight="1" x14ac:dyDescent="0.3">
      <c r="A38" s="272" t="s">
        <v>3163</v>
      </c>
      <c r="B38" s="273" t="s">
        <v>3165</v>
      </c>
      <c r="C38" s="274" t="s">
        <v>97</v>
      </c>
      <c r="D38" s="275"/>
      <c r="E38" s="276"/>
      <c r="F38" s="275"/>
      <c r="G38" s="275"/>
      <c r="H38" s="275"/>
      <c r="I38" s="333">
        <v>5600</v>
      </c>
      <c r="J38" s="274">
        <v>350</v>
      </c>
      <c r="K38" s="275">
        <v>1960000</v>
      </c>
      <c r="L38" s="277"/>
      <c r="M38" s="278"/>
      <c r="N38" s="42">
        <v>0</v>
      </c>
      <c r="O38" s="42">
        <v>0</v>
      </c>
      <c r="P38" s="42">
        <v>0</v>
      </c>
      <c r="Q38" s="98"/>
      <c r="R38" s="13" t="s">
        <v>3225</v>
      </c>
      <c r="S38" s="286" t="str">
        <f t="shared" ref="S38:T39" si="10">B38</f>
        <v>交通維持，道路管制人員，夜間(22-06時)，義交</v>
      </c>
      <c r="T38" s="287" t="str">
        <f t="shared" si="10"/>
        <v>時</v>
      </c>
      <c r="U38" s="16"/>
      <c r="V38" s="16">
        <f t="shared" si="4"/>
        <v>5600</v>
      </c>
      <c r="W38" s="16">
        <f t="shared" si="5"/>
        <v>350</v>
      </c>
      <c r="X38" s="373">
        <f t="shared" si="9"/>
        <v>0</v>
      </c>
      <c r="Y38" s="16">
        <f t="shared" si="6"/>
        <v>0</v>
      </c>
      <c r="Z38" s="16">
        <f t="shared" si="1"/>
        <v>0</v>
      </c>
      <c r="AA38" s="16">
        <f t="shared" si="7"/>
        <v>0</v>
      </c>
      <c r="AB38" s="279"/>
      <c r="AC38" s="324"/>
      <c r="AD38" s="181">
        <f t="shared" si="2"/>
        <v>5600</v>
      </c>
      <c r="AE38" s="181">
        <f t="shared" si="3"/>
        <v>1960000</v>
      </c>
      <c r="AF38" s="181">
        <v>1.1000000000000001</v>
      </c>
      <c r="AG38" s="181">
        <v>1.1000000000000001</v>
      </c>
      <c r="AH38" s="364"/>
      <c r="AI38" s="285">
        <v>0</v>
      </c>
      <c r="AJ38" s="190">
        <v>5600</v>
      </c>
      <c r="AN38" s="369"/>
      <c r="AO38" s="368"/>
      <c r="AP38" s="367"/>
      <c r="AQ38" s="367"/>
    </row>
    <row r="39" spans="1:43" s="282" customFormat="1" ht="78" x14ac:dyDescent="0.3">
      <c r="A39" s="272" t="s">
        <v>3164</v>
      </c>
      <c r="B39" s="273" t="s">
        <v>3166</v>
      </c>
      <c r="C39" s="274" t="s">
        <v>23</v>
      </c>
      <c r="D39" s="275"/>
      <c r="E39" s="276"/>
      <c r="F39" s="275"/>
      <c r="G39" s="275"/>
      <c r="H39" s="275"/>
      <c r="I39" s="333">
        <v>6730.42</v>
      </c>
      <c r="J39" s="274">
        <v>858.41</v>
      </c>
      <c r="K39" s="275">
        <v>5777459.8300000001</v>
      </c>
      <c r="L39" s="277"/>
      <c r="M39" s="278"/>
      <c r="N39" s="42">
        <v>0</v>
      </c>
      <c r="O39" s="42">
        <v>0</v>
      </c>
      <c r="P39" s="42">
        <v>0</v>
      </c>
      <c r="Q39" s="98"/>
      <c r="R39" s="13" t="s">
        <v>3226</v>
      </c>
      <c r="S39" s="286" t="str">
        <f t="shared" si="10"/>
        <v>餘方自行處理(含水土保持)，總重35-35.9t傾卸貨車</v>
      </c>
      <c r="T39" s="287" t="str">
        <f t="shared" si="10"/>
        <v>M3</v>
      </c>
      <c r="U39" s="16"/>
      <c r="V39" s="16">
        <f t="shared" si="4"/>
        <v>6730.42</v>
      </c>
      <c r="W39" s="16">
        <f t="shared" si="5"/>
        <v>858.41</v>
      </c>
      <c r="X39" s="373">
        <f t="shared" si="9"/>
        <v>0</v>
      </c>
      <c r="Y39" s="16">
        <f t="shared" si="6"/>
        <v>0</v>
      </c>
      <c r="Z39" s="16">
        <f t="shared" si="1"/>
        <v>0</v>
      </c>
      <c r="AA39" s="16">
        <f t="shared" si="7"/>
        <v>0</v>
      </c>
      <c r="AB39" s="279"/>
      <c r="AC39" s="324"/>
      <c r="AD39" s="181">
        <f t="shared" si="2"/>
        <v>6730.42</v>
      </c>
      <c r="AE39" s="181">
        <f t="shared" si="3"/>
        <v>5777459.8300000001</v>
      </c>
      <c r="AF39" s="181">
        <v>1.1000000000000001</v>
      </c>
      <c r="AG39" s="181">
        <v>1.1000000000000001</v>
      </c>
      <c r="AH39" s="364"/>
      <c r="AI39" s="285">
        <v>0</v>
      </c>
      <c r="AJ39" s="190">
        <v>6730.42</v>
      </c>
      <c r="AN39" s="69"/>
      <c r="AO39" s="367"/>
      <c r="AP39" s="367"/>
      <c r="AQ39" s="367"/>
    </row>
    <row r="40" spans="1:43" s="69" customFormat="1" x14ac:dyDescent="0.3">
      <c r="A40" s="266" t="s">
        <v>99</v>
      </c>
      <c r="B40" s="267" t="s">
        <v>100</v>
      </c>
      <c r="C40" s="83" t="s">
        <v>14</v>
      </c>
      <c r="D40" s="84">
        <v>1</v>
      </c>
      <c r="E40" s="84"/>
      <c r="F40" s="84"/>
      <c r="G40" s="84"/>
      <c r="H40" s="84"/>
      <c r="I40" s="84"/>
      <c r="J40" s="84">
        <v>46687873.390000001</v>
      </c>
      <c r="K40" s="84">
        <v>46687873.390000001</v>
      </c>
      <c r="L40" s="268" t="s">
        <v>15</v>
      </c>
      <c r="M40" s="73"/>
      <c r="N40" s="45">
        <v>1</v>
      </c>
      <c r="O40" s="45">
        <v>3957352.7899999996</v>
      </c>
      <c r="P40" s="45">
        <v>37189574.640000001</v>
      </c>
      <c r="Q40" s="98"/>
      <c r="R40" s="18" t="s">
        <v>1380</v>
      </c>
      <c r="S40" s="19" t="s">
        <v>100</v>
      </c>
      <c r="T40" s="20" t="s">
        <v>14</v>
      </c>
      <c r="U40" s="21">
        <v>1</v>
      </c>
      <c r="V40" s="21"/>
      <c r="W40" s="21">
        <f t="shared" si="5"/>
        <v>46687873.390000001</v>
      </c>
      <c r="X40" s="21">
        <f t="shared" ref="X40:Y40" si="11">IF(Z40=0,0,1)</f>
        <v>0</v>
      </c>
      <c r="Y40" s="21">
        <f t="shared" si="11"/>
        <v>1</v>
      </c>
      <c r="Z40" s="21">
        <f>SUMIFS(Z:Z,AG:AG,AF40)</f>
        <v>0</v>
      </c>
      <c r="AA40" s="21">
        <f>SUMIFS(AA:AA,AG:AG,AF40)</f>
        <v>37189574.640000001</v>
      </c>
      <c r="AB40" s="22" t="s">
        <v>15</v>
      </c>
      <c r="AC40" s="324"/>
      <c r="AD40" s="181">
        <f t="shared" si="2"/>
        <v>1</v>
      </c>
      <c r="AE40" s="184"/>
      <c r="AF40" s="181">
        <v>1.2</v>
      </c>
      <c r="AG40" s="181"/>
      <c r="AH40" s="363" t="str">
        <f t="shared" si="8"/>
        <v/>
      </c>
      <c r="AI40" s="192">
        <v>1</v>
      </c>
      <c r="AJ40" s="188">
        <v>1</v>
      </c>
      <c r="AO40" s="367"/>
      <c r="AP40" s="367"/>
      <c r="AQ40" s="367"/>
    </row>
    <row r="41" spans="1:43" s="69" customFormat="1" ht="39" x14ac:dyDescent="0.3">
      <c r="A41" s="130" t="s">
        <v>101</v>
      </c>
      <c r="B41" s="131" t="s">
        <v>102</v>
      </c>
      <c r="C41" s="132" t="s">
        <v>103</v>
      </c>
      <c r="D41" s="133">
        <v>2347.79</v>
      </c>
      <c r="E41" s="75"/>
      <c r="F41" s="75"/>
      <c r="G41" s="75"/>
      <c r="H41" s="75"/>
      <c r="I41" s="75"/>
      <c r="J41" s="75">
        <v>320.74</v>
      </c>
      <c r="K41" s="75">
        <v>753030.16</v>
      </c>
      <c r="L41" s="91" t="s">
        <v>104</v>
      </c>
      <c r="M41" s="73"/>
      <c r="N41" s="46">
        <v>2223.5899999999997</v>
      </c>
      <c r="O41" s="46">
        <v>39130.280000000028</v>
      </c>
      <c r="P41" s="46">
        <v>713194.26</v>
      </c>
      <c r="Q41" s="98"/>
      <c r="R41" s="23" t="s">
        <v>1421</v>
      </c>
      <c r="S41" s="24" t="s">
        <v>102</v>
      </c>
      <c r="T41" s="25" t="s">
        <v>103</v>
      </c>
      <c r="U41" s="26">
        <v>2347.79</v>
      </c>
      <c r="V41" s="26">
        <f t="shared" ref="V41:V104" si="12">IF(I41&gt;0,I41,IF(H41&gt;0,H41,IF(G41&gt;0,G41,IF(F41&gt;0,F41,IF(E41&gt;0,E41,D41)))))</f>
        <v>2347.79</v>
      </c>
      <c r="W41" s="26">
        <f t="shared" si="5"/>
        <v>320.74</v>
      </c>
      <c r="X41" s="127">
        <f t="shared" si="9"/>
        <v>0</v>
      </c>
      <c r="Y41" s="127">
        <f t="shared" si="6"/>
        <v>2223.5899999999997</v>
      </c>
      <c r="Z41" s="127">
        <f t="shared" ref="Z41:Z104" si="13">AA41-P41</f>
        <v>0</v>
      </c>
      <c r="AA41" s="127">
        <f t="shared" si="7"/>
        <v>713194.26</v>
      </c>
      <c r="AB41" s="33" t="s">
        <v>15</v>
      </c>
      <c r="AC41" s="324"/>
      <c r="AD41" s="181">
        <f t="shared" si="2"/>
        <v>2347.79</v>
      </c>
      <c r="AE41" s="181">
        <f>ROUND(W41*AD41,2)</f>
        <v>753030.16</v>
      </c>
      <c r="AF41" s="181">
        <v>1.2</v>
      </c>
      <c r="AG41" s="181">
        <v>1.2</v>
      </c>
      <c r="AH41" s="363" t="str">
        <f t="shared" si="8"/>
        <v/>
      </c>
      <c r="AI41" s="194">
        <f>822+115.6+380.73+236.3+234.76+312.2+122</f>
        <v>2223.5899999999997</v>
      </c>
      <c r="AJ41" s="188">
        <v>2347.79</v>
      </c>
      <c r="AO41" s="367"/>
      <c r="AP41" s="367"/>
      <c r="AQ41" s="367"/>
    </row>
    <row r="42" spans="1:43" s="69" customFormat="1" ht="58.5" x14ac:dyDescent="0.3">
      <c r="A42" s="55" t="s">
        <v>105</v>
      </c>
      <c r="B42" s="53" t="s">
        <v>106</v>
      </c>
      <c r="C42" s="54" t="s">
        <v>103</v>
      </c>
      <c r="D42" s="75">
        <v>755.76</v>
      </c>
      <c r="E42" s="75"/>
      <c r="F42" s="75"/>
      <c r="G42" s="75"/>
      <c r="H42" s="75"/>
      <c r="I42" s="75"/>
      <c r="J42" s="75">
        <v>346.08</v>
      </c>
      <c r="K42" s="75">
        <v>261553.42</v>
      </c>
      <c r="L42" s="91" t="s">
        <v>107</v>
      </c>
      <c r="M42" s="73"/>
      <c r="N42" s="46">
        <v>712.7</v>
      </c>
      <c r="O42" s="46">
        <v>37203.600000000006</v>
      </c>
      <c r="P42" s="46">
        <v>246651.22</v>
      </c>
      <c r="Q42" s="98"/>
      <c r="R42" s="23" t="s">
        <v>1426</v>
      </c>
      <c r="S42" s="24" t="s">
        <v>106</v>
      </c>
      <c r="T42" s="25" t="s">
        <v>103</v>
      </c>
      <c r="U42" s="26">
        <v>755.76</v>
      </c>
      <c r="V42" s="26">
        <f t="shared" si="12"/>
        <v>755.76</v>
      </c>
      <c r="W42" s="26">
        <f t="shared" si="5"/>
        <v>346.08</v>
      </c>
      <c r="X42" s="128">
        <f t="shared" si="9"/>
        <v>0</v>
      </c>
      <c r="Y42" s="26">
        <f t="shared" si="6"/>
        <v>712.7</v>
      </c>
      <c r="Z42" s="26">
        <f t="shared" si="13"/>
        <v>0</v>
      </c>
      <c r="AA42" s="26">
        <f t="shared" si="7"/>
        <v>246651.22</v>
      </c>
      <c r="AB42" s="33" t="s">
        <v>15</v>
      </c>
      <c r="AC42" s="324"/>
      <c r="AD42" s="181">
        <f t="shared" si="2"/>
        <v>755.76</v>
      </c>
      <c r="AE42" s="181">
        <f t="shared" ref="AE42:AE105" si="14">ROUND(W42*AD42,2)</f>
        <v>261553.42</v>
      </c>
      <c r="AF42" s="181">
        <v>1.2</v>
      </c>
      <c r="AG42" s="181">
        <v>1.2</v>
      </c>
      <c r="AH42" s="363" t="str">
        <f t="shared" si="8"/>
        <v/>
      </c>
      <c r="AI42" s="194">
        <f>23+62.8+344.2+175.2+107.5</f>
        <v>712.7</v>
      </c>
      <c r="AJ42" s="188">
        <v>755.76</v>
      </c>
      <c r="AO42" s="367"/>
      <c r="AP42" s="367"/>
      <c r="AQ42" s="367"/>
    </row>
    <row r="43" spans="1:43" s="69" customFormat="1" ht="33" x14ac:dyDescent="0.3">
      <c r="A43" s="55" t="s">
        <v>108</v>
      </c>
      <c r="B43" s="53" t="s">
        <v>109</v>
      </c>
      <c r="C43" s="54" t="s">
        <v>110</v>
      </c>
      <c r="D43" s="75">
        <v>37233.480000000003</v>
      </c>
      <c r="E43" s="75"/>
      <c r="F43" s="75"/>
      <c r="G43" s="75"/>
      <c r="H43" s="75"/>
      <c r="I43" s="328">
        <v>38019.35</v>
      </c>
      <c r="J43" s="75">
        <v>36.4</v>
      </c>
      <c r="K43" s="75">
        <v>1383904.34</v>
      </c>
      <c r="L43" s="91" t="s">
        <v>111</v>
      </c>
      <c r="M43" s="73"/>
      <c r="N43" s="46">
        <v>37149.299999999996</v>
      </c>
      <c r="O43" s="46">
        <v>110062.67999999993</v>
      </c>
      <c r="P43" s="46">
        <v>1352234.52</v>
      </c>
      <c r="Q43" s="98"/>
      <c r="R43" s="23" t="s">
        <v>1402</v>
      </c>
      <c r="S43" s="24" t="s">
        <v>109</v>
      </c>
      <c r="T43" s="25" t="s">
        <v>110</v>
      </c>
      <c r="U43" s="26">
        <v>37233.480000000003</v>
      </c>
      <c r="V43" s="26">
        <f t="shared" si="12"/>
        <v>38019.35</v>
      </c>
      <c r="W43" s="26">
        <f t="shared" si="5"/>
        <v>36.4</v>
      </c>
      <c r="X43" s="128">
        <f t="shared" si="9"/>
        <v>0</v>
      </c>
      <c r="Y43" s="26">
        <f t="shared" si="6"/>
        <v>37149.299999999996</v>
      </c>
      <c r="Z43" s="26">
        <f t="shared" si="13"/>
        <v>0</v>
      </c>
      <c r="AA43" s="26">
        <f t="shared" si="7"/>
        <v>1352234.52</v>
      </c>
      <c r="AB43" s="33" t="s">
        <v>15</v>
      </c>
      <c r="AC43" s="324"/>
      <c r="AD43" s="181">
        <f t="shared" si="2"/>
        <v>38019.35</v>
      </c>
      <c r="AE43" s="181">
        <f t="shared" si="14"/>
        <v>1383904.34</v>
      </c>
      <c r="AF43" s="181">
        <v>1.2</v>
      </c>
      <c r="AG43" s="181">
        <v>1.2</v>
      </c>
      <c r="AH43" s="363" t="str">
        <f t="shared" si="8"/>
        <v/>
      </c>
      <c r="AI43" s="194">
        <f>4011.3+10712+7037.8+2325.2+4076.7+5962.6+3023.7</f>
        <v>37149.299999999996</v>
      </c>
      <c r="AJ43" s="190">
        <v>38019.35</v>
      </c>
      <c r="AO43" s="367"/>
      <c r="AP43" s="367"/>
      <c r="AQ43" s="367"/>
    </row>
    <row r="44" spans="1:43" s="69" customFormat="1" ht="58.5" x14ac:dyDescent="0.3">
      <c r="A44" s="55" t="s">
        <v>112</v>
      </c>
      <c r="B44" s="53" t="s">
        <v>113</v>
      </c>
      <c r="C44" s="54" t="s">
        <v>23</v>
      </c>
      <c r="D44" s="75">
        <v>294.98</v>
      </c>
      <c r="E44" s="75"/>
      <c r="F44" s="75"/>
      <c r="G44" s="75"/>
      <c r="H44" s="75"/>
      <c r="I44" s="75"/>
      <c r="J44" s="75">
        <v>3115.13</v>
      </c>
      <c r="K44" s="75">
        <v>918901.05</v>
      </c>
      <c r="L44" s="91" t="s">
        <v>114</v>
      </c>
      <c r="M44" s="73"/>
      <c r="N44" s="46">
        <v>276.10000000000002</v>
      </c>
      <c r="O44" s="46">
        <v>37381.560000000056</v>
      </c>
      <c r="P44" s="46">
        <v>860087.39</v>
      </c>
      <c r="Q44" s="98"/>
      <c r="R44" s="23" t="s">
        <v>1373</v>
      </c>
      <c r="S44" s="24" t="s">
        <v>392</v>
      </c>
      <c r="T44" s="25" t="s">
        <v>23</v>
      </c>
      <c r="U44" s="26">
        <v>294.98</v>
      </c>
      <c r="V44" s="26">
        <f t="shared" si="12"/>
        <v>294.98</v>
      </c>
      <c r="W44" s="26">
        <f t="shared" si="5"/>
        <v>3115.13</v>
      </c>
      <c r="X44" s="128">
        <f t="shared" si="9"/>
        <v>0</v>
      </c>
      <c r="Y44" s="26">
        <f t="shared" si="6"/>
        <v>276.10000000000002</v>
      </c>
      <c r="Z44" s="26">
        <f t="shared" si="13"/>
        <v>0</v>
      </c>
      <c r="AA44" s="26">
        <f t="shared" si="7"/>
        <v>860087.39</v>
      </c>
      <c r="AB44" s="33" t="s">
        <v>15</v>
      </c>
      <c r="AC44" s="324"/>
      <c r="AD44" s="181">
        <f t="shared" si="2"/>
        <v>294.98</v>
      </c>
      <c r="AE44" s="181">
        <f t="shared" si="14"/>
        <v>918901.05</v>
      </c>
      <c r="AF44" s="181">
        <v>1.2</v>
      </c>
      <c r="AG44" s="181">
        <v>1.2</v>
      </c>
      <c r="AH44" s="363" t="str">
        <f t="shared" si="8"/>
        <v/>
      </c>
      <c r="AI44" s="194">
        <f>36.6+39.2+23.9+112.01+5.7+30.69+16+12</f>
        <v>276.10000000000002</v>
      </c>
      <c r="AJ44" s="188">
        <v>294.98</v>
      </c>
      <c r="AO44" s="367"/>
      <c r="AP44" s="367"/>
      <c r="AQ44" s="367"/>
    </row>
    <row r="45" spans="1:43" s="69" customFormat="1" ht="58.5" x14ac:dyDescent="0.3">
      <c r="A45" s="130" t="s">
        <v>115</v>
      </c>
      <c r="B45" s="131" t="s">
        <v>116</v>
      </c>
      <c r="C45" s="132" t="s">
        <v>23</v>
      </c>
      <c r="D45" s="133">
        <v>846.68</v>
      </c>
      <c r="E45" s="75"/>
      <c r="F45" s="75"/>
      <c r="G45" s="75"/>
      <c r="H45" s="75"/>
      <c r="I45" s="328">
        <v>932.9</v>
      </c>
      <c r="J45" s="75">
        <v>3321.13</v>
      </c>
      <c r="K45" s="75">
        <v>3098282.18</v>
      </c>
      <c r="L45" s="91" t="s">
        <v>117</v>
      </c>
      <c r="M45" s="73"/>
      <c r="N45" s="46">
        <v>900.4799999999999</v>
      </c>
      <c r="O45" s="46">
        <v>178676.79000000004</v>
      </c>
      <c r="P45" s="46">
        <v>2990611.14</v>
      </c>
      <c r="Q45" s="98"/>
      <c r="R45" s="23" t="s">
        <v>1393</v>
      </c>
      <c r="S45" s="24" t="s">
        <v>116</v>
      </c>
      <c r="T45" s="25" t="s">
        <v>23</v>
      </c>
      <c r="U45" s="26">
        <v>846.68</v>
      </c>
      <c r="V45" s="26">
        <f t="shared" si="12"/>
        <v>932.9</v>
      </c>
      <c r="W45" s="26">
        <f t="shared" si="5"/>
        <v>3321.13</v>
      </c>
      <c r="X45" s="128">
        <f t="shared" si="9"/>
        <v>0</v>
      </c>
      <c r="Y45" s="26">
        <f>X45+N45</f>
        <v>900.4799999999999</v>
      </c>
      <c r="Z45" s="26">
        <f t="shared" si="13"/>
        <v>0</v>
      </c>
      <c r="AA45" s="26">
        <f t="shared" si="7"/>
        <v>2990611.14</v>
      </c>
      <c r="AB45" s="33" t="s">
        <v>15</v>
      </c>
      <c r="AC45" s="324"/>
      <c r="AD45" s="181">
        <f t="shared" si="2"/>
        <v>932.9</v>
      </c>
      <c r="AE45" s="181">
        <f t="shared" si="14"/>
        <v>3098282.18</v>
      </c>
      <c r="AF45" s="181">
        <v>1.2</v>
      </c>
      <c r="AG45" s="181">
        <v>1.2</v>
      </c>
      <c r="AH45" s="363" t="str">
        <f t="shared" si="8"/>
        <v/>
      </c>
      <c r="AI45" s="194">
        <f>282.3+157.6+131.2+92.3+145+38.2+0.08+53.8</f>
        <v>900.4799999999999</v>
      </c>
      <c r="AJ45" s="190">
        <v>932.9</v>
      </c>
      <c r="AO45" s="367"/>
      <c r="AP45" s="367"/>
      <c r="AQ45" s="367"/>
    </row>
    <row r="46" spans="1:43" s="69" customFormat="1" ht="26.1" customHeight="1" x14ac:dyDescent="0.3">
      <c r="A46" s="130" t="s">
        <v>118</v>
      </c>
      <c r="B46" s="131" t="s">
        <v>119</v>
      </c>
      <c r="C46" s="132" t="s">
        <v>50</v>
      </c>
      <c r="D46" s="133">
        <v>2387.33</v>
      </c>
      <c r="E46" s="75"/>
      <c r="F46" s="75"/>
      <c r="G46" s="75"/>
      <c r="H46" s="75"/>
      <c r="I46" s="328">
        <v>2715.61</v>
      </c>
      <c r="J46" s="75">
        <v>533.64</v>
      </c>
      <c r="K46" s="75">
        <v>1449158.12</v>
      </c>
      <c r="L46" s="91" t="s">
        <v>120</v>
      </c>
      <c r="M46" s="73"/>
      <c r="N46" s="46">
        <v>2583.29</v>
      </c>
      <c r="O46" s="46">
        <v>105073.71999999997</v>
      </c>
      <c r="P46" s="46">
        <v>1378546.88</v>
      </c>
      <c r="Q46" s="98"/>
      <c r="R46" s="23" t="s">
        <v>1403</v>
      </c>
      <c r="S46" s="24" t="s">
        <v>119</v>
      </c>
      <c r="T46" s="25" t="s">
        <v>50</v>
      </c>
      <c r="U46" s="26">
        <v>2387.33</v>
      </c>
      <c r="V46" s="26">
        <f t="shared" si="12"/>
        <v>2715.61</v>
      </c>
      <c r="W46" s="26">
        <f t="shared" si="5"/>
        <v>533.64</v>
      </c>
      <c r="X46" s="128">
        <f t="shared" si="9"/>
        <v>0</v>
      </c>
      <c r="Y46" s="26">
        <f t="shared" si="6"/>
        <v>2583.29</v>
      </c>
      <c r="Z46" s="26">
        <f t="shared" si="13"/>
        <v>0</v>
      </c>
      <c r="AA46" s="26">
        <f t="shared" si="7"/>
        <v>1378546.88</v>
      </c>
      <c r="AB46" s="33" t="s">
        <v>15</v>
      </c>
      <c r="AC46" s="324"/>
      <c r="AD46" s="181">
        <f t="shared" si="2"/>
        <v>2715.61</v>
      </c>
      <c r="AE46" s="181">
        <f t="shared" si="14"/>
        <v>1449158.12</v>
      </c>
      <c r="AF46" s="181">
        <v>1.2</v>
      </c>
      <c r="AG46" s="181">
        <v>1.2</v>
      </c>
      <c r="AH46" s="363" t="str">
        <f t="shared" si="8"/>
        <v/>
      </c>
      <c r="AI46" s="194">
        <f>815.4+226.8+231.1+653.04+121.2+311.35+27.5+196.9</f>
        <v>2583.29</v>
      </c>
      <c r="AJ46" s="190">
        <v>2715.61</v>
      </c>
      <c r="AO46" s="367"/>
      <c r="AP46" s="367"/>
      <c r="AQ46" s="367"/>
    </row>
    <row r="47" spans="1:43" s="69" customFormat="1" ht="26.1" customHeight="1" x14ac:dyDescent="0.3">
      <c r="A47" s="55" t="s">
        <v>121</v>
      </c>
      <c r="B47" s="53" t="s">
        <v>122</v>
      </c>
      <c r="C47" s="54" t="s">
        <v>50</v>
      </c>
      <c r="D47" s="75">
        <v>1362.2</v>
      </c>
      <c r="E47" s="75"/>
      <c r="F47" s="75"/>
      <c r="G47" s="75"/>
      <c r="H47" s="75"/>
      <c r="I47" s="328"/>
      <c r="J47" s="75">
        <v>1299.8900000000001</v>
      </c>
      <c r="K47" s="75">
        <v>1770710.16</v>
      </c>
      <c r="L47" s="91" t="s">
        <v>123</v>
      </c>
      <c r="M47" s="73"/>
      <c r="N47" s="46">
        <v>1235.8</v>
      </c>
      <c r="O47" s="46">
        <v>251658.69999999995</v>
      </c>
      <c r="P47" s="46">
        <v>1606404.06</v>
      </c>
      <c r="Q47" s="98"/>
      <c r="R47" s="23" t="s">
        <v>1427</v>
      </c>
      <c r="S47" s="24" t="s">
        <v>122</v>
      </c>
      <c r="T47" s="25" t="s">
        <v>50</v>
      </c>
      <c r="U47" s="26">
        <v>1362.2</v>
      </c>
      <c r="V47" s="26">
        <f t="shared" si="12"/>
        <v>1362.2</v>
      </c>
      <c r="W47" s="26">
        <f t="shared" si="5"/>
        <v>1299.8900000000001</v>
      </c>
      <c r="X47" s="128">
        <f t="shared" si="9"/>
        <v>0</v>
      </c>
      <c r="Y47" s="26">
        <f t="shared" si="6"/>
        <v>1235.8</v>
      </c>
      <c r="Z47" s="26">
        <f t="shared" si="13"/>
        <v>0</v>
      </c>
      <c r="AA47" s="26">
        <f t="shared" si="7"/>
        <v>1606404.06</v>
      </c>
      <c r="AB47" s="33" t="s">
        <v>15</v>
      </c>
      <c r="AC47" s="324"/>
      <c r="AD47" s="181">
        <f t="shared" si="2"/>
        <v>1362.2</v>
      </c>
      <c r="AE47" s="181">
        <f t="shared" si="14"/>
        <v>1770710.16</v>
      </c>
      <c r="AF47" s="181">
        <v>1.2</v>
      </c>
      <c r="AG47" s="181">
        <v>1.2</v>
      </c>
      <c r="AH47" s="363" t="str">
        <f t="shared" si="8"/>
        <v/>
      </c>
      <c r="AI47" s="194">
        <f>165+139.2+39.3+296.5+402.2+193.6</f>
        <v>1235.8</v>
      </c>
      <c r="AJ47" s="188">
        <v>1362.2</v>
      </c>
      <c r="AN47" s="363"/>
      <c r="AO47" s="368"/>
      <c r="AP47" s="367"/>
      <c r="AQ47" s="367"/>
    </row>
    <row r="48" spans="1:43" s="69" customFormat="1" ht="26.1" customHeight="1" x14ac:dyDescent="0.3">
      <c r="A48" s="130" t="s">
        <v>124</v>
      </c>
      <c r="B48" s="131" t="s">
        <v>125</v>
      </c>
      <c r="C48" s="132" t="s">
        <v>110</v>
      </c>
      <c r="D48" s="133">
        <v>4781.5600000000004</v>
      </c>
      <c r="E48" s="75"/>
      <c r="F48" s="75"/>
      <c r="G48" s="75"/>
      <c r="H48" s="75"/>
      <c r="I48" s="328">
        <v>17136.57</v>
      </c>
      <c r="J48" s="75">
        <v>60</v>
      </c>
      <c r="K48" s="75">
        <v>1028194.2</v>
      </c>
      <c r="L48" s="91" t="s">
        <v>126</v>
      </c>
      <c r="M48" s="73"/>
      <c r="N48" s="46">
        <v>15133.12</v>
      </c>
      <c r="O48" s="46">
        <v>621097.19999999995</v>
      </c>
      <c r="P48" s="46">
        <v>907987.2</v>
      </c>
      <c r="Q48" s="98"/>
      <c r="R48" s="23" t="s">
        <v>1428</v>
      </c>
      <c r="S48" s="24" t="s">
        <v>125</v>
      </c>
      <c r="T48" s="25" t="s">
        <v>110</v>
      </c>
      <c r="U48" s="26">
        <v>4781.5600000000004</v>
      </c>
      <c r="V48" s="26">
        <f t="shared" si="12"/>
        <v>17136.57</v>
      </c>
      <c r="W48" s="26">
        <f t="shared" si="5"/>
        <v>60</v>
      </c>
      <c r="X48" s="128">
        <f t="shared" si="9"/>
        <v>0</v>
      </c>
      <c r="Y48" s="127">
        <f t="shared" si="6"/>
        <v>15133.12</v>
      </c>
      <c r="Z48" s="127">
        <f t="shared" si="13"/>
        <v>0</v>
      </c>
      <c r="AA48" s="127">
        <f t="shared" si="7"/>
        <v>907987.2</v>
      </c>
      <c r="AB48" s="33" t="s">
        <v>15</v>
      </c>
      <c r="AC48" s="324"/>
      <c r="AD48" s="181">
        <f t="shared" si="2"/>
        <v>17136.57</v>
      </c>
      <c r="AE48" s="181">
        <f t="shared" si="14"/>
        <v>1028194.2</v>
      </c>
      <c r="AF48" s="181">
        <v>1.2</v>
      </c>
      <c r="AG48" s="181">
        <v>1.2</v>
      </c>
      <c r="AH48" s="363" t="str">
        <f t="shared" si="8"/>
        <v/>
      </c>
      <c r="AI48" s="194">
        <v>15133.12</v>
      </c>
      <c r="AJ48" s="190">
        <v>17136.57</v>
      </c>
      <c r="AN48" s="363"/>
      <c r="AO48" s="368"/>
      <c r="AP48" s="367"/>
      <c r="AQ48" s="367"/>
    </row>
    <row r="49" spans="1:43" s="69" customFormat="1" ht="58.5" x14ac:dyDescent="0.3">
      <c r="A49" s="130" t="s">
        <v>127</v>
      </c>
      <c r="B49" s="131" t="s">
        <v>128</v>
      </c>
      <c r="C49" s="132" t="s">
        <v>110</v>
      </c>
      <c r="D49" s="133">
        <v>4781.5600000000004</v>
      </c>
      <c r="E49" s="75"/>
      <c r="F49" s="75"/>
      <c r="G49" s="75"/>
      <c r="H49" s="75"/>
      <c r="I49" s="328">
        <v>17136.57</v>
      </c>
      <c r="J49" s="75">
        <v>31.9</v>
      </c>
      <c r="K49" s="75">
        <v>546656.57999999996</v>
      </c>
      <c r="L49" s="91" t="s">
        <v>129</v>
      </c>
      <c r="M49" s="73"/>
      <c r="N49" s="46">
        <v>15133.12</v>
      </c>
      <c r="O49" s="46">
        <v>330216.68000000005</v>
      </c>
      <c r="P49" s="46">
        <v>482746.53</v>
      </c>
      <c r="Q49" s="98"/>
      <c r="R49" s="23" t="s">
        <v>1387</v>
      </c>
      <c r="S49" s="24" t="s">
        <v>128</v>
      </c>
      <c r="T49" s="25" t="s">
        <v>110</v>
      </c>
      <c r="U49" s="26">
        <v>4781.5600000000004</v>
      </c>
      <c r="V49" s="26">
        <f t="shared" si="12"/>
        <v>17136.57</v>
      </c>
      <c r="W49" s="26">
        <f t="shared" si="5"/>
        <v>31.9</v>
      </c>
      <c r="X49" s="128">
        <f t="shared" si="9"/>
        <v>0</v>
      </c>
      <c r="Y49" s="127">
        <f t="shared" si="6"/>
        <v>15133.12</v>
      </c>
      <c r="Z49" s="127">
        <f t="shared" si="13"/>
        <v>0</v>
      </c>
      <c r="AA49" s="127">
        <f t="shared" si="7"/>
        <v>482746.53</v>
      </c>
      <c r="AB49" s="33" t="s">
        <v>15</v>
      </c>
      <c r="AC49" s="324"/>
      <c r="AD49" s="181">
        <f t="shared" si="2"/>
        <v>17136.57</v>
      </c>
      <c r="AE49" s="181">
        <f t="shared" si="14"/>
        <v>546656.57999999996</v>
      </c>
      <c r="AF49" s="181">
        <v>1.2</v>
      </c>
      <c r="AG49" s="181">
        <v>1.2</v>
      </c>
      <c r="AH49" s="363" t="str">
        <f t="shared" si="8"/>
        <v/>
      </c>
      <c r="AI49" s="194">
        <f>AI48</f>
        <v>15133.12</v>
      </c>
      <c r="AJ49" s="190">
        <v>17136.57</v>
      </c>
      <c r="AO49" s="367"/>
      <c r="AP49" s="367"/>
      <c r="AQ49" s="367"/>
    </row>
    <row r="50" spans="1:43" s="69" customFormat="1" ht="156" x14ac:dyDescent="0.3">
      <c r="A50" s="55" t="s">
        <v>130</v>
      </c>
      <c r="B50" s="53" t="s">
        <v>131</v>
      </c>
      <c r="C50" s="54" t="s">
        <v>110</v>
      </c>
      <c r="D50" s="75">
        <v>2300.86</v>
      </c>
      <c r="E50" s="75"/>
      <c r="F50" s="75"/>
      <c r="G50" s="75"/>
      <c r="H50" s="75"/>
      <c r="I50" s="328">
        <v>2741.71</v>
      </c>
      <c r="J50" s="75">
        <v>107.31</v>
      </c>
      <c r="K50" s="75">
        <v>294212.90000000002</v>
      </c>
      <c r="L50" s="91" t="s">
        <v>132</v>
      </c>
      <c r="M50" s="73"/>
      <c r="N50" s="46">
        <v>2741.6</v>
      </c>
      <c r="O50" s="46">
        <v>95141.049999999988</v>
      </c>
      <c r="P50" s="46">
        <v>294201.09999999998</v>
      </c>
      <c r="Q50" s="98"/>
      <c r="R50" s="23" t="s">
        <v>1405</v>
      </c>
      <c r="S50" s="24" t="s">
        <v>131</v>
      </c>
      <c r="T50" s="25" t="s">
        <v>110</v>
      </c>
      <c r="U50" s="26">
        <v>2300.86</v>
      </c>
      <c r="V50" s="26">
        <f t="shared" si="12"/>
        <v>2741.71</v>
      </c>
      <c r="W50" s="26">
        <f t="shared" si="5"/>
        <v>107.31</v>
      </c>
      <c r="X50" s="128">
        <f t="shared" si="9"/>
        <v>0</v>
      </c>
      <c r="Y50" s="127">
        <f t="shared" si="6"/>
        <v>2741.6</v>
      </c>
      <c r="Z50" s="127">
        <f t="shared" si="13"/>
        <v>0</v>
      </c>
      <c r="AA50" s="127">
        <f t="shared" si="7"/>
        <v>294201.09999999998</v>
      </c>
      <c r="AB50" s="33" t="s">
        <v>15</v>
      </c>
      <c r="AC50" s="324"/>
      <c r="AD50" s="181">
        <f t="shared" si="2"/>
        <v>2741.71</v>
      </c>
      <c r="AE50" s="181">
        <f t="shared" si="14"/>
        <v>294212.90000000002</v>
      </c>
      <c r="AF50" s="181">
        <v>1.2</v>
      </c>
      <c r="AG50" s="181">
        <v>1.2</v>
      </c>
      <c r="AH50" s="363" t="str">
        <f t="shared" si="8"/>
        <v/>
      </c>
      <c r="AI50" s="194">
        <f>1855+456+430.6</f>
        <v>2741.6</v>
      </c>
      <c r="AJ50" s="190">
        <v>2741.71</v>
      </c>
      <c r="AO50" s="367"/>
      <c r="AP50" s="367"/>
      <c r="AQ50" s="367"/>
    </row>
    <row r="51" spans="1:43" s="69" customFormat="1" ht="31.5" x14ac:dyDescent="0.3">
      <c r="A51" s="55" t="s">
        <v>133</v>
      </c>
      <c r="B51" s="215" t="s">
        <v>134</v>
      </c>
      <c r="C51" s="54" t="s">
        <v>50</v>
      </c>
      <c r="D51" s="75">
        <v>5207.01</v>
      </c>
      <c r="E51" s="75"/>
      <c r="F51" s="75"/>
      <c r="G51" s="75"/>
      <c r="H51" s="75"/>
      <c r="I51" s="328">
        <v>4297.84</v>
      </c>
      <c r="J51" s="75">
        <v>2964</v>
      </c>
      <c r="K51" s="75">
        <v>12738797.76</v>
      </c>
      <c r="L51" s="137" t="s">
        <v>135</v>
      </c>
      <c r="M51" s="73"/>
      <c r="N51" s="46">
        <v>3666.49</v>
      </c>
      <c r="O51" s="46">
        <v>0</v>
      </c>
      <c r="P51" s="46">
        <v>10867476.359999999</v>
      </c>
      <c r="Q51" s="98"/>
      <c r="R51" s="23" t="s">
        <v>1406</v>
      </c>
      <c r="S51" s="24" t="s">
        <v>134</v>
      </c>
      <c r="T51" s="25" t="s">
        <v>50</v>
      </c>
      <c r="U51" s="26">
        <v>5207.01</v>
      </c>
      <c r="V51" s="26">
        <f t="shared" si="12"/>
        <v>4297.84</v>
      </c>
      <c r="W51" s="26">
        <f t="shared" si="5"/>
        <v>2964</v>
      </c>
      <c r="X51" s="128">
        <f t="shared" si="9"/>
        <v>0</v>
      </c>
      <c r="Y51" s="26">
        <f t="shared" si="6"/>
        <v>3666.49</v>
      </c>
      <c r="Z51" s="26">
        <f t="shared" si="13"/>
        <v>0</v>
      </c>
      <c r="AA51" s="26">
        <f t="shared" si="7"/>
        <v>10867476.359999999</v>
      </c>
      <c r="AB51" s="33" t="s">
        <v>15</v>
      </c>
      <c r="AC51" s="325"/>
      <c r="AD51" s="263">
        <f t="shared" si="2"/>
        <v>4297.84</v>
      </c>
      <c r="AE51" s="263">
        <f t="shared" si="14"/>
        <v>12738797.76</v>
      </c>
      <c r="AF51" s="263">
        <v>1.2</v>
      </c>
      <c r="AG51" s="263">
        <v>1.2</v>
      </c>
      <c r="AH51" s="68" t="str">
        <f t="shared" si="8"/>
        <v/>
      </c>
      <c r="AI51" s="194">
        <f>1759.3+212.2+210.7+652.79+539.2+292.3</f>
        <v>3666.49</v>
      </c>
      <c r="AJ51" s="190">
        <v>4297.84</v>
      </c>
      <c r="AO51" s="367"/>
      <c r="AP51" s="367"/>
      <c r="AQ51" s="367"/>
    </row>
    <row r="52" spans="1:43" s="69" customFormat="1" ht="58.5" x14ac:dyDescent="0.3">
      <c r="A52" s="55" t="s">
        <v>136</v>
      </c>
      <c r="B52" s="53" t="s">
        <v>3138</v>
      </c>
      <c r="C52" s="54" t="s">
        <v>50</v>
      </c>
      <c r="D52" s="75">
        <v>693.8</v>
      </c>
      <c r="E52" s="75"/>
      <c r="F52" s="75"/>
      <c r="G52" s="75"/>
      <c r="H52" s="75"/>
      <c r="I52" s="75"/>
      <c r="J52" s="75">
        <v>3961.57</v>
      </c>
      <c r="K52" s="75">
        <v>2748537.27</v>
      </c>
      <c r="L52" s="137" t="s">
        <v>138</v>
      </c>
      <c r="M52" s="73"/>
      <c r="N52" s="46">
        <v>673.8</v>
      </c>
      <c r="O52" s="46">
        <v>403287.83000000007</v>
      </c>
      <c r="P52" s="46">
        <v>2669305.87</v>
      </c>
      <c r="Q52" s="98"/>
      <c r="R52" s="23" t="s">
        <v>1414</v>
      </c>
      <c r="S52" s="24" t="s">
        <v>137</v>
      </c>
      <c r="T52" s="25" t="s">
        <v>50</v>
      </c>
      <c r="U52" s="26">
        <v>693.8</v>
      </c>
      <c r="V52" s="26">
        <f t="shared" si="12"/>
        <v>693.8</v>
      </c>
      <c r="W52" s="26">
        <f t="shared" si="5"/>
        <v>3961.57</v>
      </c>
      <c r="X52" s="127">
        <f>AI52-N52</f>
        <v>0</v>
      </c>
      <c r="Y52" s="127">
        <f t="shared" si="6"/>
        <v>673.8</v>
      </c>
      <c r="Z52" s="127">
        <f t="shared" si="13"/>
        <v>0</v>
      </c>
      <c r="AA52" s="127">
        <f t="shared" si="7"/>
        <v>2669305.87</v>
      </c>
      <c r="AB52" s="33" t="s">
        <v>15</v>
      </c>
      <c r="AC52" s="324"/>
      <c r="AD52" s="181">
        <f t="shared" si="2"/>
        <v>693.8</v>
      </c>
      <c r="AE52" s="181">
        <f t="shared" si="14"/>
        <v>2748537.27</v>
      </c>
      <c r="AF52" s="181">
        <v>1.2</v>
      </c>
      <c r="AG52" s="181">
        <v>1.2</v>
      </c>
      <c r="AH52" s="363" t="str">
        <f t="shared" si="8"/>
        <v/>
      </c>
      <c r="AI52" s="194">
        <v>673.8</v>
      </c>
      <c r="AJ52" s="188">
        <v>693.8</v>
      </c>
      <c r="AO52" s="367"/>
      <c r="AP52" s="367"/>
      <c r="AQ52" s="367"/>
    </row>
    <row r="53" spans="1:43" s="69" customFormat="1" ht="26.1" customHeight="1" x14ac:dyDescent="0.3">
      <c r="A53" s="55" t="s">
        <v>139</v>
      </c>
      <c r="B53" s="53" t="s">
        <v>140</v>
      </c>
      <c r="C53" s="54" t="s">
        <v>50</v>
      </c>
      <c r="D53" s="75">
        <v>375.23</v>
      </c>
      <c r="E53" s="75"/>
      <c r="F53" s="75"/>
      <c r="G53" s="75"/>
      <c r="H53" s="75"/>
      <c r="I53" s="75"/>
      <c r="J53" s="75">
        <v>3965.81</v>
      </c>
      <c r="K53" s="75">
        <v>1488090.89</v>
      </c>
      <c r="L53" s="137" t="s">
        <v>141</v>
      </c>
      <c r="M53" s="73"/>
      <c r="N53" s="46">
        <v>349.8</v>
      </c>
      <c r="O53" s="46">
        <v>48382.880000000121</v>
      </c>
      <c r="P53" s="46">
        <v>1387240.34</v>
      </c>
      <c r="Q53" s="98"/>
      <c r="R53" s="23" t="s">
        <v>1429</v>
      </c>
      <c r="S53" s="24" t="s">
        <v>140</v>
      </c>
      <c r="T53" s="25" t="s">
        <v>50</v>
      </c>
      <c r="U53" s="26">
        <v>375.23</v>
      </c>
      <c r="V53" s="26">
        <f t="shared" si="12"/>
        <v>375.23</v>
      </c>
      <c r="W53" s="26">
        <f t="shared" si="5"/>
        <v>3965.81</v>
      </c>
      <c r="X53" s="127">
        <f t="shared" si="9"/>
        <v>0</v>
      </c>
      <c r="Y53" s="127">
        <f t="shared" si="6"/>
        <v>349.8</v>
      </c>
      <c r="Z53" s="127">
        <f t="shared" si="13"/>
        <v>0</v>
      </c>
      <c r="AA53" s="127">
        <f>ROUND(W53*Y53,2)</f>
        <v>1387240.34</v>
      </c>
      <c r="AB53" s="33" t="s">
        <v>15</v>
      </c>
      <c r="AC53" s="325"/>
      <c r="AD53" s="263">
        <f t="shared" si="2"/>
        <v>375.23</v>
      </c>
      <c r="AE53" s="263">
        <f t="shared" si="14"/>
        <v>1488090.89</v>
      </c>
      <c r="AF53" s="263">
        <v>1.2</v>
      </c>
      <c r="AG53" s="263">
        <v>1.2</v>
      </c>
      <c r="AH53" s="68" t="str">
        <f t="shared" si="8"/>
        <v/>
      </c>
      <c r="AI53" s="194">
        <v>349.8</v>
      </c>
      <c r="AJ53" s="188">
        <v>375.23</v>
      </c>
      <c r="AO53" s="367"/>
      <c r="AP53" s="367"/>
      <c r="AQ53" s="367"/>
    </row>
    <row r="54" spans="1:43" s="69" customFormat="1" ht="26.1" customHeight="1" x14ac:dyDescent="0.3">
      <c r="A54" s="55" t="s">
        <v>142</v>
      </c>
      <c r="B54" s="53" t="s">
        <v>143</v>
      </c>
      <c r="C54" s="54" t="s">
        <v>50</v>
      </c>
      <c r="D54" s="75">
        <v>34.799999999999997</v>
      </c>
      <c r="E54" s="75"/>
      <c r="F54" s="75"/>
      <c r="G54" s="75"/>
      <c r="H54" s="75"/>
      <c r="I54" s="75"/>
      <c r="J54" s="75">
        <v>773.88</v>
      </c>
      <c r="K54" s="75">
        <v>26931.02</v>
      </c>
      <c r="L54" s="91" t="s">
        <v>144</v>
      </c>
      <c r="M54" s="73"/>
      <c r="N54" s="46">
        <v>0</v>
      </c>
      <c r="O54" s="46">
        <v>0</v>
      </c>
      <c r="P54" s="46">
        <v>0</v>
      </c>
      <c r="Q54" s="98"/>
      <c r="R54" s="23" t="s">
        <v>1430</v>
      </c>
      <c r="S54" s="24" t="s">
        <v>143</v>
      </c>
      <c r="T54" s="25" t="s">
        <v>50</v>
      </c>
      <c r="U54" s="26">
        <v>34.799999999999997</v>
      </c>
      <c r="V54" s="26">
        <f t="shared" si="12"/>
        <v>34.799999999999997</v>
      </c>
      <c r="W54" s="26">
        <f t="shared" si="5"/>
        <v>773.88</v>
      </c>
      <c r="X54" s="26">
        <f t="shared" si="9"/>
        <v>0</v>
      </c>
      <c r="Y54" s="26">
        <f t="shared" si="6"/>
        <v>0</v>
      </c>
      <c r="Z54" s="26">
        <f t="shared" si="13"/>
        <v>0</v>
      </c>
      <c r="AA54" s="26">
        <f t="shared" si="7"/>
        <v>0</v>
      </c>
      <c r="AB54" s="33" t="s">
        <v>15</v>
      </c>
      <c r="AC54" s="324"/>
      <c r="AD54" s="181">
        <f t="shared" si="2"/>
        <v>34.799999999999997</v>
      </c>
      <c r="AE54" s="181">
        <f t="shared" si="14"/>
        <v>26931.02</v>
      </c>
      <c r="AF54" s="181">
        <v>1.2</v>
      </c>
      <c r="AG54" s="181">
        <v>1.2</v>
      </c>
      <c r="AH54" s="363" t="str">
        <f t="shared" si="8"/>
        <v/>
      </c>
      <c r="AI54" s="192">
        <v>0</v>
      </c>
      <c r="AJ54" s="188">
        <v>34.799999999999997</v>
      </c>
      <c r="AO54" s="367"/>
      <c r="AP54" s="367"/>
      <c r="AQ54" s="367"/>
    </row>
    <row r="55" spans="1:43" s="69" customFormat="1" ht="26.1" customHeight="1" x14ac:dyDescent="0.3">
      <c r="A55" s="55" t="s">
        <v>145</v>
      </c>
      <c r="B55" s="53" t="s">
        <v>146</v>
      </c>
      <c r="C55" s="54" t="s">
        <v>50</v>
      </c>
      <c r="D55" s="75">
        <v>11.98</v>
      </c>
      <c r="E55" s="75"/>
      <c r="F55" s="75"/>
      <c r="G55" s="75"/>
      <c r="H55" s="75"/>
      <c r="I55" s="75"/>
      <c r="J55" s="75">
        <v>948.4</v>
      </c>
      <c r="K55" s="75">
        <v>11361.83</v>
      </c>
      <c r="L55" s="91" t="s">
        <v>147</v>
      </c>
      <c r="M55" s="73"/>
      <c r="N55" s="46">
        <v>9.8000000000000007</v>
      </c>
      <c r="O55" s="46">
        <v>0</v>
      </c>
      <c r="P55" s="46">
        <v>9294.32</v>
      </c>
      <c r="Q55" s="98"/>
      <c r="R55" s="23" t="s">
        <v>1431</v>
      </c>
      <c r="S55" s="24" t="s">
        <v>146</v>
      </c>
      <c r="T55" s="25" t="s">
        <v>50</v>
      </c>
      <c r="U55" s="26">
        <v>11.98</v>
      </c>
      <c r="V55" s="26">
        <f t="shared" si="12"/>
        <v>11.98</v>
      </c>
      <c r="W55" s="26">
        <f t="shared" si="5"/>
        <v>948.4</v>
      </c>
      <c r="X55" s="26">
        <f t="shared" si="9"/>
        <v>0</v>
      </c>
      <c r="Y55" s="26">
        <f t="shared" si="6"/>
        <v>9.8000000000000007</v>
      </c>
      <c r="Z55" s="26">
        <f t="shared" si="13"/>
        <v>0</v>
      </c>
      <c r="AA55" s="26">
        <f t="shared" si="7"/>
        <v>9294.32</v>
      </c>
      <c r="AB55" s="33" t="s">
        <v>15</v>
      </c>
      <c r="AC55" s="325"/>
      <c r="AD55" s="263">
        <f t="shared" si="2"/>
        <v>11.98</v>
      </c>
      <c r="AE55" s="263">
        <f t="shared" si="14"/>
        <v>11361.83</v>
      </c>
      <c r="AF55" s="263">
        <v>1.2</v>
      </c>
      <c r="AG55" s="263">
        <v>1.2</v>
      </c>
      <c r="AH55" s="68" t="str">
        <f t="shared" si="8"/>
        <v/>
      </c>
      <c r="AI55" s="194">
        <f>9.8</f>
        <v>9.8000000000000007</v>
      </c>
      <c r="AJ55" s="188">
        <v>11.98</v>
      </c>
      <c r="AO55" s="367"/>
      <c r="AP55" s="367"/>
      <c r="AQ55" s="367"/>
    </row>
    <row r="56" spans="1:43" s="69" customFormat="1" ht="26.1" customHeight="1" x14ac:dyDescent="0.3">
      <c r="A56" s="55" t="s">
        <v>148</v>
      </c>
      <c r="B56" s="53" t="s">
        <v>149</v>
      </c>
      <c r="C56" s="54" t="s">
        <v>50</v>
      </c>
      <c r="D56" s="75">
        <v>141.26</v>
      </c>
      <c r="E56" s="75"/>
      <c r="F56" s="75"/>
      <c r="G56" s="75"/>
      <c r="H56" s="75"/>
      <c r="I56" s="75"/>
      <c r="J56" s="75">
        <v>6163.46</v>
      </c>
      <c r="K56" s="75">
        <v>870650.36</v>
      </c>
      <c r="L56" s="91" t="s">
        <v>150</v>
      </c>
      <c r="M56" s="73"/>
      <c r="N56" s="46">
        <v>12</v>
      </c>
      <c r="O56" s="46">
        <v>0</v>
      </c>
      <c r="P56" s="46">
        <v>73961.52</v>
      </c>
      <c r="Q56" s="98"/>
      <c r="R56" s="23" t="s">
        <v>1395</v>
      </c>
      <c r="S56" s="24" t="s">
        <v>149</v>
      </c>
      <c r="T56" s="25" t="s">
        <v>50</v>
      </c>
      <c r="U56" s="26">
        <v>141.26</v>
      </c>
      <c r="V56" s="26">
        <f t="shared" si="12"/>
        <v>141.26</v>
      </c>
      <c r="W56" s="26">
        <f t="shared" si="5"/>
        <v>6163.46</v>
      </c>
      <c r="X56" s="128">
        <f t="shared" si="9"/>
        <v>0</v>
      </c>
      <c r="Y56" s="26">
        <f t="shared" si="6"/>
        <v>12</v>
      </c>
      <c r="Z56" s="26">
        <f t="shared" si="13"/>
        <v>0</v>
      </c>
      <c r="AA56" s="26">
        <f t="shared" si="7"/>
        <v>73961.52</v>
      </c>
      <c r="AB56" s="33" t="s">
        <v>15</v>
      </c>
      <c r="AC56" s="325"/>
      <c r="AD56" s="263">
        <f t="shared" si="2"/>
        <v>141.26</v>
      </c>
      <c r="AE56" s="263">
        <f t="shared" si="14"/>
        <v>870650.36</v>
      </c>
      <c r="AF56" s="263">
        <v>1.2</v>
      </c>
      <c r="AG56" s="263">
        <v>1.2</v>
      </c>
      <c r="AH56" s="68" t="str">
        <f t="shared" si="8"/>
        <v/>
      </c>
      <c r="AI56" s="194">
        <f>12</f>
        <v>12</v>
      </c>
      <c r="AJ56" s="188">
        <v>141.26</v>
      </c>
      <c r="AO56" s="367"/>
      <c r="AP56" s="367"/>
      <c r="AQ56" s="367"/>
    </row>
    <row r="57" spans="1:43" s="69" customFormat="1" ht="26.1" customHeight="1" x14ac:dyDescent="0.3">
      <c r="A57" s="130" t="s">
        <v>151</v>
      </c>
      <c r="B57" s="131" t="s">
        <v>152</v>
      </c>
      <c r="C57" s="132" t="s">
        <v>81</v>
      </c>
      <c r="D57" s="133">
        <v>1</v>
      </c>
      <c r="E57" s="75"/>
      <c r="F57" s="75"/>
      <c r="G57" s="75"/>
      <c r="H57" s="75"/>
      <c r="I57" s="75"/>
      <c r="J57" s="75">
        <v>169519.61</v>
      </c>
      <c r="K57" s="75">
        <v>169519.61</v>
      </c>
      <c r="L57" s="91" t="s">
        <v>153</v>
      </c>
      <c r="M57" s="73"/>
      <c r="N57" s="46">
        <v>1</v>
      </c>
      <c r="O57" s="46">
        <v>0</v>
      </c>
      <c r="P57" s="46">
        <v>169519.61</v>
      </c>
      <c r="Q57" s="98"/>
      <c r="R57" s="23" t="s">
        <v>1432</v>
      </c>
      <c r="S57" s="24" t="s">
        <v>152</v>
      </c>
      <c r="T57" s="25" t="s">
        <v>81</v>
      </c>
      <c r="U57" s="26">
        <v>1</v>
      </c>
      <c r="V57" s="26">
        <f t="shared" si="12"/>
        <v>1</v>
      </c>
      <c r="W57" s="26">
        <f t="shared" si="5"/>
        <v>169519.61</v>
      </c>
      <c r="X57" s="127">
        <f t="shared" si="9"/>
        <v>0</v>
      </c>
      <c r="Y57" s="127">
        <f t="shared" si="6"/>
        <v>1</v>
      </c>
      <c r="Z57" s="127">
        <f t="shared" si="13"/>
        <v>0</v>
      </c>
      <c r="AA57" s="127">
        <f t="shared" si="7"/>
        <v>169519.61</v>
      </c>
      <c r="AB57" s="33" t="s">
        <v>15</v>
      </c>
      <c r="AC57" s="324"/>
      <c r="AD57" s="181">
        <f t="shared" si="2"/>
        <v>1</v>
      </c>
      <c r="AE57" s="181">
        <f t="shared" si="14"/>
        <v>169519.61</v>
      </c>
      <c r="AF57" s="181">
        <v>1.2</v>
      </c>
      <c r="AG57" s="181">
        <v>1.2</v>
      </c>
      <c r="AH57" s="363" t="str">
        <f t="shared" si="8"/>
        <v/>
      </c>
      <c r="AI57" s="194">
        <f>1</f>
        <v>1</v>
      </c>
      <c r="AJ57" s="188">
        <v>1</v>
      </c>
      <c r="AO57" s="367"/>
      <c r="AP57" s="367"/>
      <c r="AQ57" s="367"/>
    </row>
    <row r="58" spans="1:43" s="69" customFormat="1" ht="26.1" customHeight="1" x14ac:dyDescent="0.3">
      <c r="A58" s="130" t="s">
        <v>154</v>
      </c>
      <c r="B58" s="131" t="s">
        <v>155</v>
      </c>
      <c r="C58" s="132" t="s">
        <v>81</v>
      </c>
      <c r="D58" s="133">
        <v>1</v>
      </c>
      <c r="E58" s="75"/>
      <c r="F58" s="75"/>
      <c r="G58" s="75"/>
      <c r="H58" s="75"/>
      <c r="I58" s="75"/>
      <c r="J58" s="75">
        <v>350211.64</v>
      </c>
      <c r="K58" s="75">
        <v>350211.64</v>
      </c>
      <c r="L58" s="91" t="s">
        <v>156</v>
      </c>
      <c r="M58" s="73"/>
      <c r="N58" s="46">
        <v>1</v>
      </c>
      <c r="O58" s="46">
        <v>0</v>
      </c>
      <c r="P58" s="46">
        <v>350211.64</v>
      </c>
      <c r="Q58" s="98"/>
      <c r="R58" s="23" t="s">
        <v>1433</v>
      </c>
      <c r="S58" s="24" t="s">
        <v>155</v>
      </c>
      <c r="T58" s="25" t="s">
        <v>81</v>
      </c>
      <c r="U58" s="26">
        <v>1</v>
      </c>
      <c r="V58" s="26">
        <f t="shared" si="12"/>
        <v>1</v>
      </c>
      <c r="W58" s="26">
        <f t="shared" si="5"/>
        <v>350211.64</v>
      </c>
      <c r="X58" s="127">
        <f t="shared" si="9"/>
        <v>0</v>
      </c>
      <c r="Y58" s="127">
        <f t="shared" si="6"/>
        <v>1</v>
      </c>
      <c r="Z58" s="127">
        <f t="shared" si="13"/>
        <v>0</v>
      </c>
      <c r="AA58" s="127">
        <f t="shared" si="7"/>
        <v>350211.64</v>
      </c>
      <c r="AB58" s="33" t="s">
        <v>15</v>
      </c>
      <c r="AC58" s="324"/>
      <c r="AD58" s="181">
        <f t="shared" si="2"/>
        <v>1</v>
      </c>
      <c r="AE58" s="181">
        <f t="shared" si="14"/>
        <v>350211.64</v>
      </c>
      <c r="AF58" s="181">
        <v>1.2</v>
      </c>
      <c r="AG58" s="181">
        <v>1.2</v>
      </c>
      <c r="AH58" s="363" t="str">
        <f t="shared" si="8"/>
        <v/>
      </c>
      <c r="AI58" s="194">
        <f>1</f>
        <v>1</v>
      </c>
      <c r="AJ58" s="188">
        <v>1</v>
      </c>
      <c r="AO58" s="367"/>
      <c r="AP58" s="367"/>
      <c r="AQ58" s="367"/>
    </row>
    <row r="59" spans="1:43" s="69" customFormat="1" ht="26.1" customHeight="1" x14ac:dyDescent="0.3">
      <c r="A59" s="55" t="s">
        <v>157</v>
      </c>
      <c r="B59" s="53" t="s">
        <v>158</v>
      </c>
      <c r="C59" s="54" t="s">
        <v>81</v>
      </c>
      <c r="D59" s="75">
        <v>1</v>
      </c>
      <c r="E59" s="75"/>
      <c r="F59" s="75"/>
      <c r="G59" s="75"/>
      <c r="H59" s="75"/>
      <c r="I59" s="75"/>
      <c r="J59" s="75">
        <v>309726.87</v>
      </c>
      <c r="K59" s="75">
        <v>309726.87</v>
      </c>
      <c r="L59" s="91" t="s">
        <v>159</v>
      </c>
      <c r="M59" s="73"/>
      <c r="N59" s="46">
        <v>0</v>
      </c>
      <c r="O59" s="46">
        <v>0</v>
      </c>
      <c r="P59" s="46">
        <v>0</v>
      </c>
      <c r="Q59" s="98"/>
      <c r="R59" s="23" t="s">
        <v>1382</v>
      </c>
      <c r="S59" s="24" t="s">
        <v>158</v>
      </c>
      <c r="T59" s="25" t="s">
        <v>81</v>
      </c>
      <c r="U59" s="26">
        <v>1</v>
      </c>
      <c r="V59" s="26">
        <f t="shared" si="12"/>
        <v>1</v>
      </c>
      <c r="W59" s="26">
        <f t="shared" si="5"/>
        <v>309726.87</v>
      </c>
      <c r="X59" s="26">
        <f t="shared" si="9"/>
        <v>0</v>
      </c>
      <c r="Y59" s="26">
        <f t="shared" si="6"/>
        <v>0</v>
      </c>
      <c r="Z59" s="26">
        <f t="shared" si="13"/>
        <v>0</v>
      </c>
      <c r="AA59" s="26">
        <f t="shared" si="7"/>
        <v>0</v>
      </c>
      <c r="AB59" s="33" t="s">
        <v>15</v>
      </c>
      <c r="AC59" s="324"/>
      <c r="AD59" s="181">
        <f t="shared" si="2"/>
        <v>1</v>
      </c>
      <c r="AE59" s="181">
        <f t="shared" si="14"/>
        <v>309726.87</v>
      </c>
      <c r="AF59" s="181">
        <v>1.2</v>
      </c>
      <c r="AG59" s="181">
        <v>1.2</v>
      </c>
      <c r="AH59" s="363" t="str">
        <f t="shared" si="8"/>
        <v/>
      </c>
      <c r="AI59" s="192">
        <v>0</v>
      </c>
      <c r="AJ59" s="188">
        <v>1</v>
      </c>
      <c r="AO59" s="367"/>
      <c r="AP59" s="367"/>
      <c r="AQ59" s="367"/>
    </row>
    <row r="60" spans="1:43" s="69" customFormat="1" ht="26.1" customHeight="1" x14ac:dyDescent="0.3">
      <c r="A60" s="130" t="s">
        <v>160</v>
      </c>
      <c r="B60" s="131" t="s">
        <v>161</v>
      </c>
      <c r="C60" s="132" t="s">
        <v>162</v>
      </c>
      <c r="D60" s="133">
        <v>19</v>
      </c>
      <c r="E60" s="75"/>
      <c r="F60" s="75"/>
      <c r="G60" s="75"/>
      <c r="H60" s="75"/>
      <c r="I60" s="75"/>
      <c r="J60" s="75">
        <v>1134.56</v>
      </c>
      <c r="K60" s="75">
        <v>21556.639999999999</v>
      </c>
      <c r="L60" s="91" t="s">
        <v>163</v>
      </c>
      <c r="M60" s="73"/>
      <c r="N60" s="46">
        <v>19</v>
      </c>
      <c r="O60" s="46">
        <v>0</v>
      </c>
      <c r="P60" s="46">
        <v>21556.639999999999</v>
      </c>
      <c r="Q60" s="98"/>
      <c r="R60" s="23" t="s">
        <v>1434</v>
      </c>
      <c r="S60" s="24" t="s">
        <v>161</v>
      </c>
      <c r="T60" s="25" t="s">
        <v>162</v>
      </c>
      <c r="U60" s="26">
        <v>19</v>
      </c>
      <c r="V60" s="26">
        <f t="shared" si="12"/>
        <v>19</v>
      </c>
      <c r="W60" s="26">
        <f t="shared" si="5"/>
        <v>1134.56</v>
      </c>
      <c r="X60" s="127">
        <f t="shared" si="9"/>
        <v>0</v>
      </c>
      <c r="Y60" s="127">
        <f t="shared" si="6"/>
        <v>19</v>
      </c>
      <c r="Z60" s="127">
        <f t="shared" si="13"/>
        <v>0</v>
      </c>
      <c r="AA60" s="127">
        <f t="shared" si="7"/>
        <v>21556.639999999999</v>
      </c>
      <c r="AB60" s="33" t="s">
        <v>15</v>
      </c>
      <c r="AC60" s="324"/>
      <c r="AD60" s="181">
        <f t="shared" si="2"/>
        <v>19</v>
      </c>
      <c r="AE60" s="181">
        <f t="shared" si="14"/>
        <v>21556.639999999999</v>
      </c>
      <c r="AF60" s="181">
        <v>1.2</v>
      </c>
      <c r="AG60" s="181">
        <v>1.2</v>
      </c>
      <c r="AH60" s="363" t="str">
        <f t="shared" si="8"/>
        <v/>
      </c>
      <c r="AI60" s="194">
        <f>14+5</f>
        <v>19</v>
      </c>
      <c r="AJ60" s="188">
        <v>19</v>
      </c>
      <c r="AO60" s="367"/>
      <c r="AP60" s="367"/>
      <c r="AQ60" s="367"/>
    </row>
    <row r="61" spans="1:43" s="69" customFormat="1" ht="26.1" customHeight="1" x14ac:dyDescent="0.3">
      <c r="A61" s="130" t="s">
        <v>164</v>
      </c>
      <c r="B61" s="131" t="s">
        <v>165</v>
      </c>
      <c r="C61" s="132" t="s">
        <v>103</v>
      </c>
      <c r="D61" s="133">
        <v>179.11</v>
      </c>
      <c r="E61" s="75"/>
      <c r="F61" s="75"/>
      <c r="G61" s="75"/>
      <c r="H61" s="75"/>
      <c r="I61" s="75"/>
      <c r="J61" s="120">
        <v>145.21</v>
      </c>
      <c r="K61" s="75">
        <v>26008.560000000001</v>
      </c>
      <c r="L61" s="91" t="s">
        <v>166</v>
      </c>
      <c r="M61" s="73"/>
      <c r="N61" s="46">
        <v>179.11</v>
      </c>
      <c r="O61" s="46">
        <v>0</v>
      </c>
      <c r="P61" s="46">
        <v>26008.560000000001</v>
      </c>
      <c r="Q61" s="98"/>
      <c r="R61" s="23" t="s">
        <v>1388</v>
      </c>
      <c r="S61" s="24" t="s">
        <v>165</v>
      </c>
      <c r="T61" s="25" t="s">
        <v>103</v>
      </c>
      <c r="U61" s="26">
        <v>179.11</v>
      </c>
      <c r="V61" s="26">
        <f t="shared" si="12"/>
        <v>179.11</v>
      </c>
      <c r="W61" s="26">
        <f t="shared" si="5"/>
        <v>145.21</v>
      </c>
      <c r="X61" s="127">
        <f t="shared" si="9"/>
        <v>0</v>
      </c>
      <c r="Y61" s="127">
        <f t="shared" si="6"/>
        <v>179.11</v>
      </c>
      <c r="Z61" s="127">
        <f t="shared" si="13"/>
        <v>0</v>
      </c>
      <c r="AA61" s="127">
        <f t="shared" si="7"/>
        <v>26008.560000000001</v>
      </c>
      <c r="AB61" s="33" t="s">
        <v>15</v>
      </c>
      <c r="AC61" s="324"/>
      <c r="AD61" s="181">
        <f t="shared" si="2"/>
        <v>179.11</v>
      </c>
      <c r="AE61" s="181">
        <f t="shared" si="14"/>
        <v>26008.560000000001</v>
      </c>
      <c r="AF61" s="181">
        <v>1.2</v>
      </c>
      <c r="AG61" s="181">
        <v>1.2</v>
      </c>
      <c r="AH61" s="363" t="str">
        <f t="shared" si="8"/>
        <v/>
      </c>
      <c r="AI61" s="194">
        <f>179.11</f>
        <v>179.11</v>
      </c>
      <c r="AJ61" s="188">
        <v>179.11</v>
      </c>
      <c r="AO61" s="367"/>
      <c r="AP61" s="367"/>
      <c r="AQ61" s="367"/>
    </row>
    <row r="62" spans="1:43" s="69" customFormat="1" ht="26.1" customHeight="1" x14ac:dyDescent="0.3">
      <c r="A62" s="55" t="s">
        <v>167</v>
      </c>
      <c r="B62" s="53" t="s">
        <v>168</v>
      </c>
      <c r="C62" s="54" t="s">
        <v>30</v>
      </c>
      <c r="D62" s="75">
        <v>789.8</v>
      </c>
      <c r="E62" s="75"/>
      <c r="F62" s="75"/>
      <c r="G62" s="75"/>
      <c r="H62" s="75"/>
      <c r="I62" s="75"/>
      <c r="J62" s="75">
        <v>2755.97</v>
      </c>
      <c r="K62" s="75">
        <v>2176665.11</v>
      </c>
      <c r="L62" s="91" t="s">
        <v>169</v>
      </c>
      <c r="M62" s="73"/>
      <c r="N62" s="46">
        <v>740.8</v>
      </c>
      <c r="O62" s="46">
        <v>304396.89000000013</v>
      </c>
      <c r="P62" s="46">
        <v>2041622.58</v>
      </c>
      <c r="Q62" s="98"/>
      <c r="R62" s="23" t="s">
        <v>1389</v>
      </c>
      <c r="S62" s="24" t="s">
        <v>168</v>
      </c>
      <c r="T62" s="25" t="s">
        <v>30</v>
      </c>
      <c r="U62" s="26">
        <v>789.8</v>
      </c>
      <c r="V62" s="26">
        <f t="shared" si="12"/>
        <v>789.8</v>
      </c>
      <c r="W62" s="26">
        <f t="shared" si="5"/>
        <v>2755.97</v>
      </c>
      <c r="X62" s="128">
        <f t="shared" si="9"/>
        <v>0</v>
      </c>
      <c r="Y62" s="26">
        <f t="shared" si="6"/>
        <v>740.8</v>
      </c>
      <c r="Z62" s="26">
        <f t="shared" si="13"/>
        <v>0</v>
      </c>
      <c r="AA62" s="26">
        <f t="shared" si="7"/>
        <v>2041622.58</v>
      </c>
      <c r="AB62" s="33" t="s">
        <v>15</v>
      </c>
      <c r="AC62" s="324"/>
      <c r="AD62" s="181">
        <f t="shared" si="2"/>
        <v>789.8</v>
      </c>
      <c r="AE62" s="181">
        <f t="shared" si="14"/>
        <v>2176665.11</v>
      </c>
      <c r="AF62" s="181">
        <v>1.2</v>
      </c>
      <c r="AG62" s="181">
        <v>1.2</v>
      </c>
      <c r="AH62" s="363" t="str">
        <f t="shared" si="8"/>
        <v/>
      </c>
      <c r="AI62" s="194">
        <v>740.8</v>
      </c>
      <c r="AJ62" s="188">
        <v>789.8</v>
      </c>
      <c r="AO62" s="367"/>
      <c r="AP62" s="367"/>
      <c r="AQ62" s="367"/>
    </row>
    <row r="63" spans="1:43" s="69" customFormat="1" ht="26.1" customHeight="1" x14ac:dyDescent="0.3">
      <c r="A63" s="55" t="s">
        <v>170</v>
      </c>
      <c r="B63" s="53" t="s">
        <v>171</v>
      </c>
      <c r="C63" s="54" t="s">
        <v>30</v>
      </c>
      <c r="D63" s="75">
        <v>31.3</v>
      </c>
      <c r="E63" s="75"/>
      <c r="F63" s="75"/>
      <c r="G63" s="75"/>
      <c r="H63" s="75"/>
      <c r="I63" s="75"/>
      <c r="J63" s="75">
        <v>576.79999999999995</v>
      </c>
      <c r="K63" s="75">
        <v>18053.84</v>
      </c>
      <c r="L63" s="91" t="s">
        <v>172</v>
      </c>
      <c r="M63" s="73"/>
      <c r="N63" s="46">
        <v>10.199999999999999</v>
      </c>
      <c r="O63" s="46">
        <v>5883.36</v>
      </c>
      <c r="P63" s="46">
        <v>5883.36</v>
      </c>
      <c r="Q63" s="98"/>
      <c r="R63" s="23" t="s">
        <v>1390</v>
      </c>
      <c r="S63" s="24" t="s">
        <v>171</v>
      </c>
      <c r="T63" s="25" t="s">
        <v>30</v>
      </c>
      <c r="U63" s="26">
        <v>31.3</v>
      </c>
      <c r="V63" s="26">
        <f t="shared" si="12"/>
        <v>31.3</v>
      </c>
      <c r="W63" s="26">
        <f t="shared" si="5"/>
        <v>576.79999999999995</v>
      </c>
      <c r="X63" s="128">
        <f t="shared" si="9"/>
        <v>0</v>
      </c>
      <c r="Y63" s="26">
        <f t="shared" si="6"/>
        <v>10.199999999999999</v>
      </c>
      <c r="Z63" s="26">
        <f t="shared" si="13"/>
        <v>0</v>
      </c>
      <c r="AA63" s="26">
        <f t="shared" si="7"/>
        <v>5883.36</v>
      </c>
      <c r="AB63" s="33" t="s">
        <v>15</v>
      </c>
      <c r="AC63" s="324"/>
      <c r="AD63" s="181">
        <f t="shared" si="2"/>
        <v>31.3</v>
      </c>
      <c r="AE63" s="181">
        <f t="shared" si="14"/>
        <v>18053.84</v>
      </c>
      <c r="AF63" s="181">
        <v>1.2</v>
      </c>
      <c r="AG63" s="181">
        <v>1.2</v>
      </c>
      <c r="AH63" s="363" t="str">
        <f t="shared" si="8"/>
        <v/>
      </c>
      <c r="AI63" s="194">
        <v>10.199999999999999</v>
      </c>
      <c r="AJ63" s="188">
        <v>31.3</v>
      </c>
      <c r="AO63" s="367"/>
      <c r="AP63" s="367"/>
      <c r="AQ63" s="367"/>
    </row>
    <row r="64" spans="1:43" s="69" customFormat="1" ht="26.1" customHeight="1" x14ac:dyDescent="0.3">
      <c r="A64" s="55" t="s">
        <v>173</v>
      </c>
      <c r="B64" s="215" t="s">
        <v>174</v>
      </c>
      <c r="C64" s="54" t="s">
        <v>30</v>
      </c>
      <c r="D64" s="75">
        <v>360.35</v>
      </c>
      <c r="E64" s="75"/>
      <c r="F64" s="75"/>
      <c r="G64" s="75"/>
      <c r="H64" s="75"/>
      <c r="I64" s="75"/>
      <c r="J64" s="75">
        <v>615.34</v>
      </c>
      <c r="K64" s="75">
        <v>221737.77</v>
      </c>
      <c r="L64" s="91" t="s">
        <v>175</v>
      </c>
      <c r="M64" s="73"/>
      <c r="N64" s="46">
        <v>292</v>
      </c>
      <c r="O64" s="46">
        <v>0</v>
      </c>
      <c r="P64" s="46">
        <v>179679.28</v>
      </c>
      <c r="Q64" s="98"/>
      <c r="R64" s="23" t="s">
        <v>1391</v>
      </c>
      <c r="S64" s="24" t="s">
        <v>174</v>
      </c>
      <c r="T64" s="25" t="s">
        <v>30</v>
      </c>
      <c r="U64" s="26">
        <v>360.35</v>
      </c>
      <c r="V64" s="26">
        <f t="shared" si="12"/>
        <v>360.35</v>
      </c>
      <c r="W64" s="26">
        <f t="shared" si="5"/>
        <v>615.34</v>
      </c>
      <c r="X64" s="128">
        <f t="shared" si="9"/>
        <v>0</v>
      </c>
      <c r="Y64" s="26">
        <f t="shared" si="6"/>
        <v>292</v>
      </c>
      <c r="Z64" s="26">
        <f t="shared" si="13"/>
        <v>0</v>
      </c>
      <c r="AA64" s="26">
        <f t="shared" si="7"/>
        <v>179679.28</v>
      </c>
      <c r="AB64" s="33" t="s">
        <v>15</v>
      </c>
      <c r="AC64" s="325"/>
      <c r="AD64" s="263">
        <f t="shared" si="2"/>
        <v>360.35</v>
      </c>
      <c r="AE64" s="263">
        <f t="shared" si="14"/>
        <v>221737.77</v>
      </c>
      <c r="AF64" s="263">
        <v>1.2</v>
      </c>
      <c r="AG64" s="263">
        <v>1.2</v>
      </c>
      <c r="AH64" s="68" t="str">
        <f t="shared" si="8"/>
        <v/>
      </c>
      <c r="AI64" s="194">
        <v>292</v>
      </c>
      <c r="AJ64" s="188">
        <v>360.35</v>
      </c>
      <c r="AO64" s="367"/>
      <c r="AP64" s="367"/>
      <c r="AQ64" s="367"/>
    </row>
    <row r="65" spans="1:43" s="69" customFormat="1" ht="26.1" customHeight="1" x14ac:dyDescent="0.3">
      <c r="A65" s="130" t="s">
        <v>176</v>
      </c>
      <c r="B65" s="131" t="s">
        <v>177</v>
      </c>
      <c r="C65" s="132" t="s">
        <v>30</v>
      </c>
      <c r="D65" s="133">
        <v>691.14</v>
      </c>
      <c r="E65" s="75"/>
      <c r="F65" s="75"/>
      <c r="G65" s="75"/>
      <c r="H65" s="75"/>
      <c r="I65" s="75"/>
      <c r="J65" s="75">
        <v>685.3</v>
      </c>
      <c r="K65" s="75">
        <v>473638.24</v>
      </c>
      <c r="L65" s="91" t="s">
        <v>178</v>
      </c>
      <c r="M65" s="73"/>
      <c r="N65" s="46">
        <v>670</v>
      </c>
      <c r="O65" s="46">
        <v>0</v>
      </c>
      <c r="P65" s="46">
        <v>459151</v>
      </c>
      <c r="Q65" s="98"/>
      <c r="R65" s="23" t="s">
        <v>1436</v>
      </c>
      <c r="S65" s="24" t="s">
        <v>177</v>
      </c>
      <c r="T65" s="25" t="s">
        <v>30</v>
      </c>
      <c r="U65" s="26">
        <v>691.14</v>
      </c>
      <c r="V65" s="26">
        <f t="shared" si="12"/>
        <v>691.14</v>
      </c>
      <c r="W65" s="26">
        <f t="shared" si="5"/>
        <v>685.3</v>
      </c>
      <c r="X65" s="127">
        <f t="shared" si="9"/>
        <v>0</v>
      </c>
      <c r="Y65" s="127">
        <f t="shared" si="6"/>
        <v>670</v>
      </c>
      <c r="Z65" s="127">
        <f t="shared" si="13"/>
        <v>0</v>
      </c>
      <c r="AA65" s="127">
        <f t="shared" si="7"/>
        <v>459151</v>
      </c>
      <c r="AB65" s="33" t="s">
        <v>15</v>
      </c>
      <c r="AC65" s="324"/>
      <c r="AD65" s="181">
        <f t="shared" si="2"/>
        <v>691.14</v>
      </c>
      <c r="AE65" s="181">
        <f t="shared" si="14"/>
        <v>473638.24</v>
      </c>
      <c r="AF65" s="181">
        <v>1.2</v>
      </c>
      <c r="AG65" s="181">
        <v>1.2</v>
      </c>
      <c r="AH65" s="363" t="str">
        <f t="shared" si="8"/>
        <v/>
      </c>
      <c r="AI65" s="194">
        <v>670</v>
      </c>
      <c r="AJ65" s="188">
        <v>691.14</v>
      </c>
      <c r="AO65" s="367"/>
      <c r="AP65" s="367"/>
      <c r="AQ65" s="367"/>
    </row>
    <row r="66" spans="1:43" s="69" customFormat="1" ht="26.1" customHeight="1" x14ac:dyDescent="0.3">
      <c r="A66" s="130" t="s">
        <v>179</v>
      </c>
      <c r="B66" s="131" t="s">
        <v>180</v>
      </c>
      <c r="C66" s="132" t="s">
        <v>30</v>
      </c>
      <c r="D66" s="133">
        <v>890.62</v>
      </c>
      <c r="E66" s="75"/>
      <c r="F66" s="75"/>
      <c r="G66" s="75"/>
      <c r="H66" s="75"/>
      <c r="I66" s="75"/>
      <c r="J66" s="75">
        <v>699.72</v>
      </c>
      <c r="K66" s="75">
        <v>623184.63</v>
      </c>
      <c r="L66" s="91" t="s">
        <v>181</v>
      </c>
      <c r="M66" s="73"/>
      <c r="N66" s="46">
        <v>884.1</v>
      </c>
      <c r="O66" s="46">
        <v>5317.8699999999953</v>
      </c>
      <c r="P66" s="46">
        <v>618622.44999999995</v>
      </c>
      <c r="Q66" s="98"/>
      <c r="R66" s="23" t="s">
        <v>1374</v>
      </c>
      <c r="S66" s="24" t="s">
        <v>180</v>
      </c>
      <c r="T66" s="25" t="s">
        <v>30</v>
      </c>
      <c r="U66" s="26">
        <v>890.62</v>
      </c>
      <c r="V66" s="26">
        <f t="shared" si="12"/>
        <v>890.62</v>
      </c>
      <c r="W66" s="26">
        <f t="shared" si="5"/>
        <v>699.72</v>
      </c>
      <c r="X66" s="127">
        <f t="shared" si="9"/>
        <v>0</v>
      </c>
      <c r="Y66" s="127">
        <f t="shared" si="6"/>
        <v>884.1</v>
      </c>
      <c r="Z66" s="127">
        <f t="shared" si="13"/>
        <v>0</v>
      </c>
      <c r="AA66" s="127">
        <f t="shared" si="7"/>
        <v>618622.44999999995</v>
      </c>
      <c r="AB66" s="33" t="s">
        <v>15</v>
      </c>
      <c r="AC66" s="324"/>
      <c r="AD66" s="181">
        <f t="shared" si="2"/>
        <v>890.62</v>
      </c>
      <c r="AE66" s="181">
        <f t="shared" si="14"/>
        <v>623184.63</v>
      </c>
      <c r="AF66" s="181">
        <v>1.2</v>
      </c>
      <c r="AG66" s="181">
        <v>1.2</v>
      </c>
      <c r="AH66" s="363" t="str">
        <f t="shared" si="8"/>
        <v/>
      </c>
      <c r="AI66" s="194">
        <v>884.1</v>
      </c>
      <c r="AJ66" s="188">
        <v>890.62</v>
      </c>
      <c r="AO66" s="367"/>
      <c r="AP66" s="367"/>
      <c r="AQ66" s="367"/>
    </row>
    <row r="67" spans="1:43" s="69" customFormat="1" ht="26.1" customHeight="1" x14ac:dyDescent="0.3">
      <c r="A67" s="130" t="s">
        <v>182</v>
      </c>
      <c r="B67" s="131" t="s">
        <v>183</v>
      </c>
      <c r="C67" s="132" t="s">
        <v>30</v>
      </c>
      <c r="D67" s="133">
        <v>85.77</v>
      </c>
      <c r="E67" s="75"/>
      <c r="F67" s="75"/>
      <c r="G67" s="75"/>
      <c r="H67" s="75"/>
      <c r="I67" s="75"/>
      <c r="J67" s="75">
        <v>1199.33</v>
      </c>
      <c r="K67" s="75">
        <v>102866.53</v>
      </c>
      <c r="L67" s="91" t="s">
        <v>184</v>
      </c>
      <c r="M67" s="73"/>
      <c r="N67" s="46">
        <v>80.5</v>
      </c>
      <c r="O67" s="46">
        <v>0</v>
      </c>
      <c r="P67" s="46">
        <v>96546.07</v>
      </c>
      <c r="Q67" s="98"/>
      <c r="R67" s="23" t="s">
        <v>1376</v>
      </c>
      <c r="S67" s="24" t="s">
        <v>183</v>
      </c>
      <c r="T67" s="25" t="s">
        <v>30</v>
      </c>
      <c r="U67" s="26">
        <v>85.77</v>
      </c>
      <c r="V67" s="26">
        <f t="shared" si="12"/>
        <v>85.77</v>
      </c>
      <c r="W67" s="26">
        <f t="shared" si="5"/>
        <v>1199.33</v>
      </c>
      <c r="X67" s="127">
        <f t="shared" si="9"/>
        <v>0</v>
      </c>
      <c r="Y67" s="127">
        <f t="shared" si="6"/>
        <v>80.5</v>
      </c>
      <c r="Z67" s="127">
        <f t="shared" si="13"/>
        <v>0</v>
      </c>
      <c r="AA67" s="127">
        <f t="shared" si="7"/>
        <v>96546.07</v>
      </c>
      <c r="AB67" s="33" t="s">
        <v>15</v>
      </c>
      <c r="AC67" s="324"/>
      <c r="AD67" s="181">
        <f t="shared" si="2"/>
        <v>85.77</v>
      </c>
      <c r="AE67" s="181">
        <f t="shared" si="14"/>
        <v>102866.53</v>
      </c>
      <c r="AF67" s="181">
        <v>1.2</v>
      </c>
      <c r="AG67" s="181">
        <v>1.2</v>
      </c>
      <c r="AH67" s="363" t="str">
        <f t="shared" si="8"/>
        <v/>
      </c>
      <c r="AI67" s="194">
        <f>12+26.5+42</f>
        <v>80.5</v>
      </c>
      <c r="AJ67" s="188">
        <v>85.77</v>
      </c>
      <c r="AO67" s="367"/>
      <c r="AP67" s="367"/>
      <c r="AQ67" s="367"/>
    </row>
    <row r="68" spans="1:43" s="69" customFormat="1" ht="26.1" customHeight="1" x14ac:dyDescent="0.3">
      <c r="A68" s="130" t="s">
        <v>185</v>
      </c>
      <c r="B68" s="131" t="s">
        <v>186</v>
      </c>
      <c r="C68" s="132" t="s">
        <v>30</v>
      </c>
      <c r="D68" s="133">
        <v>187.82</v>
      </c>
      <c r="E68" s="75"/>
      <c r="F68" s="75"/>
      <c r="G68" s="75"/>
      <c r="H68" s="75"/>
      <c r="I68" s="75"/>
      <c r="J68" s="75">
        <v>57.68</v>
      </c>
      <c r="K68" s="75">
        <v>10833.46</v>
      </c>
      <c r="L68" s="91" t="s">
        <v>187</v>
      </c>
      <c r="M68" s="73"/>
      <c r="N68" s="46">
        <v>181.8</v>
      </c>
      <c r="O68" s="46">
        <v>0</v>
      </c>
      <c r="P68" s="46">
        <v>10486.22</v>
      </c>
      <c r="Q68" s="98"/>
      <c r="R68" s="23" t="s">
        <v>1378</v>
      </c>
      <c r="S68" s="24" t="s">
        <v>186</v>
      </c>
      <c r="T68" s="25" t="s">
        <v>30</v>
      </c>
      <c r="U68" s="26">
        <v>187.82</v>
      </c>
      <c r="V68" s="26">
        <f t="shared" si="12"/>
        <v>187.82</v>
      </c>
      <c r="W68" s="26">
        <f t="shared" si="5"/>
        <v>57.68</v>
      </c>
      <c r="X68" s="127">
        <f t="shared" si="9"/>
        <v>0</v>
      </c>
      <c r="Y68" s="127">
        <f t="shared" si="6"/>
        <v>181.8</v>
      </c>
      <c r="Z68" s="127">
        <f t="shared" si="13"/>
        <v>0</v>
      </c>
      <c r="AA68" s="127">
        <f t="shared" si="7"/>
        <v>10486.22</v>
      </c>
      <c r="AB68" s="33" t="s">
        <v>15</v>
      </c>
      <c r="AC68" s="324"/>
      <c r="AD68" s="181">
        <f t="shared" si="2"/>
        <v>187.82</v>
      </c>
      <c r="AE68" s="181">
        <f t="shared" si="14"/>
        <v>10833.46</v>
      </c>
      <c r="AF68" s="181">
        <v>1.2</v>
      </c>
      <c r="AG68" s="181">
        <v>1.2</v>
      </c>
      <c r="AH68" s="363" t="str">
        <f t="shared" si="8"/>
        <v/>
      </c>
      <c r="AI68" s="194">
        <f>132.6+49.2</f>
        <v>181.8</v>
      </c>
      <c r="AJ68" s="188">
        <v>187.82</v>
      </c>
      <c r="AO68" s="367"/>
      <c r="AP68" s="367"/>
      <c r="AQ68" s="367"/>
    </row>
    <row r="69" spans="1:43" s="69" customFormat="1" ht="26.1" customHeight="1" x14ac:dyDescent="0.3">
      <c r="A69" s="55" t="s">
        <v>188</v>
      </c>
      <c r="B69" s="53" t="s">
        <v>189</v>
      </c>
      <c r="C69" s="54" t="s">
        <v>30</v>
      </c>
      <c r="D69" s="75">
        <v>18.809999999999999</v>
      </c>
      <c r="E69" s="75"/>
      <c r="F69" s="75"/>
      <c r="G69" s="75"/>
      <c r="H69" s="75"/>
      <c r="I69" s="75"/>
      <c r="J69" s="75">
        <v>138.84</v>
      </c>
      <c r="K69" s="75">
        <v>2611.58</v>
      </c>
      <c r="L69" s="91" t="s">
        <v>190</v>
      </c>
      <c r="M69" s="73"/>
      <c r="N69" s="46">
        <v>15.2</v>
      </c>
      <c r="O69" s="46">
        <v>0</v>
      </c>
      <c r="P69" s="46">
        <v>2110.37</v>
      </c>
      <c r="Q69" s="98"/>
      <c r="R69" s="23" t="s">
        <v>1438</v>
      </c>
      <c r="S69" s="24" t="s">
        <v>189</v>
      </c>
      <c r="T69" s="25" t="s">
        <v>30</v>
      </c>
      <c r="U69" s="26">
        <v>18.809999999999999</v>
      </c>
      <c r="V69" s="26">
        <f t="shared" si="12"/>
        <v>18.809999999999999</v>
      </c>
      <c r="W69" s="26">
        <f t="shared" si="5"/>
        <v>138.84</v>
      </c>
      <c r="X69" s="26">
        <f t="shared" si="9"/>
        <v>0</v>
      </c>
      <c r="Y69" s="26">
        <f t="shared" si="6"/>
        <v>15.2</v>
      </c>
      <c r="Z69" s="26">
        <f t="shared" si="13"/>
        <v>0</v>
      </c>
      <c r="AA69" s="26">
        <f t="shared" si="7"/>
        <v>2110.37</v>
      </c>
      <c r="AB69" s="33" t="s">
        <v>15</v>
      </c>
      <c r="AC69" s="325"/>
      <c r="AD69" s="263">
        <f t="shared" si="2"/>
        <v>18.809999999999999</v>
      </c>
      <c r="AE69" s="263">
        <f t="shared" si="14"/>
        <v>2611.58</v>
      </c>
      <c r="AF69" s="263">
        <v>1.2</v>
      </c>
      <c r="AG69" s="263">
        <v>1.2</v>
      </c>
      <c r="AH69" s="68" t="str">
        <f t="shared" si="8"/>
        <v/>
      </c>
      <c r="AI69" s="194">
        <f>15.2</f>
        <v>15.2</v>
      </c>
      <c r="AJ69" s="188">
        <v>18.809999999999999</v>
      </c>
      <c r="AO69" s="367"/>
      <c r="AP69" s="367"/>
      <c r="AQ69" s="367"/>
    </row>
    <row r="70" spans="1:43" s="69" customFormat="1" ht="26.1" customHeight="1" x14ac:dyDescent="0.3">
      <c r="A70" s="55" t="s">
        <v>191</v>
      </c>
      <c r="B70" s="53" t="s">
        <v>192</v>
      </c>
      <c r="C70" s="54" t="s">
        <v>50</v>
      </c>
      <c r="D70" s="75">
        <v>20.48</v>
      </c>
      <c r="E70" s="75"/>
      <c r="F70" s="75"/>
      <c r="G70" s="75"/>
      <c r="H70" s="75"/>
      <c r="I70" s="75"/>
      <c r="J70" s="75">
        <v>2145.42</v>
      </c>
      <c r="K70" s="75">
        <v>43938.2</v>
      </c>
      <c r="L70" s="91" t="s">
        <v>193</v>
      </c>
      <c r="M70" s="73"/>
      <c r="N70" s="46">
        <v>19.5</v>
      </c>
      <c r="O70" s="46">
        <v>0</v>
      </c>
      <c r="P70" s="46">
        <v>41835.69</v>
      </c>
      <c r="Q70" s="98"/>
      <c r="R70" s="23" t="s">
        <v>1439</v>
      </c>
      <c r="S70" s="24" t="s">
        <v>192</v>
      </c>
      <c r="T70" s="25" t="s">
        <v>50</v>
      </c>
      <c r="U70" s="26">
        <v>20.48</v>
      </c>
      <c r="V70" s="26">
        <f t="shared" si="12"/>
        <v>20.48</v>
      </c>
      <c r="W70" s="26">
        <f t="shared" si="5"/>
        <v>2145.42</v>
      </c>
      <c r="X70" s="128">
        <f t="shared" si="9"/>
        <v>0</v>
      </c>
      <c r="Y70" s="26">
        <f t="shared" si="6"/>
        <v>19.5</v>
      </c>
      <c r="Z70" s="26">
        <f t="shared" si="13"/>
        <v>0</v>
      </c>
      <c r="AA70" s="26">
        <f t="shared" si="7"/>
        <v>41835.69</v>
      </c>
      <c r="AB70" s="33" t="s">
        <v>15</v>
      </c>
      <c r="AC70" s="325"/>
      <c r="AD70" s="263">
        <f t="shared" si="2"/>
        <v>20.48</v>
      </c>
      <c r="AE70" s="263">
        <f t="shared" si="14"/>
        <v>43938.2</v>
      </c>
      <c r="AF70" s="263">
        <v>1.2</v>
      </c>
      <c r="AG70" s="263">
        <v>1.2</v>
      </c>
      <c r="AH70" s="68" t="str">
        <f t="shared" si="8"/>
        <v/>
      </c>
      <c r="AI70" s="194">
        <f>15.2+4.3</f>
        <v>19.5</v>
      </c>
      <c r="AJ70" s="188">
        <v>20.48</v>
      </c>
      <c r="AO70" s="367"/>
      <c r="AP70" s="367"/>
      <c r="AQ70" s="367"/>
    </row>
    <row r="71" spans="1:43" s="69" customFormat="1" ht="26.1" customHeight="1" x14ac:dyDescent="0.3">
      <c r="A71" s="55" t="s">
        <v>194</v>
      </c>
      <c r="B71" s="215" t="s">
        <v>195</v>
      </c>
      <c r="C71" s="54" t="s">
        <v>30</v>
      </c>
      <c r="D71" s="75">
        <v>354.7</v>
      </c>
      <c r="E71" s="75"/>
      <c r="F71" s="75"/>
      <c r="G71" s="75"/>
      <c r="H71" s="75"/>
      <c r="I71" s="328">
        <v>400.18</v>
      </c>
      <c r="J71" s="75">
        <v>511.4</v>
      </c>
      <c r="K71" s="75">
        <v>204652.05</v>
      </c>
      <c r="L71" s="91" t="s">
        <v>3143</v>
      </c>
      <c r="M71" s="73"/>
      <c r="N71" s="46">
        <v>386.69999999999993</v>
      </c>
      <c r="O71" s="46">
        <v>16364.800000000017</v>
      </c>
      <c r="P71" s="46">
        <v>197758.38</v>
      </c>
      <c r="Q71" s="98"/>
      <c r="R71" s="23" t="s">
        <v>1440</v>
      </c>
      <c r="S71" s="24" t="s">
        <v>195</v>
      </c>
      <c r="T71" s="25" t="s">
        <v>30</v>
      </c>
      <c r="U71" s="26">
        <v>354.7</v>
      </c>
      <c r="V71" s="26">
        <f t="shared" si="12"/>
        <v>400.18</v>
      </c>
      <c r="W71" s="26">
        <f t="shared" si="5"/>
        <v>511.4</v>
      </c>
      <c r="X71" s="127">
        <f t="shared" si="9"/>
        <v>0</v>
      </c>
      <c r="Y71" s="127">
        <f t="shared" si="6"/>
        <v>386.69999999999993</v>
      </c>
      <c r="Z71" s="127">
        <f t="shared" si="13"/>
        <v>0</v>
      </c>
      <c r="AA71" s="127">
        <f t="shared" si="7"/>
        <v>197758.38</v>
      </c>
      <c r="AB71" s="33" t="s">
        <v>15</v>
      </c>
      <c r="AC71" s="325"/>
      <c r="AD71" s="263">
        <f t="shared" si="2"/>
        <v>400.18</v>
      </c>
      <c r="AE71" s="263">
        <f t="shared" si="14"/>
        <v>204652.05</v>
      </c>
      <c r="AF71" s="263">
        <v>1.2</v>
      </c>
      <c r="AG71" s="263">
        <v>1.2</v>
      </c>
      <c r="AH71" s="68" t="str">
        <f t="shared" si="8"/>
        <v/>
      </c>
      <c r="AI71" s="194">
        <f>127+51.2+107.1+69.4+32</f>
        <v>386.69999999999993</v>
      </c>
      <c r="AJ71" s="190">
        <v>400.18</v>
      </c>
      <c r="AO71" s="367"/>
      <c r="AP71" s="367"/>
      <c r="AQ71" s="367"/>
    </row>
    <row r="72" spans="1:43" s="69" customFormat="1" ht="26.1" customHeight="1" x14ac:dyDescent="0.3">
      <c r="A72" s="55" t="s">
        <v>197</v>
      </c>
      <c r="B72" s="53" t="s">
        <v>198</v>
      </c>
      <c r="C72" s="54" t="s">
        <v>30</v>
      </c>
      <c r="D72" s="75">
        <v>44.7</v>
      </c>
      <c r="E72" s="75"/>
      <c r="F72" s="75"/>
      <c r="G72" s="75"/>
      <c r="H72" s="75"/>
      <c r="I72" s="328"/>
      <c r="J72" s="75">
        <v>578.86</v>
      </c>
      <c r="K72" s="75">
        <v>25875.040000000001</v>
      </c>
      <c r="L72" s="91" t="s">
        <v>199</v>
      </c>
      <c r="M72" s="73"/>
      <c r="N72" s="46">
        <v>41.7</v>
      </c>
      <c r="O72" s="46">
        <v>5614.9399999999987</v>
      </c>
      <c r="P72" s="46">
        <v>24138.46</v>
      </c>
      <c r="Q72" s="98"/>
      <c r="R72" s="23" t="s">
        <v>1441</v>
      </c>
      <c r="S72" s="24" t="s">
        <v>198</v>
      </c>
      <c r="T72" s="25" t="s">
        <v>30</v>
      </c>
      <c r="U72" s="26">
        <v>44.7</v>
      </c>
      <c r="V72" s="26">
        <f t="shared" si="12"/>
        <v>44.7</v>
      </c>
      <c r="W72" s="26">
        <f t="shared" si="5"/>
        <v>578.86</v>
      </c>
      <c r="X72" s="127">
        <f t="shared" si="9"/>
        <v>0</v>
      </c>
      <c r="Y72" s="127">
        <f t="shared" si="6"/>
        <v>41.7</v>
      </c>
      <c r="Z72" s="127">
        <f t="shared" si="13"/>
        <v>0</v>
      </c>
      <c r="AA72" s="127">
        <f t="shared" si="7"/>
        <v>24138.46</v>
      </c>
      <c r="AB72" s="33" t="s">
        <v>15</v>
      </c>
      <c r="AC72" s="325"/>
      <c r="AD72" s="263">
        <f t="shared" si="2"/>
        <v>44.7</v>
      </c>
      <c r="AE72" s="263">
        <f t="shared" si="14"/>
        <v>25875.040000000001</v>
      </c>
      <c r="AF72" s="263">
        <v>1.2</v>
      </c>
      <c r="AG72" s="263">
        <v>1.2</v>
      </c>
      <c r="AH72" s="68" t="str">
        <f t="shared" si="8"/>
        <v/>
      </c>
      <c r="AI72" s="194">
        <v>41.7</v>
      </c>
      <c r="AJ72" s="188">
        <v>44.7</v>
      </c>
      <c r="AO72" s="367"/>
      <c r="AP72" s="367"/>
      <c r="AQ72" s="367"/>
    </row>
    <row r="73" spans="1:43" s="69" customFormat="1" ht="26.1" customHeight="1" x14ac:dyDescent="0.3">
      <c r="A73" s="55" t="s">
        <v>200</v>
      </c>
      <c r="B73" s="53" t="s">
        <v>201</v>
      </c>
      <c r="C73" s="54" t="s">
        <v>30</v>
      </c>
      <c r="D73" s="75">
        <v>31</v>
      </c>
      <c r="E73" s="75"/>
      <c r="F73" s="75"/>
      <c r="G73" s="75"/>
      <c r="H73" s="75"/>
      <c r="I73" s="328"/>
      <c r="J73" s="75">
        <v>723.06</v>
      </c>
      <c r="K73" s="75">
        <v>22414.86</v>
      </c>
      <c r="L73" s="91" t="s">
        <v>202</v>
      </c>
      <c r="M73" s="73"/>
      <c r="N73" s="46">
        <v>29</v>
      </c>
      <c r="O73" s="46">
        <v>20968.740000000002</v>
      </c>
      <c r="P73" s="46">
        <v>20968.740000000002</v>
      </c>
      <c r="Q73" s="98"/>
      <c r="R73" s="23" t="s">
        <v>1442</v>
      </c>
      <c r="S73" s="24" t="s">
        <v>201</v>
      </c>
      <c r="T73" s="25" t="s">
        <v>30</v>
      </c>
      <c r="U73" s="26">
        <v>31</v>
      </c>
      <c r="V73" s="26">
        <f t="shared" si="12"/>
        <v>31</v>
      </c>
      <c r="W73" s="26">
        <f t="shared" si="5"/>
        <v>723.06</v>
      </c>
      <c r="X73" s="128">
        <f t="shared" si="9"/>
        <v>0</v>
      </c>
      <c r="Y73" s="26">
        <f t="shared" si="6"/>
        <v>29</v>
      </c>
      <c r="Z73" s="26">
        <f t="shared" si="13"/>
        <v>0</v>
      </c>
      <c r="AA73" s="26">
        <f t="shared" si="7"/>
        <v>20968.740000000002</v>
      </c>
      <c r="AB73" s="33" t="s">
        <v>15</v>
      </c>
      <c r="AC73" s="325"/>
      <c r="AD73" s="263">
        <f t="shared" si="2"/>
        <v>31</v>
      </c>
      <c r="AE73" s="263">
        <f t="shared" si="14"/>
        <v>22414.86</v>
      </c>
      <c r="AF73" s="263">
        <v>1.2</v>
      </c>
      <c r="AG73" s="263">
        <v>1.2</v>
      </c>
      <c r="AH73" s="68" t="str">
        <f t="shared" si="8"/>
        <v/>
      </c>
      <c r="AI73" s="194">
        <v>29</v>
      </c>
      <c r="AJ73" s="188">
        <v>31</v>
      </c>
      <c r="AO73" s="367"/>
      <c r="AP73" s="367"/>
      <c r="AQ73" s="367"/>
    </row>
    <row r="74" spans="1:43" s="69" customFormat="1" ht="26.1" customHeight="1" x14ac:dyDescent="0.3">
      <c r="A74" s="55" t="s">
        <v>203</v>
      </c>
      <c r="B74" s="53" t="s">
        <v>204</v>
      </c>
      <c r="C74" s="54" t="s">
        <v>30</v>
      </c>
      <c r="D74" s="75">
        <v>18.100000000000001</v>
      </c>
      <c r="E74" s="75"/>
      <c r="F74" s="75"/>
      <c r="G74" s="75"/>
      <c r="H74" s="75"/>
      <c r="I74" s="328"/>
      <c r="J74" s="75">
        <v>829.15</v>
      </c>
      <c r="K74" s="75">
        <v>15007.62</v>
      </c>
      <c r="L74" s="91" t="s">
        <v>205</v>
      </c>
      <c r="M74" s="73"/>
      <c r="N74" s="46">
        <v>12</v>
      </c>
      <c r="O74" s="46">
        <v>4145.7499999999991</v>
      </c>
      <c r="P74" s="46">
        <v>9949.7999999999993</v>
      </c>
      <c r="Q74" s="98"/>
      <c r="R74" s="23" t="s">
        <v>1443</v>
      </c>
      <c r="S74" s="24" t="s">
        <v>204</v>
      </c>
      <c r="T74" s="25" t="s">
        <v>30</v>
      </c>
      <c r="U74" s="26">
        <v>18.100000000000001</v>
      </c>
      <c r="V74" s="26">
        <f t="shared" si="12"/>
        <v>18.100000000000001</v>
      </c>
      <c r="W74" s="26">
        <f t="shared" si="5"/>
        <v>829.15</v>
      </c>
      <c r="X74" s="128">
        <f t="shared" si="9"/>
        <v>0</v>
      </c>
      <c r="Y74" s="26">
        <f t="shared" si="6"/>
        <v>12</v>
      </c>
      <c r="Z74" s="26">
        <f t="shared" si="13"/>
        <v>0</v>
      </c>
      <c r="AA74" s="26">
        <f t="shared" si="7"/>
        <v>9949.7999999999993</v>
      </c>
      <c r="AB74" s="33" t="s">
        <v>15</v>
      </c>
      <c r="AC74" s="325"/>
      <c r="AD74" s="263">
        <f t="shared" ref="AD74:AD137" si="15">IF(V74=0,U74,V74)</f>
        <v>18.100000000000001</v>
      </c>
      <c r="AE74" s="263">
        <f t="shared" si="14"/>
        <v>15007.62</v>
      </c>
      <c r="AF74" s="263">
        <v>1.2</v>
      </c>
      <c r="AG74" s="263">
        <v>1.2</v>
      </c>
      <c r="AH74" s="68" t="str">
        <f t="shared" si="8"/>
        <v/>
      </c>
      <c r="AI74" s="194">
        <v>12</v>
      </c>
      <c r="AJ74" s="188">
        <v>18.100000000000001</v>
      </c>
      <c r="AO74" s="367"/>
      <c r="AP74" s="367"/>
      <c r="AQ74" s="367"/>
    </row>
    <row r="75" spans="1:43" s="69" customFormat="1" ht="26.1" customHeight="1" x14ac:dyDescent="0.3">
      <c r="A75" s="55" t="s">
        <v>206</v>
      </c>
      <c r="B75" s="53" t="s">
        <v>207</v>
      </c>
      <c r="C75" s="54" t="s">
        <v>30</v>
      </c>
      <c r="D75" s="75">
        <v>180.4</v>
      </c>
      <c r="E75" s="75"/>
      <c r="F75" s="75"/>
      <c r="G75" s="75"/>
      <c r="H75" s="75"/>
      <c r="I75" s="328"/>
      <c r="J75" s="75">
        <v>443.93</v>
      </c>
      <c r="K75" s="75">
        <v>80084.97</v>
      </c>
      <c r="L75" s="91" t="s">
        <v>208</v>
      </c>
      <c r="M75" s="73"/>
      <c r="N75" s="46">
        <v>60</v>
      </c>
      <c r="O75" s="46">
        <v>26635.8</v>
      </c>
      <c r="P75" s="46">
        <v>26635.8</v>
      </c>
      <c r="Q75" s="98"/>
      <c r="R75" s="23" t="s">
        <v>1444</v>
      </c>
      <c r="S75" s="24" t="s">
        <v>207</v>
      </c>
      <c r="T75" s="25" t="s">
        <v>30</v>
      </c>
      <c r="U75" s="26">
        <v>180.4</v>
      </c>
      <c r="V75" s="26">
        <f t="shared" si="12"/>
        <v>180.4</v>
      </c>
      <c r="W75" s="26">
        <f t="shared" ref="W75:W138" si="16">J75</f>
        <v>443.93</v>
      </c>
      <c r="X75" s="128">
        <f t="shared" si="9"/>
        <v>0</v>
      </c>
      <c r="Y75" s="26">
        <f t="shared" si="6"/>
        <v>60</v>
      </c>
      <c r="Z75" s="26">
        <f t="shared" si="13"/>
        <v>0</v>
      </c>
      <c r="AA75" s="26">
        <f t="shared" si="7"/>
        <v>26635.8</v>
      </c>
      <c r="AB75" s="33" t="s">
        <v>15</v>
      </c>
      <c r="AC75" s="324"/>
      <c r="AD75" s="181">
        <f t="shared" si="15"/>
        <v>180.4</v>
      </c>
      <c r="AE75" s="181">
        <f t="shared" si="14"/>
        <v>80084.97</v>
      </c>
      <c r="AF75" s="181">
        <v>1.2</v>
      </c>
      <c r="AG75" s="181">
        <v>1.2</v>
      </c>
      <c r="AH75" s="363" t="str">
        <f t="shared" si="8"/>
        <v/>
      </c>
      <c r="AI75" s="194">
        <v>60</v>
      </c>
      <c r="AJ75" s="188">
        <v>180.4</v>
      </c>
      <c r="AO75" s="367"/>
      <c r="AP75" s="367"/>
      <c r="AQ75" s="367"/>
    </row>
    <row r="76" spans="1:43" s="69" customFormat="1" ht="26.1" customHeight="1" x14ac:dyDescent="0.3">
      <c r="A76" s="130" t="s">
        <v>209</v>
      </c>
      <c r="B76" s="131" t="s">
        <v>210</v>
      </c>
      <c r="C76" s="132" t="s">
        <v>30</v>
      </c>
      <c r="D76" s="133">
        <v>25.6</v>
      </c>
      <c r="E76" s="75"/>
      <c r="F76" s="75"/>
      <c r="G76" s="75"/>
      <c r="H76" s="75"/>
      <c r="I76" s="328"/>
      <c r="J76" s="75">
        <v>578.86</v>
      </c>
      <c r="K76" s="75">
        <v>14818.82</v>
      </c>
      <c r="L76" s="91" t="s">
        <v>211</v>
      </c>
      <c r="M76" s="73"/>
      <c r="N76" s="46">
        <v>24</v>
      </c>
      <c r="O76" s="46">
        <v>0</v>
      </c>
      <c r="P76" s="46">
        <v>13892.64</v>
      </c>
      <c r="Q76" s="98"/>
      <c r="R76" s="23" t="s">
        <v>1408</v>
      </c>
      <c r="S76" s="24" t="s">
        <v>210</v>
      </c>
      <c r="T76" s="25" t="s">
        <v>30</v>
      </c>
      <c r="U76" s="26">
        <v>25.6</v>
      </c>
      <c r="V76" s="26">
        <f t="shared" si="12"/>
        <v>25.6</v>
      </c>
      <c r="W76" s="26">
        <f t="shared" si="16"/>
        <v>578.86</v>
      </c>
      <c r="X76" s="127">
        <f t="shared" si="9"/>
        <v>0</v>
      </c>
      <c r="Y76" s="127">
        <f t="shared" si="6"/>
        <v>24</v>
      </c>
      <c r="Z76" s="127">
        <f t="shared" si="13"/>
        <v>0</v>
      </c>
      <c r="AA76" s="127">
        <f t="shared" si="7"/>
        <v>13892.64</v>
      </c>
      <c r="AB76" s="33" t="s">
        <v>15</v>
      </c>
      <c r="AC76" s="325"/>
      <c r="AD76" s="263">
        <f t="shared" si="15"/>
        <v>25.6</v>
      </c>
      <c r="AE76" s="263">
        <f t="shared" si="14"/>
        <v>14818.82</v>
      </c>
      <c r="AF76" s="263">
        <v>1.2</v>
      </c>
      <c r="AG76" s="263">
        <v>1.2</v>
      </c>
      <c r="AH76" s="68" t="str">
        <f t="shared" si="8"/>
        <v/>
      </c>
      <c r="AI76" s="194">
        <v>24</v>
      </c>
      <c r="AJ76" s="188">
        <v>25.6</v>
      </c>
      <c r="AO76" s="367"/>
      <c r="AP76" s="367"/>
      <c r="AQ76" s="367"/>
    </row>
    <row r="77" spans="1:43" s="69" customFormat="1" ht="26.1" customHeight="1" x14ac:dyDescent="0.3">
      <c r="A77" s="55" t="s">
        <v>212</v>
      </c>
      <c r="B77" s="215" t="s">
        <v>213</v>
      </c>
      <c r="C77" s="54" t="s">
        <v>81</v>
      </c>
      <c r="D77" s="75">
        <v>7</v>
      </c>
      <c r="E77" s="75"/>
      <c r="F77" s="75"/>
      <c r="G77" s="75"/>
      <c r="H77" s="75"/>
      <c r="I77" s="328"/>
      <c r="J77" s="75">
        <v>17307.09</v>
      </c>
      <c r="K77" s="75">
        <v>121149.63</v>
      </c>
      <c r="L77" s="91" t="s">
        <v>214</v>
      </c>
      <c r="M77" s="73"/>
      <c r="N77" s="46">
        <v>7</v>
      </c>
      <c r="O77" s="46">
        <v>0</v>
      </c>
      <c r="P77" s="46">
        <v>121149.63</v>
      </c>
      <c r="Q77" s="98"/>
      <c r="R77" s="23" t="s">
        <v>1409</v>
      </c>
      <c r="S77" s="24" t="s">
        <v>213</v>
      </c>
      <c r="T77" s="25" t="s">
        <v>81</v>
      </c>
      <c r="U77" s="26">
        <v>7</v>
      </c>
      <c r="V77" s="26">
        <f t="shared" si="12"/>
        <v>7</v>
      </c>
      <c r="W77" s="26">
        <f t="shared" si="16"/>
        <v>17307.09</v>
      </c>
      <c r="X77" s="127">
        <f t="shared" si="9"/>
        <v>0</v>
      </c>
      <c r="Y77" s="127">
        <f t="shared" ref="Y77:Y140" si="17">X77+N77</f>
        <v>7</v>
      </c>
      <c r="Z77" s="127">
        <f t="shared" si="13"/>
        <v>0</v>
      </c>
      <c r="AA77" s="127">
        <f t="shared" ref="AA77:AA149" si="18">ROUND(W77*Y77,2)</f>
        <v>121149.63</v>
      </c>
      <c r="AB77" s="33" t="s">
        <v>15</v>
      </c>
      <c r="AC77" s="325"/>
      <c r="AD77" s="263">
        <f t="shared" si="15"/>
        <v>7</v>
      </c>
      <c r="AE77" s="263">
        <f t="shared" si="14"/>
        <v>121149.63</v>
      </c>
      <c r="AF77" s="263">
        <v>1.2</v>
      </c>
      <c r="AG77" s="263">
        <v>1.2</v>
      </c>
      <c r="AH77" s="68" t="str">
        <f t="shared" ref="AH77:AH149" si="19">IF(Y77&gt;AJ77,"超估","")</f>
        <v/>
      </c>
      <c r="AI77" s="194">
        <v>7</v>
      </c>
      <c r="AJ77" s="188">
        <v>7</v>
      </c>
      <c r="AO77" s="367"/>
      <c r="AP77" s="367"/>
      <c r="AQ77" s="367"/>
    </row>
    <row r="78" spans="1:43" s="69" customFormat="1" ht="26.1" customHeight="1" x14ac:dyDescent="0.3">
      <c r="A78" s="55" t="s">
        <v>215</v>
      </c>
      <c r="B78" s="53" t="s">
        <v>216</v>
      </c>
      <c r="C78" s="54" t="s">
        <v>30</v>
      </c>
      <c r="D78" s="75">
        <v>7.8</v>
      </c>
      <c r="E78" s="75"/>
      <c r="F78" s="75"/>
      <c r="G78" s="75"/>
      <c r="H78" s="75"/>
      <c r="I78" s="328"/>
      <c r="J78" s="75">
        <v>443.93</v>
      </c>
      <c r="K78" s="75">
        <v>3462.65</v>
      </c>
      <c r="L78" s="91" t="s">
        <v>217</v>
      </c>
      <c r="M78" s="73"/>
      <c r="N78" s="46">
        <v>7.5</v>
      </c>
      <c r="O78" s="46">
        <v>3329.48</v>
      </c>
      <c r="P78" s="46">
        <v>3329.48</v>
      </c>
      <c r="Q78" s="98"/>
      <c r="R78" s="23" t="s">
        <v>1410</v>
      </c>
      <c r="S78" s="24" t="s">
        <v>216</v>
      </c>
      <c r="T78" s="25" t="s">
        <v>30</v>
      </c>
      <c r="U78" s="26">
        <v>7.8</v>
      </c>
      <c r="V78" s="26">
        <f t="shared" si="12"/>
        <v>7.8</v>
      </c>
      <c r="W78" s="26">
        <f t="shared" si="16"/>
        <v>443.93</v>
      </c>
      <c r="X78" s="128">
        <f t="shared" ref="X78:X141" si="20">AI78-N78</f>
        <v>0</v>
      </c>
      <c r="Y78" s="127">
        <f t="shared" si="17"/>
        <v>7.5</v>
      </c>
      <c r="Z78" s="127">
        <f t="shared" si="13"/>
        <v>0</v>
      </c>
      <c r="AA78" s="127">
        <f t="shared" si="18"/>
        <v>3329.48</v>
      </c>
      <c r="AB78" s="33" t="s">
        <v>15</v>
      </c>
      <c r="AC78" s="324"/>
      <c r="AD78" s="181">
        <f t="shared" si="15"/>
        <v>7.8</v>
      </c>
      <c r="AE78" s="181">
        <f t="shared" si="14"/>
        <v>3462.65</v>
      </c>
      <c r="AF78" s="181">
        <v>1.2</v>
      </c>
      <c r="AG78" s="181">
        <v>1.2</v>
      </c>
      <c r="AH78" s="363" t="str">
        <f t="shared" si="19"/>
        <v/>
      </c>
      <c r="AI78" s="194">
        <v>7.5</v>
      </c>
      <c r="AJ78" s="188">
        <v>7.8</v>
      </c>
      <c r="AO78" s="367"/>
      <c r="AP78" s="367"/>
      <c r="AQ78" s="367"/>
    </row>
    <row r="79" spans="1:43" s="69" customFormat="1" ht="26.1" customHeight="1" x14ac:dyDescent="0.3">
      <c r="A79" s="55" t="s">
        <v>218</v>
      </c>
      <c r="B79" s="53" t="s">
        <v>219</v>
      </c>
      <c r="C79" s="54" t="s">
        <v>81</v>
      </c>
      <c r="D79" s="75">
        <v>2</v>
      </c>
      <c r="E79" s="75"/>
      <c r="F79" s="75"/>
      <c r="G79" s="75"/>
      <c r="H79" s="75"/>
      <c r="I79" s="328"/>
      <c r="J79" s="75">
        <v>13705.7</v>
      </c>
      <c r="K79" s="75">
        <v>27411.4</v>
      </c>
      <c r="L79" s="91" t="s">
        <v>220</v>
      </c>
      <c r="M79" s="73"/>
      <c r="N79" s="46">
        <v>2</v>
      </c>
      <c r="O79" s="46">
        <v>27411.4</v>
      </c>
      <c r="P79" s="46">
        <v>27411.4</v>
      </c>
      <c r="Q79" s="98"/>
      <c r="R79" s="23" t="s">
        <v>1411</v>
      </c>
      <c r="S79" s="24" t="s">
        <v>219</v>
      </c>
      <c r="T79" s="25" t="s">
        <v>81</v>
      </c>
      <c r="U79" s="26">
        <v>2</v>
      </c>
      <c r="V79" s="26">
        <f t="shared" si="12"/>
        <v>2</v>
      </c>
      <c r="W79" s="26">
        <f t="shared" si="16"/>
        <v>13705.7</v>
      </c>
      <c r="X79" s="128">
        <f t="shared" si="20"/>
        <v>0</v>
      </c>
      <c r="Y79" s="127">
        <f t="shared" si="17"/>
        <v>2</v>
      </c>
      <c r="Z79" s="127">
        <f t="shared" si="13"/>
        <v>0</v>
      </c>
      <c r="AA79" s="127">
        <f t="shared" si="18"/>
        <v>27411.4</v>
      </c>
      <c r="AB79" s="33" t="s">
        <v>15</v>
      </c>
      <c r="AC79" s="324"/>
      <c r="AD79" s="181">
        <f t="shared" si="15"/>
        <v>2</v>
      </c>
      <c r="AE79" s="181">
        <f t="shared" si="14"/>
        <v>27411.4</v>
      </c>
      <c r="AF79" s="181">
        <v>1.2</v>
      </c>
      <c r="AG79" s="181">
        <v>1.2</v>
      </c>
      <c r="AH79" s="363" t="str">
        <f t="shared" si="19"/>
        <v/>
      </c>
      <c r="AI79" s="194">
        <v>2</v>
      </c>
      <c r="AJ79" s="188">
        <v>2</v>
      </c>
      <c r="AO79" s="367"/>
      <c r="AP79" s="367"/>
      <c r="AQ79" s="367"/>
    </row>
    <row r="80" spans="1:43" s="69" customFormat="1" ht="26.1" customHeight="1" x14ac:dyDescent="0.3">
      <c r="A80" s="55" t="s">
        <v>221</v>
      </c>
      <c r="B80" s="53" t="s">
        <v>222</v>
      </c>
      <c r="C80" s="54" t="s">
        <v>81</v>
      </c>
      <c r="D80" s="75">
        <v>3</v>
      </c>
      <c r="E80" s="75"/>
      <c r="F80" s="75"/>
      <c r="G80" s="75"/>
      <c r="H80" s="75"/>
      <c r="I80" s="328"/>
      <c r="J80" s="75">
        <v>25126.95</v>
      </c>
      <c r="K80" s="75">
        <v>75380.850000000006</v>
      </c>
      <c r="L80" s="91" t="s">
        <v>223</v>
      </c>
      <c r="M80" s="73"/>
      <c r="N80" s="46">
        <v>3</v>
      </c>
      <c r="O80" s="46">
        <v>75380.850000000006</v>
      </c>
      <c r="P80" s="46">
        <v>75380.850000000006</v>
      </c>
      <c r="Q80" s="98"/>
      <c r="R80" s="23" t="s">
        <v>1445</v>
      </c>
      <c r="S80" s="24" t="s">
        <v>222</v>
      </c>
      <c r="T80" s="25" t="s">
        <v>81</v>
      </c>
      <c r="U80" s="26">
        <v>3</v>
      </c>
      <c r="V80" s="26">
        <f t="shared" si="12"/>
        <v>3</v>
      </c>
      <c r="W80" s="26">
        <f t="shared" si="16"/>
        <v>25126.95</v>
      </c>
      <c r="X80" s="128">
        <f t="shared" si="20"/>
        <v>0</v>
      </c>
      <c r="Y80" s="127">
        <f t="shared" si="17"/>
        <v>3</v>
      </c>
      <c r="Z80" s="127">
        <f t="shared" si="13"/>
        <v>0</v>
      </c>
      <c r="AA80" s="127">
        <f t="shared" si="18"/>
        <v>75380.850000000006</v>
      </c>
      <c r="AB80" s="33" t="s">
        <v>15</v>
      </c>
      <c r="AC80" s="324"/>
      <c r="AD80" s="181">
        <f t="shared" si="15"/>
        <v>3</v>
      </c>
      <c r="AE80" s="181">
        <f t="shared" si="14"/>
        <v>75380.850000000006</v>
      </c>
      <c r="AF80" s="181">
        <v>1.2</v>
      </c>
      <c r="AG80" s="181">
        <v>1.2</v>
      </c>
      <c r="AH80" s="363" t="str">
        <f t="shared" si="19"/>
        <v/>
      </c>
      <c r="AI80" s="194">
        <v>3</v>
      </c>
      <c r="AJ80" s="188">
        <v>3</v>
      </c>
      <c r="AO80" s="367"/>
      <c r="AP80" s="367"/>
      <c r="AQ80" s="367"/>
    </row>
    <row r="81" spans="1:43" s="69" customFormat="1" ht="26.1" customHeight="1" x14ac:dyDescent="0.3">
      <c r="A81" s="130" t="s">
        <v>224</v>
      </c>
      <c r="B81" s="131" t="s">
        <v>225</v>
      </c>
      <c r="C81" s="132" t="s">
        <v>30</v>
      </c>
      <c r="D81" s="133">
        <v>18</v>
      </c>
      <c r="E81" s="75"/>
      <c r="F81" s="75"/>
      <c r="G81" s="75"/>
      <c r="H81" s="75"/>
      <c r="I81" s="328"/>
      <c r="J81" s="75">
        <v>2901.57</v>
      </c>
      <c r="K81" s="75">
        <v>52228.26</v>
      </c>
      <c r="L81" s="91" t="s">
        <v>226</v>
      </c>
      <c r="M81" s="73"/>
      <c r="N81" s="46">
        <v>13.1</v>
      </c>
      <c r="O81" s="46">
        <v>3191.7300000000032</v>
      </c>
      <c r="P81" s="46">
        <v>38010.57</v>
      </c>
      <c r="Q81" s="98"/>
      <c r="R81" s="23" t="s">
        <v>1383</v>
      </c>
      <c r="S81" s="24" t="s">
        <v>225</v>
      </c>
      <c r="T81" s="25" t="s">
        <v>30</v>
      </c>
      <c r="U81" s="26">
        <v>18</v>
      </c>
      <c r="V81" s="26">
        <f t="shared" si="12"/>
        <v>18</v>
      </c>
      <c r="W81" s="26">
        <f t="shared" si="16"/>
        <v>2901.57</v>
      </c>
      <c r="X81" s="128">
        <f t="shared" si="20"/>
        <v>0</v>
      </c>
      <c r="Y81" s="127">
        <f t="shared" si="17"/>
        <v>13.1</v>
      </c>
      <c r="Z81" s="127">
        <f t="shared" si="13"/>
        <v>0</v>
      </c>
      <c r="AA81" s="127">
        <f t="shared" si="18"/>
        <v>38010.57</v>
      </c>
      <c r="AB81" s="33" t="s">
        <v>15</v>
      </c>
      <c r="AC81" s="325"/>
      <c r="AD81" s="263">
        <f t="shared" si="15"/>
        <v>18</v>
      </c>
      <c r="AE81" s="263">
        <f t="shared" si="14"/>
        <v>52228.26</v>
      </c>
      <c r="AF81" s="263">
        <v>1.2</v>
      </c>
      <c r="AG81" s="263">
        <v>1.2</v>
      </c>
      <c r="AH81" s="68" t="str">
        <f t="shared" si="19"/>
        <v/>
      </c>
      <c r="AI81" s="194">
        <v>13.1</v>
      </c>
      <c r="AJ81" s="188">
        <v>18</v>
      </c>
      <c r="AO81" s="367"/>
      <c r="AP81" s="367"/>
      <c r="AQ81" s="367"/>
    </row>
    <row r="82" spans="1:43" s="69" customFormat="1" ht="26.1" customHeight="1" x14ac:dyDescent="0.3">
      <c r="A82" s="130" t="s">
        <v>227</v>
      </c>
      <c r="B82" s="131" t="s">
        <v>228</v>
      </c>
      <c r="C82" s="132" t="s">
        <v>30</v>
      </c>
      <c r="D82" s="133">
        <v>17.100000000000001</v>
      </c>
      <c r="E82" s="75"/>
      <c r="F82" s="75"/>
      <c r="G82" s="75"/>
      <c r="H82" s="75"/>
      <c r="I82" s="343">
        <v>49</v>
      </c>
      <c r="J82" s="75">
        <v>1762.96</v>
      </c>
      <c r="K82" s="75">
        <v>86385.04</v>
      </c>
      <c r="L82" s="91" t="s">
        <v>229</v>
      </c>
      <c r="M82" s="73"/>
      <c r="N82" s="46">
        <v>47.1</v>
      </c>
      <c r="O82" s="46">
        <v>52888.800000000003</v>
      </c>
      <c r="P82" s="46">
        <v>83035.42</v>
      </c>
      <c r="Q82" s="98"/>
      <c r="R82" s="23" t="s">
        <v>1384</v>
      </c>
      <c r="S82" s="24" t="s">
        <v>228</v>
      </c>
      <c r="T82" s="25" t="s">
        <v>30</v>
      </c>
      <c r="U82" s="26">
        <v>17.100000000000001</v>
      </c>
      <c r="V82" s="26">
        <f t="shared" si="12"/>
        <v>49</v>
      </c>
      <c r="W82" s="26">
        <f t="shared" si="16"/>
        <v>1762.96</v>
      </c>
      <c r="X82" s="128">
        <f t="shared" si="20"/>
        <v>0</v>
      </c>
      <c r="Y82" s="127">
        <f t="shared" si="17"/>
        <v>47.1</v>
      </c>
      <c r="Z82" s="127">
        <f t="shared" si="13"/>
        <v>0</v>
      </c>
      <c r="AA82" s="127">
        <f t="shared" si="18"/>
        <v>83035.42</v>
      </c>
      <c r="AB82" s="33" t="s">
        <v>15</v>
      </c>
      <c r="AC82" s="324"/>
      <c r="AD82" s="181">
        <f t="shared" si="15"/>
        <v>49</v>
      </c>
      <c r="AE82" s="181">
        <f t="shared" si="14"/>
        <v>86385.04</v>
      </c>
      <c r="AF82" s="181">
        <v>1.2</v>
      </c>
      <c r="AG82" s="181">
        <v>1.2</v>
      </c>
      <c r="AH82" s="363" t="str">
        <f t="shared" si="19"/>
        <v/>
      </c>
      <c r="AI82" s="194">
        <v>47.1</v>
      </c>
      <c r="AJ82" s="190">
        <v>49</v>
      </c>
      <c r="AO82" s="367"/>
      <c r="AP82" s="367"/>
      <c r="AQ82" s="367"/>
    </row>
    <row r="83" spans="1:43" s="69" customFormat="1" ht="26.1" customHeight="1" x14ac:dyDescent="0.3">
      <c r="A83" s="130" t="s">
        <v>230</v>
      </c>
      <c r="B83" s="131" t="s">
        <v>231</v>
      </c>
      <c r="C83" s="132" t="s">
        <v>30</v>
      </c>
      <c r="D83" s="133">
        <v>77.400000000000006</v>
      </c>
      <c r="E83" s="75"/>
      <c r="F83" s="75"/>
      <c r="G83" s="75"/>
      <c r="H83" s="75"/>
      <c r="I83" s="328">
        <v>92.1</v>
      </c>
      <c r="J83" s="75">
        <v>1224.3</v>
      </c>
      <c r="K83" s="75">
        <v>112758.03</v>
      </c>
      <c r="L83" s="91" t="s">
        <v>232</v>
      </c>
      <c r="M83" s="73"/>
      <c r="N83" s="46">
        <v>77.400000000000006</v>
      </c>
      <c r="O83" s="46">
        <v>0</v>
      </c>
      <c r="P83" s="46">
        <v>94760.82</v>
      </c>
      <c r="Q83" s="98"/>
      <c r="R83" s="23" t="s">
        <v>1385</v>
      </c>
      <c r="S83" s="24" t="s">
        <v>231</v>
      </c>
      <c r="T83" s="25" t="s">
        <v>30</v>
      </c>
      <c r="U83" s="26">
        <v>77.400000000000006</v>
      </c>
      <c r="V83" s="26">
        <f t="shared" si="12"/>
        <v>92.1</v>
      </c>
      <c r="W83" s="26">
        <f t="shared" si="16"/>
        <v>1224.3</v>
      </c>
      <c r="X83" s="128">
        <f t="shared" si="20"/>
        <v>0</v>
      </c>
      <c r="Y83" s="127">
        <f t="shared" si="17"/>
        <v>77.400000000000006</v>
      </c>
      <c r="Z83" s="127">
        <f t="shared" si="13"/>
        <v>0</v>
      </c>
      <c r="AA83" s="127">
        <f t="shared" si="18"/>
        <v>94760.82</v>
      </c>
      <c r="AB83" s="33" t="s">
        <v>15</v>
      </c>
      <c r="AC83" s="325"/>
      <c r="AD83" s="263">
        <f t="shared" si="15"/>
        <v>92.1</v>
      </c>
      <c r="AE83" s="263">
        <f t="shared" si="14"/>
        <v>112758.03</v>
      </c>
      <c r="AF83" s="263">
        <v>1.2</v>
      </c>
      <c r="AG83" s="263">
        <v>1.2</v>
      </c>
      <c r="AH83" s="68" t="str">
        <f t="shared" si="19"/>
        <v/>
      </c>
      <c r="AI83" s="194">
        <f>56+21.4</f>
        <v>77.400000000000006</v>
      </c>
      <c r="AJ83" s="190">
        <v>92.1</v>
      </c>
      <c r="AO83" s="367"/>
      <c r="AP83" s="367"/>
      <c r="AQ83" s="367"/>
    </row>
    <row r="84" spans="1:43" s="69" customFormat="1" ht="26.1" customHeight="1" x14ac:dyDescent="0.3">
      <c r="A84" s="130" t="s">
        <v>233</v>
      </c>
      <c r="B84" s="131" t="s">
        <v>234</v>
      </c>
      <c r="C84" s="132" t="s">
        <v>30</v>
      </c>
      <c r="D84" s="133">
        <v>32.5</v>
      </c>
      <c r="E84" s="75"/>
      <c r="F84" s="75"/>
      <c r="G84" s="75"/>
      <c r="H84" s="75"/>
      <c r="I84" s="343">
        <v>0</v>
      </c>
      <c r="J84" s="75">
        <v>1148.7</v>
      </c>
      <c r="K84" s="75">
        <v>0</v>
      </c>
      <c r="L84" s="91" t="s">
        <v>235</v>
      </c>
      <c r="M84" s="73"/>
      <c r="N84" s="46">
        <v>0</v>
      </c>
      <c r="O84" s="46">
        <v>0</v>
      </c>
      <c r="P84" s="46">
        <v>0</v>
      </c>
      <c r="Q84" s="98"/>
      <c r="R84" s="23" t="s">
        <v>1446</v>
      </c>
      <c r="S84" s="24" t="s">
        <v>234</v>
      </c>
      <c r="T84" s="25" t="s">
        <v>30</v>
      </c>
      <c r="U84" s="26">
        <v>32.5</v>
      </c>
      <c r="V84" s="26">
        <v>0</v>
      </c>
      <c r="W84" s="26">
        <f t="shared" si="16"/>
        <v>1148.7</v>
      </c>
      <c r="X84" s="127">
        <f t="shared" si="20"/>
        <v>0</v>
      </c>
      <c r="Y84" s="127">
        <f t="shared" si="17"/>
        <v>0</v>
      </c>
      <c r="Z84" s="127">
        <f t="shared" si="13"/>
        <v>0</v>
      </c>
      <c r="AA84" s="127">
        <f t="shared" si="18"/>
        <v>0</v>
      </c>
      <c r="AB84" s="33" t="s">
        <v>15</v>
      </c>
      <c r="AC84" s="324"/>
      <c r="AD84" s="181">
        <v>0</v>
      </c>
      <c r="AE84" s="181">
        <f t="shared" si="14"/>
        <v>0</v>
      </c>
      <c r="AF84" s="181">
        <v>1.2</v>
      </c>
      <c r="AG84" s="181">
        <v>1.2</v>
      </c>
      <c r="AH84" s="363" t="str">
        <f t="shared" si="19"/>
        <v/>
      </c>
      <c r="AI84" s="192">
        <v>0</v>
      </c>
      <c r="AJ84" s="188">
        <v>0</v>
      </c>
      <c r="AO84" s="367"/>
      <c r="AP84" s="367"/>
      <c r="AQ84" s="367"/>
    </row>
    <row r="85" spans="1:43" s="69" customFormat="1" ht="26.1" customHeight="1" x14ac:dyDescent="0.3">
      <c r="A85" s="55" t="s">
        <v>236</v>
      </c>
      <c r="B85" s="53" t="s">
        <v>237</v>
      </c>
      <c r="C85" s="54" t="s">
        <v>81</v>
      </c>
      <c r="D85" s="75">
        <v>1</v>
      </c>
      <c r="E85" s="75"/>
      <c r="F85" s="75"/>
      <c r="G85" s="75"/>
      <c r="H85" s="75"/>
      <c r="I85" s="328"/>
      <c r="J85" s="75">
        <v>19780.169999999998</v>
      </c>
      <c r="K85" s="75">
        <v>19780.169999999998</v>
      </c>
      <c r="L85" s="91" t="s">
        <v>238</v>
      </c>
      <c r="M85" s="73"/>
      <c r="N85" s="46">
        <v>0</v>
      </c>
      <c r="O85" s="46">
        <v>0</v>
      </c>
      <c r="P85" s="46">
        <v>0</v>
      </c>
      <c r="Q85" s="98"/>
      <c r="R85" s="23" t="s">
        <v>1447</v>
      </c>
      <c r="S85" s="24" t="s">
        <v>237</v>
      </c>
      <c r="T85" s="25" t="s">
        <v>81</v>
      </c>
      <c r="U85" s="26">
        <v>1</v>
      </c>
      <c r="V85" s="26">
        <f t="shared" si="12"/>
        <v>1</v>
      </c>
      <c r="W85" s="26">
        <f t="shared" si="16"/>
        <v>19780.169999999998</v>
      </c>
      <c r="X85" s="26">
        <f t="shared" si="20"/>
        <v>0</v>
      </c>
      <c r="Y85" s="26">
        <f t="shared" si="17"/>
        <v>0</v>
      </c>
      <c r="Z85" s="26">
        <f t="shared" si="13"/>
        <v>0</v>
      </c>
      <c r="AA85" s="26">
        <f t="shared" si="18"/>
        <v>0</v>
      </c>
      <c r="AB85" s="33" t="s">
        <v>15</v>
      </c>
      <c r="AC85" s="324"/>
      <c r="AD85" s="181">
        <f t="shared" si="15"/>
        <v>1</v>
      </c>
      <c r="AE85" s="181">
        <f t="shared" si="14"/>
        <v>19780.169999999998</v>
      </c>
      <c r="AF85" s="181">
        <v>1.2</v>
      </c>
      <c r="AG85" s="181">
        <v>1.2</v>
      </c>
      <c r="AH85" s="363" t="str">
        <f t="shared" si="19"/>
        <v/>
      </c>
      <c r="AI85" s="192">
        <v>0</v>
      </c>
      <c r="AJ85" s="188">
        <v>1</v>
      </c>
      <c r="AO85" s="367"/>
      <c r="AP85" s="367"/>
      <c r="AQ85" s="367"/>
    </row>
    <row r="86" spans="1:43" s="69" customFormat="1" ht="26.1" customHeight="1" x14ac:dyDescent="0.3">
      <c r="A86" s="55" t="s">
        <v>239</v>
      </c>
      <c r="B86" s="53" t="s">
        <v>240</v>
      </c>
      <c r="C86" s="54" t="s">
        <v>81</v>
      </c>
      <c r="D86" s="75">
        <v>1</v>
      </c>
      <c r="E86" s="75"/>
      <c r="F86" s="75"/>
      <c r="G86" s="75"/>
      <c r="H86" s="75"/>
      <c r="I86" s="328"/>
      <c r="J86" s="75">
        <v>1218.03</v>
      </c>
      <c r="K86" s="75">
        <v>1218.03</v>
      </c>
      <c r="L86" s="91" t="s">
        <v>241</v>
      </c>
      <c r="M86" s="73"/>
      <c r="N86" s="46">
        <v>0</v>
      </c>
      <c r="O86" s="46">
        <v>0</v>
      </c>
      <c r="P86" s="46">
        <v>0</v>
      </c>
      <c r="Q86" s="98"/>
      <c r="R86" s="23" t="s">
        <v>1448</v>
      </c>
      <c r="S86" s="24" t="s">
        <v>240</v>
      </c>
      <c r="T86" s="25" t="s">
        <v>81</v>
      </c>
      <c r="U86" s="26">
        <v>1</v>
      </c>
      <c r="V86" s="26">
        <f t="shared" si="12"/>
        <v>1</v>
      </c>
      <c r="W86" s="26">
        <f t="shared" si="16"/>
        <v>1218.03</v>
      </c>
      <c r="X86" s="26">
        <f t="shared" si="20"/>
        <v>0</v>
      </c>
      <c r="Y86" s="26">
        <f t="shared" si="17"/>
        <v>0</v>
      </c>
      <c r="Z86" s="26">
        <f t="shared" si="13"/>
        <v>0</v>
      </c>
      <c r="AA86" s="26">
        <f t="shared" si="18"/>
        <v>0</v>
      </c>
      <c r="AB86" s="33" t="s">
        <v>15</v>
      </c>
      <c r="AC86" s="324"/>
      <c r="AD86" s="181">
        <f t="shared" si="15"/>
        <v>1</v>
      </c>
      <c r="AE86" s="181">
        <f t="shared" si="14"/>
        <v>1218.03</v>
      </c>
      <c r="AF86" s="181">
        <v>1.2</v>
      </c>
      <c r="AG86" s="181">
        <v>1.2</v>
      </c>
      <c r="AH86" s="363" t="str">
        <f t="shared" si="19"/>
        <v/>
      </c>
      <c r="AI86" s="192">
        <v>0</v>
      </c>
      <c r="AJ86" s="188">
        <v>1</v>
      </c>
      <c r="AO86" s="367"/>
      <c r="AP86" s="367"/>
      <c r="AQ86" s="367"/>
    </row>
    <row r="87" spans="1:43" s="69" customFormat="1" ht="26.1" customHeight="1" x14ac:dyDescent="0.3">
      <c r="A87" s="55" t="s">
        <v>242</v>
      </c>
      <c r="B87" s="53" t="s">
        <v>243</v>
      </c>
      <c r="C87" s="54" t="s">
        <v>81</v>
      </c>
      <c r="D87" s="75">
        <v>1</v>
      </c>
      <c r="E87" s="75"/>
      <c r="F87" s="75"/>
      <c r="G87" s="75"/>
      <c r="H87" s="75"/>
      <c r="I87" s="328"/>
      <c r="J87" s="75">
        <v>3110.7</v>
      </c>
      <c r="K87" s="75">
        <v>3110.7</v>
      </c>
      <c r="L87" s="91" t="s">
        <v>244</v>
      </c>
      <c r="M87" s="73"/>
      <c r="N87" s="46">
        <v>0</v>
      </c>
      <c r="O87" s="46">
        <v>0</v>
      </c>
      <c r="P87" s="46">
        <v>0</v>
      </c>
      <c r="Q87" s="98"/>
      <c r="R87" s="23" t="s">
        <v>1449</v>
      </c>
      <c r="S87" s="24" t="s">
        <v>243</v>
      </c>
      <c r="T87" s="25" t="s">
        <v>81</v>
      </c>
      <c r="U87" s="26">
        <v>1</v>
      </c>
      <c r="V87" s="26">
        <f t="shared" si="12"/>
        <v>1</v>
      </c>
      <c r="W87" s="26">
        <f t="shared" si="16"/>
        <v>3110.7</v>
      </c>
      <c r="X87" s="26">
        <f t="shared" si="20"/>
        <v>0</v>
      </c>
      <c r="Y87" s="26">
        <f t="shared" si="17"/>
        <v>0</v>
      </c>
      <c r="Z87" s="26">
        <f t="shared" si="13"/>
        <v>0</v>
      </c>
      <c r="AA87" s="26">
        <f t="shared" si="18"/>
        <v>0</v>
      </c>
      <c r="AB87" s="33" t="s">
        <v>15</v>
      </c>
      <c r="AC87" s="324"/>
      <c r="AD87" s="181">
        <f t="shared" si="15"/>
        <v>1</v>
      </c>
      <c r="AE87" s="181">
        <f t="shared" si="14"/>
        <v>3110.7</v>
      </c>
      <c r="AF87" s="181">
        <v>1.2</v>
      </c>
      <c r="AG87" s="181">
        <v>1.2</v>
      </c>
      <c r="AH87" s="363" t="str">
        <f t="shared" si="19"/>
        <v/>
      </c>
      <c r="AI87" s="192">
        <v>0</v>
      </c>
      <c r="AJ87" s="188">
        <v>1</v>
      </c>
      <c r="AO87" s="367"/>
      <c r="AP87" s="367"/>
      <c r="AQ87" s="367"/>
    </row>
    <row r="88" spans="1:43" s="69" customFormat="1" ht="26.1" customHeight="1" x14ac:dyDescent="0.3">
      <c r="A88" s="55" t="s">
        <v>245</v>
      </c>
      <c r="B88" s="53" t="s">
        <v>246</v>
      </c>
      <c r="C88" s="54" t="s">
        <v>81</v>
      </c>
      <c r="D88" s="75">
        <v>1</v>
      </c>
      <c r="E88" s="75"/>
      <c r="F88" s="75"/>
      <c r="G88" s="75"/>
      <c r="H88" s="75"/>
      <c r="I88" s="328"/>
      <c r="J88" s="75">
        <v>1251.0999999999999</v>
      </c>
      <c r="K88" s="75">
        <v>1251.0999999999999</v>
      </c>
      <c r="L88" s="91" t="s">
        <v>247</v>
      </c>
      <c r="M88" s="73"/>
      <c r="N88" s="46">
        <v>0</v>
      </c>
      <c r="O88" s="46">
        <v>0</v>
      </c>
      <c r="P88" s="46">
        <v>0</v>
      </c>
      <c r="Q88" s="98"/>
      <c r="R88" s="23" t="s">
        <v>1450</v>
      </c>
      <c r="S88" s="24" t="s">
        <v>246</v>
      </c>
      <c r="T88" s="25" t="s">
        <v>81</v>
      </c>
      <c r="U88" s="26">
        <v>1</v>
      </c>
      <c r="V88" s="26">
        <f t="shared" si="12"/>
        <v>1</v>
      </c>
      <c r="W88" s="26">
        <f t="shared" si="16"/>
        <v>1251.0999999999999</v>
      </c>
      <c r="X88" s="26">
        <f t="shared" si="20"/>
        <v>0</v>
      </c>
      <c r="Y88" s="26">
        <f t="shared" si="17"/>
        <v>0</v>
      </c>
      <c r="Z88" s="26">
        <f t="shared" si="13"/>
        <v>0</v>
      </c>
      <c r="AA88" s="26">
        <f t="shared" si="18"/>
        <v>0</v>
      </c>
      <c r="AB88" s="33" t="s">
        <v>15</v>
      </c>
      <c r="AC88" s="324"/>
      <c r="AD88" s="181">
        <f t="shared" si="15"/>
        <v>1</v>
      </c>
      <c r="AE88" s="181">
        <f t="shared" si="14"/>
        <v>1251.0999999999999</v>
      </c>
      <c r="AF88" s="181">
        <v>1.2</v>
      </c>
      <c r="AG88" s="181">
        <v>1.2</v>
      </c>
      <c r="AH88" s="363" t="str">
        <f t="shared" si="19"/>
        <v/>
      </c>
      <c r="AI88" s="192">
        <v>0</v>
      </c>
      <c r="AJ88" s="188">
        <v>1</v>
      </c>
      <c r="AO88" s="367"/>
      <c r="AP88" s="367"/>
      <c r="AQ88" s="367"/>
    </row>
    <row r="89" spans="1:43" s="69" customFormat="1" ht="26.1" customHeight="1" x14ac:dyDescent="0.3">
      <c r="A89" s="55" t="s">
        <v>248</v>
      </c>
      <c r="B89" s="53" t="s">
        <v>249</v>
      </c>
      <c r="C89" s="54" t="s">
        <v>81</v>
      </c>
      <c r="D89" s="75">
        <v>1</v>
      </c>
      <c r="E89" s="75"/>
      <c r="F89" s="75"/>
      <c r="G89" s="75"/>
      <c r="H89" s="75"/>
      <c r="I89" s="328"/>
      <c r="J89" s="75">
        <v>9500.58</v>
      </c>
      <c r="K89" s="75">
        <v>9500.58</v>
      </c>
      <c r="L89" s="91" t="s">
        <v>250</v>
      </c>
      <c r="M89" s="73"/>
      <c r="N89" s="46">
        <v>0</v>
      </c>
      <c r="O89" s="46">
        <v>0</v>
      </c>
      <c r="P89" s="46">
        <v>0</v>
      </c>
      <c r="Q89" s="98"/>
      <c r="R89" s="23" t="s">
        <v>1451</v>
      </c>
      <c r="S89" s="24" t="s">
        <v>249</v>
      </c>
      <c r="T89" s="25" t="s">
        <v>81</v>
      </c>
      <c r="U89" s="26">
        <v>1</v>
      </c>
      <c r="V89" s="26">
        <f t="shared" si="12"/>
        <v>1</v>
      </c>
      <c r="W89" s="26">
        <f t="shared" si="16"/>
        <v>9500.58</v>
      </c>
      <c r="X89" s="26">
        <f t="shared" si="20"/>
        <v>0</v>
      </c>
      <c r="Y89" s="26">
        <f t="shared" si="17"/>
        <v>0</v>
      </c>
      <c r="Z89" s="26">
        <f t="shared" si="13"/>
        <v>0</v>
      </c>
      <c r="AA89" s="26">
        <f t="shared" si="18"/>
        <v>0</v>
      </c>
      <c r="AB89" s="33" t="s">
        <v>15</v>
      </c>
      <c r="AC89" s="324"/>
      <c r="AD89" s="181">
        <f t="shared" si="15"/>
        <v>1</v>
      </c>
      <c r="AE89" s="181">
        <f t="shared" si="14"/>
        <v>9500.58</v>
      </c>
      <c r="AF89" s="181">
        <v>1.2</v>
      </c>
      <c r="AG89" s="181">
        <v>1.2</v>
      </c>
      <c r="AH89" s="363" t="str">
        <f t="shared" si="19"/>
        <v/>
      </c>
      <c r="AI89" s="192">
        <v>0</v>
      </c>
      <c r="AJ89" s="188">
        <v>1</v>
      </c>
      <c r="AO89" s="367"/>
      <c r="AP89" s="367"/>
      <c r="AQ89" s="367"/>
    </row>
    <row r="90" spans="1:43" s="69" customFormat="1" ht="26.1" customHeight="1" x14ac:dyDescent="0.3">
      <c r="A90" s="55" t="s">
        <v>251</v>
      </c>
      <c r="B90" s="53" t="s">
        <v>252</v>
      </c>
      <c r="C90" s="54" t="s">
        <v>81</v>
      </c>
      <c r="D90" s="75">
        <v>1</v>
      </c>
      <c r="E90" s="75"/>
      <c r="F90" s="75"/>
      <c r="G90" s="75"/>
      <c r="H90" s="75"/>
      <c r="I90" s="328"/>
      <c r="J90" s="75">
        <v>3871.43</v>
      </c>
      <c r="K90" s="75">
        <v>3871.43</v>
      </c>
      <c r="L90" s="91" t="s">
        <v>253</v>
      </c>
      <c r="M90" s="73"/>
      <c r="N90" s="46">
        <v>0</v>
      </c>
      <c r="O90" s="46">
        <v>0</v>
      </c>
      <c r="P90" s="46">
        <v>0</v>
      </c>
      <c r="Q90" s="98"/>
      <c r="R90" s="23" t="s">
        <v>1452</v>
      </c>
      <c r="S90" s="24" t="s">
        <v>252</v>
      </c>
      <c r="T90" s="25" t="s">
        <v>81</v>
      </c>
      <c r="U90" s="26">
        <v>1</v>
      </c>
      <c r="V90" s="26">
        <f t="shared" si="12"/>
        <v>1</v>
      </c>
      <c r="W90" s="26">
        <f t="shared" si="16"/>
        <v>3871.43</v>
      </c>
      <c r="X90" s="26">
        <f t="shared" si="20"/>
        <v>0</v>
      </c>
      <c r="Y90" s="26">
        <f t="shared" si="17"/>
        <v>0</v>
      </c>
      <c r="Z90" s="26">
        <f t="shared" si="13"/>
        <v>0</v>
      </c>
      <c r="AA90" s="26">
        <f t="shared" si="18"/>
        <v>0</v>
      </c>
      <c r="AB90" s="33" t="s">
        <v>15</v>
      </c>
      <c r="AC90" s="324"/>
      <c r="AD90" s="181">
        <f t="shared" si="15"/>
        <v>1</v>
      </c>
      <c r="AE90" s="181">
        <f t="shared" si="14"/>
        <v>3871.43</v>
      </c>
      <c r="AF90" s="181">
        <v>1.2</v>
      </c>
      <c r="AG90" s="181">
        <v>1.2</v>
      </c>
      <c r="AH90" s="363" t="str">
        <f t="shared" si="19"/>
        <v/>
      </c>
      <c r="AI90" s="192">
        <v>0</v>
      </c>
      <c r="AJ90" s="188">
        <v>1</v>
      </c>
      <c r="AO90" s="367"/>
      <c r="AP90" s="367"/>
      <c r="AQ90" s="367"/>
    </row>
    <row r="91" spans="1:43" s="69" customFormat="1" ht="26.1" customHeight="1" x14ac:dyDescent="0.3">
      <c r="A91" s="55" t="s">
        <v>254</v>
      </c>
      <c r="B91" s="53" t="s">
        <v>255</v>
      </c>
      <c r="C91" s="54" t="s">
        <v>81</v>
      </c>
      <c r="D91" s="75">
        <v>1</v>
      </c>
      <c r="E91" s="75"/>
      <c r="F91" s="75"/>
      <c r="G91" s="75"/>
      <c r="H91" s="75"/>
      <c r="I91" s="328"/>
      <c r="J91" s="75">
        <v>25380.34</v>
      </c>
      <c r="K91" s="75">
        <v>25380.34</v>
      </c>
      <c r="L91" s="91" t="s">
        <v>256</v>
      </c>
      <c r="M91" s="73"/>
      <c r="N91" s="46">
        <v>0</v>
      </c>
      <c r="O91" s="46">
        <v>0</v>
      </c>
      <c r="P91" s="46">
        <v>0</v>
      </c>
      <c r="Q91" s="98"/>
      <c r="R91" s="23" t="s">
        <v>1453</v>
      </c>
      <c r="S91" s="24" t="s">
        <v>255</v>
      </c>
      <c r="T91" s="25" t="s">
        <v>81</v>
      </c>
      <c r="U91" s="26">
        <v>1</v>
      </c>
      <c r="V91" s="26">
        <f t="shared" si="12"/>
        <v>1</v>
      </c>
      <c r="W91" s="26">
        <f t="shared" si="16"/>
        <v>25380.34</v>
      </c>
      <c r="X91" s="26">
        <f t="shared" si="20"/>
        <v>0</v>
      </c>
      <c r="Y91" s="26">
        <f t="shared" si="17"/>
        <v>0</v>
      </c>
      <c r="Z91" s="26">
        <f t="shared" si="13"/>
        <v>0</v>
      </c>
      <c r="AA91" s="26">
        <f t="shared" si="18"/>
        <v>0</v>
      </c>
      <c r="AB91" s="33" t="s">
        <v>15</v>
      </c>
      <c r="AC91" s="324"/>
      <c r="AD91" s="181">
        <f t="shared" si="15"/>
        <v>1</v>
      </c>
      <c r="AE91" s="181">
        <f t="shared" si="14"/>
        <v>25380.34</v>
      </c>
      <c r="AF91" s="181">
        <v>1.2</v>
      </c>
      <c r="AG91" s="181">
        <v>1.2</v>
      </c>
      <c r="AH91" s="363" t="str">
        <f t="shared" si="19"/>
        <v/>
      </c>
      <c r="AI91" s="192">
        <v>0</v>
      </c>
      <c r="AJ91" s="188">
        <v>1</v>
      </c>
      <c r="AN91" s="363"/>
      <c r="AO91" s="368"/>
      <c r="AP91" s="367"/>
      <c r="AQ91" s="367"/>
    </row>
    <row r="92" spans="1:43" s="69" customFormat="1" ht="26.1" customHeight="1" x14ac:dyDescent="0.3">
      <c r="A92" s="130" t="s">
        <v>257</v>
      </c>
      <c r="B92" s="131" t="s">
        <v>258</v>
      </c>
      <c r="C92" s="132" t="s">
        <v>30</v>
      </c>
      <c r="D92" s="133">
        <v>13.9</v>
      </c>
      <c r="E92" s="75"/>
      <c r="F92" s="75"/>
      <c r="G92" s="75"/>
      <c r="H92" s="75"/>
      <c r="I92" s="343">
        <v>0</v>
      </c>
      <c r="J92" s="75">
        <v>1285.31</v>
      </c>
      <c r="K92" s="75">
        <v>0</v>
      </c>
      <c r="L92" s="91" t="s">
        <v>259</v>
      </c>
      <c r="M92" s="73"/>
      <c r="N92" s="46">
        <v>13.9</v>
      </c>
      <c r="O92" s="46">
        <v>0</v>
      </c>
      <c r="P92" s="46">
        <v>17865.810000000001</v>
      </c>
      <c r="Q92" s="98"/>
      <c r="R92" s="23" t="s">
        <v>1454</v>
      </c>
      <c r="S92" s="24" t="s">
        <v>258</v>
      </c>
      <c r="T92" s="25" t="s">
        <v>30</v>
      </c>
      <c r="U92" s="26">
        <v>13.9</v>
      </c>
      <c r="V92" s="26">
        <v>0</v>
      </c>
      <c r="W92" s="26">
        <f t="shared" si="16"/>
        <v>1285.31</v>
      </c>
      <c r="X92" s="127">
        <f t="shared" si="20"/>
        <v>0</v>
      </c>
      <c r="Y92" s="127">
        <f t="shared" si="17"/>
        <v>13.9</v>
      </c>
      <c r="Z92" s="127">
        <f t="shared" si="13"/>
        <v>0</v>
      </c>
      <c r="AA92" s="127">
        <f t="shared" si="18"/>
        <v>17865.810000000001</v>
      </c>
      <c r="AB92" s="33" t="s">
        <v>15</v>
      </c>
      <c r="AC92" s="324"/>
      <c r="AD92" s="181">
        <v>0</v>
      </c>
      <c r="AE92" s="181">
        <f t="shared" si="14"/>
        <v>0</v>
      </c>
      <c r="AF92" s="181">
        <v>1.2</v>
      </c>
      <c r="AG92" s="181">
        <v>1.2</v>
      </c>
      <c r="AH92" s="363" t="str">
        <f t="shared" si="19"/>
        <v>超估</v>
      </c>
      <c r="AI92" s="194">
        <v>13.9</v>
      </c>
      <c r="AJ92" s="188">
        <v>0</v>
      </c>
      <c r="AO92" s="367"/>
      <c r="AP92" s="367"/>
      <c r="AQ92" s="367"/>
    </row>
    <row r="93" spans="1:43" s="69" customFormat="1" ht="26.1" customHeight="1" x14ac:dyDescent="0.3">
      <c r="A93" s="55" t="s">
        <v>260</v>
      </c>
      <c r="B93" s="53" t="s">
        <v>261</v>
      </c>
      <c r="C93" s="54" t="s">
        <v>30</v>
      </c>
      <c r="D93" s="75">
        <v>94.15</v>
      </c>
      <c r="E93" s="75"/>
      <c r="F93" s="75"/>
      <c r="G93" s="75"/>
      <c r="H93" s="75"/>
      <c r="I93" s="328">
        <v>130.1</v>
      </c>
      <c r="J93" s="75">
        <v>1976.06</v>
      </c>
      <c r="K93" s="75">
        <v>257085.41</v>
      </c>
      <c r="L93" s="91" t="s">
        <v>262</v>
      </c>
      <c r="M93" s="73"/>
      <c r="N93" s="46">
        <v>88.1</v>
      </c>
      <c r="O93" s="46">
        <v>0</v>
      </c>
      <c r="P93" s="46">
        <v>174090.89</v>
      </c>
      <c r="Q93" s="98"/>
      <c r="R93" s="23" t="s">
        <v>1455</v>
      </c>
      <c r="S93" s="24" t="s">
        <v>261</v>
      </c>
      <c r="T93" s="25" t="s">
        <v>30</v>
      </c>
      <c r="U93" s="26">
        <v>94.15</v>
      </c>
      <c r="V93" s="26">
        <f t="shared" si="12"/>
        <v>130.1</v>
      </c>
      <c r="W93" s="26">
        <f t="shared" si="16"/>
        <v>1976.06</v>
      </c>
      <c r="X93" s="128">
        <f t="shared" si="20"/>
        <v>0</v>
      </c>
      <c r="Y93" s="26">
        <f t="shared" si="17"/>
        <v>88.1</v>
      </c>
      <c r="Z93" s="26">
        <f t="shared" si="13"/>
        <v>0</v>
      </c>
      <c r="AA93" s="26">
        <f t="shared" si="18"/>
        <v>174090.89</v>
      </c>
      <c r="AB93" s="33" t="s">
        <v>15</v>
      </c>
      <c r="AC93" s="324"/>
      <c r="AD93" s="181">
        <f t="shared" si="15"/>
        <v>130.1</v>
      </c>
      <c r="AE93" s="181">
        <f t="shared" si="14"/>
        <v>257085.41</v>
      </c>
      <c r="AF93" s="181">
        <v>1.2</v>
      </c>
      <c r="AG93" s="181">
        <v>1.2</v>
      </c>
      <c r="AH93" s="363" t="str">
        <f t="shared" si="19"/>
        <v/>
      </c>
      <c r="AI93" s="194">
        <f>26.7+61.4</f>
        <v>88.1</v>
      </c>
      <c r="AJ93" s="190">
        <v>130.1</v>
      </c>
      <c r="AO93" s="367"/>
      <c r="AP93" s="367"/>
      <c r="AQ93" s="367"/>
    </row>
    <row r="94" spans="1:43" s="69" customFormat="1" ht="26.1" customHeight="1" x14ac:dyDescent="0.3">
      <c r="A94" s="130" t="s">
        <v>263</v>
      </c>
      <c r="B94" s="131" t="s">
        <v>264</v>
      </c>
      <c r="C94" s="132" t="s">
        <v>30</v>
      </c>
      <c r="D94" s="133">
        <v>13.5</v>
      </c>
      <c r="E94" s="75"/>
      <c r="F94" s="75"/>
      <c r="G94" s="75"/>
      <c r="H94" s="75"/>
      <c r="I94" s="328"/>
      <c r="J94" s="75">
        <v>1889.54</v>
      </c>
      <c r="K94" s="75">
        <v>25508.79</v>
      </c>
      <c r="L94" s="91" t="s">
        <v>265</v>
      </c>
      <c r="M94" s="73"/>
      <c r="N94" s="46">
        <v>13.1</v>
      </c>
      <c r="O94" s="46">
        <v>0</v>
      </c>
      <c r="P94" s="46">
        <v>24752.97</v>
      </c>
      <c r="Q94" s="98"/>
      <c r="R94" s="23" t="s">
        <v>1456</v>
      </c>
      <c r="S94" s="24" t="s">
        <v>264</v>
      </c>
      <c r="T94" s="25" t="s">
        <v>30</v>
      </c>
      <c r="U94" s="26">
        <v>13.5</v>
      </c>
      <c r="V94" s="26">
        <f t="shared" si="12"/>
        <v>13.5</v>
      </c>
      <c r="W94" s="26">
        <f t="shared" si="16"/>
        <v>1889.54</v>
      </c>
      <c r="X94" s="127">
        <f t="shared" si="20"/>
        <v>0</v>
      </c>
      <c r="Y94" s="127">
        <f t="shared" si="17"/>
        <v>13.1</v>
      </c>
      <c r="Z94" s="127">
        <f t="shared" si="13"/>
        <v>0</v>
      </c>
      <c r="AA94" s="127">
        <f t="shared" si="18"/>
        <v>24752.97</v>
      </c>
      <c r="AB94" s="33" t="s">
        <v>15</v>
      </c>
      <c r="AC94" s="325"/>
      <c r="AD94" s="263">
        <f t="shared" si="15"/>
        <v>13.5</v>
      </c>
      <c r="AE94" s="263">
        <f t="shared" si="14"/>
        <v>25508.79</v>
      </c>
      <c r="AF94" s="263">
        <v>1.2</v>
      </c>
      <c r="AG94" s="263">
        <v>1.2</v>
      </c>
      <c r="AH94" s="68" t="str">
        <f t="shared" si="19"/>
        <v/>
      </c>
      <c r="AI94" s="194">
        <f>11.5+1.6</f>
        <v>13.1</v>
      </c>
      <c r="AJ94" s="188">
        <v>13.5</v>
      </c>
      <c r="AO94" s="367"/>
      <c r="AP94" s="367"/>
      <c r="AQ94" s="367"/>
    </row>
    <row r="95" spans="1:43" s="69" customFormat="1" ht="24.75" x14ac:dyDescent="0.3">
      <c r="A95" s="130" t="s">
        <v>266</v>
      </c>
      <c r="B95" s="131" t="s">
        <v>267</v>
      </c>
      <c r="C95" s="132" t="s">
        <v>30</v>
      </c>
      <c r="D95" s="133">
        <v>13.7</v>
      </c>
      <c r="E95" s="75"/>
      <c r="F95" s="75"/>
      <c r="G95" s="75"/>
      <c r="H95" s="75"/>
      <c r="I95" s="328">
        <v>27.4</v>
      </c>
      <c r="J95" s="75">
        <v>1778.66</v>
      </c>
      <c r="K95" s="75">
        <v>48735.28</v>
      </c>
      <c r="L95" s="91" t="s">
        <v>268</v>
      </c>
      <c r="M95" s="73"/>
      <c r="N95" s="46">
        <v>26.7</v>
      </c>
      <c r="O95" s="46">
        <v>23122.58</v>
      </c>
      <c r="P95" s="46">
        <v>47490.22</v>
      </c>
      <c r="Q95" s="98"/>
      <c r="R95" s="23" t="s">
        <v>1457</v>
      </c>
      <c r="S95" s="24" t="s">
        <v>267</v>
      </c>
      <c r="T95" s="25" t="s">
        <v>30</v>
      </c>
      <c r="U95" s="26">
        <v>13.7</v>
      </c>
      <c r="V95" s="26">
        <f t="shared" si="12"/>
        <v>27.4</v>
      </c>
      <c r="W95" s="26">
        <f t="shared" si="16"/>
        <v>1778.66</v>
      </c>
      <c r="X95" s="128">
        <f t="shared" si="20"/>
        <v>0</v>
      </c>
      <c r="Y95" s="127">
        <f t="shared" si="17"/>
        <v>26.7</v>
      </c>
      <c r="Z95" s="127">
        <f t="shared" si="13"/>
        <v>0</v>
      </c>
      <c r="AA95" s="127">
        <f t="shared" si="18"/>
        <v>47490.22</v>
      </c>
      <c r="AB95" s="33" t="s">
        <v>15</v>
      </c>
      <c r="AC95" s="325"/>
      <c r="AD95" s="263">
        <f t="shared" si="15"/>
        <v>27.4</v>
      </c>
      <c r="AE95" s="263">
        <f t="shared" si="14"/>
        <v>48735.28</v>
      </c>
      <c r="AF95" s="263">
        <v>1.2</v>
      </c>
      <c r="AG95" s="263">
        <v>1.2</v>
      </c>
      <c r="AH95" s="68" t="str">
        <f t="shared" si="19"/>
        <v/>
      </c>
      <c r="AI95" s="194">
        <v>26.7</v>
      </c>
      <c r="AJ95" s="190">
        <v>27.4</v>
      </c>
      <c r="AO95" s="367"/>
      <c r="AP95" s="367"/>
      <c r="AQ95" s="367"/>
    </row>
    <row r="96" spans="1:43" s="69" customFormat="1" ht="26.1" customHeight="1" x14ac:dyDescent="0.3">
      <c r="A96" s="130" t="s">
        <v>269</v>
      </c>
      <c r="B96" s="131" t="s">
        <v>270</v>
      </c>
      <c r="C96" s="132" t="s">
        <v>30</v>
      </c>
      <c r="D96" s="133">
        <v>17.920000000000002</v>
      </c>
      <c r="E96" s="75"/>
      <c r="F96" s="75"/>
      <c r="G96" s="75"/>
      <c r="H96" s="75"/>
      <c r="I96" s="328">
        <v>48.1</v>
      </c>
      <c r="J96" s="75">
        <v>2939.14</v>
      </c>
      <c r="K96" s="75">
        <v>141372.63</v>
      </c>
      <c r="L96" s="91" t="s">
        <v>271</v>
      </c>
      <c r="M96" s="73"/>
      <c r="N96" s="46">
        <v>46.1</v>
      </c>
      <c r="O96" s="46">
        <v>82883.740000000005</v>
      </c>
      <c r="P96" s="46">
        <v>135494.35</v>
      </c>
      <c r="Q96" s="98"/>
      <c r="R96" s="23" t="s">
        <v>1458</v>
      </c>
      <c r="S96" s="24" t="s">
        <v>270</v>
      </c>
      <c r="T96" s="25" t="s">
        <v>30</v>
      </c>
      <c r="U96" s="26">
        <v>17.920000000000002</v>
      </c>
      <c r="V96" s="26">
        <f t="shared" si="12"/>
        <v>48.1</v>
      </c>
      <c r="W96" s="26">
        <f t="shared" si="16"/>
        <v>2939.14</v>
      </c>
      <c r="X96" s="128">
        <f t="shared" si="20"/>
        <v>0</v>
      </c>
      <c r="Y96" s="127">
        <f t="shared" si="17"/>
        <v>46.1</v>
      </c>
      <c r="Z96" s="127">
        <f t="shared" si="13"/>
        <v>0</v>
      </c>
      <c r="AA96" s="127">
        <f t="shared" si="18"/>
        <v>135494.35</v>
      </c>
      <c r="AB96" s="33" t="s">
        <v>15</v>
      </c>
      <c r="AC96" s="325"/>
      <c r="AD96" s="263">
        <f t="shared" si="15"/>
        <v>48.1</v>
      </c>
      <c r="AE96" s="263">
        <f t="shared" si="14"/>
        <v>141372.63</v>
      </c>
      <c r="AF96" s="263">
        <v>1.2</v>
      </c>
      <c r="AG96" s="263">
        <v>1.2</v>
      </c>
      <c r="AH96" s="68" t="str">
        <f t="shared" si="19"/>
        <v/>
      </c>
      <c r="AI96" s="194">
        <v>46.1</v>
      </c>
      <c r="AJ96" s="190">
        <v>48.1</v>
      </c>
      <c r="AO96" s="367"/>
      <c r="AP96" s="367"/>
      <c r="AQ96" s="367"/>
    </row>
    <row r="97" spans="1:43" s="69" customFormat="1" ht="26.1" customHeight="1" x14ac:dyDescent="0.3">
      <c r="A97" s="55" t="s">
        <v>272</v>
      </c>
      <c r="B97" s="53" t="s">
        <v>273</v>
      </c>
      <c r="C97" s="54" t="s">
        <v>81</v>
      </c>
      <c r="D97" s="75">
        <v>1</v>
      </c>
      <c r="E97" s="75"/>
      <c r="F97" s="75"/>
      <c r="G97" s="75"/>
      <c r="H97" s="75"/>
      <c r="I97" s="75"/>
      <c r="J97" s="75">
        <v>23030.799999999999</v>
      </c>
      <c r="K97" s="75">
        <v>23030.799999999999</v>
      </c>
      <c r="L97" s="91" t="s">
        <v>274</v>
      </c>
      <c r="M97" s="73"/>
      <c r="N97" s="46">
        <v>0</v>
      </c>
      <c r="O97" s="46">
        <v>0</v>
      </c>
      <c r="P97" s="46">
        <v>0</v>
      </c>
      <c r="Q97" s="98"/>
      <c r="R97" s="23" t="s">
        <v>1459</v>
      </c>
      <c r="S97" s="24" t="s">
        <v>273</v>
      </c>
      <c r="T97" s="25" t="s">
        <v>81</v>
      </c>
      <c r="U97" s="26">
        <v>1</v>
      </c>
      <c r="V97" s="26">
        <f t="shared" si="12"/>
        <v>1</v>
      </c>
      <c r="W97" s="26">
        <f t="shared" si="16"/>
        <v>23030.799999999999</v>
      </c>
      <c r="X97" s="26">
        <f t="shared" si="20"/>
        <v>0</v>
      </c>
      <c r="Y97" s="26">
        <f t="shared" si="17"/>
        <v>0</v>
      </c>
      <c r="Z97" s="26">
        <f t="shared" si="13"/>
        <v>0</v>
      </c>
      <c r="AA97" s="26">
        <f t="shared" si="18"/>
        <v>0</v>
      </c>
      <c r="AB97" s="33" t="s">
        <v>15</v>
      </c>
      <c r="AC97" s="324"/>
      <c r="AD97" s="181">
        <f t="shared" si="15"/>
        <v>1</v>
      </c>
      <c r="AE97" s="181">
        <f t="shared" si="14"/>
        <v>23030.799999999999</v>
      </c>
      <c r="AF97" s="181">
        <v>1.2</v>
      </c>
      <c r="AG97" s="181">
        <v>1.2</v>
      </c>
      <c r="AH97" s="363" t="str">
        <f t="shared" si="19"/>
        <v/>
      </c>
      <c r="AI97" s="192">
        <v>0</v>
      </c>
      <c r="AJ97" s="188">
        <v>1</v>
      </c>
      <c r="AO97" s="367"/>
      <c r="AP97" s="367"/>
      <c r="AQ97" s="367"/>
    </row>
    <row r="98" spans="1:43" s="69" customFormat="1" ht="26.1" customHeight="1" x14ac:dyDescent="0.3">
      <c r="A98" s="55" t="s">
        <v>275</v>
      </c>
      <c r="B98" s="53" t="s">
        <v>276</v>
      </c>
      <c r="C98" s="54" t="s">
        <v>81</v>
      </c>
      <c r="D98" s="75">
        <v>2</v>
      </c>
      <c r="E98" s="75"/>
      <c r="F98" s="75"/>
      <c r="G98" s="75"/>
      <c r="H98" s="75"/>
      <c r="I98" s="75"/>
      <c r="J98" s="75">
        <v>18605.919999999998</v>
      </c>
      <c r="K98" s="75">
        <v>37211.839999999997</v>
      </c>
      <c r="L98" s="91" t="s">
        <v>277</v>
      </c>
      <c r="M98" s="73"/>
      <c r="N98" s="46">
        <v>0</v>
      </c>
      <c r="O98" s="46">
        <v>0</v>
      </c>
      <c r="P98" s="46">
        <v>0</v>
      </c>
      <c r="Q98" s="98"/>
      <c r="R98" s="23" t="s">
        <v>1460</v>
      </c>
      <c r="S98" s="24" t="s">
        <v>276</v>
      </c>
      <c r="T98" s="25" t="s">
        <v>81</v>
      </c>
      <c r="U98" s="26">
        <v>2</v>
      </c>
      <c r="V98" s="26">
        <f t="shared" si="12"/>
        <v>2</v>
      </c>
      <c r="W98" s="26">
        <f t="shared" si="16"/>
        <v>18605.919999999998</v>
      </c>
      <c r="X98" s="26">
        <f t="shared" si="20"/>
        <v>0</v>
      </c>
      <c r="Y98" s="26">
        <f t="shared" si="17"/>
        <v>0</v>
      </c>
      <c r="Z98" s="26">
        <f t="shared" si="13"/>
        <v>0</v>
      </c>
      <c r="AA98" s="26">
        <f t="shared" si="18"/>
        <v>0</v>
      </c>
      <c r="AB98" s="33" t="s">
        <v>15</v>
      </c>
      <c r="AC98" s="324"/>
      <c r="AD98" s="181">
        <f t="shared" si="15"/>
        <v>2</v>
      </c>
      <c r="AE98" s="181">
        <f t="shared" si="14"/>
        <v>37211.839999999997</v>
      </c>
      <c r="AF98" s="181">
        <v>1.2</v>
      </c>
      <c r="AG98" s="181">
        <v>1.2</v>
      </c>
      <c r="AH98" s="363" t="str">
        <f t="shared" si="19"/>
        <v/>
      </c>
      <c r="AI98" s="192">
        <v>0</v>
      </c>
      <c r="AJ98" s="188">
        <v>2</v>
      </c>
      <c r="AO98" s="367"/>
      <c r="AP98" s="367"/>
      <c r="AQ98" s="367"/>
    </row>
    <row r="99" spans="1:43" s="69" customFormat="1" ht="26.1" customHeight="1" x14ac:dyDescent="0.3">
      <c r="A99" s="55" t="s">
        <v>278</v>
      </c>
      <c r="B99" s="53" t="s">
        <v>279</v>
      </c>
      <c r="C99" s="54" t="s">
        <v>81</v>
      </c>
      <c r="D99" s="75">
        <v>1</v>
      </c>
      <c r="E99" s="75"/>
      <c r="F99" s="75"/>
      <c r="G99" s="75"/>
      <c r="H99" s="75"/>
      <c r="I99" s="75"/>
      <c r="J99" s="75">
        <v>18605.919999999998</v>
      </c>
      <c r="K99" s="75">
        <v>18605.919999999998</v>
      </c>
      <c r="L99" s="91" t="s">
        <v>280</v>
      </c>
      <c r="M99" s="73"/>
      <c r="N99" s="46">
        <v>0</v>
      </c>
      <c r="O99" s="46">
        <v>0</v>
      </c>
      <c r="P99" s="46">
        <v>0</v>
      </c>
      <c r="Q99" s="98"/>
      <c r="R99" s="23" t="s">
        <v>1461</v>
      </c>
      <c r="S99" s="24" t="s">
        <v>279</v>
      </c>
      <c r="T99" s="25" t="s">
        <v>81</v>
      </c>
      <c r="U99" s="26">
        <v>1</v>
      </c>
      <c r="V99" s="26">
        <f t="shared" si="12"/>
        <v>1</v>
      </c>
      <c r="W99" s="26">
        <f t="shared" si="16"/>
        <v>18605.919999999998</v>
      </c>
      <c r="X99" s="26">
        <f t="shared" si="20"/>
        <v>0</v>
      </c>
      <c r="Y99" s="26">
        <f t="shared" si="17"/>
        <v>0</v>
      </c>
      <c r="Z99" s="26">
        <f t="shared" si="13"/>
        <v>0</v>
      </c>
      <c r="AA99" s="26">
        <f t="shared" si="18"/>
        <v>0</v>
      </c>
      <c r="AB99" s="33" t="s">
        <v>15</v>
      </c>
      <c r="AC99" s="324"/>
      <c r="AD99" s="181">
        <f t="shared" si="15"/>
        <v>1</v>
      </c>
      <c r="AE99" s="181">
        <f t="shared" si="14"/>
        <v>18605.919999999998</v>
      </c>
      <c r="AF99" s="181">
        <v>1.2</v>
      </c>
      <c r="AG99" s="181">
        <v>1.2</v>
      </c>
      <c r="AH99" s="363" t="str">
        <f t="shared" si="19"/>
        <v/>
      </c>
      <c r="AI99" s="192">
        <v>0</v>
      </c>
      <c r="AJ99" s="188">
        <v>1</v>
      </c>
      <c r="AO99" s="367"/>
      <c r="AP99" s="367"/>
      <c r="AQ99" s="367"/>
    </row>
    <row r="100" spans="1:43" s="69" customFormat="1" ht="26.1" customHeight="1" x14ac:dyDescent="0.3">
      <c r="A100" s="55" t="s">
        <v>281</v>
      </c>
      <c r="B100" s="53" t="s">
        <v>282</v>
      </c>
      <c r="C100" s="54" t="s">
        <v>81</v>
      </c>
      <c r="D100" s="75">
        <v>3</v>
      </c>
      <c r="E100" s="75"/>
      <c r="F100" s="75"/>
      <c r="G100" s="75"/>
      <c r="H100" s="75"/>
      <c r="I100" s="75"/>
      <c r="J100" s="75">
        <v>11655.48</v>
      </c>
      <c r="K100" s="75">
        <v>34966.44</v>
      </c>
      <c r="L100" s="91" t="s">
        <v>283</v>
      </c>
      <c r="M100" s="73"/>
      <c r="N100" s="46">
        <v>0</v>
      </c>
      <c r="O100" s="46">
        <v>0</v>
      </c>
      <c r="P100" s="46">
        <v>0</v>
      </c>
      <c r="Q100" s="98"/>
      <c r="R100" s="23" t="s">
        <v>1462</v>
      </c>
      <c r="S100" s="24" t="s">
        <v>282</v>
      </c>
      <c r="T100" s="25" t="s">
        <v>81</v>
      </c>
      <c r="U100" s="26">
        <v>3</v>
      </c>
      <c r="V100" s="26">
        <f t="shared" si="12"/>
        <v>3</v>
      </c>
      <c r="W100" s="26">
        <f t="shared" si="16"/>
        <v>11655.48</v>
      </c>
      <c r="X100" s="26">
        <f t="shared" si="20"/>
        <v>0</v>
      </c>
      <c r="Y100" s="26">
        <f t="shared" si="17"/>
        <v>0</v>
      </c>
      <c r="Z100" s="26">
        <f t="shared" si="13"/>
        <v>0</v>
      </c>
      <c r="AA100" s="26">
        <f t="shared" si="18"/>
        <v>0</v>
      </c>
      <c r="AB100" s="33" t="s">
        <v>15</v>
      </c>
      <c r="AC100" s="324"/>
      <c r="AD100" s="181">
        <f t="shared" si="15"/>
        <v>3</v>
      </c>
      <c r="AE100" s="181">
        <f t="shared" si="14"/>
        <v>34966.44</v>
      </c>
      <c r="AF100" s="181">
        <v>1.2</v>
      </c>
      <c r="AG100" s="181">
        <v>1.2</v>
      </c>
      <c r="AH100" s="363" t="str">
        <f t="shared" si="19"/>
        <v/>
      </c>
      <c r="AI100" s="192">
        <v>0</v>
      </c>
      <c r="AJ100" s="188">
        <v>3</v>
      </c>
      <c r="AO100" s="367"/>
      <c r="AP100" s="367"/>
      <c r="AQ100" s="367"/>
    </row>
    <row r="101" spans="1:43" s="69" customFormat="1" ht="26.1" customHeight="1" x14ac:dyDescent="0.3">
      <c r="A101" s="246" t="s">
        <v>284</v>
      </c>
      <c r="B101" s="247" t="s">
        <v>285</v>
      </c>
      <c r="C101" s="248" t="s">
        <v>81</v>
      </c>
      <c r="D101" s="249">
        <v>4</v>
      </c>
      <c r="E101" s="75"/>
      <c r="F101" s="75"/>
      <c r="G101" s="75"/>
      <c r="H101" s="75"/>
      <c r="I101" s="75"/>
      <c r="J101" s="75">
        <v>25108.91</v>
      </c>
      <c r="K101" s="75">
        <v>100435.64</v>
      </c>
      <c r="L101" s="91" t="s">
        <v>286</v>
      </c>
      <c r="M101" s="73"/>
      <c r="N101" s="46">
        <v>0</v>
      </c>
      <c r="O101" s="46">
        <v>0</v>
      </c>
      <c r="P101" s="46">
        <v>0</v>
      </c>
      <c r="Q101" s="98"/>
      <c r="R101" s="23" t="s">
        <v>1463</v>
      </c>
      <c r="S101" s="24" t="s">
        <v>285</v>
      </c>
      <c r="T101" s="25" t="s">
        <v>81</v>
      </c>
      <c r="U101" s="26">
        <v>4</v>
      </c>
      <c r="V101" s="26">
        <f t="shared" si="12"/>
        <v>4</v>
      </c>
      <c r="W101" s="26">
        <f t="shared" si="16"/>
        <v>25108.91</v>
      </c>
      <c r="X101" s="26">
        <f t="shared" si="20"/>
        <v>0</v>
      </c>
      <c r="Y101" s="26">
        <f t="shared" si="17"/>
        <v>0</v>
      </c>
      <c r="Z101" s="26">
        <f t="shared" si="13"/>
        <v>0</v>
      </c>
      <c r="AA101" s="26">
        <f t="shared" si="18"/>
        <v>0</v>
      </c>
      <c r="AB101" s="33" t="s">
        <v>15</v>
      </c>
      <c r="AC101" s="324"/>
      <c r="AD101" s="181">
        <f t="shared" si="15"/>
        <v>4</v>
      </c>
      <c r="AE101" s="181">
        <f t="shared" si="14"/>
        <v>100435.64</v>
      </c>
      <c r="AF101" s="181">
        <v>1.2</v>
      </c>
      <c r="AG101" s="181">
        <v>1.2</v>
      </c>
      <c r="AH101" s="363" t="str">
        <f t="shared" si="19"/>
        <v/>
      </c>
      <c r="AI101" s="192">
        <v>0</v>
      </c>
      <c r="AJ101" s="188">
        <v>4</v>
      </c>
      <c r="AO101" s="367"/>
      <c r="AP101" s="367"/>
      <c r="AQ101" s="367"/>
    </row>
    <row r="102" spans="1:43" s="69" customFormat="1" ht="26.1" customHeight="1" x14ac:dyDescent="0.3">
      <c r="A102" s="55" t="s">
        <v>287</v>
      </c>
      <c r="B102" s="53" t="s">
        <v>288</v>
      </c>
      <c r="C102" s="54" t="s">
        <v>81</v>
      </c>
      <c r="D102" s="75">
        <v>5</v>
      </c>
      <c r="E102" s="75"/>
      <c r="F102" s="75"/>
      <c r="G102" s="75"/>
      <c r="H102" s="75"/>
      <c r="I102" s="75"/>
      <c r="J102" s="75">
        <v>22416.92</v>
      </c>
      <c r="K102" s="75">
        <v>112084.6</v>
      </c>
      <c r="L102" s="91" t="s">
        <v>289</v>
      </c>
      <c r="M102" s="73"/>
      <c r="N102" s="46">
        <v>0</v>
      </c>
      <c r="O102" s="46">
        <v>0</v>
      </c>
      <c r="P102" s="46">
        <v>0</v>
      </c>
      <c r="Q102" s="98"/>
      <c r="R102" s="23" t="s">
        <v>1464</v>
      </c>
      <c r="S102" s="24" t="s">
        <v>288</v>
      </c>
      <c r="T102" s="25" t="s">
        <v>81</v>
      </c>
      <c r="U102" s="26">
        <v>5</v>
      </c>
      <c r="V102" s="26">
        <f t="shared" si="12"/>
        <v>5</v>
      </c>
      <c r="W102" s="26">
        <f t="shared" si="16"/>
        <v>22416.92</v>
      </c>
      <c r="X102" s="26">
        <f t="shared" si="20"/>
        <v>0</v>
      </c>
      <c r="Y102" s="26">
        <f t="shared" si="17"/>
        <v>0</v>
      </c>
      <c r="Z102" s="26">
        <f t="shared" si="13"/>
        <v>0</v>
      </c>
      <c r="AA102" s="26">
        <f t="shared" si="18"/>
        <v>0</v>
      </c>
      <c r="AB102" s="33" t="s">
        <v>15</v>
      </c>
      <c r="AC102" s="324"/>
      <c r="AD102" s="181">
        <f t="shared" si="15"/>
        <v>5</v>
      </c>
      <c r="AE102" s="181">
        <f t="shared" si="14"/>
        <v>112084.6</v>
      </c>
      <c r="AF102" s="181">
        <v>1.2</v>
      </c>
      <c r="AG102" s="181">
        <v>1.2</v>
      </c>
      <c r="AH102" s="363" t="str">
        <f t="shared" si="19"/>
        <v/>
      </c>
      <c r="AI102" s="192">
        <v>0</v>
      </c>
      <c r="AJ102" s="188">
        <v>5</v>
      </c>
      <c r="AO102" s="367"/>
      <c r="AP102" s="367"/>
      <c r="AQ102" s="367"/>
    </row>
    <row r="103" spans="1:43" s="69" customFormat="1" ht="26.1" customHeight="1" x14ac:dyDescent="0.3">
      <c r="A103" s="55" t="s">
        <v>290</v>
      </c>
      <c r="B103" s="53" t="s">
        <v>291</v>
      </c>
      <c r="C103" s="54" t="s">
        <v>81</v>
      </c>
      <c r="D103" s="75">
        <v>1</v>
      </c>
      <c r="E103" s="75"/>
      <c r="F103" s="75"/>
      <c r="G103" s="75"/>
      <c r="H103" s="75"/>
      <c r="I103" s="75"/>
      <c r="J103" s="75">
        <v>21724.76</v>
      </c>
      <c r="K103" s="75">
        <v>21724.76</v>
      </c>
      <c r="L103" s="91" t="s">
        <v>292</v>
      </c>
      <c r="M103" s="73"/>
      <c r="N103" s="46">
        <v>0</v>
      </c>
      <c r="O103" s="46">
        <v>0</v>
      </c>
      <c r="P103" s="46">
        <v>0</v>
      </c>
      <c r="Q103" s="98"/>
      <c r="R103" s="23" t="s">
        <v>1465</v>
      </c>
      <c r="S103" s="24" t="s">
        <v>291</v>
      </c>
      <c r="T103" s="25" t="s">
        <v>81</v>
      </c>
      <c r="U103" s="26">
        <v>1</v>
      </c>
      <c r="V103" s="26">
        <f t="shared" si="12"/>
        <v>1</v>
      </c>
      <c r="W103" s="26">
        <f t="shared" si="16"/>
        <v>21724.76</v>
      </c>
      <c r="X103" s="26">
        <f t="shared" si="20"/>
        <v>0</v>
      </c>
      <c r="Y103" s="26">
        <f t="shared" si="17"/>
        <v>0</v>
      </c>
      <c r="Z103" s="26">
        <f t="shared" si="13"/>
        <v>0</v>
      </c>
      <c r="AA103" s="26">
        <f t="shared" si="18"/>
        <v>0</v>
      </c>
      <c r="AB103" s="33" t="s">
        <v>15</v>
      </c>
      <c r="AC103" s="324"/>
      <c r="AD103" s="181">
        <f t="shared" si="15"/>
        <v>1</v>
      </c>
      <c r="AE103" s="181">
        <f t="shared" si="14"/>
        <v>21724.76</v>
      </c>
      <c r="AF103" s="181">
        <v>1.2</v>
      </c>
      <c r="AG103" s="181">
        <v>1.2</v>
      </c>
      <c r="AH103" s="363" t="str">
        <f t="shared" si="19"/>
        <v/>
      </c>
      <c r="AI103" s="192">
        <v>0</v>
      </c>
      <c r="AJ103" s="188">
        <v>1</v>
      </c>
      <c r="AO103" s="367"/>
      <c r="AP103" s="367"/>
      <c r="AQ103" s="367"/>
    </row>
    <row r="104" spans="1:43" s="69" customFormat="1" ht="26.1" customHeight="1" x14ac:dyDescent="0.3">
      <c r="A104" s="55" t="s">
        <v>293</v>
      </c>
      <c r="B104" s="53" t="s">
        <v>294</v>
      </c>
      <c r="C104" s="54" t="s">
        <v>81</v>
      </c>
      <c r="D104" s="75">
        <v>2</v>
      </c>
      <c r="E104" s="75"/>
      <c r="F104" s="75"/>
      <c r="G104" s="75"/>
      <c r="H104" s="75"/>
      <c r="I104" s="75"/>
      <c r="J104" s="75">
        <v>17341.04</v>
      </c>
      <c r="K104" s="75">
        <v>34682.080000000002</v>
      </c>
      <c r="L104" s="91" t="s">
        <v>295</v>
      </c>
      <c r="M104" s="73"/>
      <c r="N104" s="46">
        <v>0</v>
      </c>
      <c r="O104" s="46">
        <v>0</v>
      </c>
      <c r="P104" s="46">
        <v>0</v>
      </c>
      <c r="Q104" s="98"/>
      <c r="R104" s="23" t="s">
        <v>1466</v>
      </c>
      <c r="S104" s="24" t="s">
        <v>294</v>
      </c>
      <c r="T104" s="25" t="s">
        <v>81</v>
      </c>
      <c r="U104" s="26">
        <v>2</v>
      </c>
      <c r="V104" s="26">
        <f t="shared" si="12"/>
        <v>2</v>
      </c>
      <c r="W104" s="26">
        <f t="shared" si="16"/>
        <v>17341.04</v>
      </c>
      <c r="X104" s="26">
        <f t="shared" si="20"/>
        <v>0</v>
      </c>
      <c r="Y104" s="26">
        <f t="shared" si="17"/>
        <v>0</v>
      </c>
      <c r="Z104" s="26">
        <f t="shared" si="13"/>
        <v>0</v>
      </c>
      <c r="AA104" s="26">
        <f t="shared" si="18"/>
        <v>0</v>
      </c>
      <c r="AB104" s="33" t="s">
        <v>15</v>
      </c>
      <c r="AC104" s="324"/>
      <c r="AD104" s="181">
        <f t="shared" si="15"/>
        <v>2</v>
      </c>
      <c r="AE104" s="181">
        <f t="shared" si="14"/>
        <v>34682.080000000002</v>
      </c>
      <c r="AF104" s="181">
        <v>1.2</v>
      </c>
      <c r="AG104" s="181">
        <v>1.2</v>
      </c>
      <c r="AH104" s="363" t="str">
        <f t="shared" si="19"/>
        <v/>
      </c>
      <c r="AI104" s="192">
        <v>0</v>
      </c>
      <c r="AJ104" s="188">
        <v>2</v>
      </c>
      <c r="AO104" s="367"/>
      <c r="AP104" s="367"/>
      <c r="AQ104" s="367"/>
    </row>
    <row r="105" spans="1:43" s="69" customFormat="1" ht="26.1" customHeight="1" x14ac:dyDescent="0.3">
      <c r="A105" s="55" t="s">
        <v>296</v>
      </c>
      <c r="B105" s="53" t="s">
        <v>297</v>
      </c>
      <c r="C105" s="54" t="s">
        <v>81</v>
      </c>
      <c r="D105" s="75">
        <v>1</v>
      </c>
      <c r="E105" s="75"/>
      <c r="F105" s="75"/>
      <c r="G105" s="75"/>
      <c r="H105" s="75"/>
      <c r="I105" s="75"/>
      <c r="J105" s="75">
        <v>17341.04</v>
      </c>
      <c r="K105" s="75">
        <v>17341.04</v>
      </c>
      <c r="L105" s="91" t="s">
        <v>298</v>
      </c>
      <c r="M105" s="73"/>
      <c r="N105" s="46">
        <v>0</v>
      </c>
      <c r="O105" s="46">
        <v>0</v>
      </c>
      <c r="P105" s="46">
        <v>0</v>
      </c>
      <c r="Q105" s="98"/>
      <c r="R105" s="23" t="s">
        <v>1467</v>
      </c>
      <c r="S105" s="24" t="s">
        <v>297</v>
      </c>
      <c r="T105" s="25" t="s">
        <v>81</v>
      </c>
      <c r="U105" s="26">
        <v>1</v>
      </c>
      <c r="V105" s="26">
        <f t="shared" ref="V105:V143" si="21">IF(I105&gt;0,I105,IF(H105&gt;0,H105,IF(G105&gt;0,G105,IF(F105&gt;0,F105,IF(E105&gt;0,E105,D105)))))</f>
        <v>1</v>
      </c>
      <c r="W105" s="26">
        <f t="shared" si="16"/>
        <v>17341.04</v>
      </c>
      <c r="X105" s="26">
        <f t="shared" si="20"/>
        <v>0</v>
      </c>
      <c r="Y105" s="26">
        <f t="shared" si="17"/>
        <v>0</v>
      </c>
      <c r="Z105" s="26">
        <f t="shared" ref="Z105:Z143" si="22">AA105-P105</f>
        <v>0</v>
      </c>
      <c r="AA105" s="26">
        <f t="shared" si="18"/>
        <v>0</v>
      </c>
      <c r="AB105" s="33" t="s">
        <v>15</v>
      </c>
      <c r="AC105" s="324"/>
      <c r="AD105" s="181">
        <f t="shared" si="15"/>
        <v>1</v>
      </c>
      <c r="AE105" s="181">
        <f t="shared" si="14"/>
        <v>17341.04</v>
      </c>
      <c r="AF105" s="181">
        <v>1.2</v>
      </c>
      <c r="AG105" s="181">
        <v>1.2</v>
      </c>
      <c r="AH105" s="363" t="str">
        <f t="shared" si="19"/>
        <v/>
      </c>
      <c r="AI105" s="192">
        <v>0</v>
      </c>
      <c r="AJ105" s="188">
        <v>1</v>
      </c>
      <c r="AO105" s="367"/>
      <c r="AP105" s="367"/>
      <c r="AQ105" s="367"/>
    </row>
    <row r="106" spans="1:43" s="69" customFormat="1" ht="26.1" customHeight="1" x14ac:dyDescent="0.3">
      <c r="A106" s="55" t="s">
        <v>299</v>
      </c>
      <c r="B106" s="53" t="s">
        <v>300</v>
      </c>
      <c r="C106" s="54" t="s">
        <v>81</v>
      </c>
      <c r="D106" s="75">
        <v>6</v>
      </c>
      <c r="E106" s="75"/>
      <c r="F106" s="75"/>
      <c r="G106" s="75"/>
      <c r="H106" s="75"/>
      <c r="I106" s="75"/>
      <c r="J106" s="75">
        <v>17341.04</v>
      </c>
      <c r="K106" s="75">
        <v>104046.24</v>
      </c>
      <c r="L106" s="91" t="s">
        <v>301</v>
      </c>
      <c r="M106" s="73"/>
      <c r="N106" s="46">
        <v>0</v>
      </c>
      <c r="O106" s="46">
        <v>0</v>
      </c>
      <c r="P106" s="46">
        <v>0</v>
      </c>
      <c r="Q106" s="98"/>
      <c r="R106" s="23" t="s">
        <v>1468</v>
      </c>
      <c r="S106" s="24" t="s">
        <v>300</v>
      </c>
      <c r="T106" s="25" t="s">
        <v>81</v>
      </c>
      <c r="U106" s="26">
        <v>6</v>
      </c>
      <c r="V106" s="26">
        <f t="shared" si="21"/>
        <v>6</v>
      </c>
      <c r="W106" s="26">
        <f t="shared" si="16"/>
        <v>17341.04</v>
      </c>
      <c r="X106" s="26">
        <f t="shared" si="20"/>
        <v>0</v>
      </c>
      <c r="Y106" s="26">
        <f t="shared" si="17"/>
        <v>0</v>
      </c>
      <c r="Z106" s="26">
        <f t="shared" si="22"/>
        <v>0</v>
      </c>
      <c r="AA106" s="26">
        <f t="shared" si="18"/>
        <v>0</v>
      </c>
      <c r="AB106" s="33" t="s">
        <v>15</v>
      </c>
      <c r="AC106" s="324"/>
      <c r="AD106" s="181">
        <f t="shared" si="15"/>
        <v>6</v>
      </c>
      <c r="AE106" s="181">
        <f t="shared" ref="AE106:AE143" si="23">ROUND(W106*AD106,2)</f>
        <v>104046.24</v>
      </c>
      <c r="AF106" s="181">
        <v>1.2</v>
      </c>
      <c r="AG106" s="181">
        <v>1.2</v>
      </c>
      <c r="AH106" s="363" t="str">
        <f t="shared" si="19"/>
        <v/>
      </c>
      <c r="AI106" s="192">
        <v>0</v>
      </c>
      <c r="AJ106" s="188">
        <v>6</v>
      </c>
      <c r="AO106" s="367"/>
      <c r="AP106" s="367"/>
      <c r="AQ106" s="367"/>
    </row>
    <row r="107" spans="1:43" s="69" customFormat="1" ht="26.1" customHeight="1" x14ac:dyDescent="0.3">
      <c r="A107" s="55" t="s">
        <v>302</v>
      </c>
      <c r="B107" s="53" t="s">
        <v>303</v>
      </c>
      <c r="C107" s="54" t="s">
        <v>81</v>
      </c>
      <c r="D107" s="75">
        <v>2</v>
      </c>
      <c r="E107" s="75"/>
      <c r="F107" s="75"/>
      <c r="G107" s="75"/>
      <c r="H107" s="75"/>
      <c r="I107" s="75"/>
      <c r="J107" s="75">
        <v>17497.64</v>
      </c>
      <c r="K107" s="75">
        <v>34995.279999999999</v>
      </c>
      <c r="L107" s="91" t="s">
        <v>304</v>
      </c>
      <c r="M107" s="73"/>
      <c r="N107" s="46">
        <v>0</v>
      </c>
      <c r="O107" s="46">
        <v>0</v>
      </c>
      <c r="P107" s="46">
        <v>0</v>
      </c>
      <c r="Q107" s="98"/>
      <c r="R107" s="23" t="s">
        <v>1469</v>
      </c>
      <c r="S107" s="24" t="s">
        <v>303</v>
      </c>
      <c r="T107" s="25" t="s">
        <v>81</v>
      </c>
      <c r="U107" s="26">
        <v>2</v>
      </c>
      <c r="V107" s="26">
        <f t="shared" si="21"/>
        <v>2</v>
      </c>
      <c r="W107" s="26">
        <f t="shared" si="16"/>
        <v>17497.64</v>
      </c>
      <c r="X107" s="26">
        <f t="shared" si="20"/>
        <v>0</v>
      </c>
      <c r="Y107" s="26">
        <f t="shared" si="17"/>
        <v>0</v>
      </c>
      <c r="Z107" s="26">
        <f t="shared" si="22"/>
        <v>0</v>
      </c>
      <c r="AA107" s="26">
        <f t="shared" si="18"/>
        <v>0</v>
      </c>
      <c r="AB107" s="33" t="s">
        <v>15</v>
      </c>
      <c r="AC107" s="324"/>
      <c r="AD107" s="181">
        <f t="shared" si="15"/>
        <v>2</v>
      </c>
      <c r="AE107" s="181">
        <f t="shared" si="23"/>
        <v>34995.279999999999</v>
      </c>
      <c r="AF107" s="181">
        <v>1.2</v>
      </c>
      <c r="AG107" s="181">
        <v>1.2</v>
      </c>
      <c r="AH107" s="363" t="str">
        <f t="shared" si="19"/>
        <v/>
      </c>
      <c r="AI107" s="192">
        <v>0</v>
      </c>
      <c r="AJ107" s="188">
        <v>2</v>
      </c>
      <c r="AO107" s="367"/>
      <c r="AP107" s="367"/>
      <c r="AQ107" s="367"/>
    </row>
    <row r="108" spans="1:43" s="69" customFormat="1" ht="26.1" customHeight="1" x14ac:dyDescent="0.3">
      <c r="A108" s="55" t="s">
        <v>305</v>
      </c>
      <c r="B108" s="53" t="s">
        <v>306</v>
      </c>
      <c r="C108" s="54" t="s">
        <v>81</v>
      </c>
      <c r="D108" s="75">
        <v>2</v>
      </c>
      <c r="E108" s="75"/>
      <c r="F108" s="75"/>
      <c r="G108" s="75"/>
      <c r="H108" s="75"/>
      <c r="I108" s="75"/>
      <c r="J108" s="75">
        <v>1501.74</v>
      </c>
      <c r="K108" s="75">
        <v>3003.48</v>
      </c>
      <c r="L108" s="91" t="s">
        <v>307</v>
      </c>
      <c r="M108" s="73"/>
      <c r="N108" s="46">
        <v>0</v>
      </c>
      <c r="O108" s="46">
        <v>0</v>
      </c>
      <c r="P108" s="46">
        <v>0</v>
      </c>
      <c r="Q108" s="98"/>
      <c r="R108" s="23" t="s">
        <v>1470</v>
      </c>
      <c r="S108" s="24" t="s">
        <v>306</v>
      </c>
      <c r="T108" s="25" t="s">
        <v>81</v>
      </c>
      <c r="U108" s="26">
        <v>2</v>
      </c>
      <c r="V108" s="26">
        <f t="shared" si="21"/>
        <v>2</v>
      </c>
      <c r="W108" s="26">
        <f t="shared" si="16"/>
        <v>1501.74</v>
      </c>
      <c r="X108" s="26">
        <f t="shared" si="20"/>
        <v>0</v>
      </c>
      <c r="Y108" s="26">
        <f t="shared" si="17"/>
        <v>0</v>
      </c>
      <c r="Z108" s="26">
        <f t="shared" si="22"/>
        <v>0</v>
      </c>
      <c r="AA108" s="26">
        <f t="shared" si="18"/>
        <v>0</v>
      </c>
      <c r="AB108" s="33" t="s">
        <v>15</v>
      </c>
      <c r="AC108" s="324"/>
      <c r="AD108" s="181">
        <f t="shared" si="15"/>
        <v>2</v>
      </c>
      <c r="AE108" s="181">
        <f t="shared" si="23"/>
        <v>3003.48</v>
      </c>
      <c r="AF108" s="181">
        <v>1.2</v>
      </c>
      <c r="AG108" s="181">
        <v>1.2</v>
      </c>
      <c r="AH108" s="363" t="str">
        <f t="shared" si="19"/>
        <v/>
      </c>
      <c r="AI108" s="192">
        <v>0</v>
      </c>
      <c r="AJ108" s="188">
        <v>2</v>
      </c>
      <c r="AO108" s="367"/>
      <c r="AP108" s="367"/>
      <c r="AQ108" s="367"/>
    </row>
    <row r="109" spans="1:43" s="69" customFormat="1" ht="26.1" customHeight="1" x14ac:dyDescent="0.3">
      <c r="A109" s="55" t="s">
        <v>308</v>
      </c>
      <c r="B109" s="53" t="s">
        <v>309</v>
      </c>
      <c r="C109" s="54" t="s">
        <v>81</v>
      </c>
      <c r="D109" s="75">
        <v>1</v>
      </c>
      <c r="E109" s="75"/>
      <c r="F109" s="75"/>
      <c r="G109" s="75"/>
      <c r="H109" s="75"/>
      <c r="I109" s="328">
        <v>2</v>
      </c>
      <c r="J109" s="75">
        <v>994.98</v>
      </c>
      <c r="K109" s="75">
        <v>1989.96</v>
      </c>
      <c r="L109" s="91" t="s">
        <v>310</v>
      </c>
      <c r="M109" s="73"/>
      <c r="N109" s="46">
        <v>0</v>
      </c>
      <c r="O109" s="46">
        <v>0</v>
      </c>
      <c r="P109" s="46">
        <v>0</v>
      </c>
      <c r="Q109" s="98"/>
      <c r="R109" s="23" t="s">
        <v>1471</v>
      </c>
      <c r="S109" s="24" t="s">
        <v>309</v>
      </c>
      <c r="T109" s="25" t="s">
        <v>81</v>
      </c>
      <c r="U109" s="26">
        <v>1</v>
      </c>
      <c r="V109" s="26">
        <f t="shared" si="21"/>
        <v>2</v>
      </c>
      <c r="W109" s="26">
        <f t="shared" si="16"/>
        <v>994.98</v>
      </c>
      <c r="X109" s="26">
        <f t="shared" si="20"/>
        <v>0</v>
      </c>
      <c r="Y109" s="26">
        <f t="shared" si="17"/>
        <v>0</v>
      </c>
      <c r="Z109" s="26">
        <f t="shared" si="22"/>
        <v>0</v>
      </c>
      <c r="AA109" s="26">
        <f t="shared" si="18"/>
        <v>0</v>
      </c>
      <c r="AB109" s="33" t="s">
        <v>15</v>
      </c>
      <c r="AC109" s="324"/>
      <c r="AD109" s="181">
        <f t="shared" si="15"/>
        <v>2</v>
      </c>
      <c r="AE109" s="181">
        <f t="shared" si="23"/>
        <v>1989.96</v>
      </c>
      <c r="AF109" s="181">
        <v>1.2</v>
      </c>
      <c r="AG109" s="181">
        <v>1.2</v>
      </c>
      <c r="AH109" s="363" t="str">
        <f t="shared" si="19"/>
        <v/>
      </c>
      <c r="AI109" s="192">
        <v>0</v>
      </c>
      <c r="AJ109" s="190">
        <v>2</v>
      </c>
      <c r="AO109" s="367"/>
      <c r="AP109" s="367"/>
      <c r="AQ109" s="367"/>
    </row>
    <row r="110" spans="1:43" s="69" customFormat="1" ht="26.1" customHeight="1" x14ac:dyDescent="0.3">
      <c r="A110" s="55" t="s">
        <v>311</v>
      </c>
      <c r="B110" s="53" t="s">
        <v>312</v>
      </c>
      <c r="C110" s="54" t="s">
        <v>81</v>
      </c>
      <c r="D110" s="75">
        <v>12</v>
      </c>
      <c r="E110" s="75"/>
      <c r="F110" s="75"/>
      <c r="G110" s="75"/>
      <c r="H110" s="75"/>
      <c r="I110" s="328"/>
      <c r="J110" s="75">
        <v>331.66</v>
      </c>
      <c r="K110" s="75">
        <v>3979.92</v>
      </c>
      <c r="L110" s="91" t="s">
        <v>313</v>
      </c>
      <c r="M110" s="73"/>
      <c r="N110" s="46">
        <v>0</v>
      </c>
      <c r="O110" s="46">
        <v>0</v>
      </c>
      <c r="P110" s="46">
        <v>0</v>
      </c>
      <c r="Q110" s="98"/>
      <c r="R110" s="23" t="s">
        <v>1472</v>
      </c>
      <c r="S110" s="24" t="s">
        <v>312</v>
      </c>
      <c r="T110" s="25" t="s">
        <v>81</v>
      </c>
      <c r="U110" s="26">
        <v>12</v>
      </c>
      <c r="V110" s="26">
        <f t="shared" si="21"/>
        <v>12</v>
      </c>
      <c r="W110" s="26">
        <f t="shared" si="16"/>
        <v>331.66</v>
      </c>
      <c r="X110" s="26">
        <f t="shared" si="20"/>
        <v>0</v>
      </c>
      <c r="Y110" s="26">
        <f t="shared" si="17"/>
        <v>0</v>
      </c>
      <c r="Z110" s="26">
        <f t="shared" si="22"/>
        <v>0</v>
      </c>
      <c r="AA110" s="26">
        <f t="shared" si="18"/>
        <v>0</v>
      </c>
      <c r="AB110" s="33" t="s">
        <v>15</v>
      </c>
      <c r="AC110" s="324"/>
      <c r="AD110" s="181">
        <f t="shared" si="15"/>
        <v>12</v>
      </c>
      <c r="AE110" s="181">
        <f t="shared" si="23"/>
        <v>3979.92</v>
      </c>
      <c r="AF110" s="181">
        <v>1.2</v>
      </c>
      <c r="AG110" s="181">
        <v>1.2</v>
      </c>
      <c r="AH110" s="363" t="str">
        <f t="shared" si="19"/>
        <v/>
      </c>
      <c r="AI110" s="192">
        <v>0</v>
      </c>
      <c r="AJ110" s="188">
        <v>12</v>
      </c>
      <c r="AO110" s="367"/>
      <c r="AP110" s="367"/>
      <c r="AQ110" s="367"/>
    </row>
    <row r="111" spans="1:43" s="69" customFormat="1" ht="26.1" customHeight="1" x14ac:dyDescent="0.3">
      <c r="A111" s="55" t="s">
        <v>314</v>
      </c>
      <c r="B111" s="53" t="s">
        <v>315</v>
      </c>
      <c r="C111" s="54" t="s">
        <v>81</v>
      </c>
      <c r="D111" s="75">
        <v>2</v>
      </c>
      <c r="E111" s="75"/>
      <c r="F111" s="75"/>
      <c r="G111" s="75"/>
      <c r="H111" s="75"/>
      <c r="I111" s="328"/>
      <c r="J111" s="75">
        <v>1096.44</v>
      </c>
      <c r="K111" s="75">
        <v>2192.88</v>
      </c>
      <c r="L111" s="91" t="s">
        <v>316</v>
      </c>
      <c r="M111" s="73"/>
      <c r="N111" s="46">
        <v>0</v>
      </c>
      <c r="O111" s="46">
        <v>0</v>
      </c>
      <c r="P111" s="46">
        <v>0</v>
      </c>
      <c r="Q111" s="98"/>
      <c r="R111" s="23" t="s">
        <v>1473</v>
      </c>
      <c r="S111" s="24" t="s">
        <v>315</v>
      </c>
      <c r="T111" s="25" t="s">
        <v>81</v>
      </c>
      <c r="U111" s="26">
        <v>2</v>
      </c>
      <c r="V111" s="26">
        <f t="shared" si="21"/>
        <v>2</v>
      </c>
      <c r="W111" s="26">
        <f t="shared" si="16"/>
        <v>1096.44</v>
      </c>
      <c r="X111" s="26">
        <f t="shared" si="20"/>
        <v>0</v>
      </c>
      <c r="Y111" s="26">
        <f t="shared" si="17"/>
        <v>0</v>
      </c>
      <c r="Z111" s="26">
        <f t="shared" si="22"/>
        <v>0</v>
      </c>
      <c r="AA111" s="26">
        <f t="shared" si="18"/>
        <v>0</v>
      </c>
      <c r="AB111" s="33" t="s">
        <v>15</v>
      </c>
      <c r="AC111" s="324"/>
      <c r="AD111" s="181">
        <f t="shared" si="15"/>
        <v>2</v>
      </c>
      <c r="AE111" s="181">
        <f t="shared" si="23"/>
        <v>2192.88</v>
      </c>
      <c r="AF111" s="181">
        <v>1.2</v>
      </c>
      <c r="AG111" s="181">
        <v>1.2</v>
      </c>
      <c r="AH111" s="363" t="str">
        <f t="shared" si="19"/>
        <v/>
      </c>
      <c r="AI111" s="192">
        <v>0</v>
      </c>
      <c r="AJ111" s="188">
        <v>2</v>
      </c>
      <c r="AO111" s="367"/>
      <c r="AP111" s="367"/>
      <c r="AQ111" s="367"/>
    </row>
    <row r="112" spans="1:43" s="69" customFormat="1" ht="26.1" customHeight="1" x14ac:dyDescent="0.3">
      <c r="A112" s="55" t="s">
        <v>317</v>
      </c>
      <c r="B112" s="53" t="s">
        <v>318</v>
      </c>
      <c r="C112" s="54" t="s">
        <v>81</v>
      </c>
      <c r="D112" s="75">
        <v>4</v>
      </c>
      <c r="E112" s="75"/>
      <c r="F112" s="75"/>
      <c r="G112" s="75"/>
      <c r="H112" s="75"/>
      <c r="I112" s="328"/>
      <c r="J112" s="75">
        <v>952.24</v>
      </c>
      <c r="K112" s="75">
        <v>3808.96</v>
      </c>
      <c r="L112" s="91" t="s">
        <v>319</v>
      </c>
      <c r="M112" s="73"/>
      <c r="N112" s="46">
        <v>0</v>
      </c>
      <c r="O112" s="46">
        <v>0</v>
      </c>
      <c r="P112" s="46">
        <v>0</v>
      </c>
      <c r="Q112" s="98"/>
      <c r="R112" s="23" t="s">
        <v>1474</v>
      </c>
      <c r="S112" s="24" t="s">
        <v>318</v>
      </c>
      <c r="T112" s="25" t="s">
        <v>81</v>
      </c>
      <c r="U112" s="26">
        <v>4</v>
      </c>
      <c r="V112" s="26">
        <f t="shared" si="21"/>
        <v>4</v>
      </c>
      <c r="W112" s="26">
        <f t="shared" si="16"/>
        <v>952.24</v>
      </c>
      <c r="X112" s="26">
        <f t="shared" si="20"/>
        <v>0</v>
      </c>
      <c r="Y112" s="26">
        <f t="shared" si="17"/>
        <v>0</v>
      </c>
      <c r="Z112" s="26">
        <f t="shared" si="22"/>
        <v>0</v>
      </c>
      <c r="AA112" s="26">
        <f t="shared" si="18"/>
        <v>0</v>
      </c>
      <c r="AB112" s="33" t="s">
        <v>15</v>
      </c>
      <c r="AC112" s="324"/>
      <c r="AD112" s="181">
        <f t="shared" si="15"/>
        <v>4</v>
      </c>
      <c r="AE112" s="181">
        <f t="shared" si="23"/>
        <v>3808.96</v>
      </c>
      <c r="AF112" s="181">
        <v>1.2</v>
      </c>
      <c r="AG112" s="181">
        <v>1.2</v>
      </c>
      <c r="AH112" s="363" t="str">
        <f t="shared" si="19"/>
        <v/>
      </c>
      <c r="AI112" s="192">
        <v>0</v>
      </c>
      <c r="AJ112" s="188">
        <v>4</v>
      </c>
      <c r="AO112" s="367"/>
      <c r="AP112" s="367"/>
      <c r="AQ112" s="367"/>
    </row>
    <row r="113" spans="1:43" s="69" customFormat="1" ht="49.5" x14ac:dyDescent="0.3">
      <c r="A113" s="130" t="s">
        <v>320</v>
      </c>
      <c r="B113" s="240" t="s">
        <v>321</v>
      </c>
      <c r="C113" s="132" t="s">
        <v>50</v>
      </c>
      <c r="D113" s="133">
        <v>676.98</v>
      </c>
      <c r="E113" s="75">
        <v>773.78</v>
      </c>
      <c r="F113" s="75"/>
      <c r="G113" s="75"/>
      <c r="H113" s="75"/>
      <c r="I113" s="328"/>
      <c r="J113" s="75">
        <v>647.70000000000005</v>
      </c>
      <c r="K113" s="75">
        <v>501177.31</v>
      </c>
      <c r="L113" s="91" t="s">
        <v>322</v>
      </c>
      <c r="M113" s="73"/>
      <c r="N113" s="46">
        <v>769.18</v>
      </c>
      <c r="O113" s="46">
        <v>0</v>
      </c>
      <c r="P113" s="46">
        <v>498197.89</v>
      </c>
      <c r="Q113" s="98"/>
      <c r="R113" s="23" t="s">
        <v>1475</v>
      </c>
      <c r="S113" s="24" t="s">
        <v>321</v>
      </c>
      <c r="T113" s="25" t="s">
        <v>50</v>
      </c>
      <c r="U113" s="26">
        <v>676.98</v>
      </c>
      <c r="V113" s="26">
        <f t="shared" si="21"/>
        <v>773.78</v>
      </c>
      <c r="W113" s="26">
        <f t="shared" si="16"/>
        <v>647.70000000000005</v>
      </c>
      <c r="X113" s="127">
        <f t="shared" si="20"/>
        <v>0</v>
      </c>
      <c r="Y113" s="127">
        <f t="shared" si="17"/>
        <v>769.18</v>
      </c>
      <c r="Z113" s="127">
        <f t="shared" si="22"/>
        <v>0</v>
      </c>
      <c r="AA113" s="127">
        <f t="shared" si="18"/>
        <v>498197.89</v>
      </c>
      <c r="AB113" s="27" t="s">
        <v>15</v>
      </c>
      <c r="AC113" s="324"/>
      <c r="AD113" s="181">
        <f t="shared" si="15"/>
        <v>773.78</v>
      </c>
      <c r="AE113" s="181">
        <f t="shared" si="23"/>
        <v>501177.31</v>
      </c>
      <c r="AF113" s="181">
        <v>1.2</v>
      </c>
      <c r="AG113" s="181">
        <v>1.2</v>
      </c>
      <c r="AH113" s="363" t="str">
        <f t="shared" si="19"/>
        <v/>
      </c>
      <c r="AI113" s="194">
        <f>354.83+231.1+91.05+92.2</f>
        <v>769.18</v>
      </c>
      <c r="AJ113" s="188">
        <v>773.78</v>
      </c>
      <c r="AO113" s="367"/>
      <c r="AP113" s="367"/>
      <c r="AQ113" s="367"/>
    </row>
    <row r="114" spans="1:43" s="69" customFormat="1" ht="24.75" x14ac:dyDescent="0.3">
      <c r="A114" s="55" t="s">
        <v>323</v>
      </c>
      <c r="B114" s="53" t="s">
        <v>3288</v>
      </c>
      <c r="C114" s="54" t="s">
        <v>325</v>
      </c>
      <c r="D114" s="75">
        <v>2</v>
      </c>
      <c r="E114" s="75"/>
      <c r="F114" s="75"/>
      <c r="G114" s="75"/>
      <c r="H114" s="75"/>
      <c r="I114" s="328"/>
      <c r="J114" s="75">
        <v>10413.299999999999</v>
      </c>
      <c r="K114" s="75">
        <v>20826.599999999999</v>
      </c>
      <c r="L114" s="91" t="s">
        <v>326</v>
      </c>
      <c r="M114" s="73"/>
      <c r="N114" s="46">
        <v>0</v>
      </c>
      <c r="O114" s="46">
        <v>0</v>
      </c>
      <c r="P114" s="46">
        <v>0</v>
      </c>
      <c r="Q114" s="98"/>
      <c r="R114" s="23" t="s">
        <v>1476</v>
      </c>
      <c r="S114" s="24" t="s">
        <v>324</v>
      </c>
      <c r="T114" s="25" t="s">
        <v>325</v>
      </c>
      <c r="U114" s="26">
        <v>2</v>
      </c>
      <c r="V114" s="26">
        <f t="shared" si="21"/>
        <v>2</v>
      </c>
      <c r="W114" s="26">
        <f t="shared" si="16"/>
        <v>10413.299999999999</v>
      </c>
      <c r="X114" s="26">
        <f t="shared" si="20"/>
        <v>0</v>
      </c>
      <c r="Y114" s="26">
        <f t="shared" si="17"/>
        <v>0</v>
      </c>
      <c r="Z114" s="26">
        <f t="shared" si="22"/>
        <v>0</v>
      </c>
      <c r="AA114" s="26">
        <f t="shared" si="18"/>
        <v>0</v>
      </c>
      <c r="AB114" s="33" t="s">
        <v>15</v>
      </c>
      <c r="AC114" s="324"/>
      <c r="AD114" s="181">
        <f t="shared" si="15"/>
        <v>2</v>
      </c>
      <c r="AE114" s="181">
        <f t="shared" si="23"/>
        <v>20826.599999999999</v>
      </c>
      <c r="AF114" s="181">
        <v>1.2</v>
      </c>
      <c r="AG114" s="181">
        <v>1.2</v>
      </c>
      <c r="AH114" s="363" t="str">
        <f t="shared" si="19"/>
        <v/>
      </c>
      <c r="AI114" s="192">
        <v>0</v>
      </c>
      <c r="AJ114" s="188">
        <v>2</v>
      </c>
      <c r="AO114" s="367"/>
      <c r="AP114" s="367"/>
      <c r="AQ114" s="367"/>
    </row>
    <row r="115" spans="1:43" s="69" customFormat="1" ht="24.75" x14ac:dyDescent="0.3">
      <c r="A115" s="130" t="s">
        <v>327</v>
      </c>
      <c r="B115" s="131" t="s">
        <v>328</v>
      </c>
      <c r="C115" s="132" t="s">
        <v>81</v>
      </c>
      <c r="D115" s="133">
        <v>1</v>
      </c>
      <c r="E115" s="75"/>
      <c r="F115" s="75"/>
      <c r="G115" s="75"/>
      <c r="H115" s="75"/>
      <c r="I115" s="328"/>
      <c r="J115" s="75">
        <v>101421.35</v>
      </c>
      <c r="K115" s="75">
        <v>101421.35</v>
      </c>
      <c r="L115" s="91" t="s">
        <v>329</v>
      </c>
      <c r="M115" s="73"/>
      <c r="N115" s="46">
        <v>1</v>
      </c>
      <c r="O115" s="46">
        <v>0</v>
      </c>
      <c r="P115" s="46">
        <v>101421.35</v>
      </c>
      <c r="Q115" s="98"/>
      <c r="R115" s="23" t="s">
        <v>1477</v>
      </c>
      <c r="S115" s="24" t="s">
        <v>328</v>
      </c>
      <c r="T115" s="25" t="s">
        <v>81</v>
      </c>
      <c r="U115" s="26">
        <v>1</v>
      </c>
      <c r="V115" s="26">
        <f t="shared" si="21"/>
        <v>1</v>
      </c>
      <c r="W115" s="26">
        <f t="shared" si="16"/>
        <v>101421.35</v>
      </c>
      <c r="X115" s="127">
        <f t="shared" si="20"/>
        <v>0</v>
      </c>
      <c r="Y115" s="127">
        <f t="shared" si="17"/>
        <v>1</v>
      </c>
      <c r="Z115" s="127">
        <f t="shared" si="22"/>
        <v>0</v>
      </c>
      <c r="AA115" s="127">
        <f t="shared" si="18"/>
        <v>101421.35</v>
      </c>
      <c r="AB115" s="33" t="s">
        <v>15</v>
      </c>
      <c r="AC115" s="324"/>
      <c r="AD115" s="181">
        <f t="shared" si="15"/>
        <v>1</v>
      </c>
      <c r="AE115" s="181">
        <f t="shared" si="23"/>
        <v>101421.35</v>
      </c>
      <c r="AF115" s="181">
        <v>1.2</v>
      </c>
      <c r="AG115" s="181">
        <v>1.2</v>
      </c>
      <c r="AH115" s="363" t="str">
        <f t="shared" si="19"/>
        <v/>
      </c>
      <c r="AI115" s="192">
        <v>1</v>
      </c>
      <c r="AJ115" s="188">
        <v>1</v>
      </c>
      <c r="AO115" s="367"/>
      <c r="AP115" s="367"/>
      <c r="AQ115" s="367"/>
    </row>
    <row r="116" spans="1:43" s="69" customFormat="1" ht="24.75" x14ac:dyDescent="0.3">
      <c r="A116" s="130" t="s">
        <v>330</v>
      </c>
      <c r="B116" s="131" t="s">
        <v>331</v>
      </c>
      <c r="C116" s="132" t="s">
        <v>325</v>
      </c>
      <c r="D116" s="133">
        <v>3</v>
      </c>
      <c r="E116" s="75"/>
      <c r="F116" s="75"/>
      <c r="G116" s="75"/>
      <c r="H116" s="75"/>
      <c r="I116" s="328"/>
      <c r="J116" s="75">
        <v>4575.26</v>
      </c>
      <c r="K116" s="75">
        <v>13725.78</v>
      </c>
      <c r="L116" s="91" t="s">
        <v>332</v>
      </c>
      <c r="M116" s="73"/>
      <c r="N116" s="46">
        <v>3</v>
      </c>
      <c r="O116" s="46">
        <v>0</v>
      </c>
      <c r="P116" s="46">
        <v>13725.78</v>
      </c>
      <c r="Q116" s="98"/>
      <c r="R116" s="23" t="s">
        <v>1478</v>
      </c>
      <c r="S116" s="24" t="s">
        <v>331</v>
      </c>
      <c r="T116" s="25" t="s">
        <v>325</v>
      </c>
      <c r="U116" s="26">
        <v>3</v>
      </c>
      <c r="V116" s="26">
        <f t="shared" si="21"/>
        <v>3</v>
      </c>
      <c r="W116" s="26">
        <f t="shared" si="16"/>
        <v>4575.26</v>
      </c>
      <c r="X116" s="127">
        <f t="shared" si="20"/>
        <v>0</v>
      </c>
      <c r="Y116" s="127">
        <f t="shared" si="17"/>
        <v>3</v>
      </c>
      <c r="Z116" s="127">
        <f t="shared" si="22"/>
        <v>0</v>
      </c>
      <c r="AA116" s="127">
        <f t="shared" si="18"/>
        <v>13725.78</v>
      </c>
      <c r="AB116" s="33" t="s">
        <v>15</v>
      </c>
      <c r="AC116" s="324"/>
      <c r="AD116" s="181">
        <f t="shared" si="15"/>
        <v>3</v>
      </c>
      <c r="AE116" s="181">
        <f t="shared" si="23"/>
        <v>13725.78</v>
      </c>
      <c r="AF116" s="181">
        <v>1.2</v>
      </c>
      <c r="AG116" s="181">
        <v>1.2</v>
      </c>
      <c r="AH116" s="363" t="str">
        <f t="shared" si="19"/>
        <v/>
      </c>
      <c r="AI116" s="194">
        <f>3</f>
        <v>3</v>
      </c>
      <c r="AJ116" s="188">
        <v>3</v>
      </c>
      <c r="AO116" s="367"/>
      <c r="AP116" s="367"/>
      <c r="AQ116" s="367"/>
    </row>
    <row r="117" spans="1:43" s="69" customFormat="1" ht="24.75" x14ac:dyDescent="0.3">
      <c r="A117" s="55" t="s">
        <v>333</v>
      </c>
      <c r="B117" s="53" t="s">
        <v>334</v>
      </c>
      <c r="C117" s="54" t="s">
        <v>81</v>
      </c>
      <c r="D117" s="75">
        <v>1</v>
      </c>
      <c r="E117" s="75"/>
      <c r="F117" s="75"/>
      <c r="G117" s="75"/>
      <c r="H117" s="75"/>
      <c r="I117" s="328"/>
      <c r="J117" s="75">
        <v>12634.43</v>
      </c>
      <c r="K117" s="75">
        <v>12634.43</v>
      </c>
      <c r="L117" s="91" t="s">
        <v>335</v>
      </c>
      <c r="M117" s="73"/>
      <c r="N117" s="46">
        <v>0</v>
      </c>
      <c r="O117" s="46">
        <v>0</v>
      </c>
      <c r="P117" s="46">
        <v>0</v>
      </c>
      <c r="Q117" s="98"/>
      <c r="R117" s="23" t="s">
        <v>1479</v>
      </c>
      <c r="S117" s="24" t="s">
        <v>334</v>
      </c>
      <c r="T117" s="25" t="s">
        <v>81</v>
      </c>
      <c r="U117" s="26">
        <v>1</v>
      </c>
      <c r="V117" s="26">
        <f t="shared" si="21"/>
        <v>1</v>
      </c>
      <c r="W117" s="26">
        <f t="shared" si="16"/>
        <v>12634.43</v>
      </c>
      <c r="X117" s="26">
        <f t="shared" si="20"/>
        <v>0</v>
      </c>
      <c r="Y117" s="26">
        <f t="shared" si="17"/>
        <v>0</v>
      </c>
      <c r="Z117" s="26">
        <f t="shared" si="22"/>
        <v>0</v>
      </c>
      <c r="AA117" s="26">
        <f t="shared" si="18"/>
        <v>0</v>
      </c>
      <c r="AB117" s="33" t="s">
        <v>15</v>
      </c>
      <c r="AC117" s="324"/>
      <c r="AD117" s="181">
        <f t="shared" si="15"/>
        <v>1</v>
      </c>
      <c r="AE117" s="181">
        <f t="shared" si="23"/>
        <v>12634.43</v>
      </c>
      <c r="AF117" s="181">
        <v>1.2</v>
      </c>
      <c r="AG117" s="181">
        <v>1.2</v>
      </c>
      <c r="AH117" s="363" t="str">
        <f t="shared" si="19"/>
        <v/>
      </c>
      <c r="AI117" s="192">
        <v>0</v>
      </c>
      <c r="AJ117" s="188">
        <v>1</v>
      </c>
      <c r="AO117" s="367"/>
      <c r="AP117" s="367"/>
      <c r="AQ117" s="367"/>
    </row>
    <row r="118" spans="1:43" s="69" customFormat="1" x14ac:dyDescent="0.3">
      <c r="A118" s="130" t="s">
        <v>336</v>
      </c>
      <c r="B118" s="131" t="s">
        <v>337</v>
      </c>
      <c r="C118" s="132" t="s">
        <v>338</v>
      </c>
      <c r="D118" s="133">
        <v>63.68</v>
      </c>
      <c r="E118" s="75"/>
      <c r="F118" s="75"/>
      <c r="G118" s="75"/>
      <c r="H118" s="75"/>
      <c r="I118" s="343">
        <v>73.459999999999994</v>
      </c>
      <c r="J118" s="75">
        <v>15300</v>
      </c>
      <c r="K118" s="75">
        <v>1123938</v>
      </c>
      <c r="L118" s="91" t="s">
        <v>339</v>
      </c>
      <c r="M118" s="73"/>
      <c r="N118" s="46">
        <v>73.460000000000008</v>
      </c>
      <c r="O118" s="46">
        <v>154683</v>
      </c>
      <c r="P118" s="46">
        <v>1123938</v>
      </c>
      <c r="Q118" s="98"/>
      <c r="R118" s="23" t="s">
        <v>1480</v>
      </c>
      <c r="S118" s="24" t="s">
        <v>337</v>
      </c>
      <c r="T118" s="25" t="s">
        <v>338</v>
      </c>
      <c r="U118" s="26">
        <v>63.68</v>
      </c>
      <c r="V118" s="26">
        <f t="shared" si="21"/>
        <v>73.459999999999994</v>
      </c>
      <c r="W118" s="26">
        <f t="shared" si="16"/>
        <v>15300</v>
      </c>
      <c r="X118" s="128">
        <f t="shared" si="20"/>
        <v>0</v>
      </c>
      <c r="Y118" s="127">
        <f t="shared" si="17"/>
        <v>73.460000000000008</v>
      </c>
      <c r="Z118" s="127">
        <f t="shared" si="22"/>
        <v>0</v>
      </c>
      <c r="AA118" s="127">
        <f t="shared" si="18"/>
        <v>1123938</v>
      </c>
      <c r="AB118" s="33" t="s">
        <v>15</v>
      </c>
      <c r="AC118" s="324"/>
      <c r="AD118" s="181">
        <f t="shared" si="15"/>
        <v>73.459999999999994</v>
      </c>
      <c r="AE118" s="181">
        <f t="shared" si="23"/>
        <v>1123938</v>
      </c>
      <c r="AF118" s="181">
        <v>1.2</v>
      </c>
      <c r="AG118" s="181">
        <v>1.2</v>
      </c>
      <c r="AH118" s="363" t="str">
        <f t="shared" si="19"/>
        <v/>
      </c>
      <c r="AI118" s="194">
        <f>35.7+21.8+5.85+10.11</f>
        <v>73.460000000000008</v>
      </c>
      <c r="AJ118" s="190">
        <v>73.459999999999994</v>
      </c>
      <c r="AO118" s="367"/>
      <c r="AP118" s="367"/>
      <c r="AQ118" s="367"/>
    </row>
    <row r="119" spans="1:43" s="69" customFormat="1" ht="24.75" x14ac:dyDescent="0.3">
      <c r="A119" s="55" t="s">
        <v>340</v>
      </c>
      <c r="B119" s="53" t="s">
        <v>341</v>
      </c>
      <c r="C119" s="54" t="s">
        <v>81</v>
      </c>
      <c r="D119" s="75">
        <v>62</v>
      </c>
      <c r="E119" s="75"/>
      <c r="F119" s="75"/>
      <c r="G119" s="75"/>
      <c r="H119" s="75"/>
      <c r="I119" s="75"/>
      <c r="J119" s="75">
        <v>4498.58</v>
      </c>
      <c r="K119" s="75">
        <v>278911.96000000002</v>
      </c>
      <c r="L119" s="91" t="s">
        <v>342</v>
      </c>
      <c r="M119" s="73"/>
      <c r="N119" s="46">
        <v>50</v>
      </c>
      <c r="O119" s="46">
        <v>0</v>
      </c>
      <c r="P119" s="46">
        <v>224929</v>
      </c>
      <c r="Q119" s="98"/>
      <c r="R119" s="23" t="s">
        <v>1481</v>
      </c>
      <c r="S119" s="24" t="s">
        <v>341</v>
      </c>
      <c r="T119" s="25" t="s">
        <v>81</v>
      </c>
      <c r="U119" s="26">
        <v>62</v>
      </c>
      <c r="V119" s="26">
        <f t="shared" si="21"/>
        <v>62</v>
      </c>
      <c r="W119" s="26">
        <f t="shared" si="16"/>
        <v>4498.58</v>
      </c>
      <c r="X119" s="128">
        <f t="shared" si="20"/>
        <v>0</v>
      </c>
      <c r="Y119" s="26">
        <f t="shared" si="17"/>
        <v>50</v>
      </c>
      <c r="Z119" s="26">
        <f t="shared" si="22"/>
        <v>0</v>
      </c>
      <c r="AA119" s="26">
        <f t="shared" si="18"/>
        <v>224929</v>
      </c>
      <c r="AB119" s="33" t="s">
        <v>15</v>
      </c>
      <c r="AC119" s="324"/>
      <c r="AD119" s="181">
        <f t="shared" si="15"/>
        <v>62</v>
      </c>
      <c r="AE119" s="181">
        <f t="shared" si="23"/>
        <v>278911.96000000002</v>
      </c>
      <c r="AF119" s="181">
        <v>1.2</v>
      </c>
      <c r="AG119" s="181">
        <v>1.2</v>
      </c>
      <c r="AH119" s="363" t="str">
        <f t="shared" si="19"/>
        <v/>
      </c>
      <c r="AI119" s="194">
        <f>16+3+21+10</f>
        <v>50</v>
      </c>
      <c r="AJ119" s="188">
        <v>62</v>
      </c>
      <c r="AO119" s="367"/>
      <c r="AP119" s="367"/>
      <c r="AQ119" s="367"/>
    </row>
    <row r="120" spans="1:43" s="69" customFormat="1" ht="24.75" x14ac:dyDescent="0.3">
      <c r="A120" s="55" t="s">
        <v>343</v>
      </c>
      <c r="B120" s="53" t="s">
        <v>344</v>
      </c>
      <c r="C120" s="54" t="s">
        <v>81</v>
      </c>
      <c r="D120" s="75">
        <v>15</v>
      </c>
      <c r="E120" s="75"/>
      <c r="F120" s="75"/>
      <c r="G120" s="75"/>
      <c r="H120" s="75"/>
      <c r="I120" s="75"/>
      <c r="J120" s="75">
        <v>3353.68</v>
      </c>
      <c r="K120" s="75">
        <v>50305.2</v>
      </c>
      <c r="L120" s="91" t="s">
        <v>345</v>
      </c>
      <c r="M120" s="73"/>
      <c r="N120" s="46">
        <v>15</v>
      </c>
      <c r="O120" s="46">
        <v>10061.039999999994</v>
      </c>
      <c r="P120" s="46">
        <v>50305.2</v>
      </c>
      <c r="Q120" s="98"/>
      <c r="R120" s="23" t="s">
        <v>1482</v>
      </c>
      <c r="S120" s="24" t="s">
        <v>344</v>
      </c>
      <c r="T120" s="25" t="s">
        <v>81</v>
      </c>
      <c r="U120" s="26">
        <v>15</v>
      </c>
      <c r="V120" s="26">
        <f t="shared" si="21"/>
        <v>15</v>
      </c>
      <c r="W120" s="26">
        <f t="shared" si="16"/>
        <v>3353.68</v>
      </c>
      <c r="X120" s="128">
        <f t="shared" si="20"/>
        <v>0</v>
      </c>
      <c r="Y120" s="127">
        <f t="shared" si="17"/>
        <v>15</v>
      </c>
      <c r="Z120" s="127">
        <f t="shared" si="22"/>
        <v>0</v>
      </c>
      <c r="AA120" s="127">
        <f t="shared" si="18"/>
        <v>50305.2</v>
      </c>
      <c r="AB120" s="33" t="s">
        <v>15</v>
      </c>
      <c r="AC120" s="324"/>
      <c r="AD120" s="181">
        <f t="shared" si="15"/>
        <v>15</v>
      </c>
      <c r="AE120" s="181">
        <f t="shared" si="23"/>
        <v>50305.2</v>
      </c>
      <c r="AF120" s="181">
        <v>1.2</v>
      </c>
      <c r="AG120" s="181">
        <v>1.2</v>
      </c>
      <c r="AH120" s="363" t="str">
        <f t="shared" si="19"/>
        <v/>
      </c>
      <c r="AI120" s="194">
        <f>2+6+4+3</f>
        <v>15</v>
      </c>
      <c r="AJ120" s="188">
        <v>15</v>
      </c>
      <c r="AO120" s="367"/>
      <c r="AP120" s="367"/>
      <c r="AQ120" s="367"/>
    </row>
    <row r="121" spans="1:43" s="69" customFormat="1" ht="24.75" x14ac:dyDescent="0.3">
      <c r="A121" s="55" t="s">
        <v>346</v>
      </c>
      <c r="B121" s="53" t="s">
        <v>347</v>
      </c>
      <c r="C121" s="54" t="s">
        <v>30</v>
      </c>
      <c r="D121" s="75">
        <v>13</v>
      </c>
      <c r="E121" s="75"/>
      <c r="F121" s="75"/>
      <c r="G121" s="75"/>
      <c r="H121" s="75"/>
      <c r="I121" s="75"/>
      <c r="J121" s="75">
        <v>9874.4</v>
      </c>
      <c r="K121" s="75">
        <v>128367.2</v>
      </c>
      <c r="L121" s="91" t="s">
        <v>348</v>
      </c>
      <c r="M121" s="73"/>
      <c r="N121" s="46">
        <v>7</v>
      </c>
      <c r="O121" s="46">
        <v>0</v>
      </c>
      <c r="P121" s="46">
        <v>69120.800000000003</v>
      </c>
      <c r="Q121" s="98"/>
      <c r="R121" s="23" t="s">
        <v>1483</v>
      </c>
      <c r="S121" s="24" t="s">
        <v>347</v>
      </c>
      <c r="T121" s="25" t="s">
        <v>30</v>
      </c>
      <c r="U121" s="26">
        <v>13</v>
      </c>
      <c r="V121" s="26">
        <f t="shared" si="21"/>
        <v>13</v>
      </c>
      <c r="W121" s="26">
        <f t="shared" si="16"/>
        <v>9874.4</v>
      </c>
      <c r="X121" s="128">
        <f t="shared" si="20"/>
        <v>0</v>
      </c>
      <c r="Y121" s="26">
        <f t="shared" si="17"/>
        <v>7</v>
      </c>
      <c r="Z121" s="26">
        <f t="shared" si="22"/>
        <v>0</v>
      </c>
      <c r="AA121" s="26">
        <f t="shared" si="18"/>
        <v>69120.800000000003</v>
      </c>
      <c r="AB121" s="33" t="s">
        <v>15</v>
      </c>
      <c r="AC121" s="324"/>
      <c r="AD121" s="181">
        <f t="shared" si="15"/>
        <v>13</v>
      </c>
      <c r="AE121" s="181">
        <f t="shared" si="23"/>
        <v>128367.2</v>
      </c>
      <c r="AF121" s="181">
        <v>1.2</v>
      </c>
      <c r="AG121" s="181">
        <v>1.2</v>
      </c>
      <c r="AH121" s="363" t="str">
        <f t="shared" si="19"/>
        <v/>
      </c>
      <c r="AI121" s="194">
        <f>7</f>
        <v>7</v>
      </c>
      <c r="AJ121" s="188">
        <v>13</v>
      </c>
      <c r="AO121" s="367"/>
      <c r="AP121" s="367"/>
      <c r="AQ121" s="367"/>
    </row>
    <row r="122" spans="1:43" s="69" customFormat="1" ht="24.75" x14ac:dyDescent="0.3">
      <c r="A122" s="55" t="s">
        <v>349</v>
      </c>
      <c r="B122" s="53" t="s">
        <v>350</v>
      </c>
      <c r="C122" s="54" t="s">
        <v>30</v>
      </c>
      <c r="D122" s="75">
        <v>41.7</v>
      </c>
      <c r="E122" s="75"/>
      <c r="F122" s="75"/>
      <c r="G122" s="75"/>
      <c r="H122" s="75"/>
      <c r="I122" s="75"/>
      <c r="J122" s="75">
        <v>6554.37</v>
      </c>
      <c r="K122" s="75">
        <v>273317.23</v>
      </c>
      <c r="L122" s="91" t="s">
        <v>351</v>
      </c>
      <c r="M122" s="73"/>
      <c r="N122" s="46">
        <v>8.6</v>
      </c>
      <c r="O122" s="46">
        <v>0</v>
      </c>
      <c r="P122" s="46">
        <v>56367.58</v>
      </c>
      <c r="Q122" s="98"/>
      <c r="R122" s="23" t="s">
        <v>1484</v>
      </c>
      <c r="S122" s="24" t="s">
        <v>350</v>
      </c>
      <c r="T122" s="25" t="s">
        <v>30</v>
      </c>
      <c r="U122" s="26">
        <v>41.7</v>
      </c>
      <c r="V122" s="26">
        <f t="shared" si="21"/>
        <v>41.7</v>
      </c>
      <c r="W122" s="26">
        <f t="shared" si="16"/>
        <v>6554.37</v>
      </c>
      <c r="X122" s="128">
        <f t="shared" si="20"/>
        <v>0</v>
      </c>
      <c r="Y122" s="26">
        <f t="shared" si="17"/>
        <v>8.6</v>
      </c>
      <c r="Z122" s="26">
        <f t="shared" si="22"/>
        <v>0</v>
      </c>
      <c r="AA122" s="26">
        <f t="shared" si="18"/>
        <v>56367.58</v>
      </c>
      <c r="AB122" s="33" t="s">
        <v>15</v>
      </c>
      <c r="AC122" s="324"/>
      <c r="AD122" s="181">
        <f t="shared" si="15"/>
        <v>41.7</v>
      </c>
      <c r="AE122" s="181">
        <f t="shared" si="23"/>
        <v>273317.23</v>
      </c>
      <c r="AF122" s="181">
        <v>1.2</v>
      </c>
      <c r="AG122" s="181">
        <v>1.2</v>
      </c>
      <c r="AH122" s="363" t="str">
        <f t="shared" si="19"/>
        <v/>
      </c>
      <c r="AI122" s="194">
        <f>8.6</f>
        <v>8.6</v>
      </c>
      <c r="AJ122" s="188">
        <v>41.7</v>
      </c>
      <c r="AO122" s="367"/>
      <c r="AP122" s="367"/>
      <c r="AQ122" s="367"/>
    </row>
    <row r="123" spans="1:43" s="69" customFormat="1" ht="24.75" x14ac:dyDescent="0.3">
      <c r="A123" s="55" t="s">
        <v>352</v>
      </c>
      <c r="B123" s="53" t="s">
        <v>353</v>
      </c>
      <c r="C123" s="54" t="s">
        <v>30</v>
      </c>
      <c r="D123" s="75">
        <v>1.3</v>
      </c>
      <c r="E123" s="75"/>
      <c r="F123" s="75"/>
      <c r="G123" s="75"/>
      <c r="H123" s="75"/>
      <c r="I123" s="75"/>
      <c r="J123" s="75">
        <v>8390.73</v>
      </c>
      <c r="K123" s="75">
        <v>10907.95</v>
      </c>
      <c r="L123" s="91" t="s">
        <v>354</v>
      </c>
      <c r="M123" s="73"/>
      <c r="N123" s="46">
        <v>0</v>
      </c>
      <c r="O123" s="46">
        <v>0</v>
      </c>
      <c r="P123" s="46">
        <v>0</v>
      </c>
      <c r="Q123" s="98"/>
      <c r="R123" s="23" t="s">
        <v>1485</v>
      </c>
      <c r="S123" s="24" t="s">
        <v>353</v>
      </c>
      <c r="T123" s="25" t="s">
        <v>30</v>
      </c>
      <c r="U123" s="26">
        <v>1.3</v>
      </c>
      <c r="V123" s="26">
        <f t="shared" si="21"/>
        <v>1.3</v>
      </c>
      <c r="W123" s="26">
        <f t="shared" si="16"/>
        <v>8390.73</v>
      </c>
      <c r="X123" s="26">
        <f t="shared" si="20"/>
        <v>0</v>
      </c>
      <c r="Y123" s="26">
        <f t="shared" si="17"/>
        <v>0</v>
      </c>
      <c r="Z123" s="26">
        <f t="shared" si="22"/>
        <v>0</v>
      </c>
      <c r="AA123" s="26">
        <f t="shared" si="18"/>
        <v>0</v>
      </c>
      <c r="AB123" s="33" t="s">
        <v>15</v>
      </c>
      <c r="AC123" s="324"/>
      <c r="AD123" s="181">
        <f t="shared" si="15"/>
        <v>1.3</v>
      </c>
      <c r="AE123" s="181">
        <f t="shared" si="23"/>
        <v>10907.95</v>
      </c>
      <c r="AF123" s="181">
        <v>1.2</v>
      </c>
      <c r="AG123" s="181">
        <v>1.2</v>
      </c>
      <c r="AH123" s="363" t="str">
        <f t="shared" si="19"/>
        <v/>
      </c>
      <c r="AI123" s="192">
        <v>0</v>
      </c>
      <c r="AJ123" s="188">
        <v>1.3</v>
      </c>
      <c r="AO123" s="367"/>
      <c r="AP123" s="367"/>
      <c r="AQ123" s="367"/>
    </row>
    <row r="124" spans="1:43" s="69" customFormat="1" ht="39" x14ac:dyDescent="0.3">
      <c r="A124" s="55" t="s">
        <v>355</v>
      </c>
      <c r="B124" s="53" t="s">
        <v>356</v>
      </c>
      <c r="C124" s="54" t="s">
        <v>30</v>
      </c>
      <c r="D124" s="75">
        <v>122.3</v>
      </c>
      <c r="E124" s="75"/>
      <c r="F124" s="75"/>
      <c r="G124" s="75"/>
      <c r="H124" s="75"/>
      <c r="I124" s="75"/>
      <c r="J124" s="75">
        <v>671.99</v>
      </c>
      <c r="K124" s="75">
        <v>82184.38</v>
      </c>
      <c r="L124" s="91" t="s">
        <v>357</v>
      </c>
      <c r="M124" s="73"/>
      <c r="N124" s="46">
        <v>60</v>
      </c>
      <c r="O124" s="46">
        <v>0</v>
      </c>
      <c r="P124" s="46">
        <v>40319.4</v>
      </c>
      <c r="Q124" s="98"/>
      <c r="R124" s="23" t="s">
        <v>1486</v>
      </c>
      <c r="S124" s="24" t="s">
        <v>356</v>
      </c>
      <c r="T124" s="25" t="s">
        <v>30</v>
      </c>
      <c r="U124" s="26">
        <v>122.3</v>
      </c>
      <c r="V124" s="26">
        <f t="shared" si="21"/>
        <v>122.3</v>
      </c>
      <c r="W124" s="26">
        <f t="shared" si="16"/>
        <v>671.99</v>
      </c>
      <c r="X124" s="128">
        <f t="shared" si="20"/>
        <v>0</v>
      </c>
      <c r="Y124" s="26">
        <f t="shared" si="17"/>
        <v>60</v>
      </c>
      <c r="Z124" s="26">
        <f t="shared" si="22"/>
        <v>0</v>
      </c>
      <c r="AA124" s="26">
        <f t="shared" si="18"/>
        <v>40319.4</v>
      </c>
      <c r="AB124" s="33" t="s">
        <v>15</v>
      </c>
      <c r="AC124" s="324"/>
      <c r="AD124" s="181">
        <f t="shared" si="15"/>
        <v>122.3</v>
      </c>
      <c r="AE124" s="181">
        <f t="shared" si="23"/>
        <v>82184.38</v>
      </c>
      <c r="AF124" s="181">
        <v>1.2</v>
      </c>
      <c r="AG124" s="181">
        <v>1.2</v>
      </c>
      <c r="AH124" s="363" t="str">
        <f t="shared" si="19"/>
        <v/>
      </c>
      <c r="AI124" s="194">
        <f>60</f>
        <v>60</v>
      </c>
      <c r="AJ124" s="188">
        <v>122.3</v>
      </c>
      <c r="AO124" s="367"/>
      <c r="AP124" s="367"/>
      <c r="AQ124" s="367"/>
    </row>
    <row r="125" spans="1:43" s="69" customFormat="1" ht="39" x14ac:dyDescent="0.3">
      <c r="A125" s="55" t="s">
        <v>358</v>
      </c>
      <c r="B125" s="53" t="s">
        <v>359</v>
      </c>
      <c r="C125" s="54" t="s">
        <v>30</v>
      </c>
      <c r="D125" s="75">
        <v>101.01</v>
      </c>
      <c r="E125" s="75"/>
      <c r="F125" s="75"/>
      <c r="G125" s="75"/>
      <c r="H125" s="75"/>
      <c r="I125" s="75"/>
      <c r="J125" s="75">
        <v>935.67</v>
      </c>
      <c r="K125" s="75">
        <v>94512.03</v>
      </c>
      <c r="L125" s="91" t="s">
        <v>360</v>
      </c>
      <c r="M125" s="73"/>
      <c r="N125" s="46">
        <v>55</v>
      </c>
      <c r="O125" s="46">
        <v>0</v>
      </c>
      <c r="P125" s="46">
        <v>51461.85</v>
      </c>
      <c r="Q125" s="98"/>
      <c r="R125" s="23" t="s">
        <v>1487</v>
      </c>
      <c r="S125" s="24" t="s">
        <v>359</v>
      </c>
      <c r="T125" s="25" t="s">
        <v>30</v>
      </c>
      <c r="U125" s="26">
        <v>101.01</v>
      </c>
      <c r="V125" s="26">
        <f t="shared" si="21"/>
        <v>101.01</v>
      </c>
      <c r="W125" s="26">
        <f t="shared" si="16"/>
        <v>935.67</v>
      </c>
      <c r="X125" s="128">
        <f t="shared" si="20"/>
        <v>0</v>
      </c>
      <c r="Y125" s="26">
        <f t="shared" si="17"/>
        <v>55</v>
      </c>
      <c r="Z125" s="26">
        <f t="shared" si="22"/>
        <v>0</v>
      </c>
      <c r="AA125" s="26">
        <f t="shared" si="18"/>
        <v>51461.85</v>
      </c>
      <c r="AB125" s="33" t="s">
        <v>15</v>
      </c>
      <c r="AC125" s="324"/>
      <c r="AD125" s="181">
        <f t="shared" si="15"/>
        <v>101.01</v>
      </c>
      <c r="AE125" s="181">
        <f t="shared" si="23"/>
        <v>94512.03</v>
      </c>
      <c r="AF125" s="181">
        <v>1.2</v>
      </c>
      <c r="AG125" s="181">
        <v>1.2</v>
      </c>
      <c r="AH125" s="363" t="str">
        <f t="shared" si="19"/>
        <v/>
      </c>
      <c r="AI125" s="194">
        <f>55</f>
        <v>55</v>
      </c>
      <c r="AJ125" s="188">
        <v>101.01</v>
      </c>
      <c r="AO125" s="367"/>
      <c r="AP125" s="367"/>
      <c r="AQ125" s="367"/>
    </row>
    <row r="126" spans="1:43" s="69" customFormat="1" ht="24.75" x14ac:dyDescent="0.3">
      <c r="A126" s="55" t="s">
        <v>361</v>
      </c>
      <c r="B126" s="211" t="s">
        <v>362</v>
      </c>
      <c r="C126" s="54" t="s">
        <v>30</v>
      </c>
      <c r="D126" s="75">
        <v>489</v>
      </c>
      <c r="E126" s="75"/>
      <c r="F126" s="75"/>
      <c r="G126" s="75"/>
      <c r="H126" s="75"/>
      <c r="I126" s="75"/>
      <c r="J126" s="75">
        <v>658.31</v>
      </c>
      <c r="K126" s="75">
        <v>321913.59000000003</v>
      </c>
      <c r="L126" s="91" t="s">
        <v>363</v>
      </c>
      <c r="M126" s="73"/>
      <c r="N126" s="46">
        <v>458.7</v>
      </c>
      <c r="O126" s="46">
        <v>53323.109999999986</v>
      </c>
      <c r="P126" s="46">
        <v>301966.8</v>
      </c>
      <c r="Q126" s="98"/>
      <c r="R126" s="23" t="s">
        <v>1488</v>
      </c>
      <c r="S126" s="24" t="s">
        <v>362</v>
      </c>
      <c r="T126" s="25" t="s">
        <v>30</v>
      </c>
      <c r="U126" s="26">
        <v>489</v>
      </c>
      <c r="V126" s="26">
        <f t="shared" si="21"/>
        <v>489</v>
      </c>
      <c r="W126" s="26">
        <f t="shared" si="16"/>
        <v>658.31</v>
      </c>
      <c r="X126" s="128">
        <f t="shared" si="20"/>
        <v>0</v>
      </c>
      <c r="Y126" s="26">
        <f t="shared" si="17"/>
        <v>458.7</v>
      </c>
      <c r="Z126" s="26">
        <f t="shared" si="22"/>
        <v>0</v>
      </c>
      <c r="AA126" s="26">
        <f t="shared" si="18"/>
        <v>301966.8</v>
      </c>
      <c r="AB126" s="33" t="s">
        <v>15</v>
      </c>
      <c r="AC126" s="324"/>
      <c r="AD126" s="181">
        <f t="shared" si="15"/>
        <v>489</v>
      </c>
      <c r="AE126" s="181">
        <f t="shared" si="23"/>
        <v>321913.59000000003</v>
      </c>
      <c r="AF126" s="181">
        <v>1.2</v>
      </c>
      <c r="AG126" s="181">
        <v>1.2</v>
      </c>
      <c r="AH126" s="363" t="str">
        <f t="shared" si="19"/>
        <v/>
      </c>
      <c r="AI126" s="194">
        <f>277.7+100+81</f>
        <v>458.7</v>
      </c>
      <c r="AJ126" s="188">
        <v>489</v>
      </c>
      <c r="AO126" s="367"/>
      <c r="AP126" s="367"/>
      <c r="AQ126" s="367"/>
    </row>
    <row r="127" spans="1:43" s="69" customFormat="1" ht="24.75" x14ac:dyDescent="0.3">
      <c r="A127" s="55" t="s">
        <v>364</v>
      </c>
      <c r="B127" s="211" t="s">
        <v>3111</v>
      </c>
      <c r="C127" s="54" t="s">
        <v>30</v>
      </c>
      <c r="D127" s="75">
        <v>216</v>
      </c>
      <c r="E127" s="75"/>
      <c r="F127" s="75"/>
      <c r="G127" s="75"/>
      <c r="H127" s="75"/>
      <c r="I127" s="75"/>
      <c r="J127" s="75">
        <v>730.41</v>
      </c>
      <c r="K127" s="75">
        <v>157768.56</v>
      </c>
      <c r="L127" s="91" t="s">
        <v>366</v>
      </c>
      <c r="M127" s="73"/>
      <c r="N127" s="46">
        <v>180</v>
      </c>
      <c r="O127" s="46">
        <v>0</v>
      </c>
      <c r="P127" s="46">
        <v>131473.79999999999</v>
      </c>
      <c r="Q127" s="98"/>
      <c r="R127" s="23" t="s">
        <v>1489</v>
      </c>
      <c r="S127" s="24" t="s">
        <v>365</v>
      </c>
      <c r="T127" s="25" t="s">
        <v>30</v>
      </c>
      <c r="U127" s="26">
        <v>216</v>
      </c>
      <c r="V127" s="26">
        <f t="shared" si="21"/>
        <v>216</v>
      </c>
      <c r="W127" s="26">
        <f t="shared" si="16"/>
        <v>730.41</v>
      </c>
      <c r="X127" s="128">
        <f t="shared" si="20"/>
        <v>0</v>
      </c>
      <c r="Y127" s="26">
        <f t="shared" si="17"/>
        <v>180</v>
      </c>
      <c r="Z127" s="26">
        <f t="shared" si="22"/>
        <v>0</v>
      </c>
      <c r="AA127" s="26">
        <f t="shared" si="18"/>
        <v>131473.79999999999</v>
      </c>
      <c r="AB127" s="33" t="s">
        <v>15</v>
      </c>
      <c r="AC127" s="324"/>
      <c r="AD127" s="181">
        <f t="shared" si="15"/>
        <v>216</v>
      </c>
      <c r="AE127" s="181">
        <f t="shared" si="23"/>
        <v>157768.56</v>
      </c>
      <c r="AF127" s="181">
        <v>1.2</v>
      </c>
      <c r="AG127" s="181">
        <v>1.2</v>
      </c>
      <c r="AH127" s="363" t="str">
        <f t="shared" si="19"/>
        <v/>
      </c>
      <c r="AI127" s="194">
        <f>120+60</f>
        <v>180</v>
      </c>
      <c r="AJ127" s="188">
        <v>216</v>
      </c>
      <c r="AO127" s="367"/>
      <c r="AP127" s="367"/>
      <c r="AQ127" s="367"/>
    </row>
    <row r="128" spans="1:43" s="69" customFormat="1" ht="39" x14ac:dyDescent="0.3">
      <c r="A128" s="130" t="s">
        <v>367</v>
      </c>
      <c r="B128" s="131" t="s">
        <v>368</v>
      </c>
      <c r="C128" s="132" t="s">
        <v>30</v>
      </c>
      <c r="D128" s="133">
        <v>45.16</v>
      </c>
      <c r="E128" s="75"/>
      <c r="F128" s="75"/>
      <c r="G128" s="75"/>
      <c r="H128" s="75"/>
      <c r="I128" s="75"/>
      <c r="J128" s="75">
        <v>406.4</v>
      </c>
      <c r="K128" s="75">
        <v>18353.02</v>
      </c>
      <c r="L128" s="91" t="s">
        <v>369</v>
      </c>
      <c r="M128" s="73"/>
      <c r="N128" s="46">
        <v>45.1</v>
      </c>
      <c r="O128" s="46">
        <v>0</v>
      </c>
      <c r="P128" s="46">
        <v>18328.64</v>
      </c>
      <c r="Q128" s="98"/>
      <c r="R128" s="23" t="s">
        <v>1398</v>
      </c>
      <c r="S128" s="24" t="s">
        <v>368</v>
      </c>
      <c r="T128" s="25" t="s">
        <v>30</v>
      </c>
      <c r="U128" s="26">
        <v>45.16</v>
      </c>
      <c r="V128" s="26">
        <f t="shared" si="21"/>
        <v>45.16</v>
      </c>
      <c r="W128" s="26">
        <f t="shared" si="16"/>
        <v>406.4</v>
      </c>
      <c r="X128" s="127">
        <f t="shared" si="20"/>
        <v>0</v>
      </c>
      <c r="Y128" s="127">
        <f t="shared" si="17"/>
        <v>45.1</v>
      </c>
      <c r="Z128" s="127">
        <f t="shared" si="22"/>
        <v>0</v>
      </c>
      <c r="AA128" s="127">
        <f t="shared" si="18"/>
        <v>18328.64</v>
      </c>
      <c r="AB128" s="33" t="s">
        <v>15</v>
      </c>
      <c r="AC128" s="324"/>
      <c r="AD128" s="181">
        <f t="shared" si="15"/>
        <v>45.16</v>
      </c>
      <c r="AE128" s="181">
        <f t="shared" si="23"/>
        <v>18353.02</v>
      </c>
      <c r="AF128" s="181">
        <v>1.2</v>
      </c>
      <c r="AG128" s="181">
        <v>1.2</v>
      </c>
      <c r="AH128" s="363" t="str">
        <f t="shared" si="19"/>
        <v/>
      </c>
      <c r="AI128" s="194">
        <f>45.1</f>
        <v>45.1</v>
      </c>
      <c r="AJ128" s="188">
        <v>45.16</v>
      </c>
      <c r="AO128" s="367"/>
      <c r="AP128" s="367"/>
      <c r="AQ128" s="367"/>
    </row>
    <row r="129" spans="1:43" s="69" customFormat="1" ht="39" x14ac:dyDescent="0.3">
      <c r="A129" s="55" t="s">
        <v>370</v>
      </c>
      <c r="B129" s="211" t="s">
        <v>371</v>
      </c>
      <c r="C129" s="54" t="s">
        <v>30</v>
      </c>
      <c r="D129" s="75">
        <v>116.8</v>
      </c>
      <c r="E129" s="75"/>
      <c r="F129" s="75"/>
      <c r="G129" s="75"/>
      <c r="H129" s="75"/>
      <c r="I129" s="75"/>
      <c r="J129" s="75">
        <v>457.9</v>
      </c>
      <c r="K129" s="75">
        <v>53482.720000000001</v>
      </c>
      <c r="L129" s="91" t="s">
        <v>372</v>
      </c>
      <c r="M129" s="73"/>
      <c r="N129" s="46">
        <v>83.2</v>
      </c>
      <c r="O129" s="46">
        <v>0</v>
      </c>
      <c r="P129" s="46">
        <v>38097.279999999999</v>
      </c>
      <c r="Q129" s="98"/>
      <c r="R129" s="23" t="s">
        <v>1399</v>
      </c>
      <c r="S129" s="24" t="s">
        <v>371</v>
      </c>
      <c r="T129" s="25" t="s">
        <v>30</v>
      </c>
      <c r="U129" s="26">
        <v>116.8</v>
      </c>
      <c r="V129" s="26">
        <f t="shared" si="21"/>
        <v>116.8</v>
      </c>
      <c r="W129" s="26">
        <f t="shared" si="16"/>
        <v>457.9</v>
      </c>
      <c r="X129" s="128">
        <f t="shared" si="20"/>
        <v>0</v>
      </c>
      <c r="Y129" s="26">
        <f t="shared" si="17"/>
        <v>83.2</v>
      </c>
      <c r="Z129" s="26">
        <f t="shared" si="22"/>
        <v>0</v>
      </c>
      <c r="AA129" s="26">
        <f t="shared" si="18"/>
        <v>38097.279999999999</v>
      </c>
      <c r="AB129" s="33" t="s">
        <v>15</v>
      </c>
      <c r="AC129" s="324"/>
      <c r="AD129" s="181">
        <f t="shared" si="15"/>
        <v>116.8</v>
      </c>
      <c r="AE129" s="181">
        <f t="shared" si="23"/>
        <v>53482.720000000001</v>
      </c>
      <c r="AF129" s="181">
        <v>1.2</v>
      </c>
      <c r="AG129" s="181">
        <v>1.2</v>
      </c>
      <c r="AH129" s="363" t="str">
        <f t="shared" si="19"/>
        <v/>
      </c>
      <c r="AI129" s="194">
        <f>52+31.2</f>
        <v>83.2</v>
      </c>
      <c r="AJ129" s="188">
        <v>116.8</v>
      </c>
      <c r="AO129" s="367"/>
      <c r="AP129" s="367"/>
      <c r="AQ129" s="367"/>
    </row>
    <row r="130" spans="1:43" s="69" customFormat="1" ht="39" x14ac:dyDescent="0.3">
      <c r="A130" s="130" t="s">
        <v>373</v>
      </c>
      <c r="B130" s="131" t="s">
        <v>374</v>
      </c>
      <c r="C130" s="132" t="s">
        <v>30</v>
      </c>
      <c r="D130" s="133">
        <v>25.8</v>
      </c>
      <c r="E130" s="75"/>
      <c r="F130" s="75"/>
      <c r="G130" s="75"/>
      <c r="H130" s="75"/>
      <c r="I130" s="75"/>
      <c r="J130" s="75">
        <v>499.1</v>
      </c>
      <c r="K130" s="75">
        <v>12876.78</v>
      </c>
      <c r="L130" s="91" t="s">
        <v>375</v>
      </c>
      <c r="M130" s="73"/>
      <c r="N130" s="46">
        <v>21</v>
      </c>
      <c r="O130" s="46">
        <v>0</v>
      </c>
      <c r="P130" s="46">
        <v>10481.1</v>
      </c>
      <c r="Q130" s="98"/>
      <c r="R130" s="23" t="s">
        <v>1490</v>
      </c>
      <c r="S130" s="24" t="s">
        <v>374</v>
      </c>
      <c r="T130" s="25" t="s">
        <v>30</v>
      </c>
      <c r="U130" s="26">
        <v>25.8</v>
      </c>
      <c r="V130" s="26">
        <f t="shared" si="21"/>
        <v>25.8</v>
      </c>
      <c r="W130" s="26">
        <f t="shared" si="16"/>
        <v>499.1</v>
      </c>
      <c r="X130" s="127">
        <f t="shared" si="20"/>
        <v>0</v>
      </c>
      <c r="Y130" s="127">
        <f t="shared" si="17"/>
        <v>21</v>
      </c>
      <c r="Z130" s="127">
        <f t="shared" si="22"/>
        <v>0</v>
      </c>
      <c r="AA130" s="127">
        <f t="shared" si="18"/>
        <v>10481.1</v>
      </c>
      <c r="AB130" s="33" t="s">
        <v>15</v>
      </c>
      <c r="AC130" s="324"/>
      <c r="AD130" s="181">
        <f t="shared" si="15"/>
        <v>25.8</v>
      </c>
      <c r="AE130" s="181">
        <f t="shared" si="23"/>
        <v>12876.78</v>
      </c>
      <c r="AF130" s="181">
        <v>1.2</v>
      </c>
      <c r="AG130" s="181">
        <v>1.2</v>
      </c>
      <c r="AH130" s="363" t="str">
        <f t="shared" si="19"/>
        <v/>
      </c>
      <c r="AI130" s="194">
        <f>21</f>
        <v>21</v>
      </c>
      <c r="AJ130" s="188">
        <v>25.8</v>
      </c>
      <c r="AO130" s="367"/>
      <c r="AP130" s="367"/>
      <c r="AQ130" s="367"/>
    </row>
    <row r="131" spans="1:43" s="69" customFormat="1" ht="39" x14ac:dyDescent="0.3">
      <c r="A131" s="55" t="s">
        <v>376</v>
      </c>
      <c r="B131" s="53" t="s">
        <v>377</v>
      </c>
      <c r="C131" s="54" t="s">
        <v>30</v>
      </c>
      <c r="D131" s="75">
        <v>53.89</v>
      </c>
      <c r="E131" s="75"/>
      <c r="F131" s="75"/>
      <c r="G131" s="75"/>
      <c r="H131" s="75"/>
      <c r="I131" s="75"/>
      <c r="J131" s="75">
        <v>545.85</v>
      </c>
      <c r="K131" s="75">
        <v>29415.86</v>
      </c>
      <c r="L131" s="91" t="s">
        <v>378</v>
      </c>
      <c r="M131" s="73"/>
      <c r="N131" s="46">
        <v>40</v>
      </c>
      <c r="O131" s="46">
        <v>0</v>
      </c>
      <c r="P131" s="46">
        <v>21834</v>
      </c>
      <c r="Q131" s="98"/>
      <c r="R131" s="23" t="s">
        <v>1491</v>
      </c>
      <c r="S131" s="24" t="s">
        <v>377</v>
      </c>
      <c r="T131" s="25" t="s">
        <v>30</v>
      </c>
      <c r="U131" s="26">
        <v>53.89</v>
      </c>
      <c r="V131" s="26">
        <f t="shared" si="21"/>
        <v>53.89</v>
      </c>
      <c r="W131" s="26">
        <f t="shared" si="16"/>
        <v>545.85</v>
      </c>
      <c r="X131" s="26">
        <f t="shared" si="20"/>
        <v>0</v>
      </c>
      <c r="Y131" s="26">
        <f t="shared" si="17"/>
        <v>40</v>
      </c>
      <c r="Z131" s="26">
        <f t="shared" si="22"/>
        <v>0</v>
      </c>
      <c r="AA131" s="26">
        <f t="shared" si="18"/>
        <v>21834</v>
      </c>
      <c r="AB131" s="33" t="s">
        <v>15</v>
      </c>
      <c r="AC131" s="324"/>
      <c r="AD131" s="181">
        <f t="shared" si="15"/>
        <v>53.89</v>
      </c>
      <c r="AE131" s="181">
        <f t="shared" si="23"/>
        <v>29415.86</v>
      </c>
      <c r="AF131" s="181">
        <v>1.2</v>
      </c>
      <c r="AG131" s="181">
        <v>1.2</v>
      </c>
      <c r="AH131" s="363" t="str">
        <f t="shared" si="19"/>
        <v/>
      </c>
      <c r="AI131" s="194">
        <f>40</f>
        <v>40</v>
      </c>
      <c r="AJ131" s="188">
        <v>53.89</v>
      </c>
      <c r="AO131" s="367"/>
      <c r="AP131" s="367"/>
      <c r="AQ131" s="367"/>
    </row>
    <row r="132" spans="1:43" s="69" customFormat="1" ht="39" x14ac:dyDescent="0.3">
      <c r="A132" s="130" t="s">
        <v>379</v>
      </c>
      <c r="B132" s="131" t="s">
        <v>3156</v>
      </c>
      <c r="C132" s="132" t="s">
        <v>30</v>
      </c>
      <c r="D132" s="133">
        <v>21</v>
      </c>
      <c r="E132" s="75"/>
      <c r="F132" s="75"/>
      <c r="G132" s="75"/>
      <c r="H132" s="75"/>
      <c r="I132" s="75"/>
      <c r="J132" s="75">
        <v>644.09</v>
      </c>
      <c r="K132" s="75">
        <v>13525.89</v>
      </c>
      <c r="L132" s="91" t="s">
        <v>381</v>
      </c>
      <c r="M132" s="73"/>
      <c r="N132" s="46">
        <v>19</v>
      </c>
      <c r="O132" s="46">
        <v>0</v>
      </c>
      <c r="P132" s="46">
        <v>12237.71</v>
      </c>
      <c r="Q132" s="98"/>
      <c r="R132" s="23" t="s">
        <v>1492</v>
      </c>
      <c r="S132" s="24" t="s">
        <v>380</v>
      </c>
      <c r="T132" s="25" t="s">
        <v>30</v>
      </c>
      <c r="U132" s="26">
        <v>21</v>
      </c>
      <c r="V132" s="26">
        <f t="shared" si="21"/>
        <v>21</v>
      </c>
      <c r="W132" s="26">
        <f t="shared" si="16"/>
        <v>644.09</v>
      </c>
      <c r="X132" s="127">
        <f t="shared" si="20"/>
        <v>0</v>
      </c>
      <c r="Y132" s="127">
        <f t="shared" si="17"/>
        <v>19</v>
      </c>
      <c r="Z132" s="127">
        <f t="shared" si="22"/>
        <v>0</v>
      </c>
      <c r="AA132" s="127">
        <f t="shared" si="18"/>
        <v>12237.71</v>
      </c>
      <c r="AB132" s="33" t="s">
        <v>15</v>
      </c>
      <c r="AC132" s="324"/>
      <c r="AD132" s="181">
        <f t="shared" si="15"/>
        <v>21</v>
      </c>
      <c r="AE132" s="181">
        <f t="shared" si="23"/>
        <v>13525.89</v>
      </c>
      <c r="AF132" s="181">
        <v>1.2</v>
      </c>
      <c r="AG132" s="181">
        <v>1.2</v>
      </c>
      <c r="AH132" s="363" t="str">
        <f t="shared" si="19"/>
        <v/>
      </c>
      <c r="AI132" s="194">
        <f>19</f>
        <v>19</v>
      </c>
      <c r="AJ132" s="188">
        <v>21</v>
      </c>
      <c r="AO132" s="367"/>
      <c r="AP132" s="367"/>
      <c r="AQ132" s="367"/>
    </row>
    <row r="133" spans="1:43" s="69" customFormat="1" ht="33" x14ac:dyDescent="0.3">
      <c r="A133" s="130" t="s">
        <v>382</v>
      </c>
      <c r="B133" s="131" t="s">
        <v>383</v>
      </c>
      <c r="C133" s="132" t="s">
        <v>30</v>
      </c>
      <c r="D133" s="133">
        <v>275.60000000000002</v>
      </c>
      <c r="E133" s="75"/>
      <c r="F133" s="75"/>
      <c r="G133" s="75"/>
      <c r="H133" s="75"/>
      <c r="I133" s="75"/>
      <c r="J133" s="75">
        <v>7340.41</v>
      </c>
      <c r="K133" s="75">
        <v>2023017</v>
      </c>
      <c r="L133" s="91" t="s">
        <v>384</v>
      </c>
      <c r="M133" s="73"/>
      <c r="N133" s="46">
        <v>230</v>
      </c>
      <c r="O133" s="46">
        <v>0</v>
      </c>
      <c r="P133" s="46">
        <v>1688294.3</v>
      </c>
      <c r="Q133" s="98"/>
      <c r="R133" s="23" t="s">
        <v>1493</v>
      </c>
      <c r="S133" s="24" t="s">
        <v>383</v>
      </c>
      <c r="T133" s="25" t="s">
        <v>30</v>
      </c>
      <c r="U133" s="26">
        <v>275.60000000000002</v>
      </c>
      <c r="V133" s="26">
        <f t="shared" si="21"/>
        <v>275.60000000000002</v>
      </c>
      <c r="W133" s="26">
        <f t="shared" si="16"/>
        <v>7340.41</v>
      </c>
      <c r="X133" s="127">
        <f t="shared" si="20"/>
        <v>0</v>
      </c>
      <c r="Y133" s="127">
        <f t="shared" si="17"/>
        <v>230</v>
      </c>
      <c r="Z133" s="127">
        <f t="shared" si="22"/>
        <v>0</v>
      </c>
      <c r="AA133" s="127">
        <f t="shared" si="18"/>
        <v>1688294.3</v>
      </c>
      <c r="AB133" s="33" t="s">
        <v>15</v>
      </c>
      <c r="AC133" s="324"/>
      <c r="AD133" s="181">
        <f t="shared" si="15"/>
        <v>275.60000000000002</v>
      </c>
      <c r="AE133" s="181">
        <f t="shared" si="23"/>
        <v>2023017</v>
      </c>
      <c r="AF133" s="181">
        <v>1.2</v>
      </c>
      <c r="AG133" s="181">
        <v>1.2</v>
      </c>
      <c r="AH133" s="363" t="str">
        <f t="shared" si="19"/>
        <v/>
      </c>
      <c r="AI133" s="194">
        <f>182.3+47.7</f>
        <v>230</v>
      </c>
      <c r="AJ133" s="188">
        <v>275.60000000000002</v>
      </c>
      <c r="AO133" s="367"/>
      <c r="AP133" s="367"/>
      <c r="AQ133" s="367"/>
    </row>
    <row r="134" spans="1:43" s="69" customFormat="1" ht="24.75" x14ac:dyDescent="0.3">
      <c r="A134" s="130" t="s">
        <v>385</v>
      </c>
      <c r="B134" s="131" t="s">
        <v>386</v>
      </c>
      <c r="C134" s="132" t="s">
        <v>81</v>
      </c>
      <c r="D134" s="133">
        <v>1</v>
      </c>
      <c r="E134" s="75"/>
      <c r="F134" s="75"/>
      <c r="G134" s="75"/>
      <c r="H134" s="75"/>
      <c r="I134" s="75"/>
      <c r="J134" s="75">
        <v>913345.81</v>
      </c>
      <c r="K134" s="75">
        <v>913345.81</v>
      </c>
      <c r="L134" s="91" t="s">
        <v>387</v>
      </c>
      <c r="M134" s="73"/>
      <c r="N134" s="46">
        <v>1</v>
      </c>
      <c r="O134" s="46">
        <v>0</v>
      </c>
      <c r="P134" s="46">
        <v>913345.81</v>
      </c>
      <c r="Q134" s="98"/>
      <c r="R134" s="23" t="s">
        <v>1494</v>
      </c>
      <c r="S134" s="24" t="s">
        <v>386</v>
      </c>
      <c r="T134" s="25" t="s">
        <v>81</v>
      </c>
      <c r="U134" s="26">
        <v>1</v>
      </c>
      <c r="V134" s="26">
        <f t="shared" si="21"/>
        <v>1</v>
      </c>
      <c r="W134" s="26">
        <f t="shared" si="16"/>
        <v>913345.81</v>
      </c>
      <c r="X134" s="127">
        <f t="shared" si="20"/>
        <v>0</v>
      </c>
      <c r="Y134" s="127">
        <f t="shared" si="17"/>
        <v>1</v>
      </c>
      <c r="Z134" s="127">
        <f t="shared" si="22"/>
        <v>0</v>
      </c>
      <c r="AA134" s="127">
        <f t="shared" si="18"/>
        <v>913345.81</v>
      </c>
      <c r="AB134" s="33" t="s">
        <v>15</v>
      </c>
      <c r="AC134" s="324"/>
      <c r="AD134" s="181">
        <f t="shared" si="15"/>
        <v>1</v>
      </c>
      <c r="AE134" s="181">
        <f t="shared" si="23"/>
        <v>913345.81</v>
      </c>
      <c r="AF134" s="181">
        <v>1.2</v>
      </c>
      <c r="AG134" s="181">
        <v>1.2</v>
      </c>
      <c r="AH134" s="363" t="str">
        <f t="shared" si="19"/>
        <v/>
      </c>
      <c r="AI134" s="194">
        <v>1</v>
      </c>
      <c r="AJ134" s="188">
        <v>1</v>
      </c>
      <c r="AN134" s="281"/>
      <c r="AO134" s="367"/>
      <c r="AP134" s="367"/>
      <c r="AQ134" s="367"/>
    </row>
    <row r="135" spans="1:43" s="281" customFormat="1" ht="39" x14ac:dyDescent="0.3">
      <c r="A135" s="283" t="s">
        <v>3184</v>
      </c>
      <c r="B135" s="211" t="s">
        <v>3168</v>
      </c>
      <c r="C135" s="212" t="s">
        <v>50</v>
      </c>
      <c r="D135" s="213"/>
      <c r="E135" s="213"/>
      <c r="F135" s="213"/>
      <c r="G135" s="213"/>
      <c r="H135" s="213"/>
      <c r="I135" s="343">
        <v>145.4</v>
      </c>
      <c r="J135" s="213">
        <v>969.53</v>
      </c>
      <c r="K135" s="275">
        <v>140969.66</v>
      </c>
      <c r="L135" s="284"/>
      <c r="M135" s="278"/>
      <c r="N135" s="42">
        <v>142.30000000000001</v>
      </c>
      <c r="O135" s="42">
        <v>137964.12</v>
      </c>
      <c r="P135" s="42">
        <v>137964.12</v>
      </c>
      <c r="Q135" s="98"/>
      <c r="R135" s="13" t="s">
        <v>3167</v>
      </c>
      <c r="S135" s="286" t="str">
        <f>B135</f>
        <v>特殊地坪，壓花地坪</v>
      </c>
      <c r="T135" s="287" t="str">
        <f>C135</f>
        <v>M2</v>
      </c>
      <c r="U135" s="16"/>
      <c r="V135" s="16">
        <f t="shared" si="21"/>
        <v>145.4</v>
      </c>
      <c r="W135" s="16">
        <f t="shared" si="16"/>
        <v>969.53</v>
      </c>
      <c r="X135" s="16">
        <f t="shared" si="20"/>
        <v>0</v>
      </c>
      <c r="Y135" s="127">
        <f t="shared" si="17"/>
        <v>142.30000000000001</v>
      </c>
      <c r="Z135" s="127">
        <f t="shared" si="22"/>
        <v>0</v>
      </c>
      <c r="AA135" s="127">
        <f t="shared" si="18"/>
        <v>137964.12</v>
      </c>
      <c r="AB135" s="17"/>
      <c r="AC135" s="324"/>
      <c r="AD135" s="181">
        <f t="shared" si="15"/>
        <v>145.4</v>
      </c>
      <c r="AE135" s="181">
        <f t="shared" si="23"/>
        <v>140969.66</v>
      </c>
      <c r="AF135" s="181">
        <v>1.2</v>
      </c>
      <c r="AG135" s="181">
        <v>1.2</v>
      </c>
      <c r="AH135" s="364"/>
      <c r="AI135" s="285">
        <v>142.30000000000001</v>
      </c>
      <c r="AJ135" s="190">
        <v>145.4</v>
      </c>
      <c r="AN135" s="364"/>
      <c r="AO135" s="368"/>
      <c r="AP135" s="367"/>
      <c r="AQ135" s="367"/>
    </row>
    <row r="136" spans="1:43" s="281" customFormat="1" x14ac:dyDescent="0.3">
      <c r="A136" s="283" t="s">
        <v>3185</v>
      </c>
      <c r="B136" s="211" t="s">
        <v>3170</v>
      </c>
      <c r="C136" s="212" t="s">
        <v>50</v>
      </c>
      <c r="D136" s="213"/>
      <c r="E136" s="213"/>
      <c r="F136" s="213"/>
      <c r="G136" s="213"/>
      <c r="H136" s="213"/>
      <c r="I136" s="343">
        <v>909.17</v>
      </c>
      <c r="J136" s="213">
        <v>2666.52</v>
      </c>
      <c r="K136" s="275">
        <v>2424319.9900000002</v>
      </c>
      <c r="L136" s="284"/>
      <c r="M136" s="278"/>
      <c r="N136" s="42">
        <v>218.78</v>
      </c>
      <c r="O136" s="42">
        <v>583381.25</v>
      </c>
      <c r="P136" s="42">
        <v>583381.25</v>
      </c>
      <c r="Q136" s="98"/>
      <c r="R136" s="13" t="s">
        <v>3169</v>
      </c>
      <c r="S136" s="286" t="str">
        <f t="shared" ref="S136:T143" si="24">B136</f>
        <v>透水磚地坪B</v>
      </c>
      <c r="T136" s="287" t="str">
        <f t="shared" si="24"/>
        <v>M2</v>
      </c>
      <c r="U136" s="16"/>
      <c r="V136" s="16">
        <f t="shared" si="21"/>
        <v>909.17</v>
      </c>
      <c r="W136" s="16">
        <f t="shared" si="16"/>
        <v>2666.52</v>
      </c>
      <c r="X136" s="16">
        <f t="shared" si="20"/>
        <v>0</v>
      </c>
      <c r="Y136" s="127">
        <f t="shared" si="17"/>
        <v>218.78</v>
      </c>
      <c r="Z136" s="127">
        <f t="shared" si="22"/>
        <v>0</v>
      </c>
      <c r="AA136" s="127">
        <f t="shared" si="18"/>
        <v>583381.25</v>
      </c>
      <c r="AB136" s="17"/>
      <c r="AC136" s="324"/>
      <c r="AD136" s="181">
        <f t="shared" si="15"/>
        <v>909.17</v>
      </c>
      <c r="AE136" s="181">
        <f t="shared" si="23"/>
        <v>2424319.9900000002</v>
      </c>
      <c r="AF136" s="181">
        <v>1.2</v>
      </c>
      <c r="AG136" s="181">
        <v>1.2</v>
      </c>
      <c r="AH136" s="364"/>
      <c r="AI136" s="285">
        <v>218.78</v>
      </c>
      <c r="AJ136" s="190">
        <v>909.17</v>
      </c>
      <c r="AN136" s="364"/>
      <c r="AO136" s="368"/>
      <c r="AP136" s="367"/>
      <c r="AQ136" s="367"/>
    </row>
    <row r="137" spans="1:43" s="281" customFormat="1" ht="58.5" x14ac:dyDescent="0.3">
      <c r="A137" s="283" t="s">
        <v>3186</v>
      </c>
      <c r="B137" s="211" t="s">
        <v>1774</v>
      </c>
      <c r="C137" s="212" t="s">
        <v>50</v>
      </c>
      <c r="D137" s="213"/>
      <c r="E137" s="213"/>
      <c r="F137" s="213"/>
      <c r="G137" s="213"/>
      <c r="H137" s="213"/>
      <c r="I137" s="343">
        <v>308.85000000000002</v>
      </c>
      <c r="J137" s="213">
        <v>458.74</v>
      </c>
      <c r="K137" s="275">
        <v>141681.85</v>
      </c>
      <c r="L137" s="284"/>
      <c r="M137" s="278"/>
      <c r="N137" s="42">
        <v>120.5</v>
      </c>
      <c r="O137" s="42">
        <v>55278.17</v>
      </c>
      <c r="P137" s="42">
        <v>55278.17</v>
      </c>
      <c r="Q137" s="98"/>
      <c r="R137" s="13" t="s">
        <v>3171</v>
      </c>
      <c r="S137" s="286" t="str">
        <f t="shared" si="24"/>
        <v>水泥砂漿粉刷，1：3水泥砂漿，面層粉光</v>
      </c>
      <c r="T137" s="287" t="str">
        <f t="shared" si="24"/>
        <v>M2</v>
      </c>
      <c r="U137" s="16"/>
      <c r="V137" s="16">
        <f t="shared" si="21"/>
        <v>308.85000000000002</v>
      </c>
      <c r="W137" s="16">
        <f t="shared" si="16"/>
        <v>458.74</v>
      </c>
      <c r="X137" s="16">
        <f t="shared" si="20"/>
        <v>0</v>
      </c>
      <c r="Y137" s="127">
        <f t="shared" si="17"/>
        <v>120.5</v>
      </c>
      <c r="Z137" s="127">
        <f t="shared" si="22"/>
        <v>0</v>
      </c>
      <c r="AA137" s="127">
        <f t="shared" si="18"/>
        <v>55278.17</v>
      </c>
      <c r="AB137" s="17"/>
      <c r="AC137" s="324"/>
      <c r="AD137" s="181">
        <f t="shared" si="15"/>
        <v>308.85000000000002</v>
      </c>
      <c r="AE137" s="181">
        <f t="shared" si="23"/>
        <v>141681.85</v>
      </c>
      <c r="AF137" s="181">
        <v>1.2</v>
      </c>
      <c r="AG137" s="181">
        <v>1.2</v>
      </c>
      <c r="AH137" s="364"/>
      <c r="AI137" s="285">
        <v>120.5</v>
      </c>
      <c r="AJ137" s="190">
        <v>308.85000000000002</v>
      </c>
      <c r="AO137" s="367"/>
      <c r="AP137" s="367"/>
      <c r="AQ137" s="367"/>
    </row>
    <row r="138" spans="1:43" s="281" customFormat="1" ht="58.5" x14ac:dyDescent="0.3">
      <c r="A138" s="283" t="s">
        <v>3187</v>
      </c>
      <c r="B138" s="211" t="s">
        <v>3173</v>
      </c>
      <c r="C138" s="212" t="s">
        <v>2735</v>
      </c>
      <c r="D138" s="213"/>
      <c r="E138" s="213"/>
      <c r="F138" s="213"/>
      <c r="G138" s="213"/>
      <c r="H138" s="213"/>
      <c r="I138" s="337">
        <v>1454</v>
      </c>
      <c r="J138" s="213">
        <v>675.93</v>
      </c>
      <c r="K138" s="275">
        <v>982802.22</v>
      </c>
      <c r="L138" s="284"/>
      <c r="M138" s="278"/>
      <c r="N138" s="42">
        <v>0</v>
      </c>
      <c r="O138" s="42">
        <v>0</v>
      </c>
      <c r="P138" s="42">
        <v>0</v>
      </c>
      <c r="Q138" s="98"/>
      <c r="R138" s="13" t="s">
        <v>3172</v>
      </c>
      <c r="S138" s="286" t="str">
        <f t="shared" si="24"/>
        <v>既有木作修復更新，含拆除、運棄</v>
      </c>
      <c r="T138" s="287" t="str">
        <f t="shared" si="24"/>
        <v>才</v>
      </c>
      <c r="U138" s="16"/>
      <c r="V138" s="16">
        <f t="shared" si="21"/>
        <v>1454</v>
      </c>
      <c r="W138" s="16">
        <f t="shared" si="16"/>
        <v>675.93</v>
      </c>
      <c r="X138" s="16">
        <f t="shared" si="20"/>
        <v>0</v>
      </c>
      <c r="Y138" s="16">
        <f t="shared" si="17"/>
        <v>0</v>
      </c>
      <c r="Z138" s="16">
        <f t="shared" si="22"/>
        <v>0</v>
      </c>
      <c r="AA138" s="16">
        <f t="shared" si="18"/>
        <v>0</v>
      </c>
      <c r="AB138" s="17"/>
      <c r="AC138" s="324"/>
      <c r="AD138" s="181">
        <f t="shared" ref="AD138:AD201" si="25">IF(V138=0,U138,V138)</f>
        <v>1454</v>
      </c>
      <c r="AE138" s="181">
        <f t="shared" si="23"/>
        <v>982802.22</v>
      </c>
      <c r="AF138" s="181">
        <v>1.2</v>
      </c>
      <c r="AG138" s="181">
        <v>1.2</v>
      </c>
      <c r="AH138" s="364"/>
      <c r="AI138" s="285"/>
      <c r="AJ138" s="190">
        <v>1454</v>
      </c>
      <c r="AO138" s="367"/>
      <c r="AP138" s="367"/>
      <c r="AQ138" s="367"/>
    </row>
    <row r="139" spans="1:43" s="281" customFormat="1" ht="58.5" x14ac:dyDescent="0.3">
      <c r="A139" s="283" t="s">
        <v>3188</v>
      </c>
      <c r="B139" s="211" t="s">
        <v>3175</v>
      </c>
      <c r="C139" s="212" t="s">
        <v>50</v>
      </c>
      <c r="D139" s="213"/>
      <c r="E139" s="213"/>
      <c r="F139" s="213"/>
      <c r="G139" s="213"/>
      <c r="H139" s="213"/>
      <c r="I139" s="337">
        <v>988</v>
      </c>
      <c r="J139" s="213">
        <v>531.74</v>
      </c>
      <c r="K139" s="275">
        <v>525359.12</v>
      </c>
      <c r="L139" s="284"/>
      <c r="M139" s="278"/>
      <c r="N139" s="42">
        <v>0</v>
      </c>
      <c r="O139" s="42">
        <v>0</v>
      </c>
      <c r="P139" s="42">
        <v>0</v>
      </c>
      <c r="Q139" s="98"/>
      <c r="R139" s="13" t="s">
        <v>3174</v>
      </c>
      <c r="S139" s="286" t="str">
        <f t="shared" si="24"/>
        <v>園區內木作欄杆修整，含護木漆塗布</v>
      </c>
      <c r="T139" s="287" t="str">
        <f t="shared" si="24"/>
        <v>M2</v>
      </c>
      <c r="U139" s="16"/>
      <c r="V139" s="16">
        <f t="shared" si="21"/>
        <v>988</v>
      </c>
      <c r="W139" s="16">
        <f t="shared" ref="W139:W202" si="26">J139</f>
        <v>531.74</v>
      </c>
      <c r="X139" s="16">
        <f t="shared" si="20"/>
        <v>0</v>
      </c>
      <c r="Y139" s="16">
        <f t="shared" si="17"/>
        <v>0</v>
      </c>
      <c r="Z139" s="16">
        <f t="shared" si="22"/>
        <v>0</v>
      </c>
      <c r="AA139" s="16">
        <f t="shared" si="18"/>
        <v>0</v>
      </c>
      <c r="AB139" s="17"/>
      <c r="AC139" s="324"/>
      <c r="AD139" s="181">
        <f t="shared" si="25"/>
        <v>988</v>
      </c>
      <c r="AE139" s="181">
        <f t="shared" si="23"/>
        <v>525359.12</v>
      </c>
      <c r="AF139" s="181">
        <v>1.2</v>
      </c>
      <c r="AG139" s="181">
        <v>1.2</v>
      </c>
      <c r="AH139" s="364"/>
      <c r="AI139" s="285"/>
      <c r="AJ139" s="190">
        <v>988</v>
      </c>
      <c r="AO139" s="367"/>
      <c r="AP139" s="367"/>
      <c r="AQ139" s="367"/>
    </row>
    <row r="140" spans="1:43" s="281" customFormat="1" ht="39" x14ac:dyDescent="0.3">
      <c r="A140" s="283" t="s">
        <v>3282</v>
      </c>
      <c r="B140" s="211" t="s">
        <v>3177</v>
      </c>
      <c r="C140" s="212" t="s">
        <v>50</v>
      </c>
      <c r="D140" s="213"/>
      <c r="E140" s="213"/>
      <c r="F140" s="213"/>
      <c r="G140" s="213"/>
      <c r="H140" s="213"/>
      <c r="I140" s="337">
        <v>100.8</v>
      </c>
      <c r="J140" s="213">
        <v>1634.34</v>
      </c>
      <c r="K140" s="275">
        <v>164741.47</v>
      </c>
      <c r="L140" s="284"/>
      <c r="M140" s="278"/>
      <c r="N140" s="42">
        <v>0</v>
      </c>
      <c r="O140" s="42">
        <v>0</v>
      </c>
      <c r="P140" s="42">
        <v>0</v>
      </c>
      <c r="Q140" s="98"/>
      <c r="R140" s="13" t="s">
        <v>3176</v>
      </c>
      <c r="S140" s="286" t="str">
        <f t="shared" si="24"/>
        <v>園區既有鋼料除銹打磨修整塗裝</v>
      </c>
      <c r="T140" s="287" t="str">
        <f t="shared" si="24"/>
        <v>M2</v>
      </c>
      <c r="U140" s="16"/>
      <c r="V140" s="16">
        <f t="shared" si="21"/>
        <v>100.8</v>
      </c>
      <c r="W140" s="16">
        <f t="shared" si="26"/>
        <v>1634.34</v>
      </c>
      <c r="X140" s="16">
        <f t="shared" si="20"/>
        <v>0</v>
      </c>
      <c r="Y140" s="16">
        <f t="shared" si="17"/>
        <v>0</v>
      </c>
      <c r="Z140" s="16">
        <f t="shared" si="22"/>
        <v>0</v>
      </c>
      <c r="AA140" s="16">
        <f t="shared" si="18"/>
        <v>0</v>
      </c>
      <c r="AB140" s="17"/>
      <c r="AC140" s="324"/>
      <c r="AD140" s="181">
        <f t="shared" si="25"/>
        <v>100.8</v>
      </c>
      <c r="AE140" s="181">
        <f t="shared" si="23"/>
        <v>164741.47</v>
      </c>
      <c r="AF140" s="181">
        <v>1.2</v>
      </c>
      <c r="AG140" s="181">
        <v>1.2</v>
      </c>
      <c r="AH140" s="364"/>
      <c r="AI140" s="285"/>
      <c r="AJ140" s="190">
        <v>100.8</v>
      </c>
      <c r="AO140" s="367"/>
      <c r="AP140" s="367"/>
      <c r="AQ140" s="367"/>
    </row>
    <row r="141" spans="1:43" s="281" customFormat="1" x14ac:dyDescent="0.3">
      <c r="A141" s="283" t="s">
        <v>3283</v>
      </c>
      <c r="B141" s="211" t="s">
        <v>3179</v>
      </c>
      <c r="C141" s="212" t="s">
        <v>1014</v>
      </c>
      <c r="D141" s="213"/>
      <c r="E141" s="213"/>
      <c r="F141" s="213"/>
      <c r="G141" s="213"/>
      <c r="H141" s="213"/>
      <c r="I141" s="337">
        <v>14</v>
      </c>
      <c r="J141" s="213">
        <v>5716.19</v>
      </c>
      <c r="K141" s="275">
        <v>80026.66</v>
      </c>
      <c r="L141" s="284"/>
      <c r="M141" s="278"/>
      <c r="N141" s="42">
        <v>0</v>
      </c>
      <c r="O141" s="42">
        <v>0</v>
      </c>
      <c r="P141" s="42">
        <v>0</v>
      </c>
      <c r="Q141" s="98"/>
      <c r="R141" s="13" t="s">
        <v>3178</v>
      </c>
      <c r="S141" s="286" t="str">
        <f t="shared" si="24"/>
        <v>既有立柱補強</v>
      </c>
      <c r="T141" s="287" t="str">
        <f t="shared" si="24"/>
        <v>處</v>
      </c>
      <c r="U141" s="16"/>
      <c r="V141" s="16">
        <f t="shared" si="21"/>
        <v>14</v>
      </c>
      <c r="W141" s="16">
        <f t="shared" si="26"/>
        <v>5716.19</v>
      </c>
      <c r="X141" s="16">
        <f t="shared" si="20"/>
        <v>0</v>
      </c>
      <c r="Y141" s="16">
        <f t="shared" ref="Y141:Y143" si="27">X141+N141</f>
        <v>0</v>
      </c>
      <c r="Z141" s="16">
        <f t="shared" si="22"/>
        <v>0</v>
      </c>
      <c r="AA141" s="16">
        <f t="shared" si="18"/>
        <v>0</v>
      </c>
      <c r="AB141" s="17"/>
      <c r="AC141" s="324"/>
      <c r="AD141" s="181">
        <f t="shared" si="25"/>
        <v>14</v>
      </c>
      <c r="AE141" s="181">
        <f t="shared" si="23"/>
        <v>80026.66</v>
      </c>
      <c r="AF141" s="181">
        <v>1.2</v>
      </c>
      <c r="AG141" s="181">
        <v>1.2</v>
      </c>
      <c r="AH141" s="364"/>
      <c r="AI141" s="285"/>
      <c r="AJ141" s="190">
        <v>14</v>
      </c>
      <c r="AO141" s="367"/>
      <c r="AP141" s="367"/>
      <c r="AQ141" s="367"/>
    </row>
    <row r="142" spans="1:43" s="281" customFormat="1" ht="58.5" x14ac:dyDescent="0.3">
      <c r="A142" s="283" t="s">
        <v>3284</v>
      </c>
      <c r="B142" s="211" t="s">
        <v>3181</v>
      </c>
      <c r="C142" s="212" t="s">
        <v>50</v>
      </c>
      <c r="D142" s="213"/>
      <c r="E142" s="213"/>
      <c r="F142" s="213"/>
      <c r="G142" s="213"/>
      <c r="H142" s="213"/>
      <c r="I142" s="337">
        <v>17.190000000000001</v>
      </c>
      <c r="J142" s="213">
        <v>4197.96</v>
      </c>
      <c r="K142" s="275">
        <v>72162.929999999993</v>
      </c>
      <c r="L142" s="284"/>
      <c r="M142" s="278"/>
      <c r="N142" s="42">
        <v>0</v>
      </c>
      <c r="O142" s="42">
        <v>0</v>
      </c>
      <c r="P142" s="42">
        <v>0</v>
      </c>
      <c r="Q142" s="98"/>
      <c r="R142" s="13" t="s">
        <v>3180</v>
      </c>
      <c r="S142" s="286" t="str">
        <f t="shared" si="24"/>
        <v>戶外專用電腦噴繪輸出及彩色膠膜</v>
      </c>
      <c r="T142" s="287" t="str">
        <f t="shared" si="24"/>
        <v>M2</v>
      </c>
      <c r="U142" s="16"/>
      <c r="V142" s="16">
        <f t="shared" si="21"/>
        <v>17.190000000000001</v>
      </c>
      <c r="W142" s="16">
        <f t="shared" si="26"/>
        <v>4197.96</v>
      </c>
      <c r="X142" s="16">
        <f t="shared" ref="X142:X143" si="28">AI142-N142</f>
        <v>0</v>
      </c>
      <c r="Y142" s="16">
        <f t="shared" si="27"/>
        <v>0</v>
      </c>
      <c r="Z142" s="16">
        <f t="shared" si="22"/>
        <v>0</v>
      </c>
      <c r="AA142" s="16">
        <f t="shared" si="18"/>
        <v>0</v>
      </c>
      <c r="AB142" s="17"/>
      <c r="AC142" s="324"/>
      <c r="AD142" s="181">
        <f t="shared" si="25"/>
        <v>17.190000000000001</v>
      </c>
      <c r="AE142" s="181">
        <f t="shared" si="23"/>
        <v>72162.929999999993</v>
      </c>
      <c r="AF142" s="181">
        <v>1.2</v>
      </c>
      <c r="AG142" s="181">
        <v>1.2</v>
      </c>
      <c r="AH142" s="364"/>
      <c r="AI142" s="285"/>
      <c r="AJ142" s="190">
        <v>17.190000000000001</v>
      </c>
      <c r="AO142" s="367"/>
      <c r="AP142" s="367"/>
      <c r="AQ142" s="367"/>
    </row>
    <row r="143" spans="1:43" s="281" customFormat="1" ht="49.5" x14ac:dyDescent="0.3">
      <c r="A143" s="283" t="s">
        <v>3285</v>
      </c>
      <c r="B143" s="303" t="s">
        <v>3183</v>
      </c>
      <c r="C143" s="212" t="s">
        <v>513</v>
      </c>
      <c r="D143" s="213"/>
      <c r="E143" s="213"/>
      <c r="F143" s="213"/>
      <c r="G143" s="213"/>
      <c r="H143" s="213"/>
      <c r="I143" s="337">
        <v>920</v>
      </c>
      <c r="J143" s="213">
        <v>51.97</v>
      </c>
      <c r="K143" s="275">
        <v>47812.4</v>
      </c>
      <c r="L143" s="284"/>
      <c r="M143" s="278"/>
      <c r="N143" s="42">
        <v>920</v>
      </c>
      <c r="O143" s="42">
        <v>47812.4</v>
      </c>
      <c r="P143" s="42">
        <v>47812.4</v>
      </c>
      <c r="Q143" s="98"/>
      <c r="R143" s="13" t="s">
        <v>3182</v>
      </c>
      <c r="S143" s="286" t="str">
        <f t="shared" si="24"/>
        <v>鋼筋，植筋，D13mm，鑽孔(含空氣槍清孔)及化學藥劑</v>
      </c>
      <c r="T143" s="287" t="str">
        <f t="shared" si="24"/>
        <v>孔</v>
      </c>
      <c r="U143" s="16"/>
      <c r="V143" s="16">
        <f t="shared" si="21"/>
        <v>920</v>
      </c>
      <c r="W143" s="16">
        <f t="shared" si="26"/>
        <v>51.97</v>
      </c>
      <c r="X143" s="16">
        <f t="shared" si="28"/>
        <v>0</v>
      </c>
      <c r="Y143" s="127">
        <f t="shared" si="27"/>
        <v>920</v>
      </c>
      <c r="Z143" s="127">
        <f t="shared" si="22"/>
        <v>0</v>
      </c>
      <c r="AA143" s="127">
        <f t="shared" si="18"/>
        <v>47812.4</v>
      </c>
      <c r="AB143" s="17"/>
      <c r="AC143" s="324"/>
      <c r="AD143" s="181">
        <f t="shared" si="25"/>
        <v>920</v>
      </c>
      <c r="AE143" s="181">
        <f t="shared" si="23"/>
        <v>47812.4</v>
      </c>
      <c r="AF143" s="181">
        <v>1.2</v>
      </c>
      <c r="AG143" s="181">
        <v>1.2</v>
      </c>
      <c r="AH143" s="364"/>
      <c r="AI143" s="285">
        <v>920</v>
      </c>
      <c r="AJ143" s="190">
        <v>920</v>
      </c>
      <c r="AN143" s="69"/>
      <c r="AO143" s="367"/>
      <c r="AP143" s="367"/>
      <c r="AQ143" s="367"/>
    </row>
    <row r="144" spans="1:43" s="69" customFormat="1" x14ac:dyDescent="0.3">
      <c r="A144" s="79" t="s">
        <v>388</v>
      </c>
      <c r="B144" s="80" t="s">
        <v>389</v>
      </c>
      <c r="C144" s="81" t="s">
        <v>14</v>
      </c>
      <c r="D144" s="82">
        <v>1</v>
      </c>
      <c r="E144" s="82"/>
      <c r="F144" s="82"/>
      <c r="G144" s="82"/>
      <c r="H144" s="82"/>
      <c r="I144" s="82"/>
      <c r="J144" s="82">
        <v>62860224.049999997</v>
      </c>
      <c r="K144" s="82">
        <v>62860224.049999997</v>
      </c>
      <c r="L144" s="94" t="s">
        <v>15</v>
      </c>
      <c r="M144" s="73"/>
      <c r="N144" s="45">
        <v>1</v>
      </c>
      <c r="O144" s="45">
        <v>784923.40999999898</v>
      </c>
      <c r="P144" s="45">
        <v>61908516.150000028</v>
      </c>
      <c r="Q144" s="98"/>
      <c r="R144" s="18" t="s">
        <v>1381</v>
      </c>
      <c r="S144" s="19" t="s">
        <v>389</v>
      </c>
      <c r="T144" s="20" t="s">
        <v>14</v>
      </c>
      <c r="U144" s="21">
        <v>1</v>
      </c>
      <c r="V144" s="21"/>
      <c r="W144" s="21">
        <f t="shared" si="26"/>
        <v>62860224.049999997</v>
      </c>
      <c r="X144" s="21">
        <f t="shared" ref="X144:Y144" si="29">IF(Z144=0,0,1)</f>
        <v>0</v>
      </c>
      <c r="Y144" s="21">
        <f t="shared" si="29"/>
        <v>1</v>
      </c>
      <c r="Z144" s="21">
        <f>SUMIFS(Z:Z,AG:AG,AF144)</f>
        <v>0</v>
      </c>
      <c r="AA144" s="21">
        <f>SUMIFS(AA:AA,AG:AG,AF144)</f>
        <v>61908516.150000028</v>
      </c>
      <c r="AB144" s="22" t="s">
        <v>15</v>
      </c>
      <c r="AC144" s="324"/>
      <c r="AD144" s="181">
        <f t="shared" si="25"/>
        <v>1</v>
      </c>
      <c r="AE144" s="184"/>
      <c r="AF144" s="184">
        <v>1.3</v>
      </c>
      <c r="AG144" s="184"/>
      <c r="AH144" s="363" t="str">
        <f t="shared" si="19"/>
        <v/>
      </c>
      <c r="AI144" s="192">
        <v>1</v>
      </c>
      <c r="AJ144" s="188">
        <v>1</v>
      </c>
      <c r="AO144" s="367"/>
      <c r="AP144" s="367"/>
      <c r="AQ144" s="367"/>
    </row>
    <row r="145" spans="1:43" s="69" customFormat="1" ht="39" x14ac:dyDescent="0.3">
      <c r="A145" s="130" t="s">
        <v>390</v>
      </c>
      <c r="B145" s="131" t="s">
        <v>102</v>
      </c>
      <c r="C145" s="132" t="s">
        <v>103</v>
      </c>
      <c r="D145" s="133">
        <v>274.45</v>
      </c>
      <c r="E145" s="75"/>
      <c r="F145" s="75"/>
      <c r="G145" s="75"/>
      <c r="H145" s="75"/>
      <c r="I145" s="75"/>
      <c r="J145" s="75">
        <v>320.74</v>
      </c>
      <c r="K145" s="75">
        <v>88027.09</v>
      </c>
      <c r="L145" s="91" t="s">
        <v>104</v>
      </c>
      <c r="M145" s="73"/>
      <c r="N145" s="46">
        <v>274.45</v>
      </c>
      <c r="O145" s="46">
        <v>15860.589999999997</v>
      </c>
      <c r="P145" s="46">
        <v>88027.09</v>
      </c>
      <c r="Q145" s="98"/>
      <c r="R145" s="23" t="s">
        <v>1421</v>
      </c>
      <c r="S145" s="24" t="s">
        <v>102</v>
      </c>
      <c r="T145" s="25" t="s">
        <v>103</v>
      </c>
      <c r="U145" s="26">
        <v>274.45</v>
      </c>
      <c r="V145" s="26">
        <f t="shared" ref="V145:V192" si="30">IF(I145&gt;0,I145,IF(H145&gt;0,H145,IF(G145&gt;0,G145,IF(F145&gt;0,F145,IF(E145&gt;0,E145,D145)))))</f>
        <v>274.45</v>
      </c>
      <c r="W145" s="26">
        <f t="shared" si="26"/>
        <v>320.74</v>
      </c>
      <c r="X145" s="128">
        <f t="shared" ref="X145:X192" si="31">AI145-N145</f>
        <v>0</v>
      </c>
      <c r="Y145" s="127">
        <f t="shared" ref="Y145:Y192" si="32">X145+N145</f>
        <v>274.45</v>
      </c>
      <c r="Z145" s="127">
        <f t="shared" ref="Z145:Z192" si="33">AA145-P145</f>
        <v>0</v>
      </c>
      <c r="AA145" s="127">
        <f t="shared" si="18"/>
        <v>88027.09</v>
      </c>
      <c r="AB145" s="33" t="s">
        <v>15</v>
      </c>
      <c r="AC145" s="325"/>
      <c r="AD145" s="263">
        <f t="shared" si="25"/>
        <v>274.45</v>
      </c>
      <c r="AE145" s="263">
        <f t="shared" ref="AE145:AE192" si="34">ROUND(W145*AD145,2)</f>
        <v>88027.09</v>
      </c>
      <c r="AF145" s="263">
        <v>1.3</v>
      </c>
      <c r="AG145" s="263">
        <v>1.3</v>
      </c>
      <c r="AH145" s="68" t="str">
        <f t="shared" si="19"/>
        <v/>
      </c>
      <c r="AI145" s="194">
        <v>274.45</v>
      </c>
      <c r="AJ145" s="188">
        <v>274.45</v>
      </c>
      <c r="AO145" s="367"/>
      <c r="AP145" s="367"/>
      <c r="AQ145" s="367"/>
    </row>
    <row r="146" spans="1:43" s="69" customFormat="1" ht="58.5" x14ac:dyDescent="0.3">
      <c r="A146" s="130" t="s">
        <v>391</v>
      </c>
      <c r="B146" s="131" t="s">
        <v>392</v>
      </c>
      <c r="C146" s="132" t="s">
        <v>23</v>
      </c>
      <c r="D146" s="133">
        <v>44.22</v>
      </c>
      <c r="E146" s="75"/>
      <c r="F146" s="75"/>
      <c r="G146" s="75"/>
      <c r="H146" s="75"/>
      <c r="I146" s="75"/>
      <c r="J146" s="75">
        <v>3115.13</v>
      </c>
      <c r="K146" s="75">
        <v>137751.04999999999</v>
      </c>
      <c r="L146" s="91" t="s">
        <v>114</v>
      </c>
      <c r="M146" s="73"/>
      <c r="N146" s="46">
        <v>39.79</v>
      </c>
      <c r="O146" s="46">
        <v>0</v>
      </c>
      <c r="P146" s="46">
        <v>123951.02</v>
      </c>
      <c r="Q146" s="98"/>
      <c r="R146" s="23" t="s">
        <v>1426</v>
      </c>
      <c r="S146" s="24" t="s">
        <v>392</v>
      </c>
      <c r="T146" s="25" t="s">
        <v>23</v>
      </c>
      <c r="U146" s="26">
        <v>44.22</v>
      </c>
      <c r="V146" s="26">
        <f t="shared" si="30"/>
        <v>44.22</v>
      </c>
      <c r="W146" s="26">
        <f t="shared" si="26"/>
        <v>3115.13</v>
      </c>
      <c r="X146" s="127">
        <f t="shared" si="31"/>
        <v>0</v>
      </c>
      <c r="Y146" s="127">
        <f t="shared" si="32"/>
        <v>39.79</v>
      </c>
      <c r="Z146" s="127">
        <f t="shared" si="33"/>
        <v>0</v>
      </c>
      <c r="AA146" s="127">
        <f t="shared" si="18"/>
        <v>123951.02</v>
      </c>
      <c r="AB146" s="33" t="s">
        <v>15</v>
      </c>
      <c r="AC146" s="325"/>
      <c r="AD146" s="263">
        <f t="shared" si="25"/>
        <v>44.22</v>
      </c>
      <c r="AE146" s="263">
        <f t="shared" si="34"/>
        <v>137751.04999999999</v>
      </c>
      <c r="AF146" s="263">
        <v>1.3</v>
      </c>
      <c r="AG146" s="263">
        <v>1.3</v>
      </c>
      <c r="AH146" s="68" t="str">
        <f t="shared" si="19"/>
        <v/>
      </c>
      <c r="AI146" s="194">
        <v>39.79</v>
      </c>
      <c r="AJ146" s="188">
        <v>44.22</v>
      </c>
      <c r="AO146" s="367"/>
      <c r="AP146" s="367"/>
      <c r="AQ146" s="367"/>
    </row>
    <row r="147" spans="1:43" s="69" customFormat="1" ht="58.5" x14ac:dyDescent="0.3">
      <c r="A147" s="130" t="s">
        <v>393</v>
      </c>
      <c r="B147" s="131" t="s">
        <v>116</v>
      </c>
      <c r="C147" s="132" t="s">
        <v>23</v>
      </c>
      <c r="D147" s="133">
        <v>95.97</v>
      </c>
      <c r="E147" s="75"/>
      <c r="F147" s="75"/>
      <c r="G147" s="75"/>
      <c r="H147" s="75"/>
      <c r="I147" s="75"/>
      <c r="J147" s="75">
        <v>3321.13</v>
      </c>
      <c r="K147" s="75">
        <v>318728.84999999998</v>
      </c>
      <c r="L147" s="91" t="s">
        <v>117</v>
      </c>
      <c r="M147" s="73"/>
      <c r="N147" s="46">
        <v>95.2</v>
      </c>
      <c r="O147" s="46">
        <v>10959.73000000004</v>
      </c>
      <c r="P147" s="46">
        <v>316171.58</v>
      </c>
      <c r="Q147" s="98"/>
      <c r="R147" s="23" t="s">
        <v>1402</v>
      </c>
      <c r="S147" s="24" t="s">
        <v>116</v>
      </c>
      <c r="T147" s="25" t="s">
        <v>23</v>
      </c>
      <c r="U147" s="26">
        <v>95.97</v>
      </c>
      <c r="V147" s="26">
        <f t="shared" si="30"/>
        <v>95.97</v>
      </c>
      <c r="W147" s="26">
        <f t="shared" si="26"/>
        <v>3321.13</v>
      </c>
      <c r="X147" s="128">
        <f t="shared" si="31"/>
        <v>0</v>
      </c>
      <c r="Y147" s="127">
        <f t="shared" si="32"/>
        <v>95.2</v>
      </c>
      <c r="Z147" s="127">
        <f t="shared" si="33"/>
        <v>0</v>
      </c>
      <c r="AA147" s="127">
        <f t="shared" si="18"/>
        <v>316171.58</v>
      </c>
      <c r="AB147" s="33" t="s">
        <v>15</v>
      </c>
      <c r="AC147" s="325"/>
      <c r="AD147" s="263">
        <f t="shared" si="25"/>
        <v>95.97</v>
      </c>
      <c r="AE147" s="263">
        <f t="shared" si="34"/>
        <v>318728.84999999998</v>
      </c>
      <c r="AF147" s="263">
        <v>1.3</v>
      </c>
      <c r="AG147" s="263">
        <v>1.3</v>
      </c>
      <c r="AH147" s="68" t="str">
        <f t="shared" si="19"/>
        <v/>
      </c>
      <c r="AI147" s="194">
        <v>95.2</v>
      </c>
      <c r="AJ147" s="188">
        <v>95.97</v>
      </c>
      <c r="AO147" s="367"/>
      <c r="AP147" s="367"/>
      <c r="AQ147" s="367"/>
    </row>
    <row r="148" spans="1:43" s="69" customFormat="1" ht="58.5" x14ac:dyDescent="0.3">
      <c r="A148" s="130" t="s">
        <v>394</v>
      </c>
      <c r="B148" s="131" t="s">
        <v>395</v>
      </c>
      <c r="C148" s="132" t="s">
        <v>23</v>
      </c>
      <c r="D148" s="133">
        <v>1216.8</v>
      </c>
      <c r="E148" s="75"/>
      <c r="F148" s="75"/>
      <c r="G148" s="75"/>
      <c r="H148" s="133">
        <v>709.04</v>
      </c>
      <c r="I148" s="75"/>
      <c r="J148" s="75">
        <v>3643.73</v>
      </c>
      <c r="K148" s="75">
        <v>2583550.3199999998</v>
      </c>
      <c r="L148" s="91" t="s">
        <v>396</v>
      </c>
      <c r="M148" s="73"/>
      <c r="N148" s="46">
        <v>645.58000000000004</v>
      </c>
      <c r="O148" s="46">
        <v>0</v>
      </c>
      <c r="P148" s="46">
        <v>2352319.21</v>
      </c>
      <c r="Q148" s="98"/>
      <c r="R148" s="23" t="s">
        <v>1373</v>
      </c>
      <c r="S148" s="24" t="s">
        <v>395</v>
      </c>
      <c r="T148" s="25" t="s">
        <v>23</v>
      </c>
      <c r="U148" s="26">
        <v>1216.8</v>
      </c>
      <c r="V148" s="26">
        <f t="shared" si="30"/>
        <v>709.04</v>
      </c>
      <c r="W148" s="26">
        <f t="shared" si="26"/>
        <v>3643.73</v>
      </c>
      <c r="X148" s="127">
        <f t="shared" si="31"/>
        <v>0</v>
      </c>
      <c r="Y148" s="127">
        <f t="shared" si="32"/>
        <v>645.58000000000004</v>
      </c>
      <c r="Z148" s="127">
        <f t="shared" si="33"/>
        <v>0</v>
      </c>
      <c r="AA148" s="127">
        <f t="shared" si="18"/>
        <v>2352319.21</v>
      </c>
      <c r="AB148" s="33" t="s">
        <v>15</v>
      </c>
      <c r="AC148" s="325"/>
      <c r="AD148" s="263">
        <f t="shared" si="25"/>
        <v>709.04</v>
      </c>
      <c r="AE148" s="263">
        <f t="shared" si="34"/>
        <v>2583550.3199999998</v>
      </c>
      <c r="AF148" s="263">
        <v>1.3</v>
      </c>
      <c r="AG148" s="263">
        <v>1.3</v>
      </c>
      <c r="AH148" s="68" t="str">
        <f t="shared" si="19"/>
        <v/>
      </c>
      <c r="AI148" s="192">
        <v>645.58000000000004</v>
      </c>
      <c r="AJ148" s="188">
        <v>709.04</v>
      </c>
      <c r="AM148" s="195">
        <v>388.56</v>
      </c>
      <c r="AO148" s="367"/>
      <c r="AP148" s="367"/>
      <c r="AQ148" s="367"/>
    </row>
    <row r="149" spans="1:43" s="69" customFormat="1" ht="33" x14ac:dyDescent="0.3">
      <c r="A149" s="130" t="s">
        <v>397</v>
      </c>
      <c r="B149" s="122" t="s">
        <v>109</v>
      </c>
      <c r="C149" s="132" t="s">
        <v>110</v>
      </c>
      <c r="D149" s="133">
        <v>4788.7700000000004</v>
      </c>
      <c r="E149" s="75"/>
      <c r="F149" s="75"/>
      <c r="G149" s="75"/>
      <c r="H149" s="75"/>
      <c r="I149" s="75"/>
      <c r="J149" s="75">
        <v>36.4</v>
      </c>
      <c r="K149" s="75">
        <v>174311.23</v>
      </c>
      <c r="L149" s="91" t="s">
        <v>111</v>
      </c>
      <c r="M149" s="73"/>
      <c r="N149" s="46">
        <v>4778</v>
      </c>
      <c r="O149" s="46">
        <v>0</v>
      </c>
      <c r="P149" s="46">
        <v>173919.2</v>
      </c>
      <c r="Q149" s="98"/>
      <c r="R149" s="23" t="s">
        <v>1393</v>
      </c>
      <c r="S149" s="24" t="s">
        <v>109</v>
      </c>
      <c r="T149" s="25" t="s">
        <v>110</v>
      </c>
      <c r="U149" s="26">
        <v>4788.7700000000004</v>
      </c>
      <c r="V149" s="26">
        <f t="shared" si="30"/>
        <v>4788.7700000000004</v>
      </c>
      <c r="W149" s="26">
        <f t="shared" si="26"/>
        <v>36.4</v>
      </c>
      <c r="X149" s="127">
        <f t="shared" si="31"/>
        <v>0</v>
      </c>
      <c r="Y149" s="127">
        <f t="shared" si="32"/>
        <v>4778</v>
      </c>
      <c r="Z149" s="127">
        <f t="shared" si="33"/>
        <v>0</v>
      </c>
      <c r="AA149" s="127">
        <f t="shared" si="18"/>
        <v>173919.2</v>
      </c>
      <c r="AB149" s="33" t="s">
        <v>15</v>
      </c>
      <c r="AC149" s="325"/>
      <c r="AD149" s="263">
        <f t="shared" si="25"/>
        <v>4788.7700000000004</v>
      </c>
      <c r="AE149" s="263">
        <f t="shared" si="34"/>
        <v>174311.23</v>
      </c>
      <c r="AF149" s="263">
        <v>1.3</v>
      </c>
      <c r="AG149" s="263">
        <v>1.3</v>
      </c>
      <c r="AH149" s="68" t="str">
        <f t="shared" si="19"/>
        <v/>
      </c>
      <c r="AI149" s="192">
        <v>4778</v>
      </c>
      <c r="AJ149" s="188">
        <v>4788.7700000000004</v>
      </c>
      <c r="AM149" s="195">
        <v>4788.7700000000004</v>
      </c>
      <c r="AO149" s="367"/>
      <c r="AP149" s="367"/>
      <c r="AQ149" s="367"/>
    </row>
    <row r="150" spans="1:43" s="69" customFormat="1" ht="33" x14ac:dyDescent="0.3">
      <c r="A150" s="130" t="s">
        <v>398</v>
      </c>
      <c r="B150" s="122" t="s">
        <v>399</v>
      </c>
      <c r="C150" s="132" t="s">
        <v>110</v>
      </c>
      <c r="D150" s="133">
        <v>205535.32</v>
      </c>
      <c r="E150" s="75"/>
      <c r="F150" s="75"/>
      <c r="G150" s="75"/>
      <c r="H150" s="75"/>
      <c r="I150" s="75"/>
      <c r="J150" s="75">
        <v>38.71</v>
      </c>
      <c r="K150" s="75">
        <v>7956272.2400000002</v>
      </c>
      <c r="L150" s="91" t="s">
        <v>400</v>
      </c>
      <c r="M150" s="73"/>
      <c r="N150" s="46">
        <v>205151.02</v>
      </c>
      <c r="O150" s="46">
        <v>0</v>
      </c>
      <c r="P150" s="46">
        <v>7941395.9800000004</v>
      </c>
      <c r="Q150" s="98"/>
      <c r="R150" s="23" t="s">
        <v>1403</v>
      </c>
      <c r="S150" s="24" t="s">
        <v>399</v>
      </c>
      <c r="T150" s="25" t="s">
        <v>110</v>
      </c>
      <c r="U150" s="26">
        <v>205535.32</v>
      </c>
      <c r="V150" s="26">
        <f t="shared" si="30"/>
        <v>205535.32</v>
      </c>
      <c r="W150" s="26">
        <f t="shared" si="26"/>
        <v>38.71</v>
      </c>
      <c r="X150" s="127">
        <f t="shared" si="31"/>
        <v>0</v>
      </c>
      <c r="Y150" s="127">
        <f t="shared" si="32"/>
        <v>205151.02</v>
      </c>
      <c r="Z150" s="127">
        <f t="shared" si="33"/>
        <v>0</v>
      </c>
      <c r="AA150" s="127">
        <f t="shared" ref="AA150:AA224" si="35">ROUND(W150*Y150,2)</f>
        <v>7941395.9800000004</v>
      </c>
      <c r="AB150" s="33" t="s">
        <v>15</v>
      </c>
      <c r="AC150" s="325"/>
      <c r="AD150" s="263">
        <f t="shared" si="25"/>
        <v>205535.32</v>
      </c>
      <c r="AE150" s="263">
        <f t="shared" si="34"/>
        <v>7956272.2400000002</v>
      </c>
      <c r="AF150" s="263">
        <v>1.3</v>
      </c>
      <c r="AG150" s="263">
        <v>1.3</v>
      </c>
      <c r="AH150" s="68" t="str">
        <f t="shared" ref="AH150:AH223" si="36">IF(Y150&gt;AJ150,"超估","")</f>
        <v/>
      </c>
      <c r="AI150" s="194">
        <f>202264.52+2886.5</f>
        <v>205151.02</v>
      </c>
      <c r="AJ150" s="188">
        <v>205535.32</v>
      </c>
      <c r="AM150" s="195">
        <v>72641</v>
      </c>
      <c r="AO150" s="367"/>
      <c r="AP150" s="367"/>
      <c r="AQ150" s="367"/>
    </row>
    <row r="151" spans="1:43" s="69" customFormat="1" ht="33" x14ac:dyDescent="0.3">
      <c r="A151" s="130" t="s">
        <v>401</v>
      </c>
      <c r="B151" s="131" t="s">
        <v>402</v>
      </c>
      <c r="C151" s="132" t="s">
        <v>50</v>
      </c>
      <c r="D151" s="133">
        <v>320.89999999999998</v>
      </c>
      <c r="E151" s="75"/>
      <c r="F151" s="75"/>
      <c r="G151" s="75"/>
      <c r="H151" s="133">
        <v>351.33</v>
      </c>
      <c r="I151" s="75"/>
      <c r="J151" s="75">
        <v>1154.98</v>
      </c>
      <c r="K151" s="75">
        <v>405779.12</v>
      </c>
      <c r="L151" s="91" t="s">
        <v>403</v>
      </c>
      <c r="M151" s="73"/>
      <c r="N151" s="46">
        <v>349.89</v>
      </c>
      <c r="O151" s="46">
        <v>0</v>
      </c>
      <c r="P151" s="46">
        <v>404115.95</v>
      </c>
      <c r="Q151" s="98"/>
      <c r="R151" s="23" t="s">
        <v>1427</v>
      </c>
      <c r="S151" s="24" t="s">
        <v>402</v>
      </c>
      <c r="T151" s="25" t="s">
        <v>50</v>
      </c>
      <c r="U151" s="26">
        <v>320.89999999999998</v>
      </c>
      <c r="V151" s="26">
        <f t="shared" si="30"/>
        <v>351.33</v>
      </c>
      <c r="W151" s="26">
        <f t="shared" si="26"/>
        <v>1154.98</v>
      </c>
      <c r="X151" s="127">
        <f t="shared" si="31"/>
        <v>0</v>
      </c>
      <c r="Y151" s="127">
        <f t="shared" si="32"/>
        <v>349.89</v>
      </c>
      <c r="Z151" s="127">
        <f t="shared" si="33"/>
        <v>0</v>
      </c>
      <c r="AA151" s="127">
        <f t="shared" si="35"/>
        <v>404115.95</v>
      </c>
      <c r="AB151" s="33" t="s">
        <v>15</v>
      </c>
      <c r="AC151" s="325"/>
      <c r="AD151" s="263">
        <f t="shared" si="25"/>
        <v>351.33</v>
      </c>
      <c r="AE151" s="263">
        <f t="shared" si="34"/>
        <v>405779.12</v>
      </c>
      <c r="AF151" s="263">
        <v>1.3</v>
      </c>
      <c r="AG151" s="263">
        <v>1.3</v>
      </c>
      <c r="AH151" s="68" t="str">
        <f t="shared" si="36"/>
        <v/>
      </c>
      <c r="AI151" s="194">
        <v>349.89</v>
      </c>
      <c r="AJ151" s="188">
        <v>351.33</v>
      </c>
      <c r="AM151" s="195">
        <v>351.34</v>
      </c>
      <c r="AO151" s="367"/>
      <c r="AP151" s="367"/>
      <c r="AQ151" s="367"/>
    </row>
    <row r="152" spans="1:43" s="69" customFormat="1" ht="57.75" x14ac:dyDescent="0.3">
      <c r="A152" s="130" t="s">
        <v>404</v>
      </c>
      <c r="B152" s="131" t="s">
        <v>405</v>
      </c>
      <c r="C152" s="132" t="s">
        <v>50</v>
      </c>
      <c r="D152" s="133">
        <v>493.85</v>
      </c>
      <c r="E152" s="203"/>
      <c r="F152" s="203"/>
      <c r="G152" s="203"/>
      <c r="H152" s="133">
        <v>574.89</v>
      </c>
      <c r="I152" s="75"/>
      <c r="J152" s="75">
        <v>982.98</v>
      </c>
      <c r="K152" s="75">
        <v>565105.37</v>
      </c>
      <c r="L152" s="91" t="s">
        <v>406</v>
      </c>
      <c r="M152" s="73"/>
      <c r="N152" s="46">
        <v>570.15</v>
      </c>
      <c r="O152" s="46">
        <v>0</v>
      </c>
      <c r="P152" s="46">
        <v>560446.05000000005</v>
      </c>
      <c r="Q152" s="98"/>
      <c r="R152" s="23" t="s">
        <v>1428</v>
      </c>
      <c r="S152" s="24" t="s">
        <v>405</v>
      </c>
      <c r="T152" s="25" t="s">
        <v>50</v>
      </c>
      <c r="U152" s="26">
        <v>493.85</v>
      </c>
      <c r="V152" s="26">
        <f t="shared" si="30"/>
        <v>574.89</v>
      </c>
      <c r="W152" s="26">
        <f t="shared" si="26"/>
        <v>982.98</v>
      </c>
      <c r="X152" s="127">
        <f t="shared" si="31"/>
        <v>0</v>
      </c>
      <c r="Y152" s="127">
        <f t="shared" si="32"/>
        <v>570.15</v>
      </c>
      <c r="Z152" s="127">
        <f t="shared" si="33"/>
        <v>0</v>
      </c>
      <c r="AA152" s="127">
        <f t="shared" si="35"/>
        <v>560446.05000000005</v>
      </c>
      <c r="AB152" s="33" t="s">
        <v>15</v>
      </c>
      <c r="AC152" s="325"/>
      <c r="AD152" s="263">
        <f t="shared" si="25"/>
        <v>574.89</v>
      </c>
      <c r="AE152" s="263">
        <f t="shared" si="34"/>
        <v>565105.37</v>
      </c>
      <c r="AF152" s="263">
        <v>1.3</v>
      </c>
      <c r="AG152" s="263">
        <v>1.3</v>
      </c>
      <c r="AH152" s="68" t="str">
        <f t="shared" si="36"/>
        <v/>
      </c>
      <c r="AI152" s="192">
        <v>570.15</v>
      </c>
      <c r="AJ152" s="188">
        <v>574.89</v>
      </c>
      <c r="AM152" s="195">
        <v>574.89200000000017</v>
      </c>
      <c r="AO152" s="367"/>
      <c r="AP152" s="367"/>
      <c r="AQ152" s="367"/>
    </row>
    <row r="153" spans="1:43" s="69" customFormat="1" ht="41.25" x14ac:dyDescent="0.3">
      <c r="A153" s="130" t="s">
        <v>407</v>
      </c>
      <c r="B153" s="131" t="s">
        <v>408</v>
      </c>
      <c r="C153" s="132" t="s">
        <v>50</v>
      </c>
      <c r="D153" s="133">
        <v>126.48</v>
      </c>
      <c r="E153" s="203"/>
      <c r="F153" s="203"/>
      <c r="G153" s="203"/>
      <c r="H153" s="133">
        <v>138</v>
      </c>
      <c r="I153" s="75"/>
      <c r="J153" s="75">
        <v>804.79</v>
      </c>
      <c r="K153" s="75">
        <v>111061.02</v>
      </c>
      <c r="L153" s="91" t="s">
        <v>409</v>
      </c>
      <c r="M153" s="73"/>
      <c r="N153" s="46">
        <v>137.68</v>
      </c>
      <c r="O153" s="46">
        <v>9013.6500000000087</v>
      </c>
      <c r="P153" s="46">
        <v>110803.49</v>
      </c>
      <c r="Q153" s="98"/>
      <c r="R153" s="23" t="s">
        <v>1387</v>
      </c>
      <c r="S153" s="24" t="s">
        <v>408</v>
      </c>
      <c r="T153" s="25" t="s">
        <v>50</v>
      </c>
      <c r="U153" s="26">
        <v>126.48</v>
      </c>
      <c r="V153" s="26">
        <f t="shared" si="30"/>
        <v>138</v>
      </c>
      <c r="W153" s="26">
        <f t="shared" si="26"/>
        <v>804.79</v>
      </c>
      <c r="X153" s="128">
        <f t="shared" si="31"/>
        <v>0</v>
      </c>
      <c r="Y153" s="127">
        <f t="shared" si="32"/>
        <v>137.68</v>
      </c>
      <c r="Z153" s="127">
        <f t="shared" si="33"/>
        <v>0</v>
      </c>
      <c r="AA153" s="127">
        <f t="shared" si="35"/>
        <v>110803.49</v>
      </c>
      <c r="AB153" s="33" t="s">
        <v>15</v>
      </c>
      <c r="AC153" s="325"/>
      <c r="AD153" s="263">
        <f t="shared" si="25"/>
        <v>138</v>
      </c>
      <c r="AE153" s="263">
        <f t="shared" si="34"/>
        <v>111061.02</v>
      </c>
      <c r="AF153" s="263">
        <v>1.3</v>
      </c>
      <c r="AG153" s="263">
        <v>1.3</v>
      </c>
      <c r="AH153" s="68" t="str">
        <f t="shared" si="36"/>
        <v/>
      </c>
      <c r="AI153" s="192">
        <f>126.48+11.2</f>
        <v>137.68</v>
      </c>
      <c r="AJ153" s="188">
        <v>138</v>
      </c>
      <c r="AM153" s="195">
        <v>120</v>
      </c>
      <c r="AO153" s="367"/>
      <c r="AP153" s="367"/>
      <c r="AQ153" s="367"/>
    </row>
    <row r="154" spans="1:43" s="69" customFormat="1" ht="31.5" x14ac:dyDescent="0.3">
      <c r="A154" s="265" t="s">
        <v>410</v>
      </c>
      <c r="B154" s="131" t="s">
        <v>411</v>
      </c>
      <c r="C154" s="132" t="s">
        <v>412</v>
      </c>
      <c r="D154" s="133">
        <v>12205</v>
      </c>
      <c r="E154" s="75"/>
      <c r="F154" s="75"/>
      <c r="G154" s="75"/>
      <c r="H154" s="75"/>
      <c r="I154" s="75"/>
      <c r="J154" s="75">
        <v>75</v>
      </c>
      <c r="K154" s="75">
        <v>915375</v>
      </c>
      <c r="L154" s="91" t="s">
        <v>413</v>
      </c>
      <c r="M154" s="73"/>
      <c r="N154" s="46">
        <v>12132.8</v>
      </c>
      <c r="O154" s="46">
        <v>0</v>
      </c>
      <c r="P154" s="46">
        <v>909960</v>
      </c>
      <c r="Q154" s="98"/>
      <c r="R154" s="23" t="s">
        <v>1405</v>
      </c>
      <c r="S154" s="24" t="s">
        <v>411</v>
      </c>
      <c r="T154" s="25" t="s">
        <v>412</v>
      </c>
      <c r="U154" s="26">
        <v>12205</v>
      </c>
      <c r="V154" s="26">
        <f t="shared" si="30"/>
        <v>12205</v>
      </c>
      <c r="W154" s="26">
        <f t="shared" si="26"/>
        <v>75</v>
      </c>
      <c r="X154" s="127">
        <f t="shared" si="31"/>
        <v>0</v>
      </c>
      <c r="Y154" s="127">
        <f t="shared" si="32"/>
        <v>12132.8</v>
      </c>
      <c r="Z154" s="127">
        <f t="shared" si="33"/>
        <v>0</v>
      </c>
      <c r="AA154" s="127">
        <f t="shared" si="35"/>
        <v>909960</v>
      </c>
      <c r="AB154" s="33" t="s">
        <v>15</v>
      </c>
      <c r="AC154" s="325"/>
      <c r="AD154" s="263">
        <f t="shared" si="25"/>
        <v>12205</v>
      </c>
      <c r="AE154" s="263">
        <f t="shared" si="34"/>
        <v>915375</v>
      </c>
      <c r="AF154" s="263">
        <v>1.3</v>
      </c>
      <c r="AG154" s="263">
        <v>1.3</v>
      </c>
      <c r="AH154" s="68" t="str">
        <f t="shared" si="36"/>
        <v/>
      </c>
      <c r="AI154" s="194">
        <f>6752.2+4233.9+623+523.7</f>
        <v>12132.8</v>
      </c>
      <c r="AJ154" s="188">
        <v>12205</v>
      </c>
      <c r="AO154" s="367"/>
      <c r="AP154" s="367"/>
      <c r="AQ154" s="367"/>
    </row>
    <row r="155" spans="1:43" s="69" customFormat="1" ht="33" x14ac:dyDescent="0.3">
      <c r="A155" s="265" t="s">
        <v>414</v>
      </c>
      <c r="B155" s="131" t="s">
        <v>125</v>
      </c>
      <c r="C155" s="132" t="s">
        <v>110</v>
      </c>
      <c r="D155" s="133">
        <v>8317</v>
      </c>
      <c r="E155" s="75"/>
      <c r="F155" s="75"/>
      <c r="G155" s="75"/>
      <c r="H155" s="75"/>
      <c r="I155" s="75"/>
      <c r="J155" s="75">
        <v>60</v>
      </c>
      <c r="K155" s="75">
        <v>499020</v>
      </c>
      <c r="L155" s="91" t="s">
        <v>126</v>
      </c>
      <c r="M155" s="73"/>
      <c r="N155" s="46">
        <v>8292.2000000000007</v>
      </c>
      <c r="O155" s="46">
        <v>0</v>
      </c>
      <c r="P155" s="46">
        <v>497532</v>
      </c>
      <c r="Q155" s="98"/>
      <c r="R155" s="23" t="s">
        <v>1406</v>
      </c>
      <c r="S155" s="24" t="s">
        <v>125</v>
      </c>
      <c r="T155" s="25" t="s">
        <v>110</v>
      </c>
      <c r="U155" s="26">
        <v>8317</v>
      </c>
      <c r="V155" s="26">
        <f t="shared" si="30"/>
        <v>8317</v>
      </c>
      <c r="W155" s="26">
        <f t="shared" si="26"/>
        <v>60</v>
      </c>
      <c r="X155" s="127">
        <f t="shared" si="31"/>
        <v>0</v>
      </c>
      <c r="Y155" s="127">
        <f t="shared" si="32"/>
        <v>8292.2000000000007</v>
      </c>
      <c r="Z155" s="127">
        <f t="shared" si="33"/>
        <v>0</v>
      </c>
      <c r="AA155" s="127">
        <f t="shared" si="35"/>
        <v>497532</v>
      </c>
      <c r="AB155" s="33" t="s">
        <v>15</v>
      </c>
      <c r="AC155" s="325"/>
      <c r="AD155" s="263">
        <f t="shared" si="25"/>
        <v>8317</v>
      </c>
      <c r="AE155" s="263">
        <f t="shared" si="34"/>
        <v>499020</v>
      </c>
      <c r="AF155" s="263">
        <v>1.3</v>
      </c>
      <c r="AG155" s="263">
        <v>1.3</v>
      </c>
      <c r="AH155" s="68" t="str">
        <f t="shared" si="36"/>
        <v/>
      </c>
      <c r="AI155" s="194">
        <f>5520+2390.2+382</f>
        <v>8292.2000000000007</v>
      </c>
      <c r="AJ155" s="188">
        <v>8317</v>
      </c>
      <c r="AO155" s="367"/>
      <c r="AP155" s="367"/>
      <c r="AQ155" s="367"/>
    </row>
    <row r="156" spans="1:43" s="69" customFormat="1" ht="58.5" x14ac:dyDescent="0.3">
      <c r="A156" s="265" t="s">
        <v>415</v>
      </c>
      <c r="B156" s="131" t="s">
        <v>3147</v>
      </c>
      <c r="C156" s="132" t="s">
        <v>110</v>
      </c>
      <c r="D156" s="133">
        <v>8317</v>
      </c>
      <c r="E156" s="75"/>
      <c r="F156" s="75"/>
      <c r="G156" s="75"/>
      <c r="H156" s="75"/>
      <c r="I156" s="75"/>
      <c r="J156" s="75">
        <v>31.9</v>
      </c>
      <c r="K156" s="75">
        <v>265312.3</v>
      </c>
      <c r="L156" s="91" t="s">
        <v>3148</v>
      </c>
      <c r="M156" s="73"/>
      <c r="N156" s="46">
        <v>8292.2000000000007</v>
      </c>
      <c r="O156" s="46">
        <v>0</v>
      </c>
      <c r="P156" s="46">
        <v>264521.18</v>
      </c>
      <c r="Q156" s="98"/>
      <c r="R156" s="23" t="s">
        <v>1414</v>
      </c>
      <c r="S156" s="24" t="s">
        <v>128</v>
      </c>
      <c r="T156" s="25" t="s">
        <v>110</v>
      </c>
      <c r="U156" s="26">
        <v>8317</v>
      </c>
      <c r="V156" s="26">
        <f t="shared" si="30"/>
        <v>8317</v>
      </c>
      <c r="W156" s="26">
        <f t="shared" si="26"/>
        <v>31.9</v>
      </c>
      <c r="X156" s="127">
        <f t="shared" si="31"/>
        <v>0</v>
      </c>
      <c r="Y156" s="127">
        <f t="shared" si="32"/>
        <v>8292.2000000000007</v>
      </c>
      <c r="Z156" s="127">
        <f t="shared" si="33"/>
        <v>0</v>
      </c>
      <c r="AA156" s="127">
        <f t="shared" si="35"/>
        <v>264521.18</v>
      </c>
      <c r="AB156" s="33" t="s">
        <v>15</v>
      </c>
      <c r="AC156" s="325"/>
      <c r="AD156" s="263">
        <f t="shared" si="25"/>
        <v>8317</v>
      </c>
      <c r="AE156" s="263">
        <f t="shared" si="34"/>
        <v>265312.3</v>
      </c>
      <c r="AF156" s="263">
        <v>1.3</v>
      </c>
      <c r="AG156" s="263">
        <v>1.3</v>
      </c>
      <c r="AH156" s="68" t="str">
        <f t="shared" si="36"/>
        <v/>
      </c>
      <c r="AI156" s="194">
        <f>AI155</f>
        <v>8292.2000000000007</v>
      </c>
      <c r="AJ156" s="188">
        <v>8317</v>
      </c>
      <c r="AO156" s="367"/>
      <c r="AP156" s="367"/>
      <c r="AQ156" s="367"/>
    </row>
    <row r="157" spans="1:43" s="69" customFormat="1" ht="58.5" x14ac:dyDescent="0.3">
      <c r="A157" s="265" t="s">
        <v>416</v>
      </c>
      <c r="B157" s="131" t="s">
        <v>417</v>
      </c>
      <c r="C157" s="132" t="s">
        <v>110</v>
      </c>
      <c r="D157" s="133">
        <v>1087</v>
      </c>
      <c r="E157" s="75"/>
      <c r="F157" s="75"/>
      <c r="G157" s="75"/>
      <c r="H157" s="75"/>
      <c r="I157" s="75"/>
      <c r="J157" s="75">
        <v>278.10000000000002</v>
      </c>
      <c r="K157" s="75">
        <v>302294.7</v>
      </c>
      <c r="L157" s="91" t="s">
        <v>418</v>
      </c>
      <c r="M157" s="73"/>
      <c r="N157" s="46">
        <v>1059.8</v>
      </c>
      <c r="O157" s="46">
        <v>0</v>
      </c>
      <c r="P157" s="46">
        <v>294730.38</v>
      </c>
      <c r="Q157" s="98"/>
      <c r="R157" s="23" t="s">
        <v>1429</v>
      </c>
      <c r="S157" s="24" t="s">
        <v>417</v>
      </c>
      <c r="T157" s="25" t="s">
        <v>110</v>
      </c>
      <c r="U157" s="26">
        <v>1087</v>
      </c>
      <c r="V157" s="26">
        <f t="shared" si="30"/>
        <v>1087</v>
      </c>
      <c r="W157" s="26">
        <f t="shared" si="26"/>
        <v>278.10000000000002</v>
      </c>
      <c r="X157" s="127">
        <f t="shared" si="31"/>
        <v>0</v>
      </c>
      <c r="Y157" s="127">
        <f t="shared" si="32"/>
        <v>1059.8</v>
      </c>
      <c r="Z157" s="127">
        <f t="shared" si="33"/>
        <v>0</v>
      </c>
      <c r="AA157" s="127">
        <f t="shared" si="35"/>
        <v>294730.38</v>
      </c>
      <c r="AB157" s="33" t="s">
        <v>15</v>
      </c>
      <c r="AC157" s="325"/>
      <c r="AD157" s="263">
        <f t="shared" si="25"/>
        <v>1087</v>
      </c>
      <c r="AE157" s="263">
        <f t="shared" si="34"/>
        <v>302294.7</v>
      </c>
      <c r="AF157" s="263">
        <v>1.3</v>
      </c>
      <c r="AG157" s="263">
        <v>1.3</v>
      </c>
      <c r="AH157" s="68" t="str">
        <f t="shared" si="36"/>
        <v/>
      </c>
      <c r="AI157" s="194">
        <f>526.1+533.7</f>
        <v>1059.8000000000002</v>
      </c>
      <c r="AJ157" s="188">
        <v>1087</v>
      </c>
      <c r="AO157" s="367"/>
      <c r="AP157" s="367"/>
      <c r="AQ157" s="367"/>
    </row>
    <row r="158" spans="1:43" s="69" customFormat="1" ht="78" x14ac:dyDescent="0.3">
      <c r="A158" s="265" t="s">
        <v>419</v>
      </c>
      <c r="B158" s="131" t="s">
        <v>420</v>
      </c>
      <c r="C158" s="132" t="s">
        <v>50</v>
      </c>
      <c r="D158" s="133">
        <v>172</v>
      </c>
      <c r="E158" s="75"/>
      <c r="F158" s="75"/>
      <c r="G158" s="75"/>
      <c r="H158" s="75"/>
      <c r="I158" s="75"/>
      <c r="J158" s="75">
        <v>1400</v>
      </c>
      <c r="K158" s="75">
        <v>240800</v>
      </c>
      <c r="L158" s="91" t="s">
        <v>421</v>
      </c>
      <c r="M158" s="73"/>
      <c r="N158" s="46">
        <v>171.4</v>
      </c>
      <c r="O158" s="46">
        <v>0</v>
      </c>
      <c r="P158" s="46">
        <v>239960</v>
      </c>
      <c r="Q158" s="98"/>
      <c r="R158" s="23" t="s">
        <v>1430</v>
      </c>
      <c r="S158" s="24" t="s">
        <v>420</v>
      </c>
      <c r="T158" s="25" t="s">
        <v>50</v>
      </c>
      <c r="U158" s="26">
        <v>172</v>
      </c>
      <c r="V158" s="26">
        <f t="shared" si="30"/>
        <v>172</v>
      </c>
      <c r="W158" s="26">
        <f t="shared" si="26"/>
        <v>1400</v>
      </c>
      <c r="X158" s="127">
        <f t="shared" si="31"/>
        <v>0</v>
      </c>
      <c r="Y158" s="127">
        <f t="shared" si="32"/>
        <v>171.4</v>
      </c>
      <c r="Z158" s="127">
        <f t="shared" si="33"/>
        <v>0</v>
      </c>
      <c r="AA158" s="127">
        <f t="shared" si="35"/>
        <v>239960</v>
      </c>
      <c r="AB158" s="33" t="s">
        <v>15</v>
      </c>
      <c r="AC158" s="325"/>
      <c r="AD158" s="263">
        <f t="shared" si="25"/>
        <v>172</v>
      </c>
      <c r="AE158" s="263">
        <f t="shared" si="34"/>
        <v>240800</v>
      </c>
      <c r="AF158" s="263">
        <v>1.3</v>
      </c>
      <c r="AG158" s="263">
        <v>1.3</v>
      </c>
      <c r="AH158" s="68" t="str">
        <f t="shared" si="36"/>
        <v/>
      </c>
      <c r="AI158" s="194">
        <f>69.6+101.8</f>
        <v>171.39999999999998</v>
      </c>
      <c r="AJ158" s="188">
        <v>172</v>
      </c>
      <c r="AO158" s="367"/>
      <c r="AP158" s="367"/>
      <c r="AQ158" s="367"/>
    </row>
    <row r="159" spans="1:43" s="69" customFormat="1" ht="156" x14ac:dyDescent="0.3">
      <c r="A159" s="130" t="s">
        <v>422</v>
      </c>
      <c r="B159" s="131" t="s">
        <v>3070</v>
      </c>
      <c r="C159" s="132" t="s">
        <v>110</v>
      </c>
      <c r="D159" s="133">
        <v>150400</v>
      </c>
      <c r="E159" s="75"/>
      <c r="F159" s="75"/>
      <c r="G159" s="75"/>
      <c r="H159" s="133">
        <v>154935.98000000001</v>
      </c>
      <c r="I159" s="75"/>
      <c r="J159" s="75">
        <v>107.31</v>
      </c>
      <c r="K159" s="75">
        <v>16626180.01</v>
      </c>
      <c r="L159" s="91" t="s">
        <v>132</v>
      </c>
      <c r="M159" s="73"/>
      <c r="N159" s="46">
        <v>154922.68</v>
      </c>
      <c r="O159" s="46">
        <v>40305.639999998733</v>
      </c>
      <c r="P159" s="46">
        <v>16624752.789999999</v>
      </c>
      <c r="Q159" s="98"/>
      <c r="R159" s="23" t="s">
        <v>1431</v>
      </c>
      <c r="S159" s="24" t="s">
        <v>131</v>
      </c>
      <c r="T159" s="25" t="s">
        <v>110</v>
      </c>
      <c r="U159" s="26">
        <v>150400</v>
      </c>
      <c r="V159" s="26">
        <f t="shared" si="30"/>
        <v>154935.98000000001</v>
      </c>
      <c r="W159" s="26">
        <f t="shared" si="26"/>
        <v>107.31</v>
      </c>
      <c r="X159" s="128">
        <f t="shared" si="31"/>
        <v>0</v>
      </c>
      <c r="Y159" s="127">
        <f t="shared" si="32"/>
        <v>154922.68</v>
      </c>
      <c r="Z159" s="127">
        <f t="shared" si="33"/>
        <v>0</v>
      </c>
      <c r="AA159" s="127">
        <f t="shared" si="35"/>
        <v>16624752.789999999</v>
      </c>
      <c r="AB159" s="33" t="s">
        <v>15</v>
      </c>
      <c r="AC159" s="325"/>
      <c r="AD159" s="263">
        <f t="shared" si="25"/>
        <v>154935.98000000001</v>
      </c>
      <c r="AE159" s="263">
        <f t="shared" si="34"/>
        <v>16626180.01</v>
      </c>
      <c r="AF159" s="263">
        <v>1.3</v>
      </c>
      <c r="AG159" s="263">
        <v>1.3</v>
      </c>
      <c r="AH159" s="68" t="str">
        <f t="shared" si="36"/>
        <v/>
      </c>
      <c r="AI159" s="194">
        <f>150350.58+4196.5+375.6</f>
        <v>154922.68</v>
      </c>
      <c r="AJ159" s="188">
        <v>154935.98000000001</v>
      </c>
      <c r="AO159" s="367"/>
      <c r="AP159" s="367"/>
      <c r="AQ159" s="367"/>
    </row>
    <row r="160" spans="1:43" s="69" customFormat="1" ht="58.5" x14ac:dyDescent="0.3">
      <c r="A160" s="130" t="s">
        <v>423</v>
      </c>
      <c r="B160" s="131" t="s">
        <v>424</v>
      </c>
      <c r="C160" s="132" t="s">
        <v>50</v>
      </c>
      <c r="D160" s="133">
        <v>1140.1600000000001</v>
      </c>
      <c r="E160" s="75"/>
      <c r="F160" s="75"/>
      <c r="G160" s="75"/>
      <c r="H160" s="75"/>
      <c r="I160" s="343">
        <v>1270.02</v>
      </c>
      <c r="J160" s="75">
        <v>692.16</v>
      </c>
      <c r="K160" s="75">
        <v>879057.04</v>
      </c>
      <c r="L160" s="91" t="s">
        <v>425</v>
      </c>
      <c r="M160" s="73"/>
      <c r="N160" s="46">
        <v>1270</v>
      </c>
      <c r="O160" s="46">
        <v>90257.659999999916</v>
      </c>
      <c r="P160" s="46">
        <v>879043.2</v>
      </c>
      <c r="Q160" s="98"/>
      <c r="R160" s="23" t="s">
        <v>1395</v>
      </c>
      <c r="S160" s="24" t="s">
        <v>424</v>
      </c>
      <c r="T160" s="25" t="s">
        <v>50</v>
      </c>
      <c r="U160" s="26">
        <v>1140.1600000000001</v>
      </c>
      <c r="V160" s="26">
        <f t="shared" si="30"/>
        <v>1270.02</v>
      </c>
      <c r="W160" s="26">
        <f t="shared" si="26"/>
        <v>692.16</v>
      </c>
      <c r="X160" s="128">
        <f t="shared" si="31"/>
        <v>0</v>
      </c>
      <c r="Y160" s="127">
        <f t="shared" si="32"/>
        <v>1270</v>
      </c>
      <c r="Z160" s="127">
        <f t="shared" si="33"/>
        <v>0</v>
      </c>
      <c r="AA160" s="127">
        <f t="shared" si="35"/>
        <v>879043.2</v>
      </c>
      <c r="AB160" s="33" t="s">
        <v>15</v>
      </c>
      <c r="AC160" s="325"/>
      <c r="AD160" s="263">
        <f t="shared" si="25"/>
        <v>1270.02</v>
      </c>
      <c r="AE160" s="263">
        <f t="shared" si="34"/>
        <v>879057.04</v>
      </c>
      <c r="AF160" s="263">
        <v>1.3</v>
      </c>
      <c r="AG160" s="263">
        <v>1.3</v>
      </c>
      <c r="AH160" s="68" t="str">
        <f t="shared" si="36"/>
        <v/>
      </c>
      <c r="AI160" s="194">
        <f>1139.6+130.4</f>
        <v>1270</v>
      </c>
      <c r="AJ160" s="190">
        <v>1270.02</v>
      </c>
      <c r="AO160" s="367"/>
      <c r="AP160" s="367"/>
      <c r="AQ160" s="367"/>
    </row>
    <row r="161" spans="1:43" s="69" customFormat="1" ht="78" x14ac:dyDescent="0.3">
      <c r="A161" s="130" t="s">
        <v>426</v>
      </c>
      <c r="B161" s="131" t="s">
        <v>33</v>
      </c>
      <c r="C161" s="132" t="s">
        <v>34</v>
      </c>
      <c r="D161" s="133">
        <v>527.59</v>
      </c>
      <c r="E161" s="203"/>
      <c r="F161" s="203"/>
      <c r="G161" s="203"/>
      <c r="H161" s="203"/>
      <c r="I161" s="203"/>
      <c r="J161" s="75">
        <v>48.28</v>
      </c>
      <c r="K161" s="75">
        <v>25472.05</v>
      </c>
      <c r="L161" s="91" t="s">
        <v>35</v>
      </c>
      <c r="M161" s="73"/>
      <c r="N161" s="46">
        <v>527.59</v>
      </c>
      <c r="O161" s="46">
        <v>0</v>
      </c>
      <c r="P161" s="46">
        <v>25472.05</v>
      </c>
      <c r="Q161" s="98"/>
      <c r="R161" s="23" t="s">
        <v>1432</v>
      </c>
      <c r="S161" s="24" t="s">
        <v>33</v>
      </c>
      <c r="T161" s="25" t="s">
        <v>34</v>
      </c>
      <c r="U161" s="26">
        <v>527.59</v>
      </c>
      <c r="V161" s="26">
        <f t="shared" si="30"/>
        <v>527.59</v>
      </c>
      <c r="W161" s="26">
        <f t="shared" si="26"/>
        <v>48.28</v>
      </c>
      <c r="X161" s="127">
        <f t="shared" si="31"/>
        <v>0</v>
      </c>
      <c r="Y161" s="127">
        <f t="shared" si="32"/>
        <v>527.59</v>
      </c>
      <c r="Z161" s="127">
        <f t="shared" si="33"/>
        <v>0</v>
      </c>
      <c r="AA161" s="127">
        <f t="shared" si="35"/>
        <v>25472.05</v>
      </c>
      <c r="AB161" s="33" t="s">
        <v>15</v>
      </c>
      <c r="AC161" s="324"/>
      <c r="AD161" s="181">
        <f t="shared" si="25"/>
        <v>527.59</v>
      </c>
      <c r="AE161" s="181">
        <f t="shared" si="34"/>
        <v>25472.05</v>
      </c>
      <c r="AF161" s="181">
        <v>1.3</v>
      </c>
      <c r="AG161" s="181">
        <v>1.3</v>
      </c>
      <c r="AH161" s="363" t="str">
        <f t="shared" si="36"/>
        <v/>
      </c>
      <c r="AI161" s="192">
        <v>527.59</v>
      </c>
      <c r="AJ161" s="188">
        <v>527.59</v>
      </c>
      <c r="AO161" s="367"/>
      <c r="AP161" s="367"/>
      <c r="AQ161" s="367"/>
    </row>
    <row r="162" spans="1:43" s="69" customFormat="1" ht="78" x14ac:dyDescent="0.3">
      <c r="A162" s="130" t="s">
        <v>427</v>
      </c>
      <c r="B162" s="131" t="s">
        <v>428</v>
      </c>
      <c r="C162" s="132" t="s">
        <v>34</v>
      </c>
      <c r="D162" s="133">
        <v>355.42</v>
      </c>
      <c r="E162" s="203"/>
      <c r="F162" s="203"/>
      <c r="G162" s="203"/>
      <c r="H162" s="203"/>
      <c r="I162" s="343">
        <v>0</v>
      </c>
      <c r="J162" s="75">
        <v>721.06</v>
      </c>
      <c r="K162" s="75">
        <v>0</v>
      </c>
      <c r="L162" s="91" t="s">
        <v>429</v>
      </c>
      <c r="M162" s="73"/>
      <c r="N162" s="46">
        <v>0</v>
      </c>
      <c r="O162" s="46">
        <v>0</v>
      </c>
      <c r="P162" s="46">
        <v>0</v>
      </c>
      <c r="Q162" s="98"/>
      <c r="R162" s="23" t="s">
        <v>1433</v>
      </c>
      <c r="S162" s="24" t="s">
        <v>428</v>
      </c>
      <c r="T162" s="25" t="s">
        <v>34</v>
      </c>
      <c r="U162" s="26">
        <v>355.42</v>
      </c>
      <c r="V162" s="26">
        <v>0</v>
      </c>
      <c r="W162" s="26">
        <f t="shared" si="26"/>
        <v>721.06</v>
      </c>
      <c r="X162" s="127">
        <f t="shared" si="31"/>
        <v>0</v>
      </c>
      <c r="Y162" s="127">
        <f t="shared" si="32"/>
        <v>0</v>
      </c>
      <c r="Z162" s="127">
        <f t="shared" si="33"/>
        <v>0</v>
      </c>
      <c r="AA162" s="127">
        <f t="shared" si="35"/>
        <v>0</v>
      </c>
      <c r="AB162" s="33" t="s">
        <v>15</v>
      </c>
      <c r="AC162" s="324"/>
      <c r="AD162" s="181">
        <v>0</v>
      </c>
      <c r="AE162" s="181">
        <f t="shared" si="34"/>
        <v>0</v>
      </c>
      <c r="AF162" s="181">
        <v>1.3</v>
      </c>
      <c r="AG162" s="181">
        <v>1.3</v>
      </c>
      <c r="AH162" s="363" t="str">
        <f t="shared" si="36"/>
        <v/>
      </c>
      <c r="AI162" s="192">
        <v>0</v>
      </c>
      <c r="AJ162" s="188">
        <v>0</v>
      </c>
      <c r="AO162" s="367"/>
      <c r="AP162" s="367"/>
      <c r="AQ162" s="367"/>
    </row>
    <row r="163" spans="1:43" s="69" customFormat="1" x14ac:dyDescent="0.3">
      <c r="A163" s="55" t="s">
        <v>430</v>
      </c>
      <c r="B163" s="53" t="s">
        <v>431</v>
      </c>
      <c r="C163" s="202" t="s">
        <v>50</v>
      </c>
      <c r="D163" s="203">
        <v>272</v>
      </c>
      <c r="E163" s="203"/>
      <c r="F163" s="203">
        <v>32675</v>
      </c>
      <c r="G163" s="203"/>
      <c r="H163" s="203"/>
      <c r="I163" s="203"/>
      <c r="J163" s="75">
        <v>28</v>
      </c>
      <c r="K163" s="75">
        <v>914900</v>
      </c>
      <c r="L163" s="91" t="s">
        <v>432</v>
      </c>
      <c r="M163" s="73"/>
      <c r="N163" s="46">
        <v>31219</v>
      </c>
      <c r="O163" s="46">
        <v>54740</v>
      </c>
      <c r="P163" s="46">
        <v>874132</v>
      </c>
      <c r="Q163" s="98"/>
      <c r="R163" s="23" t="s">
        <v>1382</v>
      </c>
      <c r="S163" s="24" t="s">
        <v>431</v>
      </c>
      <c r="T163" s="25" t="s">
        <v>50</v>
      </c>
      <c r="U163" s="26">
        <v>272</v>
      </c>
      <c r="V163" s="26">
        <f t="shared" si="30"/>
        <v>32675</v>
      </c>
      <c r="W163" s="26">
        <f t="shared" si="26"/>
        <v>28</v>
      </c>
      <c r="X163" s="128">
        <f t="shared" si="31"/>
        <v>0</v>
      </c>
      <c r="Y163" s="26">
        <f t="shared" si="32"/>
        <v>31219</v>
      </c>
      <c r="Z163" s="26">
        <f t="shared" si="33"/>
        <v>0</v>
      </c>
      <c r="AA163" s="26">
        <f t="shared" si="35"/>
        <v>874132</v>
      </c>
      <c r="AB163" s="27" t="s">
        <v>15</v>
      </c>
      <c r="AC163" s="324"/>
      <c r="AD163" s="181">
        <f t="shared" si="25"/>
        <v>32675</v>
      </c>
      <c r="AE163" s="181">
        <f t="shared" si="34"/>
        <v>914900</v>
      </c>
      <c r="AF163" s="181">
        <v>1.3</v>
      </c>
      <c r="AG163" s="181">
        <v>1.3</v>
      </c>
      <c r="AH163" s="363" t="str">
        <f t="shared" si="36"/>
        <v/>
      </c>
      <c r="AI163" s="194">
        <f>22573+928+1928+1980+1855+1955</f>
        <v>31219</v>
      </c>
      <c r="AJ163" s="188">
        <v>32675</v>
      </c>
      <c r="AO163" s="367"/>
      <c r="AP163" s="367"/>
      <c r="AQ163" s="367"/>
    </row>
    <row r="164" spans="1:43" s="69" customFormat="1" ht="58.5" x14ac:dyDescent="0.3">
      <c r="A164" s="130" t="s">
        <v>433</v>
      </c>
      <c r="B164" s="131" t="s">
        <v>434</v>
      </c>
      <c r="C164" s="132" t="s">
        <v>30</v>
      </c>
      <c r="D164" s="133">
        <v>744</v>
      </c>
      <c r="E164" s="203"/>
      <c r="F164" s="203"/>
      <c r="G164" s="203"/>
      <c r="H164" s="203"/>
      <c r="I164" s="203"/>
      <c r="J164" s="75">
        <v>19012.060000000001</v>
      </c>
      <c r="K164" s="75">
        <v>14144972.640000001</v>
      </c>
      <c r="L164" s="91" t="s">
        <v>435</v>
      </c>
      <c r="M164" s="73"/>
      <c r="N164" s="46">
        <v>744</v>
      </c>
      <c r="O164" s="46">
        <v>0</v>
      </c>
      <c r="P164" s="46">
        <v>14144972.640000001</v>
      </c>
      <c r="Q164" s="98"/>
      <c r="R164" s="23" t="s">
        <v>1434</v>
      </c>
      <c r="S164" s="24" t="s">
        <v>434</v>
      </c>
      <c r="T164" s="25" t="s">
        <v>30</v>
      </c>
      <c r="U164" s="26">
        <v>744</v>
      </c>
      <c r="V164" s="26">
        <f t="shared" si="30"/>
        <v>744</v>
      </c>
      <c r="W164" s="26">
        <f t="shared" si="26"/>
        <v>19012.060000000001</v>
      </c>
      <c r="X164" s="127">
        <f t="shared" si="31"/>
        <v>0</v>
      </c>
      <c r="Y164" s="127">
        <f t="shared" si="32"/>
        <v>744</v>
      </c>
      <c r="Z164" s="127">
        <f t="shared" si="33"/>
        <v>0</v>
      </c>
      <c r="AA164" s="127">
        <f t="shared" si="35"/>
        <v>14144972.640000001</v>
      </c>
      <c r="AB164" s="33" t="s">
        <v>15</v>
      </c>
      <c r="AC164" s="324"/>
      <c r="AD164" s="181">
        <f t="shared" si="25"/>
        <v>744</v>
      </c>
      <c r="AE164" s="181">
        <f t="shared" si="34"/>
        <v>14144972.640000001</v>
      </c>
      <c r="AF164" s="181">
        <v>1.3</v>
      </c>
      <c r="AG164" s="181">
        <v>1.3</v>
      </c>
      <c r="AH164" s="363" t="str">
        <f t="shared" si="36"/>
        <v/>
      </c>
      <c r="AI164" s="192">
        <v>744</v>
      </c>
      <c r="AJ164" s="188">
        <v>744</v>
      </c>
      <c r="AO164" s="367"/>
      <c r="AP164" s="367"/>
      <c r="AQ164" s="367"/>
    </row>
    <row r="165" spans="1:43" s="69" customFormat="1" ht="39" x14ac:dyDescent="0.3">
      <c r="A165" s="55" t="s">
        <v>436</v>
      </c>
      <c r="B165" s="53" t="s">
        <v>437</v>
      </c>
      <c r="C165" s="54" t="s">
        <v>50</v>
      </c>
      <c r="D165" s="75">
        <v>136</v>
      </c>
      <c r="E165" s="75"/>
      <c r="F165" s="75"/>
      <c r="G165" s="75"/>
      <c r="H165" s="75"/>
      <c r="I165" s="75"/>
      <c r="J165" s="75">
        <v>373.1</v>
      </c>
      <c r="K165" s="75">
        <v>50741.599999999999</v>
      </c>
      <c r="L165" s="91" t="s">
        <v>438</v>
      </c>
      <c r="M165" s="73"/>
      <c r="N165" s="46">
        <v>112</v>
      </c>
      <c r="O165" s="46">
        <v>0</v>
      </c>
      <c r="P165" s="46">
        <v>41787.199999999997</v>
      </c>
      <c r="Q165" s="98"/>
      <c r="R165" s="23" t="s">
        <v>1388</v>
      </c>
      <c r="S165" s="24" t="s">
        <v>437</v>
      </c>
      <c r="T165" s="25" t="s">
        <v>50</v>
      </c>
      <c r="U165" s="26">
        <v>136</v>
      </c>
      <c r="V165" s="26">
        <f t="shared" si="30"/>
        <v>136</v>
      </c>
      <c r="W165" s="26">
        <f t="shared" si="26"/>
        <v>373.1</v>
      </c>
      <c r="X165" s="128">
        <f t="shared" si="31"/>
        <v>0</v>
      </c>
      <c r="Y165" s="26">
        <f t="shared" si="32"/>
        <v>112</v>
      </c>
      <c r="Z165" s="26">
        <f t="shared" si="33"/>
        <v>0</v>
      </c>
      <c r="AA165" s="26">
        <f t="shared" si="35"/>
        <v>41787.199999999997</v>
      </c>
      <c r="AB165" s="33" t="s">
        <v>15</v>
      </c>
      <c r="AC165" s="325"/>
      <c r="AD165" s="263">
        <f t="shared" si="25"/>
        <v>136</v>
      </c>
      <c r="AE165" s="263">
        <f t="shared" si="34"/>
        <v>50741.599999999999</v>
      </c>
      <c r="AF165" s="263">
        <v>1.3</v>
      </c>
      <c r="AG165" s="263">
        <v>1.3</v>
      </c>
      <c r="AH165" s="68" t="str">
        <f t="shared" si="36"/>
        <v/>
      </c>
      <c r="AI165" s="194">
        <v>112</v>
      </c>
      <c r="AJ165" s="188">
        <v>136</v>
      </c>
      <c r="AO165" s="367"/>
      <c r="AP165" s="367"/>
      <c r="AQ165" s="367"/>
    </row>
    <row r="166" spans="1:43" s="69" customFormat="1" ht="58.5" x14ac:dyDescent="0.3">
      <c r="A166" s="130" t="s">
        <v>439</v>
      </c>
      <c r="B166" s="131" t="s">
        <v>440</v>
      </c>
      <c r="C166" s="132" t="s">
        <v>50</v>
      </c>
      <c r="D166" s="133">
        <v>136</v>
      </c>
      <c r="E166" s="75"/>
      <c r="F166" s="75"/>
      <c r="G166" s="75"/>
      <c r="H166" s="75"/>
      <c r="I166" s="75"/>
      <c r="J166" s="75">
        <v>616.53</v>
      </c>
      <c r="K166" s="75">
        <v>83848.08</v>
      </c>
      <c r="L166" s="91" t="s">
        <v>441</v>
      </c>
      <c r="M166" s="73"/>
      <c r="N166" s="46">
        <v>122.8</v>
      </c>
      <c r="O166" s="46">
        <v>0</v>
      </c>
      <c r="P166" s="46">
        <v>75709.88</v>
      </c>
      <c r="Q166" s="98"/>
      <c r="R166" s="23" t="s">
        <v>1389</v>
      </c>
      <c r="S166" s="24" t="s">
        <v>440</v>
      </c>
      <c r="T166" s="25" t="s">
        <v>50</v>
      </c>
      <c r="U166" s="26">
        <v>136</v>
      </c>
      <c r="V166" s="26">
        <f t="shared" si="30"/>
        <v>136</v>
      </c>
      <c r="W166" s="26">
        <f t="shared" si="26"/>
        <v>616.53</v>
      </c>
      <c r="X166" s="128">
        <f t="shared" si="31"/>
        <v>0</v>
      </c>
      <c r="Y166" s="127">
        <f t="shared" si="32"/>
        <v>122.8</v>
      </c>
      <c r="Z166" s="127">
        <f t="shared" si="33"/>
        <v>0</v>
      </c>
      <c r="AA166" s="127">
        <f t="shared" si="35"/>
        <v>75709.88</v>
      </c>
      <c r="AB166" s="33" t="s">
        <v>15</v>
      </c>
      <c r="AC166" s="325"/>
      <c r="AD166" s="263">
        <f t="shared" si="25"/>
        <v>136</v>
      </c>
      <c r="AE166" s="263">
        <f t="shared" si="34"/>
        <v>83848.08</v>
      </c>
      <c r="AF166" s="263">
        <v>1.3</v>
      </c>
      <c r="AG166" s="263">
        <v>1.3</v>
      </c>
      <c r="AH166" s="68" t="str">
        <f t="shared" si="36"/>
        <v/>
      </c>
      <c r="AI166" s="194">
        <f>122.8</f>
        <v>122.8</v>
      </c>
      <c r="AJ166" s="188">
        <v>136</v>
      </c>
      <c r="AO166" s="367"/>
      <c r="AP166" s="367"/>
      <c r="AQ166" s="367"/>
    </row>
    <row r="167" spans="1:43" s="69" customFormat="1" ht="39" x14ac:dyDescent="0.3">
      <c r="A167" s="55" t="s">
        <v>442</v>
      </c>
      <c r="B167" s="53" t="s">
        <v>443</v>
      </c>
      <c r="C167" s="54" t="s">
        <v>50</v>
      </c>
      <c r="D167" s="75">
        <v>3.6</v>
      </c>
      <c r="E167" s="75"/>
      <c r="F167" s="75"/>
      <c r="G167" s="75"/>
      <c r="H167" s="75"/>
      <c r="I167" s="75"/>
      <c r="J167" s="75">
        <v>2664.06</v>
      </c>
      <c r="K167" s="75">
        <v>9590.6200000000008</v>
      </c>
      <c r="L167" s="91" t="s">
        <v>444</v>
      </c>
      <c r="M167" s="73"/>
      <c r="N167" s="46">
        <v>0</v>
      </c>
      <c r="O167" s="46">
        <v>0</v>
      </c>
      <c r="P167" s="46">
        <v>0</v>
      </c>
      <c r="Q167" s="98"/>
      <c r="R167" s="23" t="s">
        <v>1390</v>
      </c>
      <c r="S167" s="24" t="s">
        <v>443</v>
      </c>
      <c r="T167" s="25" t="s">
        <v>50</v>
      </c>
      <c r="U167" s="26">
        <v>3.6</v>
      </c>
      <c r="V167" s="26">
        <f t="shared" si="30"/>
        <v>3.6</v>
      </c>
      <c r="W167" s="26">
        <f t="shared" si="26"/>
        <v>2664.06</v>
      </c>
      <c r="X167" s="26">
        <f t="shared" si="31"/>
        <v>0</v>
      </c>
      <c r="Y167" s="26">
        <f t="shared" si="32"/>
        <v>0</v>
      </c>
      <c r="Z167" s="26">
        <f t="shared" si="33"/>
        <v>0</v>
      </c>
      <c r="AA167" s="26">
        <f t="shared" si="35"/>
        <v>0</v>
      </c>
      <c r="AB167" s="33" t="s">
        <v>15</v>
      </c>
      <c r="AC167" s="324"/>
      <c r="AD167" s="181">
        <f t="shared" si="25"/>
        <v>3.6</v>
      </c>
      <c r="AE167" s="181">
        <f t="shared" si="34"/>
        <v>9590.6200000000008</v>
      </c>
      <c r="AF167" s="181">
        <v>1.3</v>
      </c>
      <c r="AG167" s="181">
        <v>1.3</v>
      </c>
      <c r="AH167" s="363" t="str">
        <f t="shared" si="36"/>
        <v/>
      </c>
      <c r="AI167" s="192">
        <v>0</v>
      </c>
      <c r="AJ167" s="188">
        <v>3.6</v>
      </c>
      <c r="AO167" s="367"/>
      <c r="AP167" s="367"/>
      <c r="AQ167" s="367"/>
    </row>
    <row r="168" spans="1:43" s="69" customFormat="1" ht="39" x14ac:dyDescent="0.3">
      <c r="A168" s="130" t="s">
        <v>445</v>
      </c>
      <c r="B168" s="131" t="s">
        <v>446</v>
      </c>
      <c r="C168" s="132" t="s">
        <v>30</v>
      </c>
      <c r="D168" s="133">
        <v>44</v>
      </c>
      <c r="E168" s="75"/>
      <c r="F168" s="75"/>
      <c r="G168" s="75"/>
      <c r="H168" s="75"/>
      <c r="I168" s="75"/>
      <c r="J168" s="75">
        <v>5183.22</v>
      </c>
      <c r="K168" s="75">
        <v>228061.68</v>
      </c>
      <c r="L168" s="137" t="s">
        <v>447</v>
      </c>
      <c r="M168" s="73"/>
      <c r="N168" s="46">
        <v>43.7</v>
      </c>
      <c r="O168" s="46">
        <v>0</v>
      </c>
      <c r="P168" s="46">
        <v>226506.71</v>
      </c>
      <c r="Q168" s="98"/>
      <c r="R168" s="23" t="s">
        <v>1391</v>
      </c>
      <c r="S168" s="24" t="s">
        <v>446</v>
      </c>
      <c r="T168" s="25" t="s">
        <v>30</v>
      </c>
      <c r="U168" s="26">
        <v>44</v>
      </c>
      <c r="V168" s="26">
        <f t="shared" si="30"/>
        <v>44</v>
      </c>
      <c r="W168" s="26">
        <f t="shared" si="26"/>
        <v>5183.22</v>
      </c>
      <c r="X168" s="127">
        <f t="shared" si="31"/>
        <v>0</v>
      </c>
      <c r="Y168" s="127">
        <f t="shared" si="32"/>
        <v>43.7</v>
      </c>
      <c r="Z168" s="127">
        <f t="shared" si="33"/>
        <v>0</v>
      </c>
      <c r="AA168" s="127">
        <f t="shared" si="35"/>
        <v>226506.71</v>
      </c>
      <c r="AB168" s="33" t="s">
        <v>15</v>
      </c>
      <c r="AC168" s="324"/>
      <c r="AD168" s="181">
        <f t="shared" si="25"/>
        <v>44</v>
      </c>
      <c r="AE168" s="181">
        <f t="shared" si="34"/>
        <v>228061.68</v>
      </c>
      <c r="AF168" s="181">
        <v>1.3</v>
      </c>
      <c r="AG168" s="181">
        <v>1.3</v>
      </c>
      <c r="AH168" s="363" t="str">
        <f t="shared" si="36"/>
        <v/>
      </c>
      <c r="AI168" s="194">
        <f>AI171</f>
        <v>43.7</v>
      </c>
      <c r="AJ168" s="188">
        <v>44</v>
      </c>
      <c r="AO168" s="367"/>
      <c r="AP168" s="367"/>
      <c r="AQ168" s="367"/>
    </row>
    <row r="169" spans="1:43" s="69" customFormat="1" ht="39" x14ac:dyDescent="0.3">
      <c r="A169" s="130" t="s">
        <v>448</v>
      </c>
      <c r="B169" s="131" t="s">
        <v>449</v>
      </c>
      <c r="C169" s="132" t="s">
        <v>30</v>
      </c>
      <c r="D169" s="133">
        <v>94.14</v>
      </c>
      <c r="E169" s="75"/>
      <c r="F169" s="75"/>
      <c r="G169" s="75"/>
      <c r="H169" s="75"/>
      <c r="I169" s="75"/>
      <c r="J169" s="75">
        <v>9392.57</v>
      </c>
      <c r="K169" s="75">
        <v>884216.54</v>
      </c>
      <c r="L169" s="137" t="s">
        <v>450</v>
      </c>
      <c r="M169" s="73"/>
      <c r="N169" s="46">
        <v>93.1</v>
      </c>
      <c r="O169" s="46">
        <v>0</v>
      </c>
      <c r="P169" s="46">
        <v>874448.27</v>
      </c>
      <c r="Q169" s="98"/>
      <c r="R169" s="23" t="s">
        <v>1436</v>
      </c>
      <c r="S169" s="24" t="s">
        <v>449</v>
      </c>
      <c r="T169" s="25" t="s">
        <v>30</v>
      </c>
      <c r="U169" s="26">
        <v>94.14</v>
      </c>
      <c r="V169" s="26">
        <f t="shared" si="30"/>
        <v>94.14</v>
      </c>
      <c r="W169" s="26">
        <f t="shared" si="26"/>
        <v>9392.57</v>
      </c>
      <c r="X169" s="127">
        <f t="shared" si="31"/>
        <v>0</v>
      </c>
      <c r="Y169" s="127">
        <f t="shared" si="32"/>
        <v>93.1</v>
      </c>
      <c r="Z169" s="127">
        <f t="shared" si="33"/>
        <v>0</v>
      </c>
      <c r="AA169" s="127">
        <f t="shared" si="35"/>
        <v>874448.27</v>
      </c>
      <c r="AB169" s="33" t="s">
        <v>15</v>
      </c>
      <c r="AC169" s="324"/>
      <c r="AD169" s="181">
        <f t="shared" si="25"/>
        <v>94.14</v>
      </c>
      <c r="AE169" s="181">
        <f t="shared" si="34"/>
        <v>884216.54</v>
      </c>
      <c r="AF169" s="181">
        <v>1.3</v>
      </c>
      <c r="AG169" s="181">
        <v>1.3</v>
      </c>
      <c r="AH169" s="363" t="str">
        <f t="shared" si="36"/>
        <v/>
      </c>
      <c r="AI169" s="194">
        <f>75+18.1</f>
        <v>93.1</v>
      </c>
      <c r="AJ169" s="188">
        <v>94.14</v>
      </c>
      <c r="AO169" s="367"/>
      <c r="AP169" s="367"/>
      <c r="AQ169" s="367"/>
    </row>
    <row r="170" spans="1:43" s="69" customFormat="1" ht="39" x14ac:dyDescent="0.3">
      <c r="A170" s="55" t="s">
        <v>451</v>
      </c>
      <c r="B170" s="53" t="s">
        <v>452</v>
      </c>
      <c r="C170" s="54" t="s">
        <v>30</v>
      </c>
      <c r="D170" s="75">
        <v>114</v>
      </c>
      <c r="E170" s="75"/>
      <c r="F170" s="75"/>
      <c r="G170" s="75"/>
      <c r="H170" s="75"/>
      <c r="I170" s="75"/>
      <c r="J170" s="75">
        <v>2388.5700000000002</v>
      </c>
      <c r="K170" s="75">
        <v>272296.98</v>
      </c>
      <c r="L170" s="137" t="s">
        <v>453</v>
      </c>
      <c r="M170" s="73"/>
      <c r="N170" s="46">
        <v>68</v>
      </c>
      <c r="O170" s="46">
        <v>0</v>
      </c>
      <c r="P170" s="46">
        <v>162422.76</v>
      </c>
      <c r="Q170" s="98"/>
      <c r="R170" s="23" t="s">
        <v>1374</v>
      </c>
      <c r="S170" s="24" t="s">
        <v>452</v>
      </c>
      <c r="T170" s="25" t="s">
        <v>30</v>
      </c>
      <c r="U170" s="26">
        <v>114</v>
      </c>
      <c r="V170" s="26">
        <f t="shared" si="30"/>
        <v>114</v>
      </c>
      <c r="W170" s="26">
        <f t="shared" si="26"/>
        <v>2388.5700000000002</v>
      </c>
      <c r="X170" s="128">
        <f t="shared" si="31"/>
        <v>0</v>
      </c>
      <c r="Y170" s="26">
        <f t="shared" si="32"/>
        <v>68</v>
      </c>
      <c r="Z170" s="26">
        <f t="shared" si="33"/>
        <v>0</v>
      </c>
      <c r="AA170" s="26">
        <f t="shared" si="35"/>
        <v>162422.76</v>
      </c>
      <c r="AB170" s="33" t="s">
        <v>15</v>
      </c>
      <c r="AC170" s="325"/>
      <c r="AD170" s="263">
        <f t="shared" si="25"/>
        <v>114</v>
      </c>
      <c r="AE170" s="263">
        <f t="shared" si="34"/>
        <v>272296.98</v>
      </c>
      <c r="AF170" s="263">
        <v>1.3</v>
      </c>
      <c r="AG170" s="263">
        <v>1.3</v>
      </c>
      <c r="AH170" s="68" t="str">
        <f t="shared" si="36"/>
        <v/>
      </c>
      <c r="AI170" s="194">
        <f>68</f>
        <v>68</v>
      </c>
      <c r="AJ170" s="188">
        <v>114</v>
      </c>
      <c r="AO170" s="367"/>
      <c r="AP170" s="367"/>
      <c r="AQ170" s="367"/>
    </row>
    <row r="171" spans="1:43" s="69" customFormat="1" ht="58.5" x14ac:dyDescent="0.3">
      <c r="A171" s="130" t="s">
        <v>454</v>
      </c>
      <c r="B171" s="131" t="s">
        <v>455</v>
      </c>
      <c r="C171" s="132" t="s">
        <v>30</v>
      </c>
      <c r="D171" s="133">
        <v>44</v>
      </c>
      <c r="E171" s="75"/>
      <c r="F171" s="75"/>
      <c r="G171" s="75"/>
      <c r="H171" s="75"/>
      <c r="I171" s="75"/>
      <c r="J171" s="75">
        <v>80192.710000000006</v>
      </c>
      <c r="K171" s="75">
        <v>3528479.24</v>
      </c>
      <c r="L171" s="137" t="s">
        <v>456</v>
      </c>
      <c r="M171" s="73"/>
      <c r="N171" s="46">
        <v>43.7</v>
      </c>
      <c r="O171" s="46">
        <v>0</v>
      </c>
      <c r="P171" s="46">
        <v>3504421.43</v>
      </c>
      <c r="Q171" s="98"/>
      <c r="R171" s="23" t="s">
        <v>1376</v>
      </c>
      <c r="S171" s="24" t="s">
        <v>455</v>
      </c>
      <c r="T171" s="25" t="s">
        <v>30</v>
      </c>
      <c r="U171" s="26">
        <v>44</v>
      </c>
      <c r="V171" s="26">
        <f t="shared" si="30"/>
        <v>44</v>
      </c>
      <c r="W171" s="26">
        <f t="shared" si="26"/>
        <v>80192.710000000006</v>
      </c>
      <c r="X171" s="127">
        <f t="shared" si="31"/>
        <v>0</v>
      </c>
      <c r="Y171" s="127">
        <f t="shared" si="32"/>
        <v>43.7</v>
      </c>
      <c r="Z171" s="127">
        <f t="shared" si="33"/>
        <v>0</v>
      </c>
      <c r="AA171" s="127">
        <f t="shared" si="35"/>
        <v>3504421.43</v>
      </c>
      <c r="AB171" s="33" t="s">
        <v>15</v>
      </c>
      <c r="AC171" s="324"/>
      <c r="AD171" s="181">
        <f t="shared" si="25"/>
        <v>44</v>
      </c>
      <c r="AE171" s="181">
        <f t="shared" si="34"/>
        <v>3528479.24</v>
      </c>
      <c r="AF171" s="181">
        <v>1.3</v>
      </c>
      <c r="AG171" s="181">
        <v>1.3</v>
      </c>
      <c r="AH171" s="363" t="str">
        <f t="shared" si="36"/>
        <v/>
      </c>
      <c r="AI171" s="194">
        <f>35+9-0.3</f>
        <v>43.7</v>
      </c>
      <c r="AJ171" s="188">
        <v>44</v>
      </c>
      <c r="AO171" s="367"/>
      <c r="AP171" s="367"/>
      <c r="AQ171" s="367"/>
    </row>
    <row r="172" spans="1:43" s="69" customFormat="1" ht="78" x14ac:dyDescent="0.3">
      <c r="A172" s="130" t="s">
        <v>457</v>
      </c>
      <c r="B172" s="131" t="s">
        <v>458</v>
      </c>
      <c r="C172" s="132" t="s">
        <v>30</v>
      </c>
      <c r="D172" s="133">
        <v>90</v>
      </c>
      <c r="E172" s="75"/>
      <c r="F172" s="75"/>
      <c r="G172" s="75"/>
      <c r="H172" s="75"/>
      <c r="I172" s="75"/>
      <c r="J172" s="75">
        <v>9257.1299999999992</v>
      </c>
      <c r="K172" s="75">
        <v>833141.7</v>
      </c>
      <c r="L172" s="137" t="s">
        <v>459</v>
      </c>
      <c r="M172" s="73"/>
      <c r="N172" s="46">
        <v>90</v>
      </c>
      <c r="O172" s="46">
        <v>0</v>
      </c>
      <c r="P172" s="46">
        <v>833141.7</v>
      </c>
      <c r="Q172" s="98"/>
      <c r="R172" s="23" t="s">
        <v>1378</v>
      </c>
      <c r="S172" s="24" t="s">
        <v>458</v>
      </c>
      <c r="T172" s="25" t="s">
        <v>30</v>
      </c>
      <c r="U172" s="26">
        <v>90</v>
      </c>
      <c r="V172" s="26">
        <f t="shared" si="30"/>
        <v>90</v>
      </c>
      <c r="W172" s="26">
        <f t="shared" si="26"/>
        <v>9257.1299999999992</v>
      </c>
      <c r="X172" s="127">
        <f t="shared" si="31"/>
        <v>0</v>
      </c>
      <c r="Y172" s="127">
        <f t="shared" si="32"/>
        <v>90</v>
      </c>
      <c r="Z172" s="127">
        <f t="shared" si="33"/>
        <v>0</v>
      </c>
      <c r="AA172" s="127">
        <f t="shared" si="35"/>
        <v>833141.7</v>
      </c>
      <c r="AB172" s="33" t="s">
        <v>15</v>
      </c>
      <c r="AC172" s="324"/>
      <c r="AD172" s="181">
        <f t="shared" si="25"/>
        <v>90</v>
      </c>
      <c r="AE172" s="181">
        <f t="shared" si="34"/>
        <v>833141.7</v>
      </c>
      <c r="AF172" s="181">
        <v>1.3</v>
      </c>
      <c r="AG172" s="181">
        <v>1.3</v>
      </c>
      <c r="AH172" s="363" t="str">
        <f t="shared" si="36"/>
        <v/>
      </c>
      <c r="AI172" s="194">
        <f>70+20</f>
        <v>90</v>
      </c>
      <c r="AJ172" s="188">
        <v>90</v>
      </c>
      <c r="AO172" s="367"/>
      <c r="AP172" s="367"/>
      <c r="AQ172" s="367"/>
    </row>
    <row r="173" spans="1:43" s="69" customFormat="1" ht="31.5" x14ac:dyDescent="0.3">
      <c r="A173" s="130" t="s">
        <v>460</v>
      </c>
      <c r="B173" s="131" t="s">
        <v>461</v>
      </c>
      <c r="C173" s="132" t="s">
        <v>81</v>
      </c>
      <c r="D173" s="133">
        <v>1</v>
      </c>
      <c r="E173" s="75"/>
      <c r="F173" s="75"/>
      <c r="G173" s="75"/>
      <c r="H173" s="75"/>
      <c r="I173" s="75"/>
      <c r="J173" s="75">
        <v>58649</v>
      </c>
      <c r="K173" s="75">
        <v>58649</v>
      </c>
      <c r="L173" s="137" t="s">
        <v>462</v>
      </c>
      <c r="M173" s="73"/>
      <c r="N173" s="46">
        <v>1</v>
      </c>
      <c r="O173" s="46">
        <v>0</v>
      </c>
      <c r="P173" s="46">
        <v>58649</v>
      </c>
      <c r="Q173" s="98"/>
      <c r="R173" s="23" t="s">
        <v>1438</v>
      </c>
      <c r="S173" s="24" t="s">
        <v>461</v>
      </c>
      <c r="T173" s="25" t="s">
        <v>81</v>
      </c>
      <c r="U173" s="26">
        <v>1</v>
      </c>
      <c r="V173" s="26">
        <f t="shared" si="30"/>
        <v>1</v>
      </c>
      <c r="W173" s="26">
        <f t="shared" si="26"/>
        <v>58649</v>
      </c>
      <c r="X173" s="127">
        <f t="shared" si="31"/>
        <v>0</v>
      </c>
      <c r="Y173" s="127">
        <f t="shared" si="32"/>
        <v>1</v>
      </c>
      <c r="Z173" s="127">
        <f t="shared" si="33"/>
        <v>0</v>
      </c>
      <c r="AA173" s="127">
        <f t="shared" si="35"/>
        <v>58649</v>
      </c>
      <c r="AB173" s="33" t="s">
        <v>15</v>
      </c>
      <c r="AC173" s="324"/>
      <c r="AD173" s="181">
        <f t="shared" si="25"/>
        <v>1</v>
      </c>
      <c r="AE173" s="181">
        <f t="shared" si="34"/>
        <v>58649</v>
      </c>
      <c r="AF173" s="181">
        <v>1.3</v>
      </c>
      <c r="AG173" s="181">
        <v>1.3</v>
      </c>
      <c r="AH173" s="363" t="str">
        <f t="shared" si="36"/>
        <v/>
      </c>
      <c r="AI173" s="194">
        <f>1</f>
        <v>1</v>
      </c>
      <c r="AJ173" s="188">
        <v>1</v>
      </c>
      <c r="AO173" s="367"/>
      <c r="AP173" s="367"/>
      <c r="AQ173" s="367"/>
    </row>
    <row r="174" spans="1:43" s="69" customFormat="1" ht="39" x14ac:dyDescent="0.3">
      <c r="A174" s="130" t="s">
        <v>463</v>
      </c>
      <c r="B174" s="131" t="s">
        <v>464</v>
      </c>
      <c r="C174" s="132" t="s">
        <v>81</v>
      </c>
      <c r="D174" s="133">
        <v>1</v>
      </c>
      <c r="E174" s="75"/>
      <c r="F174" s="75"/>
      <c r="G174" s="75"/>
      <c r="H174" s="75"/>
      <c r="I174" s="75"/>
      <c r="J174" s="75">
        <v>107614.5</v>
      </c>
      <c r="K174" s="75">
        <v>107614.5</v>
      </c>
      <c r="L174" s="137" t="s">
        <v>465</v>
      </c>
      <c r="M174" s="73"/>
      <c r="N174" s="46">
        <v>1</v>
      </c>
      <c r="O174" s="46">
        <v>0</v>
      </c>
      <c r="P174" s="46">
        <v>107614.5</v>
      </c>
      <c r="Q174" s="98"/>
      <c r="R174" s="23" t="s">
        <v>1439</v>
      </c>
      <c r="S174" s="24" t="s">
        <v>464</v>
      </c>
      <c r="T174" s="25" t="s">
        <v>81</v>
      </c>
      <c r="U174" s="26">
        <v>1</v>
      </c>
      <c r="V174" s="26">
        <f t="shared" si="30"/>
        <v>1</v>
      </c>
      <c r="W174" s="26">
        <f t="shared" si="26"/>
        <v>107614.5</v>
      </c>
      <c r="X174" s="127">
        <f t="shared" si="31"/>
        <v>0</v>
      </c>
      <c r="Y174" s="127">
        <f t="shared" si="32"/>
        <v>1</v>
      </c>
      <c r="Z174" s="127">
        <f t="shared" si="33"/>
        <v>0</v>
      </c>
      <c r="AA174" s="127">
        <f t="shared" si="35"/>
        <v>107614.5</v>
      </c>
      <c r="AB174" s="33" t="s">
        <v>15</v>
      </c>
      <c r="AC174" s="325"/>
      <c r="AD174" s="263">
        <f t="shared" si="25"/>
        <v>1</v>
      </c>
      <c r="AE174" s="263">
        <f t="shared" si="34"/>
        <v>107614.5</v>
      </c>
      <c r="AF174" s="263">
        <v>1.3</v>
      </c>
      <c r="AG174" s="263">
        <v>1.3</v>
      </c>
      <c r="AH174" s="68" t="str">
        <f t="shared" si="36"/>
        <v/>
      </c>
      <c r="AI174" s="194">
        <f>0.8+0.2</f>
        <v>1</v>
      </c>
      <c r="AJ174" s="188">
        <v>1</v>
      </c>
      <c r="AO174" s="367"/>
      <c r="AP174" s="367"/>
      <c r="AQ174" s="367"/>
    </row>
    <row r="175" spans="1:43" s="69" customFormat="1" ht="39" x14ac:dyDescent="0.3">
      <c r="A175" s="130" t="s">
        <v>466</v>
      </c>
      <c r="B175" s="131" t="s">
        <v>467</v>
      </c>
      <c r="C175" s="132" t="s">
        <v>30</v>
      </c>
      <c r="D175" s="133">
        <v>13.2</v>
      </c>
      <c r="E175" s="75"/>
      <c r="F175" s="75"/>
      <c r="G175" s="75"/>
      <c r="H175" s="75"/>
      <c r="I175" s="75"/>
      <c r="J175" s="75">
        <v>2809.33</v>
      </c>
      <c r="K175" s="75">
        <v>37083.160000000003</v>
      </c>
      <c r="L175" s="137" t="s">
        <v>468</v>
      </c>
      <c r="M175" s="73"/>
      <c r="N175" s="46">
        <v>12.9</v>
      </c>
      <c r="O175" s="46">
        <v>0</v>
      </c>
      <c r="P175" s="46">
        <v>36240.36</v>
      </c>
      <c r="Q175" s="98"/>
      <c r="R175" s="23" t="s">
        <v>1440</v>
      </c>
      <c r="S175" s="24" t="s">
        <v>467</v>
      </c>
      <c r="T175" s="25" t="s">
        <v>30</v>
      </c>
      <c r="U175" s="26">
        <v>13.2</v>
      </c>
      <c r="V175" s="26">
        <f t="shared" si="30"/>
        <v>13.2</v>
      </c>
      <c r="W175" s="26">
        <f t="shared" si="26"/>
        <v>2809.33</v>
      </c>
      <c r="X175" s="127">
        <f t="shared" si="31"/>
        <v>0</v>
      </c>
      <c r="Y175" s="127">
        <f t="shared" si="32"/>
        <v>12.9</v>
      </c>
      <c r="Z175" s="127">
        <f t="shared" si="33"/>
        <v>0</v>
      </c>
      <c r="AA175" s="127">
        <f t="shared" si="35"/>
        <v>36240.36</v>
      </c>
      <c r="AB175" s="33" t="s">
        <v>15</v>
      </c>
      <c r="AC175" s="325"/>
      <c r="AD175" s="263">
        <f t="shared" si="25"/>
        <v>13.2</v>
      </c>
      <c r="AE175" s="263">
        <f t="shared" si="34"/>
        <v>37083.160000000003</v>
      </c>
      <c r="AF175" s="263">
        <v>1.3</v>
      </c>
      <c r="AG175" s="263">
        <v>1.3</v>
      </c>
      <c r="AH175" s="68" t="str">
        <f t="shared" si="36"/>
        <v/>
      </c>
      <c r="AI175" s="194">
        <f>12.9</f>
        <v>12.9</v>
      </c>
      <c r="AJ175" s="188">
        <v>13.2</v>
      </c>
      <c r="AO175" s="367"/>
      <c r="AP175" s="367"/>
      <c r="AQ175" s="367"/>
    </row>
    <row r="176" spans="1:43" s="69" customFormat="1" ht="39" x14ac:dyDescent="0.3">
      <c r="A176" s="130" t="s">
        <v>469</v>
      </c>
      <c r="B176" s="131" t="s">
        <v>470</v>
      </c>
      <c r="C176" s="132" t="s">
        <v>30</v>
      </c>
      <c r="D176" s="133">
        <v>3</v>
      </c>
      <c r="E176" s="75"/>
      <c r="F176" s="75"/>
      <c r="G176" s="75"/>
      <c r="H176" s="75"/>
      <c r="I176" s="75"/>
      <c r="J176" s="75">
        <v>2433.89</v>
      </c>
      <c r="K176" s="75">
        <v>7301.67</v>
      </c>
      <c r="L176" s="137" t="s">
        <v>471</v>
      </c>
      <c r="M176" s="73"/>
      <c r="N176" s="46">
        <v>2.8</v>
      </c>
      <c r="O176" s="46">
        <v>0</v>
      </c>
      <c r="P176" s="46">
        <v>6814.89</v>
      </c>
      <c r="Q176" s="98"/>
      <c r="R176" s="23" t="s">
        <v>1441</v>
      </c>
      <c r="S176" s="24" t="s">
        <v>470</v>
      </c>
      <c r="T176" s="25" t="s">
        <v>30</v>
      </c>
      <c r="U176" s="26">
        <v>3</v>
      </c>
      <c r="V176" s="26">
        <f t="shared" si="30"/>
        <v>3</v>
      </c>
      <c r="W176" s="26">
        <f t="shared" si="26"/>
        <v>2433.89</v>
      </c>
      <c r="X176" s="127">
        <f t="shared" si="31"/>
        <v>0</v>
      </c>
      <c r="Y176" s="127">
        <f t="shared" si="32"/>
        <v>2.8</v>
      </c>
      <c r="Z176" s="127">
        <f t="shared" si="33"/>
        <v>0</v>
      </c>
      <c r="AA176" s="127">
        <f t="shared" si="35"/>
        <v>6814.89</v>
      </c>
      <c r="AB176" s="33" t="s">
        <v>15</v>
      </c>
      <c r="AC176" s="325"/>
      <c r="AD176" s="263">
        <f t="shared" si="25"/>
        <v>3</v>
      </c>
      <c r="AE176" s="263">
        <f t="shared" si="34"/>
        <v>7301.67</v>
      </c>
      <c r="AF176" s="263">
        <v>1.3</v>
      </c>
      <c r="AG176" s="263">
        <v>1.3</v>
      </c>
      <c r="AH176" s="68" t="str">
        <f t="shared" si="36"/>
        <v/>
      </c>
      <c r="AI176" s="194">
        <f>2.8</f>
        <v>2.8</v>
      </c>
      <c r="AJ176" s="188">
        <v>3</v>
      </c>
      <c r="AO176" s="367"/>
      <c r="AP176" s="367"/>
      <c r="AQ176" s="367"/>
    </row>
    <row r="177" spans="1:43" s="69" customFormat="1" ht="39" x14ac:dyDescent="0.3">
      <c r="A177" s="130" t="s">
        <v>472</v>
      </c>
      <c r="B177" s="131" t="s">
        <v>473</v>
      </c>
      <c r="C177" s="132" t="s">
        <v>30</v>
      </c>
      <c r="D177" s="133">
        <v>6</v>
      </c>
      <c r="E177" s="75"/>
      <c r="F177" s="75"/>
      <c r="G177" s="75"/>
      <c r="H177" s="75"/>
      <c r="I177" s="75"/>
      <c r="J177" s="75">
        <v>2888.64</v>
      </c>
      <c r="K177" s="75">
        <v>17331.84</v>
      </c>
      <c r="L177" s="137" t="s">
        <v>474</v>
      </c>
      <c r="M177" s="73"/>
      <c r="N177" s="46">
        <v>5.5</v>
      </c>
      <c r="O177" s="46">
        <v>0</v>
      </c>
      <c r="P177" s="46">
        <v>15887.52</v>
      </c>
      <c r="Q177" s="98"/>
      <c r="R177" s="23" t="s">
        <v>1442</v>
      </c>
      <c r="S177" s="24" t="s">
        <v>473</v>
      </c>
      <c r="T177" s="25" t="s">
        <v>30</v>
      </c>
      <c r="U177" s="26">
        <v>6</v>
      </c>
      <c r="V177" s="26">
        <f t="shared" si="30"/>
        <v>6</v>
      </c>
      <c r="W177" s="26">
        <f t="shared" si="26"/>
        <v>2888.64</v>
      </c>
      <c r="X177" s="127">
        <f t="shared" si="31"/>
        <v>0</v>
      </c>
      <c r="Y177" s="127">
        <f t="shared" si="32"/>
        <v>5.5</v>
      </c>
      <c r="Z177" s="127">
        <f t="shared" si="33"/>
        <v>0</v>
      </c>
      <c r="AA177" s="127">
        <f t="shared" si="35"/>
        <v>15887.52</v>
      </c>
      <c r="AB177" s="33" t="s">
        <v>15</v>
      </c>
      <c r="AC177" s="325"/>
      <c r="AD177" s="263">
        <f t="shared" si="25"/>
        <v>6</v>
      </c>
      <c r="AE177" s="263">
        <f t="shared" si="34"/>
        <v>17331.84</v>
      </c>
      <c r="AF177" s="263">
        <v>1.3</v>
      </c>
      <c r="AG177" s="263">
        <v>1.3</v>
      </c>
      <c r="AH177" s="68" t="str">
        <f t="shared" si="36"/>
        <v/>
      </c>
      <c r="AI177" s="194">
        <f>5.5</f>
        <v>5.5</v>
      </c>
      <c r="AJ177" s="188">
        <v>6</v>
      </c>
      <c r="AO177" s="367"/>
      <c r="AP177" s="367"/>
      <c r="AQ177" s="367"/>
    </row>
    <row r="178" spans="1:43" s="69" customFormat="1" ht="78" x14ac:dyDescent="0.3">
      <c r="A178" s="130" t="s">
        <v>475</v>
      </c>
      <c r="B178" s="131" t="s">
        <v>476</v>
      </c>
      <c r="C178" s="132" t="s">
        <v>14</v>
      </c>
      <c r="D178" s="133">
        <v>1</v>
      </c>
      <c r="E178" s="75"/>
      <c r="F178" s="75"/>
      <c r="G178" s="75"/>
      <c r="H178" s="75"/>
      <c r="I178" s="75"/>
      <c r="J178" s="75">
        <v>430876.81</v>
      </c>
      <c r="K178" s="75">
        <v>430876.81</v>
      </c>
      <c r="L178" s="137" t="s">
        <v>477</v>
      </c>
      <c r="M178" s="73"/>
      <c r="N178" s="46">
        <v>1</v>
      </c>
      <c r="O178" s="46">
        <v>0</v>
      </c>
      <c r="P178" s="46">
        <v>430876.81</v>
      </c>
      <c r="Q178" s="98"/>
      <c r="R178" s="23" t="s">
        <v>1443</v>
      </c>
      <c r="S178" s="24" t="s">
        <v>476</v>
      </c>
      <c r="T178" s="25" t="s">
        <v>14</v>
      </c>
      <c r="U178" s="26">
        <v>1</v>
      </c>
      <c r="V178" s="26">
        <f t="shared" si="30"/>
        <v>1</v>
      </c>
      <c r="W178" s="26">
        <f t="shared" si="26"/>
        <v>430876.81</v>
      </c>
      <c r="X178" s="127">
        <f t="shared" si="31"/>
        <v>0</v>
      </c>
      <c r="Y178" s="127">
        <f t="shared" si="32"/>
        <v>1</v>
      </c>
      <c r="Z178" s="127">
        <f t="shared" si="33"/>
        <v>0</v>
      </c>
      <c r="AA178" s="127">
        <f t="shared" si="35"/>
        <v>430876.81</v>
      </c>
      <c r="AB178" s="33" t="s">
        <v>15</v>
      </c>
      <c r="AC178" s="324"/>
      <c r="AD178" s="181">
        <f t="shared" si="25"/>
        <v>1</v>
      </c>
      <c r="AE178" s="181">
        <f t="shared" si="34"/>
        <v>430876.81</v>
      </c>
      <c r="AF178" s="181">
        <v>1.3</v>
      </c>
      <c r="AG178" s="181">
        <v>1.3</v>
      </c>
      <c r="AH178" s="363" t="str">
        <f t="shared" si="36"/>
        <v/>
      </c>
      <c r="AI178" s="194">
        <v>1</v>
      </c>
      <c r="AJ178" s="188">
        <v>1</v>
      </c>
      <c r="AO178" s="367"/>
      <c r="AP178" s="367"/>
      <c r="AQ178" s="367"/>
    </row>
    <row r="179" spans="1:43" s="69" customFormat="1" ht="39" x14ac:dyDescent="0.3">
      <c r="A179" s="130" t="s">
        <v>478</v>
      </c>
      <c r="B179" s="131" t="s">
        <v>479</v>
      </c>
      <c r="C179" s="132" t="s">
        <v>81</v>
      </c>
      <c r="D179" s="133">
        <v>1</v>
      </c>
      <c r="E179" s="75"/>
      <c r="F179" s="75"/>
      <c r="G179" s="75"/>
      <c r="H179" s="75"/>
      <c r="I179" s="75"/>
      <c r="J179" s="75">
        <v>29563.21</v>
      </c>
      <c r="K179" s="75">
        <v>29563.21</v>
      </c>
      <c r="L179" s="137" t="s">
        <v>480</v>
      </c>
      <c r="M179" s="73"/>
      <c r="N179" s="46">
        <v>1</v>
      </c>
      <c r="O179" s="46">
        <v>0</v>
      </c>
      <c r="P179" s="46">
        <v>29563.21</v>
      </c>
      <c r="Q179" s="98"/>
      <c r="R179" s="23" t="s">
        <v>1444</v>
      </c>
      <c r="S179" s="24" t="s">
        <v>479</v>
      </c>
      <c r="T179" s="25" t="s">
        <v>81</v>
      </c>
      <c r="U179" s="26">
        <v>1</v>
      </c>
      <c r="V179" s="26">
        <f t="shared" si="30"/>
        <v>1</v>
      </c>
      <c r="W179" s="26">
        <f t="shared" si="26"/>
        <v>29563.21</v>
      </c>
      <c r="X179" s="127">
        <f t="shared" si="31"/>
        <v>0</v>
      </c>
      <c r="Y179" s="127">
        <f t="shared" si="32"/>
        <v>1</v>
      </c>
      <c r="Z179" s="127">
        <f t="shared" si="33"/>
        <v>0</v>
      </c>
      <c r="AA179" s="127">
        <f t="shared" si="35"/>
        <v>29563.21</v>
      </c>
      <c r="AB179" s="33" t="s">
        <v>15</v>
      </c>
      <c r="AC179" s="324"/>
      <c r="AD179" s="181">
        <f t="shared" si="25"/>
        <v>1</v>
      </c>
      <c r="AE179" s="181">
        <f t="shared" si="34"/>
        <v>29563.21</v>
      </c>
      <c r="AF179" s="181">
        <v>1.3</v>
      </c>
      <c r="AG179" s="181">
        <v>1.3</v>
      </c>
      <c r="AH179" s="363" t="str">
        <f t="shared" si="36"/>
        <v/>
      </c>
      <c r="AI179" s="194">
        <v>1</v>
      </c>
      <c r="AJ179" s="188">
        <v>1</v>
      </c>
      <c r="AO179" s="367"/>
      <c r="AP179" s="367"/>
      <c r="AQ179" s="367"/>
    </row>
    <row r="180" spans="1:43" s="69" customFormat="1" ht="31.5" x14ac:dyDescent="0.3">
      <c r="A180" s="130" t="s">
        <v>481</v>
      </c>
      <c r="B180" s="131" t="s">
        <v>482</v>
      </c>
      <c r="C180" s="132" t="s">
        <v>81</v>
      </c>
      <c r="D180" s="133">
        <v>1</v>
      </c>
      <c r="E180" s="75"/>
      <c r="F180" s="75"/>
      <c r="G180" s="75"/>
      <c r="H180" s="75"/>
      <c r="I180" s="75"/>
      <c r="J180" s="75">
        <v>1061152.75</v>
      </c>
      <c r="K180" s="75">
        <v>1061152.75</v>
      </c>
      <c r="L180" s="137" t="s">
        <v>483</v>
      </c>
      <c r="M180" s="73"/>
      <c r="N180" s="46">
        <v>1</v>
      </c>
      <c r="O180" s="46">
        <v>0</v>
      </c>
      <c r="P180" s="46">
        <v>1061152.75</v>
      </c>
      <c r="Q180" s="98"/>
      <c r="R180" s="23" t="s">
        <v>1408</v>
      </c>
      <c r="S180" s="24" t="s">
        <v>482</v>
      </c>
      <c r="T180" s="25" t="s">
        <v>81</v>
      </c>
      <c r="U180" s="26">
        <v>1</v>
      </c>
      <c r="V180" s="26">
        <f t="shared" si="30"/>
        <v>1</v>
      </c>
      <c r="W180" s="26">
        <f t="shared" si="26"/>
        <v>1061152.75</v>
      </c>
      <c r="X180" s="127">
        <f t="shared" si="31"/>
        <v>0</v>
      </c>
      <c r="Y180" s="127">
        <f t="shared" si="32"/>
        <v>1</v>
      </c>
      <c r="Z180" s="127">
        <f t="shared" si="33"/>
        <v>0</v>
      </c>
      <c r="AA180" s="127">
        <f t="shared" si="35"/>
        <v>1061152.75</v>
      </c>
      <c r="AB180" s="33" t="s">
        <v>15</v>
      </c>
      <c r="AC180" s="324"/>
      <c r="AD180" s="181">
        <f t="shared" si="25"/>
        <v>1</v>
      </c>
      <c r="AE180" s="181">
        <f t="shared" si="34"/>
        <v>1061152.75</v>
      </c>
      <c r="AF180" s="181">
        <v>1.3</v>
      </c>
      <c r="AG180" s="181">
        <v>1.3</v>
      </c>
      <c r="AH180" s="363" t="str">
        <f t="shared" si="36"/>
        <v/>
      </c>
      <c r="AI180" s="194">
        <v>1</v>
      </c>
      <c r="AJ180" s="188">
        <v>1</v>
      </c>
      <c r="AO180" s="367"/>
      <c r="AP180" s="367"/>
      <c r="AQ180" s="367"/>
    </row>
    <row r="181" spans="1:43" s="69" customFormat="1" ht="31.5" x14ac:dyDescent="0.3">
      <c r="A181" s="130" t="s">
        <v>484</v>
      </c>
      <c r="B181" s="131" t="s">
        <v>485</v>
      </c>
      <c r="C181" s="132" t="s">
        <v>81</v>
      </c>
      <c r="D181" s="133">
        <v>1</v>
      </c>
      <c r="E181" s="75"/>
      <c r="F181" s="75"/>
      <c r="G181" s="75"/>
      <c r="H181" s="75"/>
      <c r="I181" s="75"/>
      <c r="J181" s="75">
        <v>2431046.88</v>
      </c>
      <c r="K181" s="75">
        <v>2431046.88</v>
      </c>
      <c r="L181" s="137" t="s">
        <v>486</v>
      </c>
      <c r="M181" s="73"/>
      <c r="N181" s="46">
        <v>1</v>
      </c>
      <c r="O181" s="46">
        <v>0</v>
      </c>
      <c r="P181" s="46">
        <v>2431046.88</v>
      </c>
      <c r="Q181" s="98"/>
      <c r="R181" s="23" t="s">
        <v>1409</v>
      </c>
      <c r="S181" s="24" t="s">
        <v>485</v>
      </c>
      <c r="T181" s="25" t="s">
        <v>81</v>
      </c>
      <c r="U181" s="26">
        <v>1</v>
      </c>
      <c r="V181" s="26">
        <f t="shared" si="30"/>
        <v>1</v>
      </c>
      <c r="W181" s="26">
        <f t="shared" si="26"/>
        <v>2431046.88</v>
      </c>
      <c r="X181" s="127">
        <f t="shared" si="31"/>
        <v>0</v>
      </c>
      <c r="Y181" s="127">
        <f t="shared" si="32"/>
        <v>1</v>
      </c>
      <c r="Z181" s="127">
        <f t="shared" si="33"/>
        <v>0</v>
      </c>
      <c r="AA181" s="127">
        <f t="shared" si="35"/>
        <v>2431046.88</v>
      </c>
      <c r="AB181" s="33" t="s">
        <v>15</v>
      </c>
      <c r="AC181" s="324"/>
      <c r="AD181" s="181">
        <f t="shared" si="25"/>
        <v>1</v>
      </c>
      <c r="AE181" s="181">
        <f t="shared" si="34"/>
        <v>2431046.88</v>
      </c>
      <c r="AF181" s="181">
        <v>1.3</v>
      </c>
      <c r="AG181" s="181">
        <v>1.3</v>
      </c>
      <c r="AH181" s="363" t="str">
        <f t="shared" si="36"/>
        <v/>
      </c>
      <c r="AI181" s="194">
        <v>1</v>
      </c>
      <c r="AJ181" s="188">
        <v>1</v>
      </c>
      <c r="AO181" s="367"/>
      <c r="AP181" s="367"/>
      <c r="AQ181" s="367"/>
    </row>
    <row r="182" spans="1:43" s="69" customFormat="1" x14ac:dyDescent="0.3">
      <c r="A182" s="134" t="s">
        <v>1312</v>
      </c>
      <c r="B182" s="135" t="s">
        <v>1313</v>
      </c>
      <c r="C182" s="204" t="s">
        <v>14</v>
      </c>
      <c r="D182" s="133"/>
      <c r="E182" s="59">
        <v>1</v>
      </c>
      <c r="F182" s="77"/>
      <c r="G182" s="205"/>
      <c r="H182" s="205"/>
      <c r="I182" s="205"/>
      <c r="J182" s="205">
        <v>87950.62</v>
      </c>
      <c r="K182" s="59">
        <v>87950.62</v>
      </c>
      <c r="L182" s="92"/>
      <c r="M182" s="73"/>
      <c r="N182" s="46">
        <v>1</v>
      </c>
      <c r="O182" s="46">
        <v>0</v>
      </c>
      <c r="P182" s="46">
        <v>87950.62</v>
      </c>
      <c r="Q182" s="98"/>
      <c r="R182" s="23" t="s">
        <v>1410</v>
      </c>
      <c r="S182" s="24" t="s">
        <v>1495</v>
      </c>
      <c r="T182" s="25" t="s">
        <v>14</v>
      </c>
      <c r="U182" s="26">
        <v>0</v>
      </c>
      <c r="V182" s="26">
        <f t="shared" si="30"/>
        <v>1</v>
      </c>
      <c r="W182" s="26">
        <f t="shared" si="26"/>
        <v>87950.62</v>
      </c>
      <c r="X182" s="127">
        <f t="shared" si="31"/>
        <v>0</v>
      </c>
      <c r="Y182" s="127">
        <f t="shared" si="32"/>
        <v>1</v>
      </c>
      <c r="Z182" s="127">
        <f t="shared" si="33"/>
        <v>0</v>
      </c>
      <c r="AA182" s="127">
        <f t="shared" si="35"/>
        <v>87950.62</v>
      </c>
      <c r="AB182" s="27"/>
      <c r="AC182" s="324"/>
      <c r="AD182" s="181">
        <f t="shared" si="25"/>
        <v>1</v>
      </c>
      <c r="AE182" s="181">
        <f t="shared" si="34"/>
        <v>87950.62</v>
      </c>
      <c r="AF182" s="181">
        <v>1.3</v>
      </c>
      <c r="AG182" s="181">
        <v>1.3</v>
      </c>
      <c r="AH182" s="363" t="str">
        <f t="shared" si="36"/>
        <v/>
      </c>
      <c r="AI182" s="192">
        <v>1</v>
      </c>
      <c r="AJ182" s="188">
        <v>1</v>
      </c>
      <c r="AO182" s="367"/>
      <c r="AP182" s="367"/>
      <c r="AQ182" s="367"/>
    </row>
    <row r="183" spans="1:43" s="69" customFormat="1" x14ac:dyDescent="0.3">
      <c r="A183" s="134" t="s">
        <v>1314</v>
      </c>
      <c r="B183" s="135" t="s">
        <v>1315</v>
      </c>
      <c r="C183" s="204" t="s">
        <v>30</v>
      </c>
      <c r="D183" s="133"/>
      <c r="E183" s="59">
        <v>24</v>
      </c>
      <c r="F183" s="289"/>
      <c r="G183" s="230"/>
      <c r="H183" s="230"/>
      <c r="I183" s="230"/>
      <c r="J183" s="230">
        <v>4257.93</v>
      </c>
      <c r="K183" s="59">
        <v>102190.32</v>
      </c>
      <c r="L183" s="92"/>
      <c r="M183" s="73"/>
      <c r="N183" s="46">
        <v>24</v>
      </c>
      <c r="O183" s="46">
        <v>0</v>
      </c>
      <c r="P183" s="46">
        <v>102190.32</v>
      </c>
      <c r="Q183" s="98"/>
      <c r="R183" s="23" t="s">
        <v>1411</v>
      </c>
      <c r="S183" s="24" t="s">
        <v>1496</v>
      </c>
      <c r="T183" s="25" t="s">
        <v>30</v>
      </c>
      <c r="U183" s="26">
        <v>0</v>
      </c>
      <c r="V183" s="26">
        <f t="shared" si="30"/>
        <v>24</v>
      </c>
      <c r="W183" s="26">
        <f t="shared" si="26"/>
        <v>4257.93</v>
      </c>
      <c r="X183" s="127">
        <f t="shared" si="31"/>
        <v>0</v>
      </c>
      <c r="Y183" s="127">
        <f t="shared" si="32"/>
        <v>24</v>
      </c>
      <c r="Z183" s="127">
        <f t="shared" si="33"/>
        <v>0</v>
      </c>
      <c r="AA183" s="127">
        <f t="shared" si="35"/>
        <v>102190.32</v>
      </c>
      <c r="AB183" s="27"/>
      <c r="AC183" s="324"/>
      <c r="AD183" s="181">
        <f t="shared" si="25"/>
        <v>24</v>
      </c>
      <c r="AE183" s="181">
        <f t="shared" si="34"/>
        <v>102190.32</v>
      </c>
      <c r="AF183" s="181">
        <v>1.3</v>
      </c>
      <c r="AG183" s="181">
        <v>1.3</v>
      </c>
      <c r="AH183" s="363" t="str">
        <f t="shared" si="36"/>
        <v/>
      </c>
      <c r="AI183" s="192">
        <v>24</v>
      </c>
      <c r="AJ183" s="188">
        <v>24</v>
      </c>
      <c r="AO183" s="367"/>
      <c r="AP183" s="367"/>
      <c r="AQ183" s="367"/>
    </row>
    <row r="184" spans="1:43" s="69" customFormat="1" x14ac:dyDescent="0.3">
      <c r="A184" s="134" t="s">
        <v>1316</v>
      </c>
      <c r="B184" s="135" t="s">
        <v>1317</v>
      </c>
      <c r="C184" s="204" t="s">
        <v>513</v>
      </c>
      <c r="D184" s="133"/>
      <c r="E184" s="59">
        <v>1</v>
      </c>
      <c r="F184" s="289"/>
      <c r="G184" s="230"/>
      <c r="H184" s="230"/>
      <c r="I184" s="230"/>
      <c r="J184" s="230">
        <v>200835.11</v>
      </c>
      <c r="K184" s="59">
        <v>200835.11</v>
      </c>
      <c r="L184" s="92"/>
      <c r="M184" s="73"/>
      <c r="N184" s="46">
        <v>1</v>
      </c>
      <c r="O184" s="46">
        <v>0</v>
      </c>
      <c r="P184" s="46">
        <v>200835.11</v>
      </c>
      <c r="Q184" s="98"/>
      <c r="R184" s="23" t="s">
        <v>1445</v>
      </c>
      <c r="S184" s="24" t="s">
        <v>1497</v>
      </c>
      <c r="T184" s="25" t="s">
        <v>513</v>
      </c>
      <c r="U184" s="26">
        <v>0</v>
      </c>
      <c r="V184" s="26">
        <f t="shared" si="30"/>
        <v>1</v>
      </c>
      <c r="W184" s="26">
        <f t="shared" si="26"/>
        <v>200835.11</v>
      </c>
      <c r="X184" s="127">
        <f t="shared" si="31"/>
        <v>0</v>
      </c>
      <c r="Y184" s="127">
        <f t="shared" si="32"/>
        <v>1</v>
      </c>
      <c r="Z184" s="127">
        <f t="shared" si="33"/>
        <v>0</v>
      </c>
      <c r="AA184" s="127">
        <f t="shared" si="35"/>
        <v>200835.11</v>
      </c>
      <c r="AB184" s="27"/>
      <c r="AC184" s="324"/>
      <c r="AD184" s="181">
        <f t="shared" si="25"/>
        <v>1</v>
      </c>
      <c r="AE184" s="181">
        <f t="shared" si="34"/>
        <v>200835.11</v>
      </c>
      <c r="AF184" s="181">
        <v>1.3</v>
      </c>
      <c r="AG184" s="181">
        <v>1.3</v>
      </c>
      <c r="AH184" s="363" t="str">
        <f t="shared" si="36"/>
        <v/>
      </c>
      <c r="AI184" s="192">
        <v>1</v>
      </c>
      <c r="AJ184" s="188">
        <v>1</v>
      </c>
      <c r="AN184" s="70"/>
      <c r="AO184" s="367"/>
      <c r="AP184" s="367"/>
      <c r="AQ184" s="367"/>
    </row>
    <row r="185" spans="1:43" x14ac:dyDescent="0.3">
      <c r="A185" s="134" t="s">
        <v>1318</v>
      </c>
      <c r="B185" s="135" t="s">
        <v>1319</v>
      </c>
      <c r="C185" s="204" t="s">
        <v>412</v>
      </c>
      <c r="D185" s="133"/>
      <c r="E185" s="78"/>
      <c r="F185" s="339">
        <v>150400</v>
      </c>
      <c r="G185" s="116"/>
      <c r="H185" s="359">
        <v>154935.98000000001</v>
      </c>
      <c r="I185" s="116"/>
      <c r="J185" s="290">
        <v>16.21</v>
      </c>
      <c r="K185" s="62">
        <v>2511512.2400000002</v>
      </c>
      <c r="L185" s="93"/>
      <c r="N185" s="46">
        <v>154922.68</v>
      </c>
      <c r="O185" s="46">
        <v>74113.740000000224</v>
      </c>
      <c r="P185" s="46">
        <v>2511296.64</v>
      </c>
      <c r="Q185" s="98"/>
      <c r="R185" s="23" t="s">
        <v>1383</v>
      </c>
      <c r="S185" s="24" t="s">
        <v>1319</v>
      </c>
      <c r="T185" s="25" t="s">
        <v>412</v>
      </c>
      <c r="U185" s="26">
        <v>0</v>
      </c>
      <c r="V185" s="26">
        <f t="shared" si="30"/>
        <v>154935.98000000001</v>
      </c>
      <c r="W185" s="26">
        <f t="shared" si="26"/>
        <v>16.21</v>
      </c>
      <c r="X185" s="128">
        <f t="shared" si="31"/>
        <v>0</v>
      </c>
      <c r="Y185" s="127">
        <f t="shared" si="32"/>
        <v>154922.68</v>
      </c>
      <c r="Z185" s="127">
        <f t="shared" si="33"/>
        <v>0</v>
      </c>
      <c r="AA185" s="127">
        <f t="shared" si="35"/>
        <v>2511296.64</v>
      </c>
      <c r="AB185" s="27"/>
      <c r="AC185" s="324"/>
      <c r="AD185" s="181">
        <f t="shared" si="25"/>
        <v>154935.98000000001</v>
      </c>
      <c r="AE185" s="181">
        <f t="shared" si="34"/>
        <v>2511512.2400000002</v>
      </c>
      <c r="AF185" s="181">
        <v>1.3</v>
      </c>
      <c r="AG185" s="181">
        <v>1.3</v>
      </c>
      <c r="AH185" s="363" t="str">
        <f t="shared" si="36"/>
        <v/>
      </c>
      <c r="AI185" s="194">
        <f>AI159</f>
        <v>154922.68</v>
      </c>
      <c r="AJ185" s="188">
        <v>154935.98000000001</v>
      </c>
      <c r="AN185" s="70"/>
      <c r="AO185" s="367"/>
      <c r="AP185" s="367"/>
      <c r="AQ185" s="367"/>
    </row>
    <row r="186" spans="1:43" ht="39" x14ac:dyDescent="0.3">
      <c r="A186" s="134" t="s">
        <v>1320</v>
      </c>
      <c r="B186" s="135" t="s">
        <v>1321</v>
      </c>
      <c r="C186" s="204" t="s">
        <v>325</v>
      </c>
      <c r="D186" s="133"/>
      <c r="E186" s="78"/>
      <c r="F186" s="163">
        <v>18</v>
      </c>
      <c r="G186" s="62"/>
      <c r="H186" s="62"/>
      <c r="I186" s="62"/>
      <c r="J186" s="290">
        <v>79588.210000000006</v>
      </c>
      <c r="K186" s="62">
        <v>1432587.78</v>
      </c>
      <c r="L186" s="93"/>
      <c r="N186" s="46">
        <v>18</v>
      </c>
      <c r="O186" s="46">
        <v>0</v>
      </c>
      <c r="P186" s="46">
        <v>1432587.78</v>
      </c>
      <c r="Q186" s="98"/>
      <c r="R186" s="23" t="s">
        <v>1384</v>
      </c>
      <c r="S186" s="24" t="s">
        <v>1321</v>
      </c>
      <c r="T186" s="25" t="s">
        <v>325</v>
      </c>
      <c r="U186" s="26">
        <v>0</v>
      </c>
      <c r="V186" s="26">
        <f t="shared" si="30"/>
        <v>18</v>
      </c>
      <c r="W186" s="26">
        <f t="shared" si="26"/>
        <v>79588.210000000006</v>
      </c>
      <c r="X186" s="127">
        <f t="shared" si="31"/>
        <v>0</v>
      </c>
      <c r="Y186" s="127">
        <f t="shared" si="32"/>
        <v>18</v>
      </c>
      <c r="Z186" s="127">
        <f t="shared" si="33"/>
        <v>0</v>
      </c>
      <c r="AA186" s="127">
        <f t="shared" si="35"/>
        <v>1432587.78</v>
      </c>
      <c r="AB186" s="27"/>
      <c r="AC186" s="324"/>
      <c r="AD186" s="181">
        <f t="shared" si="25"/>
        <v>18</v>
      </c>
      <c r="AE186" s="181">
        <f t="shared" si="34"/>
        <v>1432587.78</v>
      </c>
      <c r="AF186" s="181">
        <v>1.3</v>
      </c>
      <c r="AG186" s="181">
        <v>1.3</v>
      </c>
      <c r="AH186" s="363" t="str">
        <f t="shared" si="36"/>
        <v/>
      </c>
      <c r="AI186" s="194">
        <v>18</v>
      </c>
      <c r="AJ186" s="188">
        <v>18</v>
      </c>
      <c r="AN186" s="70"/>
      <c r="AO186" s="367"/>
      <c r="AP186" s="367"/>
      <c r="AQ186" s="367"/>
    </row>
    <row r="187" spans="1:43" ht="39" x14ac:dyDescent="0.3">
      <c r="A187" s="144" t="s">
        <v>1322</v>
      </c>
      <c r="B187" s="145" t="s">
        <v>1323</v>
      </c>
      <c r="C187" s="206" t="s">
        <v>325</v>
      </c>
      <c r="D187" s="170"/>
      <c r="E187" s="147"/>
      <c r="F187" s="164">
        <v>2</v>
      </c>
      <c r="G187" s="62"/>
      <c r="H187" s="62">
        <v>3</v>
      </c>
      <c r="I187" s="62"/>
      <c r="J187" s="290">
        <v>120491.2</v>
      </c>
      <c r="K187" s="148">
        <v>361473.6</v>
      </c>
      <c r="L187" s="149"/>
      <c r="N187" s="46">
        <v>3</v>
      </c>
      <c r="O187" s="46">
        <v>0</v>
      </c>
      <c r="P187" s="46">
        <v>361473.6</v>
      </c>
      <c r="Q187" s="98"/>
      <c r="R187" s="23" t="s">
        <v>1385</v>
      </c>
      <c r="S187" s="24" t="s">
        <v>1323</v>
      </c>
      <c r="T187" s="25" t="s">
        <v>325</v>
      </c>
      <c r="U187" s="26">
        <v>0</v>
      </c>
      <c r="V187" s="26">
        <f t="shared" si="30"/>
        <v>3</v>
      </c>
      <c r="W187" s="26">
        <f t="shared" si="26"/>
        <v>120491.2</v>
      </c>
      <c r="X187" s="127">
        <f t="shared" si="31"/>
        <v>0</v>
      </c>
      <c r="Y187" s="127">
        <f t="shared" si="32"/>
        <v>3</v>
      </c>
      <c r="Z187" s="127">
        <f t="shared" si="33"/>
        <v>0</v>
      </c>
      <c r="AA187" s="127">
        <f t="shared" si="35"/>
        <v>361473.6</v>
      </c>
      <c r="AB187" s="27"/>
      <c r="AC187" s="324"/>
      <c r="AD187" s="181">
        <f t="shared" si="25"/>
        <v>3</v>
      </c>
      <c r="AE187" s="181">
        <f t="shared" si="34"/>
        <v>361473.6</v>
      </c>
      <c r="AF187" s="181">
        <v>1.3</v>
      </c>
      <c r="AG187" s="181">
        <v>1.3</v>
      </c>
      <c r="AH187" s="363" t="str">
        <f t="shared" si="36"/>
        <v/>
      </c>
      <c r="AI187" s="194">
        <v>3</v>
      </c>
      <c r="AJ187" s="188">
        <v>3</v>
      </c>
      <c r="AN187" s="282"/>
      <c r="AO187" s="367"/>
      <c r="AP187" s="367"/>
      <c r="AQ187" s="367"/>
    </row>
    <row r="188" spans="1:43" s="282" customFormat="1" ht="58.5" x14ac:dyDescent="0.3">
      <c r="A188" s="272" t="s">
        <v>3194</v>
      </c>
      <c r="B188" s="276" t="s">
        <v>3189</v>
      </c>
      <c r="C188" s="274" t="s">
        <v>30</v>
      </c>
      <c r="D188" s="288"/>
      <c r="E188" s="288"/>
      <c r="F188" s="275"/>
      <c r="G188" s="275"/>
      <c r="H188" s="275"/>
      <c r="I188" s="346">
        <v>120</v>
      </c>
      <c r="J188" s="288">
        <v>273.47000000000003</v>
      </c>
      <c r="K188" s="275">
        <v>32816.400000000001</v>
      </c>
      <c r="L188" s="277"/>
      <c r="M188" s="278"/>
      <c r="N188" s="42">
        <v>120</v>
      </c>
      <c r="O188" s="42">
        <v>32816.400000000001</v>
      </c>
      <c r="P188" s="42">
        <v>32816.400000000001</v>
      </c>
      <c r="Q188" s="98"/>
      <c r="R188" s="13" t="s">
        <v>1446</v>
      </c>
      <c r="S188" s="286" t="str">
        <f t="shared" ref="S188:T192" si="37">B188</f>
        <v>2"PVC管埋設(含接頭、彎管、導線佈設等)</v>
      </c>
      <c r="T188" s="287" t="str">
        <f t="shared" si="37"/>
        <v>M</v>
      </c>
      <c r="U188" s="16"/>
      <c r="V188" s="16">
        <f t="shared" si="30"/>
        <v>120</v>
      </c>
      <c r="W188" s="16">
        <f t="shared" si="26"/>
        <v>273.47000000000003</v>
      </c>
      <c r="X188" s="128">
        <f t="shared" si="31"/>
        <v>0</v>
      </c>
      <c r="Y188" s="127">
        <f t="shared" si="32"/>
        <v>120</v>
      </c>
      <c r="Z188" s="127">
        <f t="shared" si="33"/>
        <v>0</v>
      </c>
      <c r="AA188" s="127">
        <f t="shared" si="35"/>
        <v>32816.400000000001</v>
      </c>
      <c r="AB188" s="17"/>
      <c r="AC188" s="324"/>
      <c r="AD188" s="181">
        <f t="shared" si="25"/>
        <v>120</v>
      </c>
      <c r="AE188" s="181">
        <f t="shared" si="34"/>
        <v>32816.400000000001</v>
      </c>
      <c r="AF188" s="181">
        <v>1.3</v>
      </c>
      <c r="AG188" s="181">
        <v>1.3</v>
      </c>
      <c r="AH188" s="364"/>
      <c r="AI188" s="374">
        <v>120</v>
      </c>
      <c r="AJ188" s="190">
        <v>120</v>
      </c>
      <c r="AO188" s="367"/>
      <c r="AP188" s="367"/>
      <c r="AQ188" s="367"/>
    </row>
    <row r="189" spans="1:43" s="282" customFormat="1" ht="58.5" x14ac:dyDescent="0.3">
      <c r="A189" s="272" t="s">
        <v>3195</v>
      </c>
      <c r="B189" s="276" t="s">
        <v>3190</v>
      </c>
      <c r="C189" s="274" t="s">
        <v>30</v>
      </c>
      <c r="D189" s="288"/>
      <c r="E189" s="288"/>
      <c r="F189" s="275"/>
      <c r="G189" s="275"/>
      <c r="H189" s="275"/>
      <c r="I189" s="346">
        <v>160</v>
      </c>
      <c r="J189" s="288">
        <v>304.22000000000003</v>
      </c>
      <c r="K189" s="275">
        <v>48675.199999999997</v>
      </c>
      <c r="L189" s="277"/>
      <c r="M189" s="278"/>
      <c r="N189" s="42">
        <v>160</v>
      </c>
      <c r="O189" s="42">
        <v>48675.199999999997</v>
      </c>
      <c r="P189" s="42">
        <v>48675.199999999997</v>
      </c>
      <c r="Q189" s="98"/>
      <c r="R189" s="13" t="s">
        <v>1447</v>
      </c>
      <c r="S189" s="286" t="str">
        <f t="shared" si="37"/>
        <v>3"PVC管埋設(含接頭、彎管、導線佈設等)</v>
      </c>
      <c r="T189" s="287" t="str">
        <f t="shared" si="37"/>
        <v>M</v>
      </c>
      <c r="U189" s="16"/>
      <c r="V189" s="16">
        <f t="shared" si="30"/>
        <v>160</v>
      </c>
      <c r="W189" s="16">
        <f t="shared" si="26"/>
        <v>304.22000000000003</v>
      </c>
      <c r="X189" s="128">
        <f t="shared" si="31"/>
        <v>0</v>
      </c>
      <c r="Y189" s="127">
        <f t="shared" si="32"/>
        <v>160</v>
      </c>
      <c r="Z189" s="127">
        <f t="shared" si="33"/>
        <v>0</v>
      </c>
      <c r="AA189" s="127">
        <f t="shared" si="35"/>
        <v>48675.199999999997</v>
      </c>
      <c r="AB189" s="17"/>
      <c r="AC189" s="324"/>
      <c r="AD189" s="181">
        <f t="shared" si="25"/>
        <v>160</v>
      </c>
      <c r="AE189" s="181">
        <f t="shared" si="34"/>
        <v>48675.199999999997</v>
      </c>
      <c r="AF189" s="181">
        <v>1.3</v>
      </c>
      <c r="AG189" s="181">
        <v>1.3</v>
      </c>
      <c r="AH189" s="364"/>
      <c r="AI189" s="374">
        <v>160</v>
      </c>
      <c r="AJ189" s="190">
        <v>160</v>
      </c>
      <c r="AO189" s="367"/>
      <c r="AP189" s="367"/>
      <c r="AQ189" s="367"/>
    </row>
    <row r="190" spans="1:43" s="282" customFormat="1" ht="58.5" x14ac:dyDescent="0.3">
      <c r="A190" s="272" t="s">
        <v>3196</v>
      </c>
      <c r="B190" s="276" t="s">
        <v>3191</v>
      </c>
      <c r="C190" s="274" t="s">
        <v>30</v>
      </c>
      <c r="D190" s="288"/>
      <c r="E190" s="288"/>
      <c r="F190" s="275"/>
      <c r="G190" s="275"/>
      <c r="H190" s="275"/>
      <c r="I190" s="346">
        <v>480</v>
      </c>
      <c r="J190" s="288">
        <v>324.97000000000003</v>
      </c>
      <c r="K190" s="275">
        <v>155985.60000000001</v>
      </c>
      <c r="L190" s="277"/>
      <c r="M190" s="278"/>
      <c r="N190" s="42">
        <v>480</v>
      </c>
      <c r="O190" s="42">
        <v>155985.60000000001</v>
      </c>
      <c r="P190" s="42">
        <v>155985.60000000001</v>
      </c>
      <c r="Q190" s="98"/>
      <c r="R190" s="13" t="s">
        <v>1448</v>
      </c>
      <c r="S190" s="286" t="str">
        <f t="shared" si="37"/>
        <v>4"PVC管埋設(含接頭、彎管、導線佈設等)</v>
      </c>
      <c r="T190" s="287" t="str">
        <f t="shared" si="37"/>
        <v>M</v>
      </c>
      <c r="U190" s="16"/>
      <c r="V190" s="16">
        <f t="shared" si="30"/>
        <v>480</v>
      </c>
      <c r="W190" s="16">
        <f t="shared" si="26"/>
        <v>324.97000000000003</v>
      </c>
      <c r="X190" s="128">
        <f t="shared" si="31"/>
        <v>0</v>
      </c>
      <c r="Y190" s="127">
        <f t="shared" si="32"/>
        <v>480</v>
      </c>
      <c r="Z190" s="127">
        <f t="shared" si="33"/>
        <v>0</v>
      </c>
      <c r="AA190" s="127">
        <f t="shared" si="35"/>
        <v>155985.60000000001</v>
      </c>
      <c r="AB190" s="17"/>
      <c r="AC190" s="324"/>
      <c r="AD190" s="181">
        <f t="shared" si="25"/>
        <v>480</v>
      </c>
      <c r="AE190" s="181">
        <f t="shared" si="34"/>
        <v>155985.60000000001</v>
      </c>
      <c r="AF190" s="181">
        <v>1.3</v>
      </c>
      <c r="AG190" s="181">
        <v>1.3</v>
      </c>
      <c r="AH190" s="364"/>
      <c r="AI190" s="374">
        <v>480</v>
      </c>
      <c r="AJ190" s="190">
        <v>480</v>
      </c>
      <c r="AO190" s="367"/>
      <c r="AP190" s="367"/>
      <c r="AQ190" s="367"/>
    </row>
    <row r="191" spans="1:43" s="282" customFormat="1" ht="78" x14ac:dyDescent="0.3">
      <c r="A191" s="272" t="s">
        <v>3197</v>
      </c>
      <c r="B191" s="276" t="s">
        <v>3192</v>
      </c>
      <c r="C191" s="274" t="s">
        <v>30</v>
      </c>
      <c r="D191" s="288"/>
      <c r="E191" s="288"/>
      <c r="F191" s="275"/>
      <c r="G191" s="275"/>
      <c r="H191" s="275"/>
      <c r="I191" s="346">
        <v>320</v>
      </c>
      <c r="J191" s="288">
        <v>788.11</v>
      </c>
      <c r="K191" s="275">
        <v>252195.20000000001</v>
      </c>
      <c r="L191" s="277"/>
      <c r="M191" s="278"/>
      <c r="N191" s="42">
        <v>320</v>
      </c>
      <c r="O191" s="42">
        <v>252195.20000000001</v>
      </c>
      <c r="P191" s="42">
        <v>252195.20000000001</v>
      </c>
      <c r="Q191" s="98"/>
      <c r="R191" s="13" t="s">
        <v>1449</v>
      </c>
      <c r="S191" s="286" t="str">
        <f t="shared" si="37"/>
        <v>6"PVC管埋設及附掛(含接頭、彎管及吊架、過管補強版等)</v>
      </c>
      <c r="T191" s="287" t="str">
        <f t="shared" si="37"/>
        <v>M</v>
      </c>
      <c r="U191" s="16"/>
      <c r="V191" s="16">
        <f t="shared" si="30"/>
        <v>320</v>
      </c>
      <c r="W191" s="16">
        <f t="shared" si="26"/>
        <v>788.11</v>
      </c>
      <c r="X191" s="128">
        <f t="shared" si="31"/>
        <v>0</v>
      </c>
      <c r="Y191" s="127">
        <f t="shared" si="32"/>
        <v>320</v>
      </c>
      <c r="Z191" s="127">
        <f t="shared" si="33"/>
        <v>0</v>
      </c>
      <c r="AA191" s="127">
        <f t="shared" si="35"/>
        <v>252195.20000000001</v>
      </c>
      <c r="AB191" s="17"/>
      <c r="AC191" s="324"/>
      <c r="AD191" s="181">
        <f t="shared" si="25"/>
        <v>320</v>
      </c>
      <c r="AE191" s="181">
        <f t="shared" si="34"/>
        <v>252195.20000000001</v>
      </c>
      <c r="AF191" s="181">
        <v>1.3</v>
      </c>
      <c r="AG191" s="181">
        <v>1.3</v>
      </c>
      <c r="AH191" s="364"/>
      <c r="AI191" s="374">
        <v>320</v>
      </c>
      <c r="AJ191" s="190">
        <v>320</v>
      </c>
      <c r="AN191" s="369"/>
      <c r="AO191" s="368"/>
      <c r="AP191" s="367"/>
      <c r="AQ191" s="367"/>
    </row>
    <row r="192" spans="1:43" s="282" customFormat="1" ht="39" x14ac:dyDescent="0.3">
      <c r="A192" s="272" t="s">
        <v>3198</v>
      </c>
      <c r="B192" s="276" t="s">
        <v>3193</v>
      </c>
      <c r="C192" s="274" t="s">
        <v>50</v>
      </c>
      <c r="D192" s="288"/>
      <c r="E192" s="288"/>
      <c r="F192" s="275"/>
      <c r="G192" s="275"/>
      <c r="H192" s="275"/>
      <c r="I192" s="346">
        <v>131.09</v>
      </c>
      <c r="J192" s="288">
        <v>3425.4</v>
      </c>
      <c r="K192" s="275">
        <v>449035.69</v>
      </c>
      <c r="L192" s="277"/>
      <c r="M192" s="278"/>
      <c r="N192" s="42">
        <v>0</v>
      </c>
      <c r="O192" s="42">
        <v>0</v>
      </c>
      <c r="P192" s="42">
        <v>0</v>
      </c>
      <c r="Q192" s="98"/>
      <c r="R192" s="13" t="s">
        <v>1450</v>
      </c>
      <c r="S192" s="286" t="str">
        <f t="shared" si="37"/>
        <v>仿清水混凝土塗裝</v>
      </c>
      <c r="T192" s="287" t="str">
        <f t="shared" si="37"/>
        <v>M2</v>
      </c>
      <c r="U192" s="16"/>
      <c r="V192" s="16">
        <f t="shared" si="30"/>
        <v>131.09</v>
      </c>
      <c r="W192" s="16">
        <f t="shared" si="26"/>
        <v>3425.4</v>
      </c>
      <c r="X192" s="128">
        <f t="shared" si="31"/>
        <v>0</v>
      </c>
      <c r="Y192" s="127">
        <f t="shared" si="32"/>
        <v>0</v>
      </c>
      <c r="Z192" s="127">
        <f t="shared" si="33"/>
        <v>0</v>
      </c>
      <c r="AA192" s="127">
        <f t="shared" si="35"/>
        <v>0</v>
      </c>
      <c r="AB192" s="17"/>
      <c r="AC192" s="324"/>
      <c r="AD192" s="181">
        <f t="shared" si="25"/>
        <v>131.09</v>
      </c>
      <c r="AE192" s="181">
        <f t="shared" si="34"/>
        <v>449035.69</v>
      </c>
      <c r="AF192" s="181">
        <v>1.3</v>
      </c>
      <c r="AG192" s="181">
        <v>1.3</v>
      </c>
      <c r="AH192" s="364"/>
      <c r="AI192" s="374">
        <v>0</v>
      </c>
      <c r="AJ192" s="190">
        <v>131.09</v>
      </c>
      <c r="AN192" s="69"/>
      <c r="AO192" s="367"/>
      <c r="AP192" s="367"/>
      <c r="AQ192" s="367"/>
    </row>
    <row r="193" spans="1:43" s="69" customFormat="1" x14ac:dyDescent="0.3">
      <c r="A193" s="266" t="s">
        <v>487</v>
      </c>
      <c r="B193" s="267" t="s">
        <v>488</v>
      </c>
      <c r="C193" s="83" t="s">
        <v>14</v>
      </c>
      <c r="D193" s="84">
        <v>1</v>
      </c>
      <c r="E193" s="84"/>
      <c r="F193" s="84"/>
      <c r="G193" s="84"/>
      <c r="H193" s="84"/>
      <c r="I193" s="84"/>
      <c r="J193" s="84">
        <v>28303620.390000001</v>
      </c>
      <c r="K193" s="84">
        <v>28303620.390000001</v>
      </c>
      <c r="L193" s="268" t="s">
        <v>15</v>
      </c>
      <c r="M193" s="73"/>
      <c r="N193" s="45">
        <v>1</v>
      </c>
      <c r="O193" s="45">
        <v>1803810.25</v>
      </c>
      <c r="P193" s="45">
        <v>26198846.749999996</v>
      </c>
      <c r="Q193" s="98"/>
      <c r="R193" s="18" t="s">
        <v>1386</v>
      </c>
      <c r="S193" s="19" t="s">
        <v>488</v>
      </c>
      <c r="T193" s="20" t="s">
        <v>14</v>
      </c>
      <c r="U193" s="21">
        <v>1</v>
      </c>
      <c r="V193" s="21"/>
      <c r="W193" s="21">
        <f t="shared" si="26"/>
        <v>28303620.390000001</v>
      </c>
      <c r="X193" s="21">
        <f t="shared" ref="X193:Y193" si="38">IF(Z193=0,0,1)</f>
        <v>0</v>
      </c>
      <c r="Y193" s="21">
        <f t="shared" si="38"/>
        <v>1</v>
      </c>
      <c r="Z193" s="21">
        <f>SUMIFS(Z:Z,AG:AG,AF193)</f>
        <v>0</v>
      </c>
      <c r="AA193" s="21">
        <f>SUMIFS(AA:AA,AG:AG,AF193)</f>
        <v>26198846.749999996</v>
      </c>
      <c r="AB193" s="22" t="s">
        <v>15</v>
      </c>
      <c r="AC193" s="324"/>
      <c r="AD193" s="181">
        <f t="shared" si="25"/>
        <v>1</v>
      </c>
      <c r="AE193" s="184"/>
      <c r="AF193" s="184">
        <v>1.4</v>
      </c>
      <c r="AG193" s="184"/>
      <c r="AH193" s="363" t="str">
        <f t="shared" si="36"/>
        <v/>
      </c>
      <c r="AI193" s="192">
        <v>1</v>
      </c>
      <c r="AJ193" s="188">
        <v>1</v>
      </c>
      <c r="AO193" s="367"/>
      <c r="AP193" s="367"/>
      <c r="AQ193" s="367"/>
    </row>
    <row r="194" spans="1:43" s="69" customFormat="1" ht="58.5" x14ac:dyDescent="0.3">
      <c r="A194" s="130" t="s">
        <v>489</v>
      </c>
      <c r="B194" s="131" t="s">
        <v>392</v>
      </c>
      <c r="C194" s="132" t="s">
        <v>23</v>
      </c>
      <c r="D194" s="133">
        <v>20</v>
      </c>
      <c r="E194" s="75"/>
      <c r="F194" s="75"/>
      <c r="G194" s="75"/>
      <c r="H194" s="75"/>
      <c r="I194" s="75"/>
      <c r="J194" s="75">
        <v>3115.13</v>
      </c>
      <c r="K194" s="75">
        <v>62302.6</v>
      </c>
      <c r="L194" s="91" t="s">
        <v>114</v>
      </c>
      <c r="M194" s="73"/>
      <c r="N194" s="46">
        <v>19.45</v>
      </c>
      <c r="O194" s="46">
        <v>0</v>
      </c>
      <c r="P194" s="46">
        <v>60589.279999999999</v>
      </c>
      <c r="Q194" s="98"/>
      <c r="R194" s="23" t="s">
        <v>1421</v>
      </c>
      <c r="S194" s="24" t="s">
        <v>392</v>
      </c>
      <c r="T194" s="25" t="s">
        <v>23</v>
      </c>
      <c r="U194" s="26">
        <v>20</v>
      </c>
      <c r="V194" s="26">
        <f t="shared" ref="V194:V222" si="39">IF(I194&gt;0,I194,IF(H194&gt;0,H194,IF(G194&gt;0,G194,IF(F194&gt;0,F194,IF(E194&gt;0,E194,D194)))))</f>
        <v>20</v>
      </c>
      <c r="W194" s="26">
        <f t="shared" si="26"/>
        <v>3115.13</v>
      </c>
      <c r="X194" s="127">
        <f t="shared" ref="X194:X222" si="40">AI194-N194</f>
        <v>0</v>
      </c>
      <c r="Y194" s="127">
        <f t="shared" ref="Y194:Y267" si="41">X194+N194</f>
        <v>19.45</v>
      </c>
      <c r="Z194" s="127">
        <f t="shared" ref="Z194:Z222" si="42">AA194-P194</f>
        <v>0</v>
      </c>
      <c r="AA194" s="127">
        <f t="shared" si="35"/>
        <v>60589.279999999999</v>
      </c>
      <c r="AB194" s="33" t="s">
        <v>15</v>
      </c>
      <c r="AC194" s="324"/>
      <c r="AD194" s="181">
        <f t="shared" si="25"/>
        <v>20</v>
      </c>
      <c r="AE194" s="181">
        <f t="shared" ref="AE194:AE241" si="43">ROUND(W194*AD194,2)</f>
        <v>62302.6</v>
      </c>
      <c r="AF194" s="181">
        <v>1.4</v>
      </c>
      <c r="AG194" s="181">
        <v>1.4</v>
      </c>
      <c r="AH194" s="363" t="str">
        <f t="shared" si="36"/>
        <v/>
      </c>
      <c r="AI194" s="194">
        <v>19.45</v>
      </c>
      <c r="AJ194" s="188">
        <v>20</v>
      </c>
      <c r="AO194" s="367"/>
      <c r="AP194" s="367"/>
      <c r="AQ194" s="367"/>
    </row>
    <row r="195" spans="1:43" s="69" customFormat="1" ht="58.5" x14ac:dyDescent="0.3">
      <c r="A195" s="130" t="s">
        <v>490</v>
      </c>
      <c r="B195" s="131" t="s">
        <v>116</v>
      </c>
      <c r="C195" s="132" t="s">
        <v>23</v>
      </c>
      <c r="D195" s="133">
        <v>354</v>
      </c>
      <c r="E195" s="75"/>
      <c r="F195" s="75"/>
      <c r="G195" s="75"/>
      <c r="H195" s="75"/>
      <c r="I195" s="75"/>
      <c r="J195" s="75">
        <v>3321.13</v>
      </c>
      <c r="K195" s="75">
        <v>1175680.02</v>
      </c>
      <c r="L195" s="91" t="s">
        <v>117</v>
      </c>
      <c r="M195" s="73"/>
      <c r="N195" s="46">
        <v>326.60000000000002</v>
      </c>
      <c r="O195" s="46">
        <v>0</v>
      </c>
      <c r="P195" s="46">
        <v>1084681.06</v>
      </c>
      <c r="Q195" s="98"/>
      <c r="R195" s="23" t="s">
        <v>1426</v>
      </c>
      <c r="S195" s="24" t="s">
        <v>116</v>
      </c>
      <c r="T195" s="25" t="s">
        <v>23</v>
      </c>
      <c r="U195" s="26">
        <v>354</v>
      </c>
      <c r="V195" s="26">
        <f t="shared" si="39"/>
        <v>354</v>
      </c>
      <c r="W195" s="26">
        <f t="shared" si="26"/>
        <v>3321.13</v>
      </c>
      <c r="X195" s="127">
        <f t="shared" si="40"/>
        <v>0</v>
      </c>
      <c r="Y195" s="127">
        <f t="shared" si="41"/>
        <v>326.60000000000002</v>
      </c>
      <c r="Z195" s="127">
        <f t="shared" si="42"/>
        <v>0</v>
      </c>
      <c r="AA195" s="127">
        <f t="shared" si="35"/>
        <v>1084681.06</v>
      </c>
      <c r="AB195" s="33" t="s">
        <v>15</v>
      </c>
      <c r="AC195" s="324"/>
      <c r="AD195" s="181">
        <f t="shared" si="25"/>
        <v>354</v>
      </c>
      <c r="AE195" s="181">
        <f t="shared" si="43"/>
        <v>1175680.02</v>
      </c>
      <c r="AF195" s="181">
        <v>1.4</v>
      </c>
      <c r="AG195" s="181">
        <v>1.4</v>
      </c>
      <c r="AH195" s="363" t="str">
        <f t="shared" si="36"/>
        <v/>
      </c>
      <c r="AI195" s="194">
        <v>326.60000000000002</v>
      </c>
      <c r="AJ195" s="188">
        <v>354</v>
      </c>
      <c r="AO195" s="367"/>
      <c r="AP195" s="367"/>
      <c r="AQ195" s="367"/>
    </row>
    <row r="196" spans="1:43" s="69" customFormat="1" ht="58.5" x14ac:dyDescent="0.3">
      <c r="A196" s="130" t="s">
        <v>491</v>
      </c>
      <c r="B196" s="131" t="s">
        <v>395</v>
      </c>
      <c r="C196" s="132" t="s">
        <v>23</v>
      </c>
      <c r="D196" s="133">
        <v>690</v>
      </c>
      <c r="E196" s="203"/>
      <c r="F196" s="203">
        <v>0</v>
      </c>
      <c r="G196" s="203"/>
      <c r="H196" s="203"/>
      <c r="I196" s="203"/>
      <c r="J196" s="75">
        <v>3643.73</v>
      </c>
      <c r="K196" s="75">
        <v>0</v>
      </c>
      <c r="L196" s="91" t="s">
        <v>396</v>
      </c>
      <c r="M196" s="73"/>
      <c r="N196" s="46">
        <v>0</v>
      </c>
      <c r="O196" s="46">
        <v>0</v>
      </c>
      <c r="P196" s="46">
        <v>0</v>
      </c>
      <c r="Q196" s="98"/>
      <c r="R196" s="23" t="s">
        <v>1402</v>
      </c>
      <c r="S196" s="24" t="s">
        <v>395</v>
      </c>
      <c r="T196" s="25" t="s">
        <v>23</v>
      </c>
      <c r="U196" s="26">
        <v>690</v>
      </c>
      <c r="V196" s="26">
        <v>0</v>
      </c>
      <c r="W196" s="26">
        <f t="shared" si="26"/>
        <v>3643.73</v>
      </c>
      <c r="X196" s="127">
        <f t="shared" si="40"/>
        <v>0</v>
      </c>
      <c r="Y196" s="127">
        <f t="shared" si="41"/>
        <v>0</v>
      </c>
      <c r="Z196" s="127">
        <f t="shared" si="42"/>
        <v>0</v>
      </c>
      <c r="AA196" s="127">
        <f t="shared" si="35"/>
        <v>0</v>
      </c>
      <c r="AB196" s="33" t="s">
        <v>15</v>
      </c>
      <c r="AC196" s="324"/>
      <c r="AD196" s="181">
        <v>0</v>
      </c>
      <c r="AE196" s="181">
        <f t="shared" si="43"/>
        <v>0</v>
      </c>
      <c r="AF196" s="181">
        <v>1.4</v>
      </c>
      <c r="AG196" s="181">
        <v>1.4</v>
      </c>
      <c r="AH196" s="363" t="str">
        <f t="shared" si="36"/>
        <v/>
      </c>
      <c r="AI196" s="194">
        <v>0</v>
      </c>
      <c r="AJ196" s="188">
        <v>0</v>
      </c>
      <c r="AO196" s="367"/>
      <c r="AP196" s="367"/>
      <c r="AQ196" s="367"/>
    </row>
    <row r="197" spans="1:43" s="69" customFormat="1" ht="33" customHeight="1" x14ac:dyDescent="0.3">
      <c r="A197" s="130" t="s">
        <v>492</v>
      </c>
      <c r="B197" s="131" t="s">
        <v>493</v>
      </c>
      <c r="C197" s="132" t="s">
        <v>23</v>
      </c>
      <c r="D197" s="133">
        <v>1065</v>
      </c>
      <c r="E197" s="203"/>
      <c r="F197" s="203"/>
      <c r="G197" s="203"/>
      <c r="H197" s="203">
        <v>1900.83</v>
      </c>
      <c r="I197" s="203"/>
      <c r="J197" s="75">
        <v>200</v>
      </c>
      <c r="K197" s="75">
        <v>380166</v>
      </c>
      <c r="L197" s="91" t="s">
        <v>494</v>
      </c>
      <c r="M197" s="73"/>
      <c r="N197" s="46">
        <v>1815.71</v>
      </c>
      <c r="O197" s="46">
        <v>0</v>
      </c>
      <c r="P197" s="46">
        <v>363142</v>
      </c>
      <c r="Q197" s="98"/>
      <c r="R197" s="23" t="s">
        <v>1373</v>
      </c>
      <c r="S197" s="24" t="s">
        <v>493</v>
      </c>
      <c r="T197" s="25" t="s">
        <v>23</v>
      </c>
      <c r="U197" s="26">
        <v>1065</v>
      </c>
      <c r="V197" s="26">
        <f t="shared" si="39"/>
        <v>1900.83</v>
      </c>
      <c r="W197" s="26">
        <f t="shared" si="26"/>
        <v>200</v>
      </c>
      <c r="X197" s="127">
        <f>AI197-N197</f>
        <v>0</v>
      </c>
      <c r="Y197" s="127">
        <f t="shared" si="41"/>
        <v>1815.71</v>
      </c>
      <c r="Z197" s="127">
        <f t="shared" si="42"/>
        <v>0</v>
      </c>
      <c r="AA197" s="127">
        <f t="shared" si="35"/>
        <v>363142</v>
      </c>
      <c r="AB197" s="33" t="s">
        <v>15</v>
      </c>
      <c r="AC197" s="324"/>
      <c r="AD197" s="181">
        <f t="shared" si="25"/>
        <v>1900.83</v>
      </c>
      <c r="AE197" s="181">
        <f t="shared" si="43"/>
        <v>380166</v>
      </c>
      <c r="AF197" s="181">
        <v>1.4</v>
      </c>
      <c r="AG197" s="181">
        <v>1.4</v>
      </c>
      <c r="AH197" s="363" t="str">
        <f t="shared" si="36"/>
        <v/>
      </c>
      <c r="AI197" s="194">
        <v>1815.71</v>
      </c>
      <c r="AJ197" s="188">
        <v>1900.83</v>
      </c>
      <c r="AO197" s="367"/>
      <c r="AP197" s="367"/>
      <c r="AQ197" s="367"/>
    </row>
    <row r="198" spans="1:43" s="69" customFormat="1" ht="57.75" x14ac:dyDescent="0.3">
      <c r="A198" s="130" t="s">
        <v>495</v>
      </c>
      <c r="B198" s="131" t="s">
        <v>405</v>
      </c>
      <c r="C198" s="132" t="s">
        <v>50</v>
      </c>
      <c r="D198" s="133">
        <v>1229</v>
      </c>
      <c r="E198" s="203"/>
      <c r="F198" s="203"/>
      <c r="G198" s="203"/>
      <c r="H198" s="203">
        <v>1437.49</v>
      </c>
      <c r="I198" s="203"/>
      <c r="J198" s="75">
        <v>982.98</v>
      </c>
      <c r="K198" s="75">
        <v>1413023.92</v>
      </c>
      <c r="L198" s="91" t="s">
        <v>406</v>
      </c>
      <c r="M198" s="73"/>
      <c r="N198" s="46">
        <v>1435.8</v>
      </c>
      <c r="O198" s="46">
        <v>0</v>
      </c>
      <c r="P198" s="46">
        <v>1411362.68</v>
      </c>
      <c r="Q198" s="98"/>
      <c r="R198" s="23" t="s">
        <v>1393</v>
      </c>
      <c r="S198" s="24" t="s">
        <v>405</v>
      </c>
      <c r="T198" s="25" t="s">
        <v>50</v>
      </c>
      <c r="U198" s="26">
        <v>1229</v>
      </c>
      <c r="V198" s="26">
        <f t="shared" si="39"/>
        <v>1437.49</v>
      </c>
      <c r="W198" s="26">
        <f t="shared" si="26"/>
        <v>982.98</v>
      </c>
      <c r="X198" s="127">
        <f t="shared" si="40"/>
        <v>0</v>
      </c>
      <c r="Y198" s="127">
        <f t="shared" si="41"/>
        <v>1435.8</v>
      </c>
      <c r="Z198" s="127">
        <f t="shared" si="42"/>
        <v>0</v>
      </c>
      <c r="AA198" s="127">
        <f t="shared" si="35"/>
        <v>1411362.68</v>
      </c>
      <c r="AB198" s="33" t="s">
        <v>15</v>
      </c>
      <c r="AC198" s="325"/>
      <c r="AD198" s="263">
        <f t="shared" si="25"/>
        <v>1437.49</v>
      </c>
      <c r="AE198" s="263">
        <f t="shared" si="43"/>
        <v>1413023.92</v>
      </c>
      <c r="AF198" s="263">
        <v>1.4</v>
      </c>
      <c r="AG198" s="263">
        <v>1.4</v>
      </c>
      <c r="AH198" s="68" t="str">
        <f t="shared" si="36"/>
        <v/>
      </c>
      <c r="AI198" s="194">
        <f>1349+86.8</f>
        <v>1435.8</v>
      </c>
      <c r="AJ198" s="188">
        <v>1437.49</v>
      </c>
      <c r="AO198" s="367"/>
      <c r="AP198" s="367"/>
      <c r="AQ198" s="367"/>
    </row>
    <row r="199" spans="1:43" s="69" customFormat="1" ht="41.25" x14ac:dyDescent="0.3">
      <c r="A199" s="130" t="s">
        <v>496</v>
      </c>
      <c r="B199" s="131" t="s">
        <v>408</v>
      </c>
      <c r="C199" s="132" t="s">
        <v>50</v>
      </c>
      <c r="D199" s="133">
        <v>285</v>
      </c>
      <c r="E199" s="203"/>
      <c r="F199" s="203"/>
      <c r="G199" s="203"/>
      <c r="H199" s="203">
        <v>685.45</v>
      </c>
      <c r="I199" s="203"/>
      <c r="J199" s="75">
        <v>804.79</v>
      </c>
      <c r="K199" s="75">
        <v>551643.31000000006</v>
      </c>
      <c r="L199" s="91" t="s">
        <v>409</v>
      </c>
      <c r="M199" s="73"/>
      <c r="N199" s="46">
        <v>684.2</v>
      </c>
      <c r="O199" s="46">
        <v>0</v>
      </c>
      <c r="P199" s="46">
        <v>550637.31999999995</v>
      </c>
      <c r="Q199" s="98"/>
      <c r="R199" s="23" t="s">
        <v>1403</v>
      </c>
      <c r="S199" s="24" t="s">
        <v>408</v>
      </c>
      <c r="T199" s="25" t="s">
        <v>50</v>
      </c>
      <c r="U199" s="26">
        <v>285</v>
      </c>
      <c r="V199" s="26">
        <f t="shared" si="39"/>
        <v>685.45</v>
      </c>
      <c r="W199" s="26">
        <f t="shared" si="26"/>
        <v>804.79</v>
      </c>
      <c r="X199" s="127">
        <f t="shared" si="40"/>
        <v>0</v>
      </c>
      <c r="Y199" s="127">
        <f t="shared" si="41"/>
        <v>684.2</v>
      </c>
      <c r="Z199" s="127">
        <f t="shared" si="42"/>
        <v>0</v>
      </c>
      <c r="AA199" s="127">
        <f t="shared" si="35"/>
        <v>550637.31999999995</v>
      </c>
      <c r="AB199" s="33" t="s">
        <v>15</v>
      </c>
      <c r="AC199" s="325"/>
      <c r="AD199" s="263">
        <f t="shared" si="25"/>
        <v>685.45</v>
      </c>
      <c r="AE199" s="263">
        <f t="shared" si="43"/>
        <v>551643.31000000006</v>
      </c>
      <c r="AF199" s="263">
        <v>1.4</v>
      </c>
      <c r="AG199" s="263">
        <v>1.4</v>
      </c>
      <c r="AH199" s="68" t="str">
        <f t="shared" si="36"/>
        <v/>
      </c>
      <c r="AI199" s="194">
        <f>551+133.2</f>
        <v>684.2</v>
      </c>
      <c r="AJ199" s="188">
        <v>685.45</v>
      </c>
      <c r="AO199" s="367"/>
      <c r="AP199" s="367"/>
      <c r="AQ199" s="367"/>
    </row>
    <row r="200" spans="1:43" s="69" customFormat="1" ht="33" x14ac:dyDescent="0.3">
      <c r="A200" s="130" t="s">
        <v>497</v>
      </c>
      <c r="B200" s="131" t="s">
        <v>109</v>
      </c>
      <c r="C200" s="132" t="s">
        <v>110</v>
      </c>
      <c r="D200" s="133">
        <v>13716</v>
      </c>
      <c r="E200" s="203"/>
      <c r="F200" s="203"/>
      <c r="G200" s="203"/>
      <c r="H200" s="203">
        <v>18482.54</v>
      </c>
      <c r="I200" s="203"/>
      <c r="J200" s="75">
        <v>36.4</v>
      </c>
      <c r="K200" s="75">
        <v>672764.46</v>
      </c>
      <c r="L200" s="91" t="s">
        <v>111</v>
      </c>
      <c r="M200" s="73"/>
      <c r="N200" s="46">
        <v>18475.939999999999</v>
      </c>
      <c r="O200" s="46">
        <v>0</v>
      </c>
      <c r="P200" s="46">
        <v>672524.22</v>
      </c>
      <c r="Q200" s="98"/>
      <c r="R200" s="23" t="s">
        <v>1427</v>
      </c>
      <c r="S200" s="24" t="s">
        <v>109</v>
      </c>
      <c r="T200" s="25" t="s">
        <v>110</v>
      </c>
      <c r="U200" s="26">
        <v>13716</v>
      </c>
      <c r="V200" s="26">
        <f t="shared" si="39"/>
        <v>18482.54</v>
      </c>
      <c r="W200" s="26">
        <f t="shared" si="26"/>
        <v>36.4</v>
      </c>
      <c r="X200" s="127">
        <f t="shared" si="40"/>
        <v>0</v>
      </c>
      <c r="Y200" s="127">
        <f t="shared" si="41"/>
        <v>18475.939999999999</v>
      </c>
      <c r="Z200" s="127">
        <f t="shared" si="42"/>
        <v>0</v>
      </c>
      <c r="AA200" s="127">
        <f t="shared" si="35"/>
        <v>672524.22</v>
      </c>
      <c r="AB200" s="33" t="s">
        <v>15</v>
      </c>
      <c r="AC200" s="325"/>
      <c r="AD200" s="263">
        <f t="shared" si="25"/>
        <v>18482.54</v>
      </c>
      <c r="AE200" s="263">
        <f t="shared" si="43"/>
        <v>672764.46</v>
      </c>
      <c r="AF200" s="263">
        <v>1.4</v>
      </c>
      <c r="AG200" s="263">
        <v>1.4</v>
      </c>
      <c r="AH200" s="68" t="str">
        <f t="shared" si="36"/>
        <v/>
      </c>
      <c r="AI200" s="194">
        <f>13110.94+5365</f>
        <v>18475.940000000002</v>
      </c>
      <c r="AJ200" s="188">
        <v>18482.54</v>
      </c>
      <c r="AO200" s="367"/>
      <c r="AP200" s="367"/>
      <c r="AQ200" s="367"/>
    </row>
    <row r="201" spans="1:43" s="69" customFormat="1" ht="33" x14ac:dyDescent="0.3">
      <c r="A201" s="130" t="s">
        <v>498</v>
      </c>
      <c r="B201" s="131" t="s">
        <v>399</v>
      </c>
      <c r="C201" s="132" t="s">
        <v>110</v>
      </c>
      <c r="D201" s="133">
        <v>13810</v>
      </c>
      <c r="E201" s="203"/>
      <c r="F201" s="203"/>
      <c r="G201" s="203"/>
      <c r="H201" s="203">
        <v>36577.19</v>
      </c>
      <c r="I201" s="225"/>
      <c r="J201" s="75">
        <v>38.71</v>
      </c>
      <c r="K201" s="75">
        <v>1415903.02</v>
      </c>
      <c r="L201" s="91" t="s">
        <v>400</v>
      </c>
      <c r="M201" s="73"/>
      <c r="N201" s="46">
        <v>36483.800000000003</v>
      </c>
      <c r="O201" s="46">
        <v>0</v>
      </c>
      <c r="P201" s="46">
        <v>1412287.9</v>
      </c>
      <c r="Q201" s="98"/>
      <c r="R201" s="23" t="s">
        <v>1428</v>
      </c>
      <c r="S201" s="24" t="s">
        <v>399</v>
      </c>
      <c r="T201" s="25" t="s">
        <v>110</v>
      </c>
      <c r="U201" s="26">
        <v>13810</v>
      </c>
      <c r="V201" s="26">
        <f t="shared" si="39"/>
        <v>36577.19</v>
      </c>
      <c r="W201" s="26">
        <f t="shared" si="26"/>
        <v>38.71</v>
      </c>
      <c r="X201" s="127">
        <f t="shared" si="40"/>
        <v>0</v>
      </c>
      <c r="Y201" s="127">
        <f t="shared" si="41"/>
        <v>36483.800000000003</v>
      </c>
      <c r="Z201" s="127">
        <f t="shared" si="42"/>
        <v>0</v>
      </c>
      <c r="AA201" s="127">
        <f t="shared" si="35"/>
        <v>1412287.9</v>
      </c>
      <c r="AB201" s="33" t="s">
        <v>15</v>
      </c>
      <c r="AC201" s="325"/>
      <c r="AD201" s="263">
        <f t="shared" si="25"/>
        <v>36577.19</v>
      </c>
      <c r="AE201" s="263">
        <f t="shared" si="43"/>
        <v>1415903.02</v>
      </c>
      <c r="AF201" s="263">
        <v>1.4</v>
      </c>
      <c r="AG201" s="263">
        <v>1.4</v>
      </c>
      <c r="AH201" s="68" t="str">
        <f t="shared" si="36"/>
        <v/>
      </c>
      <c r="AI201" s="194">
        <f>28173+8310.8</f>
        <v>36483.800000000003</v>
      </c>
      <c r="AJ201" s="188">
        <v>36577.19</v>
      </c>
      <c r="AO201" s="367"/>
      <c r="AP201" s="367"/>
      <c r="AQ201" s="367"/>
    </row>
    <row r="202" spans="1:43" s="69" customFormat="1" ht="39" x14ac:dyDescent="0.3">
      <c r="A202" s="130" t="s">
        <v>499</v>
      </c>
      <c r="B202" s="131" t="s">
        <v>500</v>
      </c>
      <c r="C202" s="132" t="s">
        <v>50</v>
      </c>
      <c r="D202" s="133">
        <v>699</v>
      </c>
      <c r="E202" s="203"/>
      <c r="F202" s="203">
        <v>754.47</v>
      </c>
      <c r="G202" s="203"/>
      <c r="H202" s="162">
        <v>762.55</v>
      </c>
      <c r="I202" s="295"/>
      <c r="J202" s="166">
        <v>2510.79</v>
      </c>
      <c r="K202" s="75">
        <v>1914602.91</v>
      </c>
      <c r="L202" s="91" t="s">
        <v>501</v>
      </c>
      <c r="M202" s="73"/>
      <c r="N202" s="46">
        <v>762.55</v>
      </c>
      <c r="O202" s="46">
        <v>20714.010000000009</v>
      </c>
      <c r="P202" s="46">
        <v>1914602.91</v>
      </c>
      <c r="Q202" s="98"/>
      <c r="R202" s="23" t="s">
        <v>1387</v>
      </c>
      <c r="S202" s="24" t="s">
        <v>500</v>
      </c>
      <c r="T202" s="25" t="s">
        <v>50</v>
      </c>
      <c r="U202" s="26">
        <v>699</v>
      </c>
      <c r="V202" s="26">
        <f t="shared" si="39"/>
        <v>762.55</v>
      </c>
      <c r="W202" s="26">
        <f t="shared" si="26"/>
        <v>2510.79</v>
      </c>
      <c r="X202" s="128">
        <f t="shared" si="40"/>
        <v>0</v>
      </c>
      <c r="Y202" s="127">
        <f t="shared" si="41"/>
        <v>762.55</v>
      </c>
      <c r="Z202" s="127">
        <f t="shared" si="42"/>
        <v>0</v>
      </c>
      <c r="AA202" s="127">
        <f t="shared" si="35"/>
        <v>1914602.91</v>
      </c>
      <c r="AB202" s="27"/>
      <c r="AC202" s="325"/>
      <c r="AD202" s="263">
        <f t="shared" ref="AD202:AD265" si="44">IF(V202=0,U202,V202)</f>
        <v>762.55</v>
      </c>
      <c r="AE202" s="263">
        <f t="shared" si="43"/>
        <v>1914602.91</v>
      </c>
      <c r="AF202" s="263">
        <v>1.4</v>
      </c>
      <c r="AG202" s="263">
        <v>1.4</v>
      </c>
      <c r="AH202" s="68" t="str">
        <f t="shared" si="36"/>
        <v/>
      </c>
      <c r="AI202" s="194">
        <f>754.3+8.25</f>
        <v>762.55</v>
      </c>
      <c r="AJ202" s="188">
        <v>762.55</v>
      </c>
      <c r="AO202" s="367"/>
      <c r="AP202" s="367"/>
      <c r="AQ202" s="367"/>
    </row>
    <row r="203" spans="1:43" s="69" customFormat="1" ht="39" x14ac:dyDescent="0.3">
      <c r="A203" s="130" t="s">
        <v>502</v>
      </c>
      <c r="B203" s="131" t="s">
        <v>503</v>
      </c>
      <c r="C203" s="132" t="s">
        <v>103</v>
      </c>
      <c r="D203" s="133">
        <v>275</v>
      </c>
      <c r="E203" s="203"/>
      <c r="F203" s="203"/>
      <c r="G203" s="203"/>
      <c r="H203" s="162">
        <v>318.56</v>
      </c>
      <c r="I203" s="295"/>
      <c r="J203" s="166">
        <v>3298.06</v>
      </c>
      <c r="K203" s="75">
        <v>1050629.99</v>
      </c>
      <c r="L203" s="91" t="s">
        <v>504</v>
      </c>
      <c r="M203" s="73"/>
      <c r="N203" s="46">
        <v>318.56</v>
      </c>
      <c r="O203" s="46">
        <v>46040.910000000033</v>
      </c>
      <c r="P203" s="46">
        <v>1050629.99</v>
      </c>
      <c r="Q203" s="98"/>
      <c r="R203" s="23" t="s">
        <v>1405</v>
      </c>
      <c r="S203" s="24" t="s">
        <v>503</v>
      </c>
      <c r="T203" s="25" t="s">
        <v>103</v>
      </c>
      <c r="U203" s="26">
        <v>275</v>
      </c>
      <c r="V203" s="26">
        <f t="shared" si="39"/>
        <v>318.56</v>
      </c>
      <c r="W203" s="26">
        <f t="shared" ref="W203:W266" si="45">J203</f>
        <v>3298.06</v>
      </c>
      <c r="X203" s="128">
        <f t="shared" si="40"/>
        <v>0</v>
      </c>
      <c r="Y203" s="127">
        <f t="shared" si="41"/>
        <v>318.56</v>
      </c>
      <c r="Z203" s="127">
        <f t="shared" si="42"/>
        <v>0</v>
      </c>
      <c r="AA203" s="127">
        <f t="shared" si="35"/>
        <v>1050629.99</v>
      </c>
      <c r="AB203" s="33"/>
      <c r="AC203" s="325"/>
      <c r="AD203" s="263">
        <f t="shared" si="44"/>
        <v>318.56</v>
      </c>
      <c r="AE203" s="263">
        <f t="shared" si="43"/>
        <v>1050629.99</v>
      </c>
      <c r="AF203" s="263">
        <v>1.4</v>
      </c>
      <c r="AG203" s="263">
        <v>1.4</v>
      </c>
      <c r="AH203" s="68" t="str">
        <f t="shared" si="36"/>
        <v/>
      </c>
      <c r="AI203" s="194">
        <f>304.6+13.96</f>
        <v>318.56</v>
      </c>
      <c r="AJ203" s="188">
        <v>318.56</v>
      </c>
      <c r="AO203" s="367"/>
      <c r="AP203" s="367"/>
      <c r="AQ203" s="367"/>
    </row>
    <row r="204" spans="1:43" s="69" customFormat="1" ht="39" x14ac:dyDescent="0.3">
      <c r="A204" s="130" t="s">
        <v>505</v>
      </c>
      <c r="B204" s="131" t="s">
        <v>506</v>
      </c>
      <c r="C204" s="132" t="s">
        <v>50</v>
      </c>
      <c r="D204" s="133">
        <v>203</v>
      </c>
      <c r="E204" s="75"/>
      <c r="F204" s="75"/>
      <c r="G204" s="75"/>
      <c r="H204" s="162">
        <v>418.05</v>
      </c>
      <c r="I204" s="158"/>
      <c r="J204" s="166">
        <v>2952.19</v>
      </c>
      <c r="K204" s="75">
        <v>1234163.03</v>
      </c>
      <c r="L204" s="91" t="s">
        <v>507</v>
      </c>
      <c r="M204" s="73"/>
      <c r="N204" s="46">
        <v>418.05</v>
      </c>
      <c r="O204" s="46">
        <v>75428.449999999953</v>
      </c>
      <c r="P204" s="46">
        <v>1234163.03</v>
      </c>
      <c r="Q204" s="98"/>
      <c r="R204" s="23" t="s">
        <v>1406</v>
      </c>
      <c r="S204" s="24" t="s">
        <v>506</v>
      </c>
      <c r="T204" s="25" t="s">
        <v>50</v>
      </c>
      <c r="U204" s="26">
        <v>203</v>
      </c>
      <c r="V204" s="26">
        <f t="shared" si="39"/>
        <v>418.05</v>
      </c>
      <c r="W204" s="26">
        <f t="shared" si="45"/>
        <v>2952.19</v>
      </c>
      <c r="X204" s="128">
        <f t="shared" si="40"/>
        <v>0</v>
      </c>
      <c r="Y204" s="127">
        <f t="shared" si="41"/>
        <v>418.05</v>
      </c>
      <c r="Z204" s="127">
        <f t="shared" si="42"/>
        <v>0</v>
      </c>
      <c r="AA204" s="127">
        <f t="shared" si="35"/>
        <v>1234163.03</v>
      </c>
      <c r="AB204" s="33" t="s">
        <v>15</v>
      </c>
      <c r="AC204" s="325"/>
      <c r="AD204" s="263">
        <f t="shared" si="44"/>
        <v>418.05</v>
      </c>
      <c r="AE204" s="263">
        <f t="shared" si="43"/>
        <v>1234163.03</v>
      </c>
      <c r="AF204" s="263">
        <v>1.4</v>
      </c>
      <c r="AG204" s="263">
        <v>1.4</v>
      </c>
      <c r="AH204" s="68" t="str">
        <f t="shared" si="36"/>
        <v/>
      </c>
      <c r="AI204" s="194">
        <f>392.5+25.55</f>
        <v>418.05</v>
      </c>
      <c r="AJ204" s="188">
        <v>418.05</v>
      </c>
      <c r="AN204" s="363"/>
      <c r="AO204" s="368"/>
      <c r="AP204" s="367"/>
      <c r="AQ204" s="367"/>
    </row>
    <row r="205" spans="1:43" s="69" customFormat="1" ht="24.75" x14ac:dyDescent="0.3">
      <c r="A205" s="130" t="s">
        <v>508</v>
      </c>
      <c r="B205" s="131" t="s">
        <v>509</v>
      </c>
      <c r="C205" s="132" t="s">
        <v>50</v>
      </c>
      <c r="D205" s="133">
        <v>405</v>
      </c>
      <c r="E205" s="75"/>
      <c r="F205" s="75"/>
      <c r="G205" s="75"/>
      <c r="H205" s="161"/>
      <c r="I205" s="345">
        <v>835.62</v>
      </c>
      <c r="J205" s="166">
        <v>1454.57</v>
      </c>
      <c r="K205" s="75">
        <v>1215467.78</v>
      </c>
      <c r="L205" s="91" t="s">
        <v>510</v>
      </c>
      <c r="M205" s="73"/>
      <c r="N205" s="46">
        <v>405</v>
      </c>
      <c r="O205" s="46">
        <v>0</v>
      </c>
      <c r="P205" s="46">
        <v>589100.85</v>
      </c>
      <c r="Q205" s="98"/>
      <c r="R205" s="23" t="s">
        <v>1414</v>
      </c>
      <c r="S205" s="24" t="s">
        <v>509</v>
      </c>
      <c r="T205" s="25" t="s">
        <v>50</v>
      </c>
      <c r="U205" s="26">
        <v>405</v>
      </c>
      <c r="V205" s="26">
        <f t="shared" si="39"/>
        <v>835.62</v>
      </c>
      <c r="W205" s="26">
        <f t="shared" si="45"/>
        <v>1454.57</v>
      </c>
      <c r="X205" s="128">
        <f t="shared" si="40"/>
        <v>0</v>
      </c>
      <c r="Y205" s="127">
        <f t="shared" si="41"/>
        <v>405</v>
      </c>
      <c r="Z205" s="127">
        <f t="shared" si="42"/>
        <v>0</v>
      </c>
      <c r="AA205" s="127">
        <f t="shared" si="35"/>
        <v>589100.85</v>
      </c>
      <c r="AB205" s="33" t="s">
        <v>15</v>
      </c>
      <c r="AC205" s="324"/>
      <c r="AD205" s="181">
        <f t="shared" si="44"/>
        <v>835.62</v>
      </c>
      <c r="AE205" s="181">
        <f t="shared" si="43"/>
        <v>1215467.78</v>
      </c>
      <c r="AF205" s="181">
        <v>1.4</v>
      </c>
      <c r="AG205" s="181">
        <v>1.4</v>
      </c>
      <c r="AH205" s="363" t="str">
        <f t="shared" si="36"/>
        <v/>
      </c>
      <c r="AI205" s="194">
        <v>405</v>
      </c>
      <c r="AJ205" s="190">
        <v>835.62</v>
      </c>
      <c r="AO205" s="367"/>
      <c r="AP205" s="367"/>
      <c r="AQ205" s="367"/>
    </row>
    <row r="206" spans="1:43" s="69" customFormat="1" ht="78" x14ac:dyDescent="0.3">
      <c r="A206" s="130" t="s">
        <v>511</v>
      </c>
      <c r="B206" s="131" t="s">
        <v>512</v>
      </c>
      <c r="C206" s="132" t="s">
        <v>513</v>
      </c>
      <c r="D206" s="133">
        <v>372</v>
      </c>
      <c r="E206" s="75"/>
      <c r="F206" s="75"/>
      <c r="G206" s="75"/>
      <c r="H206" s="161"/>
      <c r="I206" s="158"/>
      <c r="J206" s="166">
        <v>435</v>
      </c>
      <c r="K206" s="75">
        <v>161820</v>
      </c>
      <c r="L206" s="91" t="s">
        <v>514</v>
      </c>
      <c r="M206" s="73"/>
      <c r="N206" s="46">
        <v>292</v>
      </c>
      <c r="O206" s="46">
        <v>0</v>
      </c>
      <c r="P206" s="46">
        <v>127020</v>
      </c>
      <c r="Q206" s="98"/>
      <c r="R206" s="23" t="s">
        <v>1429</v>
      </c>
      <c r="S206" s="24" t="s">
        <v>512</v>
      </c>
      <c r="T206" s="25" t="s">
        <v>513</v>
      </c>
      <c r="U206" s="26">
        <v>372</v>
      </c>
      <c r="V206" s="26">
        <f t="shared" si="39"/>
        <v>372</v>
      </c>
      <c r="W206" s="26">
        <f t="shared" si="45"/>
        <v>435</v>
      </c>
      <c r="X206" s="127">
        <f t="shared" si="40"/>
        <v>0</v>
      </c>
      <c r="Y206" s="127">
        <f t="shared" si="41"/>
        <v>292</v>
      </c>
      <c r="Z206" s="127">
        <f t="shared" si="42"/>
        <v>0</v>
      </c>
      <c r="AA206" s="127">
        <f t="shared" si="35"/>
        <v>127020</v>
      </c>
      <c r="AB206" s="33" t="s">
        <v>15</v>
      </c>
      <c r="AC206" s="324"/>
      <c r="AD206" s="181">
        <f t="shared" si="44"/>
        <v>372</v>
      </c>
      <c r="AE206" s="181">
        <f t="shared" si="43"/>
        <v>161820</v>
      </c>
      <c r="AF206" s="181">
        <v>1.4</v>
      </c>
      <c r="AG206" s="181">
        <v>1.4</v>
      </c>
      <c r="AH206" s="363" t="str">
        <f t="shared" si="36"/>
        <v/>
      </c>
      <c r="AI206" s="194">
        <v>292</v>
      </c>
      <c r="AJ206" s="188">
        <v>372</v>
      </c>
      <c r="AO206" s="367"/>
      <c r="AP206" s="367"/>
      <c r="AQ206" s="367"/>
    </row>
    <row r="207" spans="1:43" s="69" customFormat="1" ht="24.75" x14ac:dyDescent="0.3">
      <c r="A207" s="130" t="s">
        <v>515</v>
      </c>
      <c r="B207" s="131" t="s">
        <v>516</v>
      </c>
      <c r="C207" s="132" t="s">
        <v>50</v>
      </c>
      <c r="D207" s="133">
        <v>1984</v>
      </c>
      <c r="E207" s="75"/>
      <c r="F207" s="75"/>
      <c r="G207" s="75"/>
      <c r="H207" s="161"/>
      <c r="I207" s="158"/>
      <c r="J207" s="166">
        <v>885.8</v>
      </c>
      <c r="K207" s="75">
        <v>1757427.2</v>
      </c>
      <c r="L207" s="91" t="s">
        <v>517</v>
      </c>
      <c r="M207" s="73"/>
      <c r="N207" s="46">
        <v>1796.5</v>
      </c>
      <c r="O207" s="46">
        <v>0</v>
      </c>
      <c r="P207" s="46">
        <v>1591339.7</v>
      </c>
      <c r="Q207" s="98"/>
      <c r="R207" s="23" t="s">
        <v>1430</v>
      </c>
      <c r="S207" s="24" t="s">
        <v>516</v>
      </c>
      <c r="T207" s="25" t="s">
        <v>50</v>
      </c>
      <c r="U207" s="26">
        <v>1984</v>
      </c>
      <c r="V207" s="26">
        <f t="shared" si="39"/>
        <v>1984</v>
      </c>
      <c r="W207" s="26">
        <f t="shared" si="45"/>
        <v>885.8</v>
      </c>
      <c r="X207" s="127">
        <f t="shared" si="40"/>
        <v>0</v>
      </c>
      <c r="Y207" s="127">
        <f t="shared" si="41"/>
        <v>1796.5</v>
      </c>
      <c r="Z207" s="127">
        <f t="shared" si="42"/>
        <v>0</v>
      </c>
      <c r="AA207" s="127">
        <f t="shared" si="35"/>
        <v>1591339.7</v>
      </c>
      <c r="AB207" s="33" t="s">
        <v>15</v>
      </c>
      <c r="AC207" s="324"/>
      <c r="AD207" s="181">
        <f t="shared" si="44"/>
        <v>1984</v>
      </c>
      <c r="AE207" s="181">
        <f t="shared" si="43"/>
        <v>1757427.2</v>
      </c>
      <c r="AF207" s="181">
        <v>1.4</v>
      </c>
      <c r="AG207" s="181">
        <v>1.4</v>
      </c>
      <c r="AH207" s="363" t="str">
        <f t="shared" si="36"/>
        <v/>
      </c>
      <c r="AI207" s="192">
        <v>1796.5</v>
      </c>
      <c r="AJ207" s="188">
        <v>1984</v>
      </c>
      <c r="AO207" s="367"/>
      <c r="AP207" s="367"/>
      <c r="AQ207" s="367"/>
    </row>
    <row r="208" spans="1:43" s="69" customFormat="1" ht="24.75" x14ac:dyDescent="0.3">
      <c r="A208" s="130" t="s">
        <v>518</v>
      </c>
      <c r="B208" s="131" t="s">
        <v>189</v>
      </c>
      <c r="C208" s="132" t="s">
        <v>30</v>
      </c>
      <c r="D208" s="133">
        <v>45</v>
      </c>
      <c r="E208" s="75"/>
      <c r="F208" s="75"/>
      <c r="G208" s="75"/>
      <c r="H208" s="161"/>
      <c r="I208" s="158"/>
      <c r="J208" s="166">
        <v>138.84</v>
      </c>
      <c r="K208" s="75">
        <v>6247.8</v>
      </c>
      <c r="L208" s="91" t="s">
        <v>190</v>
      </c>
      <c r="M208" s="73"/>
      <c r="N208" s="46">
        <v>36.96</v>
      </c>
      <c r="O208" s="46">
        <v>0</v>
      </c>
      <c r="P208" s="46">
        <v>5131.53</v>
      </c>
      <c r="Q208" s="98"/>
      <c r="R208" s="23" t="s">
        <v>1431</v>
      </c>
      <c r="S208" s="24" t="s">
        <v>189</v>
      </c>
      <c r="T208" s="25" t="s">
        <v>30</v>
      </c>
      <c r="U208" s="26">
        <v>45</v>
      </c>
      <c r="V208" s="26">
        <f t="shared" si="39"/>
        <v>45</v>
      </c>
      <c r="W208" s="26">
        <f t="shared" si="45"/>
        <v>138.84</v>
      </c>
      <c r="X208" s="127">
        <f t="shared" si="40"/>
        <v>0</v>
      </c>
      <c r="Y208" s="127">
        <f t="shared" si="41"/>
        <v>36.96</v>
      </c>
      <c r="Z208" s="127">
        <f t="shared" si="42"/>
        <v>0</v>
      </c>
      <c r="AA208" s="127">
        <f t="shared" si="35"/>
        <v>5131.53</v>
      </c>
      <c r="AB208" s="33" t="s">
        <v>15</v>
      </c>
      <c r="AC208" s="324"/>
      <c r="AD208" s="181">
        <f t="shared" si="44"/>
        <v>45</v>
      </c>
      <c r="AE208" s="181">
        <f t="shared" si="43"/>
        <v>6247.8</v>
      </c>
      <c r="AF208" s="181">
        <v>1.4</v>
      </c>
      <c r="AG208" s="181">
        <v>1.4</v>
      </c>
      <c r="AH208" s="363" t="str">
        <f t="shared" si="36"/>
        <v/>
      </c>
      <c r="AI208" s="194">
        <v>36.96</v>
      </c>
      <c r="AJ208" s="188">
        <v>45</v>
      </c>
      <c r="AO208" s="367"/>
      <c r="AP208" s="367"/>
      <c r="AQ208" s="367"/>
    </row>
    <row r="209" spans="1:43" s="69" customFormat="1" ht="24.75" x14ac:dyDescent="0.3">
      <c r="A209" s="130" t="s">
        <v>519</v>
      </c>
      <c r="B209" s="131" t="s">
        <v>520</v>
      </c>
      <c r="C209" s="132" t="s">
        <v>30</v>
      </c>
      <c r="D209" s="133">
        <v>62</v>
      </c>
      <c r="E209" s="75"/>
      <c r="F209" s="75"/>
      <c r="G209" s="75"/>
      <c r="H209" s="224"/>
      <c r="I209" s="158"/>
      <c r="J209" s="166">
        <v>326.3</v>
      </c>
      <c r="K209" s="75">
        <v>20230.599999999999</v>
      </c>
      <c r="L209" s="91" t="s">
        <v>521</v>
      </c>
      <c r="M209" s="73"/>
      <c r="N209" s="46">
        <v>59</v>
      </c>
      <c r="O209" s="46">
        <v>0</v>
      </c>
      <c r="P209" s="46">
        <v>19251.7</v>
      </c>
      <c r="Q209" s="98"/>
      <c r="R209" s="23" t="s">
        <v>1395</v>
      </c>
      <c r="S209" s="24" t="s">
        <v>520</v>
      </c>
      <c r="T209" s="25" t="s">
        <v>30</v>
      </c>
      <c r="U209" s="26">
        <v>62</v>
      </c>
      <c r="V209" s="26">
        <f t="shared" si="39"/>
        <v>62</v>
      </c>
      <c r="W209" s="26">
        <f t="shared" si="45"/>
        <v>326.3</v>
      </c>
      <c r="X209" s="127">
        <f t="shared" si="40"/>
        <v>0</v>
      </c>
      <c r="Y209" s="127">
        <f t="shared" si="41"/>
        <v>59</v>
      </c>
      <c r="Z209" s="127">
        <f t="shared" si="42"/>
        <v>0</v>
      </c>
      <c r="AA209" s="127">
        <f t="shared" si="35"/>
        <v>19251.7</v>
      </c>
      <c r="AB209" s="33" t="s">
        <v>15</v>
      </c>
      <c r="AC209" s="324"/>
      <c r="AD209" s="181">
        <f t="shared" si="44"/>
        <v>62</v>
      </c>
      <c r="AE209" s="181">
        <f t="shared" si="43"/>
        <v>20230.599999999999</v>
      </c>
      <c r="AF209" s="181">
        <v>1.4</v>
      </c>
      <c r="AG209" s="181">
        <v>1.4</v>
      </c>
      <c r="AH209" s="363" t="str">
        <f t="shared" si="36"/>
        <v/>
      </c>
      <c r="AI209" s="194">
        <v>59</v>
      </c>
      <c r="AJ209" s="188">
        <v>62</v>
      </c>
      <c r="AN209" s="363"/>
      <c r="AO209" s="368"/>
      <c r="AP209" s="367"/>
      <c r="AQ209" s="367"/>
    </row>
    <row r="210" spans="1:43" s="69" customFormat="1" ht="58.5" x14ac:dyDescent="0.3">
      <c r="A210" s="55" t="s">
        <v>522</v>
      </c>
      <c r="B210" s="53" t="s">
        <v>424</v>
      </c>
      <c r="C210" s="54" t="s">
        <v>50</v>
      </c>
      <c r="D210" s="75">
        <v>275</v>
      </c>
      <c r="E210" s="75"/>
      <c r="F210" s="75"/>
      <c r="G210" s="161"/>
      <c r="H210" s="347">
        <v>2016.9</v>
      </c>
      <c r="I210" s="158"/>
      <c r="J210" s="166">
        <v>692.16</v>
      </c>
      <c r="K210" s="75">
        <v>1396017.5</v>
      </c>
      <c r="L210" s="91" t="s">
        <v>425</v>
      </c>
      <c r="M210" s="73"/>
      <c r="N210" s="46">
        <v>1427.6</v>
      </c>
      <c r="O210" s="46">
        <v>0</v>
      </c>
      <c r="P210" s="46">
        <v>988127.62</v>
      </c>
      <c r="Q210" s="98"/>
      <c r="R210" s="23" t="s">
        <v>1432</v>
      </c>
      <c r="S210" s="24" t="s">
        <v>424</v>
      </c>
      <c r="T210" s="25" t="s">
        <v>50</v>
      </c>
      <c r="U210" s="26">
        <v>275</v>
      </c>
      <c r="V210" s="26">
        <f t="shared" si="39"/>
        <v>2016.9</v>
      </c>
      <c r="W210" s="26">
        <f t="shared" si="45"/>
        <v>692.16</v>
      </c>
      <c r="X210" s="128">
        <f t="shared" si="40"/>
        <v>0</v>
      </c>
      <c r="Y210" s="127">
        <f t="shared" si="41"/>
        <v>1427.6</v>
      </c>
      <c r="Z210" s="127">
        <f t="shared" si="42"/>
        <v>0</v>
      </c>
      <c r="AA210" s="127">
        <f t="shared" si="35"/>
        <v>988127.62</v>
      </c>
      <c r="AB210" s="33" t="s">
        <v>15</v>
      </c>
      <c r="AC210" s="324"/>
      <c r="AD210" s="181">
        <f t="shared" si="44"/>
        <v>2016.9</v>
      </c>
      <c r="AE210" s="181">
        <f t="shared" si="43"/>
        <v>1396017.5</v>
      </c>
      <c r="AF210" s="181">
        <v>1.4</v>
      </c>
      <c r="AG210" s="181">
        <v>1.4</v>
      </c>
      <c r="AH210" s="363" t="str">
        <f t="shared" si="36"/>
        <v/>
      </c>
      <c r="AI210" s="194">
        <v>1427.6</v>
      </c>
      <c r="AJ210" s="188">
        <v>2016.9</v>
      </c>
      <c r="AO210" s="367"/>
      <c r="AP210" s="367"/>
      <c r="AQ210" s="367"/>
    </row>
    <row r="211" spans="1:43" s="69" customFormat="1" ht="41.25" x14ac:dyDescent="0.3">
      <c r="A211" s="130" t="s">
        <v>523</v>
      </c>
      <c r="B211" s="131" t="s">
        <v>524</v>
      </c>
      <c r="C211" s="132" t="s">
        <v>30</v>
      </c>
      <c r="D211" s="133">
        <v>429</v>
      </c>
      <c r="E211" s="75"/>
      <c r="F211" s="75"/>
      <c r="G211" s="161"/>
      <c r="H211" s="235"/>
      <c r="I211" s="158"/>
      <c r="J211" s="166">
        <v>1707.13</v>
      </c>
      <c r="K211" s="75">
        <v>0</v>
      </c>
      <c r="L211" s="91" t="s">
        <v>525</v>
      </c>
      <c r="M211" s="73"/>
      <c r="N211" s="46">
        <v>0</v>
      </c>
      <c r="O211" s="46">
        <v>0</v>
      </c>
      <c r="P211" s="46">
        <v>0</v>
      </c>
      <c r="Q211" s="98"/>
      <c r="R211" s="23" t="s">
        <v>1433</v>
      </c>
      <c r="S211" s="24" t="s">
        <v>524</v>
      </c>
      <c r="T211" s="25" t="s">
        <v>30</v>
      </c>
      <c r="U211" s="26">
        <v>429</v>
      </c>
      <c r="V211" s="26">
        <v>0</v>
      </c>
      <c r="W211" s="26">
        <f t="shared" si="45"/>
        <v>1707.13</v>
      </c>
      <c r="X211" s="127">
        <f t="shared" si="40"/>
        <v>0</v>
      </c>
      <c r="Y211" s="127">
        <f t="shared" si="41"/>
        <v>0</v>
      </c>
      <c r="Z211" s="127">
        <f t="shared" si="42"/>
        <v>0</v>
      </c>
      <c r="AA211" s="127">
        <f t="shared" si="35"/>
        <v>0</v>
      </c>
      <c r="AB211" s="33" t="s">
        <v>15</v>
      </c>
      <c r="AC211" s="324"/>
      <c r="AD211" s="181">
        <v>0</v>
      </c>
      <c r="AE211" s="181">
        <f t="shared" si="43"/>
        <v>0</v>
      </c>
      <c r="AF211" s="181">
        <v>1.4</v>
      </c>
      <c r="AG211" s="181">
        <v>1.4</v>
      </c>
      <c r="AH211" s="363" t="str">
        <f t="shared" si="36"/>
        <v/>
      </c>
      <c r="AI211" s="192">
        <v>0</v>
      </c>
      <c r="AJ211" s="188">
        <v>0</v>
      </c>
      <c r="AO211" s="367"/>
      <c r="AP211" s="367"/>
      <c r="AQ211" s="367"/>
    </row>
    <row r="212" spans="1:43" s="69" customFormat="1" ht="39" x14ac:dyDescent="0.3">
      <c r="A212" s="130" t="s">
        <v>526</v>
      </c>
      <c r="B212" s="131" t="s">
        <v>527</v>
      </c>
      <c r="C212" s="132" t="s">
        <v>34</v>
      </c>
      <c r="D212" s="133">
        <v>1597.5</v>
      </c>
      <c r="E212" s="75"/>
      <c r="F212" s="75"/>
      <c r="G212" s="161"/>
      <c r="H212" s="235">
        <v>2059.1999999999998</v>
      </c>
      <c r="I212" s="158"/>
      <c r="J212" s="166">
        <v>49</v>
      </c>
      <c r="K212" s="75">
        <v>100900.8</v>
      </c>
      <c r="L212" s="91" t="s">
        <v>528</v>
      </c>
      <c r="M212" s="73"/>
      <c r="N212" s="46">
        <v>2059.1999999999998</v>
      </c>
      <c r="O212" s="46">
        <v>0</v>
      </c>
      <c r="P212" s="46">
        <v>100900.8</v>
      </c>
      <c r="Q212" s="98"/>
      <c r="R212" s="23" t="s">
        <v>1382</v>
      </c>
      <c r="S212" s="24" t="s">
        <v>527</v>
      </c>
      <c r="T212" s="25" t="s">
        <v>34</v>
      </c>
      <c r="U212" s="26">
        <v>1597.5</v>
      </c>
      <c r="V212" s="26">
        <f t="shared" si="39"/>
        <v>2059.1999999999998</v>
      </c>
      <c r="W212" s="26">
        <f t="shared" si="45"/>
        <v>49</v>
      </c>
      <c r="X212" s="127">
        <f t="shared" si="40"/>
        <v>0</v>
      </c>
      <c r="Y212" s="127">
        <f t="shared" si="41"/>
        <v>2059.1999999999998</v>
      </c>
      <c r="Z212" s="127">
        <f t="shared" si="42"/>
        <v>0</v>
      </c>
      <c r="AA212" s="127">
        <f t="shared" si="35"/>
        <v>100900.8</v>
      </c>
      <c r="AB212" s="33" t="s">
        <v>15</v>
      </c>
      <c r="AC212" s="324"/>
      <c r="AD212" s="181">
        <f t="shared" si="44"/>
        <v>2059.1999999999998</v>
      </c>
      <c r="AE212" s="181">
        <f t="shared" si="43"/>
        <v>100900.8</v>
      </c>
      <c r="AF212" s="181">
        <v>1.4</v>
      </c>
      <c r="AG212" s="181">
        <v>1.4</v>
      </c>
      <c r="AH212" s="363" t="str">
        <f t="shared" si="36"/>
        <v/>
      </c>
      <c r="AI212" s="194">
        <f>1530+529.2</f>
        <v>2059.1999999999998</v>
      </c>
      <c r="AJ212" s="190">
        <v>2059.1999999999998</v>
      </c>
      <c r="AO212" s="367"/>
      <c r="AP212" s="367"/>
      <c r="AQ212" s="367"/>
    </row>
    <row r="213" spans="1:43" s="69" customFormat="1" ht="39" x14ac:dyDescent="0.3">
      <c r="A213" s="134" t="s">
        <v>1324</v>
      </c>
      <c r="B213" s="135" t="s">
        <v>1325</v>
      </c>
      <c r="C213" s="204" t="s">
        <v>23</v>
      </c>
      <c r="D213" s="216"/>
      <c r="E213" s="117">
        <v>1362.5</v>
      </c>
      <c r="F213" s="77"/>
      <c r="G213" s="226"/>
      <c r="H213" s="294"/>
      <c r="I213" s="230"/>
      <c r="J213" s="178">
        <v>926.62</v>
      </c>
      <c r="K213" s="59">
        <v>1262519.75</v>
      </c>
      <c r="L213" s="92"/>
      <c r="M213" s="73"/>
      <c r="N213" s="46">
        <v>1345</v>
      </c>
      <c r="O213" s="46">
        <v>0</v>
      </c>
      <c r="P213" s="46">
        <v>1246303.8999999999</v>
      </c>
      <c r="Q213" s="98"/>
      <c r="R213" s="23" t="s">
        <v>1434</v>
      </c>
      <c r="S213" s="24" t="s">
        <v>1498</v>
      </c>
      <c r="T213" s="25" t="s">
        <v>23</v>
      </c>
      <c r="U213" s="26">
        <v>0</v>
      </c>
      <c r="V213" s="26">
        <f t="shared" si="39"/>
        <v>1362.5</v>
      </c>
      <c r="W213" s="26">
        <f t="shared" si="45"/>
        <v>926.62</v>
      </c>
      <c r="X213" s="127">
        <f t="shared" si="40"/>
        <v>0</v>
      </c>
      <c r="Y213" s="127">
        <f t="shared" si="41"/>
        <v>1345</v>
      </c>
      <c r="Z213" s="127">
        <f t="shared" si="42"/>
        <v>0</v>
      </c>
      <c r="AA213" s="127">
        <f t="shared" si="35"/>
        <v>1246303.8999999999</v>
      </c>
      <c r="AB213" s="27"/>
      <c r="AC213" s="324"/>
      <c r="AD213" s="181">
        <f t="shared" si="44"/>
        <v>1362.5</v>
      </c>
      <c r="AE213" s="181">
        <f t="shared" si="43"/>
        <v>1262519.75</v>
      </c>
      <c r="AF213" s="181">
        <v>1.4</v>
      </c>
      <c r="AG213" s="181">
        <v>1.4</v>
      </c>
      <c r="AH213" s="363" t="str">
        <f t="shared" si="36"/>
        <v/>
      </c>
      <c r="AI213" s="194">
        <v>1345</v>
      </c>
      <c r="AJ213" s="188">
        <v>1362.5</v>
      </c>
      <c r="AN213" s="70"/>
      <c r="AO213" s="367"/>
      <c r="AP213" s="367"/>
      <c r="AQ213" s="367"/>
    </row>
    <row r="214" spans="1:43" ht="58.5" x14ac:dyDescent="0.3">
      <c r="A214" s="134" t="s">
        <v>1326</v>
      </c>
      <c r="B214" s="135" t="s">
        <v>3136</v>
      </c>
      <c r="C214" s="204" t="s">
        <v>50</v>
      </c>
      <c r="D214" s="216"/>
      <c r="E214" s="78"/>
      <c r="F214" s="62">
        <v>548.70000000000005</v>
      </c>
      <c r="G214" s="163"/>
      <c r="H214" s="348">
        <v>805.73</v>
      </c>
      <c r="I214" s="62"/>
      <c r="J214" s="167">
        <v>3120.78</v>
      </c>
      <c r="K214" s="62">
        <v>2514506.0699999998</v>
      </c>
      <c r="L214" s="93"/>
      <c r="N214" s="46">
        <v>805.73</v>
      </c>
      <c r="O214" s="46">
        <v>416405.6799999997</v>
      </c>
      <c r="P214" s="46">
        <v>2514506.0699999998</v>
      </c>
      <c r="Q214" s="98"/>
      <c r="R214" s="23" t="s">
        <v>1388</v>
      </c>
      <c r="S214" s="24" t="s">
        <v>1327</v>
      </c>
      <c r="T214" s="25" t="s">
        <v>50</v>
      </c>
      <c r="U214" s="26">
        <v>0</v>
      </c>
      <c r="V214" s="26">
        <f t="shared" si="39"/>
        <v>805.73</v>
      </c>
      <c r="W214" s="26">
        <f t="shared" si="45"/>
        <v>3120.78</v>
      </c>
      <c r="X214" s="128">
        <f t="shared" si="40"/>
        <v>0</v>
      </c>
      <c r="Y214" s="127">
        <f t="shared" si="41"/>
        <v>805.73</v>
      </c>
      <c r="Z214" s="127">
        <f t="shared" si="42"/>
        <v>0</v>
      </c>
      <c r="AA214" s="127">
        <f>ROUND(W214*Y214,2)</f>
        <v>2514506.0699999998</v>
      </c>
      <c r="AB214" s="27"/>
      <c r="AC214" s="324"/>
      <c r="AD214" s="181">
        <f t="shared" si="44"/>
        <v>805.73</v>
      </c>
      <c r="AE214" s="181">
        <f t="shared" si="43"/>
        <v>2514506.0699999998</v>
      </c>
      <c r="AF214" s="181">
        <v>1.4</v>
      </c>
      <c r="AG214" s="181">
        <v>1.4</v>
      </c>
      <c r="AH214" s="363" t="str">
        <f t="shared" si="36"/>
        <v/>
      </c>
      <c r="AI214" s="194">
        <f>672.3+133.43</f>
        <v>805.73</v>
      </c>
      <c r="AJ214" s="188">
        <v>805.73</v>
      </c>
      <c r="AN214" s="70"/>
      <c r="AO214" s="367"/>
      <c r="AP214" s="367"/>
      <c r="AQ214" s="367"/>
    </row>
    <row r="215" spans="1:43" ht="66" x14ac:dyDescent="0.3">
      <c r="A215" s="134" t="s">
        <v>1328</v>
      </c>
      <c r="B215" s="139" t="s">
        <v>1329</v>
      </c>
      <c r="C215" s="204" t="s">
        <v>30</v>
      </c>
      <c r="D215" s="216"/>
      <c r="E215" s="78"/>
      <c r="F215" s="62">
        <v>410</v>
      </c>
      <c r="G215" s="163"/>
      <c r="H215" s="163"/>
      <c r="I215" s="62"/>
      <c r="J215" s="167">
        <v>5733.63</v>
      </c>
      <c r="K215" s="62">
        <v>2350788.2999999998</v>
      </c>
      <c r="L215" s="93"/>
      <c r="N215" s="46">
        <v>410</v>
      </c>
      <c r="O215" s="46">
        <v>0</v>
      </c>
      <c r="P215" s="46">
        <v>2350788.2999999998</v>
      </c>
      <c r="Q215" s="98"/>
      <c r="R215" s="23" t="s">
        <v>1389</v>
      </c>
      <c r="S215" s="24" t="s">
        <v>1329</v>
      </c>
      <c r="T215" s="25" t="s">
        <v>30</v>
      </c>
      <c r="U215" s="26">
        <v>0</v>
      </c>
      <c r="V215" s="26">
        <f t="shared" si="39"/>
        <v>410</v>
      </c>
      <c r="W215" s="26">
        <f t="shared" si="45"/>
        <v>5733.63</v>
      </c>
      <c r="X215" s="127">
        <f t="shared" si="40"/>
        <v>0</v>
      </c>
      <c r="Y215" s="127">
        <f t="shared" si="41"/>
        <v>410</v>
      </c>
      <c r="Z215" s="127">
        <f t="shared" si="42"/>
        <v>0</v>
      </c>
      <c r="AA215" s="127">
        <f t="shared" si="35"/>
        <v>2350788.2999999998</v>
      </c>
      <c r="AB215" s="27"/>
      <c r="AC215" s="324"/>
      <c r="AD215" s="181">
        <f t="shared" si="44"/>
        <v>410</v>
      </c>
      <c r="AE215" s="181">
        <f t="shared" si="43"/>
        <v>2350788.2999999998</v>
      </c>
      <c r="AF215" s="181">
        <v>1.4</v>
      </c>
      <c r="AG215" s="181">
        <v>1.4</v>
      </c>
      <c r="AH215" s="363" t="str">
        <f t="shared" si="36"/>
        <v/>
      </c>
      <c r="AI215" s="192">
        <v>410</v>
      </c>
      <c r="AJ215" s="188">
        <v>410</v>
      </c>
      <c r="AN215" s="70"/>
      <c r="AO215" s="367"/>
      <c r="AP215" s="367"/>
      <c r="AQ215" s="367"/>
    </row>
    <row r="216" spans="1:43" ht="78" x14ac:dyDescent="0.3">
      <c r="A216" s="134" t="s">
        <v>1330</v>
      </c>
      <c r="B216" s="135" t="s">
        <v>3135</v>
      </c>
      <c r="C216" s="204" t="s">
        <v>23</v>
      </c>
      <c r="D216" s="216"/>
      <c r="E216" s="78"/>
      <c r="F216" s="62">
        <v>690</v>
      </c>
      <c r="G216" s="163"/>
      <c r="H216" s="163">
        <v>1526.83</v>
      </c>
      <c r="I216" s="62"/>
      <c r="J216" s="167">
        <v>3832.97</v>
      </c>
      <c r="K216" s="62">
        <v>5852293.5899999999</v>
      </c>
      <c r="L216" s="93"/>
      <c r="N216" s="46">
        <v>1469.66</v>
      </c>
      <c r="O216" s="46">
        <v>0</v>
      </c>
      <c r="P216" s="46">
        <v>5633162.6900000004</v>
      </c>
      <c r="Q216" s="98"/>
      <c r="R216" s="23" t="s">
        <v>1390</v>
      </c>
      <c r="S216" s="24" t="s">
        <v>1331</v>
      </c>
      <c r="T216" s="25" t="s">
        <v>23</v>
      </c>
      <c r="U216" s="26">
        <v>0</v>
      </c>
      <c r="V216" s="26">
        <f t="shared" si="39"/>
        <v>1526.83</v>
      </c>
      <c r="W216" s="26">
        <f t="shared" si="45"/>
        <v>3832.97</v>
      </c>
      <c r="X216" s="127">
        <f t="shared" si="40"/>
        <v>0</v>
      </c>
      <c r="Y216" s="127">
        <f t="shared" si="41"/>
        <v>1469.66</v>
      </c>
      <c r="Z216" s="127">
        <f t="shared" si="42"/>
        <v>0</v>
      </c>
      <c r="AA216" s="127">
        <f t="shared" si="35"/>
        <v>5633162.6900000004</v>
      </c>
      <c r="AB216" s="27"/>
      <c r="AC216" s="324"/>
      <c r="AD216" s="181">
        <f t="shared" si="44"/>
        <v>1526.83</v>
      </c>
      <c r="AE216" s="181">
        <f t="shared" si="43"/>
        <v>5852293.5899999999</v>
      </c>
      <c r="AF216" s="181">
        <v>1.4</v>
      </c>
      <c r="AG216" s="181">
        <v>1.4</v>
      </c>
      <c r="AH216" s="363" t="str">
        <f t="shared" si="36"/>
        <v/>
      </c>
      <c r="AI216" s="194">
        <v>1469.66</v>
      </c>
      <c r="AJ216" s="188">
        <v>1526.83</v>
      </c>
      <c r="AN216" s="70"/>
      <c r="AO216" s="367"/>
      <c r="AP216" s="367"/>
      <c r="AQ216" s="367"/>
    </row>
    <row r="217" spans="1:43" x14ac:dyDescent="0.3">
      <c r="A217" s="144" t="s">
        <v>1332</v>
      </c>
      <c r="B217" s="145" t="s">
        <v>1333</v>
      </c>
      <c r="C217" s="206" t="s">
        <v>50</v>
      </c>
      <c r="D217" s="270"/>
      <c r="E217" s="147"/>
      <c r="F217" s="148">
        <v>48</v>
      </c>
      <c r="G217" s="164"/>
      <c r="H217" s="164"/>
      <c r="I217" s="62"/>
      <c r="J217" s="168">
        <v>695.25</v>
      </c>
      <c r="K217" s="148">
        <v>33372</v>
      </c>
      <c r="L217" s="149"/>
      <c r="N217" s="46">
        <v>48</v>
      </c>
      <c r="O217" s="46">
        <v>0</v>
      </c>
      <c r="P217" s="46">
        <v>33372</v>
      </c>
      <c r="Q217" s="98"/>
      <c r="R217" s="23" t="s">
        <v>1391</v>
      </c>
      <c r="S217" s="24" t="s">
        <v>1333</v>
      </c>
      <c r="T217" s="25" t="s">
        <v>50</v>
      </c>
      <c r="U217" s="26">
        <v>0</v>
      </c>
      <c r="V217" s="26">
        <f t="shared" si="39"/>
        <v>48</v>
      </c>
      <c r="W217" s="26">
        <f t="shared" si="45"/>
        <v>695.25</v>
      </c>
      <c r="X217" s="127">
        <f t="shared" si="40"/>
        <v>0</v>
      </c>
      <c r="Y217" s="127">
        <f t="shared" si="41"/>
        <v>48</v>
      </c>
      <c r="Z217" s="127">
        <f t="shared" si="42"/>
        <v>0</v>
      </c>
      <c r="AA217" s="127">
        <f t="shared" si="35"/>
        <v>33372</v>
      </c>
      <c r="AB217" s="27"/>
      <c r="AC217" s="324"/>
      <c r="AD217" s="181">
        <f t="shared" si="44"/>
        <v>48</v>
      </c>
      <c r="AE217" s="181">
        <f t="shared" si="43"/>
        <v>33372</v>
      </c>
      <c r="AF217" s="181">
        <v>1.4</v>
      </c>
      <c r="AG217" s="181">
        <v>1.4</v>
      </c>
      <c r="AH217" s="363" t="str">
        <f t="shared" si="36"/>
        <v/>
      </c>
      <c r="AI217" s="192">
        <v>48</v>
      </c>
      <c r="AJ217" s="188">
        <v>48</v>
      </c>
      <c r="AN217" s="282"/>
      <c r="AO217" s="367"/>
      <c r="AP217" s="367"/>
      <c r="AQ217" s="367"/>
    </row>
    <row r="218" spans="1:43" s="282" customFormat="1" ht="58.5" x14ac:dyDescent="0.3">
      <c r="A218" s="272" t="s">
        <v>3202</v>
      </c>
      <c r="B218" s="276" t="s">
        <v>2874</v>
      </c>
      <c r="C218" s="274" t="s">
        <v>50</v>
      </c>
      <c r="D218" s="275"/>
      <c r="E218" s="288"/>
      <c r="F218" s="275"/>
      <c r="G218" s="275"/>
      <c r="H218" s="275"/>
      <c r="I218" s="346">
        <v>919.12</v>
      </c>
      <c r="J218" s="288">
        <v>235</v>
      </c>
      <c r="K218" s="275">
        <v>215993.2</v>
      </c>
      <c r="L218" s="277"/>
      <c r="M218" s="278"/>
      <c r="N218" s="42">
        <v>917.8</v>
      </c>
      <c r="O218" s="42">
        <v>215683</v>
      </c>
      <c r="P218" s="42">
        <v>215683</v>
      </c>
      <c r="Q218" s="98"/>
      <c r="R218" s="13" t="s">
        <v>3221</v>
      </c>
      <c r="S218" s="286" t="str">
        <f t="shared" ref="S218:T222" si="46">B218</f>
        <v>銲接鋼線網，D=10.00mm，15x15cm</v>
      </c>
      <c r="T218" s="287" t="str">
        <f t="shared" si="46"/>
        <v>M2</v>
      </c>
      <c r="U218" s="16"/>
      <c r="V218" s="16">
        <f t="shared" si="39"/>
        <v>919.12</v>
      </c>
      <c r="W218" s="16">
        <f t="shared" si="45"/>
        <v>235</v>
      </c>
      <c r="X218" s="16">
        <f t="shared" si="40"/>
        <v>0</v>
      </c>
      <c r="Y218" s="127">
        <f t="shared" si="41"/>
        <v>917.8</v>
      </c>
      <c r="Z218" s="127">
        <f t="shared" si="42"/>
        <v>0</v>
      </c>
      <c r="AA218" s="127">
        <f t="shared" si="35"/>
        <v>215683</v>
      </c>
      <c r="AB218" s="279"/>
      <c r="AC218" s="324"/>
      <c r="AD218" s="181">
        <f t="shared" si="44"/>
        <v>919.12</v>
      </c>
      <c r="AE218" s="181">
        <f t="shared" si="43"/>
        <v>215993.2</v>
      </c>
      <c r="AF218" s="181">
        <v>1.4</v>
      </c>
      <c r="AG218" s="181">
        <v>1.4</v>
      </c>
      <c r="AH218" s="364"/>
      <c r="AI218" s="285">
        <v>917.8</v>
      </c>
      <c r="AJ218" s="190">
        <v>919.12</v>
      </c>
      <c r="AN218" s="369"/>
      <c r="AO218" s="368"/>
      <c r="AP218" s="367"/>
      <c r="AQ218" s="367"/>
    </row>
    <row r="219" spans="1:43" s="282" customFormat="1" ht="39" x14ac:dyDescent="0.3">
      <c r="A219" s="272" t="s">
        <v>3203</v>
      </c>
      <c r="B219" s="276" t="s">
        <v>3199</v>
      </c>
      <c r="C219" s="274" t="s">
        <v>50</v>
      </c>
      <c r="D219" s="275"/>
      <c r="E219" s="288"/>
      <c r="F219" s="275"/>
      <c r="G219" s="275"/>
      <c r="H219" s="275"/>
      <c r="I219" s="346">
        <v>2140.9</v>
      </c>
      <c r="J219" s="288">
        <v>613.58000000000004</v>
      </c>
      <c r="K219" s="275">
        <v>1313613.42</v>
      </c>
      <c r="L219" s="277"/>
      <c r="M219" s="278"/>
      <c r="N219" s="42">
        <v>1310.2</v>
      </c>
      <c r="O219" s="42">
        <v>803912.52</v>
      </c>
      <c r="P219" s="42">
        <v>803912.52</v>
      </c>
      <c r="Q219" s="98"/>
      <c r="R219" s="13" t="s">
        <v>3222</v>
      </c>
      <c r="S219" s="286" t="str">
        <f t="shared" si="46"/>
        <v>地工織物，抗沖蝕網，疊接施工</v>
      </c>
      <c r="T219" s="287" t="str">
        <f t="shared" si="46"/>
        <v>M2</v>
      </c>
      <c r="U219" s="16"/>
      <c r="V219" s="16">
        <f t="shared" si="39"/>
        <v>2140.9</v>
      </c>
      <c r="W219" s="16">
        <f t="shared" si="45"/>
        <v>613.58000000000004</v>
      </c>
      <c r="X219" s="16">
        <f t="shared" si="40"/>
        <v>0</v>
      </c>
      <c r="Y219" s="127">
        <f t="shared" si="41"/>
        <v>1310.2</v>
      </c>
      <c r="Z219" s="127">
        <f t="shared" si="42"/>
        <v>0</v>
      </c>
      <c r="AA219" s="127">
        <f t="shared" si="35"/>
        <v>803912.52</v>
      </c>
      <c r="AB219" s="279"/>
      <c r="AC219" s="324"/>
      <c r="AD219" s="181">
        <f t="shared" si="44"/>
        <v>2140.9</v>
      </c>
      <c r="AE219" s="181">
        <f t="shared" si="43"/>
        <v>1313613.42</v>
      </c>
      <c r="AF219" s="181">
        <v>1.4</v>
      </c>
      <c r="AG219" s="181">
        <v>1.4</v>
      </c>
      <c r="AH219" s="364"/>
      <c r="AI219" s="285">
        <v>1310.2</v>
      </c>
      <c r="AJ219" s="190">
        <v>2140.9</v>
      </c>
      <c r="AO219" s="367"/>
      <c r="AP219" s="367"/>
      <c r="AQ219" s="367"/>
    </row>
    <row r="220" spans="1:43" s="282" customFormat="1" ht="39" x14ac:dyDescent="0.3">
      <c r="A220" s="272" t="s">
        <v>3204</v>
      </c>
      <c r="B220" s="276" t="s">
        <v>2628</v>
      </c>
      <c r="C220" s="274" t="s">
        <v>30</v>
      </c>
      <c r="D220" s="275"/>
      <c r="E220" s="288"/>
      <c r="F220" s="275"/>
      <c r="G220" s="275"/>
      <c r="H220" s="275"/>
      <c r="I220" s="346">
        <v>321.5</v>
      </c>
      <c r="J220" s="288">
        <v>120</v>
      </c>
      <c r="K220" s="275">
        <v>38580</v>
      </c>
      <c r="L220" s="277"/>
      <c r="M220" s="278"/>
      <c r="N220" s="42">
        <v>315.5</v>
      </c>
      <c r="O220" s="42">
        <v>37860</v>
      </c>
      <c r="P220" s="42">
        <v>37860</v>
      </c>
      <c r="Q220" s="98"/>
      <c r="R220" s="13" t="s">
        <v>3223</v>
      </c>
      <c r="S220" s="286" t="str">
        <f t="shared" si="46"/>
        <v>產品，∮2"PVC排水管</v>
      </c>
      <c r="T220" s="287" t="str">
        <f t="shared" si="46"/>
        <v>M</v>
      </c>
      <c r="U220" s="16"/>
      <c r="V220" s="16">
        <f t="shared" si="39"/>
        <v>321.5</v>
      </c>
      <c r="W220" s="16">
        <f t="shared" si="45"/>
        <v>120</v>
      </c>
      <c r="X220" s="16">
        <f t="shared" si="40"/>
        <v>0</v>
      </c>
      <c r="Y220" s="127">
        <f t="shared" si="41"/>
        <v>315.5</v>
      </c>
      <c r="Z220" s="127">
        <f t="shared" si="42"/>
        <v>0</v>
      </c>
      <c r="AA220" s="127">
        <f t="shared" si="35"/>
        <v>37860</v>
      </c>
      <c r="AB220" s="279"/>
      <c r="AC220" s="324"/>
      <c r="AD220" s="181">
        <f t="shared" si="44"/>
        <v>321.5</v>
      </c>
      <c r="AE220" s="181">
        <f t="shared" si="43"/>
        <v>38580</v>
      </c>
      <c r="AF220" s="181">
        <v>1.4</v>
      </c>
      <c r="AG220" s="181">
        <v>1.4</v>
      </c>
      <c r="AH220" s="364"/>
      <c r="AI220" s="285">
        <v>315.5</v>
      </c>
      <c r="AJ220" s="190">
        <v>321.5</v>
      </c>
      <c r="AO220" s="367"/>
      <c r="AP220" s="367"/>
      <c r="AQ220" s="367"/>
    </row>
    <row r="221" spans="1:43" s="282" customFormat="1" x14ac:dyDescent="0.3">
      <c r="A221" s="272" t="s">
        <v>3205</v>
      </c>
      <c r="B221" s="276" t="s">
        <v>3200</v>
      </c>
      <c r="C221" s="274" t="s">
        <v>162</v>
      </c>
      <c r="D221" s="275"/>
      <c r="E221" s="288"/>
      <c r="F221" s="275"/>
      <c r="G221" s="275"/>
      <c r="H221" s="275"/>
      <c r="I221" s="346">
        <v>428</v>
      </c>
      <c r="J221" s="288">
        <v>324.83999999999997</v>
      </c>
      <c r="K221" s="275">
        <v>139031.51999999999</v>
      </c>
      <c r="L221" s="277"/>
      <c r="M221" s="278"/>
      <c r="N221" s="42">
        <v>412</v>
      </c>
      <c r="O221" s="42">
        <v>133834.07999999999</v>
      </c>
      <c r="P221" s="42">
        <v>133834.07999999999</v>
      </c>
      <c r="Q221" s="98"/>
      <c r="R221" s="13" t="s">
        <v>3224</v>
      </c>
      <c r="S221" s="286" t="str">
        <f t="shared" si="46"/>
        <v>洩水袋</v>
      </c>
      <c r="T221" s="287" t="str">
        <f t="shared" si="46"/>
        <v>個</v>
      </c>
      <c r="U221" s="16"/>
      <c r="V221" s="16">
        <f t="shared" si="39"/>
        <v>428</v>
      </c>
      <c r="W221" s="16">
        <f t="shared" si="45"/>
        <v>324.83999999999997</v>
      </c>
      <c r="X221" s="16">
        <f t="shared" si="40"/>
        <v>0</v>
      </c>
      <c r="Y221" s="127">
        <f t="shared" si="41"/>
        <v>412</v>
      </c>
      <c r="Z221" s="127">
        <f t="shared" si="42"/>
        <v>0</v>
      </c>
      <c r="AA221" s="127">
        <f t="shared" si="35"/>
        <v>133834.07999999999</v>
      </c>
      <c r="AB221" s="279"/>
      <c r="AC221" s="324"/>
      <c r="AD221" s="181">
        <f t="shared" si="44"/>
        <v>428</v>
      </c>
      <c r="AE221" s="181">
        <f t="shared" si="43"/>
        <v>139031.51999999999</v>
      </c>
      <c r="AF221" s="181">
        <v>1.4</v>
      </c>
      <c r="AG221" s="181">
        <v>1.4</v>
      </c>
      <c r="AH221" s="364"/>
      <c r="AI221" s="285">
        <v>412</v>
      </c>
      <c r="AJ221" s="190">
        <v>428</v>
      </c>
      <c r="AO221" s="367"/>
      <c r="AP221" s="367"/>
      <c r="AQ221" s="367"/>
    </row>
    <row r="222" spans="1:43" s="282" customFormat="1" ht="78" x14ac:dyDescent="0.3">
      <c r="A222" s="272" t="s">
        <v>3206</v>
      </c>
      <c r="B222" s="276" t="s">
        <v>3201</v>
      </c>
      <c r="C222" s="274" t="s">
        <v>513</v>
      </c>
      <c r="D222" s="275"/>
      <c r="E222" s="288"/>
      <c r="F222" s="275"/>
      <c r="G222" s="275"/>
      <c r="H222" s="275"/>
      <c r="I222" s="346">
        <v>568</v>
      </c>
      <c r="J222" s="288">
        <v>94.95</v>
      </c>
      <c r="K222" s="275">
        <v>53931.6</v>
      </c>
      <c r="L222" s="277"/>
      <c r="M222" s="278"/>
      <c r="N222" s="42">
        <v>568</v>
      </c>
      <c r="O222" s="42">
        <v>53931.6</v>
      </c>
      <c r="P222" s="42">
        <v>53931.6</v>
      </c>
      <c r="Q222" s="98"/>
      <c r="R222" s="13" t="s">
        <v>3225</v>
      </c>
      <c r="S222" s="286" t="str">
        <f t="shared" si="46"/>
        <v>鋼筋，植筋，D16mm，鑽孔(含空氣槍清孔)及化學藥劑</v>
      </c>
      <c r="T222" s="287" t="str">
        <f t="shared" si="46"/>
        <v>孔</v>
      </c>
      <c r="U222" s="16"/>
      <c r="V222" s="16">
        <f t="shared" si="39"/>
        <v>568</v>
      </c>
      <c r="W222" s="16">
        <f t="shared" si="45"/>
        <v>94.95</v>
      </c>
      <c r="X222" s="16">
        <f t="shared" si="40"/>
        <v>0</v>
      </c>
      <c r="Y222" s="127">
        <f t="shared" si="41"/>
        <v>568</v>
      </c>
      <c r="Z222" s="127">
        <f t="shared" si="42"/>
        <v>0</v>
      </c>
      <c r="AA222" s="127">
        <f t="shared" si="35"/>
        <v>53931.6</v>
      </c>
      <c r="AB222" s="279"/>
      <c r="AC222" s="324"/>
      <c r="AD222" s="181">
        <f t="shared" si="44"/>
        <v>568</v>
      </c>
      <c r="AE222" s="181">
        <f t="shared" si="43"/>
        <v>53931.6</v>
      </c>
      <c r="AF222" s="181">
        <v>1.4</v>
      </c>
      <c r="AG222" s="181">
        <v>1.4</v>
      </c>
      <c r="AH222" s="364"/>
      <c r="AI222" s="285">
        <v>568</v>
      </c>
      <c r="AJ222" s="190">
        <v>568</v>
      </c>
      <c r="AN222" s="69"/>
      <c r="AO222" s="367"/>
      <c r="AP222" s="367"/>
      <c r="AQ222" s="367"/>
    </row>
    <row r="223" spans="1:43" s="69" customFormat="1" ht="33" customHeight="1" x14ac:dyDescent="0.3">
      <c r="A223" s="266" t="s">
        <v>529</v>
      </c>
      <c r="B223" s="267" t="s">
        <v>530</v>
      </c>
      <c r="C223" s="83" t="s">
        <v>14</v>
      </c>
      <c r="D223" s="84">
        <v>1</v>
      </c>
      <c r="E223" s="84"/>
      <c r="F223" s="84"/>
      <c r="G223" s="227"/>
      <c r="H223" s="291"/>
      <c r="I223" s="231"/>
      <c r="J223" s="292">
        <v>33480921.34</v>
      </c>
      <c r="K223" s="84">
        <v>33480921.34</v>
      </c>
      <c r="L223" s="268" t="s">
        <v>15</v>
      </c>
      <c r="M223" s="73"/>
      <c r="N223" s="45">
        <v>1</v>
      </c>
      <c r="O223" s="45">
        <v>431634.55999999959</v>
      </c>
      <c r="P223" s="45">
        <v>32990140.839999996</v>
      </c>
      <c r="Q223" s="98"/>
      <c r="R223" s="18" t="s">
        <v>1392</v>
      </c>
      <c r="S223" s="19" t="s">
        <v>530</v>
      </c>
      <c r="T223" s="20" t="s">
        <v>14</v>
      </c>
      <c r="U223" s="21">
        <v>1</v>
      </c>
      <c r="V223" s="21"/>
      <c r="W223" s="21">
        <f t="shared" si="45"/>
        <v>33480921.34</v>
      </c>
      <c r="X223" s="21">
        <f t="shared" ref="X223:Y223" si="47">IF(Z223=0,0,1)</f>
        <v>0</v>
      </c>
      <c r="Y223" s="21">
        <f t="shared" si="47"/>
        <v>1</v>
      </c>
      <c r="Z223" s="21">
        <f>SUMIFS(Z:Z,AG:AG,AF223)</f>
        <v>0</v>
      </c>
      <c r="AA223" s="21">
        <f>SUMIFS(AA:AA,AG:AG,AF223)</f>
        <v>32990140.839999996</v>
      </c>
      <c r="AB223" s="22" t="s">
        <v>15</v>
      </c>
      <c r="AC223" s="324"/>
      <c r="AD223" s="181">
        <f t="shared" si="44"/>
        <v>1</v>
      </c>
      <c r="AE223" s="181"/>
      <c r="AF223" s="184">
        <v>1.5</v>
      </c>
      <c r="AG223" s="184"/>
      <c r="AH223" s="363" t="str">
        <f t="shared" si="36"/>
        <v/>
      </c>
      <c r="AI223" s="192">
        <v>1</v>
      </c>
      <c r="AJ223" s="188">
        <v>1</v>
      </c>
      <c r="AO223" s="367"/>
      <c r="AP223" s="367"/>
      <c r="AQ223" s="367"/>
    </row>
    <row r="224" spans="1:43" s="69" customFormat="1" ht="49.5" customHeight="1" x14ac:dyDescent="0.3">
      <c r="A224" s="130" t="s">
        <v>531</v>
      </c>
      <c r="B224" s="131" t="s">
        <v>392</v>
      </c>
      <c r="C224" s="132" t="s">
        <v>23</v>
      </c>
      <c r="D224" s="133">
        <v>250</v>
      </c>
      <c r="E224" s="75"/>
      <c r="F224" s="75"/>
      <c r="G224" s="75"/>
      <c r="H224" s="229">
        <v>11.7</v>
      </c>
      <c r="I224" s="229"/>
      <c r="J224" s="75">
        <v>3115.13</v>
      </c>
      <c r="K224" s="75">
        <v>36447.019999999997</v>
      </c>
      <c r="L224" s="91" t="s">
        <v>114</v>
      </c>
      <c r="M224" s="73"/>
      <c r="N224" s="46">
        <v>11.7</v>
      </c>
      <c r="O224" s="46">
        <v>0</v>
      </c>
      <c r="P224" s="46">
        <v>36447.019999999997</v>
      </c>
      <c r="Q224" s="98"/>
      <c r="R224" s="23" t="s">
        <v>1421</v>
      </c>
      <c r="S224" s="24" t="s">
        <v>392</v>
      </c>
      <c r="T224" s="25" t="s">
        <v>23</v>
      </c>
      <c r="U224" s="26">
        <v>250</v>
      </c>
      <c r="V224" s="26">
        <f t="shared" ref="V224:V241" si="48">IF(I224&gt;0,I224,IF(H224&gt;0,H224,IF(G224&gt;0,G224,IF(F224&gt;0,F224,IF(E224&gt;0,E224,D224)))))</f>
        <v>11.7</v>
      </c>
      <c r="W224" s="26">
        <f t="shared" si="45"/>
        <v>3115.13</v>
      </c>
      <c r="X224" s="128">
        <v>0</v>
      </c>
      <c r="Y224" s="127">
        <f t="shared" si="41"/>
        <v>11.7</v>
      </c>
      <c r="Z224" s="127">
        <f t="shared" ref="Z224:Z241" si="49">AA224-P224</f>
        <v>0</v>
      </c>
      <c r="AA224" s="127">
        <f t="shared" si="35"/>
        <v>36447.019999999997</v>
      </c>
      <c r="AB224" s="33" t="s">
        <v>15</v>
      </c>
      <c r="AC224" s="324"/>
      <c r="AD224" s="181">
        <f t="shared" si="44"/>
        <v>11.7</v>
      </c>
      <c r="AE224" s="181">
        <f t="shared" si="43"/>
        <v>36447.019999999997</v>
      </c>
      <c r="AF224" s="181">
        <v>1.5</v>
      </c>
      <c r="AG224" s="181">
        <v>1.5</v>
      </c>
      <c r="AH224" s="363" t="str">
        <f t="shared" ref="AH224:AH292" si="50">IF(Y224&gt;AJ224,"超估","")</f>
        <v/>
      </c>
      <c r="AI224" s="194">
        <f>11.7+10.2</f>
        <v>21.9</v>
      </c>
      <c r="AJ224" s="188">
        <v>11.7</v>
      </c>
      <c r="AO224" s="367"/>
      <c r="AP224" s="367"/>
      <c r="AQ224" s="367"/>
    </row>
    <row r="225" spans="1:43" s="69" customFormat="1" ht="49.5" customHeight="1" x14ac:dyDescent="0.3">
      <c r="A225" s="130" t="s">
        <v>532</v>
      </c>
      <c r="B225" s="131" t="s">
        <v>116</v>
      </c>
      <c r="C225" s="132" t="s">
        <v>23</v>
      </c>
      <c r="D225" s="133">
        <v>2474</v>
      </c>
      <c r="E225" s="75"/>
      <c r="F225" s="75"/>
      <c r="G225" s="75"/>
      <c r="H225" s="75">
        <v>2593.6999999999998</v>
      </c>
      <c r="I225" s="75"/>
      <c r="J225" s="75">
        <v>3321.13</v>
      </c>
      <c r="K225" s="75">
        <v>8614014.8800000008</v>
      </c>
      <c r="L225" s="91" t="s">
        <v>117</v>
      </c>
      <c r="M225" s="73"/>
      <c r="N225" s="46">
        <v>2560.35</v>
      </c>
      <c r="O225" s="46">
        <v>288938.30999999959</v>
      </c>
      <c r="P225" s="46">
        <v>8503255.1999999993</v>
      </c>
      <c r="Q225" s="98"/>
      <c r="R225" s="23" t="s">
        <v>1426</v>
      </c>
      <c r="S225" s="24" t="s">
        <v>116</v>
      </c>
      <c r="T225" s="25" t="s">
        <v>23</v>
      </c>
      <c r="U225" s="26">
        <v>2474</v>
      </c>
      <c r="V225" s="26">
        <f t="shared" si="48"/>
        <v>2593.6999999999998</v>
      </c>
      <c r="W225" s="26">
        <f t="shared" si="45"/>
        <v>3321.13</v>
      </c>
      <c r="X225" s="128">
        <f t="shared" ref="X225:X241" si="51">AI225-N225</f>
        <v>0</v>
      </c>
      <c r="Y225" s="127">
        <f t="shared" si="41"/>
        <v>2560.35</v>
      </c>
      <c r="Z225" s="127">
        <f t="shared" si="49"/>
        <v>0</v>
      </c>
      <c r="AA225" s="127">
        <f t="shared" ref="AA225:AA293" si="52">ROUND(W225*Y225,2)</f>
        <v>8503255.1999999993</v>
      </c>
      <c r="AB225" s="33" t="s">
        <v>15</v>
      </c>
      <c r="AC225" s="324"/>
      <c r="AD225" s="181">
        <f t="shared" si="44"/>
        <v>2593.6999999999998</v>
      </c>
      <c r="AE225" s="181">
        <f t="shared" si="43"/>
        <v>8614014.8800000008</v>
      </c>
      <c r="AF225" s="181">
        <v>1.5</v>
      </c>
      <c r="AG225" s="181">
        <v>1.5</v>
      </c>
      <c r="AH225" s="363" t="str">
        <f t="shared" si="50"/>
        <v/>
      </c>
      <c r="AI225" s="194">
        <f>2473.35+87</f>
        <v>2560.35</v>
      </c>
      <c r="AJ225" s="188">
        <v>2593.6999999999998</v>
      </c>
      <c r="AM225" s="196">
        <v>2782.2855</v>
      </c>
      <c r="AO225" s="367"/>
      <c r="AP225" s="367"/>
      <c r="AQ225" s="367"/>
    </row>
    <row r="226" spans="1:43" s="69" customFormat="1" ht="49.5" customHeight="1" x14ac:dyDescent="0.3">
      <c r="A226" s="130" t="s">
        <v>533</v>
      </c>
      <c r="B226" s="131" t="s">
        <v>534</v>
      </c>
      <c r="C226" s="132" t="s">
        <v>23</v>
      </c>
      <c r="D226" s="133">
        <v>1187</v>
      </c>
      <c r="E226" s="75"/>
      <c r="F226" s="75"/>
      <c r="G226" s="75"/>
      <c r="H226" s="75">
        <v>1256.1500000000001</v>
      </c>
      <c r="I226" s="75"/>
      <c r="J226" s="75">
        <v>1749.25</v>
      </c>
      <c r="K226" s="75">
        <v>2197320.39</v>
      </c>
      <c r="L226" s="91" t="s">
        <v>535</v>
      </c>
      <c r="M226" s="73"/>
      <c r="N226" s="46">
        <v>1187</v>
      </c>
      <c r="O226" s="46">
        <v>0</v>
      </c>
      <c r="P226" s="46">
        <v>2076359.75</v>
      </c>
      <c r="Q226" s="98"/>
      <c r="R226" s="23" t="s">
        <v>1402</v>
      </c>
      <c r="S226" s="24" t="s">
        <v>534</v>
      </c>
      <c r="T226" s="25" t="s">
        <v>23</v>
      </c>
      <c r="U226" s="26">
        <v>1187</v>
      </c>
      <c r="V226" s="26">
        <f t="shared" si="48"/>
        <v>1256.1500000000001</v>
      </c>
      <c r="W226" s="26">
        <f t="shared" si="45"/>
        <v>1749.25</v>
      </c>
      <c r="X226" s="127">
        <f t="shared" si="51"/>
        <v>0</v>
      </c>
      <c r="Y226" s="127">
        <f t="shared" si="41"/>
        <v>1187</v>
      </c>
      <c r="Z226" s="127">
        <f t="shared" si="49"/>
        <v>0</v>
      </c>
      <c r="AA226" s="127">
        <f t="shared" si="52"/>
        <v>2076359.75</v>
      </c>
      <c r="AB226" s="33" t="s">
        <v>15</v>
      </c>
      <c r="AC226" s="324"/>
      <c r="AD226" s="181">
        <f t="shared" si="44"/>
        <v>1256.1500000000001</v>
      </c>
      <c r="AE226" s="181">
        <f t="shared" si="43"/>
        <v>2197320.39</v>
      </c>
      <c r="AF226" s="181">
        <v>1.5</v>
      </c>
      <c r="AG226" s="181">
        <v>1.5</v>
      </c>
      <c r="AH226" s="363" t="str">
        <f t="shared" si="50"/>
        <v/>
      </c>
      <c r="AI226" s="194">
        <v>1187</v>
      </c>
      <c r="AJ226" s="188">
        <v>1256.1500000000001</v>
      </c>
      <c r="AM226" s="195">
        <v>1161.5828000000001</v>
      </c>
      <c r="AO226" s="367"/>
      <c r="AP226" s="367"/>
      <c r="AQ226" s="367"/>
    </row>
    <row r="227" spans="1:43" s="69" customFormat="1" ht="39" x14ac:dyDescent="0.3">
      <c r="A227" s="130" t="s">
        <v>536</v>
      </c>
      <c r="B227" s="131" t="s">
        <v>493</v>
      </c>
      <c r="C227" s="132" t="s">
        <v>23</v>
      </c>
      <c r="D227" s="133">
        <v>3911</v>
      </c>
      <c r="E227" s="75"/>
      <c r="F227" s="75"/>
      <c r="G227" s="75"/>
      <c r="H227" s="75"/>
      <c r="I227" s="75"/>
      <c r="J227" s="75">
        <v>200</v>
      </c>
      <c r="K227" s="75">
        <v>782200</v>
      </c>
      <c r="L227" s="91" t="s">
        <v>494</v>
      </c>
      <c r="M227" s="73"/>
      <c r="N227" s="46">
        <v>3769.25</v>
      </c>
      <c r="O227" s="46">
        <v>19440</v>
      </c>
      <c r="P227" s="46">
        <v>753850</v>
      </c>
      <c r="Q227" s="98"/>
      <c r="R227" s="23" t="s">
        <v>1373</v>
      </c>
      <c r="S227" s="24" t="s">
        <v>493</v>
      </c>
      <c r="T227" s="25" t="s">
        <v>23</v>
      </c>
      <c r="U227" s="26">
        <v>3911</v>
      </c>
      <c r="V227" s="26">
        <f t="shared" si="48"/>
        <v>3911</v>
      </c>
      <c r="W227" s="26">
        <f t="shared" si="45"/>
        <v>200</v>
      </c>
      <c r="X227" s="128">
        <f t="shared" si="51"/>
        <v>0</v>
      </c>
      <c r="Y227" s="127">
        <f t="shared" si="41"/>
        <v>3769.25</v>
      </c>
      <c r="Z227" s="127">
        <f t="shared" si="49"/>
        <v>0</v>
      </c>
      <c r="AA227" s="127">
        <f t="shared" si="52"/>
        <v>753850</v>
      </c>
      <c r="AB227" s="33" t="s">
        <v>15</v>
      </c>
      <c r="AC227" s="324"/>
      <c r="AD227" s="181">
        <f t="shared" si="44"/>
        <v>3911</v>
      </c>
      <c r="AE227" s="181">
        <f t="shared" si="43"/>
        <v>782200</v>
      </c>
      <c r="AF227" s="181">
        <v>1.5</v>
      </c>
      <c r="AG227" s="181">
        <v>1.5</v>
      </c>
      <c r="AH227" s="363" t="str">
        <f t="shared" si="50"/>
        <v/>
      </c>
      <c r="AI227" s="194">
        <f>AI224+AI225+AI226</f>
        <v>3769.25</v>
      </c>
      <c r="AJ227" s="188">
        <v>3911</v>
      </c>
      <c r="AM227" s="198">
        <f>AM224+AM225+AM226</f>
        <v>3943.8683000000001</v>
      </c>
      <c r="AO227" s="367"/>
      <c r="AP227" s="367"/>
      <c r="AQ227" s="367"/>
    </row>
    <row r="228" spans="1:43" s="69" customFormat="1" ht="57.75" x14ac:dyDescent="0.3">
      <c r="A228" s="130" t="s">
        <v>537</v>
      </c>
      <c r="B228" s="131" t="s">
        <v>405</v>
      </c>
      <c r="C228" s="132" t="s">
        <v>50</v>
      </c>
      <c r="D228" s="133">
        <v>3820</v>
      </c>
      <c r="E228" s="75"/>
      <c r="F228" s="75">
        <v>4730</v>
      </c>
      <c r="G228" s="75"/>
      <c r="H228" s="75">
        <v>5411.06</v>
      </c>
      <c r="I228" s="75"/>
      <c r="J228" s="75">
        <v>982.98</v>
      </c>
      <c r="K228" s="75">
        <v>5318963.76</v>
      </c>
      <c r="L228" s="91" t="s">
        <v>406</v>
      </c>
      <c r="M228" s="73"/>
      <c r="N228" s="46">
        <v>5409.2</v>
      </c>
      <c r="O228" s="46">
        <v>0</v>
      </c>
      <c r="P228" s="46">
        <v>5317135.42</v>
      </c>
      <c r="Q228" s="98"/>
      <c r="R228" s="23" t="s">
        <v>1393</v>
      </c>
      <c r="S228" s="24" t="s">
        <v>405</v>
      </c>
      <c r="T228" s="25" t="s">
        <v>50</v>
      </c>
      <c r="U228" s="26">
        <v>3820</v>
      </c>
      <c r="V228" s="26">
        <f t="shared" si="48"/>
        <v>5411.06</v>
      </c>
      <c r="W228" s="26">
        <f t="shared" si="45"/>
        <v>982.98</v>
      </c>
      <c r="X228" s="127">
        <f t="shared" si="51"/>
        <v>0</v>
      </c>
      <c r="Y228" s="127">
        <f t="shared" si="41"/>
        <v>5409.2</v>
      </c>
      <c r="Z228" s="127">
        <f t="shared" si="49"/>
        <v>0</v>
      </c>
      <c r="AA228" s="127">
        <f t="shared" si="52"/>
        <v>5317135.42</v>
      </c>
      <c r="AB228" s="27" t="s">
        <v>15</v>
      </c>
      <c r="AC228" s="324"/>
      <c r="AD228" s="181">
        <f t="shared" si="44"/>
        <v>5411.06</v>
      </c>
      <c r="AE228" s="181">
        <f t="shared" si="43"/>
        <v>5318963.76</v>
      </c>
      <c r="AF228" s="181">
        <v>1.5</v>
      </c>
      <c r="AG228" s="181">
        <v>1.5</v>
      </c>
      <c r="AH228" s="363" t="str">
        <f t="shared" si="50"/>
        <v/>
      </c>
      <c r="AI228" s="194">
        <v>5409.2</v>
      </c>
      <c r="AJ228" s="188">
        <v>5411.06</v>
      </c>
      <c r="AM228" s="195">
        <v>5411.06</v>
      </c>
      <c r="AO228" s="367"/>
      <c r="AP228" s="367"/>
      <c r="AQ228" s="367"/>
    </row>
    <row r="229" spans="1:43" s="69" customFormat="1" ht="41.25" x14ac:dyDescent="0.3">
      <c r="A229" s="130" t="s">
        <v>538</v>
      </c>
      <c r="B229" s="131" t="s">
        <v>408</v>
      </c>
      <c r="C229" s="132" t="s">
        <v>50</v>
      </c>
      <c r="D229" s="133">
        <v>800</v>
      </c>
      <c r="E229" s="203"/>
      <c r="F229" s="203"/>
      <c r="G229" s="203"/>
      <c r="H229" s="203">
        <v>1811.33</v>
      </c>
      <c r="I229" s="203"/>
      <c r="J229" s="75">
        <v>804.79</v>
      </c>
      <c r="K229" s="75">
        <v>1457740.27</v>
      </c>
      <c r="L229" s="91" t="s">
        <v>409</v>
      </c>
      <c r="M229" s="73"/>
      <c r="N229" s="46">
        <v>1796.3</v>
      </c>
      <c r="O229" s="46">
        <v>0</v>
      </c>
      <c r="P229" s="46">
        <v>1445644.28</v>
      </c>
      <c r="Q229" s="98"/>
      <c r="R229" s="23" t="s">
        <v>1403</v>
      </c>
      <c r="S229" s="24" t="s">
        <v>408</v>
      </c>
      <c r="T229" s="25" t="s">
        <v>50</v>
      </c>
      <c r="U229" s="26">
        <v>800</v>
      </c>
      <c r="V229" s="26">
        <f t="shared" si="48"/>
        <v>1811.33</v>
      </c>
      <c r="W229" s="26">
        <f t="shared" si="45"/>
        <v>804.79</v>
      </c>
      <c r="X229" s="127">
        <f t="shared" si="51"/>
        <v>0</v>
      </c>
      <c r="Y229" s="127">
        <f t="shared" si="41"/>
        <v>1796.3</v>
      </c>
      <c r="Z229" s="127">
        <f t="shared" si="49"/>
        <v>0</v>
      </c>
      <c r="AA229" s="127">
        <f t="shared" si="52"/>
        <v>1445644.28</v>
      </c>
      <c r="AB229" s="33" t="s">
        <v>15</v>
      </c>
      <c r="AC229" s="324"/>
      <c r="AD229" s="181">
        <f t="shared" si="44"/>
        <v>1811.33</v>
      </c>
      <c r="AE229" s="181">
        <f t="shared" si="43"/>
        <v>1457740.27</v>
      </c>
      <c r="AF229" s="181">
        <v>1.5</v>
      </c>
      <c r="AG229" s="181">
        <v>1.5</v>
      </c>
      <c r="AH229" s="363" t="str">
        <f t="shared" si="50"/>
        <v/>
      </c>
      <c r="AI229" s="194">
        <v>1796.3</v>
      </c>
      <c r="AJ229" s="188">
        <v>1811.33</v>
      </c>
      <c r="AO229" s="367"/>
      <c r="AP229" s="367"/>
      <c r="AQ229" s="367"/>
    </row>
    <row r="230" spans="1:43" s="69" customFormat="1" ht="41.25" x14ac:dyDescent="0.3">
      <c r="A230" s="130" t="s">
        <v>539</v>
      </c>
      <c r="B230" s="131" t="s">
        <v>119</v>
      </c>
      <c r="C230" s="132" t="s">
        <v>50</v>
      </c>
      <c r="D230" s="133">
        <v>258</v>
      </c>
      <c r="E230" s="203"/>
      <c r="F230" s="203"/>
      <c r="G230" s="203"/>
      <c r="H230" s="203">
        <v>1210.32</v>
      </c>
      <c r="I230" s="203"/>
      <c r="J230" s="75">
        <v>533.64</v>
      </c>
      <c r="K230" s="75">
        <v>645875.16</v>
      </c>
      <c r="L230" s="91" t="s">
        <v>120</v>
      </c>
      <c r="M230" s="73"/>
      <c r="N230" s="46">
        <v>1206.5</v>
      </c>
      <c r="O230" s="46">
        <v>45519.489999999991</v>
      </c>
      <c r="P230" s="46">
        <v>643836.66</v>
      </c>
      <c r="Q230" s="98"/>
      <c r="R230" s="23" t="s">
        <v>1427</v>
      </c>
      <c r="S230" s="24" t="s">
        <v>119</v>
      </c>
      <c r="T230" s="25" t="s">
        <v>50</v>
      </c>
      <c r="U230" s="26">
        <v>258</v>
      </c>
      <c r="V230" s="26">
        <f t="shared" si="48"/>
        <v>1210.32</v>
      </c>
      <c r="W230" s="26">
        <f t="shared" si="45"/>
        <v>533.64</v>
      </c>
      <c r="X230" s="128">
        <f t="shared" si="51"/>
        <v>0</v>
      </c>
      <c r="Y230" s="127">
        <f t="shared" si="41"/>
        <v>1206.5</v>
      </c>
      <c r="Z230" s="127">
        <f t="shared" si="49"/>
        <v>0</v>
      </c>
      <c r="AA230" s="127">
        <f t="shared" si="52"/>
        <v>643836.66</v>
      </c>
      <c r="AB230" s="33" t="s">
        <v>15</v>
      </c>
      <c r="AC230" s="324"/>
      <c r="AD230" s="181">
        <f t="shared" si="44"/>
        <v>1210.32</v>
      </c>
      <c r="AE230" s="181">
        <f t="shared" si="43"/>
        <v>645875.16</v>
      </c>
      <c r="AF230" s="181">
        <v>1.5</v>
      </c>
      <c r="AG230" s="181">
        <v>1.5</v>
      </c>
      <c r="AH230" s="363" t="str">
        <f t="shared" si="50"/>
        <v/>
      </c>
      <c r="AI230" s="194">
        <f>1121.2+85.3</f>
        <v>1206.5</v>
      </c>
      <c r="AJ230" s="188">
        <v>1210.32</v>
      </c>
      <c r="AO230" s="367"/>
      <c r="AP230" s="367"/>
      <c r="AQ230" s="367"/>
    </row>
    <row r="231" spans="1:43" s="69" customFormat="1" ht="33" x14ac:dyDescent="0.3">
      <c r="A231" s="130" t="s">
        <v>540</v>
      </c>
      <c r="B231" s="131" t="s">
        <v>109</v>
      </c>
      <c r="C231" s="132" t="s">
        <v>110</v>
      </c>
      <c r="D231" s="133">
        <v>133401</v>
      </c>
      <c r="E231" s="203"/>
      <c r="F231" s="203"/>
      <c r="G231" s="203"/>
      <c r="H231" s="203">
        <v>153939.46</v>
      </c>
      <c r="I231" s="203"/>
      <c r="J231" s="75">
        <v>36.4</v>
      </c>
      <c r="K231" s="75">
        <v>5603396.3399999999</v>
      </c>
      <c r="L231" s="91" t="s">
        <v>111</v>
      </c>
      <c r="M231" s="73"/>
      <c r="N231" s="46">
        <v>153669.92000000001</v>
      </c>
      <c r="O231" s="46">
        <v>0</v>
      </c>
      <c r="P231" s="46">
        <v>5593585.0899999999</v>
      </c>
      <c r="Q231" s="98"/>
      <c r="R231" s="23" t="s">
        <v>1428</v>
      </c>
      <c r="S231" s="24" t="s">
        <v>109</v>
      </c>
      <c r="T231" s="25" t="s">
        <v>110</v>
      </c>
      <c r="U231" s="26">
        <v>133401</v>
      </c>
      <c r="V231" s="26">
        <f t="shared" si="48"/>
        <v>153939.46</v>
      </c>
      <c r="W231" s="26">
        <f t="shared" si="45"/>
        <v>36.4</v>
      </c>
      <c r="X231" s="127">
        <f t="shared" si="51"/>
        <v>0</v>
      </c>
      <c r="Y231" s="127">
        <f t="shared" si="41"/>
        <v>153669.92000000001</v>
      </c>
      <c r="Z231" s="127">
        <f t="shared" si="49"/>
        <v>0</v>
      </c>
      <c r="AA231" s="127">
        <f t="shared" si="52"/>
        <v>5593585.0899999999</v>
      </c>
      <c r="AB231" s="33" t="s">
        <v>15</v>
      </c>
      <c r="AC231" s="324"/>
      <c r="AD231" s="181">
        <f t="shared" si="44"/>
        <v>153939.46</v>
      </c>
      <c r="AE231" s="181">
        <f t="shared" si="43"/>
        <v>5603396.3399999999</v>
      </c>
      <c r="AF231" s="181">
        <v>1.5</v>
      </c>
      <c r="AG231" s="181">
        <v>1.5</v>
      </c>
      <c r="AH231" s="363" t="str">
        <f t="shared" si="50"/>
        <v/>
      </c>
      <c r="AI231" s="194">
        <v>153669.92000000001</v>
      </c>
      <c r="AJ231" s="188">
        <v>153939.46</v>
      </c>
      <c r="AO231" s="367"/>
      <c r="AP231" s="367"/>
      <c r="AQ231" s="367"/>
    </row>
    <row r="232" spans="1:43" s="69" customFormat="1" ht="33" x14ac:dyDescent="0.3">
      <c r="A232" s="130" t="s">
        <v>541</v>
      </c>
      <c r="B232" s="131" t="s">
        <v>399</v>
      </c>
      <c r="C232" s="132" t="s">
        <v>110</v>
      </c>
      <c r="D232" s="133">
        <v>118802</v>
      </c>
      <c r="E232" s="203"/>
      <c r="F232" s="203"/>
      <c r="G232" s="203"/>
      <c r="H232" s="203">
        <v>185226.6</v>
      </c>
      <c r="I232" s="203"/>
      <c r="J232" s="75">
        <v>38.71</v>
      </c>
      <c r="K232" s="75">
        <v>7170121.6900000004</v>
      </c>
      <c r="L232" s="91" t="s">
        <v>400</v>
      </c>
      <c r="M232" s="73"/>
      <c r="N232" s="46">
        <v>185029</v>
      </c>
      <c r="O232" s="46">
        <v>0</v>
      </c>
      <c r="P232" s="46">
        <v>7162472.5899999999</v>
      </c>
      <c r="Q232" s="98"/>
      <c r="R232" s="23" t="s">
        <v>1387</v>
      </c>
      <c r="S232" s="24" t="s">
        <v>399</v>
      </c>
      <c r="T232" s="25" t="s">
        <v>110</v>
      </c>
      <c r="U232" s="26">
        <v>118802</v>
      </c>
      <c r="V232" s="26">
        <f t="shared" si="48"/>
        <v>185226.6</v>
      </c>
      <c r="W232" s="26">
        <f t="shared" si="45"/>
        <v>38.71</v>
      </c>
      <c r="X232" s="127">
        <f t="shared" si="51"/>
        <v>0</v>
      </c>
      <c r="Y232" s="127">
        <f t="shared" si="41"/>
        <v>185029</v>
      </c>
      <c r="Z232" s="127">
        <f t="shared" si="49"/>
        <v>0</v>
      </c>
      <c r="AA232" s="127">
        <f t="shared" si="52"/>
        <v>7162472.5899999999</v>
      </c>
      <c r="AB232" s="33" t="s">
        <v>15</v>
      </c>
      <c r="AC232" s="324"/>
      <c r="AD232" s="181">
        <f t="shared" si="44"/>
        <v>185226.6</v>
      </c>
      <c r="AE232" s="181">
        <f t="shared" si="43"/>
        <v>7170121.6900000004</v>
      </c>
      <c r="AF232" s="181">
        <v>1.5</v>
      </c>
      <c r="AG232" s="181">
        <v>1.5</v>
      </c>
      <c r="AH232" s="363" t="str">
        <f t="shared" si="50"/>
        <v/>
      </c>
      <c r="AI232" s="194">
        <v>185029</v>
      </c>
      <c r="AJ232" s="188">
        <v>185226.6</v>
      </c>
      <c r="AO232" s="367"/>
      <c r="AP232" s="367"/>
      <c r="AQ232" s="367"/>
    </row>
    <row r="233" spans="1:43" s="69" customFormat="1" ht="78" x14ac:dyDescent="0.3">
      <c r="A233" s="130" t="s">
        <v>542</v>
      </c>
      <c r="B233" s="131" t="s">
        <v>543</v>
      </c>
      <c r="C233" s="132" t="s">
        <v>30</v>
      </c>
      <c r="D233" s="133">
        <v>129</v>
      </c>
      <c r="E233" s="75"/>
      <c r="F233" s="75"/>
      <c r="G233" s="75"/>
      <c r="H233" s="75"/>
      <c r="I233" s="343">
        <v>93.9</v>
      </c>
      <c r="J233" s="75">
        <v>2865.95</v>
      </c>
      <c r="K233" s="75">
        <v>269112.71000000002</v>
      </c>
      <c r="L233" s="91" t="s">
        <v>544</v>
      </c>
      <c r="M233" s="73"/>
      <c r="N233" s="46">
        <v>78</v>
      </c>
      <c r="O233" s="46">
        <v>0</v>
      </c>
      <c r="P233" s="46">
        <v>223544.1</v>
      </c>
      <c r="Q233" s="98"/>
      <c r="R233" s="23" t="s">
        <v>1405</v>
      </c>
      <c r="S233" s="24" t="s">
        <v>543</v>
      </c>
      <c r="T233" s="25" t="s">
        <v>30</v>
      </c>
      <c r="U233" s="26">
        <v>129</v>
      </c>
      <c r="V233" s="26">
        <f t="shared" si="48"/>
        <v>93.9</v>
      </c>
      <c r="W233" s="26">
        <f t="shared" si="45"/>
        <v>2865.95</v>
      </c>
      <c r="X233" s="127">
        <f t="shared" si="51"/>
        <v>0</v>
      </c>
      <c r="Y233" s="127">
        <f t="shared" si="41"/>
        <v>78</v>
      </c>
      <c r="Z233" s="127">
        <f t="shared" si="49"/>
        <v>0</v>
      </c>
      <c r="AA233" s="127">
        <f t="shared" si="52"/>
        <v>223544.1</v>
      </c>
      <c r="AB233" s="33" t="s">
        <v>15</v>
      </c>
      <c r="AC233" s="324"/>
      <c r="AD233" s="181">
        <f t="shared" si="44"/>
        <v>93.9</v>
      </c>
      <c r="AE233" s="181">
        <f t="shared" si="43"/>
        <v>269112.71000000002</v>
      </c>
      <c r="AF233" s="181">
        <v>1.5</v>
      </c>
      <c r="AG233" s="181">
        <v>1.5</v>
      </c>
      <c r="AH233" s="363" t="str">
        <f t="shared" si="50"/>
        <v/>
      </c>
      <c r="AI233" s="194">
        <f>36+42</f>
        <v>78</v>
      </c>
      <c r="AJ233" s="190">
        <v>93.9</v>
      </c>
      <c r="AO233" s="367"/>
      <c r="AP233" s="367"/>
      <c r="AQ233" s="367"/>
    </row>
    <row r="234" spans="1:43" s="69" customFormat="1" ht="58.5" x14ac:dyDescent="0.3">
      <c r="A234" s="130" t="s">
        <v>545</v>
      </c>
      <c r="B234" s="131" t="s">
        <v>546</v>
      </c>
      <c r="C234" s="132" t="s">
        <v>81</v>
      </c>
      <c r="D234" s="133">
        <v>54</v>
      </c>
      <c r="E234" s="75"/>
      <c r="F234" s="75"/>
      <c r="G234" s="75"/>
      <c r="H234" s="75"/>
      <c r="I234" s="343">
        <v>33</v>
      </c>
      <c r="J234" s="75">
        <v>1478.05</v>
      </c>
      <c r="K234" s="75">
        <v>48775.65</v>
      </c>
      <c r="L234" s="91" t="s">
        <v>547</v>
      </c>
      <c r="M234" s="73"/>
      <c r="N234" s="46">
        <v>33</v>
      </c>
      <c r="O234" s="46">
        <v>0</v>
      </c>
      <c r="P234" s="46">
        <v>48775.65</v>
      </c>
      <c r="Q234" s="98"/>
      <c r="R234" s="23" t="s">
        <v>1406</v>
      </c>
      <c r="S234" s="24" t="s">
        <v>546</v>
      </c>
      <c r="T234" s="25" t="s">
        <v>81</v>
      </c>
      <c r="U234" s="26">
        <v>54</v>
      </c>
      <c r="V234" s="26">
        <f t="shared" si="48"/>
        <v>33</v>
      </c>
      <c r="W234" s="26">
        <f t="shared" si="45"/>
        <v>1478.05</v>
      </c>
      <c r="X234" s="127">
        <f t="shared" si="51"/>
        <v>0</v>
      </c>
      <c r="Y234" s="127">
        <f t="shared" si="41"/>
        <v>33</v>
      </c>
      <c r="Z234" s="127">
        <f t="shared" si="49"/>
        <v>0</v>
      </c>
      <c r="AA234" s="127">
        <f t="shared" si="52"/>
        <v>48775.65</v>
      </c>
      <c r="AB234" s="33" t="s">
        <v>15</v>
      </c>
      <c r="AC234" s="324"/>
      <c r="AD234" s="181">
        <f t="shared" si="44"/>
        <v>33</v>
      </c>
      <c r="AE234" s="181">
        <f t="shared" si="43"/>
        <v>48775.65</v>
      </c>
      <c r="AF234" s="181">
        <v>1.5</v>
      </c>
      <c r="AG234" s="181">
        <v>1.5</v>
      </c>
      <c r="AH234" s="363" t="str">
        <f t="shared" si="50"/>
        <v/>
      </c>
      <c r="AI234" s="194">
        <f>18+15</f>
        <v>33</v>
      </c>
      <c r="AJ234" s="190">
        <v>33</v>
      </c>
      <c r="AO234" s="367"/>
      <c r="AP234" s="367"/>
      <c r="AQ234" s="367"/>
    </row>
    <row r="235" spans="1:43" s="69" customFormat="1" ht="66" x14ac:dyDescent="0.3">
      <c r="A235" s="130" t="s">
        <v>548</v>
      </c>
      <c r="B235" s="240" t="s">
        <v>549</v>
      </c>
      <c r="C235" s="132" t="s">
        <v>30</v>
      </c>
      <c r="D235" s="133">
        <v>170</v>
      </c>
      <c r="E235" s="75"/>
      <c r="F235" s="75"/>
      <c r="G235" s="75"/>
      <c r="H235" s="75"/>
      <c r="I235" s="343">
        <v>109.9</v>
      </c>
      <c r="J235" s="75">
        <v>151.72</v>
      </c>
      <c r="K235" s="75">
        <v>16674.03</v>
      </c>
      <c r="L235" s="91" t="s">
        <v>550</v>
      </c>
      <c r="M235" s="73"/>
      <c r="N235" s="46">
        <v>91</v>
      </c>
      <c r="O235" s="46">
        <v>0</v>
      </c>
      <c r="P235" s="46">
        <v>13806.52</v>
      </c>
      <c r="Q235" s="98"/>
      <c r="R235" s="23" t="s">
        <v>1414</v>
      </c>
      <c r="S235" s="24" t="s">
        <v>549</v>
      </c>
      <c r="T235" s="25" t="s">
        <v>30</v>
      </c>
      <c r="U235" s="26">
        <v>170</v>
      </c>
      <c r="V235" s="26">
        <f t="shared" si="48"/>
        <v>109.9</v>
      </c>
      <c r="W235" s="26">
        <f t="shared" si="45"/>
        <v>151.72</v>
      </c>
      <c r="X235" s="127">
        <f t="shared" si="51"/>
        <v>0</v>
      </c>
      <c r="Y235" s="127">
        <f t="shared" si="41"/>
        <v>91</v>
      </c>
      <c r="Z235" s="127">
        <f t="shared" si="49"/>
        <v>0</v>
      </c>
      <c r="AA235" s="127">
        <f t="shared" si="52"/>
        <v>13806.52</v>
      </c>
      <c r="AB235" s="33" t="s">
        <v>15</v>
      </c>
      <c r="AC235" s="324"/>
      <c r="AD235" s="181">
        <f t="shared" si="44"/>
        <v>109.9</v>
      </c>
      <c r="AE235" s="181">
        <f t="shared" si="43"/>
        <v>16674.03</v>
      </c>
      <c r="AF235" s="181">
        <v>1.5</v>
      </c>
      <c r="AG235" s="181">
        <v>1.5</v>
      </c>
      <c r="AH235" s="363" t="str">
        <f t="shared" si="50"/>
        <v/>
      </c>
      <c r="AI235" s="194">
        <f>36+55</f>
        <v>91</v>
      </c>
      <c r="AJ235" s="190">
        <v>109.9</v>
      </c>
      <c r="AO235" s="367"/>
      <c r="AP235" s="367"/>
      <c r="AQ235" s="367"/>
    </row>
    <row r="236" spans="1:43" s="69" customFormat="1" ht="49.5" x14ac:dyDescent="0.3">
      <c r="A236" s="130" t="s">
        <v>551</v>
      </c>
      <c r="B236" s="240" t="s">
        <v>552</v>
      </c>
      <c r="C236" s="132" t="s">
        <v>325</v>
      </c>
      <c r="D236" s="133">
        <v>4</v>
      </c>
      <c r="E236" s="75"/>
      <c r="F236" s="75"/>
      <c r="G236" s="75"/>
      <c r="H236" s="75">
        <v>6</v>
      </c>
      <c r="I236" s="343">
        <v>8</v>
      </c>
      <c r="J236" s="75">
        <v>15779.6</v>
      </c>
      <c r="K236" s="75">
        <v>126236.8</v>
      </c>
      <c r="L236" s="91" t="s">
        <v>553</v>
      </c>
      <c r="M236" s="73"/>
      <c r="N236" s="46">
        <v>8</v>
      </c>
      <c r="O236" s="46">
        <v>31559.199999999997</v>
      </c>
      <c r="P236" s="46">
        <v>126236.8</v>
      </c>
      <c r="Q236" s="98"/>
      <c r="R236" s="23" t="s">
        <v>1429</v>
      </c>
      <c r="S236" s="24" t="s">
        <v>552</v>
      </c>
      <c r="T236" s="25" t="s">
        <v>325</v>
      </c>
      <c r="U236" s="26">
        <v>4</v>
      </c>
      <c r="V236" s="26">
        <f t="shared" si="48"/>
        <v>8</v>
      </c>
      <c r="W236" s="26">
        <f t="shared" si="45"/>
        <v>15779.6</v>
      </c>
      <c r="X236" s="128">
        <f t="shared" si="51"/>
        <v>0</v>
      </c>
      <c r="Y236" s="127">
        <f t="shared" si="41"/>
        <v>8</v>
      </c>
      <c r="Z236" s="127">
        <f t="shared" si="49"/>
        <v>0</v>
      </c>
      <c r="AA236" s="127">
        <f t="shared" si="52"/>
        <v>126236.8</v>
      </c>
      <c r="AB236" s="33" t="s">
        <v>15</v>
      </c>
      <c r="AC236" s="324"/>
      <c r="AD236" s="181">
        <f t="shared" si="44"/>
        <v>8</v>
      </c>
      <c r="AE236" s="181">
        <f t="shared" si="43"/>
        <v>126236.8</v>
      </c>
      <c r="AF236" s="181">
        <v>1.5</v>
      </c>
      <c r="AG236" s="181">
        <v>1.5</v>
      </c>
      <c r="AH236" s="363" t="str">
        <f t="shared" si="50"/>
        <v/>
      </c>
      <c r="AI236" s="194">
        <f>6+2</f>
        <v>8</v>
      </c>
      <c r="AJ236" s="190">
        <v>8</v>
      </c>
      <c r="AO236" s="367"/>
      <c r="AP236" s="367"/>
      <c r="AQ236" s="367"/>
    </row>
    <row r="237" spans="1:43" s="69" customFormat="1" ht="24.75" x14ac:dyDescent="0.3">
      <c r="A237" s="130" t="s">
        <v>554</v>
      </c>
      <c r="B237" s="131" t="s">
        <v>189</v>
      </c>
      <c r="C237" s="132" t="s">
        <v>30</v>
      </c>
      <c r="D237" s="133">
        <v>453</v>
      </c>
      <c r="E237" s="75"/>
      <c r="F237" s="75"/>
      <c r="G237" s="75"/>
      <c r="H237" s="75"/>
      <c r="I237" s="75"/>
      <c r="J237" s="75">
        <v>138.84</v>
      </c>
      <c r="K237" s="75">
        <v>62894.52</v>
      </c>
      <c r="L237" s="91" t="s">
        <v>190</v>
      </c>
      <c r="M237" s="73"/>
      <c r="N237" s="46">
        <v>376</v>
      </c>
      <c r="O237" s="46">
        <v>0</v>
      </c>
      <c r="P237" s="46">
        <v>52203.839999999997</v>
      </c>
      <c r="Q237" s="98"/>
      <c r="R237" s="23" t="s">
        <v>1430</v>
      </c>
      <c r="S237" s="24" t="s">
        <v>189</v>
      </c>
      <c r="T237" s="25" t="s">
        <v>30</v>
      </c>
      <c r="U237" s="26">
        <v>453</v>
      </c>
      <c r="V237" s="26">
        <f t="shared" si="48"/>
        <v>453</v>
      </c>
      <c r="W237" s="26">
        <f t="shared" si="45"/>
        <v>138.84</v>
      </c>
      <c r="X237" s="127">
        <f t="shared" si="51"/>
        <v>0</v>
      </c>
      <c r="Y237" s="127">
        <f t="shared" si="41"/>
        <v>376</v>
      </c>
      <c r="Z237" s="127">
        <f t="shared" si="49"/>
        <v>0</v>
      </c>
      <c r="AA237" s="127">
        <f t="shared" si="52"/>
        <v>52203.839999999997</v>
      </c>
      <c r="AB237" s="33" t="s">
        <v>15</v>
      </c>
      <c r="AC237" s="324"/>
      <c r="AD237" s="181">
        <f t="shared" si="44"/>
        <v>453</v>
      </c>
      <c r="AE237" s="181">
        <f t="shared" si="43"/>
        <v>62894.52</v>
      </c>
      <c r="AF237" s="181">
        <v>1.5</v>
      </c>
      <c r="AG237" s="181">
        <v>1.5</v>
      </c>
      <c r="AH237" s="363" t="str">
        <f t="shared" si="50"/>
        <v/>
      </c>
      <c r="AI237" s="194">
        <f>285+91</f>
        <v>376</v>
      </c>
      <c r="AJ237" s="188">
        <v>453</v>
      </c>
      <c r="AO237" s="367"/>
      <c r="AP237" s="367"/>
      <c r="AQ237" s="367"/>
    </row>
    <row r="238" spans="1:43" s="69" customFormat="1" ht="24.75" x14ac:dyDescent="0.3">
      <c r="A238" s="130" t="s">
        <v>555</v>
      </c>
      <c r="B238" s="131" t="s">
        <v>520</v>
      </c>
      <c r="C238" s="132" t="s">
        <v>30</v>
      </c>
      <c r="D238" s="133">
        <v>1680</v>
      </c>
      <c r="E238" s="75"/>
      <c r="F238" s="75"/>
      <c r="G238" s="75"/>
      <c r="H238" s="75"/>
      <c r="I238" s="75"/>
      <c r="J238" s="75">
        <v>326.3</v>
      </c>
      <c r="K238" s="75">
        <v>548184</v>
      </c>
      <c r="L238" s="91" t="s">
        <v>521</v>
      </c>
      <c r="M238" s="73"/>
      <c r="N238" s="46">
        <v>1298</v>
      </c>
      <c r="O238" s="46">
        <v>0</v>
      </c>
      <c r="P238" s="46">
        <v>423537.4</v>
      </c>
      <c r="Q238" s="98"/>
      <c r="R238" s="23" t="s">
        <v>1431</v>
      </c>
      <c r="S238" s="24" t="s">
        <v>520</v>
      </c>
      <c r="T238" s="25" t="s">
        <v>30</v>
      </c>
      <c r="U238" s="26">
        <v>1680</v>
      </c>
      <c r="V238" s="26">
        <f t="shared" si="48"/>
        <v>1680</v>
      </c>
      <c r="W238" s="26">
        <f t="shared" si="45"/>
        <v>326.3</v>
      </c>
      <c r="X238" s="127">
        <f t="shared" si="51"/>
        <v>0</v>
      </c>
      <c r="Y238" s="127">
        <f t="shared" si="41"/>
        <v>1298</v>
      </c>
      <c r="Z238" s="127">
        <f t="shared" si="49"/>
        <v>0</v>
      </c>
      <c r="AA238" s="127">
        <f t="shared" si="52"/>
        <v>423537.4</v>
      </c>
      <c r="AB238" s="33" t="s">
        <v>15</v>
      </c>
      <c r="AC238" s="324"/>
      <c r="AD238" s="181">
        <f t="shared" si="44"/>
        <v>1680</v>
      </c>
      <c r="AE238" s="181">
        <f t="shared" si="43"/>
        <v>548184</v>
      </c>
      <c r="AF238" s="181">
        <v>1.5</v>
      </c>
      <c r="AG238" s="181">
        <v>1.5</v>
      </c>
      <c r="AH238" s="363" t="str">
        <f t="shared" si="50"/>
        <v/>
      </c>
      <c r="AI238" s="194">
        <f>936+362</f>
        <v>1298</v>
      </c>
      <c r="AJ238" s="188">
        <v>1680</v>
      </c>
      <c r="AO238" s="367"/>
      <c r="AP238" s="367"/>
      <c r="AQ238" s="367"/>
    </row>
    <row r="239" spans="1:43" s="69" customFormat="1" ht="58.5" x14ac:dyDescent="0.3">
      <c r="A239" s="130" t="s">
        <v>556</v>
      </c>
      <c r="B239" s="131" t="s">
        <v>424</v>
      </c>
      <c r="C239" s="132" t="s">
        <v>50</v>
      </c>
      <c r="D239" s="133">
        <v>756</v>
      </c>
      <c r="E239" s="75"/>
      <c r="F239" s="75"/>
      <c r="G239" s="75"/>
      <c r="H239" s="75"/>
      <c r="I239" s="75"/>
      <c r="J239" s="75">
        <v>692.16</v>
      </c>
      <c r="K239" s="75">
        <v>523272.96000000002</v>
      </c>
      <c r="L239" s="91" t="s">
        <v>425</v>
      </c>
      <c r="M239" s="73"/>
      <c r="N239" s="46">
        <v>756</v>
      </c>
      <c r="O239" s="46">
        <v>0</v>
      </c>
      <c r="P239" s="46">
        <v>523272.96000000002</v>
      </c>
      <c r="Q239" s="98"/>
      <c r="R239" s="23" t="s">
        <v>1395</v>
      </c>
      <c r="S239" s="24" t="s">
        <v>424</v>
      </c>
      <c r="T239" s="25" t="s">
        <v>50</v>
      </c>
      <c r="U239" s="26">
        <v>756</v>
      </c>
      <c r="V239" s="26">
        <f t="shared" si="48"/>
        <v>756</v>
      </c>
      <c r="W239" s="26">
        <f t="shared" si="45"/>
        <v>692.16</v>
      </c>
      <c r="X239" s="127">
        <f t="shared" si="51"/>
        <v>0</v>
      </c>
      <c r="Y239" s="127">
        <f t="shared" si="41"/>
        <v>756</v>
      </c>
      <c r="Z239" s="127">
        <f t="shared" si="49"/>
        <v>0</v>
      </c>
      <c r="AA239" s="127">
        <f t="shared" si="52"/>
        <v>523272.96000000002</v>
      </c>
      <c r="AB239" s="33" t="s">
        <v>15</v>
      </c>
      <c r="AC239" s="324"/>
      <c r="AD239" s="181">
        <f t="shared" si="44"/>
        <v>756</v>
      </c>
      <c r="AE239" s="181">
        <f t="shared" si="43"/>
        <v>523272.96000000002</v>
      </c>
      <c r="AF239" s="181">
        <v>1.5</v>
      </c>
      <c r="AG239" s="181">
        <v>1.5</v>
      </c>
      <c r="AH239" s="363" t="str">
        <f t="shared" si="50"/>
        <v/>
      </c>
      <c r="AI239" s="194">
        <v>756</v>
      </c>
      <c r="AJ239" s="188">
        <v>756</v>
      </c>
      <c r="AO239" s="367"/>
      <c r="AP239" s="367"/>
      <c r="AQ239" s="367"/>
    </row>
    <row r="240" spans="1:43" s="69" customFormat="1" ht="58.5" x14ac:dyDescent="0.3">
      <c r="A240" s="130" t="s">
        <v>557</v>
      </c>
      <c r="B240" s="131" t="s">
        <v>558</v>
      </c>
      <c r="C240" s="132" t="s">
        <v>559</v>
      </c>
      <c r="D240" s="133">
        <v>32</v>
      </c>
      <c r="E240" s="75"/>
      <c r="F240" s="75"/>
      <c r="G240" s="75"/>
      <c r="H240" s="75"/>
      <c r="I240" s="75"/>
      <c r="J240" s="75">
        <v>422.3</v>
      </c>
      <c r="K240" s="75">
        <v>13513.6</v>
      </c>
      <c r="L240" s="91" t="s">
        <v>560</v>
      </c>
      <c r="M240" s="73"/>
      <c r="N240" s="46">
        <v>0</v>
      </c>
      <c r="O240" s="46">
        <v>0</v>
      </c>
      <c r="P240" s="46">
        <v>0</v>
      </c>
      <c r="Q240" s="98"/>
      <c r="R240" s="23" t="s">
        <v>1432</v>
      </c>
      <c r="S240" s="24" t="s">
        <v>558</v>
      </c>
      <c r="T240" s="25" t="s">
        <v>559</v>
      </c>
      <c r="U240" s="26">
        <v>32</v>
      </c>
      <c r="V240" s="26">
        <f t="shared" si="48"/>
        <v>32</v>
      </c>
      <c r="W240" s="26">
        <f t="shared" si="45"/>
        <v>422.3</v>
      </c>
      <c r="X240" s="26">
        <f t="shared" si="51"/>
        <v>0</v>
      </c>
      <c r="Y240" s="26">
        <f t="shared" si="41"/>
        <v>0</v>
      </c>
      <c r="Z240" s="26">
        <f t="shared" si="49"/>
        <v>0</v>
      </c>
      <c r="AA240" s="26">
        <f t="shared" si="52"/>
        <v>0</v>
      </c>
      <c r="AB240" s="33" t="s">
        <v>15</v>
      </c>
      <c r="AC240" s="324"/>
      <c r="AD240" s="181">
        <f t="shared" si="44"/>
        <v>32</v>
      </c>
      <c r="AE240" s="181">
        <f t="shared" si="43"/>
        <v>13513.6</v>
      </c>
      <c r="AF240" s="181">
        <v>1.5</v>
      </c>
      <c r="AG240" s="181">
        <v>1.5</v>
      </c>
      <c r="AH240" s="363" t="str">
        <f t="shared" si="50"/>
        <v/>
      </c>
      <c r="AI240" s="192">
        <v>0</v>
      </c>
      <c r="AJ240" s="188">
        <v>32</v>
      </c>
      <c r="AN240" s="281"/>
      <c r="AO240" s="367"/>
      <c r="AP240" s="367"/>
      <c r="AQ240" s="367"/>
    </row>
    <row r="241" spans="1:43" s="281" customFormat="1" ht="39" x14ac:dyDescent="0.3">
      <c r="A241" s="283" t="s">
        <v>3208</v>
      </c>
      <c r="B241" s="211" t="s">
        <v>3207</v>
      </c>
      <c r="C241" s="212" t="s">
        <v>30</v>
      </c>
      <c r="D241" s="213"/>
      <c r="E241" s="213"/>
      <c r="F241" s="213"/>
      <c r="G241" s="213"/>
      <c r="H241" s="213"/>
      <c r="I241" s="343">
        <v>12</v>
      </c>
      <c r="J241" s="213">
        <v>3848.13</v>
      </c>
      <c r="K241" s="275">
        <v>46177.56</v>
      </c>
      <c r="L241" s="284"/>
      <c r="M241" s="278"/>
      <c r="N241" s="42">
        <v>12</v>
      </c>
      <c r="O241" s="42">
        <v>46177.56</v>
      </c>
      <c r="P241" s="42">
        <v>46177.56</v>
      </c>
      <c r="Q241" s="98"/>
      <c r="R241" s="13" t="s">
        <v>3218</v>
      </c>
      <c r="S241" s="286" t="str">
        <f t="shared" ref="S241:T241" si="53">B241</f>
        <v>12"排水鋼管，含埋設</v>
      </c>
      <c r="T241" s="287" t="str">
        <f t="shared" si="53"/>
        <v>M</v>
      </c>
      <c r="U241" s="16"/>
      <c r="V241" s="16">
        <f t="shared" si="48"/>
        <v>12</v>
      </c>
      <c r="W241" s="16">
        <f t="shared" si="45"/>
        <v>3848.13</v>
      </c>
      <c r="X241" s="16">
        <f t="shared" si="51"/>
        <v>0</v>
      </c>
      <c r="Y241" s="127">
        <f t="shared" si="41"/>
        <v>12</v>
      </c>
      <c r="Z241" s="127">
        <f t="shared" si="49"/>
        <v>0</v>
      </c>
      <c r="AA241" s="127">
        <f t="shared" si="52"/>
        <v>46177.56</v>
      </c>
      <c r="AB241" s="17"/>
      <c r="AC241" s="324"/>
      <c r="AD241" s="181">
        <f t="shared" si="44"/>
        <v>12</v>
      </c>
      <c r="AE241" s="181">
        <f t="shared" si="43"/>
        <v>46177.56</v>
      </c>
      <c r="AF241" s="181">
        <v>1.5</v>
      </c>
      <c r="AG241" s="181">
        <v>1.5</v>
      </c>
      <c r="AH241" s="364"/>
      <c r="AI241" s="285">
        <f>12</f>
        <v>12</v>
      </c>
      <c r="AJ241" s="190">
        <v>12</v>
      </c>
      <c r="AN241" s="69"/>
      <c r="AO241" s="367"/>
      <c r="AP241" s="367"/>
      <c r="AQ241" s="367"/>
    </row>
    <row r="242" spans="1:43" s="69" customFormat="1" x14ac:dyDescent="0.3">
      <c r="A242" s="79" t="s">
        <v>561</v>
      </c>
      <c r="B242" s="80" t="s">
        <v>562</v>
      </c>
      <c r="C242" s="81" t="s">
        <v>14</v>
      </c>
      <c r="D242" s="82">
        <v>1</v>
      </c>
      <c r="E242" s="82"/>
      <c r="F242" s="82"/>
      <c r="G242" s="82"/>
      <c r="H242" s="82"/>
      <c r="I242" s="82"/>
      <c r="J242" s="82">
        <v>18979468.52</v>
      </c>
      <c r="K242" s="82">
        <v>18979468.52</v>
      </c>
      <c r="L242" s="94" t="s">
        <v>15</v>
      </c>
      <c r="M242" s="73"/>
      <c r="N242" s="45">
        <v>1</v>
      </c>
      <c r="O242" s="45">
        <v>5378158.1599999992</v>
      </c>
      <c r="P242" s="45">
        <v>17251452.990000002</v>
      </c>
      <c r="Q242" s="98"/>
      <c r="R242" s="18" t="s">
        <v>1394</v>
      </c>
      <c r="S242" s="19" t="s">
        <v>562</v>
      </c>
      <c r="T242" s="20" t="s">
        <v>14</v>
      </c>
      <c r="U242" s="21">
        <v>1</v>
      </c>
      <c r="V242" s="21"/>
      <c r="W242" s="21">
        <f t="shared" si="45"/>
        <v>18979468.52</v>
      </c>
      <c r="X242" s="21">
        <f t="shared" ref="X242:Y242" si="54">IF(Z242=0,0,1)</f>
        <v>0</v>
      </c>
      <c r="Y242" s="21">
        <f t="shared" si="54"/>
        <v>1</v>
      </c>
      <c r="Z242" s="21">
        <f>SUMIFS(Z:Z,AG:AG,AF242)</f>
        <v>0</v>
      </c>
      <c r="AA242" s="21">
        <f>SUMIFS(AA:AA,AG:AG,AF242)</f>
        <v>17251452.990000002</v>
      </c>
      <c r="AB242" s="22" t="s">
        <v>15</v>
      </c>
      <c r="AC242" s="324"/>
      <c r="AD242" s="181">
        <f t="shared" si="44"/>
        <v>1</v>
      </c>
      <c r="AE242" s="184"/>
      <c r="AF242" s="184">
        <v>1.6</v>
      </c>
      <c r="AG242" s="184"/>
      <c r="AH242" s="363" t="str">
        <f t="shared" si="50"/>
        <v/>
      </c>
      <c r="AI242" s="192">
        <v>1</v>
      </c>
      <c r="AJ242" s="188">
        <v>1</v>
      </c>
      <c r="AO242" s="367"/>
      <c r="AP242" s="367"/>
      <c r="AQ242" s="367"/>
    </row>
    <row r="243" spans="1:43" s="69" customFormat="1" ht="58.5" x14ac:dyDescent="0.3">
      <c r="A243" s="130" t="s">
        <v>563</v>
      </c>
      <c r="B243" s="131" t="s">
        <v>564</v>
      </c>
      <c r="C243" s="132" t="s">
        <v>23</v>
      </c>
      <c r="D243" s="133">
        <v>256</v>
      </c>
      <c r="E243" s="75"/>
      <c r="F243" s="75"/>
      <c r="G243" s="75"/>
      <c r="H243" s="75">
        <v>380.68</v>
      </c>
      <c r="I243" s="343">
        <v>482.1</v>
      </c>
      <c r="J243" s="75">
        <v>7517.56</v>
      </c>
      <c r="K243" s="75">
        <v>3624215.68</v>
      </c>
      <c r="L243" s="91" t="s">
        <v>565</v>
      </c>
      <c r="M243" s="73"/>
      <c r="N243" s="46">
        <v>470</v>
      </c>
      <c r="O243" s="46">
        <v>671468.46</v>
      </c>
      <c r="P243" s="46">
        <v>3533253.2</v>
      </c>
      <c r="Q243" s="98"/>
      <c r="R243" s="23" t="s">
        <v>1421</v>
      </c>
      <c r="S243" s="24" t="s">
        <v>564</v>
      </c>
      <c r="T243" s="25" t="s">
        <v>23</v>
      </c>
      <c r="U243" s="26">
        <v>256</v>
      </c>
      <c r="V243" s="26">
        <f t="shared" ref="V243:V306" si="55">IF(I243&gt;0,I243,IF(H243&gt;0,H243,IF(G243&gt;0,G243,IF(F243&gt;0,F243,IF(E243&gt;0,E243,D243)))))</f>
        <v>482.1</v>
      </c>
      <c r="W243" s="26">
        <f t="shared" si="45"/>
        <v>7517.56</v>
      </c>
      <c r="X243" s="342">
        <f t="shared" ref="X243:X262" si="56">AI243-N243</f>
        <v>0</v>
      </c>
      <c r="Y243" s="127">
        <f t="shared" si="41"/>
        <v>470</v>
      </c>
      <c r="Z243" s="127">
        <f t="shared" ref="Z243:Z262" si="57">AA243-P243</f>
        <v>0</v>
      </c>
      <c r="AA243" s="127">
        <f t="shared" si="52"/>
        <v>3533253.2</v>
      </c>
      <c r="AB243" s="33" t="s">
        <v>15</v>
      </c>
      <c r="AC243" s="324"/>
      <c r="AD243" s="181">
        <f t="shared" si="44"/>
        <v>482.1</v>
      </c>
      <c r="AE243" s="181">
        <f t="shared" ref="AE243:AE262" si="58">ROUND(W243*AD243,2)</f>
        <v>3624215.68</v>
      </c>
      <c r="AF243" s="181">
        <v>1.6</v>
      </c>
      <c r="AG243" s="181">
        <v>1.6</v>
      </c>
      <c r="AH243" s="363" t="str">
        <f t="shared" si="50"/>
        <v/>
      </c>
      <c r="AI243" s="194">
        <v>470</v>
      </c>
      <c r="AJ243" s="190">
        <v>482.1</v>
      </c>
      <c r="AO243" s="367"/>
      <c r="AP243" s="367"/>
      <c r="AQ243" s="367"/>
    </row>
    <row r="244" spans="1:43" s="69" customFormat="1" ht="58.5" x14ac:dyDescent="0.3">
      <c r="A244" s="55" t="s">
        <v>566</v>
      </c>
      <c r="B244" s="53" t="s">
        <v>3064</v>
      </c>
      <c r="C244" s="54" t="s">
        <v>23</v>
      </c>
      <c r="D244" s="75">
        <v>766</v>
      </c>
      <c r="E244" s="75"/>
      <c r="F244" s="75"/>
      <c r="G244" s="75"/>
      <c r="H244" s="75">
        <v>917.25</v>
      </c>
      <c r="I244" s="328"/>
      <c r="J244" s="75">
        <v>7496.96</v>
      </c>
      <c r="K244" s="75">
        <v>6876586.5599999996</v>
      </c>
      <c r="L244" s="91" t="s">
        <v>568</v>
      </c>
      <c r="M244" s="73"/>
      <c r="N244" s="46">
        <v>749.30000000000007</v>
      </c>
      <c r="O244" s="46">
        <v>458813.95000000019</v>
      </c>
      <c r="P244" s="46">
        <v>5617472.1299999999</v>
      </c>
      <c r="Q244" s="98"/>
      <c r="R244" s="23" t="s">
        <v>1426</v>
      </c>
      <c r="S244" s="24" t="s">
        <v>567</v>
      </c>
      <c r="T244" s="25" t="s">
        <v>23</v>
      </c>
      <c r="U244" s="26">
        <v>766</v>
      </c>
      <c r="V244" s="26">
        <f t="shared" si="55"/>
        <v>917.25</v>
      </c>
      <c r="W244" s="26">
        <f t="shared" si="45"/>
        <v>7496.96</v>
      </c>
      <c r="X244" s="342">
        <f t="shared" si="56"/>
        <v>0</v>
      </c>
      <c r="Y244" s="26">
        <f t="shared" si="41"/>
        <v>749.30000000000007</v>
      </c>
      <c r="Z244" s="26">
        <f t="shared" si="57"/>
        <v>0</v>
      </c>
      <c r="AA244" s="26">
        <f t="shared" si="52"/>
        <v>5617472.1299999999</v>
      </c>
      <c r="AB244" s="33" t="s">
        <v>15</v>
      </c>
      <c r="AC244" s="325"/>
      <c r="AD244" s="263">
        <f t="shared" si="44"/>
        <v>917.25</v>
      </c>
      <c r="AE244" s="263">
        <f t="shared" si="58"/>
        <v>6876586.5599999996</v>
      </c>
      <c r="AF244" s="263">
        <v>1.6</v>
      </c>
      <c r="AG244" s="263">
        <v>1.6</v>
      </c>
      <c r="AH244" s="68" t="str">
        <f t="shared" si="50"/>
        <v/>
      </c>
      <c r="AI244" s="194">
        <f>437.3+1672*0.15+61.2</f>
        <v>749.30000000000007</v>
      </c>
      <c r="AJ244" s="188">
        <v>917.25</v>
      </c>
      <c r="AO244" s="367"/>
      <c r="AP244" s="367"/>
      <c r="AQ244" s="367"/>
    </row>
    <row r="245" spans="1:43" s="69" customFormat="1" ht="24.75" x14ac:dyDescent="0.3">
      <c r="A245" s="55" t="s">
        <v>569</v>
      </c>
      <c r="B245" s="53" t="s">
        <v>570</v>
      </c>
      <c r="C245" s="54" t="s">
        <v>50</v>
      </c>
      <c r="D245" s="75">
        <v>5103</v>
      </c>
      <c r="E245" s="75"/>
      <c r="F245" s="75"/>
      <c r="G245" s="75"/>
      <c r="H245" s="75"/>
      <c r="I245" s="328"/>
      <c r="J245" s="75">
        <v>11.6</v>
      </c>
      <c r="K245" s="75">
        <v>59194.8</v>
      </c>
      <c r="L245" s="91" t="s">
        <v>571</v>
      </c>
      <c r="M245" s="73"/>
      <c r="N245" s="46">
        <v>2634</v>
      </c>
      <c r="O245" s="46">
        <v>0</v>
      </c>
      <c r="P245" s="46">
        <v>30554.400000000001</v>
      </c>
      <c r="Q245" s="98"/>
      <c r="R245" s="23" t="s">
        <v>1402</v>
      </c>
      <c r="S245" s="24" t="s">
        <v>570</v>
      </c>
      <c r="T245" s="25" t="s">
        <v>50</v>
      </c>
      <c r="U245" s="26">
        <v>5103</v>
      </c>
      <c r="V245" s="26">
        <f t="shared" si="55"/>
        <v>5103</v>
      </c>
      <c r="W245" s="26">
        <f t="shared" si="45"/>
        <v>11.6</v>
      </c>
      <c r="X245" s="342">
        <f t="shared" si="56"/>
        <v>0</v>
      </c>
      <c r="Y245" s="26">
        <f t="shared" si="41"/>
        <v>2634</v>
      </c>
      <c r="Z245" s="26">
        <f t="shared" si="57"/>
        <v>0</v>
      </c>
      <c r="AA245" s="26">
        <f t="shared" si="52"/>
        <v>30554.400000000001</v>
      </c>
      <c r="AB245" s="33" t="s">
        <v>15</v>
      </c>
      <c r="AC245" s="325"/>
      <c r="AD245" s="263">
        <f t="shared" si="44"/>
        <v>5103</v>
      </c>
      <c r="AE245" s="263">
        <f t="shared" si="58"/>
        <v>59194.8</v>
      </c>
      <c r="AF245" s="263">
        <v>1.6</v>
      </c>
      <c r="AG245" s="263">
        <v>1.6</v>
      </c>
      <c r="AH245" s="68" t="str">
        <f t="shared" si="50"/>
        <v/>
      </c>
      <c r="AI245" s="194">
        <f>798+1836</f>
        <v>2634</v>
      </c>
      <c r="AJ245" s="188">
        <v>5103</v>
      </c>
      <c r="AO245" s="367"/>
      <c r="AP245" s="367"/>
      <c r="AQ245" s="367"/>
    </row>
    <row r="246" spans="1:43" s="69" customFormat="1" ht="58.5" x14ac:dyDescent="0.3">
      <c r="A246" s="55" t="s">
        <v>572</v>
      </c>
      <c r="B246" s="53" t="s">
        <v>573</v>
      </c>
      <c r="C246" s="54" t="s">
        <v>50</v>
      </c>
      <c r="D246" s="75">
        <v>5103</v>
      </c>
      <c r="E246" s="75"/>
      <c r="F246" s="75"/>
      <c r="G246" s="75"/>
      <c r="H246" s="75">
        <v>6734.4</v>
      </c>
      <c r="I246" s="328"/>
      <c r="J246" s="75">
        <v>42.46</v>
      </c>
      <c r="K246" s="75">
        <v>285942.62</v>
      </c>
      <c r="L246" s="91" t="s">
        <v>574</v>
      </c>
      <c r="M246" s="73"/>
      <c r="N246" s="46">
        <v>4306</v>
      </c>
      <c r="O246" s="46">
        <v>0</v>
      </c>
      <c r="P246" s="46">
        <v>182832.76</v>
      </c>
      <c r="Q246" s="98"/>
      <c r="R246" s="23" t="s">
        <v>1373</v>
      </c>
      <c r="S246" s="24" t="s">
        <v>573</v>
      </c>
      <c r="T246" s="25" t="s">
        <v>50</v>
      </c>
      <c r="U246" s="26">
        <v>5103</v>
      </c>
      <c r="V246" s="26">
        <f t="shared" si="55"/>
        <v>6734.4</v>
      </c>
      <c r="W246" s="26">
        <f t="shared" si="45"/>
        <v>42.46</v>
      </c>
      <c r="X246" s="342">
        <f t="shared" si="56"/>
        <v>0</v>
      </c>
      <c r="Y246" s="26">
        <f t="shared" si="41"/>
        <v>4306</v>
      </c>
      <c r="Z246" s="26">
        <f t="shared" si="57"/>
        <v>0</v>
      </c>
      <c r="AA246" s="26">
        <f t="shared" si="52"/>
        <v>182832.76</v>
      </c>
      <c r="AB246" s="33" t="s">
        <v>15</v>
      </c>
      <c r="AC246" s="325"/>
      <c r="AD246" s="263">
        <f t="shared" si="44"/>
        <v>6734.4</v>
      </c>
      <c r="AE246" s="263">
        <f t="shared" si="58"/>
        <v>285942.62</v>
      </c>
      <c r="AF246" s="263">
        <v>1.6</v>
      </c>
      <c r="AG246" s="263">
        <v>1.6</v>
      </c>
      <c r="AH246" s="68" t="str">
        <f t="shared" si="50"/>
        <v/>
      </c>
      <c r="AI246" s="194">
        <f>2381+1925</f>
        <v>4306</v>
      </c>
      <c r="AJ246" s="188">
        <v>6734.4</v>
      </c>
      <c r="AO246" s="367"/>
      <c r="AP246" s="367"/>
      <c r="AQ246" s="367"/>
    </row>
    <row r="247" spans="1:43" s="69" customFormat="1" ht="58.5" x14ac:dyDescent="0.3">
      <c r="A247" s="55" t="s">
        <v>575</v>
      </c>
      <c r="B247" s="53" t="s">
        <v>576</v>
      </c>
      <c r="C247" s="54" t="s">
        <v>50</v>
      </c>
      <c r="D247" s="75">
        <v>15307</v>
      </c>
      <c r="E247" s="75"/>
      <c r="F247" s="75"/>
      <c r="G247" s="75"/>
      <c r="H247" s="75">
        <v>19027.2</v>
      </c>
      <c r="I247" s="328">
        <v>21202.13</v>
      </c>
      <c r="J247" s="75">
        <v>15.96</v>
      </c>
      <c r="K247" s="75">
        <v>338385.99</v>
      </c>
      <c r="L247" s="91" t="s">
        <v>577</v>
      </c>
      <c r="M247" s="73"/>
      <c r="N247" s="46">
        <v>17728.7</v>
      </c>
      <c r="O247" s="46">
        <v>41666.76999999999</v>
      </c>
      <c r="P247" s="46">
        <v>282950.05</v>
      </c>
      <c r="Q247" s="98"/>
      <c r="R247" s="23" t="s">
        <v>1393</v>
      </c>
      <c r="S247" s="24" t="s">
        <v>576</v>
      </c>
      <c r="T247" s="25" t="s">
        <v>50</v>
      </c>
      <c r="U247" s="26">
        <v>15307</v>
      </c>
      <c r="V247" s="26">
        <f t="shared" si="55"/>
        <v>21202.13</v>
      </c>
      <c r="W247" s="26">
        <f t="shared" si="45"/>
        <v>15.96</v>
      </c>
      <c r="X247" s="342">
        <f t="shared" si="56"/>
        <v>0</v>
      </c>
      <c r="Y247" s="26">
        <f t="shared" si="41"/>
        <v>17728.7</v>
      </c>
      <c r="Z247" s="26">
        <f t="shared" si="57"/>
        <v>0</v>
      </c>
      <c r="AA247" s="26">
        <f t="shared" si="52"/>
        <v>282950.05</v>
      </c>
      <c r="AB247" s="33" t="s">
        <v>15</v>
      </c>
      <c r="AC247" s="325"/>
      <c r="AD247" s="263">
        <f t="shared" si="44"/>
        <v>21202.13</v>
      </c>
      <c r="AE247" s="263">
        <f t="shared" si="58"/>
        <v>338385.99</v>
      </c>
      <c r="AF247" s="263">
        <v>1.6</v>
      </c>
      <c r="AG247" s="263">
        <v>1.6</v>
      </c>
      <c r="AH247" s="68" t="str">
        <f t="shared" si="50"/>
        <v/>
      </c>
      <c r="AI247" s="194">
        <f>7986+1500+5632+2610.7</f>
        <v>17728.7</v>
      </c>
      <c r="AJ247" s="190">
        <v>21202.13</v>
      </c>
      <c r="AO247" s="367"/>
      <c r="AP247" s="367"/>
      <c r="AQ247" s="367"/>
    </row>
    <row r="248" spans="1:43" s="69" customFormat="1" ht="58.5" x14ac:dyDescent="0.3">
      <c r="A248" s="130" t="s">
        <v>578</v>
      </c>
      <c r="B248" s="131" t="s">
        <v>392</v>
      </c>
      <c r="C248" s="132" t="s">
        <v>23</v>
      </c>
      <c r="D248" s="133">
        <v>24</v>
      </c>
      <c r="E248" s="75"/>
      <c r="F248" s="75"/>
      <c r="G248" s="75"/>
      <c r="H248" s="75"/>
      <c r="I248" s="328"/>
      <c r="J248" s="75">
        <v>3115.13</v>
      </c>
      <c r="K248" s="75">
        <v>74763.12</v>
      </c>
      <c r="L248" s="91" t="s">
        <v>114</v>
      </c>
      <c r="M248" s="73"/>
      <c r="N248" s="46">
        <v>24</v>
      </c>
      <c r="O248" s="46">
        <v>0</v>
      </c>
      <c r="P248" s="46">
        <v>74763.12</v>
      </c>
      <c r="Q248" s="98"/>
      <c r="R248" s="23" t="s">
        <v>1403</v>
      </c>
      <c r="S248" s="24" t="s">
        <v>392</v>
      </c>
      <c r="T248" s="25" t="s">
        <v>23</v>
      </c>
      <c r="U248" s="26">
        <v>24</v>
      </c>
      <c r="V248" s="26">
        <f t="shared" si="55"/>
        <v>24</v>
      </c>
      <c r="W248" s="26">
        <f t="shared" si="45"/>
        <v>3115.13</v>
      </c>
      <c r="X248" s="127">
        <f t="shared" si="56"/>
        <v>0</v>
      </c>
      <c r="Y248" s="127">
        <f t="shared" si="41"/>
        <v>24</v>
      </c>
      <c r="Z248" s="127">
        <f t="shared" si="57"/>
        <v>0</v>
      </c>
      <c r="AA248" s="127">
        <f t="shared" si="52"/>
        <v>74763.12</v>
      </c>
      <c r="AB248" s="33" t="s">
        <v>15</v>
      </c>
      <c r="AC248" s="324"/>
      <c r="AD248" s="181">
        <f t="shared" si="44"/>
        <v>24</v>
      </c>
      <c r="AE248" s="181">
        <f t="shared" si="58"/>
        <v>74763.12</v>
      </c>
      <c r="AF248" s="181">
        <v>1.6</v>
      </c>
      <c r="AG248" s="181">
        <v>1.6</v>
      </c>
      <c r="AH248" s="363" t="str">
        <f t="shared" si="50"/>
        <v/>
      </c>
      <c r="AI248" s="194">
        <f>5+19</f>
        <v>24</v>
      </c>
      <c r="AJ248" s="188">
        <v>24</v>
      </c>
      <c r="AO248" s="367"/>
      <c r="AP248" s="367"/>
      <c r="AQ248" s="367"/>
    </row>
    <row r="249" spans="1:43" s="69" customFormat="1" ht="58.5" x14ac:dyDescent="0.3">
      <c r="A249" s="130" t="s">
        <v>579</v>
      </c>
      <c r="B249" s="131" t="s">
        <v>116</v>
      </c>
      <c r="C249" s="132" t="s">
        <v>23</v>
      </c>
      <c r="D249" s="133">
        <v>237</v>
      </c>
      <c r="E249" s="75"/>
      <c r="F249" s="75"/>
      <c r="G249" s="75"/>
      <c r="H249" s="75"/>
      <c r="I249" s="343">
        <v>362.85</v>
      </c>
      <c r="J249" s="75">
        <v>3321.13</v>
      </c>
      <c r="K249" s="75">
        <v>1205072.02</v>
      </c>
      <c r="L249" s="91" t="s">
        <v>117</v>
      </c>
      <c r="M249" s="73"/>
      <c r="N249" s="46">
        <v>362.85</v>
      </c>
      <c r="O249" s="46">
        <v>417964.20999999996</v>
      </c>
      <c r="P249" s="46">
        <v>1205072.02</v>
      </c>
      <c r="Q249" s="98"/>
      <c r="R249" s="23" t="s">
        <v>1427</v>
      </c>
      <c r="S249" s="24" t="s">
        <v>116</v>
      </c>
      <c r="T249" s="25" t="s">
        <v>23</v>
      </c>
      <c r="U249" s="26">
        <v>237</v>
      </c>
      <c r="V249" s="26">
        <f t="shared" si="55"/>
        <v>362.85</v>
      </c>
      <c r="W249" s="26">
        <f t="shared" si="45"/>
        <v>3321.13</v>
      </c>
      <c r="X249" s="128">
        <f t="shared" si="56"/>
        <v>0</v>
      </c>
      <c r="Y249" s="127">
        <f t="shared" si="41"/>
        <v>362.85</v>
      </c>
      <c r="Z249" s="127">
        <f t="shared" si="57"/>
        <v>0</v>
      </c>
      <c r="AA249" s="127">
        <f t="shared" si="52"/>
        <v>1205072.02</v>
      </c>
      <c r="AB249" s="33" t="s">
        <v>15</v>
      </c>
      <c r="AC249" s="324"/>
      <c r="AD249" s="181">
        <f t="shared" si="44"/>
        <v>362.85</v>
      </c>
      <c r="AE249" s="181">
        <f t="shared" si="58"/>
        <v>1205072.02</v>
      </c>
      <c r="AF249" s="181">
        <v>1.6</v>
      </c>
      <c r="AG249" s="181">
        <v>1.6</v>
      </c>
      <c r="AH249" s="363" t="str">
        <f t="shared" si="50"/>
        <v/>
      </c>
      <c r="AI249" s="194">
        <f>120.35+103.6+13.05+125.85</f>
        <v>362.85</v>
      </c>
      <c r="AJ249" s="190">
        <v>362.85</v>
      </c>
      <c r="AO249" s="367"/>
      <c r="AP249" s="367"/>
      <c r="AQ249" s="367"/>
    </row>
    <row r="250" spans="1:43" s="69" customFormat="1" ht="39" x14ac:dyDescent="0.3">
      <c r="A250" s="130" t="s">
        <v>580</v>
      </c>
      <c r="B250" s="131" t="s">
        <v>493</v>
      </c>
      <c r="C250" s="132" t="s">
        <v>23</v>
      </c>
      <c r="D250" s="133">
        <v>261</v>
      </c>
      <c r="E250" s="75"/>
      <c r="F250" s="75"/>
      <c r="G250" s="75"/>
      <c r="H250" s="75"/>
      <c r="I250" s="344">
        <v>386.85</v>
      </c>
      <c r="J250" s="75">
        <v>200</v>
      </c>
      <c r="K250" s="75">
        <v>77370</v>
      </c>
      <c r="L250" s="91" t="s">
        <v>494</v>
      </c>
      <c r="M250" s="73"/>
      <c r="N250" s="46">
        <v>386.85</v>
      </c>
      <c r="O250" s="46">
        <v>25170</v>
      </c>
      <c r="P250" s="46">
        <v>77370</v>
      </c>
      <c r="Q250" s="98"/>
      <c r="R250" s="23" t="s">
        <v>1428</v>
      </c>
      <c r="S250" s="24" t="s">
        <v>493</v>
      </c>
      <c r="T250" s="25" t="s">
        <v>23</v>
      </c>
      <c r="U250" s="26">
        <v>261</v>
      </c>
      <c r="V250" s="26">
        <f t="shared" si="55"/>
        <v>386.85</v>
      </c>
      <c r="W250" s="26">
        <f t="shared" si="45"/>
        <v>200</v>
      </c>
      <c r="X250" s="128">
        <f t="shared" si="56"/>
        <v>0</v>
      </c>
      <c r="Y250" s="127">
        <f t="shared" si="41"/>
        <v>386.85</v>
      </c>
      <c r="Z250" s="127">
        <f t="shared" si="57"/>
        <v>0</v>
      </c>
      <c r="AA250" s="127">
        <f t="shared" si="52"/>
        <v>77370</v>
      </c>
      <c r="AB250" s="33" t="s">
        <v>15</v>
      </c>
      <c r="AC250" s="324"/>
      <c r="AD250" s="181">
        <f t="shared" si="44"/>
        <v>386.85</v>
      </c>
      <c r="AE250" s="181">
        <f t="shared" si="58"/>
        <v>77370</v>
      </c>
      <c r="AF250" s="181">
        <v>1.6</v>
      </c>
      <c r="AG250" s="181">
        <v>1.6</v>
      </c>
      <c r="AH250" s="363" t="str">
        <f t="shared" si="50"/>
        <v/>
      </c>
      <c r="AI250" s="194">
        <f>AI248+AI249</f>
        <v>386.85</v>
      </c>
      <c r="AJ250" s="190">
        <v>386.85</v>
      </c>
      <c r="AO250" s="367"/>
      <c r="AP250" s="367"/>
      <c r="AQ250" s="367"/>
    </row>
    <row r="251" spans="1:43" s="69" customFormat="1" ht="33" x14ac:dyDescent="0.3">
      <c r="A251" s="130" t="s">
        <v>581</v>
      </c>
      <c r="B251" s="131" t="s">
        <v>582</v>
      </c>
      <c r="C251" s="132" t="s">
        <v>50</v>
      </c>
      <c r="D251" s="133">
        <v>745</v>
      </c>
      <c r="E251" s="75"/>
      <c r="F251" s="75"/>
      <c r="G251" s="75"/>
      <c r="H251" s="161"/>
      <c r="I251" s="345">
        <v>1025.82</v>
      </c>
      <c r="J251" s="166">
        <v>698.31</v>
      </c>
      <c r="K251" s="75">
        <v>716340.36</v>
      </c>
      <c r="L251" s="91" t="s">
        <v>583</v>
      </c>
      <c r="M251" s="73"/>
      <c r="N251" s="46">
        <v>1025.82</v>
      </c>
      <c r="O251" s="46">
        <v>196099.40999999997</v>
      </c>
      <c r="P251" s="46">
        <v>716340.36</v>
      </c>
      <c r="Q251" s="98"/>
      <c r="R251" s="23" t="s">
        <v>1387</v>
      </c>
      <c r="S251" s="24" t="s">
        <v>582</v>
      </c>
      <c r="T251" s="25" t="s">
        <v>50</v>
      </c>
      <c r="U251" s="26">
        <v>745</v>
      </c>
      <c r="V251" s="26">
        <f t="shared" si="55"/>
        <v>1025.82</v>
      </c>
      <c r="W251" s="26">
        <f t="shared" si="45"/>
        <v>698.31</v>
      </c>
      <c r="X251" s="128">
        <f t="shared" si="56"/>
        <v>0</v>
      </c>
      <c r="Y251" s="127">
        <f t="shared" si="41"/>
        <v>1025.82</v>
      </c>
      <c r="Z251" s="127">
        <f t="shared" si="57"/>
        <v>0</v>
      </c>
      <c r="AA251" s="127">
        <f t="shared" si="52"/>
        <v>716340.36</v>
      </c>
      <c r="AB251" s="33" t="s">
        <v>15</v>
      </c>
      <c r="AC251" s="324"/>
      <c r="AD251" s="181">
        <f t="shared" si="44"/>
        <v>1025.82</v>
      </c>
      <c r="AE251" s="181">
        <f t="shared" si="58"/>
        <v>716340.36</v>
      </c>
      <c r="AF251" s="181">
        <v>1.6</v>
      </c>
      <c r="AG251" s="181">
        <v>1.6</v>
      </c>
      <c r="AH251" s="363" t="str">
        <f t="shared" si="50"/>
        <v/>
      </c>
      <c r="AI251" s="194">
        <f>256+312+177+280.82</f>
        <v>1025.82</v>
      </c>
      <c r="AJ251" s="190">
        <v>1025.82</v>
      </c>
      <c r="AO251" s="367"/>
      <c r="AP251" s="367"/>
      <c r="AQ251" s="367"/>
    </row>
    <row r="252" spans="1:43" s="69" customFormat="1" ht="41.25" x14ac:dyDescent="0.3">
      <c r="A252" s="130" t="s">
        <v>584</v>
      </c>
      <c r="B252" s="131" t="s">
        <v>119</v>
      </c>
      <c r="C252" s="132" t="s">
        <v>50</v>
      </c>
      <c r="D252" s="133">
        <v>915</v>
      </c>
      <c r="E252" s="75"/>
      <c r="F252" s="75"/>
      <c r="G252" s="75"/>
      <c r="H252" s="161"/>
      <c r="I252" s="345">
        <v>1236.82</v>
      </c>
      <c r="J252" s="166">
        <v>533.64</v>
      </c>
      <c r="K252" s="75">
        <v>660016.62</v>
      </c>
      <c r="L252" s="91" t="s">
        <v>120</v>
      </c>
      <c r="M252" s="73"/>
      <c r="N252" s="46">
        <v>1236.82</v>
      </c>
      <c r="O252" s="46">
        <v>171736.02000000002</v>
      </c>
      <c r="P252" s="46">
        <v>660016.62</v>
      </c>
      <c r="Q252" s="98"/>
      <c r="R252" s="23" t="s">
        <v>1405</v>
      </c>
      <c r="S252" s="24" t="s">
        <v>119</v>
      </c>
      <c r="T252" s="25" t="s">
        <v>50</v>
      </c>
      <c r="U252" s="26">
        <v>915</v>
      </c>
      <c r="V252" s="26">
        <f t="shared" si="55"/>
        <v>1236.82</v>
      </c>
      <c r="W252" s="26">
        <f t="shared" si="45"/>
        <v>533.64</v>
      </c>
      <c r="X252" s="128">
        <f t="shared" si="56"/>
        <v>0</v>
      </c>
      <c r="Y252" s="127">
        <f t="shared" si="41"/>
        <v>1236.82</v>
      </c>
      <c r="Z252" s="127">
        <f t="shared" si="57"/>
        <v>0</v>
      </c>
      <c r="AA252" s="127">
        <f t="shared" si="52"/>
        <v>660016.62</v>
      </c>
      <c r="AB252" s="33" t="s">
        <v>15</v>
      </c>
      <c r="AC252" s="324"/>
      <c r="AD252" s="181">
        <f t="shared" si="44"/>
        <v>1236.82</v>
      </c>
      <c r="AE252" s="181">
        <f t="shared" si="58"/>
        <v>660016.62</v>
      </c>
      <c r="AF252" s="181">
        <v>1.6</v>
      </c>
      <c r="AG252" s="181">
        <v>1.6</v>
      </c>
      <c r="AH252" s="363" t="str">
        <f t="shared" si="50"/>
        <v/>
      </c>
      <c r="AI252" s="194">
        <f>254.5+622+38.5+321.82</f>
        <v>1236.82</v>
      </c>
      <c r="AJ252" s="190">
        <v>1236.82</v>
      </c>
      <c r="AO252" s="367"/>
      <c r="AP252" s="367"/>
      <c r="AQ252" s="367"/>
    </row>
    <row r="253" spans="1:43" s="69" customFormat="1" ht="33" x14ac:dyDescent="0.3">
      <c r="A253" s="130" t="s">
        <v>585</v>
      </c>
      <c r="B253" s="131" t="s">
        <v>109</v>
      </c>
      <c r="C253" s="132" t="s">
        <v>110</v>
      </c>
      <c r="D253" s="133">
        <v>9227</v>
      </c>
      <c r="E253" s="75"/>
      <c r="F253" s="75"/>
      <c r="G253" s="75"/>
      <c r="H253" s="161"/>
      <c r="I253" s="345">
        <v>64145.43</v>
      </c>
      <c r="J253" s="166">
        <v>36.4</v>
      </c>
      <c r="K253" s="75">
        <v>2334893.65</v>
      </c>
      <c r="L253" s="91" t="s">
        <v>111</v>
      </c>
      <c r="M253" s="73"/>
      <c r="N253" s="46">
        <v>64145.43</v>
      </c>
      <c r="O253" s="46">
        <v>1999030.8499999999</v>
      </c>
      <c r="P253" s="46">
        <v>2334893.65</v>
      </c>
      <c r="Q253" s="98"/>
      <c r="R253" s="23" t="s">
        <v>1406</v>
      </c>
      <c r="S253" s="24" t="s">
        <v>109</v>
      </c>
      <c r="T253" s="25" t="s">
        <v>110</v>
      </c>
      <c r="U253" s="26">
        <v>9227</v>
      </c>
      <c r="V253" s="26">
        <f t="shared" si="55"/>
        <v>64145.43</v>
      </c>
      <c r="W253" s="26">
        <f t="shared" si="45"/>
        <v>36.4</v>
      </c>
      <c r="X253" s="128">
        <f t="shared" si="56"/>
        <v>0</v>
      </c>
      <c r="Y253" s="127">
        <f t="shared" si="41"/>
        <v>64145.43</v>
      </c>
      <c r="Z253" s="127">
        <f t="shared" si="57"/>
        <v>0</v>
      </c>
      <c r="AA253" s="127">
        <f t="shared" si="52"/>
        <v>2334893.65</v>
      </c>
      <c r="AB253" s="33" t="s">
        <v>15</v>
      </c>
      <c r="AC253" s="324"/>
      <c r="AD253" s="181">
        <f t="shared" si="44"/>
        <v>64145.43</v>
      </c>
      <c r="AE253" s="181">
        <f t="shared" si="58"/>
        <v>2334893.65</v>
      </c>
      <c r="AF253" s="181">
        <v>1.6</v>
      </c>
      <c r="AG253" s="181">
        <v>1.6</v>
      </c>
      <c r="AH253" s="363" t="str">
        <f t="shared" si="50"/>
        <v/>
      </c>
      <c r="AI253" s="194">
        <f>9227+54918.43</f>
        <v>64145.43</v>
      </c>
      <c r="AJ253" s="190">
        <v>64145.43</v>
      </c>
      <c r="AO253" s="367"/>
      <c r="AP253" s="367"/>
      <c r="AQ253" s="367"/>
    </row>
    <row r="254" spans="1:43" s="69" customFormat="1" ht="78" x14ac:dyDescent="0.3">
      <c r="A254" s="130" t="s">
        <v>586</v>
      </c>
      <c r="B254" s="131" t="s">
        <v>587</v>
      </c>
      <c r="C254" s="132" t="s">
        <v>513</v>
      </c>
      <c r="D254" s="133">
        <v>189</v>
      </c>
      <c r="E254" s="75"/>
      <c r="F254" s="75"/>
      <c r="G254" s="75"/>
      <c r="H254" s="161"/>
      <c r="I254" s="345">
        <v>0</v>
      </c>
      <c r="J254" s="166">
        <v>40</v>
      </c>
      <c r="K254" s="75">
        <v>0</v>
      </c>
      <c r="L254" s="91" t="s">
        <v>588</v>
      </c>
      <c r="M254" s="73"/>
      <c r="N254" s="46">
        <v>0</v>
      </c>
      <c r="O254" s="46">
        <v>0</v>
      </c>
      <c r="P254" s="46">
        <v>0</v>
      </c>
      <c r="Q254" s="98"/>
      <c r="R254" s="23" t="s">
        <v>1414</v>
      </c>
      <c r="S254" s="24" t="s">
        <v>587</v>
      </c>
      <c r="T254" s="25" t="s">
        <v>513</v>
      </c>
      <c r="U254" s="26">
        <v>189</v>
      </c>
      <c r="V254" s="26">
        <v>0</v>
      </c>
      <c r="W254" s="26">
        <f t="shared" si="45"/>
        <v>40</v>
      </c>
      <c r="X254" s="127">
        <f t="shared" si="56"/>
        <v>0</v>
      </c>
      <c r="Y254" s="127">
        <f t="shared" si="41"/>
        <v>0</v>
      </c>
      <c r="Z254" s="127">
        <f t="shared" si="57"/>
        <v>0</v>
      </c>
      <c r="AA254" s="127">
        <f t="shared" si="52"/>
        <v>0</v>
      </c>
      <c r="AB254" s="33" t="s">
        <v>15</v>
      </c>
      <c r="AC254" s="324"/>
      <c r="AD254" s="181">
        <v>0</v>
      </c>
      <c r="AE254" s="181">
        <f t="shared" si="58"/>
        <v>0</v>
      </c>
      <c r="AF254" s="181">
        <v>1.6</v>
      </c>
      <c r="AG254" s="181">
        <v>1.6</v>
      </c>
      <c r="AH254" s="363" t="str">
        <f t="shared" si="50"/>
        <v/>
      </c>
      <c r="AI254" s="192">
        <v>0</v>
      </c>
      <c r="AJ254" s="188">
        <v>0</v>
      </c>
      <c r="AO254" s="367"/>
      <c r="AP254" s="367"/>
      <c r="AQ254" s="367"/>
    </row>
    <row r="255" spans="1:43" s="69" customFormat="1" ht="58.5" x14ac:dyDescent="0.3">
      <c r="A255" s="130" t="s">
        <v>589</v>
      </c>
      <c r="B255" s="131" t="s">
        <v>590</v>
      </c>
      <c r="C255" s="132" t="s">
        <v>325</v>
      </c>
      <c r="D255" s="133">
        <v>118</v>
      </c>
      <c r="E255" s="75"/>
      <c r="F255" s="75"/>
      <c r="G255" s="75"/>
      <c r="H255" s="161"/>
      <c r="I255" s="158"/>
      <c r="J255" s="166">
        <v>3615.3</v>
      </c>
      <c r="K255" s="75">
        <v>426605.4</v>
      </c>
      <c r="L255" s="91" t="s">
        <v>591</v>
      </c>
      <c r="M255" s="73"/>
      <c r="N255" s="46">
        <v>108</v>
      </c>
      <c r="O255" s="46">
        <v>0</v>
      </c>
      <c r="P255" s="46">
        <v>390452.4</v>
      </c>
      <c r="Q255" s="98"/>
      <c r="R255" s="23" t="s">
        <v>1429</v>
      </c>
      <c r="S255" s="24" t="s">
        <v>590</v>
      </c>
      <c r="T255" s="25" t="s">
        <v>325</v>
      </c>
      <c r="U255" s="26">
        <v>118</v>
      </c>
      <c r="V255" s="26">
        <f t="shared" si="55"/>
        <v>118</v>
      </c>
      <c r="W255" s="26">
        <f t="shared" si="45"/>
        <v>3615.3</v>
      </c>
      <c r="X255" s="128">
        <f t="shared" si="56"/>
        <v>0</v>
      </c>
      <c r="Y255" s="26">
        <f t="shared" si="41"/>
        <v>108</v>
      </c>
      <c r="Z255" s="26">
        <f t="shared" si="57"/>
        <v>0</v>
      </c>
      <c r="AA255" s="26">
        <f t="shared" si="52"/>
        <v>390452.4</v>
      </c>
      <c r="AB255" s="33" t="s">
        <v>15</v>
      </c>
      <c r="AC255" s="325"/>
      <c r="AD255" s="263">
        <f t="shared" si="44"/>
        <v>118</v>
      </c>
      <c r="AE255" s="263">
        <f t="shared" si="58"/>
        <v>426605.4</v>
      </c>
      <c r="AF255" s="263">
        <v>1.6</v>
      </c>
      <c r="AG255" s="263">
        <v>1.6</v>
      </c>
      <c r="AH255" s="68" t="str">
        <f t="shared" si="50"/>
        <v/>
      </c>
      <c r="AI255" s="194">
        <f>40+42+26</f>
        <v>108</v>
      </c>
      <c r="AJ255" s="188">
        <v>118</v>
      </c>
      <c r="AO255" s="367"/>
      <c r="AP255" s="367"/>
      <c r="AQ255" s="367"/>
    </row>
    <row r="256" spans="1:43" s="69" customFormat="1" ht="58.5" x14ac:dyDescent="0.3">
      <c r="A256" s="130" t="s">
        <v>592</v>
      </c>
      <c r="B256" s="131" t="s">
        <v>593</v>
      </c>
      <c r="C256" s="132" t="s">
        <v>110</v>
      </c>
      <c r="D256" s="133">
        <v>2773</v>
      </c>
      <c r="E256" s="75"/>
      <c r="F256" s="75"/>
      <c r="G256" s="75"/>
      <c r="H256" s="161"/>
      <c r="I256" s="158"/>
      <c r="J256" s="166">
        <v>113.98</v>
      </c>
      <c r="K256" s="75">
        <v>316066.53999999998</v>
      </c>
      <c r="L256" s="91" t="s">
        <v>594</v>
      </c>
      <c r="M256" s="73"/>
      <c r="N256" s="46">
        <v>2487</v>
      </c>
      <c r="O256" s="46">
        <v>0</v>
      </c>
      <c r="P256" s="46">
        <v>283468.26</v>
      </c>
      <c r="Q256" s="98"/>
      <c r="R256" s="23" t="s">
        <v>1430</v>
      </c>
      <c r="S256" s="24" t="s">
        <v>593</v>
      </c>
      <c r="T256" s="25" t="s">
        <v>110</v>
      </c>
      <c r="U256" s="26">
        <v>2773</v>
      </c>
      <c r="V256" s="26">
        <f t="shared" si="55"/>
        <v>2773</v>
      </c>
      <c r="W256" s="26">
        <f t="shared" si="45"/>
        <v>113.98</v>
      </c>
      <c r="X256" s="128">
        <f t="shared" si="56"/>
        <v>0</v>
      </c>
      <c r="Y256" s="26">
        <f t="shared" si="41"/>
        <v>2487</v>
      </c>
      <c r="Z256" s="26">
        <f t="shared" si="57"/>
        <v>0</v>
      </c>
      <c r="AA256" s="26">
        <f t="shared" si="52"/>
        <v>283468.26</v>
      </c>
      <c r="AB256" s="33" t="s">
        <v>15</v>
      </c>
      <c r="AC256" s="325"/>
      <c r="AD256" s="263">
        <f t="shared" si="44"/>
        <v>2773</v>
      </c>
      <c r="AE256" s="263">
        <f t="shared" si="58"/>
        <v>316066.53999999998</v>
      </c>
      <c r="AF256" s="263">
        <v>1.6</v>
      </c>
      <c r="AG256" s="263">
        <v>1.6</v>
      </c>
      <c r="AH256" s="68" t="str">
        <f t="shared" si="50"/>
        <v/>
      </c>
      <c r="AI256" s="194">
        <f>940+962+585</f>
        <v>2487</v>
      </c>
      <c r="AJ256" s="188">
        <v>2773</v>
      </c>
      <c r="AO256" s="367"/>
      <c r="AP256" s="367"/>
      <c r="AQ256" s="367"/>
    </row>
    <row r="257" spans="1:43" s="69" customFormat="1" ht="24.75" x14ac:dyDescent="0.3">
      <c r="A257" s="130" t="s">
        <v>595</v>
      </c>
      <c r="B257" s="131" t="s">
        <v>189</v>
      </c>
      <c r="C257" s="132" t="s">
        <v>30</v>
      </c>
      <c r="D257" s="133">
        <v>112</v>
      </c>
      <c r="E257" s="75"/>
      <c r="F257" s="75"/>
      <c r="G257" s="75"/>
      <c r="H257" s="224"/>
      <c r="I257" s="158"/>
      <c r="J257" s="166">
        <v>138.84</v>
      </c>
      <c r="K257" s="75">
        <v>15550.08</v>
      </c>
      <c r="L257" s="91" t="s">
        <v>190</v>
      </c>
      <c r="M257" s="73"/>
      <c r="N257" s="46">
        <v>112</v>
      </c>
      <c r="O257" s="46">
        <v>0</v>
      </c>
      <c r="P257" s="46">
        <v>15550.08</v>
      </c>
      <c r="Q257" s="98"/>
      <c r="R257" s="23" t="s">
        <v>1431</v>
      </c>
      <c r="S257" s="24" t="s">
        <v>189</v>
      </c>
      <c r="T257" s="25" t="s">
        <v>30</v>
      </c>
      <c r="U257" s="26">
        <v>112</v>
      </c>
      <c r="V257" s="26">
        <f t="shared" si="55"/>
        <v>112</v>
      </c>
      <c r="W257" s="26">
        <f t="shared" si="45"/>
        <v>138.84</v>
      </c>
      <c r="X257" s="127">
        <f t="shared" si="56"/>
        <v>0</v>
      </c>
      <c r="Y257" s="127">
        <f t="shared" si="41"/>
        <v>112</v>
      </c>
      <c r="Z257" s="127">
        <f t="shared" si="57"/>
        <v>0</v>
      </c>
      <c r="AA257" s="127">
        <f t="shared" si="52"/>
        <v>15550.08</v>
      </c>
      <c r="AB257" s="33" t="s">
        <v>15</v>
      </c>
      <c r="AC257" s="325"/>
      <c r="AD257" s="263">
        <f t="shared" si="44"/>
        <v>112</v>
      </c>
      <c r="AE257" s="263">
        <f t="shared" si="58"/>
        <v>15550.08</v>
      </c>
      <c r="AF257" s="263">
        <v>1.6</v>
      </c>
      <c r="AG257" s="263">
        <v>1.6</v>
      </c>
      <c r="AH257" s="68" t="str">
        <f t="shared" si="50"/>
        <v/>
      </c>
      <c r="AI257" s="194">
        <f>112</f>
        <v>112</v>
      </c>
      <c r="AJ257" s="188">
        <v>112</v>
      </c>
      <c r="AN257" s="68"/>
      <c r="AO257" s="368"/>
      <c r="AP257" s="367"/>
      <c r="AQ257" s="367"/>
    </row>
    <row r="258" spans="1:43" ht="39" x14ac:dyDescent="0.3">
      <c r="A258" s="144" t="s">
        <v>1334</v>
      </c>
      <c r="B258" s="145" t="s">
        <v>1335</v>
      </c>
      <c r="C258" s="206" t="s">
        <v>50</v>
      </c>
      <c r="D258" s="170"/>
      <c r="E258" s="147"/>
      <c r="F258" s="148">
        <v>518.22</v>
      </c>
      <c r="G258" s="140"/>
      <c r="H258" s="148"/>
      <c r="I258" s="346">
        <v>648.53</v>
      </c>
      <c r="J258" s="168">
        <v>868.85</v>
      </c>
      <c r="K258" s="148">
        <v>563475.29</v>
      </c>
      <c r="L258" s="93"/>
      <c r="N258" s="46">
        <v>518.22</v>
      </c>
      <c r="O258" s="46">
        <v>0</v>
      </c>
      <c r="P258" s="46">
        <v>450255.45</v>
      </c>
      <c r="Q258" s="98"/>
      <c r="R258" s="23" t="s">
        <v>1395</v>
      </c>
      <c r="S258" s="24" t="s">
        <v>1396</v>
      </c>
      <c r="T258" s="25" t="s">
        <v>50</v>
      </c>
      <c r="U258" s="26">
        <v>0</v>
      </c>
      <c r="V258" s="26">
        <f t="shared" si="55"/>
        <v>648.53</v>
      </c>
      <c r="W258" s="26">
        <f t="shared" si="45"/>
        <v>868.85</v>
      </c>
      <c r="X258" s="127">
        <f t="shared" si="56"/>
        <v>0</v>
      </c>
      <c r="Y258" s="127">
        <f t="shared" si="41"/>
        <v>518.22</v>
      </c>
      <c r="Z258" s="127">
        <f t="shared" si="57"/>
        <v>0</v>
      </c>
      <c r="AA258" s="127">
        <f t="shared" si="52"/>
        <v>450255.45</v>
      </c>
      <c r="AB258" s="27"/>
      <c r="AC258" s="325"/>
      <c r="AD258" s="263">
        <f t="shared" si="44"/>
        <v>648.53</v>
      </c>
      <c r="AE258" s="263">
        <f t="shared" si="58"/>
        <v>563475.29</v>
      </c>
      <c r="AF258" s="263">
        <v>1.6</v>
      </c>
      <c r="AG258" s="263">
        <v>1.6</v>
      </c>
      <c r="AH258" s="68" t="str">
        <f t="shared" si="50"/>
        <v/>
      </c>
      <c r="AI258" s="194">
        <v>518.22</v>
      </c>
      <c r="AJ258" s="190">
        <v>648.53</v>
      </c>
      <c r="AN258" s="282"/>
      <c r="AO258" s="367"/>
      <c r="AP258" s="367"/>
      <c r="AQ258" s="367"/>
    </row>
    <row r="259" spans="1:43" s="282" customFormat="1" ht="39" x14ac:dyDescent="0.3">
      <c r="A259" s="207" t="s">
        <v>3209</v>
      </c>
      <c r="B259" s="208" t="s">
        <v>3213</v>
      </c>
      <c r="C259" s="204" t="s">
        <v>103</v>
      </c>
      <c r="D259" s="171"/>
      <c r="E259" s="288"/>
      <c r="F259" s="275"/>
      <c r="G259" s="275"/>
      <c r="H259" s="275"/>
      <c r="I259" s="346">
        <v>879.36</v>
      </c>
      <c r="J259" s="288">
        <v>1299.01</v>
      </c>
      <c r="K259" s="275">
        <v>1142297.43</v>
      </c>
      <c r="L259" s="297"/>
      <c r="M259" s="278"/>
      <c r="N259" s="42">
        <v>872.6</v>
      </c>
      <c r="O259" s="42">
        <v>1133516.1299999999</v>
      </c>
      <c r="P259" s="42">
        <v>1133516.1299999999</v>
      </c>
      <c r="Q259" s="98"/>
      <c r="R259" s="13" t="s">
        <v>3217</v>
      </c>
      <c r="S259" s="286" t="str">
        <f t="shared" ref="S259:T262" si="59">B259</f>
        <v>級配粒料底層，碎石級配</v>
      </c>
      <c r="T259" s="287" t="str">
        <f t="shared" si="59"/>
        <v>C.M3</v>
      </c>
      <c r="U259" s="16"/>
      <c r="V259" s="16">
        <f t="shared" si="55"/>
        <v>879.36</v>
      </c>
      <c r="W259" s="16">
        <f t="shared" si="45"/>
        <v>1299.01</v>
      </c>
      <c r="X259" s="127">
        <f t="shared" si="56"/>
        <v>0</v>
      </c>
      <c r="Y259" s="127">
        <f t="shared" si="41"/>
        <v>872.6</v>
      </c>
      <c r="Z259" s="127">
        <f t="shared" si="57"/>
        <v>0</v>
      </c>
      <c r="AA259" s="127">
        <f t="shared" si="52"/>
        <v>1133516.1299999999</v>
      </c>
      <c r="AB259" s="16"/>
      <c r="AC259" s="324"/>
      <c r="AD259" s="181">
        <f t="shared" si="44"/>
        <v>879.36</v>
      </c>
      <c r="AE259" s="181">
        <f t="shared" si="58"/>
        <v>1142297.43</v>
      </c>
      <c r="AF259" s="181">
        <v>1.6</v>
      </c>
      <c r="AG259" s="181">
        <v>1.6</v>
      </c>
      <c r="AH259" s="364"/>
      <c r="AI259" s="285">
        <f>872.6</f>
        <v>872.6</v>
      </c>
      <c r="AJ259" s="190">
        <v>879.36</v>
      </c>
      <c r="AO259" s="367"/>
      <c r="AP259" s="367"/>
      <c r="AQ259" s="367"/>
    </row>
    <row r="260" spans="1:43" s="282" customFormat="1" ht="39" x14ac:dyDescent="0.3">
      <c r="A260" s="207" t="s">
        <v>3210</v>
      </c>
      <c r="B260" s="208" t="s">
        <v>3214</v>
      </c>
      <c r="C260" s="204" t="s">
        <v>325</v>
      </c>
      <c r="D260" s="171"/>
      <c r="E260" s="288"/>
      <c r="F260" s="275"/>
      <c r="G260" s="275"/>
      <c r="H260" s="275"/>
      <c r="I260" s="346">
        <v>30</v>
      </c>
      <c r="J260" s="288">
        <v>6028.76</v>
      </c>
      <c r="K260" s="275">
        <v>180862.8</v>
      </c>
      <c r="L260" s="297"/>
      <c r="M260" s="278"/>
      <c r="N260" s="42">
        <v>30</v>
      </c>
      <c r="O260" s="42">
        <v>180862.8</v>
      </c>
      <c r="P260" s="42">
        <v>180862.8</v>
      </c>
      <c r="Q260" s="98"/>
      <c r="R260" s="13" t="s">
        <v>3218</v>
      </c>
      <c r="S260" s="286" t="str">
        <f t="shared" si="59"/>
        <v>人行道化妝蓋板及底座</v>
      </c>
      <c r="T260" s="287" t="str">
        <f t="shared" si="59"/>
        <v>組</v>
      </c>
      <c r="U260" s="16"/>
      <c r="V260" s="16">
        <f t="shared" si="55"/>
        <v>30</v>
      </c>
      <c r="W260" s="16">
        <f t="shared" si="45"/>
        <v>6028.76</v>
      </c>
      <c r="X260" s="127">
        <f t="shared" si="56"/>
        <v>0</v>
      </c>
      <c r="Y260" s="127">
        <f t="shared" si="41"/>
        <v>30</v>
      </c>
      <c r="Z260" s="127">
        <f t="shared" si="57"/>
        <v>0</v>
      </c>
      <c r="AA260" s="127">
        <f t="shared" si="52"/>
        <v>180862.8</v>
      </c>
      <c r="AB260" s="16"/>
      <c r="AC260" s="324"/>
      <c r="AD260" s="181">
        <f t="shared" si="44"/>
        <v>30</v>
      </c>
      <c r="AE260" s="181">
        <f t="shared" si="58"/>
        <v>180862.8</v>
      </c>
      <c r="AF260" s="181">
        <v>1.6</v>
      </c>
      <c r="AG260" s="181">
        <v>1.6</v>
      </c>
      <c r="AH260" s="364"/>
      <c r="AI260" s="285">
        <v>30</v>
      </c>
      <c r="AJ260" s="190">
        <v>30</v>
      </c>
      <c r="AO260" s="367"/>
      <c r="AP260" s="367"/>
      <c r="AQ260" s="367"/>
    </row>
    <row r="261" spans="1:43" s="282" customFormat="1" ht="39" x14ac:dyDescent="0.3">
      <c r="A261" s="207" t="s">
        <v>3211</v>
      </c>
      <c r="B261" s="208" t="s">
        <v>3215</v>
      </c>
      <c r="C261" s="204" t="s">
        <v>325</v>
      </c>
      <c r="D261" s="171"/>
      <c r="E261" s="288"/>
      <c r="F261" s="275"/>
      <c r="G261" s="275"/>
      <c r="H261" s="275"/>
      <c r="I261" s="346">
        <v>7</v>
      </c>
      <c r="J261" s="288">
        <v>6560.4</v>
      </c>
      <c r="K261" s="275">
        <v>45922.8</v>
      </c>
      <c r="L261" s="297"/>
      <c r="M261" s="278"/>
      <c r="N261" s="42">
        <v>7</v>
      </c>
      <c r="O261" s="42">
        <v>45922.8</v>
      </c>
      <c r="P261" s="42">
        <v>45922.8</v>
      </c>
      <c r="Q261" s="98"/>
      <c r="R261" s="13" t="s">
        <v>3219</v>
      </c>
      <c r="S261" s="286" t="str">
        <f t="shared" si="59"/>
        <v>道路交通標誌桿，含基礎</v>
      </c>
      <c r="T261" s="287" t="str">
        <f t="shared" si="59"/>
        <v>組</v>
      </c>
      <c r="U261" s="16"/>
      <c r="V261" s="16">
        <f t="shared" si="55"/>
        <v>7</v>
      </c>
      <c r="W261" s="16">
        <f t="shared" si="45"/>
        <v>6560.4</v>
      </c>
      <c r="X261" s="127">
        <f t="shared" si="56"/>
        <v>0</v>
      </c>
      <c r="Y261" s="127">
        <f t="shared" si="41"/>
        <v>7</v>
      </c>
      <c r="Z261" s="127">
        <f t="shared" si="57"/>
        <v>0</v>
      </c>
      <c r="AA261" s="127">
        <f t="shared" si="52"/>
        <v>45922.8</v>
      </c>
      <c r="AB261" s="16"/>
      <c r="AC261" s="324"/>
      <c r="AD261" s="181">
        <f t="shared" si="44"/>
        <v>7</v>
      </c>
      <c r="AE261" s="181">
        <f t="shared" si="58"/>
        <v>45922.8</v>
      </c>
      <c r="AF261" s="181">
        <v>1.6</v>
      </c>
      <c r="AG261" s="181">
        <v>1.6</v>
      </c>
      <c r="AH261" s="364"/>
      <c r="AI261" s="285">
        <v>7</v>
      </c>
      <c r="AJ261" s="190">
        <v>7</v>
      </c>
      <c r="AO261" s="367"/>
      <c r="AP261" s="367"/>
      <c r="AQ261" s="367"/>
    </row>
    <row r="262" spans="1:43" s="282" customFormat="1" ht="39" x14ac:dyDescent="0.3">
      <c r="A262" s="207" t="s">
        <v>3212</v>
      </c>
      <c r="B262" s="208" t="s">
        <v>3216</v>
      </c>
      <c r="C262" s="204" t="s">
        <v>325</v>
      </c>
      <c r="D262" s="171"/>
      <c r="E262" s="288"/>
      <c r="F262" s="275"/>
      <c r="G262" s="275"/>
      <c r="H262" s="275"/>
      <c r="I262" s="346">
        <v>9</v>
      </c>
      <c r="J262" s="288">
        <v>3989.64</v>
      </c>
      <c r="K262" s="275">
        <v>35906.76</v>
      </c>
      <c r="L262" s="297"/>
      <c r="M262" s="278"/>
      <c r="N262" s="42">
        <v>9</v>
      </c>
      <c r="O262" s="42">
        <v>35906.76</v>
      </c>
      <c r="P262" s="42">
        <v>35906.76</v>
      </c>
      <c r="Q262" s="98"/>
      <c r="R262" s="13" t="s">
        <v>3108</v>
      </c>
      <c r="S262" s="286" t="str">
        <f t="shared" si="59"/>
        <v>道路交通標誌牌面</v>
      </c>
      <c r="T262" s="287" t="str">
        <f t="shared" si="59"/>
        <v>組</v>
      </c>
      <c r="U262" s="16"/>
      <c r="V262" s="16">
        <f t="shared" si="55"/>
        <v>9</v>
      </c>
      <c r="W262" s="16">
        <f t="shared" si="45"/>
        <v>3989.64</v>
      </c>
      <c r="X262" s="127">
        <f t="shared" si="56"/>
        <v>0</v>
      </c>
      <c r="Y262" s="127">
        <f t="shared" si="41"/>
        <v>9</v>
      </c>
      <c r="Z262" s="127">
        <f t="shared" si="57"/>
        <v>0</v>
      </c>
      <c r="AA262" s="127">
        <f t="shared" si="52"/>
        <v>35906.76</v>
      </c>
      <c r="AB262" s="16"/>
      <c r="AC262" s="324"/>
      <c r="AD262" s="181">
        <f t="shared" si="44"/>
        <v>9</v>
      </c>
      <c r="AE262" s="181">
        <f t="shared" si="58"/>
        <v>35906.76</v>
      </c>
      <c r="AF262" s="181">
        <v>1.6</v>
      </c>
      <c r="AG262" s="181">
        <v>1.6</v>
      </c>
      <c r="AH262" s="364"/>
      <c r="AI262" s="285">
        <v>9</v>
      </c>
      <c r="AJ262" s="190">
        <v>9</v>
      </c>
      <c r="AN262" s="69"/>
      <c r="AO262" s="367"/>
      <c r="AP262" s="367"/>
      <c r="AQ262" s="367"/>
    </row>
    <row r="263" spans="1:43" s="69" customFormat="1" ht="33" customHeight="1" x14ac:dyDescent="0.3">
      <c r="A263" s="266" t="s">
        <v>596</v>
      </c>
      <c r="B263" s="267" t="s">
        <v>597</v>
      </c>
      <c r="C263" s="83" t="s">
        <v>14</v>
      </c>
      <c r="D263" s="84">
        <v>1</v>
      </c>
      <c r="E263" s="84"/>
      <c r="F263" s="84"/>
      <c r="G263" s="84"/>
      <c r="H263" s="84"/>
      <c r="I263" s="84"/>
      <c r="J263" s="84">
        <v>21270090.559999999</v>
      </c>
      <c r="K263" s="84">
        <v>21270090.559999999</v>
      </c>
      <c r="L263" s="94" t="s">
        <v>15</v>
      </c>
      <c r="M263" s="73"/>
      <c r="N263" s="45">
        <v>1</v>
      </c>
      <c r="O263" s="45">
        <v>5986444.1200000001</v>
      </c>
      <c r="P263" s="45">
        <v>10507706.98</v>
      </c>
      <c r="Q263" s="98"/>
      <c r="R263" s="18" t="s">
        <v>1397</v>
      </c>
      <c r="S263" s="19" t="s">
        <v>597</v>
      </c>
      <c r="T263" s="20" t="s">
        <v>14</v>
      </c>
      <c r="U263" s="21">
        <v>1</v>
      </c>
      <c r="V263" s="21"/>
      <c r="W263" s="21">
        <f t="shared" si="45"/>
        <v>21270090.559999999</v>
      </c>
      <c r="X263" s="21">
        <f t="shared" ref="X263:Y263" si="60">IF(Z263=0,0,1)</f>
        <v>1</v>
      </c>
      <c r="Y263" s="21">
        <f t="shared" si="60"/>
        <v>1</v>
      </c>
      <c r="Z263" s="21">
        <f>SUMIFS(Z:Z,AG:AG,AF263)</f>
        <v>2058252.2</v>
      </c>
      <c r="AA263" s="21">
        <f>SUMIFS(AA:AA,AG:AG,AF263)</f>
        <v>12565959.18</v>
      </c>
      <c r="AB263" s="22" t="s">
        <v>15</v>
      </c>
      <c r="AC263" s="324"/>
      <c r="AD263" s="181">
        <f t="shared" si="44"/>
        <v>1</v>
      </c>
      <c r="AE263" s="184"/>
      <c r="AF263" s="184">
        <v>1.7</v>
      </c>
      <c r="AG263" s="184"/>
      <c r="AH263" s="363" t="str">
        <f t="shared" si="50"/>
        <v/>
      </c>
      <c r="AI263" s="192">
        <v>1</v>
      </c>
      <c r="AJ263" s="188">
        <v>1</v>
      </c>
      <c r="AO263" s="367"/>
      <c r="AP263" s="367"/>
      <c r="AQ263" s="367"/>
    </row>
    <row r="264" spans="1:43" s="69" customFormat="1" ht="39" x14ac:dyDescent="0.3">
      <c r="A264" s="55" t="s">
        <v>598</v>
      </c>
      <c r="B264" s="53" t="s">
        <v>599</v>
      </c>
      <c r="C264" s="54" t="s">
        <v>103</v>
      </c>
      <c r="D264" s="75">
        <v>2596.6999999999998</v>
      </c>
      <c r="E264" s="75"/>
      <c r="F264" s="75"/>
      <c r="G264" s="75"/>
      <c r="H264" s="75"/>
      <c r="I264" s="75"/>
      <c r="J264" s="75">
        <v>704.52</v>
      </c>
      <c r="K264" s="75">
        <v>1829427.08</v>
      </c>
      <c r="L264" s="91" t="s">
        <v>600</v>
      </c>
      <c r="M264" s="73"/>
      <c r="N264" s="46">
        <v>1906.3</v>
      </c>
      <c r="O264" s="46">
        <v>90742.179999999935</v>
      </c>
      <c r="P264" s="46">
        <v>1343026.48</v>
      </c>
      <c r="Q264" s="98"/>
      <c r="R264" s="23" t="s">
        <v>1421</v>
      </c>
      <c r="S264" s="24" t="s">
        <v>599</v>
      </c>
      <c r="T264" s="25" t="s">
        <v>103</v>
      </c>
      <c r="U264" s="26">
        <v>2596.6999999999998</v>
      </c>
      <c r="V264" s="26">
        <f t="shared" si="55"/>
        <v>2596.6999999999998</v>
      </c>
      <c r="W264" s="26">
        <f t="shared" si="45"/>
        <v>704.52</v>
      </c>
      <c r="X264" s="128">
        <f t="shared" ref="X264:X327" si="61">AI264-N264</f>
        <v>0</v>
      </c>
      <c r="Y264" s="26">
        <f t="shared" si="41"/>
        <v>1906.3</v>
      </c>
      <c r="Z264" s="26">
        <f t="shared" ref="Z264:Z327" si="62">AA264-P264</f>
        <v>0</v>
      </c>
      <c r="AA264" s="26">
        <f t="shared" si="52"/>
        <v>1343026.48</v>
      </c>
      <c r="AB264" s="33" t="s">
        <v>15</v>
      </c>
      <c r="AC264" s="324"/>
      <c r="AD264" s="181">
        <f t="shared" si="44"/>
        <v>2596.6999999999998</v>
      </c>
      <c r="AE264" s="181">
        <f t="shared" ref="AE264:AE327" si="63">ROUND(W264*AD264,2)</f>
        <v>1829427.08</v>
      </c>
      <c r="AF264" s="181">
        <v>1.7</v>
      </c>
      <c r="AG264" s="181">
        <v>1.7</v>
      </c>
      <c r="AH264" s="363" t="str">
        <f t="shared" si="50"/>
        <v/>
      </c>
      <c r="AI264" s="194">
        <f>316+565+392+112+392.5+128.8</f>
        <v>1906.3</v>
      </c>
      <c r="AJ264" s="188">
        <v>2596.6999999999998</v>
      </c>
      <c r="AO264" s="367"/>
      <c r="AP264" s="367"/>
      <c r="AQ264" s="367"/>
    </row>
    <row r="265" spans="1:43" s="69" customFormat="1" ht="39" x14ac:dyDescent="0.3">
      <c r="A265" s="55" t="s">
        <v>601</v>
      </c>
      <c r="B265" s="53" t="s">
        <v>602</v>
      </c>
      <c r="C265" s="54" t="s">
        <v>559</v>
      </c>
      <c r="D265" s="75">
        <v>126</v>
      </c>
      <c r="E265" s="75"/>
      <c r="F265" s="75"/>
      <c r="G265" s="75"/>
      <c r="H265" s="75"/>
      <c r="I265" s="75"/>
      <c r="J265" s="75">
        <v>400</v>
      </c>
      <c r="K265" s="75">
        <v>50400</v>
      </c>
      <c r="L265" s="91" t="s">
        <v>603</v>
      </c>
      <c r="M265" s="73"/>
      <c r="N265" s="46">
        <v>0</v>
      </c>
      <c r="O265" s="46">
        <v>0</v>
      </c>
      <c r="P265" s="46">
        <v>0</v>
      </c>
      <c r="Q265" s="98"/>
      <c r="R265" s="23" t="s">
        <v>1426</v>
      </c>
      <c r="S265" s="24" t="s">
        <v>602</v>
      </c>
      <c r="T265" s="25" t="s">
        <v>559</v>
      </c>
      <c r="U265" s="26">
        <v>126</v>
      </c>
      <c r="V265" s="26">
        <f t="shared" si="55"/>
        <v>126</v>
      </c>
      <c r="W265" s="26">
        <f t="shared" si="45"/>
        <v>400</v>
      </c>
      <c r="X265" s="26">
        <f t="shared" si="61"/>
        <v>0</v>
      </c>
      <c r="Y265" s="26">
        <f t="shared" si="41"/>
        <v>0</v>
      </c>
      <c r="Z265" s="26">
        <f t="shared" si="62"/>
        <v>0</v>
      </c>
      <c r="AA265" s="26">
        <f t="shared" si="52"/>
        <v>0</v>
      </c>
      <c r="AB265" s="33" t="s">
        <v>15</v>
      </c>
      <c r="AC265" s="324"/>
      <c r="AD265" s="181">
        <f t="shared" si="44"/>
        <v>126</v>
      </c>
      <c r="AE265" s="181">
        <f t="shared" si="63"/>
        <v>50400</v>
      </c>
      <c r="AF265" s="181">
        <v>1.7</v>
      </c>
      <c r="AG265" s="181">
        <v>1.7</v>
      </c>
      <c r="AH265" s="363" t="str">
        <f t="shared" si="50"/>
        <v/>
      </c>
      <c r="AI265" s="192">
        <v>0</v>
      </c>
      <c r="AJ265" s="188">
        <v>126</v>
      </c>
      <c r="AO265" s="367"/>
      <c r="AP265" s="367"/>
      <c r="AQ265" s="367"/>
    </row>
    <row r="266" spans="1:43" s="69" customFormat="1" ht="58.5" x14ac:dyDescent="0.3">
      <c r="A266" s="55" t="s">
        <v>604</v>
      </c>
      <c r="B266" s="53" t="s">
        <v>605</v>
      </c>
      <c r="C266" s="54" t="s">
        <v>606</v>
      </c>
      <c r="D266" s="75">
        <v>12</v>
      </c>
      <c r="E266" s="75"/>
      <c r="F266" s="75"/>
      <c r="G266" s="75"/>
      <c r="H266" s="75"/>
      <c r="I266" s="75"/>
      <c r="J266" s="75">
        <v>3569.95</v>
      </c>
      <c r="K266" s="75">
        <v>42839.4</v>
      </c>
      <c r="L266" s="91" t="s">
        <v>607</v>
      </c>
      <c r="M266" s="73"/>
      <c r="N266" s="46">
        <v>0</v>
      </c>
      <c r="O266" s="46">
        <v>0</v>
      </c>
      <c r="P266" s="46">
        <v>0</v>
      </c>
      <c r="Q266" s="98"/>
      <c r="R266" s="23" t="s">
        <v>1402</v>
      </c>
      <c r="S266" s="24" t="s">
        <v>605</v>
      </c>
      <c r="T266" s="25" t="s">
        <v>606</v>
      </c>
      <c r="U266" s="26">
        <v>12</v>
      </c>
      <c r="V266" s="26">
        <f t="shared" si="55"/>
        <v>12</v>
      </c>
      <c r="W266" s="26">
        <f t="shared" si="45"/>
        <v>3569.95</v>
      </c>
      <c r="X266" s="26">
        <f t="shared" si="61"/>
        <v>0</v>
      </c>
      <c r="Y266" s="26">
        <f t="shared" si="41"/>
        <v>0</v>
      </c>
      <c r="Z266" s="26">
        <f t="shared" si="62"/>
        <v>0</v>
      </c>
      <c r="AA266" s="26">
        <f t="shared" si="52"/>
        <v>0</v>
      </c>
      <c r="AB266" s="33" t="s">
        <v>15</v>
      </c>
      <c r="AC266" s="324"/>
      <c r="AD266" s="181">
        <f t="shared" ref="AD266:AD329" si="64">IF(V266=0,U266,V266)</f>
        <v>12</v>
      </c>
      <c r="AE266" s="181">
        <f t="shared" si="63"/>
        <v>42839.4</v>
      </c>
      <c r="AF266" s="181">
        <v>1.7</v>
      </c>
      <c r="AG266" s="181">
        <v>1.7</v>
      </c>
      <c r="AH266" s="363" t="str">
        <f t="shared" si="50"/>
        <v/>
      </c>
      <c r="AI266" s="192">
        <v>0</v>
      </c>
      <c r="AJ266" s="188">
        <v>12</v>
      </c>
      <c r="AO266" s="367"/>
      <c r="AP266" s="367"/>
      <c r="AQ266" s="367"/>
    </row>
    <row r="267" spans="1:43" s="69" customFormat="1" ht="58.5" x14ac:dyDescent="0.3">
      <c r="A267" s="55" t="s">
        <v>608</v>
      </c>
      <c r="B267" s="53" t="s">
        <v>609</v>
      </c>
      <c r="C267" s="54" t="s">
        <v>606</v>
      </c>
      <c r="D267" s="75">
        <v>18</v>
      </c>
      <c r="E267" s="75"/>
      <c r="F267" s="75"/>
      <c r="G267" s="75"/>
      <c r="H267" s="75"/>
      <c r="I267" s="75"/>
      <c r="J267" s="75">
        <v>4083.1</v>
      </c>
      <c r="K267" s="75">
        <v>73495.8</v>
      </c>
      <c r="L267" s="91" t="s">
        <v>610</v>
      </c>
      <c r="M267" s="73"/>
      <c r="N267" s="46">
        <v>5</v>
      </c>
      <c r="O267" s="46">
        <v>0</v>
      </c>
      <c r="P267" s="46">
        <v>20415.5</v>
      </c>
      <c r="Q267" s="98"/>
      <c r="R267" s="23" t="s">
        <v>1373</v>
      </c>
      <c r="S267" s="24" t="s">
        <v>609</v>
      </c>
      <c r="T267" s="25" t="s">
        <v>606</v>
      </c>
      <c r="U267" s="26">
        <v>18</v>
      </c>
      <c r="V267" s="26">
        <f t="shared" si="55"/>
        <v>18</v>
      </c>
      <c r="W267" s="26">
        <f t="shared" ref="W267:W330" si="65">J267</f>
        <v>4083.1</v>
      </c>
      <c r="X267" s="26">
        <f t="shared" si="61"/>
        <v>0</v>
      </c>
      <c r="Y267" s="26">
        <f t="shared" si="41"/>
        <v>5</v>
      </c>
      <c r="Z267" s="26">
        <f t="shared" si="62"/>
        <v>0</v>
      </c>
      <c r="AA267" s="26">
        <f t="shared" si="52"/>
        <v>20415.5</v>
      </c>
      <c r="AB267" s="33" t="s">
        <v>15</v>
      </c>
      <c r="AC267" s="324"/>
      <c r="AD267" s="181">
        <f t="shared" si="64"/>
        <v>18</v>
      </c>
      <c r="AE267" s="181">
        <f t="shared" si="63"/>
        <v>73495.8</v>
      </c>
      <c r="AF267" s="181">
        <v>1.7</v>
      </c>
      <c r="AG267" s="181">
        <v>1.7</v>
      </c>
      <c r="AH267" s="363" t="str">
        <f t="shared" si="50"/>
        <v/>
      </c>
      <c r="AI267" s="192">
        <v>5</v>
      </c>
      <c r="AJ267" s="188">
        <v>18</v>
      </c>
      <c r="AO267" s="367"/>
      <c r="AP267" s="367"/>
      <c r="AQ267" s="367"/>
    </row>
    <row r="268" spans="1:43" s="69" customFormat="1" ht="58.5" x14ac:dyDescent="0.3">
      <c r="A268" s="130" t="s">
        <v>611</v>
      </c>
      <c r="B268" s="131" t="s">
        <v>612</v>
      </c>
      <c r="C268" s="132" t="s">
        <v>606</v>
      </c>
      <c r="D268" s="133">
        <v>5</v>
      </c>
      <c r="E268" s="203"/>
      <c r="F268" s="203"/>
      <c r="G268" s="203"/>
      <c r="H268" s="203"/>
      <c r="I268" s="203"/>
      <c r="J268" s="75">
        <v>7408.5</v>
      </c>
      <c r="K268" s="75">
        <v>37042.5</v>
      </c>
      <c r="L268" s="91" t="s">
        <v>613</v>
      </c>
      <c r="M268" s="73"/>
      <c r="N268" s="46">
        <v>5</v>
      </c>
      <c r="O268" s="46">
        <v>0</v>
      </c>
      <c r="P268" s="46">
        <v>37042.5</v>
      </c>
      <c r="Q268" s="98"/>
      <c r="R268" s="23" t="s">
        <v>1393</v>
      </c>
      <c r="S268" s="24" t="s">
        <v>612</v>
      </c>
      <c r="T268" s="25" t="s">
        <v>606</v>
      </c>
      <c r="U268" s="26">
        <v>5</v>
      </c>
      <c r="V268" s="26">
        <f t="shared" si="55"/>
        <v>5</v>
      </c>
      <c r="W268" s="26">
        <f t="shared" si="65"/>
        <v>7408.5</v>
      </c>
      <c r="X268" s="127">
        <f t="shared" si="61"/>
        <v>0</v>
      </c>
      <c r="Y268" s="127">
        <f t="shared" ref="Y268:Y331" si="66">X268+N268</f>
        <v>5</v>
      </c>
      <c r="Z268" s="127">
        <f t="shared" si="62"/>
        <v>0</v>
      </c>
      <c r="AA268" s="127">
        <f t="shared" si="52"/>
        <v>37042.5</v>
      </c>
      <c r="AB268" s="33" t="s">
        <v>15</v>
      </c>
      <c r="AC268" s="324"/>
      <c r="AD268" s="181">
        <f t="shared" si="64"/>
        <v>5</v>
      </c>
      <c r="AE268" s="181">
        <f t="shared" si="63"/>
        <v>37042.5</v>
      </c>
      <c r="AF268" s="181">
        <v>1.7</v>
      </c>
      <c r="AG268" s="181">
        <v>1.7</v>
      </c>
      <c r="AH268" s="363" t="str">
        <f t="shared" si="50"/>
        <v/>
      </c>
      <c r="AI268" s="192">
        <v>5</v>
      </c>
      <c r="AJ268" s="188">
        <v>5</v>
      </c>
      <c r="AO268" s="367"/>
      <c r="AP268" s="367"/>
      <c r="AQ268" s="367"/>
    </row>
    <row r="269" spans="1:43" s="69" customFormat="1" ht="49.5" x14ac:dyDescent="0.3">
      <c r="A269" s="130" t="s">
        <v>614</v>
      </c>
      <c r="B269" s="240" t="s">
        <v>615</v>
      </c>
      <c r="C269" s="132" t="s">
        <v>606</v>
      </c>
      <c r="D269" s="133">
        <v>5</v>
      </c>
      <c r="E269" s="203"/>
      <c r="F269" s="203"/>
      <c r="G269" s="203"/>
      <c r="H269" s="203"/>
      <c r="I269" s="203"/>
      <c r="J269" s="75">
        <v>10319.280000000001</v>
      </c>
      <c r="K269" s="75">
        <v>51596.4</v>
      </c>
      <c r="L269" s="91" t="s">
        <v>616</v>
      </c>
      <c r="M269" s="73"/>
      <c r="N269" s="46">
        <v>5</v>
      </c>
      <c r="O269" s="46">
        <v>0</v>
      </c>
      <c r="P269" s="46">
        <v>51596.4</v>
      </c>
      <c r="Q269" s="98"/>
      <c r="R269" s="23" t="s">
        <v>1403</v>
      </c>
      <c r="S269" s="24" t="s">
        <v>615</v>
      </c>
      <c r="T269" s="25" t="s">
        <v>606</v>
      </c>
      <c r="U269" s="26">
        <v>5</v>
      </c>
      <c r="V269" s="26">
        <f t="shared" si="55"/>
        <v>5</v>
      </c>
      <c r="W269" s="26">
        <f t="shared" si="65"/>
        <v>10319.280000000001</v>
      </c>
      <c r="X269" s="127">
        <f t="shared" si="61"/>
        <v>0</v>
      </c>
      <c r="Y269" s="127">
        <f t="shared" si="66"/>
        <v>5</v>
      </c>
      <c r="Z269" s="127">
        <f t="shared" si="62"/>
        <v>0</v>
      </c>
      <c r="AA269" s="127">
        <f t="shared" si="52"/>
        <v>51596.4</v>
      </c>
      <c r="AB269" s="33" t="s">
        <v>15</v>
      </c>
      <c r="AC269" s="324"/>
      <c r="AD269" s="181">
        <f t="shared" si="64"/>
        <v>5</v>
      </c>
      <c r="AE269" s="181">
        <f t="shared" si="63"/>
        <v>51596.4</v>
      </c>
      <c r="AF269" s="181">
        <v>1.7</v>
      </c>
      <c r="AG269" s="181">
        <v>1.7</v>
      </c>
      <c r="AH269" s="363" t="str">
        <f t="shared" si="50"/>
        <v/>
      </c>
      <c r="AI269" s="192">
        <v>5</v>
      </c>
      <c r="AJ269" s="188">
        <v>5</v>
      </c>
      <c r="AO269" s="367"/>
      <c r="AP269" s="367"/>
      <c r="AQ269" s="367"/>
    </row>
    <row r="270" spans="1:43" s="69" customFormat="1" ht="49.5" x14ac:dyDescent="0.3">
      <c r="A270" s="130" t="s">
        <v>617</v>
      </c>
      <c r="B270" s="240" t="s">
        <v>618</v>
      </c>
      <c r="C270" s="132" t="s">
        <v>606</v>
      </c>
      <c r="D270" s="133">
        <v>2</v>
      </c>
      <c r="E270" s="203"/>
      <c r="F270" s="203"/>
      <c r="G270" s="203"/>
      <c r="H270" s="203"/>
      <c r="I270" s="203"/>
      <c r="J270" s="75">
        <v>15164.14</v>
      </c>
      <c r="K270" s="75">
        <v>30328.28</v>
      </c>
      <c r="L270" s="91" t="s">
        <v>619</v>
      </c>
      <c r="M270" s="73"/>
      <c r="N270" s="46">
        <v>2</v>
      </c>
      <c r="O270" s="46">
        <v>0</v>
      </c>
      <c r="P270" s="46">
        <v>30328.28</v>
      </c>
      <c r="Q270" s="98"/>
      <c r="R270" s="23" t="s">
        <v>1427</v>
      </c>
      <c r="S270" s="24" t="s">
        <v>618</v>
      </c>
      <c r="T270" s="25" t="s">
        <v>606</v>
      </c>
      <c r="U270" s="26">
        <v>2</v>
      </c>
      <c r="V270" s="26">
        <f t="shared" si="55"/>
        <v>2</v>
      </c>
      <c r="W270" s="26">
        <f t="shared" si="65"/>
        <v>15164.14</v>
      </c>
      <c r="X270" s="127">
        <f t="shared" si="61"/>
        <v>0</v>
      </c>
      <c r="Y270" s="127">
        <f t="shared" si="66"/>
        <v>2</v>
      </c>
      <c r="Z270" s="127">
        <f t="shared" si="62"/>
        <v>0</v>
      </c>
      <c r="AA270" s="127">
        <f t="shared" si="52"/>
        <v>30328.28</v>
      </c>
      <c r="AB270" s="33" t="s">
        <v>15</v>
      </c>
      <c r="AC270" s="324"/>
      <c r="AD270" s="181">
        <f t="shared" si="64"/>
        <v>2</v>
      </c>
      <c r="AE270" s="181">
        <f t="shared" si="63"/>
        <v>30328.28</v>
      </c>
      <c r="AF270" s="181">
        <v>1.7</v>
      </c>
      <c r="AG270" s="181">
        <v>1.7</v>
      </c>
      <c r="AH270" s="363" t="str">
        <f t="shared" si="50"/>
        <v/>
      </c>
      <c r="AI270" s="192">
        <v>2</v>
      </c>
      <c r="AJ270" s="188">
        <v>2</v>
      </c>
      <c r="AO270" s="367"/>
      <c r="AP270" s="367"/>
      <c r="AQ270" s="367"/>
    </row>
    <row r="271" spans="1:43" s="69" customFormat="1" ht="49.5" x14ac:dyDescent="0.3">
      <c r="A271" s="130" t="s">
        <v>620</v>
      </c>
      <c r="B271" s="240" t="s">
        <v>621</v>
      </c>
      <c r="C271" s="132" t="s">
        <v>606</v>
      </c>
      <c r="D271" s="133">
        <v>6</v>
      </c>
      <c r="E271" s="203"/>
      <c r="F271" s="203"/>
      <c r="G271" s="203"/>
      <c r="H271" s="203"/>
      <c r="I271" s="203"/>
      <c r="J271" s="75">
        <v>21803.06</v>
      </c>
      <c r="K271" s="75">
        <v>130818.36</v>
      </c>
      <c r="L271" s="91" t="s">
        <v>622</v>
      </c>
      <c r="M271" s="73"/>
      <c r="N271" s="46">
        <v>6</v>
      </c>
      <c r="O271" s="46">
        <v>0</v>
      </c>
      <c r="P271" s="46">
        <v>130818.36</v>
      </c>
      <c r="Q271" s="98"/>
      <c r="R271" s="23" t="s">
        <v>1428</v>
      </c>
      <c r="S271" s="24" t="s">
        <v>621</v>
      </c>
      <c r="T271" s="25" t="s">
        <v>606</v>
      </c>
      <c r="U271" s="26">
        <v>6</v>
      </c>
      <c r="V271" s="26">
        <f t="shared" si="55"/>
        <v>6</v>
      </c>
      <c r="W271" s="26">
        <f t="shared" si="65"/>
        <v>21803.06</v>
      </c>
      <c r="X271" s="127">
        <f t="shared" si="61"/>
        <v>0</v>
      </c>
      <c r="Y271" s="127">
        <f t="shared" si="66"/>
        <v>6</v>
      </c>
      <c r="Z271" s="127">
        <f t="shared" si="62"/>
        <v>0</v>
      </c>
      <c r="AA271" s="127">
        <f t="shared" si="52"/>
        <v>130818.36</v>
      </c>
      <c r="AB271" s="33" t="s">
        <v>15</v>
      </c>
      <c r="AC271" s="324"/>
      <c r="AD271" s="181">
        <f t="shared" si="64"/>
        <v>6</v>
      </c>
      <c r="AE271" s="181">
        <f t="shared" si="63"/>
        <v>130818.36</v>
      </c>
      <c r="AF271" s="181">
        <v>1.7</v>
      </c>
      <c r="AG271" s="181">
        <v>1.7</v>
      </c>
      <c r="AH271" s="363" t="str">
        <f t="shared" si="50"/>
        <v/>
      </c>
      <c r="AI271" s="192">
        <v>6</v>
      </c>
      <c r="AJ271" s="188">
        <v>6</v>
      </c>
      <c r="AO271" s="367"/>
      <c r="AP271" s="367"/>
      <c r="AQ271" s="367"/>
    </row>
    <row r="272" spans="1:43" s="69" customFormat="1" ht="49.5" x14ac:dyDescent="0.3">
      <c r="A272" s="130" t="s">
        <v>623</v>
      </c>
      <c r="B272" s="240" t="s">
        <v>624</v>
      </c>
      <c r="C272" s="132" t="s">
        <v>606</v>
      </c>
      <c r="D272" s="133">
        <v>3</v>
      </c>
      <c r="E272" s="203"/>
      <c r="F272" s="203"/>
      <c r="G272" s="203"/>
      <c r="H272" s="203"/>
      <c r="I272" s="203"/>
      <c r="J272" s="75">
        <v>26196.51</v>
      </c>
      <c r="K272" s="75">
        <v>78589.53</v>
      </c>
      <c r="L272" s="91" t="s">
        <v>625</v>
      </c>
      <c r="M272" s="73"/>
      <c r="N272" s="46">
        <v>3</v>
      </c>
      <c r="O272" s="46">
        <v>0</v>
      </c>
      <c r="P272" s="46">
        <v>78589.53</v>
      </c>
      <c r="Q272" s="98"/>
      <c r="R272" s="23" t="s">
        <v>1387</v>
      </c>
      <c r="S272" s="24" t="s">
        <v>624</v>
      </c>
      <c r="T272" s="25" t="s">
        <v>606</v>
      </c>
      <c r="U272" s="26">
        <v>3</v>
      </c>
      <c r="V272" s="26">
        <f t="shared" si="55"/>
        <v>3</v>
      </c>
      <c r="W272" s="26">
        <f t="shared" si="65"/>
        <v>26196.51</v>
      </c>
      <c r="X272" s="127">
        <f t="shared" si="61"/>
        <v>0</v>
      </c>
      <c r="Y272" s="127">
        <f t="shared" si="66"/>
        <v>3</v>
      </c>
      <c r="Z272" s="127">
        <f t="shared" si="62"/>
        <v>0</v>
      </c>
      <c r="AA272" s="127">
        <f t="shared" si="52"/>
        <v>78589.53</v>
      </c>
      <c r="AB272" s="33" t="s">
        <v>15</v>
      </c>
      <c r="AC272" s="324"/>
      <c r="AD272" s="181">
        <f t="shared" si="64"/>
        <v>3</v>
      </c>
      <c r="AE272" s="181">
        <f t="shared" si="63"/>
        <v>78589.53</v>
      </c>
      <c r="AF272" s="181">
        <v>1.7</v>
      </c>
      <c r="AG272" s="181">
        <v>1.7</v>
      </c>
      <c r="AH272" s="363" t="str">
        <f t="shared" si="50"/>
        <v/>
      </c>
      <c r="AI272" s="192">
        <v>3</v>
      </c>
      <c r="AJ272" s="188">
        <v>3</v>
      </c>
      <c r="AO272" s="367"/>
      <c r="AP272" s="367"/>
      <c r="AQ272" s="367"/>
    </row>
    <row r="273" spans="1:43" s="69" customFormat="1" ht="49.5" x14ac:dyDescent="0.3">
      <c r="A273" s="130" t="s">
        <v>626</v>
      </c>
      <c r="B273" s="240" t="s">
        <v>627</v>
      </c>
      <c r="C273" s="132" t="s">
        <v>606</v>
      </c>
      <c r="D273" s="133">
        <v>2</v>
      </c>
      <c r="E273" s="203"/>
      <c r="F273" s="203"/>
      <c r="G273" s="203"/>
      <c r="H273" s="203"/>
      <c r="I273" s="203"/>
      <c r="J273" s="75">
        <v>29984.85</v>
      </c>
      <c r="K273" s="75">
        <v>59969.7</v>
      </c>
      <c r="L273" s="91" t="s">
        <v>628</v>
      </c>
      <c r="M273" s="73"/>
      <c r="N273" s="46">
        <v>2</v>
      </c>
      <c r="O273" s="46">
        <v>0</v>
      </c>
      <c r="P273" s="46">
        <v>59969.7</v>
      </c>
      <c r="Q273" s="98"/>
      <c r="R273" s="23" t="s">
        <v>1405</v>
      </c>
      <c r="S273" s="24" t="s">
        <v>627</v>
      </c>
      <c r="T273" s="25" t="s">
        <v>606</v>
      </c>
      <c r="U273" s="26">
        <v>2</v>
      </c>
      <c r="V273" s="26">
        <f t="shared" si="55"/>
        <v>2</v>
      </c>
      <c r="W273" s="26">
        <f t="shared" si="65"/>
        <v>29984.85</v>
      </c>
      <c r="X273" s="127">
        <f t="shared" si="61"/>
        <v>0</v>
      </c>
      <c r="Y273" s="127">
        <f t="shared" si="66"/>
        <v>2</v>
      </c>
      <c r="Z273" s="127">
        <f t="shared" si="62"/>
        <v>0</v>
      </c>
      <c r="AA273" s="127">
        <f t="shared" si="52"/>
        <v>59969.7</v>
      </c>
      <c r="AB273" s="33" t="s">
        <v>15</v>
      </c>
      <c r="AC273" s="324"/>
      <c r="AD273" s="181">
        <f t="shared" si="64"/>
        <v>2</v>
      </c>
      <c r="AE273" s="181">
        <f t="shared" si="63"/>
        <v>59969.7</v>
      </c>
      <c r="AF273" s="181">
        <v>1.7</v>
      </c>
      <c r="AG273" s="181">
        <v>1.7</v>
      </c>
      <c r="AH273" s="363" t="str">
        <f t="shared" si="50"/>
        <v/>
      </c>
      <c r="AI273" s="192">
        <v>2</v>
      </c>
      <c r="AJ273" s="188">
        <v>2</v>
      </c>
      <c r="AO273" s="367"/>
      <c r="AP273" s="367"/>
      <c r="AQ273" s="367"/>
    </row>
    <row r="274" spans="1:43" s="69" customFormat="1" ht="49.5" x14ac:dyDescent="0.3">
      <c r="A274" s="130" t="s">
        <v>629</v>
      </c>
      <c r="B274" s="240" t="s">
        <v>630</v>
      </c>
      <c r="C274" s="132" t="s">
        <v>606</v>
      </c>
      <c r="D274" s="133">
        <v>3</v>
      </c>
      <c r="E274" s="203"/>
      <c r="F274" s="203"/>
      <c r="G274" s="203"/>
      <c r="H274" s="203"/>
      <c r="I274" s="225"/>
      <c r="J274" s="75">
        <v>38914.949999999997</v>
      </c>
      <c r="K274" s="75">
        <v>116744.85</v>
      </c>
      <c r="L274" s="91" t="s">
        <v>631</v>
      </c>
      <c r="M274" s="73"/>
      <c r="N274" s="46">
        <v>3</v>
      </c>
      <c r="O274" s="46">
        <v>0</v>
      </c>
      <c r="P274" s="46">
        <v>116744.85</v>
      </c>
      <c r="Q274" s="98"/>
      <c r="R274" s="23" t="s">
        <v>1406</v>
      </c>
      <c r="S274" s="24" t="s">
        <v>630</v>
      </c>
      <c r="T274" s="25" t="s">
        <v>606</v>
      </c>
      <c r="U274" s="26">
        <v>3</v>
      </c>
      <c r="V274" s="26">
        <f t="shared" si="55"/>
        <v>3</v>
      </c>
      <c r="W274" s="26">
        <f t="shared" si="65"/>
        <v>38914.949999999997</v>
      </c>
      <c r="X274" s="127">
        <f t="shared" si="61"/>
        <v>0</v>
      </c>
      <c r="Y274" s="127">
        <f t="shared" si="66"/>
        <v>3</v>
      </c>
      <c r="Z274" s="127">
        <f t="shared" si="62"/>
        <v>0</v>
      </c>
      <c r="AA274" s="127">
        <f t="shared" si="52"/>
        <v>116744.85</v>
      </c>
      <c r="AB274" s="33" t="s">
        <v>15</v>
      </c>
      <c r="AC274" s="324"/>
      <c r="AD274" s="181">
        <f t="shared" si="64"/>
        <v>3</v>
      </c>
      <c r="AE274" s="181">
        <f t="shared" si="63"/>
        <v>116744.85</v>
      </c>
      <c r="AF274" s="181">
        <v>1.7</v>
      </c>
      <c r="AG274" s="181">
        <v>1.7</v>
      </c>
      <c r="AH274" s="363" t="str">
        <f t="shared" si="50"/>
        <v/>
      </c>
      <c r="AI274" s="192">
        <v>3</v>
      </c>
      <c r="AJ274" s="188">
        <v>3</v>
      </c>
      <c r="AO274" s="367"/>
      <c r="AP274" s="367"/>
      <c r="AQ274" s="367"/>
    </row>
    <row r="275" spans="1:43" s="69" customFormat="1" ht="49.5" x14ac:dyDescent="0.3">
      <c r="A275" s="130" t="s">
        <v>632</v>
      </c>
      <c r="B275" s="240" t="s">
        <v>633</v>
      </c>
      <c r="C275" s="132" t="s">
        <v>606</v>
      </c>
      <c r="D275" s="133">
        <v>3</v>
      </c>
      <c r="E275" s="203"/>
      <c r="F275" s="203"/>
      <c r="G275" s="203"/>
      <c r="H275" s="293"/>
      <c r="I275" s="295"/>
      <c r="J275" s="166">
        <v>43624.88</v>
      </c>
      <c r="K275" s="75">
        <v>130874.64</v>
      </c>
      <c r="L275" s="91" t="s">
        <v>634</v>
      </c>
      <c r="M275" s="73"/>
      <c r="N275" s="46">
        <v>3</v>
      </c>
      <c r="O275" s="46">
        <v>0</v>
      </c>
      <c r="P275" s="46">
        <v>130874.64</v>
      </c>
      <c r="Q275" s="98"/>
      <c r="R275" s="23" t="s">
        <v>1414</v>
      </c>
      <c r="S275" s="24" t="s">
        <v>633</v>
      </c>
      <c r="T275" s="25" t="s">
        <v>606</v>
      </c>
      <c r="U275" s="26">
        <v>3</v>
      </c>
      <c r="V275" s="26">
        <f t="shared" si="55"/>
        <v>3</v>
      </c>
      <c r="W275" s="26">
        <f t="shared" si="65"/>
        <v>43624.88</v>
      </c>
      <c r="X275" s="127">
        <f t="shared" si="61"/>
        <v>0</v>
      </c>
      <c r="Y275" s="127">
        <f t="shared" si="66"/>
        <v>3</v>
      </c>
      <c r="Z275" s="127">
        <f t="shared" si="62"/>
        <v>0</v>
      </c>
      <c r="AA275" s="127">
        <f t="shared" si="52"/>
        <v>130874.64</v>
      </c>
      <c r="AB275" s="33" t="s">
        <v>15</v>
      </c>
      <c r="AC275" s="324"/>
      <c r="AD275" s="181">
        <f t="shared" si="64"/>
        <v>3</v>
      </c>
      <c r="AE275" s="181">
        <f t="shared" si="63"/>
        <v>130874.64</v>
      </c>
      <c r="AF275" s="181">
        <v>1.7</v>
      </c>
      <c r="AG275" s="181">
        <v>1.7</v>
      </c>
      <c r="AH275" s="363" t="str">
        <f t="shared" si="50"/>
        <v/>
      </c>
      <c r="AI275" s="192">
        <v>3</v>
      </c>
      <c r="AJ275" s="188">
        <v>3</v>
      </c>
      <c r="AO275" s="367"/>
      <c r="AP275" s="367"/>
      <c r="AQ275" s="367"/>
    </row>
    <row r="276" spans="1:43" s="69" customFormat="1" ht="49.5" x14ac:dyDescent="0.3">
      <c r="A276" s="130" t="s">
        <v>635</v>
      </c>
      <c r="B276" s="240" t="s">
        <v>636</v>
      </c>
      <c r="C276" s="132" t="s">
        <v>606</v>
      </c>
      <c r="D276" s="133">
        <v>1</v>
      </c>
      <c r="E276" s="203"/>
      <c r="F276" s="203"/>
      <c r="G276" s="203"/>
      <c r="H276" s="293"/>
      <c r="I276" s="295"/>
      <c r="J276" s="166">
        <v>73088.800000000003</v>
      </c>
      <c r="K276" s="75">
        <v>73088.800000000003</v>
      </c>
      <c r="L276" s="91" t="s">
        <v>637</v>
      </c>
      <c r="M276" s="73"/>
      <c r="N276" s="46">
        <v>1</v>
      </c>
      <c r="O276" s="46">
        <v>0</v>
      </c>
      <c r="P276" s="46">
        <v>73088.800000000003</v>
      </c>
      <c r="Q276" s="98"/>
      <c r="R276" s="23" t="s">
        <v>1429</v>
      </c>
      <c r="S276" s="24" t="s">
        <v>636</v>
      </c>
      <c r="T276" s="25" t="s">
        <v>606</v>
      </c>
      <c r="U276" s="26">
        <v>1</v>
      </c>
      <c r="V276" s="26">
        <f t="shared" si="55"/>
        <v>1</v>
      </c>
      <c r="W276" s="26">
        <f t="shared" si="65"/>
        <v>73088.800000000003</v>
      </c>
      <c r="X276" s="127">
        <f t="shared" si="61"/>
        <v>0</v>
      </c>
      <c r="Y276" s="127">
        <f t="shared" si="66"/>
        <v>1</v>
      </c>
      <c r="Z276" s="127">
        <f t="shared" si="62"/>
        <v>0</v>
      </c>
      <c r="AA276" s="127">
        <f t="shared" si="52"/>
        <v>73088.800000000003</v>
      </c>
      <c r="AB276" s="33" t="s">
        <v>15</v>
      </c>
      <c r="AC276" s="324"/>
      <c r="AD276" s="181">
        <f t="shared" si="64"/>
        <v>1</v>
      </c>
      <c r="AE276" s="181">
        <f t="shared" si="63"/>
        <v>73088.800000000003</v>
      </c>
      <c r="AF276" s="181">
        <v>1.7</v>
      </c>
      <c r="AG276" s="181">
        <v>1.7</v>
      </c>
      <c r="AH276" s="363" t="str">
        <f t="shared" si="50"/>
        <v/>
      </c>
      <c r="AI276" s="192">
        <v>1</v>
      </c>
      <c r="AJ276" s="188">
        <v>1</v>
      </c>
      <c r="AO276" s="367"/>
      <c r="AP276" s="367"/>
      <c r="AQ276" s="367"/>
    </row>
    <row r="277" spans="1:43" s="69" customFormat="1" ht="58.5" x14ac:dyDescent="0.3">
      <c r="A277" s="55" t="s">
        <v>638</v>
      </c>
      <c r="B277" s="53" t="s">
        <v>639</v>
      </c>
      <c r="C277" s="54" t="s">
        <v>606</v>
      </c>
      <c r="D277" s="75">
        <v>6</v>
      </c>
      <c r="E277" s="75"/>
      <c r="F277" s="75"/>
      <c r="G277" s="75"/>
      <c r="H277" s="161"/>
      <c r="I277" s="158"/>
      <c r="J277" s="166">
        <v>22814.5</v>
      </c>
      <c r="K277" s="75">
        <v>136887</v>
      </c>
      <c r="L277" s="91" t="s">
        <v>640</v>
      </c>
      <c r="M277" s="73"/>
      <c r="N277" s="46">
        <v>3</v>
      </c>
      <c r="O277" s="46">
        <v>0</v>
      </c>
      <c r="P277" s="46">
        <v>68443.5</v>
      </c>
      <c r="Q277" s="98"/>
      <c r="R277" s="23" t="s">
        <v>1430</v>
      </c>
      <c r="S277" s="24" t="s">
        <v>639</v>
      </c>
      <c r="T277" s="25" t="s">
        <v>606</v>
      </c>
      <c r="U277" s="26">
        <v>6</v>
      </c>
      <c r="V277" s="26">
        <f t="shared" si="55"/>
        <v>6</v>
      </c>
      <c r="W277" s="26">
        <f t="shared" si="65"/>
        <v>22814.5</v>
      </c>
      <c r="X277" s="128">
        <f t="shared" si="61"/>
        <v>0</v>
      </c>
      <c r="Y277" s="26">
        <f t="shared" si="66"/>
        <v>3</v>
      </c>
      <c r="Z277" s="26">
        <f t="shared" si="62"/>
        <v>0</v>
      </c>
      <c r="AA277" s="26">
        <f t="shared" si="52"/>
        <v>68443.5</v>
      </c>
      <c r="AB277" s="33" t="s">
        <v>15</v>
      </c>
      <c r="AC277" s="324"/>
      <c r="AD277" s="181">
        <f t="shared" si="64"/>
        <v>6</v>
      </c>
      <c r="AE277" s="181">
        <f t="shared" si="63"/>
        <v>136887</v>
      </c>
      <c r="AF277" s="181">
        <v>1.7</v>
      </c>
      <c r="AG277" s="181">
        <v>1.7</v>
      </c>
      <c r="AH277" s="363" t="str">
        <f t="shared" si="50"/>
        <v/>
      </c>
      <c r="AI277" s="194">
        <f>3</f>
        <v>3</v>
      </c>
      <c r="AJ277" s="188">
        <v>6</v>
      </c>
      <c r="AO277" s="367"/>
      <c r="AP277" s="367"/>
      <c r="AQ277" s="367"/>
    </row>
    <row r="278" spans="1:43" s="69" customFormat="1" ht="66" x14ac:dyDescent="0.3">
      <c r="A278" s="130" t="s">
        <v>641</v>
      </c>
      <c r="B278" s="240" t="s">
        <v>642</v>
      </c>
      <c r="C278" s="132" t="s">
        <v>606</v>
      </c>
      <c r="D278" s="133">
        <v>3</v>
      </c>
      <c r="E278" s="203"/>
      <c r="F278" s="203"/>
      <c r="G278" s="203"/>
      <c r="H278" s="293">
        <v>8</v>
      </c>
      <c r="I278" s="295"/>
      <c r="J278" s="166">
        <v>1963.3</v>
      </c>
      <c r="K278" s="75">
        <v>15706.4</v>
      </c>
      <c r="L278" s="91" t="s">
        <v>643</v>
      </c>
      <c r="M278" s="73"/>
      <c r="N278" s="46">
        <v>3</v>
      </c>
      <c r="O278" s="46">
        <v>0</v>
      </c>
      <c r="P278" s="46">
        <v>5889.9</v>
      </c>
      <c r="Q278" s="98"/>
      <c r="R278" s="23" t="s">
        <v>1431</v>
      </c>
      <c r="S278" s="24" t="s">
        <v>642</v>
      </c>
      <c r="T278" s="25" t="s">
        <v>606</v>
      </c>
      <c r="U278" s="26">
        <v>3</v>
      </c>
      <c r="V278" s="26">
        <f t="shared" si="55"/>
        <v>8</v>
      </c>
      <c r="W278" s="26">
        <f t="shared" si="65"/>
        <v>1963.3</v>
      </c>
      <c r="X278" s="127">
        <f t="shared" si="61"/>
        <v>0</v>
      </c>
      <c r="Y278" s="127">
        <f t="shared" si="66"/>
        <v>3</v>
      </c>
      <c r="Z278" s="127">
        <f t="shared" si="62"/>
        <v>0</v>
      </c>
      <c r="AA278" s="127">
        <f t="shared" si="52"/>
        <v>5889.9</v>
      </c>
      <c r="AB278" s="33" t="s">
        <v>15</v>
      </c>
      <c r="AC278" s="324"/>
      <c r="AD278" s="181">
        <f t="shared" si="64"/>
        <v>8</v>
      </c>
      <c r="AE278" s="181">
        <f t="shared" si="63"/>
        <v>15706.4</v>
      </c>
      <c r="AF278" s="181">
        <v>1.7</v>
      </c>
      <c r="AG278" s="181">
        <v>1.7</v>
      </c>
      <c r="AH278" s="363" t="str">
        <f t="shared" si="50"/>
        <v/>
      </c>
      <c r="AI278" s="192">
        <v>3</v>
      </c>
      <c r="AJ278" s="188">
        <v>8</v>
      </c>
      <c r="AO278" s="367"/>
      <c r="AP278" s="367"/>
      <c r="AQ278" s="367"/>
    </row>
    <row r="279" spans="1:43" s="69" customFormat="1" ht="66" x14ac:dyDescent="0.3">
      <c r="A279" s="130" t="s">
        <v>644</v>
      </c>
      <c r="B279" s="240" t="s">
        <v>645</v>
      </c>
      <c r="C279" s="132" t="s">
        <v>606</v>
      </c>
      <c r="D279" s="133">
        <v>5</v>
      </c>
      <c r="E279" s="203"/>
      <c r="F279" s="203"/>
      <c r="G279" s="203"/>
      <c r="H279" s="293">
        <v>10</v>
      </c>
      <c r="I279" s="295"/>
      <c r="J279" s="166">
        <v>2216.6</v>
      </c>
      <c r="K279" s="75">
        <v>22166</v>
      </c>
      <c r="L279" s="91" t="s">
        <v>646</v>
      </c>
      <c r="M279" s="73"/>
      <c r="N279" s="46">
        <v>5</v>
      </c>
      <c r="O279" s="46">
        <v>0</v>
      </c>
      <c r="P279" s="46">
        <v>11083</v>
      </c>
      <c r="Q279" s="98"/>
      <c r="R279" s="23" t="s">
        <v>1395</v>
      </c>
      <c r="S279" s="24" t="s">
        <v>645</v>
      </c>
      <c r="T279" s="25" t="s">
        <v>606</v>
      </c>
      <c r="U279" s="26">
        <v>5</v>
      </c>
      <c r="V279" s="26">
        <f t="shared" si="55"/>
        <v>10</v>
      </c>
      <c r="W279" s="26">
        <f t="shared" si="65"/>
        <v>2216.6</v>
      </c>
      <c r="X279" s="127">
        <f t="shared" si="61"/>
        <v>0</v>
      </c>
      <c r="Y279" s="127">
        <f t="shared" si="66"/>
        <v>5</v>
      </c>
      <c r="Z279" s="127">
        <f t="shared" si="62"/>
        <v>0</v>
      </c>
      <c r="AA279" s="127">
        <f t="shared" si="52"/>
        <v>11083</v>
      </c>
      <c r="AB279" s="33" t="s">
        <v>15</v>
      </c>
      <c r="AC279" s="324"/>
      <c r="AD279" s="181">
        <f t="shared" si="64"/>
        <v>10</v>
      </c>
      <c r="AE279" s="181">
        <f t="shared" si="63"/>
        <v>22166</v>
      </c>
      <c r="AF279" s="181">
        <v>1.7</v>
      </c>
      <c r="AG279" s="181">
        <v>1.7</v>
      </c>
      <c r="AH279" s="363" t="str">
        <f t="shared" si="50"/>
        <v/>
      </c>
      <c r="AI279" s="192">
        <v>5</v>
      </c>
      <c r="AJ279" s="188">
        <v>10</v>
      </c>
      <c r="AO279" s="367"/>
      <c r="AP279" s="367"/>
      <c r="AQ279" s="367"/>
    </row>
    <row r="280" spans="1:43" s="69" customFormat="1" ht="66" x14ac:dyDescent="0.3">
      <c r="A280" s="55" t="s">
        <v>647</v>
      </c>
      <c r="B280" s="138" t="s">
        <v>648</v>
      </c>
      <c r="C280" s="54" t="s">
        <v>606</v>
      </c>
      <c r="D280" s="203">
        <v>7</v>
      </c>
      <c r="E280" s="203">
        <v>17</v>
      </c>
      <c r="F280" s="203"/>
      <c r="G280" s="203"/>
      <c r="H280" s="293"/>
      <c r="I280" s="295"/>
      <c r="J280" s="166">
        <v>2999.02</v>
      </c>
      <c r="K280" s="75">
        <v>50983.34</v>
      </c>
      <c r="L280" s="91" t="s">
        <v>649</v>
      </c>
      <c r="M280" s="73"/>
      <c r="N280" s="46">
        <v>7</v>
      </c>
      <c r="O280" s="46">
        <v>0</v>
      </c>
      <c r="P280" s="46">
        <v>20993.14</v>
      </c>
      <c r="Q280" s="98"/>
      <c r="R280" s="23" t="s">
        <v>1432</v>
      </c>
      <c r="S280" s="24" t="s">
        <v>648</v>
      </c>
      <c r="T280" s="25" t="s">
        <v>606</v>
      </c>
      <c r="U280" s="26">
        <v>7</v>
      </c>
      <c r="V280" s="26">
        <f t="shared" si="55"/>
        <v>17</v>
      </c>
      <c r="W280" s="26">
        <f t="shared" si="65"/>
        <v>2999.02</v>
      </c>
      <c r="X280" s="26">
        <f t="shared" si="61"/>
        <v>0</v>
      </c>
      <c r="Y280" s="26">
        <f t="shared" si="66"/>
        <v>7</v>
      </c>
      <c r="Z280" s="26">
        <f t="shared" si="62"/>
        <v>0</v>
      </c>
      <c r="AA280" s="26">
        <f t="shared" si="52"/>
        <v>20993.14</v>
      </c>
      <c r="AB280" s="27" t="s">
        <v>15</v>
      </c>
      <c r="AC280" s="324"/>
      <c r="AD280" s="181">
        <f t="shared" si="64"/>
        <v>17</v>
      </c>
      <c r="AE280" s="181">
        <f t="shared" si="63"/>
        <v>50983.34</v>
      </c>
      <c r="AF280" s="181">
        <v>1.7</v>
      </c>
      <c r="AG280" s="181">
        <v>1.7</v>
      </c>
      <c r="AH280" s="363" t="str">
        <f t="shared" si="50"/>
        <v/>
      </c>
      <c r="AI280" s="192">
        <v>7</v>
      </c>
      <c r="AJ280" s="188">
        <v>17</v>
      </c>
      <c r="AO280" s="367"/>
      <c r="AP280" s="367"/>
      <c r="AQ280" s="367"/>
    </row>
    <row r="281" spans="1:43" s="69" customFormat="1" ht="66" x14ac:dyDescent="0.3">
      <c r="A281" s="130" t="s">
        <v>650</v>
      </c>
      <c r="B281" s="240" t="s">
        <v>651</v>
      </c>
      <c r="C281" s="132" t="s">
        <v>606</v>
      </c>
      <c r="D281" s="133">
        <v>3</v>
      </c>
      <c r="E281" s="203"/>
      <c r="F281" s="203"/>
      <c r="G281" s="203"/>
      <c r="H281" s="293"/>
      <c r="I281" s="295"/>
      <c r="J281" s="166">
        <v>4720.5600000000004</v>
      </c>
      <c r="K281" s="75">
        <v>14161.68</v>
      </c>
      <c r="L281" s="91" t="s">
        <v>652</v>
      </c>
      <c r="M281" s="73"/>
      <c r="N281" s="46">
        <v>3</v>
      </c>
      <c r="O281" s="46">
        <v>0</v>
      </c>
      <c r="P281" s="46">
        <v>14161.68</v>
      </c>
      <c r="Q281" s="98"/>
      <c r="R281" s="23" t="s">
        <v>1433</v>
      </c>
      <c r="S281" s="24" t="s">
        <v>651</v>
      </c>
      <c r="T281" s="25" t="s">
        <v>606</v>
      </c>
      <c r="U281" s="26">
        <v>3</v>
      </c>
      <c r="V281" s="26">
        <f t="shared" si="55"/>
        <v>3</v>
      </c>
      <c r="W281" s="26">
        <f t="shared" si="65"/>
        <v>4720.5600000000004</v>
      </c>
      <c r="X281" s="127">
        <f t="shared" si="61"/>
        <v>0</v>
      </c>
      <c r="Y281" s="127">
        <f t="shared" si="66"/>
        <v>3</v>
      </c>
      <c r="Z281" s="127">
        <f t="shared" si="62"/>
        <v>0</v>
      </c>
      <c r="AA281" s="127">
        <f t="shared" si="52"/>
        <v>14161.68</v>
      </c>
      <c r="AB281" s="33" t="s">
        <v>15</v>
      </c>
      <c r="AC281" s="324"/>
      <c r="AD281" s="181">
        <f t="shared" si="64"/>
        <v>3</v>
      </c>
      <c r="AE281" s="181">
        <f t="shared" si="63"/>
        <v>14161.68</v>
      </c>
      <c r="AF281" s="181">
        <v>1.7</v>
      </c>
      <c r="AG281" s="181">
        <v>1.7</v>
      </c>
      <c r="AH281" s="363" t="str">
        <f t="shared" si="50"/>
        <v/>
      </c>
      <c r="AI281" s="192">
        <v>3</v>
      </c>
      <c r="AJ281" s="188">
        <v>3</v>
      </c>
      <c r="AO281" s="367"/>
      <c r="AP281" s="367"/>
      <c r="AQ281" s="367"/>
    </row>
    <row r="282" spans="1:43" s="69" customFormat="1" ht="66" x14ac:dyDescent="0.3">
      <c r="A282" s="130" t="s">
        <v>653</v>
      </c>
      <c r="B282" s="240" t="s">
        <v>654</v>
      </c>
      <c r="C282" s="132" t="s">
        <v>606</v>
      </c>
      <c r="D282" s="133">
        <v>4</v>
      </c>
      <c r="E282" s="203"/>
      <c r="F282" s="203"/>
      <c r="G282" s="203"/>
      <c r="H282" s="293">
        <v>5</v>
      </c>
      <c r="I282" s="295"/>
      <c r="J282" s="166">
        <v>5897.9</v>
      </c>
      <c r="K282" s="75">
        <v>29489.5</v>
      </c>
      <c r="L282" s="91" t="s">
        <v>655</v>
      </c>
      <c r="M282" s="73"/>
      <c r="N282" s="46">
        <v>4</v>
      </c>
      <c r="O282" s="46">
        <v>0</v>
      </c>
      <c r="P282" s="46">
        <v>23591.599999999999</v>
      </c>
      <c r="Q282" s="98"/>
      <c r="R282" s="23" t="s">
        <v>1382</v>
      </c>
      <c r="S282" s="24" t="s">
        <v>654</v>
      </c>
      <c r="T282" s="25" t="s">
        <v>606</v>
      </c>
      <c r="U282" s="26">
        <v>4</v>
      </c>
      <c r="V282" s="26">
        <f t="shared" si="55"/>
        <v>5</v>
      </c>
      <c r="W282" s="26">
        <f t="shared" si="65"/>
        <v>5897.9</v>
      </c>
      <c r="X282" s="127">
        <f t="shared" si="61"/>
        <v>0</v>
      </c>
      <c r="Y282" s="127">
        <f t="shared" si="66"/>
        <v>4</v>
      </c>
      <c r="Z282" s="127">
        <f t="shared" si="62"/>
        <v>0</v>
      </c>
      <c r="AA282" s="127">
        <f t="shared" si="52"/>
        <v>23591.599999999999</v>
      </c>
      <c r="AB282" s="33" t="s">
        <v>15</v>
      </c>
      <c r="AC282" s="324"/>
      <c r="AD282" s="181">
        <f t="shared" si="64"/>
        <v>5</v>
      </c>
      <c r="AE282" s="181">
        <f t="shared" si="63"/>
        <v>29489.5</v>
      </c>
      <c r="AF282" s="181">
        <v>1.7</v>
      </c>
      <c r="AG282" s="181">
        <v>1.7</v>
      </c>
      <c r="AH282" s="363" t="str">
        <f t="shared" si="50"/>
        <v/>
      </c>
      <c r="AI282" s="192">
        <v>4</v>
      </c>
      <c r="AJ282" s="188">
        <v>5</v>
      </c>
      <c r="AO282" s="367"/>
      <c r="AP282" s="367"/>
      <c r="AQ282" s="367"/>
    </row>
    <row r="283" spans="1:43" s="69" customFormat="1" ht="78" x14ac:dyDescent="0.3">
      <c r="A283" s="130" t="s">
        <v>656</v>
      </c>
      <c r="B283" s="131" t="s">
        <v>657</v>
      </c>
      <c r="C283" s="132" t="s">
        <v>606</v>
      </c>
      <c r="D283" s="133">
        <v>1</v>
      </c>
      <c r="E283" s="203"/>
      <c r="F283" s="203"/>
      <c r="G283" s="203"/>
      <c r="H283" s="293"/>
      <c r="I283" s="295"/>
      <c r="J283" s="166">
        <v>9356.16</v>
      </c>
      <c r="K283" s="75">
        <v>9356.16</v>
      </c>
      <c r="L283" s="91" t="s">
        <v>658</v>
      </c>
      <c r="M283" s="73"/>
      <c r="N283" s="46">
        <v>1</v>
      </c>
      <c r="O283" s="46">
        <v>0</v>
      </c>
      <c r="P283" s="46">
        <v>9356.16</v>
      </c>
      <c r="Q283" s="98"/>
      <c r="R283" s="23" t="s">
        <v>1434</v>
      </c>
      <c r="S283" s="24" t="s">
        <v>657</v>
      </c>
      <c r="T283" s="25" t="s">
        <v>606</v>
      </c>
      <c r="U283" s="26">
        <v>1</v>
      </c>
      <c r="V283" s="26">
        <f t="shared" si="55"/>
        <v>1</v>
      </c>
      <c r="W283" s="26">
        <f t="shared" si="65"/>
        <v>9356.16</v>
      </c>
      <c r="X283" s="127">
        <f t="shared" si="61"/>
        <v>0</v>
      </c>
      <c r="Y283" s="127">
        <f t="shared" si="66"/>
        <v>1</v>
      </c>
      <c r="Z283" s="127">
        <f t="shared" si="62"/>
        <v>0</v>
      </c>
      <c r="AA283" s="127">
        <f t="shared" si="52"/>
        <v>9356.16</v>
      </c>
      <c r="AB283" s="33" t="s">
        <v>15</v>
      </c>
      <c r="AC283" s="324"/>
      <c r="AD283" s="181">
        <f t="shared" si="64"/>
        <v>1</v>
      </c>
      <c r="AE283" s="181">
        <f t="shared" si="63"/>
        <v>9356.16</v>
      </c>
      <c r="AF283" s="181">
        <v>1.7</v>
      </c>
      <c r="AG283" s="181">
        <v>1.7</v>
      </c>
      <c r="AH283" s="363" t="str">
        <f t="shared" si="50"/>
        <v/>
      </c>
      <c r="AI283" s="192">
        <v>1</v>
      </c>
      <c r="AJ283" s="188">
        <v>1</v>
      </c>
      <c r="AO283" s="367"/>
      <c r="AP283" s="367"/>
      <c r="AQ283" s="367"/>
    </row>
    <row r="284" spans="1:43" s="69" customFormat="1" ht="58.5" x14ac:dyDescent="0.3">
      <c r="A284" s="130" t="s">
        <v>659</v>
      </c>
      <c r="B284" s="131" t="s">
        <v>660</v>
      </c>
      <c r="C284" s="132" t="s">
        <v>606</v>
      </c>
      <c r="D284" s="133">
        <v>1</v>
      </c>
      <c r="E284" s="203"/>
      <c r="F284" s="203"/>
      <c r="G284" s="203"/>
      <c r="H284" s="293"/>
      <c r="I284" s="295"/>
      <c r="J284" s="166">
        <v>13184.01</v>
      </c>
      <c r="K284" s="75">
        <v>13184.01</v>
      </c>
      <c r="L284" s="91" t="s">
        <v>661</v>
      </c>
      <c r="M284" s="73"/>
      <c r="N284" s="46">
        <v>1</v>
      </c>
      <c r="O284" s="46">
        <v>0</v>
      </c>
      <c r="P284" s="46">
        <v>13184.01</v>
      </c>
      <c r="Q284" s="98"/>
      <c r="R284" s="23" t="s">
        <v>1388</v>
      </c>
      <c r="S284" s="24" t="s">
        <v>660</v>
      </c>
      <c r="T284" s="25" t="s">
        <v>606</v>
      </c>
      <c r="U284" s="26">
        <v>1</v>
      </c>
      <c r="V284" s="26">
        <f t="shared" si="55"/>
        <v>1</v>
      </c>
      <c r="W284" s="26">
        <f t="shared" si="65"/>
        <v>13184.01</v>
      </c>
      <c r="X284" s="127">
        <f t="shared" si="61"/>
        <v>0</v>
      </c>
      <c r="Y284" s="127">
        <f t="shared" si="66"/>
        <v>1</v>
      </c>
      <c r="Z284" s="127">
        <f t="shared" si="62"/>
        <v>0</v>
      </c>
      <c r="AA284" s="127">
        <f t="shared" si="52"/>
        <v>13184.01</v>
      </c>
      <c r="AB284" s="33" t="s">
        <v>15</v>
      </c>
      <c r="AC284" s="324"/>
      <c r="AD284" s="181">
        <f t="shared" si="64"/>
        <v>1</v>
      </c>
      <c r="AE284" s="181">
        <f t="shared" si="63"/>
        <v>13184.01</v>
      </c>
      <c r="AF284" s="181">
        <v>1.7</v>
      </c>
      <c r="AG284" s="181">
        <v>1.7</v>
      </c>
      <c r="AH284" s="363" t="str">
        <f t="shared" si="50"/>
        <v/>
      </c>
      <c r="AI284" s="192">
        <v>1</v>
      </c>
      <c r="AJ284" s="188">
        <v>1</v>
      </c>
      <c r="AO284" s="367"/>
      <c r="AP284" s="367"/>
      <c r="AQ284" s="367"/>
    </row>
    <row r="285" spans="1:43" s="69" customFormat="1" ht="58.5" x14ac:dyDescent="0.3">
      <c r="A285" s="130" t="s">
        <v>662</v>
      </c>
      <c r="B285" s="131" t="s">
        <v>663</v>
      </c>
      <c r="C285" s="132" t="s">
        <v>30</v>
      </c>
      <c r="D285" s="133">
        <v>47.01</v>
      </c>
      <c r="E285" s="203"/>
      <c r="F285" s="203"/>
      <c r="G285" s="203"/>
      <c r="H285" s="293"/>
      <c r="I285" s="295"/>
      <c r="J285" s="166">
        <v>1859.87</v>
      </c>
      <c r="K285" s="75">
        <v>87432.49</v>
      </c>
      <c r="L285" s="91" t="s">
        <v>664</v>
      </c>
      <c r="M285" s="73"/>
      <c r="N285" s="46">
        <v>47.01</v>
      </c>
      <c r="O285" s="46">
        <v>0</v>
      </c>
      <c r="P285" s="46">
        <v>87432.49</v>
      </c>
      <c r="Q285" s="98"/>
      <c r="R285" s="23" t="s">
        <v>1389</v>
      </c>
      <c r="S285" s="24" t="s">
        <v>663</v>
      </c>
      <c r="T285" s="25" t="s">
        <v>30</v>
      </c>
      <c r="U285" s="26">
        <v>47.01</v>
      </c>
      <c r="V285" s="26">
        <f t="shared" si="55"/>
        <v>47.01</v>
      </c>
      <c r="W285" s="26">
        <f t="shared" si="65"/>
        <v>1859.87</v>
      </c>
      <c r="X285" s="127">
        <f t="shared" si="61"/>
        <v>0</v>
      </c>
      <c r="Y285" s="127">
        <f t="shared" si="66"/>
        <v>47.01</v>
      </c>
      <c r="Z285" s="127">
        <f t="shared" si="62"/>
        <v>0</v>
      </c>
      <c r="AA285" s="127">
        <f t="shared" si="52"/>
        <v>87432.49</v>
      </c>
      <c r="AB285" s="33" t="s">
        <v>15</v>
      </c>
      <c r="AC285" s="324"/>
      <c r="AD285" s="181">
        <f t="shared" si="64"/>
        <v>47.01</v>
      </c>
      <c r="AE285" s="181">
        <f t="shared" si="63"/>
        <v>87432.49</v>
      </c>
      <c r="AF285" s="181">
        <v>1.7</v>
      </c>
      <c r="AG285" s="181">
        <v>1.7</v>
      </c>
      <c r="AH285" s="363" t="str">
        <f t="shared" si="50"/>
        <v/>
      </c>
      <c r="AI285" s="192">
        <v>47.01</v>
      </c>
      <c r="AJ285" s="188">
        <v>47.01</v>
      </c>
      <c r="AO285" s="367"/>
      <c r="AP285" s="367"/>
      <c r="AQ285" s="367"/>
    </row>
    <row r="286" spans="1:43" s="69" customFormat="1" ht="78" x14ac:dyDescent="0.3">
      <c r="A286" s="130" t="s">
        <v>665</v>
      </c>
      <c r="B286" s="131" t="s">
        <v>666</v>
      </c>
      <c r="C286" s="132" t="s">
        <v>325</v>
      </c>
      <c r="D286" s="133">
        <v>63</v>
      </c>
      <c r="E286" s="203"/>
      <c r="F286" s="203"/>
      <c r="G286" s="203"/>
      <c r="H286" s="293"/>
      <c r="I286" s="295"/>
      <c r="J286" s="166">
        <v>40</v>
      </c>
      <c r="K286" s="75">
        <v>2520</v>
      </c>
      <c r="L286" s="91" t="s">
        <v>667</v>
      </c>
      <c r="M286" s="73"/>
      <c r="N286" s="46">
        <v>63</v>
      </c>
      <c r="O286" s="46">
        <v>0</v>
      </c>
      <c r="P286" s="46">
        <v>2520</v>
      </c>
      <c r="Q286" s="98"/>
      <c r="R286" s="23" t="s">
        <v>1390</v>
      </c>
      <c r="S286" s="24" t="s">
        <v>666</v>
      </c>
      <c r="T286" s="25" t="s">
        <v>325</v>
      </c>
      <c r="U286" s="26">
        <v>63</v>
      </c>
      <c r="V286" s="26">
        <f t="shared" si="55"/>
        <v>63</v>
      </c>
      <c r="W286" s="26">
        <f t="shared" si="65"/>
        <v>40</v>
      </c>
      <c r="X286" s="127">
        <f t="shared" si="61"/>
        <v>0</v>
      </c>
      <c r="Y286" s="127">
        <f t="shared" si="66"/>
        <v>63</v>
      </c>
      <c r="Z286" s="127">
        <f t="shared" si="62"/>
        <v>0</v>
      </c>
      <c r="AA286" s="127">
        <f t="shared" si="52"/>
        <v>2520</v>
      </c>
      <c r="AB286" s="33" t="s">
        <v>15</v>
      </c>
      <c r="AC286" s="324"/>
      <c r="AD286" s="181">
        <f t="shared" si="64"/>
        <v>63</v>
      </c>
      <c r="AE286" s="181">
        <f t="shared" si="63"/>
        <v>2520</v>
      </c>
      <c r="AF286" s="181">
        <v>1.7</v>
      </c>
      <c r="AG286" s="181">
        <v>1.7</v>
      </c>
      <c r="AH286" s="363" t="str">
        <f t="shared" si="50"/>
        <v/>
      </c>
      <c r="AI286" s="192">
        <v>63</v>
      </c>
      <c r="AJ286" s="188">
        <v>63</v>
      </c>
      <c r="AO286" s="367"/>
      <c r="AP286" s="367"/>
      <c r="AQ286" s="367"/>
    </row>
    <row r="287" spans="1:43" s="69" customFormat="1" ht="78" x14ac:dyDescent="0.3">
      <c r="A287" s="130" t="s">
        <v>668</v>
      </c>
      <c r="B287" s="131" t="s">
        <v>669</v>
      </c>
      <c r="C287" s="132" t="s">
        <v>162</v>
      </c>
      <c r="D287" s="133">
        <v>315</v>
      </c>
      <c r="E287" s="203"/>
      <c r="F287" s="203"/>
      <c r="G287" s="203"/>
      <c r="H287" s="293"/>
      <c r="I287" s="295"/>
      <c r="J287" s="166">
        <v>35</v>
      </c>
      <c r="K287" s="75">
        <v>11025</v>
      </c>
      <c r="L287" s="91" t="s">
        <v>670</v>
      </c>
      <c r="M287" s="73"/>
      <c r="N287" s="46">
        <v>315</v>
      </c>
      <c r="O287" s="46">
        <v>0</v>
      </c>
      <c r="P287" s="46">
        <v>11025</v>
      </c>
      <c r="Q287" s="98"/>
      <c r="R287" s="23" t="s">
        <v>1391</v>
      </c>
      <c r="S287" s="24" t="s">
        <v>669</v>
      </c>
      <c r="T287" s="25" t="s">
        <v>162</v>
      </c>
      <c r="U287" s="26">
        <v>315</v>
      </c>
      <c r="V287" s="26">
        <f t="shared" si="55"/>
        <v>315</v>
      </c>
      <c r="W287" s="26">
        <f t="shared" si="65"/>
        <v>35</v>
      </c>
      <c r="X287" s="127">
        <f t="shared" si="61"/>
        <v>0</v>
      </c>
      <c r="Y287" s="127">
        <f t="shared" si="66"/>
        <v>315</v>
      </c>
      <c r="Z287" s="127">
        <f t="shared" si="62"/>
        <v>0</v>
      </c>
      <c r="AA287" s="127">
        <f t="shared" si="52"/>
        <v>11025</v>
      </c>
      <c r="AB287" s="33" t="s">
        <v>15</v>
      </c>
      <c r="AC287" s="324"/>
      <c r="AD287" s="181">
        <f t="shared" si="64"/>
        <v>315</v>
      </c>
      <c r="AE287" s="181">
        <f t="shared" si="63"/>
        <v>11025</v>
      </c>
      <c r="AF287" s="181">
        <v>1.7</v>
      </c>
      <c r="AG287" s="181">
        <v>1.7</v>
      </c>
      <c r="AH287" s="363" t="str">
        <f t="shared" si="50"/>
        <v/>
      </c>
      <c r="AI287" s="192">
        <v>315</v>
      </c>
      <c r="AJ287" s="188">
        <v>315</v>
      </c>
      <c r="AO287" s="367"/>
      <c r="AP287" s="367"/>
      <c r="AQ287" s="367"/>
    </row>
    <row r="288" spans="1:43" s="69" customFormat="1" ht="78" x14ac:dyDescent="0.3">
      <c r="A288" s="55" t="s">
        <v>671</v>
      </c>
      <c r="B288" s="53" t="s">
        <v>672</v>
      </c>
      <c r="C288" s="54" t="s">
        <v>30</v>
      </c>
      <c r="D288" s="75">
        <v>1200</v>
      </c>
      <c r="E288" s="75"/>
      <c r="F288" s="75"/>
      <c r="G288" s="75"/>
      <c r="H288" s="161"/>
      <c r="I288" s="158"/>
      <c r="J288" s="166">
        <v>10</v>
      </c>
      <c r="K288" s="75">
        <v>12000</v>
      </c>
      <c r="L288" s="91" t="s">
        <v>673</v>
      </c>
      <c r="M288" s="73"/>
      <c r="N288" s="46">
        <v>500</v>
      </c>
      <c r="O288" s="46">
        <v>0</v>
      </c>
      <c r="P288" s="46">
        <v>5000</v>
      </c>
      <c r="Q288" s="98"/>
      <c r="R288" s="23" t="s">
        <v>1436</v>
      </c>
      <c r="S288" s="24" t="s">
        <v>672</v>
      </c>
      <c r="T288" s="25" t="s">
        <v>30</v>
      </c>
      <c r="U288" s="26">
        <v>1200</v>
      </c>
      <c r="V288" s="26">
        <f t="shared" si="55"/>
        <v>1200</v>
      </c>
      <c r="W288" s="26">
        <f t="shared" si="65"/>
        <v>10</v>
      </c>
      <c r="X288" s="128">
        <f t="shared" si="61"/>
        <v>0</v>
      </c>
      <c r="Y288" s="26">
        <f t="shared" si="66"/>
        <v>500</v>
      </c>
      <c r="Z288" s="26">
        <f t="shared" si="62"/>
        <v>0</v>
      </c>
      <c r="AA288" s="26">
        <f t="shared" si="52"/>
        <v>5000</v>
      </c>
      <c r="AB288" s="33" t="s">
        <v>15</v>
      </c>
      <c r="AC288" s="324"/>
      <c r="AD288" s="181">
        <f t="shared" si="64"/>
        <v>1200</v>
      </c>
      <c r="AE288" s="181">
        <f t="shared" si="63"/>
        <v>12000</v>
      </c>
      <c r="AF288" s="181">
        <v>1.7</v>
      </c>
      <c r="AG288" s="181">
        <v>1.7</v>
      </c>
      <c r="AH288" s="363" t="str">
        <f t="shared" si="50"/>
        <v/>
      </c>
      <c r="AI288" s="194">
        <f>500</f>
        <v>500</v>
      </c>
      <c r="AJ288" s="188">
        <v>1200</v>
      </c>
      <c r="AO288" s="367"/>
      <c r="AP288" s="367"/>
      <c r="AQ288" s="367"/>
    </row>
    <row r="289" spans="1:43" s="69" customFormat="1" x14ac:dyDescent="0.3">
      <c r="A289" s="130" t="s">
        <v>674</v>
      </c>
      <c r="B289" s="131" t="s">
        <v>675</v>
      </c>
      <c r="C289" s="132" t="s">
        <v>50</v>
      </c>
      <c r="D289" s="133">
        <v>30.85</v>
      </c>
      <c r="E289" s="203"/>
      <c r="F289" s="203"/>
      <c r="G289" s="203"/>
      <c r="H289" s="293"/>
      <c r="I289" s="295"/>
      <c r="J289" s="166">
        <v>531</v>
      </c>
      <c r="K289" s="75">
        <v>16381.35</v>
      </c>
      <c r="L289" s="91" t="s">
        <v>676</v>
      </c>
      <c r="M289" s="73"/>
      <c r="N289" s="46">
        <v>30.85</v>
      </c>
      <c r="O289" s="46">
        <v>0</v>
      </c>
      <c r="P289" s="46">
        <v>16381.35</v>
      </c>
      <c r="Q289" s="98"/>
      <c r="R289" s="23" t="s">
        <v>1374</v>
      </c>
      <c r="S289" s="24" t="s">
        <v>675</v>
      </c>
      <c r="T289" s="25" t="s">
        <v>50</v>
      </c>
      <c r="U289" s="26">
        <v>30.85</v>
      </c>
      <c r="V289" s="26">
        <f t="shared" si="55"/>
        <v>30.85</v>
      </c>
      <c r="W289" s="26">
        <f t="shared" si="65"/>
        <v>531</v>
      </c>
      <c r="X289" s="127">
        <f t="shared" si="61"/>
        <v>0</v>
      </c>
      <c r="Y289" s="127">
        <f t="shared" si="66"/>
        <v>30.85</v>
      </c>
      <c r="Z289" s="127">
        <f t="shared" si="62"/>
        <v>0</v>
      </c>
      <c r="AA289" s="127">
        <f t="shared" si="52"/>
        <v>16381.35</v>
      </c>
      <c r="AB289" s="33" t="s">
        <v>15</v>
      </c>
      <c r="AC289" s="324"/>
      <c r="AD289" s="181">
        <f t="shared" si="64"/>
        <v>30.85</v>
      </c>
      <c r="AE289" s="181">
        <f t="shared" si="63"/>
        <v>16381.35</v>
      </c>
      <c r="AF289" s="181">
        <v>1.7</v>
      </c>
      <c r="AG289" s="181">
        <v>1.7</v>
      </c>
      <c r="AH289" s="363" t="str">
        <f t="shared" si="50"/>
        <v/>
      </c>
      <c r="AI289" s="192">
        <v>30.85</v>
      </c>
      <c r="AJ289" s="188">
        <v>30.85</v>
      </c>
      <c r="AO289" s="367"/>
      <c r="AP289" s="367"/>
      <c r="AQ289" s="367"/>
    </row>
    <row r="290" spans="1:43" s="69" customFormat="1" ht="24.75" x14ac:dyDescent="0.3">
      <c r="A290" s="130" t="s">
        <v>677</v>
      </c>
      <c r="B290" s="131" t="s">
        <v>678</v>
      </c>
      <c r="C290" s="132" t="s">
        <v>23</v>
      </c>
      <c r="D290" s="133">
        <v>3.7</v>
      </c>
      <c r="E290" s="203"/>
      <c r="F290" s="203"/>
      <c r="G290" s="203"/>
      <c r="H290" s="302"/>
      <c r="I290" s="295"/>
      <c r="J290" s="166">
        <v>3386.57</v>
      </c>
      <c r="K290" s="75">
        <v>12530.31</v>
      </c>
      <c r="L290" s="91" t="s">
        <v>679</v>
      </c>
      <c r="M290" s="73"/>
      <c r="N290" s="46">
        <v>3.7</v>
      </c>
      <c r="O290" s="46">
        <v>0</v>
      </c>
      <c r="P290" s="46">
        <v>12530.31</v>
      </c>
      <c r="Q290" s="98"/>
      <c r="R290" s="23" t="s">
        <v>1376</v>
      </c>
      <c r="S290" s="24" t="s">
        <v>678</v>
      </c>
      <c r="T290" s="25" t="s">
        <v>23</v>
      </c>
      <c r="U290" s="26">
        <v>3.7</v>
      </c>
      <c r="V290" s="26">
        <f t="shared" si="55"/>
        <v>3.7</v>
      </c>
      <c r="W290" s="26">
        <f t="shared" si="65"/>
        <v>3386.57</v>
      </c>
      <c r="X290" s="127">
        <f t="shared" si="61"/>
        <v>0</v>
      </c>
      <c r="Y290" s="127">
        <f t="shared" si="66"/>
        <v>3.7</v>
      </c>
      <c r="Z290" s="127">
        <f t="shared" si="62"/>
        <v>0</v>
      </c>
      <c r="AA290" s="127">
        <f t="shared" si="52"/>
        <v>12530.31</v>
      </c>
      <c r="AB290" s="33" t="s">
        <v>15</v>
      </c>
      <c r="AC290" s="324"/>
      <c r="AD290" s="181">
        <f t="shared" si="64"/>
        <v>3.7</v>
      </c>
      <c r="AE290" s="181">
        <f t="shared" si="63"/>
        <v>12530.31</v>
      </c>
      <c r="AF290" s="181">
        <v>1.7</v>
      </c>
      <c r="AG290" s="181">
        <v>1.7</v>
      </c>
      <c r="AH290" s="363" t="str">
        <f t="shared" si="50"/>
        <v/>
      </c>
      <c r="AI290" s="192">
        <v>3.7</v>
      </c>
      <c r="AJ290" s="188">
        <v>3.7</v>
      </c>
      <c r="AO290" s="367"/>
      <c r="AP290" s="367"/>
      <c r="AQ290" s="367"/>
    </row>
    <row r="291" spans="1:43" s="69" customFormat="1" x14ac:dyDescent="0.3">
      <c r="A291" s="55" t="s">
        <v>680</v>
      </c>
      <c r="B291" s="53" t="s">
        <v>681</v>
      </c>
      <c r="C291" s="54" t="s">
        <v>14</v>
      </c>
      <c r="D291" s="75">
        <v>1</v>
      </c>
      <c r="E291" s="75"/>
      <c r="F291" s="75"/>
      <c r="G291" s="161"/>
      <c r="H291" s="235"/>
      <c r="I291" s="158"/>
      <c r="J291" s="166">
        <v>108000</v>
      </c>
      <c r="K291" s="75">
        <v>108000</v>
      </c>
      <c r="L291" s="91" t="s">
        <v>682</v>
      </c>
      <c r="M291" s="73"/>
      <c r="N291" s="46">
        <v>0</v>
      </c>
      <c r="O291" s="46">
        <v>0</v>
      </c>
      <c r="P291" s="46">
        <v>0</v>
      </c>
      <c r="Q291" s="98"/>
      <c r="R291" s="23" t="s">
        <v>1378</v>
      </c>
      <c r="S291" s="24" t="s">
        <v>681</v>
      </c>
      <c r="T291" s="25" t="s">
        <v>14</v>
      </c>
      <c r="U291" s="26">
        <v>1</v>
      </c>
      <c r="V291" s="26">
        <f t="shared" si="55"/>
        <v>1</v>
      </c>
      <c r="W291" s="26">
        <f t="shared" si="65"/>
        <v>108000</v>
      </c>
      <c r="X291" s="26">
        <f t="shared" si="61"/>
        <v>0</v>
      </c>
      <c r="Y291" s="26">
        <f t="shared" si="66"/>
        <v>0</v>
      </c>
      <c r="Z291" s="26">
        <f t="shared" si="62"/>
        <v>0</v>
      </c>
      <c r="AA291" s="26">
        <f t="shared" si="52"/>
        <v>0</v>
      </c>
      <c r="AB291" s="33" t="s">
        <v>15</v>
      </c>
      <c r="AC291" s="324"/>
      <c r="AD291" s="181">
        <f t="shared" si="64"/>
        <v>1</v>
      </c>
      <c r="AE291" s="181">
        <f t="shared" si="63"/>
        <v>108000</v>
      </c>
      <c r="AF291" s="181">
        <v>1.7</v>
      </c>
      <c r="AG291" s="181">
        <v>1.7</v>
      </c>
      <c r="AH291" s="363" t="str">
        <f t="shared" si="50"/>
        <v/>
      </c>
      <c r="AI291" s="192">
        <v>0</v>
      </c>
      <c r="AJ291" s="188">
        <v>1</v>
      </c>
      <c r="AO291" s="367"/>
      <c r="AP291" s="367"/>
      <c r="AQ291" s="367"/>
    </row>
    <row r="292" spans="1:43" s="69" customFormat="1" ht="39" x14ac:dyDescent="0.3">
      <c r="A292" s="55" t="s">
        <v>683</v>
      </c>
      <c r="B292" s="53" t="s">
        <v>684</v>
      </c>
      <c r="C292" s="54" t="s">
        <v>50</v>
      </c>
      <c r="D292" s="75">
        <v>1448.32</v>
      </c>
      <c r="E292" s="75"/>
      <c r="F292" s="75"/>
      <c r="G292" s="161"/>
      <c r="H292" s="235"/>
      <c r="I292" s="158"/>
      <c r="J292" s="166">
        <v>500</v>
      </c>
      <c r="K292" s="75">
        <v>724160</v>
      </c>
      <c r="L292" s="91" t="s">
        <v>685</v>
      </c>
      <c r="M292" s="73"/>
      <c r="N292" s="46">
        <v>0</v>
      </c>
      <c r="O292" s="46">
        <v>0</v>
      </c>
      <c r="P292" s="46">
        <v>0</v>
      </c>
      <c r="Q292" s="98"/>
      <c r="R292" s="23" t="s">
        <v>1438</v>
      </c>
      <c r="S292" s="24" t="s">
        <v>684</v>
      </c>
      <c r="T292" s="25" t="s">
        <v>50</v>
      </c>
      <c r="U292" s="26">
        <v>1448.32</v>
      </c>
      <c r="V292" s="26">
        <f t="shared" si="55"/>
        <v>1448.32</v>
      </c>
      <c r="W292" s="26">
        <f t="shared" si="65"/>
        <v>500</v>
      </c>
      <c r="X292" s="26">
        <f t="shared" si="61"/>
        <v>0</v>
      </c>
      <c r="Y292" s="26">
        <f t="shared" si="66"/>
        <v>0</v>
      </c>
      <c r="Z292" s="26">
        <f t="shared" si="62"/>
        <v>0</v>
      </c>
      <c r="AA292" s="26">
        <f t="shared" si="52"/>
        <v>0</v>
      </c>
      <c r="AB292" s="33" t="s">
        <v>15</v>
      </c>
      <c r="AC292" s="324"/>
      <c r="AD292" s="181">
        <f t="shared" si="64"/>
        <v>1448.32</v>
      </c>
      <c r="AE292" s="181">
        <f t="shared" si="63"/>
        <v>724160</v>
      </c>
      <c r="AF292" s="181">
        <v>1.7</v>
      </c>
      <c r="AG292" s="181">
        <v>1.7</v>
      </c>
      <c r="AH292" s="363" t="str">
        <f t="shared" si="50"/>
        <v/>
      </c>
      <c r="AI292" s="194">
        <v>0</v>
      </c>
      <c r="AJ292" s="188">
        <v>1448.32</v>
      </c>
      <c r="AO292" s="367"/>
      <c r="AP292" s="367"/>
      <c r="AQ292" s="367"/>
    </row>
    <row r="293" spans="1:43" s="69" customFormat="1" ht="66" x14ac:dyDescent="0.3">
      <c r="A293" s="130" t="s">
        <v>686</v>
      </c>
      <c r="B293" s="240" t="s">
        <v>687</v>
      </c>
      <c r="C293" s="132" t="s">
        <v>606</v>
      </c>
      <c r="D293" s="133">
        <v>42</v>
      </c>
      <c r="E293" s="75"/>
      <c r="F293" s="75"/>
      <c r="G293" s="161"/>
      <c r="H293" s="235"/>
      <c r="I293" s="158"/>
      <c r="J293" s="166">
        <v>10176.969999999999</v>
      </c>
      <c r="K293" s="75">
        <v>427432.74</v>
      </c>
      <c r="L293" s="91" t="s">
        <v>688</v>
      </c>
      <c r="M293" s="73"/>
      <c r="N293" s="46">
        <v>42</v>
      </c>
      <c r="O293" s="46">
        <v>0</v>
      </c>
      <c r="P293" s="46">
        <v>427432.74</v>
      </c>
      <c r="Q293" s="98"/>
      <c r="R293" s="23" t="s">
        <v>1439</v>
      </c>
      <c r="S293" s="24" t="s">
        <v>687</v>
      </c>
      <c r="T293" s="25" t="s">
        <v>606</v>
      </c>
      <c r="U293" s="26">
        <v>42</v>
      </c>
      <c r="V293" s="26">
        <f t="shared" si="55"/>
        <v>42</v>
      </c>
      <c r="W293" s="26">
        <f t="shared" si="65"/>
        <v>10176.969999999999</v>
      </c>
      <c r="X293" s="128">
        <f t="shared" si="61"/>
        <v>0</v>
      </c>
      <c r="Y293" s="127">
        <f t="shared" si="66"/>
        <v>42</v>
      </c>
      <c r="Z293" s="127">
        <f t="shared" si="62"/>
        <v>0</v>
      </c>
      <c r="AA293" s="127">
        <f t="shared" si="52"/>
        <v>427432.74</v>
      </c>
      <c r="AB293" s="33" t="s">
        <v>15</v>
      </c>
      <c r="AC293" s="324"/>
      <c r="AD293" s="181">
        <f t="shared" si="64"/>
        <v>42</v>
      </c>
      <c r="AE293" s="181">
        <f t="shared" si="63"/>
        <v>427432.74</v>
      </c>
      <c r="AF293" s="181">
        <v>1.7</v>
      </c>
      <c r="AG293" s="181">
        <v>1.7</v>
      </c>
      <c r="AH293" s="363" t="str">
        <f t="shared" ref="AH293:AH365" si="67">IF(Y293&gt;AJ293,"超估","")</f>
        <v/>
      </c>
      <c r="AI293" s="194">
        <v>42</v>
      </c>
      <c r="AJ293" s="188">
        <v>42</v>
      </c>
      <c r="AO293" s="367"/>
      <c r="AP293" s="367"/>
      <c r="AQ293" s="367"/>
    </row>
    <row r="294" spans="1:43" s="69" customFormat="1" ht="66" x14ac:dyDescent="0.3">
      <c r="A294" s="55" t="s">
        <v>689</v>
      </c>
      <c r="B294" s="138" t="s">
        <v>690</v>
      </c>
      <c r="C294" s="54" t="s">
        <v>606</v>
      </c>
      <c r="D294" s="75">
        <v>19</v>
      </c>
      <c r="E294" s="75"/>
      <c r="F294" s="75"/>
      <c r="G294" s="161"/>
      <c r="H294" s="235"/>
      <c r="I294" s="341">
        <v>1</v>
      </c>
      <c r="J294" s="166">
        <v>13526.18</v>
      </c>
      <c r="K294" s="75">
        <v>13526.18</v>
      </c>
      <c r="L294" s="91" t="s">
        <v>691</v>
      </c>
      <c r="M294" s="73"/>
      <c r="N294" s="46">
        <v>0</v>
      </c>
      <c r="O294" s="46">
        <v>0</v>
      </c>
      <c r="P294" s="46">
        <v>0</v>
      </c>
      <c r="Q294" s="98"/>
      <c r="R294" s="23" t="s">
        <v>1440</v>
      </c>
      <c r="S294" s="24" t="s">
        <v>690</v>
      </c>
      <c r="T294" s="25" t="s">
        <v>606</v>
      </c>
      <c r="U294" s="26">
        <v>19</v>
      </c>
      <c r="V294" s="26">
        <f t="shared" si="55"/>
        <v>1</v>
      </c>
      <c r="W294" s="26">
        <f t="shared" si="65"/>
        <v>13526.18</v>
      </c>
      <c r="X294" s="26">
        <f t="shared" si="61"/>
        <v>0</v>
      </c>
      <c r="Y294" s="26">
        <f t="shared" si="66"/>
        <v>0</v>
      </c>
      <c r="Z294" s="26">
        <f t="shared" si="62"/>
        <v>0</v>
      </c>
      <c r="AA294" s="26">
        <f t="shared" ref="AA294:AA366" si="68">ROUND(W294*Y294,2)</f>
        <v>0</v>
      </c>
      <c r="AB294" s="33" t="s">
        <v>15</v>
      </c>
      <c r="AC294" s="324"/>
      <c r="AD294" s="181">
        <f t="shared" si="64"/>
        <v>1</v>
      </c>
      <c r="AE294" s="181">
        <f t="shared" si="63"/>
        <v>13526.18</v>
      </c>
      <c r="AF294" s="181">
        <v>1.7</v>
      </c>
      <c r="AG294" s="181">
        <v>1.7</v>
      </c>
      <c r="AH294" s="363" t="str">
        <f t="shared" si="67"/>
        <v/>
      </c>
      <c r="AI294" s="192">
        <v>0</v>
      </c>
      <c r="AJ294" s="190">
        <v>1</v>
      </c>
      <c r="AO294" s="367"/>
      <c r="AP294" s="367"/>
      <c r="AQ294" s="367"/>
    </row>
    <row r="295" spans="1:43" s="69" customFormat="1" ht="66" x14ac:dyDescent="0.3">
      <c r="A295" s="130" t="s">
        <v>692</v>
      </c>
      <c r="B295" s="240" t="s">
        <v>693</v>
      </c>
      <c r="C295" s="132" t="s">
        <v>606</v>
      </c>
      <c r="D295" s="75">
        <v>8</v>
      </c>
      <c r="E295" s="75"/>
      <c r="F295" s="75"/>
      <c r="G295" s="161"/>
      <c r="H295" s="235"/>
      <c r="I295" s="345">
        <v>31</v>
      </c>
      <c r="J295" s="166">
        <v>8660.64</v>
      </c>
      <c r="K295" s="75">
        <v>268479.84000000003</v>
      </c>
      <c r="L295" s="91" t="s">
        <v>694</v>
      </c>
      <c r="M295" s="73"/>
      <c r="N295" s="46">
        <v>27</v>
      </c>
      <c r="O295" s="46">
        <v>164552.16</v>
      </c>
      <c r="P295" s="46">
        <v>233837.28</v>
      </c>
      <c r="Q295" s="98"/>
      <c r="R295" s="23" t="s">
        <v>1441</v>
      </c>
      <c r="S295" s="24" t="s">
        <v>693</v>
      </c>
      <c r="T295" s="25" t="s">
        <v>606</v>
      </c>
      <c r="U295" s="26">
        <v>8</v>
      </c>
      <c r="V295" s="26">
        <f t="shared" si="55"/>
        <v>31</v>
      </c>
      <c r="W295" s="26">
        <f t="shared" si="65"/>
        <v>8660.64</v>
      </c>
      <c r="X295" s="128">
        <f t="shared" si="61"/>
        <v>0</v>
      </c>
      <c r="Y295" s="127">
        <f t="shared" si="66"/>
        <v>27</v>
      </c>
      <c r="Z295" s="127">
        <f t="shared" si="62"/>
        <v>0</v>
      </c>
      <c r="AA295" s="127">
        <f t="shared" si="68"/>
        <v>233837.28</v>
      </c>
      <c r="AB295" s="33" t="s">
        <v>15</v>
      </c>
      <c r="AC295" s="324"/>
      <c r="AD295" s="181">
        <f t="shared" si="64"/>
        <v>31</v>
      </c>
      <c r="AE295" s="181">
        <f t="shared" si="63"/>
        <v>268479.84000000003</v>
      </c>
      <c r="AF295" s="181">
        <v>1.7</v>
      </c>
      <c r="AG295" s="181">
        <v>1.7</v>
      </c>
      <c r="AH295" s="363" t="str">
        <f t="shared" si="67"/>
        <v/>
      </c>
      <c r="AI295" s="194">
        <v>27</v>
      </c>
      <c r="AJ295" s="190">
        <v>31</v>
      </c>
      <c r="AO295" s="367"/>
      <c r="AP295" s="367"/>
      <c r="AQ295" s="367"/>
    </row>
    <row r="296" spans="1:43" s="69" customFormat="1" ht="66" x14ac:dyDescent="0.3">
      <c r="A296" s="130" t="s">
        <v>695</v>
      </c>
      <c r="B296" s="240" t="s">
        <v>696</v>
      </c>
      <c r="C296" s="132" t="s">
        <v>606</v>
      </c>
      <c r="D296" s="75">
        <v>8</v>
      </c>
      <c r="E296" s="75"/>
      <c r="F296" s="75"/>
      <c r="G296" s="161"/>
      <c r="H296" s="235"/>
      <c r="I296" s="345">
        <v>16</v>
      </c>
      <c r="J296" s="166">
        <v>17930.64</v>
      </c>
      <c r="K296" s="75">
        <v>286890.23999999999</v>
      </c>
      <c r="L296" s="91" t="s">
        <v>697</v>
      </c>
      <c r="M296" s="73"/>
      <c r="N296" s="46">
        <v>0</v>
      </c>
      <c r="O296" s="46">
        <v>0</v>
      </c>
      <c r="P296" s="46">
        <v>0</v>
      </c>
      <c r="Q296" s="98"/>
      <c r="R296" s="23" t="s">
        <v>1442</v>
      </c>
      <c r="S296" s="24" t="s">
        <v>696</v>
      </c>
      <c r="T296" s="25" t="s">
        <v>606</v>
      </c>
      <c r="U296" s="26">
        <v>8</v>
      </c>
      <c r="V296" s="26">
        <f t="shared" si="55"/>
        <v>16</v>
      </c>
      <c r="W296" s="26">
        <f t="shared" si="65"/>
        <v>17930.64</v>
      </c>
      <c r="X296" s="128">
        <f t="shared" si="61"/>
        <v>0</v>
      </c>
      <c r="Y296" s="127">
        <f t="shared" si="66"/>
        <v>0</v>
      </c>
      <c r="Z296" s="127">
        <f t="shared" si="62"/>
        <v>0</v>
      </c>
      <c r="AA296" s="127">
        <f t="shared" si="68"/>
        <v>0</v>
      </c>
      <c r="AB296" s="33" t="s">
        <v>15</v>
      </c>
      <c r="AC296" s="324"/>
      <c r="AD296" s="181">
        <f t="shared" si="64"/>
        <v>16</v>
      </c>
      <c r="AE296" s="181">
        <f t="shared" si="63"/>
        <v>286890.23999999999</v>
      </c>
      <c r="AF296" s="181">
        <v>1.7</v>
      </c>
      <c r="AG296" s="181">
        <v>1.7</v>
      </c>
      <c r="AH296" s="363" t="str">
        <f t="shared" si="67"/>
        <v/>
      </c>
      <c r="AI296" s="194">
        <v>0</v>
      </c>
      <c r="AJ296" s="190">
        <v>16</v>
      </c>
      <c r="AO296" s="367"/>
      <c r="AP296" s="367"/>
      <c r="AQ296" s="367"/>
    </row>
    <row r="297" spans="1:43" s="69" customFormat="1" ht="66" x14ac:dyDescent="0.3">
      <c r="A297" s="55" t="s">
        <v>698</v>
      </c>
      <c r="B297" s="138" t="s">
        <v>699</v>
      </c>
      <c r="C297" s="54" t="s">
        <v>606</v>
      </c>
      <c r="D297" s="75">
        <v>14</v>
      </c>
      <c r="E297" s="75"/>
      <c r="F297" s="75"/>
      <c r="G297" s="161"/>
      <c r="H297" s="235"/>
      <c r="I297" s="341">
        <v>1</v>
      </c>
      <c r="J297" s="166">
        <v>5272.95</v>
      </c>
      <c r="K297" s="75">
        <v>5272.95</v>
      </c>
      <c r="L297" s="91" t="s">
        <v>700</v>
      </c>
      <c r="M297" s="73"/>
      <c r="N297" s="46">
        <v>0</v>
      </c>
      <c r="O297" s="46">
        <v>0</v>
      </c>
      <c r="P297" s="46">
        <v>0</v>
      </c>
      <c r="Q297" s="98"/>
      <c r="R297" s="23" t="s">
        <v>1443</v>
      </c>
      <c r="S297" s="24" t="s">
        <v>699</v>
      </c>
      <c r="T297" s="25" t="s">
        <v>606</v>
      </c>
      <c r="U297" s="26">
        <v>14</v>
      </c>
      <c r="V297" s="26">
        <f t="shared" si="55"/>
        <v>1</v>
      </c>
      <c r="W297" s="26">
        <f t="shared" si="65"/>
        <v>5272.95</v>
      </c>
      <c r="X297" s="26">
        <f t="shared" si="61"/>
        <v>0</v>
      </c>
      <c r="Y297" s="26">
        <f t="shared" si="66"/>
        <v>0</v>
      </c>
      <c r="Z297" s="26">
        <f t="shared" si="62"/>
        <v>0</v>
      </c>
      <c r="AA297" s="26">
        <f t="shared" si="68"/>
        <v>0</v>
      </c>
      <c r="AB297" s="33" t="s">
        <v>15</v>
      </c>
      <c r="AC297" s="324"/>
      <c r="AD297" s="181">
        <f t="shared" si="64"/>
        <v>1</v>
      </c>
      <c r="AE297" s="181">
        <f t="shared" si="63"/>
        <v>5272.95</v>
      </c>
      <c r="AF297" s="181">
        <v>1.7</v>
      </c>
      <c r="AG297" s="181">
        <v>1.7</v>
      </c>
      <c r="AH297" s="363" t="str">
        <f t="shared" si="67"/>
        <v/>
      </c>
      <c r="AI297" s="192">
        <v>0</v>
      </c>
      <c r="AJ297" s="190">
        <v>1</v>
      </c>
      <c r="AO297" s="367"/>
      <c r="AP297" s="367"/>
      <c r="AQ297" s="367"/>
    </row>
    <row r="298" spans="1:43" s="69" customFormat="1" ht="66" x14ac:dyDescent="0.3">
      <c r="A298" s="55" t="s">
        <v>701</v>
      </c>
      <c r="B298" s="138" t="s">
        <v>702</v>
      </c>
      <c r="C298" s="54" t="s">
        <v>606</v>
      </c>
      <c r="D298" s="75">
        <v>15</v>
      </c>
      <c r="E298" s="75"/>
      <c r="F298" s="75"/>
      <c r="G298" s="161"/>
      <c r="H298" s="235"/>
      <c r="I298" s="341">
        <v>1</v>
      </c>
      <c r="J298" s="166">
        <v>5272.95</v>
      </c>
      <c r="K298" s="75">
        <v>5272.95</v>
      </c>
      <c r="L298" s="91" t="s">
        <v>703</v>
      </c>
      <c r="M298" s="73"/>
      <c r="N298" s="46">
        <v>0</v>
      </c>
      <c r="O298" s="46">
        <v>0</v>
      </c>
      <c r="P298" s="46">
        <v>0</v>
      </c>
      <c r="Q298" s="98"/>
      <c r="R298" s="23" t="s">
        <v>1444</v>
      </c>
      <c r="S298" s="24" t="s">
        <v>702</v>
      </c>
      <c r="T298" s="25" t="s">
        <v>606</v>
      </c>
      <c r="U298" s="26">
        <v>15</v>
      </c>
      <c r="V298" s="26">
        <f t="shared" si="55"/>
        <v>1</v>
      </c>
      <c r="W298" s="26">
        <f t="shared" si="65"/>
        <v>5272.95</v>
      </c>
      <c r="X298" s="26">
        <f t="shared" si="61"/>
        <v>0</v>
      </c>
      <c r="Y298" s="26">
        <f t="shared" si="66"/>
        <v>0</v>
      </c>
      <c r="Z298" s="26">
        <f t="shared" si="62"/>
        <v>0</v>
      </c>
      <c r="AA298" s="26">
        <f t="shared" si="68"/>
        <v>0</v>
      </c>
      <c r="AB298" s="33" t="s">
        <v>15</v>
      </c>
      <c r="AC298" s="324"/>
      <c r="AD298" s="181">
        <f t="shared" si="64"/>
        <v>1</v>
      </c>
      <c r="AE298" s="181">
        <f t="shared" si="63"/>
        <v>5272.95</v>
      </c>
      <c r="AF298" s="181">
        <v>1.7</v>
      </c>
      <c r="AG298" s="181">
        <v>1.7</v>
      </c>
      <c r="AH298" s="363" t="str">
        <f t="shared" si="67"/>
        <v/>
      </c>
      <c r="AI298" s="192">
        <v>0</v>
      </c>
      <c r="AJ298" s="190">
        <v>1</v>
      </c>
      <c r="AO298" s="367"/>
      <c r="AP298" s="367"/>
      <c r="AQ298" s="367"/>
    </row>
    <row r="299" spans="1:43" s="69" customFormat="1" ht="66" x14ac:dyDescent="0.3">
      <c r="A299" s="130" t="s">
        <v>704</v>
      </c>
      <c r="B299" s="240" t="s">
        <v>705</v>
      </c>
      <c r="C299" s="132" t="s">
        <v>606</v>
      </c>
      <c r="D299" s="75">
        <v>1</v>
      </c>
      <c r="E299" s="75"/>
      <c r="F299" s="75"/>
      <c r="G299" s="161"/>
      <c r="H299" s="235"/>
      <c r="I299" s="345">
        <v>26</v>
      </c>
      <c r="J299" s="166">
        <v>7859.47</v>
      </c>
      <c r="K299" s="75">
        <v>204346.22</v>
      </c>
      <c r="L299" s="91" t="s">
        <v>706</v>
      </c>
      <c r="M299" s="73"/>
      <c r="N299" s="46">
        <v>20</v>
      </c>
      <c r="O299" s="46">
        <v>157189.4</v>
      </c>
      <c r="P299" s="46">
        <v>157189.4</v>
      </c>
      <c r="Q299" s="98"/>
      <c r="R299" s="23" t="s">
        <v>1408</v>
      </c>
      <c r="S299" s="24" t="s">
        <v>705</v>
      </c>
      <c r="T299" s="25" t="s">
        <v>606</v>
      </c>
      <c r="U299" s="26">
        <v>1</v>
      </c>
      <c r="V299" s="26">
        <f t="shared" si="55"/>
        <v>26</v>
      </c>
      <c r="W299" s="26">
        <f t="shared" si="65"/>
        <v>7859.47</v>
      </c>
      <c r="X299" s="128">
        <f t="shared" si="61"/>
        <v>0</v>
      </c>
      <c r="Y299" s="127">
        <f t="shared" si="66"/>
        <v>20</v>
      </c>
      <c r="Z299" s="127">
        <f t="shared" si="62"/>
        <v>0</v>
      </c>
      <c r="AA299" s="127">
        <f t="shared" si="68"/>
        <v>157189.4</v>
      </c>
      <c r="AB299" s="33" t="s">
        <v>15</v>
      </c>
      <c r="AC299" s="324"/>
      <c r="AD299" s="181">
        <f t="shared" si="64"/>
        <v>26</v>
      </c>
      <c r="AE299" s="181">
        <f t="shared" si="63"/>
        <v>204346.22</v>
      </c>
      <c r="AF299" s="181">
        <v>1.7</v>
      </c>
      <c r="AG299" s="181">
        <v>1.7</v>
      </c>
      <c r="AH299" s="363" t="str">
        <f t="shared" si="67"/>
        <v/>
      </c>
      <c r="AI299" s="194">
        <v>20</v>
      </c>
      <c r="AJ299" s="190">
        <v>26</v>
      </c>
      <c r="AO299" s="367"/>
      <c r="AP299" s="367"/>
      <c r="AQ299" s="367"/>
    </row>
    <row r="300" spans="1:43" s="69" customFormat="1" ht="66" x14ac:dyDescent="0.3">
      <c r="A300" s="130" t="s">
        <v>707</v>
      </c>
      <c r="B300" s="240" t="s">
        <v>708</v>
      </c>
      <c r="C300" s="132" t="s">
        <v>606</v>
      </c>
      <c r="D300" s="75">
        <v>1</v>
      </c>
      <c r="E300" s="75"/>
      <c r="F300" s="75"/>
      <c r="G300" s="161"/>
      <c r="H300" s="235"/>
      <c r="I300" s="158"/>
      <c r="J300" s="166">
        <v>5839.45</v>
      </c>
      <c r="K300" s="75">
        <v>5839.45</v>
      </c>
      <c r="L300" s="91" t="s">
        <v>709</v>
      </c>
      <c r="M300" s="73"/>
      <c r="N300" s="46">
        <v>0</v>
      </c>
      <c r="O300" s="46">
        <v>0</v>
      </c>
      <c r="P300" s="46">
        <v>0</v>
      </c>
      <c r="Q300" s="98"/>
      <c r="R300" s="23" t="s">
        <v>1409</v>
      </c>
      <c r="S300" s="24" t="s">
        <v>708</v>
      </c>
      <c r="T300" s="25" t="s">
        <v>606</v>
      </c>
      <c r="U300" s="26">
        <v>1</v>
      </c>
      <c r="V300" s="26">
        <f t="shared" si="55"/>
        <v>1</v>
      </c>
      <c r="W300" s="26">
        <f t="shared" si="65"/>
        <v>5839.45</v>
      </c>
      <c r="X300" s="127">
        <f t="shared" si="61"/>
        <v>0</v>
      </c>
      <c r="Y300" s="127">
        <f t="shared" si="66"/>
        <v>0</v>
      </c>
      <c r="Z300" s="127">
        <f t="shared" si="62"/>
        <v>0</v>
      </c>
      <c r="AA300" s="127">
        <f t="shared" si="68"/>
        <v>0</v>
      </c>
      <c r="AB300" s="33" t="s">
        <v>15</v>
      </c>
      <c r="AC300" s="324"/>
      <c r="AD300" s="181">
        <f t="shared" si="64"/>
        <v>1</v>
      </c>
      <c r="AE300" s="181">
        <f t="shared" si="63"/>
        <v>5839.45</v>
      </c>
      <c r="AF300" s="181">
        <v>1.7</v>
      </c>
      <c r="AG300" s="181">
        <v>1.7</v>
      </c>
      <c r="AH300" s="363" t="str">
        <f t="shared" si="67"/>
        <v/>
      </c>
      <c r="AI300" s="192">
        <v>0</v>
      </c>
      <c r="AJ300" s="188">
        <v>1</v>
      </c>
      <c r="AO300" s="367"/>
      <c r="AP300" s="367"/>
      <c r="AQ300" s="367"/>
    </row>
    <row r="301" spans="1:43" s="69" customFormat="1" ht="66" x14ac:dyDescent="0.3">
      <c r="A301" s="55" t="s">
        <v>710</v>
      </c>
      <c r="B301" s="138" t="s">
        <v>711</v>
      </c>
      <c r="C301" s="54" t="s">
        <v>606</v>
      </c>
      <c r="D301" s="75">
        <v>1</v>
      </c>
      <c r="E301" s="75"/>
      <c r="F301" s="75"/>
      <c r="G301" s="161"/>
      <c r="H301" s="235"/>
      <c r="I301" s="158"/>
      <c r="J301" s="166">
        <v>7189.97</v>
      </c>
      <c r="K301" s="75">
        <v>7189.97</v>
      </c>
      <c r="L301" s="91" t="s">
        <v>712</v>
      </c>
      <c r="M301" s="73"/>
      <c r="N301" s="46">
        <v>0</v>
      </c>
      <c r="O301" s="46">
        <v>0</v>
      </c>
      <c r="P301" s="46">
        <v>0</v>
      </c>
      <c r="Q301" s="98"/>
      <c r="R301" s="23" t="s">
        <v>1410</v>
      </c>
      <c r="S301" s="24" t="s">
        <v>711</v>
      </c>
      <c r="T301" s="25" t="s">
        <v>606</v>
      </c>
      <c r="U301" s="26">
        <v>1</v>
      </c>
      <c r="V301" s="26">
        <f t="shared" si="55"/>
        <v>1</v>
      </c>
      <c r="W301" s="26">
        <f t="shared" si="65"/>
        <v>7189.97</v>
      </c>
      <c r="X301" s="26">
        <f t="shared" si="61"/>
        <v>0</v>
      </c>
      <c r="Y301" s="26">
        <f t="shared" si="66"/>
        <v>0</v>
      </c>
      <c r="Z301" s="26">
        <f t="shared" si="62"/>
        <v>0</v>
      </c>
      <c r="AA301" s="26">
        <f t="shared" si="68"/>
        <v>0</v>
      </c>
      <c r="AB301" s="33" t="s">
        <v>15</v>
      </c>
      <c r="AC301" s="324"/>
      <c r="AD301" s="181">
        <f t="shared" si="64"/>
        <v>1</v>
      </c>
      <c r="AE301" s="181">
        <f t="shared" si="63"/>
        <v>7189.97</v>
      </c>
      <c r="AF301" s="181">
        <v>1.7</v>
      </c>
      <c r="AG301" s="181">
        <v>1.7</v>
      </c>
      <c r="AH301" s="363" t="str">
        <f t="shared" si="67"/>
        <v/>
      </c>
      <c r="AI301" s="192">
        <v>0</v>
      </c>
      <c r="AJ301" s="188">
        <v>1</v>
      </c>
      <c r="AO301" s="367"/>
      <c r="AP301" s="367"/>
      <c r="AQ301" s="367"/>
    </row>
    <row r="302" spans="1:43" s="69" customFormat="1" ht="66" x14ac:dyDescent="0.3">
      <c r="A302" s="55" t="s">
        <v>713</v>
      </c>
      <c r="B302" s="138" t="s">
        <v>714</v>
      </c>
      <c r="C302" s="54" t="s">
        <v>606</v>
      </c>
      <c r="D302" s="75">
        <v>4</v>
      </c>
      <c r="E302" s="75"/>
      <c r="F302" s="75"/>
      <c r="G302" s="161"/>
      <c r="H302" s="235"/>
      <c r="I302" s="341">
        <v>1</v>
      </c>
      <c r="J302" s="166">
        <v>4860.95</v>
      </c>
      <c r="K302" s="75">
        <v>4860.95</v>
      </c>
      <c r="L302" s="91" t="s">
        <v>715</v>
      </c>
      <c r="M302" s="73"/>
      <c r="N302" s="46">
        <v>0</v>
      </c>
      <c r="O302" s="46">
        <v>0</v>
      </c>
      <c r="P302" s="46">
        <v>0</v>
      </c>
      <c r="Q302" s="98"/>
      <c r="R302" s="23" t="s">
        <v>1411</v>
      </c>
      <c r="S302" s="24" t="s">
        <v>714</v>
      </c>
      <c r="T302" s="25" t="s">
        <v>606</v>
      </c>
      <c r="U302" s="26">
        <v>4</v>
      </c>
      <c r="V302" s="26">
        <f t="shared" si="55"/>
        <v>1</v>
      </c>
      <c r="W302" s="26">
        <f t="shared" si="65"/>
        <v>4860.95</v>
      </c>
      <c r="X302" s="26">
        <f t="shared" si="61"/>
        <v>0</v>
      </c>
      <c r="Y302" s="26">
        <f t="shared" si="66"/>
        <v>0</v>
      </c>
      <c r="Z302" s="26">
        <f t="shared" si="62"/>
        <v>0</v>
      </c>
      <c r="AA302" s="26">
        <f t="shared" si="68"/>
        <v>0</v>
      </c>
      <c r="AB302" s="33" t="s">
        <v>15</v>
      </c>
      <c r="AC302" s="324"/>
      <c r="AD302" s="181">
        <f t="shared" si="64"/>
        <v>1</v>
      </c>
      <c r="AE302" s="181">
        <f t="shared" si="63"/>
        <v>4860.95</v>
      </c>
      <c r="AF302" s="181">
        <v>1.7</v>
      </c>
      <c r="AG302" s="181">
        <v>1.7</v>
      </c>
      <c r="AH302" s="363" t="str">
        <f t="shared" si="67"/>
        <v/>
      </c>
      <c r="AI302" s="192">
        <v>0</v>
      </c>
      <c r="AJ302" s="190">
        <v>1</v>
      </c>
      <c r="AO302" s="367"/>
      <c r="AP302" s="367"/>
      <c r="AQ302" s="367"/>
    </row>
    <row r="303" spans="1:43" s="69" customFormat="1" ht="66" x14ac:dyDescent="0.3">
      <c r="A303" s="130" t="s">
        <v>716</v>
      </c>
      <c r="B303" s="240" t="s">
        <v>717</v>
      </c>
      <c r="C303" s="132" t="s">
        <v>606</v>
      </c>
      <c r="D303" s="75">
        <v>1</v>
      </c>
      <c r="E303" s="75"/>
      <c r="F303" s="75"/>
      <c r="G303" s="161"/>
      <c r="H303" s="235"/>
      <c r="I303" s="345">
        <v>19</v>
      </c>
      <c r="J303" s="166">
        <v>14800.45</v>
      </c>
      <c r="K303" s="75">
        <v>281208.55</v>
      </c>
      <c r="L303" s="91" t="s">
        <v>718</v>
      </c>
      <c r="M303" s="73"/>
      <c r="N303" s="46">
        <v>19</v>
      </c>
      <c r="O303" s="46">
        <v>281208.55</v>
      </c>
      <c r="P303" s="46">
        <v>281208.55</v>
      </c>
      <c r="Q303" s="98"/>
      <c r="R303" s="23" t="s">
        <v>1445</v>
      </c>
      <c r="S303" s="24" t="s">
        <v>717</v>
      </c>
      <c r="T303" s="25" t="s">
        <v>606</v>
      </c>
      <c r="U303" s="26">
        <v>1</v>
      </c>
      <c r="V303" s="26">
        <f t="shared" si="55"/>
        <v>19</v>
      </c>
      <c r="W303" s="26">
        <f t="shared" si="65"/>
        <v>14800.45</v>
      </c>
      <c r="X303" s="127">
        <f t="shared" si="61"/>
        <v>0</v>
      </c>
      <c r="Y303" s="127">
        <f t="shared" si="66"/>
        <v>19</v>
      </c>
      <c r="Z303" s="127">
        <f t="shared" si="62"/>
        <v>0</v>
      </c>
      <c r="AA303" s="127">
        <f t="shared" si="68"/>
        <v>281208.55</v>
      </c>
      <c r="AB303" s="33" t="s">
        <v>15</v>
      </c>
      <c r="AC303" s="324"/>
      <c r="AD303" s="181">
        <f t="shared" si="64"/>
        <v>19</v>
      </c>
      <c r="AE303" s="181">
        <f t="shared" si="63"/>
        <v>281208.55</v>
      </c>
      <c r="AF303" s="181">
        <v>1.7</v>
      </c>
      <c r="AG303" s="181">
        <v>1.7</v>
      </c>
      <c r="AH303" s="363" t="str">
        <f t="shared" si="67"/>
        <v/>
      </c>
      <c r="AI303" s="194">
        <v>19</v>
      </c>
      <c r="AJ303" s="190">
        <v>19</v>
      </c>
      <c r="AO303" s="367"/>
      <c r="AP303" s="367"/>
      <c r="AQ303" s="367"/>
    </row>
    <row r="304" spans="1:43" s="69" customFormat="1" ht="66" x14ac:dyDescent="0.3">
      <c r="A304" s="130" t="s">
        <v>719</v>
      </c>
      <c r="B304" s="240" t="s">
        <v>720</v>
      </c>
      <c r="C304" s="132" t="s">
        <v>606</v>
      </c>
      <c r="D304" s="75">
        <v>1</v>
      </c>
      <c r="E304" s="75"/>
      <c r="F304" s="75"/>
      <c r="G304" s="161"/>
      <c r="H304" s="235"/>
      <c r="I304" s="158"/>
      <c r="J304" s="166">
        <v>6661.47</v>
      </c>
      <c r="K304" s="75">
        <v>6661.47</v>
      </c>
      <c r="L304" s="91" t="s">
        <v>721</v>
      </c>
      <c r="M304" s="73"/>
      <c r="N304" s="46">
        <v>0</v>
      </c>
      <c r="O304" s="46">
        <v>0</v>
      </c>
      <c r="P304" s="46">
        <v>0</v>
      </c>
      <c r="Q304" s="98"/>
      <c r="R304" s="23" t="s">
        <v>1383</v>
      </c>
      <c r="S304" s="24" t="s">
        <v>720</v>
      </c>
      <c r="T304" s="25" t="s">
        <v>606</v>
      </c>
      <c r="U304" s="26">
        <v>1</v>
      </c>
      <c r="V304" s="26">
        <f t="shared" si="55"/>
        <v>1</v>
      </c>
      <c r="W304" s="26">
        <f t="shared" si="65"/>
        <v>6661.47</v>
      </c>
      <c r="X304" s="127">
        <f t="shared" si="61"/>
        <v>0</v>
      </c>
      <c r="Y304" s="127">
        <f t="shared" si="66"/>
        <v>0</v>
      </c>
      <c r="Z304" s="127">
        <f t="shared" si="62"/>
        <v>0</v>
      </c>
      <c r="AA304" s="127">
        <f t="shared" si="68"/>
        <v>0</v>
      </c>
      <c r="AB304" s="33" t="s">
        <v>15</v>
      </c>
      <c r="AC304" s="324"/>
      <c r="AD304" s="181">
        <f t="shared" si="64"/>
        <v>1</v>
      </c>
      <c r="AE304" s="181">
        <f t="shared" si="63"/>
        <v>6661.47</v>
      </c>
      <c r="AF304" s="181">
        <v>1.7</v>
      </c>
      <c r="AG304" s="181">
        <v>1.7</v>
      </c>
      <c r="AH304" s="363" t="str">
        <f t="shared" si="67"/>
        <v/>
      </c>
      <c r="AI304" s="192">
        <v>0</v>
      </c>
      <c r="AJ304" s="188">
        <v>1</v>
      </c>
      <c r="AO304" s="367"/>
      <c r="AP304" s="367"/>
      <c r="AQ304" s="367"/>
    </row>
    <row r="305" spans="1:43" s="69" customFormat="1" ht="66" x14ac:dyDescent="0.3">
      <c r="A305" s="130" t="s">
        <v>722</v>
      </c>
      <c r="B305" s="240" t="s">
        <v>723</v>
      </c>
      <c r="C305" s="132" t="s">
        <v>606</v>
      </c>
      <c r="D305" s="75">
        <v>1</v>
      </c>
      <c r="E305" s="75"/>
      <c r="F305" s="75"/>
      <c r="G305" s="161"/>
      <c r="H305" s="235"/>
      <c r="I305" s="158"/>
      <c r="J305" s="166">
        <v>15584.47</v>
      </c>
      <c r="K305" s="75">
        <v>15584.47</v>
      </c>
      <c r="L305" s="91" t="s">
        <v>724</v>
      </c>
      <c r="M305" s="73"/>
      <c r="N305" s="46">
        <v>0</v>
      </c>
      <c r="O305" s="46">
        <v>0</v>
      </c>
      <c r="P305" s="46">
        <v>0</v>
      </c>
      <c r="Q305" s="98"/>
      <c r="R305" s="23" t="s">
        <v>1384</v>
      </c>
      <c r="S305" s="24" t="s">
        <v>723</v>
      </c>
      <c r="T305" s="25" t="s">
        <v>606</v>
      </c>
      <c r="U305" s="26">
        <v>1</v>
      </c>
      <c r="V305" s="26">
        <f t="shared" si="55"/>
        <v>1</v>
      </c>
      <c r="W305" s="26">
        <f t="shared" si="65"/>
        <v>15584.47</v>
      </c>
      <c r="X305" s="127">
        <f t="shared" si="61"/>
        <v>0</v>
      </c>
      <c r="Y305" s="127">
        <f t="shared" si="66"/>
        <v>0</v>
      </c>
      <c r="Z305" s="127">
        <f t="shared" si="62"/>
        <v>0</v>
      </c>
      <c r="AA305" s="127">
        <f t="shared" si="68"/>
        <v>0</v>
      </c>
      <c r="AB305" s="33" t="s">
        <v>15</v>
      </c>
      <c r="AC305" s="324"/>
      <c r="AD305" s="181">
        <f t="shared" si="64"/>
        <v>1</v>
      </c>
      <c r="AE305" s="181">
        <f t="shared" si="63"/>
        <v>15584.47</v>
      </c>
      <c r="AF305" s="181">
        <v>1.7</v>
      </c>
      <c r="AG305" s="181">
        <v>1.7</v>
      </c>
      <c r="AH305" s="363" t="str">
        <f t="shared" si="67"/>
        <v/>
      </c>
      <c r="AI305" s="192">
        <v>0</v>
      </c>
      <c r="AJ305" s="188">
        <v>1</v>
      </c>
      <c r="AO305" s="367"/>
      <c r="AP305" s="367"/>
      <c r="AQ305" s="367"/>
    </row>
    <row r="306" spans="1:43" s="69" customFormat="1" ht="66" x14ac:dyDescent="0.3">
      <c r="A306" s="55" t="s">
        <v>725</v>
      </c>
      <c r="B306" s="138" t="s">
        <v>726</v>
      </c>
      <c r="C306" s="54" t="s">
        <v>606</v>
      </c>
      <c r="D306" s="75">
        <v>4</v>
      </c>
      <c r="E306" s="75"/>
      <c r="F306" s="75"/>
      <c r="G306" s="161"/>
      <c r="H306" s="235"/>
      <c r="I306" s="158"/>
      <c r="J306" s="166">
        <v>3949.4</v>
      </c>
      <c r="K306" s="75">
        <v>15797.6</v>
      </c>
      <c r="L306" s="91" t="s">
        <v>727</v>
      </c>
      <c r="M306" s="73"/>
      <c r="N306" s="46">
        <v>0</v>
      </c>
      <c r="O306" s="46">
        <v>0</v>
      </c>
      <c r="P306" s="46">
        <v>0</v>
      </c>
      <c r="Q306" s="98"/>
      <c r="R306" s="23" t="s">
        <v>1385</v>
      </c>
      <c r="S306" s="24" t="s">
        <v>726</v>
      </c>
      <c r="T306" s="25" t="s">
        <v>606</v>
      </c>
      <c r="U306" s="26">
        <v>4</v>
      </c>
      <c r="V306" s="26">
        <f t="shared" si="55"/>
        <v>4</v>
      </c>
      <c r="W306" s="26">
        <f t="shared" si="65"/>
        <v>3949.4</v>
      </c>
      <c r="X306" s="26">
        <f t="shared" si="61"/>
        <v>0</v>
      </c>
      <c r="Y306" s="26">
        <f t="shared" si="66"/>
        <v>0</v>
      </c>
      <c r="Z306" s="26">
        <f t="shared" si="62"/>
        <v>0</v>
      </c>
      <c r="AA306" s="26">
        <f t="shared" si="68"/>
        <v>0</v>
      </c>
      <c r="AB306" s="33" t="s">
        <v>15</v>
      </c>
      <c r="AC306" s="324"/>
      <c r="AD306" s="181">
        <f t="shared" si="64"/>
        <v>4</v>
      </c>
      <c r="AE306" s="181">
        <f t="shared" si="63"/>
        <v>15797.6</v>
      </c>
      <c r="AF306" s="181">
        <v>1.7</v>
      </c>
      <c r="AG306" s="181">
        <v>1.7</v>
      </c>
      <c r="AH306" s="363" t="str">
        <f t="shared" si="67"/>
        <v/>
      </c>
      <c r="AI306" s="192">
        <v>0</v>
      </c>
      <c r="AJ306" s="188">
        <v>4</v>
      </c>
      <c r="AO306" s="367"/>
      <c r="AP306" s="367"/>
      <c r="AQ306" s="367"/>
    </row>
    <row r="307" spans="1:43" s="69" customFormat="1" ht="49.5" x14ac:dyDescent="0.3">
      <c r="A307" s="55" t="s">
        <v>728</v>
      </c>
      <c r="B307" s="138" t="s">
        <v>729</v>
      </c>
      <c r="C307" s="54" t="s">
        <v>606</v>
      </c>
      <c r="D307" s="75">
        <v>1</v>
      </c>
      <c r="E307" s="75"/>
      <c r="F307" s="75"/>
      <c r="G307" s="161"/>
      <c r="H307" s="235"/>
      <c r="I307" s="341">
        <v>722</v>
      </c>
      <c r="J307" s="166">
        <v>227.07</v>
      </c>
      <c r="K307" s="75">
        <v>163944.54</v>
      </c>
      <c r="L307" s="91" t="s">
        <v>730</v>
      </c>
      <c r="M307" s="73"/>
      <c r="N307" s="46">
        <v>0</v>
      </c>
      <c r="O307" s="46">
        <v>0</v>
      </c>
      <c r="P307" s="46">
        <v>0</v>
      </c>
      <c r="Q307" s="98"/>
      <c r="R307" s="23" t="s">
        <v>1446</v>
      </c>
      <c r="S307" s="24" t="s">
        <v>729</v>
      </c>
      <c r="T307" s="25" t="s">
        <v>606</v>
      </c>
      <c r="U307" s="26">
        <v>1</v>
      </c>
      <c r="V307" s="26">
        <f t="shared" ref="V307:V361" si="69">IF(I307&gt;0,I307,IF(H307&gt;0,H307,IF(G307&gt;0,G307,IF(F307&gt;0,F307,IF(E307&gt;0,E307,D307)))))</f>
        <v>722</v>
      </c>
      <c r="W307" s="26">
        <f t="shared" si="65"/>
        <v>227.07</v>
      </c>
      <c r="X307" s="26">
        <f t="shared" si="61"/>
        <v>0</v>
      </c>
      <c r="Y307" s="26">
        <f t="shared" si="66"/>
        <v>0</v>
      </c>
      <c r="Z307" s="26">
        <f t="shared" si="62"/>
        <v>0</v>
      </c>
      <c r="AA307" s="26">
        <f t="shared" si="68"/>
        <v>0</v>
      </c>
      <c r="AB307" s="33" t="s">
        <v>15</v>
      </c>
      <c r="AC307" s="324"/>
      <c r="AD307" s="181">
        <f t="shared" si="64"/>
        <v>722</v>
      </c>
      <c r="AE307" s="181">
        <f t="shared" si="63"/>
        <v>163944.54</v>
      </c>
      <c r="AF307" s="181">
        <v>1.7</v>
      </c>
      <c r="AG307" s="181">
        <v>1.7</v>
      </c>
      <c r="AH307" s="363" t="str">
        <f t="shared" si="67"/>
        <v/>
      </c>
      <c r="AI307" s="194">
        <v>0</v>
      </c>
      <c r="AJ307" s="190">
        <v>722</v>
      </c>
      <c r="AO307" s="367"/>
      <c r="AP307" s="367"/>
      <c r="AQ307" s="367"/>
    </row>
    <row r="308" spans="1:43" s="69" customFormat="1" ht="49.5" x14ac:dyDescent="0.3">
      <c r="A308" s="130" t="s">
        <v>731</v>
      </c>
      <c r="B308" s="240" t="s">
        <v>732</v>
      </c>
      <c r="C308" s="132" t="s">
        <v>606</v>
      </c>
      <c r="D308" s="75">
        <v>1</v>
      </c>
      <c r="E308" s="75"/>
      <c r="F308" s="75"/>
      <c r="G308" s="161"/>
      <c r="H308" s="235"/>
      <c r="I308" s="341"/>
      <c r="J308" s="166">
        <v>277.02999999999997</v>
      </c>
      <c r="K308" s="75">
        <v>277.02999999999997</v>
      </c>
      <c r="L308" s="91" t="s">
        <v>733</v>
      </c>
      <c r="M308" s="73"/>
      <c r="N308" s="46">
        <v>0</v>
      </c>
      <c r="O308" s="46">
        <v>0</v>
      </c>
      <c r="P308" s="46">
        <v>0</v>
      </c>
      <c r="Q308" s="98"/>
      <c r="R308" s="23" t="s">
        <v>1447</v>
      </c>
      <c r="S308" s="24" t="s">
        <v>732</v>
      </c>
      <c r="T308" s="25" t="s">
        <v>606</v>
      </c>
      <c r="U308" s="26">
        <v>1</v>
      </c>
      <c r="V308" s="26">
        <f t="shared" si="69"/>
        <v>1</v>
      </c>
      <c r="W308" s="26">
        <f t="shared" si="65"/>
        <v>277.02999999999997</v>
      </c>
      <c r="X308" s="127">
        <f t="shared" si="61"/>
        <v>0</v>
      </c>
      <c r="Y308" s="127">
        <f t="shared" si="66"/>
        <v>0</v>
      </c>
      <c r="Z308" s="127">
        <f t="shared" si="62"/>
        <v>0</v>
      </c>
      <c r="AA308" s="127">
        <f t="shared" si="68"/>
        <v>0</v>
      </c>
      <c r="AB308" s="33" t="s">
        <v>15</v>
      </c>
      <c r="AC308" s="324"/>
      <c r="AD308" s="181">
        <f t="shared" si="64"/>
        <v>1</v>
      </c>
      <c r="AE308" s="181">
        <f t="shared" si="63"/>
        <v>277.02999999999997</v>
      </c>
      <c r="AF308" s="181">
        <v>1.7</v>
      </c>
      <c r="AG308" s="181">
        <v>1.7</v>
      </c>
      <c r="AH308" s="363" t="str">
        <f t="shared" si="67"/>
        <v/>
      </c>
      <c r="AI308" s="192">
        <v>0</v>
      </c>
      <c r="AJ308" s="188">
        <v>1</v>
      </c>
      <c r="AO308" s="367"/>
      <c r="AP308" s="367"/>
      <c r="AQ308" s="367"/>
    </row>
    <row r="309" spans="1:43" s="69" customFormat="1" ht="49.5" x14ac:dyDescent="0.3">
      <c r="A309" s="55" t="s">
        <v>734</v>
      </c>
      <c r="B309" s="138" t="s">
        <v>735</v>
      </c>
      <c r="C309" s="54" t="s">
        <v>606</v>
      </c>
      <c r="D309" s="75">
        <v>1</v>
      </c>
      <c r="E309" s="75"/>
      <c r="F309" s="75"/>
      <c r="G309" s="161"/>
      <c r="H309" s="235"/>
      <c r="I309" s="341">
        <v>1331</v>
      </c>
      <c r="J309" s="166">
        <v>286.3</v>
      </c>
      <c r="K309" s="75">
        <v>381065.3</v>
      </c>
      <c r="L309" s="91" t="s">
        <v>736</v>
      </c>
      <c r="M309" s="73"/>
      <c r="N309" s="46">
        <v>594</v>
      </c>
      <c r="O309" s="46">
        <v>170062.2</v>
      </c>
      <c r="P309" s="46">
        <v>170062.2</v>
      </c>
      <c r="Q309" s="98"/>
      <c r="R309" s="23" t="s">
        <v>1448</v>
      </c>
      <c r="S309" s="24" t="s">
        <v>735</v>
      </c>
      <c r="T309" s="25" t="s">
        <v>606</v>
      </c>
      <c r="U309" s="26">
        <v>1</v>
      </c>
      <c r="V309" s="26">
        <f t="shared" si="69"/>
        <v>1331</v>
      </c>
      <c r="W309" s="26">
        <f t="shared" si="65"/>
        <v>286.3</v>
      </c>
      <c r="X309" s="26">
        <f t="shared" si="61"/>
        <v>0</v>
      </c>
      <c r="Y309" s="26">
        <f t="shared" si="66"/>
        <v>594</v>
      </c>
      <c r="Z309" s="26">
        <f t="shared" si="62"/>
        <v>0</v>
      </c>
      <c r="AA309" s="26">
        <f t="shared" si="68"/>
        <v>170062.2</v>
      </c>
      <c r="AB309" s="33" t="s">
        <v>15</v>
      </c>
      <c r="AC309" s="324"/>
      <c r="AD309" s="181">
        <f t="shared" si="64"/>
        <v>1331</v>
      </c>
      <c r="AE309" s="181">
        <f t="shared" si="63"/>
        <v>381065.3</v>
      </c>
      <c r="AF309" s="181">
        <v>1.7</v>
      </c>
      <c r="AG309" s="181">
        <v>1.7</v>
      </c>
      <c r="AH309" s="363" t="str">
        <f t="shared" si="67"/>
        <v/>
      </c>
      <c r="AI309" s="194">
        <v>594</v>
      </c>
      <c r="AJ309" s="190">
        <v>1331</v>
      </c>
      <c r="AO309" s="367"/>
      <c r="AP309" s="367"/>
      <c r="AQ309" s="367"/>
    </row>
    <row r="310" spans="1:43" s="69" customFormat="1" ht="49.5" x14ac:dyDescent="0.3">
      <c r="A310" s="130" t="s">
        <v>737</v>
      </c>
      <c r="B310" s="240" t="s">
        <v>738</v>
      </c>
      <c r="C310" s="132" t="s">
        <v>606</v>
      </c>
      <c r="D310" s="75">
        <v>1</v>
      </c>
      <c r="E310" s="75"/>
      <c r="F310" s="75"/>
      <c r="G310" s="161"/>
      <c r="H310" s="235"/>
      <c r="I310" s="341">
        <v>478</v>
      </c>
      <c r="J310" s="166">
        <v>134.37</v>
      </c>
      <c r="K310" s="75">
        <v>64228.86</v>
      </c>
      <c r="L310" s="91" t="s">
        <v>739</v>
      </c>
      <c r="M310" s="73"/>
      <c r="N310" s="46">
        <v>0</v>
      </c>
      <c r="O310" s="46">
        <v>0</v>
      </c>
      <c r="P310" s="46">
        <v>0</v>
      </c>
      <c r="Q310" s="98"/>
      <c r="R310" s="23" t="s">
        <v>1449</v>
      </c>
      <c r="S310" s="24" t="s">
        <v>738</v>
      </c>
      <c r="T310" s="25" t="s">
        <v>606</v>
      </c>
      <c r="U310" s="26">
        <v>1</v>
      </c>
      <c r="V310" s="26">
        <f t="shared" si="69"/>
        <v>478</v>
      </c>
      <c r="W310" s="26">
        <f t="shared" si="65"/>
        <v>134.37</v>
      </c>
      <c r="X310" s="127">
        <f t="shared" si="61"/>
        <v>0</v>
      </c>
      <c r="Y310" s="127">
        <f t="shared" si="66"/>
        <v>0</v>
      </c>
      <c r="Z310" s="127">
        <f t="shared" si="62"/>
        <v>0</v>
      </c>
      <c r="AA310" s="127">
        <f t="shared" si="68"/>
        <v>0</v>
      </c>
      <c r="AB310" s="33" t="s">
        <v>15</v>
      </c>
      <c r="AC310" s="324"/>
      <c r="AD310" s="181">
        <f t="shared" si="64"/>
        <v>478</v>
      </c>
      <c r="AE310" s="181">
        <f t="shared" si="63"/>
        <v>64228.86</v>
      </c>
      <c r="AF310" s="181">
        <v>1.7</v>
      </c>
      <c r="AG310" s="181">
        <v>1.7</v>
      </c>
      <c r="AH310" s="363" t="str">
        <f t="shared" si="67"/>
        <v/>
      </c>
      <c r="AI310" s="194">
        <v>0</v>
      </c>
      <c r="AJ310" s="190">
        <v>478</v>
      </c>
      <c r="AO310" s="367"/>
      <c r="AP310" s="367"/>
      <c r="AQ310" s="367"/>
    </row>
    <row r="311" spans="1:43" s="69" customFormat="1" ht="49.5" x14ac:dyDescent="0.3">
      <c r="A311" s="130" t="s">
        <v>740</v>
      </c>
      <c r="B311" s="240" t="s">
        <v>741</v>
      </c>
      <c r="C311" s="132" t="s">
        <v>606</v>
      </c>
      <c r="D311" s="75">
        <v>1</v>
      </c>
      <c r="E311" s="75"/>
      <c r="F311" s="75"/>
      <c r="G311" s="161"/>
      <c r="H311" s="235"/>
      <c r="I311" s="345">
        <v>6268</v>
      </c>
      <c r="J311" s="166">
        <v>142.1</v>
      </c>
      <c r="K311" s="75">
        <v>890682.8</v>
      </c>
      <c r="L311" s="91" t="s">
        <v>742</v>
      </c>
      <c r="M311" s="73"/>
      <c r="N311" s="46">
        <v>6100</v>
      </c>
      <c r="O311" s="46">
        <v>866810</v>
      </c>
      <c r="P311" s="46">
        <v>866810</v>
      </c>
      <c r="Q311" s="98"/>
      <c r="R311" s="23" t="s">
        <v>1450</v>
      </c>
      <c r="S311" s="24" t="s">
        <v>741</v>
      </c>
      <c r="T311" s="25" t="s">
        <v>606</v>
      </c>
      <c r="U311" s="26">
        <v>1</v>
      </c>
      <c r="V311" s="26">
        <f t="shared" si="69"/>
        <v>6268</v>
      </c>
      <c r="W311" s="26">
        <f t="shared" si="65"/>
        <v>142.1</v>
      </c>
      <c r="X311" s="26">
        <f t="shared" si="61"/>
        <v>0</v>
      </c>
      <c r="Y311" s="127">
        <f t="shared" si="66"/>
        <v>6100</v>
      </c>
      <c r="Z311" s="127">
        <f t="shared" si="62"/>
        <v>0</v>
      </c>
      <c r="AA311" s="127">
        <f t="shared" si="68"/>
        <v>866810</v>
      </c>
      <c r="AB311" s="33" t="s">
        <v>15</v>
      </c>
      <c r="AC311" s="324"/>
      <c r="AD311" s="181">
        <f t="shared" si="64"/>
        <v>6268</v>
      </c>
      <c r="AE311" s="181">
        <f t="shared" si="63"/>
        <v>890682.8</v>
      </c>
      <c r="AF311" s="181">
        <v>1.7</v>
      </c>
      <c r="AG311" s="181">
        <v>1.7</v>
      </c>
      <c r="AH311" s="363" t="str">
        <f t="shared" si="67"/>
        <v/>
      </c>
      <c r="AI311" s="194">
        <v>6100</v>
      </c>
      <c r="AJ311" s="190">
        <v>6268</v>
      </c>
      <c r="AO311" s="367"/>
      <c r="AP311" s="367"/>
      <c r="AQ311" s="367"/>
    </row>
    <row r="312" spans="1:43" s="69" customFormat="1" ht="49.5" x14ac:dyDescent="0.3">
      <c r="A312" s="55" t="s">
        <v>743</v>
      </c>
      <c r="B312" s="138" t="s">
        <v>744</v>
      </c>
      <c r="C312" s="54" t="s">
        <v>606</v>
      </c>
      <c r="D312" s="75">
        <v>1</v>
      </c>
      <c r="E312" s="75"/>
      <c r="F312" s="75"/>
      <c r="G312" s="161"/>
      <c r="H312" s="235"/>
      <c r="I312" s="341">
        <v>2843</v>
      </c>
      <c r="J312" s="166">
        <v>90.32</v>
      </c>
      <c r="K312" s="75">
        <v>256779.76</v>
      </c>
      <c r="L312" s="91" t="s">
        <v>745</v>
      </c>
      <c r="M312" s="73"/>
      <c r="N312" s="46">
        <v>1100</v>
      </c>
      <c r="O312" s="46">
        <v>99352</v>
      </c>
      <c r="P312" s="46">
        <v>99352</v>
      </c>
      <c r="Q312" s="98"/>
      <c r="R312" s="23" t="s">
        <v>1451</v>
      </c>
      <c r="S312" s="24" t="s">
        <v>744</v>
      </c>
      <c r="T312" s="25" t="s">
        <v>606</v>
      </c>
      <c r="U312" s="26">
        <v>1</v>
      </c>
      <c r="V312" s="26">
        <f t="shared" si="69"/>
        <v>2843</v>
      </c>
      <c r="W312" s="26">
        <f t="shared" si="65"/>
        <v>90.32</v>
      </c>
      <c r="X312" s="26">
        <f t="shared" si="61"/>
        <v>0</v>
      </c>
      <c r="Y312" s="26">
        <f t="shared" si="66"/>
        <v>1100</v>
      </c>
      <c r="Z312" s="26">
        <f t="shared" si="62"/>
        <v>0</v>
      </c>
      <c r="AA312" s="26">
        <f t="shared" si="68"/>
        <v>99352</v>
      </c>
      <c r="AB312" s="33" t="s">
        <v>15</v>
      </c>
      <c r="AC312" s="324"/>
      <c r="AD312" s="181">
        <f t="shared" si="64"/>
        <v>2843</v>
      </c>
      <c r="AE312" s="181">
        <f t="shared" si="63"/>
        <v>256779.76</v>
      </c>
      <c r="AF312" s="181">
        <v>1.7</v>
      </c>
      <c r="AG312" s="181">
        <v>1.7</v>
      </c>
      <c r="AH312" s="363" t="str">
        <f t="shared" si="67"/>
        <v/>
      </c>
      <c r="AI312" s="194">
        <v>1100</v>
      </c>
      <c r="AJ312" s="190">
        <v>2843</v>
      </c>
      <c r="AO312" s="367"/>
      <c r="AP312" s="367"/>
      <c r="AQ312" s="367"/>
    </row>
    <row r="313" spans="1:43" s="69" customFormat="1" ht="49.5" x14ac:dyDescent="0.3">
      <c r="A313" s="130" t="s">
        <v>746</v>
      </c>
      <c r="B313" s="240" t="s">
        <v>747</v>
      </c>
      <c r="C313" s="132" t="s">
        <v>606</v>
      </c>
      <c r="D313" s="75">
        <v>1</v>
      </c>
      <c r="E313" s="75"/>
      <c r="F313" s="75"/>
      <c r="G313" s="161"/>
      <c r="H313" s="235"/>
      <c r="I313" s="345">
        <v>2202</v>
      </c>
      <c r="J313" s="166">
        <v>125.1</v>
      </c>
      <c r="K313" s="75">
        <v>275470.2</v>
      </c>
      <c r="L313" s="91" t="s">
        <v>748</v>
      </c>
      <c r="M313" s="73"/>
      <c r="N313" s="46">
        <v>2100</v>
      </c>
      <c r="O313" s="46">
        <v>262710</v>
      </c>
      <c r="P313" s="46">
        <v>262710</v>
      </c>
      <c r="Q313" s="98"/>
      <c r="R313" s="23" t="s">
        <v>1452</v>
      </c>
      <c r="S313" s="24" t="s">
        <v>747</v>
      </c>
      <c r="T313" s="25" t="s">
        <v>606</v>
      </c>
      <c r="U313" s="26">
        <v>1</v>
      </c>
      <c r="V313" s="26">
        <f t="shared" si="69"/>
        <v>2202</v>
      </c>
      <c r="W313" s="26">
        <f t="shared" si="65"/>
        <v>125.1</v>
      </c>
      <c r="X313" s="26">
        <f t="shared" si="61"/>
        <v>0</v>
      </c>
      <c r="Y313" s="127">
        <f t="shared" si="66"/>
        <v>2100</v>
      </c>
      <c r="Z313" s="127">
        <f t="shared" si="62"/>
        <v>0</v>
      </c>
      <c r="AA313" s="127">
        <f t="shared" si="68"/>
        <v>262710</v>
      </c>
      <c r="AB313" s="33" t="s">
        <v>15</v>
      </c>
      <c r="AC313" s="324"/>
      <c r="AD313" s="181">
        <f t="shared" si="64"/>
        <v>2202</v>
      </c>
      <c r="AE313" s="181">
        <f t="shared" si="63"/>
        <v>275470.2</v>
      </c>
      <c r="AF313" s="181">
        <v>1.7</v>
      </c>
      <c r="AG313" s="181">
        <v>1.7</v>
      </c>
      <c r="AH313" s="363" t="str">
        <f t="shared" si="67"/>
        <v/>
      </c>
      <c r="AI313" s="194">
        <v>2100</v>
      </c>
      <c r="AJ313" s="190">
        <v>2202</v>
      </c>
      <c r="AO313" s="367"/>
      <c r="AP313" s="367"/>
      <c r="AQ313" s="367"/>
    </row>
    <row r="314" spans="1:43" s="69" customFormat="1" ht="49.5" x14ac:dyDescent="0.3">
      <c r="A314" s="130" t="s">
        <v>749</v>
      </c>
      <c r="B314" s="240" t="s">
        <v>750</v>
      </c>
      <c r="C314" s="132" t="s">
        <v>606</v>
      </c>
      <c r="D314" s="75">
        <v>1</v>
      </c>
      <c r="E314" s="75"/>
      <c r="F314" s="75"/>
      <c r="G314" s="161"/>
      <c r="H314" s="235"/>
      <c r="I314" s="158"/>
      <c r="J314" s="166">
        <v>137.04</v>
      </c>
      <c r="K314" s="75">
        <v>137.04</v>
      </c>
      <c r="L314" s="91" t="s">
        <v>751</v>
      </c>
      <c r="M314" s="73"/>
      <c r="N314" s="46">
        <v>0</v>
      </c>
      <c r="O314" s="46">
        <v>0</v>
      </c>
      <c r="P314" s="46">
        <v>0</v>
      </c>
      <c r="Q314" s="98"/>
      <c r="R314" s="23" t="s">
        <v>1453</v>
      </c>
      <c r="S314" s="24" t="s">
        <v>750</v>
      </c>
      <c r="T314" s="25" t="s">
        <v>606</v>
      </c>
      <c r="U314" s="26">
        <v>1</v>
      </c>
      <c r="V314" s="26">
        <f t="shared" si="69"/>
        <v>1</v>
      </c>
      <c r="W314" s="26">
        <f t="shared" si="65"/>
        <v>137.04</v>
      </c>
      <c r="X314" s="127">
        <f t="shared" si="61"/>
        <v>0</v>
      </c>
      <c r="Y314" s="127">
        <f t="shared" si="66"/>
        <v>0</v>
      </c>
      <c r="Z314" s="127">
        <f t="shared" si="62"/>
        <v>0</v>
      </c>
      <c r="AA314" s="127">
        <f t="shared" si="68"/>
        <v>0</v>
      </c>
      <c r="AB314" s="33" t="s">
        <v>15</v>
      </c>
      <c r="AC314" s="324"/>
      <c r="AD314" s="181">
        <f t="shared" si="64"/>
        <v>1</v>
      </c>
      <c r="AE314" s="181">
        <f t="shared" si="63"/>
        <v>137.04</v>
      </c>
      <c r="AF314" s="181">
        <v>1.7</v>
      </c>
      <c r="AG314" s="181">
        <v>1.7</v>
      </c>
      <c r="AH314" s="363" t="str">
        <f t="shared" si="67"/>
        <v/>
      </c>
      <c r="AI314" s="192">
        <v>0</v>
      </c>
      <c r="AJ314" s="188">
        <v>1</v>
      </c>
      <c r="AO314" s="367"/>
      <c r="AP314" s="367"/>
      <c r="AQ314" s="367"/>
    </row>
    <row r="315" spans="1:43" s="69" customFormat="1" ht="49.5" x14ac:dyDescent="0.3">
      <c r="A315" s="55" t="s">
        <v>752</v>
      </c>
      <c r="B315" s="138" t="s">
        <v>753</v>
      </c>
      <c r="C315" s="54" t="s">
        <v>606</v>
      </c>
      <c r="D315" s="75">
        <v>1</v>
      </c>
      <c r="E315" s="75"/>
      <c r="F315" s="75"/>
      <c r="G315" s="161"/>
      <c r="H315" s="235"/>
      <c r="I315" s="341">
        <v>1007</v>
      </c>
      <c r="J315" s="166">
        <v>107.12</v>
      </c>
      <c r="K315" s="75">
        <v>107869.84</v>
      </c>
      <c r="L315" s="91" t="s">
        <v>754</v>
      </c>
      <c r="M315" s="73"/>
      <c r="N315" s="46">
        <v>0</v>
      </c>
      <c r="O315" s="46">
        <v>0</v>
      </c>
      <c r="P315" s="46">
        <v>0</v>
      </c>
      <c r="Q315" s="98"/>
      <c r="R315" s="23" t="s">
        <v>1454</v>
      </c>
      <c r="S315" s="24" t="s">
        <v>753</v>
      </c>
      <c r="T315" s="25" t="s">
        <v>606</v>
      </c>
      <c r="U315" s="26">
        <v>1</v>
      </c>
      <c r="V315" s="26">
        <f t="shared" si="69"/>
        <v>1007</v>
      </c>
      <c r="W315" s="26">
        <f t="shared" si="65"/>
        <v>107.12</v>
      </c>
      <c r="X315" s="26">
        <f t="shared" si="61"/>
        <v>0</v>
      </c>
      <c r="Y315" s="26">
        <f t="shared" si="66"/>
        <v>0</v>
      </c>
      <c r="Z315" s="26">
        <f t="shared" si="62"/>
        <v>0</v>
      </c>
      <c r="AA315" s="26">
        <f t="shared" si="68"/>
        <v>0</v>
      </c>
      <c r="AB315" s="33" t="s">
        <v>15</v>
      </c>
      <c r="AC315" s="324"/>
      <c r="AD315" s="181">
        <f t="shared" si="64"/>
        <v>1007</v>
      </c>
      <c r="AE315" s="181">
        <f t="shared" si="63"/>
        <v>107869.84</v>
      </c>
      <c r="AF315" s="181">
        <v>1.7</v>
      </c>
      <c r="AG315" s="181">
        <v>1.7</v>
      </c>
      <c r="AH315" s="363" t="str">
        <f t="shared" si="67"/>
        <v/>
      </c>
      <c r="AI315" s="194">
        <v>0</v>
      </c>
      <c r="AJ315" s="190">
        <v>1007</v>
      </c>
      <c r="AO315" s="367"/>
      <c r="AP315" s="367"/>
      <c r="AQ315" s="367"/>
    </row>
    <row r="316" spans="1:43" s="69" customFormat="1" ht="49.5" x14ac:dyDescent="0.3">
      <c r="A316" s="55" t="s">
        <v>755</v>
      </c>
      <c r="B316" s="138" t="s">
        <v>756</v>
      </c>
      <c r="C316" s="54" t="s">
        <v>606</v>
      </c>
      <c r="D316" s="75">
        <v>1</v>
      </c>
      <c r="E316" s="75"/>
      <c r="F316" s="75"/>
      <c r="G316" s="161"/>
      <c r="H316" s="235"/>
      <c r="I316" s="341">
        <v>1139</v>
      </c>
      <c r="J316" s="166">
        <v>124.17</v>
      </c>
      <c r="K316" s="75">
        <v>141429.63</v>
      </c>
      <c r="L316" s="91" t="s">
        <v>757</v>
      </c>
      <c r="M316" s="73"/>
      <c r="N316" s="46">
        <v>0</v>
      </c>
      <c r="O316" s="46">
        <v>0</v>
      </c>
      <c r="P316" s="46">
        <v>0</v>
      </c>
      <c r="Q316" s="98"/>
      <c r="R316" s="23" t="s">
        <v>1455</v>
      </c>
      <c r="S316" s="24" t="s">
        <v>756</v>
      </c>
      <c r="T316" s="25" t="s">
        <v>606</v>
      </c>
      <c r="U316" s="26">
        <v>1</v>
      </c>
      <c r="V316" s="26">
        <f t="shared" si="69"/>
        <v>1139</v>
      </c>
      <c r="W316" s="26">
        <f t="shared" si="65"/>
        <v>124.17</v>
      </c>
      <c r="X316" s="26">
        <f t="shared" si="61"/>
        <v>0</v>
      </c>
      <c r="Y316" s="26">
        <f t="shared" si="66"/>
        <v>0</v>
      </c>
      <c r="Z316" s="26">
        <f t="shared" si="62"/>
        <v>0</v>
      </c>
      <c r="AA316" s="26">
        <f t="shared" si="68"/>
        <v>0</v>
      </c>
      <c r="AB316" s="33" t="s">
        <v>15</v>
      </c>
      <c r="AC316" s="324"/>
      <c r="AD316" s="181">
        <f t="shared" si="64"/>
        <v>1139</v>
      </c>
      <c r="AE316" s="181">
        <f t="shared" si="63"/>
        <v>141429.63</v>
      </c>
      <c r="AF316" s="181">
        <v>1.7</v>
      </c>
      <c r="AG316" s="181">
        <v>1.7</v>
      </c>
      <c r="AH316" s="363" t="str">
        <f t="shared" si="67"/>
        <v/>
      </c>
      <c r="AI316" s="194">
        <v>0</v>
      </c>
      <c r="AJ316" s="190">
        <v>1139</v>
      </c>
      <c r="AO316" s="367"/>
      <c r="AP316" s="367"/>
      <c r="AQ316" s="367"/>
    </row>
    <row r="317" spans="1:43" s="69" customFormat="1" ht="49.5" x14ac:dyDescent="0.3">
      <c r="A317" s="55" t="s">
        <v>758</v>
      </c>
      <c r="B317" s="138" t="s">
        <v>759</v>
      </c>
      <c r="C317" s="54" t="s">
        <v>606</v>
      </c>
      <c r="D317" s="75">
        <v>1</v>
      </c>
      <c r="E317" s="75"/>
      <c r="F317" s="75"/>
      <c r="G317" s="161"/>
      <c r="H317" s="235"/>
      <c r="I317" s="341">
        <v>2260</v>
      </c>
      <c r="J317" s="166">
        <v>121.59</v>
      </c>
      <c r="K317" s="75">
        <v>274793.40000000002</v>
      </c>
      <c r="L317" s="91" t="s">
        <v>760</v>
      </c>
      <c r="M317" s="73"/>
      <c r="N317" s="46">
        <v>0</v>
      </c>
      <c r="O317" s="46">
        <v>0</v>
      </c>
      <c r="P317" s="46">
        <v>0</v>
      </c>
      <c r="Q317" s="98"/>
      <c r="R317" s="23" t="s">
        <v>1456</v>
      </c>
      <c r="S317" s="24" t="s">
        <v>759</v>
      </c>
      <c r="T317" s="25" t="s">
        <v>606</v>
      </c>
      <c r="U317" s="26">
        <v>1</v>
      </c>
      <c r="V317" s="26">
        <f t="shared" si="69"/>
        <v>2260</v>
      </c>
      <c r="W317" s="26">
        <f t="shared" si="65"/>
        <v>121.59</v>
      </c>
      <c r="X317" s="26">
        <f t="shared" si="61"/>
        <v>0</v>
      </c>
      <c r="Y317" s="26">
        <f t="shared" si="66"/>
        <v>0</v>
      </c>
      <c r="Z317" s="26">
        <f t="shared" si="62"/>
        <v>0</v>
      </c>
      <c r="AA317" s="26">
        <f t="shared" si="68"/>
        <v>0</v>
      </c>
      <c r="AB317" s="33" t="s">
        <v>15</v>
      </c>
      <c r="AC317" s="324"/>
      <c r="AD317" s="181">
        <f t="shared" si="64"/>
        <v>2260</v>
      </c>
      <c r="AE317" s="181">
        <f t="shared" si="63"/>
        <v>274793.40000000002</v>
      </c>
      <c r="AF317" s="181">
        <v>1.7</v>
      </c>
      <c r="AG317" s="181">
        <v>1.7</v>
      </c>
      <c r="AH317" s="363" t="str">
        <f t="shared" si="67"/>
        <v/>
      </c>
      <c r="AI317" s="194">
        <v>0</v>
      </c>
      <c r="AJ317" s="190">
        <v>2260</v>
      </c>
      <c r="AO317" s="367"/>
      <c r="AP317" s="367"/>
      <c r="AQ317" s="367"/>
    </row>
    <row r="318" spans="1:43" s="69" customFormat="1" ht="49.5" x14ac:dyDescent="0.3">
      <c r="A318" s="55" t="s">
        <v>761</v>
      </c>
      <c r="B318" s="138" t="s">
        <v>762</v>
      </c>
      <c r="C318" s="54" t="s">
        <v>606</v>
      </c>
      <c r="D318" s="75">
        <v>1</v>
      </c>
      <c r="E318" s="75"/>
      <c r="F318" s="75"/>
      <c r="G318" s="161"/>
      <c r="H318" s="235"/>
      <c r="I318" s="341">
        <v>867</v>
      </c>
      <c r="J318" s="166">
        <v>154.51</v>
      </c>
      <c r="K318" s="75">
        <v>133960.17000000001</v>
      </c>
      <c r="L318" s="91" t="s">
        <v>763</v>
      </c>
      <c r="M318" s="73"/>
      <c r="N318" s="46">
        <v>0</v>
      </c>
      <c r="O318" s="46">
        <v>0</v>
      </c>
      <c r="P318" s="46">
        <v>0</v>
      </c>
      <c r="Q318" s="98"/>
      <c r="R318" s="23" t="s">
        <v>1457</v>
      </c>
      <c r="S318" s="24" t="s">
        <v>762</v>
      </c>
      <c r="T318" s="25" t="s">
        <v>606</v>
      </c>
      <c r="U318" s="26">
        <v>1</v>
      </c>
      <c r="V318" s="26">
        <f t="shared" si="69"/>
        <v>867</v>
      </c>
      <c r="W318" s="26">
        <f t="shared" si="65"/>
        <v>154.51</v>
      </c>
      <c r="X318" s="199">
        <f t="shared" si="61"/>
        <v>620</v>
      </c>
      <c r="Y318" s="26">
        <f t="shared" si="66"/>
        <v>620</v>
      </c>
      <c r="Z318" s="26">
        <f t="shared" si="62"/>
        <v>95796.2</v>
      </c>
      <c r="AA318" s="26">
        <f t="shared" si="68"/>
        <v>95796.2</v>
      </c>
      <c r="AB318" s="33" t="s">
        <v>15</v>
      </c>
      <c r="AC318" s="324"/>
      <c r="AD318" s="181">
        <f t="shared" si="64"/>
        <v>867</v>
      </c>
      <c r="AE318" s="181">
        <f t="shared" si="63"/>
        <v>133960.17000000001</v>
      </c>
      <c r="AF318" s="181">
        <v>1.7</v>
      </c>
      <c r="AG318" s="181">
        <v>1.7</v>
      </c>
      <c r="AH318" s="363" t="str">
        <f t="shared" si="67"/>
        <v/>
      </c>
      <c r="AI318" s="191">
        <f>620</f>
        <v>620</v>
      </c>
      <c r="AJ318" s="190">
        <v>867</v>
      </c>
      <c r="AO318" s="367"/>
      <c r="AP318" s="367"/>
      <c r="AQ318" s="367"/>
    </row>
    <row r="319" spans="1:43" s="69" customFormat="1" ht="49.5" x14ac:dyDescent="0.3">
      <c r="A319" s="55" t="s">
        <v>764</v>
      </c>
      <c r="B319" s="138" t="s">
        <v>765</v>
      </c>
      <c r="C319" s="54" t="s">
        <v>606</v>
      </c>
      <c r="D319" s="75">
        <v>1</v>
      </c>
      <c r="E319" s="75"/>
      <c r="F319" s="75"/>
      <c r="G319" s="161"/>
      <c r="H319" s="235"/>
      <c r="I319" s="341">
        <v>6916</v>
      </c>
      <c r="J319" s="166">
        <v>36.549999999999997</v>
      </c>
      <c r="K319" s="75">
        <v>252779.8</v>
      </c>
      <c r="L319" s="91" t="s">
        <v>766</v>
      </c>
      <c r="M319" s="73"/>
      <c r="N319" s="46">
        <v>0</v>
      </c>
      <c r="O319" s="46">
        <v>0</v>
      </c>
      <c r="P319" s="46">
        <v>0</v>
      </c>
      <c r="Q319" s="98"/>
      <c r="R319" s="23" t="s">
        <v>1458</v>
      </c>
      <c r="S319" s="24" t="s">
        <v>765</v>
      </c>
      <c r="T319" s="25" t="s">
        <v>606</v>
      </c>
      <c r="U319" s="26">
        <v>1</v>
      </c>
      <c r="V319" s="26">
        <f t="shared" si="69"/>
        <v>6916</v>
      </c>
      <c r="W319" s="26">
        <f t="shared" si="65"/>
        <v>36.549999999999997</v>
      </c>
      <c r="X319" s="199">
        <f t="shared" si="61"/>
        <v>4800</v>
      </c>
      <c r="Y319" s="26">
        <f t="shared" si="66"/>
        <v>4800</v>
      </c>
      <c r="Z319" s="26">
        <f t="shared" si="62"/>
        <v>175440</v>
      </c>
      <c r="AA319" s="26">
        <f t="shared" si="68"/>
        <v>175440</v>
      </c>
      <c r="AB319" s="33" t="s">
        <v>15</v>
      </c>
      <c r="AC319" s="324"/>
      <c r="AD319" s="181">
        <f t="shared" si="64"/>
        <v>6916</v>
      </c>
      <c r="AE319" s="181">
        <f t="shared" si="63"/>
        <v>252779.8</v>
      </c>
      <c r="AF319" s="181">
        <v>1.7</v>
      </c>
      <c r="AG319" s="181">
        <v>1.7</v>
      </c>
      <c r="AH319" s="363" t="str">
        <f t="shared" si="67"/>
        <v/>
      </c>
      <c r="AI319" s="191">
        <f>4800</f>
        <v>4800</v>
      </c>
      <c r="AJ319" s="190">
        <v>6916</v>
      </c>
      <c r="AO319" s="367"/>
      <c r="AP319" s="367"/>
      <c r="AQ319" s="367"/>
    </row>
    <row r="320" spans="1:43" s="69" customFormat="1" ht="49.5" x14ac:dyDescent="0.3">
      <c r="A320" s="55" t="s">
        <v>767</v>
      </c>
      <c r="B320" s="138" t="s">
        <v>768</v>
      </c>
      <c r="C320" s="54" t="s">
        <v>606</v>
      </c>
      <c r="D320" s="75">
        <v>1</v>
      </c>
      <c r="E320" s="75"/>
      <c r="F320" s="75"/>
      <c r="G320" s="161"/>
      <c r="H320" s="235"/>
      <c r="I320" s="341">
        <v>4205</v>
      </c>
      <c r="J320" s="166">
        <v>27.8</v>
      </c>
      <c r="K320" s="75">
        <v>116899</v>
      </c>
      <c r="L320" s="91" t="s">
        <v>769</v>
      </c>
      <c r="M320" s="73"/>
      <c r="N320" s="46">
        <v>0</v>
      </c>
      <c r="O320" s="46">
        <v>0</v>
      </c>
      <c r="P320" s="46">
        <v>0</v>
      </c>
      <c r="Q320" s="98"/>
      <c r="R320" s="23" t="s">
        <v>1459</v>
      </c>
      <c r="S320" s="24" t="s">
        <v>768</v>
      </c>
      <c r="T320" s="25" t="s">
        <v>606</v>
      </c>
      <c r="U320" s="26">
        <v>1</v>
      </c>
      <c r="V320" s="26">
        <f t="shared" si="69"/>
        <v>4205</v>
      </c>
      <c r="W320" s="26">
        <f t="shared" si="65"/>
        <v>27.8</v>
      </c>
      <c r="X320" s="26">
        <f t="shared" si="61"/>
        <v>0</v>
      </c>
      <c r="Y320" s="26">
        <f t="shared" si="66"/>
        <v>0</v>
      </c>
      <c r="Z320" s="26">
        <f t="shared" si="62"/>
        <v>0</v>
      </c>
      <c r="AA320" s="26">
        <f t="shared" si="68"/>
        <v>0</v>
      </c>
      <c r="AB320" s="33" t="s">
        <v>15</v>
      </c>
      <c r="AC320" s="324"/>
      <c r="AD320" s="181">
        <f t="shared" si="64"/>
        <v>4205</v>
      </c>
      <c r="AE320" s="181">
        <f t="shared" si="63"/>
        <v>116899</v>
      </c>
      <c r="AF320" s="181">
        <v>1.7</v>
      </c>
      <c r="AG320" s="181">
        <v>1.7</v>
      </c>
      <c r="AH320" s="363" t="str">
        <f t="shared" si="67"/>
        <v/>
      </c>
      <c r="AI320" s="194">
        <v>0</v>
      </c>
      <c r="AJ320" s="190">
        <v>4205</v>
      </c>
      <c r="AO320" s="367"/>
      <c r="AP320" s="367"/>
      <c r="AQ320" s="367"/>
    </row>
    <row r="321" spans="1:43" s="69" customFormat="1" ht="49.5" x14ac:dyDescent="0.3">
      <c r="A321" s="130" t="s">
        <v>770</v>
      </c>
      <c r="B321" s="240" t="s">
        <v>771</v>
      </c>
      <c r="C321" s="132" t="s">
        <v>606</v>
      </c>
      <c r="D321" s="133">
        <v>1</v>
      </c>
      <c r="E321" s="75"/>
      <c r="F321" s="75"/>
      <c r="G321" s="161"/>
      <c r="H321" s="235"/>
      <c r="I321" s="345">
        <v>408</v>
      </c>
      <c r="J321" s="166">
        <v>105.13</v>
      </c>
      <c r="K321" s="75">
        <v>42893.04</v>
      </c>
      <c r="L321" s="91" t="s">
        <v>772</v>
      </c>
      <c r="M321" s="73"/>
      <c r="N321" s="46">
        <v>400</v>
      </c>
      <c r="O321" s="46">
        <v>42052</v>
      </c>
      <c r="P321" s="46">
        <v>42052</v>
      </c>
      <c r="Q321" s="98"/>
      <c r="R321" s="23" t="s">
        <v>1460</v>
      </c>
      <c r="S321" s="24" t="s">
        <v>771</v>
      </c>
      <c r="T321" s="25" t="s">
        <v>606</v>
      </c>
      <c r="U321" s="26">
        <v>1</v>
      </c>
      <c r="V321" s="26">
        <f t="shared" si="69"/>
        <v>408</v>
      </c>
      <c r="W321" s="26">
        <f t="shared" si="65"/>
        <v>105.13</v>
      </c>
      <c r="X321" s="127">
        <f t="shared" si="61"/>
        <v>0</v>
      </c>
      <c r="Y321" s="127">
        <f t="shared" si="66"/>
        <v>400</v>
      </c>
      <c r="Z321" s="127">
        <f t="shared" si="62"/>
        <v>0</v>
      </c>
      <c r="AA321" s="127">
        <f t="shared" si="68"/>
        <v>42052</v>
      </c>
      <c r="AB321" s="33" t="s">
        <v>15</v>
      </c>
      <c r="AC321" s="324"/>
      <c r="AD321" s="181">
        <f t="shared" si="64"/>
        <v>408</v>
      </c>
      <c r="AE321" s="181">
        <f t="shared" si="63"/>
        <v>42893.04</v>
      </c>
      <c r="AF321" s="181">
        <v>1.7</v>
      </c>
      <c r="AG321" s="181">
        <v>1.7</v>
      </c>
      <c r="AH321" s="363" t="str">
        <f t="shared" si="67"/>
        <v/>
      </c>
      <c r="AI321" s="194">
        <v>400</v>
      </c>
      <c r="AJ321" s="190">
        <v>408</v>
      </c>
      <c r="AO321" s="367"/>
      <c r="AP321" s="367"/>
      <c r="AQ321" s="367"/>
    </row>
    <row r="322" spans="1:43" s="69" customFormat="1" ht="49.5" x14ac:dyDescent="0.3">
      <c r="A322" s="55" t="s">
        <v>773</v>
      </c>
      <c r="B322" s="138" t="s">
        <v>774</v>
      </c>
      <c r="C322" s="54" t="s">
        <v>606</v>
      </c>
      <c r="D322" s="75">
        <v>1</v>
      </c>
      <c r="E322" s="75"/>
      <c r="F322" s="75"/>
      <c r="G322" s="161"/>
      <c r="H322" s="235"/>
      <c r="I322" s="341">
        <v>4860</v>
      </c>
      <c r="J322" s="166">
        <v>53.12</v>
      </c>
      <c r="K322" s="75">
        <v>258163.20000000001</v>
      </c>
      <c r="L322" s="91" t="s">
        <v>775</v>
      </c>
      <c r="M322" s="73"/>
      <c r="N322" s="46">
        <v>1475</v>
      </c>
      <c r="O322" s="46">
        <v>78352</v>
      </c>
      <c r="P322" s="46">
        <v>78352</v>
      </c>
      <c r="Q322" s="98"/>
      <c r="R322" s="23" t="s">
        <v>1461</v>
      </c>
      <c r="S322" s="24" t="s">
        <v>774</v>
      </c>
      <c r="T322" s="25" t="s">
        <v>606</v>
      </c>
      <c r="U322" s="26">
        <v>1</v>
      </c>
      <c r="V322" s="26">
        <f t="shared" si="69"/>
        <v>4860</v>
      </c>
      <c r="W322" s="26">
        <f t="shared" si="65"/>
        <v>53.12</v>
      </c>
      <c r="X322" s="199">
        <f t="shared" si="61"/>
        <v>2150</v>
      </c>
      <c r="Y322" s="26">
        <f t="shared" si="66"/>
        <v>3625</v>
      </c>
      <c r="Z322" s="26">
        <f t="shared" si="62"/>
        <v>114208</v>
      </c>
      <c r="AA322" s="26">
        <f t="shared" si="68"/>
        <v>192560</v>
      </c>
      <c r="AB322" s="33" t="s">
        <v>15</v>
      </c>
      <c r="AC322" s="324"/>
      <c r="AD322" s="181">
        <f t="shared" si="64"/>
        <v>4860</v>
      </c>
      <c r="AE322" s="181">
        <f t="shared" si="63"/>
        <v>258163.20000000001</v>
      </c>
      <c r="AF322" s="181">
        <v>1.7</v>
      </c>
      <c r="AG322" s="181">
        <v>1.7</v>
      </c>
      <c r="AH322" s="363" t="str">
        <f t="shared" si="67"/>
        <v/>
      </c>
      <c r="AI322" s="191">
        <f>1475+2150</f>
        <v>3625</v>
      </c>
      <c r="AJ322" s="190">
        <v>4860</v>
      </c>
      <c r="AO322" s="367"/>
      <c r="AP322" s="367"/>
      <c r="AQ322" s="367"/>
    </row>
    <row r="323" spans="1:43" s="69" customFormat="1" ht="49.5" x14ac:dyDescent="0.3">
      <c r="A323" s="130" t="s">
        <v>776</v>
      </c>
      <c r="B323" s="240" t="s">
        <v>777</v>
      </c>
      <c r="C323" s="132" t="s">
        <v>606</v>
      </c>
      <c r="D323" s="133">
        <v>1</v>
      </c>
      <c r="E323" s="75"/>
      <c r="F323" s="75"/>
      <c r="G323" s="161"/>
      <c r="H323" s="235"/>
      <c r="I323" s="158"/>
      <c r="J323" s="166">
        <v>36.380000000000003</v>
      </c>
      <c r="K323" s="75">
        <v>36.380000000000003</v>
      </c>
      <c r="L323" s="91" t="s">
        <v>778</v>
      </c>
      <c r="M323" s="73"/>
      <c r="N323" s="46">
        <v>0</v>
      </c>
      <c r="O323" s="46">
        <v>0</v>
      </c>
      <c r="P323" s="46">
        <v>0</v>
      </c>
      <c r="Q323" s="98"/>
      <c r="R323" s="23" t="s">
        <v>1462</v>
      </c>
      <c r="S323" s="24" t="s">
        <v>777</v>
      </c>
      <c r="T323" s="25" t="s">
        <v>606</v>
      </c>
      <c r="U323" s="26">
        <v>1</v>
      </c>
      <c r="V323" s="26">
        <f t="shared" si="69"/>
        <v>1</v>
      </c>
      <c r="W323" s="26">
        <f t="shared" si="65"/>
        <v>36.380000000000003</v>
      </c>
      <c r="X323" s="127">
        <f t="shared" si="61"/>
        <v>0</v>
      </c>
      <c r="Y323" s="127">
        <f t="shared" si="66"/>
        <v>0</v>
      </c>
      <c r="Z323" s="127">
        <f t="shared" si="62"/>
        <v>0</v>
      </c>
      <c r="AA323" s="127">
        <f t="shared" si="68"/>
        <v>0</v>
      </c>
      <c r="AB323" s="33" t="s">
        <v>15</v>
      </c>
      <c r="AC323" s="324"/>
      <c r="AD323" s="181">
        <f t="shared" si="64"/>
        <v>1</v>
      </c>
      <c r="AE323" s="181">
        <f t="shared" si="63"/>
        <v>36.380000000000003</v>
      </c>
      <c r="AF323" s="181">
        <v>1.7</v>
      </c>
      <c r="AG323" s="181">
        <v>1.7</v>
      </c>
      <c r="AH323" s="363" t="str">
        <f t="shared" si="67"/>
        <v/>
      </c>
      <c r="AI323" s="192">
        <v>0</v>
      </c>
      <c r="AJ323" s="188">
        <v>1</v>
      </c>
      <c r="AO323" s="367"/>
      <c r="AP323" s="367"/>
      <c r="AQ323" s="367"/>
    </row>
    <row r="324" spans="1:43" s="69" customFormat="1" ht="49.5" x14ac:dyDescent="0.3">
      <c r="A324" s="55" t="s">
        <v>779</v>
      </c>
      <c r="B324" s="138" t="s">
        <v>780</v>
      </c>
      <c r="C324" s="54" t="s">
        <v>606</v>
      </c>
      <c r="D324" s="75">
        <v>1</v>
      </c>
      <c r="E324" s="75"/>
      <c r="F324" s="75"/>
      <c r="G324" s="161"/>
      <c r="H324" s="235"/>
      <c r="I324" s="341">
        <v>2283</v>
      </c>
      <c r="J324" s="166">
        <v>59.74</v>
      </c>
      <c r="K324" s="75">
        <v>136386.42000000001</v>
      </c>
      <c r="L324" s="91" t="s">
        <v>781</v>
      </c>
      <c r="M324" s="73"/>
      <c r="N324" s="46">
        <v>0</v>
      </c>
      <c r="O324" s="46">
        <v>0</v>
      </c>
      <c r="P324" s="46">
        <v>0</v>
      </c>
      <c r="Q324" s="98"/>
      <c r="R324" s="23" t="s">
        <v>1463</v>
      </c>
      <c r="S324" s="24" t="s">
        <v>780</v>
      </c>
      <c r="T324" s="25" t="s">
        <v>606</v>
      </c>
      <c r="U324" s="26">
        <v>1</v>
      </c>
      <c r="V324" s="26">
        <f t="shared" si="69"/>
        <v>2283</v>
      </c>
      <c r="W324" s="26">
        <f t="shared" si="65"/>
        <v>59.74</v>
      </c>
      <c r="X324" s="26">
        <f t="shared" si="61"/>
        <v>0</v>
      </c>
      <c r="Y324" s="26">
        <f t="shared" si="66"/>
        <v>0</v>
      </c>
      <c r="Z324" s="26">
        <f t="shared" si="62"/>
        <v>0</v>
      </c>
      <c r="AA324" s="26">
        <f t="shared" si="68"/>
        <v>0</v>
      </c>
      <c r="AB324" s="33" t="s">
        <v>15</v>
      </c>
      <c r="AC324" s="324"/>
      <c r="AD324" s="181">
        <f t="shared" si="64"/>
        <v>2283</v>
      </c>
      <c r="AE324" s="181">
        <f t="shared" si="63"/>
        <v>136386.42000000001</v>
      </c>
      <c r="AF324" s="181">
        <v>1.7</v>
      </c>
      <c r="AG324" s="181">
        <v>1.7</v>
      </c>
      <c r="AH324" s="363" t="str">
        <f t="shared" si="67"/>
        <v/>
      </c>
      <c r="AI324" s="194">
        <v>0</v>
      </c>
      <c r="AJ324" s="190">
        <v>2283</v>
      </c>
      <c r="AO324" s="367"/>
      <c r="AP324" s="367"/>
      <c r="AQ324" s="367"/>
    </row>
    <row r="325" spans="1:43" s="69" customFormat="1" ht="49.5" x14ac:dyDescent="0.3">
      <c r="A325" s="55" t="s">
        <v>782</v>
      </c>
      <c r="B325" s="138" t="s">
        <v>783</v>
      </c>
      <c r="C325" s="54" t="s">
        <v>606</v>
      </c>
      <c r="D325" s="75">
        <v>1</v>
      </c>
      <c r="E325" s="75"/>
      <c r="F325" s="75"/>
      <c r="G325" s="161"/>
      <c r="H325" s="235"/>
      <c r="I325" s="341">
        <v>3653</v>
      </c>
      <c r="J325" s="166">
        <v>80.41</v>
      </c>
      <c r="K325" s="75">
        <v>293737.73</v>
      </c>
      <c r="L325" s="91" t="s">
        <v>784</v>
      </c>
      <c r="M325" s="73"/>
      <c r="N325" s="46">
        <v>0</v>
      </c>
      <c r="O325" s="46">
        <v>0</v>
      </c>
      <c r="P325" s="46">
        <v>0</v>
      </c>
      <c r="Q325" s="98"/>
      <c r="R325" s="23" t="s">
        <v>1464</v>
      </c>
      <c r="S325" s="24" t="s">
        <v>783</v>
      </c>
      <c r="T325" s="25" t="s">
        <v>606</v>
      </c>
      <c r="U325" s="26">
        <v>1</v>
      </c>
      <c r="V325" s="26">
        <f t="shared" si="69"/>
        <v>3653</v>
      </c>
      <c r="W325" s="26">
        <f t="shared" si="65"/>
        <v>80.41</v>
      </c>
      <c r="X325" s="26">
        <f t="shared" si="61"/>
        <v>0</v>
      </c>
      <c r="Y325" s="26">
        <f t="shared" si="66"/>
        <v>0</v>
      </c>
      <c r="Z325" s="26">
        <f t="shared" si="62"/>
        <v>0</v>
      </c>
      <c r="AA325" s="26">
        <f t="shared" si="68"/>
        <v>0</v>
      </c>
      <c r="AB325" s="33" t="s">
        <v>15</v>
      </c>
      <c r="AC325" s="324"/>
      <c r="AD325" s="181">
        <f t="shared" si="64"/>
        <v>3653</v>
      </c>
      <c r="AE325" s="181">
        <f t="shared" si="63"/>
        <v>293737.73</v>
      </c>
      <c r="AF325" s="181">
        <v>1.7</v>
      </c>
      <c r="AG325" s="181">
        <v>1.7</v>
      </c>
      <c r="AH325" s="363" t="str">
        <f t="shared" si="67"/>
        <v/>
      </c>
      <c r="AI325" s="194">
        <v>0</v>
      </c>
      <c r="AJ325" s="190">
        <v>3653</v>
      </c>
      <c r="AO325" s="367"/>
      <c r="AP325" s="367"/>
      <c r="AQ325" s="367"/>
    </row>
    <row r="326" spans="1:43" s="69" customFormat="1" ht="49.5" x14ac:dyDescent="0.3">
      <c r="A326" s="55" t="s">
        <v>785</v>
      </c>
      <c r="B326" s="138" t="s">
        <v>786</v>
      </c>
      <c r="C326" s="54" t="s">
        <v>606</v>
      </c>
      <c r="D326" s="75">
        <v>1</v>
      </c>
      <c r="E326" s="75"/>
      <c r="F326" s="75"/>
      <c r="G326" s="161"/>
      <c r="H326" s="235"/>
      <c r="I326" s="341">
        <v>20708</v>
      </c>
      <c r="J326" s="166">
        <v>64.959999999999994</v>
      </c>
      <c r="K326" s="75">
        <v>1345191.68</v>
      </c>
      <c r="L326" s="91" t="s">
        <v>787</v>
      </c>
      <c r="M326" s="73"/>
      <c r="N326" s="46">
        <v>2100</v>
      </c>
      <c r="O326" s="46">
        <v>136416</v>
      </c>
      <c r="P326" s="46">
        <v>136416</v>
      </c>
      <c r="Q326" s="98"/>
      <c r="R326" s="23" t="s">
        <v>1465</v>
      </c>
      <c r="S326" s="24" t="s">
        <v>786</v>
      </c>
      <c r="T326" s="25" t="s">
        <v>606</v>
      </c>
      <c r="U326" s="26">
        <v>1</v>
      </c>
      <c r="V326" s="26">
        <f t="shared" si="69"/>
        <v>20708</v>
      </c>
      <c r="W326" s="26">
        <f t="shared" si="65"/>
        <v>64.959999999999994</v>
      </c>
      <c r="X326" s="199">
        <f t="shared" si="61"/>
        <v>6950</v>
      </c>
      <c r="Y326" s="26">
        <f t="shared" si="66"/>
        <v>9050</v>
      </c>
      <c r="Z326" s="26">
        <f t="shared" si="62"/>
        <v>451472</v>
      </c>
      <c r="AA326" s="26">
        <f t="shared" si="68"/>
        <v>587888</v>
      </c>
      <c r="AB326" s="33" t="s">
        <v>15</v>
      </c>
      <c r="AC326" s="324"/>
      <c r="AD326" s="181">
        <f t="shared" si="64"/>
        <v>20708</v>
      </c>
      <c r="AE326" s="181">
        <f t="shared" si="63"/>
        <v>1345191.68</v>
      </c>
      <c r="AF326" s="181">
        <v>1.7</v>
      </c>
      <c r="AG326" s="181">
        <v>1.7</v>
      </c>
      <c r="AH326" s="363" t="str">
        <f t="shared" si="67"/>
        <v/>
      </c>
      <c r="AI326" s="191">
        <f>2100+6950</f>
        <v>9050</v>
      </c>
      <c r="AJ326" s="190">
        <v>20708</v>
      </c>
      <c r="AO326" s="367"/>
      <c r="AP326" s="367"/>
      <c r="AQ326" s="367"/>
    </row>
    <row r="327" spans="1:43" s="69" customFormat="1" ht="49.5" x14ac:dyDescent="0.3">
      <c r="A327" s="130" t="s">
        <v>788</v>
      </c>
      <c r="B327" s="240" t="s">
        <v>789</v>
      </c>
      <c r="C327" s="132" t="s">
        <v>606</v>
      </c>
      <c r="D327" s="133">
        <v>1</v>
      </c>
      <c r="E327" s="75"/>
      <c r="F327" s="75"/>
      <c r="G327" s="161"/>
      <c r="H327" s="235"/>
      <c r="I327" s="158"/>
      <c r="J327" s="166">
        <v>95.86</v>
      </c>
      <c r="K327" s="75">
        <v>95.86</v>
      </c>
      <c r="L327" s="91" t="s">
        <v>790</v>
      </c>
      <c r="M327" s="73"/>
      <c r="N327" s="46">
        <v>0</v>
      </c>
      <c r="O327" s="46">
        <v>0</v>
      </c>
      <c r="P327" s="46">
        <v>0</v>
      </c>
      <c r="Q327" s="98"/>
      <c r="R327" s="23" t="s">
        <v>1466</v>
      </c>
      <c r="S327" s="24" t="s">
        <v>789</v>
      </c>
      <c r="T327" s="25" t="s">
        <v>606</v>
      </c>
      <c r="U327" s="26">
        <v>1</v>
      </c>
      <c r="V327" s="26">
        <f t="shared" si="69"/>
        <v>1</v>
      </c>
      <c r="W327" s="26">
        <f t="shared" si="65"/>
        <v>95.86</v>
      </c>
      <c r="X327" s="127">
        <f t="shared" si="61"/>
        <v>0</v>
      </c>
      <c r="Y327" s="127">
        <f t="shared" si="66"/>
        <v>0</v>
      </c>
      <c r="Z327" s="127">
        <f t="shared" si="62"/>
        <v>0</v>
      </c>
      <c r="AA327" s="127">
        <f t="shared" si="68"/>
        <v>0</v>
      </c>
      <c r="AB327" s="33" t="s">
        <v>15</v>
      </c>
      <c r="AC327" s="324"/>
      <c r="AD327" s="181">
        <f t="shared" si="64"/>
        <v>1</v>
      </c>
      <c r="AE327" s="181">
        <f t="shared" si="63"/>
        <v>95.86</v>
      </c>
      <c r="AF327" s="181">
        <v>1.7</v>
      </c>
      <c r="AG327" s="181">
        <v>1.7</v>
      </c>
      <c r="AH327" s="363" t="str">
        <f t="shared" si="67"/>
        <v/>
      </c>
      <c r="AI327" s="192">
        <v>0</v>
      </c>
      <c r="AJ327" s="188">
        <v>1</v>
      </c>
      <c r="AO327" s="367"/>
      <c r="AP327" s="367"/>
      <c r="AQ327" s="367"/>
    </row>
    <row r="328" spans="1:43" s="69" customFormat="1" ht="49.5" x14ac:dyDescent="0.3">
      <c r="A328" s="55" t="s">
        <v>791</v>
      </c>
      <c r="B328" s="138" t="s">
        <v>792</v>
      </c>
      <c r="C328" s="54" t="s">
        <v>606</v>
      </c>
      <c r="D328" s="75">
        <v>1</v>
      </c>
      <c r="E328" s="75"/>
      <c r="F328" s="75"/>
      <c r="G328" s="161"/>
      <c r="H328" s="235"/>
      <c r="I328" s="341">
        <v>1905</v>
      </c>
      <c r="J328" s="166">
        <v>93.29</v>
      </c>
      <c r="K328" s="75">
        <v>177717.45</v>
      </c>
      <c r="L328" s="91" t="s">
        <v>793</v>
      </c>
      <c r="M328" s="73"/>
      <c r="N328" s="46">
        <v>0</v>
      </c>
      <c r="O328" s="46">
        <v>0</v>
      </c>
      <c r="P328" s="46">
        <v>0</v>
      </c>
      <c r="Q328" s="98"/>
      <c r="R328" s="23" t="s">
        <v>1467</v>
      </c>
      <c r="S328" s="24" t="s">
        <v>792</v>
      </c>
      <c r="T328" s="25" t="s">
        <v>606</v>
      </c>
      <c r="U328" s="26">
        <v>1</v>
      </c>
      <c r="V328" s="26">
        <f t="shared" si="69"/>
        <v>1905</v>
      </c>
      <c r="W328" s="26">
        <f t="shared" si="65"/>
        <v>93.29</v>
      </c>
      <c r="X328" s="199">
        <f t="shared" ref="X328:X361" si="70">AI328-N328</f>
        <v>850</v>
      </c>
      <c r="Y328" s="26">
        <f t="shared" si="66"/>
        <v>850</v>
      </c>
      <c r="Z328" s="26">
        <f t="shared" ref="Z328:Z361" si="71">AA328-P328</f>
        <v>79296.5</v>
      </c>
      <c r="AA328" s="26">
        <f t="shared" si="68"/>
        <v>79296.5</v>
      </c>
      <c r="AB328" s="33" t="s">
        <v>15</v>
      </c>
      <c r="AC328" s="324"/>
      <c r="AD328" s="181">
        <f t="shared" si="64"/>
        <v>1905</v>
      </c>
      <c r="AE328" s="181">
        <f t="shared" ref="AE328:AE400" si="72">ROUND(W328*AD328,2)</f>
        <v>177717.45</v>
      </c>
      <c r="AF328" s="181">
        <v>1.7</v>
      </c>
      <c r="AG328" s="181">
        <v>1.7</v>
      </c>
      <c r="AH328" s="363" t="str">
        <f t="shared" si="67"/>
        <v/>
      </c>
      <c r="AI328" s="191">
        <f>850</f>
        <v>850</v>
      </c>
      <c r="AJ328" s="190">
        <v>1905</v>
      </c>
      <c r="AO328" s="367"/>
      <c r="AP328" s="367"/>
      <c r="AQ328" s="367"/>
    </row>
    <row r="329" spans="1:43" s="69" customFormat="1" ht="49.5" x14ac:dyDescent="0.3">
      <c r="A329" s="55" t="s">
        <v>794</v>
      </c>
      <c r="B329" s="138" t="s">
        <v>795</v>
      </c>
      <c r="C329" s="54" t="s">
        <v>606</v>
      </c>
      <c r="D329" s="75">
        <v>1</v>
      </c>
      <c r="E329" s="75"/>
      <c r="F329" s="75"/>
      <c r="G329" s="161"/>
      <c r="H329" s="235"/>
      <c r="I329" s="341">
        <v>4290</v>
      </c>
      <c r="J329" s="166">
        <v>93.8</v>
      </c>
      <c r="K329" s="75">
        <v>402402</v>
      </c>
      <c r="L329" s="91" t="s">
        <v>796</v>
      </c>
      <c r="M329" s="73"/>
      <c r="N329" s="46">
        <v>0</v>
      </c>
      <c r="O329" s="46">
        <v>0</v>
      </c>
      <c r="P329" s="46">
        <v>0</v>
      </c>
      <c r="Q329" s="98"/>
      <c r="R329" s="23" t="s">
        <v>1468</v>
      </c>
      <c r="S329" s="24" t="s">
        <v>795</v>
      </c>
      <c r="T329" s="25" t="s">
        <v>606</v>
      </c>
      <c r="U329" s="26">
        <v>1</v>
      </c>
      <c r="V329" s="26">
        <f t="shared" si="69"/>
        <v>4290</v>
      </c>
      <c r="W329" s="26">
        <f t="shared" si="65"/>
        <v>93.8</v>
      </c>
      <c r="X329" s="199">
        <f t="shared" si="70"/>
        <v>2100</v>
      </c>
      <c r="Y329" s="26">
        <f t="shared" si="66"/>
        <v>2100</v>
      </c>
      <c r="Z329" s="26">
        <f t="shared" si="71"/>
        <v>196980</v>
      </c>
      <c r="AA329" s="26">
        <f t="shared" si="68"/>
        <v>196980</v>
      </c>
      <c r="AB329" s="33" t="s">
        <v>15</v>
      </c>
      <c r="AC329" s="324"/>
      <c r="AD329" s="181">
        <f t="shared" si="64"/>
        <v>4290</v>
      </c>
      <c r="AE329" s="181">
        <f t="shared" si="72"/>
        <v>402402</v>
      </c>
      <c r="AF329" s="181">
        <v>1.7</v>
      </c>
      <c r="AG329" s="181">
        <v>1.7</v>
      </c>
      <c r="AH329" s="363" t="str">
        <f t="shared" si="67"/>
        <v/>
      </c>
      <c r="AI329" s="191">
        <f>2100</f>
        <v>2100</v>
      </c>
      <c r="AJ329" s="190">
        <v>4290</v>
      </c>
      <c r="AO329" s="367"/>
      <c r="AP329" s="367"/>
      <c r="AQ329" s="367"/>
    </row>
    <row r="330" spans="1:43" s="69" customFormat="1" ht="49.5" x14ac:dyDescent="0.3">
      <c r="A330" s="55" t="s">
        <v>797</v>
      </c>
      <c r="B330" s="138" t="s">
        <v>798</v>
      </c>
      <c r="C330" s="54" t="s">
        <v>606</v>
      </c>
      <c r="D330" s="75">
        <v>1</v>
      </c>
      <c r="E330" s="75"/>
      <c r="F330" s="75"/>
      <c r="G330" s="161"/>
      <c r="H330" s="235"/>
      <c r="I330" s="341">
        <v>613</v>
      </c>
      <c r="J330" s="166">
        <v>63.35</v>
      </c>
      <c r="K330" s="75">
        <v>38833.550000000003</v>
      </c>
      <c r="L330" s="91" t="s">
        <v>799</v>
      </c>
      <c r="M330" s="73"/>
      <c r="N330" s="46">
        <v>0</v>
      </c>
      <c r="O330" s="46">
        <v>0</v>
      </c>
      <c r="P330" s="46">
        <v>0</v>
      </c>
      <c r="Q330" s="98"/>
      <c r="R330" s="23" t="s">
        <v>1469</v>
      </c>
      <c r="S330" s="24" t="s">
        <v>798</v>
      </c>
      <c r="T330" s="25" t="s">
        <v>606</v>
      </c>
      <c r="U330" s="26">
        <v>1</v>
      </c>
      <c r="V330" s="26">
        <f t="shared" si="69"/>
        <v>613</v>
      </c>
      <c r="W330" s="26">
        <f t="shared" si="65"/>
        <v>63.35</v>
      </c>
      <c r="X330" s="26">
        <f t="shared" si="70"/>
        <v>0</v>
      </c>
      <c r="Y330" s="26">
        <f t="shared" si="66"/>
        <v>0</v>
      </c>
      <c r="Z330" s="26">
        <f t="shared" si="71"/>
        <v>0</v>
      </c>
      <c r="AA330" s="26">
        <f t="shared" si="68"/>
        <v>0</v>
      </c>
      <c r="AB330" s="33" t="s">
        <v>15</v>
      </c>
      <c r="AC330" s="324"/>
      <c r="AD330" s="181">
        <f t="shared" ref="AD330:AD393" si="73">IF(V330=0,U330,V330)</f>
        <v>613</v>
      </c>
      <c r="AE330" s="181">
        <f t="shared" si="72"/>
        <v>38833.550000000003</v>
      </c>
      <c r="AF330" s="181">
        <v>1.7</v>
      </c>
      <c r="AG330" s="181">
        <v>1.7</v>
      </c>
      <c r="AH330" s="363" t="str">
        <f t="shared" si="67"/>
        <v/>
      </c>
      <c r="AI330" s="192">
        <v>0</v>
      </c>
      <c r="AJ330" s="190">
        <v>613</v>
      </c>
      <c r="AO330" s="367"/>
      <c r="AP330" s="367"/>
      <c r="AQ330" s="367"/>
    </row>
    <row r="331" spans="1:43" s="69" customFormat="1" ht="49.5" x14ac:dyDescent="0.3">
      <c r="A331" s="55" t="s">
        <v>800</v>
      </c>
      <c r="B331" s="138" t="s">
        <v>801</v>
      </c>
      <c r="C331" s="54" t="s">
        <v>606</v>
      </c>
      <c r="D331" s="75">
        <v>1</v>
      </c>
      <c r="E331" s="75"/>
      <c r="F331" s="75"/>
      <c r="G331" s="161"/>
      <c r="H331" s="235"/>
      <c r="I331" s="341">
        <v>690</v>
      </c>
      <c r="J331" s="166">
        <v>156.05000000000001</v>
      </c>
      <c r="K331" s="75">
        <v>107674.5</v>
      </c>
      <c r="L331" s="91" t="s">
        <v>802</v>
      </c>
      <c r="M331" s="73"/>
      <c r="N331" s="46">
        <v>0</v>
      </c>
      <c r="O331" s="46">
        <v>0</v>
      </c>
      <c r="P331" s="46">
        <v>0</v>
      </c>
      <c r="Q331" s="98"/>
      <c r="R331" s="23" t="s">
        <v>1470</v>
      </c>
      <c r="S331" s="24" t="s">
        <v>801</v>
      </c>
      <c r="T331" s="25" t="s">
        <v>606</v>
      </c>
      <c r="U331" s="26">
        <v>1</v>
      </c>
      <c r="V331" s="26">
        <f t="shared" si="69"/>
        <v>690</v>
      </c>
      <c r="W331" s="26">
        <f t="shared" ref="W331:W394" si="74">J331</f>
        <v>156.05000000000001</v>
      </c>
      <c r="X331" s="26">
        <f t="shared" si="70"/>
        <v>0</v>
      </c>
      <c r="Y331" s="26">
        <f t="shared" si="66"/>
        <v>0</v>
      </c>
      <c r="Z331" s="26">
        <f t="shared" si="71"/>
        <v>0</v>
      </c>
      <c r="AA331" s="26">
        <f t="shared" si="68"/>
        <v>0</v>
      </c>
      <c r="AB331" s="33" t="s">
        <v>15</v>
      </c>
      <c r="AC331" s="324"/>
      <c r="AD331" s="181">
        <f t="shared" si="73"/>
        <v>690</v>
      </c>
      <c r="AE331" s="181">
        <f t="shared" si="72"/>
        <v>107674.5</v>
      </c>
      <c r="AF331" s="181">
        <v>1.7</v>
      </c>
      <c r="AG331" s="181">
        <v>1.7</v>
      </c>
      <c r="AH331" s="363" t="str">
        <f t="shared" si="67"/>
        <v/>
      </c>
      <c r="AI331" s="192">
        <v>0</v>
      </c>
      <c r="AJ331" s="190">
        <v>690</v>
      </c>
      <c r="AO331" s="367"/>
      <c r="AP331" s="367"/>
      <c r="AQ331" s="367"/>
    </row>
    <row r="332" spans="1:43" s="69" customFormat="1" ht="49.5" x14ac:dyDescent="0.3">
      <c r="A332" s="55" t="s">
        <v>803</v>
      </c>
      <c r="B332" s="138" t="s">
        <v>804</v>
      </c>
      <c r="C332" s="54" t="s">
        <v>606</v>
      </c>
      <c r="D332" s="75">
        <v>1</v>
      </c>
      <c r="E332" s="75"/>
      <c r="F332" s="75"/>
      <c r="G332" s="161"/>
      <c r="H332" s="235"/>
      <c r="I332" s="341">
        <v>1335</v>
      </c>
      <c r="J332" s="166">
        <v>69.08</v>
      </c>
      <c r="K332" s="75">
        <v>92221.8</v>
      </c>
      <c r="L332" s="91" t="s">
        <v>805</v>
      </c>
      <c r="M332" s="73"/>
      <c r="N332" s="46">
        <v>0</v>
      </c>
      <c r="O332" s="46">
        <v>0</v>
      </c>
      <c r="P332" s="46">
        <v>0</v>
      </c>
      <c r="Q332" s="98"/>
      <c r="R332" s="23" t="s">
        <v>1471</v>
      </c>
      <c r="S332" s="24" t="s">
        <v>804</v>
      </c>
      <c r="T332" s="25" t="s">
        <v>606</v>
      </c>
      <c r="U332" s="26">
        <v>1</v>
      </c>
      <c r="V332" s="26">
        <f t="shared" si="69"/>
        <v>1335</v>
      </c>
      <c r="W332" s="26">
        <f t="shared" si="74"/>
        <v>69.08</v>
      </c>
      <c r="X332" s="26">
        <f t="shared" si="70"/>
        <v>0</v>
      </c>
      <c r="Y332" s="26">
        <f t="shared" ref="Y332:Y408" si="75">X332+N332</f>
        <v>0</v>
      </c>
      <c r="Z332" s="26">
        <f t="shared" si="71"/>
        <v>0</v>
      </c>
      <c r="AA332" s="26">
        <f t="shared" si="68"/>
        <v>0</v>
      </c>
      <c r="AB332" s="33" t="s">
        <v>15</v>
      </c>
      <c r="AC332" s="324"/>
      <c r="AD332" s="181">
        <f t="shared" si="73"/>
        <v>1335</v>
      </c>
      <c r="AE332" s="181">
        <f t="shared" si="72"/>
        <v>92221.8</v>
      </c>
      <c r="AF332" s="181">
        <v>1.7</v>
      </c>
      <c r="AG332" s="181">
        <v>1.7</v>
      </c>
      <c r="AH332" s="363" t="str">
        <f t="shared" si="67"/>
        <v/>
      </c>
      <c r="AI332" s="192">
        <v>0</v>
      </c>
      <c r="AJ332" s="190">
        <v>1335</v>
      </c>
      <c r="AO332" s="367"/>
      <c r="AP332" s="367"/>
      <c r="AQ332" s="367"/>
    </row>
    <row r="333" spans="1:43" s="69" customFormat="1" ht="49.5" x14ac:dyDescent="0.3">
      <c r="A333" s="130" t="s">
        <v>806</v>
      </c>
      <c r="B333" s="240" t="s">
        <v>807</v>
      </c>
      <c r="C333" s="132" t="s">
        <v>606</v>
      </c>
      <c r="D333" s="133">
        <v>1</v>
      </c>
      <c r="E333" s="75"/>
      <c r="F333" s="75"/>
      <c r="G333" s="161"/>
      <c r="H333" s="235"/>
      <c r="I333" s="341"/>
      <c r="J333" s="166">
        <v>55.62</v>
      </c>
      <c r="K333" s="75">
        <v>55.62</v>
      </c>
      <c r="L333" s="91" t="s">
        <v>808</v>
      </c>
      <c r="M333" s="73"/>
      <c r="N333" s="46">
        <v>0</v>
      </c>
      <c r="O333" s="46">
        <v>0</v>
      </c>
      <c r="P333" s="46">
        <v>0</v>
      </c>
      <c r="Q333" s="98"/>
      <c r="R333" s="23" t="s">
        <v>1472</v>
      </c>
      <c r="S333" s="24" t="s">
        <v>807</v>
      </c>
      <c r="T333" s="25" t="s">
        <v>606</v>
      </c>
      <c r="U333" s="26">
        <v>1</v>
      </c>
      <c r="V333" s="26">
        <f t="shared" si="69"/>
        <v>1</v>
      </c>
      <c r="W333" s="26">
        <f t="shared" si="74"/>
        <v>55.62</v>
      </c>
      <c r="X333" s="127">
        <f t="shared" si="70"/>
        <v>0</v>
      </c>
      <c r="Y333" s="127">
        <f t="shared" si="75"/>
        <v>0</v>
      </c>
      <c r="Z333" s="127">
        <f t="shared" si="71"/>
        <v>0</v>
      </c>
      <c r="AA333" s="127">
        <f t="shared" si="68"/>
        <v>0</v>
      </c>
      <c r="AB333" s="33" t="s">
        <v>15</v>
      </c>
      <c r="AC333" s="324"/>
      <c r="AD333" s="181">
        <f t="shared" si="73"/>
        <v>1</v>
      </c>
      <c r="AE333" s="181">
        <f t="shared" si="72"/>
        <v>55.62</v>
      </c>
      <c r="AF333" s="181">
        <v>1.7</v>
      </c>
      <c r="AG333" s="181">
        <v>1.7</v>
      </c>
      <c r="AH333" s="363" t="str">
        <f t="shared" si="67"/>
        <v/>
      </c>
      <c r="AI333" s="192">
        <v>0</v>
      </c>
      <c r="AJ333" s="188">
        <v>1</v>
      </c>
      <c r="AO333" s="367"/>
      <c r="AP333" s="367"/>
      <c r="AQ333" s="367"/>
    </row>
    <row r="334" spans="1:43" s="69" customFormat="1" ht="49.5" x14ac:dyDescent="0.3">
      <c r="A334" s="55" t="s">
        <v>809</v>
      </c>
      <c r="B334" s="138" t="s">
        <v>810</v>
      </c>
      <c r="C334" s="54" t="s">
        <v>606</v>
      </c>
      <c r="D334" s="75">
        <v>1</v>
      </c>
      <c r="E334" s="75"/>
      <c r="F334" s="75"/>
      <c r="G334" s="161"/>
      <c r="H334" s="235"/>
      <c r="I334" s="341">
        <v>1323</v>
      </c>
      <c r="J334" s="166">
        <v>91.67</v>
      </c>
      <c r="K334" s="75">
        <v>121279.41</v>
      </c>
      <c r="L334" s="91" t="s">
        <v>811</v>
      </c>
      <c r="M334" s="73"/>
      <c r="N334" s="46">
        <v>0</v>
      </c>
      <c r="O334" s="46">
        <v>0</v>
      </c>
      <c r="P334" s="46">
        <v>0</v>
      </c>
      <c r="Q334" s="98"/>
      <c r="R334" s="23" t="s">
        <v>1473</v>
      </c>
      <c r="S334" s="24" t="s">
        <v>810</v>
      </c>
      <c r="T334" s="25" t="s">
        <v>606</v>
      </c>
      <c r="U334" s="26">
        <v>1</v>
      </c>
      <c r="V334" s="26">
        <f t="shared" si="69"/>
        <v>1323</v>
      </c>
      <c r="W334" s="26">
        <f t="shared" si="74"/>
        <v>91.67</v>
      </c>
      <c r="X334" s="26">
        <f t="shared" si="70"/>
        <v>0</v>
      </c>
      <c r="Y334" s="26">
        <f t="shared" si="75"/>
        <v>0</v>
      </c>
      <c r="Z334" s="26">
        <f t="shared" si="71"/>
        <v>0</v>
      </c>
      <c r="AA334" s="26">
        <f t="shared" si="68"/>
        <v>0</v>
      </c>
      <c r="AB334" s="33" t="s">
        <v>15</v>
      </c>
      <c r="AC334" s="324"/>
      <c r="AD334" s="181">
        <f t="shared" si="73"/>
        <v>1323</v>
      </c>
      <c r="AE334" s="181">
        <f t="shared" si="72"/>
        <v>121279.41</v>
      </c>
      <c r="AF334" s="181">
        <v>1.7</v>
      </c>
      <c r="AG334" s="181">
        <v>1.7</v>
      </c>
      <c r="AH334" s="363" t="str">
        <f t="shared" si="67"/>
        <v/>
      </c>
      <c r="AI334" s="192">
        <v>0</v>
      </c>
      <c r="AJ334" s="190">
        <v>1323</v>
      </c>
      <c r="AO334" s="367"/>
      <c r="AP334" s="367"/>
      <c r="AQ334" s="367"/>
    </row>
    <row r="335" spans="1:43" s="69" customFormat="1" ht="49.5" x14ac:dyDescent="0.3">
      <c r="A335" s="130" t="s">
        <v>812</v>
      </c>
      <c r="B335" s="240" t="s">
        <v>813</v>
      </c>
      <c r="C335" s="132" t="s">
        <v>606</v>
      </c>
      <c r="D335" s="133">
        <v>1</v>
      </c>
      <c r="E335" s="75"/>
      <c r="F335" s="75"/>
      <c r="G335" s="161"/>
      <c r="H335" s="235"/>
      <c r="I335" s="158"/>
      <c r="J335" s="166">
        <v>68.5</v>
      </c>
      <c r="K335" s="75">
        <v>68.5</v>
      </c>
      <c r="L335" s="91" t="s">
        <v>814</v>
      </c>
      <c r="M335" s="73"/>
      <c r="N335" s="46">
        <v>0</v>
      </c>
      <c r="O335" s="46">
        <v>0</v>
      </c>
      <c r="P335" s="46">
        <v>0</v>
      </c>
      <c r="Q335" s="98"/>
      <c r="R335" s="23" t="s">
        <v>1474</v>
      </c>
      <c r="S335" s="24" t="s">
        <v>813</v>
      </c>
      <c r="T335" s="25" t="s">
        <v>606</v>
      </c>
      <c r="U335" s="26">
        <v>1</v>
      </c>
      <c r="V335" s="26">
        <f t="shared" si="69"/>
        <v>1</v>
      </c>
      <c r="W335" s="26">
        <f t="shared" si="74"/>
        <v>68.5</v>
      </c>
      <c r="X335" s="127">
        <f t="shared" si="70"/>
        <v>0</v>
      </c>
      <c r="Y335" s="127">
        <f t="shared" si="75"/>
        <v>0</v>
      </c>
      <c r="Z335" s="127">
        <f t="shared" si="71"/>
        <v>0</v>
      </c>
      <c r="AA335" s="127">
        <f t="shared" si="68"/>
        <v>0</v>
      </c>
      <c r="AB335" s="33" t="s">
        <v>15</v>
      </c>
      <c r="AC335" s="324"/>
      <c r="AD335" s="181">
        <f t="shared" si="73"/>
        <v>1</v>
      </c>
      <c r="AE335" s="181">
        <f t="shared" si="72"/>
        <v>68.5</v>
      </c>
      <c r="AF335" s="181">
        <v>1.7</v>
      </c>
      <c r="AG335" s="181">
        <v>1.7</v>
      </c>
      <c r="AH335" s="363" t="str">
        <f t="shared" si="67"/>
        <v/>
      </c>
      <c r="AI335" s="192">
        <v>0</v>
      </c>
      <c r="AJ335" s="188">
        <v>1</v>
      </c>
      <c r="AO335" s="367"/>
      <c r="AP335" s="367"/>
      <c r="AQ335" s="367"/>
    </row>
    <row r="336" spans="1:43" s="69" customFormat="1" ht="49.5" x14ac:dyDescent="0.3">
      <c r="A336" s="55" t="s">
        <v>815</v>
      </c>
      <c r="B336" s="138" t="s">
        <v>816</v>
      </c>
      <c r="C336" s="54" t="s">
        <v>606</v>
      </c>
      <c r="D336" s="75">
        <v>1</v>
      </c>
      <c r="E336" s="75"/>
      <c r="F336" s="75"/>
      <c r="G336" s="161"/>
      <c r="H336" s="235"/>
      <c r="I336" s="341">
        <v>934</v>
      </c>
      <c r="J336" s="166">
        <v>58.2</v>
      </c>
      <c r="K336" s="75">
        <v>54358.8</v>
      </c>
      <c r="L336" s="91" t="s">
        <v>817</v>
      </c>
      <c r="M336" s="73"/>
      <c r="N336" s="46">
        <v>0</v>
      </c>
      <c r="O336" s="46">
        <v>0</v>
      </c>
      <c r="P336" s="46">
        <v>0</v>
      </c>
      <c r="Q336" s="98"/>
      <c r="R336" s="23" t="s">
        <v>1475</v>
      </c>
      <c r="S336" s="24" t="s">
        <v>816</v>
      </c>
      <c r="T336" s="25" t="s">
        <v>606</v>
      </c>
      <c r="U336" s="26">
        <v>1</v>
      </c>
      <c r="V336" s="26">
        <f t="shared" si="69"/>
        <v>934</v>
      </c>
      <c r="W336" s="26">
        <f t="shared" si="74"/>
        <v>58.2</v>
      </c>
      <c r="X336" s="26">
        <f t="shared" si="70"/>
        <v>0</v>
      </c>
      <c r="Y336" s="26">
        <f t="shared" si="75"/>
        <v>0</v>
      </c>
      <c r="Z336" s="26">
        <f t="shared" si="71"/>
        <v>0</v>
      </c>
      <c r="AA336" s="26">
        <f t="shared" si="68"/>
        <v>0</v>
      </c>
      <c r="AB336" s="33" t="s">
        <v>15</v>
      </c>
      <c r="AC336" s="324"/>
      <c r="AD336" s="181">
        <f t="shared" si="73"/>
        <v>934</v>
      </c>
      <c r="AE336" s="181">
        <f t="shared" si="72"/>
        <v>54358.8</v>
      </c>
      <c r="AF336" s="181">
        <v>1.7</v>
      </c>
      <c r="AG336" s="181">
        <v>1.7</v>
      </c>
      <c r="AH336" s="363" t="str">
        <f t="shared" si="67"/>
        <v/>
      </c>
      <c r="AI336" s="192">
        <v>0</v>
      </c>
      <c r="AJ336" s="190">
        <v>934</v>
      </c>
      <c r="AO336" s="367"/>
      <c r="AP336" s="367"/>
      <c r="AQ336" s="367"/>
    </row>
    <row r="337" spans="1:43" s="69" customFormat="1" ht="49.5" x14ac:dyDescent="0.3">
      <c r="A337" s="130" t="s">
        <v>818</v>
      </c>
      <c r="B337" s="240" t="s">
        <v>819</v>
      </c>
      <c r="C337" s="132" t="s">
        <v>606</v>
      </c>
      <c r="D337" s="133">
        <v>1</v>
      </c>
      <c r="E337" s="75"/>
      <c r="F337" s="75"/>
      <c r="G337" s="161"/>
      <c r="H337" s="235"/>
      <c r="I337" s="341"/>
      <c r="J337" s="166">
        <v>70.040000000000006</v>
      </c>
      <c r="K337" s="75">
        <v>70.040000000000006</v>
      </c>
      <c r="L337" s="91" t="s">
        <v>820</v>
      </c>
      <c r="M337" s="73"/>
      <c r="N337" s="46">
        <v>0</v>
      </c>
      <c r="O337" s="46">
        <v>0</v>
      </c>
      <c r="P337" s="46">
        <v>0</v>
      </c>
      <c r="Q337" s="98"/>
      <c r="R337" s="23" t="s">
        <v>1476</v>
      </c>
      <c r="S337" s="24" t="s">
        <v>819</v>
      </c>
      <c r="T337" s="25" t="s">
        <v>606</v>
      </c>
      <c r="U337" s="26">
        <v>1</v>
      </c>
      <c r="V337" s="26">
        <f t="shared" si="69"/>
        <v>1</v>
      </c>
      <c r="W337" s="26">
        <f t="shared" si="74"/>
        <v>70.040000000000006</v>
      </c>
      <c r="X337" s="127">
        <f t="shared" si="70"/>
        <v>0</v>
      </c>
      <c r="Y337" s="127">
        <f t="shared" si="75"/>
        <v>0</v>
      </c>
      <c r="Z337" s="127">
        <f t="shared" si="71"/>
        <v>0</v>
      </c>
      <c r="AA337" s="127">
        <f t="shared" si="68"/>
        <v>0</v>
      </c>
      <c r="AB337" s="33" t="s">
        <v>15</v>
      </c>
      <c r="AC337" s="324"/>
      <c r="AD337" s="181">
        <f t="shared" si="73"/>
        <v>1</v>
      </c>
      <c r="AE337" s="181">
        <f t="shared" si="72"/>
        <v>70.040000000000006</v>
      </c>
      <c r="AF337" s="181">
        <v>1.7</v>
      </c>
      <c r="AG337" s="181">
        <v>1.7</v>
      </c>
      <c r="AH337" s="363" t="str">
        <f t="shared" si="67"/>
        <v/>
      </c>
      <c r="AI337" s="192">
        <v>0</v>
      </c>
      <c r="AJ337" s="188">
        <v>1</v>
      </c>
      <c r="AO337" s="367"/>
      <c r="AP337" s="367"/>
      <c r="AQ337" s="367"/>
    </row>
    <row r="338" spans="1:43" s="69" customFormat="1" ht="49.5" x14ac:dyDescent="0.3">
      <c r="A338" s="55" t="s">
        <v>821</v>
      </c>
      <c r="B338" s="138" t="s">
        <v>822</v>
      </c>
      <c r="C338" s="54" t="s">
        <v>606</v>
      </c>
      <c r="D338" s="75">
        <v>1</v>
      </c>
      <c r="E338" s="75"/>
      <c r="F338" s="75"/>
      <c r="G338" s="161"/>
      <c r="H338" s="235"/>
      <c r="I338" s="341">
        <v>2725</v>
      </c>
      <c r="J338" s="166">
        <v>61.29</v>
      </c>
      <c r="K338" s="75">
        <v>167015.25</v>
      </c>
      <c r="L338" s="91" t="s">
        <v>823</v>
      </c>
      <c r="M338" s="73"/>
      <c r="N338" s="46">
        <v>0</v>
      </c>
      <c r="O338" s="46">
        <v>0</v>
      </c>
      <c r="P338" s="46">
        <v>0</v>
      </c>
      <c r="Q338" s="98"/>
      <c r="R338" s="23" t="s">
        <v>1477</v>
      </c>
      <c r="S338" s="24" t="s">
        <v>822</v>
      </c>
      <c r="T338" s="25" t="s">
        <v>606</v>
      </c>
      <c r="U338" s="26">
        <v>1</v>
      </c>
      <c r="V338" s="26">
        <f t="shared" si="69"/>
        <v>2725</v>
      </c>
      <c r="W338" s="26">
        <f t="shared" si="74"/>
        <v>61.29</v>
      </c>
      <c r="X338" s="26">
        <f t="shared" si="70"/>
        <v>0</v>
      </c>
      <c r="Y338" s="26">
        <f t="shared" si="75"/>
        <v>0</v>
      </c>
      <c r="Z338" s="26">
        <f t="shared" si="71"/>
        <v>0</v>
      </c>
      <c r="AA338" s="26">
        <f t="shared" si="68"/>
        <v>0</v>
      </c>
      <c r="AB338" s="33" t="s">
        <v>15</v>
      </c>
      <c r="AC338" s="324"/>
      <c r="AD338" s="181">
        <f t="shared" si="73"/>
        <v>2725</v>
      </c>
      <c r="AE338" s="181">
        <f t="shared" si="72"/>
        <v>167015.25</v>
      </c>
      <c r="AF338" s="181">
        <v>1.7</v>
      </c>
      <c r="AG338" s="181">
        <v>1.7</v>
      </c>
      <c r="AH338" s="363" t="str">
        <f t="shared" si="67"/>
        <v/>
      </c>
      <c r="AI338" s="192">
        <v>0</v>
      </c>
      <c r="AJ338" s="190">
        <v>2725</v>
      </c>
      <c r="AO338" s="367"/>
      <c r="AP338" s="367"/>
      <c r="AQ338" s="367"/>
    </row>
    <row r="339" spans="1:43" s="69" customFormat="1" ht="49.5" x14ac:dyDescent="0.3">
      <c r="A339" s="55" t="s">
        <v>824</v>
      </c>
      <c r="B339" s="138" t="s">
        <v>825</v>
      </c>
      <c r="C339" s="54" t="s">
        <v>606</v>
      </c>
      <c r="D339" s="75">
        <v>1</v>
      </c>
      <c r="E339" s="75"/>
      <c r="F339" s="75"/>
      <c r="G339" s="161"/>
      <c r="H339" s="235"/>
      <c r="I339" s="341">
        <v>833</v>
      </c>
      <c r="J339" s="166">
        <v>59.74</v>
      </c>
      <c r="K339" s="75">
        <v>49763.42</v>
      </c>
      <c r="L339" s="91" t="s">
        <v>826</v>
      </c>
      <c r="M339" s="73"/>
      <c r="N339" s="46">
        <v>0</v>
      </c>
      <c r="O339" s="46">
        <v>0</v>
      </c>
      <c r="P339" s="46">
        <v>0</v>
      </c>
      <c r="Q339" s="98"/>
      <c r="R339" s="23" t="s">
        <v>1478</v>
      </c>
      <c r="S339" s="24" t="s">
        <v>825</v>
      </c>
      <c r="T339" s="25" t="s">
        <v>606</v>
      </c>
      <c r="U339" s="26">
        <v>1</v>
      </c>
      <c r="V339" s="26">
        <f t="shared" si="69"/>
        <v>833</v>
      </c>
      <c r="W339" s="26">
        <f t="shared" si="74"/>
        <v>59.74</v>
      </c>
      <c r="X339" s="26">
        <f t="shared" si="70"/>
        <v>0</v>
      </c>
      <c r="Y339" s="26">
        <f t="shared" si="75"/>
        <v>0</v>
      </c>
      <c r="Z339" s="26">
        <f t="shared" si="71"/>
        <v>0</v>
      </c>
      <c r="AA339" s="26">
        <f t="shared" si="68"/>
        <v>0</v>
      </c>
      <c r="AB339" s="33" t="s">
        <v>15</v>
      </c>
      <c r="AC339" s="324"/>
      <c r="AD339" s="181">
        <f t="shared" si="73"/>
        <v>833</v>
      </c>
      <c r="AE339" s="181">
        <f t="shared" si="72"/>
        <v>49763.42</v>
      </c>
      <c r="AF339" s="181">
        <v>1.7</v>
      </c>
      <c r="AG339" s="181">
        <v>1.7</v>
      </c>
      <c r="AH339" s="363" t="str">
        <f t="shared" si="67"/>
        <v/>
      </c>
      <c r="AI339" s="192">
        <v>0</v>
      </c>
      <c r="AJ339" s="190">
        <v>833</v>
      </c>
      <c r="AO339" s="367"/>
      <c r="AP339" s="367"/>
      <c r="AQ339" s="367"/>
    </row>
    <row r="340" spans="1:43" s="69" customFormat="1" ht="33" x14ac:dyDescent="0.3">
      <c r="A340" s="55" t="s">
        <v>827</v>
      </c>
      <c r="B340" s="138" t="s">
        <v>828</v>
      </c>
      <c r="C340" s="54" t="s">
        <v>606</v>
      </c>
      <c r="D340" s="75">
        <v>1</v>
      </c>
      <c r="E340" s="75"/>
      <c r="F340" s="75"/>
      <c r="G340" s="161"/>
      <c r="H340" s="235"/>
      <c r="I340" s="341">
        <v>880</v>
      </c>
      <c r="J340" s="166">
        <v>69.58</v>
      </c>
      <c r="K340" s="75">
        <v>61230.400000000001</v>
      </c>
      <c r="L340" s="91" t="s">
        <v>829</v>
      </c>
      <c r="M340" s="73"/>
      <c r="N340" s="46">
        <v>800</v>
      </c>
      <c r="O340" s="46">
        <v>55664</v>
      </c>
      <c r="P340" s="46">
        <v>55664</v>
      </c>
      <c r="Q340" s="98"/>
      <c r="R340" s="23" t="s">
        <v>1479</v>
      </c>
      <c r="S340" s="24" t="s">
        <v>828</v>
      </c>
      <c r="T340" s="25" t="s">
        <v>606</v>
      </c>
      <c r="U340" s="26">
        <v>1</v>
      </c>
      <c r="V340" s="26">
        <f t="shared" si="69"/>
        <v>880</v>
      </c>
      <c r="W340" s="26">
        <f t="shared" si="74"/>
        <v>69.58</v>
      </c>
      <c r="X340" s="26">
        <f t="shared" si="70"/>
        <v>0</v>
      </c>
      <c r="Y340" s="26">
        <f t="shared" si="75"/>
        <v>800</v>
      </c>
      <c r="Z340" s="26">
        <f t="shared" si="71"/>
        <v>0</v>
      </c>
      <c r="AA340" s="26">
        <f t="shared" si="68"/>
        <v>55664</v>
      </c>
      <c r="AB340" s="33" t="s">
        <v>15</v>
      </c>
      <c r="AC340" s="324"/>
      <c r="AD340" s="181">
        <f t="shared" si="73"/>
        <v>880</v>
      </c>
      <c r="AE340" s="181">
        <f t="shared" si="72"/>
        <v>61230.400000000001</v>
      </c>
      <c r="AF340" s="181">
        <v>1.7</v>
      </c>
      <c r="AG340" s="181">
        <v>1.7</v>
      </c>
      <c r="AH340" s="363" t="str">
        <f t="shared" si="67"/>
        <v/>
      </c>
      <c r="AI340" s="194">
        <v>800</v>
      </c>
      <c r="AJ340" s="190">
        <v>880</v>
      </c>
      <c r="AO340" s="367"/>
      <c r="AP340" s="367"/>
      <c r="AQ340" s="367"/>
    </row>
    <row r="341" spans="1:43" s="69" customFormat="1" ht="33" x14ac:dyDescent="0.3">
      <c r="A341" s="130" t="s">
        <v>830</v>
      </c>
      <c r="B341" s="240" t="s">
        <v>831</v>
      </c>
      <c r="C341" s="132" t="s">
        <v>606</v>
      </c>
      <c r="D341" s="133">
        <v>1</v>
      </c>
      <c r="E341" s="75"/>
      <c r="F341" s="75"/>
      <c r="G341" s="161"/>
      <c r="H341" s="235"/>
      <c r="I341" s="158"/>
      <c r="J341" s="166">
        <v>112.84</v>
      </c>
      <c r="K341" s="75">
        <v>112.84</v>
      </c>
      <c r="L341" s="91" t="s">
        <v>832</v>
      </c>
      <c r="M341" s="73"/>
      <c r="N341" s="46">
        <v>0</v>
      </c>
      <c r="O341" s="46">
        <v>0</v>
      </c>
      <c r="P341" s="46">
        <v>0</v>
      </c>
      <c r="Q341" s="98"/>
      <c r="R341" s="23" t="s">
        <v>1480</v>
      </c>
      <c r="S341" s="24" t="s">
        <v>831</v>
      </c>
      <c r="T341" s="25" t="s">
        <v>606</v>
      </c>
      <c r="U341" s="26">
        <v>1</v>
      </c>
      <c r="V341" s="26">
        <f t="shared" si="69"/>
        <v>1</v>
      </c>
      <c r="W341" s="26">
        <f t="shared" si="74"/>
        <v>112.84</v>
      </c>
      <c r="X341" s="127">
        <f t="shared" si="70"/>
        <v>0</v>
      </c>
      <c r="Y341" s="127">
        <f t="shared" si="75"/>
        <v>0</v>
      </c>
      <c r="Z341" s="127">
        <f t="shared" si="71"/>
        <v>0</v>
      </c>
      <c r="AA341" s="127">
        <f t="shared" si="68"/>
        <v>0</v>
      </c>
      <c r="AB341" s="33" t="s">
        <v>15</v>
      </c>
      <c r="AC341" s="324"/>
      <c r="AD341" s="181">
        <f t="shared" si="73"/>
        <v>1</v>
      </c>
      <c r="AE341" s="181">
        <f t="shared" si="72"/>
        <v>112.84</v>
      </c>
      <c r="AF341" s="181">
        <v>1.7</v>
      </c>
      <c r="AG341" s="181">
        <v>1.7</v>
      </c>
      <c r="AH341" s="363" t="str">
        <f t="shared" si="67"/>
        <v/>
      </c>
      <c r="AI341" s="192">
        <v>0</v>
      </c>
      <c r="AJ341" s="188">
        <v>1</v>
      </c>
      <c r="AO341" s="367"/>
      <c r="AP341" s="367"/>
      <c r="AQ341" s="367"/>
    </row>
    <row r="342" spans="1:43" s="69" customFormat="1" ht="33" x14ac:dyDescent="0.3">
      <c r="A342" s="130" t="s">
        <v>833</v>
      </c>
      <c r="B342" s="240" t="s">
        <v>834</v>
      </c>
      <c r="C342" s="132" t="s">
        <v>606</v>
      </c>
      <c r="D342" s="133">
        <v>1</v>
      </c>
      <c r="E342" s="75"/>
      <c r="F342" s="75"/>
      <c r="G342" s="161"/>
      <c r="H342" s="235"/>
      <c r="I342" s="158"/>
      <c r="J342" s="166">
        <v>102.54</v>
      </c>
      <c r="K342" s="75">
        <v>102.54</v>
      </c>
      <c r="L342" s="91" t="s">
        <v>835</v>
      </c>
      <c r="M342" s="73"/>
      <c r="N342" s="46">
        <v>0</v>
      </c>
      <c r="O342" s="46">
        <v>0</v>
      </c>
      <c r="P342" s="46">
        <v>0</v>
      </c>
      <c r="Q342" s="98"/>
      <c r="R342" s="23" t="s">
        <v>1481</v>
      </c>
      <c r="S342" s="24" t="s">
        <v>834</v>
      </c>
      <c r="T342" s="25" t="s">
        <v>606</v>
      </c>
      <c r="U342" s="26">
        <v>1</v>
      </c>
      <c r="V342" s="26">
        <f t="shared" si="69"/>
        <v>1</v>
      </c>
      <c r="W342" s="26">
        <f t="shared" si="74"/>
        <v>102.54</v>
      </c>
      <c r="X342" s="127">
        <f t="shared" si="70"/>
        <v>0</v>
      </c>
      <c r="Y342" s="127">
        <f t="shared" si="75"/>
        <v>0</v>
      </c>
      <c r="Z342" s="127">
        <f t="shared" si="71"/>
        <v>0</v>
      </c>
      <c r="AA342" s="127">
        <f t="shared" si="68"/>
        <v>0</v>
      </c>
      <c r="AB342" s="33" t="s">
        <v>15</v>
      </c>
      <c r="AC342" s="324"/>
      <c r="AD342" s="181">
        <f t="shared" si="73"/>
        <v>1</v>
      </c>
      <c r="AE342" s="181">
        <f t="shared" si="72"/>
        <v>102.54</v>
      </c>
      <c r="AF342" s="181">
        <v>1.7</v>
      </c>
      <c r="AG342" s="181">
        <v>1.7</v>
      </c>
      <c r="AH342" s="363" t="str">
        <f t="shared" si="67"/>
        <v/>
      </c>
      <c r="AI342" s="192">
        <v>0</v>
      </c>
      <c r="AJ342" s="188">
        <v>1</v>
      </c>
      <c r="AO342" s="367"/>
      <c r="AP342" s="367"/>
      <c r="AQ342" s="367"/>
    </row>
    <row r="343" spans="1:43" s="69" customFormat="1" ht="49.5" x14ac:dyDescent="0.3">
      <c r="A343" s="55" t="s">
        <v>836</v>
      </c>
      <c r="B343" s="138" t="s">
        <v>837</v>
      </c>
      <c r="C343" s="54" t="s">
        <v>606</v>
      </c>
      <c r="D343" s="75">
        <v>1</v>
      </c>
      <c r="E343" s="75"/>
      <c r="F343" s="75"/>
      <c r="G343" s="161"/>
      <c r="H343" s="235"/>
      <c r="I343" s="341">
        <v>5815</v>
      </c>
      <c r="J343" s="166">
        <v>82.99</v>
      </c>
      <c r="K343" s="75">
        <v>482586.85</v>
      </c>
      <c r="L343" s="91" t="s">
        <v>838</v>
      </c>
      <c r="M343" s="73"/>
      <c r="N343" s="46">
        <v>4950</v>
      </c>
      <c r="O343" s="46">
        <v>410800.5</v>
      </c>
      <c r="P343" s="46">
        <v>410800.5</v>
      </c>
      <c r="Q343" s="98"/>
      <c r="R343" s="23" t="s">
        <v>1482</v>
      </c>
      <c r="S343" s="24" t="s">
        <v>837</v>
      </c>
      <c r="T343" s="25" t="s">
        <v>606</v>
      </c>
      <c r="U343" s="26">
        <v>1</v>
      </c>
      <c r="V343" s="26">
        <f t="shared" si="69"/>
        <v>5815</v>
      </c>
      <c r="W343" s="26">
        <f t="shared" si="74"/>
        <v>82.99</v>
      </c>
      <c r="X343" s="26">
        <f t="shared" si="70"/>
        <v>0</v>
      </c>
      <c r="Y343" s="26">
        <f t="shared" si="75"/>
        <v>4950</v>
      </c>
      <c r="Z343" s="26">
        <f t="shared" si="71"/>
        <v>0</v>
      </c>
      <c r="AA343" s="26">
        <f t="shared" si="68"/>
        <v>410800.5</v>
      </c>
      <c r="AB343" s="33" t="s">
        <v>15</v>
      </c>
      <c r="AC343" s="324"/>
      <c r="AD343" s="181">
        <f t="shared" si="73"/>
        <v>5815</v>
      </c>
      <c r="AE343" s="181">
        <f t="shared" si="72"/>
        <v>482586.85</v>
      </c>
      <c r="AF343" s="181">
        <v>1.7</v>
      </c>
      <c r="AG343" s="181">
        <v>1.7</v>
      </c>
      <c r="AH343" s="363" t="str">
        <f t="shared" si="67"/>
        <v/>
      </c>
      <c r="AI343" s="194">
        <v>4950</v>
      </c>
      <c r="AJ343" s="190">
        <v>5815</v>
      </c>
      <c r="AO343" s="367"/>
      <c r="AP343" s="367"/>
      <c r="AQ343" s="367"/>
    </row>
    <row r="344" spans="1:43" s="69" customFormat="1" ht="49.5" x14ac:dyDescent="0.3">
      <c r="A344" s="130" t="s">
        <v>839</v>
      </c>
      <c r="B344" s="240" t="s">
        <v>840</v>
      </c>
      <c r="C344" s="132" t="s">
        <v>606</v>
      </c>
      <c r="D344" s="133">
        <v>1</v>
      </c>
      <c r="E344" s="75"/>
      <c r="F344" s="75"/>
      <c r="G344" s="161"/>
      <c r="H344" s="235"/>
      <c r="I344" s="341"/>
      <c r="J344" s="166">
        <v>80.41</v>
      </c>
      <c r="K344" s="75">
        <v>80.41</v>
      </c>
      <c r="L344" s="91" t="s">
        <v>841</v>
      </c>
      <c r="M344" s="73"/>
      <c r="N344" s="46">
        <v>0</v>
      </c>
      <c r="O344" s="46">
        <v>0</v>
      </c>
      <c r="P344" s="46">
        <v>0</v>
      </c>
      <c r="Q344" s="98"/>
      <c r="R344" s="23" t="s">
        <v>1483</v>
      </c>
      <c r="S344" s="24" t="s">
        <v>840</v>
      </c>
      <c r="T344" s="25" t="s">
        <v>606</v>
      </c>
      <c r="U344" s="26">
        <v>1</v>
      </c>
      <c r="V344" s="26">
        <f t="shared" si="69"/>
        <v>1</v>
      </c>
      <c r="W344" s="26">
        <f t="shared" si="74"/>
        <v>80.41</v>
      </c>
      <c r="X344" s="127">
        <f t="shared" si="70"/>
        <v>0</v>
      </c>
      <c r="Y344" s="127">
        <f t="shared" si="75"/>
        <v>0</v>
      </c>
      <c r="Z344" s="127">
        <f t="shared" si="71"/>
        <v>0</v>
      </c>
      <c r="AA344" s="127">
        <f t="shared" si="68"/>
        <v>0</v>
      </c>
      <c r="AB344" s="33" t="s">
        <v>15</v>
      </c>
      <c r="AC344" s="324"/>
      <c r="AD344" s="181">
        <f t="shared" si="73"/>
        <v>1</v>
      </c>
      <c r="AE344" s="181">
        <f t="shared" si="72"/>
        <v>80.41</v>
      </c>
      <c r="AF344" s="181">
        <v>1.7</v>
      </c>
      <c r="AG344" s="181">
        <v>1.7</v>
      </c>
      <c r="AH344" s="363" t="str">
        <f t="shared" si="67"/>
        <v/>
      </c>
      <c r="AI344" s="192">
        <v>0</v>
      </c>
      <c r="AJ344" s="188">
        <v>1</v>
      </c>
      <c r="AO344" s="367"/>
      <c r="AP344" s="367"/>
      <c r="AQ344" s="367"/>
    </row>
    <row r="345" spans="1:43" s="69" customFormat="1" ht="49.5" x14ac:dyDescent="0.3">
      <c r="A345" s="130" t="s">
        <v>842</v>
      </c>
      <c r="B345" s="240" t="s">
        <v>843</v>
      </c>
      <c r="C345" s="132" t="s">
        <v>606</v>
      </c>
      <c r="D345" s="133">
        <v>1</v>
      </c>
      <c r="E345" s="75"/>
      <c r="F345" s="75"/>
      <c r="G345" s="161"/>
      <c r="H345" s="235"/>
      <c r="I345" s="341"/>
      <c r="J345" s="166">
        <v>101.01</v>
      </c>
      <c r="K345" s="75">
        <v>101.01</v>
      </c>
      <c r="L345" s="91" t="s">
        <v>844</v>
      </c>
      <c r="M345" s="73"/>
      <c r="N345" s="46">
        <v>0</v>
      </c>
      <c r="O345" s="46">
        <v>0</v>
      </c>
      <c r="P345" s="46">
        <v>0</v>
      </c>
      <c r="Q345" s="98"/>
      <c r="R345" s="23" t="s">
        <v>1484</v>
      </c>
      <c r="S345" s="24" t="s">
        <v>843</v>
      </c>
      <c r="T345" s="25" t="s">
        <v>606</v>
      </c>
      <c r="U345" s="26">
        <v>1</v>
      </c>
      <c r="V345" s="26">
        <f t="shared" si="69"/>
        <v>1</v>
      </c>
      <c r="W345" s="26">
        <f t="shared" si="74"/>
        <v>101.01</v>
      </c>
      <c r="X345" s="127">
        <f t="shared" si="70"/>
        <v>0</v>
      </c>
      <c r="Y345" s="127">
        <f t="shared" si="75"/>
        <v>0</v>
      </c>
      <c r="Z345" s="127">
        <f t="shared" si="71"/>
        <v>0</v>
      </c>
      <c r="AA345" s="127">
        <f t="shared" si="68"/>
        <v>0</v>
      </c>
      <c r="AB345" s="33" t="s">
        <v>15</v>
      </c>
      <c r="AC345" s="324"/>
      <c r="AD345" s="181">
        <f t="shared" si="73"/>
        <v>1</v>
      </c>
      <c r="AE345" s="181">
        <f t="shared" si="72"/>
        <v>101.01</v>
      </c>
      <c r="AF345" s="181">
        <v>1.7</v>
      </c>
      <c r="AG345" s="181">
        <v>1.7</v>
      </c>
      <c r="AH345" s="363" t="str">
        <f t="shared" si="67"/>
        <v/>
      </c>
      <c r="AI345" s="192">
        <v>0</v>
      </c>
      <c r="AJ345" s="188">
        <v>1</v>
      </c>
      <c r="AO345" s="367"/>
      <c r="AP345" s="367"/>
      <c r="AQ345" s="367"/>
    </row>
    <row r="346" spans="1:43" s="69" customFormat="1" ht="49.5" x14ac:dyDescent="0.3">
      <c r="A346" s="55" t="s">
        <v>845</v>
      </c>
      <c r="B346" s="138" t="s">
        <v>846</v>
      </c>
      <c r="C346" s="54" t="s">
        <v>606</v>
      </c>
      <c r="D346" s="75">
        <v>1</v>
      </c>
      <c r="E346" s="75"/>
      <c r="F346" s="75"/>
      <c r="G346" s="161"/>
      <c r="H346" s="235"/>
      <c r="I346" s="341">
        <v>1657</v>
      </c>
      <c r="J346" s="166">
        <v>76.290000000000006</v>
      </c>
      <c r="K346" s="75">
        <v>126412.53</v>
      </c>
      <c r="L346" s="91" t="s">
        <v>847</v>
      </c>
      <c r="M346" s="73"/>
      <c r="N346" s="46">
        <v>1400</v>
      </c>
      <c r="O346" s="46">
        <v>106806</v>
      </c>
      <c r="P346" s="46">
        <v>106806</v>
      </c>
      <c r="Q346" s="98"/>
      <c r="R346" s="23" t="s">
        <v>1485</v>
      </c>
      <c r="S346" s="24" t="s">
        <v>846</v>
      </c>
      <c r="T346" s="25" t="s">
        <v>606</v>
      </c>
      <c r="U346" s="26">
        <v>1</v>
      </c>
      <c r="V346" s="26">
        <f t="shared" si="69"/>
        <v>1657</v>
      </c>
      <c r="W346" s="26">
        <f t="shared" si="74"/>
        <v>76.290000000000006</v>
      </c>
      <c r="X346" s="26">
        <f t="shared" si="70"/>
        <v>0</v>
      </c>
      <c r="Y346" s="26">
        <f t="shared" si="75"/>
        <v>1400</v>
      </c>
      <c r="Z346" s="26">
        <f t="shared" si="71"/>
        <v>0</v>
      </c>
      <c r="AA346" s="26">
        <f t="shared" si="68"/>
        <v>106806</v>
      </c>
      <c r="AB346" s="33" t="s">
        <v>15</v>
      </c>
      <c r="AC346" s="324"/>
      <c r="AD346" s="181">
        <f t="shared" si="73"/>
        <v>1657</v>
      </c>
      <c r="AE346" s="181">
        <f t="shared" si="72"/>
        <v>126412.53</v>
      </c>
      <c r="AF346" s="181">
        <v>1.7</v>
      </c>
      <c r="AG346" s="181">
        <v>1.7</v>
      </c>
      <c r="AH346" s="363" t="str">
        <f t="shared" si="67"/>
        <v/>
      </c>
      <c r="AI346" s="194">
        <v>1400</v>
      </c>
      <c r="AJ346" s="190">
        <v>1657</v>
      </c>
      <c r="AO346" s="367"/>
      <c r="AP346" s="367"/>
      <c r="AQ346" s="367"/>
    </row>
    <row r="347" spans="1:43" s="69" customFormat="1" ht="33" x14ac:dyDescent="0.3">
      <c r="A347" s="55" t="s">
        <v>848</v>
      </c>
      <c r="B347" s="138" t="s">
        <v>849</v>
      </c>
      <c r="C347" s="54" t="s">
        <v>606</v>
      </c>
      <c r="D347" s="75">
        <v>1</v>
      </c>
      <c r="E347" s="75"/>
      <c r="F347" s="75"/>
      <c r="G347" s="161"/>
      <c r="H347" s="235"/>
      <c r="I347" s="341">
        <v>759</v>
      </c>
      <c r="J347" s="166">
        <v>73.650000000000006</v>
      </c>
      <c r="K347" s="75">
        <v>55900.35</v>
      </c>
      <c r="L347" s="91" t="s">
        <v>850</v>
      </c>
      <c r="M347" s="73"/>
      <c r="N347" s="46">
        <v>320</v>
      </c>
      <c r="O347" s="46">
        <v>23568</v>
      </c>
      <c r="P347" s="46">
        <v>23568</v>
      </c>
      <c r="Q347" s="98"/>
      <c r="R347" s="23" t="s">
        <v>1486</v>
      </c>
      <c r="S347" s="24" t="s">
        <v>849</v>
      </c>
      <c r="T347" s="25" t="s">
        <v>606</v>
      </c>
      <c r="U347" s="26">
        <v>1</v>
      </c>
      <c r="V347" s="26">
        <f t="shared" si="69"/>
        <v>759</v>
      </c>
      <c r="W347" s="26">
        <f t="shared" si="74"/>
        <v>73.650000000000006</v>
      </c>
      <c r="X347" s="26">
        <f t="shared" si="70"/>
        <v>0</v>
      </c>
      <c r="Y347" s="26">
        <f t="shared" si="75"/>
        <v>320</v>
      </c>
      <c r="Z347" s="26">
        <f t="shared" si="71"/>
        <v>0</v>
      </c>
      <c r="AA347" s="26">
        <f t="shared" si="68"/>
        <v>23568</v>
      </c>
      <c r="AB347" s="33" t="s">
        <v>15</v>
      </c>
      <c r="AC347" s="324"/>
      <c r="AD347" s="181">
        <f t="shared" si="73"/>
        <v>759</v>
      </c>
      <c r="AE347" s="181">
        <f t="shared" si="72"/>
        <v>55900.35</v>
      </c>
      <c r="AF347" s="181">
        <v>1.7</v>
      </c>
      <c r="AG347" s="181">
        <v>1.7</v>
      </c>
      <c r="AH347" s="363" t="str">
        <f t="shared" si="67"/>
        <v/>
      </c>
      <c r="AI347" s="194">
        <v>320</v>
      </c>
      <c r="AJ347" s="190">
        <v>759</v>
      </c>
      <c r="AO347" s="367"/>
      <c r="AP347" s="367"/>
      <c r="AQ347" s="367"/>
    </row>
    <row r="348" spans="1:43" s="69" customFormat="1" ht="58.5" x14ac:dyDescent="0.3">
      <c r="A348" s="130" t="s">
        <v>851</v>
      </c>
      <c r="B348" s="131" t="s">
        <v>852</v>
      </c>
      <c r="C348" s="132" t="s">
        <v>50</v>
      </c>
      <c r="D348" s="133">
        <v>1</v>
      </c>
      <c r="E348" s="75"/>
      <c r="F348" s="75"/>
      <c r="G348" s="161"/>
      <c r="H348" s="235"/>
      <c r="I348" s="345">
        <v>1489</v>
      </c>
      <c r="J348" s="166">
        <v>43.78</v>
      </c>
      <c r="K348" s="75">
        <v>65188.42</v>
      </c>
      <c r="L348" s="91" t="s">
        <v>853</v>
      </c>
      <c r="M348" s="73"/>
      <c r="N348" s="46">
        <v>1489</v>
      </c>
      <c r="O348" s="46">
        <v>65188.42</v>
      </c>
      <c r="P348" s="46">
        <v>65188.42</v>
      </c>
      <c r="Q348" s="98"/>
      <c r="R348" s="23" t="s">
        <v>1487</v>
      </c>
      <c r="S348" s="24" t="s">
        <v>852</v>
      </c>
      <c r="T348" s="25" t="s">
        <v>50</v>
      </c>
      <c r="U348" s="26">
        <v>1</v>
      </c>
      <c r="V348" s="26">
        <f t="shared" si="69"/>
        <v>1489</v>
      </c>
      <c r="W348" s="26">
        <f t="shared" si="74"/>
        <v>43.78</v>
      </c>
      <c r="X348" s="127">
        <f t="shared" si="70"/>
        <v>0</v>
      </c>
      <c r="Y348" s="127">
        <f t="shared" si="75"/>
        <v>1489</v>
      </c>
      <c r="Z348" s="127">
        <f t="shared" si="71"/>
        <v>0</v>
      </c>
      <c r="AA348" s="127">
        <f t="shared" si="68"/>
        <v>65188.42</v>
      </c>
      <c r="AB348" s="33" t="s">
        <v>15</v>
      </c>
      <c r="AC348" s="324"/>
      <c r="AD348" s="181">
        <f t="shared" si="73"/>
        <v>1489</v>
      </c>
      <c r="AE348" s="181">
        <f t="shared" si="72"/>
        <v>65188.42</v>
      </c>
      <c r="AF348" s="181">
        <v>1.7</v>
      </c>
      <c r="AG348" s="181">
        <v>1.7</v>
      </c>
      <c r="AH348" s="363" t="str">
        <f t="shared" si="67"/>
        <v/>
      </c>
      <c r="AI348" s="194">
        <v>1489</v>
      </c>
      <c r="AJ348" s="190">
        <v>1489</v>
      </c>
      <c r="AO348" s="367"/>
      <c r="AP348" s="367"/>
      <c r="AQ348" s="367"/>
    </row>
    <row r="349" spans="1:43" s="69" customFormat="1" ht="39" x14ac:dyDescent="0.3">
      <c r="A349" s="55" t="s">
        <v>854</v>
      </c>
      <c r="B349" s="53" t="s">
        <v>855</v>
      </c>
      <c r="C349" s="54" t="s">
        <v>856</v>
      </c>
      <c r="D349" s="75">
        <v>1</v>
      </c>
      <c r="E349" s="75"/>
      <c r="F349" s="75"/>
      <c r="G349" s="161"/>
      <c r="H349" s="235"/>
      <c r="I349" s="341">
        <v>27100</v>
      </c>
      <c r="J349" s="166">
        <v>28.11</v>
      </c>
      <c r="K349" s="75">
        <v>761781</v>
      </c>
      <c r="L349" s="91" t="s">
        <v>857</v>
      </c>
      <c r="M349" s="73"/>
      <c r="N349" s="46">
        <v>16000</v>
      </c>
      <c r="O349" s="46">
        <v>449760</v>
      </c>
      <c r="P349" s="46">
        <v>449760</v>
      </c>
      <c r="Q349" s="98"/>
      <c r="R349" s="23" t="s">
        <v>1488</v>
      </c>
      <c r="S349" s="24" t="s">
        <v>855</v>
      </c>
      <c r="T349" s="25" t="s">
        <v>856</v>
      </c>
      <c r="U349" s="26">
        <v>1</v>
      </c>
      <c r="V349" s="26">
        <f t="shared" si="69"/>
        <v>27100</v>
      </c>
      <c r="W349" s="26">
        <f t="shared" si="74"/>
        <v>28.11</v>
      </c>
      <c r="X349" s="26">
        <f t="shared" si="70"/>
        <v>0</v>
      </c>
      <c r="Y349" s="26">
        <f t="shared" si="75"/>
        <v>16000</v>
      </c>
      <c r="Z349" s="26">
        <f t="shared" si="71"/>
        <v>0</v>
      </c>
      <c r="AA349" s="26">
        <f t="shared" si="68"/>
        <v>449760</v>
      </c>
      <c r="AB349" s="33" t="s">
        <v>15</v>
      </c>
      <c r="AC349" s="324"/>
      <c r="AD349" s="181">
        <f t="shared" si="73"/>
        <v>27100</v>
      </c>
      <c r="AE349" s="181">
        <f t="shared" si="72"/>
        <v>761781</v>
      </c>
      <c r="AF349" s="181">
        <v>1.7</v>
      </c>
      <c r="AG349" s="181">
        <v>1.7</v>
      </c>
      <c r="AH349" s="363" t="str">
        <f t="shared" si="67"/>
        <v/>
      </c>
      <c r="AI349" s="194">
        <v>16000</v>
      </c>
      <c r="AJ349" s="190">
        <v>27100</v>
      </c>
      <c r="AO349" s="367"/>
      <c r="AP349" s="367"/>
      <c r="AQ349" s="367"/>
    </row>
    <row r="350" spans="1:43" s="69" customFormat="1" ht="24.75" x14ac:dyDescent="0.3">
      <c r="A350" s="55" t="s">
        <v>858</v>
      </c>
      <c r="B350" s="53" t="s">
        <v>859</v>
      </c>
      <c r="C350" s="54" t="s">
        <v>50</v>
      </c>
      <c r="D350" s="75">
        <v>1</v>
      </c>
      <c r="E350" s="75"/>
      <c r="F350" s="75"/>
      <c r="G350" s="224"/>
      <c r="H350" s="235"/>
      <c r="I350" s="341">
        <v>6966</v>
      </c>
      <c r="J350" s="166">
        <v>245.47</v>
      </c>
      <c r="K350" s="75">
        <v>1709944.02</v>
      </c>
      <c r="L350" s="91" t="s">
        <v>860</v>
      </c>
      <c r="M350" s="73"/>
      <c r="N350" s="46">
        <v>1200</v>
      </c>
      <c r="O350" s="46">
        <v>294564</v>
      </c>
      <c r="P350" s="46">
        <v>294564</v>
      </c>
      <c r="Q350" s="98"/>
      <c r="R350" s="23" t="s">
        <v>1489</v>
      </c>
      <c r="S350" s="24" t="s">
        <v>859</v>
      </c>
      <c r="T350" s="25" t="s">
        <v>50</v>
      </c>
      <c r="U350" s="26">
        <v>1</v>
      </c>
      <c r="V350" s="26">
        <f t="shared" si="69"/>
        <v>6966</v>
      </c>
      <c r="W350" s="26">
        <f t="shared" si="74"/>
        <v>245.47</v>
      </c>
      <c r="X350" s="199">
        <f t="shared" si="70"/>
        <v>3850</v>
      </c>
      <c r="Y350" s="26">
        <f t="shared" si="75"/>
        <v>5050</v>
      </c>
      <c r="Z350" s="26">
        <f t="shared" si="71"/>
        <v>945059.5</v>
      </c>
      <c r="AA350" s="26">
        <f t="shared" si="68"/>
        <v>1239623.5</v>
      </c>
      <c r="AB350" s="33" t="s">
        <v>15</v>
      </c>
      <c r="AC350" s="324"/>
      <c r="AD350" s="181">
        <f t="shared" si="73"/>
        <v>6966</v>
      </c>
      <c r="AE350" s="181">
        <f t="shared" si="72"/>
        <v>1709944.02</v>
      </c>
      <c r="AF350" s="181">
        <v>1.7</v>
      </c>
      <c r="AG350" s="181">
        <v>1.7</v>
      </c>
      <c r="AH350" s="363" t="str">
        <f t="shared" si="67"/>
        <v/>
      </c>
      <c r="AI350" s="191">
        <f>1200+3850</f>
        <v>5050</v>
      </c>
      <c r="AJ350" s="190">
        <v>6966</v>
      </c>
      <c r="AN350" s="70"/>
      <c r="AO350" s="367"/>
      <c r="AP350" s="367"/>
      <c r="AQ350" s="367"/>
    </row>
    <row r="351" spans="1:43" x14ac:dyDescent="0.3">
      <c r="A351" s="67" t="s">
        <v>1336</v>
      </c>
      <c r="B351" s="64" t="s">
        <v>1337</v>
      </c>
      <c r="C351" s="61" t="s">
        <v>30</v>
      </c>
      <c r="D351" s="78"/>
      <c r="E351" s="78"/>
      <c r="F351" s="62">
        <v>73.48</v>
      </c>
      <c r="G351" s="163"/>
      <c r="H351" s="163"/>
      <c r="I351" s="62"/>
      <c r="J351" s="167">
        <v>839.94</v>
      </c>
      <c r="K351" s="62">
        <v>61718.79</v>
      </c>
      <c r="L351" s="93"/>
      <c r="N351" s="46">
        <v>0</v>
      </c>
      <c r="O351" s="46">
        <v>0</v>
      </c>
      <c r="P351" s="46">
        <v>0</v>
      </c>
      <c r="Q351" s="98"/>
      <c r="R351" s="23" t="s">
        <v>1398</v>
      </c>
      <c r="S351" s="24" t="s">
        <v>1337</v>
      </c>
      <c r="T351" s="25" t="s">
        <v>30</v>
      </c>
      <c r="U351" s="26">
        <v>0</v>
      </c>
      <c r="V351" s="26">
        <f t="shared" si="69"/>
        <v>73.48</v>
      </c>
      <c r="W351" s="26">
        <f t="shared" si="74"/>
        <v>839.94</v>
      </c>
      <c r="X351" s="26">
        <f t="shared" si="70"/>
        <v>0</v>
      </c>
      <c r="Y351" s="26">
        <f t="shared" si="75"/>
        <v>0</v>
      </c>
      <c r="Z351" s="26">
        <f t="shared" si="71"/>
        <v>0</v>
      </c>
      <c r="AA351" s="26">
        <f>ROUND(W351*Y351,2)</f>
        <v>0</v>
      </c>
      <c r="AB351" s="27"/>
      <c r="AC351" s="324"/>
      <c r="AD351" s="181">
        <f t="shared" si="73"/>
        <v>73.48</v>
      </c>
      <c r="AE351" s="181">
        <f t="shared" si="72"/>
        <v>61718.79</v>
      </c>
      <c r="AF351" s="181">
        <v>1.7</v>
      </c>
      <c r="AG351" s="181">
        <v>1.7</v>
      </c>
      <c r="AH351" s="363" t="str">
        <f t="shared" si="67"/>
        <v/>
      </c>
      <c r="AI351" s="192">
        <v>0</v>
      </c>
      <c r="AJ351" s="188">
        <v>73.48</v>
      </c>
      <c r="AN351" s="70"/>
      <c r="AO351" s="367"/>
      <c r="AP351" s="367"/>
      <c r="AQ351" s="367"/>
    </row>
    <row r="352" spans="1:43" ht="39" x14ac:dyDescent="0.3">
      <c r="A352" s="298" t="s">
        <v>1338</v>
      </c>
      <c r="B352" s="299" t="s">
        <v>1339</v>
      </c>
      <c r="C352" s="146" t="s">
        <v>1359</v>
      </c>
      <c r="D352" s="147"/>
      <c r="E352" s="147"/>
      <c r="F352" s="300">
        <v>17856</v>
      </c>
      <c r="G352" s="164"/>
      <c r="H352" s="164"/>
      <c r="I352" s="62"/>
      <c r="J352" s="168">
        <v>150</v>
      </c>
      <c r="K352" s="148">
        <v>2678400</v>
      </c>
      <c r="L352" s="149"/>
      <c r="N352" s="46">
        <v>11608</v>
      </c>
      <c r="O352" s="46">
        <v>0</v>
      </c>
      <c r="P352" s="46">
        <v>1741200</v>
      </c>
      <c r="Q352" s="98"/>
      <c r="R352" s="23" t="s">
        <v>1399</v>
      </c>
      <c r="S352" s="24" t="s">
        <v>1339</v>
      </c>
      <c r="T352" s="25" t="s">
        <v>1359</v>
      </c>
      <c r="U352" s="26">
        <v>0</v>
      </c>
      <c r="V352" s="26">
        <f t="shared" si="69"/>
        <v>17856</v>
      </c>
      <c r="W352" s="26">
        <f t="shared" si="74"/>
        <v>150</v>
      </c>
      <c r="X352" s="128">
        <f t="shared" si="70"/>
        <v>0</v>
      </c>
      <c r="Y352" s="26">
        <f t="shared" si="75"/>
        <v>11608</v>
      </c>
      <c r="Z352" s="26">
        <f t="shared" si="71"/>
        <v>0</v>
      </c>
      <c r="AA352" s="26">
        <f t="shared" si="68"/>
        <v>1741200</v>
      </c>
      <c r="AB352" s="27"/>
      <c r="AC352" s="324"/>
      <c r="AD352" s="181">
        <f t="shared" si="73"/>
        <v>17856</v>
      </c>
      <c r="AE352" s="181">
        <f t="shared" si="72"/>
        <v>2678400</v>
      </c>
      <c r="AF352" s="181">
        <v>1.7</v>
      </c>
      <c r="AG352" s="181">
        <v>1.7</v>
      </c>
      <c r="AH352" s="363" t="str">
        <f t="shared" si="67"/>
        <v/>
      </c>
      <c r="AI352" s="194">
        <f>10000+1608</f>
        <v>11608</v>
      </c>
      <c r="AJ352" s="188">
        <v>17856</v>
      </c>
      <c r="AN352" s="282"/>
      <c r="AO352" s="367"/>
      <c r="AP352" s="367"/>
      <c r="AQ352" s="367"/>
    </row>
    <row r="353" spans="1:43" s="282" customFormat="1" ht="66" x14ac:dyDescent="0.3">
      <c r="A353" s="207" t="s">
        <v>3227</v>
      </c>
      <c r="B353" s="241" t="s">
        <v>3236</v>
      </c>
      <c r="C353" s="204" t="s">
        <v>606</v>
      </c>
      <c r="D353" s="171"/>
      <c r="E353" s="288"/>
      <c r="F353" s="301"/>
      <c r="G353" s="275"/>
      <c r="H353" s="275"/>
      <c r="I353" s="346">
        <v>19</v>
      </c>
      <c r="J353" s="288">
        <v>40413.589999999997</v>
      </c>
      <c r="K353" s="275">
        <v>767858.21</v>
      </c>
      <c r="L353" s="277"/>
      <c r="M353" s="278"/>
      <c r="N353" s="42">
        <v>19</v>
      </c>
      <c r="O353" s="42">
        <v>767858.21</v>
      </c>
      <c r="P353" s="42">
        <v>767858.21</v>
      </c>
      <c r="Q353" s="98"/>
      <c r="R353" s="13" t="s">
        <v>1490</v>
      </c>
      <c r="S353" s="286" t="str">
        <f t="shared" ref="S353:T361" si="76">B353</f>
        <v>水茄苳，450≦樹高&lt;500cm，220≦樹幅&lt;240cm，14≦米高直徑&lt;16cm</v>
      </c>
      <c r="T353" s="287" t="str">
        <f t="shared" si="76"/>
        <v>株</v>
      </c>
      <c r="U353" s="16"/>
      <c r="V353" s="16">
        <f t="shared" si="69"/>
        <v>19</v>
      </c>
      <c r="W353" s="16">
        <f t="shared" si="74"/>
        <v>40413.589999999997</v>
      </c>
      <c r="X353" s="127">
        <f t="shared" si="70"/>
        <v>0</v>
      </c>
      <c r="Y353" s="127">
        <f t="shared" si="75"/>
        <v>19</v>
      </c>
      <c r="Z353" s="127">
        <f t="shared" si="71"/>
        <v>0</v>
      </c>
      <c r="AA353" s="127">
        <f t="shared" si="68"/>
        <v>767858.21</v>
      </c>
      <c r="AB353" s="279"/>
      <c r="AC353" s="324"/>
      <c r="AD353" s="181">
        <f t="shared" si="73"/>
        <v>19</v>
      </c>
      <c r="AE353" s="181">
        <f t="shared" si="72"/>
        <v>767858.21</v>
      </c>
      <c r="AF353" s="181">
        <v>1.7</v>
      </c>
      <c r="AG353" s="181">
        <v>1.7</v>
      </c>
      <c r="AH353" s="364"/>
      <c r="AI353" s="285">
        <v>19</v>
      </c>
      <c r="AJ353" s="190">
        <v>19</v>
      </c>
      <c r="AO353" s="367"/>
      <c r="AP353" s="367"/>
      <c r="AQ353" s="367"/>
    </row>
    <row r="354" spans="1:43" s="282" customFormat="1" ht="66" x14ac:dyDescent="0.3">
      <c r="A354" s="272" t="s">
        <v>3228</v>
      </c>
      <c r="B354" s="349" t="s">
        <v>3237</v>
      </c>
      <c r="C354" s="274" t="s">
        <v>606</v>
      </c>
      <c r="D354" s="288"/>
      <c r="E354" s="288"/>
      <c r="F354" s="301"/>
      <c r="G354" s="275"/>
      <c r="H354" s="275"/>
      <c r="I354" s="333">
        <v>15</v>
      </c>
      <c r="J354" s="288">
        <v>24864.34</v>
      </c>
      <c r="K354" s="275">
        <v>372965.1</v>
      </c>
      <c r="L354" s="277"/>
      <c r="M354" s="278"/>
      <c r="N354" s="42">
        <v>0</v>
      </c>
      <c r="O354" s="42">
        <v>0</v>
      </c>
      <c r="P354" s="42">
        <v>0</v>
      </c>
      <c r="Q354" s="98"/>
      <c r="R354" s="13" t="s">
        <v>1491</v>
      </c>
      <c r="S354" s="286" t="str">
        <f t="shared" si="76"/>
        <v>台灣石楠，250≦樹高&lt;300cm，160≦樹幅&lt;180cm，8≦米高直徑&lt;10cm</v>
      </c>
      <c r="T354" s="287" t="str">
        <f t="shared" si="76"/>
        <v>株</v>
      </c>
      <c r="U354" s="16"/>
      <c r="V354" s="16">
        <f t="shared" si="69"/>
        <v>15</v>
      </c>
      <c r="W354" s="16">
        <f t="shared" si="74"/>
        <v>24864.34</v>
      </c>
      <c r="X354" s="16">
        <f t="shared" si="70"/>
        <v>0</v>
      </c>
      <c r="Y354" s="16">
        <f t="shared" si="75"/>
        <v>0</v>
      </c>
      <c r="Z354" s="16">
        <f t="shared" si="71"/>
        <v>0</v>
      </c>
      <c r="AA354" s="16">
        <f t="shared" si="68"/>
        <v>0</v>
      </c>
      <c r="AB354" s="279"/>
      <c r="AC354" s="324"/>
      <c r="AD354" s="181">
        <f t="shared" si="73"/>
        <v>15</v>
      </c>
      <c r="AE354" s="181">
        <f t="shared" si="72"/>
        <v>372965.1</v>
      </c>
      <c r="AF354" s="181">
        <v>1.7</v>
      </c>
      <c r="AG354" s="181">
        <v>1.7</v>
      </c>
      <c r="AH354" s="364"/>
      <c r="AI354" s="285">
        <v>0</v>
      </c>
      <c r="AJ354" s="190">
        <v>15</v>
      </c>
      <c r="AO354" s="367"/>
      <c r="AP354" s="367"/>
      <c r="AQ354" s="367"/>
    </row>
    <row r="355" spans="1:43" s="282" customFormat="1" ht="66" x14ac:dyDescent="0.3">
      <c r="A355" s="207" t="s">
        <v>3229</v>
      </c>
      <c r="B355" s="241" t="s">
        <v>3238</v>
      </c>
      <c r="C355" s="204" t="s">
        <v>606</v>
      </c>
      <c r="D355" s="171"/>
      <c r="E355" s="288"/>
      <c r="F355" s="301"/>
      <c r="G355" s="275"/>
      <c r="H355" s="275"/>
      <c r="I355" s="346">
        <v>18</v>
      </c>
      <c r="J355" s="288">
        <v>42644.21</v>
      </c>
      <c r="K355" s="275">
        <v>767595.78</v>
      </c>
      <c r="L355" s="277"/>
      <c r="M355" s="278"/>
      <c r="N355" s="42">
        <v>18</v>
      </c>
      <c r="O355" s="42">
        <v>767595.78</v>
      </c>
      <c r="P355" s="42">
        <v>767595.78</v>
      </c>
      <c r="Q355" s="98"/>
      <c r="R355" s="13" t="s">
        <v>1492</v>
      </c>
      <c r="S355" s="286" t="str">
        <f t="shared" si="76"/>
        <v>九芎，450≦樹高&lt;500cm，220≦樹幅&lt;240cm，14≦米高直徑&lt;16cm</v>
      </c>
      <c r="T355" s="287" t="str">
        <f t="shared" si="76"/>
        <v>株</v>
      </c>
      <c r="U355" s="16"/>
      <c r="V355" s="16">
        <f t="shared" si="69"/>
        <v>18</v>
      </c>
      <c r="W355" s="16">
        <f t="shared" si="74"/>
        <v>42644.21</v>
      </c>
      <c r="X355" s="127">
        <f t="shared" si="70"/>
        <v>0</v>
      </c>
      <c r="Y355" s="127">
        <f t="shared" si="75"/>
        <v>18</v>
      </c>
      <c r="Z355" s="127">
        <f t="shared" si="71"/>
        <v>0</v>
      </c>
      <c r="AA355" s="127">
        <f t="shared" si="68"/>
        <v>767595.78</v>
      </c>
      <c r="AB355" s="279"/>
      <c r="AC355" s="324"/>
      <c r="AD355" s="181">
        <f t="shared" si="73"/>
        <v>18</v>
      </c>
      <c r="AE355" s="181">
        <f t="shared" si="72"/>
        <v>767595.78</v>
      </c>
      <c r="AF355" s="181">
        <v>1.7</v>
      </c>
      <c r="AG355" s="181">
        <v>1.7</v>
      </c>
      <c r="AH355" s="364"/>
      <c r="AI355" s="285">
        <v>18</v>
      </c>
      <c r="AJ355" s="190">
        <v>18</v>
      </c>
      <c r="AO355" s="367"/>
      <c r="AP355" s="367"/>
      <c r="AQ355" s="367"/>
    </row>
    <row r="356" spans="1:43" s="282" customFormat="1" ht="66" x14ac:dyDescent="0.3">
      <c r="A356" s="272" t="s">
        <v>3230</v>
      </c>
      <c r="B356" s="349" t="s">
        <v>3239</v>
      </c>
      <c r="C356" s="274" t="s">
        <v>606</v>
      </c>
      <c r="D356" s="288"/>
      <c r="E356" s="288"/>
      <c r="F356" s="301"/>
      <c r="G356" s="275"/>
      <c r="H356" s="275"/>
      <c r="I356" s="333">
        <v>13</v>
      </c>
      <c r="J356" s="288">
        <v>32692.34</v>
      </c>
      <c r="K356" s="275">
        <v>425000.42</v>
      </c>
      <c r="L356" s="277"/>
      <c r="M356" s="278"/>
      <c r="N356" s="42">
        <v>8</v>
      </c>
      <c r="O356" s="42">
        <v>261538.72</v>
      </c>
      <c r="P356" s="42">
        <v>261538.72</v>
      </c>
      <c r="Q356" s="98"/>
      <c r="R356" s="13" t="s">
        <v>1493</v>
      </c>
      <c r="S356" s="286" t="str">
        <f t="shared" si="76"/>
        <v>水柳，450≦樹高&lt;500cm，220≦樹幅&lt;240cm，14≦米高直徑&lt;16cm</v>
      </c>
      <c r="T356" s="287" t="str">
        <f t="shared" si="76"/>
        <v>株</v>
      </c>
      <c r="U356" s="16"/>
      <c r="V356" s="16">
        <f t="shared" si="69"/>
        <v>13</v>
      </c>
      <c r="W356" s="16">
        <f t="shared" si="74"/>
        <v>32692.34</v>
      </c>
      <c r="X356" s="16">
        <f t="shared" si="70"/>
        <v>0</v>
      </c>
      <c r="Y356" s="16">
        <f t="shared" si="75"/>
        <v>8</v>
      </c>
      <c r="Z356" s="16">
        <f t="shared" si="71"/>
        <v>0</v>
      </c>
      <c r="AA356" s="16">
        <f t="shared" si="68"/>
        <v>261538.72</v>
      </c>
      <c r="AB356" s="279"/>
      <c r="AC356" s="324"/>
      <c r="AD356" s="181">
        <f t="shared" si="73"/>
        <v>13</v>
      </c>
      <c r="AE356" s="181">
        <f t="shared" si="72"/>
        <v>425000.42</v>
      </c>
      <c r="AF356" s="181">
        <v>1.7</v>
      </c>
      <c r="AG356" s="181">
        <v>1.7</v>
      </c>
      <c r="AH356" s="364"/>
      <c r="AI356" s="285">
        <v>8</v>
      </c>
      <c r="AJ356" s="190">
        <v>13</v>
      </c>
      <c r="AO356" s="367"/>
      <c r="AP356" s="367"/>
      <c r="AQ356" s="367"/>
    </row>
    <row r="357" spans="1:43" s="282" customFormat="1" ht="66" x14ac:dyDescent="0.3">
      <c r="A357" s="272" t="s">
        <v>3231</v>
      </c>
      <c r="B357" s="349" t="s">
        <v>3240</v>
      </c>
      <c r="C357" s="274" t="s">
        <v>606</v>
      </c>
      <c r="D357" s="288"/>
      <c r="E357" s="288"/>
      <c r="F357" s="301"/>
      <c r="G357" s="275"/>
      <c r="H357" s="275"/>
      <c r="I357" s="333">
        <v>4</v>
      </c>
      <c r="J357" s="288">
        <v>31867.73</v>
      </c>
      <c r="K357" s="275">
        <v>127470.92</v>
      </c>
      <c r="L357" s="277"/>
      <c r="M357" s="278"/>
      <c r="N357" s="42">
        <v>0</v>
      </c>
      <c r="O357" s="42">
        <v>0</v>
      </c>
      <c r="P357" s="42">
        <v>0</v>
      </c>
      <c r="Q357" s="98"/>
      <c r="R357" s="13" t="s">
        <v>1494</v>
      </c>
      <c r="S357" s="286" t="str">
        <f t="shared" si="76"/>
        <v>烏桕，400≦樹高&lt;450cm，200≦樹幅&lt;220cm，14≦米高直徑&lt;16cm</v>
      </c>
      <c r="T357" s="287" t="str">
        <f t="shared" si="76"/>
        <v>株</v>
      </c>
      <c r="U357" s="16"/>
      <c r="V357" s="16">
        <f t="shared" si="69"/>
        <v>4</v>
      </c>
      <c r="W357" s="16">
        <f t="shared" si="74"/>
        <v>31867.73</v>
      </c>
      <c r="X357" s="16">
        <f t="shared" si="70"/>
        <v>0</v>
      </c>
      <c r="Y357" s="16">
        <f t="shared" si="75"/>
        <v>0</v>
      </c>
      <c r="Z357" s="16">
        <f t="shared" si="71"/>
        <v>0</v>
      </c>
      <c r="AA357" s="16">
        <f t="shared" si="68"/>
        <v>0</v>
      </c>
      <c r="AB357" s="279"/>
      <c r="AC357" s="324"/>
      <c r="AD357" s="181">
        <f t="shared" si="73"/>
        <v>4</v>
      </c>
      <c r="AE357" s="181">
        <f t="shared" si="72"/>
        <v>127470.92</v>
      </c>
      <c r="AF357" s="181">
        <v>1.7</v>
      </c>
      <c r="AG357" s="181">
        <v>1.7</v>
      </c>
      <c r="AH357" s="364"/>
      <c r="AI357" s="285">
        <v>0</v>
      </c>
      <c r="AJ357" s="190">
        <v>4</v>
      </c>
      <c r="AO357" s="367"/>
      <c r="AP357" s="367"/>
      <c r="AQ357" s="367"/>
    </row>
    <row r="358" spans="1:43" s="282" customFormat="1" ht="66" x14ac:dyDescent="0.3">
      <c r="A358" s="272" t="s">
        <v>3232</v>
      </c>
      <c r="B358" s="349" t="s">
        <v>3241</v>
      </c>
      <c r="C358" s="274" t="s">
        <v>606</v>
      </c>
      <c r="D358" s="288"/>
      <c r="E358" s="288"/>
      <c r="F358" s="301"/>
      <c r="G358" s="275"/>
      <c r="H358" s="275"/>
      <c r="I358" s="333">
        <v>18</v>
      </c>
      <c r="J358" s="288">
        <v>10969.38</v>
      </c>
      <c r="K358" s="275">
        <v>197448.84</v>
      </c>
      <c r="L358" s="277"/>
      <c r="M358" s="278"/>
      <c r="N358" s="42">
        <v>0</v>
      </c>
      <c r="O358" s="42">
        <v>0</v>
      </c>
      <c r="P358" s="42">
        <v>0</v>
      </c>
      <c r="Q358" s="98"/>
      <c r="R358" s="13" t="s">
        <v>3167</v>
      </c>
      <c r="S358" s="286" t="str">
        <f t="shared" si="76"/>
        <v>樟樹，400≦樹高&lt;450cm，200≦樹幅&lt;220cm，10≦米高直徑&lt;12cm</v>
      </c>
      <c r="T358" s="287" t="str">
        <f t="shared" si="76"/>
        <v>株</v>
      </c>
      <c r="U358" s="16"/>
      <c r="V358" s="16">
        <f t="shared" si="69"/>
        <v>18</v>
      </c>
      <c r="W358" s="16">
        <f t="shared" si="74"/>
        <v>10969.38</v>
      </c>
      <c r="X358" s="16">
        <f t="shared" si="70"/>
        <v>0</v>
      </c>
      <c r="Y358" s="16">
        <f t="shared" si="75"/>
        <v>0</v>
      </c>
      <c r="Z358" s="16">
        <f t="shared" si="71"/>
        <v>0</v>
      </c>
      <c r="AA358" s="16">
        <f t="shared" si="68"/>
        <v>0</v>
      </c>
      <c r="AB358" s="279"/>
      <c r="AC358" s="324"/>
      <c r="AD358" s="181">
        <f t="shared" si="73"/>
        <v>18</v>
      </c>
      <c r="AE358" s="181">
        <f t="shared" si="72"/>
        <v>197448.84</v>
      </c>
      <c r="AF358" s="181">
        <v>1.7</v>
      </c>
      <c r="AG358" s="181">
        <v>1.7</v>
      </c>
      <c r="AH358" s="364"/>
      <c r="AI358" s="285">
        <v>0</v>
      </c>
      <c r="AJ358" s="190">
        <v>18</v>
      </c>
      <c r="AO358" s="367"/>
      <c r="AP358" s="367"/>
      <c r="AQ358" s="367"/>
    </row>
    <row r="359" spans="1:43" s="282" customFormat="1" ht="49.5" x14ac:dyDescent="0.3">
      <c r="A359" s="272" t="s">
        <v>3233</v>
      </c>
      <c r="B359" s="349" t="s">
        <v>3242</v>
      </c>
      <c r="C359" s="274" t="s">
        <v>606</v>
      </c>
      <c r="D359" s="288"/>
      <c r="E359" s="288"/>
      <c r="F359" s="301"/>
      <c r="G359" s="275"/>
      <c r="H359" s="275"/>
      <c r="I359" s="333">
        <v>2760</v>
      </c>
      <c r="J359" s="288">
        <v>132.66999999999999</v>
      </c>
      <c r="K359" s="275">
        <v>366169.2</v>
      </c>
      <c r="L359" s="277"/>
      <c r="M359" s="278"/>
      <c r="N359" s="42">
        <v>2200</v>
      </c>
      <c r="O359" s="42">
        <v>291874</v>
      </c>
      <c r="P359" s="42">
        <v>291874</v>
      </c>
      <c r="Q359" s="98"/>
      <c r="R359" s="13" t="s">
        <v>3169</v>
      </c>
      <c r="S359" s="286" t="str">
        <f t="shared" si="76"/>
        <v>番茉莉，50≦高度&lt;60cm，25≦寬度&lt;30cm</v>
      </c>
      <c r="T359" s="287" t="str">
        <f t="shared" si="76"/>
        <v>株</v>
      </c>
      <c r="U359" s="16"/>
      <c r="V359" s="16">
        <f t="shared" si="69"/>
        <v>2760</v>
      </c>
      <c r="W359" s="16">
        <f t="shared" si="74"/>
        <v>132.66999999999999</v>
      </c>
      <c r="X359" s="16">
        <f t="shared" si="70"/>
        <v>0</v>
      </c>
      <c r="Y359" s="16">
        <f t="shared" si="75"/>
        <v>2200</v>
      </c>
      <c r="Z359" s="16">
        <f t="shared" si="71"/>
        <v>0</v>
      </c>
      <c r="AA359" s="16">
        <f t="shared" si="68"/>
        <v>291874</v>
      </c>
      <c r="AB359" s="279"/>
      <c r="AC359" s="324"/>
      <c r="AD359" s="181">
        <f t="shared" si="73"/>
        <v>2760</v>
      </c>
      <c r="AE359" s="181">
        <f t="shared" si="72"/>
        <v>366169.2</v>
      </c>
      <c r="AF359" s="181">
        <v>1.7</v>
      </c>
      <c r="AG359" s="181">
        <v>1.7</v>
      </c>
      <c r="AH359" s="364"/>
      <c r="AI359" s="285">
        <v>2200</v>
      </c>
      <c r="AJ359" s="190">
        <v>2760</v>
      </c>
      <c r="AO359" s="367"/>
      <c r="AP359" s="367"/>
      <c r="AQ359" s="367"/>
    </row>
    <row r="360" spans="1:43" s="282" customFormat="1" ht="58.5" x14ac:dyDescent="0.3">
      <c r="A360" s="272" t="s">
        <v>3234</v>
      </c>
      <c r="B360" s="276" t="s">
        <v>3243</v>
      </c>
      <c r="C360" s="274" t="s">
        <v>606</v>
      </c>
      <c r="D360" s="288"/>
      <c r="E360" s="288"/>
      <c r="F360" s="301"/>
      <c r="G360" s="275"/>
      <c r="H360" s="275"/>
      <c r="I360" s="333">
        <v>1323</v>
      </c>
      <c r="J360" s="288">
        <v>142.25</v>
      </c>
      <c r="K360" s="275">
        <v>188196.75</v>
      </c>
      <c r="L360" s="277"/>
      <c r="M360" s="278"/>
      <c r="N360" s="42">
        <v>0</v>
      </c>
      <c r="O360" s="42">
        <v>0</v>
      </c>
      <c r="P360" s="42">
        <v>0</v>
      </c>
      <c r="Q360" s="98"/>
      <c r="R360" s="13" t="s">
        <v>3171</v>
      </c>
      <c r="S360" s="286" t="str">
        <f t="shared" si="76"/>
        <v>紙莎草，30≦高度&lt;40cm，寬度&lt;10cm</v>
      </c>
      <c r="T360" s="287" t="str">
        <f t="shared" si="76"/>
        <v>株</v>
      </c>
      <c r="U360" s="16"/>
      <c r="V360" s="16">
        <f t="shared" si="69"/>
        <v>1323</v>
      </c>
      <c r="W360" s="16">
        <f t="shared" si="74"/>
        <v>142.25</v>
      </c>
      <c r="X360" s="16">
        <f t="shared" si="70"/>
        <v>0</v>
      </c>
      <c r="Y360" s="16">
        <f t="shared" si="75"/>
        <v>0</v>
      </c>
      <c r="Z360" s="16">
        <f t="shared" si="71"/>
        <v>0</v>
      </c>
      <c r="AA360" s="16">
        <f t="shared" si="68"/>
        <v>0</v>
      </c>
      <c r="AB360" s="279"/>
      <c r="AC360" s="324"/>
      <c r="AD360" s="181">
        <f t="shared" si="73"/>
        <v>1323</v>
      </c>
      <c r="AE360" s="181">
        <f t="shared" si="72"/>
        <v>188196.75</v>
      </c>
      <c r="AF360" s="181">
        <v>1.7</v>
      </c>
      <c r="AG360" s="181">
        <v>1.7</v>
      </c>
      <c r="AH360" s="364"/>
      <c r="AI360" s="285">
        <v>0</v>
      </c>
      <c r="AJ360" s="190">
        <v>1323</v>
      </c>
      <c r="AO360" s="367"/>
      <c r="AP360" s="367"/>
      <c r="AQ360" s="367"/>
    </row>
    <row r="361" spans="1:43" s="282" customFormat="1" ht="39" x14ac:dyDescent="0.3">
      <c r="A361" s="272" t="s">
        <v>3235</v>
      </c>
      <c r="B361" s="276" t="s">
        <v>3244</v>
      </c>
      <c r="C361" s="274" t="s">
        <v>606</v>
      </c>
      <c r="D361" s="288"/>
      <c r="E361" s="288"/>
      <c r="F361" s="301"/>
      <c r="G361" s="275"/>
      <c r="H361" s="275"/>
      <c r="I361" s="333">
        <v>446</v>
      </c>
      <c r="J361" s="288">
        <v>417</v>
      </c>
      <c r="K361" s="275">
        <v>185982</v>
      </c>
      <c r="L361" s="277"/>
      <c r="M361" s="278"/>
      <c r="N361" s="42">
        <v>340</v>
      </c>
      <c r="O361" s="42">
        <v>141780</v>
      </c>
      <c r="P361" s="42">
        <v>141780</v>
      </c>
      <c r="Q361" s="98"/>
      <c r="R361" s="13" t="s">
        <v>3172</v>
      </c>
      <c r="S361" s="286" t="str">
        <f t="shared" si="76"/>
        <v>九重葛，120≦高度&lt;150cm</v>
      </c>
      <c r="T361" s="287" t="str">
        <f t="shared" si="76"/>
        <v>株</v>
      </c>
      <c r="U361" s="16"/>
      <c r="V361" s="16">
        <f t="shared" si="69"/>
        <v>446</v>
      </c>
      <c r="W361" s="16">
        <f t="shared" si="74"/>
        <v>417</v>
      </c>
      <c r="X361" s="16">
        <f t="shared" si="70"/>
        <v>0</v>
      </c>
      <c r="Y361" s="16">
        <f t="shared" si="75"/>
        <v>340</v>
      </c>
      <c r="Z361" s="16">
        <f t="shared" si="71"/>
        <v>0</v>
      </c>
      <c r="AA361" s="16">
        <f t="shared" si="68"/>
        <v>141780</v>
      </c>
      <c r="AB361" s="279"/>
      <c r="AC361" s="324"/>
      <c r="AD361" s="181">
        <f t="shared" si="73"/>
        <v>446</v>
      </c>
      <c r="AE361" s="181">
        <f t="shared" si="72"/>
        <v>185982</v>
      </c>
      <c r="AF361" s="181">
        <v>1.7</v>
      </c>
      <c r="AG361" s="181">
        <v>1.7</v>
      </c>
      <c r="AH361" s="364"/>
      <c r="AI361" s="285">
        <v>340</v>
      </c>
      <c r="AJ361" s="190">
        <v>446</v>
      </c>
      <c r="AN361" s="69"/>
      <c r="AO361" s="367"/>
      <c r="AP361" s="367"/>
      <c r="AQ361" s="367"/>
    </row>
    <row r="362" spans="1:43" s="69" customFormat="1" x14ac:dyDescent="0.3">
      <c r="A362" s="266" t="s">
        <v>861</v>
      </c>
      <c r="B362" s="267" t="s">
        <v>862</v>
      </c>
      <c r="C362" s="83" t="s">
        <v>14</v>
      </c>
      <c r="D362" s="84">
        <v>1</v>
      </c>
      <c r="E362" s="84"/>
      <c r="F362" s="84"/>
      <c r="G362" s="84"/>
      <c r="H362" s="84"/>
      <c r="I362" s="84"/>
      <c r="J362" s="84">
        <v>6915687.3899999997</v>
      </c>
      <c r="K362" s="84">
        <v>6915687.3899999997</v>
      </c>
      <c r="L362" s="268" t="s">
        <v>15</v>
      </c>
      <c r="M362" s="73"/>
      <c r="N362" s="45">
        <v>1</v>
      </c>
      <c r="O362" s="45">
        <v>627631.28</v>
      </c>
      <c r="P362" s="45">
        <v>3780085.1600000011</v>
      </c>
      <c r="Q362" s="98"/>
      <c r="R362" s="18" t="s">
        <v>1400</v>
      </c>
      <c r="S362" s="19" t="s">
        <v>862</v>
      </c>
      <c r="T362" s="20" t="s">
        <v>14</v>
      </c>
      <c r="U362" s="21">
        <v>1</v>
      </c>
      <c r="V362" s="21"/>
      <c r="W362" s="21">
        <f t="shared" si="74"/>
        <v>6915687.3899999997</v>
      </c>
      <c r="X362" s="21">
        <f t="shared" ref="X362:Y362" si="77">IF(Z362=0,0,1)</f>
        <v>1</v>
      </c>
      <c r="Y362" s="21">
        <f t="shared" si="77"/>
        <v>1</v>
      </c>
      <c r="Z362" s="21">
        <f>SUMIFS(Z:Z,AG:AG,AF362)</f>
        <v>907362.1</v>
      </c>
      <c r="AA362" s="21">
        <f>SUMIFS(AA:AA,AG:AG,AF362)</f>
        <v>4687447.26</v>
      </c>
      <c r="AB362" s="22" t="s">
        <v>15</v>
      </c>
      <c r="AC362" s="324"/>
      <c r="AD362" s="181">
        <f t="shared" si="73"/>
        <v>1</v>
      </c>
      <c r="AE362" s="184"/>
      <c r="AF362" s="184">
        <v>1.8</v>
      </c>
      <c r="AG362" s="184"/>
      <c r="AH362" s="363" t="str">
        <f t="shared" si="67"/>
        <v/>
      </c>
      <c r="AI362" s="192">
        <v>1</v>
      </c>
      <c r="AJ362" s="188">
        <v>1</v>
      </c>
      <c r="AO362" s="367"/>
      <c r="AP362" s="367"/>
      <c r="AQ362" s="367"/>
    </row>
    <row r="363" spans="1:43" s="69" customFormat="1" ht="49.5" customHeight="1" x14ac:dyDescent="0.3">
      <c r="A363" s="55" t="s">
        <v>863</v>
      </c>
      <c r="B363" s="53" t="s">
        <v>864</v>
      </c>
      <c r="C363" s="54" t="s">
        <v>14</v>
      </c>
      <c r="D363" s="75">
        <v>1</v>
      </c>
      <c r="E363" s="75"/>
      <c r="F363" s="75"/>
      <c r="G363" s="75"/>
      <c r="H363" s="75"/>
      <c r="I363" s="75"/>
      <c r="J363" s="75">
        <v>69458</v>
      </c>
      <c r="K363" s="75">
        <v>69458</v>
      </c>
      <c r="L363" s="91" t="s">
        <v>865</v>
      </c>
      <c r="M363" s="73"/>
      <c r="N363" s="46">
        <v>0</v>
      </c>
      <c r="O363" s="46">
        <v>0</v>
      </c>
      <c r="P363" s="46">
        <v>0</v>
      </c>
      <c r="Q363" s="98"/>
      <c r="R363" s="23" t="s">
        <v>1421</v>
      </c>
      <c r="S363" s="24" t="s">
        <v>864</v>
      </c>
      <c r="T363" s="25" t="s">
        <v>14</v>
      </c>
      <c r="U363" s="26">
        <v>1</v>
      </c>
      <c r="V363" s="26">
        <f t="shared" ref="V363:V406" si="78">IF(I363&gt;0,I363,IF(H363&gt;0,H363,IF(G363&gt;0,G363,IF(F363&gt;0,F363,IF(E363&gt;0,E363,D363)))))</f>
        <v>1</v>
      </c>
      <c r="W363" s="26">
        <f t="shared" si="74"/>
        <v>69458</v>
      </c>
      <c r="X363" s="26">
        <f t="shared" ref="X363:X406" si="79">AI363-N363</f>
        <v>0</v>
      </c>
      <c r="Y363" s="26">
        <f t="shared" si="75"/>
        <v>0</v>
      </c>
      <c r="Z363" s="26">
        <f t="shared" ref="Z363:Z406" si="80">AA363-P363</f>
        <v>0</v>
      </c>
      <c r="AA363" s="26">
        <f t="shared" si="68"/>
        <v>0</v>
      </c>
      <c r="AB363" s="33" t="s">
        <v>15</v>
      </c>
      <c r="AC363" s="324"/>
      <c r="AD363" s="181">
        <f t="shared" si="73"/>
        <v>1</v>
      </c>
      <c r="AE363" s="181">
        <f t="shared" si="72"/>
        <v>69458</v>
      </c>
      <c r="AF363" s="181">
        <v>1.8</v>
      </c>
      <c r="AG363" s="181">
        <v>1.8</v>
      </c>
      <c r="AH363" s="363" t="str">
        <f t="shared" si="67"/>
        <v/>
      </c>
      <c r="AI363" s="192">
        <v>0</v>
      </c>
      <c r="AJ363" s="188">
        <v>1</v>
      </c>
      <c r="AO363" s="367"/>
      <c r="AP363" s="367"/>
      <c r="AQ363" s="367"/>
    </row>
    <row r="364" spans="1:43" s="69" customFormat="1" ht="39" x14ac:dyDescent="0.3">
      <c r="A364" s="55" t="s">
        <v>866</v>
      </c>
      <c r="B364" s="53" t="s">
        <v>867</v>
      </c>
      <c r="C364" s="54" t="s">
        <v>14</v>
      </c>
      <c r="D364" s="75">
        <v>1</v>
      </c>
      <c r="E364" s="75"/>
      <c r="F364" s="75"/>
      <c r="G364" s="75"/>
      <c r="H364" s="75"/>
      <c r="I364" s="75"/>
      <c r="J364" s="75">
        <v>94852.479999999996</v>
      </c>
      <c r="K364" s="75">
        <v>94852.479999999996</v>
      </c>
      <c r="L364" s="91" t="s">
        <v>868</v>
      </c>
      <c r="M364" s="73"/>
      <c r="N364" s="46">
        <v>0</v>
      </c>
      <c r="O364" s="46">
        <v>0</v>
      </c>
      <c r="P364" s="46">
        <v>0</v>
      </c>
      <c r="Q364" s="98"/>
      <c r="R364" s="23" t="s">
        <v>1426</v>
      </c>
      <c r="S364" s="24" t="s">
        <v>867</v>
      </c>
      <c r="T364" s="25" t="s">
        <v>14</v>
      </c>
      <c r="U364" s="26">
        <v>1</v>
      </c>
      <c r="V364" s="26">
        <f t="shared" si="78"/>
        <v>1</v>
      </c>
      <c r="W364" s="26">
        <f t="shared" si="74"/>
        <v>94852.479999999996</v>
      </c>
      <c r="X364" s="26">
        <f t="shared" si="79"/>
        <v>0</v>
      </c>
      <c r="Y364" s="26">
        <f t="shared" si="75"/>
        <v>0</v>
      </c>
      <c r="Z364" s="26">
        <f t="shared" si="80"/>
        <v>0</v>
      </c>
      <c r="AA364" s="26">
        <f t="shared" si="68"/>
        <v>0</v>
      </c>
      <c r="AB364" s="33" t="s">
        <v>15</v>
      </c>
      <c r="AC364" s="324"/>
      <c r="AD364" s="181">
        <f t="shared" si="73"/>
        <v>1</v>
      </c>
      <c r="AE364" s="181">
        <f t="shared" si="72"/>
        <v>94852.479999999996</v>
      </c>
      <c r="AF364" s="181">
        <v>1.8</v>
      </c>
      <c r="AG364" s="181">
        <v>1.8</v>
      </c>
      <c r="AH364" s="363" t="str">
        <f t="shared" si="67"/>
        <v/>
      </c>
      <c r="AI364" s="192">
        <v>0</v>
      </c>
      <c r="AJ364" s="188">
        <v>1</v>
      </c>
      <c r="AO364" s="367"/>
      <c r="AP364" s="367"/>
      <c r="AQ364" s="367"/>
    </row>
    <row r="365" spans="1:43" s="69" customFormat="1" ht="58.5" x14ac:dyDescent="0.3">
      <c r="A365" s="130" t="s">
        <v>869</v>
      </c>
      <c r="B365" s="131" t="s">
        <v>870</v>
      </c>
      <c r="C365" s="132" t="s">
        <v>14</v>
      </c>
      <c r="D365" s="133">
        <v>1</v>
      </c>
      <c r="E365" s="75"/>
      <c r="F365" s="75"/>
      <c r="G365" s="75"/>
      <c r="H365" s="75"/>
      <c r="I365" s="75"/>
      <c r="J365" s="75">
        <v>251510</v>
      </c>
      <c r="K365" s="75">
        <v>251510</v>
      </c>
      <c r="L365" s="91" t="s">
        <v>871</v>
      </c>
      <c r="M365" s="73"/>
      <c r="N365" s="46">
        <v>1</v>
      </c>
      <c r="O365" s="46">
        <v>0</v>
      </c>
      <c r="P365" s="46">
        <v>251510</v>
      </c>
      <c r="Q365" s="98"/>
      <c r="R365" s="23" t="s">
        <v>1402</v>
      </c>
      <c r="S365" s="24" t="s">
        <v>870</v>
      </c>
      <c r="T365" s="25" t="s">
        <v>14</v>
      </c>
      <c r="U365" s="26">
        <v>1</v>
      </c>
      <c r="V365" s="26">
        <f t="shared" si="78"/>
        <v>1</v>
      </c>
      <c r="W365" s="26">
        <f t="shared" si="74"/>
        <v>251510</v>
      </c>
      <c r="X365" s="127">
        <f t="shared" si="79"/>
        <v>0</v>
      </c>
      <c r="Y365" s="127">
        <f t="shared" si="75"/>
        <v>1</v>
      </c>
      <c r="Z365" s="127">
        <f t="shared" si="80"/>
        <v>0</v>
      </c>
      <c r="AA365" s="127">
        <f t="shared" si="68"/>
        <v>251510</v>
      </c>
      <c r="AB365" s="33" t="s">
        <v>15</v>
      </c>
      <c r="AC365" s="324"/>
      <c r="AD365" s="181">
        <f t="shared" si="73"/>
        <v>1</v>
      </c>
      <c r="AE365" s="181">
        <f t="shared" si="72"/>
        <v>251510</v>
      </c>
      <c r="AF365" s="181">
        <v>1.8</v>
      </c>
      <c r="AG365" s="181">
        <v>1.8</v>
      </c>
      <c r="AH365" s="363" t="str">
        <f t="shared" si="67"/>
        <v/>
      </c>
      <c r="AI365" s="194">
        <v>1</v>
      </c>
      <c r="AJ365" s="188">
        <v>1</v>
      </c>
      <c r="AO365" s="367"/>
      <c r="AP365" s="367"/>
      <c r="AQ365" s="367"/>
    </row>
    <row r="366" spans="1:43" s="69" customFormat="1" ht="39" x14ac:dyDescent="0.3">
      <c r="A366" s="130" t="s">
        <v>872</v>
      </c>
      <c r="B366" s="131" t="s">
        <v>873</v>
      </c>
      <c r="C366" s="132" t="s">
        <v>14</v>
      </c>
      <c r="D366" s="133">
        <v>1</v>
      </c>
      <c r="E366" s="75"/>
      <c r="F366" s="75"/>
      <c r="G366" s="75"/>
      <c r="H366" s="75"/>
      <c r="I366" s="343">
        <v>0</v>
      </c>
      <c r="J366" s="75">
        <v>174688.22</v>
      </c>
      <c r="K366" s="75">
        <v>0</v>
      </c>
      <c r="L366" s="91" t="s">
        <v>874</v>
      </c>
      <c r="M366" s="73"/>
      <c r="N366" s="46">
        <v>0</v>
      </c>
      <c r="O366" s="46">
        <v>0</v>
      </c>
      <c r="P366" s="46">
        <v>0</v>
      </c>
      <c r="Q366" s="98"/>
      <c r="R366" s="23" t="s">
        <v>1373</v>
      </c>
      <c r="S366" s="24" t="s">
        <v>873</v>
      </c>
      <c r="T366" s="25" t="s">
        <v>14</v>
      </c>
      <c r="U366" s="26">
        <v>1</v>
      </c>
      <c r="V366" s="26">
        <v>0</v>
      </c>
      <c r="W366" s="26">
        <f t="shared" si="74"/>
        <v>174688.22</v>
      </c>
      <c r="X366" s="127">
        <f t="shared" si="79"/>
        <v>0</v>
      </c>
      <c r="Y366" s="127">
        <f t="shared" si="75"/>
        <v>0</v>
      </c>
      <c r="Z366" s="127">
        <f t="shared" si="80"/>
        <v>0</v>
      </c>
      <c r="AA366" s="127">
        <f t="shared" si="68"/>
        <v>0</v>
      </c>
      <c r="AB366" s="33" t="s">
        <v>15</v>
      </c>
      <c r="AC366" s="324"/>
      <c r="AD366" s="181">
        <v>0</v>
      </c>
      <c r="AE366" s="181">
        <f t="shared" si="72"/>
        <v>0</v>
      </c>
      <c r="AF366" s="181">
        <v>1.8</v>
      </c>
      <c r="AG366" s="181">
        <v>1.8</v>
      </c>
      <c r="AH366" s="363" t="str">
        <f t="shared" ref="AH366:AH469" si="81">IF(Y366&gt;AJ366,"超估","")</f>
        <v/>
      </c>
      <c r="AI366" s="192">
        <v>0</v>
      </c>
      <c r="AJ366" s="188">
        <v>0</v>
      </c>
      <c r="AO366" s="367"/>
      <c r="AP366" s="367"/>
      <c r="AQ366" s="367"/>
    </row>
    <row r="367" spans="1:43" s="69" customFormat="1" ht="39" x14ac:dyDescent="0.3">
      <c r="A367" s="55" t="s">
        <v>875</v>
      </c>
      <c r="B367" s="53" t="s">
        <v>876</v>
      </c>
      <c r="C367" s="54" t="s">
        <v>14</v>
      </c>
      <c r="D367" s="75">
        <v>1</v>
      </c>
      <c r="E367" s="75"/>
      <c r="F367" s="75"/>
      <c r="G367" s="75"/>
      <c r="H367" s="75"/>
      <c r="I367" s="75"/>
      <c r="J367" s="75">
        <v>21221.84</v>
      </c>
      <c r="K367" s="75">
        <v>21221.84</v>
      </c>
      <c r="L367" s="91" t="s">
        <v>877</v>
      </c>
      <c r="M367" s="73"/>
      <c r="N367" s="46">
        <v>0</v>
      </c>
      <c r="O367" s="46">
        <v>0</v>
      </c>
      <c r="P367" s="46">
        <v>0</v>
      </c>
      <c r="Q367" s="98"/>
      <c r="R367" s="23" t="s">
        <v>1393</v>
      </c>
      <c r="S367" s="24" t="s">
        <v>876</v>
      </c>
      <c r="T367" s="25" t="s">
        <v>14</v>
      </c>
      <c r="U367" s="26">
        <v>1</v>
      </c>
      <c r="V367" s="26">
        <f t="shared" si="78"/>
        <v>1</v>
      </c>
      <c r="W367" s="26">
        <f t="shared" si="74"/>
        <v>21221.84</v>
      </c>
      <c r="X367" s="26">
        <f t="shared" si="79"/>
        <v>0</v>
      </c>
      <c r="Y367" s="26">
        <f t="shared" si="75"/>
        <v>0</v>
      </c>
      <c r="Z367" s="26">
        <f t="shared" si="80"/>
        <v>0</v>
      </c>
      <c r="AA367" s="26">
        <f t="shared" ref="AA367:AA406" si="82">ROUND(W367*Y367,2)</f>
        <v>0</v>
      </c>
      <c r="AB367" s="33" t="s">
        <v>15</v>
      </c>
      <c r="AC367" s="324"/>
      <c r="AD367" s="181">
        <f t="shared" si="73"/>
        <v>1</v>
      </c>
      <c r="AE367" s="181">
        <f t="shared" si="72"/>
        <v>21221.84</v>
      </c>
      <c r="AF367" s="181">
        <v>1.8</v>
      </c>
      <c r="AG367" s="181">
        <v>1.8</v>
      </c>
      <c r="AH367" s="363" t="str">
        <f t="shared" si="81"/>
        <v/>
      </c>
      <c r="AI367" s="192">
        <v>0</v>
      </c>
      <c r="AJ367" s="188">
        <v>1</v>
      </c>
      <c r="AO367" s="367"/>
      <c r="AP367" s="367"/>
      <c r="AQ367" s="367"/>
    </row>
    <row r="368" spans="1:43" s="69" customFormat="1" ht="78" x14ac:dyDescent="0.3">
      <c r="A368" s="130" t="s">
        <v>878</v>
      </c>
      <c r="B368" s="131" t="s">
        <v>879</v>
      </c>
      <c r="C368" s="132" t="s">
        <v>3144</v>
      </c>
      <c r="D368" s="133">
        <v>12</v>
      </c>
      <c r="E368" s="75"/>
      <c r="F368" s="75"/>
      <c r="G368" s="75"/>
      <c r="H368" s="75"/>
      <c r="I368" s="75"/>
      <c r="J368" s="75">
        <v>42800</v>
      </c>
      <c r="K368" s="75">
        <v>513600</v>
      </c>
      <c r="L368" s="91" t="s">
        <v>880</v>
      </c>
      <c r="M368" s="73"/>
      <c r="N368" s="46">
        <v>12</v>
      </c>
      <c r="O368" s="46">
        <v>0</v>
      </c>
      <c r="P368" s="46">
        <v>513600</v>
      </c>
      <c r="Q368" s="98"/>
      <c r="R368" s="23" t="s">
        <v>1403</v>
      </c>
      <c r="S368" s="24" t="s">
        <v>879</v>
      </c>
      <c r="T368" s="25" t="s">
        <v>81</v>
      </c>
      <c r="U368" s="26">
        <v>12</v>
      </c>
      <c r="V368" s="26">
        <f t="shared" si="78"/>
        <v>12</v>
      </c>
      <c r="W368" s="26">
        <f t="shared" si="74"/>
        <v>42800</v>
      </c>
      <c r="X368" s="127">
        <f t="shared" si="79"/>
        <v>0</v>
      </c>
      <c r="Y368" s="127">
        <f t="shared" si="75"/>
        <v>12</v>
      </c>
      <c r="Z368" s="127">
        <f t="shared" si="80"/>
        <v>0</v>
      </c>
      <c r="AA368" s="127">
        <f t="shared" si="82"/>
        <v>513600</v>
      </c>
      <c r="AB368" s="33" t="s">
        <v>15</v>
      </c>
      <c r="AC368" s="324"/>
      <c r="AD368" s="181">
        <f t="shared" si="73"/>
        <v>12</v>
      </c>
      <c r="AE368" s="181">
        <f t="shared" si="72"/>
        <v>513600</v>
      </c>
      <c r="AF368" s="181">
        <v>1.8</v>
      </c>
      <c r="AG368" s="181">
        <v>1.8</v>
      </c>
      <c r="AH368" s="363" t="str">
        <f t="shared" si="81"/>
        <v/>
      </c>
      <c r="AI368" s="194">
        <f>4+8</f>
        <v>12</v>
      </c>
      <c r="AJ368" s="188">
        <v>12</v>
      </c>
      <c r="AO368" s="367"/>
      <c r="AP368" s="367"/>
      <c r="AQ368" s="367"/>
    </row>
    <row r="369" spans="1:43" s="69" customFormat="1" ht="97.5" x14ac:dyDescent="0.3">
      <c r="A369" s="130" t="s">
        <v>881</v>
      </c>
      <c r="B369" s="131" t="s">
        <v>882</v>
      </c>
      <c r="C369" s="132" t="s">
        <v>81</v>
      </c>
      <c r="D369" s="133">
        <v>7</v>
      </c>
      <c r="E369" s="75"/>
      <c r="F369" s="75"/>
      <c r="G369" s="75"/>
      <c r="H369" s="75"/>
      <c r="I369" s="75"/>
      <c r="J369" s="75">
        <v>60400</v>
      </c>
      <c r="K369" s="75">
        <v>422800</v>
      </c>
      <c r="L369" s="91" t="s">
        <v>883</v>
      </c>
      <c r="M369" s="73"/>
      <c r="N369" s="46">
        <v>7</v>
      </c>
      <c r="O369" s="46">
        <v>0</v>
      </c>
      <c r="P369" s="46">
        <v>422800</v>
      </c>
      <c r="Q369" s="98"/>
      <c r="R369" s="23" t="s">
        <v>1427</v>
      </c>
      <c r="S369" s="24" t="s">
        <v>882</v>
      </c>
      <c r="T369" s="25" t="s">
        <v>81</v>
      </c>
      <c r="U369" s="26">
        <v>7</v>
      </c>
      <c r="V369" s="26">
        <f t="shared" si="78"/>
        <v>7</v>
      </c>
      <c r="W369" s="26">
        <f t="shared" si="74"/>
        <v>60400</v>
      </c>
      <c r="X369" s="127">
        <f t="shared" si="79"/>
        <v>0</v>
      </c>
      <c r="Y369" s="127">
        <f t="shared" si="75"/>
        <v>7</v>
      </c>
      <c r="Z369" s="127">
        <f t="shared" si="80"/>
        <v>0</v>
      </c>
      <c r="AA369" s="127">
        <f t="shared" si="82"/>
        <v>422800</v>
      </c>
      <c r="AB369" s="33" t="s">
        <v>15</v>
      </c>
      <c r="AC369" s="324"/>
      <c r="AD369" s="181">
        <f t="shared" si="73"/>
        <v>7</v>
      </c>
      <c r="AE369" s="181">
        <f t="shared" si="72"/>
        <v>422800</v>
      </c>
      <c r="AF369" s="181">
        <v>1.8</v>
      </c>
      <c r="AG369" s="181">
        <v>1.8</v>
      </c>
      <c r="AH369" s="363" t="str">
        <f t="shared" si="81"/>
        <v/>
      </c>
      <c r="AI369" s="194">
        <f>5+1+1</f>
        <v>7</v>
      </c>
      <c r="AJ369" s="188">
        <v>7</v>
      </c>
      <c r="AO369" s="367"/>
      <c r="AP369" s="367"/>
      <c r="AQ369" s="367"/>
    </row>
    <row r="370" spans="1:43" s="69" customFormat="1" ht="97.5" x14ac:dyDescent="0.3">
      <c r="A370" s="55" t="s">
        <v>884</v>
      </c>
      <c r="B370" s="53" t="s">
        <v>885</v>
      </c>
      <c r="C370" s="54" t="s">
        <v>81</v>
      </c>
      <c r="D370" s="75">
        <v>13</v>
      </c>
      <c r="E370" s="75"/>
      <c r="F370" s="75"/>
      <c r="G370" s="75"/>
      <c r="H370" s="75"/>
      <c r="I370" s="75"/>
      <c r="J370" s="75">
        <v>35000</v>
      </c>
      <c r="K370" s="75">
        <v>455000</v>
      </c>
      <c r="L370" s="91" t="s">
        <v>886</v>
      </c>
      <c r="M370" s="73"/>
      <c r="N370" s="46">
        <v>5</v>
      </c>
      <c r="O370" s="46">
        <v>0</v>
      </c>
      <c r="P370" s="46">
        <v>175000</v>
      </c>
      <c r="Q370" s="98"/>
      <c r="R370" s="23" t="s">
        <v>1428</v>
      </c>
      <c r="S370" s="24" t="s">
        <v>885</v>
      </c>
      <c r="T370" s="25" t="s">
        <v>81</v>
      </c>
      <c r="U370" s="26">
        <v>13</v>
      </c>
      <c r="V370" s="26">
        <f t="shared" si="78"/>
        <v>13</v>
      </c>
      <c r="W370" s="26">
        <f t="shared" si="74"/>
        <v>35000</v>
      </c>
      <c r="X370" s="243">
        <f t="shared" si="79"/>
        <v>6</v>
      </c>
      <c r="Y370" s="26">
        <f t="shared" si="75"/>
        <v>11</v>
      </c>
      <c r="Z370" s="26">
        <f t="shared" si="80"/>
        <v>210000</v>
      </c>
      <c r="AA370" s="26">
        <f t="shared" si="82"/>
        <v>385000</v>
      </c>
      <c r="AB370" s="33" t="s">
        <v>15</v>
      </c>
      <c r="AC370" s="324"/>
      <c r="AD370" s="181">
        <f t="shared" si="73"/>
        <v>13</v>
      </c>
      <c r="AE370" s="181">
        <f t="shared" si="72"/>
        <v>455000</v>
      </c>
      <c r="AF370" s="181">
        <v>1.8</v>
      </c>
      <c r="AG370" s="181">
        <v>1.8</v>
      </c>
      <c r="AH370" s="363" t="str">
        <f t="shared" si="81"/>
        <v/>
      </c>
      <c r="AI370" s="191">
        <f>5+6</f>
        <v>11</v>
      </c>
      <c r="AJ370" s="188">
        <v>13</v>
      </c>
      <c r="AO370" s="367"/>
      <c r="AP370" s="367"/>
      <c r="AQ370" s="367"/>
    </row>
    <row r="371" spans="1:43" s="69" customFormat="1" ht="78" x14ac:dyDescent="0.3">
      <c r="A371" s="55" t="s">
        <v>887</v>
      </c>
      <c r="B371" s="53" t="s">
        <v>888</v>
      </c>
      <c r="C371" s="54" t="s">
        <v>81</v>
      </c>
      <c r="D371" s="75">
        <v>13</v>
      </c>
      <c r="E371" s="75"/>
      <c r="F371" s="75"/>
      <c r="G371" s="75"/>
      <c r="H371" s="75"/>
      <c r="I371" s="75"/>
      <c r="J371" s="75">
        <v>10000</v>
      </c>
      <c r="K371" s="75">
        <v>130000</v>
      </c>
      <c r="L371" s="91" t="s">
        <v>889</v>
      </c>
      <c r="M371" s="73"/>
      <c r="N371" s="46">
        <v>0</v>
      </c>
      <c r="O371" s="46">
        <v>0</v>
      </c>
      <c r="P371" s="46">
        <v>0</v>
      </c>
      <c r="Q371" s="98"/>
      <c r="R371" s="23" t="s">
        <v>1387</v>
      </c>
      <c r="S371" s="24" t="s">
        <v>888</v>
      </c>
      <c r="T371" s="25" t="s">
        <v>81</v>
      </c>
      <c r="U371" s="26">
        <v>13</v>
      </c>
      <c r="V371" s="26">
        <f t="shared" si="78"/>
        <v>13</v>
      </c>
      <c r="W371" s="26">
        <f t="shared" si="74"/>
        <v>10000</v>
      </c>
      <c r="X371" s="199">
        <f t="shared" si="79"/>
        <v>11</v>
      </c>
      <c r="Y371" s="26">
        <f t="shared" si="75"/>
        <v>11</v>
      </c>
      <c r="Z371" s="26">
        <f t="shared" si="80"/>
        <v>110000</v>
      </c>
      <c r="AA371" s="26">
        <f t="shared" si="82"/>
        <v>110000</v>
      </c>
      <c r="AB371" s="33" t="s">
        <v>15</v>
      </c>
      <c r="AC371" s="324"/>
      <c r="AD371" s="181">
        <f t="shared" si="73"/>
        <v>13</v>
      </c>
      <c r="AE371" s="181">
        <f t="shared" si="72"/>
        <v>130000</v>
      </c>
      <c r="AF371" s="181">
        <v>1.8</v>
      </c>
      <c r="AG371" s="181">
        <v>1.8</v>
      </c>
      <c r="AH371" s="363" t="str">
        <f t="shared" si="81"/>
        <v/>
      </c>
      <c r="AI371" s="191">
        <f>11</f>
        <v>11</v>
      </c>
      <c r="AJ371" s="188">
        <v>13</v>
      </c>
      <c r="AO371" s="367"/>
      <c r="AP371" s="367"/>
      <c r="AQ371" s="367"/>
    </row>
    <row r="372" spans="1:43" s="69" customFormat="1" ht="39" x14ac:dyDescent="0.3">
      <c r="A372" s="55" t="s">
        <v>890</v>
      </c>
      <c r="B372" s="53" t="s">
        <v>891</v>
      </c>
      <c r="C372" s="54" t="s">
        <v>325</v>
      </c>
      <c r="D372" s="75">
        <v>2</v>
      </c>
      <c r="E372" s="75"/>
      <c r="F372" s="75"/>
      <c r="G372" s="75"/>
      <c r="H372" s="75"/>
      <c r="I372" s="75"/>
      <c r="J372" s="75">
        <v>1500</v>
      </c>
      <c r="K372" s="75">
        <v>3000</v>
      </c>
      <c r="L372" s="91" t="s">
        <v>892</v>
      </c>
      <c r="M372" s="73"/>
      <c r="N372" s="46">
        <v>0</v>
      </c>
      <c r="O372" s="46">
        <v>0</v>
      </c>
      <c r="P372" s="46">
        <v>0</v>
      </c>
      <c r="Q372" s="98"/>
      <c r="R372" s="23" t="s">
        <v>1405</v>
      </c>
      <c r="S372" s="24" t="s">
        <v>891</v>
      </c>
      <c r="T372" s="25" t="s">
        <v>325</v>
      </c>
      <c r="U372" s="26">
        <v>2</v>
      </c>
      <c r="V372" s="26">
        <f t="shared" si="78"/>
        <v>2</v>
      </c>
      <c r="W372" s="26">
        <f t="shared" si="74"/>
        <v>1500</v>
      </c>
      <c r="X372" s="26">
        <f t="shared" si="79"/>
        <v>0</v>
      </c>
      <c r="Y372" s="26">
        <f t="shared" si="75"/>
        <v>0</v>
      </c>
      <c r="Z372" s="26">
        <f t="shared" si="80"/>
        <v>0</v>
      </c>
      <c r="AA372" s="26">
        <f t="shared" si="82"/>
        <v>0</v>
      </c>
      <c r="AB372" s="33" t="s">
        <v>15</v>
      </c>
      <c r="AC372" s="324"/>
      <c r="AD372" s="181">
        <f t="shared" si="73"/>
        <v>2</v>
      </c>
      <c r="AE372" s="181">
        <f t="shared" si="72"/>
        <v>3000</v>
      </c>
      <c r="AF372" s="181">
        <v>1.8</v>
      </c>
      <c r="AG372" s="181">
        <v>1.8</v>
      </c>
      <c r="AH372" s="363" t="str">
        <f t="shared" si="81"/>
        <v/>
      </c>
      <c r="AI372" s="192">
        <v>0</v>
      </c>
      <c r="AJ372" s="188">
        <v>2</v>
      </c>
      <c r="AO372" s="367"/>
      <c r="AP372" s="367"/>
      <c r="AQ372" s="367"/>
    </row>
    <row r="373" spans="1:43" s="69" customFormat="1" ht="39" x14ac:dyDescent="0.3">
      <c r="A373" s="55" t="s">
        <v>893</v>
      </c>
      <c r="B373" s="53" t="s">
        <v>894</v>
      </c>
      <c r="C373" s="54" t="s">
        <v>325</v>
      </c>
      <c r="D373" s="75">
        <v>2</v>
      </c>
      <c r="E373" s="75"/>
      <c r="F373" s="75"/>
      <c r="G373" s="75"/>
      <c r="H373" s="75"/>
      <c r="I373" s="75"/>
      <c r="J373" s="75">
        <v>4000</v>
      </c>
      <c r="K373" s="75">
        <v>8000</v>
      </c>
      <c r="L373" s="91" t="s">
        <v>895</v>
      </c>
      <c r="M373" s="73"/>
      <c r="N373" s="46">
        <v>0</v>
      </c>
      <c r="O373" s="46">
        <v>0</v>
      </c>
      <c r="P373" s="46">
        <v>0</v>
      </c>
      <c r="Q373" s="98"/>
      <c r="R373" s="23" t="s">
        <v>1406</v>
      </c>
      <c r="S373" s="24" t="s">
        <v>894</v>
      </c>
      <c r="T373" s="25" t="s">
        <v>325</v>
      </c>
      <c r="U373" s="26">
        <v>2</v>
      </c>
      <c r="V373" s="26">
        <f t="shared" si="78"/>
        <v>2</v>
      </c>
      <c r="W373" s="26">
        <f t="shared" si="74"/>
        <v>4000</v>
      </c>
      <c r="X373" s="26">
        <f t="shared" si="79"/>
        <v>0</v>
      </c>
      <c r="Y373" s="26">
        <f t="shared" si="75"/>
        <v>0</v>
      </c>
      <c r="Z373" s="26">
        <f t="shared" si="80"/>
        <v>0</v>
      </c>
      <c r="AA373" s="26">
        <f t="shared" si="82"/>
        <v>0</v>
      </c>
      <c r="AB373" s="33" t="s">
        <v>15</v>
      </c>
      <c r="AC373" s="324"/>
      <c r="AD373" s="181">
        <f t="shared" si="73"/>
        <v>2</v>
      </c>
      <c r="AE373" s="181">
        <f t="shared" si="72"/>
        <v>8000</v>
      </c>
      <c r="AF373" s="181">
        <v>1.8</v>
      </c>
      <c r="AG373" s="181">
        <v>1.8</v>
      </c>
      <c r="AH373" s="363" t="str">
        <f t="shared" si="81"/>
        <v/>
      </c>
      <c r="AI373" s="192">
        <v>0</v>
      </c>
      <c r="AJ373" s="188">
        <v>2</v>
      </c>
      <c r="AO373" s="367"/>
      <c r="AP373" s="367"/>
      <c r="AQ373" s="367"/>
    </row>
    <row r="374" spans="1:43" s="69" customFormat="1" x14ac:dyDescent="0.3">
      <c r="A374" s="258" t="s">
        <v>896</v>
      </c>
      <c r="B374" s="215" t="s">
        <v>897</v>
      </c>
      <c r="C374" s="259" t="s">
        <v>30</v>
      </c>
      <c r="D374" s="260">
        <v>216.55</v>
      </c>
      <c r="E374" s="75"/>
      <c r="F374" s="75"/>
      <c r="G374" s="75"/>
      <c r="H374" s="75"/>
      <c r="I374" s="75"/>
      <c r="J374" s="75">
        <v>800</v>
      </c>
      <c r="K374" s="75">
        <v>173240</v>
      </c>
      <c r="L374" s="91" t="s">
        <v>898</v>
      </c>
      <c r="M374" s="73"/>
      <c r="N374" s="46">
        <v>115</v>
      </c>
      <c r="O374" s="46">
        <v>0</v>
      </c>
      <c r="P374" s="46">
        <v>92000</v>
      </c>
      <c r="Q374" s="98"/>
      <c r="R374" s="23" t="s">
        <v>1414</v>
      </c>
      <c r="S374" s="24" t="s">
        <v>897</v>
      </c>
      <c r="T374" s="25" t="s">
        <v>30</v>
      </c>
      <c r="U374" s="26">
        <v>216.55</v>
      </c>
      <c r="V374" s="26">
        <f t="shared" si="78"/>
        <v>216.55</v>
      </c>
      <c r="W374" s="26">
        <f t="shared" si="74"/>
        <v>800</v>
      </c>
      <c r="X374" s="128">
        <f t="shared" si="79"/>
        <v>0</v>
      </c>
      <c r="Y374" s="26">
        <f t="shared" si="75"/>
        <v>115</v>
      </c>
      <c r="Z374" s="26">
        <f t="shared" si="80"/>
        <v>0</v>
      </c>
      <c r="AA374" s="26">
        <f t="shared" si="82"/>
        <v>92000</v>
      </c>
      <c r="AB374" s="33" t="s">
        <v>15</v>
      </c>
      <c r="AC374" s="324"/>
      <c r="AD374" s="181">
        <f t="shared" si="73"/>
        <v>216.55</v>
      </c>
      <c r="AE374" s="181">
        <f t="shared" si="72"/>
        <v>173240</v>
      </c>
      <c r="AF374" s="181">
        <v>1.8</v>
      </c>
      <c r="AG374" s="181">
        <v>1.8</v>
      </c>
      <c r="AH374" s="363" t="str">
        <f t="shared" si="81"/>
        <v/>
      </c>
      <c r="AI374" s="194">
        <f>115</f>
        <v>115</v>
      </c>
      <c r="AJ374" s="188">
        <v>216.55</v>
      </c>
      <c r="AO374" s="367"/>
      <c r="AP374" s="367"/>
      <c r="AQ374" s="367"/>
    </row>
    <row r="375" spans="1:43" s="69" customFormat="1" ht="39" x14ac:dyDescent="0.3">
      <c r="A375" s="130" t="s">
        <v>899</v>
      </c>
      <c r="B375" s="131" t="s">
        <v>900</v>
      </c>
      <c r="C375" s="132" t="s">
        <v>325</v>
      </c>
      <c r="D375" s="133">
        <v>5</v>
      </c>
      <c r="E375" s="75"/>
      <c r="F375" s="75"/>
      <c r="G375" s="75"/>
      <c r="H375" s="75"/>
      <c r="I375" s="75"/>
      <c r="J375" s="75">
        <v>11300</v>
      </c>
      <c r="K375" s="75">
        <v>56500</v>
      </c>
      <c r="L375" s="91" t="s">
        <v>901</v>
      </c>
      <c r="M375" s="73"/>
      <c r="N375" s="46">
        <v>5</v>
      </c>
      <c r="O375" s="46">
        <v>56500</v>
      </c>
      <c r="P375" s="46">
        <v>56500</v>
      </c>
      <c r="Q375" s="98"/>
      <c r="R375" s="23" t="s">
        <v>1429</v>
      </c>
      <c r="S375" s="24" t="s">
        <v>900</v>
      </c>
      <c r="T375" s="25" t="s">
        <v>325</v>
      </c>
      <c r="U375" s="26">
        <v>5</v>
      </c>
      <c r="V375" s="26">
        <f t="shared" si="78"/>
        <v>5</v>
      </c>
      <c r="W375" s="26">
        <f t="shared" si="74"/>
        <v>11300</v>
      </c>
      <c r="X375" s="26">
        <f t="shared" si="79"/>
        <v>0</v>
      </c>
      <c r="Y375" s="127">
        <f t="shared" si="75"/>
        <v>5</v>
      </c>
      <c r="Z375" s="127">
        <f t="shared" si="80"/>
        <v>0</v>
      </c>
      <c r="AA375" s="127">
        <f t="shared" si="82"/>
        <v>56500</v>
      </c>
      <c r="AB375" s="33" t="s">
        <v>15</v>
      </c>
      <c r="AC375" s="324"/>
      <c r="AD375" s="181">
        <f t="shared" si="73"/>
        <v>5</v>
      </c>
      <c r="AE375" s="181">
        <f t="shared" si="72"/>
        <v>56500</v>
      </c>
      <c r="AF375" s="181">
        <v>1.8</v>
      </c>
      <c r="AG375" s="181">
        <v>1.8</v>
      </c>
      <c r="AH375" s="363" t="str">
        <f t="shared" si="81"/>
        <v/>
      </c>
      <c r="AI375" s="192">
        <v>5</v>
      </c>
      <c r="AJ375" s="188">
        <v>5</v>
      </c>
      <c r="AO375" s="367"/>
      <c r="AP375" s="367"/>
      <c r="AQ375" s="367"/>
    </row>
    <row r="376" spans="1:43" s="69" customFormat="1" x14ac:dyDescent="0.3">
      <c r="A376" s="55" t="s">
        <v>902</v>
      </c>
      <c r="B376" s="53" t="s">
        <v>903</v>
      </c>
      <c r="C376" s="54" t="s">
        <v>325</v>
      </c>
      <c r="D376" s="75">
        <v>8</v>
      </c>
      <c r="E376" s="75"/>
      <c r="F376" s="75"/>
      <c r="G376" s="75"/>
      <c r="H376" s="75"/>
      <c r="I376" s="75"/>
      <c r="J376" s="75">
        <v>13500</v>
      </c>
      <c r="K376" s="75">
        <v>108000</v>
      </c>
      <c r="L376" s="91" t="s">
        <v>904</v>
      </c>
      <c r="M376" s="73"/>
      <c r="N376" s="46">
        <v>0</v>
      </c>
      <c r="O376" s="46">
        <v>0</v>
      </c>
      <c r="P376" s="46">
        <v>0</v>
      </c>
      <c r="Q376" s="98"/>
      <c r="R376" s="23" t="s">
        <v>1430</v>
      </c>
      <c r="S376" s="24" t="s">
        <v>903</v>
      </c>
      <c r="T376" s="25" t="s">
        <v>325</v>
      </c>
      <c r="U376" s="26">
        <v>8</v>
      </c>
      <c r="V376" s="26">
        <f t="shared" si="78"/>
        <v>8</v>
      </c>
      <c r="W376" s="26">
        <f t="shared" si="74"/>
        <v>13500</v>
      </c>
      <c r="X376" s="26">
        <f t="shared" si="79"/>
        <v>0</v>
      </c>
      <c r="Y376" s="26">
        <f t="shared" si="75"/>
        <v>0</v>
      </c>
      <c r="Z376" s="26">
        <f t="shared" si="80"/>
        <v>0</v>
      </c>
      <c r="AA376" s="26">
        <f t="shared" si="82"/>
        <v>0</v>
      </c>
      <c r="AB376" s="33" t="s">
        <v>15</v>
      </c>
      <c r="AC376" s="324"/>
      <c r="AD376" s="181">
        <f t="shared" si="73"/>
        <v>8</v>
      </c>
      <c r="AE376" s="181">
        <f t="shared" si="72"/>
        <v>108000</v>
      </c>
      <c r="AF376" s="181">
        <v>1.8</v>
      </c>
      <c r="AG376" s="181">
        <v>1.8</v>
      </c>
      <c r="AH376" s="363" t="str">
        <f t="shared" si="81"/>
        <v/>
      </c>
      <c r="AI376" s="192">
        <v>0</v>
      </c>
      <c r="AJ376" s="188">
        <v>8</v>
      </c>
      <c r="AO376" s="367"/>
      <c r="AP376" s="367"/>
      <c r="AQ376" s="367"/>
    </row>
    <row r="377" spans="1:43" s="69" customFormat="1" ht="24.75" x14ac:dyDescent="0.3">
      <c r="A377" s="55" t="s">
        <v>905</v>
      </c>
      <c r="B377" s="53" t="s">
        <v>906</v>
      </c>
      <c r="C377" s="54" t="s">
        <v>73</v>
      </c>
      <c r="D377" s="75">
        <v>1</v>
      </c>
      <c r="E377" s="75"/>
      <c r="F377" s="75"/>
      <c r="G377" s="75"/>
      <c r="H377" s="75"/>
      <c r="I377" s="75"/>
      <c r="J377" s="75">
        <v>112963.49</v>
      </c>
      <c r="K377" s="75">
        <v>112963.49</v>
      </c>
      <c r="L377" s="91" t="s">
        <v>907</v>
      </c>
      <c r="M377" s="73"/>
      <c r="N377" s="46">
        <v>0</v>
      </c>
      <c r="O377" s="46">
        <v>0</v>
      </c>
      <c r="P377" s="46">
        <v>0</v>
      </c>
      <c r="Q377" s="98"/>
      <c r="R377" s="23" t="s">
        <v>1431</v>
      </c>
      <c r="S377" s="24" t="s">
        <v>906</v>
      </c>
      <c r="T377" s="25" t="s">
        <v>73</v>
      </c>
      <c r="U377" s="26">
        <v>1</v>
      </c>
      <c r="V377" s="26">
        <f t="shared" si="78"/>
        <v>1</v>
      </c>
      <c r="W377" s="26">
        <f t="shared" si="74"/>
        <v>112963.49</v>
      </c>
      <c r="X377" s="26">
        <f t="shared" si="79"/>
        <v>0</v>
      </c>
      <c r="Y377" s="26">
        <f t="shared" si="75"/>
        <v>0</v>
      </c>
      <c r="Z377" s="26">
        <f t="shared" si="80"/>
        <v>0</v>
      </c>
      <c r="AA377" s="26">
        <f t="shared" si="82"/>
        <v>0</v>
      </c>
      <c r="AB377" s="33" t="s">
        <v>15</v>
      </c>
      <c r="AC377" s="324"/>
      <c r="AD377" s="181">
        <f t="shared" si="73"/>
        <v>1</v>
      </c>
      <c r="AE377" s="181">
        <f t="shared" si="72"/>
        <v>112963.49</v>
      </c>
      <c r="AF377" s="181">
        <v>1.8</v>
      </c>
      <c r="AG377" s="181">
        <v>1.8</v>
      </c>
      <c r="AH377" s="363" t="str">
        <f t="shared" si="81"/>
        <v/>
      </c>
      <c r="AI377" s="192">
        <v>0</v>
      </c>
      <c r="AJ377" s="188">
        <v>1</v>
      </c>
      <c r="AO377" s="367"/>
      <c r="AP377" s="367"/>
      <c r="AQ377" s="367"/>
    </row>
    <row r="378" spans="1:43" s="69" customFormat="1" ht="24.75" x14ac:dyDescent="0.3">
      <c r="A378" s="130" t="s">
        <v>908</v>
      </c>
      <c r="B378" s="131" t="s">
        <v>909</v>
      </c>
      <c r="C378" s="132" t="s">
        <v>14</v>
      </c>
      <c r="D378" s="133">
        <v>1</v>
      </c>
      <c r="E378" s="75"/>
      <c r="F378" s="75"/>
      <c r="G378" s="75"/>
      <c r="H378" s="75"/>
      <c r="I378" s="343">
        <v>0</v>
      </c>
      <c r="J378" s="75">
        <v>322500</v>
      </c>
      <c r="K378" s="75">
        <v>0</v>
      </c>
      <c r="L378" s="91" t="s">
        <v>910</v>
      </c>
      <c r="M378" s="73"/>
      <c r="N378" s="46">
        <v>0</v>
      </c>
      <c r="O378" s="46">
        <v>0</v>
      </c>
      <c r="P378" s="46">
        <v>0</v>
      </c>
      <c r="Q378" s="98"/>
      <c r="R378" s="23" t="s">
        <v>1395</v>
      </c>
      <c r="S378" s="24" t="s">
        <v>909</v>
      </c>
      <c r="T378" s="25" t="s">
        <v>14</v>
      </c>
      <c r="U378" s="26">
        <v>1</v>
      </c>
      <c r="V378" s="26">
        <v>0</v>
      </c>
      <c r="W378" s="26">
        <f t="shared" si="74"/>
        <v>322500</v>
      </c>
      <c r="X378" s="127">
        <f t="shared" si="79"/>
        <v>0</v>
      </c>
      <c r="Y378" s="127">
        <f t="shared" si="75"/>
        <v>0</v>
      </c>
      <c r="Z378" s="127">
        <f t="shared" si="80"/>
        <v>0</v>
      </c>
      <c r="AA378" s="127">
        <f t="shared" si="82"/>
        <v>0</v>
      </c>
      <c r="AB378" s="33" t="s">
        <v>15</v>
      </c>
      <c r="AC378" s="324"/>
      <c r="AD378" s="181">
        <v>0</v>
      </c>
      <c r="AE378" s="181">
        <f t="shared" si="72"/>
        <v>0</v>
      </c>
      <c r="AF378" s="181">
        <v>1.8</v>
      </c>
      <c r="AG378" s="181">
        <v>1.8</v>
      </c>
      <c r="AH378" s="363" t="str">
        <f t="shared" si="81"/>
        <v/>
      </c>
      <c r="AI378" s="192">
        <v>0</v>
      </c>
      <c r="AJ378" s="188">
        <v>0</v>
      </c>
      <c r="AO378" s="367"/>
      <c r="AP378" s="367"/>
      <c r="AQ378" s="367"/>
    </row>
    <row r="379" spans="1:43" s="69" customFormat="1" x14ac:dyDescent="0.3">
      <c r="A379" s="246" t="s">
        <v>911</v>
      </c>
      <c r="B379" s="247" t="s">
        <v>912</v>
      </c>
      <c r="C379" s="248" t="s">
        <v>325</v>
      </c>
      <c r="D379" s="249">
        <v>7</v>
      </c>
      <c r="E379" s="75"/>
      <c r="F379" s="75"/>
      <c r="G379" s="75"/>
      <c r="H379" s="75"/>
      <c r="I379" s="75"/>
      <c r="J379" s="75">
        <v>15500</v>
      </c>
      <c r="K379" s="75">
        <v>108500</v>
      </c>
      <c r="L379" s="91" t="s">
        <v>913</v>
      </c>
      <c r="M379" s="73"/>
      <c r="N379" s="46">
        <v>0</v>
      </c>
      <c r="O379" s="46">
        <v>0</v>
      </c>
      <c r="P379" s="46">
        <v>0</v>
      </c>
      <c r="Q379" s="98"/>
      <c r="R379" s="23" t="s">
        <v>1432</v>
      </c>
      <c r="S379" s="24" t="s">
        <v>912</v>
      </c>
      <c r="T379" s="25" t="s">
        <v>325</v>
      </c>
      <c r="U379" s="26">
        <v>7</v>
      </c>
      <c r="V379" s="26">
        <f t="shared" si="78"/>
        <v>7</v>
      </c>
      <c r="W379" s="26">
        <f t="shared" si="74"/>
        <v>15500</v>
      </c>
      <c r="X379" s="26">
        <f t="shared" si="79"/>
        <v>0</v>
      </c>
      <c r="Y379" s="26">
        <f t="shared" si="75"/>
        <v>0</v>
      </c>
      <c r="Z379" s="26">
        <f t="shared" si="80"/>
        <v>0</v>
      </c>
      <c r="AA379" s="26">
        <f t="shared" si="82"/>
        <v>0</v>
      </c>
      <c r="AB379" s="33" t="s">
        <v>15</v>
      </c>
      <c r="AC379" s="324"/>
      <c r="AD379" s="181">
        <f t="shared" si="73"/>
        <v>7</v>
      </c>
      <c r="AE379" s="181">
        <f t="shared" si="72"/>
        <v>108500</v>
      </c>
      <c r="AF379" s="181">
        <v>1.8</v>
      </c>
      <c r="AG379" s="181">
        <v>1.8</v>
      </c>
      <c r="AH379" s="363" t="str">
        <f t="shared" si="81"/>
        <v/>
      </c>
      <c r="AI379" s="192">
        <v>0</v>
      </c>
      <c r="AJ379" s="188">
        <v>7</v>
      </c>
      <c r="AO379" s="367"/>
      <c r="AP379" s="367"/>
      <c r="AQ379" s="367"/>
    </row>
    <row r="380" spans="1:43" s="69" customFormat="1" ht="24.75" x14ac:dyDescent="0.3">
      <c r="A380" s="246" t="s">
        <v>914</v>
      </c>
      <c r="B380" s="247" t="s">
        <v>915</v>
      </c>
      <c r="C380" s="248" t="s">
        <v>325</v>
      </c>
      <c r="D380" s="249">
        <v>2</v>
      </c>
      <c r="E380" s="75"/>
      <c r="F380" s="75"/>
      <c r="G380" s="75"/>
      <c r="H380" s="75"/>
      <c r="I380" s="75"/>
      <c r="J380" s="75">
        <v>113300</v>
      </c>
      <c r="K380" s="75">
        <v>226600</v>
      </c>
      <c r="L380" s="91" t="s">
        <v>916</v>
      </c>
      <c r="M380" s="73"/>
      <c r="N380" s="46">
        <v>0</v>
      </c>
      <c r="O380" s="46">
        <v>0</v>
      </c>
      <c r="P380" s="46">
        <v>0</v>
      </c>
      <c r="Q380" s="98"/>
      <c r="R380" s="23" t="s">
        <v>1433</v>
      </c>
      <c r="S380" s="24" t="s">
        <v>915</v>
      </c>
      <c r="T380" s="25" t="s">
        <v>325</v>
      </c>
      <c r="U380" s="26">
        <v>2</v>
      </c>
      <c r="V380" s="26">
        <f t="shared" si="78"/>
        <v>2</v>
      </c>
      <c r="W380" s="26">
        <f t="shared" si="74"/>
        <v>113300</v>
      </c>
      <c r="X380" s="26">
        <f t="shared" si="79"/>
        <v>0</v>
      </c>
      <c r="Y380" s="26">
        <f t="shared" si="75"/>
        <v>0</v>
      </c>
      <c r="Z380" s="26">
        <f t="shared" si="80"/>
        <v>0</v>
      </c>
      <c r="AA380" s="26">
        <f t="shared" si="82"/>
        <v>0</v>
      </c>
      <c r="AB380" s="33" t="s">
        <v>15</v>
      </c>
      <c r="AC380" s="324"/>
      <c r="AD380" s="181">
        <f t="shared" si="73"/>
        <v>2</v>
      </c>
      <c r="AE380" s="181">
        <f t="shared" si="72"/>
        <v>226600</v>
      </c>
      <c r="AF380" s="181">
        <v>1.8</v>
      </c>
      <c r="AG380" s="181">
        <v>1.8</v>
      </c>
      <c r="AH380" s="363" t="str">
        <f t="shared" si="81"/>
        <v/>
      </c>
      <c r="AI380" s="192">
        <v>0</v>
      </c>
      <c r="AJ380" s="188">
        <v>2</v>
      </c>
      <c r="AO380" s="367"/>
      <c r="AP380" s="367"/>
      <c r="AQ380" s="367"/>
    </row>
    <row r="381" spans="1:43" s="69" customFormat="1" x14ac:dyDescent="0.3">
      <c r="A381" s="130" t="s">
        <v>917</v>
      </c>
      <c r="B381" s="131" t="s">
        <v>918</v>
      </c>
      <c r="C381" s="132" t="s">
        <v>325</v>
      </c>
      <c r="D381" s="133">
        <v>9</v>
      </c>
      <c r="E381" s="75"/>
      <c r="F381" s="75"/>
      <c r="G381" s="75"/>
      <c r="H381" s="75"/>
      <c r="I381" s="343">
        <v>13</v>
      </c>
      <c r="J381" s="75">
        <v>100000</v>
      </c>
      <c r="K381" s="75">
        <v>1300000</v>
      </c>
      <c r="L381" s="91" t="s">
        <v>919</v>
      </c>
      <c r="M381" s="73"/>
      <c r="N381" s="46">
        <v>13</v>
      </c>
      <c r="O381" s="46">
        <v>400000</v>
      </c>
      <c r="P381" s="46">
        <v>1300000</v>
      </c>
      <c r="Q381" s="98"/>
      <c r="R381" s="23" t="s">
        <v>1382</v>
      </c>
      <c r="S381" s="24" t="s">
        <v>918</v>
      </c>
      <c r="T381" s="25" t="s">
        <v>325</v>
      </c>
      <c r="U381" s="26">
        <v>9</v>
      </c>
      <c r="V381" s="26">
        <f t="shared" si="78"/>
        <v>13</v>
      </c>
      <c r="W381" s="26">
        <f t="shared" si="74"/>
        <v>100000</v>
      </c>
      <c r="X381" s="127">
        <f t="shared" si="79"/>
        <v>0</v>
      </c>
      <c r="Y381" s="127">
        <f t="shared" si="75"/>
        <v>13</v>
      </c>
      <c r="Z381" s="127">
        <f t="shared" si="80"/>
        <v>0</v>
      </c>
      <c r="AA381" s="127">
        <f t="shared" si="82"/>
        <v>1300000</v>
      </c>
      <c r="AB381" s="33" t="s">
        <v>15</v>
      </c>
      <c r="AC381" s="324"/>
      <c r="AD381" s="181">
        <f t="shared" si="73"/>
        <v>13</v>
      </c>
      <c r="AE381" s="181">
        <f t="shared" si="72"/>
        <v>1300000</v>
      </c>
      <c r="AF381" s="181">
        <v>1.8</v>
      </c>
      <c r="AG381" s="181">
        <v>1.8</v>
      </c>
      <c r="AH381" s="363" t="str">
        <f t="shared" si="81"/>
        <v/>
      </c>
      <c r="AI381" s="194">
        <v>13</v>
      </c>
      <c r="AJ381" s="190">
        <v>13</v>
      </c>
      <c r="AO381" s="367"/>
      <c r="AP381" s="367"/>
      <c r="AQ381" s="367"/>
    </row>
    <row r="382" spans="1:43" s="69" customFormat="1" x14ac:dyDescent="0.3">
      <c r="A382" s="130" t="s">
        <v>920</v>
      </c>
      <c r="B382" s="131" t="s">
        <v>921</v>
      </c>
      <c r="C382" s="132" t="s">
        <v>81</v>
      </c>
      <c r="D382" s="133">
        <v>2</v>
      </c>
      <c r="E382" s="75"/>
      <c r="F382" s="75"/>
      <c r="G382" s="75"/>
      <c r="H382" s="75"/>
      <c r="I382" s="75"/>
      <c r="J382" s="75">
        <v>15000</v>
      </c>
      <c r="K382" s="75">
        <v>30000</v>
      </c>
      <c r="L382" s="91" t="s">
        <v>922</v>
      </c>
      <c r="M382" s="73"/>
      <c r="N382" s="46">
        <v>2</v>
      </c>
      <c r="O382" s="46">
        <v>0</v>
      </c>
      <c r="P382" s="46">
        <v>30000</v>
      </c>
      <c r="Q382" s="98"/>
      <c r="R382" s="23" t="s">
        <v>1434</v>
      </c>
      <c r="S382" s="24" t="s">
        <v>921</v>
      </c>
      <c r="T382" s="25" t="s">
        <v>81</v>
      </c>
      <c r="U382" s="26">
        <v>2</v>
      </c>
      <c r="V382" s="26">
        <f t="shared" si="78"/>
        <v>2</v>
      </c>
      <c r="W382" s="26">
        <f t="shared" si="74"/>
        <v>15000</v>
      </c>
      <c r="X382" s="127">
        <f t="shared" si="79"/>
        <v>0</v>
      </c>
      <c r="Y382" s="127">
        <f t="shared" si="75"/>
        <v>2</v>
      </c>
      <c r="Z382" s="127">
        <f t="shared" si="80"/>
        <v>0</v>
      </c>
      <c r="AA382" s="127">
        <f t="shared" si="82"/>
        <v>30000</v>
      </c>
      <c r="AB382" s="33" t="s">
        <v>15</v>
      </c>
      <c r="AC382" s="324"/>
      <c r="AD382" s="181">
        <f t="shared" si="73"/>
        <v>2</v>
      </c>
      <c r="AE382" s="181">
        <f t="shared" si="72"/>
        <v>30000</v>
      </c>
      <c r="AF382" s="181">
        <v>1.8</v>
      </c>
      <c r="AG382" s="181">
        <v>1.8</v>
      </c>
      <c r="AH382" s="363" t="str">
        <f t="shared" si="81"/>
        <v/>
      </c>
      <c r="AI382" s="194">
        <v>2</v>
      </c>
      <c r="AJ382" s="188">
        <v>2</v>
      </c>
      <c r="AO382" s="367"/>
      <c r="AP382" s="367"/>
      <c r="AQ382" s="367"/>
    </row>
    <row r="383" spans="1:43" s="69" customFormat="1" ht="39" x14ac:dyDescent="0.3">
      <c r="A383" s="55" t="s">
        <v>923</v>
      </c>
      <c r="B383" s="53" t="s">
        <v>3157</v>
      </c>
      <c r="C383" s="54" t="s">
        <v>925</v>
      </c>
      <c r="D383" s="75">
        <v>1</v>
      </c>
      <c r="E383" s="75"/>
      <c r="F383" s="75"/>
      <c r="G383" s="75"/>
      <c r="H383" s="75"/>
      <c r="I383" s="75"/>
      <c r="J383" s="75">
        <v>15000</v>
      </c>
      <c r="K383" s="75">
        <v>15000</v>
      </c>
      <c r="L383" s="91" t="s">
        <v>926</v>
      </c>
      <c r="M383" s="73"/>
      <c r="N383" s="46">
        <v>0</v>
      </c>
      <c r="O383" s="46">
        <v>0</v>
      </c>
      <c r="P383" s="46">
        <v>0</v>
      </c>
      <c r="Q383" s="98"/>
      <c r="R383" s="23" t="s">
        <v>1388</v>
      </c>
      <c r="S383" s="24" t="s">
        <v>924</v>
      </c>
      <c r="T383" s="25" t="s">
        <v>925</v>
      </c>
      <c r="U383" s="26">
        <v>1</v>
      </c>
      <c r="V383" s="26">
        <f t="shared" si="78"/>
        <v>1</v>
      </c>
      <c r="W383" s="26">
        <f t="shared" si="74"/>
        <v>15000</v>
      </c>
      <c r="X383" s="26">
        <f t="shared" si="79"/>
        <v>0</v>
      </c>
      <c r="Y383" s="26">
        <f t="shared" si="75"/>
        <v>0</v>
      </c>
      <c r="Z383" s="26">
        <f t="shared" si="80"/>
        <v>0</v>
      </c>
      <c r="AA383" s="26">
        <f t="shared" si="82"/>
        <v>0</v>
      </c>
      <c r="AB383" s="33" t="s">
        <v>15</v>
      </c>
      <c r="AC383" s="324"/>
      <c r="AD383" s="181">
        <f t="shared" si="73"/>
        <v>1</v>
      </c>
      <c r="AE383" s="181">
        <f t="shared" si="72"/>
        <v>15000</v>
      </c>
      <c r="AF383" s="181">
        <v>1.8</v>
      </c>
      <c r="AG383" s="181">
        <v>1.8</v>
      </c>
      <c r="AH383" s="363" t="str">
        <f t="shared" si="81"/>
        <v/>
      </c>
      <c r="AI383" s="192">
        <v>0</v>
      </c>
      <c r="AJ383" s="188">
        <v>1</v>
      </c>
      <c r="AO383" s="367"/>
      <c r="AP383" s="367"/>
      <c r="AQ383" s="367"/>
    </row>
    <row r="384" spans="1:43" s="69" customFormat="1" x14ac:dyDescent="0.3">
      <c r="A384" s="55" t="s">
        <v>927</v>
      </c>
      <c r="B384" s="53" t="s">
        <v>928</v>
      </c>
      <c r="C384" s="54" t="s">
        <v>325</v>
      </c>
      <c r="D384" s="75">
        <v>1</v>
      </c>
      <c r="E384" s="75"/>
      <c r="F384" s="75"/>
      <c r="G384" s="75"/>
      <c r="H384" s="75"/>
      <c r="I384" s="75"/>
      <c r="J384" s="75">
        <v>1500</v>
      </c>
      <c r="K384" s="75">
        <v>1500</v>
      </c>
      <c r="L384" s="91" t="s">
        <v>929</v>
      </c>
      <c r="M384" s="73"/>
      <c r="N384" s="46">
        <v>0</v>
      </c>
      <c r="O384" s="46">
        <v>0</v>
      </c>
      <c r="P384" s="46">
        <v>0</v>
      </c>
      <c r="Q384" s="98"/>
      <c r="R384" s="23" t="s">
        <v>1389</v>
      </c>
      <c r="S384" s="24" t="s">
        <v>928</v>
      </c>
      <c r="T384" s="25" t="s">
        <v>325</v>
      </c>
      <c r="U384" s="26">
        <v>1</v>
      </c>
      <c r="V384" s="26">
        <f t="shared" si="78"/>
        <v>1</v>
      </c>
      <c r="W384" s="26">
        <f t="shared" si="74"/>
        <v>1500</v>
      </c>
      <c r="X384" s="26">
        <f t="shared" si="79"/>
        <v>0</v>
      </c>
      <c r="Y384" s="26">
        <f t="shared" si="75"/>
        <v>0</v>
      </c>
      <c r="Z384" s="26">
        <f t="shared" si="80"/>
        <v>0</v>
      </c>
      <c r="AA384" s="26">
        <f t="shared" si="82"/>
        <v>0</v>
      </c>
      <c r="AB384" s="33" t="s">
        <v>15</v>
      </c>
      <c r="AC384" s="324"/>
      <c r="AD384" s="181">
        <f t="shared" si="73"/>
        <v>1</v>
      </c>
      <c r="AE384" s="181">
        <f t="shared" si="72"/>
        <v>1500</v>
      </c>
      <c r="AF384" s="181">
        <v>1.8</v>
      </c>
      <c r="AG384" s="181">
        <v>1.8</v>
      </c>
      <c r="AH384" s="363" t="str">
        <f t="shared" si="81"/>
        <v/>
      </c>
      <c r="AI384" s="192">
        <v>0</v>
      </c>
      <c r="AJ384" s="188">
        <v>1</v>
      </c>
      <c r="AO384" s="367"/>
      <c r="AP384" s="367"/>
      <c r="AQ384" s="367"/>
    </row>
    <row r="385" spans="1:43" s="69" customFormat="1" ht="39" x14ac:dyDescent="0.3">
      <c r="A385" s="55" t="s">
        <v>930</v>
      </c>
      <c r="B385" s="53" t="s">
        <v>931</v>
      </c>
      <c r="C385" s="54" t="s">
        <v>932</v>
      </c>
      <c r="D385" s="75">
        <v>3</v>
      </c>
      <c r="E385" s="75"/>
      <c r="F385" s="75"/>
      <c r="G385" s="75"/>
      <c r="H385" s="75"/>
      <c r="I385" s="75"/>
      <c r="J385" s="75">
        <v>2600</v>
      </c>
      <c r="K385" s="75">
        <v>7800</v>
      </c>
      <c r="L385" s="91" t="s">
        <v>933</v>
      </c>
      <c r="M385" s="73"/>
      <c r="N385" s="46">
        <v>0</v>
      </c>
      <c r="O385" s="46">
        <v>0</v>
      </c>
      <c r="P385" s="46">
        <v>0</v>
      </c>
      <c r="Q385" s="98"/>
      <c r="R385" s="23" t="s">
        <v>1390</v>
      </c>
      <c r="S385" s="24" t="s">
        <v>931</v>
      </c>
      <c r="T385" s="25" t="s">
        <v>932</v>
      </c>
      <c r="U385" s="26">
        <v>3</v>
      </c>
      <c r="V385" s="26">
        <f t="shared" si="78"/>
        <v>3</v>
      </c>
      <c r="W385" s="26">
        <f t="shared" si="74"/>
        <v>2600</v>
      </c>
      <c r="X385" s="26">
        <f t="shared" si="79"/>
        <v>0</v>
      </c>
      <c r="Y385" s="26">
        <f t="shared" si="75"/>
        <v>0</v>
      </c>
      <c r="Z385" s="26">
        <f t="shared" si="80"/>
        <v>0</v>
      </c>
      <c r="AA385" s="26">
        <f t="shared" si="82"/>
        <v>0</v>
      </c>
      <c r="AB385" s="33" t="s">
        <v>15</v>
      </c>
      <c r="AC385" s="324"/>
      <c r="AD385" s="181">
        <f t="shared" si="73"/>
        <v>3</v>
      </c>
      <c r="AE385" s="181">
        <f t="shared" si="72"/>
        <v>7800</v>
      </c>
      <c r="AF385" s="181">
        <v>1.8</v>
      </c>
      <c r="AG385" s="181">
        <v>1.8</v>
      </c>
      <c r="AH385" s="363" t="str">
        <f t="shared" si="81"/>
        <v/>
      </c>
      <c r="AI385" s="192">
        <v>0</v>
      </c>
      <c r="AJ385" s="188">
        <v>3</v>
      </c>
      <c r="AO385" s="367"/>
      <c r="AP385" s="367"/>
      <c r="AQ385" s="367"/>
    </row>
    <row r="386" spans="1:43" s="69" customFormat="1" ht="58.5" x14ac:dyDescent="0.3">
      <c r="A386" s="55" t="s">
        <v>934</v>
      </c>
      <c r="B386" s="53" t="s">
        <v>935</v>
      </c>
      <c r="C386" s="54" t="s">
        <v>932</v>
      </c>
      <c r="D386" s="75">
        <v>38</v>
      </c>
      <c r="E386" s="75"/>
      <c r="F386" s="75"/>
      <c r="G386" s="75"/>
      <c r="H386" s="75"/>
      <c r="I386" s="75"/>
      <c r="J386" s="75">
        <v>4460</v>
      </c>
      <c r="K386" s="75">
        <v>169480</v>
      </c>
      <c r="L386" s="91" t="s">
        <v>936</v>
      </c>
      <c r="M386" s="73"/>
      <c r="N386" s="46">
        <v>31</v>
      </c>
      <c r="O386" s="46">
        <v>0</v>
      </c>
      <c r="P386" s="46">
        <v>138260</v>
      </c>
      <c r="Q386" s="98"/>
      <c r="R386" s="23" t="s">
        <v>1391</v>
      </c>
      <c r="S386" s="24" t="s">
        <v>935</v>
      </c>
      <c r="T386" s="25" t="s">
        <v>932</v>
      </c>
      <c r="U386" s="26">
        <v>38</v>
      </c>
      <c r="V386" s="26">
        <f t="shared" si="78"/>
        <v>38</v>
      </c>
      <c r="W386" s="26">
        <f t="shared" si="74"/>
        <v>4460</v>
      </c>
      <c r="X386" s="128">
        <f t="shared" si="79"/>
        <v>0</v>
      </c>
      <c r="Y386" s="26">
        <f t="shared" si="75"/>
        <v>31</v>
      </c>
      <c r="Z386" s="26">
        <f t="shared" si="80"/>
        <v>0</v>
      </c>
      <c r="AA386" s="26">
        <f t="shared" si="82"/>
        <v>138260</v>
      </c>
      <c r="AB386" s="33" t="s">
        <v>15</v>
      </c>
      <c r="AC386" s="325"/>
      <c r="AD386" s="263">
        <f t="shared" si="73"/>
        <v>38</v>
      </c>
      <c r="AE386" s="263">
        <f t="shared" si="72"/>
        <v>169480</v>
      </c>
      <c r="AF386" s="263">
        <v>1.8</v>
      </c>
      <c r="AG386" s="263">
        <v>1.8</v>
      </c>
      <c r="AH386" s="68" t="str">
        <f t="shared" si="81"/>
        <v/>
      </c>
      <c r="AI386" s="194">
        <v>31</v>
      </c>
      <c r="AJ386" s="188">
        <v>38</v>
      </c>
      <c r="AO386" s="367"/>
      <c r="AP386" s="367"/>
      <c r="AQ386" s="367"/>
    </row>
    <row r="387" spans="1:43" s="69" customFormat="1" ht="58.5" x14ac:dyDescent="0.3">
      <c r="A387" s="55" t="s">
        <v>937</v>
      </c>
      <c r="B387" s="118" t="s">
        <v>938</v>
      </c>
      <c r="C387" s="119" t="s">
        <v>30</v>
      </c>
      <c r="D387" s="120">
        <v>1352</v>
      </c>
      <c r="E387" s="75"/>
      <c r="F387" s="75"/>
      <c r="G387" s="75"/>
      <c r="H387" s="75"/>
      <c r="I387" s="75"/>
      <c r="J387" s="75">
        <v>30.59</v>
      </c>
      <c r="K387" s="75">
        <v>41357.68</v>
      </c>
      <c r="L387" s="91" t="s">
        <v>939</v>
      </c>
      <c r="M387" s="73"/>
      <c r="N387" s="46">
        <v>1083</v>
      </c>
      <c r="O387" s="46">
        <v>0</v>
      </c>
      <c r="P387" s="46">
        <v>33128.97</v>
      </c>
      <c r="Q387" s="98"/>
      <c r="R387" s="23" t="s">
        <v>1436</v>
      </c>
      <c r="S387" s="24" t="s">
        <v>938</v>
      </c>
      <c r="T387" s="25" t="s">
        <v>30</v>
      </c>
      <c r="U387" s="26">
        <v>1352</v>
      </c>
      <c r="V387" s="26">
        <f t="shared" si="78"/>
        <v>1352</v>
      </c>
      <c r="W387" s="26">
        <f t="shared" si="74"/>
        <v>30.59</v>
      </c>
      <c r="X387" s="243">
        <f t="shared" si="79"/>
        <v>127</v>
      </c>
      <c r="Y387" s="26">
        <f t="shared" si="75"/>
        <v>1210</v>
      </c>
      <c r="Z387" s="26">
        <f t="shared" si="80"/>
        <v>3884.9300000000003</v>
      </c>
      <c r="AA387" s="26">
        <f t="shared" si="82"/>
        <v>37013.9</v>
      </c>
      <c r="AB387" s="33" t="s">
        <v>15</v>
      </c>
      <c r="AC387" s="325"/>
      <c r="AD387" s="263">
        <f t="shared" si="73"/>
        <v>1352</v>
      </c>
      <c r="AE387" s="263">
        <f t="shared" si="72"/>
        <v>41357.68</v>
      </c>
      <c r="AF387" s="263">
        <v>1.8</v>
      </c>
      <c r="AG387" s="263">
        <v>1.8</v>
      </c>
      <c r="AH387" s="68" t="str">
        <f t="shared" si="81"/>
        <v/>
      </c>
      <c r="AI387" s="191">
        <f>1083+127</f>
        <v>1210</v>
      </c>
      <c r="AJ387" s="188">
        <v>1352</v>
      </c>
      <c r="AO387" s="367"/>
      <c r="AP387" s="367"/>
      <c r="AQ387" s="367"/>
    </row>
    <row r="388" spans="1:43" s="69" customFormat="1" ht="78" x14ac:dyDescent="0.3">
      <c r="A388" s="55" t="s">
        <v>940</v>
      </c>
      <c r="B388" s="118" t="s">
        <v>941</v>
      </c>
      <c r="C388" s="119" t="s">
        <v>30</v>
      </c>
      <c r="D388" s="120">
        <v>300</v>
      </c>
      <c r="E388" s="75"/>
      <c r="F388" s="75"/>
      <c r="G388" s="75"/>
      <c r="H388" s="75"/>
      <c r="I388" s="75"/>
      <c r="J388" s="75">
        <v>972.45</v>
      </c>
      <c r="K388" s="75">
        <v>291735</v>
      </c>
      <c r="L388" s="91" t="s">
        <v>942</v>
      </c>
      <c r="M388" s="73"/>
      <c r="N388" s="46">
        <v>0</v>
      </c>
      <c r="O388" s="46">
        <v>0</v>
      </c>
      <c r="P388" s="46">
        <v>0</v>
      </c>
      <c r="Q388" s="98"/>
      <c r="R388" s="23" t="s">
        <v>1374</v>
      </c>
      <c r="S388" s="24" t="s">
        <v>941</v>
      </c>
      <c r="T388" s="25" t="s">
        <v>30</v>
      </c>
      <c r="U388" s="26">
        <v>300</v>
      </c>
      <c r="V388" s="26">
        <f t="shared" si="78"/>
        <v>300</v>
      </c>
      <c r="W388" s="26">
        <f t="shared" si="74"/>
        <v>972.45</v>
      </c>
      <c r="X388" s="199">
        <f t="shared" si="79"/>
        <v>226</v>
      </c>
      <c r="Y388" s="26">
        <f t="shared" si="75"/>
        <v>226</v>
      </c>
      <c r="Z388" s="26">
        <f t="shared" si="80"/>
        <v>219773.7</v>
      </c>
      <c r="AA388" s="26">
        <f t="shared" si="82"/>
        <v>219773.7</v>
      </c>
      <c r="AB388" s="33" t="s">
        <v>15</v>
      </c>
      <c r="AC388" s="324"/>
      <c r="AD388" s="181">
        <f t="shared" si="73"/>
        <v>300</v>
      </c>
      <c r="AE388" s="181">
        <f t="shared" si="72"/>
        <v>291735</v>
      </c>
      <c r="AF388" s="181">
        <v>1.8</v>
      </c>
      <c r="AG388" s="181">
        <v>1.8</v>
      </c>
      <c r="AH388" s="363" t="str">
        <f t="shared" si="81"/>
        <v/>
      </c>
      <c r="AI388" s="191">
        <v>226</v>
      </c>
      <c r="AJ388" s="188">
        <v>300</v>
      </c>
      <c r="AO388" s="367"/>
      <c r="AP388" s="367"/>
      <c r="AQ388" s="367"/>
    </row>
    <row r="389" spans="1:43" s="69" customFormat="1" ht="78" x14ac:dyDescent="0.3">
      <c r="A389" s="55" t="s">
        <v>943</v>
      </c>
      <c r="B389" s="53" t="s">
        <v>944</v>
      </c>
      <c r="C389" s="54" t="s">
        <v>30</v>
      </c>
      <c r="D389" s="75">
        <v>252</v>
      </c>
      <c r="E389" s="75"/>
      <c r="F389" s="75"/>
      <c r="G389" s="75"/>
      <c r="H389" s="75"/>
      <c r="I389" s="75"/>
      <c r="J389" s="75">
        <v>628.34</v>
      </c>
      <c r="K389" s="75">
        <v>158341.68</v>
      </c>
      <c r="L389" s="91" t="s">
        <v>945</v>
      </c>
      <c r="M389" s="73"/>
      <c r="N389" s="46">
        <v>0</v>
      </c>
      <c r="O389" s="46">
        <v>0</v>
      </c>
      <c r="P389" s="46">
        <v>0</v>
      </c>
      <c r="Q389" s="98"/>
      <c r="R389" s="23" t="s">
        <v>1376</v>
      </c>
      <c r="S389" s="24" t="s">
        <v>944</v>
      </c>
      <c r="T389" s="25" t="s">
        <v>30</v>
      </c>
      <c r="U389" s="26">
        <v>252</v>
      </c>
      <c r="V389" s="26">
        <f t="shared" si="78"/>
        <v>252</v>
      </c>
      <c r="W389" s="26">
        <f t="shared" si="74"/>
        <v>628.34</v>
      </c>
      <c r="X389" s="199">
        <f t="shared" si="79"/>
        <v>226</v>
      </c>
      <c r="Y389" s="26">
        <f t="shared" si="75"/>
        <v>226</v>
      </c>
      <c r="Z389" s="26">
        <f t="shared" si="80"/>
        <v>142004.84</v>
      </c>
      <c r="AA389" s="26">
        <f t="shared" si="82"/>
        <v>142004.84</v>
      </c>
      <c r="AB389" s="33" t="s">
        <v>15</v>
      </c>
      <c r="AC389" s="324"/>
      <c r="AD389" s="181">
        <f t="shared" si="73"/>
        <v>252</v>
      </c>
      <c r="AE389" s="181">
        <f t="shared" si="72"/>
        <v>158341.68</v>
      </c>
      <c r="AF389" s="181">
        <v>1.8</v>
      </c>
      <c r="AG389" s="181">
        <v>1.8</v>
      </c>
      <c r="AH389" s="363" t="str">
        <f t="shared" si="81"/>
        <v/>
      </c>
      <c r="AI389" s="191">
        <v>226</v>
      </c>
      <c r="AJ389" s="188">
        <v>252</v>
      </c>
      <c r="AO389" s="367"/>
      <c r="AP389" s="367"/>
      <c r="AQ389" s="367"/>
    </row>
    <row r="390" spans="1:43" s="69" customFormat="1" ht="78" x14ac:dyDescent="0.3">
      <c r="A390" s="55" t="s">
        <v>946</v>
      </c>
      <c r="B390" s="53" t="s">
        <v>947</v>
      </c>
      <c r="C390" s="54" t="s">
        <v>30</v>
      </c>
      <c r="D390" s="75">
        <v>36</v>
      </c>
      <c r="E390" s="75"/>
      <c r="F390" s="75"/>
      <c r="G390" s="75"/>
      <c r="H390" s="75"/>
      <c r="I390" s="75"/>
      <c r="J390" s="75">
        <v>497.09</v>
      </c>
      <c r="K390" s="75">
        <v>17895.240000000002</v>
      </c>
      <c r="L390" s="91" t="s">
        <v>948</v>
      </c>
      <c r="M390" s="73"/>
      <c r="N390" s="46">
        <v>0</v>
      </c>
      <c r="O390" s="46">
        <v>0</v>
      </c>
      <c r="P390" s="46">
        <v>0</v>
      </c>
      <c r="Q390" s="98"/>
      <c r="R390" s="23" t="s">
        <v>1378</v>
      </c>
      <c r="S390" s="24" t="s">
        <v>947</v>
      </c>
      <c r="T390" s="25" t="s">
        <v>30</v>
      </c>
      <c r="U390" s="26">
        <v>36</v>
      </c>
      <c r="V390" s="26">
        <f t="shared" si="78"/>
        <v>36</v>
      </c>
      <c r="W390" s="26">
        <f t="shared" si="74"/>
        <v>497.09</v>
      </c>
      <c r="X390" s="199">
        <f t="shared" si="79"/>
        <v>28</v>
      </c>
      <c r="Y390" s="26">
        <f t="shared" si="75"/>
        <v>28</v>
      </c>
      <c r="Z390" s="26">
        <f t="shared" si="80"/>
        <v>13918.52</v>
      </c>
      <c r="AA390" s="26">
        <f t="shared" si="82"/>
        <v>13918.52</v>
      </c>
      <c r="AB390" s="33" t="s">
        <v>15</v>
      </c>
      <c r="AC390" s="324"/>
      <c r="AD390" s="181">
        <f t="shared" si="73"/>
        <v>36</v>
      </c>
      <c r="AE390" s="181">
        <f t="shared" si="72"/>
        <v>17895.240000000002</v>
      </c>
      <c r="AF390" s="181">
        <v>1.8</v>
      </c>
      <c r="AG390" s="181">
        <v>1.8</v>
      </c>
      <c r="AH390" s="363" t="str">
        <f t="shared" si="81"/>
        <v/>
      </c>
      <c r="AI390" s="191">
        <v>28</v>
      </c>
      <c r="AJ390" s="188">
        <v>36</v>
      </c>
      <c r="AO390" s="367"/>
      <c r="AP390" s="367"/>
      <c r="AQ390" s="367"/>
    </row>
    <row r="391" spans="1:43" s="69" customFormat="1" ht="78" x14ac:dyDescent="0.3">
      <c r="A391" s="55" t="s">
        <v>949</v>
      </c>
      <c r="B391" s="53" t="s">
        <v>950</v>
      </c>
      <c r="C391" s="54" t="s">
        <v>30</v>
      </c>
      <c r="D391" s="75">
        <v>159</v>
      </c>
      <c r="E391" s="75"/>
      <c r="F391" s="75"/>
      <c r="G391" s="75"/>
      <c r="H391" s="75"/>
      <c r="I391" s="75"/>
      <c r="J391" s="75">
        <v>270.2</v>
      </c>
      <c r="K391" s="75">
        <v>42961.8</v>
      </c>
      <c r="L391" s="91" t="s">
        <v>951</v>
      </c>
      <c r="M391" s="73"/>
      <c r="N391" s="46">
        <v>0</v>
      </c>
      <c r="O391" s="46">
        <v>0</v>
      </c>
      <c r="P391" s="46">
        <v>0</v>
      </c>
      <c r="Q391" s="98"/>
      <c r="R391" s="23" t="s">
        <v>1438</v>
      </c>
      <c r="S391" s="24" t="s">
        <v>950</v>
      </c>
      <c r="T391" s="25" t="s">
        <v>30</v>
      </c>
      <c r="U391" s="26">
        <v>159</v>
      </c>
      <c r="V391" s="26">
        <f t="shared" si="78"/>
        <v>159</v>
      </c>
      <c r="W391" s="26">
        <f t="shared" si="74"/>
        <v>270.2</v>
      </c>
      <c r="X391" s="199">
        <f t="shared" si="79"/>
        <v>143</v>
      </c>
      <c r="Y391" s="26">
        <f t="shared" si="75"/>
        <v>143</v>
      </c>
      <c r="Z391" s="26">
        <f t="shared" si="80"/>
        <v>38638.6</v>
      </c>
      <c r="AA391" s="26">
        <f t="shared" si="82"/>
        <v>38638.6</v>
      </c>
      <c r="AB391" s="33" t="s">
        <v>15</v>
      </c>
      <c r="AC391" s="324"/>
      <c r="AD391" s="181">
        <f t="shared" si="73"/>
        <v>159</v>
      </c>
      <c r="AE391" s="181">
        <f t="shared" si="72"/>
        <v>42961.8</v>
      </c>
      <c r="AF391" s="181">
        <v>1.8</v>
      </c>
      <c r="AG391" s="181">
        <v>1.8</v>
      </c>
      <c r="AH391" s="363" t="str">
        <f t="shared" si="81"/>
        <v/>
      </c>
      <c r="AI391" s="191">
        <v>143</v>
      </c>
      <c r="AJ391" s="188">
        <v>159</v>
      </c>
      <c r="AO391" s="367"/>
      <c r="AP391" s="367"/>
      <c r="AQ391" s="367"/>
    </row>
    <row r="392" spans="1:43" s="69" customFormat="1" ht="78" x14ac:dyDescent="0.3">
      <c r="A392" s="130" t="s">
        <v>952</v>
      </c>
      <c r="B392" s="131" t="s">
        <v>953</v>
      </c>
      <c r="C392" s="132" t="s">
        <v>30</v>
      </c>
      <c r="D392" s="133">
        <v>1199</v>
      </c>
      <c r="E392" s="75"/>
      <c r="F392" s="75"/>
      <c r="G392" s="75"/>
      <c r="H392" s="75"/>
      <c r="I392" s="328">
        <v>2197.1999999999998</v>
      </c>
      <c r="J392" s="75">
        <v>152.94</v>
      </c>
      <c r="K392" s="75">
        <v>336039.77</v>
      </c>
      <c r="L392" s="91" t="s">
        <v>954</v>
      </c>
      <c r="M392" s="73"/>
      <c r="N392" s="46">
        <v>1169</v>
      </c>
      <c r="O392" s="46">
        <v>0</v>
      </c>
      <c r="P392" s="46">
        <v>178786.86</v>
      </c>
      <c r="Q392" s="98"/>
      <c r="R392" s="23" t="s">
        <v>1439</v>
      </c>
      <c r="S392" s="24" t="s">
        <v>953</v>
      </c>
      <c r="T392" s="25" t="s">
        <v>30</v>
      </c>
      <c r="U392" s="26">
        <v>1199</v>
      </c>
      <c r="V392" s="26">
        <f t="shared" si="78"/>
        <v>2197.1999999999998</v>
      </c>
      <c r="W392" s="26">
        <f t="shared" si="74"/>
        <v>152.94</v>
      </c>
      <c r="X392" s="243">
        <f t="shared" si="79"/>
        <v>23</v>
      </c>
      <c r="Y392" s="127">
        <f t="shared" si="75"/>
        <v>1192</v>
      </c>
      <c r="Z392" s="127">
        <f t="shared" si="80"/>
        <v>3517.6200000000244</v>
      </c>
      <c r="AA392" s="127">
        <f t="shared" si="82"/>
        <v>182304.48</v>
      </c>
      <c r="AB392" s="33" t="s">
        <v>15</v>
      </c>
      <c r="AC392" s="324"/>
      <c r="AD392" s="181">
        <f t="shared" si="73"/>
        <v>2197.1999999999998</v>
      </c>
      <c r="AE392" s="181">
        <f t="shared" si="72"/>
        <v>336039.77</v>
      </c>
      <c r="AF392" s="181">
        <v>1.8</v>
      </c>
      <c r="AG392" s="181">
        <v>1.8</v>
      </c>
      <c r="AH392" s="363" t="str">
        <f t="shared" si="81"/>
        <v/>
      </c>
      <c r="AI392" s="191">
        <f>427+136.9+605.1+23</f>
        <v>1192</v>
      </c>
      <c r="AJ392" s="190">
        <v>2197.1999999999998</v>
      </c>
      <c r="AO392" s="367"/>
      <c r="AP392" s="367"/>
      <c r="AQ392" s="367"/>
    </row>
    <row r="393" spans="1:43" s="69" customFormat="1" ht="49.5" x14ac:dyDescent="0.3">
      <c r="A393" s="130" t="s">
        <v>955</v>
      </c>
      <c r="B393" s="240" t="s">
        <v>956</v>
      </c>
      <c r="C393" s="132" t="s">
        <v>30</v>
      </c>
      <c r="D393" s="133">
        <v>144</v>
      </c>
      <c r="E393" s="75"/>
      <c r="F393" s="75"/>
      <c r="G393" s="75"/>
      <c r="H393" s="75"/>
      <c r="I393" s="75"/>
      <c r="J393" s="75">
        <v>228.14</v>
      </c>
      <c r="K393" s="75">
        <v>32852.160000000003</v>
      </c>
      <c r="L393" s="91" t="s">
        <v>957</v>
      </c>
      <c r="M393" s="73"/>
      <c r="N393" s="46">
        <v>144</v>
      </c>
      <c r="O393" s="46">
        <v>0</v>
      </c>
      <c r="P393" s="46">
        <v>32852.160000000003</v>
      </c>
      <c r="Q393" s="98"/>
      <c r="R393" s="23" t="s">
        <v>1440</v>
      </c>
      <c r="S393" s="24" t="s">
        <v>956</v>
      </c>
      <c r="T393" s="25" t="s">
        <v>30</v>
      </c>
      <c r="U393" s="26">
        <v>144</v>
      </c>
      <c r="V393" s="26">
        <f t="shared" si="78"/>
        <v>144</v>
      </c>
      <c r="W393" s="26">
        <f t="shared" si="74"/>
        <v>228.14</v>
      </c>
      <c r="X393" s="127">
        <f t="shared" si="79"/>
        <v>0</v>
      </c>
      <c r="Y393" s="127">
        <f t="shared" si="75"/>
        <v>144</v>
      </c>
      <c r="Z393" s="127">
        <f t="shared" si="80"/>
        <v>0</v>
      </c>
      <c r="AA393" s="127">
        <f t="shared" si="82"/>
        <v>32852.160000000003</v>
      </c>
      <c r="AB393" s="33" t="s">
        <v>15</v>
      </c>
      <c r="AC393" s="324"/>
      <c r="AD393" s="181">
        <f t="shared" si="73"/>
        <v>144</v>
      </c>
      <c r="AE393" s="181">
        <f t="shared" si="72"/>
        <v>32852.160000000003</v>
      </c>
      <c r="AF393" s="181">
        <v>1.8</v>
      </c>
      <c r="AG393" s="181">
        <v>1.8</v>
      </c>
      <c r="AH393" s="363" t="str">
        <f t="shared" si="81"/>
        <v/>
      </c>
      <c r="AI393" s="194">
        <f>75+69</f>
        <v>144</v>
      </c>
      <c r="AJ393" s="188">
        <v>144</v>
      </c>
      <c r="AO393" s="367"/>
      <c r="AP393" s="367"/>
      <c r="AQ393" s="367"/>
    </row>
    <row r="394" spans="1:43" s="69" customFormat="1" ht="39" x14ac:dyDescent="0.3">
      <c r="A394" s="130" t="s">
        <v>958</v>
      </c>
      <c r="B394" s="131" t="s">
        <v>959</v>
      </c>
      <c r="C394" s="132" t="s">
        <v>14</v>
      </c>
      <c r="D394" s="133">
        <v>1</v>
      </c>
      <c r="E394" s="75"/>
      <c r="F394" s="75"/>
      <c r="G394" s="75"/>
      <c r="H394" s="75"/>
      <c r="I394" s="75"/>
      <c r="J394" s="75">
        <v>90448.13</v>
      </c>
      <c r="K394" s="75">
        <v>90448.13</v>
      </c>
      <c r="L394" s="91" t="s">
        <v>960</v>
      </c>
      <c r="M394" s="73"/>
      <c r="N394" s="46">
        <v>0</v>
      </c>
      <c r="O394" s="46">
        <v>0</v>
      </c>
      <c r="P394" s="46">
        <v>0</v>
      </c>
      <c r="Q394" s="98"/>
      <c r="R394" s="23" t="s">
        <v>1441</v>
      </c>
      <c r="S394" s="24" t="s">
        <v>959</v>
      </c>
      <c r="T394" s="25" t="s">
        <v>14</v>
      </c>
      <c r="U394" s="26">
        <v>1</v>
      </c>
      <c r="V394" s="26">
        <f t="shared" si="78"/>
        <v>1</v>
      </c>
      <c r="W394" s="26">
        <f t="shared" si="74"/>
        <v>90448.13</v>
      </c>
      <c r="X394" s="243">
        <f t="shared" si="79"/>
        <v>1</v>
      </c>
      <c r="Y394" s="127">
        <f t="shared" si="75"/>
        <v>1</v>
      </c>
      <c r="Z394" s="127">
        <f t="shared" si="80"/>
        <v>90448.13</v>
      </c>
      <c r="AA394" s="127">
        <f t="shared" si="82"/>
        <v>90448.13</v>
      </c>
      <c r="AB394" s="33" t="s">
        <v>15</v>
      </c>
      <c r="AC394" s="324"/>
      <c r="AD394" s="181">
        <f t="shared" ref="AD394:AD457" si="83">IF(V394=0,U394,V394)</f>
        <v>1</v>
      </c>
      <c r="AE394" s="181">
        <f t="shared" si="72"/>
        <v>90448.13</v>
      </c>
      <c r="AF394" s="181">
        <v>1.8</v>
      </c>
      <c r="AG394" s="181">
        <v>1.8</v>
      </c>
      <c r="AH394" s="363" t="str">
        <f t="shared" si="81"/>
        <v/>
      </c>
      <c r="AI394" s="193">
        <v>1</v>
      </c>
      <c r="AJ394" s="188">
        <v>1</v>
      </c>
      <c r="AO394" s="367"/>
      <c r="AP394" s="367"/>
      <c r="AQ394" s="367"/>
    </row>
    <row r="395" spans="1:43" s="69" customFormat="1" ht="57" x14ac:dyDescent="0.3">
      <c r="A395" s="130" t="s">
        <v>961</v>
      </c>
      <c r="B395" s="358" t="s">
        <v>962</v>
      </c>
      <c r="C395" s="132" t="s">
        <v>30</v>
      </c>
      <c r="D395" s="133">
        <v>2702</v>
      </c>
      <c r="E395" s="75"/>
      <c r="F395" s="75"/>
      <c r="G395" s="75"/>
      <c r="H395" s="75"/>
      <c r="I395" s="75"/>
      <c r="J395" s="75">
        <v>81.569999999999993</v>
      </c>
      <c r="K395" s="75">
        <v>220402.14</v>
      </c>
      <c r="L395" s="91" t="s">
        <v>963</v>
      </c>
      <c r="M395" s="73"/>
      <c r="N395" s="46">
        <v>2166</v>
      </c>
      <c r="O395" s="46">
        <v>0</v>
      </c>
      <c r="P395" s="46">
        <v>176680.62</v>
      </c>
      <c r="Q395" s="98"/>
      <c r="R395" s="23" t="s">
        <v>1442</v>
      </c>
      <c r="S395" s="24" t="s">
        <v>962</v>
      </c>
      <c r="T395" s="25" t="s">
        <v>30</v>
      </c>
      <c r="U395" s="26">
        <v>2702</v>
      </c>
      <c r="V395" s="26">
        <f t="shared" si="78"/>
        <v>2702</v>
      </c>
      <c r="W395" s="26">
        <f t="shared" ref="W395:W458" si="84">J395</f>
        <v>81.569999999999993</v>
      </c>
      <c r="X395" s="243">
        <f t="shared" si="79"/>
        <v>512</v>
      </c>
      <c r="Y395" s="127">
        <f t="shared" si="75"/>
        <v>2678</v>
      </c>
      <c r="Z395" s="127">
        <f t="shared" si="80"/>
        <v>41763.839999999997</v>
      </c>
      <c r="AA395" s="127">
        <f t="shared" si="82"/>
        <v>218444.46</v>
      </c>
      <c r="AB395" s="33" t="s">
        <v>15</v>
      </c>
      <c r="AC395" s="324"/>
      <c r="AD395" s="181">
        <f t="shared" si="83"/>
        <v>2702</v>
      </c>
      <c r="AE395" s="181">
        <f t="shared" si="72"/>
        <v>220402.14</v>
      </c>
      <c r="AF395" s="181">
        <v>1.8</v>
      </c>
      <c r="AG395" s="181">
        <v>1.8</v>
      </c>
      <c r="AH395" s="363" t="str">
        <f t="shared" si="81"/>
        <v/>
      </c>
      <c r="AI395" s="191">
        <f>1127.8+1038.2+512</f>
        <v>2678</v>
      </c>
      <c r="AJ395" s="188">
        <v>2702</v>
      </c>
      <c r="AO395" s="367"/>
      <c r="AP395" s="367"/>
      <c r="AQ395" s="367"/>
    </row>
    <row r="396" spans="1:43" s="69" customFormat="1" ht="39" x14ac:dyDescent="0.3">
      <c r="A396" s="130" t="s">
        <v>964</v>
      </c>
      <c r="B396" s="131" t="s">
        <v>965</v>
      </c>
      <c r="C396" s="132" t="s">
        <v>14</v>
      </c>
      <c r="D396" s="133">
        <v>1</v>
      </c>
      <c r="E396" s="75"/>
      <c r="F396" s="75"/>
      <c r="G396" s="75"/>
      <c r="H396" s="75"/>
      <c r="I396" s="75"/>
      <c r="J396" s="75">
        <v>25939</v>
      </c>
      <c r="K396" s="75">
        <v>25939</v>
      </c>
      <c r="L396" s="91" t="s">
        <v>966</v>
      </c>
      <c r="M396" s="73"/>
      <c r="N396" s="46">
        <v>1</v>
      </c>
      <c r="O396" s="46">
        <v>0</v>
      </c>
      <c r="P396" s="46">
        <v>25939</v>
      </c>
      <c r="Q396" s="98"/>
      <c r="R396" s="23" t="s">
        <v>1443</v>
      </c>
      <c r="S396" s="24" t="s">
        <v>965</v>
      </c>
      <c r="T396" s="25" t="s">
        <v>14</v>
      </c>
      <c r="U396" s="26">
        <v>1</v>
      </c>
      <c r="V396" s="26">
        <f t="shared" si="78"/>
        <v>1</v>
      </c>
      <c r="W396" s="26">
        <f t="shared" si="84"/>
        <v>25939</v>
      </c>
      <c r="X396" s="127">
        <f t="shared" si="79"/>
        <v>0</v>
      </c>
      <c r="Y396" s="127">
        <f t="shared" si="75"/>
        <v>1</v>
      </c>
      <c r="Z396" s="127">
        <f t="shared" si="80"/>
        <v>0</v>
      </c>
      <c r="AA396" s="127">
        <f t="shared" si="82"/>
        <v>25939</v>
      </c>
      <c r="AB396" s="33" t="s">
        <v>15</v>
      </c>
      <c r="AC396" s="324"/>
      <c r="AD396" s="181">
        <f t="shared" si="83"/>
        <v>1</v>
      </c>
      <c r="AE396" s="181">
        <f t="shared" si="72"/>
        <v>25939</v>
      </c>
      <c r="AF396" s="181">
        <v>1.8</v>
      </c>
      <c r="AG396" s="181">
        <v>1.8</v>
      </c>
      <c r="AH396" s="363" t="str">
        <f t="shared" si="81"/>
        <v/>
      </c>
      <c r="AI396" s="194">
        <v>1</v>
      </c>
      <c r="AJ396" s="188">
        <v>1</v>
      </c>
      <c r="AO396" s="367"/>
      <c r="AP396" s="367"/>
      <c r="AQ396" s="367"/>
    </row>
    <row r="397" spans="1:43" s="69" customFormat="1" ht="58.5" x14ac:dyDescent="0.3">
      <c r="A397" s="55" t="s">
        <v>967</v>
      </c>
      <c r="B397" s="215" t="s">
        <v>3159</v>
      </c>
      <c r="C397" s="54" t="s">
        <v>30</v>
      </c>
      <c r="D397" s="75">
        <v>1272</v>
      </c>
      <c r="E397" s="75"/>
      <c r="F397" s="75"/>
      <c r="G397" s="75"/>
      <c r="H397" s="75"/>
      <c r="I397" s="75"/>
      <c r="J397" s="75">
        <v>36.96</v>
      </c>
      <c r="K397" s="75">
        <v>47013.120000000003</v>
      </c>
      <c r="L397" s="91" t="s">
        <v>969</v>
      </c>
      <c r="M397" s="73"/>
      <c r="N397" s="46">
        <v>727.8</v>
      </c>
      <c r="O397" s="46">
        <v>0</v>
      </c>
      <c r="P397" s="46">
        <v>26899.49</v>
      </c>
      <c r="Q397" s="98"/>
      <c r="R397" s="23" t="s">
        <v>1444</v>
      </c>
      <c r="S397" s="24" t="s">
        <v>968</v>
      </c>
      <c r="T397" s="25" t="s">
        <v>30</v>
      </c>
      <c r="U397" s="26">
        <v>1272</v>
      </c>
      <c r="V397" s="26">
        <f t="shared" si="78"/>
        <v>1272</v>
      </c>
      <c r="W397" s="26">
        <f t="shared" si="84"/>
        <v>36.96</v>
      </c>
      <c r="X397" s="243">
        <f t="shared" si="79"/>
        <v>512</v>
      </c>
      <c r="Y397" s="26">
        <f t="shared" si="75"/>
        <v>1239.8</v>
      </c>
      <c r="Z397" s="26">
        <f t="shared" si="80"/>
        <v>18923.52</v>
      </c>
      <c r="AA397" s="26">
        <f t="shared" si="82"/>
        <v>45823.01</v>
      </c>
      <c r="AB397" s="33" t="s">
        <v>15</v>
      </c>
      <c r="AC397" s="325"/>
      <c r="AD397" s="263">
        <f t="shared" si="83"/>
        <v>1272</v>
      </c>
      <c r="AE397" s="263">
        <f t="shared" si="72"/>
        <v>47013.120000000003</v>
      </c>
      <c r="AF397" s="263">
        <v>1.8</v>
      </c>
      <c r="AG397" s="263">
        <v>1.8</v>
      </c>
      <c r="AH397" s="68" t="str">
        <f t="shared" si="81"/>
        <v/>
      </c>
      <c r="AI397" s="191">
        <f>365.5+62.3+300+512</f>
        <v>1239.8</v>
      </c>
      <c r="AJ397" s="188">
        <v>1272</v>
      </c>
      <c r="AO397" s="367"/>
      <c r="AP397" s="367"/>
      <c r="AQ397" s="367"/>
    </row>
    <row r="398" spans="1:43" s="69" customFormat="1" ht="58.5" x14ac:dyDescent="0.3">
      <c r="A398" s="55" t="s">
        <v>970</v>
      </c>
      <c r="B398" s="215" t="s">
        <v>971</v>
      </c>
      <c r="C398" s="54" t="s">
        <v>30</v>
      </c>
      <c r="D398" s="75">
        <v>1470</v>
      </c>
      <c r="E398" s="75"/>
      <c r="F398" s="75"/>
      <c r="G398" s="75"/>
      <c r="H398" s="75"/>
      <c r="I398" s="75"/>
      <c r="J398" s="75">
        <v>62.45</v>
      </c>
      <c r="K398" s="75">
        <v>91801.5</v>
      </c>
      <c r="L398" s="91" t="s">
        <v>972</v>
      </c>
      <c r="M398" s="73"/>
      <c r="N398" s="46">
        <v>1083</v>
      </c>
      <c r="O398" s="46">
        <v>0</v>
      </c>
      <c r="P398" s="46">
        <v>67633.350000000006</v>
      </c>
      <c r="Q398" s="98"/>
      <c r="R398" s="23" t="s">
        <v>1408</v>
      </c>
      <c r="S398" s="24" t="s">
        <v>971</v>
      </c>
      <c r="T398" s="25" t="s">
        <v>30</v>
      </c>
      <c r="U398" s="26">
        <v>1470</v>
      </c>
      <c r="V398" s="26">
        <f t="shared" si="78"/>
        <v>1470</v>
      </c>
      <c r="W398" s="26">
        <f t="shared" si="84"/>
        <v>62.45</v>
      </c>
      <c r="X398" s="243">
        <f t="shared" si="79"/>
        <v>232</v>
      </c>
      <c r="Y398" s="26">
        <f t="shared" si="75"/>
        <v>1315</v>
      </c>
      <c r="Z398" s="26">
        <f t="shared" si="80"/>
        <v>14488.399999999994</v>
      </c>
      <c r="AA398" s="26">
        <f t="shared" si="82"/>
        <v>82121.75</v>
      </c>
      <c r="AB398" s="33" t="s">
        <v>15</v>
      </c>
      <c r="AC398" s="325"/>
      <c r="AD398" s="263">
        <f t="shared" si="83"/>
        <v>1470</v>
      </c>
      <c r="AE398" s="263">
        <f t="shared" si="72"/>
        <v>91801.5</v>
      </c>
      <c r="AF398" s="263">
        <v>1.8</v>
      </c>
      <c r="AG398" s="263">
        <v>1.8</v>
      </c>
      <c r="AH398" s="68" t="str">
        <f t="shared" si="81"/>
        <v/>
      </c>
      <c r="AI398" s="191">
        <f>427+136.9+519.1+232</f>
        <v>1315</v>
      </c>
      <c r="AJ398" s="188">
        <v>1470</v>
      </c>
      <c r="AO398" s="367"/>
      <c r="AP398" s="367"/>
      <c r="AQ398" s="367"/>
    </row>
    <row r="399" spans="1:43" s="69" customFormat="1" ht="58.5" x14ac:dyDescent="0.3">
      <c r="A399" s="130" t="s">
        <v>973</v>
      </c>
      <c r="B399" s="131" t="s">
        <v>974</v>
      </c>
      <c r="C399" s="132" t="s">
        <v>30</v>
      </c>
      <c r="D399" s="133">
        <v>407</v>
      </c>
      <c r="E399" s="75"/>
      <c r="F399" s="75"/>
      <c r="G399" s="75"/>
      <c r="H399" s="75"/>
      <c r="I399" s="328">
        <v>784</v>
      </c>
      <c r="J399" s="75">
        <v>90.49</v>
      </c>
      <c r="K399" s="75">
        <v>70944.160000000003</v>
      </c>
      <c r="L399" s="91" t="s">
        <v>975</v>
      </c>
      <c r="M399" s="73"/>
      <c r="N399" s="46">
        <v>407</v>
      </c>
      <c r="O399" s="46">
        <v>0</v>
      </c>
      <c r="P399" s="46">
        <v>36829.43</v>
      </c>
      <c r="Q399" s="98"/>
      <c r="R399" s="23" t="s">
        <v>1409</v>
      </c>
      <c r="S399" s="24" t="s">
        <v>974</v>
      </c>
      <c r="T399" s="25" t="s">
        <v>30</v>
      </c>
      <c r="U399" s="26">
        <v>407</v>
      </c>
      <c r="V399" s="26">
        <f t="shared" si="78"/>
        <v>784</v>
      </c>
      <c r="W399" s="26">
        <f t="shared" si="84"/>
        <v>90.49</v>
      </c>
      <c r="X399" s="128">
        <f t="shared" si="79"/>
        <v>0</v>
      </c>
      <c r="Y399" s="127">
        <f t="shared" si="75"/>
        <v>407</v>
      </c>
      <c r="Z399" s="127">
        <f t="shared" si="80"/>
        <v>0</v>
      </c>
      <c r="AA399" s="127">
        <f t="shared" si="82"/>
        <v>36829.43</v>
      </c>
      <c r="AB399" s="33" t="s">
        <v>15</v>
      </c>
      <c r="AC399" s="325"/>
      <c r="AD399" s="263">
        <f t="shared" si="83"/>
        <v>784</v>
      </c>
      <c r="AE399" s="263">
        <f t="shared" si="72"/>
        <v>70944.160000000003</v>
      </c>
      <c r="AF399" s="263">
        <v>1.8</v>
      </c>
      <c r="AG399" s="263">
        <v>1.8</v>
      </c>
      <c r="AH399" s="68" t="str">
        <f t="shared" si="81"/>
        <v/>
      </c>
      <c r="AI399" s="194">
        <f>149+258</f>
        <v>407</v>
      </c>
      <c r="AJ399" s="190">
        <v>784</v>
      </c>
      <c r="AO399" s="367"/>
      <c r="AP399" s="367"/>
      <c r="AQ399" s="367"/>
    </row>
    <row r="400" spans="1:43" s="69" customFormat="1" ht="58.5" x14ac:dyDescent="0.3">
      <c r="A400" s="130" t="s">
        <v>976</v>
      </c>
      <c r="B400" s="131" t="s">
        <v>977</v>
      </c>
      <c r="C400" s="132" t="s">
        <v>30</v>
      </c>
      <c r="D400" s="133">
        <v>55</v>
      </c>
      <c r="E400" s="75"/>
      <c r="F400" s="75"/>
      <c r="G400" s="75"/>
      <c r="H400" s="75"/>
      <c r="I400" s="328">
        <v>515</v>
      </c>
      <c r="J400" s="75">
        <v>186.08</v>
      </c>
      <c r="K400" s="75">
        <v>95831.2</v>
      </c>
      <c r="L400" s="91" t="s">
        <v>978</v>
      </c>
      <c r="M400" s="73"/>
      <c r="N400" s="46">
        <v>55</v>
      </c>
      <c r="O400" s="46">
        <v>0</v>
      </c>
      <c r="P400" s="46">
        <v>10234.4</v>
      </c>
      <c r="Q400" s="98"/>
      <c r="R400" s="23" t="s">
        <v>1410</v>
      </c>
      <c r="S400" s="24" t="s">
        <v>977</v>
      </c>
      <c r="T400" s="25" t="s">
        <v>30</v>
      </c>
      <c r="U400" s="26">
        <v>55</v>
      </c>
      <c r="V400" s="26">
        <f t="shared" si="78"/>
        <v>515</v>
      </c>
      <c r="W400" s="26">
        <f t="shared" si="84"/>
        <v>186.08</v>
      </c>
      <c r="X400" s="128">
        <f t="shared" si="79"/>
        <v>0</v>
      </c>
      <c r="Y400" s="127">
        <f t="shared" si="75"/>
        <v>55</v>
      </c>
      <c r="Z400" s="127">
        <f t="shared" si="80"/>
        <v>0</v>
      </c>
      <c r="AA400" s="127">
        <f t="shared" si="82"/>
        <v>10234.4</v>
      </c>
      <c r="AB400" s="33" t="s">
        <v>15</v>
      </c>
      <c r="AC400" s="325"/>
      <c r="AD400" s="263">
        <f t="shared" si="83"/>
        <v>515</v>
      </c>
      <c r="AE400" s="263">
        <f t="shared" si="72"/>
        <v>95831.2</v>
      </c>
      <c r="AF400" s="263">
        <v>1.8</v>
      </c>
      <c r="AG400" s="263">
        <v>1.8</v>
      </c>
      <c r="AH400" s="68" t="str">
        <f t="shared" si="81"/>
        <v/>
      </c>
      <c r="AI400" s="194">
        <f>55</f>
        <v>55</v>
      </c>
      <c r="AJ400" s="190">
        <v>515</v>
      </c>
      <c r="AO400" s="367"/>
      <c r="AP400" s="367"/>
      <c r="AQ400" s="367"/>
    </row>
    <row r="401" spans="1:43" s="69" customFormat="1" ht="39" x14ac:dyDescent="0.3">
      <c r="A401" s="55" t="s">
        <v>979</v>
      </c>
      <c r="B401" s="53" t="s">
        <v>980</v>
      </c>
      <c r="C401" s="54" t="s">
        <v>14</v>
      </c>
      <c r="D401" s="75">
        <v>1</v>
      </c>
      <c r="E401" s="75"/>
      <c r="F401" s="75"/>
      <c r="G401" s="75"/>
      <c r="H401" s="75"/>
      <c r="I401" s="75"/>
      <c r="J401" s="75">
        <v>51046</v>
      </c>
      <c r="K401" s="75">
        <v>51046</v>
      </c>
      <c r="L401" s="91" t="s">
        <v>981</v>
      </c>
      <c r="M401" s="73"/>
      <c r="N401" s="46">
        <v>0</v>
      </c>
      <c r="O401" s="46">
        <v>0</v>
      </c>
      <c r="P401" s="46">
        <v>0</v>
      </c>
      <c r="Q401" s="98"/>
      <c r="R401" s="23" t="s">
        <v>1411</v>
      </c>
      <c r="S401" s="24" t="s">
        <v>980</v>
      </c>
      <c r="T401" s="25" t="s">
        <v>14</v>
      </c>
      <c r="U401" s="26">
        <v>1</v>
      </c>
      <c r="V401" s="26">
        <f t="shared" si="78"/>
        <v>1</v>
      </c>
      <c r="W401" s="26">
        <f t="shared" si="84"/>
        <v>51046</v>
      </c>
      <c r="X401" s="26">
        <f t="shared" si="79"/>
        <v>0</v>
      </c>
      <c r="Y401" s="26">
        <f t="shared" si="75"/>
        <v>0</v>
      </c>
      <c r="Z401" s="26">
        <f t="shared" si="80"/>
        <v>0</v>
      </c>
      <c r="AA401" s="26">
        <f t="shared" si="82"/>
        <v>0</v>
      </c>
      <c r="AB401" s="33" t="s">
        <v>15</v>
      </c>
      <c r="AC401" s="324"/>
      <c r="AD401" s="181">
        <f t="shared" si="83"/>
        <v>1</v>
      </c>
      <c r="AE401" s="181">
        <f t="shared" ref="AE401:AE406" si="85">ROUND(W401*AD401,2)</f>
        <v>51046</v>
      </c>
      <c r="AF401" s="181">
        <v>1.8</v>
      </c>
      <c r="AG401" s="181">
        <v>1.8</v>
      </c>
      <c r="AH401" s="363" t="str">
        <f t="shared" si="81"/>
        <v/>
      </c>
      <c r="AI401" s="192">
        <v>0</v>
      </c>
      <c r="AJ401" s="188">
        <v>1</v>
      </c>
      <c r="AO401" s="367"/>
      <c r="AP401" s="367"/>
      <c r="AQ401" s="367"/>
    </row>
    <row r="402" spans="1:43" s="69" customFormat="1" ht="39" x14ac:dyDescent="0.3">
      <c r="A402" s="55" t="s">
        <v>982</v>
      </c>
      <c r="B402" s="53" t="s">
        <v>983</v>
      </c>
      <c r="C402" s="54" t="s">
        <v>30</v>
      </c>
      <c r="D402" s="75">
        <v>132</v>
      </c>
      <c r="E402" s="75"/>
      <c r="F402" s="75"/>
      <c r="G402" s="75"/>
      <c r="H402" s="75"/>
      <c r="I402" s="75"/>
      <c r="J402" s="75">
        <v>671.66</v>
      </c>
      <c r="K402" s="75">
        <v>88659.12</v>
      </c>
      <c r="L402" s="91" t="s">
        <v>984</v>
      </c>
      <c r="M402" s="73"/>
      <c r="N402" s="46">
        <v>120</v>
      </c>
      <c r="O402" s="46">
        <v>40299.599999999999</v>
      </c>
      <c r="P402" s="46">
        <v>80599.199999999997</v>
      </c>
      <c r="Q402" s="98"/>
      <c r="R402" s="23" t="s">
        <v>1445</v>
      </c>
      <c r="S402" s="24" t="s">
        <v>983</v>
      </c>
      <c r="T402" s="25" t="s">
        <v>30</v>
      </c>
      <c r="U402" s="26">
        <v>132</v>
      </c>
      <c r="V402" s="26">
        <f t="shared" si="78"/>
        <v>132</v>
      </c>
      <c r="W402" s="26">
        <f t="shared" si="84"/>
        <v>671.66</v>
      </c>
      <c r="X402" s="26">
        <f t="shared" si="79"/>
        <v>0</v>
      </c>
      <c r="Y402" s="26">
        <f t="shared" si="75"/>
        <v>120</v>
      </c>
      <c r="Z402" s="26">
        <f t="shared" si="80"/>
        <v>0</v>
      </c>
      <c r="AA402" s="26">
        <f t="shared" si="82"/>
        <v>80599.199999999997</v>
      </c>
      <c r="AB402" s="33" t="s">
        <v>15</v>
      </c>
      <c r="AC402" s="325"/>
      <c r="AD402" s="263">
        <f t="shared" si="83"/>
        <v>132</v>
      </c>
      <c r="AE402" s="263">
        <f t="shared" si="85"/>
        <v>88659.12</v>
      </c>
      <c r="AF402" s="263">
        <v>1.8</v>
      </c>
      <c r="AG402" s="263">
        <v>1.8</v>
      </c>
      <c r="AH402" s="68" t="str">
        <f t="shared" si="81"/>
        <v/>
      </c>
      <c r="AI402" s="194">
        <v>120</v>
      </c>
      <c r="AJ402" s="188">
        <v>132</v>
      </c>
      <c r="AO402" s="367"/>
      <c r="AP402" s="367"/>
      <c r="AQ402" s="367"/>
    </row>
    <row r="403" spans="1:43" s="69" customFormat="1" ht="39" x14ac:dyDescent="0.3">
      <c r="A403" s="55" t="s">
        <v>985</v>
      </c>
      <c r="B403" s="53" t="s">
        <v>986</v>
      </c>
      <c r="C403" s="54" t="s">
        <v>14</v>
      </c>
      <c r="D403" s="75">
        <v>1</v>
      </c>
      <c r="E403" s="75"/>
      <c r="F403" s="75"/>
      <c r="G403" s="75"/>
      <c r="H403" s="75"/>
      <c r="I403" s="75"/>
      <c r="J403" s="75">
        <v>24347</v>
      </c>
      <c r="K403" s="75">
        <v>24347</v>
      </c>
      <c r="L403" s="91" t="s">
        <v>987</v>
      </c>
      <c r="M403" s="73"/>
      <c r="N403" s="46">
        <v>0</v>
      </c>
      <c r="O403" s="46">
        <v>0</v>
      </c>
      <c r="P403" s="46">
        <v>0</v>
      </c>
      <c r="Q403" s="98"/>
      <c r="R403" s="23" t="s">
        <v>1383</v>
      </c>
      <c r="S403" s="24" t="s">
        <v>986</v>
      </c>
      <c r="T403" s="25" t="s">
        <v>14</v>
      </c>
      <c r="U403" s="26">
        <v>1</v>
      </c>
      <c r="V403" s="26">
        <f t="shared" si="78"/>
        <v>1</v>
      </c>
      <c r="W403" s="26">
        <f t="shared" si="84"/>
        <v>24347</v>
      </c>
      <c r="X403" s="26">
        <f t="shared" si="79"/>
        <v>0</v>
      </c>
      <c r="Y403" s="26">
        <f t="shared" si="75"/>
        <v>0</v>
      </c>
      <c r="Z403" s="26">
        <f t="shared" si="80"/>
        <v>0</v>
      </c>
      <c r="AA403" s="26">
        <f t="shared" si="82"/>
        <v>0</v>
      </c>
      <c r="AB403" s="33" t="s">
        <v>15</v>
      </c>
      <c r="AC403" s="324"/>
      <c r="AD403" s="181">
        <f t="shared" si="83"/>
        <v>1</v>
      </c>
      <c r="AE403" s="181">
        <f t="shared" si="85"/>
        <v>24347</v>
      </c>
      <c r="AF403" s="181">
        <v>1.8</v>
      </c>
      <c r="AG403" s="181">
        <v>1.8</v>
      </c>
      <c r="AH403" s="363" t="str">
        <f t="shared" si="81"/>
        <v/>
      </c>
      <c r="AI403" s="192">
        <v>0</v>
      </c>
      <c r="AJ403" s="188">
        <v>1</v>
      </c>
      <c r="AN403" s="281"/>
      <c r="AO403" s="367"/>
      <c r="AP403" s="367"/>
      <c r="AQ403" s="367"/>
    </row>
    <row r="404" spans="1:43" s="281" customFormat="1" x14ac:dyDescent="0.3">
      <c r="A404" s="283" t="s">
        <v>3245</v>
      </c>
      <c r="B404" s="211" t="s">
        <v>3248</v>
      </c>
      <c r="C404" s="212" t="s">
        <v>81</v>
      </c>
      <c r="D404" s="213"/>
      <c r="E404" s="213"/>
      <c r="F404" s="213"/>
      <c r="G404" s="213"/>
      <c r="H404" s="213"/>
      <c r="I404" s="337">
        <v>17</v>
      </c>
      <c r="J404" s="213">
        <v>9345.1200000000008</v>
      </c>
      <c r="K404" s="275">
        <v>158867.04</v>
      </c>
      <c r="L404" s="277"/>
      <c r="M404" s="278"/>
      <c r="N404" s="42">
        <v>14</v>
      </c>
      <c r="O404" s="42">
        <v>130831.67999999999</v>
      </c>
      <c r="P404" s="42">
        <v>130831.67999999999</v>
      </c>
      <c r="Q404" s="98"/>
      <c r="R404" s="13" t="s">
        <v>3251</v>
      </c>
      <c r="S404" s="286" t="str">
        <f t="shared" ref="S404:T406" si="86">B404</f>
        <v>手孔埋設</v>
      </c>
      <c r="T404" s="287" t="str">
        <f t="shared" si="86"/>
        <v>座</v>
      </c>
      <c r="U404" s="16"/>
      <c r="V404" s="16">
        <f t="shared" si="78"/>
        <v>17</v>
      </c>
      <c r="W404" s="16">
        <f t="shared" si="84"/>
        <v>9345.1200000000008</v>
      </c>
      <c r="X404" s="16">
        <f t="shared" si="79"/>
        <v>0</v>
      </c>
      <c r="Y404" s="16">
        <f t="shared" si="75"/>
        <v>14</v>
      </c>
      <c r="Z404" s="16">
        <f t="shared" si="80"/>
        <v>0</v>
      </c>
      <c r="AA404" s="16">
        <f t="shared" si="82"/>
        <v>130831.67999999999</v>
      </c>
      <c r="AB404" s="17"/>
      <c r="AC404" s="324"/>
      <c r="AD404" s="181">
        <f t="shared" si="83"/>
        <v>17</v>
      </c>
      <c r="AE404" s="181">
        <f t="shared" si="85"/>
        <v>158867.04</v>
      </c>
      <c r="AF404" s="181">
        <v>1.8</v>
      </c>
      <c r="AG404" s="181">
        <v>1.8</v>
      </c>
      <c r="AH404" s="364"/>
      <c r="AI404" s="375">
        <v>14</v>
      </c>
      <c r="AJ404" s="190">
        <v>17</v>
      </c>
      <c r="AO404" s="367"/>
      <c r="AP404" s="367"/>
      <c r="AQ404" s="367"/>
    </row>
    <row r="405" spans="1:43" s="281" customFormat="1" ht="78" x14ac:dyDescent="0.3">
      <c r="A405" s="283" t="s">
        <v>3246</v>
      </c>
      <c r="B405" s="211" t="s">
        <v>3249</v>
      </c>
      <c r="C405" s="212" t="s">
        <v>14</v>
      </c>
      <c r="D405" s="213"/>
      <c r="E405" s="213"/>
      <c r="F405" s="213"/>
      <c r="G405" s="213"/>
      <c r="H405" s="213"/>
      <c r="I405" s="337">
        <v>1</v>
      </c>
      <c r="J405" s="213">
        <v>644687.24</v>
      </c>
      <c r="K405" s="275">
        <v>644687.24</v>
      </c>
      <c r="L405" s="277"/>
      <c r="M405" s="278"/>
      <c r="N405" s="42">
        <v>0</v>
      </c>
      <c r="O405" s="42">
        <v>0</v>
      </c>
      <c r="P405" s="42">
        <v>0</v>
      </c>
      <c r="Q405" s="98"/>
      <c r="R405" s="13" t="s">
        <v>3252</v>
      </c>
      <c r="S405" s="286" t="str">
        <f t="shared" si="86"/>
        <v>液位警報系統(系統規劃建置、網路線佈設等)</v>
      </c>
      <c r="T405" s="287" t="str">
        <f t="shared" si="86"/>
        <v>式</v>
      </c>
      <c r="U405" s="16"/>
      <c r="V405" s="16">
        <f t="shared" si="78"/>
        <v>1</v>
      </c>
      <c r="W405" s="16">
        <f t="shared" si="84"/>
        <v>644687.24</v>
      </c>
      <c r="X405" s="16">
        <f t="shared" si="79"/>
        <v>0</v>
      </c>
      <c r="Y405" s="16">
        <f t="shared" si="75"/>
        <v>0</v>
      </c>
      <c r="Z405" s="16">
        <f t="shared" si="80"/>
        <v>0</v>
      </c>
      <c r="AA405" s="16">
        <f t="shared" si="82"/>
        <v>0</v>
      </c>
      <c r="AB405" s="17"/>
      <c r="AC405" s="324"/>
      <c r="AD405" s="181">
        <f t="shared" si="83"/>
        <v>1</v>
      </c>
      <c r="AE405" s="181">
        <f t="shared" si="85"/>
        <v>644687.24</v>
      </c>
      <c r="AF405" s="181">
        <v>1.8</v>
      </c>
      <c r="AG405" s="181">
        <v>1.8</v>
      </c>
      <c r="AH405" s="364"/>
      <c r="AI405" s="375"/>
      <c r="AJ405" s="190">
        <v>1</v>
      </c>
      <c r="AO405" s="367"/>
      <c r="AP405" s="367"/>
      <c r="AQ405" s="367"/>
    </row>
    <row r="406" spans="1:43" s="281" customFormat="1" ht="39" x14ac:dyDescent="0.3">
      <c r="A406" s="283" t="s">
        <v>3247</v>
      </c>
      <c r="B406" s="211" t="s">
        <v>3250</v>
      </c>
      <c r="C406" s="212" t="s">
        <v>325</v>
      </c>
      <c r="D406" s="213"/>
      <c r="E406" s="213"/>
      <c r="F406" s="213"/>
      <c r="G406" s="213"/>
      <c r="H406" s="213"/>
      <c r="I406" s="337">
        <v>18</v>
      </c>
      <c r="J406" s="213">
        <v>5860.7</v>
      </c>
      <c r="K406" s="275">
        <v>105492.6</v>
      </c>
      <c r="L406" s="277"/>
      <c r="M406" s="278"/>
      <c r="N406" s="42">
        <v>0</v>
      </c>
      <c r="O406" s="42">
        <v>0</v>
      </c>
      <c r="P406" s="42">
        <v>0</v>
      </c>
      <c r="Q406" s="98"/>
      <c r="R406" s="13" t="s">
        <v>3253</v>
      </c>
      <c r="S406" s="286" t="str">
        <f t="shared" si="86"/>
        <v>道路照明，路燈，色溫調整</v>
      </c>
      <c r="T406" s="287" t="str">
        <f t="shared" si="86"/>
        <v>組</v>
      </c>
      <c r="U406" s="16"/>
      <c r="V406" s="16">
        <f t="shared" si="78"/>
        <v>18</v>
      </c>
      <c r="W406" s="16">
        <f t="shared" si="84"/>
        <v>5860.7</v>
      </c>
      <c r="X406" s="16">
        <f t="shared" si="79"/>
        <v>0</v>
      </c>
      <c r="Y406" s="16">
        <f t="shared" si="75"/>
        <v>0</v>
      </c>
      <c r="Z406" s="16">
        <f t="shared" si="80"/>
        <v>0</v>
      </c>
      <c r="AA406" s="16">
        <f t="shared" si="82"/>
        <v>0</v>
      </c>
      <c r="AB406" s="17"/>
      <c r="AC406" s="324"/>
      <c r="AD406" s="181">
        <f t="shared" si="83"/>
        <v>18</v>
      </c>
      <c r="AE406" s="181">
        <f t="shared" si="85"/>
        <v>105492.6</v>
      </c>
      <c r="AF406" s="181">
        <v>1.8</v>
      </c>
      <c r="AG406" s="181">
        <v>1.8</v>
      </c>
      <c r="AH406" s="364"/>
      <c r="AI406" s="375"/>
      <c r="AJ406" s="190">
        <v>18</v>
      </c>
      <c r="AN406" s="69"/>
      <c r="AO406" s="367"/>
      <c r="AP406" s="367"/>
      <c r="AQ406" s="367"/>
    </row>
    <row r="407" spans="1:43" s="69" customFormat="1" ht="39" x14ac:dyDescent="0.3">
      <c r="A407" s="79" t="s">
        <v>988</v>
      </c>
      <c r="B407" s="80" t="s">
        <v>989</v>
      </c>
      <c r="C407" s="81" t="s">
        <v>14</v>
      </c>
      <c r="D407" s="82">
        <v>1</v>
      </c>
      <c r="E407" s="82"/>
      <c r="F407" s="82"/>
      <c r="G407" s="82"/>
      <c r="H407" s="82"/>
      <c r="I407" s="82"/>
      <c r="J407" s="82">
        <v>9899611.0700000003</v>
      </c>
      <c r="K407" s="82">
        <v>9899611.0700000003</v>
      </c>
      <c r="L407" s="94" t="s">
        <v>15</v>
      </c>
      <c r="M407" s="73"/>
      <c r="N407" s="45">
        <v>1</v>
      </c>
      <c r="O407" s="45">
        <v>245493.5</v>
      </c>
      <c r="P407" s="45">
        <v>7776829.2599999998</v>
      </c>
      <c r="Q407" s="98"/>
      <c r="R407" s="18" t="s">
        <v>1401</v>
      </c>
      <c r="S407" s="19" t="s">
        <v>989</v>
      </c>
      <c r="T407" s="20" t="s">
        <v>14</v>
      </c>
      <c r="U407" s="21">
        <v>1</v>
      </c>
      <c r="V407" s="21"/>
      <c r="W407" s="21">
        <f t="shared" si="84"/>
        <v>9899611.0700000003</v>
      </c>
      <c r="X407" s="21">
        <f t="shared" ref="X407:Y407" si="87">IF(Z407=0,0,1)</f>
        <v>0</v>
      </c>
      <c r="Y407" s="21">
        <f t="shared" si="87"/>
        <v>1</v>
      </c>
      <c r="Z407" s="21">
        <f>SUMIFS(Z:Z,AG:AG,AF407)</f>
        <v>0</v>
      </c>
      <c r="AA407" s="21">
        <f>SUMIFS(AA:AA,AG:AG,AF407)</f>
        <v>7776829.2599999998</v>
      </c>
      <c r="AB407" s="22" t="s">
        <v>15</v>
      </c>
      <c r="AC407" s="324"/>
      <c r="AD407" s="181">
        <f t="shared" si="83"/>
        <v>1</v>
      </c>
      <c r="AE407" s="184"/>
      <c r="AF407" s="184">
        <v>1.9</v>
      </c>
      <c r="AG407" s="184"/>
      <c r="AH407" s="363" t="str">
        <f t="shared" si="81"/>
        <v/>
      </c>
      <c r="AI407" s="192">
        <v>1</v>
      </c>
      <c r="AJ407" s="188">
        <v>1</v>
      </c>
      <c r="AO407" s="367"/>
      <c r="AP407" s="367"/>
      <c r="AQ407" s="367"/>
    </row>
    <row r="408" spans="1:43" s="69" customFormat="1" ht="33" x14ac:dyDescent="0.3">
      <c r="A408" s="55" t="s">
        <v>990</v>
      </c>
      <c r="B408" s="138" t="s">
        <v>991</v>
      </c>
      <c r="C408" s="54" t="s">
        <v>30</v>
      </c>
      <c r="D408" s="75">
        <v>1088</v>
      </c>
      <c r="E408" s="75">
        <v>975</v>
      </c>
      <c r="F408" s="75"/>
      <c r="G408" s="75"/>
      <c r="H408" s="328">
        <v>2893</v>
      </c>
      <c r="I408" s="75"/>
      <c r="J408" s="75">
        <v>247.2</v>
      </c>
      <c r="K408" s="75">
        <v>715149.6</v>
      </c>
      <c r="L408" s="91" t="s">
        <v>992</v>
      </c>
      <c r="M408" s="73"/>
      <c r="N408" s="46">
        <v>975</v>
      </c>
      <c r="O408" s="46">
        <v>0</v>
      </c>
      <c r="P408" s="46">
        <v>241020</v>
      </c>
      <c r="Q408" s="98"/>
      <c r="R408" s="23" t="s">
        <v>1421</v>
      </c>
      <c r="S408" s="24" t="s">
        <v>991</v>
      </c>
      <c r="T408" s="25" t="s">
        <v>30</v>
      </c>
      <c r="U408" s="26">
        <v>1088</v>
      </c>
      <c r="V408" s="26">
        <f t="shared" ref="V408:V414" si="88">IF(I408&gt;0,I408,IF(H408&gt;0,H408,IF(G408&gt;0,G408,IF(F408&gt;0,F408,IF(E408&gt;0,E408,D408)))))</f>
        <v>2893</v>
      </c>
      <c r="W408" s="26">
        <f t="shared" si="84"/>
        <v>247.2</v>
      </c>
      <c r="X408" s="128">
        <f t="shared" ref="X408:X431" si="89">AI408-N408</f>
        <v>0</v>
      </c>
      <c r="Y408" s="26">
        <f t="shared" si="75"/>
        <v>975</v>
      </c>
      <c r="Z408" s="26">
        <f t="shared" ref="Z408:Z431" si="90">AA408-P408</f>
        <v>0</v>
      </c>
      <c r="AA408" s="26">
        <f t="shared" ref="AA408:AA431" si="91">ROUND(W408*Y408,2)</f>
        <v>241020</v>
      </c>
      <c r="AB408" s="27" t="s">
        <v>15</v>
      </c>
      <c r="AC408" s="325"/>
      <c r="AD408" s="263">
        <f t="shared" si="83"/>
        <v>2893</v>
      </c>
      <c r="AE408" s="263">
        <f t="shared" ref="AE408:AE433" si="92">ROUND(W408*AD408,2)</f>
        <v>715149.6</v>
      </c>
      <c r="AF408" s="263">
        <v>1.9</v>
      </c>
      <c r="AG408" s="263">
        <v>1.9</v>
      </c>
      <c r="AH408" s="68" t="str">
        <f t="shared" si="81"/>
        <v/>
      </c>
      <c r="AI408" s="194">
        <v>975</v>
      </c>
      <c r="AJ408" s="188">
        <v>2893</v>
      </c>
      <c r="AO408" s="367"/>
      <c r="AP408" s="367"/>
      <c r="AQ408" s="367"/>
    </row>
    <row r="409" spans="1:43" s="69" customFormat="1" ht="49.5" x14ac:dyDescent="0.3">
      <c r="A409" s="55" t="s">
        <v>993</v>
      </c>
      <c r="B409" s="138" t="s">
        <v>994</v>
      </c>
      <c r="C409" s="54" t="s">
        <v>30</v>
      </c>
      <c r="D409" s="75">
        <v>1088</v>
      </c>
      <c r="E409" s="75">
        <v>975</v>
      </c>
      <c r="F409" s="75"/>
      <c r="G409" s="75"/>
      <c r="H409" s="328">
        <v>2893</v>
      </c>
      <c r="I409" s="75"/>
      <c r="J409" s="75">
        <v>236.9</v>
      </c>
      <c r="K409" s="75">
        <v>685351.7</v>
      </c>
      <c r="L409" s="91" t="s">
        <v>995</v>
      </c>
      <c r="M409" s="73"/>
      <c r="N409" s="46">
        <v>975</v>
      </c>
      <c r="O409" s="46">
        <v>0</v>
      </c>
      <c r="P409" s="46">
        <v>230977.5</v>
      </c>
      <c r="Q409" s="98"/>
      <c r="R409" s="23" t="s">
        <v>1426</v>
      </c>
      <c r="S409" s="24" t="s">
        <v>994</v>
      </c>
      <c r="T409" s="25" t="s">
        <v>30</v>
      </c>
      <c r="U409" s="26">
        <v>1088</v>
      </c>
      <c r="V409" s="26">
        <f t="shared" si="88"/>
        <v>2893</v>
      </c>
      <c r="W409" s="26">
        <f t="shared" si="84"/>
        <v>236.9</v>
      </c>
      <c r="X409" s="128">
        <f t="shared" si="89"/>
        <v>0</v>
      </c>
      <c r="Y409" s="26">
        <f t="shared" ref="Y409:Y431" si="93">X409+N409</f>
        <v>975</v>
      </c>
      <c r="Z409" s="26">
        <f>AA409-P409</f>
        <v>0</v>
      </c>
      <c r="AA409" s="26">
        <f t="shared" si="91"/>
        <v>230977.5</v>
      </c>
      <c r="AB409" s="27" t="s">
        <v>15</v>
      </c>
      <c r="AC409" s="325"/>
      <c r="AD409" s="263">
        <f t="shared" si="83"/>
        <v>2893</v>
      </c>
      <c r="AE409" s="263">
        <f t="shared" si="92"/>
        <v>685351.7</v>
      </c>
      <c r="AF409" s="263">
        <v>1.9</v>
      </c>
      <c r="AG409" s="263">
        <v>1.9</v>
      </c>
      <c r="AH409" s="68" t="str">
        <f t="shared" si="81"/>
        <v/>
      </c>
      <c r="AI409" s="194">
        <v>975</v>
      </c>
      <c r="AJ409" s="188">
        <v>2893</v>
      </c>
      <c r="AO409" s="367"/>
      <c r="AP409" s="367"/>
      <c r="AQ409" s="367"/>
    </row>
    <row r="410" spans="1:43" s="69" customFormat="1" ht="39" x14ac:dyDescent="0.3">
      <c r="A410" s="55" t="s">
        <v>996</v>
      </c>
      <c r="B410" s="53" t="s">
        <v>997</v>
      </c>
      <c r="C410" s="54" t="s">
        <v>998</v>
      </c>
      <c r="D410" s="75">
        <v>6984</v>
      </c>
      <c r="E410" s="75">
        <v>8144</v>
      </c>
      <c r="F410" s="75">
        <v>8744</v>
      </c>
      <c r="G410" s="75"/>
      <c r="H410" s="328">
        <v>9795.5</v>
      </c>
      <c r="I410" s="75"/>
      <c r="J410" s="75">
        <v>252.35</v>
      </c>
      <c r="K410" s="75">
        <v>2471894.4300000002</v>
      </c>
      <c r="L410" s="91" t="s">
        <v>999</v>
      </c>
      <c r="M410" s="73"/>
      <c r="N410" s="46">
        <v>9604</v>
      </c>
      <c r="O410" s="46">
        <v>52993.5</v>
      </c>
      <c r="P410" s="46">
        <v>2423569.4</v>
      </c>
      <c r="Q410" s="98"/>
      <c r="R410" s="23" t="s">
        <v>1402</v>
      </c>
      <c r="S410" s="24" t="s">
        <v>997</v>
      </c>
      <c r="T410" s="25" t="s">
        <v>998</v>
      </c>
      <c r="U410" s="26">
        <v>6984</v>
      </c>
      <c r="V410" s="26">
        <f t="shared" si="88"/>
        <v>9795.5</v>
      </c>
      <c r="W410" s="26">
        <f t="shared" si="84"/>
        <v>252.35</v>
      </c>
      <c r="X410" s="128">
        <f t="shared" si="89"/>
        <v>0</v>
      </c>
      <c r="Y410" s="26">
        <f t="shared" si="93"/>
        <v>9604</v>
      </c>
      <c r="Z410" s="26">
        <f t="shared" si="90"/>
        <v>0</v>
      </c>
      <c r="AA410" s="26">
        <f t="shared" si="91"/>
        <v>2423569.4</v>
      </c>
      <c r="AB410" s="27" t="s">
        <v>15</v>
      </c>
      <c r="AC410" s="325"/>
      <c r="AD410" s="263">
        <f t="shared" si="83"/>
        <v>9795.5</v>
      </c>
      <c r="AE410" s="263">
        <f t="shared" si="92"/>
        <v>2471894.4300000002</v>
      </c>
      <c r="AF410" s="263">
        <v>1.9</v>
      </c>
      <c r="AG410" s="263">
        <v>1.9</v>
      </c>
      <c r="AH410" s="68" t="str">
        <f t="shared" si="81"/>
        <v/>
      </c>
      <c r="AI410" s="194">
        <f>7744+360+360+510+210+210+210</f>
        <v>9604</v>
      </c>
      <c r="AJ410" s="188">
        <v>9795.5</v>
      </c>
      <c r="AO410" s="367"/>
      <c r="AP410" s="367"/>
      <c r="AQ410" s="367"/>
    </row>
    <row r="411" spans="1:43" s="69" customFormat="1" ht="66" x14ac:dyDescent="0.3">
      <c r="A411" s="130" t="s">
        <v>1000</v>
      </c>
      <c r="B411" s="240" t="s">
        <v>1001</v>
      </c>
      <c r="C411" s="132" t="s">
        <v>14</v>
      </c>
      <c r="D411" s="133">
        <v>1</v>
      </c>
      <c r="E411" s="75"/>
      <c r="F411" s="75"/>
      <c r="G411" s="75"/>
      <c r="H411" s="75"/>
      <c r="I411" s="75"/>
      <c r="J411" s="75">
        <v>350000</v>
      </c>
      <c r="K411" s="75">
        <v>350000</v>
      </c>
      <c r="L411" s="91" t="s">
        <v>1002</v>
      </c>
      <c r="M411" s="73"/>
      <c r="N411" s="46">
        <v>1</v>
      </c>
      <c r="O411" s="46">
        <v>192500</v>
      </c>
      <c r="P411" s="46">
        <v>350000</v>
      </c>
      <c r="Q411" s="98"/>
      <c r="R411" s="23" t="s">
        <v>1373</v>
      </c>
      <c r="S411" s="24" t="s">
        <v>1001</v>
      </c>
      <c r="T411" s="25" t="s">
        <v>14</v>
      </c>
      <c r="U411" s="26">
        <v>1</v>
      </c>
      <c r="V411" s="26">
        <f t="shared" si="88"/>
        <v>1</v>
      </c>
      <c r="W411" s="26">
        <f t="shared" si="84"/>
        <v>350000</v>
      </c>
      <c r="X411" s="128">
        <v>0.5</v>
      </c>
      <c r="Y411" s="209">
        <f>IF(AA411=0,0,1)</f>
        <v>1</v>
      </c>
      <c r="Z411" s="209">
        <f>AA411-P411</f>
        <v>0</v>
      </c>
      <c r="AA411" s="209">
        <v>350000</v>
      </c>
      <c r="AB411" s="123">
        <f>AA411/K411</f>
        <v>1</v>
      </c>
      <c r="AC411" s="325"/>
      <c r="AD411" s="263">
        <f t="shared" si="83"/>
        <v>1</v>
      </c>
      <c r="AE411" s="263">
        <f t="shared" si="92"/>
        <v>350000</v>
      </c>
      <c r="AF411" s="263">
        <v>1.9</v>
      </c>
      <c r="AG411" s="263">
        <v>1.9</v>
      </c>
      <c r="AH411" s="68" t="str">
        <f t="shared" si="81"/>
        <v/>
      </c>
      <c r="AI411" s="194">
        <v>1</v>
      </c>
      <c r="AJ411" s="188">
        <v>1</v>
      </c>
      <c r="AO411" s="367"/>
      <c r="AP411" s="367"/>
      <c r="AQ411" s="367"/>
    </row>
    <row r="412" spans="1:43" s="69" customFormat="1" ht="49.5" x14ac:dyDescent="0.3">
      <c r="A412" s="55" t="s">
        <v>1003</v>
      </c>
      <c r="B412" s="138" t="s">
        <v>1004</v>
      </c>
      <c r="C412" s="54" t="s">
        <v>97</v>
      </c>
      <c r="D412" s="75">
        <v>1</v>
      </c>
      <c r="E412" s="75">
        <v>2480</v>
      </c>
      <c r="F412" s="75"/>
      <c r="G412" s="75"/>
      <c r="H412" s="328">
        <v>3149</v>
      </c>
      <c r="I412" s="75"/>
      <c r="J412" s="75">
        <v>931.12</v>
      </c>
      <c r="K412" s="75">
        <v>2932096.88</v>
      </c>
      <c r="L412" s="91" t="s">
        <v>1005</v>
      </c>
      <c r="M412" s="73"/>
      <c r="N412" s="46">
        <v>2362</v>
      </c>
      <c r="O412" s="46">
        <v>0</v>
      </c>
      <c r="P412" s="46">
        <v>2199305.44</v>
      </c>
      <c r="Q412" s="98"/>
      <c r="R412" s="23" t="s">
        <v>1393</v>
      </c>
      <c r="S412" s="24" t="s">
        <v>1004</v>
      </c>
      <c r="T412" s="25" t="s">
        <v>97</v>
      </c>
      <c r="U412" s="26">
        <v>1</v>
      </c>
      <c r="V412" s="26">
        <f t="shared" si="88"/>
        <v>3149</v>
      </c>
      <c r="W412" s="26">
        <f t="shared" si="84"/>
        <v>931.12</v>
      </c>
      <c r="X412" s="128">
        <f t="shared" si="89"/>
        <v>0</v>
      </c>
      <c r="Y412" s="26">
        <f t="shared" si="93"/>
        <v>2362</v>
      </c>
      <c r="Z412" s="26">
        <f t="shared" si="90"/>
        <v>0</v>
      </c>
      <c r="AA412" s="26">
        <f t="shared" si="91"/>
        <v>2199305.44</v>
      </c>
      <c r="AB412" s="27" t="s">
        <v>15</v>
      </c>
      <c r="AC412" s="325"/>
      <c r="AD412" s="263">
        <f t="shared" si="83"/>
        <v>3149</v>
      </c>
      <c r="AE412" s="263">
        <f t="shared" si="92"/>
        <v>2932096.88</v>
      </c>
      <c r="AF412" s="263">
        <v>1.9</v>
      </c>
      <c r="AG412" s="263">
        <v>1.9</v>
      </c>
      <c r="AH412" s="68" t="str">
        <f t="shared" si="81"/>
        <v/>
      </c>
      <c r="AI412" s="194">
        <f>2060+182+120</f>
        <v>2362</v>
      </c>
      <c r="AJ412" s="188">
        <v>3149</v>
      </c>
      <c r="AO412" s="367"/>
      <c r="AP412" s="367"/>
      <c r="AQ412" s="367"/>
    </row>
    <row r="413" spans="1:43" s="69" customFormat="1" ht="24.75" x14ac:dyDescent="0.3">
      <c r="A413" s="55" t="s">
        <v>1006</v>
      </c>
      <c r="B413" s="53" t="s">
        <v>678</v>
      </c>
      <c r="C413" s="54" t="s">
        <v>23</v>
      </c>
      <c r="D413" s="75">
        <v>1</v>
      </c>
      <c r="E413" s="203">
        <v>91</v>
      </c>
      <c r="F413" s="203">
        <v>291</v>
      </c>
      <c r="G413" s="203"/>
      <c r="H413" s="338">
        <v>438</v>
      </c>
      <c r="I413" s="203"/>
      <c r="J413" s="75">
        <v>3386.57</v>
      </c>
      <c r="K413" s="75">
        <v>1483317.66</v>
      </c>
      <c r="L413" s="91" t="s">
        <v>679</v>
      </c>
      <c r="M413" s="73"/>
      <c r="N413" s="46">
        <v>316</v>
      </c>
      <c r="O413" s="46">
        <v>0</v>
      </c>
      <c r="P413" s="46">
        <v>1070156.1200000001</v>
      </c>
      <c r="Q413" s="98"/>
      <c r="R413" s="23" t="s">
        <v>1403</v>
      </c>
      <c r="S413" s="24" t="s">
        <v>678</v>
      </c>
      <c r="T413" s="25" t="s">
        <v>23</v>
      </c>
      <c r="U413" s="26">
        <v>1</v>
      </c>
      <c r="V413" s="26">
        <f t="shared" si="88"/>
        <v>438</v>
      </c>
      <c r="W413" s="26">
        <f t="shared" si="84"/>
        <v>3386.57</v>
      </c>
      <c r="X413" s="128">
        <f t="shared" si="89"/>
        <v>0</v>
      </c>
      <c r="Y413" s="26">
        <f t="shared" si="93"/>
        <v>316</v>
      </c>
      <c r="Z413" s="26">
        <f t="shared" si="90"/>
        <v>0</v>
      </c>
      <c r="AA413" s="26">
        <f t="shared" si="91"/>
        <v>1070156.1200000001</v>
      </c>
      <c r="AB413" s="27" t="s">
        <v>15</v>
      </c>
      <c r="AC413" s="325"/>
      <c r="AD413" s="263">
        <f t="shared" si="83"/>
        <v>438</v>
      </c>
      <c r="AE413" s="263">
        <f t="shared" si="92"/>
        <v>1483317.66</v>
      </c>
      <c r="AF413" s="263">
        <v>1.9</v>
      </c>
      <c r="AG413" s="263">
        <v>1.9</v>
      </c>
      <c r="AH413" s="68" t="str">
        <f t="shared" si="81"/>
        <v/>
      </c>
      <c r="AI413" s="194">
        <f>291+25</f>
        <v>316</v>
      </c>
      <c r="AJ413" s="188">
        <v>438</v>
      </c>
      <c r="AO413" s="367"/>
      <c r="AP413" s="367"/>
      <c r="AQ413" s="367"/>
    </row>
    <row r="414" spans="1:43" s="69" customFormat="1" ht="66" x14ac:dyDescent="0.3">
      <c r="A414" s="134" t="s">
        <v>1340</v>
      </c>
      <c r="B414" s="139" t="s">
        <v>3137</v>
      </c>
      <c r="C414" s="204" t="s">
        <v>30</v>
      </c>
      <c r="D414" s="133"/>
      <c r="E414" s="59">
        <v>130</v>
      </c>
      <c r="F414" s="77"/>
      <c r="G414" s="77"/>
      <c r="H414" s="77"/>
      <c r="I414" s="77"/>
      <c r="J414" s="77">
        <v>9706.16</v>
      </c>
      <c r="K414" s="59">
        <v>1261800.8</v>
      </c>
      <c r="L414" s="92"/>
      <c r="M414" s="73"/>
      <c r="N414" s="46">
        <v>130</v>
      </c>
      <c r="O414" s="46">
        <v>0</v>
      </c>
      <c r="P414" s="46">
        <v>1261800.8</v>
      </c>
      <c r="Q414" s="98"/>
      <c r="R414" s="23" t="s">
        <v>1427</v>
      </c>
      <c r="S414" s="24" t="s">
        <v>1500</v>
      </c>
      <c r="T414" s="25" t="s">
        <v>30</v>
      </c>
      <c r="U414" s="26">
        <v>0</v>
      </c>
      <c r="V414" s="26">
        <f t="shared" si="88"/>
        <v>130</v>
      </c>
      <c r="W414" s="26">
        <f t="shared" si="84"/>
        <v>9706.16</v>
      </c>
      <c r="X414" s="127">
        <f t="shared" si="89"/>
        <v>0</v>
      </c>
      <c r="Y414" s="127">
        <f t="shared" si="93"/>
        <v>130</v>
      </c>
      <c r="Z414" s="127">
        <f t="shared" si="90"/>
        <v>0</v>
      </c>
      <c r="AA414" s="127">
        <f t="shared" si="91"/>
        <v>1261800.8</v>
      </c>
      <c r="AB414" s="27"/>
      <c r="AC414" s="324"/>
      <c r="AD414" s="181">
        <f t="shared" si="83"/>
        <v>130</v>
      </c>
      <c r="AE414" s="181">
        <f t="shared" si="92"/>
        <v>1261800.8</v>
      </c>
      <c r="AF414" s="181">
        <v>1.9</v>
      </c>
      <c r="AG414" s="181">
        <v>1.9</v>
      </c>
      <c r="AH414" s="363" t="str">
        <f t="shared" si="81"/>
        <v/>
      </c>
      <c r="AI414" s="194">
        <v>130</v>
      </c>
      <c r="AJ414" s="188">
        <v>130</v>
      </c>
      <c r="AO414" s="367"/>
      <c r="AP414" s="367"/>
      <c r="AQ414" s="367"/>
    </row>
    <row r="415" spans="1:43" s="69" customFormat="1" x14ac:dyDescent="0.3">
      <c r="A415" s="79" t="s">
        <v>3254</v>
      </c>
      <c r="B415" s="80" t="s">
        <v>3286</v>
      </c>
      <c r="C415" s="81" t="s">
        <v>14</v>
      </c>
      <c r="D415" s="82"/>
      <c r="E415" s="82"/>
      <c r="F415" s="82"/>
      <c r="G415" s="82"/>
      <c r="H415" s="82"/>
      <c r="I415" s="82">
        <v>1</v>
      </c>
      <c r="J415" s="82">
        <v>6916525.5499999998</v>
      </c>
      <c r="K415" s="82">
        <v>6916525.5499999998</v>
      </c>
      <c r="L415" s="94" t="s">
        <v>15</v>
      </c>
      <c r="M415" s="73"/>
      <c r="N415" s="45">
        <v>1</v>
      </c>
      <c r="O415" s="45">
        <v>750567.96000000008</v>
      </c>
      <c r="P415" s="45">
        <v>750567.96000000008</v>
      </c>
      <c r="Q415" s="98"/>
      <c r="R415" s="18" t="s">
        <v>3254</v>
      </c>
      <c r="S415" s="19" t="str">
        <f t="shared" ref="S415:T431" si="94">B415</f>
        <v>涼亭工程</v>
      </c>
      <c r="T415" s="20" t="str">
        <f t="shared" si="94"/>
        <v>式</v>
      </c>
      <c r="U415" s="21"/>
      <c r="V415" s="21">
        <v>1</v>
      </c>
      <c r="W415" s="21">
        <f t="shared" si="84"/>
        <v>6916525.5499999998</v>
      </c>
      <c r="X415" s="21">
        <f t="shared" ref="X415:Y415" si="95">IF(Z415=0,0,1)</f>
        <v>1</v>
      </c>
      <c r="Y415" s="21">
        <f t="shared" si="95"/>
        <v>1</v>
      </c>
      <c r="Z415" s="21">
        <f>SUMIFS(Z:Z,AG:AG,AF415)</f>
        <v>653535</v>
      </c>
      <c r="AA415" s="21">
        <f>SUMIFS(AA:AA,AG:AG,AF415)</f>
        <v>1404102.96</v>
      </c>
      <c r="AB415" s="22" t="s">
        <v>15</v>
      </c>
      <c r="AC415" s="324"/>
      <c r="AD415" s="181">
        <f t="shared" si="83"/>
        <v>1</v>
      </c>
      <c r="AE415" s="184"/>
      <c r="AF415" s="184">
        <v>1.111</v>
      </c>
      <c r="AG415" s="184"/>
      <c r="AH415" s="363" t="str">
        <f t="shared" si="81"/>
        <v/>
      </c>
      <c r="AI415" s="192">
        <v>1</v>
      </c>
      <c r="AJ415" s="190">
        <v>1</v>
      </c>
      <c r="AN415" s="281"/>
      <c r="AO415" s="367"/>
      <c r="AP415" s="367"/>
      <c r="AQ415" s="367"/>
    </row>
    <row r="416" spans="1:43" s="281" customFormat="1" ht="49.5" x14ac:dyDescent="0.3">
      <c r="A416" s="130" t="s">
        <v>3255</v>
      </c>
      <c r="B416" s="240" t="s">
        <v>33</v>
      </c>
      <c r="C416" s="132" t="s">
        <v>34</v>
      </c>
      <c r="D416" s="133"/>
      <c r="E416" s="213"/>
      <c r="F416" s="213"/>
      <c r="G416" s="213"/>
      <c r="H416" s="213"/>
      <c r="I416" s="343">
        <v>17.57</v>
      </c>
      <c r="J416" s="213">
        <v>48.28</v>
      </c>
      <c r="K416" s="213">
        <v>848.28</v>
      </c>
      <c r="L416" s="284"/>
      <c r="M416" s="278"/>
      <c r="N416" s="42">
        <v>17.57</v>
      </c>
      <c r="O416" s="42">
        <v>848.28</v>
      </c>
      <c r="P416" s="42">
        <v>848.28</v>
      </c>
      <c r="Q416" s="98"/>
      <c r="R416" s="13" t="s">
        <v>3274</v>
      </c>
      <c r="S416" s="286" t="str">
        <f t="shared" si="94"/>
        <v>基地及路幅開挖，未含運費，(機械挖，0.7～0.79m3開挖機)</v>
      </c>
      <c r="T416" s="287" t="str">
        <f t="shared" si="94"/>
        <v>B.M3</v>
      </c>
      <c r="U416" s="16"/>
      <c r="V416" s="16">
        <f t="shared" ref="V416:V431" si="96">IF(I416&gt;0,I416,IF(H416&gt;0,H416,IF(G416&gt;0,G416,IF(F416&gt;0,F416,IF(E416&gt;0,E416,D416)))))</f>
        <v>17.57</v>
      </c>
      <c r="W416" s="16">
        <f t="shared" si="84"/>
        <v>48.28</v>
      </c>
      <c r="X416" s="127">
        <f t="shared" si="89"/>
        <v>0</v>
      </c>
      <c r="Y416" s="127">
        <f t="shared" si="93"/>
        <v>17.57</v>
      </c>
      <c r="Z416" s="127">
        <f t="shared" si="90"/>
        <v>0</v>
      </c>
      <c r="AA416" s="127">
        <f t="shared" si="91"/>
        <v>848.28</v>
      </c>
      <c r="AB416" s="279"/>
      <c r="AC416" s="324"/>
      <c r="AD416" s="181">
        <f t="shared" si="83"/>
        <v>17.57</v>
      </c>
      <c r="AE416" s="181">
        <f t="shared" si="92"/>
        <v>848.28</v>
      </c>
      <c r="AF416" s="184">
        <v>1.111</v>
      </c>
      <c r="AG416" s="184">
        <v>1.111</v>
      </c>
      <c r="AH416" s="365"/>
      <c r="AI416" s="285">
        <v>17.57</v>
      </c>
      <c r="AJ416" s="190">
        <v>17.57</v>
      </c>
      <c r="AO416" s="367"/>
      <c r="AP416" s="367"/>
      <c r="AQ416" s="367"/>
    </row>
    <row r="417" spans="1:43" s="281" customFormat="1" x14ac:dyDescent="0.3">
      <c r="A417" s="130" t="s">
        <v>3256</v>
      </c>
      <c r="B417" s="240" t="s">
        <v>431</v>
      </c>
      <c r="C417" s="132" t="s">
        <v>50</v>
      </c>
      <c r="D417" s="133"/>
      <c r="E417" s="213"/>
      <c r="F417" s="213"/>
      <c r="G417" s="213"/>
      <c r="H417" s="213"/>
      <c r="I417" s="343">
        <v>93.17</v>
      </c>
      <c r="J417" s="213">
        <v>28</v>
      </c>
      <c r="K417" s="213">
        <v>2608.7600000000002</v>
      </c>
      <c r="L417" s="284"/>
      <c r="M417" s="278"/>
      <c r="N417" s="42">
        <v>93.17</v>
      </c>
      <c r="O417" s="42">
        <v>2608.7600000000002</v>
      </c>
      <c r="P417" s="42">
        <v>2608.7600000000002</v>
      </c>
      <c r="Q417" s="98"/>
      <c r="R417" s="13" t="s">
        <v>3275</v>
      </c>
      <c r="S417" s="286" t="str">
        <f t="shared" si="94"/>
        <v>放樣</v>
      </c>
      <c r="T417" s="287" t="str">
        <f t="shared" si="94"/>
        <v>M2</v>
      </c>
      <c r="U417" s="16"/>
      <c r="V417" s="16">
        <f t="shared" si="96"/>
        <v>93.17</v>
      </c>
      <c r="W417" s="16">
        <f t="shared" si="84"/>
        <v>28</v>
      </c>
      <c r="X417" s="127">
        <f t="shared" si="89"/>
        <v>0</v>
      </c>
      <c r="Y417" s="127">
        <f t="shared" si="93"/>
        <v>93.17</v>
      </c>
      <c r="Z417" s="127">
        <f t="shared" si="90"/>
        <v>0</v>
      </c>
      <c r="AA417" s="127">
        <f t="shared" si="91"/>
        <v>2608.7600000000002</v>
      </c>
      <c r="AB417" s="279"/>
      <c r="AC417" s="324"/>
      <c r="AD417" s="181">
        <f t="shared" si="83"/>
        <v>93.17</v>
      </c>
      <c r="AE417" s="181">
        <f t="shared" si="92"/>
        <v>2608.7600000000002</v>
      </c>
      <c r="AF417" s="184">
        <v>1.111</v>
      </c>
      <c r="AG417" s="184">
        <v>1.111</v>
      </c>
      <c r="AH417" s="365"/>
      <c r="AI417" s="285">
        <v>93.17</v>
      </c>
      <c r="AJ417" s="190">
        <v>93.17</v>
      </c>
      <c r="AO417" s="367"/>
      <c r="AP417" s="367"/>
      <c r="AQ417" s="367"/>
    </row>
    <row r="418" spans="1:43" s="281" customFormat="1" ht="58.5" x14ac:dyDescent="0.3">
      <c r="A418" s="130" t="s">
        <v>3257</v>
      </c>
      <c r="B418" s="131" t="s">
        <v>106</v>
      </c>
      <c r="C418" s="132" t="s">
        <v>103</v>
      </c>
      <c r="D418" s="133"/>
      <c r="E418" s="213"/>
      <c r="F418" s="213"/>
      <c r="G418" s="213"/>
      <c r="H418" s="213"/>
      <c r="I418" s="343">
        <v>17.57</v>
      </c>
      <c r="J418" s="213">
        <v>346.08</v>
      </c>
      <c r="K418" s="213">
        <v>6080.63</v>
      </c>
      <c r="L418" s="284"/>
      <c r="M418" s="278"/>
      <c r="N418" s="42">
        <v>17.57</v>
      </c>
      <c r="O418" s="42">
        <v>6080.63</v>
      </c>
      <c r="P418" s="42">
        <v>6080.63</v>
      </c>
      <c r="Q418" s="98"/>
      <c r="R418" s="13" t="s">
        <v>1402</v>
      </c>
      <c r="S418" s="286" t="str">
        <f t="shared" si="94"/>
        <v>構造物回填，回填及夯實，人工夯實</v>
      </c>
      <c r="T418" s="287" t="str">
        <f t="shared" si="94"/>
        <v>C.M3</v>
      </c>
      <c r="U418" s="16"/>
      <c r="V418" s="16">
        <f t="shared" si="96"/>
        <v>17.57</v>
      </c>
      <c r="W418" s="16">
        <f t="shared" si="84"/>
        <v>346.08</v>
      </c>
      <c r="X418" s="127">
        <f t="shared" si="89"/>
        <v>0</v>
      </c>
      <c r="Y418" s="127">
        <f t="shared" si="93"/>
        <v>17.57</v>
      </c>
      <c r="Z418" s="127">
        <f t="shared" si="90"/>
        <v>0</v>
      </c>
      <c r="AA418" s="127">
        <f t="shared" si="91"/>
        <v>6080.63</v>
      </c>
      <c r="AB418" s="279"/>
      <c r="AC418" s="324"/>
      <c r="AD418" s="181">
        <f t="shared" si="83"/>
        <v>17.57</v>
      </c>
      <c r="AE418" s="181">
        <f t="shared" si="92"/>
        <v>6080.63</v>
      </c>
      <c r="AF418" s="184">
        <v>1.111</v>
      </c>
      <c r="AG418" s="184">
        <v>1.111</v>
      </c>
      <c r="AH418" s="365"/>
      <c r="AI418" s="285">
        <v>17.57</v>
      </c>
      <c r="AJ418" s="190">
        <v>17.57</v>
      </c>
      <c r="AO418" s="367"/>
      <c r="AP418" s="367"/>
      <c r="AQ418" s="367"/>
    </row>
    <row r="419" spans="1:43" s="281" customFormat="1" x14ac:dyDescent="0.3">
      <c r="A419" s="130" t="s">
        <v>3258</v>
      </c>
      <c r="B419" s="240" t="s">
        <v>119</v>
      </c>
      <c r="C419" s="132" t="s">
        <v>50</v>
      </c>
      <c r="D419" s="133"/>
      <c r="E419" s="213"/>
      <c r="F419" s="213"/>
      <c r="G419" s="213"/>
      <c r="H419" s="213"/>
      <c r="I419" s="343">
        <v>82.73</v>
      </c>
      <c r="J419" s="213">
        <v>533.64</v>
      </c>
      <c r="K419" s="213">
        <v>44148.04</v>
      </c>
      <c r="L419" s="284"/>
      <c r="M419" s="278"/>
      <c r="N419" s="42">
        <v>82.73</v>
      </c>
      <c r="O419" s="42">
        <v>44148.04</v>
      </c>
      <c r="P419" s="42">
        <v>44148.04</v>
      </c>
      <c r="Q419" s="98"/>
      <c r="R419" s="13" t="s">
        <v>1373</v>
      </c>
      <c r="S419" s="286" t="str">
        <f t="shared" si="94"/>
        <v>普通模板，丙種</v>
      </c>
      <c r="T419" s="287" t="str">
        <f t="shared" si="94"/>
        <v>M2</v>
      </c>
      <c r="U419" s="16"/>
      <c r="V419" s="16">
        <f t="shared" si="96"/>
        <v>82.73</v>
      </c>
      <c r="W419" s="16">
        <f t="shared" si="84"/>
        <v>533.64</v>
      </c>
      <c r="X419" s="127">
        <f t="shared" si="89"/>
        <v>0</v>
      </c>
      <c r="Y419" s="127">
        <f t="shared" si="93"/>
        <v>82.73</v>
      </c>
      <c r="Z419" s="127">
        <f t="shared" si="90"/>
        <v>0</v>
      </c>
      <c r="AA419" s="127">
        <f t="shared" si="91"/>
        <v>44148.04</v>
      </c>
      <c r="AB419" s="304"/>
      <c r="AC419" s="324"/>
      <c r="AD419" s="181">
        <f t="shared" si="83"/>
        <v>82.73</v>
      </c>
      <c r="AE419" s="181">
        <f t="shared" si="92"/>
        <v>44148.04</v>
      </c>
      <c r="AF419" s="184">
        <v>1.111</v>
      </c>
      <c r="AG419" s="184">
        <v>1.111</v>
      </c>
      <c r="AH419" s="365"/>
      <c r="AI419" s="285">
        <v>82.73</v>
      </c>
      <c r="AJ419" s="190">
        <v>82.73</v>
      </c>
      <c r="AO419" s="367"/>
      <c r="AP419" s="367"/>
      <c r="AQ419" s="367"/>
    </row>
    <row r="420" spans="1:43" s="281" customFormat="1" x14ac:dyDescent="0.3">
      <c r="A420" s="130" t="s">
        <v>3259</v>
      </c>
      <c r="B420" s="240" t="s">
        <v>122</v>
      </c>
      <c r="C420" s="132" t="s">
        <v>50</v>
      </c>
      <c r="D420" s="133"/>
      <c r="E420" s="213"/>
      <c r="F420" s="213"/>
      <c r="G420" s="213"/>
      <c r="H420" s="213"/>
      <c r="I420" s="343">
        <v>28.02</v>
      </c>
      <c r="J420" s="213">
        <v>1299.8900000000001</v>
      </c>
      <c r="K420" s="213">
        <v>36422.92</v>
      </c>
      <c r="L420" s="284"/>
      <c r="M420" s="278"/>
      <c r="N420" s="42">
        <v>28.02</v>
      </c>
      <c r="O420" s="42">
        <v>36422.92</v>
      </c>
      <c r="P420" s="42">
        <v>36422.92</v>
      </c>
      <c r="Q420" s="98"/>
      <c r="R420" s="13" t="s">
        <v>1393</v>
      </c>
      <c r="S420" s="286" t="str">
        <f t="shared" si="94"/>
        <v>清水模板，鋼模</v>
      </c>
      <c r="T420" s="287" t="str">
        <f t="shared" si="94"/>
        <v>M2</v>
      </c>
      <c r="U420" s="16"/>
      <c r="V420" s="16">
        <f t="shared" si="96"/>
        <v>28.02</v>
      </c>
      <c r="W420" s="16">
        <f t="shared" si="84"/>
        <v>1299.8900000000001</v>
      </c>
      <c r="X420" s="127">
        <f t="shared" si="89"/>
        <v>0</v>
      </c>
      <c r="Y420" s="127">
        <f t="shared" si="93"/>
        <v>28.02</v>
      </c>
      <c r="Z420" s="127">
        <f t="shared" si="90"/>
        <v>0</v>
      </c>
      <c r="AA420" s="127">
        <f t="shared" si="91"/>
        <v>36422.92</v>
      </c>
      <c r="AB420" s="279"/>
      <c r="AC420" s="324"/>
      <c r="AD420" s="181">
        <f t="shared" si="83"/>
        <v>28.02</v>
      </c>
      <c r="AE420" s="181">
        <f t="shared" si="92"/>
        <v>36422.92</v>
      </c>
      <c r="AF420" s="184">
        <v>1.111</v>
      </c>
      <c r="AG420" s="184">
        <v>1.111</v>
      </c>
      <c r="AH420" s="365"/>
      <c r="AI420" s="285">
        <v>28.02</v>
      </c>
      <c r="AJ420" s="190">
        <v>28.02</v>
      </c>
      <c r="AO420" s="367"/>
      <c r="AP420" s="367"/>
      <c r="AQ420" s="367"/>
    </row>
    <row r="421" spans="1:43" s="281" customFormat="1" ht="33" x14ac:dyDescent="0.3">
      <c r="A421" s="130" t="s">
        <v>3260</v>
      </c>
      <c r="B421" s="240" t="s">
        <v>392</v>
      </c>
      <c r="C421" s="132" t="s">
        <v>23</v>
      </c>
      <c r="D421" s="133"/>
      <c r="E421" s="213"/>
      <c r="F421" s="213"/>
      <c r="G421" s="213"/>
      <c r="H421" s="213"/>
      <c r="I421" s="343">
        <v>2.94</v>
      </c>
      <c r="J421" s="213">
        <v>3115.13</v>
      </c>
      <c r="K421" s="213">
        <v>9158.48</v>
      </c>
      <c r="L421" s="284"/>
      <c r="M421" s="278"/>
      <c r="N421" s="42">
        <v>2.94</v>
      </c>
      <c r="O421" s="42">
        <v>9158.48</v>
      </c>
      <c r="P421" s="42">
        <v>9158.48</v>
      </c>
      <c r="Q421" s="98"/>
      <c r="R421" s="13" t="s">
        <v>1403</v>
      </c>
      <c r="S421" s="286" t="str">
        <f t="shared" si="94"/>
        <v>結構用混凝土，預拌，140kgf/cm2</v>
      </c>
      <c r="T421" s="287" t="str">
        <f t="shared" si="94"/>
        <v>M3</v>
      </c>
      <c r="U421" s="16"/>
      <c r="V421" s="16">
        <f t="shared" si="96"/>
        <v>2.94</v>
      </c>
      <c r="W421" s="16">
        <f t="shared" si="84"/>
        <v>3115.13</v>
      </c>
      <c r="X421" s="127">
        <f t="shared" si="89"/>
        <v>0</v>
      </c>
      <c r="Y421" s="127">
        <f t="shared" si="93"/>
        <v>2.94</v>
      </c>
      <c r="Z421" s="127">
        <f t="shared" si="90"/>
        <v>0</v>
      </c>
      <c r="AA421" s="127">
        <f t="shared" si="91"/>
        <v>9158.48</v>
      </c>
      <c r="AB421" s="279"/>
      <c r="AC421" s="324"/>
      <c r="AD421" s="181">
        <f t="shared" si="83"/>
        <v>2.94</v>
      </c>
      <c r="AE421" s="181">
        <f t="shared" si="92"/>
        <v>9158.48</v>
      </c>
      <c r="AF421" s="184">
        <v>1.111</v>
      </c>
      <c r="AG421" s="184">
        <v>1.111</v>
      </c>
      <c r="AH421" s="365"/>
      <c r="AI421" s="285">
        <v>2.94</v>
      </c>
      <c r="AJ421" s="190">
        <v>2.94</v>
      </c>
      <c r="AO421" s="367"/>
      <c r="AP421" s="367"/>
      <c r="AQ421" s="367"/>
    </row>
    <row r="422" spans="1:43" s="281" customFormat="1" ht="33" x14ac:dyDescent="0.3">
      <c r="A422" s="130" t="s">
        <v>3261</v>
      </c>
      <c r="B422" s="240" t="s">
        <v>116</v>
      </c>
      <c r="C422" s="132" t="s">
        <v>23</v>
      </c>
      <c r="D422" s="133"/>
      <c r="E422" s="213"/>
      <c r="F422" s="213"/>
      <c r="G422" s="213"/>
      <c r="H422" s="213"/>
      <c r="I422" s="343">
        <v>21.45</v>
      </c>
      <c r="J422" s="213">
        <v>3321.13</v>
      </c>
      <c r="K422" s="213">
        <v>71238.240000000005</v>
      </c>
      <c r="L422" s="284"/>
      <c r="M422" s="278"/>
      <c r="N422" s="42">
        <v>21.45</v>
      </c>
      <c r="O422" s="42">
        <v>71238.240000000005</v>
      </c>
      <c r="P422" s="42">
        <v>71238.240000000005</v>
      </c>
      <c r="Q422" s="98"/>
      <c r="R422" s="13" t="s">
        <v>1427</v>
      </c>
      <c r="S422" s="286" t="str">
        <f t="shared" si="94"/>
        <v>結構用混凝土，預拌，210kgf/cm2</v>
      </c>
      <c r="T422" s="287" t="str">
        <f t="shared" si="94"/>
        <v>M3</v>
      </c>
      <c r="U422" s="16"/>
      <c r="V422" s="16">
        <f t="shared" si="96"/>
        <v>21.45</v>
      </c>
      <c r="W422" s="16">
        <f t="shared" si="84"/>
        <v>3321.13</v>
      </c>
      <c r="X422" s="127">
        <f t="shared" si="89"/>
        <v>0</v>
      </c>
      <c r="Y422" s="127">
        <f t="shared" si="93"/>
        <v>21.45</v>
      </c>
      <c r="Z422" s="127">
        <f t="shared" si="90"/>
        <v>0</v>
      </c>
      <c r="AA422" s="127">
        <f t="shared" si="91"/>
        <v>71238.240000000005</v>
      </c>
      <c r="AB422" s="279"/>
      <c r="AC422" s="324"/>
      <c r="AD422" s="181">
        <f t="shared" si="83"/>
        <v>21.45</v>
      </c>
      <c r="AE422" s="181">
        <f t="shared" si="92"/>
        <v>71238.240000000005</v>
      </c>
      <c r="AF422" s="184">
        <v>1.111</v>
      </c>
      <c r="AG422" s="184">
        <v>1.111</v>
      </c>
      <c r="AH422" s="365"/>
      <c r="AI422" s="285">
        <v>21.45</v>
      </c>
      <c r="AJ422" s="190">
        <v>21.45</v>
      </c>
      <c r="AO422" s="367"/>
      <c r="AP422" s="367"/>
      <c r="AQ422" s="367"/>
    </row>
    <row r="423" spans="1:43" s="281" customFormat="1" x14ac:dyDescent="0.3">
      <c r="A423" s="130" t="s">
        <v>3262</v>
      </c>
      <c r="B423" s="240" t="s">
        <v>109</v>
      </c>
      <c r="C423" s="132" t="s">
        <v>110</v>
      </c>
      <c r="D423" s="133"/>
      <c r="E423" s="213"/>
      <c r="F423" s="213"/>
      <c r="G423" s="213"/>
      <c r="H423" s="213"/>
      <c r="I423" s="343">
        <v>1747.16</v>
      </c>
      <c r="J423" s="213">
        <v>36.4</v>
      </c>
      <c r="K423" s="213">
        <v>63596.62</v>
      </c>
      <c r="L423" s="284"/>
      <c r="M423" s="278"/>
      <c r="N423" s="42">
        <v>1747.16</v>
      </c>
      <c r="O423" s="42">
        <v>63596.62</v>
      </c>
      <c r="P423" s="42">
        <v>63596.62</v>
      </c>
      <c r="Q423" s="98"/>
      <c r="R423" s="13" t="s">
        <v>1428</v>
      </c>
      <c r="S423" s="286" t="str">
        <f t="shared" si="94"/>
        <v>鋼筋，SD280W</v>
      </c>
      <c r="T423" s="287" t="str">
        <f t="shared" si="94"/>
        <v>KG</v>
      </c>
      <c r="U423" s="16"/>
      <c r="V423" s="16">
        <f t="shared" si="96"/>
        <v>1747.16</v>
      </c>
      <c r="W423" s="16">
        <f t="shared" si="84"/>
        <v>36.4</v>
      </c>
      <c r="X423" s="127">
        <f t="shared" si="89"/>
        <v>0</v>
      </c>
      <c r="Y423" s="127">
        <f t="shared" si="93"/>
        <v>1747.16</v>
      </c>
      <c r="Z423" s="127">
        <f t="shared" si="90"/>
        <v>0</v>
      </c>
      <c r="AA423" s="127">
        <f t="shared" si="91"/>
        <v>63596.62</v>
      </c>
      <c r="AB423" s="279"/>
      <c r="AC423" s="324"/>
      <c r="AD423" s="181">
        <f t="shared" si="83"/>
        <v>1747.16</v>
      </c>
      <c r="AE423" s="181">
        <f t="shared" si="92"/>
        <v>63596.62</v>
      </c>
      <c r="AF423" s="184">
        <v>1.111</v>
      </c>
      <c r="AG423" s="184">
        <v>1.111</v>
      </c>
      <c r="AH423" s="365"/>
      <c r="AI423" s="285">
        <v>1747.16</v>
      </c>
      <c r="AJ423" s="190">
        <v>1747.16</v>
      </c>
      <c r="AO423" s="367"/>
      <c r="AP423" s="367"/>
      <c r="AQ423" s="367"/>
    </row>
    <row r="424" spans="1:43" s="281" customFormat="1" ht="99" x14ac:dyDescent="0.3">
      <c r="A424" s="283" t="s">
        <v>3263</v>
      </c>
      <c r="B424" s="303" t="s">
        <v>131</v>
      </c>
      <c r="C424" s="212" t="s">
        <v>110</v>
      </c>
      <c r="D424" s="213"/>
      <c r="E424" s="213"/>
      <c r="F424" s="213"/>
      <c r="G424" s="213"/>
      <c r="H424" s="213"/>
      <c r="I424" s="337">
        <v>1971.61</v>
      </c>
      <c r="J424" s="213">
        <v>107.31</v>
      </c>
      <c r="K424" s="213">
        <v>211573.47</v>
      </c>
      <c r="L424" s="284"/>
      <c r="M424" s="278"/>
      <c r="N424" s="42">
        <v>1235.2</v>
      </c>
      <c r="O424" s="42">
        <v>132549.31</v>
      </c>
      <c r="P424" s="42">
        <v>132549.31</v>
      </c>
      <c r="Q424" s="98"/>
      <c r="R424" s="13" t="s">
        <v>1387</v>
      </c>
      <c r="S424" s="286" t="str">
        <f t="shared" si="94"/>
        <v>結構用鋼材，銲接結構用軋鋼料，SM400B鋼構工程及製作、組立工程(含加勁板、續接板、螺絲、螺栓、螺帽等)</v>
      </c>
      <c r="T424" s="287" t="str">
        <f t="shared" si="94"/>
        <v>KG</v>
      </c>
      <c r="U424" s="16"/>
      <c r="V424" s="16">
        <f t="shared" si="96"/>
        <v>1971.61</v>
      </c>
      <c r="W424" s="16">
        <f t="shared" si="84"/>
        <v>107.31</v>
      </c>
      <c r="X424" s="16">
        <f t="shared" si="89"/>
        <v>0</v>
      </c>
      <c r="Y424" s="16">
        <f t="shared" si="93"/>
        <v>1235.2</v>
      </c>
      <c r="Z424" s="16">
        <f t="shared" si="90"/>
        <v>0</v>
      </c>
      <c r="AA424" s="16">
        <f t="shared" si="91"/>
        <v>132549.31</v>
      </c>
      <c r="AB424" s="279"/>
      <c r="AC424" s="324"/>
      <c r="AD424" s="181">
        <f t="shared" si="83"/>
        <v>1971.61</v>
      </c>
      <c r="AE424" s="181">
        <f t="shared" si="92"/>
        <v>211573.47</v>
      </c>
      <c r="AF424" s="184">
        <v>1.111</v>
      </c>
      <c r="AG424" s="184">
        <v>1.111</v>
      </c>
      <c r="AH424" s="365"/>
      <c r="AI424" s="285">
        <v>1235.2</v>
      </c>
      <c r="AJ424" s="190">
        <v>1971.61</v>
      </c>
      <c r="AO424" s="367"/>
      <c r="AP424" s="367"/>
      <c r="AQ424" s="367"/>
    </row>
    <row r="425" spans="1:43" s="281" customFormat="1" x14ac:dyDescent="0.3">
      <c r="A425" s="283" t="s">
        <v>3264</v>
      </c>
      <c r="B425" s="303" t="s">
        <v>125</v>
      </c>
      <c r="C425" s="212" t="s">
        <v>110</v>
      </c>
      <c r="D425" s="213"/>
      <c r="E425" s="213"/>
      <c r="F425" s="213"/>
      <c r="G425" s="213"/>
      <c r="H425" s="213"/>
      <c r="I425" s="337">
        <v>3256.5</v>
      </c>
      <c r="J425" s="213">
        <v>60</v>
      </c>
      <c r="K425" s="213">
        <v>195390</v>
      </c>
      <c r="L425" s="284"/>
      <c r="M425" s="278"/>
      <c r="N425" s="42">
        <v>2168.1</v>
      </c>
      <c r="O425" s="42">
        <v>130086</v>
      </c>
      <c r="P425" s="42">
        <v>130086</v>
      </c>
      <c r="Q425" s="98"/>
      <c r="R425" s="13" t="s">
        <v>1405</v>
      </c>
      <c r="S425" s="286" t="str">
        <f t="shared" si="94"/>
        <v>鍍鋅鋼料</v>
      </c>
      <c r="T425" s="287" t="str">
        <f t="shared" si="94"/>
        <v>KG</v>
      </c>
      <c r="U425" s="16"/>
      <c r="V425" s="16">
        <f t="shared" si="96"/>
        <v>3256.5</v>
      </c>
      <c r="W425" s="16">
        <f t="shared" si="84"/>
        <v>60</v>
      </c>
      <c r="X425" s="16">
        <f t="shared" si="89"/>
        <v>0</v>
      </c>
      <c r="Y425" s="16">
        <f t="shared" si="93"/>
        <v>2168.1</v>
      </c>
      <c r="Z425" s="16">
        <f t="shared" si="90"/>
        <v>0</v>
      </c>
      <c r="AA425" s="16">
        <f t="shared" si="91"/>
        <v>130086</v>
      </c>
      <c r="AB425" s="279"/>
      <c r="AC425" s="324"/>
      <c r="AD425" s="181">
        <f t="shared" si="83"/>
        <v>3256.5</v>
      </c>
      <c r="AE425" s="181">
        <f t="shared" si="92"/>
        <v>195390</v>
      </c>
      <c r="AF425" s="184">
        <v>1.111</v>
      </c>
      <c r="AG425" s="184">
        <v>1.111</v>
      </c>
      <c r="AH425" s="365"/>
      <c r="AI425" s="285">
        <v>2168.1</v>
      </c>
      <c r="AJ425" s="190">
        <v>3256.5</v>
      </c>
      <c r="AO425" s="367"/>
      <c r="AP425" s="367"/>
      <c r="AQ425" s="367"/>
    </row>
    <row r="426" spans="1:43" s="281" customFormat="1" ht="49.5" x14ac:dyDescent="0.3">
      <c r="A426" s="283" t="s">
        <v>3265</v>
      </c>
      <c r="B426" s="303" t="s">
        <v>128</v>
      </c>
      <c r="C426" s="212" t="s">
        <v>110</v>
      </c>
      <c r="D426" s="213"/>
      <c r="E426" s="213"/>
      <c r="F426" s="213"/>
      <c r="G426" s="213"/>
      <c r="H426" s="213"/>
      <c r="I426" s="337">
        <v>3256.5</v>
      </c>
      <c r="J426" s="213">
        <v>31.9</v>
      </c>
      <c r="K426" s="213">
        <v>103882.35</v>
      </c>
      <c r="L426" s="284"/>
      <c r="M426" s="278"/>
      <c r="N426" s="42">
        <v>2168.1</v>
      </c>
      <c r="O426" s="42">
        <v>69162.39</v>
      </c>
      <c r="P426" s="42">
        <v>69162.39</v>
      </c>
      <c r="Q426" s="98"/>
      <c r="R426" s="13" t="s">
        <v>1406</v>
      </c>
      <c r="S426" s="286" t="str">
        <f t="shared" si="94"/>
        <v>金屬材料，鋼料，裁切加工銲製(工廠加工)</v>
      </c>
      <c r="T426" s="287" t="str">
        <f t="shared" si="94"/>
        <v>KG</v>
      </c>
      <c r="U426" s="16"/>
      <c r="V426" s="16">
        <f t="shared" si="96"/>
        <v>3256.5</v>
      </c>
      <c r="W426" s="16">
        <f t="shared" si="84"/>
        <v>31.9</v>
      </c>
      <c r="X426" s="16">
        <f t="shared" si="89"/>
        <v>0</v>
      </c>
      <c r="Y426" s="16">
        <f t="shared" si="93"/>
        <v>2168.1</v>
      </c>
      <c r="Z426" s="16">
        <f t="shared" si="90"/>
        <v>0</v>
      </c>
      <c r="AA426" s="16">
        <f t="shared" si="91"/>
        <v>69162.39</v>
      </c>
      <c r="AB426" s="279"/>
      <c r="AC426" s="324"/>
      <c r="AD426" s="181">
        <f t="shared" si="83"/>
        <v>3256.5</v>
      </c>
      <c r="AE426" s="181">
        <f t="shared" si="92"/>
        <v>103882.35</v>
      </c>
      <c r="AF426" s="184">
        <v>1.111</v>
      </c>
      <c r="AG426" s="184">
        <v>1.111</v>
      </c>
      <c r="AH426" s="365"/>
      <c r="AI426" s="285">
        <f>AI425</f>
        <v>2168.1</v>
      </c>
      <c r="AJ426" s="190">
        <v>3256.5</v>
      </c>
      <c r="AN426" s="364"/>
      <c r="AO426" s="368"/>
      <c r="AP426" s="367"/>
      <c r="AQ426" s="367"/>
    </row>
    <row r="427" spans="1:43" s="281" customFormat="1" ht="33" x14ac:dyDescent="0.3">
      <c r="A427" s="283" t="s">
        <v>3266</v>
      </c>
      <c r="B427" s="303" t="s">
        <v>417</v>
      </c>
      <c r="C427" s="212" t="s">
        <v>110</v>
      </c>
      <c r="D427" s="213"/>
      <c r="E427" s="213"/>
      <c r="F427" s="213"/>
      <c r="G427" s="213"/>
      <c r="H427" s="213"/>
      <c r="I427" s="337">
        <v>5029.79</v>
      </c>
      <c r="J427" s="213">
        <v>278.10000000000002</v>
      </c>
      <c r="K427" s="213">
        <v>1398784.6</v>
      </c>
      <c r="L427" s="284"/>
      <c r="M427" s="278"/>
      <c r="N427" s="42">
        <v>0</v>
      </c>
      <c r="O427" s="42">
        <v>0</v>
      </c>
      <c r="P427" s="42">
        <v>0</v>
      </c>
      <c r="Q427" s="98"/>
      <c r="R427" s="13" t="s">
        <v>1414</v>
      </c>
      <c r="S427" s="286" t="str">
        <f t="shared" si="94"/>
        <v>不銹鋼料，SUS304，含加工安裝等</v>
      </c>
      <c r="T427" s="287" t="str">
        <f t="shared" si="94"/>
        <v>KG</v>
      </c>
      <c r="U427" s="16"/>
      <c r="V427" s="16">
        <f t="shared" si="96"/>
        <v>5029.79</v>
      </c>
      <c r="W427" s="16">
        <f t="shared" si="84"/>
        <v>278.10000000000002</v>
      </c>
      <c r="X427" s="334">
        <f t="shared" si="89"/>
        <v>2350</v>
      </c>
      <c r="Y427" s="16">
        <f t="shared" si="93"/>
        <v>2350</v>
      </c>
      <c r="Z427" s="16">
        <f t="shared" si="90"/>
        <v>653535</v>
      </c>
      <c r="AA427" s="16">
        <f t="shared" si="91"/>
        <v>653535</v>
      </c>
      <c r="AB427" s="279"/>
      <c r="AC427" s="324"/>
      <c r="AD427" s="181">
        <f t="shared" si="83"/>
        <v>5029.79</v>
      </c>
      <c r="AE427" s="181">
        <f t="shared" si="92"/>
        <v>1398784.6</v>
      </c>
      <c r="AF427" s="184">
        <v>1.111</v>
      </c>
      <c r="AG427" s="184">
        <v>1.111</v>
      </c>
      <c r="AH427" s="365"/>
      <c r="AI427" s="296">
        <f>2350</f>
        <v>2350</v>
      </c>
      <c r="AJ427" s="190">
        <v>5029.79</v>
      </c>
      <c r="AN427" s="364"/>
      <c r="AO427" s="368"/>
      <c r="AP427" s="367"/>
      <c r="AQ427" s="367"/>
    </row>
    <row r="428" spans="1:43" s="281" customFormat="1" ht="33" x14ac:dyDescent="0.3">
      <c r="A428" s="283" t="s">
        <v>3267</v>
      </c>
      <c r="B428" s="303" t="s">
        <v>3271</v>
      </c>
      <c r="C428" s="212" t="s">
        <v>50</v>
      </c>
      <c r="D428" s="213"/>
      <c r="E428" s="213"/>
      <c r="F428" s="213"/>
      <c r="G428" s="213"/>
      <c r="H428" s="213"/>
      <c r="I428" s="337">
        <v>94.85</v>
      </c>
      <c r="J428" s="213">
        <v>4997.58</v>
      </c>
      <c r="K428" s="213">
        <v>474020.46</v>
      </c>
      <c r="L428" s="284"/>
      <c r="M428" s="278"/>
      <c r="N428" s="42">
        <v>0</v>
      </c>
      <c r="O428" s="42">
        <v>0</v>
      </c>
      <c r="P428" s="42">
        <v>0</v>
      </c>
      <c r="Q428" s="98"/>
      <c r="R428" s="13" t="s">
        <v>1429</v>
      </c>
      <c r="S428" s="286" t="str">
        <f t="shared" si="94"/>
        <v>不鏽鋼板雷射造型切割</v>
      </c>
      <c r="T428" s="287" t="str">
        <f t="shared" si="94"/>
        <v>M2</v>
      </c>
      <c r="U428" s="16"/>
      <c r="V428" s="16">
        <f t="shared" si="96"/>
        <v>94.85</v>
      </c>
      <c r="W428" s="16">
        <f t="shared" si="84"/>
        <v>4997.58</v>
      </c>
      <c r="X428" s="16">
        <f t="shared" si="89"/>
        <v>0</v>
      </c>
      <c r="Y428" s="16">
        <f t="shared" si="93"/>
        <v>0</v>
      </c>
      <c r="Z428" s="16">
        <f t="shared" si="90"/>
        <v>0</v>
      </c>
      <c r="AA428" s="16">
        <f t="shared" si="91"/>
        <v>0</v>
      </c>
      <c r="AB428" s="279"/>
      <c r="AC428" s="324"/>
      <c r="AD428" s="181">
        <f t="shared" si="83"/>
        <v>94.85</v>
      </c>
      <c r="AE428" s="181">
        <f t="shared" si="92"/>
        <v>474020.46</v>
      </c>
      <c r="AF428" s="184">
        <v>1.111</v>
      </c>
      <c r="AG428" s="184">
        <v>1.111</v>
      </c>
      <c r="AH428" s="365"/>
      <c r="AI428" s="285">
        <v>0</v>
      </c>
      <c r="AJ428" s="190">
        <v>94.85</v>
      </c>
      <c r="AO428" s="367"/>
      <c r="AP428" s="367"/>
      <c r="AQ428" s="367"/>
    </row>
    <row r="429" spans="1:43" s="281" customFormat="1" ht="33" x14ac:dyDescent="0.3">
      <c r="A429" s="283" t="s">
        <v>3268</v>
      </c>
      <c r="B429" s="303" t="s">
        <v>424</v>
      </c>
      <c r="C429" s="212" t="s">
        <v>50</v>
      </c>
      <c r="D429" s="213"/>
      <c r="E429" s="213"/>
      <c r="F429" s="213"/>
      <c r="G429" s="213"/>
      <c r="H429" s="213"/>
      <c r="I429" s="337">
        <v>390.48</v>
      </c>
      <c r="J429" s="213">
        <v>692.16</v>
      </c>
      <c r="K429" s="213">
        <v>270274.64</v>
      </c>
      <c r="L429" s="284"/>
      <c r="M429" s="278"/>
      <c r="N429" s="42">
        <v>266.8</v>
      </c>
      <c r="O429" s="42">
        <v>184668.29</v>
      </c>
      <c r="P429" s="42">
        <v>184668.29</v>
      </c>
      <c r="Q429" s="98"/>
      <c r="R429" s="13" t="s">
        <v>1430</v>
      </c>
      <c r="S429" s="286" t="str">
        <f t="shared" si="94"/>
        <v>施工輔助設施，施工架，鋼管，框式</v>
      </c>
      <c r="T429" s="287" t="str">
        <f t="shared" si="94"/>
        <v>M2</v>
      </c>
      <c r="U429" s="16"/>
      <c r="V429" s="16">
        <f t="shared" si="96"/>
        <v>390.48</v>
      </c>
      <c r="W429" s="16">
        <f t="shared" si="84"/>
        <v>692.16</v>
      </c>
      <c r="X429" s="16">
        <f t="shared" si="89"/>
        <v>0</v>
      </c>
      <c r="Y429" s="16">
        <f t="shared" si="93"/>
        <v>266.8</v>
      </c>
      <c r="Z429" s="16">
        <f t="shared" si="90"/>
        <v>0</v>
      </c>
      <c r="AA429" s="16">
        <f t="shared" si="91"/>
        <v>184668.29</v>
      </c>
      <c r="AB429" s="279"/>
      <c r="AC429" s="324"/>
      <c r="AD429" s="181">
        <f t="shared" si="83"/>
        <v>390.48</v>
      </c>
      <c r="AE429" s="181">
        <f t="shared" si="92"/>
        <v>270274.64</v>
      </c>
      <c r="AF429" s="184">
        <v>1.111</v>
      </c>
      <c r="AG429" s="184">
        <v>1.111</v>
      </c>
      <c r="AH429" s="365"/>
      <c r="AI429" s="285">
        <v>266.8</v>
      </c>
      <c r="AJ429" s="190">
        <v>390.48</v>
      </c>
      <c r="AN429" s="364"/>
      <c r="AO429" s="368"/>
      <c r="AP429" s="367"/>
      <c r="AQ429" s="367"/>
    </row>
    <row r="430" spans="1:43" s="281" customFormat="1" ht="39" x14ac:dyDescent="0.3">
      <c r="A430" s="283" t="s">
        <v>3269</v>
      </c>
      <c r="B430" s="211" t="s">
        <v>3272</v>
      </c>
      <c r="C430" s="212" t="s">
        <v>81</v>
      </c>
      <c r="D430" s="213"/>
      <c r="E430" s="213"/>
      <c r="F430" s="213"/>
      <c r="G430" s="213"/>
      <c r="H430" s="213"/>
      <c r="I430" s="337">
        <v>1</v>
      </c>
      <c r="J430" s="213">
        <v>738224.66</v>
      </c>
      <c r="K430" s="213">
        <v>738224.66</v>
      </c>
      <c r="L430" s="284"/>
      <c r="M430" s="278"/>
      <c r="N430" s="42">
        <v>0</v>
      </c>
      <c r="O430" s="42">
        <v>0</v>
      </c>
      <c r="P430" s="42">
        <v>0</v>
      </c>
      <c r="Q430" s="98"/>
      <c r="R430" s="13" t="s">
        <v>1431</v>
      </c>
      <c r="S430" s="286" t="str">
        <f t="shared" si="94"/>
        <v>觀溪亭地坪及外飾面</v>
      </c>
      <c r="T430" s="287" t="str">
        <f t="shared" si="94"/>
        <v>座</v>
      </c>
      <c r="U430" s="16"/>
      <c r="V430" s="16">
        <f t="shared" si="96"/>
        <v>1</v>
      </c>
      <c r="W430" s="16">
        <f t="shared" si="84"/>
        <v>738224.66</v>
      </c>
      <c r="X430" s="16">
        <f t="shared" si="89"/>
        <v>0</v>
      </c>
      <c r="Y430" s="16">
        <f t="shared" si="93"/>
        <v>0</v>
      </c>
      <c r="Z430" s="16">
        <f t="shared" si="90"/>
        <v>0</v>
      </c>
      <c r="AA430" s="16">
        <f t="shared" si="91"/>
        <v>0</v>
      </c>
      <c r="AB430" s="279"/>
      <c r="AC430" s="324"/>
      <c r="AD430" s="181">
        <f t="shared" si="83"/>
        <v>1</v>
      </c>
      <c r="AE430" s="181">
        <f t="shared" si="92"/>
        <v>738224.66</v>
      </c>
      <c r="AF430" s="184">
        <v>1.111</v>
      </c>
      <c r="AG430" s="184">
        <v>1.111</v>
      </c>
      <c r="AH430" s="365"/>
      <c r="AI430" s="285">
        <v>0</v>
      </c>
      <c r="AJ430" s="190">
        <v>1</v>
      </c>
      <c r="AN430" s="364"/>
      <c r="AO430" s="368"/>
      <c r="AP430" s="367"/>
      <c r="AQ430" s="367"/>
    </row>
    <row r="431" spans="1:43" s="281" customFormat="1" ht="82.5" x14ac:dyDescent="0.3">
      <c r="A431" s="283" t="s">
        <v>3270</v>
      </c>
      <c r="B431" s="305" t="s">
        <v>3273</v>
      </c>
      <c r="C431" s="274" t="s">
        <v>81</v>
      </c>
      <c r="D431" s="213"/>
      <c r="E431" s="275"/>
      <c r="F431" s="213"/>
      <c r="G431" s="213"/>
      <c r="H431" s="213"/>
      <c r="I431" s="337">
        <v>1</v>
      </c>
      <c r="J431" s="301">
        <v>3290273.4</v>
      </c>
      <c r="K431" s="275">
        <v>3290273.4</v>
      </c>
      <c r="L431" s="284"/>
      <c r="M431" s="278"/>
      <c r="N431" s="42">
        <v>0</v>
      </c>
      <c r="O431" s="42">
        <v>0</v>
      </c>
      <c r="P431" s="42">
        <v>0</v>
      </c>
      <c r="Q431" s="98"/>
      <c r="R431" s="13" t="s">
        <v>1395</v>
      </c>
      <c r="S431" s="286" t="str">
        <f t="shared" si="94"/>
        <v>蝶舞亭地坪及外飾面(含板材手工鍛造成型、板材手工拋磨、造型製作、工廠內假組立等)</v>
      </c>
      <c r="T431" s="287" t="str">
        <f t="shared" si="94"/>
        <v>座</v>
      </c>
      <c r="U431" s="16"/>
      <c r="V431" s="16">
        <f t="shared" si="96"/>
        <v>1</v>
      </c>
      <c r="W431" s="16">
        <f t="shared" si="84"/>
        <v>3290273.4</v>
      </c>
      <c r="X431" s="16">
        <f t="shared" si="89"/>
        <v>0</v>
      </c>
      <c r="Y431" s="16">
        <f t="shared" si="93"/>
        <v>0</v>
      </c>
      <c r="Z431" s="16">
        <f t="shared" si="90"/>
        <v>0</v>
      </c>
      <c r="AA431" s="16">
        <f t="shared" si="91"/>
        <v>0</v>
      </c>
      <c r="AB431" s="279"/>
      <c r="AC431" s="324"/>
      <c r="AD431" s="181">
        <f t="shared" si="83"/>
        <v>1</v>
      </c>
      <c r="AE431" s="181">
        <f t="shared" si="92"/>
        <v>3290273.4</v>
      </c>
      <c r="AF431" s="184">
        <v>1.111</v>
      </c>
      <c r="AG431" s="184">
        <v>1.111</v>
      </c>
      <c r="AH431" s="365"/>
      <c r="AI431" s="285">
        <v>0</v>
      </c>
      <c r="AJ431" s="190">
        <v>1</v>
      </c>
      <c r="AN431" s="69"/>
      <c r="AO431" s="367"/>
      <c r="AP431" s="367"/>
      <c r="AQ431" s="367"/>
    </row>
    <row r="432" spans="1:43" s="69" customFormat="1" x14ac:dyDescent="0.3">
      <c r="A432" s="79" t="s">
        <v>3278</v>
      </c>
      <c r="B432" s="80" t="s">
        <v>3279</v>
      </c>
      <c r="C432" s="81" t="s">
        <v>14</v>
      </c>
      <c r="D432" s="82"/>
      <c r="E432" s="82"/>
      <c r="F432" s="82"/>
      <c r="G432" s="82"/>
      <c r="H432" s="82"/>
      <c r="I432" s="82">
        <v>1</v>
      </c>
      <c r="J432" s="82">
        <v>699665</v>
      </c>
      <c r="K432" s="82">
        <v>699665</v>
      </c>
      <c r="L432" s="94" t="s">
        <v>15</v>
      </c>
      <c r="M432" s="73"/>
      <c r="N432" s="45">
        <v>0</v>
      </c>
      <c r="O432" s="45">
        <v>0</v>
      </c>
      <c r="P432" s="45">
        <v>0</v>
      </c>
      <c r="Q432" s="98"/>
      <c r="R432" s="18" t="s">
        <v>3254</v>
      </c>
      <c r="S432" s="19" t="str">
        <f t="shared" ref="S432:T433" si="97">B432</f>
        <v>工程效益</v>
      </c>
      <c r="T432" s="20" t="str">
        <f t="shared" si="97"/>
        <v>式</v>
      </c>
      <c r="U432" s="21"/>
      <c r="V432" s="21">
        <v>1</v>
      </c>
      <c r="W432" s="21">
        <f t="shared" si="84"/>
        <v>699665</v>
      </c>
      <c r="X432" s="21">
        <f t="shared" ref="X432:Y432" si="98">IF(Z432=0,0,1)</f>
        <v>0</v>
      </c>
      <c r="Y432" s="21">
        <f t="shared" si="98"/>
        <v>0</v>
      </c>
      <c r="Z432" s="21">
        <f>SUMIFS(Z:Z,AG:AG,AF432)</f>
        <v>0</v>
      </c>
      <c r="AA432" s="21">
        <f>SUMIFS(AA:AA,AG:AG,AF432)</f>
        <v>0</v>
      </c>
      <c r="AB432" s="22" t="s">
        <v>15</v>
      </c>
      <c r="AC432" s="324"/>
      <c r="AD432" s="181">
        <f t="shared" si="83"/>
        <v>1</v>
      </c>
      <c r="AE432" s="184"/>
      <c r="AF432" s="184">
        <v>1.1113</v>
      </c>
      <c r="AG432" s="184"/>
      <c r="AH432" s="363" t="str">
        <f t="shared" ref="AH432:AH433" si="99">IF(Y432&gt;AJ432,"超估","")</f>
        <v/>
      </c>
      <c r="AI432" s="192">
        <v>1</v>
      </c>
      <c r="AJ432" s="190">
        <v>1</v>
      </c>
      <c r="AN432" s="281"/>
      <c r="AO432" s="367"/>
      <c r="AP432" s="367"/>
      <c r="AQ432" s="367"/>
    </row>
    <row r="433" spans="1:43" s="281" customFormat="1" x14ac:dyDescent="0.3">
      <c r="A433" s="283" t="s">
        <v>3281</v>
      </c>
      <c r="B433" s="305" t="s">
        <v>3280</v>
      </c>
      <c r="C433" s="274" t="s">
        <v>14</v>
      </c>
      <c r="D433" s="213"/>
      <c r="E433" s="275"/>
      <c r="F433" s="213"/>
      <c r="G433" s="213"/>
      <c r="H433" s="213"/>
      <c r="I433" s="213">
        <v>1</v>
      </c>
      <c r="J433" s="301">
        <v>699665</v>
      </c>
      <c r="K433" s="275">
        <v>699665</v>
      </c>
      <c r="L433" s="284" t="s">
        <v>15</v>
      </c>
      <c r="M433" s="278"/>
      <c r="N433" s="42">
        <v>0</v>
      </c>
      <c r="O433" s="42">
        <v>0</v>
      </c>
      <c r="P433" s="42">
        <v>0</v>
      </c>
      <c r="Q433" s="98"/>
      <c r="R433" s="13" t="s">
        <v>3274</v>
      </c>
      <c r="S433" s="286" t="str">
        <f t="shared" si="97"/>
        <v>工程效益宣導活動</v>
      </c>
      <c r="T433" s="287" t="str">
        <f t="shared" si="97"/>
        <v>式</v>
      </c>
      <c r="U433" s="16"/>
      <c r="V433" s="16">
        <f t="shared" ref="V433" si="100">IF(I433&gt;0,I433,IF(H433&gt;0,H433,IF(G433&gt;0,G433,IF(F433&gt;0,F433,IF(E433&gt;0,E433,D433)))))</f>
        <v>1</v>
      </c>
      <c r="W433" s="16">
        <f t="shared" si="84"/>
        <v>699665</v>
      </c>
      <c r="X433" s="16">
        <f t="shared" ref="X433" si="101">AI433-N433</f>
        <v>0</v>
      </c>
      <c r="Y433" s="16">
        <f t="shared" ref="Y433" si="102">X433+N433</f>
        <v>0</v>
      </c>
      <c r="Z433" s="16">
        <f t="shared" ref="Z433" si="103">AA433-P433</f>
        <v>0</v>
      </c>
      <c r="AA433" s="16">
        <f t="shared" ref="AA433" si="104">ROUND(W433*Y433,2)</f>
        <v>0</v>
      </c>
      <c r="AB433" s="279" t="s">
        <v>15</v>
      </c>
      <c r="AC433" s="324"/>
      <c r="AD433" s="181">
        <f t="shared" si="83"/>
        <v>1</v>
      </c>
      <c r="AE433" s="181">
        <f t="shared" si="92"/>
        <v>699665</v>
      </c>
      <c r="AF433" s="184">
        <v>1.1113</v>
      </c>
      <c r="AG433" s="184">
        <v>1.1113</v>
      </c>
      <c r="AH433" s="365" t="str">
        <f t="shared" si="99"/>
        <v/>
      </c>
      <c r="AI433" s="285"/>
      <c r="AJ433" s="190">
        <v>1</v>
      </c>
      <c r="AN433" s="315"/>
      <c r="AO433" s="367"/>
      <c r="AP433" s="367"/>
      <c r="AQ433" s="367"/>
    </row>
    <row r="434" spans="1:43" s="315" customFormat="1" x14ac:dyDescent="0.3">
      <c r="A434" s="85" t="s">
        <v>1007</v>
      </c>
      <c r="B434" s="86" t="s">
        <v>1008</v>
      </c>
      <c r="C434" s="87" t="s">
        <v>14</v>
      </c>
      <c r="D434" s="88">
        <v>1</v>
      </c>
      <c r="E434" s="88"/>
      <c r="F434" s="88"/>
      <c r="G434" s="88"/>
      <c r="H434" s="88"/>
      <c r="I434" s="318"/>
      <c r="J434" s="88">
        <v>28415313.68</v>
      </c>
      <c r="K434" s="88">
        <v>28415313.68</v>
      </c>
      <c r="L434" s="95" t="s">
        <v>15</v>
      </c>
      <c r="M434" s="306"/>
      <c r="N434" s="307">
        <v>1</v>
      </c>
      <c r="O434" s="307">
        <v>458213.97000000003</v>
      </c>
      <c r="P434" s="307">
        <v>25840062.070000004</v>
      </c>
      <c r="Q434" s="98"/>
      <c r="R434" s="308" t="s">
        <v>1404</v>
      </c>
      <c r="S434" s="309" t="s">
        <v>1008</v>
      </c>
      <c r="T434" s="310" t="s">
        <v>14</v>
      </c>
      <c r="U434" s="311">
        <v>1</v>
      </c>
      <c r="V434" s="311"/>
      <c r="W434" s="311">
        <f t="shared" si="84"/>
        <v>28415313.68</v>
      </c>
      <c r="X434" s="311">
        <f t="shared" ref="X434:Y434" si="105">IF(Z434=0,0,1)</f>
        <v>1</v>
      </c>
      <c r="Y434" s="311">
        <f t="shared" si="105"/>
        <v>1</v>
      </c>
      <c r="Z434" s="311">
        <f>SUMIFS(Z:Z,AG:AG,AF434)</f>
        <v>254958</v>
      </c>
      <c r="AA434" s="311">
        <f>SUMIFS(AA:AA,AG:AG,AF434)</f>
        <v>26095020.070000004</v>
      </c>
      <c r="AB434" s="312" t="s">
        <v>15</v>
      </c>
      <c r="AC434" s="324"/>
      <c r="AD434" s="313">
        <f t="shared" si="83"/>
        <v>1</v>
      </c>
      <c r="AE434" s="313"/>
      <c r="AF434" s="313">
        <v>2</v>
      </c>
      <c r="AG434" s="313"/>
      <c r="AH434" s="366" t="str">
        <f t="shared" si="81"/>
        <v/>
      </c>
      <c r="AI434" s="376">
        <v>1</v>
      </c>
      <c r="AJ434" s="362">
        <v>1</v>
      </c>
      <c r="AN434" s="363"/>
      <c r="AO434" s="368"/>
      <c r="AP434" s="367"/>
      <c r="AQ434" s="367"/>
    </row>
    <row r="435" spans="1:43" s="69" customFormat="1" ht="39" x14ac:dyDescent="0.3">
      <c r="A435" s="55" t="s">
        <v>1009</v>
      </c>
      <c r="B435" s="53" t="s">
        <v>1010</v>
      </c>
      <c r="C435" s="54" t="s">
        <v>14</v>
      </c>
      <c r="D435" s="75">
        <v>1</v>
      </c>
      <c r="E435" s="75"/>
      <c r="F435" s="75"/>
      <c r="G435" s="75"/>
      <c r="H435" s="161"/>
      <c r="I435" s="158"/>
      <c r="J435" s="166">
        <v>711302</v>
      </c>
      <c r="K435" s="75">
        <v>711302</v>
      </c>
      <c r="L435" s="91" t="s">
        <v>1011</v>
      </c>
      <c r="M435" s="73"/>
      <c r="N435" s="46">
        <v>0.6</v>
      </c>
      <c r="O435" s="46">
        <v>142260.40000000002</v>
      </c>
      <c r="P435" s="46">
        <v>426781.2</v>
      </c>
      <c r="Q435" s="98"/>
      <c r="R435" s="23" t="s">
        <v>1421</v>
      </c>
      <c r="S435" s="24" t="s">
        <v>1010</v>
      </c>
      <c r="T435" s="25" t="s">
        <v>14</v>
      </c>
      <c r="U435" s="26">
        <v>1</v>
      </c>
      <c r="V435" s="26">
        <f t="shared" ref="V435:V463" si="106">IF(I435&gt;0,I435,IF(H435&gt;0,H435,IF(G435&gt;0,G435,IF(F435&gt;0,F435,IF(E435&gt;0,E435,D435)))))</f>
        <v>1</v>
      </c>
      <c r="W435" s="26">
        <f t="shared" si="84"/>
        <v>711302</v>
      </c>
      <c r="X435" s="26">
        <f>AI435-N435</f>
        <v>0</v>
      </c>
      <c r="Y435" s="26">
        <f t="shared" ref="Y435:Y515" si="107">X435+N435</f>
        <v>0.6</v>
      </c>
      <c r="Z435" s="26">
        <f t="shared" ref="Z435:Z463" si="108">AA435-P435</f>
        <v>0</v>
      </c>
      <c r="AA435" s="26">
        <f>ROUND(W435*Y435,2)</f>
        <v>426781.2</v>
      </c>
      <c r="AB435" s="33" t="s">
        <v>15</v>
      </c>
      <c r="AC435" s="324"/>
      <c r="AD435" s="181">
        <f t="shared" si="83"/>
        <v>1</v>
      </c>
      <c r="AE435" s="181">
        <f t="shared" ref="AE435:AE463" si="109">ROUND(W435*AD435,2)</f>
        <v>711302</v>
      </c>
      <c r="AF435" s="181">
        <v>2</v>
      </c>
      <c r="AG435" s="181">
        <v>2</v>
      </c>
      <c r="AH435" s="363" t="str">
        <f t="shared" si="81"/>
        <v/>
      </c>
      <c r="AI435" s="194">
        <v>0.6</v>
      </c>
      <c r="AJ435" s="188">
        <v>1</v>
      </c>
      <c r="AO435" s="367"/>
      <c r="AP435" s="367"/>
      <c r="AQ435" s="367"/>
    </row>
    <row r="436" spans="1:43" s="69" customFormat="1" ht="33" customHeight="1" x14ac:dyDescent="0.3">
      <c r="A436" s="55" t="s">
        <v>1012</v>
      </c>
      <c r="B436" s="53" t="s">
        <v>3153</v>
      </c>
      <c r="C436" s="54" t="s">
        <v>1014</v>
      </c>
      <c r="D436" s="75">
        <v>7</v>
      </c>
      <c r="E436" s="75"/>
      <c r="F436" s="75"/>
      <c r="G436" s="75"/>
      <c r="H436" s="224"/>
      <c r="I436" s="158"/>
      <c r="J436" s="166">
        <v>50000</v>
      </c>
      <c r="K436" s="75">
        <v>350000</v>
      </c>
      <c r="L436" s="91" t="s">
        <v>1015</v>
      </c>
      <c r="M436" s="73"/>
      <c r="N436" s="46">
        <v>1</v>
      </c>
      <c r="O436" s="46">
        <v>0</v>
      </c>
      <c r="P436" s="46">
        <v>50000</v>
      </c>
      <c r="Q436" s="98"/>
      <c r="R436" s="23" t="s">
        <v>1426</v>
      </c>
      <c r="S436" s="24" t="s">
        <v>1013</v>
      </c>
      <c r="T436" s="25" t="s">
        <v>1014</v>
      </c>
      <c r="U436" s="26">
        <v>7</v>
      </c>
      <c r="V436" s="26">
        <f t="shared" si="106"/>
        <v>7</v>
      </c>
      <c r="W436" s="26">
        <f t="shared" si="84"/>
        <v>50000</v>
      </c>
      <c r="X436" s="128">
        <f t="shared" ref="X436:X463" si="110">AI436-N436</f>
        <v>0</v>
      </c>
      <c r="Y436" s="26">
        <f t="shared" si="107"/>
        <v>1</v>
      </c>
      <c r="Z436" s="26">
        <f t="shared" si="108"/>
        <v>0</v>
      </c>
      <c r="AA436" s="26">
        <f t="shared" ref="AA436:AA463" si="111">ROUND(W436*Y436,2)</f>
        <v>50000</v>
      </c>
      <c r="AB436" s="33" t="s">
        <v>15</v>
      </c>
      <c r="AC436" s="324"/>
      <c r="AD436" s="181">
        <f t="shared" si="83"/>
        <v>7</v>
      </c>
      <c r="AE436" s="181">
        <f t="shared" si="109"/>
        <v>350000</v>
      </c>
      <c r="AF436" s="181">
        <v>2</v>
      </c>
      <c r="AG436" s="181">
        <v>2</v>
      </c>
      <c r="AH436" s="363" t="str">
        <f t="shared" si="81"/>
        <v/>
      </c>
      <c r="AI436" s="194">
        <f>1</f>
        <v>1</v>
      </c>
      <c r="AJ436" s="188">
        <v>7</v>
      </c>
      <c r="AO436" s="367"/>
      <c r="AP436" s="367"/>
      <c r="AQ436" s="367"/>
    </row>
    <row r="437" spans="1:43" s="69" customFormat="1" x14ac:dyDescent="0.3">
      <c r="A437" s="130" t="s">
        <v>1016</v>
      </c>
      <c r="B437" s="131" t="s">
        <v>1017</v>
      </c>
      <c r="C437" s="132" t="s">
        <v>50</v>
      </c>
      <c r="D437" s="133">
        <v>360</v>
      </c>
      <c r="E437" s="75"/>
      <c r="F437" s="133">
        <v>400</v>
      </c>
      <c r="G437" s="224"/>
      <c r="H437" s="235"/>
      <c r="I437" s="158"/>
      <c r="J437" s="166">
        <v>22500</v>
      </c>
      <c r="K437" s="75">
        <v>9000000</v>
      </c>
      <c r="L437" s="91" t="s">
        <v>1018</v>
      </c>
      <c r="M437" s="73"/>
      <c r="N437" s="46">
        <v>400</v>
      </c>
      <c r="O437" s="46">
        <v>0</v>
      </c>
      <c r="P437" s="46">
        <v>9000000</v>
      </c>
      <c r="Q437" s="98"/>
      <c r="R437" s="23" t="s">
        <v>1402</v>
      </c>
      <c r="S437" s="24" t="s">
        <v>1017</v>
      </c>
      <c r="T437" s="25" t="s">
        <v>50</v>
      </c>
      <c r="U437" s="26">
        <v>360</v>
      </c>
      <c r="V437" s="26">
        <f t="shared" si="106"/>
        <v>400</v>
      </c>
      <c r="W437" s="26">
        <f t="shared" si="84"/>
        <v>22500</v>
      </c>
      <c r="X437" s="127">
        <f t="shared" si="110"/>
        <v>0</v>
      </c>
      <c r="Y437" s="127">
        <f t="shared" si="107"/>
        <v>400</v>
      </c>
      <c r="Z437" s="127">
        <f t="shared" si="108"/>
        <v>0</v>
      </c>
      <c r="AA437" s="127">
        <f t="shared" si="111"/>
        <v>9000000</v>
      </c>
      <c r="AB437" s="27" t="s">
        <v>15</v>
      </c>
      <c r="AC437" s="324"/>
      <c r="AD437" s="181">
        <f t="shared" si="83"/>
        <v>400</v>
      </c>
      <c r="AE437" s="181">
        <f t="shared" si="109"/>
        <v>9000000</v>
      </c>
      <c r="AF437" s="181">
        <v>2</v>
      </c>
      <c r="AG437" s="181">
        <v>2</v>
      </c>
      <c r="AH437" s="363" t="str">
        <f t="shared" si="81"/>
        <v/>
      </c>
      <c r="AI437" s="192">
        <v>400</v>
      </c>
      <c r="AJ437" s="188">
        <v>400</v>
      </c>
      <c r="AO437" s="367"/>
      <c r="AP437" s="367"/>
      <c r="AQ437" s="367"/>
    </row>
    <row r="438" spans="1:43" s="69" customFormat="1" ht="82.5" x14ac:dyDescent="0.3">
      <c r="A438" s="55" t="s">
        <v>1019</v>
      </c>
      <c r="B438" s="138" t="s">
        <v>1020</v>
      </c>
      <c r="C438" s="54" t="s">
        <v>1021</v>
      </c>
      <c r="D438" s="75">
        <v>730</v>
      </c>
      <c r="E438" s="75">
        <v>910</v>
      </c>
      <c r="F438" s="161">
        <v>3650</v>
      </c>
      <c r="G438" s="235"/>
      <c r="H438" s="235"/>
      <c r="I438" s="158"/>
      <c r="J438" s="166">
        <v>806</v>
      </c>
      <c r="K438" s="75">
        <v>2941900</v>
      </c>
      <c r="L438" s="91" t="s">
        <v>1022</v>
      </c>
      <c r="M438" s="73"/>
      <c r="N438" s="46">
        <v>2622</v>
      </c>
      <c r="O438" s="46">
        <v>74958</v>
      </c>
      <c r="P438" s="46">
        <v>2113332</v>
      </c>
      <c r="Q438" s="98"/>
      <c r="R438" s="23" t="s">
        <v>1373</v>
      </c>
      <c r="S438" s="24" t="s">
        <v>1020</v>
      </c>
      <c r="T438" s="25" t="s">
        <v>1021</v>
      </c>
      <c r="U438" s="26">
        <v>730</v>
      </c>
      <c r="V438" s="26">
        <f t="shared" si="106"/>
        <v>3650</v>
      </c>
      <c r="W438" s="26">
        <f t="shared" si="84"/>
        <v>806</v>
      </c>
      <c r="X438" s="250">
        <f t="shared" si="110"/>
        <v>93</v>
      </c>
      <c r="Y438" s="26">
        <f t="shared" si="107"/>
        <v>2715</v>
      </c>
      <c r="Z438" s="26">
        <f t="shared" si="108"/>
        <v>74958</v>
      </c>
      <c r="AA438" s="26">
        <f t="shared" si="111"/>
        <v>2188290</v>
      </c>
      <c r="AB438" s="27" t="s">
        <v>15</v>
      </c>
      <c r="AC438" s="324"/>
      <c r="AD438" s="181">
        <f t="shared" si="83"/>
        <v>3650</v>
      </c>
      <c r="AE438" s="181">
        <f t="shared" si="109"/>
        <v>2941900</v>
      </c>
      <c r="AF438" s="181">
        <v>2</v>
      </c>
      <c r="AG438" s="181">
        <v>2</v>
      </c>
      <c r="AH438" s="363" t="str">
        <f t="shared" si="81"/>
        <v/>
      </c>
      <c r="AI438" s="191">
        <f>2070+93+93+90+93+90+93+93</f>
        <v>2715</v>
      </c>
      <c r="AJ438" s="188">
        <v>3650</v>
      </c>
      <c r="AO438" s="367"/>
      <c r="AP438" s="367"/>
      <c r="AQ438" s="367"/>
    </row>
    <row r="439" spans="1:43" s="69" customFormat="1" ht="33" customHeight="1" x14ac:dyDescent="0.3">
      <c r="A439" s="130" t="s">
        <v>1023</v>
      </c>
      <c r="B439" s="131" t="s">
        <v>1024</v>
      </c>
      <c r="C439" s="132" t="s">
        <v>1014</v>
      </c>
      <c r="D439" s="133">
        <v>2</v>
      </c>
      <c r="E439" s="75">
        <v>4</v>
      </c>
      <c r="F439" s="162">
        <v>5</v>
      </c>
      <c r="G439" s="235"/>
      <c r="H439" s="235"/>
      <c r="I439" s="158"/>
      <c r="J439" s="166">
        <v>50000</v>
      </c>
      <c r="K439" s="75">
        <v>250000</v>
      </c>
      <c r="L439" s="91" t="s">
        <v>1025</v>
      </c>
      <c r="M439" s="73"/>
      <c r="N439" s="46">
        <v>5</v>
      </c>
      <c r="O439" s="46">
        <v>0</v>
      </c>
      <c r="P439" s="46">
        <v>250000</v>
      </c>
      <c r="Q439" s="98"/>
      <c r="R439" s="23" t="s">
        <v>1393</v>
      </c>
      <c r="S439" s="24" t="s">
        <v>1024</v>
      </c>
      <c r="T439" s="25" t="s">
        <v>1014</v>
      </c>
      <c r="U439" s="26">
        <v>2</v>
      </c>
      <c r="V439" s="26">
        <f t="shared" si="106"/>
        <v>5</v>
      </c>
      <c r="W439" s="26">
        <f t="shared" si="84"/>
        <v>50000</v>
      </c>
      <c r="X439" s="127">
        <f t="shared" si="110"/>
        <v>0</v>
      </c>
      <c r="Y439" s="127">
        <f t="shared" si="107"/>
        <v>5</v>
      </c>
      <c r="Z439" s="127">
        <f t="shared" si="108"/>
        <v>0</v>
      </c>
      <c r="AA439" s="127">
        <f t="shared" si="111"/>
        <v>250000</v>
      </c>
      <c r="AB439" s="27" t="s">
        <v>15</v>
      </c>
      <c r="AC439" s="324"/>
      <c r="AD439" s="181">
        <f t="shared" si="83"/>
        <v>5</v>
      </c>
      <c r="AE439" s="181">
        <f t="shared" si="109"/>
        <v>250000</v>
      </c>
      <c r="AF439" s="181">
        <v>2</v>
      </c>
      <c r="AG439" s="181">
        <v>2</v>
      </c>
      <c r="AH439" s="363" t="str">
        <f t="shared" si="81"/>
        <v/>
      </c>
      <c r="AI439" s="192">
        <v>5</v>
      </c>
      <c r="AJ439" s="188">
        <v>5</v>
      </c>
      <c r="AO439" s="367"/>
      <c r="AP439" s="367"/>
      <c r="AQ439" s="367"/>
    </row>
    <row r="440" spans="1:43" s="69" customFormat="1" ht="36.75" customHeight="1" x14ac:dyDescent="0.3">
      <c r="A440" s="55" t="s">
        <v>1026</v>
      </c>
      <c r="B440" s="53" t="s">
        <v>1027</v>
      </c>
      <c r="C440" s="54" t="s">
        <v>1028</v>
      </c>
      <c r="D440" s="75">
        <v>24</v>
      </c>
      <c r="E440" s="75"/>
      <c r="F440" s="161"/>
      <c r="G440" s="235"/>
      <c r="H440" s="235"/>
      <c r="I440" s="341">
        <v>28</v>
      </c>
      <c r="J440" s="166">
        <v>180000</v>
      </c>
      <c r="K440" s="75">
        <v>5040000</v>
      </c>
      <c r="L440" s="91" t="s">
        <v>1029</v>
      </c>
      <c r="M440" s="73"/>
      <c r="N440" s="46">
        <v>24</v>
      </c>
      <c r="O440" s="46">
        <v>180000</v>
      </c>
      <c r="P440" s="46">
        <v>4320000</v>
      </c>
      <c r="Q440" s="98"/>
      <c r="R440" s="23" t="s">
        <v>1403</v>
      </c>
      <c r="S440" s="24" t="s">
        <v>1027</v>
      </c>
      <c r="T440" s="25" t="s">
        <v>1028</v>
      </c>
      <c r="U440" s="26">
        <v>24</v>
      </c>
      <c r="V440" s="26">
        <f t="shared" si="106"/>
        <v>28</v>
      </c>
      <c r="W440" s="26">
        <f t="shared" si="84"/>
        <v>180000</v>
      </c>
      <c r="X440" s="250">
        <f t="shared" si="110"/>
        <v>1</v>
      </c>
      <c r="Y440" s="26">
        <f t="shared" si="107"/>
        <v>25</v>
      </c>
      <c r="Z440" s="26">
        <f t="shared" si="108"/>
        <v>180000</v>
      </c>
      <c r="AA440" s="26">
        <f t="shared" si="111"/>
        <v>4500000</v>
      </c>
      <c r="AB440" s="33" t="s">
        <v>15</v>
      </c>
      <c r="AC440" s="324"/>
      <c r="AD440" s="181">
        <f t="shared" si="83"/>
        <v>28</v>
      </c>
      <c r="AE440" s="181">
        <f t="shared" si="109"/>
        <v>5040000</v>
      </c>
      <c r="AF440" s="181">
        <v>2</v>
      </c>
      <c r="AG440" s="181">
        <v>2</v>
      </c>
      <c r="AH440" s="363" t="str">
        <f t="shared" si="81"/>
        <v/>
      </c>
      <c r="AI440" s="191">
        <f>17+1+1+1+1+1+1+1+1</f>
        <v>25</v>
      </c>
      <c r="AJ440" s="190">
        <v>28</v>
      </c>
      <c r="AO440" s="367"/>
      <c r="AP440" s="367"/>
      <c r="AQ440" s="367"/>
    </row>
    <row r="441" spans="1:43" s="69" customFormat="1" ht="34.5" customHeight="1" x14ac:dyDescent="0.3">
      <c r="A441" s="55" t="s">
        <v>1030</v>
      </c>
      <c r="B441" s="53" t="s">
        <v>1031</v>
      </c>
      <c r="C441" s="54" t="s">
        <v>14</v>
      </c>
      <c r="D441" s="75">
        <v>1</v>
      </c>
      <c r="E441" s="75"/>
      <c r="F441" s="161"/>
      <c r="G441" s="235"/>
      <c r="H441" s="235"/>
      <c r="I441" s="158"/>
      <c r="J441" s="166">
        <v>205982.81</v>
      </c>
      <c r="K441" s="75">
        <v>205982.81</v>
      </c>
      <c r="L441" s="91" t="s">
        <v>1032</v>
      </c>
      <c r="M441" s="73"/>
      <c r="N441" s="46">
        <v>0</v>
      </c>
      <c r="O441" s="46">
        <v>0</v>
      </c>
      <c r="P441" s="46">
        <v>0</v>
      </c>
      <c r="Q441" s="98"/>
      <c r="R441" s="23" t="s">
        <v>1427</v>
      </c>
      <c r="S441" s="24" t="s">
        <v>1031</v>
      </c>
      <c r="T441" s="25" t="s">
        <v>14</v>
      </c>
      <c r="U441" s="26">
        <v>1</v>
      </c>
      <c r="V441" s="26">
        <f t="shared" si="106"/>
        <v>1</v>
      </c>
      <c r="W441" s="26">
        <f t="shared" si="84"/>
        <v>205982.81</v>
      </c>
      <c r="X441" s="26">
        <f t="shared" si="110"/>
        <v>0</v>
      </c>
      <c r="Y441" s="26">
        <f t="shared" si="107"/>
        <v>0</v>
      </c>
      <c r="Z441" s="26">
        <f t="shared" si="108"/>
        <v>0</v>
      </c>
      <c r="AA441" s="26">
        <f t="shared" si="111"/>
        <v>0</v>
      </c>
      <c r="AB441" s="33" t="s">
        <v>15</v>
      </c>
      <c r="AC441" s="324"/>
      <c r="AD441" s="181">
        <f t="shared" si="83"/>
        <v>1</v>
      </c>
      <c r="AE441" s="181">
        <f t="shared" si="109"/>
        <v>205982.81</v>
      </c>
      <c r="AF441" s="181">
        <v>2</v>
      </c>
      <c r="AG441" s="181">
        <v>2</v>
      </c>
      <c r="AH441" s="363" t="str">
        <f t="shared" si="81"/>
        <v/>
      </c>
      <c r="AI441" s="192">
        <v>0</v>
      </c>
      <c r="AJ441" s="188">
        <v>1</v>
      </c>
      <c r="AO441" s="367"/>
      <c r="AP441" s="367"/>
      <c r="AQ441" s="367"/>
    </row>
    <row r="442" spans="1:43" s="69" customFormat="1" ht="33" customHeight="1" x14ac:dyDescent="0.3">
      <c r="A442" s="130" t="s">
        <v>1033</v>
      </c>
      <c r="B442" s="131" t="s">
        <v>1034</v>
      </c>
      <c r="C442" s="132" t="s">
        <v>14</v>
      </c>
      <c r="D442" s="133">
        <v>1</v>
      </c>
      <c r="E442" s="75"/>
      <c r="F442" s="161"/>
      <c r="G442" s="235"/>
      <c r="H442" s="235"/>
      <c r="I442" s="158"/>
      <c r="J442" s="166">
        <v>2425000</v>
      </c>
      <c r="K442" s="75">
        <v>2425000</v>
      </c>
      <c r="L442" s="91" t="s">
        <v>1035</v>
      </c>
      <c r="M442" s="73"/>
      <c r="N442" s="46">
        <v>1</v>
      </c>
      <c r="O442" s="46">
        <v>0</v>
      </c>
      <c r="P442" s="46">
        <v>2425000</v>
      </c>
      <c r="Q442" s="98"/>
      <c r="R442" s="23" t="s">
        <v>1428</v>
      </c>
      <c r="S442" s="24" t="s">
        <v>1034</v>
      </c>
      <c r="T442" s="25" t="s">
        <v>14</v>
      </c>
      <c r="U442" s="26">
        <v>1</v>
      </c>
      <c r="V442" s="26">
        <f t="shared" si="106"/>
        <v>1</v>
      </c>
      <c r="W442" s="26">
        <f t="shared" si="84"/>
        <v>2425000</v>
      </c>
      <c r="X442" s="127">
        <f t="shared" si="110"/>
        <v>0</v>
      </c>
      <c r="Y442" s="127">
        <f t="shared" si="107"/>
        <v>1</v>
      </c>
      <c r="Z442" s="127">
        <f t="shared" si="108"/>
        <v>0</v>
      </c>
      <c r="AA442" s="127">
        <f t="shared" si="111"/>
        <v>2425000</v>
      </c>
      <c r="AB442" s="33" t="s">
        <v>1499</v>
      </c>
      <c r="AC442" s="324"/>
      <c r="AD442" s="181">
        <f t="shared" si="83"/>
        <v>1</v>
      </c>
      <c r="AE442" s="181">
        <f t="shared" si="109"/>
        <v>2425000</v>
      </c>
      <c r="AF442" s="181">
        <v>2</v>
      </c>
      <c r="AG442" s="181">
        <v>2</v>
      </c>
      <c r="AH442" s="363" t="str">
        <f t="shared" si="81"/>
        <v/>
      </c>
      <c r="AI442" s="192">
        <v>1</v>
      </c>
      <c r="AJ442" s="188">
        <v>1</v>
      </c>
      <c r="AN442" s="363"/>
      <c r="AO442" s="368"/>
      <c r="AP442" s="367"/>
      <c r="AQ442" s="367"/>
    </row>
    <row r="443" spans="1:43" s="69" customFormat="1" ht="33" customHeight="1" x14ac:dyDescent="0.3">
      <c r="A443" s="55" t="s">
        <v>1036</v>
      </c>
      <c r="B443" s="53" t="s">
        <v>1037</v>
      </c>
      <c r="C443" s="54" t="s">
        <v>14</v>
      </c>
      <c r="D443" s="75">
        <v>1</v>
      </c>
      <c r="E443" s="75"/>
      <c r="F443" s="161"/>
      <c r="G443" s="235"/>
      <c r="H443" s="235"/>
      <c r="I443" s="158"/>
      <c r="J443" s="166">
        <v>350000</v>
      </c>
      <c r="K443" s="75">
        <v>350000</v>
      </c>
      <c r="L443" s="91" t="s">
        <v>1038</v>
      </c>
      <c r="M443" s="73"/>
      <c r="N443" s="46">
        <v>0.85</v>
      </c>
      <c r="O443" s="46">
        <v>0</v>
      </c>
      <c r="P443" s="46">
        <v>297500</v>
      </c>
      <c r="Q443" s="98"/>
      <c r="R443" s="23" t="s">
        <v>1387</v>
      </c>
      <c r="S443" s="24" t="s">
        <v>1037</v>
      </c>
      <c r="T443" s="25" t="s">
        <v>14</v>
      </c>
      <c r="U443" s="26">
        <v>1</v>
      </c>
      <c r="V443" s="26">
        <f t="shared" si="106"/>
        <v>1</v>
      </c>
      <c r="W443" s="26">
        <f t="shared" si="84"/>
        <v>350000</v>
      </c>
      <c r="X443" s="128">
        <f t="shared" si="110"/>
        <v>0</v>
      </c>
      <c r="Y443" s="26">
        <f t="shared" si="107"/>
        <v>0.85</v>
      </c>
      <c r="Z443" s="26">
        <f>AA443-P443</f>
        <v>0</v>
      </c>
      <c r="AA443" s="26">
        <f>ROUND(W443*Y443,2)</f>
        <v>297500</v>
      </c>
      <c r="AB443" s="33" t="s">
        <v>15</v>
      </c>
      <c r="AC443" s="324"/>
      <c r="AD443" s="181">
        <f t="shared" si="83"/>
        <v>1</v>
      </c>
      <c r="AE443" s="181">
        <f t="shared" si="109"/>
        <v>350000</v>
      </c>
      <c r="AF443" s="181">
        <v>2</v>
      </c>
      <c r="AG443" s="181">
        <v>2</v>
      </c>
      <c r="AH443" s="363" t="str">
        <f t="shared" si="81"/>
        <v/>
      </c>
      <c r="AI443" s="194">
        <v>0.85</v>
      </c>
      <c r="AJ443" s="188">
        <v>1</v>
      </c>
      <c r="AN443" s="70"/>
      <c r="AO443" s="367"/>
      <c r="AP443" s="367"/>
      <c r="AQ443" s="367"/>
    </row>
    <row r="444" spans="1:43" x14ac:dyDescent="0.3">
      <c r="A444" s="134" t="s">
        <v>1342</v>
      </c>
      <c r="B444" s="135" t="s">
        <v>1343</v>
      </c>
      <c r="C444" s="204" t="s">
        <v>50</v>
      </c>
      <c r="D444" s="133"/>
      <c r="E444" s="78"/>
      <c r="F444" s="348">
        <v>320</v>
      </c>
      <c r="G444" s="163"/>
      <c r="H444" s="163"/>
      <c r="I444" s="62"/>
      <c r="J444" s="167">
        <v>10869.24</v>
      </c>
      <c r="K444" s="62">
        <v>3478156.8</v>
      </c>
      <c r="L444" s="93"/>
      <c r="N444" s="46">
        <v>320</v>
      </c>
      <c r="O444" s="46">
        <v>0</v>
      </c>
      <c r="P444" s="46">
        <v>3478156.8</v>
      </c>
      <c r="Q444" s="98"/>
      <c r="R444" s="23" t="s">
        <v>1405</v>
      </c>
      <c r="S444" s="24" t="s">
        <v>1343</v>
      </c>
      <c r="T444" s="25" t="s">
        <v>50</v>
      </c>
      <c r="U444" s="26">
        <v>0</v>
      </c>
      <c r="V444" s="26">
        <f t="shared" si="106"/>
        <v>320</v>
      </c>
      <c r="W444" s="26">
        <f t="shared" si="84"/>
        <v>10869.24</v>
      </c>
      <c r="X444" s="127">
        <f t="shared" si="110"/>
        <v>0</v>
      </c>
      <c r="Y444" s="127">
        <f t="shared" si="107"/>
        <v>320</v>
      </c>
      <c r="Z444" s="127">
        <f t="shared" si="108"/>
        <v>0</v>
      </c>
      <c r="AA444" s="127">
        <f t="shared" si="111"/>
        <v>3478156.8</v>
      </c>
      <c r="AB444" s="27"/>
      <c r="AC444" s="324"/>
      <c r="AD444" s="181">
        <f t="shared" si="83"/>
        <v>320</v>
      </c>
      <c r="AE444" s="181">
        <f t="shared" si="109"/>
        <v>3478156.8</v>
      </c>
      <c r="AF444" s="181">
        <v>2</v>
      </c>
      <c r="AG444" s="181">
        <v>2</v>
      </c>
      <c r="AH444" s="363" t="str">
        <f t="shared" si="81"/>
        <v/>
      </c>
      <c r="AI444" s="194">
        <v>320</v>
      </c>
      <c r="AJ444" s="188">
        <v>320</v>
      </c>
      <c r="AN444" s="70"/>
      <c r="AO444" s="367"/>
      <c r="AP444" s="367"/>
      <c r="AQ444" s="367"/>
    </row>
    <row r="445" spans="1:43" x14ac:dyDescent="0.3">
      <c r="A445" s="144" t="s">
        <v>1344</v>
      </c>
      <c r="B445" s="145" t="s">
        <v>1345</v>
      </c>
      <c r="C445" s="206" t="s">
        <v>325</v>
      </c>
      <c r="D445" s="170"/>
      <c r="E445" s="147"/>
      <c r="F445" s="164">
        <v>2</v>
      </c>
      <c r="G445" s="163"/>
      <c r="H445" s="163"/>
      <c r="I445" s="346">
        <v>3</v>
      </c>
      <c r="J445" s="168">
        <v>60995.57</v>
      </c>
      <c r="K445" s="148">
        <v>182986.71</v>
      </c>
      <c r="L445" s="149"/>
      <c r="N445" s="46">
        <v>3</v>
      </c>
      <c r="O445" s="46">
        <v>60995.569999999992</v>
      </c>
      <c r="P445" s="46">
        <v>182986.71</v>
      </c>
      <c r="Q445" s="98"/>
      <c r="R445" s="23" t="s">
        <v>1406</v>
      </c>
      <c r="S445" s="24" t="s">
        <v>1345</v>
      </c>
      <c r="T445" s="25" t="s">
        <v>325</v>
      </c>
      <c r="U445" s="26">
        <v>0</v>
      </c>
      <c r="V445" s="26">
        <f t="shared" si="106"/>
        <v>3</v>
      </c>
      <c r="W445" s="26">
        <f t="shared" si="84"/>
        <v>60995.57</v>
      </c>
      <c r="X445" s="128">
        <f t="shared" si="110"/>
        <v>0</v>
      </c>
      <c r="Y445" s="127">
        <f t="shared" si="107"/>
        <v>3</v>
      </c>
      <c r="Z445" s="127">
        <f t="shared" si="108"/>
        <v>0</v>
      </c>
      <c r="AA445" s="127">
        <f t="shared" si="111"/>
        <v>182986.71</v>
      </c>
      <c r="AB445" s="27"/>
      <c r="AC445" s="324"/>
      <c r="AD445" s="181">
        <f t="shared" si="83"/>
        <v>3</v>
      </c>
      <c r="AE445" s="181">
        <f t="shared" si="109"/>
        <v>182986.71</v>
      </c>
      <c r="AF445" s="181">
        <v>2</v>
      </c>
      <c r="AG445" s="181">
        <v>2</v>
      </c>
      <c r="AH445" s="363" t="str">
        <f t="shared" si="81"/>
        <v/>
      </c>
      <c r="AI445" s="192">
        <f>2+1</f>
        <v>3</v>
      </c>
      <c r="AJ445" s="190">
        <v>3</v>
      </c>
      <c r="AN445" s="70"/>
      <c r="AO445" s="367"/>
      <c r="AP445" s="367"/>
      <c r="AQ445" s="367"/>
    </row>
    <row r="446" spans="1:43" ht="39" x14ac:dyDescent="0.3">
      <c r="A446" s="207" t="s">
        <v>3072</v>
      </c>
      <c r="B446" s="208" t="s">
        <v>3073</v>
      </c>
      <c r="C446" s="204" t="s">
        <v>97</v>
      </c>
      <c r="D446" s="171"/>
      <c r="E446" s="158"/>
      <c r="F446" s="165"/>
      <c r="G446" s="219">
        <v>220</v>
      </c>
      <c r="H446" s="317"/>
      <c r="I446" s="159"/>
      <c r="J446" s="169">
        <v>1159.82</v>
      </c>
      <c r="K446" s="159">
        <v>255160.4</v>
      </c>
      <c r="L446" s="172"/>
      <c r="N446" s="46">
        <v>220</v>
      </c>
      <c r="O446" s="46">
        <v>0</v>
      </c>
      <c r="P446" s="46">
        <v>255160.4</v>
      </c>
      <c r="Q446" s="98"/>
      <c r="R446" s="23" t="s">
        <v>1414</v>
      </c>
      <c r="S446" s="24" t="s">
        <v>3073</v>
      </c>
      <c r="T446" s="25" t="s">
        <v>97</v>
      </c>
      <c r="U446" s="26"/>
      <c r="V446" s="26">
        <f t="shared" si="106"/>
        <v>220</v>
      </c>
      <c r="W446" s="169">
        <f t="shared" si="84"/>
        <v>1159.82</v>
      </c>
      <c r="X446" s="127">
        <f t="shared" si="110"/>
        <v>0</v>
      </c>
      <c r="Y446" s="127">
        <f>X446+N446</f>
        <v>220</v>
      </c>
      <c r="Z446" s="127">
        <f t="shared" si="108"/>
        <v>0</v>
      </c>
      <c r="AA446" s="127">
        <f t="shared" si="111"/>
        <v>255160.4</v>
      </c>
      <c r="AB446" s="27"/>
      <c r="AC446" s="324"/>
      <c r="AD446" s="200">
        <f t="shared" si="83"/>
        <v>220</v>
      </c>
      <c r="AE446" s="181">
        <f t="shared" si="109"/>
        <v>255160.4</v>
      </c>
      <c r="AF446" s="181">
        <v>2</v>
      </c>
      <c r="AG446" s="181">
        <v>2</v>
      </c>
      <c r="AH446" s="363"/>
      <c r="AI446" s="192">
        <v>220</v>
      </c>
      <c r="AJ446" s="188">
        <v>220</v>
      </c>
      <c r="AN446" s="70"/>
      <c r="AO446" s="367"/>
      <c r="AP446" s="367"/>
      <c r="AQ446" s="367"/>
    </row>
    <row r="447" spans="1:43" ht="39" x14ac:dyDescent="0.3">
      <c r="A447" s="207" t="s">
        <v>3074</v>
      </c>
      <c r="B447" s="208" t="s">
        <v>3075</v>
      </c>
      <c r="C447" s="204" t="s">
        <v>97</v>
      </c>
      <c r="D447" s="171"/>
      <c r="E447" s="158"/>
      <c r="F447" s="165"/>
      <c r="G447" s="219">
        <v>264.5</v>
      </c>
      <c r="H447" s="317"/>
      <c r="I447" s="159"/>
      <c r="J447" s="169">
        <v>689.89</v>
      </c>
      <c r="K447" s="159">
        <v>182475.91</v>
      </c>
      <c r="L447" s="172"/>
      <c r="N447" s="46">
        <v>264.5</v>
      </c>
      <c r="O447" s="46">
        <v>0</v>
      </c>
      <c r="P447" s="46">
        <v>182475.91</v>
      </c>
      <c r="Q447" s="98"/>
      <c r="R447" s="23" t="s">
        <v>1429</v>
      </c>
      <c r="S447" s="24" t="s">
        <v>3075</v>
      </c>
      <c r="T447" s="25" t="s">
        <v>97</v>
      </c>
      <c r="U447" s="26"/>
      <c r="V447" s="26">
        <f t="shared" si="106"/>
        <v>264.5</v>
      </c>
      <c r="W447" s="169">
        <f t="shared" si="84"/>
        <v>689.89</v>
      </c>
      <c r="X447" s="127">
        <f t="shared" si="110"/>
        <v>0</v>
      </c>
      <c r="Y447" s="127">
        <f t="shared" ref="Y447:Y463" si="112">X447+N447</f>
        <v>264.5</v>
      </c>
      <c r="Z447" s="127">
        <f t="shared" si="108"/>
        <v>0</v>
      </c>
      <c r="AA447" s="127">
        <f t="shared" si="111"/>
        <v>182475.91</v>
      </c>
      <c r="AB447" s="27"/>
      <c r="AC447" s="324"/>
      <c r="AD447" s="200">
        <f t="shared" si="83"/>
        <v>264.5</v>
      </c>
      <c r="AE447" s="181">
        <f t="shared" si="109"/>
        <v>182475.91</v>
      </c>
      <c r="AF447" s="181">
        <v>2</v>
      </c>
      <c r="AG447" s="181">
        <v>2</v>
      </c>
      <c r="AH447" s="363"/>
      <c r="AI447" s="192">
        <v>264.5</v>
      </c>
      <c r="AJ447" s="188">
        <v>264.5</v>
      </c>
      <c r="AN447" s="70"/>
      <c r="AO447" s="367"/>
      <c r="AP447" s="367"/>
      <c r="AQ447" s="367"/>
    </row>
    <row r="448" spans="1:43" ht="49.5" x14ac:dyDescent="0.3">
      <c r="A448" s="207" t="s">
        <v>3076</v>
      </c>
      <c r="B448" s="241" t="s">
        <v>3077</v>
      </c>
      <c r="C448" s="204" t="s">
        <v>97</v>
      </c>
      <c r="D448" s="171"/>
      <c r="E448" s="158"/>
      <c r="F448" s="165"/>
      <c r="G448" s="219">
        <v>218.5</v>
      </c>
      <c r="H448" s="317"/>
      <c r="I448" s="159"/>
      <c r="J448" s="169">
        <v>899.86</v>
      </c>
      <c r="K448" s="159">
        <v>196619.41</v>
      </c>
      <c r="L448" s="172"/>
      <c r="N448" s="46">
        <v>218.5</v>
      </c>
      <c r="O448" s="46">
        <v>0</v>
      </c>
      <c r="P448" s="46">
        <v>196619.41</v>
      </c>
      <c r="Q448" s="98"/>
      <c r="R448" s="23" t="s">
        <v>1430</v>
      </c>
      <c r="S448" s="24" t="s">
        <v>3077</v>
      </c>
      <c r="T448" s="25" t="s">
        <v>97</v>
      </c>
      <c r="U448" s="26"/>
      <c r="V448" s="26">
        <f t="shared" si="106"/>
        <v>218.5</v>
      </c>
      <c r="W448" s="169">
        <f t="shared" si="84"/>
        <v>899.86</v>
      </c>
      <c r="X448" s="127">
        <f t="shared" si="110"/>
        <v>0</v>
      </c>
      <c r="Y448" s="127">
        <f t="shared" si="112"/>
        <v>218.5</v>
      </c>
      <c r="Z448" s="127">
        <f t="shared" si="108"/>
        <v>0</v>
      </c>
      <c r="AA448" s="127">
        <f t="shared" si="111"/>
        <v>196619.41</v>
      </c>
      <c r="AB448" s="27"/>
      <c r="AC448" s="324"/>
      <c r="AD448" s="200">
        <f t="shared" si="83"/>
        <v>218.5</v>
      </c>
      <c r="AE448" s="181">
        <f t="shared" si="109"/>
        <v>196619.41</v>
      </c>
      <c r="AF448" s="181">
        <v>2</v>
      </c>
      <c r="AG448" s="181">
        <v>2</v>
      </c>
      <c r="AH448" s="363"/>
      <c r="AI448" s="192">
        <v>218.5</v>
      </c>
      <c r="AJ448" s="188">
        <v>218.5</v>
      </c>
      <c r="AN448" s="70"/>
      <c r="AO448" s="367"/>
      <c r="AP448" s="367"/>
      <c r="AQ448" s="367"/>
    </row>
    <row r="449" spans="1:43" ht="58.5" x14ac:dyDescent="0.3">
      <c r="A449" s="207" t="s">
        <v>3078</v>
      </c>
      <c r="B449" s="208" t="s">
        <v>3292</v>
      </c>
      <c r="C449" s="204" t="s">
        <v>97</v>
      </c>
      <c r="D449" s="171"/>
      <c r="E449" s="158"/>
      <c r="F449" s="165"/>
      <c r="G449" s="219">
        <v>87.5</v>
      </c>
      <c r="H449" s="317"/>
      <c r="I449" s="159"/>
      <c r="J449" s="169">
        <v>1499.76</v>
      </c>
      <c r="K449" s="159">
        <v>131229</v>
      </c>
      <c r="L449" s="172"/>
      <c r="N449" s="46">
        <v>87.5</v>
      </c>
      <c r="O449" s="46">
        <v>0</v>
      </c>
      <c r="P449" s="46">
        <v>131229</v>
      </c>
      <c r="Q449" s="98"/>
      <c r="R449" s="23" t="s">
        <v>1431</v>
      </c>
      <c r="S449" s="24" t="s">
        <v>3079</v>
      </c>
      <c r="T449" s="25" t="s">
        <v>97</v>
      </c>
      <c r="U449" s="26"/>
      <c r="V449" s="26">
        <f t="shared" si="106"/>
        <v>87.5</v>
      </c>
      <c r="W449" s="169">
        <f t="shared" si="84"/>
        <v>1499.76</v>
      </c>
      <c r="X449" s="127">
        <f t="shared" si="110"/>
        <v>0</v>
      </c>
      <c r="Y449" s="127">
        <f t="shared" si="112"/>
        <v>87.5</v>
      </c>
      <c r="Z449" s="127">
        <f t="shared" si="108"/>
        <v>0</v>
      </c>
      <c r="AA449" s="127">
        <f t="shared" si="111"/>
        <v>131229</v>
      </c>
      <c r="AB449" s="27"/>
      <c r="AC449" s="324"/>
      <c r="AD449" s="200">
        <f t="shared" si="83"/>
        <v>87.5</v>
      </c>
      <c r="AE449" s="181">
        <f t="shared" si="109"/>
        <v>131229</v>
      </c>
      <c r="AF449" s="181">
        <v>2</v>
      </c>
      <c r="AG449" s="181">
        <v>2</v>
      </c>
      <c r="AH449" s="363"/>
      <c r="AI449" s="192">
        <v>87.5</v>
      </c>
      <c r="AJ449" s="188">
        <v>87.5</v>
      </c>
      <c r="AN449" s="70"/>
      <c r="AO449" s="367"/>
      <c r="AP449" s="367"/>
      <c r="AQ449" s="367"/>
    </row>
    <row r="450" spans="1:43" ht="39" x14ac:dyDescent="0.3">
      <c r="A450" s="207" t="s">
        <v>3080</v>
      </c>
      <c r="B450" s="208" t="s">
        <v>3081</v>
      </c>
      <c r="C450" s="204" t="s">
        <v>97</v>
      </c>
      <c r="D450" s="171"/>
      <c r="E450" s="158"/>
      <c r="F450" s="159"/>
      <c r="G450" s="219">
        <v>144.5</v>
      </c>
      <c r="H450" s="165"/>
      <c r="I450" s="159"/>
      <c r="J450" s="169">
        <v>1419.78</v>
      </c>
      <c r="K450" s="159">
        <v>205158.21</v>
      </c>
      <c r="L450" s="172"/>
      <c r="N450" s="46">
        <v>144.5</v>
      </c>
      <c r="O450" s="46">
        <v>0</v>
      </c>
      <c r="P450" s="46">
        <v>205158.21</v>
      </c>
      <c r="Q450" s="98"/>
      <c r="R450" s="23" t="s">
        <v>1395</v>
      </c>
      <c r="S450" s="24" t="s">
        <v>3081</v>
      </c>
      <c r="T450" s="25" t="s">
        <v>97</v>
      </c>
      <c r="U450" s="26"/>
      <c r="V450" s="26">
        <f t="shared" si="106"/>
        <v>144.5</v>
      </c>
      <c r="W450" s="158">
        <f t="shared" si="84"/>
        <v>1419.78</v>
      </c>
      <c r="X450" s="127">
        <f t="shared" si="110"/>
        <v>0</v>
      </c>
      <c r="Y450" s="127">
        <f t="shared" si="112"/>
        <v>144.5</v>
      </c>
      <c r="Z450" s="127">
        <f t="shared" si="108"/>
        <v>0</v>
      </c>
      <c r="AA450" s="127">
        <f t="shared" si="111"/>
        <v>205158.21</v>
      </c>
      <c r="AB450" s="27"/>
      <c r="AC450" s="324"/>
      <c r="AD450" s="200">
        <f t="shared" si="83"/>
        <v>144.5</v>
      </c>
      <c r="AE450" s="181">
        <f t="shared" si="109"/>
        <v>205158.21</v>
      </c>
      <c r="AF450" s="181">
        <v>2</v>
      </c>
      <c r="AG450" s="181">
        <v>2</v>
      </c>
      <c r="AH450" s="363"/>
      <c r="AI450" s="192">
        <v>144.5</v>
      </c>
      <c r="AJ450" s="188">
        <v>144.5</v>
      </c>
      <c r="AN450" s="70"/>
      <c r="AO450" s="367"/>
      <c r="AP450" s="367"/>
      <c r="AQ450" s="367"/>
    </row>
    <row r="451" spans="1:43" ht="39" x14ac:dyDescent="0.3">
      <c r="A451" s="207" t="s">
        <v>3082</v>
      </c>
      <c r="B451" s="208" t="s">
        <v>3291</v>
      </c>
      <c r="C451" s="204" t="s">
        <v>97</v>
      </c>
      <c r="D451" s="171"/>
      <c r="E451" s="158"/>
      <c r="F451" s="159"/>
      <c r="G451" s="219">
        <v>27</v>
      </c>
      <c r="H451" s="165"/>
      <c r="I451" s="159"/>
      <c r="J451" s="169">
        <v>2999.53</v>
      </c>
      <c r="K451" s="159">
        <v>80987.31</v>
      </c>
      <c r="L451" s="172"/>
      <c r="N451" s="46">
        <v>27</v>
      </c>
      <c r="O451" s="46">
        <v>0</v>
      </c>
      <c r="P451" s="46">
        <v>80987.31</v>
      </c>
      <c r="Q451" s="98"/>
      <c r="R451" s="23" t="s">
        <v>1432</v>
      </c>
      <c r="S451" s="24" t="s">
        <v>3083</v>
      </c>
      <c r="T451" s="25" t="s">
        <v>97</v>
      </c>
      <c r="U451" s="26"/>
      <c r="V451" s="26">
        <f t="shared" si="106"/>
        <v>27</v>
      </c>
      <c r="W451" s="158">
        <f t="shared" si="84"/>
        <v>2999.53</v>
      </c>
      <c r="X451" s="127">
        <f t="shared" si="110"/>
        <v>0</v>
      </c>
      <c r="Y451" s="127">
        <f t="shared" si="112"/>
        <v>27</v>
      </c>
      <c r="Z451" s="127">
        <f t="shared" si="108"/>
        <v>0</v>
      </c>
      <c r="AA451" s="127">
        <f t="shared" si="111"/>
        <v>80987.31</v>
      </c>
      <c r="AB451" s="27"/>
      <c r="AC451" s="324"/>
      <c r="AD451" s="200">
        <f t="shared" si="83"/>
        <v>27</v>
      </c>
      <c r="AE451" s="181">
        <f t="shared" si="109"/>
        <v>80987.31</v>
      </c>
      <c r="AF451" s="181">
        <v>2</v>
      </c>
      <c r="AG451" s="181">
        <v>2</v>
      </c>
      <c r="AH451" s="363"/>
      <c r="AI451" s="192">
        <v>27</v>
      </c>
      <c r="AJ451" s="188">
        <v>27</v>
      </c>
      <c r="AN451" s="70"/>
      <c r="AO451" s="367"/>
      <c r="AP451" s="367"/>
      <c r="AQ451" s="367"/>
    </row>
    <row r="452" spans="1:43" ht="39" x14ac:dyDescent="0.3">
      <c r="A452" s="207" t="s">
        <v>3084</v>
      </c>
      <c r="B452" s="208" t="s">
        <v>3085</v>
      </c>
      <c r="C452" s="204" t="s">
        <v>97</v>
      </c>
      <c r="D452" s="171"/>
      <c r="E452" s="158"/>
      <c r="F452" s="159"/>
      <c r="G452" s="219">
        <v>28</v>
      </c>
      <c r="H452" s="159"/>
      <c r="I452" s="159"/>
      <c r="J452" s="158">
        <v>1364.78</v>
      </c>
      <c r="K452" s="159">
        <v>38213.839999999997</v>
      </c>
      <c r="L452" s="172"/>
      <c r="N452" s="46">
        <v>28</v>
      </c>
      <c r="O452" s="46">
        <v>0</v>
      </c>
      <c r="P452" s="46">
        <v>38213.839999999997</v>
      </c>
      <c r="Q452" s="98"/>
      <c r="R452" s="23" t="s">
        <v>1433</v>
      </c>
      <c r="S452" s="24" t="s">
        <v>3085</v>
      </c>
      <c r="T452" s="25" t="s">
        <v>97</v>
      </c>
      <c r="U452" s="26"/>
      <c r="V452" s="26">
        <f t="shared" si="106"/>
        <v>28</v>
      </c>
      <c r="W452" s="158">
        <f t="shared" si="84"/>
        <v>1364.78</v>
      </c>
      <c r="X452" s="127">
        <f t="shared" si="110"/>
        <v>0</v>
      </c>
      <c r="Y452" s="127">
        <f t="shared" si="112"/>
        <v>28</v>
      </c>
      <c r="Z452" s="127">
        <f t="shared" si="108"/>
        <v>0</v>
      </c>
      <c r="AA452" s="127">
        <f t="shared" si="111"/>
        <v>38213.839999999997</v>
      </c>
      <c r="AB452" s="27"/>
      <c r="AC452" s="324"/>
      <c r="AD452" s="200">
        <f t="shared" si="83"/>
        <v>28</v>
      </c>
      <c r="AE452" s="181">
        <f t="shared" si="109"/>
        <v>38213.839999999997</v>
      </c>
      <c r="AF452" s="181">
        <v>2</v>
      </c>
      <c r="AG452" s="181">
        <v>2</v>
      </c>
      <c r="AH452" s="363"/>
      <c r="AI452" s="192">
        <v>28</v>
      </c>
      <c r="AJ452" s="188">
        <v>28</v>
      </c>
      <c r="AN452" s="70"/>
      <c r="AO452" s="367"/>
      <c r="AP452" s="367"/>
      <c r="AQ452" s="367"/>
    </row>
    <row r="453" spans="1:43" ht="58.5" x14ac:dyDescent="0.3">
      <c r="A453" s="207" t="s">
        <v>3086</v>
      </c>
      <c r="B453" s="208" t="s">
        <v>3087</v>
      </c>
      <c r="C453" s="204" t="s">
        <v>97</v>
      </c>
      <c r="D453" s="171"/>
      <c r="E453" s="158"/>
      <c r="F453" s="159"/>
      <c r="G453" s="219">
        <v>156</v>
      </c>
      <c r="H453" s="159"/>
      <c r="I453" s="159"/>
      <c r="J453" s="158">
        <v>771.88</v>
      </c>
      <c r="K453" s="159">
        <v>120413.28</v>
      </c>
      <c r="L453" s="172"/>
      <c r="N453" s="46">
        <v>156</v>
      </c>
      <c r="O453" s="46">
        <v>0</v>
      </c>
      <c r="P453" s="46">
        <v>120413.28</v>
      </c>
      <c r="Q453" s="98"/>
      <c r="R453" s="23" t="s">
        <v>1382</v>
      </c>
      <c r="S453" s="24" t="s">
        <v>3087</v>
      </c>
      <c r="T453" s="25" t="s">
        <v>97</v>
      </c>
      <c r="U453" s="26"/>
      <c r="V453" s="26">
        <f t="shared" si="106"/>
        <v>156</v>
      </c>
      <c r="W453" s="158">
        <f t="shared" si="84"/>
        <v>771.88</v>
      </c>
      <c r="X453" s="127">
        <f t="shared" si="110"/>
        <v>0</v>
      </c>
      <c r="Y453" s="127">
        <f t="shared" si="112"/>
        <v>156</v>
      </c>
      <c r="Z453" s="127">
        <f t="shared" si="108"/>
        <v>0</v>
      </c>
      <c r="AA453" s="127">
        <f t="shared" si="111"/>
        <v>120413.28</v>
      </c>
      <c r="AB453" s="27"/>
      <c r="AC453" s="324"/>
      <c r="AD453" s="200">
        <f t="shared" si="83"/>
        <v>156</v>
      </c>
      <c r="AE453" s="181">
        <f t="shared" si="109"/>
        <v>120413.28</v>
      </c>
      <c r="AF453" s="181">
        <v>2</v>
      </c>
      <c r="AG453" s="181">
        <v>2</v>
      </c>
      <c r="AH453" s="363"/>
      <c r="AI453" s="192">
        <v>156</v>
      </c>
      <c r="AJ453" s="188">
        <v>156</v>
      </c>
      <c r="AN453" s="70"/>
      <c r="AO453" s="367"/>
      <c r="AP453" s="367"/>
      <c r="AQ453" s="367"/>
    </row>
    <row r="454" spans="1:43" ht="58.5" x14ac:dyDescent="0.3">
      <c r="A454" s="207" t="s">
        <v>3088</v>
      </c>
      <c r="B454" s="208" t="s">
        <v>3293</v>
      </c>
      <c r="C454" s="204" t="s">
        <v>97</v>
      </c>
      <c r="D454" s="171"/>
      <c r="E454" s="158"/>
      <c r="F454" s="159"/>
      <c r="G454" s="355">
        <v>1917</v>
      </c>
      <c r="H454" s="219"/>
      <c r="I454" s="219"/>
      <c r="J454" s="158">
        <v>400.94</v>
      </c>
      <c r="K454" s="159">
        <v>768601.98</v>
      </c>
      <c r="L454" s="172"/>
      <c r="N454" s="46">
        <v>1917</v>
      </c>
      <c r="O454" s="46">
        <v>0</v>
      </c>
      <c r="P454" s="46">
        <v>768601.98</v>
      </c>
      <c r="Q454" s="98"/>
      <c r="R454" s="23" t="s">
        <v>1434</v>
      </c>
      <c r="S454" s="24" t="s">
        <v>3089</v>
      </c>
      <c r="T454" s="25" t="s">
        <v>97</v>
      </c>
      <c r="U454" s="26"/>
      <c r="V454" s="26">
        <f t="shared" si="106"/>
        <v>1917</v>
      </c>
      <c r="W454" s="158">
        <f t="shared" si="84"/>
        <v>400.94</v>
      </c>
      <c r="X454" s="127">
        <f t="shared" si="110"/>
        <v>0</v>
      </c>
      <c r="Y454" s="127">
        <f t="shared" si="112"/>
        <v>1917</v>
      </c>
      <c r="Z454" s="127">
        <f t="shared" si="108"/>
        <v>0</v>
      </c>
      <c r="AA454" s="127">
        <f t="shared" si="111"/>
        <v>768601.98</v>
      </c>
      <c r="AB454" s="27"/>
      <c r="AC454" s="324"/>
      <c r="AD454" s="200">
        <f t="shared" si="83"/>
        <v>1917</v>
      </c>
      <c r="AE454" s="181">
        <f t="shared" si="109"/>
        <v>768601.98</v>
      </c>
      <c r="AF454" s="181">
        <v>2</v>
      </c>
      <c r="AG454" s="181">
        <v>2</v>
      </c>
      <c r="AH454" s="363"/>
      <c r="AI454" s="192">
        <v>1917</v>
      </c>
      <c r="AJ454" s="188">
        <v>1917</v>
      </c>
      <c r="AN454" s="70"/>
      <c r="AO454" s="367"/>
      <c r="AP454" s="367"/>
      <c r="AQ454" s="367"/>
    </row>
    <row r="455" spans="1:43" x14ac:dyDescent="0.3">
      <c r="A455" s="207" t="s">
        <v>3090</v>
      </c>
      <c r="B455" s="208" t="s">
        <v>3091</v>
      </c>
      <c r="C455" s="204" t="s">
        <v>97</v>
      </c>
      <c r="D455" s="171"/>
      <c r="E455" s="158"/>
      <c r="F455" s="159"/>
      <c r="G455" s="219">
        <v>380</v>
      </c>
      <c r="H455" s="159"/>
      <c r="I455" s="159"/>
      <c r="J455" s="158">
        <v>280.95999999999998</v>
      </c>
      <c r="K455" s="159">
        <v>106764.8</v>
      </c>
      <c r="L455" s="172"/>
      <c r="N455" s="46">
        <v>380</v>
      </c>
      <c r="O455" s="46">
        <v>0</v>
      </c>
      <c r="P455" s="46">
        <v>106764.8</v>
      </c>
      <c r="Q455" s="98"/>
      <c r="R455" s="23" t="s">
        <v>1388</v>
      </c>
      <c r="S455" s="24" t="s">
        <v>3091</v>
      </c>
      <c r="T455" s="25" t="s">
        <v>97</v>
      </c>
      <c r="U455" s="26"/>
      <c r="V455" s="26">
        <f t="shared" si="106"/>
        <v>380</v>
      </c>
      <c r="W455" s="158">
        <f t="shared" si="84"/>
        <v>280.95999999999998</v>
      </c>
      <c r="X455" s="127">
        <f t="shared" si="110"/>
        <v>0</v>
      </c>
      <c r="Y455" s="127">
        <f t="shared" si="112"/>
        <v>380</v>
      </c>
      <c r="Z455" s="127">
        <f t="shared" si="108"/>
        <v>0</v>
      </c>
      <c r="AA455" s="127">
        <f t="shared" si="111"/>
        <v>106764.8</v>
      </c>
      <c r="AB455" s="27"/>
      <c r="AC455" s="324"/>
      <c r="AD455" s="200">
        <f t="shared" si="83"/>
        <v>380</v>
      </c>
      <c r="AE455" s="181">
        <f t="shared" si="109"/>
        <v>106764.8</v>
      </c>
      <c r="AF455" s="181">
        <v>2</v>
      </c>
      <c r="AG455" s="181">
        <v>2</v>
      </c>
      <c r="AH455" s="363"/>
      <c r="AI455" s="192">
        <v>380</v>
      </c>
      <c r="AJ455" s="188">
        <v>380</v>
      </c>
      <c r="AN455" s="70"/>
      <c r="AO455" s="367"/>
      <c r="AP455" s="367"/>
      <c r="AQ455" s="367"/>
    </row>
    <row r="456" spans="1:43" ht="49.5" x14ac:dyDescent="0.3">
      <c r="A456" s="207" t="s">
        <v>3092</v>
      </c>
      <c r="B456" s="241" t="s">
        <v>3093</v>
      </c>
      <c r="C456" s="204" t="s">
        <v>97</v>
      </c>
      <c r="D456" s="171"/>
      <c r="E456" s="158"/>
      <c r="F456" s="159"/>
      <c r="G456" s="219">
        <v>660.5</v>
      </c>
      <c r="H456" s="159"/>
      <c r="I456" s="159"/>
      <c r="J456" s="158">
        <v>800.87</v>
      </c>
      <c r="K456" s="159">
        <v>528974.64</v>
      </c>
      <c r="L456" s="172"/>
      <c r="N456" s="46">
        <v>660.5</v>
      </c>
      <c r="O456" s="46">
        <v>0</v>
      </c>
      <c r="P456" s="46">
        <v>528974.64</v>
      </c>
      <c r="Q456" s="98"/>
      <c r="R456" s="23" t="s">
        <v>1389</v>
      </c>
      <c r="S456" s="24" t="s">
        <v>3093</v>
      </c>
      <c r="T456" s="25" t="s">
        <v>97</v>
      </c>
      <c r="U456" s="26"/>
      <c r="V456" s="26">
        <f t="shared" si="106"/>
        <v>660.5</v>
      </c>
      <c r="W456" s="158">
        <f t="shared" si="84"/>
        <v>800.87</v>
      </c>
      <c r="X456" s="127">
        <f t="shared" si="110"/>
        <v>0</v>
      </c>
      <c r="Y456" s="127">
        <f t="shared" si="112"/>
        <v>660.5</v>
      </c>
      <c r="Z456" s="127">
        <f t="shared" si="108"/>
        <v>0</v>
      </c>
      <c r="AA456" s="127">
        <f t="shared" si="111"/>
        <v>528974.64</v>
      </c>
      <c r="AB456" s="27"/>
      <c r="AC456" s="324"/>
      <c r="AD456" s="200">
        <f t="shared" si="83"/>
        <v>660.5</v>
      </c>
      <c r="AE456" s="181">
        <f t="shared" si="109"/>
        <v>528974.64</v>
      </c>
      <c r="AF456" s="181">
        <v>2</v>
      </c>
      <c r="AG456" s="181">
        <v>2</v>
      </c>
      <c r="AH456" s="363"/>
      <c r="AI456" s="192">
        <v>660.5</v>
      </c>
      <c r="AJ456" s="188">
        <v>660.5</v>
      </c>
      <c r="AN456" s="70"/>
      <c r="AO456" s="367"/>
      <c r="AP456" s="367"/>
      <c r="AQ456" s="367"/>
    </row>
    <row r="457" spans="1:43" ht="39" x14ac:dyDescent="0.3">
      <c r="A457" s="207" t="s">
        <v>3094</v>
      </c>
      <c r="B457" s="208" t="s">
        <v>3095</v>
      </c>
      <c r="C457" s="204" t="s">
        <v>97</v>
      </c>
      <c r="D457" s="171"/>
      <c r="E457" s="158"/>
      <c r="F457" s="159"/>
      <c r="G457" s="219">
        <v>288.5</v>
      </c>
      <c r="H457" s="159"/>
      <c r="I457" s="159"/>
      <c r="J457" s="158">
        <v>561.91</v>
      </c>
      <c r="K457" s="159">
        <v>162111.04000000001</v>
      </c>
      <c r="L457" s="172"/>
      <c r="N457" s="46">
        <v>288.5</v>
      </c>
      <c r="O457" s="46">
        <v>0</v>
      </c>
      <c r="P457" s="46">
        <v>162111.04000000001</v>
      </c>
      <c r="Q457" s="98"/>
      <c r="R457" s="23" t="s">
        <v>1390</v>
      </c>
      <c r="S457" s="24" t="s">
        <v>3095</v>
      </c>
      <c r="T457" s="25" t="s">
        <v>97</v>
      </c>
      <c r="U457" s="26"/>
      <c r="V457" s="26">
        <f t="shared" si="106"/>
        <v>288.5</v>
      </c>
      <c r="W457" s="158">
        <f t="shared" si="84"/>
        <v>561.91</v>
      </c>
      <c r="X457" s="127">
        <f t="shared" si="110"/>
        <v>0</v>
      </c>
      <c r="Y457" s="127">
        <f t="shared" si="112"/>
        <v>288.5</v>
      </c>
      <c r="Z457" s="127">
        <f t="shared" si="108"/>
        <v>0</v>
      </c>
      <c r="AA457" s="127">
        <f t="shared" si="111"/>
        <v>162111.04000000001</v>
      </c>
      <c r="AB457" s="27"/>
      <c r="AC457" s="324"/>
      <c r="AD457" s="200">
        <f t="shared" si="83"/>
        <v>288.5</v>
      </c>
      <c r="AE457" s="181">
        <f t="shared" si="109"/>
        <v>162111.04000000001</v>
      </c>
      <c r="AF457" s="181">
        <v>2</v>
      </c>
      <c r="AG457" s="181">
        <v>2</v>
      </c>
      <c r="AH457" s="363"/>
      <c r="AI457" s="192">
        <v>288.5</v>
      </c>
      <c r="AJ457" s="188">
        <v>288.5</v>
      </c>
      <c r="AN457" s="70"/>
      <c r="AO457" s="367"/>
      <c r="AP457" s="367"/>
      <c r="AQ457" s="367"/>
    </row>
    <row r="458" spans="1:43" ht="39" x14ac:dyDescent="0.3">
      <c r="A458" s="207" t="s">
        <v>3096</v>
      </c>
      <c r="B458" s="208" t="s">
        <v>3097</v>
      </c>
      <c r="C458" s="204" t="s">
        <v>97</v>
      </c>
      <c r="D458" s="171"/>
      <c r="E458" s="158"/>
      <c r="F458" s="159"/>
      <c r="G458" s="219">
        <v>438</v>
      </c>
      <c r="H458" s="159"/>
      <c r="I458" s="159"/>
      <c r="J458" s="158">
        <v>519.91999999999996</v>
      </c>
      <c r="K458" s="159">
        <v>227724.96</v>
      </c>
      <c r="L458" s="172"/>
      <c r="N458" s="46">
        <v>438</v>
      </c>
      <c r="O458" s="46">
        <v>0</v>
      </c>
      <c r="P458" s="46">
        <v>227724.96</v>
      </c>
      <c r="Q458" s="98"/>
      <c r="R458" s="23" t="s">
        <v>1391</v>
      </c>
      <c r="S458" s="24" t="s">
        <v>3097</v>
      </c>
      <c r="T458" s="25" t="s">
        <v>97</v>
      </c>
      <c r="U458" s="26"/>
      <c r="V458" s="26">
        <f t="shared" si="106"/>
        <v>438</v>
      </c>
      <c r="W458" s="158">
        <f t="shared" si="84"/>
        <v>519.91999999999996</v>
      </c>
      <c r="X458" s="127">
        <f t="shared" si="110"/>
        <v>0</v>
      </c>
      <c r="Y458" s="127">
        <f t="shared" si="112"/>
        <v>438</v>
      </c>
      <c r="Z458" s="127">
        <f t="shared" si="108"/>
        <v>0</v>
      </c>
      <c r="AA458" s="127">
        <f t="shared" si="111"/>
        <v>227724.96</v>
      </c>
      <c r="AB458" s="27"/>
      <c r="AC458" s="324"/>
      <c r="AD458" s="200">
        <f t="shared" ref="AD458:AD521" si="113">IF(V458=0,U458,V458)</f>
        <v>438</v>
      </c>
      <c r="AE458" s="181">
        <f t="shared" si="109"/>
        <v>227724.96</v>
      </c>
      <c r="AF458" s="181">
        <v>2</v>
      </c>
      <c r="AG458" s="181">
        <v>2</v>
      </c>
      <c r="AH458" s="363"/>
      <c r="AI458" s="192">
        <v>438</v>
      </c>
      <c r="AJ458" s="188">
        <v>438</v>
      </c>
      <c r="AN458" s="70"/>
      <c r="AO458" s="367"/>
      <c r="AP458" s="367"/>
      <c r="AQ458" s="367"/>
    </row>
    <row r="459" spans="1:43" ht="39" x14ac:dyDescent="0.3">
      <c r="A459" s="207" t="s">
        <v>3098</v>
      </c>
      <c r="B459" s="208" t="s">
        <v>3099</v>
      </c>
      <c r="C459" s="204" t="s">
        <v>97</v>
      </c>
      <c r="D459" s="171"/>
      <c r="E459" s="158"/>
      <c r="F459" s="159"/>
      <c r="G459" s="219">
        <v>54</v>
      </c>
      <c r="H459" s="159"/>
      <c r="I459" s="159"/>
      <c r="J459" s="158">
        <v>1579.75</v>
      </c>
      <c r="K459" s="159">
        <v>85306.5</v>
      </c>
      <c r="L459" s="172"/>
      <c r="N459" s="46">
        <v>54</v>
      </c>
      <c r="O459" s="46">
        <v>0</v>
      </c>
      <c r="P459" s="46">
        <v>85306.5</v>
      </c>
      <c r="Q459" s="98"/>
      <c r="R459" s="23" t="s">
        <v>1436</v>
      </c>
      <c r="S459" s="24" t="s">
        <v>3099</v>
      </c>
      <c r="T459" s="25" t="s">
        <v>97</v>
      </c>
      <c r="U459" s="26"/>
      <c r="V459" s="26">
        <f t="shared" si="106"/>
        <v>54</v>
      </c>
      <c r="W459" s="158">
        <f t="shared" ref="W459:W522" si="114">J459</f>
        <v>1579.75</v>
      </c>
      <c r="X459" s="127">
        <f t="shared" si="110"/>
        <v>0</v>
      </c>
      <c r="Y459" s="127">
        <f t="shared" si="112"/>
        <v>54</v>
      </c>
      <c r="Z459" s="127">
        <f t="shared" si="108"/>
        <v>0</v>
      </c>
      <c r="AA459" s="127">
        <f t="shared" si="111"/>
        <v>85306.5</v>
      </c>
      <c r="AB459" s="27"/>
      <c r="AC459" s="324"/>
      <c r="AD459" s="200">
        <f t="shared" si="113"/>
        <v>54</v>
      </c>
      <c r="AE459" s="181">
        <f t="shared" si="109"/>
        <v>85306.5</v>
      </c>
      <c r="AF459" s="181">
        <v>2</v>
      </c>
      <c r="AG459" s="181">
        <v>2</v>
      </c>
      <c r="AH459" s="363"/>
      <c r="AI459" s="192">
        <v>54</v>
      </c>
      <c r="AJ459" s="188">
        <v>54</v>
      </c>
      <c r="AN459" s="70"/>
      <c r="AO459" s="367"/>
      <c r="AP459" s="367"/>
      <c r="AQ459" s="367"/>
    </row>
    <row r="460" spans="1:43" ht="39" x14ac:dyDescent="0.3">
      <c r="A460" s="207" t="s">
        <v>3100</v>
      </c>
      <c r="B460" s="208" t="s">
        <v>3101</v>
      </c>
      <c r="C460" s="204" t="s">
        <v>97</v>
      </c>
      <c r="D460" s="171"/>
      <c r="E460" s="158"/>
      <c r="F460" s="159"/>
      <c r="G460" s="219">
        <v>519.5</v>
      </c>
      <c r="H460" s="159"/>
      <c r="I460" s="159"/>
      <c r="J460" s="158">
        <v>209.97</v>
      </c>
      <c r="K460" s="159">
        <v>109079.42</v>
      </c>
      <c r="L460" s="172"/>
      <c r="N460" s="46">
        <v>519.5</v>
      </c>
      <c r="O460" s="46">
        <v>0</v>
      </c>
      <c r="P460" s="46">
        <v>109079.42</v>
      </c>
      <c r="Q460" s="98"/>
      <c r="R460" s="23" t="s">
        <v>1374</v>
      </c>
      <c r="S460" s="24" t="s">
        <v>3101</v>
      </c>
      <c r="T460" s="25" t="s">
        <v>97</v>
      </c>
      <c r="U460" s="26"/>
      <c r="V460" s="26">
        <f t="shared" si="106"/>
        <v>519.5</v>
      </c>
      <c r="W460" s="158">
        <f t="shared" si="114"/>
        <v>209.97</v>
      </c>
      <c r="X460" s="127">
        <f t="shared" si="110"/>
        <v>0</v>
      </c>
      <c r="Y460" s="127">
        <f t="shared" si="112"/>
        <v>519.5</v>
      </c>
      <c r="Z460" s="127">
        <f t="shared" si="108"/>
        <v>0</v>
      </c>
      <c r="AA460" s="127">
        <f t="shared" si="111"/>
        <v>109079.42</v>
      </c>
      <c r="AB460" s="27"/>
      <c r="AC460" s="324"/>
      <c r="AD460" s="200">
        <f t="shared" si="113"/>
        <v>519.5</v>
      </c>
      <c r="AE460" s="181">
        <f t="shared" si="109"/>
        <v>109079.42</v>
      </c>
      <c r="AF460" s="181">
        <v>2</v>
      </c>
      <c r="AG460" s="181">
        <v>2</v>
      </c>
      <c r="AH460" s="363"/>
      <c r="AI460" s="192">
        <v>519.5</v>
      </c>
      <c r="AJ460" s="188">
        <v>519.5</v>
      </c>
      <c r="AN460" s="70"/>
      <c r="AO460" s="367"/>
      <c r="AP460" s="367"/>
      <c r="AQ460" s="367"/>
    </row>
    <row r="461" spans="1:43" ht="66" x14ac:dyDescent="0.3">
      <c r="A461" s="207" t="s">
        <v>3102</v>
      </c>
      <c r="B461" s="241" t="s">
        <v>3103</v>
      </c>
      <c r="C461" s="204" t="s">
        <v>66</v>
      </c>
      <c r="D461" s="171"/>
      <c r="E461" s="158"/>
      <c r="F461" s="159"/>
      <c r="G461" s="159">
        <v>5</v>
      </c>
      <c r="H461" s="159"/>
      <c r="I461" s="159"/>
      <c r="J461" s="158">
        <v>10798.3</v>
      </c>
      <c r="K461" s="159">
        <v>53991.5</v>
      </c>
      <c r="L461" s="172"/>
      <c r="N461" s="46">
        <v>5</v>
      </c>
      <c r="O461" s="46">
        <v>0</v>
      </c>
      <c r="P461" s="46">
        <v>53991.5</v>
      </c>
      <c r="Q461" s="98"/>
      <c r="R461" s="23" t="s">
        <v>1376</v>
      </c>
      <c r="S461" s="24" t="s">
        <v>3103</v>
      </c>
      <c r="T461" s="25" t="s">
        <v>66</v>
      </c>
      <c r="U461" s="26"/>
      <c r="V461" s="26">
        <f t="shared" si="106"/>
        <v>5</v>
      </c>
      <c r="W461" s="158">
        <f t="shared" si="114"/>
        <v>10798.3</v>
      </c>
      <c r="X461" s="127">
        <f t="shared" si="110"/>
        <v>0</v>
      </c>
      <c r="Y461" s="127">
        <f t="shared" si="112"/>
        <v>5</v>
      </c>
      <c r="Z461" s="127">
        <f t="shared" si="108"/>
        <v>0</v>
      </c>
      <c r="AA461" s="127">
        <f t="shared" si="111"/>
        <v>53991.5</v>
      </c>
      <c r="AB461" s="27"/>
      <c r="AC461" s="324"/>
      <c r="AD461" s="200">
        <f t="shared" si="113"/>
        <v>5</v>
      </c>
      <c r="AE461" s="181">
        <f t="shared" si="109"/>
        <v>53991.5</v>
      </c>
      <c r="AF461" s="181">
        <v>2</v>
      </c>
      <c r="AG461" s="181">
        <v>2</v>
      </c>
      <c r="AH461" s="363"/>
      <c r="AI461" s="192">
        <v>5</v>
      </c>
      <c r="AJ461" s="188">
        <v>5</v>
      </c>
      <c r="AN461" s="70"/>
      <c r="AO461" s="367"/>
      <c r="AP461" s="367"/>
      <c r="AQ461" s="367"/>
    </row>
    <row r="462" spans="1:43" ht="66" x14ac:dyDescent="0.3">
      <c r="A462" s="207" t="s">
        <v>3104</v>
      </c>
      <c r="B462" s="241" t="s">
        <v>3105</v>
      </c>
      <c r="C462" s="204" t="s">
        <v>66</v>
      </c>
      <c r="D462" s="171"/>
      <c r="E462" s="158"/>
      <c r="F462" s="159"/>
      <c r="G462" s="159">
        <v>6</v>
      </c>
      <c r="H462" s="159"/>
      <c r="I462" s="159"/>
      <c r="J462" s="158">
        <v>7248.86</v>
      </c>
      <c r="K462" s="159">
        <v>43493.16</v>
      </c>
      <c r="L462" s="172"/>
      <c r="N462" s="46">
        <v>6</v>
      </c>
      <c r="O462" s="46">
        <v>0</v>
      </c>
      <c r="P462" s="46">
        <v>43493.16</v>
      </c>
      <c r="Q462" s="98"/>
      <c r="R462" s="23" t="s">
        <v>1378</v>
      </c>
      <c r="S462" s="24" t="s">
        <v>3105</v>
      </c>
      <c r="T462" s="25" t="s">
        <v>66</v>
      </c>
      <c r="U462" s="26"/>
      <c r="V462" s="26">
        <f t="shared" si="106"/>
        <v>6</v>
      </c>
      <c r="W462" s="158">
        <f t="shared" si="114"/>
        <v>7248.86</v>
      </c>
      <c r="X462" s="127">
        <f t="shared" si="110"/>
        <v>0</v>
      </c>
      <c r="Y462" s="127">
        <f t="shared" si="112"/>
        <v>6</v>
      </c>
      <c r="Z462" s="127">
        <f t="shared" si="108"/>
        <v>0</v>
      </c>
      <c r="AA462" s="127">
        <f t="shared" si="111"/>
        <v>43493.16</v>
      </c>
      <c r="AB462" s="27"/>
      <c r="AC462" s="324"/>
      <c r="AD462" s="200">
        <f t="shared" si="113"/>
        <v>6</v>
      </c>
      <c r="AE462" s="181">
        <f t="shared" si="109"/>
        <v>43493.16</v>
      </c>
      <c r="AF462" s="181">
        <v>2</v>
      </c>
      <c r="AG462" s="181">
        <v>2</v>
      </c>
      <c r="AH462" s="363"/>
      <c r="AI462" s="192">
        <v>6</v>
      </c>
      <c r="AJ462" s="188">
        <v>6</v>
      </c>
      <c r="AN462" s="70"/>
      <c r="AO462" s="367"/>
      <c r="AP462" s="367"/>
      <c r="AQ462" s="367"/>
    </row>
    <row r="463" spans="1:43" ht="25.5" customHeight="1" x14ac:dyDescent="0.3">
      <c r="A463" s="233">
        <v>2.29</v>
      </c>
      <c r="B463" s="180" t="s">
        <v>3294</v>
      </c>
      <c r="C463" s="58" t="s">
        <v>97</v>
      </c>
      <c r="D463" s="230"/>
      <c r="E463" s="230"/>
      <c r="F463" s="59"/>
      <c r="G463" s="59"/>
      <c r="H463" s="59">
        <v>320</v>
      </c>
      <c r="I463" s="330">
        <v>656</v>
      </c>
      <c r="J463" s="230">
        <v>280</v>
      </c>
      <c r="K463" s="59">
        <v>183680</v>
      </c>
      <c r="L463" s="234"/>
      <c r="N463" s="46">
        <v>0</v>
      </c>
      <c r="O463" s="46">
        <v>0</v>
      </c>
      <c r="P463" s="46">
        <v>0</v>
      </c>
      <c r="Q463" s="98"/>
      <c r="R463" s="23">
        <v>29</v>
      </c>
      <c r="S463" s="24" t="s">
        <v>1527</v>
      </c>
      <c r="T463" s="25" t="s">
        <v>97</v>
      </c>
      <c r="U463" s="26"/>
      <c r="V463" s="26">
        <f t="shared" si="106"/>
        <v>656</v>
      </c>
      <c r="W463" s="158">
        <f t="shared" si="114"/>
        <v>280</v>
      </c>
      <c r="X463" s="26">
        <f t="shared" si="110"/>
        <v>0</v>
      </c>
      <c r="Y463" s="26">
        <f t="shared" si="112"/>
        <v>0</v>
      </c>
      <c r="Z463" s="26">
        <f t="shared" si="108"/>
        <v>0</v>
      </c>
      <c r="AA463" s="26">
        <f t="shared" si="111"/>
        <v>0</v>
      </c>
      <c r="AB463" s="27"/>
      <c r="AC463" s="324"/>
      <c r="AD463" s="200">
        <f t="shared" si="113"/>
        <v>656</v>
      </c>
      <c r="AE463" s="181">
        <f t="shared" si="109"/>
        <v>183680</v>
      </c>
      <c r="AF463" s="200">
        <v>2</v>
      </c>
      <c r="AG463" s="181">
        <v>2</v>
      </c>
      <c r="AH463" s="363"/>
      <c r="AI463" s="192">
        <v>0</v>
      </c>
      <c r="AJ463" s="190">
        <v>656</v>
      </c>
      <c r="AN463" s="69"/>
      <c r="AO463" s="367"/>
      <c r="AP463" s="367"/>
      <c r="AQ463" s="367"/>
    </row>
    <row r="464" spans="1:43" s="69" customFormat="1" ht="33" customHeight="1" x14ac:dyDescent="0.3">
      <c r="A464" s="150" t="s">
        <v>1039</v>
      </c>
      <c r="B464" s="151" t="s">
        <v>1040</v>
      </c>
      <c r="C464" s="152" t="s">
        <v>14</v>
      </c>
      <c r="D464" s="153">
        <v>1</v>
      </c>
      <c r="E464" s="153"/>
      <c r="F464" s="153"/>
      <c r="G464" s="153"/>
      <c r="H464" s="153"/>
      <c r="I464" s="153"/>
      <c r="J464" s="153">
        <v>3727423.71</v>
      </c>
      <c r="K464" s="153">
        <v>3727423.71</v>
      </c>
      <c r="L464" s="154" t="s">
        <v>15</v>
      </c>
      <c r="M464" s="73"/>
      <c r="N464" s="42">
        <v>1</v>
      </c>
      <c r="O464" s="42">
        <v>138550</v>
      </c>
      <c r="P464" s="42">
        <v>2746823.7099999995</v>
      </c>
      <c r="Q464" s="98"/>
      <c r="R464" s="13" t="s">
        <v>1407</v>
      </c>
      <c r="S464" s="14" t="s">
        <v>1040</v>
      </c>
      <c r="T464" s="15" t="s">
        <v>14</v>
      </c>
      <c r="U464" s="16">
        <v>1</v>
      </c>
      <c r="V464" s="16"/>
      <c r="W464" s="16">
        <f t="shared" si="114"/>
        <v>3727423.71</v>
      </c>
      <c r="X464" s="16">
        <f t="shared" ref="X464:Y464" si="115">IF(Z464=0,0,1)</f>
        <v>0</v>
      </c>
      <c r="Y464" s="16">
        <f t="shared" si="115"/>
        <v>1</v>
      </c>
      <c r="Z464" s="16">
        <f>SUMIFS(Z:Z,AG:AG,AF464)</f>
        <v>0</v>
      </c>
      <c r="AA464" s="16">
        <f>SUMIFS(AA:AA,AG:AG,AF464)</f>
        <v>2746823.7099999995</v>
      </c>
      <c r="AB464" s="17" t="s">
        <v>15</v>
      </c>
      <c r="AC464" s="232"/>
      <c r="AD464" s="181">
        <f t="shared" si="113"/>
        <v>1</v>
      </c>
      <c r="AE464" s="183"/>
      <c r="AF464" s="183">
        <v>3</v>
      </c>
      <c r="AG464" s="183"/>
      <c r="AH464" s="363" t="str">
        <f t="shared" si="81"/>
        <v/>
      </c>
      <c r="AI464" s="192">
        <v>1</v>
      </c>
      <c r="AJ464" s="188">
        <v>1</v>
      </c>
      <c r="AO464" s="367"/>
      <c r="AP464" s="367"/>
      <c r="AQ464" s="367"/>
    </row>
    <row r="465" spans="1:43" s="69" customFormat="1" ht="82.5" x14ac:dyDescent="0.3">
      <c r="A465" s="130" t="s">
        <v>1041</v>
      </c>
      <c r="B465" s="240" t="s">
        <v>1042</v>
      </c>
      <c r="C465" s="132" t="s">
        <v>162</v>
      </c>
      <c r="D465" s="133">
        <v>340</v>
      </c>
      <c r="E465" s="75"/>
      <c r="F465" s="75"/>
      <c r="G465" s="75"/>
      <c r="H465" s="75"/>
      <c r="I465" s="75"/>
      <c r="J465" s="75">
        <v>300</v>
      </c>
      <c r="K465" s="75">
        <v>102000</v>
      </c>
      <c r="L465" s="91" t="s">
        <v>1043</v>
      </c>
      <c r="M465" s="73"/>
      <c r="N465" s="46">
        <v>340</v>
      </c>
      <c r="O465" s="46">
        <v>36300</v>
      </c>
      <c r="P465" s="46">
        <v>102000</v>
      </c>
      <c r="Q465" s="98"/>
      <c r="R465" s="23" t="s">
        <v>1421</v>
      </c>
      <c r="S465" s="24" t="s">
        <v>1042</v>
      </c>
      <c r="T465" s="25" t="s">
        <v>162</v>
      </c>
      <c r="U465" s="26">
        <v>340</v>
      </c>
      <c r="V465" s="26">
        <f t="shared" ref="V465:V503" si="116">IF(I465&gt;0,I465,IF(H465&gt;0,H465,IF(G465&gt;0,G465,IF(F465&gt;0,F465,IF(E465&gt;0,E465,D465)))))</f>
        <v>340</v>
      </c>
      <c r="W465" s="26">
        <f t="shared" si="114"/>
        <v>300</v>
      </c>
      <c r="X465" s="128">
        <f t="shared" ref="X465:X503" si="117">AI465-N465</f>
        <v>0</v>
      </c>
      <c r="Y465" s="127">
        <f t="shared" si="107"/>
        <v>340</v>
      </c>
      <c r="Z465" s="127">
        <f t="shared" ref="Z465:Z503" si="118">AA465-P465</f>
        <v>0</v>
      </c>
      <c r="AA465" s="127">
        <f t="shared" ref="AA465:AA503" si="119">ROUND(W465*Y465,2)</f>
        <v>102000</v>
      </c>
      <c r="AB465" s="33" t="s">
        <v>15</v>
      </c>
      <c r="AC465" s="324"/>
      <c r="AD465" s="181">
        <f t="shared" si="113"/>
        <v>340</v>
      </c>
      <c r="AE465" s="181">
        <f t="shared" ref="AE465:AE503" si="120">ROUND(W465*AD465,2)</f>
        <v>102000</v>
      </c>
      <c r="AF465" s="181">
        <v>3</v>
      </c>
      <c r="AG465" s="181">
        <v>3</v>
      </c>
      <c r="AH465" s="363" t="str">
        <f t="shared" si="81"/>
        <v/>
      </c>
      <c r="AI465" s="194">
        <v>340</v>
      </c>
      <c r="AJ465" s="188">
        <v>340</v>
      </c>
      <c r="AM465" s="69">
        <v>0</v>
      </c>
      <c r="AO465" s="367"/>
      <c r="AP465" s="367"/>
      <c r="AQ465" s="367"/>
    </row>
    <row r="466" spans="1:43" s="69" customFormat="1" ht="66" x14ac:dyDescent="0.3">
      <c r="A466" s="130" t="s">
        <v>1044</v>
      </c>
      <c r="B466" s="240" t="s">
        <v>1045</v>
      </c>
      <c r="C466" s="132" t="s">
        <v>325</v>
      </c>
      <c r="D466" s="133">
        <v>68</v>
      </c>
      <c r="E466" s="75"/>
      <c r="F466" s="75"/>
      <c r="G466" s="75"/>
      <c r="H466" s="75"/>
      <c r="I466" s="75"/>
      <c r="J466" s="75">
        <v>3000</v>
      </c>
      <c r="K466" s="75">
        <v>204000</v>
      </c>
      <c r="L466" s="91" t="s">
        <v>1046</v>
      </c>
      <c r="M466" s="73"/>
      <c r="N466" s="46">
        <v>68</v>
      </c>
      <c r="O466" s="46">
        <v>48000</v>
      </c>
      <c r="P466" s="46">
        <v>204000</v>
      </c>
      <c r="Q466" s="98"/>
      <c r="R466" s="23" t="s">
        <v>1426</v>
      </c>
      <c r="S466" s="24" t="s">
        <v>1045</v>
      </c>
      <c r="T466" s="25" t="s">
        <v>325</v>
      </c>
      <c r="U466" s="26">
        <v>68</v>
      </c>
      <c r="V466" s="26">
        <f t="shared" si="116"/>
        <v>68</v>
      </c>
      <c r="W466" s="26">
        <f t="shared" si="114"/>
        <v>3000</v>
      </c>
      <c r="X466" s="128">
        <f t="shared" si="117"/>
        <v>0</v>
      </c>
      <c r="Y466" s="127">
        <f t="shared" si="107"/>
        <v>68</v>
      </c>
      <c r="Z466" s="127">
        <f t="shared" si="118"/>
        <v>0</v>
      </c>
      <c r="AA466" s="127">
        <f t="shared" si="119"/>
        <v>204000</v>
      </c>
      <c r="AB466" s="33" t="s">
        <v>15</v>
      </c>
      <c r="AC466" s="324"/>
      <c r="AD466" s="181">
        <f t="shared" si="113"/>
        <v>68</v>
      </c>
      <c r="AE466" s="181">
        <f t="shared" si="120"/>
        <v>204000</v>
      </c>
      <c r="AF466" s="181">
        <v>3</v>
      </c>
      <c r="AG466" s="181">
        <v>3</v>
      </c>
      <c r="AH466" s="363" t="str">
        <f t="shared" si="81"/>
        <v/>
      </c>
      <c r="AI466" s="194">
        <v>68</v>
      </c>
      <c r="AJ466" s="188">
        <v>68</v>
      </c>
      <c r="AM466" s="69">
        <v>0</v>
      </c>
      <c r="AO466" s="367"/>
      <c r="AP466" s="367"/>
      <c r="AQ466" s="367"/>
    </row>
    <row r="467" spans="1:43" s="69" customFormat="1" ht="49.5" x14ac:dyDescent="0.3">
      <c r="A467" s="130" t="s">
        <v>1047</v>
      </c>
      <c r="B467" s="240" t="s">
        <v>1048</v>
      </c>
      <c r="C467" s="132" t="s">
        <v>325</v>
      </c>
      <c r="D467" s="133">
        <v>68</v>
      </c>
      <c r="E467" s="75"/>
      <c r="F467" s="75"/>
      <c r="G467" s="75"/>
      <c r="H467" s="75"/>
      <c r="I467" s="75"/>
      <c r="J467" s="75">
        <v>150</v>
      </c>
      <c r="K467" s="75">
        <v>10200</v>
      </c>
      <c r="L467" s="91" t="s">
        <v>1049</v>
      </c>
      <c r="M467" s="73"/>
      <c r="N467" s="46">
        <v>68</v>
      </c>
      <c r="O467" s="46">
        <v>2400</v>
      </c>
      <c r="P467" s="46">
        <v>10200</v>
      </c>
      <c r="Q467" s="98"/>
      <c r="R467" s="23" t="s">
        <v>1402</v>
      </c>
      <c r="S467" s="24" t="s">
        <v>1048</v>
      </c>
      <c r="T467" s="25" t="s">
        <v>325</v>
      </c>
      <c r="U467" s="26">
        <v>68</v>
      </c>
      <c r="V467" s="26">
        <f t="shared" si="116"/>
        <v>68</v>
      </c>
      <c r="W467" s="26">
        <f t="shared" si="114"/>
        <v>150</v>
      </c>
      <c r="X467" s="128">
        <f t="shared" si="117"/>
        <v>0</v>
      </c>
      <c r="Y467" s="127">
        <f t="shared" si="107"/>
        <v>68</v>
      </c>
      <c r="Z467" s="127">
        <f t="shared" si="118"/>
        <v>0</v>
      </c>
      <c r="AA467" s="127">
        <f t="shared" si="119"/>
        <v>10200</v>
      </c>
      <c r="AB467" s="33" t="s">
        <v>15</v>
      </c>
      <c r="AC467" s="324"/>
      <c r="AD467" s="181">
        <f t="shared" si="113"/>
        <v>68</v>
      </c>
      <c r="AE467" s="181">
        <f t="shared" si="120"/>
        <v>10200</v>
      </c>
      <c r="AF467" s="181">
        <v>3</v>
      </c>
      <c r="AG467" s="181">
        <v>3</v>
      </c>
      <c r="AH467" s="363" t="str">
        <f t="shared" si="81"/>
        <v/>
      </c>
      <c r="AI467" s="194">
        <v>68</v>
      </c>
      <c r="AJ467" s="188">
        <v>68</v>
      </c>
      <c r="AM467" s="69">
        <v>0</v>
      </c>
      <c r="AO467" s="367"/>
      <c r="AP467" s="367"/>
      <c r="AQ467" s="367"/>
    </row>
    <row r="468" spans="1:43" s="69" customFormat="1" ht="66" x14ac:dyDescent="0.3">
      <c r="A468" s="55" t="s">
        <v>1050</v>
      </c>
      <c r="B468" s="138" t="s">
        <v>1051</v>
      </c>
      <c r="C468" s="54" t="s">
        <v>1052</v>
      </c>
      <c r="D468" s="75">
        <v>9</v>
      </c>
      <c r="E468" s="75"/>
      <c r="F468" s="75"/>
      <c r="G468" s="75"/>
      <c r="H468" s="75"/>
      <c r="I468" s="75"/>
      <c r="J468" s="75">
        <v>1200</v>
      </c>
      <c r="K468" s="75">
        <v>10800</v>
      </c>
      <c r="L468" s="91" t="s">
        <v>1053</v>
      </c>
      <c r="M468" s="73"/>
      <c r="N468" s="46">
        <v>3</v>
      </c>
      <c r="O468" s="46">
        <v>0</v>
      </c>
      <c r="P468" s="46">
        <v>3600</v>
      </c>
      <c r="Q468" s="98"/>
      <c r="R468" s="23" t="s">
        <v>1373</v>
      </c>
      <c r="S468" s="24" t="s">
        <v>1051</v>
      </c>
      <c r="T468" s="25" t="s">
        <v>1052</v>
      </c>
      <c r="U468" s="26">
        <v>9</v>
      </c>
      <c r="V468" s="26">
        <f t="shared" si="116"/>
        <v>9</v>
      </c>
      <c r="W468" s="26">
        <f t="shared" si="114"/>
        <v>1200</v>
      </c>
      <c r="X468" s="128">
        <f t="shared" si="117"/>
        <v>0</v>
      </c>
      <c r="Y468" s="26">
        <f t="shared" si="107"/>
        <v>3</v>
      </c>
      <c r="Z468" s="26">
        <f t="shared" si="118"/>
        <v>0</v>
      </c>
      <c r="AA468" s="26">
        <f t="shared" si="119"/>
        <v>3600</v>
      </c>
      <c r="AB468" s="33" t="s">
        <v>15</v>
      </c>
      <c r="AC468" s="324"/>
      <c r="AD468" s="181">
        <f t="shared" si="113"/>
        <v>9</v>
      </c>
      <c r="AE468" s="181">
        <f t="shared" si="120"/>
        <v>10800</v>
      </c>
      <c r="AF468" s="181">
        <v>3</v>
      </c>
      <c r="AG468" s="181">
        <v>3</v>
      </c>
      <c r="AH468" s="363" t="str">
        <f t="shared" si="81"/>
        <v/>
      </c>
      <c r="AI468" s="194">
        <f>3</f>
        <v>3</v>
      </c>
      <c r="AJ468" s="188">
        <v>9</v>
      </c>
      <c r="AM468" s="69">
        <v>0</v>
      </c>
      <c r="AO468" s="367"/>
      <c r="AP468" s="367"/>
      <c r="AQ468" s="367"/>
    </row>
    <row r="469" spans="1:43" s="69" customFormat="1" ht="82.5" x14ac:dyDescent="0.3">
      <c r="A469" s="130" t="s">
        <v>1054</v>
      </c>
      <c r="B469" s="240" t="s">
        <v>3114</v>
      </c>
      <c r="C469" s="132" t="s">
        <v>325</v>
      </c>
      <c r="D469" s="133">
        <v>38</v>
      </c>
      <c r="E469" s="75"/>
      <c r="F469" s="75"/>
      <c r="G469" s="75"/>
      <c r="H469" s="75"/>
      <c r="I469" s="75"/>
      <c r="J469" s="75">
        <v>650</v>
      </c>
      <c r="K469" s="75">
        <v>24700</v>
      </c>
      <c r="L469" s="91" t="s">
        <v>1056</v>
      </c>
      <c r="M469" s="73"/>
      <c r="N469" s="46">
        <v>38</v>
      </c>
      <c r="O469" s="46">
        <v>8450</v>
      </c>
      <c r="P469" s="46">
        <v>24700</v>
      </c>
      <c r="Q469" s="98"/>
      <c r="R469" s="23" t="s">
        <v>1393</v>
      </c>
      <c r="S469" s="24" t="s">
        <v>1055</v>
      </c>
      <c r="T469" s="25" t="s">
        <v>325</v>
      </c>
      <c r="U469" s="26">
        <v>38</v>
      </c>
      <c r="V469" s="26">
        <f t="shared" si="116"/>
        <v>38</v>
      </c>
      <c r="W469" s="26">
        <f t="shared" si="114"/>
        <v>650</v>
      </c>
      <c r="X469" s="128">
        <f t="shared" si="117"/>
        <v>0</v>
      </c>
      <c r="Y469" s="127">
        <f t="shared" si="107"/>
        <v>38</v>
      </c>
      <c r="Z469" s="127">
        <f t="shared" si="118"/>
        <v>0</v>
      </c>
      <c r="AA469" s="127">
        <f t="shared" si="119"/>
        <v>24700</v>
      </c>
      <c r="AB469" s="33" t="s">
        <v>15</v>
      </c>
      <c r="AC469" s="324"/>
      <c r="AD469" s="181">
        <f t="shared" si="113"/>
        <v>38</v>
      </c>
      <c r="AE469" s="181">
        <f t="shared" si="120"/>
        <v>24700</v>
      </c>
      <c r="AF469" s="181">
        <v>3</v>
      </c>
      <c r="AG469" s="181">
        <v>3</v>
      </c>
      <c r="AH469" s="363" t="str">
        <f t="shared" si="81"/>
        <v/>
      </c>
      <c r="AI469" s="194">
        <v>38</v>
      </c>
      <c r="AJ469" s="188">
        <v>38</v>
      </c>
      <c r="AM469" s="69">
        <v>0</v>
      </c>
      <c r="AO469" s="367"/>
      <c r="AP469" s="367"/>
      <c r="AQ469" s="367"/>
    </row>
    <row r="470" spans="1:43" s="69" customFormat="1" ht="66" customHeight="1" x14ac:dyDescent="0.3">
      <c r="A470" s="130" t="s">
        <v>1057</v>
      </c>
      <c r="B470" s="240" t="s">
        <v>3115</v>
      </c>
      <c r="C470" s="132" t="s">
        <v>325</v>
      </c>
      <c r="D470" s="133">
        <v>38</v>
      </c>
      <c r="E470" s="75"/>
      <c r="F470" s="75"/>
      <c r="G470" s="75"/>
      <c r="H470" s="75"/>
      <c r="I470" s="75"/>
      <c r="J470" s="75">
        <v>1300</v>
      </c>
      <c r="K470" s="75">
        <v>49400</v>
      </c>
      <c r="L470" s="91" t="s">
        <v>1059</v>
      </c>
      <c r="M470" s="73"/>
      <c r="N470" s="46">
        <v>38</v>
      </c>
      <c r="O470" s="46">
        <v>16900</v>
      </c>
      <c r="P470" s="46">
        <v>49400</v>
      </c>
      <c r="Q470" s="98"/>
      <c r="R470" s="23" t="s">
        <v>1403</v>
      </c>
      <c r="S470" s="24" t="s">
        <v>1058</v>
      </c>
      <c r="T470" s="25" t="s">
        <v>325</v>
      </c>
      <c r="U470" s="26">
        <v>38</v>
      </c>
      <c r="V470" s="26">
        <f t="shared" si="116"/>
        <v>38</v>
      </c>
      <c r="W470" s="26">
        <f t="shared" si="114"/>
        <v>1300</v>
      </c>
      <c r="X470" s="128">
        <f t="shared" si="117"/>
        <v>0</v>
      </c>
      <c r="Y470" s="127">
        <f t="shared" si="107"/>
        <v>38</v>
      </c>
      <c r="Z470" s="127">
        <f t="shared" si="118"/>
        <v>0</v>
      </c>
      <c r="AA470" s="127">
        <f t="shared" si="119"/>
        <v>49400</v>
      </c>
      <c r="AB470" s="33" t="s">
        <v>15</v>
      </c>
      <c r="AC470" s="324"/>
      <c r="AD470" s="181">
        <f t="shared" si="113"/>
        <v>38</v>
      </c>
      <c r="AE470" s="181">
        <f t="shared" si="120"/>
        <v>49400</v>
      </c>
      <c r="AF470" s="181">
        <v>3</v>
      </c>
      <c r="AG470" s="181">
        <v>3</v>
      </c>
      <c r="AH470" s="363" t="str">
        <f t="shared" ref="AH470:AH534" si="121">IF(Y470&gt;AJ470,"超估","")</f>
        <v/>
      </c>
      <c r="AI470" s="194">
        <v>38</v>
      </c>
      <c r="AJ470" s="188">
        <v>38</v>
      </c>
      <c r="AM470" s="69">
        <v>0</v>
      </c>
      <c r="AO470" s="367"/>
      <c r="AP470" s="367"/>
      <c r="AQ470" s="367"/>
    </row>
    <row r="471" spans="1:43" s="69" customFormat="1" ht="66" customHeight="1" x14ac:dyDescent="0.3">
      <c r="A471" s="55" t="s">
        <v>1060</v>
      </c>
      <c r="B471" s="138" t="s">
        <v>3116</v>
      </c>
      <c r="C471" s="54" t="s">
        <v>325</v>
      </c>
      <c r="D471" s="75">
        <v>7</v>
      </c>
      <c r="E471" s="75"/>
      <c r="F471" s="75"/>
      <c r="G471" s="75"/>
      <c r="H471" s="75"/>
      <c r="I471" s="75"/>
      <c r="J471" s="75">
        <v>3500</v>
      </c>
      <c r="K471" s="75">
        <v>24500</v>
      </c>
      <c r="L471" s="91" t="s">
        <v>1062</v>
      </c>
      <c r="M471" s="73"/>
      <c r="N471" s="46">
        <v>0</v>
      </c>
      <c r="O471" s="46">
        <v>0</v>
      </c>
      <c r="P471" s="46">
        <v>0</v>
      </c>
      <c r="Q471" s="98"/>
      <c r="R471" s="23" t="s">
        <v>1427</v>
      </c>
      <c r="S471" s="24" t="s">
        <v>1061</v>
      </c>
      <c r="T471" s="25" t="s">
        <v>325</v>
      </c>
      <c r="U471" s="26">
        <v>7</v>
      </c>
      <c r="V471" s="26">
        <f t="shared" si="116"/>
        <v>7</v>
      </c>
      <c r="W471" s="26">
        <f t="shared" si="114"/>
        <v>3500</v>
      </c>
      <c r="X471" s="26">
        <f t="shared" si="117"/>
        <v>0</v>
      </c>
      <c r="Y471" s="26">
        <f t="shared" si="107"/>
        <v>0</v>
      </c>
      <c r="Z471" s="26">
        <f t="shared" si="118"/>
        <v>0</v>
      </c>
      <c r="AA471" s="26">
        <f t="shared" si="119"/>
        <v>0</v>
      </c>
      <c r="AB471" s="33" t="s">
        <v>15</v>
      </c>
      <c r="AC471" s="324"/>
      <c r="AD471" s="181">
        <f t="shared" si="113"/>
        <v>7</v>
      </c>
      <c r="AE471" s="181">
        <f t="shared" si="120"/>
        <v>24500</v>
      </c>
      <c r="AF471" s="181">
        <v>3</v>
      </c>
      <c r="AG471" s="181">
        <v>3</v>
      </c>
      <c r="AH471" s="363" t="str">
        <f t="shared" si="121"/>
        <v/>
      </c>
      <c r="AI471" s="192">
        <v>0</v>
      </c>
      <c r="AJ471" s="188">
        <v>7</v>
      </c>
      <c r="AM471" s="69">
        <v>0</v>
      </c>
      <c r="AO471" s="367"/>
      <c r="AP471" s="367"/>
      <c r="AQ471" s="367"/>
    </row>
    <row r="472" spans="1:43" s="69" customFormat="1" ht="66" customHeight="1" x14ac:dyDescent="0.3">
      <c r="A472" s="130" t="s">
        <v>1063</v>
      </c>
      <c r="B472" s="357" t="s">
        <v>1064</v>
      </c>
      <c r="C472" s="132" t="s">
        <v>325</v>
      </c>
      <c r="D472" s="133">
        <v>5</v>
      </c>
      <c r="E472" s="75"/>
      <c r="F472" s="75"/>
      <c r="G472" s="75"/>
      <c r="H472" s="75"/>
      <c r="I472" s="75"/>
      <c r="J472" s="75">
        <v>700</v>
      </c>
      <c r="K472" s="75">
        <v>3500</v>
      </c>
      <c r="L472" s="91" t="s">
        <v>1065</v>
      </c>
      <c r="M472" s="73"/>
      <c r="N472" s="46">
        <v>5</v>
      </c>
      <c r="O472" s="46">
        <v>3500</v>
      </c>
      <c r="P472" s="46">
        <v>3500</v>
      </c>
      <c r="Q472" s="98"/>
      <c r="R472" s="23" t="s">
        <v>1428</v>
      </c>
      <c r="S472" s="24" t="s">
        <v>1064</v>
      </c>
      <c r="T472" s="25" t="s">
        <v>325</v>
      </c>
      <c r="U472" s="26">
        <v>5</v>
      </c>
      <c r="V472" s="26">
        <f t="shared" si="116"/>
        <v>5</v>
      </c>
      <c r="W472" s="26">
        <f t="shared" si="114"/>
        <v>700</v>
      </c>
      <c r="X472" s="26">
        <f t="shared" si="117"/>
        <v>0</v>
      </c>
      <c r="Y472" s="127">
        <f t="shared" si="107"/>
        <v>5</v>
      </c>
      <c r="Z472" s="127">
        <f t="shared" si="118"/>
        <v>0</v>
      </c>
      <c r="AA472" s="127">
        <f t="shared" si="119"/>
        <v>3500</v>
      </c>
      <c r="AB472" s="33" t="s">
        <v>15</v>
      </c>
      <c r="AC472" s="324"/>
      <c r="AD472" s="181">
        <f t="shared" si="113"/>
        <v>5</v>
      </c>
      <c r="AE472" s="181">
        <f t="shared" si="120"/>
        <v>3500</v>
      </c>
      <c r="AF472" s="181">
        <v>3</v>
      </c>
      <c r="AG472" s="181">
        <v>3</v>
      </c>
      <c r="AH472" s="363" t="str">
        <f t="shared" si="121"/>
        <v/>
      </c>
      <c r="AI472" s="192">
        <v>5</v>
      </c>
      <c r="AJ472" s="188">
        <v>5</v>
      </c>
      <c r="AM472" s="69">
        <v>0</v>
      </c>
      <c r="AO472" s="367"/>
      <c r="AP472" s="367"/>
      <c r="AQ472" s="367"/>
    </row>
    <row r="473" spans="1:43" s="69" customFormat="1" ht="57" customHeight="1" x14ac:dyDescent="0.3">
      <c r="A473" s="55" t="s">
        <v>1066</v>
      </c>
      <c r="B473" s="254" t="s">
        <v>1067</v>
      </c>
      <c r="C473" s="54" t="s">
        <v>66</v>
      </c>
      <c r="D473" s="75">
        <v>1</v>
      </c>
      <c r="E473" s="75"/>
      <c r="F473" s="75"/>
      <c r="G473" s="75"/>
      <c r="H473" s="75"/>
      <c r="I473" s="75"/>
      <c r="J473" s="75">
        <v>15000</v>
      </c>
      <c r="K473" s="75">
        <v>15000</v>
      </c>
      <c r="L473" s="91" t="s">
        <v>1068</v>
      </c>
      <c r="M473" s="73"/>
      <c r="N473" s="46">
        <v>0</v>
      </c>
      <c r="O473" s="46">
        <v>0</v>
      </c>
      <c r="P473" s="46">
        <v>0</v>
      </c>
      <c r="Q473" s="98"/>
      <c r="R473" s="23" t="s">
        <v>1387</v>
      </c>
      <c r="S473" s="24" t="s">
        <v>1067</v>
      </c>
      <c r="T473" s="25" t="s">
        <v>66</v>
      </c>
      <c r="U473" s="26">
        <v>1</v>
      </c>
      <c r="V473" s="26">
        <f t="shared" si="116"/>
        <v>1</v>
      </c>
      <c r="W473" s="26">
        <f t="shared" si="114"/>
        <v>15000</v>
      </c>
      <c r="X473" s="26">
        <f t="shared" si="117"/>
        <v>0</v>
      </c>
      <c r="Y473" s="26">
        <f t="shared" si="107"/>
        <v>0</v>
      </c>
      <c r="Z473" s="26">
        <f t="shared" si="118"/>
        <v>0</v>
      </c>
      <c r="AA473" s="26">
        <f t="shared" si="119"/>
        <v>0</v>
      </c>
      <c r="AB473" s="33" t="s">
        <v>15</v>
      </c>
      <c r="AC473" s="324"/>
      <c r="AD473" s="181">
        <f t="shared" si="113"/>
        <v>1</v>
      </c>
      <c r="AE473" s="181">
        <f t="shared" si="120"/>
        <v>15000</v>
      </c>
      <c r="AF473" s="181">
        <v>3</v>
      </c>
      <c r="AG473" s="181">
        <v>3</v>
      </c>
      <c r="AH473" s="363" t="str">
        <f t="shared" si="121"/>
        <v/>
      </c>
      <c r="AI473" s="192">
        <v>0</v>
      </c>
      <c r="AJ473" s="188">
        <v>1</v>
      </c>
      <c r="AM473" s="69">
        <v>0</v>
      </c>
      <c r="AO473" s="367"/>
      <c r="AP473" s="367"/>
      <c r="AQ473" s="367"/>
    </row>
    <row r="474" spans="1:43" s="69" customFormat="1" ht="56.25" customHeight="1" x14ac:dyDescent="0.3">
      <c r="A474" s="55" t="s">
        <v>1069</v>
      </c>
      <c r="B474" s="254" t="s">
        <v>1070</v>
      </c>
      <c r="C474" s="54" t="s">
        <v>325</v>
      </c>
      <c r="D474" s="75">
        <v>1</v>
      </c>
      <c r="E474" s="75"/>
      <c r="F474" s="75"/>
      <c r="G474" s="75"/>
      <c r="H474" s="75"/>
      <c r="I474" s="75"/>
      <c r="J474" s="75">
        <v>6000</v>
      </c>
      <c r="K474" s="75">
        <v>6000</v>
      </c>
      <c r="L474" s="91" t="s">
        <v>1071</v>
      </c>
      <c r="M474" s="73"/>
      <c r="N474" s="46">
        <v>0</v>
      </c>
      <c r="O474" s="46">
        <v>0</v>
      </c>
      <c r="P474" s="46">
        <v>0</v>
      </c>
      <c r="Q474" s="98"/>
      <c r="R474" s="23" t="s">
        <v>1405</v>
      </c>
      <c r="S474" s="24" t="s">
        <v>1070</v>
      </c>
      <c r="T474" s="25" t="s">
        <v>325</v>
      </c>
      <c r="U474" s="26">
        <v>1</v>
      </c>
      <c r="V474" s="26">
        <f t="shared" si="116"/>
        <v>1</v>
      </c>
      <c r="W474" s="26">
        <f t="shared" si="114"/>
        <v>6000</v>
      </c>
      <c r="X474" s="26">
        <f t="shared" si="117"/>
        <v>0</v>
      </c>
      <c r="Y474" s="26">
        <f t="shared" si="107"/>
        <v>0</v>
      </c>
      <c r="Z474" s="26">
        <f t="shared" si="118"/>
        <v>0</v>
      </c>
      <c r="AA474" s="26">
        <f t="shared" si="119"/>
        <v>0</v>
      </c>
      <c r="AB474" s="33" t="s">
        <v>15</v>
      </c>
      <c r="AC474" s="324"/>
      <c r="AD474" s="181">
        <f t="shared" si="113"/>
        <v>1</v>
      </c>
      <c r="AE474" s="181">
        <f t="shared" si="120"/>
        <v>6000</v>
      </c>
      <c r="AF474" s="181">
        <v>3</v>
      </c>
      <c r="AG474" s="181">
        <v>3</v>
      </c>
      <c r="AH474" s="363" t="str">
        <f t="shared" si="121"/>
        <v/>
      </c>
      <c r="AI474" s="192">
        <v>0</v>
      </c>
      <c r="AJ474" s="188">
        <v>1</v>
      </c>
      <c r="AM474" s="69">
        <v>0</v>
      </c>
      <c r="AO474" s="367"/>
      <c r="AP474" s="367"/>
      <c r="AQ474" s="367"/>
    </row>
    <row r="475" spans="1:43" s="69" customFormat="1" ht="92.25" customHeight="1" x14ac:dyDescent="0.3">
      <c r="A475" s="130" t="s">
        <v>1072</v>
      </c>
      <c r="B475" s="357" t="s">
        <v>3295</v>
      </c>
      <c r="C475" s="132" t="s">
        <v>325</v>
      </c>
      <c r="D475" s="133">
        <v>1</v>
      </c>
      <c r="E475" s="75"/>
      <c r="F475" s="75"/>
      <c r="G475" s="75"/>
      <c r="H475" s="75"/>
      <c r="I475" s="75"/>
      <c r="J475" s="75">
        <v>49500</v>
      </c>
      <c r="K475" s="75">
        <v>49500</v>
      </c>
      <c r="L475" s="91" t="s">
        <v>1074</v>
      </c>
      <c r="M475" s="73"/>
      <c r="N475" s="46">
        <v>1</v>
      </c>
      <c r="O475" s="46">
        <v>0</v>
      </c>
      <c r="P475" s="46">
        <v>49500</v>
      </c>
      <c r="Q475" s="98"/>
      <c r="R475" s="23" t="s">
        <v>1406</v>
      </c>
      <c r="S475" s="24" t="s">
        <v>1073</v>
      </c>
      <c r="T475" s="25" t="s">
        <v>325</v>
      </c>
      <c r="U475" s="26">
        <v>1</v>
      </c>
      <c r="V475" s="26">
        <f t="shared" si="116"/>
        <v>1</v>
      </c>
      <c r="W475" s="26">
        <f t="shared" si="114"/>
        <v>49500</v>
      </c>
      <c r="X475" s="127">
        <f t="shared" si="117"/>
        <v>0</v>
      </c>
      <c r="Y475" s="127">
        <f t="shared" si="107"/>
        <v>1</v>
      </c>
      <c r="Z475" s="127">
        <f t="shared" si="118"/>
        <v>0</v>
      </c>
      <c r="AA475" s="127">
        <f t="shared" si="119"/>
        <v>49500</v>
      </c>
      <c r="AB475" s="33" t="s">
        <v>15</v>
      </c>
      <c r="AC475" s="324"/>
      <c r="AD475" s="181">
        <f t="shared" si="113"/>
        <v>1</v>
      </c>
      <c r="AE475" s="181">
        <f t="shared" si="120"/>
        <v>49500</v>
      </c>
      <c r="AF475" s="181">
        <v>3</v>
      </c>
      <c r="AG475" s="181">
        <v>3</v>
      </c>
      <c r="AH475" s="363" t="str">
        <f t="shared" si="121"/>
        <v/>
      </c>
      <c r="AI475" s="194">
        <v>1</v>
      </c>
      <c r="AJ475" s="188">
        <v>1</v>
      </c>
      <c r="AM475" s="69">
        <v>0</v>
      </c>
      <c r="AO475" s="367"/>
      <c r="AP475" s="367"/>
      <c r="AQ475" s="367"/>
    </row>
    <row r="476" spans="1:43" s="69" customFormat="1" ht="66" customHeight="1" x14ac:dyDescent="0.3">
      <c r="A476" s="55" t="s">
        <v>1075</v>
      </c>
      <c r="B476" s="138" t="s">
        <v>3118</v>
      </c>
      <c r="C476" s="54" t="s">
        <v>325</v>
      </c>
      <c r="D476" s="75">
        <v>8</v>
      </c>
      <c r="E476" s="75"/>
      <c r="F476" s="75"/>
      <c r="G476" s="75"/>
      <c r="H476" s="75"/>
      <c r="I476" s="75"/>
      <c r="J476" s="75">
        <v>3000</v>
      </c>
      <c r="K476" s="75">
        <v>24000</v>
      </c>
      <c r="L476" s="91" t="s">
        <v>1077</v>
      </c>
      <c r="M476" s="73"/>
      <c r="N476" s="46">
        <v>3</v>
      </c>
      <c r="O476" s="46">
        <v>9000</v>
      </c>
      <c r="P476" s="46">
        <v>9000</v>
      </c>
      <c r="Q476" s="98"/>
      <c r="R476" s="23" t="s">
        <v>1414</v>
      </c>
      <c r="S476" s="24" t="s">
        <v>1076</v>
      </c>
      <c r="T476" s="25" t="s">
        <v>325</v>
      </c>
      <c r="U476" s="26">
        <v>8</v>
      </c>
      <c r="V476" s="26">
        <f t="shared" si="116"/>
        <v>8</v>
      </c>
      <c r="W476" s="26">
        <f t="shared" si="114"/>
        <v>3000</v>
      </c>
      <c r="X476" s="26">
        <f t="shared" si="117"/>
        <v>0</v>
      </c>
      <c r="Y476" s="26">
        <f t="shared" si="107"/>
        <v>3</v>
      </c>
      <c r="Z476" s="26">
        <f t="shared" si="118"/>
        <v>0</v>
      </c>
      <c r="AA476" s="26">
        <f t="shared" si="119"/>
        <v>9000</v>
      </c>
      <c r="AB476" s="33" t="s">
        <v>15</v>
      </c>
      <c r="AC476" s="324"/>
      <c r="AD476" s="181">
        <f t="shared" si="113"/>
        <v>8</v>
      </c>
      <c r="AE476" s="181">
        <f t="shared" si="120"/>
        <v>24000</v>
      </c>
      <c r="AF476" s="181">
        <v>3</v>
      </c>
      <c r="AG476" s="181">
        <v>3</v>
      </c>
      <c r="AH476" s="363" t="str">
        <f t="shared" si="121"/>
        <v/>
      </c>
      <c r="AI476" s="192">
        <v>3</v>
      </c>
      <c r="AJ476" s="188">
        <v>8</v>
      </c>
      <c r="AM476" s="69">
        <v>0</v>
      </c>
      <c r="AO476" s="367"/>
      <c r="AP476" s="367"/>
      <c r="AQ476" s="367"/>
    </row>
    <row r="477" spans="1:43" s="69" customFormat="1" ht="33" customHeight="1" x14ac:dyDescent="0.3">
      <c r="A477" s="130" t="s">
        <v>1078</v>
      </c>
      <c r="B477" s="240" t="s">
        <v>1079</v>
      </c>
      <c r="C477" s="132" t="s">
        <v>66</v>
      </c>
      <c r="D477" s="133">
        <v>75</v>
      </c>
      <c r="E477" s="75"/>
      <c r="F477" s="75"/>
      <c r="G477" s="75"/>
      <c r="H477" s="75"/>
      <c r="I477" s="75"/>
      <c r="J477" s="75">
        <v>12000</v>
      </c>
      <c r="K477" s="75">
        <v>900000</v>
      </c>
      <c r="L477" s="91" t="s">
        <v>1080</v>
      </c>
      <c r="M477" s="73"/>
      <c r="N477" s="46">
        <v>75</v>
      </c>
      <c r="O477" s="46">
        <v>0</v>
      </c>
      <c r="P477" s="46">
        <v>900000</v>
      </c>
      <c r="Q477" s="98"/>
      <c r="R477" s="23" t="s">
        <v>1429</v>
      </c>
      <c r="S477" s="24" t="s">
        <v>1079</v>
      </c>
      <c r="T477" s="25" t="s">
        <v>66</v>
      </c>
      <c r="U477" s="26">
        <v>75</v>
      </c>
      <c r="V477" s="26">
        <f t="shared" si="116"/>
        <v>75</v>
      </c>
      <c r="W477" s="26">
        <f t="shared" si="114"/>
        <v>12000</v>
      </c>
      <c r="X477" s="127">
        <f t="shared" si="117"/>
        <v>0</v>
      </c>
      <c r="Y477" s="127">
        <f t="shared" si="107"/>
        <v>75</v>
      </c>
      <c r="Z477" s="127">
        <f t="shared" si="118"/>
        <v>0</v>
      </c>
      <c r="AA477" s="127">
        <f t="shared" si="119"/>
        <v>900000</v>
      </c>
      <c r="AB477" s="33" t="s">
        <v>15</v>
      </c>
      <c r="AC477" s="324"/>
      <c r="AD477" s="181">
        <f t="shared" si="113"/>
        <v>75</v>
      </c>
      <c r="AE477" s="181">
        <f t="shared" si="120"/>
        <v>900000</v>
      </c>
      <c r="AF477" s="181">
        <v>3</v>
      </c>
      <c r="AG477" s="181">
        <v>3</v>
      </c>
      <c r="AH477" s="363" t="str">
        <f t="shared" si="121"/>
        <v/>
      </c>
      <c r="AI477" s="194">
        <f>50+25</f>
        <v>75</v>
      </c>
      <c r="AJ477" s="188">
        <v>75</v>
      </c>
      <c r="AM477" s="69">
        <v>0</v>
      </c>
      <c r="AO477" s="367"/>
      <c r="AP477" s="367"/>
      <c r="AQ477" s="367"/>
    </row>
    <row r="478" spans="1:43" s="69" customFormat="1" ht="33" customHeight="1" x14ac:dyDescent="0.3">
      <c r="A478" s="130" t="s">
        <v>1081</v>
      </c>
      <c r="B478" s="240" t="s">
        <v>1082</v>
      </c>
      <c r="C478" s="132" t="s">
        <v>1014</v>
      </c>
      <c r="D478" s="133">
        <v>75</v>
      </c>
      <c r="E478" s="75"/>
      <c r="F478" s="75"/>
      <c r="G478" s="75"/>
      <c r="H478" s="75"/>
      <c r="I478" s="75"/>
      <c r="J478" s="75">
        <v>1500</v>
      </c>
      <c r="K478" s="75">
        <v>112500</v>
      </c>
      <c r="L478" s="91" t="s">
        <v>1083</v>
      </c>
      <c r="M478" s="73"/>
      <c r="N478" s="46">
        <v>30</v>
      </c>
      <c r="O478" s="46">
        <v>0</v>
      </c>
      <c r="P478" s="46">
        <v>45000</v>
      </c>
      <c r="Q478" s="98"/>
      <c r="R478" s="23" t="s">
        <v>1430</v>
      </c>
      <c r="S478" s="24" t="s">
        <v>1082</v>
      </c>
      <c r="T478" s="25" t="s">
        <v>1014</v>
      </c>
      <c r="U478" s="26">
        <v>75</v>
      </c>
      <c r="V478" s="26">
        <f t="shared" si="116"/>
        <v>75</v>
      </c>
      <c r="W478" s="26">
        <f t="shared" si="114"/>
        <v>1500</v>
      </c>
      <c r="X478" s="127">
        <f t="shared" si="117"/>
        <v>0</v>
      </c>
      <c r="Y478" s="127">
        <f t="shared" si="107"/>
        <v>30</v>
      </c>
      <c r="Z478" s="127">
        <f t="shared" si="118"/>
        <v>0</v>
      </c>
      <c r="AA478" s="127">
        <f t="shared" si="119"/>
        <v>45000</v>
      </c>
      <c r="AB478" s="33" t="s">
        <v>15</v>
      </c>
      <c r="AC478" s="324"/>
      <c r="AD478" s="181">
        <f t="shared" si="113"/>
        <v>75</v>
      </c>
      <c r="AE478" s="181">
        <f t="shared" si="120"/>
        <v>112500</v>
      </c>
      <c r="AF478" s="181">
        <v>3</v>
      </c>
      <c r="AG478" s="181">
        <v>3</v>
      </c>
      <c r="AH478" s="363" t="str">
        <f t="shared" si="121"/>
        <v/>
      </c>
      <c r="AI478" s="194">
        <f>30</f>
        <v>30</v>
      </c>
      <c r="AJ478" s="188">
        <v>75</v>
      </c>
      <c r="AM478" s="69">
        <v>0</v>
      </c>
      <c r="AO478" s="367"/>
      <c r="AP478" s="367"/>
      <c r="AQ478" s="367"/>
    </row>
    <row r="479" spans="1:43" s="69" customFormat="1" ht="66" customHeight="1" x14ac:dyDescent="0.3">
      <c r="A479" s="130" t="s">
        <v>1084</v>
      </c>
      <c r="B479" s="358" t="s">
        <v>1085</v>
      </c>
      <c r="C479" s="132" t="s">
        <v>325</v>
      </c>
      <c r="D479" s="133">
        <v>1</v>
      </c>
      <c r="E479" s="75"/>
      <c r="F479" s="75"/>
      <c r="G479" s="75"/>
      <c r="H479" s="75"/>
      <c r="I479" s="75"/>
      <c r="J479" s="75">
        <v>12000</v>
      </c>
      <c r="K479" s="75">
        <v>12000</v>
      </c>
      <c r="L479" s="91" t="s">
        <v>1086</v>
      </c>
      <c r="M479" s="73"/>
      <c r="N479" s="46">
        <v>1</v>
      </c>
      <c r="O479" s="46">
        <v>12000</v>
      </c>
      <c r="P479" s="46">
        <v>12000</v>
      </c>
      <c r="Q479" s="98"/>
      <c r="R479" s="23" t="s">
        <v>1431</v>
      </c>
      <c r="S479" s="24" t="s">
        <v>1085</v>
      </c>
      <c r="T479" s="25" t="s">
        <v>325</v>
      </c>
      <c r="U479" s="26">
        <v>1</v>
      </c>
      <c r="V479" s="26">
        <f t="shared" si="116"/>
        <v>1</v>
      </c>
      <c r="W479" s="26">
        <f t="shared" si="114"/>
        <v>12000</v>
      </c>
      <c r="X479" s="26">
        <f t="shared" si="117"/>
        <v>0</v>
      </c>
      <c r="Y479" s="127">
        <f t="shared" si="107"/>
        <v>1</v>
      </c>
      <c r="Z479" s="127">
        <f t="shared" si="118"/>
        <v>0</v>
      </c>
      <c r="AA479" s="127">
        <f t="shared" si="119"/>
        <v>12000</v>
      </c>
      <c r="AB479" s="33" t="s">
        <v>15</v>
      </c>
      <c r="AC479" s="324"/>
      <c r="AD479" s="181">
        <f t="shared" si="113"/>
        <v>1</v>
      </c>
      <c r="AE479" s="181">
        <f t="shared" si="120"/>
        <v>12000</v>
      </c>
      <c r="AF479" s="181">
        <v>3</v>
      </c>
      <c r="AG479" s="181">
        <v>3</v>
      </c>
      <c r="AH479" s="363" t="str">
        <f t="shared" si="121"/>
        <v/>
      </c>
      <c r="AI479" s="192">
        <v>1</v>
      </c>
      <c r="AJ479" s="188">
        <v>1</v>
      </c>
      <c r="AM479" s="69">
        <v>0</v>
      </c>
      <c r="AO479" s="367"/>
      <c r="AP479" s="367"/>
      <c r="AQ479" s="367"/>
    </row>
    <row r="480" spans="1:43" s="69" customFormat="1" ht="49.5" customHeight="1" x14ac:dyDescent="0.3">
      <c r="A480" s="130" t="s">
        <v>1087</v>
      </c>
      <c r="B480" s="240" t="s">
        <v>1088</v>
      </c>
      <c r="C480" s="132" t="s">
        <v>325</v>
      </c>
      <c r="D480" s="133">
        <v>1</v>
      </c>
      <c r="E480" s="75"/>
      <c r="F480" s="75"/>
      <c r="G480" s="75"/>
      <c r="H480" s="75"/>
      <c r="I480" s="75"/>
      <c r="J480" s="75">
        <v>2000</v>
      </c>
      <c r="K480" s="75">
        <v>2000</v>
      </c>
      <c r="L480" s="91" t="s">
        <v>1089</v>
      </c>
      <c r="M480" s="73"/>
      <c r="N480" s="46">
        <v>1</v>
      </c>
      <c r="O480" s="46">
        <v>2000</v>
      </c>
      <c r="P480" s="46">
        <v>2000</v>
      </c>
      <c r="Q480" s="98"/>
      <c r="R480" s="23" t="s">
        <v>1395</v>
      </c>
      <c r="S480" s="24" t="s">
        <v>1088</v>
      </c>
      <c r="T480" s="25" t="s">
        <v>325</v>
      </c>
      <c r="U480" s="26">
        <v>1</v>
      </c>
      <c r="V480" s="26">
        <f t="shared" si="116"/>
        <v>1</v>
      </c>
      <c r="W480" s="26">
        <f t="shared" si="114"/>
        <v>2000</v>
      </c>
      <c r="X480" s="26">
        <f t="shared" si="117"/>
        <v>0</v>
      </c>
      <c r="Y480" s="127">
        <f t="shared" si="107"/>
        <v>1</v>
      </c>
      <c r="Z480" s="127">
        <f t="shared" si="118"/>
        <v>0</v>
      </c>
      <c r="AA480" s="127">
        <f t="shared" si="119"/>
        <v>2000</v>
      </c>
      <c r="AB480" s="33" t="s">
        <v>15</v>
      </c>
      <c r="AC480" s="324"/>
      <c r="AD480" s="181">
        <f t="shared" si="113"/>
        <v>1</v>
      </c>
      <c r="AE480" s="181">
        <f t="shared" si="120"/>
        <v>2000</v>
      </c>
      <c r="AF480" s="181">
        <v>3</v>
      </c>
      <c r="AG480" s="181">
        <v>3</v>
      </c>
      <c r="AH480" s="363" t="str">
        <f t="shared" si="121"/>
        <v/>
      </c>
      <c r="AI480" s="192">
        <v>1</v>
      </c>
      <c r="AJ480" s="188">
        <v>1</v>
      </c>
      <c r="AM480" s="69">
        <v>0</v>
      </c>
      <c r="AO480" s="367"/>
      <c r="AP480" s="367"/>
      <c r="AQ480" s="367"/>
    </row>
    <row r="481" spans="1:43" s="69" customFormat="1" ht="66" customHeight="1" x14ac:dyDescent="0.3">
      <c r="A481" s="55" t="s">
        <v>1090</v>
      </c>
      <c r="B481" s="138" t="s">
        <v>3119</v>
      </c>
      <c r="C481" s="54" t="s">
        <v>325</v>
      </c>
      <c r="D481" s="75">
        <v>14</v>
      </c>
      <c r="E481" s="75"/>
      <c r="F481" s="75"/>
      <c r="G481" s="75"/>
      <c r="H481" s="75"/>
      <c r="I481" s="75"/>
      <c r="J481" s="75">
        <v>3000</v>
      </c>
      <c r="K481" s="75">
        <v>42000</v>
      </c>
      <c r="L481" s="91" t="s">
        <v>1092</v>
      </c>
      <c r="M481" s="73"/>
      <c r="N481" s="46">
        <v>8</v>
      </c>
      <c r="O481" s="46">
        <v>0</v>
      </c>
      <c r="P481" s="46">
        <v>24000</v>
      </c>
      <c r="Q481" s="98"/>
      <c r="R481" s="23" t="s">
        <v>1432</v>
      </c>
      <c r="S481" s="24" t="s">
        <v>1091</v>
      </c>
      <c r="T481" s="25" t="s">
        <v>325</v>
      </c>
      <c r="U481" s="26">
        <v>14</v>
      </c>
      <c r="V481" s="26">
        <f t="shared" si="116"/>
        <v>14</v>
      </c>
      <c r="W481" s="26">
        <f t="shared" si="114"/>
        <v>3000</v>
      </c>
      <c r="X481" s="128">
        <f t="shared" si="117"/>
        <v>0</v>
      </c>
      <c r="Y481" s="26">
        <f t="shared" si="107"/>
        <v>8</v>
      </c>
      <c r="Z481" s="26">
        <f t="shared" si="118"/>
        <v>0</v>
      </c>
      <c r="AA481" s="26">
        <f t="shared" si="119"/>
        <v>24000</v>
      </c>
      <c r="AB481" s="33" t="s">
        <v>15</v>
      </c>
      <c r="AC481" s="324"/>
      <c r="AD481" s="181">
        <f t="shared" si="113"/>
        <v>14</v>
      </c>
      <c r="AE481" s="181">
        <f t="shared" si="120"/>
        <v>42000</v>
      </c>
      <c r="AF481" s="181">
        <v>3</v>
      </c>
      <c r="AG481" s="181">
        <v>3</v>
      </c>
      <c r="AH481" s="363" t="str">
        <f t="shared" si="121"/>
        <v/>
      </c>
      <c r="AI481" s="194">
        <f>8</f>
        <v>8</v>
      </c>
      <c r="AJ481" s="188">
        <v>14</v>
      </c>
      <c r="AM481" s="69">
        <v>0</v>
      </c>
      <c r="AO481" s="367"/>
      <c r="AP481" s="367"/>
      <c r="AQ481" s="367"/>
    </row>
    <row r="482" spans="1:43" s="69" customFormat="1" ht="49.5" customHeight="1" x14ac:dyDescent="0.3">
      <c r="A482" s="130" t="s">
        <v>1093</v>
      </c>
      <c r="B482" s="358" t="s">
        <v>1094</v>
      </c>
      <c r="C482" s="132" t="s">
        <v>325</v>
      </c>
      <c r="D482" s="133">
        <v>3</v>
      </c>
      <c r="E482" s="75"/>
      <c r="F482" s="75"/>
      <c r="G482" s="75"/>
      <c r="H482" s="75"/>
      <c r="I482" s="75"/>
      <c r="J482" s="75">
        <v>1400</v>
      </c>
      <c r="K482" s="75">
        <v>4200</v>
      </c>
      <c r="L482" s="91" t="s">
        <v>1095</v>
      </c>
      <c r="M482" s="73"/>
      <c r="N482" s="46">
        <v>3</v>
      </c>
      <c r="O482" s="46">
        <v>0</v>
      </c>
      <c r="P482" s="46">
        <v>4200</v>
      </c>
      <c r="Q482" s="98"/>
      <c r="R482" s="23" t="s">
        <v>1433</v>
      </c>
      <c r="S482" s="24" t="s">
        <v>1094</v>
      </c>
      <c r="T482" s="25" t="s">
        <v>325</v>
      </c>
      <c r="U482" s="26">
        <v>3</v>
      </c>
      <c r="V482" s="26">
        <f t="shared" si="116"/>
        <v>3</v>
      </c>
      <c r="W482" s="26">
        <f t="shared" si="114"/>
        <v>1400</v>
      </c>
      <c r="X482" s="127">
        <f t="shared" si="117"/>
        <v>0</v>
      </c>
      <c r="Y482" s="127">
        <f t="shared" si="107"/>
        <v>3</v>
      </c>
      <c r="Z482" s="127">
        <f t="shared" si="118"/>
        <v>0</v>
      </c>
      <c r="AA482" s="127">
        <f t="shared" si="119"/>
        <v>4200</v>
      </c>
      <c r="AB482" s="33" t="s">
        <v>15</v>
      </c>
      <c r="AC482" s="324"/>
      <c r="AD482" s="181">
        <f t="shared" si="113"/>
        <v>3</v>
      </c>
      <c r="AE482" s="181">
        <f t="shared" si="120"/>
        <v>4200</v>
      </c>
      <c r="AF482" s="181">
        <v>3</v>
      </c>
      <c r="AG482" s="181">
        <v>3</v>
      </c>
      <c r="AH482" s="363" t="str">
        <f t="shared" si="121"/>
        <v/>
      </c>
      <c r="AI482" s="194">
        <f>3</f>
        <v>3</v>
      </c>
      <c r="AJ482" s="188">
        <v>3</v>
      </c>
      <c r="AM482" s="69">
        <v>0</v>
      </c>
      <c r="AO482" s="367"/>
      <c r="AP482" s="367"/>
      <c r="AQ482" s="367"/>
    </row>
    <row r="483" spans="1:43" s="69" customFormat="1" ht="66" customHeight="1" x14ac:dyDescent="0.3">
      <c r="A483" s="55" t="s">
        <v>1096</v>
      </c>
      <c r="B483" s="138" t="s">
        <v>3140</v>
      </c>
      <c r="C483" s="54" t="s">
        <v>66</v>
      </c>
      <c r="D483" s="75">
        <v>5</v>
      </c>
      <c r="E483" s="75"/>
      <c r="F483" s="75"/>
      <c r="G483" s="75"/>
      <c r="H483" s="75"/>
      <c r="I483" s="75"/>
      <c r="J483" s="75">
        <v>18000</v>
      </c>
      <c r="K483" s="75">
        <v>90000</v>
      </c>
      <c r="L483" s="91" t="s">
        <v>1098</v>
      </c>
      <c r="M483" s="73"/>
      <c r="N483" s="46">
        <v>0</v>
      </c>
      <c r="O483" s="46">
        <v>0</v>
      </c>
      <c r="P483" s="46">
        <v>0</v>
      </c>
      <c r="Q483" s="98"/>
      <c r="R483" s="23" t="s">
        <v>1382</v>
      </c>
      <c r="S483" s="24" t="s">
        <v>1097</v>
      </c>
      <c r="T483" s="25" t="s">
        <v>66</v>
      </c>
      <c r="U483" s="26">
        <v>5</v>
      </c>
      <c r="V483" s="26">
        <f t="shared" si="116"/>
        <v>5</v>
      </c>
      <c r="W483" s="26">
        <f t="shared" si="114"/>
        <v>18000</v>
      </c>
      <c r="X483" s="26">
        <f t="shared" si="117"/>
        <v>0</v>
      </c>
      <c r="Y483" s="26">
        <f t="shared" si="107"/>
        <v>0</v>
      </c>
      <c r="Z483" s="26">
        <f t="shared" si="118"/>
        <v>0</v>
      </c>
      <c r="AA483" s="26">
        <f t="shared" si="119"/>
        <v>0</v>
      </c>
      <c r="AB483" s="33" t="s">
        <v>15</v>
      </c>
      <c r="AC483" s="324"/>
      <c r="AD483" s="181">
        <f t="shared" si="113"/>
        <v>5</v>
      </c>
      <c r="AE483" s="181">
        <f t="shared" si="120"/>
        <v>90000</v>
      </c>
      <c r="AF483" s="181">
        <v>3</v>
      </c>
      <c r="AG483" s="181">
        <v>3</v>
      </c>
      <c r="AH483" s="363" t="str">
        <f t="shared" si="121"/>
        <v/>
      </c>
      <c r="AI483" s="192">
        <v>0</v>
      </c>
      <c r="AJ483" s="188">
        <v>5</v>
      </c>
      <c r="AM483" s="69">
        <v>0</v>
      </c>
      <c r="AO483" s="367"/>
      <c r="AP483" s="367"/>
      <c r="AQ483" s="367"/>
    </row>
    <row r="484" spans="1:43" s="69" customFormat="1" ht="49.5" customHeight="1" x14ac:dyDescent="0.3">
      <c r="A484" s="55" t="s">
        <v>1099</v>
      </c>
      <c r="B484" s="138" t="s">
        <v>1100</v>
      </c>
      <c r="C484" s="54" t="s">
        <v>66</v>
      </c>
      <c r="D484" s="75">
        <v>1</v>
      </c>
      <c r="E484" s="75"/>
      <c r="F484" s="75"/>
      <c r="G484" s="75"/>
      <c r="H484" s="75"/>
      <c r="I484" s="75"/>
      <c r="J484" s="75">
        <v>9000</v>
      </c>
      <c r="K484" s="75">
        <v>9000</v>
      </c>
      <c r="L484" s="91" t="s">
        <v>1101</v>
      </c>
      <c r="M484" s="73"/>
      <c r="N484" s="46">
        <v>0</v>
      </c>
      <c r="O484" s="46">
        <v>0</v>
      </c>
      <c r="P484" s="46">
        <v>0</v>
      </c>
      <c r="Q484" s="98"/>
      <c r="R484" s="23" t="s">
        <v>1434</v>
      </c>
      <c r="S484" s="24" t="s">
        <v>1100</v>
      </c>
      <c r="T484" s="25" t="s">
        <v>66</v>
      </c>
      <c r="U484" s="26">
        <v>1</v>
      </c>
      <c r="V484" s="26">
        <f t="shared" si="116"/>
        <v>1</v>
      </c>
      <c r="W484" s="26">
        <f t="shared" si="114"/>
        <v>9000</v>
      </c>
      <c r="X484" s="26">
        <f t="shared" si="117"/>
        <v>0</v>
      </c>
      <c r="Y484" s="26">
        <f t="shared" si="107"/>
        <v>0</v>
      </c>
      <c r="Z484" s="26">
        <f t="shared" si="118"/>
        <v>0</v>
      </c>
      <c r="AA484" s="26">
        <f t="shared" si="119"/>
        <v>0</v>
      </c>
      <c r="AB484" s="33" t="s">
        <v>15</v>
      </c>
      <c r="AC484" s="324"/>
      <c r="AD484" s="181">
        <f t="shared" si="113"/>
        <v>1</v>
      </c>
      <c r="AE484" s="181">
        <f t="shared" si="120"/>
        <v>9000</v>
      </c>
      <c r="AF484" s="181">
        <v>3</v>
      </c>
      <c r="AG484" s="181">
        <v>3</v>
      </c>
      <c r="AH484" s="363" t="str">
        <f t="shared" si="121"/>
        <v/>
      </c>
      <c r="AI484" s="192">
        <v>0</v>
      </c>
      <c r="AJ484" s="188">
        <v>1</v>
      </c>
      <c r="AM484" s="69">
        <v>0</v>
      </c>
      <c r="AO484" s="367"/>
      <c r="AP484" s="367"/>
      <c r="AQ484" s="367"/>
    </row>
    <row r="485" spans="1:43" s="69" customFormat="1" ht="49.5" customHeight="1" x14ac:dyDescent="0.3">
      <c r="A485" s="55" t="s">
        <v>1102</v>
      </c>
      <c r="B485" s="138" t="s">
        <v>3120</v>
      </c>
      <c r="C485" s="54" t="s">
        <v>325</v>
      </c>
      <c r="D485" s="75">
        <v>3</v>
      </c>
      <c r="E485" s="75"/>
      <c r="F485" s="75"/>
      <c r="G485" s="75"/>
      <c r="H485" s="75"/>
      <c r="I485" s="75"/>
      <c r="J485" s="75">
        <v>6000</v>
      </c>
      <c r="K485" s="75">
        <v>18000</v>
      </c>
      <c r="L485" s="91" t="s">
        <v>1104</v>
      </c>
      <c r="M485" s="73"/>
      <c r="N485" s="46">
        <v>1</v>
      </c>
      <c r="O485" s="46">
        <v>0</v>
      </c>
      <c r="P485" s="46">
        <v>6000</v>
      </c>
      <c r="Q485" s="98"/>
      <c r="R485" s="23" t="s">
        <v>1388</v>
      </c>
      <c r="S485" s="24" t="s">
        <v>1103</v>
      </c>
      <c r="T485" s="25" t="s">
        <v>325</v>
      </c>
      <c r="U485" s="26">
        <v>3</v>
      </c>
      <c r="V485" s="26">
        <f t="shared" si="116"/>
        <v>3</v>
      </c>
      <c r="W485" s="26">
        <f t="shared" si="114"/>
        <v>6000</v>
      </c>
      <c r="X485" s="128">
        <f t="shared" si="117"/>
        <v>0</v>
      </c>
      <c r="Y485" s="26">
        <f t="shared" si="107"/>
        <v>1</v>
      </c>
      <c r="Z485" s="26">
        <f t="shared" si="118"/>
        <v>0</v>
      </c>
      <c r="AA485" s="26">
        <f t="shared" si="119"/>
        <v>6000</v>
      </c>
      <c r="AB485" s="33" t="s">
        <v>15</v>
      </c>
      <c r="AC485" s="324"/>
      <c r="AD485" s="181">
        <f t="shared" si="113"/>
        <v>3</v>
      </c>
      <c r="AE485" s="181">
        <f t="shared" si="120"/>
        <v>18000</v>
      </c>
      <c r="AF485" s="181">
        <v>3</v>
      </c>
      <c r="AG485" s="181">
        <v>3</v>
      </c>
      <c r="AH485" s="363" t="str">
        <f t="shared" si="121"/>
        <v/>
      </c>
      <c r="AI485" s="194">
        <f>1</f>
        <v>1</v>
      </c>
      <c r="AJ485" s="188">
        <v>3</v>
      </c>
      <c r="AM485" s="69">
        <v>0</v>
      </c>
      <c r="AO485" s="367"/>
      <c r="AP485" s="367"/>
      <c r="AQ485" s="367"/>
    </row>
    <row r="486" spans="1:43" s="69" customFormat="1" ht="49.5" customHeight="1" x14ac:dyDescent="0.3">
      <c r="A486" s="130" t="s">
        <v>1105</v>
      </c>
      <c r="B486" s="240" t="s">
        <v>3121</v>
      </c>
      <c r="C486" s="132" t="s">
        <v>66</v>
      </c>
      <c r="D486" s="133">
        <v>1</v>
      </c>
      <c r="E486" s="75"/>
      <c r="F486" s="75"/>
      <c r="G486" s="75"/>
      <c r="H486" s="75"/>
      <c r="I486" s="75"/>
      <c r="J486" s="75">
        <v>2500</v>
      </c>
      <c r="K486" s="75">
        <v>2500</v>
      </c>
      <c r="L486" s="91" t="s">
        <v>1107</v>
      </c>
      <c r="M486" s="73"/>
      <c r="N486" s="46">
        <v>1</v>
      </c>
      <c r="O486" s="46">
        <v>0</v>
      </c>
      <c r="P486" s="46">
        <v>2500</v>
      </c>
      <c r="Q486" s="98"/>
      <c r="R486" s="23" t="s">
        <v>1389</v>
      </c>
      <c r="S486" s="24" t="s">
        <v>1106</v>
      </c>
      <c r="T486" s="25" t="s">
        <v>66</v>
      </c>
      <c r="U486" s="26">
        <v>1</v>
      </c>
      <c r="V486" s="26">
        <f t="shared" si="116"/>
        <v>1</v>
      </c>
      <c r="W486" s="26">
        <f t="shared" si="114"/>
        <v>2500</v>
      </c>
      <c r="X486" s="127">
        <f t="shared" si="117"/>
        <v>0</v>
      </c>
      <c r="Y486" s="127">
        <f t="shared" si="107"/>
        <v>1</v>
      </c>
      <c r="Z486" s="127">
        <f t="shared" si="118"/>
        <v>0</v>
      </c>
      <c r="AA486" s="127">
        <f t="shared" si="119"/>
        <v>2500</v>
      </c>
      <c r="AB486" s="33" t="s">
        <v>15</v>
      </c>
      <c r="AC486" s="324"/>
      <c r="AD486" s="181">
        <f t="shared" si="113"/>
        <v>1</v>
      </c>
      <c r="AE486" s="181">
        <f t="shared" si="120"/>
        <v>2500</v>
      </c>
      <c r="AF486" s="181">
        <v>3</v>
      </c>
      <c r="AG486" s="181">
        <v>3</v>
      </c>
      <c r="AH486" s="363" t="str">
        <f t="shared" si="121"/>
        <v/>
      </c>
      <c r="AI486" s="194">
        <f>1</f>
        <v>1</v>
      </c>
      <c r="AJ486" s="188">
        <v>1</v>
      </c>
      <c r="AM486" s="69">
        <v>0</v>
      </c>
      <c r="AO486" s="367"/>
      <c r="AP486" s="367"/>
      <c r="AQ486" s="367"/>
    </row>
    <row r="487" spans="1:43" s="69" customFormat="1" ht="49.5" customHeight="1" x14ac:dyDescent="0.3">
      <c r="A487" s="130" t="s">
        <v>1108</v>
      </c>
      <c r="B487" s="240" t="s">
        <v>1109</v>
      </c>
      <c r="C487" s="132" t="s">
        <v>66</v>
      </c>
      <c r="D487" s="133">
        <v>1</v>
      </c>
      <c r="E487" s="75"/>
      <c r="F487" s="75"/>
      <c r="G487" s="75"/>
      <c r="H487" s="75"/>
      <c r="I487" s="75"/>
      <c r="J487" s="75">
        <v>2500</v>
      </c>
      <c r="K487" s="75">
        <v>2500</v>
      </c>
      <c r="L487" s="91" t="s">
        <v>1110</v>
      </c>
      <c r="M487" s="73"/>
      <c r="N487" s="46">
        <v>1</v>
      </c>
      <c r="O487" s="46">
        <v>0</v>
      </c>
      <c r="P487" s="46">
        <v>2500</v>
      </c>
      <c r="Q487" s="98"/>
      <c r="R487" s="23" t="s">
        <v>1390</v>
      </c>
      <c r="S487" s="24" t="s">
        <v>1109</v>
      </c>
      <c r="T487" s="25" t="s">
        <v>66</v>
      </c>
      <c r="U487" s="26">
        <v>1</v>
      </c>
      <c r="V487" s="26">
        <f t="shared" si="116"/>
        <v>1</v>
      </c>
      <c r="W487" s="26">
        <f t="shared" si="114"/>
        <v>2500</v>
      </c>
      <c r="X487" s="127">
        <f t="shared" si="117"/>
        <v>0</v>
      </c>
      <c r="Y487" s="127">
        <f t="shared" si="107"/>
        <v>1</v>
      </c>
      <c r="Z487" s="127">
        <f t="shared" si="118"/>
        <v>0</v>
      </c>
      <c r="AA487" s="127">
        <f t="shared" si="119"/>
        <v>2500</v>
      </c>
      <c r="AB487" s="33" t="s">
        <v>15</v>
      </c>
      <c r="AC487" s="324"/>
      <c r="AD487" s="181">
        <f t="shared" si="113"/>
        <v>1</v>
      </c>
      <c r="AE487" s="181">
        <f t="shared" si="120"/>
        <v>2500</v>
      </c>
      <c r="AF487" s="181">
        <v>3</v>
      </c>
      <c r="AG487" s="181">
        <v>3</v>
      </c>
      <c r="AH487" s="363" t="str">
        <f t="shared" si="121"/>
        <v/>
      </c>
      <c r="AI487" s="194">
        <f>1</f>
        <v>1</v>
      </c>
      <c r="AJ487" s="188">
        <v>1</v>
      </c>
      <c r="AM487" s="69">
        <v>0</v>
      </c>
      <c r="AO487" s="367"/>
      <c r="AP487" s="367"/>
      <c r="AQ487" s="367"/>
    </row>
    <row r="488" spans="1:43" s="69" customFormat="1" ht="49.5" customHeight="1" x14ac:dyDescent="0.3">
      <c r="A488" s="55" t="s">
        <v>1111</v>
      </c>
      <c r="B488" s="254" t="s">
        <v>3296</v>
      </c>
      <c r="C488" s="54" t="s">
        <v>325</v>
      </c>
      <c r="D488" s="75">
        <v>4</v>
      </c>
      <c r="E488" s="75"/>
      <c r="F488" s="75"/>
      <c r="G488" s="75"/>
      <c r="H488" s="75"/>
      <c r="I488" s="75"/>
      <c r="J488" s="75">
        <v>3000</v>
      </c>
      <c r="K488" s="75">
        <v>12000</v>
      </c>
      <c r="L488" s="91" t="s">
        <v>1113</v>
      </c>
      <c r="M488" s="73"/>
      <c r="N488" s="46">
        <v>2</v>
      </c>
      <c r="O488" s="46">
        <v>0</v>
      </c>
      <c r="P488" s="46">
        <v>6000</v>
      </c>
      <c r="Q488" s="98"/>
      <c r="R488" s="23" t="s">
        <v>1391</v>
      </c>
      <c r="S488" s="24" t="s">
        <v>1112</v>
      </c>
      <c r="T488" s="25" t="s">
        <v>325</v>
      </c>
      <c r="U488" s="26">
        <v>4</v>
      </c>
      <c r="V488" s="26">
        <f t="shared" si="116"/>
        <v>4</v>
      </c>
      <c r="W488" s="26">
        <f t="shared" si="114"/>
        <v>3000</v>
      </c>
      <c r="X488" s="128">
        <f t="shared" si="117"/>
        <v>0</v>
      </c>
      <c r="Y488" s="26">
        <f t="shared" si="107"/>
        <v>2</v>
      </c>
      <c r="Z488" s="26">
        <f t="shared" si="118"/>
        <v>0</v>
      </c>
      <c r="AA488" s="26">
        <f t="shared" si="119"/>
        <v>6000</v>
      </c>
      <c r="AB488" s="33" t="s">
        <v>15</v>
      </c>
      <c r="AC488" s="324"/>
      <c r="AD488" s="181">
        <f t="shared" si="113"/>
        <v>4</v>
      </c>
      <c r="AE488" s="181">
        <f t="shared" si="120"/>
        <v>12000</v>
      </c>
      <c r="AF488" s="181">
        <v>3</v>
      </c>
      <c r="AG488" s="181">
        <v>3</v>
      </c>
      <c r="AH488" s="363" t="str">
        <f t="shared" si="121"/>
        <v/>
      </c>
      <c r="AI488" s="194">
        <f>2</f>
        <v>2</v>
      </c>
      <c r="AJ488" s="188">
        <v>4</v>
      </c>
      <c r="AM488" s="69">
        <v>0</v>
      </c>
      <c r="AO488" s="367"/>
      <c r="AP488" s="367"/>
      <c r="AQ488" s="367"/>
    </row>
    <row r="489" spans="1:43" s="69" customFormat="1" ht="66" customHeight="1" x14ac:dyDescent="0.3">
      <c r="A489" s="130" t="s">
        <v>1114</v>
      </c>
      <c r="B489" s="240" t="s">
        <v>3123</v>
      </c>
      <c r="C489" s="132" t="s">
        <v>325</v>
      </c>
      <c r="D489" s="133">
        <v>2</v>
      </c>
      <c r="E489" s="75"/>
      <c r="F489" s="75"/>
      <c r="G489" s="75"/>
      <c r="H489" s="75"/>
      <c r="I489" s="75"/>
      <c r="J489" s="75">
        <v>20000</v>
      </c>
      <c r="K489" s="75">
        <v>40000</v>
      </c>
      <c r="L489" s="91" t="s">
        <v>1116</v>
      </c>
      <c r="M489" s="73"/>
      <c r="N489" s="46">
        <v>2</v>
      </c>
      <c r="O489" s="46">
        <v>0</v>
      </c>
      <c r="P489" s="46">
        <v>40000</v>
      </c>
      <c r="Q489" s="98"/>
      <c r="R489" s="23" t="s">
        <v>1436</v>
      </c>
      <c r="S489" s="24" t="s">
        <v>1115</v>
      </c>
      <c r="T489" s="25" t="s">
        <v>325</v>
      </c>
      <c r="U489" s="26">
        <v>2</v>
      </c>
      <c r="V489" s="26">
        <f t="shared" si="116"/>
        <v>2</v>
      </c>
      <c r="W489" s="26">
        <f t="shared" si="114"/>
        <v>20000</v>
      </c>
      <c r="X489" s="127">
        <f t="shared" si="117"/>
        <v>0</v>
      </c>
      <c r="Y489" s="127">
        <f t="shared" si="107"/>
        <v>2</v>
      </c>
      <c r="Z489" s="127">
        <f t="shared" si="118"/>
        <v>0</v>
      </c>
      <c r="AA489" s="127">
        <f t="shared" si="119"/>
        <v>40000</v>
      </c>
      <c r="AB489" s="33" t="s">
        <v>15</v>
      </c>
      <c r="AC489" s="324"/>
      <c r="AD489" s="181">
        <f t="shared" si="113"/>
        <v>2</v>
      </c>
      <c r="AE489" s="181">
        <f t="shared" si="120"/>
        <v>40000</v>
      </c>
      <c r="AF489" s="181">
        <v>3</v>
      </c>
      <c r="AG489" s="181">
        <v>3</v>
      </c>
      <c r="AH489" s="363" t="str">
        <f t="shared" si="121"/>
        <v/>
      </c>
      <c r="AI489" s="194">
        <f>2</f>
        <v>2</v>
      </c>
      <c r="AJ489" s="188">
        <v>2</v>
      </c>
      <c r="AM489" s="69">
        <v>0</v>
      </c>
      <c r="AO489" s="367"/>
      <c r="AP489" s="367"/>
      <c r="AQ489" s="367"/>
    </row>
    <row r="490" spans="1:43" s="69" customFormat="1" ht="49.5" customHeight="1" x14ac:dyDescent="0.3">
      <c r="A490" s="55" t="s">
        <v>1117</v>
      </c>
      <c r="B490" s="254" t="s">
        <v>1118</v>
      </c>
      <c r="C490" s="54" t="s">
        <v>66</v>
      </c>
      <c r="D490" s="75">
        <v>1</v>
      </c>
      <c r="E490" s="75"/>
      <c r="F490" s="75"/>
      <c r="G490" s="75"/>
      <c r="H490" s="75"/>
      <c r="I490" s="75"/>
      <c r="J490" s="75">
        <v>15000</v>
      </c>
      <c r="K490" s="75">
        <v>15000</v>
      </c>
      <c r="L490" s="91" t="s">
        <v>1119</v>
      </c>
      <c r="M490" s="73"/>
      <c r="N490" s="46">
        <v>0</v>
      </c>
      <c r="O490" s="46">
        <v>0</v>
      </c>
      <c r="P490" s="46">
        <v>0</v>
      </c>
      <c r="Q490" s="98"/>
      <c r="R490" s="23" t="s">
        <v>1374</v>
      </c>
      <c r="S490" s="24" t="s">
        <v>1118</v>
      </c>
      <c r="T490" s="25" t="s">
        <v>66</v>
      </c>
      <c r="U490" s="26">
        <v>1</v>
      </c>
      <c r="V490" s="26">
        <f t="shared" si="116"/>
        <v>1</v>
      </c>
      <c r="W490" s="26">
        <f t="shared" si="114"/>
        <v>15000</v>
      </c>
      <c r="X490" s="26">
        <f t="shared" si="117"/>
        <v>0</v>
      </c>
      <c r="Y490" s="26">
        <f t="shared" si="107"/>
        <v>0</v>
      </c>
      <c r="Z490" s="26">
        <f t="shared" si="118"/>
        <v>0</v>
      </c>
      <c r="AA490" s="26">
        <f t="shared" si="119"/>
        <v>0</v>
      </c>
      <c r="AB490" s="33" t="s">
        <v>15</v>
      </c>
      <c r="AC490" s="324"/>
      <c r="AD490" s="181">
        <f t="shared" si="113"/>
        <v>1</v>
      </c>
      <c r="AE490" s="181">
        <f t="shared" si="120"/>
        <v>15000</v>
      </c>
      <c r="AF490" s="181">
        <v>3</v>
      </c>
      <c r="AG490" s="181">
        <v>3</v>
      </c>
      <c r="AH490" s="363" t="str">
        <f t="shared" si="121"/>
        <v/>
      </c>
      <c r="AI490" s="192">
        <v>0</v>
      </c>
      <c r="AJ490" s="188">
        <v>1</v>
      </c>
      <c r="AM490" s="69">
        <v>0</v>
      </c>
      <c r="AO490" s="367"/>
      <c r="AP490" s="367"/>
      <c r="AQ490" s="367"/>
    </row>
    <row r="491" spans="1:43" s="69" customFormat="1" ht="49.5" customHeight="1" x14ac:dyDescent="0.3">
      <c r="A491" s="55" t="s">
        <v>1120</v>
      </c>
      <c r="B491" s="254" t="s">
        <v>3297</v>
      </c>
      <c r="C491" s="54" t="s">
        <v>1122</v>
      </c>
      <c r="D491" s="75">
        <v>3</v>
      </c>
      <c r="E491" s="75"/>
      <c r="F491" s="75"/>
      <c r="G491" s="75"/>
      <c r="H491" s="75"/>
      <c r="I491" s="75"/>
      <c r="J491" s="75">
        <v>1300</v>
      </c>
      <c r="K491" s="75">
        <v>3900</v>
      </c>
      <c r="L491" s="91" t="s">
        <v>1123</v>
      </c>
      <c r="M491" s="73"/>
      <c r="N491" s="46">
        <v>0</v>
      </c>
      <c r="O491" s="46">
        <v>0</v>
      </c>
      <c r="P491" s="46">
        <v>0</v>
      </c>
      <c r="Q491" s="98"/>
      <c r="R491" s="23" t="s">
        <v>1376</v>
      </c>
      <c r="S491" s="24" t="s">
        <v>1121</v>
      </c>
      <c r="T491" s="25" t="s">
        <v>1122</v>
      </c>
      <c r="U491" s="26">
        <v>3</v>
      </c>
      <c r="V491" s="26">
        <f t="shared" si="116"/>
        <v>3</v>
      </c>
      <c r="W491" s="26">
        <f t="shared" si="114"/>
        <v>1300</v>
      </c>
      <c r="X491" s="26">
        <f t="shared" si="117"/>
        <v>0</v>
      </c>
      <c r="Y491" s="26">
        <f t="shared" si="107"/>
        <v>0</v>
      </c>
      <c r="Z491" s="26">
        <f t="shared" si="118"/>
        <v>0</v>
      </c>
      <c r="AA491" s="26">
        <f t="shared" si="119"/>
        <v>0</v>
      </c>
      <c r="AB491" s="33" t="s">
        <v>15</v>
      </c>
      <c r="AC491" s="324"/>
      <c r="AD491" s="181">
        <f t="shared" si="113"/>
        <v>3</v>
      </c>
      <c r="AE491" s="181">
        <f t="shared" si="120"/>
        <v>3900</v>
      </c>
      <c r="AF491" s="181">
        <v>3</v>
      </c>
      <c r="AG491" s="181">
        <v>3</v>
      </c>
      <c r="AH491" s="363" t="str">
        <f t="shared" si="121"/>
        <v/>
      </c>
      <c r="AI491" s="192">
        <v>0</v>
      </c>
      <c r="AJ491" s="188">
        <v>3</v>
      </c>
      <c r="AM491" s="69">
        <v>0</v>
      </c>
      <c r="AO491" s="367"/>
      <c r="AP491" s="367"/>
      <c r="AQ491" s="367"/>
    </row>
    <row r="492" spans="1:43" s="69" customFormat="1" ht="33" customHeight="1" x14ac:dyDescent="0.3">
      <c r="A492" s="55" t="s">
        <v>1124</v>
      </c>
      <c r="B492" s="138" t="s">
        <v>3124</v>
      </c>
      <c r="C492" s="54" t="s">
        <v>1122</v>
      </c>
      <c r="D492" s="75">
        <v>6</v>
      </c>
      <c r="E492" s="75"/>
      <c r="F492" s="75"/>
      <c r="G492" s="75"/>
      <c r="H492" s="75"/>
      <c r="I492" s="75"/>
      <c r="J492" s="75">
        <v>1000</v>
      </c>
      <c r="K492" s="75">
        <v>6000</v>
      </c>
      <c r="L492" s="91" t="s">
        <v>1126</v>
      </c>
      <c r="M492" s="73"/>
      <c r="N492" s="46">
        <v>0</v>
      </c>
      <c r="O492" s="46">
        <v>0</v>
      </c>
      <c r="P492" s="46">
        <v>0</v>
      </c>
      <c r="Q492" s="98"/>
      <c r="R492" s="23" t="s">
        <v>1378</v>
      </c>
      <c r="S492" s="24" t="s">
        <v>1125</v>
      </c>
      <c r="T492" s="25" t="s">
        <v>1122</v>
      </c>
      <c r="U492" s="26">
        <v>6</v>
      </c>
      <c r="V492" s="26">
        <f t="shared" si="116"/>
        <v>6</v>
      </c>
      <c r="W492" s="26">
        <f t="shared" si="114"/>
        <v>1000</v>
      </c>
      <c r="X492" s="26">
        <f t="shared" si="117"/>
        <v>0</v>
      </c>
      <c r="Y492" s="26">
        <f t="shared" si="107"/>
        <v>0</v>
      </c>
      <c r="Z492" s="26">
        <f t="shared" si="118"/>
        <v>0</v>
      </c>
      <c r="AA492" s="26">
        <f t="shared" si="119"/>
        <v>0</v>
      </c>
      <c r="AB492" s="33" t="s">
        <v>15</v>
      </c>
      <c r="AC492" s="324"/>
      <c r="AD492" s="181">
        <f t="shared" si="113"/>
        <v>6</v>
      </c>
      <c r="AE492" s="181">
        <f t="shared" si="120"/>
        <v>6000</v>
      </c>
      <c r="AF492" s="181">
        <v>3</v>
      </c>
      <c r="AG492" s="181">
        <v>3</v>
      </c>
      <c r="AH492" s="363" t="str">
        <f t="shared" si="121"/>
        <v/>
      </c>
      <c r="AI492" s="192">
        <v>0</v>
      </c>
      <c r="AJ492" s="188">
        <v>6</v>
      </c>
      <c r="AM492" s="69">
        <v>0</v>
      </c>
      <c r="AO492" s="367"/>
      <c r="AP492" s="367"/>
      <c r="AQ492" s="367"/>
    </row>
    <row r="493" spans="1:43" s="69" customFormat="1" ht="33" customHeight="1" x14ac:dyDescent="0.3">
      <c r="A493" s="55" t="s">
        <v>1127</v>
      </c>
      <c r="B493" s="138" t="s">
        <v>1128</v>
      </c>
      <c r="C493" s="54" t="s">
        <v>325</v>
      </c>
      <c r="D493" s="75">
        <v>2</v>
      </c>
      <c r="E493" s="75"/>
      <c r="F493" s="75"/>
      <c r="G493" s="75"/>
      <c r="H493" s="75"/>
      <c r="I493" s="75"/>
      <c r="J493" s="75">
        <v>9000</v>
      </c>
      <c r="K493" s="75">
        <v>18000</v>
      </c>
      <c r="L493" s="91" t="s">
        <v>1129</v>
      </c>
      <c r="M493" s="73"/>
      <c r="N493" s="46">
        <v>0</v>
      </c>
      <c r="O493" s="46">
        <v>0</v>
      </c>
      <c r="P493" s="46">
        <v>0</v>
      </c>
      <c r="Q493" s="98"/>
      <c r="R493" s="23" t="s">
        <v>1438</v>
      </c>
      <c r="S493" s="24" t="s">
        <v>1128</v>
      </c>
      <c r="T493" s="25" t="s">
        <v>325</v>
      </c>
      <c r="U493" s="26">
        <v>2</v>
      </c>
      <c r="V493" s="26">
        <f t="shared" si="116"/>
        <v>2</v>
      </c>
      <c r="W493" s="26">
        <f t="shared" si="114"/>
        <v>9000</v>
      </c>
      <c r="X493" s="26">
        <f t="shared" si="117"/>
        <v>0</v>
      </c>
      <c r="Y493" s="26">
        <f t="shared" si="107"/>
        <v>0</v>
      </c>
      <c r="Z493" s="26">
        <f t="shared" si="118"/>
        <v>0</v>
      </c>
      <c r="AA493" s="26">
        <f t="shared" si="119"/>
        <v>0</v>
      </c>
      <c r="AB493" s="33" t="s">
        <v>15</v>
      </c>
      <c r="AC493" s="324"/>
      <c r="AD493" s="181">
        <f t="shared" si="113"/>
        <v>2</v>
      </c>
      <c r="AE493" s="181">
        <f t="shared" si="120"/>
        <v>18000</v>
      </c>
      <c r="AF493" s="181">
        <v>3</v>
      </c>
      <c r="AG493" s="181">
        <v>3</v>
      </c>
      <c r="AH493" s="363" t="str">
        <f t="shared" si="121"/>
        <v/>
      </c>
      <c r="AI493" s="192">
        <v>0</v>
      </c>
      <c r="AJ493" s="188">
        <v>2</v>
      </c>
      <c r="AM493" s="69">
        <v>0</v>
      </c>
      <c r="AO493" s="367"/>
      <c r="AP493" s="367"/>
      <c r="AQ493" s="367"/>
    </row>
    <row r="494" spans="1:43" s="69" customFormat="1" ht="49.5" customHeight="1" x14ac:dyDescent="0.3">
      <c r="A494" s="55" t="s">
        <v>1130</v>
      </c>
      <c r="B494" s="254" t="s">
        <v>3301</v>
      </c>
      <c r="C494" s="54" t="s">
        <v>325</v>
      </c>
      <c r="D494" s="75">
        <v>3</v>
      </c>
      <c r="E494" s="75"/>
      <c r="F494" s="75"/>
      <c r="G494" s="75"/>
      <c r="H494" s="75"/>
      <c r="I494" s="75"/>
      <c r="J494" s="75">
        <v>4200</v>
      </c>
      <c r="K494" s="75">
        <v>12600</v>
      </c>
      <c r="L494" s="91" t="s">
        <v>1132</v>
      </c>
      <c r="M494" s="73"/>
      <c r="N494" s="46">
        <v>2</v>
      </c>
      <c r="O494" s="46">
        <v>0</v>
      </c>
      <c r="P494" s="46">
        <v>8400</v>
      </c>
      <c r="Q494" s="98"/>
      <c r="R494" s="23" t="s">
        <v>1439</v>
      </c>
      <c r="S494" s="24" t="s">
        <v>1131</v>
      </c>
      <c r="T494" s="25" t="s">
        <v>325</v>
      </c>
      <c r="U494" s="26">
        <v>3</v>
      </c>
      <c r="V494" s="26">
        <f t="shared" si="116"/>
        <v>3</v>
      </c>
      <c r="W494" s="26">
        <f t="shared" si="114"/>
        <v>4200</v>
      </c>
      <c r="X494" s="128">
        <f t="shared" si="117"/>
        <v>0</v>
      </c>
      <c r="Y494" s="26">
        <f t="shared" si="107"/>
        <v>2</v>
      </c>
      <c r="Z494" s="26">
        <f t="shared" si="118"/>
        <v>0</v>
      </c>
      <c r="AA494" s="26">
        <f t="shared" si="119"/>
        <v>8400</v>
      </c>
      <c r="AB494" s="33" t="s">
        <v>15</v>
      </c>
      <c r="AC494" s="324"/>
      <c r="AD494" s="181">
        <f t="shared" si="113"/>
        <v>3</v>
      </c>
      <c r="AE494" s="181">
        <f t="shared" si="120"/>
        <v>12600</v>
      </c>
      <c r="AF494" s="181">
        <v>3</v>
      </c>
      <c r="AG494" s="181">
        <v>3</v>
      </c>
      <c r="AH494" s="363" t="str">
        <f t="shared" si="121"/>
        <v/>
      </c>
      <c r="AI494" s="194">
        <f>2</f>
        <v>2</v>
      </c>
      <c r="AJ494" s="188">
        <v>3</v>
      </c>
      <c r="AO494" s="367"/>
      <c r="AP494" s="367"/>
      <c r="AQ494" s="367"/>
    </row>
    <row r="495" spans="1:43" s="69" customFormat="1" ht="49.5" customHeight="1" x14ac:dyDescent="0.3">
      <c r="A495" s="130" t="s">
        <v>1133</v>
      </c>
      <c r="B495" s="358" t="s">
        <v>3298</v>
      </c>
      <c r="C495" s="132" t="s">
        <v>66</v>
      </c>
      <c r="D495" s="133">
        <v>4</v>
      </c>
      <c r="E495" s="75"/>
      <c r="F495" s="75"/>
      <c r="G495" s="75"/>
      <c r="H495" s="75"/>
      <c r="I495" s="75"/>
      <c r="J495" s="75">
        <v>1000</v>
      </c>
      <c r="K495" s="75">
        <v>4000</v>
      </c>
      <c r="L495" s="91" t="s">
        <v>1135</v>
      </c>
      <c r="M495" s="73"/>
      <c r="N495" s="46">
        <v>4</v>
      </c>
      <c r="O495" s="46">
        <v>0</v>
      </c>
      <c r="P495" s="46">
        <v>4000</v>
      </c>
      <c r="Q495" s="98"/>
      <c r="R495" s="23" t="s">
        <v>1440</v>
      </c>
      <c r="S495" s="24" t="s">
        <v>1134</v>
      </c>
      <c r="T495" s="25" t="s">
        <v>66</v>
      </c>
      <c r="U495" s="26">
        <v>4</v>
      </c>
      <c r="V495" s="26">
        <f t="shared" si="116"/>
        <v>4</v>
      </c>
      <c r="W495" s="26">
        <f t="shared" si="114"/>
        <v>1000</v>
      </c>
      <c r="X495" s="127">
        <f t="shared" si="117"/>
        <v>0</v>
      </c>
      <c r="Y495" s="127">
        <f t="shared" si="107"/>
        <v>4</v>
      </c>
      <c r="Z495" s="127">
        <f t="shared" si="118"/>
        <v>0</v>
      </c>
      <c r="AA495" s="127">
        <f t="shared" si="119"/>
        <v>4000</v>
      </c>
      <c r="AB495" s="33" t="s">
        <v>15</v>
      </c>
      <c r="AC495" s="324"/>
      <c r="AD495" s="181">
        <f t="shared" si="113"/>
        <v>4</v>
      </c>
      <c r="AE495" s="181">
        <f t="shared" si="120"/>
        <v>4000</v>
      </c>
      <c r="AF495" s="181">
        <v>3</v>
      </c>
      <c r="AG495" s="181">
        <v>3</v>
      </c>
      <c r="AH495" s="363" t="str">
        <f t="shared" si="121"/>
        <v/>
      </c>
      <c r="AI495" s="194">
        <f>4</f>
        <v>4</v>
      </c>
      <c r="AJ495" s="188">
        <v>4</v>
      </c>
      <c r="AO495" s="367"/>
      <c r="AP495" s="367"/>
      <c r="AQ495" s="367"/>
    </row>
    <row r="496" spans="1:43" s="69" customFormat="1" ht="49.5" customHeight="1" x14ac:dyDescent="0.3">
      <c r="A496" s="55" t="s">
        <v>1136</v>
      </c>
      <c r="B496" s="254" t="s">
        <v>3299</v>
      </c>
      <c r="C496" s="54" t="s">
        <v>325</v>
      </c>
      <c r="D496" s="75">
        <v>15</v>
      </c>
      <c r="E496" s="75"/>
      <c r="F496" s="75"/>
      <c r="G496" s="75"/>
      <c r="H496" s="75"/>
      <c r="I496" s="75"/>
      <c r="J496" s="75">
        <v>4500</v>
      </c>
      <c r="K496" s="75">
        <v>67500</v>
      </c>
      <c r="L496" s="91" t="s">
        <v>1138</v>
      </c>
      <c r="M496" s="73"/>
      <c r="N496" s="46">
        <v>9</v>
      </c>
      <c r="O496" s="46">
        <v>0</v>
      </c>
      <c r="P496" s="46">
        <v>40500</v>
      </c>
      <c r="Q496" s="98"/>
      <c r="R496" s="23" t="s">
        <v>1441</v>
      </c>
      <c r="S496" s="24" t="s">
        <v>1137</v>
      </c>
      <c r="T496" s="25" t="s">
        <v>325</v>
      </c>
      <c r="U496" s="26">
        <v>15</v>
      </c>
      <c r="V496" s="26">
        <f t="shared" si="116"/>
        <v>15</v>
      </c>
      <c r="W496" s="26">
        <f t="shared" si="114"/>
        <v>4500</v>
      </c>
      <c r="X496" s="128">
        <f t="shared" si="117"/>
        <v>0</v>
      </c>
      <c r="Y496" s="26">
        <f t="shared" si="107"/>
        <v>9</v>
      </c>
      <c r="Z496" s="26">
        <f t="shared" si="118"/>
        <v>0</v>
      </c>
      <c r="AA496" s="26">
        <f t="shared" si="119"/>
        <v>40500</v>
      </c>
      <c r="AB496" s="33" t="s">
        <v>15</v>
      </c>
      <c r="AC496" s="324"/>
      <c r="AD496" s="181">
        <f t="shared" si="113"/>
        <v>15</v>
      </c>
      <c r="AE496" s="181">
        <f t="shared" si="120"/>
        <v>67500</v>
      </c>
      <c r="AF496" s="181">
        <v>3</v>
      </c>
      <c r="AG496" s="181">
        <v>3</v>
      </c>
      <c r="AH496" s="363" t="str">
        <f t="shared" si="121"/>
        <v/>
      </c>
      <c r="AI496" s="194">
        <f>9</f>
        <v>9</v>
      </c>
      <c r="AJ496" s="188">
        <v>15</v>
      </c>
      <c r="AO496" s="367"/>
      <c r="AP496" s="367"/>
      <c r="AQ496" s="367"/>
    </row>
    <row r="497" spans="1:43" s="69" customFormat="1" ht="33" customHeight="1" x14ac:dyDescent="0.3">
      <c r="A497" s="55" t="s">
        <v>1139</v>
      </c>
      <c r="B497" s="138" t="s">
        <v>3128</v>
      </c>
      <c r="C497" s="54" t="s">
        <v>325</v>
      </c>
      <c r="D497" s="75">
        <v>2</v>
      </c>
      <c r="E497" s="75"/>
      <c r="F497" s="75"/>
      <c r="G497" s="75"/>
      <c r="H497" s="75"/>
      <c r="I497" s="76"/>
      <c r="J497" s="75">
        <v>636300</v>
      </c>
      <c r="K497" s="75">
        <v>1272600</v>
      </c>
      <c r="L497" s="91" t="s">
        <v>1141</v>
      </c>
      <c r="M497" s="73"/>
      <c r="N497" s="46">
        <v>1</v>
      </c>
      <c r="O497" s="46">
        <v>0</v>
      </c>
      <c r="P497" s="46">
        <v>636300</v>
      </c>
      <c r="Q497" s="98"/>
      <c r="R497" s="23" t="s">
        <v>1442</v>
      </c>
      <c r="S497" s="24" t="s">
        <v>1140</v>
      </c>
      <c r="T497" s="25" t="s">
        <v>325</v>
      </c>
      <c r="U497" s="26">
        <v>2</v>
      </c>
      <c r="V497" s="26">
        <f t="shared" si="116"/>
        <v>2</v>
      </c>
      <c r="W497" s="26">
        <f t="shared" si="114"/>
        <v>636300</v>
      </c>
      <c r="X497" s="26">
        <f t="shared" si="117"/>
        <v>0</v>
      </c>
      <c r="Y497" s="26">
        <f t="shared" si="107"/>
        <v>1</v>
      </c>
      <c r="Z497" s="26">
        <f t="shared" si="118"/>
        <v>0</v>
      </c>
      <c r="AA497" s="26">
        <f t="shared" si="119"/>
        <v>636300</v>
      </c>
      <c r="AB497" s="33" t="s">
        <v>15</v>
      </c>
      <c r="AC497" s="324"/>
      <c r="AD497" s="181">
        <f t="shared" si="113"/>
        <v>2</v>
      </c>
      <c r="AE497" s="181">
        <f t="shared" si="120"/>
        <v>1272600</v>
      </c>
      <c r="AF497" s="181">
        <v>3</v>
      </c>
      <c r="AG497" s="181">
        <v>3</v>
      </c>
      <c r="AH497" s="363" t="str">
        <f t="shared" si="121"/>
        <v/>
      </c>
      <c r="AI497" s="192">
        <v>1</v>
      </c>
      <c r="AJ497" s="188">
        <v>2</v>
      </c>
      <c r="AO497" s="367"/>
      <c r="AP497" s="367"/>
      <c r="AQ497" s="367"/>
    </row>
    <row r="498" spans="1:43" s="69" customFormat="1" ht="49.5" customHeight="1" x14ac:dyDescent="0.3">
      <c r="A498" s="130" t="s">
        <v>1142</v>
      </c>
      <c r="B498" s="240" t="s">
        <v>3131</v>
      </c>
      <c r="C498" s="132" t="s">
        <v>1144</v>
      </c>
      <c r="D498" s="133">
        <v>4</v>
      </c>
      <c r="E498" s="75"/>
      <c r="F498" s="75"/>
      <c r="G498" s="75"/>
      <c r="H498" s="224"/>
      <c r="I498" s="158"/>
      <c r="J498" s="166">
        <v>2000</v>
      </c>
      <c r="K498" s="75">
        <v>8000</v>
      </c>
      <c r="L498" s="91" t="s">
        <v>1145</v>
      </c>
      <c r="M498" s="73"/>
      <c r="N498" s="46">
        <v>4</v>
      </c>
      <c r="O498" s="46">
        <v>0</v>
      </c>
      <c r="P498" s="46">
        <v>8000</v>
      </c>
      <c r="Q498" s="98"/>
      <c r="R498" s="23" t="s">
        <v>1443</v>
      </c>
      <c r="S498" s="24" t="s">
        <v>1143</v>
      </c>
      <c r="T498" s="25" t="s">
        <v>1144</v>
      </c>
      <c r="U498" s="26">
        <v>4</v>
      </c>
      <c r="V498" s="26">
        <f t="shared" si="116"/>
        <v>4</v>
      </c>
      <c r="W498" s="26">
        <f t="shared" si="114"/>
        <v>2000</v>
      </c>
      <c r="X498" s="127">
        <f t="shared" si="117"/>
        <v>0</v>
      </c>
      <c r="Y498" s="127">
        <f t="shared" si="107"/>
        <v>4</v>
      </c>
      <c r="Z498" s="127">
        <f t="shared" si="118"/>
        <v>0</v>
      </c>
      <c r="AA498" s="127">
        <f t="shared" si="119"/>
        <v>8000</v>
      </c>
      <c r="AB498" s="33" t="s">
        <v>15</v>
      </c>
      <c r="AC498" s="324"/>
      <c r="AD498" s="181">
        <f t="shared" si="113"/>
        <v>4</v>
      </c>
      <c r="AE498" s="181">
        <f t="shared" si="120"/>
        <v>8000</v>
      </c>
      <c r="AF498" s="181">
        <v>3</v>
      </c>
      <c r="AG498" s="181">
        <v>3</v>
      </c>
      <c r="AH498" s="363" t="str">
        <f t="shared" si="121"/>
        <v/>
      </c>
      <c r="AI498" s="194">
        <f>4</f>
        <v>4</v>
      </c>
      <c r="AJ498" s="188">
        <v>4</v>
      </c>
      <c r="AO498" s="367"/>
      <c r="AP498" s="367"/>
      <c r="AQ498" s="367"/>
    </row>
    <row r="499" spans="1:43" s="69" customFormat="1" x14ac:dyDescent="0.3">
      <c r="A499" s="134">
        <v>3.35</v>
      </c>
      <c r="B499" s="135" t="s">
        <v>1346</v>
      </c>
      <c r="C499" s="204" t="s">
        <v>325</v>
      </c>
      <c r="D499" s="133"/>
      <c r="E499" s="59">
        <v>1</v>
      </c>
      <c r="F499" s="77"/>
      <c r="G499" s="226"/>
      <c r="H499" s="294"/>
      <c r="I499" s="230"/>
      <c r="J499" s="178">
        <v>119161.05</v>
      </c>
      <c r="K499" s="59">
        <v>119161.05</v>
      </c>
      <c r="L499" s="92"/>
      <c r="M499" s="73"/>
      <c r="N499" s="46">
        <v>1</v>
      </c>
      <c r="O499" s="46">
        <v>0</v>
      </c>
      <c r="P499" s="46">
        <v>119161.05</v>
      </c>
      <c r="Q499" s="98"/>
      <c r="R499" s="23" t="s">
        <v>1444</v>
      </c>
      <c r="S499" s="24" t="s">
        <v>1501</v>
      </c>
      <c r="T499" s="25" t="s">
        <v>325</v>
      </c>
      <c r="U499" s="26">
        <v>0</v>
      </c>
      <c r="V499" s="26">
        <f t="shared" si="116"/>
        <v>1</v>
      </c>
      <c r="W499" s="26">
        <f t="shared" si="114"/>
        <v>119161.05</v>
      </c>
      <c r="X499" s="127">
        <f t="shared" si="117"/>
        <v>0</v>
      </c>
      <c r="Y499" s="127">
        <f t="shared" si="107"/>
        <v>1</v>
      </c>
      <c r="Z499" s="127">
        <f t="shared" si="118"/>
        <v>0</v>
      </c>
      <c r="AA499" s="127">
        <f t="shared" si="119"/>
        <v>119161.05</v>
      </c>
      <c r="AB499" s="27"/>
      <c r="AC499" s="324"/>
      <c r="AD499" s="181">
        <f t="shared" si="113"/>
        <v>1</v>
      </c>
      <c r="AE499" s="181">
        <f t="shared" si="120"/>
        <v>119161.05</v>
      </c>
      <c r="AF499" s="181">
        <v>3</v>
      </c>
      <c r="AG499" s="181">
        <v>3</v>
      </c>
      <c r="AH499" s="363" t="str">
        <f t="shared" si="121"/>
        <v/>
      </c>
      <c r="AI499" s="192">
        <v>1</v>
      </c>
      <c r="AJ499" s="188">
        <v>1</v>
      </c>
      <c r="AN499" s="70"/>
      <c r="AO499" s="367"/>
      <c r="AP499" s="367"/>
      <c r="AQ499" s="367"/>
    </row>
    <row r="500" spans="1:43" ht="39" x14ac:dyDescent="0.3">
      <c r="A500" s="134" t="s">
        <v>1347</v>
      </c>
      <c r="B500" s="135" t="s">
        <v>1348</v>
      </c>
      <c r="C500" s="204" t="s">
        <v>325</v>
      </c>
      <c r="D500" s="133"/>
      <c r="E500" s="78"/>
      <c r="F500" s="62">
        <v>1</v>
      </c>
      <c r="G500" s="163"/>
      <c r="H500" s="163"/>
      <c r="I500" s="62"/>
      <c r="J500" s="167">
        <v>74988.5</v>
      </c>
      <c r="K500" s="62">
        <v>74988.5</v>
      </c>
      <c r="L500" s="93"/>
      <c r="N500" s="46">
        <v>1</v>
      </c>
      <c r="O500" s="46">
        <v>0</v>
      </c>
      <c r="P500" s="46">
        <v>74988.5</v>
      </c>
      <c r="Q500" s="98"/>
      <c r="R500" s="23" t="s">
        <v>1408</v>
      </c>
      <c r="S500" s="24" t="s">
        <v>1348</v>
      </c>
      <c r="T500" s="25" t="s">
        <v>325</v>
      </c>
      <c r="U500" s="26">
        <v>0</v>
      </c>
      <c r="V500" s="26">
        <f t="shared" si="116"/>
        <v>1</v>
      </c>
      <c r="W500" s="26">
        <f t="shared" si="114"/>
        <v>74988.5</v>
      </c>
      <c r="X500" s="127">
        <f t="shared" si="117"/>
        <v>0</v>
      </c>
      <c r="Y500" s="127">
        <f t="shared" si="107"/>
        <v>1</v>
      </c>
      <c r="Z500" s="127">
        <f t="shared" si="118"/>
        <v>0</v>
      </c>
      <c r="AA500" s="127">
        <f t="shared" si="119"/>
        <v>74988.5</v>
      </c>
      <c r="AB500" s="27"/>
      <c r="AC500" s="324"/>
      <c r="AD500" s="181">
        <f t="shared" si="113"/>
        <v>1</v>
      </c>
      <c r="AE500" s="181">
        <f t="shared" si="120"/>
        <v>74988.5</v>
      </c>
      <c r="AF500" s="181">
        <v>3</v>
      </c>
      <c r="AG500" s="181">
        <v>3</v>
      </c>
      <c r="AH500" s="363" t="str">
        <f t="shared" si="121"/>
        <v/>
      </c>
      <c r="AI500" s="192">
        <v>1</v>
      </c>
      <c r="AJ500" s="188">
        <v>1</v>
      </c>
      <c r="AN500" s="70"/>
      <c r="AO500" s="367"/>
      <c r="AP500" s="367"/>
      <c r="AQ500" s="367"/>
    </row>
    <row r="501" spans="1:43" ht="82.5" x14ac:dyDescent="0.3">
      <c r="A501" s="134" t="s">
        <v>1349</v>
      </c>
      <c r="B501" s="139" t="s">
        <v>3132</v>
      </c>
      <c r="C501" s="204" t="s">
        <v>325</v>
      </c>
      <c r="D501" s="133"/>
      <c r="E501" s="78"/>
      <c r="F501" s="62">
        <v>2</v>
      </c>
      <c r="G501" s="163"/>
      <c r="H501" s="163"/>
      <c r="I501" s="62"/>
      <c r="J501" s="167">
        <v>83493.929999999993</v>
      </c>
      <c r="K501" s="62">
        <v>166987.85999999999</v>
      </c>
      <c r="L501" s="93"/>
      <c r="N501" s="46">
        <v>2</v>
      </c>
      <c r="O501" s="46">
        <v>0</v>
      </c>
      <c r="P501" s="46">
        <v>166987.85999999999</v>
      </c>
      <c r="Q501" s="98"/>
      <c r="R501" s="23" t="s">
        <v>1409</v>
      </c>
      <c r="S501" s="24" t="s">
        <v>1350</v>
      </c>
      <c r="T501" s="25" t="s">
        <v>325</v>
      </c>
      <c r="U501" s="26">
        <v>0</v>
      </c>
      <c r="V501" s="26">
        <f t="shared" si="116"/>
        <v>2</v>
      </c>
      <c r="W501" s="26">
        <f t="shared" si="114"/>
        <v>83493.929999999993</v>
      </c>
      <c r="X501" s="127">
        <f t="shared" si="117"/>
        <v>0</v>
      </c>
      <c r="Y501" s="127">
        <f t="shared" si="107"/>
        <v>2</v>
      </c>
      <c r="Z501" s="127">
        <f t="shared" si="118"/>
        <v>0</v>
      </c>
      <c r="AA501" s="127">
        <f t="shared" si="119"/>
        <v>166987.85999999999</v>
      </c>
      <c r="AB501" s="27"/>
      <c r="AC501" s="324"/>
      <c r="AD501" s="181">
        <f t="shared" si="113"/>
        <v>2</v>
      </c>
      <c r="AE501" s="181">
        <f t="shared" si="120"/>
        <v>166987.85999999999</v>
      </c>
      <c r="AF501" s="181">
        <v>3</v>
      </c>
      <c r="AG501" s="181">
        <v>3</v>
      </c>
      <c r="AH501" s="363" t="str">
        <f t="shared" si="121"/>
        <v/>
      </c>
      <c r="AI501" s="192">
        <v>2</v>
      </c>
      <c r="AJ501" s="188">
        <v>2</v>
      </c>
      <c r="AN501" s="70"/>
      <c r="AO501" s="367"/>
      <c r="AP501" s="367"/>
      <c r="AQ501" s="367"/>
    </row>
    <row r="502" spans="1:43" ht="66" x14ac:dyDescent="0.3">
      <c r="A502" s="134" t="s">
        <v>1351</v>
      </c>
      <c r="B502" s="139" t="s">
        <v>3133</v>
      </c>
      <c r="C502" s="204" t="s">
        <v>325</v>
      </c>
      <c r="D502" s="133"/>
      <c r="E502" s="78"/>
      <c r="F502" s="62">
        <v>2</v>
      </c>
      <c r="G502" s="163"/>
      <c r="H502" s="163"/>
      <c r="I502" s="62"/>
      <c r="J502" s="167">
        <v>76194.460000000006</v>
      </c>
      <c r="K502" s="62">
        <v>152388.92000000001</v>
      </c>
      <c r="L502" s="93"/>
      <c r="N502" s="46">
        <v>2</v>
      </c>
      <c r="O502" s="46">
        <v>0</v>
      </c>
      <c r="P502" s="46">
        <v>152388.92000000001</v>
      </c>
      <c r="Q502" s="98"/>
      <c r="R502" s="23" t="s">
        <v>1410</v>
      </c>
      <c r="S502" s="24" t="s">
        <v>1352</v>
      </c>
      <c r="T502" s="25" t="s">
        <v>325</v>
      </c>
      <c r="U502" s="26">
        <v>0</v>
      </c>
      <c r="V502" s="26">
        <f t="shared" si="116"/>
        <v>2</v>
      </c>
      <c r="W502" s="26">
        <f t="shared" si="114"/>
        <v>76194.460000000006</v>
      </c>
      <c r="X502" s="127">
        <f t="shared" si="117"/>
        <v>0</v>
      </c>
      <c r="Y502" s="127">
        <f t="shared" si="107"/>
        <v>2</v>
      </c>
      <c r="Z502" s="127">
        <f t="shared" si="118"/>
        <v>0</v>
      </c>
      <c r="AA502" s="127">
        <f t="shared" si="119"/>
        <v>152388.92000000001</v>
      </c>
      <c r="AB502" s="27"/>
      <c r="AC502" s="324"/>
      <c r="AD502" s="181">
        <f t="shared" si="113"/>
        <v>2</v>
      </c>
      <c r="AE502" s="181">
        <f t="shared" si="120"/>
        <v>152388.92000000001</v>
      </c>
      <c r="AF502" s="181">
        <v>3</v>
      </c>
      <c r="AG502" s="181">
        <v>3</v>
      </c>
      <c r="AH502" s="363" t="str">
        <f t="shared" si="121"/>
        <v/>
      </c>
      <c r="AI502" s="192">
        <v>2</v>
      </c>
      <c r="AJ502" s="188">
        <v>2</v>
      </c>
      <c r="AN502" s="70"/>
      <c r="AO502" s="367"/>
      <c r="AP502" s="367"/>
      <c r="AQ502" s="367"/>
    </row>
    <row r="503" spans="1:43" ht="49.5" x14ac:dyDescent="0.3">
      <c r="A503" s="134" t="s">
        <v>1353</v>
      </c>
      <c r="B503" s="139" t="s">
        <v>3134</v>
      </c>
      <c r="C503" s="204" t="s">
        <v>325</v>
      </c>
      <c r="D503" s="133"/>
      <c r="E503" s="78"/>
      <c r="F503" s="62">
        <v>2</v>
      </c>
      <c r="G503" s="163"/>
      <c r="H503" s="163"/>
      <c r="I503" s="62"/>
      <c r="J503" s="167">
        <v>17998.689999999999</v>
      </c>
      <c r="K503" s="62">
        <v>35997.379999999997</v>
      </c>
      <c r="L503" s="93"/>
      <c r="N503" s="46">
        <v>2</v>
      </c>
      <c r="O503" s="46">
        <v>0</v>
      </c>
      <c r="P503" s="46">
        <v>35997.379999999997</v>
      </c>
      <c r="Q503" s="98"/>
      <c r="R503" s="23" t="s">
        <v>1411</v>
      </c>
      <c r="S503" s="24" t="s">
        <v>1354</v>
      </c>
      <c r="T503" s="25" t="s">
        <v>325</v>
      </c>
      <c r="U503" s="26">
        <v>0</v>
      </c>
      <c r="V503" s="26">
        <f t="shared" si="116"/>
        <v>2</v>
      </c>
      <c r="W503" s="26">
        <f t="shared" si="114"/>
        <v>17998.689999999999</v>
      </c>
      <c r="X503" s="127">
        <f t="shared" si="117"/>
        <v>0</v>
      </c>
      <c r="Y503" s="127">
        <f t="shared" si="107"/>
        <v>2</v>
      </c>
      <c r="Z503" s="127">
        <f t="shared" si="118"/>
        <v>0</v>
      </c>
      <c r="AA503" s="127">
        <f t="shared" si="119"/>
        <v>35997.379999999997</v>
      </c>
      <c r="AB503" s="27"/>
      <c r="AC503" s="324"/>
      <c r="AD503" s="181">
        <f t="shared" si="113"/>
        <v>2</v>
      </c>
      <c r="AE503" s="181">
        <f t="shared" si="120"/>
        <v>35997.379999999997</v>
      </c>
      <c r="AF503" s="181">
        <v>3</v>
      </c>
      <c r="AG503" s="181">
        <v>3</v>
      </c>
      <c r="AH503" s="363" t="str">
        <f t="shared" si="121"/>
        <v/>
      </c>
      <c r="AI503" s="192">
        <v>2</v>
      </c>
      <c r="AJ503" s="188">
        <v>2</v>
      </c>
      <c r="AN503" s="69"/>
      <c r="AO503" s="367"/>
      <c r="AP503" s="367"/>
      <c r="AQ503" s="367"/>
    </row>
    <row r="504" spans="1:43" s="69" customFormat="1" ht="33" customHeight="1" x14ac:dyDescent="0.3">
      <c r="A504" s="85" t="s">
        <v>1146</v>
      </c>
      <c r="B504" s="86" t="s">
        <v>1147</v>
      </c>
      <c r="C504" s="87" t="s">
        <v>14</v>
      </c>
      <c r="D504" s="88">
        <v>1</v>
      </c>
      <c r="E504" s="88"/>
      <c r="F504" s="88"/>
      <c r="G504" s="236"/>
      <c r="H504" s="319"/>
      <c r="I504" s="238"/>
      <c r="J504" s="237">
        <v>4074390.62</v>
      </c>
      <c r="K504" s="88">
        <v>4074390.62</v>
      </c>
      <c r="L504" s="95" t="s">
        <v>15</v>
      </c>
      <c r="M504" s="73"/>
      <c r="N504" s="42">
        <v>1</v>
      </c>
      <c r="O504" s="42">
        <v>263837.09000000003</v>
      </c>
      <c r="P504" s="42">
        <v>2270104.09</v>
      </c>
      <c r="Q504" s="98"/>
      <c r="R504" s="13" t="s">
        <v>1412</v>
      </c>
      <c r="S504" s="14" t="s">
        <v>1147</v>
      </c>
      <c r="T504" s="15" t="s">
        <v>14</v>
      </c>
      <c r="U504" s="16">
        <v>1</v>
      </c>
      <c r="V504" s="16"/>
      <c r="W504" s="16">
        <f t="shared" si="114"/>
        <v>4074390.62</v>
      </c>
      <c r="X504" s="16">
        <f t="shared" ref="X504:Y504" si="122">IF(Z504=0,0,1)</f>
        <v>1</v>
      </c>
      <c r="Y504" s="16">
        <f t="shared" si="122"/>
        <v>1</v>
      </c>
      <c r="Z504" s="16">
        <f>SUMIFS(Z:Z,AG:AG,AF504)</f>
        <v>283922.69000000012</v>
      </c>
      <c r="AA504" s="16">
        <f>SUMIFS(AA:AA,AG:AG,AF504)</f>
        <v>2554026.7800000003</v>
      </c>
      <c r="AB504" s="17" t="s">
        <v>15</v>
      </c>
      <c r="AC504" s="232"/>
      <c r="AD504" s="181">
        <f t="shared" si="113"/>
        <v>1</v>
      </c>
      <c r="AE504" s="183"/>
      <c r="AF504" s="183">
        <v>4</v>
      </c>
      <c r="AG504" s="183"/>
      <c r="AH504" s="363" t="str">
        <f t="shared" si="121"/>
        <v/>
      </c>
      <c r="AI504" s="192">
        <v>1</v>
      </c>
      <c r="AJ504" s="188">
        <v>1</v>
      </c>
      <c r="AN504" s="363"/>
      <c r="AO504" s="368"/>
      <c r="AP504" s="367"/>
      <c r="AQ504" s="367"/>
    </row>
    <row r="505" spans="1:43" s="69" customFormat="1" ht="49.5" customHeight="1" x14ac:dyDescent="0.3">
      <c r="A505" s="55" t="s">
        <v>1148</v>
      </c>
      <c r="B505" s="53" t="s">
        <v>1149</v>
      </c>
      <c r="C505" s="54" t="s">
        <v>1150</v>
      </c>
      <c r="D505" s="75">
        <v>48</v>
      </c>
      <c r="E505" s="75"/>
      <c r="F505" s="75"/>
      <c r="G505" s="75"/>
      <c r="H505" s="320"/>
      <c r="I505" s="341">
        <v>56</v>
      </c>
      <c r="J505" s="166">
        <v>13068.13</v>
      </c>
      <c r="K505" s="75">
        <v>731815.28</v>
      </c>
      <c r="L505" s="91" t="s">
        <v>1151</v>
      </c>
      <c r="M505" s="73"/>
      <c r="N505" s="46">
        <v>46</v>
      </c>
      <c r="O505" s="46">
        <v>26136.260000000009</v>
      </c>
      <c r="P505" s="46">
        <v>601133.98</v>
      </c>
      <c r="Q505" s="98"/>
      <c r="R505" s="23" t="s">
        <v>1421</v>
      </c>
      <c r="S505" s="24" t="s">
        <v>1149</v>
      </c>
      <c r="T505" s="25" t="s">
        <v>1150</v>
      </c>
      <c r="U505" s="26">
        <v>48</v>
      </c>
      <c r="V505" s="26">
        <f t="shared" ref="V505:V507" si="123">IF(I505&gt;0,I505,IF(H505&gt;0,H505,IF(G505&gt;0,G505,IF(F505&gt;0,F505,IF(E505&gt;0,E505,D505)))))</f>
        <v>56</v>
      </c>
      <c r="W505" s="26">
        <f t="shared" si="114"/>
        <v>13068.13</v>
      </c>
      <c r="X505" s="250">
        <f t="shared" ref="X505:X507" si="124">AI505-N505</f>
        <v>2</v>
      </c>
      <c r="Y505" s="26">
        <f t="shared" si="107"/>
        <v>48</v>
      </c>
      <c r="Z505" s="26">
        <f>AA505-P505</f>
        <v>26136.260000000009</v>
      </c>
      <c r="AA505" s="26">
        <f t="shared" ref="AA505:AA507" si="125">ROUND(W505*Y505,2)</f>
        <v>627270.24</v>
      </c>
      <c r="AB505" s="33" t="s">
        <v>15</v>
      </c>
      <c r="AC505" s="324"/>
      <c r="AD505" s="181">
        <f t="shared" si="113"/>
        <v>56</v>
      </c>
      <c r="AE505" s="181">
        <f t="shared" ref="AE505:AE507" si="126">ROUND(W505*AD505,2)</f>
        <v>731815.28</v>
      </c>
      <c r="AF505" s="181">
        <v>4</v>
      </c>
      <c r="AG505" s="181">
        <v>4</v>
      </c>
      <c r="AH505" s="363" t="str">
        <f t="shared" si="121"/>
        <v/>
      </c>
      <c r="AI505" s="191">
        <f>46+2</f>
        <v>48</v>
      </c>
      <c r="AJ505" s="190">
        <v>56</v>
      </c>
      <c r="AN505" s="363"/>
      <c r="AO505" s="368"/>
      <c r="AP505" s="367"/>
      <c r="AQ505" s="367"/>
    </row>
    <row r="506" spans="1:43" s="69" customFormat="1" ht="66" customHeight="1" x14ac:dyDescent="0.3">
      <c r="A506" s="55" t="s">
        <v>1152</v>
      </c>
      <c r="B506" s="53" t="s">
        <v>1153</v>
      </c>
      <c r="C506" s="54" t="s">
        <v>998</v>
      </c>
      <c r="D506" s="75">
        <v>6720</v>
      </c>
      <c r="E506" s="75"/>
      <c r="F506" s="75"/>
      <c r="G506" s="76"/>
      <c r="H506" s="76"/>
      <c r="I506" s="350">
        <v>28182</v>
      </c>
      <c r="J506" s="75">
        <v>54.57</v>
      </c>
      <c r="K506" s="75">
        <v>1537891.74</v>
      </c>
      <c r="L506" s="91" t="s">
        <v>1154</v>
      </c>
      <c r="M506" s="73"/>
      <c r="N506" s="46">
        <v>8635</v>
      </c>
      <c r="O506" s="46">
        <v>150340.35000000003</v>
      </c>
      <c r="P506" s="46">
        <v>471211.95</v>
      </c>
      <c r="Q506" s="98"/>
      <c r="R506" s="23" t="s">
        <v>1426</v>
      </c>
      <c r="S506" s="24" t="s">
        <v>1153</v>
      </c>
      <c r="T506" s="25" t="s">
        <v>998</v>
      </c>
      <c r="U506" s="26">
        <v>6720</v>
      </c>
      <c r="V506" s="26">
        <f t="shared" si="123"/>
        <v>28182</v>
      </c>
      <c r="W506" s="26">
        <f t="shared" si="114"/>
        <v>54.57</v>
      </c>
      <c r="X506" s="250">
        <f t="shared" si="124"/>
        <v>3755</v>
      </c>
      <c r="Y506" s="26">
        <f t="shared" si="107"/>
        <v>12390</v>
      </c>
      <c r="Z506" s="26">
        <f>AA506-P506</f>
        <v>204910.35000000003</v>
      </c>
      <c r="AA506" s="26">
        <f t="shared" si="125"/>
        <v>676122.3</v>
      </c>
      <c r="AB506" s="33" t="s">
        <v>15</v>
      </c>
      <c r="AC506" s="324"/>
      <c r="AD506" s="181">
        <f t="shared" si="113"/>
        <v>28182</v>
      </c>
      <c r="AE506" s="181">
        <f t="shared" si="126"/>
        <v>1537891.74</v>
      </c>
      <c r="AF506" s="181">
        <v>4</v>
      </c>
      <c r="AG506" s="181">
        <v>4</v>
      </c>
      <c r="AH506" s="363" t="str">
        <f t="shared" si="121"/>
        <v/>
      </c>
      <c r="AI506" s="191">
        <f>8635+3755</f>
        <v>12390</v>
      </c>
      <c r="AJ506" s="190">
        <v>28182</v>
      </c>
      <c r="AO506" s="367"/>
      <c r="AP506" s="367"/>
      <c r="AQ506" s="367"/>
    </row>
    <row r="507" spans="1:43" s="69" customFormat="1" ht="39" x14ac:dyDescent="0.3">
      <c r="A507" s="66">
        <v>4.3</v>
      </c>
      <c r="B507" s="57" t="s">
        <v>1355</v>
      </c>
      <c r="C507" s="58" t="s">
        <v>1360</v>
      </c>
      <c r="D507" s="77"/>
      <c r="E507" s="117">
        <v>1570</v>
      </c>
      <c r="F507" s="59"/>
      <c r="G507" s="59"/>
      <c r="H507" s="59"/>
      <c r="I507" s="59"/>
      <c r="J507" s="178">
        <v>1149.48</v>
      </c>
      <c r="K507" s="59">
        <v>1804683.6</v>
      </c>
      <c r="L507" s="92"/>
      <c r="M507" s="73"/>
      <c r="N507" s="46">
        <v>1042</v>
      </c>
      <c r="O507" s="46">
        <v>87360.479999999981</v>
      </c>
      <c r="P507" s="46">
        <v>1197758.1599999999</v>
      </c>
      <c r="Q507" s="98"/>
      <c r="R507" s="23" t="s">
        <v>1402</v>
      </c>
      <c r="S507" s="24" t="s">
        <v>1502</v>
      </c>
      <c r="T507" s="25" t="s">
        <v>1360</v>
      </c>
      <c r="U507" s="26">
        <v>0</v>
      </c>
      <c r="V507" s="26">
        <f t="shared" si="123"/>
        <v>1570</v>
      </c>
      <c r="W507" s="26">
        <f t="shared" si="114"/>
        <v>1149.48</v>
      </c>
      <c r="X507" s="250">
        <f t="shared" si="124"/>
        <v>46</v>
      </c>
      <c r="Y507" s="26">
        <f t="shared" si="107"/>
        <v>1088</v>
      </c>
      <c r="Z507" s="26">
        <f>AA507-P507</f>
        <v>52876.080000000075</v>
      </c>
      <c r="AA507" s="26">
        <f t="shared" si="125"/>
        <v>1250634.24</v>
      </c>
      <c r="AB507" s="27"/>
      <c r="AC507" s="324"/>
      <c r="AD507" s="181">
        <f t="shared" si="113"/>
        <v>1570</v>
      </c>
      <c r="AE507" s="181">
        <f t="shared" si="126"/>
        <v>1804683.6</v>
      </c>
      <c r="AF507" s="181">
        <v>4</v>
      </c>
      <c r="AG507" s="181">
        <v>4</v>
      </c>
      <c r="AH507" s="363" t="str">
        <f t="shared" si="121"/>
        <v/>
      </c>
      <c r="AI507" s="191">
        <f>591+56+56+86+72+105+76+46</f>
        <v>1088</v>
      </c>
      <c r="AJ507" s="188">
        <v>1570</v>
      </c>
      <c r="AO507" s="367"/>
      <c r="AP507" s="367"/>
      <c r="AQ507" s="367"/>
    </row>
    <row r="508" spans="1:43" s="69" customFormat="1" ht="33" customHeight="1" x14ac:dyDescent="0.3">
      <c r="A508" s="85" t="s">
        <v>1155</v>
      </c>
      <c r="B508" s="86" t="s">
        <v>1156</v>
      </c>
      <c r="C508" s="87" t="s">
        <v>14</v>
      </c>
      <c r="D508" s="88">
        <v>1</v>
      </c>
      <c r="E508" s="88"/>
      <c r="F508" s="88"/>
      <c r="G508" s="153"/>
      <c r="H508" s="153"/>
      <c r="I508" s="153"/>
      <c r="J508" s="88">
        <v>10848539.710000001</v>
      </c>
      <c r="K508" s="88">
        <v>10848539.710000001</v>
      </c>
      <c r="L508" s="95" t="s">
        <v>15</v>
      </c>
      <c r="M508" s="73"/>
      <c r="N508" s="42">
        <v>1</v>
      </c>
      <c r="O508" s="42">
        <v>74018.119999999923</v>
      </c>
      <c r="P508" s="42">
        <v>10355340.140000001</v>
      </c>
      <c r="Q508" s="98"/>
      <c r="R508" s="13" t="s">
        <v>1413</v>
      </c>
      <c r="S508" s="14" t="s">
        <v>1156</v>
      </c>
      <c r="T508" s="15" t="s">
        <v>14</v>
      </c>
      <c r="U508" s="16">
        <v>1</v>
      </c>
      <c r="V508" s="16"/>
      <c r="W508" s="16">
        <f t="shared" si="114"/>
        <v>10848539.710000001</v>
      </c>
      <c r="X508" s="16">
        <f t="shared" ref="X508:Y508" si="127">IF(Z508=0,0,1)</f>
        <v>1</v>
      </c>
      <c r="Y508" s="16">
        <f t="shared" si="127"/>
        <v>1</v>
      </c>
      <c r="Z508" s="16">
        <f>SUMIFS(Z:Z,AG:AG,AF508)</f>
        <v>89300</v>
      </c>
      <c r="AA508" s="16">
        <f>SUMIFS(AA:AA,AG:AG,AF508)</f>
        <v>10444640.140000001</v>
      </c>
      <c r="AB508" s="17" t="s">
        <v>15</v>
      </c>
      <c r="AC508" s="232"/>
      <c r="AD508" s="181">
        <f t="shared" si="113"/>
        <v>1</v>
      </c>
      <c r="AE508" s="183"/>
      <c r="AF508" s="183">
        <v>5</v>
      </c>
      <c r="AG508" s="183"/>
      <c r="AH508" s="363" t="str">
        <f t="shared" si="121"/>
        <v/>
      </c>
      <c r="AI508" s="192">
        <v>1</v>
      </c>
      <c r="AJ508" s="188">
        <v>1</v>
      </c>
      <c r="AO508" s="367"/>
      <c r="AP508" s="367"/>
      <c r="AQ508" s="367"/>
    </row>
    <row r="509" spans="1:43" s="69" customFormat="1" ht="49.5" customHeight="1" x14ac:dyDescent="0.3">
      <c r="A509" s="130" t="s">
        <v>1157</v>
      </c>
      <c r="B509" s="240" t="s">
        <v>1158</v>
      </c>
      <c r="C509" s="132" t="s">
        <v>30</v>
      </c>
      <c r="D509" s="133">
        <v>1698.29</v>
      </c>
      <c r="E509" s="75"/>
      <c r="F509" s="75"/>
      <c r="G509" s="75"/>
      <c r="H509" s="75"/>
      <c r="I509" s="75"/>
      <c r="J509" s="75">
        <v>3662.23</v>
      </c>
      <c r="K509" s="75">
        <v>6219528.5899999999</v>
      </c>
      <c r="L509" s="91" t="s">
        <v>1159</v>
      </c>
      <c r="M509" s="73"/>
      <c r="N509" s="46">
        <v>1698.29</v>
      </c>
      <c r="O509" s="46">
        <v>0</v>
      </c>
      <c r="P509" s="46">
        <v>6219528.5899999999</v>
      </c>
      <c r="Q509" s="98"/>
      <c r="R509" s="23" t="s">
        <v>1421</v>
      </c>
      <c r="S509" s="24" t="s">
        <v>1158</v>
      </c>
      <c r="T509" s="25" t="s">
        <v>30</v>
      </c>
      <c r="U509" s="26">
        <v>1698.29</v>
      </c>
      <c r="V509" s="26">
        <f t="shared" ref="V509:V528" si="128">IF(I509&gt;0,I509,IF(H509&gt;0,H509,IF(G509&gt;0,G509,IF(F509&gt;0,F509,IF(E509&gt;0,E509,D509)))))</f>
        <v>1698.29</v>
      </c>
      <c r="W509" s="26">
        <f t="shared" si="114"/>
        <v>3662.23</v>
      </c>
      <c r="X509" s="127">
        <f t="shared" ref="X509:X528" si="129">AI509-N509</f>
        <v>0</v>
      </c>
      <c r="Y509" s="127">
        <f t="shared" si="107"/>
        <v>1698.29</v>
      </c>
      <c r="Z509" s="127">
        <f t="shared" ref="Z509:Z528" si="130">AA509-P509</f>
        <v>0</v>
      </c>
      <c r="AA509" s="127">
        <f t="shared" ref="AA509:AA528" si="131">ROUND(W509*Y509,2)</f>
        <v>6219528.5899999999</v>
      </c>
      <c r="AB509" s="33" t="s">
        <v>15</v>
      </c>
      <c r="AC509" s="324"/>
      <c r="AD509" s="181">
        <f t="shared" si="113"/>
        <v>1698.29</v>
      </c>
      <c r="AE509" s="181">
        <f t="shared" ref="AE509:AE528" si="132">ROUND(W509*AD509,2)</f>
        <v>6219528.5899999999</v>
      </c>
      <c r="AF509" s="181">
        <v>5</v>
      </c>
      <c r="AG509" s="181">
        <v>5</v>
      </c>
      <c r="AH509" s="363" t="str">
        <f t="shared" si="121"/>
        <v/>
      </c>
      <c r="AI509" s="192">
        <v>1698.29</v>
      </c>
      <c r="AJ509" s="188">
        <v>1698.29</v>
      </c>
      <c r="AO509" s="367"/>
      <c r="AP509" s="367"/>
      <c r="AQ509" s="367"/>
    </row>
    <row r="510" spans="1:43" s="69" customFormat="1" ht="49.5" x14ac:dyDescent="0.3">
      <c r="A510" s="130" t="s">
        <v>1160</v>
      </c>
      <c r="B510" s="240" t="s">
        <v>1161</v>
      </c>
      <c r="C510" s="132" t="s">
        <v>50</v>
      </c>
      <c r="D510" s="133">
        <v>2123.4</v>
      </c>
      <c r="E510" s="75"/>
      <c r="F510" s="75"/>
      <c r="G510" s="75"/>
      <c r="H510" s="75"/>
      <c r="I510" s="328">
        <v>2363.4</v>
      </c>
      <c r="J510" s="75">
        <v>353</v>
      </c>
      <c r="K510" s="75">
        <v>834280.2</v>
      </c>
      <c r="L510" s="91" t="s">
        <v>1162</v>
      </c>
      <c r="M510" s="73"/>
      <c r="N510" s="46">
        <v>2123.4</v>
      </c>
      <c r="O510" s="46">
        <v>0</v>
      </c>
      <c r="P510" s="46">
        <v>749560.2</v>
      </c>
      <c r="Q510" s="98"/>
      <c r="R510" s="23" t="s">
        <v>1426</v>
      </c>
      <c r="S510" s="24" t="s">
        <v>1161</v>
      </c>
      <c r="T510" s="25" t="s">
        <v>50</v>
      </c>
      <c r="U510" s="26">
        <v>2123.4</v>
      </c>
      <c r="V510" s="26">
        <f t="shared" si="128"/>
        <v>2363.4</v>
      </c>
      <c r="W510" s="26">
        <f t="shared" si="114"/>
        <v>353</v>
      </c>
      <c r="X510" s="128">
        <f t="shared" si="129"/>
        <v>0</v>
      </c>
      <c r="Y510" s="127">
        <v>2123.4</v>
      </c>
      <c r="Z510" s="127">
        <f t="shared" si="130"/>
        <v>0</v>
      </c>
      <c r="AA510" s="127">
        <f t="shared" si="131"/>
        <v>749560.2</v>
      </c>
      <c r="AB510" s="33" t="s">
        <v>15</v>
      </c>
      <c r="AC510" s="324"/>
      <c r="AD510" s="181">
        <f t="shared" si="113"/>
        <v>2363.4</v>
      </c>
      <c r="AE510" s="181">
        <f t="shared" si="132"/>
        <v>834280.2</v>
      </c>
      <c r="AF510" s="181">
        <v>5</v>
      </c>
      <c r="AG510" s="181">
        <v>5</v>
      </c>
      <c r="AH510" s="363" t="str">
        <f t="shared" si="121"/>
        <v/>
      </c>
      <c r="AI510" s="194">
        <f>2123.4</f>
        <v>2123.4</v>
      </c>
      <c r="AJ510" s="190">
        <v>2363.4</v>
      </c>
      <c r="AO510" s="367"/>
      <c r="AP510" s="367"/>
      <c r="AQ510" s="367"/>
    </row>
    <row r="511" spans="1:43" s="69" customFormat="1" ht="42" customHeight="1" x14ac:dyDescent="0.3">
      <c r="A511" s="130" t="s">
        <v>1163</v>
      </c>
      <c r="B511" s="240" t="s">
        <v>1164</v>
      </c>
      <c r="C511" s="132" t="s">
        <v>162</v>
      </c>
      <c r="D511" s="133">
        <v>59</v>
      </c>
      <c r="E511" s="75"/>
      <c r="F511" s="75"/>
      <c r="G511" s="75"/>
      <c r="H511" s="75"/>
      <c r="I511" s="328"/>
      <c r="J511" s="75">
        <v>217.02</v>
      </c>
      <c r="K511" s="75">
        <v>12804.18</v>
      </c>
      <c r="L511" s="91" t="s">
        <v>1165</v>
      </c>
      <c r="M511" s="73"/>
      <c r="N511" s="46">
        <v>59</v>
      </c>
      <c r="O511" s="46">
        <v>0</v>
      </c>
      <c r="P511" s="46">
        <v>12804.18</v>
      </c>
      <c r="Q511" s="98"/>
      <c r="R511" s="23" t="s">
        <v>1402</v>
      </c>
      <c r="S511" s="24" t="s">
        <v>1164</v>
      </c>
      <c r="T511" s="25" t="s">
        <v>162</v>
      </c>
      <c r="U511" s="26">
        <v>59</v>
      </c>
      <c r="V511" s="26">
        <f t="shared" si="128"/>
        <v>59</v>
      </c>
      <c r="W511" s="26">
        <f t="shared" si="114"/>
        <v>217.02</v>
      </c>
      <c r="X511" s="127">
        <f t="shared" si="129"/>
        <v>0</v>
      </c>
      <c r="Y511" s="127">
        <f t="shared" si="107"/>
        <v>59</v>
      </c>
      <c r="Z511" s="127">
        <f t="shared" si="130"/>
        <v>0</v>
      </c>
      <c r="AA511" s="127">
        <f t="shared" si="131"/>
        <v>12804.18</v>
      </c>
      <c r="AB511" s="33" t="s">
        <v>15</v>
      </c>
      <c r="AC511" s="324"/>
      <c r="AD511" s="181">
        <f t="shared" si="113"/>
        <v>59</v>
      </c>
      <c r="AE511" s="181">
        <f t="shared" si="132"/>
        <v>12804.18</v>
      </c>
      <c r="AF511" s="181">
        <v>5</v>
      </c>
      <c r="AG511" s="181">
        <v>5</v>
      </c>
      <c r="AH511" s="363" t="str">
        <f t="shared" si="121"/>
        <v/>
      </c>
      <c r="AI511" s="194">
        <v>59</v>
      </c>
      <c r="AJ511" s="188">
        <v>59</v>
      </c>
      <c r="AO511" s="367"/>
      <c r="AP511" s="367"/>
      <c r="AQ511" s="367"/>
    </row>
    <row r="512" spans="1:43" s="69" customFormat="1" ht="26.1" customHeight="1" x14ac:dyDescent="0.3">
      <c r="A512" s="130" t="s">
        <v>1166</v>
      </c>
      <c r="B512" s="131" t="s">
        <v>1167</v>
      </c>
      <c r="C512" s="132" t="s">
        <v>559</v>
      </c>
      <c r="D512" s="133">
        <v>30</v>
      </c>
      <c r="E512" s="75"/>
      <c r="F512" s="75"/>
      <c r="G512" s="75"/>
      <c r="H512" s="75"/>
      <c r="I512" s="328"/>
      <c r="J512" s="75">
        <v>50</v>
      </c>
      <c r="K512" s="75">
        <v>1500</v>
      </c>
      <c r="L512" s="91" t="s">
        <v>1168</v>
      </c>
      <c r="M512" s="73"/>
      <c r="N512" s="46">
        <v>30</v>
      </c>
      <c r="O512" s="46">
        <v>0</v>
      </c>
      <c r="P512" s="46">
        <v>1500</v>
      </c>
      <c r="Q512" s="98"/>
      <c r="R512" s="23" t="s">
        <v>1373</v>
      </c>
      <c r="S512" s="24" t="s">
        <v>1167</v>
      </c>
      <c r="T512" s="25" t="s">
        <v>559</v>
      </c>
      <c r="U512" s="26">
        <v>30</v>
      </c>
      <c r="V512" s="26">
        <f t="shared" si="128"/>
        <v>30</v>
      </c>
      <c r="W512" s="26">
        <f t="shared" si="114"/>
        <v>50</v>
      </c>
      <c r="X512" s="127">
        <f t="shared" si="129"/>
        <v>0</v>
      </c>
      <c r="Y512" s="127">
        <f t="shared" si="107"/>
        <v>30</v>
      </c>
      <c r="Z512" s="127">
        <f t="shared" si="130"/>
        <v>0</v>
      </c>
      <c r="AA512" s="127">
        <f t="shared" si="131"/>
        <v>1500</v>
      </c>
      <c r="AB512" s="33" t="s">
        <v>15</v>
      </c>
      <c r="AC512" s="324"/>
      <c r="AD512" s="181">
        <f t="shared" si="113"/>
        <v>30</v>
      </c>
      <c r="AE512" s="181">
        <f t="shared" si="132"/>
        <v>1500</v>
      </c>
      <c r="AF512" s="181">
        <v>5</v>
      </c>
      <c r="AG512" s="181">
        <v>5</v>
      </c>
      <c r="AH512" s="363" t="str">
        <f t="shared" si="121"/>
        <v/>
      </c>
      <c r="AI512" s="194">
        <v>30</v>
      </c>
      <c r="AJ512" s="188">
        <v>30</v>
      </c>
      <c r="AO512" s="367"/>
      <c r="AP512" s="367"/>
      <c r="AQ512" s="367"/>
    </row>
    <row r="513" spans="1:43" s="69" customFormat="1" ht="26.1" customHeight="1" x14ac:dyDescent="0.3">
      <c r="A513" s="130" t="s">
        <v>1169</v>
      </c>
      <c r="B513" s="131" t="s">
        <v>1170</v>
      </c>
      <c r="C513" s="132" t="s">
        <v>81</v>
      </c>
      <c r="D513" s="133">
        <v>9</v>
      </c>
      <c r="E513" s="75"/>
      <c r="F513" s="75"/>
      <c r="G513" s="75"/>
      <c r="H513" s="75"/>
      <c r="I513" s="328"/>
      <c r="J513" s="75">
        <v>1900.97</v>
      </c>
      <c r="K513" s="75">
        <v>17108.73</v>
      </c>
      <c r="L513" s="91" t="s">
        <v>1171</v>
      </c>
      <c r="M513" s="73"/>
      <c r="N513" s="46">
        <v>9</v>
      </c>
      <c r="O513" s="46">
        <v>0</v>
      </c>
      <c r="P513" s="46">
        <v>17108.73</v>
      </c>
      <c r="Q513" s="98"/>
      <c r="R513" s="23" t="s">
        <v>1393</v>
      </c>
      <c r="S513" s="24" t="s">
        <v>1170</v>
      </c>
      <c r="T513" s="25" t="s">
        <v>81</v>
      </c>
      <c r="U513" s="26">
        <v>9</v>
      </c>
      <c r="V513" s="26">
        <f t="shared" si="128"/>
        <v>9</v>
      </c>
      <c r="W513" s="26">
        <f t="shared" si="114"/>
        <v>1900.97</v>
      </c>
      <c r="X513" s="127">
        <f t="shared" si="129"/>
        <v>0</v>
      </c>
      <c r="Y513" s="127">
        <f t="shared" si="107"/>
        <v>9</v>
      </c>
      <c r="Z513" s="127">
        <f t="shared" si="130"/>
        <v>0</v>
      </c>
      <c r="AA513" s="127">
        <f t="shared" si="131"/>
        <v>17108.73</v>
      </c>
      <c r="AB513" s="33" t="s">
        <v>15</v>
      </c>
      <c r="AC513" s="324"/>
      <c r="AD513" s="181">
        <f t="shared" si="113"/>
        <v>9</v>
      </c>
      <c r="AE513" s="181">
        <f t="shared" si="132"/>
        <v>17108.73</v>
      </c>
      <c r="AF513" s="181">
        <v>5</v>
      </c>
      <c r="AG513" s="181">
        <v>5</v>
      </c>
      <c r="AH513" s="363" t="str">
        <f t="shared" si="121"/>
        <v/>
      </c>
      <c r="AI513" s="192">
        <v>9</v>
      </c>
      <c r="AJ513" s="188">
        <v>9</v>
      </c>
      <c r="AO513" s="367"/>
      <c r="AP513" s="367"/>
      <c r="AQ513" s="367"/>
    </row>
    <row r="514" spans="1:43" s="69" customFormat="1" ht="26.1" customHeight="1" x14ac:dyDescent="0.3">
      <c r="A514" s="130" t="s">
        <v>1172</v>
      </c>
      <c r="B514" s="131" t="s">
        <v>1173</v>
      </c>
      <c r="C514" s="132" t="s">
        <v>81</v>
      </c>
      <c r="D514" s="133">
        <v>5</v>
      </c>
      <c r="E514" s="75"/>
      <c r="F514" s="75"/>
      <c r="G514" s="75"/>
      <c r="H514" s="75"/>
      <c r="I514" s="328"/>
      <c r="J514" s="75">
        <v>1230.75</v>
      </c>
      <c r="K514" s="75">
        <v>6153.75</v>
      </c>
      <c r="L514" s="91" t="s">
        <v>1174</v>
      </c>
      <c r="M514" s="73"/>
      <c r="N514" s="46">
        <v>5</v>
      </c>
      <c r="O514" s="46">
        <v>0</v>
      </c>
      <c r="P514" s="46">
        <v>6153.75</v>
      </c>
      <c r="Q514" s="98"/>
      <c r="R514" s="23" t="s">
        <v>1403</v>
      </c>
      <c r="S514" s="24" t="s">
        <v>1173</v>
      </c>
      <c r="T514" s="25" t="s">
        <v>81</v>
      </c>
      <c r="U514" s="26">
        <v>5</v>
      </c>
      <c r="V514" s="26">
        <f t="shared" si="128"/>
        <v>5</v>
      </c>
      <c r="W514" s="26">
        <f t="shared" si="114"/>
        <v>1230.75</v>
      </c>
      <c r="X514" s="127">
        <f t="shared" si="129"/>
        <v>0</v>
      </c>
      <c r="Y514" s="127">
        <f t="shared" si="107"/>
        <v>5</v>
      </c>
      <c r="Z514" s="127">
        <f t="shared" si="130"/>
        <v>0</v>
      </c>
      <c r="AA514" s="127">
        <f t="shared" si="131"/>
        <v>6153.75</v>
      </c>
      <c r="AB514" s="33" t="s">
        <v>15</v>
      </c>
      <c r="AC514" s="324"/>
      <c r="AD514" s="181">
        <f t="shared" si="113"/>
        <v>5</v>
      </c>
      <c r="AE514" s="181">
        <f t="shared" si="132"/>
        <v>6153.75</v>
      </c>
      <c r="AF514" s="181">
        <v>5</v>
      </c>
      <c r="AG514" s="181">
        <v>5</v>
      </c>
      <c r="AH514" s="363" t="str">
        <f t="shared" si="121"/>
        <v/>
      </c>
      <c r="AI514" s="192">
        <v>5</v>
      </c>
      <c r="AJ514" s="188">
        <v>5</v>
      </c>
      <c r="AO514" s="367"/>
      <c r="AP514" s="367"/>
      <c r="AQ514" s="367"/>
    </row>
    <row r="515" spans="1:43" s="69" customFormat="1" ht="24.75" x14ac:dyDescent="0.3">
      <c r="A515" s="55" t="s">
        <v>1175</v>
      </c>
      <c r="B515" s="53" t="s">
        <v>1176</v>
      </c>
      <c r="C515" s="54" t="s">
        <v>81</v>
      </c>
      <c r="D515" s="75">
        <v>756</v>
      </c>
      <c r="E515" s="75"/>
      <c r="F515" s="75"/>
      <c r="G515" s="75"/>
      <c r="H515" s="75"/>
      <c r="I515" s="328"/>
      <c r="J515" s="75">
        <v>1666.11</v>
      </c>
      <c r="K515" s="75">
        <v>1259579.1599999999</v>
      </c>
      <c r="L515" s="91" t="s">
        <v>1177</v>
      </c>
      <c r="M515" s="73"/>
      <c r="N515" s="46">
        <v>681</v>
      </c>
      <c r="O515" s="46">
        <v>36654.419999999925</v>
      </c>
      <c r="P515" s="46">
        <v>1134620.9099999999</v>
      </c>
      <c r="Q515" s="98"/>
      <c r="R515" s="23" t="s">
        <v>1427</v>
      </c>
      <c r="S515" s="24" t="s">
        <v>1176</v>
      </c>
      <c r="T515" s="25" t="s">
        <v>81</v>
      </c>
      <c r="U515" s="26">
        <v>756</v>
      </c>
      <c r="V515" s="26">
        <f t="shared" si="128"/>
        <v>756</v>
      </c>
      <c r="W515" s="26">
        <f t="shared" si="114"/>
        <v>1666.11</v>
      </c>
      <c r="X515" s="128">
        <f t="shared" si="129"/>
        <v>0</v>
      </c>
      <c r="Y515" s="26">
        <f t="shared" si="107"/>
        <v>681</v>
      </c>
      <c r="Z515" s="26">
        <f t="shared" si="130"/>
        <v>0</v>
      </c>
      <c r="AA515" s="26">
        <f t="shared" si="131"/>
        <v>1134620.9099999999</v>
      </c>
      <c r="AB515" s="33" t="s">
        <v>15</v>
      </c>
      <c r="AC515" s="324"/>
      <c r="AD515" s="181">
        <f t="shared" si="113"/>
        <v>756</v>
      </c>
      <c r="AE515" s="181">
        <f t="shared" si="132"/>
        <v>1259579.1599999999</v>
      </c>
      <c r="AF515" s="181">
        <v>5</v>
      </c>
      <c r="AG515" s="181">
        <v>5</v>
      </c>
      <c r="AH515" s="363" t="str">
        <f t="shared" si="121"/>
        <v/>
      </c>
      <c r="AI515" s="194">
        <f>471+52+26+22+52+20+16+22</f>
        <v>681</v>
      </c>
      <c r="AJ515" s="188">
        <v>756</v>
      </c>
      <c r="AO515" s="367"/>
      <c r="AP515" s="367"/>
      <c r="AQ515" s="367"/>
    </row>
    <row r="516" spans="1:43" s="69" customFormat="1" ht="49.5" customHeight="1" x14ac:dyDescent="0.3">
      <c r="A516" s="130" t="s">
        <v>1178</v>
      </c>
      <c r="B516" s="240" t="s">
        <v>1179</v>
      </c>
      <c r="C516" s="132" t="s">
        <v>81</v>
      </c>
      <c r="D516" s="133">
        <v>2</v>
      </c>
      <c r="E516" s="75"/>
      <c r="F516" s="75"/>
      <c r="G516" s="75"/>
      <c r="H516" s="75"/>
      <c r="I516" s="328">
        <v>3</v>
      </c>
      <c r="J516" s="75">
        <v>48513</v>
      </c>
      <c r="K516" s="75">
        <v>145539</v>
      </c>
      <c r="L516" s="91" t="s">
        <v>1180</v>
      </c>
      <c r="M516" s="73"/>
      <c r="N516" s="46">
        <v>2</v>
      </c>
      <c r="O516" s="46">
        <v>0</v>
      </c>
      <c r="P516" s="46">
        <v>97026</v>
      </c>
      <c r="Q516" s="98"/>
      <c r="R516" s="23" t="s">
        <v>1428</v>
      </c>
      <c r="S516" s="24" t="s">
        <v>1179</v>
      </c>
      <c r="T516" s="25" t="s">
        <v>81</v>
      </c>
      <c r="U516" s="26">
        <v>2</v>
      </c>
      <c r="V516" s="26">
        <f t="shared" si="128"/>
        <v>3</v>
      </c>
      <c r="W516" s="26">
        <f t="shared" si="114"/>
        <v>48513</v>
      </c>
      <c r="X516" s="128">
        <f t="shared" si="129"/>
        <v>0</v>
      </c>
      <c r="Y516" s="127">
        <v>2</v>
      </c>
      <c r="Z516" s="127">
        <f t="shared" si="130"/>
        <v>0</v>
      </c>
      <c r="AA516" s="127">
        <f t="shared" si="131"/>
        <v>97026</v>
      </c>
      <c r="AB516" s="33" t="s">
        <v>15</v>
      </c>
      <c r="AC516" s="324"/>
      <c r="AD516" s="181">
        <f t="shared" si="113"/>
        <v>3</v>
      </c>
      <c r="AE516" s="181">
        <f t="shared" si="132"/>
        <v>145539</v>
      </c>
      <c r="AF516" s="181">
        <v>5</v>
      </c>
      <c r="AG516" s="181">
        <v>5</v>
      </c>
      <c r="AH516" s="363" t="str">
        <f t="shared" si="121"/>
        <v/>
      </c>
      <c r="AI516" s="194">
        <f>2</f>
        <v>2</v>
      </c>
      <c r="AJ516" s="190">
        <v>3</v>
      </c>
      <c r="AO516" s="367"/>
      <c r="AP516" s="367"/>
      <c r="AQ516" s="367"/>
    </row>
    <row r="517" spans="1:43" s="69" customFormat="1" ht="58.5" x14ac:dyDescent="0.3">
      <c r="A517" s="130" t="s">
        <v>1181</v>
      </c>
      <c r="B517" s="131" t="s">
        <v>1182</v>
      </c>
      <c r="C517" s="132" t="s">
        <v>1183</v>
      </c>
      <c r="D517" s="133">
        <v>18</v>
      </c>
      <c r="E517" s="75">
        <v>38</v>
      </c>
      <c r="F517" s="75"/>
      <c r="G517" s="75"/>
      <c r="H517" s="75"/>
      <c r="I517" s="75"/>
      <c r="J517" s="75">
        <v>587.1</v>
      </c>
      <c r="K517" s="75">
        <v>22309.8</v>
      </c>
      <c r="L517" s="91" t="s">
        <v>1184</v>
      </c>
      <c r="M517" s="73"/>
      <c r="N517" s="46">
        <v>38</v>
      </c>
      <c r="O517" s="46">
        <v>0</v>
      </c>
      <c r="P517" s="46">
        <v>22309.8</v>
      </c>
      <c r="Q517" s="98"/>
      <c r="R517" s="23" t="s">
        <v>1387</v>
      </c>
      <c r="S517" s="24" t="s">
        <v>1182</v>
      </c>
      <c r="T517" s="25" t="s">
        <v>1183</v>
      </c>
      <c r="U517" s="26">
        <v>18</v>
      </c>
      <c r="V517" s="26">
        <f t="shared" si="128"/>
        <v>38</v>
      </c>
      <c r="W517" s="26">
        <f t="shared" si="114"/>
        <v>587.1</v>
      </c>
      <c r="X517" s="127">
        <f t="shared" si="129"/>
        <v>0</v>
      </c>
      <c r="Y517" s="127">
        <f t="shared" ref="Y517:Y551" si="133">X517+N517</f>
        <v>38</v>
      </c>
      <c r="Z517" s="127">
        <f t="shared" si="130"/>
        <v>0</v>
      </c>
      <c r="AA517" s="127">
        <f t="shared" si="131"/>
        <v>22309.8</v>
      </c>
      <c r="AB517" s="27" t="s">
        <v>15</v>
      </c>
      <c r="AC517" s="324"/>
      <c r="AD517" s="181">
        <f t="shared" si="113"/>
        <v>38</v>
      </c>
      <c r="AE517" s="181">
        <f t="shared" si="132"/>
        <v>22309.8</v>
      </c>
      <c r="AF517" s="181">
        <v>5</v>
      </c>
      <c r="AG517" s="181">
        <v>5</v>
      </c>
      <c r="AH517" s="363" t="str">
        <f t="shared" si="121"/>
        <v/>
      </c>
      <c r="AI517" s="194">
        <v>38</v>
      </c>
      <c r="AJ517" s="188">
        <v>38</v>
      </c>
      <c r="AO517" s="367"/>
      <c r="AP517" s="367"/>
      <c r="AQ517" s="367"/>
    </row>
    <row r="518" spans="1:43" s="69" customFormat="1" ht="33.75" customHeight="1" x14ac:dyDescent="0.3">
      <c r="A518" s="55" t="s">
        <v>1185</v>
      </c>
      <c r="B518" s="53" t="s">
        <v>1186</v>
      </c>
      <c r="C518" s="54" t="s">
        <v>162</v>
      </c>
      <c r="D518" s="75">
        <v>9</v>
      </c>
      <c r="E518" s="75"/>
      <c r="F518" s="75"/>
      <c r="G518" s="75"/>
      <c r="H518" s="75"/>
      <c r="I518" s="75"/>
      <c r="J518" s="75">
        <v>664.14</v>
      </c>
      <c r="K518" s="75">
        <v>5977.26</v>
      </c>
      <c r="L518" s="91" t="s">
        <v>1187</v>
      </c>
      <c r="M518" s="73"/>
      <c r="N518" s="46">
        <v>5</v>
      </c>
      <c r="O518" s="46">
        <v>3320.7</v>
      </c>
      <c r="P518" s="46">
        <v>3320.7</v>
      </c>
      <c r="Q518" s="98"/>
      <c r="R518" s="23" t="s">
        <v>1405</v>
      </c>
      <c r="S518" s="24" t="s">
        <v>1186</v>
      </c>
      <c r="T518" s="25" t="s">
        <v>162</v>
      </c>
      <c r="U518" s="26">
        <v>9</v>
      </c>
      <c r="V518" s="26">
        <f t="shared" si="128"/>
        <v>9</v>
      </c>
      <c r="W518" s="26">
        <f t="shared" si="114"/>
        <v>664.14</v>
      </c>
      <c r="X518" s="128">
        <f t="shared" si="129"/>
        <v>0</v>
      </c>
      <c r="Y518" s="26">
        <f t="shared" si="133"/>
        <v>5</v>
      </c>
      <c r="Z518" s="26">
        <f t="shared" si="130"/>
        <v>0</v>
      </c>
      <c r="AA518" s="26">
        <f t="shared" si="131"/>
        <v>3320.7</v>
      </c>
      <c r="AB518" s="33" t="s">
        <v>15</v>
      </c>
      <c r="AC518" s="324"/>
      <c r="AD518" s="181">
        <f t="shared" si="113"/>
        <v>9</v>
      </c>
      <c r="AE518" s="181">
        <f t="shared" si="132"/>
        <v>5977.26</v>
      </c>
      <c r="AF518" s="181">
        <v>5</v>
      </c>
      <c r="AG518" s="181">
        <v>5</v>
      </c>
      <c r="AH518" s="363" t="str">
        <f t="shared" si="121"/>
        <v/>
      </c>
      <c r="AI518" s="194">
        <f>5</f>
        <v>5</v>
      </c>
      <c r="AJ518" s="188">
        <v>9</v>
      </c>
      <c r="AO518" s="367"/>
      <c r="AP518" s="367"/>
      <c r="AQ518" s="367"/>
    </row>
    <row r="519" spans="1:43" s="69" customFormat="1" ht="39" x14ac:dyDescent="0.3">
      <c r="A519" s="55" t="s">
        <v>1188</v>
      </c>
      <c r="B519" s="53" t="s">
        <v>1189</v>
      </c>
      <c r="C519" s="54" t="s">
        <v>81</v>
      </c>
      <c r="D519" s="75">
        <v>68</v>
      </c>
      <c r="E519" s="75"/>
      <c r="F519" s="75"/>
      <c r="G519" s="75"/>
      <c r="H519" s="75"/>
      <c r="I519" s="75"/>
      <c r="J519" s="75">
        <v>847.07</v>
      </c>
      <c r="K519" s="75">
        <v>57600.76</v>
      </c>
      <c r="L519" s="91" t="s">
        <v>1190</v>
      </c>
      <c r="M519" s="73"/>
      <c r="N519" s="46">
        <v>40</v>
      </c>
      <c r="O519" s="46">
        <v>0</v>
      </c>
      <c r="P519" s="46">
        <v>33882.800000000003</v>
      </c>
      <c r="Q519" s="98"/>
      <c r="R519" s="23" t="s">
        <v>1406</v>
      </c>
      <c r="S519" s="24" t="s">
        <v>1189</v>
      </c>
      <c r="T519" s="25" t="s">
        <v>81</v>
      </c>
      <c r="U519" s="26">
        <v>68</v>
      </c>
      <c r="V519" s="26">
        <f t="shared" si="128"/>
        <v>68</v>
      </c>
      <c r="W519" s="26">
        <f t="shared" si="114"/>
        <v>847.07</v>
      </c>
      <c r="X519" s="128">
        <f t="shared" si="129"/>
        <v>0</v>
      </c>
      <c r="Y519" s="26">
        <f t="shared" si="133"/>
        <v>40</v>
      </c>
      <c r="Z519" s="26">
        <f t="shared" si="130"/>
        <v>0</v>
      </c>
      <c r="AA519" s="26">
        <f t="shared" si="131"/>
        <v>33882.800000000003</v>
      </c>
      <c r="AB519" s="33" t="s">
        <v>15</v>
      </c>
      <c r="AC519" s="324"/>
      <c r="AD519" s="181">
        <f t="shared" si="113"/>
        <v>68</v>
      </c>
      <c r="AE519" s="181">
        <f t="shared" si="132"/>
        <v>57600.76</v>
      </c>
      <c r="AF519" s="181">
        <v>5</v>
      </c>
      <c r="AG519" s="181">
        <v>5</v>
      </c>
      <c r="AH519" s="363" t="str">
        <f t="shared" si="121"/>
        <v/>
      </c>
      <c r="AI519" s="192">
        <v>40</v>
      </c>
      <c r="AJ519" s="188">
        <v>68</v>
      </c>
      <c r="AO519" s="367"/>
      <c r="AP519" s="367"/>
      <c r="AQ519" s="367"/>
    </row>
    <row r="520" spans="1:43" s="69" customFormat="1" ht="41.25" x14ac:dyDescent="0.3">
      <c r="A520" s="130" t="s">
        <v>1191</v>
      </c>
      <c r="B520" s="131" t="s">
        <v>1192</v>
      </c>
      <c r="C520" s="132" t="s">
        <v>30</v>
      </c>
      <c r="D520" s="133">
        <v>27.54</v>
      </c>
      <c r="E520" s="75"/>
      <c r="F520" s="75">
        <v>87.54</v>
      </c>
      <c r="G520" s="75"/>
      <c r="H520" s="75"/>
      <c r="I520" s="75"/>
      <c r="J520" s="75">
        <v>293.74</v>
      </c>
      <c r="K520" s="75">
        <v>25714</v>
      </c>
      <c r="L520" s="91" t="s">
        <v>1193</v>
      </c>
      <c r="M520" s="73"/>
      <c r="N520" s="46">
        <v>87.54</v>
      </c>
      <c r="O520" s="46">
        <v>0</v>
      </c>
      <c r="P520" s="46">
        <v>25714</v>
      </c>
      <c r="Q520" s="98"/>
      <c r="R520" s="23" t="s">
        <v>1414</v>
      </c>
      <c r="S520" s="24" t="s">
        <v>1192</v>
      </c>
      <c r="T520" s="25" t="s">
        <v>30</v>
      </c>
      <c r="U520" s="26">
        <v>27.54</v>
      </c>
      <c r="V520" s="26">
        <f t="shared" si="128"/>
        <v>87.54</v>
      </c>
      <c r="W520" s="26">
        <f t="shared" si="114"/>
        <v>293.74</v>
      </c>
      <c r="X520" s="127">
        <f t="shared" si="129"/>
        <v>0</v>
      </c>
      <c r="Y520" s="127">
        <f t="shared" si="133"/>
        <v>87.54</v>
      </c>
      <c r="Z520" s="127">
        <f t="shared" si="130"/>
        <v>0</v>
      </c>
      <c r="AA520" s="127">
        <f t="shared" si="131"/>
        <v>25714</v>
      </c>
      <c r="AB520" s="27" t="s">
        <v>15</v>
      </c>
      <c r="AC520" s="324"/>
      <c r="AD520" s="181">
        <f t="shared" si="113"/>
        <v>87.54</v>
      </c>
      <c r="AE520" s="181">
        <f t="shared" si="132"/>
        <v>25714</v>
      </c>
      <c r="AF520" s="181">
        <v>5</v>
      </c>
      <c r="AG520" s="181">
        <v>5</v>
      </c>
      <c r="AH520" s="363" t="str">
        <f t="shared" si="121"/>
        <v/>
      </c>
      <c r="AI520" s="192">
        <v>87.54</v>
      </c>
      <c r="AJ520" s="188">
        <v>87.54</v>
      </c>
      <c r="AO520" s="367"/>
      <c r="AP520" s="367"/>
      <c r="AQ520" s="367"/>
    </row>
    <row r="521" spans="1:43" s="69" customFormat="1" ht="33" customHeight="1" x14ac:dyDescent="0.3">
      <c r="A521" s="130" t="s">
        <v>1194</v>
      </c>
      <c r="B521" s="131" t="s">
        <v>1195</v>
      </c>
      <c r="C521" s="132" t="s">
        <v>1196</v>
      </c>
      <c r="D521" s="133">
        <v>2</v>
      </c>
      <c r="E521" s="75"/>
      <c r="F521" s="75"/>
      <c r="G521" s="76"/>
      <c r="H521" s="76"/>
      <c r="I521" s="76"/>
      <c r="J521" s="76">
        <v>10000</v>
      </c>
      <c r="K521" s="76">
        <v>20000</v>
      </c>
      <c r="L521" s="91" t="s">
        <v>1197</v>
      </c>
      <c r="M521" s="73"/>
      <c r="N521" s="46">
        <v>2</v>
      </c>
      <c r="O521" s="46">
        <v>0</v>
      </c>
      <c r="P521" s="46">
        <v>20000</v>
      </c>
      <c r="Q521" s="98"/>
      <c r="R521" s="23" t="s">
        <v>1429</v>
      </c>
      <c r="S521" s="24" t="s">
        <v>1195</v>
      </c>
      <c r="T521" s="25" t="s">
        <v>1196</v>
      </c>
      <c r="U521" s="26">
        <v>2</v>
      </c>
      <c r="V521" s="26">
        <f t="shared" si="128"/>
        <v>2</v>
      </c>
      <c r="W521" s="26">
        <f t="shared" si="114"/>
        <v>10000</v>
      </c>
      <c r="X521" s="127">
        <f t="shared" si="129"/>
        <v>0</v>
      </c>
      <c r="Y521" s="127">
        <f t="shared" si="133"/>
        <v>2</v>
      </c>
      <c r="Z521" s="127">
        <f t="shared" si="130"/>
        <v>0</v>
      </c>
      <c r="AA521" s="127">
        <f t="shared" si="131"/>
        <v>20000</v>
      </c>
      <c r="AB521" s="33" t="s">
        <v>15</v>
      </c>
      <c r="AC521" s="324"/>
      <c r="AD521" s="181">
        <f t="shared" si="113"/>
        <v>2</v>
      </c>
      <c r="AE521" s="181">
        <f t="shared" si="132"/>
        <v>20000</v>
      </c>
      <c r="AF521" s="181">
        <v>5</v>
      </c>
      <c r="AG521" s="181">
        <v>5</v>
      </c>
      <c r="AH521" s="363" t="str">
        <f t="shared" si="121"/>
        <v/>
      </c>
      <c r="AI521" s="192">
        <v>2</v>
      </c>
      <c r="AJ521" s="188">
        <v>2</v>
      </c>
      <c r="AO521" s="367"/>
      <c r="AP521" s="367"/>
      <c r="AQ521" s="367"/>
    </row>
    <row r="522" spans="1:43" s="69" customFormat="1" ht="33" customHeight="1" x14ac:dyDescent="0.3">
      <c r="A522" s="55" t="s">
        <v>1198</v>
      </c>
      <c r="B522" s="53" t="s">
        <v>1199</v>
      </c>
      <c r="C522" s="54" t="s">
        <v>30</v>
      </c>
      <c r="D522" s="75">
        <v>1064.31</v>
      </c>
      <c r="E522" s="75"/>
      <c r="F522" s="161"/>
      <c r="G522" s="158"/>
      <c r="H522" s="158"/>
      <c r="I522" s="158"/>
      <c r="J522" s="158">
        <v>210</v>
      </c>
      <c r="K522" s="158">
        <v>223505.1</v>
      </c>
      <c r="L522" s="321" t="s">
        <v>1200</v>
      </c>
      <c r="M522" s="73"/>
      <c r="N522" s="46">
        <v>1009.3</v>
      </c>
      <c r="O522" s="46">
        <v>4683</v>
      </c>
      <c r="P522" s="46">
        <v>211953</v>
      </c>
      <c r="Q522" s="98"/>
      <c r="R522" s="23" t="s">
        <v>1430</v>
      </c>
      <c r="S522" s="24" t="s">
        <v>1199</v>
      </c>
      <c r="T522" s="25" t="s">
        <v>30</v>
      </c>
      <c r="U522" s="26">
        <v>1064.31</v>
      </c>
      <c r="V522" s="26">
        <f t="shared" si="128"/>
        <v>1064.31</v>
      </c>
      <c r="W522" s="26">
        <f t="shared" si="114"/>
        <v>210</v>
      </c>
      <c r="X522" s="128">
        <f t="shared" si="129"/>
        <v>0</v>
      </c>
      <c r="Y522" s="26">
        <f t="shared" si="133"/>
        <v>1009.3</v>
      </c>
      <c r="Z522" s="26">
        <f t="shared" si="130"/>
        <v>0</v>
      </c>
      <c r="AA522" s="26">
        <f t="shared" si="131"/>
        <v>211953</v>
      </c>
      <c r="AB522" s="33" t="s">
        <v>15</v>
      </c>
      <c r="AC522" s="324"/>
      <c r="AD522" s="181">
        <f t="shared" ref="AD522:AD557" si="134">IF(V522=0,U522,V522)</f>
        <v>1064.31</v>
      </c>
      <c r="AE522" s="181">
        <f t="shared" si="132"/>
        <v>223505.1</v>
      </c>
      <c r="AF522" s="181">
        <v>5</v>
      </c>
      <c r="AG522" s="181">
        <v>5</v>
      </c>
      <c r="AH522" s="363" t="str">
        <f t="shared" si="121"/>
        <v/>
      </c>
      <c r="AI522" s="194">
        <f>845+110+32+22.3</f>
        <v>1009.3</v>
      </c>
      <c r="AJ522" s="188">
        <v>1064.31</v>
      </c>
      <c r="AO522" s="367"/>
      <c r="AP522" s="367"/>
      <c r="AQ522" s="367"/>
    </row>
    <row r="523" spans="1:43" s="69" customFormat="1" ht="39" x14ac:dyDescent="0.3">
      <c r="A523" s="55" t="s">
        <v>1201</v>
      </c>
      <c r="B523" s="53" t="s">
        <v>1202</v>
      </c>
      <c r="C523" s="54" t="s">
        <v>30</v>
      </c>
      <c r="D523" s="75">
        <v>1910.54</v>
      </c>
      <c r="E523" s="75"/>
      <c r="F523" s="161"/>
      <c r="G523" s="158"/>
      <c r="H523" s="158"/>
      <c r="I523" s="158"/>
      <c r="J523" s="158">
        <v>300</v>
      </c>
      <c r="K523" s="158">
        <v>573162</v>
      </c>
      <c r="L523" s="321" t="s">
        <v>1203</v>
      </c>
      <c r="M523" s="73"/>
      <c r="N523" s="46">
        <v>1712.1999999999998</v>
      </c>
      <c r="O523" s="46">
        <v>21540</v>
      </c>
      <c r="P523" s="46">
        <v>513660</v>
      </c>
      <c r="Q523" s="98"/>
      <c r="R523" s="23" t="s">
        <v>1431</v>
      </c>
      <c r="S523" s="24" t="s">
        <v>1202</v>
      </c>
      <c r="T523" s="25" t="s">
        <v>30</v>
      </c>
      <c r="U523" s="26">
        <v>1910.54</v>
      </c>
      <c r="V523" s="26">
        <f t="shared" si="128"/>
        <v>1910.54</v>
      </c>
      <c r="W523" s="26">
        <f t="shared" ref="W523:W557" si="135">J523</f>
        <v>300</v>
      </c>
      <c r="X523" s="243">
        <f t="shared" si="129"/>
        <v>81</v>
      </c>
      <c r="Y523" s="26">
        <f t="shared" si="133"/>
        <v>1793.1999999999998</v>
      </c>
      <c r="Z523" s="26">
        <f t="shared" si="130"/>
        <v>24300</v>
      </c>
      <c r="AA523" s="26">
        <f t="shared" si="131"/>
        <v>537960</v>
      </c>
      <c r="AB523" s="33" t="s">
        <v>15</v>
      </c>
      <c r="AC523" s="324"/>
      <c r="AD523" s="181">
        <f t="shared" si="134"/>
        <v>1910.54</v>
      </c>
      <c r="AE523" s="181">
        <f t="shared" si="132"/>
        <v>573162</v>
      </c>
      <c r="AF523" s="181">
        <v>5</v>
      </c>
      <c r="AG523" s="181">
        <v>5</v>
      </c>
      <c r="AH523" s="363" t="str">
        <f t="shared" si="121"/>
        <v/>
      </c>
      <c r="AI523" s="191">
        <f>1106+136+265.3+67.5+65.6+71.8+2.25*36</f>
        <v>1793.1999999999998</v>
      </c>
      <c r="AJ523" s="188">
        <v>1910.54</v>
      </c>
      <c r="AO523" s="367"/>
      <c r="AP523" s="367"/>
      <c r="AQ523" s="367"/>
    </row>
    <row r="524" spans="1:43" s="69" customFormat="1" ht="39" x14ac:dyDescent="0.3">
      <c r="A524" s="55" t="s">
        <v>1204</v>
      </c>
      <c r="B524" s="53" t="s">
        <v>1205</v>
      </c>
      <c r="C524" s="54" t="s">
        <v>30</v>
      </c>
      <c r="D524" s="75">
        <v>2738.45</v>
      </c>
      <c r="E524" s="75"/>
      <c r="F524" s="161"/>
      <c r="G524" s="158"/>
      <c r="H524" s="158"/>
      <c r="I524" s="158"/>
      <c r="J524" s="158">
        <v>200</v>
      </c>
      <c r="K524" s="158">
        <v>547690</v>
      </c>
      <c r="L524" s="321" t="s">
        <v>1206</v>
      </c>
      <c r="M524" s="73"/>
      <c r="N524" s="46">
        <v>2267.1</v>
      </c>
      <c r="O524" s="46">
        <v>7820</v>
      </c>
      <c r="P524" s="46">
        <v>453420</v>
      </c>
      <c r="Q524" s="98"/>
      <c r="R524" s="23" t="s">
        <v>1395</v>
      </c>
      <c r="S524" s="24" t="s">
        <v>1205</v>
      </c>
      <c r="T524" s="25" t="s">
        <v>30</v>
      </c>
      <c r="U524" s="26">
        <v>2738.45</v>
      </c>
      <c r="V524" s="26">
        <f t="shared" si="128"/>
        <v>2738.45</v>
      </c>
      <c r="W524" s="26">
        <f t="shared" si="135"/>
        <v>200</v>
      </c>
      <c r="X524" s="243">
        <f t="shared" si="129"/>
        <v>325</v>
      </c>
      <c r="Y524" s="26">
        <f t="shared" si="133"/>
        <v>2592.1</v>
      </c>
      <c r="Z524" s="26">
        <f t="shared" si="130"/>
        <v>65000</v>
      </c>
      <c r="AA524" s="26">
        <f t="shared" si="131"/>
        <v>518420</v>
      </c>
      <c r="AB524" s="33" t="s">
        <v>15</v>
      </c>
      <c r="AC524" s="324"/>
      <c r="AD524" s="181">
        <f t="shared" si="134"/>
        <v>2738.45</v>
      </c>
      <c r="AE524" s="181">
        <f t="shared" si="132"/>
        <v>547690</v>
      </c>
      <c r="AF524" s="181">
        <v>5</v>
      </c>
      <c r="AG524" s="181">
        <v>5</v>
      </c>
      <c r="AH524" s="363" t="str">
        <f t="shared" si="121"/>
        <v/>
      </c>
      <c r="AI524" s="191">
        <f>1256.3+192+337.2+121.2+215.8+36.8+68.7+39.1+325</f>
        <v>2592.1</v>
      </c>
      <c r="AJ524" s="188">
        <v>2738.45</v>
      </c>
      <c r="AO524" s="367"/>
      <c r="AP524" s="367"/>
      <c r="AQ524" s="367"/>
    </row>
    <row r="525" spans="1:43" s="69" customFormat="1" ht="33" customHeight="1" x14ac:dyDescent="0.3">
      <c r="A525" s="55" t="s">
        <v>1207</v>
      </c>
      <c r="B525" s="53" t="s">
        <v>1208</v>
      </c>
      <c r="C525" s="54" t="s">
        <v>14</v>
      </c>
      <c r="D525" s="75">
        <v>1</v>
      </c>
      <c r="E525" s="75"/>
      <c r="F525" s="224"/>
      <c r="G525" s="158"/>
      <c r="H525" s="158"/>
      <c r="I525" s="158"/>
      <c r="J525" s="158">
        <v>21460.9</v>
      </c>
      <c r="K525" s="158">
        <v>21460.9</v>
      </c>
      <c r="L525" s="321" t="s">
        <v>1209</v>
      </c>
      <c r="M525" s="73"/>
      <c r="N525" s="46">
        <v>0</v>
      </c>
      <c r="O525" s="46">
        <v>0</v>
      </c>
      <c r="P525" s="46">
        <v>0</v>
      </c>
      <c r="Q525" s="98"/>
      <c r="R525" s="23" t="s">
        <v>1432</v>
      </c>
      <c r="S525" s="24" t="s">
        <v>1208</v>
      </c>
      <c r="T525" s="25" t="s">
        <v>14</v>
      </c>
      <c r="U525" s="26">
        <v>1</v>
      </c>
      <c r="V525" s="26">
        <f t="shared" si="128"/>
        <v>1</v>
      </c>
      <c r="W525" s="26">
        <f t="shared" si="135"/>
        <v>21460.9</v>
      </c>
      <c r="X525" s="26">
        <f t="shared" si="129"/>
        <v>0</v>
      </c>
      <c r="Y525" s="26">
        <f t="shared" si="133"/>
        <v>0</v>
      </c>
      <c r="Z525" s="352">
        <f t="shared" si="130"/>
        <v>0</v>
      </c>
      <c r="AA525" s="26">
        <f t="shared" si="131"/>
        <v>0</v>
      </c>
      <c r="AB525" s="33" t="s">
        <v>15</v>
      </c>
      <c r="AC525" s="324"/>
      <c r="AD525" s="181">
        <f t="shared" si="134"/>
        <v>1</v>
      </c>
      <c r="AE525" s="181">
        <f t="shared" si="132"/>
        <v>21460.9</v>
      </c>
      <c r="AF525" s="181">
        <v>5</v>
      </c>
      <c r="AG525" s="181">
        <v>5</v>
      </c>
      <c r="AH525" s="363" t="str">
        <f t="shared" si="121"/>
        <v/>
      </c>
      <c r="AI525" s="192">
        <v>0</v>
      </c>
      <c r="AJ525" s="188">
        <v>1</v>
      </c>
      <c r="AO525" s="367"/>
      <c r="AP525" s="367"/>
      <c r="AQ525" s="367"/>
    </row>
    <row r="526" spans="1:43" s="69" customFormat="1" ht="39" x14ac:dyDescent="0.3">
      <c r="A526" s="251">
        <v>5.18</v>
      </c>
      <c r="B526" s="252" t="s">
        <v>1356</v>
      </c>
      <c r="C526" s="157" t="s">
        <v>97</v>
      </c>
      <c r="D526" s="253"/>
      <c r="E526" s="59">
        <v>720</v>
      </c>
      <c r="F526" s="57"/>
      <c r="G526" s="180"/>
      <c r="H526" s="180"/>
      <c r="I526" s="180"/>
      <c r="J526" s="230">
        <v>273.11</v>
      </c>
      <c r="K526" s="59">
        <v>196639.2</v>
      </c>
      <c r="L526" s="322"/>
      <c r="M526" s="73"/>
      <c r="N526" s="46">
        <v>640</v>
      </c>
      <c r="O526" s="46">
        <v>0</v>
      </c>
      <c r="P526" s="46">
        <v>174790.39999999999</v>
      </c>
      <c r="Q526" s="98"/>
      <c r="R526" s="23" t="s">
        <v>1433</v>
      </c>
      <c r="S526" s="24" t="s">
        <v>1503</v>
      </c>
      <c r="T526" s="25" t="s">
        <v>97</v>
      </c>
      <c r="U526" s="26">
        <v>0</v>
      </c>
      <c r="V526" s="26">
        <f t="shared" si="128"/>
        <v>720</v>
      </c>
      <c r="W526" s="26">
        <f t="shared" si="135"/>
        <v>273.11</v>
      </c>
      <c r="X526" s="128">
        <f t="shared" si="129"/>
        <v>0</v>
      </c>
      <c r="Y526" s="26">
        <f t="shared" si="133"/>
        <v>640</v>
      </c>
      <c r="Z526" s="26">
        <f t="shared" si="130"/>
        <v>0</v>
      </c>
      <c r="AA526" s="26">
        <f t="shared" si="131"/>
        <v>174790.39999999999</v>
      </c>
      <c r="AB526" s="27"/>
      <c r="AC526" s="324"/>
      <c r="AD526" s="181">
        <f t="shared" si="134"/>
        <v>720</v>
      </c>
      <c r="AE526" s="181">
        <f t="shared" si="132"/>
        <v>196639.2</v>
      </c>
      <c r="AF526" s="181">
        <v>5</v>
      </c>
      <c r="AG526" s="181">
        <v>5</v>
      </c>
      <c r="AH526" s="363" t="str">
        <f t="shared" si="121"/>
        <v/>
      </c>
      <c r="AI526" s="194">
        <v>640</v>
      </c>
      <c r="AJ526" s="188">
        <v>720</v>
      </c>
      <c r="AO526" s="367"/>
      <c r="AP526" s="367"/>
      <c r="AQ526" s="367"/>
    </row>
    <row r="527" spans="1:43" s="69" customFormat="1" ht="58.5" x14ac:dyDescent="0.3">
      <c r="A527" s="144">
        <v>5.19</v>
      </c>
      <c r="B527" s="145" t="s">
        <v>1357</v>
      </c>
      <c r="C527" s="206" t="s">
        <v>30</v>
      </c>
      <c r="D527" s="221"/>
      <c r="E527" s="175">
        <v>212</v>
      </c>
      <c r="F527" s="57"/>
      <c r="G527" s="180"/>
      <c r="H527" s="180"/>
      <c r="I527" s="180"/>
      <c r="J527" s="230">
        <v>1859.87</v>
      </c>
      <c r="K527" s="59">
        <v>394292.44</v>
      </c>
      <c r="L527" s="323"/>
      <c r="M527" s="73"/>
      <c r="N527" s="46">
        <v>212</v>
      </c>
      <c r="O527" s="46">
        <v>0</v>
      </c>
      <c r="P527" s="46">
        <v>394292.44</v>
      </c>
      <c r="Q527" s="98"/>
      <c r="R527" s="23" t="s">
        <v>1382</v>
      </c>
      <c r="S527" s="24" t="s">
        <v>1504</v>
      </c>
      <c r="T527" s="25" t="s">
        <v>30</v>
      </c>
      <c r="U527" s="26">
        <v>0</v>
      </c>
      <c r="V527" s="26">
        <f t="shared" si="128"/>
        <v>212</v>
      </c>
      <c r="W527" s="26">
        <f t="shared" si="135"/>
        <v>1859.87</v>
      </c>
      <c r="X527" s="127">
        <f t="shared" si="129"/>
        <v>0</v>
      </c>
      <c r="Y527" s="127">
        <f t="shared" si="133"/>
        <v>212</v>
      </c>
      <c r="Z527" s="127">
        <f t="shared" si="130"/>
        <v>0</v>
      </c>
      <c r="AA527" s="127">
        <f t="shared" si="131"/>
        <v>394292.44</v>
      </c>
      <c r="AB527" s="27"/>
      <c r="AC527" s="324"/>
      <c r="AD527" s="181">
        <f t="shared" si="134"/>
        <v>212</v>
      </c>
      <c r="AE527" s="181">
        <f t="shared" si="132"/>
        <v>394292.44</v>
      </c>
      <c r="AF527" s="181">
        <v>5</v>
      </c>
      <c r="AG527" s="181">
        <v>5</v>
      </c>
      <c r="AH527" s="363" t="str">
        <f t="shared" si="121"/>
        <v/>
      </c>
      <c r="AI527" s="192">
        <v>212</v>
      </c>
      <c r="AJ527" s="188">
        <v>212</v>
      </c>
      <c r="AO527" s="367"/>
      <c r="AP527" s="367"/>
      <c r="AQ527" s="367"/>
    </row>
    <row r="528" spans="1:43" s="69" customFormat="1" ht="39" x14ac:dyDescent="0.3">
      <c r="A528" s="210" t="s">
        <v>3106</v>
      </c>
      <c r="B528" s="208" t="s">
        <v>3107</v>
      </c>
      <c r="C528" s="204" t="s">
        <v>14</v>
      </c>
      <c r="D528" s="208"/>
      <c r="E528" s="159"/>
      <c r="F528" s="156"/>
      <c r="G528" s="156">
        <v>1</v>
      </c>
      <c r="H528" s="156"/>
      <c r="I528" s="156"/>
      <c r="J528" s="158">
        <v>263694.64</v>
      </c>
      <c r="K528" s="159">
        <v>263694.64</v>
      </c>
      <c r="L528" s="160"/>
      <c r="M528" s="73"/>
      <c r="N528" s="46">
        <v>1</v>
      </c>
      <c r="O528" s="46">
        <v>0</v>
      </c>
      <c r="P528" s="46">
        <v>263694.64</v>
      </c>
      <c r="Q528" s="98"/>
      <c r="R528" s="23" t="s">
        <v>3108</v>
      </c>
      <c r="S528" s="24" t="s">
        <v>3107</v>
      </c>
      <c r="T528" s="25" t="s">
        <v>14</v>
      </c>
      <c r="U528" s="26"/>
      <c r="V528" s="26">
        <f t="shared" si="128"/>
        <v>1</v>
      </c>
      <c r="W528" s="26">
        <f t="shared" si="135"/>
        <v>263694.64</v>
      </c>
      <c r="X528" s="127">
        <f t="shared" si="129"/>
        <v>0</v>
      </c>
      <c r="Y528" s="127">
        <f t="shared" si="133"/>
        <v>1</v>
      </c>
      <c r="Z528" s="127">
        <f t="shared" si="130"/>
        <v>0</v>
      </c>
      <c r="AA528" s="127">
        <f t="shared" si="131"/>
        <v>263694.64</v>
      </c>
      <c r="AB528" s="27"/>
      <c r="AC528" s="324"/>
      <c r="AD528" s="181">
        <f t="shared" si="134"/>
        <v>1</v>
      </c>
      <c r="AE528" s="181">
        <f t="shared" si="132"/>
        <v>263694.64</v>
      </c>
      <c r="AF528" s="181">
        <v>5</v>
      </c>
      <c r="AG528" s="181">
        <v>5</v>
      </c>
      <c r="AH528" s="363"/>
      <c r="AI528" s="192">
        <v>1</v>
      </c>
      <c r="AJ528" s="188">
        <v>1</v>
      </c>
      <c r="AO528" s="367"/>
      <c r="AP528" s="367"/>
      <c r="AQ528" s="367"/>
    </row>
    <row r="529" spans="1:43" s="69" customFormat="1" x14ac:dyDescent="0.3">
      <c r="A529" s="150" t="s">
        <v>1210</v>
      </c>
      <c r="B529" s="151" t="s">
        <v>1211</v>
      </c>
      <c r="C529" s="152" t="s">
        <v>14</v>
      </c>
      <c r="D529" s="153">
        <v>1</v>
      </c>
      <c r="E529" s="153"/>
      <c r="F529" s="153"/>
      <c r="G529" s="153"/>
      <c r="H529" s="153"/>
      <c r="I529" s="153"/>
      <c r="J529" s="153">
        <v>3523470.96</v>
      </c>
      <c r="K529" s="153">
        <v>3523470.96</v>
      </c>
      <c r="L529" s="154" t="s">
        <v>15</v>
      </c>
      <c r="M529" s="73"/>
      <c r="N529" s="42">
        <v>1</v>
      </c>
      <c r="O529" s="42">
        <v>103236</v>
      </c>
      <c r="P529" s="42">
        <v>3171437.8600000003</v>
      </c>
      <c r="Q529" s="98"/>
      <c r="R529" s="13" t="s">
        <v>1415</v>
      </c>
      <c r="S529" s="14" t="s">
        <v>1211</v>
      </c>
      <c r="T529" s="15" t="s">
        <v>14</v>
      </c>
      <c r="U529" s="16">
        <v>1</v>
      </c>
      <c r="V529" s="16"/>
      <c r="W529" s="16">
        <f t="shared" si="135"/>
        <v>3523470.96</v>
      </c>
      <c r="X529" s="16">
        <f t="shared" ref="X529:Y529" si="136">IF(Z529=0,0,1)</f>
        <v>1</v>
      </c>
      <c r="Y529" s="16">
        <f t="shared" si="136"/>
        <v>1</v>
      </c>
      <c r="Z529" s="16">
        <f>SUMIFS(Z:Z,AG:AG,AF529)</f>
        <v>94936</v>
      </c>
      <c r="AA529" s="16">
        <f>SUMIFS(AA:AA,AG:AG,AF529)</f>
        <v>3266373.8600000003</v>
      </c>
      <c r="AB529" s="17" t="s">
        <v>15</v>
      </c>
      <c r="AC529" s="232"/>
      <c r="AD529" s="181">
        <f t="shared" si="134"/>
        <v>1</v>
      </c>
      <c r="AE529" s="183"/>
      <c r="AF529" s="183">
        <v>6</v>
      </c>
      <c r="AG529" s="183"/>
      <c r="AH529" s="363" t="str">
        <f t="shared" si="121"/>
        <v/>
      </c>
      <c r="AI529" s="192">
        <v>1</v>
      </c>
      <c r="AJ529" s="188">
        <v>1</v>
      </c>
      <c r="AO529" s="367"/>
      <c r="AP529" s="367"/>
      <c r="AQ529" s="367"/>
    </row>
    <row r="530" spans="1:43" s="69" customFormat="1" ht="33" customHeight="1" x14ac:dyDescent="0.3">
      <c r="A530" s="130" t="s">
        <v>1212</v>
      </c>
      <c r="B530" s="131" t="s">
        <v>1213</v>
      </c>
      <c r="C530" s="132" t="s">
        <v>1014</v>
      </c>
      <c r="D530" s="133">
        <v>10</v>
      </c>
      <c r="E530" s="75"/>
      <c r="F530" s="75"/>
      <c r="G530" s="75"/>
      <c r="H530" s="75"/>
      <c r="I530" s="75"/>
      <c r="J530" s="75">
        <v>770</v>
      </c>
      <c r="K530" s="75">
        <v>7700</v>
      </c>
      <c r="L530" s="91" t="s">
        <v>1214</v>
      </c>
      <c r="M530" s="73"/>
      <c r="N530" s="46">
        <v>10</v>
      </c>
      <c r="O530" s="46">
        <v>0</v>
      </c>
      <c r="P530" s="46">
        <v>7700</v>
      </c>
      <c r="Q530" s="98"/>
      <c r="R530" s="23" t="s">
        <v>1421</v>
      </c>
      <c r="S530" s="24" t="s">
        <v>1213</v>
      </c>
      <c r="T530" s="25" t="s">
        <v>1014</v>
      </c>
      <c r="U530" s="26">
        <v>10</v>
      </c>
      <c r="V530" s="26">
        <f t="shared" ref="V530:V548" si="137">IF(I530&gt;0,I530,IF(H530&gt;0,H530,IF(G530&gt;0,G530,IF(F530&gt;0,F530,IF(E530&gt;0,E530,D530)))))</f>
        <v>10</v>
      </c>
      <c r="W530" s="26">
        <f t="shared" si="135"/>
        <v>770</v>
      </c>
      <c r="X530" s="127">
        <f t="shared" ref="X530:X548" si="138">AI530-N530</f>
        <v>0</v>
      </c>
      <c r="Y530" s="127">
        <f t="shared" si="133"/>
        <v>10</v>
      </c>
      <c r="Z530" s="127">
        <f t="shared" ref="Z530:Z546" si="139">AA530-P530</f>
        <v>0</v>
      </c>
      <c r="AA530" s="127">
        <f t="shared" ref="AA530:AA547" si="140">ROUND(W530*Y530,2)</f>
        <v>7700</v>
      </c>
      <c r="AB530" s="33" t="s">
        <v>15</v>
      </c>
      <c r="AC530" s="324"/>
      <c r="AD530" s="181">
        <f t="shared" si="134"/>
        <v>10</v>
      </c>
      <c r="AE530" s="181">
        <f t="shared" ref="AE530:AE548" si="141">ROUND(W530*AD530,2)</f>
        <v>7700</v>
      </c>
      <c r="AF530" s="181">
        <v>6</v>
      </c>
      <c r="AG530" s="181">
        <v>6</v>
      </c>
      <c r="AH530" s="363" t="str">
        <f t="shared" si="121"/>
        <v/>
      </c>
      <c r="AI530" s="192">
        <v>10</v>
      </c>
      <c r="AJ530" s="188">
        <v>10</v>
      </c>
      <c r="AO530" s="367"/>
      <c r="AP530" s="367"/>
      <c r="AQ530" s="367"/>
    </row>
    <row r="531" spans="1:43" s="69" customFormat="1" ht="33" customHeight="1" x14ac:dyDescent="0.3">
      <c r="A531" s="130" t="s">
        <v>1215</v>
      </c>
      <c r="B531" s="131" t="s">
        <v>1216</v>
      </c>
      <c r="C531" s="132" t="s">
        <v>1217</v>
      </c>
      <c r="D531" s="133">
        <v>100</v>
      </c>
      <c r="E531" s="75"/>
      <c r="F531" s="75"/>
      <c r="G531" s="75"/>
      <c r="H531" s="75"/>
      <c r="I531" s="75"/>
      <c r="J531" s="75">
        <v>201</v>
      </c>
      <c r="K531" s="75">
        <v>20100</v>
      </c>
      <c r="L531" s="91" t="s">
        <v>1218</v>
      </c>
      <c r="M531" s="73"/>
      <c r="N531" s="46">
        <v>100</v>
      </c>
      <c r="O531" s="46">
        <v>0</v>
      </c>
      <c r="P531" s="46">
        <v>20100</v>
      </c>
      <c r="Q531" s="98"/>
      <c r="R531" s="23" t="s">
        <v>1426</v>
      </c>
      <c r="S531" s="24" t="s">
        <v>1216</v>
      </c>
      <c r="T531" s="25" t="s">
        <v>1217</v>
      </c>
      <c r="U531" s="26">
        <v>100</v>
      </c>
      <c r="V531" s="26">
        <f t="shared" si="137"/>
        <v>100</v>
      </c>
      <c r="W531" s="26">
        <f t="shared" si="135"/>
        <v>201</v>
      </c>
      <c r="X531" s="127">
        <f t="shared" si="138"/>
        <v>0</v>
      </c>
      <c r="Y531" s="127">
        <f t="shared" si="133"/>
        <v>100</v>
      </c>
      <c r="Z531" s="127">
        <f t="shared" si="139"/>
        <v>0</v>
      </c>
      <c r="AA531" s="127">
        <f t="shared" si="140"/>
        <v>20100</v>
      </c>
      <c r="AB531" s="33" t="s">
        <v>15</v>
      </c>
      <c r="AC531" s="324"/>
      <c r="AD531" s="181">
        <f t="shared" si="134"/>
        <v>100</v>
      </c>
      <c r="AE531" s="181">
        <f t="shared" si="141"/>
        <v>20100</v>
      </c>
      <c r="AF531" s="181">
        <v>6</v>
      </c>
      <c r="AG531" s="181">
        <v>6</v>
      </c>
      <c r="AH531" s="363" t="str">
        <f t="shared" si="121"/>
        <v/>
      </c>
      <c r="AI531" s="192">
        <v>100</v>
      </c>
      <c r="AJ531" s="188">
        <v>100</v>
      </c>
      <c r="AO531" s="367"/>
      <c r="AP531" s="367"/>
      <c r="AQ531" s="367"/>
    </row>
    <row r="532" spans="1:43" s="69" customFormat="1" ht="58.5" x14ac:dyDescent="0.3">
      <c r="A532" s="130" t="s">
        <v>1219</v>
      </c>
      <c r="B532" s="131" t="s">
        <v>1220</v>
      </c>
      <c r="C532" s="132" t="s">
        <v>1221</v>
      </c>
      <c r="D532" s="133">
        <v>50</v>
      </c>
      <c r="E532" s="75"/>
      <c r="F532" s="75"/>
      <c r="G532" s="75"/>
      <c r="H532" s="75"/>
      <c r="I532" s="75"/>
      <c r="J532" s="75">
        <v>300</v>
      </c>
      <c r="K532" s="75">
        <v>15000</v>
      </c>
      <c r="L532" s="91" t="s">
        <v>1222</v>
      </c>
      <c r="M532" s="73"/>
      <c r="N532" s="46">
        <v>50</v>
      </c>
      <c r="O532" s="46">
        <v>0</v>
      </c>
      <c r="P532" s="46">
        <v>15000</v>
      </c>
      <c r="Q532" s="98"/>
      <c r="R532" s="23" t="s">
        <v>1402</v>
      </c>
      <c r="S532" s="24" t="s">
        <v>1220</v>
      </c>
      <c r="T532" s="25" t="s">
        <v>1221</v>
      </c>
      <c r="U532" s="26">
        <v>50</v>
      </c>
      <c r="V532" s="26">
        <f t="shared" si="137"/>
        <v>50</v>
      </c>
      <c r="W532" s="26">
        <f t="shared" si="135"/>
        <v>300</v>
      </c>
      <c r="X532" s="127">
        <f t="shared" si="138"/>
        <v>0</v>
      </c>
      <c r="Y532" s="127">
        <f t="shared" si="133"/>
        <v>50</v>
      </c>
      <c r="Z532" s="127">
        <f t="shared" si="139"/>
        <v>0</v>
      </c>
      <c r="AA532" s="127">
        <f t="shared" si="140"/>
        <v>15000</v>
      </c>
      <c r="AB532" s="33" t="s">
        <v>15</v>
      </c>
      <c r="AC532" s="324"/>
      <c r="AD532" s="181">
        <f t="shared" si="134"/>
        <v>50</v>
      </c>
      <c r="AE532" s="181">
        <f t="shared" si="141"/>
        <v>15000</v>
      </c>
      <c r="AF532" s="181">
        <v>6</v>
      </c>
      <c r="AG532" s="181">
        <v>6</v>
      </c>
      <c r="AH532" s="363" t="str">
        <f t="shared" si="121"/>
        <v/>
      </c>
      <c r="AI532" s="192">
        <v>50</v>
      </c>
      <c r="AJ532" s="188">
        <v>50</v>
      </c>
      <c r="AO532" s="367"/>
      <c r="AP532" s="367"/>
      <c r="AQ532" s="367"/>
    </row>
    <row r="533" spans="1:43" s="69" customFormat="1" ht="33" customHeight="1" x14ac:dyDescent="0.3">
      <c r="A533" s="130" t="s">
        <v>1223</v>
      </c>
      <c r="B533" s="131" t="s">
        <v>1224</v>
      </c>
      <c r="C533" s="132" t="s">
        <v>325</v>
      </c>
      <c r="D533" s="133">
        <v>75</v>
      </c>
      <c r="E533" s="75"/>
      <c r="F533" s="75"/>
      <c r="G533" s="75"/>
      <c r="H533" s="75"/>
      <c r="I533" s="75"/>
      <c r="J533" s="75">
        <v>650</v>
      </c>
      <c r="K533" s="75">
        <v>48750</v>
      </c>
      <c r="L533" s="91" t="s">
        <v>1225</v>
      </c>
      <c r="M533" s="73"/>
      <c r="N533" s="46">
        <v>75</v>
      </c>
      <c r="O533" s="46">
        <v>0</v>
      </c>
      <c r="P533" s="46">
        <v>48750</v>
      </c>
      <c r="Q533" s="98"/>
      <c r="R533" s="23" t="s">
        <v>1373</v>
      </c>
      <c r="S533" s="24" t="s">
        <v>1224</v>
      </c>
      <c r="T533" s="25" t="s">
        <v>325</v>
      </c>
      <c r="U533" s="26">
        <v>75</v>
      </c>
      <c r="V533" s="26">
        <f t="shared" si="137"/>
        <v>75</v>
      </c>
      <c r="W533" s="26">
        <f t="shared" si="135"/>
        <v>650</v>
      </c>
      <c r="X533" s="127">
        <f t="shared" si="138"/>
        <v>0</v>
      </c>
      <c r="Y533" s="127">
        <f t="shared" si="133"/>
        <v>75</v>
      </c>
      <c r="Z533" s="127">
        <f t="shared" si="139"/>
        <v>0</v>
      </c>
      <c r="AA533" s="127">
        <f t="shared" si="140"/>
        <v>48750</v>
      </c>
      <c r="AB533" s="33" t="s">
        <v>15</v>
      </c>
      <c r="AC533" s="324"/>
      <c r="AD533" s="181">
        <f t="shared" si="134"/>
        <v>75</v>
      </c>
      <c r="AE533" s="181">
        <f t="shared" si="141"/>
        <v>48750</v>
      </c>
      <c r="AF533" s="181">
        <v>6</v>
      </c>
      <c r="AG533" s="181">
        <v>6</v>
      </c>
      <c r="AH533" s="363" t="str">
        <f t="shared" si="121"/>
        <v/>
      </c>
      <c r="AI533" s="192">
        <v>75</v>
      </c>
      <c r="AJ533" s="188">
        <v>75</v>
      </c>
      <c r="AO533" s="367"/>
      <c r="AP533" s="367"/>
      <c r="AQ533" s="367"/>
    </row>
    <row r="534" spans="1:43" s="69" customFormat="1" ht="33" customHeight="1" x14ac:dyDescent="0.3">
      <c r="A534" s="130" t="s">
        <v>1226</v>
      </c>
      <c r="B534" s="131" t="s">
        <v>1227</v>
      </c>
      <c r="C534" s="132" t="s">
        <v>1228</v>
      </c>
      <c r="D534" s="133">
        <v>200</v>
      </c>
      <c r="E534" s="75"/>
      <c r="F534" s="75"/>
      <c r="G534" s="75"/>
      <c r="H534" s="75"/>
      <c r="I534" s="75"/>
      <c r="J534" s="75">
        <v>28</v>
      </c>
      <c r="K534" s="75">
        <v>5600</v>
      </c>
      <c r="L534" s="91" t="s">
        <v>1229</v>
      </c>
      <c r="M534" s="73"/>
      <c r="N534" s="46">
        <v>200</v>
      </c>
      <c r="O534" s="46">
        <v>0</v>
      </c>
      <c r="P534" s="46">
        <v>5600</v>
      </c>
      <c r="Q534" s="98"/>
      <c r="R534" s="23" t="s">
        <v>1393</v>
      </c>
      <c r="S534" s="24" t="s">
        <v>1227</v>
      </c>
      <c r="T534" s="25" t="s">
        <v>1228</v>
      </c>
      <c r="U534" s="26">
        <v>200</v>
      </c>
      <c r="V534" s="26">
        <f t="shared" si="137"/>
        <v>200</v>
      </c>
      <c r="W534" s="26">
        <f t="shared" si="135"/>
        <v>28</v>
      </c>
      <c r="X534" s="127">
        <f t="shared" si="138"/>
        <v>0</v>
      </c>
      <c r="Y534" s="127">
        <f t="shared" si="133"/>
        <v>200</v>
      </c>
      <c r="Z534" s="127">
        <f t="shared" si="139"/>
        <v>0</v>
      </c>
      <c r="AA534" s="127">
        <f t="shared" si="140"/>
        <v>5600</v>
      </c>
      <c r="AB534" s="33" t="s">
        <v>15</v>
      </c>
      <c r="AC534" s="324"/>
      <c r="AD534" s="181">
        <f t="shared" si="134"/>
        <v>200</v>
      </c>
      <c r="AE534" s="181">
        <f t="shared" si="141"/>
        <v>5600</v>
      </c>
      <c r="AF534" s="181">
        <v>6</v>
      </c>
      <c r="AG534" s="181">
        <v>6</v>
      </c>
      <c r="AH534" s="363" t="str">
        <f t="shared" si="121"/>
        <v/>
      </c>
      <c r="AI534" s="192">
        <v>200</v>
      </c>
      <c r="AJ534" s="188">
        <v>200</v>
      </c>
      <c r="AO534" s="367"/>
      <c r="AP534" s="367"/>
      <c r="AQ534" s="367"/>
    </row>
    <row r="535" spans="1:43" s="69" customFormat="1" ht="33" customHeight="1" x14ac:dyDescent="0.3">
      <c r="A535" s="55" t="s">
        <v>1230</v>
      </c>
      <c r="B535" s="53" t="s">
        <v>1231</v>
      </c>
      <c r="C535" s="54" t="s">
        <v>1228</v>
      </c>
      <c r="D535" s="75">
        <v>100</v>
      </c>
      <c r="E535" s="75"/>
      <c r="F535" s="75"/>
      <c r="G535" s="75"/>
      <c r="H535" s="75"/>
      <c r="I535" s="75"/>
      <c r="J535" s="75">
        <v>500</v>
      </c>
      <c r="K535" s="75">
        <v>50000</v>
      </c>
      <c r="L535" s="91" t="s">
        <v>1232</v>
      </c>
      <c r="M535" s="73"/>
      <c r="N535" s="46">
        <v>92</v>
      </c>
      <c r="O535" s="46">
        <v>2500</v>
      </c>
      <c r="P535" s="46">
        <v>46000</v>
      </c>
      <c r="Q535" s="98"/>
      <c r="R535" s="23" t="s">
        <v>1403</v>
      </c>
      <c r="S535" s="24" t="s">
        <v>1231</v>
      </c>
      <c r="T535" s="25" t="s">
        <v>1228</v>
      </c>
      <c r="U535" s="26">
        <v>100</v>
      </c>
      <c r="V535" s="26">
        <f t="shared" si="137"/>
        <v>100</v>
      </c>
      <c r="W535" s="26">
        <f t="shared" si="135"/>
        <v>500</v>
      </c>
      <c r="X535" s="128">
        <f t="shared" si="138"/>
        <v>0</v>
      </c>
      <c r="Y535" s="26">
        <f t="shared" si="133"/>
        <v>92</v>
      </c>
      <c r="Z535" s="26">
        <f t="shared" si="139"/>
        <v>0</v>
      </c>
      <c r="AA535" s="26">
        <f t="shared" si="140"/>
        <v>46000</v>
      </c>
      <c r="AB535" s="33" t="s">
        <v>15</v>
      </c>
      <c r="AC535" s="324"/>
      <c r="AD535" s="181">
        <f t="shared" si="134"/>
        <v>100</v>
      </c>
      <c r="AE535" s="181">
        <f t="shared" si="141"/>
        <v>50000</v>
      </c>
      <c r="AF535" s="181">
        <v>6</v>
      </c>
      <c r="AG535" s="181">
        <v>6</v>
      </c>
      <c r="AH535" s="363" t="str">
        <f t="shared" ref="AH535:AH561" si="142">IF(Y535&gt;AJ535,"超估","")</f>
        <v/>
      </c>
      <c r="AI535" s="194">
        <f>62+25+5</f>
        <v>92</v>
      </c>
      <c r="AJ535" s="188">
        <v>100</v>
      </c>
      <c r="AO535" s="367"/>
      <c r="AP535" s="367"/>
      <c r="AQ535" s="367"/>
    </row>
    <row r="536" spans="1:43" s="69" customFormat="1" ht="33" customHeight="1" x14ac:dyDescent="0.3">
      <c r="A536" s="55" t="s">
        <v>1233</v>
      </c>
      <c r="B536" s="53" t="s">
        <v>1234</v>
      </c>
      <c r="C536" s="54" t="s">
        <v>1235</v>
      </c>
      <c r="D536" s="75">
        <v>75</v>
      </c>
      <c r="E536" s="75"/>
      <c r="F536" s="75"/>
      <c r="G536" s="75"/>
      <c r="H536" s="75"/>
      <c r="I536" s="75"/>
      <c r="J536" s="75">
        <v>280</v>
      </c>
      <c r="K536" s="75">
        <v>21000</v>
      </c>
      <c r="L536" s="91" t="s">
        <v>1236</v>
      </c>
      <c r="M536" s="73"/>
      <c r="N536" s="46">
        <v>58</v>
      </c>
      <c r="O536" s="46">
        <v>1400</v>
      </c>
      <c r="P536" s="46">
        <v>16240</v>
      </c>
      <c r="Q536" s="98"/>
      <c r="R536" s="23" t="s">
        <v>1427</v>
      </c>
      <c r="S536" s="24" t="s">
        <v>1234</v>
      </c>
      <c r="T536" s="25" t="s">
        <v>1235</v>
      </c>
      <c r="U536" s="26">
        <v>75</v>
      </c>
      <c r="V536" s="26">
        <f t="shared" si="137"/>
        <v>75</v>
      </c>
      <c r="W536" s="26">
        <f t="shared" si="135"/>
        <v>280</v>
      </c>
      <c r="X536" s="128">
        <f t="shared" si="138"/>
        <v>0</v>
      </c>
      <c r="Y536" s="26">
        <f t="shared" si="133"/>
        <v>58</v>
      </c>
      <c r="Z536" s="26">
        <f t="shared" si="139"/>
        <v>0</v>
      </c>
      <c r="AA536" s="26">
        <f t="shared" si="140"/>
        <v>16240</v>
      </c>
      <c r="AB536" s="33" t="s">
        <v>15</v>
      </c>
      <c r="AC536" s="324"/>
      <c r="AD536" s="181">
        <f t="shared" si="134"/>
        <v>75</v>
      </c>
      <c r="AE536" s="181">
        <f t="shared" si="141"/>
        <v>21000</v>
      </c>
      <c r="AF536" s="181">
        <v>6</v>
      </c>
      <c r="AG536" s="181">
        <v>6</v>
      </c>
      <c r="AH536" s="363" t="str">
        <f t="shared" si="142"/>
        <v/>
      </c>
      <c r="AI536" s="194">
        <f>38+15+5</f>
        <v>58</v>
      </c>
      <c r="AJ536" s="188">
        <v>75</v>
      </c>
      <c r="AO536" s="367"/>
      <c r="AP536" s="367"/>
      <c r="AQ536" s="367"/>
    </row>
    <row r="537" spans="1:43" s="69" customFormat="1" ht="82.5" x14ac:dyDescent="0.3">
      <c r="A537" s="130" t="s">
        <v>1237</v>
      </c>
      <c r="B537" s="240" t="s">
        <v>1238</v>
      </c>
      <c r="C537" s="132" t="s">
        <v>1235</v>
      </c>
      <c r="D537" s="133">
        <v>50</v>
      </c>
      <c r="E537" s="75"/>
      <c r="F537" s="75"/>
      <c r="G537" s="75"/>
      <c r="H537" s="75"/>
      <c r="I537" s="75"/>
      <c r="J537" s="75">
        <v>350</v>
      </c>
      <c r="K537" s="75">
        <v>17500</v>
      </c>
      <c r="L537" s="91" t="s">
        <v>1239</v>
      </c>
      <c r="M537" s="73"/>
      <c r="N537" s="46">
        <v>50</v>
      </c>
      <c r="O537" s="46">
        <v>0</v>
      </c>
      <c r="P537" s="46">
        <v>17500</v>
      </c>
      <c r="Q537" s="98"/>
      <c r="R537" s="23" t="s">
        <v>1428</v>
      </c>
      <c r="S537" s="24" t="s">
        <v>1238</v>
      </c>
      <c r="T537" s="25" t="s">
        <v>1235</v>
      </c>
      <c r="U537" s="26">
        <v>50</v>
      </c>
      <c r="V537" s="26">
        <f t="shared" si="137"/>
        <v>50</v>
      </c>
      <c r="W537" s="26">
        <f t="shared" si="135"/>
        <v>350</v>
      </c>
      <c r="X537" s="127">
        <f t="shared" si="138"/>
        <v>0</v>
      </c>
      <c r="Y537" s="127">
        <f t="shared" si="133"/>
        <v>50</v>
      </c>
      <c r="Z537" s="127">
        <f t="shared" si="139"/>
        <v>0</v>
      </c>
      <c r="AA537" s="127">
        <f t="shared" si="140"/>
        <v>17500</v>
      </c>
      <c r="AB537" s="33" t="s">
        <v>15</v>
      </c>
      <c r="AC537" s="324"/>
      <c r="AD537" s="181">
        <f t="shared" si="134"/>
        <v>50</v>
      </c>
      <c r="AE537" s="181">
        <f t="shared" si="141"/>
        <v>17500</v>
      </c>
      <c r="AF537" s="181">
        <v>6</v>
      </c>
      <c r="AG537" s="181">
        <v>6</v>
      </c>
      <c r="AH537" s="363" t="str">
        <f t="shared" si="142"/>
        <v/>
      </c>
      <c r="AI537" s="192">
        <v>50</v>
      </c>
      <c r="AJ537" s="188">
        <v>50</v>
      </c>
      <c r="AO537" s="367"/>
      <c r="AP537" s="367"/>
      <c r="AQ537" s="367"/>
    </row>
    <row r="538" spans="1:43" s="69" customFormat="1" ht="33" customHeight="1" x14ac:dyDescent="0.3">
      <c r="A538" s="130" t="s">
        <v>1240</v>
      </c>
      <c r="B538" s="131" t="s">
        <v>1241</v>
      </c>
      <c r="C538" s="132" t="s">
        <v>325</v>
      </c>
      <c r="D538" s="133">
        <v>10</v>
      </c>
      <c r="E538" s="75"/>
      <c r="F538" s="75"/>
      <c r="G538" s="75"/>
      <c r="H538" s="75"/>
      <c r="I538" s="75"/>
      <c r="J538" s="75">
        <v>560</v>
      </c>
      <c r="K538" s="75">
        <v>5600</v>
      </c>
      <c r="L538" s="91" t="s">
        <v>1242</v>
      </c>
      <c r="M538" s="73"/>
      <c r="N538" s="46">
        <v>10</v>
      </c>
      <c r="O538" s="46">
        <v>0</v>
      </c>
      <c r="P538" s="46">
        <v>5600</v>
      </c>
      <c r="Q538" s="98"/>
      <c r="R538" s="23" t="s">
        <v>1387</v>
      </c>
      <c r="S538" s="24" t="s">
        <v>1241</v>
      </c>
      <c r="T538" s="25" t="s">
        <v>325</v>
      </c>
      <c r="U538" s="26">
        <v>10</v>
      </c>
      <c r="V538" s="26">
        <f t="shared" si="137"/>
        <v>10</v>
      </c>
      <c r="W538" s="26">
        <f t="shared" si="135"/>
        <v>560</v>
      </c>
      <c r="X538" s="127">
        <f t="shared" si="138"/>
        <v>0</v>
      </c>
      <c r="Y538" s="127">
        <f t="shared" si="133"/>
        <v>10</v>
      </c>
      <c r="Z538" s="127">
        <f t="shared" si="139"/>
        <v>0</v>
      </c>
      <c r="AA538" s="127">
        <f t="shared" si="140"/>
        <v>5600</v>
      </c>
      <c r="AB538" s="33" t="s">
        <v>15</v>
      </c>
      <c r="AC538" s="324"/>
      <c r="AD538" s="181">
        <f t="shared" si="134"/>
        <v>10</v>
      </c>
      <c r="AE538" s="181">
        <f t="shared" si="141"/>
        <v>5600</v>
      </c>
      <c r="AF538" s="181">
        <v>6</v>
      </c>
      <c r="AG538" s="181">
        <v>6</v>
      </c>
      <c r="AH538" s="363" t="str">
        <f t="shared" si="142"/>
        <v/>
      </c>
      <c r="AI538" s="194">
        <v>10</v>
      </c>
      <c r="AJ538" s="188">
        <v>10</v>
      </c>
      <c r="AO538" s="367"/>
      <c r="AP538" s="367"/>
      <c r="AQ538" s="367"/>
    </row>
    <row r="539" spans="1:43" s="69" customFormat="1" ht="33" customHeight="1" x14ac:dyDescent="0.3">
      <c r="A539" s="130" t="s">
        <v>1243</v>
      </c>
      <c r="B539" s="131" t="s">
        <v>1244</v>
      </c>
      <c r="C539" s="132" t="s">
        <v>162</v>
      </c>
      <c r="D539" s="133">
        <v>4</v>
      </c>
      <c r="E539" s="75"/>
      <c r="F539" s="75"/>
      <c r="G539" s="75"/>
      <c r="H539" s="75"/>
      <c r="I539" s="75"/>
      <c r="J539" s="75">
        <v>250</v>
      </c>
      <c r="K539" s="75">
        <v>1000</v>
      </c>
      <c r="L539" s="91" t="s">
        <v>1245</v>
      </c>
      <c r="M539" s="73"/>
      <c r="N539" s="46">
        <v>4</v>
      </c>
      <c r="O539" s="46">
        <v>0</v>
      </c>
      <c r="P539" s="46">
        <v>1000</v>
      </c>
      <c r="Q539" s="98"/>
      <c r="R539" s="23" t="s">
        <v>1405</v>
      </c>
      <c r="S539" s="24" t="s">
        <v>1244</v>
      </c>
      <c r="T539" s="25" t="s">
        <v>162</v>
      </c>
      <c r="U539" s="26">
        <v>4</v>
      </c>
      <c r="V539" s="26">
        <f t="shared" si="137"/>
        <v>4</v>
      </c>
      <c r="W539" s="26">
        <f t="shared" si="135"/>
        <v>250</v>
      </c>
      <c r="X539" s="127">
        <f t="shared" si="138"/>
        <v>0</v>
      </c>
      <c r="Y539" s="127">
        <f t="shared" si="133"/>
        <v>4</v>
      </c>
      <c r="Z539" s="127">
        <f t="shared" si="139"/>
        <v>0</v>
      </c>
      <c r="AA539" s="127">
        <f t="shared" si="140"/>
        <v>1000</v>
      </c>
      <c r="AB539" s="33" t="s">
        <v>15</v>
      </c>
      <c r="AC539" s="324"/>
      <c r="AD539" s="181">
        <f t="shared" si="134"/>
        <v>4</v>
      </c>
      <c r="AE539" s="181">
        <f t="shared" si="141"/>
        <v>1000</v>
      </c>
      <c r="AF539" s="181">
        <v>6</v>
      </c>
      <c r="AG539" s="181">
        <v>6</v>
      </c>
      <c r="AH539" s="363" t="str">
        <f t="shared" si="142"/>
        <v/>
      </c>
      <c r="AI539" s="192">
        <v>4</v>
      </c>
      <c r="AJ539" s="188">
        <v>4</v>
      </c>
      <c r="AO539" s="367"/>
      <c r="AP539" s="367"/>
      <c r="AQ539" s="367"/>
    </row>
    <row r="540" spans="1:43" s="69" customFormat="1" ht="49.5" customHeight="1" x14ac:dyDescent="0.3">
      <c r="A540" s="130" t="s">
        <v>1246</v>
      </c>
      <c r="B540" s="240" t="s">
        <v>1247</v>
      </c>
      <c r="C540" s="132" t="s">
        <v>325</v>
      </c>
      <c r="D540" s="133">
        <v>5</v>
      </c>
      <c r="E540" s="75"/>
      <c r="F540" s="75"/>
      <c r="G540" s="75"/>
      <c r="H540" s="75"/>
      <c r="I540" s="75"/>
      <c r="J540" s="75">
        <v>8300</v>
      </c>
      <c r="K540" s="75">
        <v>41500</v>
      </c>
      <c r="L540" s="91" t="s">
        <v>1248</v>
      </c>
      <c r="M540" s="73"/>
      <c r="N540" s="46">
        <v>5</v>
      </c>
      <c r="O540" s="46">
        <v>0</v>
      </c>
      <c r="P540" s="46">
        <v>41500</v>
      </c>
      <c r="Q540" s="98"/>
      <c r="R540" s="23" t="s">
        <v>1406</v>
      </c>
      <c r="S540" s="24" t="s">
        <v>1247</v>
      </c>
      <c r="T540" s="25" t="s">
        <v>325</v>
      </c>
      <c r="U540" s="26">
        <v>5</v>
      </c>
      <c r="V540" s="26">
        <f t="shared" si="137"/>
        <v>5</v>
      </c>
      <c r="W540" s="26">
        <f t="shared" si="135"/>
        <v>8300</v>
      </c>
      <c r="X540" s="127">
        <f t="shared" si="138"/>
        <v>0</v>
      </c>
      <c r="Y540" s="127">
        <f t="shared" si="133"/>
        <v>5</v>
      </c>
      <c r="Z540" s="127">
        <f t="shared" si="139"/>
        <v>0</v>
      </c>
      <c r="AA540" s="127">
        <f t="shared" si="140"/>
        <v>41500</v>
      </c>
      <c r="AB540" s="33" t="s">
        <v>15</v>
      </c>
      <c r="AC540" s="324"/>
      <c r="AD540" s="181">
        <f t="shared" si="134"/>
        <v>5</v>
      </c>
      <c r="AE540" s="181">
        <f t="shared" si="141"/>
        <v>41500</v>
      </c>
      <c r="AF540" s="181">
        <v>6</v>
      </c>
      <c r="AG540" s="181">
        <v>6</v>
      </c>
      <c r="AH540" s="363" t="str">
        <f t="shared" si="142"/>
        <v/>
      </c>
      <c r="AI540" s="192">
        <v>5</v>
      </c>
      <c r="AJ540" s="188">
        <v>5</v>
      </c>
      <c r="AO540" s="367"/>
      <c r="AP540" s="367"/>
      <c r="AQ540" s="367"/>
    </row>
    <row r="541" spans="1:43" s="69" customFormat="1" ht="33" customHeight="1" x14ac:dyDescent="0.3">
      <c r="A541" s="130" t="s">
        <v>1249</v>
      </c>
      <c r="B541" s="131" t="s">
        <v>1250</v>
      </c>
      <c r="C541" s="132" t="s">
        <v>325</v>
      </c>
      <c r="D541" s="133">
        <v>5</v>
      </c>
      <c r="E541" s="75"/>
      <c r="F541" s="75"/>
      <c r="G541" s="75"/>
      <c r="H541" s="75"/>
      <c r="I541" s="75"/>
      <c r="J541" s="75">
        <v>1160</v>
      </c>
      <c r="K541" s="75">
        <v>5800</v>
      </c>
      <c r="L541" s="91" t="s">
        <v>1251</v>
      </c>
      <c r="M541" s="73"/>
      <c r="N541" s="46">
        <v>5</v>
      </c>
      <c r="O541" s="46">
        <v>0</v>
      </c>
      <c r="P541" s="46">
        <v>5800</v>
      </c>
      <c r="Q541" s="98"/>
      <c r="R541" s="23" t="s">
        <v>1414</v>
      </c>
      <c r="S541" s="24" t="s">
        <v>1250</v>
      </c>
      <c r="T541" s="25" t="s">
        <v>325</v>
      </c>
      <c r="U541" s="26">
        <v>5</v>
      </c>
      <c r="V541" s="26">
        <f t="shared" si="137"/>
        <v>5</v>
      </c>
      <c r="W541" s="26">
        <f t="shared" si="135"/>
        <v>1160</v>
      </c>
      <c r="X541" s="127">
        <f t="shared" si="138"/>
        <v>0</v>
      </c>
      <c r="Y541" s="127">
        <f t="shared" si="133"/>
        <v>5</v>
      </c>
      <c r="Z541" s="127">
        <f t="shared" si="139"/>
        <v>0</v>
      </c>
      <c r="AA541" s="127">
        <f t="shared" si="140"/>
        <v>5800</v>
      </c>
      <c r="AB541" s="33" t="s">
        <v>15</v>
      </c>
      <c r="AC541" s="324"/>
      <c r="AD541" s="181">
        <f t="shared" si="134"/>
        <v>5</v>
      </c>
      <c r="AE541" s="181">
        <f t="shared" si="141"/>
        <v>5800</v>
      </c>
      <c r="AF541" s="181">
        <v>6</v>
      </c>
      <c r="AG541" s="181">
        <v>6</v>
      </c>
      <c r="AH541" s="363" t="str">
        <f t="shared" si="142"/>
        <v/>
      </c>
      <c r="AI541" s="192">
        <v>5</v>
      </c>
      <c r="AJ541" s="188">
        <v>5</v>
      </c>
      <c r="AO541" s="367"/>
      <c r="AP541" s="367"/>
      <c r="AQ541" s="367"/>
    </row>
    <row r="542" spans="1:43" s="69" customFormat="1" ht="66" x14ac:dyDescent="0.3">
      <c r="A542" s="130" t="s">
        <v>1252</v>
      </c>
      <c r="B542" s="240" t="s">
        <v>1253</v>
      </c>
      <c r="C542" s="132" t="s">
        <v>325</v>
      </c>
      <c r="D542" s="133">
        <v>5</v>
      </c>
      <c r="E542" s="75"/>
      <c r="F542" s="75"/>
      <c r="G542" s="75"/>
      <c r="H542" s="75"/>
      <c r="I542" s="75"/>
      <c r="J542" s="75">
        <v>600</v>
      </c>
      <c r="K542" s="75">
        <v>3000</v>
      </c>
      <c r="L542" s="91" t="s">
        <v>1254</v>
      </c>
      <c r="M542" s="73"/>
      <c r="N542" s="46">
        <v>5</v>
      </c>
      <c r="O542" s="46">
        <v>0</v>
      </c>
      <c r="P542" s="46">
        <v>3000</v>
      </c>
      <c r="Q542" s="98"/>
      <c r="R542" s="23" t="s">
        <v>1429</v>
      </c>
      <c r="S542" s="24" t="s">
        <v>1253</v>
      </c>
      <c r="T542" s="25" t="s">
        <v>325</v>
      </c>
      <c r="U542" s="26">
        <v>5</v>
      </c>
      <c r="V542" s="26">
        <f t="shared" si="137"/>
        <v>5</v>
      </c>
      <c r="W542" s="26">
        <f t="shared" si="135"/>
        <v>600</v>
      </c>
      <c r="X542" s="127">
        <f t="shared" si="138"/>
        <v>0</v>
      </c>
      <c r="Y542" s="127">
        <f t="shared" si="133"/>
        <v>5</v>
      </c>
      <c r="Z542" s="127">
        <f t="shared" si="139"/>
        <v>0</v>
      </c>
      <c r="AA542" s="127">
        <f t="shared" si="140"/>
        <v>3000</v>
      </c>
      <c r="AB542" s="33" t="s">
        <v>15</v>
      </c>
      <c r="AC542" s="324"/>
      <c r="AD542" s="181">
        <f t="shared" si="134"/>
        <v>5</v>
      </c>
      <c r="AE542" s="181">
        <f t="shared" si="141"/>
        <v>3000</v>
      </c>
      <c r="AF542" s="181">
        <v>6</v>
      </c>
      <c r="AG542" s="181">
        <v>6</v>
      </c>
      <c r="AH542" s="363" t="str">
        <f t="shared" si="142"/>
        <v/>
      </c>
      <c r="AI542" s="192">
        <v>5</v>
      </c>
      <c r="AJ542" s="188">
        <v>5</v>
      </c>
      <c r="AO542" s="367"/>
      <c r="AP542" s="367"/>
      <c r="AQ542" s="367"/>
    </row>
    <row r="543" spans="1:43" s="69" customFormat="1" ht="49.5" customHeight="1" x14ac:dyDescent="0.3">
      <c r="A543" s="130" t="s">
        <v>1255</v>
      </c>
      <c r="B543" s="240" t="s">
        <v>1256</v>
      </c>
      <c r="C543" s="132" t="s">
        <v>325</v>
      </c>
      <c r="D543" s="133">
        <v>5</v>
      </c>
      <c r="E543" s="75"/>
      <c r="F543" s="75"/>
      <c r="G543" s="75"/>
      <c r="H543" s="75"/>
      <c r="I543" s="75"/>
      <c r="J543" s="75">
        <v>1800</v>
      </c>
      <c r="K543" s="75">
        <v>9000</v>
      </c>
      <c r="L543" s="91" t="s">
        <v>1257</v>
      </c>
      <c r="M543" s="73"/>
      <c r="N543" s="46">
        <v>5</v>
      </c>
      <c r="O543" s="46">
        <v>0</v>
      </c>
      <c r="P543" s="46">
        <v>9000</v>
      </c>
      <c r="Q543" s="98"/>
      <c r="R543" s="23" t="s">
        <v>1430</v>
      </c>
      <c r="S543" s="24" t="s">
        <v>1256</v>
      </c>
      <c r="T543" s="25" t="s">
        <v>325</v>
      </c>
      <c r="U543" s="26">
        <v>5</v>
      </c>
      <c r="V543" s="26">
        <f t="shared" si="137"/>
        <v>5</v>
      </c>
      <c r="W543" s="26">
        <f t="shared" si="135"/>
        <v>1800</v>
      </c>
      <c r="X543" s="127">
        <f t="shared" si="138"/>
        <v>0</v>
      </c>
      <c r="Y543" s="127">
        <f t="shared" si="133"/>
        <v>5</v>
      </c>
      <c r="Z543" s="127">
        <f t="shared" si="139"/>
        <v>0</v>
      </c>
      <c r="AA543" s="127">
        <f t="shared" si="140"/>
        <v>9000</v>
      </c>
      <c r="AB543" s="33" t="s">
        <v>15</v>
      </c>
      <c r="AC543" s="324"/>
      <c r="AD543" s="181">
        <f t="shared" si="134"/>
        <v>5</v>
      </c>
      <c r="AE543" s="181">
        <f t="shared" si="141"/>
        <v>9000</v>
      </c>
      <c r="AF543" s="181">
        <v>6</v>
      </c>
      <c r="AG543" s="181">
        <v>6</v>
      </c>
      <c r="AH543" s="363" t="str">
        <f t="shared" si="142"/>
        <v/>
      </c>
      <c r="AI543" s="192">
        <v>5</v>
      </c>
      <c r="AJ543" s="188">
        <v>5</v>
      </c>
      <c r="AO543" s="367"/>
      <c r="AP543" s="367"/>
      <c r="AQ543" s="367"/>
    </row>
    <row r="544" spans="1:43" s="69" customFormat="1" ht="78" x14ac:dyDescent="0.3">
      <c r="A544" s="55" t="s">
        <v>1258</v>
      </c>
      <c r="B544" s="53" t="s">
        <v>1259</v>
      </c>
      <c r="C544" s="54" t="s">
        <v>325</v>
      </c>
      <c r="D544" s="75">
        <v>80</v>
      </c>
      <c r="E544" s="75"/>
      <c r="F544" s="75"/>
      <c r="G544" s="75"/>
      <c r="H544" s="75"/>
      <c r="I544" s="75"/>
      <c r="J544" s="75">
        <v>2200</v>
      </c>
      <c r="K544" s="75">
        <v>176000</v>
      </c>
      <c r="L544" s="91" t="s">
        <v>1260</v>
      </c>
      <c r="M544" s="73"/>
      <c r="N544" s="46">
        <v>72</v>
      </c>
      <c r="O544" s="46">
        <v>4400</v>
      </c>
      <c r="P544" s="46">
        <v>158400</v>
      </c>
      <c r="Q544" s="98"/>
      <c r="R544" s="23" t="s">
        <v>1431</v>
      </c>
      <c r="S544" s="24" t="s">
        <v>1259</v>
      </c>
      <c r="T544" s="25" t="s">
        <v>325</v>
      </c>
      <c r="U544" s="26">
        <v>80</v>
      </c>
      <c r="V544" s="26">
        <f t="shared" si="137"/>
        <v>80</v>
      </c>
      <c r="W544" s="26">
        <f t="shared" si="135"/>
        <v>2200</v>
      </c>
      <c r="X544" s="128">
        <f t="shared" si="138"/>
        <v>0</v>
      </c>
      <c r="Y544" s="26">
        <f t="shared" si="133"/>
        <v>72</v>
      </c>
      <c r="Z544" s="26">
        <f t="shared" si="139"/>
        <v>0</v>
      </c>
      <c r="AA544" s="26">
        <f t="shared" si="140"/>
        <v>158400</v>
      </c>
      <c r="AB544" s="33" t="s">
        <v>15</v>
      </c>
      <c r="AC544" s="324"/>
      <c r="AD544" s="181">
        <f t="shared" si="134"/>
        <v>80</v>
      </c>
      <c r="AE544" s="181">
        <f t="shared" si="141"/>
        <v>176000</v>
      </c>
      <c r="AF544" s="181">
        <v>6</v>
      </c>
      <c r="AG544" s="181">
        <v>6</v>
      </c>
      <c r="AH544" s="363" t="str">
        <f t="shared" si="142"/>
        <v/>
      </c>
      <c r="AI544" s="194">
        <f>65+5+2</f>
        <v>72</v>
      </c>
      <c r="AJ544" s="188">
        <v>80</v>
      </c>
      <c r="AO544" s="367"/>
      <c r="AP544" s="367"/>
      <c r="AQ544" s="367"/>
    </row>
    <row r="545" spans="1:43" s="69" customFormat="1" ht="42" x14ac:dyDescent="0.3">
      <c r="A545" s="130" t="s">
        <v>1261</v>
      </c>
      <c r="B545" s="131" t="s">
        <v>1262</v>
      </c>
      <c r="C545" s="132" t="s">
        <v>14</v>
      </c>
      <c r="D545" s="133">
        <v>1</v>
      </c>
      <c r="E545" s="75"/>
      <c r="F545" s="75"/>
      <c r="G545" s="75"/>
      <c r="H545" s="75"/>
      <c r="I545" s="75"/>
      <c r="J545" s="75">
        <v>261478.99</v>
      </c>
      <c r="K545" s="75">
        <v>261478.99</v>
      </c>
      <c r="L545" s="91" t="s">
        <v>1263</v>
      </c>
      <c r="M545" s="73"/>
      <c r="N545" s="46">
        <v>1</v>
      </c>
      <c r="O545" s="46">
        <v>0</v>
      </c>
      <c r="P545" s="46">
        <v>261478.99</v>
      </c>
      <c r="Q545" s="98"/>
      <c r="R545" s="23" t="s">
        <v>1395</v>
      </c>
      <c r="S545" s="24" t="s">
        <v>1262</v>
      </c>
      <c r="T545" s="25" t="s">
        <v>14</v>
      </c>
      <c r="U545" s="26">
        <v>1</v>
      </c>
      <c r="V545" s="26">
        <f t="shared" si="137"/>
        <v>1</v>
      </c>
      <c r="W545" s="26">
        <f t="shared" si="135"/>
        <v>261478.99</v>
      </c>
      <c r="X545" s="127">
        <f t="shared" si="138"/>
        <v>0</v>
      </c>
      <c r="Y545" s="127">
        <f t="shared" si="133"/>
        <v>1</v>
      </c>
      <c r="Z545" s="127">
        <f t="shared" si="139"/>
        <v>0</v>
      </c>
      <c r="AA545" s="127">
        <f t="shared" si="140"/>
        <v>261478.99</v>
      </c>
      <c r="AB545" s="33" t="s">
        <v>1499</v>
      </c>
      <c r="AC545" s="324"/>
      <c r="AD545" s="181">
        <f t="shared" si="134"/>
        <v>1</v>
      </c>
      <c r="AE545" s="181">
        <f t="shared" si="141"/>
        <v>261478.99</v>
      </c>
      <c r="AF545" s="181">
        <v>6</v>
      </c>
      <c r="AG545" s="181">
        <v>6</v>
      </c>
      <c r="AH545" s="363" t="str">
        <f t="shared" si="142"/>
        <v/>
      </c>
      <c r="AI545" s="192">
        <v>1</v>
      </c>
      <c r="AJ545" s="188">
        <v>1</v>
      </c>
      <c r="AO545" s="367"/>
      <c r="AP545" s="367"/>
      <c r="AQ545" s="367"/>
    </row>
    <row r="546" spans="1:43" s="69" customFormat="1" ht="39" x14ac:dyDescent="0.3">
      <c r="A546" s="55" t="s">
        <v>1264</v>
      </c>
      <c r="B546" s="53" t="s">
        <v>1265</v>
      </c>
      <c r="C546" s="54" t="s">
        <v>30</v>
      </c>
      <c r="D546" s="75">
        <v>5000</v>
      </c>
      <c r="E546" s="75"/>
      <c r="F546" s="75"/>
      <c r="G546" s="75"/>
      <c r="H546" s="75"/>
      <c r="I546" s="75"/>
      <c r="J546" s="75">
        <v>13</v>
      </c>
      <c r="K546" s="75">
        <v>65000</v>
      </c>
      <c r="L546" s="91" t="s">
        <v>1266</v>
      </c>
      <c r="M546" s="73"/>
      <c r="N546" s="46">
        <v>3140</v>
      </c>
      <c r="O546" s="46">
        <v>0</v>
      </c>
      <c r="P546" s="46">
        <v>40820</v>
      </c>
      <c r="Q546" s="98"/>
      <c r="R546" s="23" t="s">
        <v>1432</v>
      </c>
      <c r="S546" s="24" t="s">
        <v>1265</v>
      </c>
      <c r="T546" s="25" t="s">
        <v>30</v>
      </c>
      <c r="U546" s="26">
        <v>5000</v>
      </c>
      <c r="V546" s="26">
        <f t="shared" si="137"/>
        <v>5000</v>
      </c>
      <c r="W546" s="26">
        <f t="shared" si="135"/>
        <v>13</v>
      </c>
      <c r="X546" s="128">
        <f t="shared" si="138"/>
        <v>0</v>
      </c>
      <c r="Y546" s="26">
        <f t="shared" si="133"/>
        <v>3140</v>
      </c>
      <c r="Z546" s="26">
        <f t="shared" si="139"/>
        <v>0</v>
      </c>
      <c r="AA546" s="26">
        <f t="shared" si="140"/>
        <v>40820</v>
      </c>
      <c r="AB546" s="33" t="s">
        <v>15</v>
      </c>
      <c r="AC546" s="324"/>
      <c r="AD546" s="181">
        <f t="shared" si="134"/>
        <v>5000</v>
      </c>
      <c r="AE546" s="181">
        <f t="shared" si="141"/>
        <v>65000</v>
      </c>
      <c r="AF546" s="181">
        <v>6</v>
      </c>
      <c r="AG546" s="181">
        <v>6</v>
      </c>
      <c r="AH546" s="363" t="str">
        <f t="shared" si="142"/>
        <v/>
      </c>
      <c r="AI546" s="194">
        <f>1250+1255+635</f>
        <v>3140</v>
      </c>
      <c r="AJ546" s="188">
        <v>5000</v>
      </c>
      <c r="AO546" s="367"/>
      <c r="AP546" s="367"/>
      <c r="AQ546" s="367"/>
    </row>
    <row r="547" spans="1:43" s="69" customFormat="1" ht="39" x14ac:dyDescent="0.3">
      <c r="A547" s="55" t="s">
        <v>1267</v>
      </c>
      <c r="B547" s="53" t="s">
        <v>1268</v>
      </c>
      <c r="C547" s="54" t="s">
        <v>1269</v>
      </c>
      <c r="D547" s="75">
        <v>48</v>
      </c>
      <c r="E547" s="75"/>
      <c r="F547" s="75"/>
      <c r="G547" s="75"/>
      <c r="H547" s="75"/>
      <c r="I547" s="328">
        <v>56</v>
      </c>
      <c r="J547" s="75">
        <v>47468</v>
      </c>
      <c r="K547" s="75">
        <v>2658208</v>
      </c>
      <c r="L547" s="91" t="s">
        <v>1270</v>
      </c>
      <c r="M547" s="73"/>
      <c r="N547" s="46">
        <v>50</v>
      </c>
      <c r="O547" s="46">
        <v>94936</v>
      </c>
      <c r="P547" s="46">
        <v>2373400</v>
      </c>
      <c r="Q547" s="98"/>
      <c r="R547" s="23" t="s">
        <v>1433</v>
      </c>
      <c r="S547" s="24" t="s">
        <v>1268</v>
      </c>
      <c r="T547" s="25" t="s">
        <v>1269</v>
      </c>
      <c r="U547" s="26">
        <v>48</v>
      </c>
      <c r="V547" s="26">
        <f t="shared" si="137"/>
        <v>56</v>
      </c>
      <c r="W547" s="26">
        <f t="shared" si="135"/>
        <v>47468</v>
      </c>
      <c r="X547" s="250">
        <f t="shared" si="138"/>
        <v>2</v>
      </c>
      <c r="Y547" s="26">
        <f t="shared" si="133"/>
        <v>52</v>
      </c>
      <c r="Z547" s="26">
        <f>AA547-P547</f>
        <v>94936</v>
      </c>
      <c r="AA547" s="26">
        <f t="shared" si="140"/>
        <v>2468336</v>
      </c>
      <c r="AB547" s="33" t="s">
        <v>15</v>
      </c>
      <c r="AC547" s="324"/>
      <c r="AD547" s="181">
        <f t="shared" si="134"/>
        <v>56</v>
      </c>
      <c r="AE547" s="181">
        <f t="shared" si="141"/>
        <v>2658208</v>
      </c>
      <c r="AF547" s="181">
        <v>6</v>
      </c>
      <c r="AG547" s="181">
        <v>6</v>
      </c>
      <c r="AH547" s="363" t="str">
        <f t="shared" si="142"/>
        <v/>
      </c>
      <c r="AI547" s="191">
        <f>39+1+2+2+2+2+2+2</f>
        <v>52</v>
      </c>
      <c r="AJ547" s="190">
        <v>56</v>
      </c>
      <c r="AN547" s="363"/>
      <c r="AO547" s="368"/>
      <c r="AP547" s="367"/>
      <c r="AQ547" s="367"/>
    </row>
    <row r="548" spans="1:43" s="69" customFormat="1" ht="58.5" x14ac:dyDescent="0.3">
      <c r="A548" s="55" t="s">
        <v>1271</v>
      </c>
      <c r="B548" s="53" t="s">
        <v>1272</v>
      </c>
      <c r="C548" s="54" t="s">
        <v>14</v>
      </c>
      <c r="D548" s="75">
        <v>1</v>
      </c>
      <c r="E548" s="75"/>
      <c r="F548" s="75"/>
      <c r="G548" s="75"/>
      <c r="H548" s="75"/>
      <c r="I548" s="328"/>
      <c r="J548" s="75">
        <v>111233.97</v>
      </c>
      <c r="K548" s="75">
        <v>111233.97</v>
      </c>
      <c r="L548" s="91" t="s">
        <v>1273</v>
      </c>
      <c r="M548" s="73"/>
      <c r="N548" s="46">
        <v>0.85</v>
      </c>
      <c r="O548" s="46">
        <v>0</v>
      </c>
      <c r="P548" s="46">
        <v>94548.87</v>
      </c>
      <c r="Q548" s="98"/>
      <c r="R548" s="23" t="s">
        <v>1382</v>
      </c>
      <c r="S548" s="24" t="s">
        <v>1272</v>
      </c>
      <c r="T548" s="25" t="s">
        <v>14</v>
      </c>
      <c r="U548" s="26">
        <v>1</v>
      </c>
      <c r="V548" s="26">
        <f t="shared" si="137"/>
        <v>1</v>
      </c>
      <c r="W548" s="26">
        <f t="shared" si="135"/>
        <v>111233.97</v>
      </c>
      <c r="X548" s="128">
        <f t="shared" si="138"/>
        <v>0</v>
      </c>
      <c r="Y548" s="26">
        <f t="shared" si="133"/>
        <v>0.85</v>
      </c>
      <c r="Z548" s="136">
        <f>AA548-P548</f>
        <v>0</v>
      </c>
      <c r="AA548" s="26">
        <f>ROUND(W548*Y548,2)</f>
        <v>94548.87</v>
      </c>
      <c r="AB548" s="33" t="s">
        <v>15</v>
      </c>
      <c r="AC548" s="324"/>
      <c r="AD548" s="181">
        <f t="shared" si="134"/>
        <v>1</v>
      </c>
      <c r="AE548" s="181">
        <f t="shared" si="141"/>
        <v>111233.97</v>
      </c>
      <c r="AF548" s="181">
        <v>6</v>
      </c>
      <c r="AG548" s="181">
        <v>6</v>
      </c>
      <c r="AH548" s="363" t="str">
        <f t="shared" si="142"/>
        <v/>
      </c>
      <c r="AI548" s="194">
        <f>0.8+0.05</f>
        <v>0.85000000000000009</v>
      </c>
      <c r="AJ548" s="188">
        <v>1</v>
      </c>
      <c r="AM548" s="69">
        <f>P548/AA548</f>
        <v>1</v>
      </c>
      <c r="AO548" s="367"/>
      <c r="AP548" s="367"/>
      <c r="AQ548" s="367"/>
    </row>
    <row r="549" spans="1:43" s="69" customFormat="1" x14ac:dyDescent="0.3">
      <c r="A549" s="85" t="s">
        <v>1274</v>
      </c>
      <c r="B549" s="86" t="s">
        <v>1275</v>
      </c>
      <c r="C549" s="87" t="s">
        <v>14</v>
      </c>
      <c r="D549" s="88">
        <v>1</v>
      </c>
      <c r="E549" s="88"/>
      <c r="F549" s="88"/>
      <c r="G549" s="88"/>
      <c r="H549" s="88"/>
      <c r="I549" s="353"/>
      <c r="J549" s="88">
        <v>3264123.96</v>
      </c>
      <c r="K549" s="88">
        <v>3264123.96</v>
      </c>
      <c r="L549" s="95" t="s">
        <v>15</v>
      </c>
      <c r="M549" s="73"/>
      <c r="N549" s="42">
        <v>1</v>
      </c>
      <c r="O549" s="42">
        <v>94936</v>
      </c>
      <c r="P549" s="42">
        <v>2888428.57</v>
      </c>
      <c r="Q549" s="98"/>
      <c r="R549" s="13" t="s">
        <v>1416</v>
      </c>
      <c r="S549" s="14" t="s">
        <v>1275</v>
      </c>
      <c r="T549" s="15" t="s">
        <v>14</v>
      </c>
      <c r="U549" s="16">
        <v>1</v>
      </c>
      <c r="V549" s="16"/>
      <c r="W549" s="16">
        <f t="shared" si="135"/>
        <v>3264123.96</v>
      </c>
      <c r="X549" s="16">
        <f t="shared" ref="X549:Y549" si="143">IF(Z549=0,0,1)</f>
        <v>1</v>
      </c>
      <c r="Y549" s="16">
        <f t="shared" si="143"/>
        <v>1</v>
      </c>
      <c r="Z549" s="16">
        <f>SUMIFS(Z:Z,AG:AG,AF549)</f>
        <v>94936</v>
      </c>
      <c r="AA549" s="16">
        <f>SUMIFS(AA:AA,AG:AG,AF549)</f>
        <v>2983364.57</v>
      </c>
      <c r="AB549" s="17" t="s">
        <v>15</v>
      </c>
      <c r="AC549" s="232"/>
      <c r="AD549" s="181">
        <f t="shared" si="134"/>
        <v>1</v>
      </c>
      <c r="AE549" s="183">
        <f>K549</f>
        <v>3264123.96</v>
      </c>
      <c r="AF549" s="183">
        <v>7</v>
      </c>
      <c r="AG549" s="183"/>
      <c r="AH549" s="363" t="str">
        <f t="shared" si="142"/>
        <v/>
      </c>
      <c r="AI549" s="192">
        <v>1</v>
      </c>
      <c r="AJ549" s="188">
        <v>1</v>
      </c>
      <c r="AO549" s="367"/>
      <c r="AP549" s="367"/>
      <c r="AQ549" s="367"/>
    </row>
    <row r="550" spans="1:43" s="69" customFormat="1" ht="39" x14ac:dyDescent="0.3">
      <c r="A550" s="55" t="s">
        <v>1276</v>
      </c>
      <c r="B550" s="53" t="s">
        <v>1277</v>
      </c>
      <c r="C550" s="54" t="s">
        <v>1269</v>
      </c>
      <c r="D550" s="75">
        <v>48</v>
      </c>
      <c r="E550" s="75"/>
      <c r="F550" s="75"/>
      <c r="G550" s="75"/>
      <c r="H550" s="75"/>
      <c r="I550" s="328">
        <v>56</v>
      </c>
      <c r="J550" s="75">
        <v>47468</v>
      </c>
      <c r="K550" s="75">
        <v>2658208</v>
      </c>
      <c r="L550" s="91" t="s">
        <v>1278</v>
      </c>
      <c r="M550" s="73"/>
      <c r="N550" s="46">
        <v>50</v>
      </c>
      <c r="O550" s="46">
        <v>94936</v>
      </c>
      <c r="P550" s="46">
        <v>2373400</v>
      </c>
      <c r="Q550" s="98"/>
      <c r="R550" s="23" t="s">
        <v>1421</v>
      </c>
      <c r="S550" s="24" t="s">
        <v>1277</v>
      </c>
      <c r="T550" s="25" t="s">
        <v>1269</v>
      </c>
      <c r="U550" s="26">
        <v>48</v>
      </c>
      <c r="V550" s="26">
        <f t="shared" ref="V550:V551" si="144">IF(I550&gt;0,I550,IF(H550&gt;0,H550,IF(G550&gt;0,G550,IF(F550&gt;0,F550,IF(E550&gt;0,E550,D550)))))</f>
        <v>56</v>
      </c>
      <c r="W550" s="26">
        <f t="shared" si="135"/>
        <v>47468</v>
      </c>
      <c r="X550" s="250">
        <f t="shared" ref="X550:X551" si="145">AI550-N550</f>
        <v>2</v>
      </c>
      <c r="Y550" s="26">
        <f t="shared" si="133"/>
        <v>52</v>
      </c>
      <c r="Z550" s="26">
        <f>AA550-P550</f>
        <v>94936</v>
      </c>
      <c r="AA550" s="26">
        <f t="shared" ref="AA550:AA551" si="146">ROUND(W550*Y550,2)</f>
        <v>2468336</v>
      </c>
      <c r="AB550" s="33" t="s">
        <v>15</v>
      </c>
      <c r="AC550" s="324"/>
      <c r="AD550" s="181">
        <f t="shared" si="134"/>
        <v>56</v>
      </c>
      <c r="AE550" s="181">
        <f t="shared" ref="AE550:AE551" si="147">ROUND(W550*AD550,2)</f>
        <v>2658208</v>
      </c>
      <c r="AF550" s="181">
        <v>7</v>
      </c>
      <c r="AG550" s="181">
        <v>7</v>
      </c>
      <c r="AH550" s="363" t="str">
        <f t="shared" si="142"/>
        <v/>
      </c>
      <c r="AI550" s="191">
        <f>39+1+2+2+2+2+2+2</f>
        <v>52</v>
      </c>
      <c r="AJ550" s="190">
        <v>56</v>
      </c>
      <c r="AN550" s="363"/>
      <c r="AO550" s="368"/>
      <c r="AP550" s="367"/>
      <c r="AQ550" s="367"/>
    </row>
    <row r="551" spans="1:43" s="69" customFormat="1" ht="24.75" x14ac:dyDescent="0.3">
      <c r="A551" s="55" t="s">
        <v>1279</v>
      </c>
      <c r="B551" s="53" t="s">
        <v>1280</v>
      </c>
      <c r="C551" s="54" t="s">
        <v>14</v>
      </c>
      <c r="D551" s="75">
        <v>1</v>
      </c>
      <c r="E551" s="75"/>
      <c r="F551" s="75"/>
      <c r="G551" s="75"/>
      <c r="H551" s="75"/>
      <c r="I551" s="75"/>
      <c r="J551" s="75">
        <v>605915.96</v>
      </c>
      <c r="K551" s="75">
        <v>605915.96</v>
      </c>
      <c r="L551" s="91" t="s">
        <v>1281</v>
      </c>
      <c r="M551" s="73"/>
      <c r="N551" s="46">
        <v>0.85</v>
      </c>
      <c r="O551" s="46">
        <v>0</v>
      </c>
      <c r="P551" s="46">
        <v>515028.57</v>
      </c>
      <c r="Q551" s="98"/>
      <c r="R551" s="23" t="s">
        <v>1426</v>
      </c>
      <c r="S551" s="24" t="s">
        <v>1280</v>
      </c>
      <c r="T551" s="25" t="s">
        <v>14</v>
      </c>
      <c r="U551" s="26">
        <v>1</v>
      </c>
      <c r="V551" s="26">
        <f t="shared" si="144"/>
        <v>1</v>
      </c>
      <c r="W551" s="26">
        <f t="shared" si="135"/>
        <v>605915.96</v>
      </c>
      <c r="X551" s="128">
        <f t="shared" si="145"/>
        <v>0</v>
      </c>
      <c r="Y551" s="26">
        <f t="shared" si="133"/>
        <v>0.85</v>
      </c>
      <c r="Z551" s="136">
        <f>AA551-P551</f>
        <v>0</v>
      </c>
      <c r="AA551" s="26">
        <f t="shared" si="146"/>
        <v>515028.57</v>
      </c>
      <c r="AB551" s="33" t="s">
        <v>15</v>
      </c>
      <c r="AC551" s="324"/>
      <c r="AD551" s="181">
        <f t="shared" si="134"/>
        <v>1</v>
      </c>
      <c r="AE551" s="181">
        <f t="shared" si="147"/>
        <v>605915.96</v>
      </c>
      <c r="AF551" s="181">
        <v>7</v>
      </c>
      <c r="AG551" s="181">
        <v>7</v>
      </c>
      <c r="AH551" s="363" t="str">
        <f t="shared" si="142"/>
        <v/>
      </c>
      <c r="AI551" s="194">
        <f>0.8+0.05</f>
        <v>0.85000000000000009</v>
      </c>
      <c r="AJ551" s="188">
        <v>1</v>
      </c>
      <c r="AM551" s="69">
        <f>P551/AA551</f>
        <v>1</v>
      </c>
      <c r="AO551" s="367"/>
      <c r="AP551" s="367"/>
      <c r="AQ551" s="367"/>
    </row>
    <row r="552" spans="1:43" s="69" customFormat="1" ht="63" x14ac:dyDescent="0.3">
      <c r="A552" s="85" t="s">
        <v>1282</v>
      </c>
      <c r="B552" s="86" t="s">
        <v>1283</v>
      </c>
      <c r="C552" s="87" t="s">
        <v>14</v>
      </c>
      <c r="D552" s="88">
        <v>1</v>
      </c>
      <c r="E552" s="88"/>
      <c r="F552" s="88"/>
      <c r="G552" s="88"/>
      <c r="H552" s="88"/>
      <c r="I552" s="88"/>
      <c r="J552" s="88">
        <v>41582787.450000003</v>
      </c>
      <c r="K552" s="88">
        <v>41582787.450000003</v>
      </c>
      <c r="L552" s="95" t="s">
        <v>1284</v>
      </c>
      <c r="M552" s="73"/>
      <c r="N552" s="42">
        <v>1</v>
      </c>
      <c r="O552" s="42">
        <v>2722201.949999962</v>
      </c>
      <c r="P552" s="42">
        <v>36139123.469999962</v>
      </c>
      <c r="Q552" s="98"/>
      <c r="R552" s="28" t="s">
        <v>1417</v>
      </c>
      <c r="S552" s="29" t="s">
        <v>1283</v>
      </c>
      <c r="T552" s="30" t="s">
        <v>14</v>
      </c>
      <c r="U552" s="31">
        <v>1</v>
      </c>
      <c r="V552" s="31"/>
      <c r="W552" s="31">
        <f t="shared" si="135"/>
        <v>41582787.450000003</v>
      </c>
      <c r="X552" s="31">
        <f t="shared" ref="X552:Y553" si="148">IF(Z552=0,0,1)</f>
        <v>1</v>
      </c>
      <c r="Y552" s="31">
        <f t="shared" si="148"/>
        <v>1</v>
      </c>
      <c r="Z552" s="31">
        <f>AA552-P552</f>
        <v>485898.01000004262</v>
      </c>
      <c r="AA552" s="31">
        <f>AA7-AA8-AA434-AA464-AA504-AA508-AA529-AA549-AA553-AA556</f>
        <v>36625021.480000004</v>
      </c>
      <c r="AB552" s="32" t="s">
        <v>1418</v>
      </c>
      <c r="AC552" s="324"/>
      <c r="AD552" s="181">
        <f t="shared" si="134"/>
        <v>1</v>
      </c>
      <c r="AE552" s="183"/>
      <c r="AF552" s="183">
        <v>8</v>
      </c>
      <c r="AG552" s="183"/>
      <c r="AH552" s="363" t="str">
        <f t="shared" si="142"/>
        <v/>
      </c>
      <c r="AI552" s="192">
        <v>1</v>
      </c>
      <c r="AJ552" s="188">
        <v>1</v>
      </c>
      <c r="AO552" s="367"/>
      <c r="AP552" s="367"/>
      <c r="AQ552" s="367"/>
    </row>
    <row r="553" spans="1:43" s="69" customFormat="1" ht="157.5" x14ac:dyDescent="0.3">
      <c r="A553" s="85" t="s">
        <v>1285</v>
      </c>
      <c r="B553" s="86" t="s">
        <v>1286</v>
      </c>
      <c r="C553" s="87" t="s">
        <v>14</v>
      </c>
      <c r="D553" s="88">
        <v>1</v>
      </c>
      <c r="E553" s="88"/>
      <c r="F553" s="88"/>
      <c r="G553" s="88"/>
      <c r="H553" s="88"/>
      <c r="I553" s="88"/>
      <c r="J553" s="88">
        <v>3907660.8</v>
      </c>
      <c r="K553" s="88">
        <v>3907660.8</v>
      </c>
      <c r="L553" s="95" t="s">
        <v>1287</v>
      </c>
      <c r="M553" s="73"/>
      <c r="N553" s="42">
        <v>1</v>
      </c>
      <c r="O553" s="42">
        <v>491580</v>
      </c>
      <c r="P553" s="42">
        <v>3826680</v>
      </c>
      <c r="Q553" s="98"/>
      <c r="R553" s="13" t="s">
        <v>1419</v>
      </c>
      <c r="S553" s="14" t="s">
        <v>1286</v>
      </c>
      <c r="T553" s="15" t="s">
        <v>14</v>
      </c>
      <c r="U553" s="16">
        <v>1</v>
      </c>
      <c r="V553" s="16"/>
      <c r="W553" s="16">
        <f t="shared" si="135"/>
        <v>3907660.8</v>
      </c>
      <c r="X553" s="16">
        <f t="shared" si="148"/>
        <v>0</v>
      </c>
      <c r="Y553" s="16">
        <f t="shared" si="148"/>
        <v>1</v>
      </c>
      <c r="Z553" s="16">
        <f>SUMIFS(Z:Z,AG:AG,AF553)</f>
        <v>0</v>
      </c>
      <c r="AA553" s="16">
        <f>SUMIFS(AA:AA,AG:AG,AF553)</f>
        <v>3826680</v>
      </c>
      <c r="AB553" s="17" t="s">
        <v>1287</v>
      </c>
      <c r="AC553" s="232"/>
      <c r="AD553" s="181">
        <f t="shared" si="134"/>
        <v>1</v>
      </c>
      <c r="AE553" s="183"/>
      <c r="AF553" s="183">
        <v>9</v>
      </c>
      <c r="AG553" s="183"/>
      <c r="AH553" s="363" t="str">
        <f t="shared" si="142"/>
        <v/>
      </c>
      <c r="AI553" s="192">
        <v>1</v>
      </c>
      <c r="AJ553" s="188">
        <v>1</v>
      </c>
      <c r="AO553" s="367"/>
      <c r="AP553" s="367"/>
      <c r="AQ553" s="367"/>
    </row>
    <row r="554" spans="1:43" s="69" customFormat="1" ht="39" x14ac:dyDescent="0.3">
      <c r="A554" s="55" t="s">
        <v>1288</v>
      </c>
      <c r="B554" s="53" t="s">
        <v>1286</v>
      </c>
      <c r="C554" s="54" t="s">
        <v>23</v>
      </c>
      <c r="D554" s="75">
        <v>22240</v>
      </c>
      <c r="E554" s="75"/>
      <c r="F554" s="75"/>
      <c r="G554" s="75"/>
      <c r="H554" s="75"/>
      <c r="I554" s="75">
        <v>16836</v>
      </c>
      <c r="J554" s="75">
        <v>150</v>
      </c>
      <c r="K554" s="75">
        <v>2525400</v>
      </c>
      <c r="L554" s="91" t="s">
        <v>1289</v>
      </c>
      <c r="M554" s="73"/>
      <c r="N554" s="46">
        <v>16836</v>
      </c>
      <c r="O554" s="46">
        <v>-809700</v>
      </c>
      <c r="P554" s="46">
        <v>2525400</v>
      </c>
      <c r="Q554" s="98"/>
      <c r="R554" s="23" t="s">
        <v>1421</v>
      </c>
      <c r="S554" s="24" t="s">
        <v>1286</v>
      </c>
      <c r="T554" s="25" t="s">
        <v>23</v>
      </c>
      <c r="U554" s="26">
        <v>22240</v>
      </c>
      <c r="V554" s="26">
        <f t="shared" ref="V554:V555" si="149">IF(I554&gt;0,I554,IF(H554&gt;0,H554,IF(G554&gt;0,G554,IF(F554&gt;0,F554,IF(E554&gt;0,E554,D554)))))</f>
        <v>16836</v>
      </c>
      <c r="W554" s="26">
        <f t="shared" si="135"/>
        <v>150</v>
      </c>
      <c r="X554" s="103">
        <f t="shared" ref="X554:X555" si="150">AI554-N554</f>
        <v>0</v>
      </c>
      <c r="Y554" s="26">
        <f t="shared" ref="Y554:Y555" si="151">X554+N554</f>
        <v>16836</v>
      </c>
      <c r="Z554" s="26">
        <f>AA554-P554</f>
        <v>0</v>
      </c>
      <c r="AA554" s="26">
        <f>ROUND(W554*Y554,2)</f>
        <v>2525400</v>
      </c>
      <c r="AB554" s="33" t="s">
        <v>15</v>
      </c>
      <c r="AC554" s="324"/>
      <c r="AD554" s="181">
        <f t="shared" si="134"/>
        <v>16836</v>
      </c>
      <c r="AE554" s="181">
        <f t="shared" ref="AE554:AE555" si="152">ROUND(W554*AD554,2)</f>
        <v>2525400</v>
      </c>
      <c r="AF554" s="181">
        <v>9</v>
      </c>
      <c r="AG554" s="181">
        <v>9</v>
      </c>
      <c r="AH554" s="363" t="str">
        <f t="shared" si="142"/>
        <v/>
      </c>
      <c r="AI554" s="194">
        <v>16836</v>
      </c>
      <c r="AJ554" s="190">
        <v>16836</v>
      </c>
      <c r="AN554" s="281"/>
      <c r="AO554" s="367"/>
      <c r="AP554" s="367"/>
      <c r="AQ554" s="367"/>
    </row>
    <row r="555" spans="1:43" s="281" customFormat="1" ht="39" x14ac:dyDescent="0.3">
      <c r="A555" s="316" t="s">
        <v>3277</v>
      </c>
      <c r="B555" s="211" t="s">
        <v>3276</v>
      </c>
      <c r="C555" s="212" t="s">
        <v>23</v>
      </c>
      <c r="D555" s="213"/>
      <c r="E555" s="213"/>
      <c r="F555" s="213"/>
      <c r="G555" s="213"/>
      <c r="H555" s="213"/>
      <c r="I555" s="213">
        <v>5759.42</v>
      </c>
      <c r="J555" s="213">
        <v>240</v>
      </c>
      <c r="K555" s="213">
        <v>1382260.8</v>
      </c>
      <c r="L555" s="284"/>
      <c r="M555" s="278"/>
      <c r="N555" s="42">
        <v>5422</v>
      </c>
      <c r="O555" s="42">
        <v>1301280</v>
      </c>
      <c r="P555" s="42">
        <v>1301280</v>
      </c>
      <c r="Q555" s="98"/>
      <c r="R555" s="13" t="s">
        <v>3275</v>
      </c>
      <c r="S555" s="286" t="str">
        <f t="shared" ref="S555:T555" si="153">B555</f>
        <v>台北港土方管理費(114年起)</v>
      </c>
      <c r="T555" s="287" t="str">
        <f t="shared" si="153"/>
        <v>M3</v>
      </c>
      <c r="U555" s="16"/>
      <c r="V555" s="16">
        <f t="shared" si="149"/>
        <v>5759.42</v>
      </c>
      <c r="W555" s="16">
        <f t="shared" si="135"/>
        <v>240</v>
      </c>
      <c r="X555" s="16">
        <f t="shared" si="150"/>
        <v>0</v>
      </c>
      <c r="Y555" s="16">
        <f t="shared" si="151"/>
        <v>5422</v>
      </c>
      <c r="Z555" s="16">
        <f t="shared" ref="Z555" si="154">AA555-P555</f>
        <v>0</v>
      </c>
      <c r="AA555" s="16">
        <f t="shared" ref="AA555" si="155">ROUND(W555*Y555,2)</f>
        <v>1301280</v>
      </c>
      <c r="AB555" s="17"/>
      <c r="AC555" s="324"/>
      <c r="AD555" s="181">
        <f t="shared" si="134"/>
        <v>5759.42</v>
      </c>
      <c r="AE555" s="181">
        <f t="shared" si="152"/>
        <v>1382260.8</v>
      </c>
      <c r="AF555" s="181">
        <v>9</v>
      </c>
      <c r="AG555" s="181">
        <v>9</v>
      </c>
      <c r="AH555" s="364"/>
      <c r="AI555" s="285">
        <f>AI16-AI554</f>
        <v>5422</v>
      </c>
      <c r="AJ555" s="361">
        <v>5759.42</v>
      </c>
      <c r="AN555" s="69"/>
      <c r="AO555" s="367"/>
      <c r="AP555" s="367"/>
      <c r="AQ555" s="367"/>
    </row>
    <row r="556" spans="1:43" s="69" customFormat="1" ht="178.5" x14ac:dyDescent="0.3">
      <c r="A556" s="85" t="s">
        <v>1290</v>
      </c>
      <c r="B556" s="86" t="s">
        <v>1291</v>
      </c>
      <c r="C556" s="87" t="s">
        <v>14</v>
      </c>
      <c r="D556" s="88">
        <v>1</v>
      </c>
      <c r="E556" s="88"/>
      <c r="F556" s="88"/>
      <c r="G556" s="88"/>
      <c r="H556" s="88"/>
      <c r="I556" s="88"/>
      <c r="J556" s="88">
        <v>212800</v>
      </c>
      <c r="K556" s="88">
        <v>212800</v>
      </c>
      <c r="L556" s="95" t="s">
        <v>1292</v>
      </c>
      <c r="M556" s="73"/>
      <c r="N556" s="42">
        <v>1</v>
      </c>
      <c r="O556" s="42">
        <v>0</v>
      </c>
      <c r="P556" s="42">
        <v>212800</v>
      </c>
      <c r="Q556" s="98"/>
      <c r="R556" s="13" t="s">
        <v>1420</v>
      </c>
      <c r="S556" s="14" t="s">
        <v>1291</v>
      </c>
      <c r="T556" s="15" t="s">
        <v>14</v>
      </c>
      <c r="U556" s="16">
        <v>1</v>
      </c>
      <c r="V556" s="16"/>
      <c r="W556" s="16">
        <f t="shared" si="135"/>
        <v>212800</v>
      </c>
      <c r="X556" s="16">
        <f t="shared" ref="X556:Y556" si="156">IF(Z556=0,0,1)</f>
        <v>0</v>
      </c>
      <c r="Y556" s="16">
        <f t="shared" si="156"/>
        <v>1</v>
      </c>
      <c r="Z556" s="16">
        <f>SUMIFS(Z:Z,AG:AG,AF556)</f>
        <v>0</v>
      </c>
      <c r="AA556" s="16">
        <f>SUMIFS(AA:AA,AG:AG,AF556)</f>
        <v>212800</v>
      </c>
      <c r="AB556" s="17" t="s">
        <v>1292</v>
      </c>
      <c r="AC556" s="232"/>
      <c r="AD556" s="181">
        <f t="shared" si="134"/>
        <v>1</v>
      </c>
      <c r="AE556" s="183"/>
      <c r="AF556" s="183">
        <v>10</v>
      </c>
      <c r="AG556" s="183"/>
      <c r="AH556" s="363" t="str">
        <f t="shared" si="142"/>
        <v/>
      </c>
      <c r="AI556" s="192">
        <v>1</v>
      </c>
      <c r="AJ556" s="188">
        <v>1</v>
      </c>
      <c r="AO556" s="367"/>
      <c r="AP556" s="367"/>
      <c r="AQ556" s="367"/>
    </row>
    <row r="557" spans="1:43" s="69" customFormat="1" ht="39" x14ac:dyDescent="0.3">
      <c r="A557" s="55" t="s">
        <v>1293</v>
      </c>
      <c r="B557" s="53" t="s">
        <v>1294</v>
      </c>
      <c r="C557" s="54" t="s">
        <v>50</v>
      </c>
      <c r="D557" s="75">
        <v>3800</v>
      </c>
      <c r="E557" s="75"/>
      <c r="F557" s="75"/>
      <c r="G557" s="75"/>
      <c r="H557" s="75"/>
      <c r="I557" s="75"/>
      <c r="J557" s="75">
        <v>56</v>
      </c>
      <c r="K557" s="75">
        <v>212800</v>
      </c>
      <c r="L557" s="91" t="s">
        <v>1295</v>
      </c>
      <c r="M557" s="73"/>
      <c r="N557" s="46">
        <v>3800</v>
      </c>
      <c r="O557" s="46">
        <v>0</v>
      </c>
      <c r="P557" s="46">
        <v>212800</v>
      </c>
      <c r="Q557" s="98"/>
      <c r="R557" s="23" t="s">
        <v>1421</v>
      </c>
      <c r="S557" s="24" t="s">
        <v>1294</v>
      </c>
      <c r="T557" s="25" t="s">
        <v>50</v>
      </c>
      <c r="U557" s="26">
        <v>3800</v>
      </c>
      <c r="V557" s="26">
        <v>3800</v>
      </c>
      <c r="W557" s="26">
        <f t="shared" si="135"/>
        <v>56</v>
      </c>
      <c r="X557" s="26">
        <f t="shared" ref="X557" si="157">AI557-N557</f>
        <v>0</v>
      </c>
      <c r="Y557" s="26">
        <f t="shared" ref="Y557" si="158">X557+N557</f>
        <v>3800</v>
      </c>
      <c r="Z557" s="26">
        <v>0</v>
      </c>
      <c r="AA557" s="26">
        <f t="shared" ref="AA557" si="159">ROUND(W557*Y557,2)</f>
        <v>212800</v>
      </c>
      <c r="AB557" s="33" t="s">
        <v>15</v>
      </c>
      <c r="AC557" s="324"/>
      <c r="AD557" s="181">
        <f t="shared" si="134"/>
        <v>3800</v>
      </c>
      <c r="AE557" s="181">
        <f t="shared" ref="AE557" si="160">ROUND(W557*AD557,2)</f>
        <v>212800</v>
      </c>
      <c r="AF557" s="181">
        <v>10</v>
      </c>
      <c r="AG557" s="181">
        <v>10</v>
      </c>
      <c r="AH557" s="363" t="str">
        <f t="shared" si="142"/>
        <v/>
      </c>
      <c r="AI557" s="192">
        <v>3800</v>
      </c>
      <c r="AJ557" s="188">
        <v>3800</v>
      </c>
      <c r="AP557" s="367"/>
      <c r="AQ557" s="367"/>
    </row>
    <row r="558" spans="1:43" s="69" customFormat="1" ht="39" x14ac:dyDescent="0.3">
      <c r="A558" s="52"/>
      <c r="B558" s="53" t="s">
        <v>1296</v>
      </c>
      <c r="C558" s="54"/>
      <c r="D558" s="75"/>
      <c r="E558" s="75"/>
      <c r="F558" s="75"/>
      <c r="G558" s="75"/>
      <c r="H558" s="75"/>
      <c r="I558" s="75"/>
      <c r="J558" s="75"/>
      <c r="K558" s="75"/>
      <c r="L558" s="91"/>
      <c r="M558" s="73"/>
      <c r="N558" s="46"/>
      <c r="O558" s="46">
        <v>28074799.999999966</v>
      </c>
      <c r="P558" s="46">
        <v>370217100</v>
      </c>
      <c r="Q558" s="98"/>
      <c r="R558" s="23" t="s">
        <v>1421</v>
      </c>
      <c r="S558" s="24" t="s">
        <v>1422</v>
      </c>
      <c r="T558" s="25"/>
      <c r="U558" s="26"/>
      <c r="V558" s="26"/>
      <c r="W558" s="26"/>
      <c r="X558" s="26"/>
      <c r="Y558" s="26"/>
      <c r="Z558" s="26">
        <f>Z8+Z434+Z464+Z504+Z508+Z529+Z549+Z552+Z553+Z556</f>
        <v>4923100.0000000428</v>
      </c>
      <c r="AA558" s="26">
        <f>ROUNDDOWN((AA8+AA434+AA464+AA504+AA508+AA529+AA549+AA553+AA556+(AA8+AA434+AA464+AA504+AA508+AA529+AA549)*0.1095000004)/1000,1)*1000</f>
        <v>375140200</v>
      </c>
      <c r="AB558" s="33"/>
      <c r="AC558" s="324"/>
      <c r="AD558" s="181"/>
      <c r="AE558" s="181"/>
      <c r="AF558" s="181"/>
      <c r="AG558" s="181"/>
      <c r="AH558" s="363" t="str">
        <f t="shared" si="142"/>
        <v/>
      </c>
      <c r="AI558" s="192"/>
      <c r="AJ558" s="188">
        <v>0</v>
      </c>
      <c r="AP558" s="367"/>
      <c r="AQ558" s="367"/>
    </row>
    <row r="559" spans="1:43" s="69" customFormat="1" x14ac:dyDescent="0.3">
      <c r="A559" s="52"/>
      <c r="B559" s="53" t="s">
        <v>1297</v>
      </c>
      <c r="C559" s="54"/>
      <c r="D559" s="75"/>
      <c r="E559" s="75"/>
      <c r="F559" s="75"/>
      <c r="G559" s="75"/>
      <c r="H559" s="75"/>
      <c r="I559" s="75"/>
      <c r="J559" s="75"/>
      <c r="K559" s="75"/>
      <c r="L559" s="91"/>
      <c r="M559" s="73"/>
      <c r="N559" s="39"/>
      <c r="O559" s="39">
        <v>9675</v>
      </c>
      <c r="P559" s="39">
        <v>19291</v>
      </c>
      <c r="Q559" s="98"/>
      <c r="R559" s="8" t="s">
        <v>1505</v>
      </c>
      <c r="S559" s="9" t="s">
        <v>1506</v>
      </c>
      <c r="T559" s="10" t="s">
        <v>14</v>
      </c>
      <c r="U559" s="11"/>
      <c r="V559" s="11"/>
      <c r="W559" s="11"/>
      <c r="X559" s="11"/>
      <c r="Y559" s="11"/>
      <c r="Z559" s="11">
        <v>9675</v>
      </c>
      <c r="AA559" s="11">
        <v>19291</v>
      </c>
      <c r="AB559" s="12" t="s">
        <v>15</v>
      </c>
      <c r="AC559" s="324"/>
      <c r="AD559" s="182"/>
      <c r="AE559" s="182">
        <v>295040.74</v>
      </c>
      <c r="AF559" s="182">
        <v>12929586.060000001</v>
      </c>
      <c r="AG559" s="182"/>
      <c r="AH559" s="363" t="str">
        <f t="shared" si="142"/>
        <v/>
      </c>
      <c r="AI559" s="192"/>
      <c r="AJ559" s="188">
        <v>0</v>
      </c>
      <c r="AP559" s="367"/>
      <c r="AQ559" s="367"/>
    </row>
    <row r="560" spans="1:43" s="69" customFormat="1" x14ac:dyDescent="0.3">
      <c r="A560" s="382" t="s">
        <v>1298</v>
      </c>
      <c r="B560" s="383"/>
      <c r="C560" s="383"/>
      <c r="D560" s="383"/>
      <c r="E560" s="383"/>
      <c r="F560" s="383"/>
      <c r="G560" s="383"/>
      <c r="H560" s="383"/>
      <c r="I560" s="383"/>
      <c r="J560" s="383"/>
      <c r="K560" s="383"/>
      <c r="L560" s="384"/>
      <c r="M560" s="89"/>
      <c r="N560" s="46"/>
      <c r="O560" s="46">
        <v>2999475</v>
      </c>
      <c r="P560" s="46">
        <v>131240691</v>
      </c>
      <c r="Q560" s="98"/>
      <c r="R560" s="23" t="s">
        <v>1421</v>
      </c>
      <c r="S560" s="24" t="s">
        <v>1507</v>
      </c>
      <c r="T560" s="25"/>
      <c r="U560" s="26"/>
      <c r="V560" s="26"/>
      <c r="W560" s="26"/>
      <c r="X560" s="26"/>
      <c r="Y560" s="26"/>
      <c r="Z560" s="26">
        <v>2999475</v>
      </c>
      <c r="AA560" s="26">
        <v>131240691</v>
      </c>
      <c r="AB560" s="33"/>
      <c r="AC560" s="324"/>
      <c r="AD560" s="181"/>
      <c r="AE560" s="181"/>
      <c r="AF560" s="181"/>
      <c r="AG560" s="181"/>
      <c r="AH560" s="363" t="str">
        <f t="shared" si="142"/>
        <v/>
      </c>
      <c r="AI560" s="192"/>
      <c r="AJ560" s="188">
        <v>0</v>
      </c>
      <c r="AP560" s="367"/>
      <c r="AQ560" s="367"/>
    </row>
    <row r="561" spans="1:43" s="69" customFormat="1" ht="153" customHeight="1" x14ac:dyDescent="0.3">
      <c r="A561" s="390" t="s">
        <v>1299</v>
      </c>
      <c r="B561" s="391"/>
      <c r="C561" s="391"/>
      <c r="D561" s="391"/>
      <c r="E561" s="391"/>
      <c r="F561" s="391"/>
      <c r="G561" s="391"/>
      <c r="H561" s="391"/>
      <c r="I561" s="391"/>
      <c r="J561" s="391"/>
      <c r="K561" s="391"/>
      <c r="L561" s="392"/>
      <c r="M561" s="90"/>
      <c r="N561" s="39"/>
      <c r="O561" s="39">
        <v>0</v>
      </c>
      <c r="P561" s="39">
        <v>737520</v>
      </c>
      <c r="Q561" s="98"/>
      <c r="R561" s="8" t="s">
        <v>1508</v>
      </c>
      <c r="S561" s="9" t="s">
        <v>1509</v>
      </c>
      <c r="T561" s="10" t="s">
        <v>14</v>
      </c>
      <c r="U561" s="11"/>
      <c r="V561" s="11"/>
      <c r="W561" s="11"/>
      <c r="X561" s="11"/>
      <c r="Y561" s="11"/>
      <c r="Z561" s="11">
        <v>0</v>
      </c>
      <c r="AA561" s="11">
        <f>SUM(AA562:AA564)</f>
        <v>1334372</v>
      </c>
      <c r="AB561" s="12" t="s">
        <v>15</v>
      </c>
      <c r="AC561" s="324"/>
      <c r="AD561" s="182"/>
      <c r="AE561" s="182"/>
      <c r="AF561" s="182"/>
      <c r="AG561" s="182"/>
      <c r="AH561" s="363" t="str">
        <f t="shared" si="142"/>
        <v/>
      </c>
      <c r="AI561" s="192"/>
      <c r="AJ561" s="188">
        <v>0</v>
      </c>
      <c r="AP561" s="367"/>
      <c r="AQ561" s="367"/>
    </row>
    <row r="562" spans="1:43" ht="39" x14ac:dyDescent="0.3">
      <c r="A562" s="72" t="s">
        <v>1421</v>
      </c>
      <c r="B562" s="73" t="s">
        <v>1510</v>
      </c>
      <c r="N562" s="46">
        <v>1096.1600000000001</v>
      </c>
      <c r="O562" s="46">
        <v>67574</v>
      </c>
      <c r="P562" s="46">
        <v>630292</v>
      </c>
      <c r="Q562" s="98"/>
      <c r="R562" s="23" t="s">
        <v>1421</v>
      </c>
      <c r="S562" s="24" t="s">
        <v>1510</v>
      </c>
      <c r="T562" s="25" t="s">
        <v>23</v>
      </c>
      <c r="U562" s="26"/>
      <c r="V562" s="26"/>
      <c r="W562" s="26">
        <v>575</v>
      </c>
      <c r="X562" s="26">
        <f>Y562-N562</f>
        <v>0</v>
      </c>
      <c r="Y562" s="26">
        <v>1096.1600000000001</v>
      </c>
      <c r="Z562" s="26">
        <f>AA562-P562</f>
        <v>0</v>
      </c>
      <c r="AA562" s="26">
        <f>ROUNDDOWN(W562*Y562,0)</f>
        <v>630292</v>
      </c>
      <c r="AB562" s="33" t="s">
        <v>15</v>
      </c>
      <c r="AC562" s="36"/>
      <c r="AH562" s="363"/>
      <c r="AI562" s="185">
        <v>1096.1600000000001</v>
      </c>
      <c r="AJ562" s="188">
        <v>0</v>
      </c>
      <c r="AN562" s="69"/>
      <c r="AO562" s="69"/>
      <c r="AP562" s="367"/>
      <c r="AQ562" s="367"/>
    </row>
    <row r="563" spans="1:43" ht="58.5" x14ac:dyDescent="0.3">
      <c r="A563" s="72" t="s">
        <v>1426</v>
      </c>
      <c r="B563" s="73" t="s">
        <v>1511</v>
      </c>
      <c r="N563" s="46">
        <v>0</v>
      </c>
      <c r="O563" s="46">
        <v>0</v>
      </c>
      <c r="P563" s="46">
        <v>0</v>
      </c>
      <c r="Q563" s="98"/>
      <c r="R563" s="23" t="s">
        <v>1426</v>
      </c>
      <c r="S563" s="24" t="s">
        <v>1511</v>
      </c>
      <c r="T563" s="25" t="s">
        <v>110</v>
      </c>
      <c r="U563" s="26"/>
      <c r="V563" s="26"/>
      <c r="W563" s="26">
        <v>20</v>
      </c>
      <c r="X563" s="26">
        <f>Y563-N563</f>
        <v>0</v>
      </c>
      <c r="Y563" s="26">
        <v>0</v>
      </c>
      <c r="Z563" s="26">
        <f>AA563-P563</f>
        <v>0</v>
      </c>
      <c r="AA563" s="26">
        <f>ROUNDDOWN(W563*Y563,0)</f>
        <v>0</v>
      </c>
      <c r="AB563" s="33" t="s">
        <v>15</v>
      </c>
      <c r="AC563" s="36"/>
      <c r="AH563" s="363"/>
      <c r="AI563" s="185">
        <v>0</v>
      </c>
      <c r="AJ563" s="188"/>
      <c r="AN563" s="69"/>
      <c r="AO563" s="69"/>
      <c r="AP563" s="367"/>
      <c r="AQ563" s="367"/>
    </row>
    <row r="564" spans="1:43" x14ac:dyDescent="0.3">
      <c r="A564" s="72" t="s">
        <v>1402</v>
      </c>
      <c r="B564" s="73" t="s">
        <v>1512</v>
      </c>
      <c r="N564" s="46">
        <v>88010</v>
      </c>
      <c r="O564" s="46">
        <v>0</v>
      </c>
      <c r="P564" s="46">
        <v>704080</v>
      </c>
      <c r="Q564" s="98"/>
      <c r="R564" s="23" t="s">
        <v>1402</v>
      </c>
      <c r="S564" s="24" t="s">
        <v>1512</v>
      </c>
      <c r="T564" s="25" t="s">
        <v>110</v>
      </c>
      <c r="U564" s="26"/>
      <c r="V564" s="26"/>
      <c r="W564" s="26">
        <v>8</v>
      </c>
      <c r="X564" s="26">
        <f>Y564-N564</f>
        <v>0</v>
      </c>
      <c r="Y564" s="26">
        <v>88010</v>
      </c>
      <c r="Z564" s="26">
        <f>AA564-P564</f>
        <v>0</v>
      </c>
      <c r="AA564" s="26">
        <f>ROUNDDOWN(W564*Y564,0)</f>
        <v>704080</v>
      </c>
      <c r="AB564" s="33" t="s">
        <v>15</v>
      </c>
      <c r="AC564" s="36"/>
      <c r="AH564" s="363"/>
      <c r="AI564" s="185">
        <v>88010</v>
      </c>
      <c r="AJ564" s="188"/>
      <c r="AN564" s="70"/>
      <c r="AO564" s="70"/>
      <c r="AP564" s="367"/>
      <c r="AQ564" s="367"/>
    </row>
  </sheetData>
  <autoFilter ref="A6:WUN564" xr:uid="{782A1AF2-35E1-475A-B0C3-12096C942F99}"/>
  <mergeCells count="13">
    <mergeCell ref="A561:L561"/>
    <mergeCell ref="A5:J5"/>
    <mergeCell ref="K5:L5"/>
    <mergeCell ref="N5:P5"/>
    <mergeCell ref="R5:Y5"/>
    <mergeCell ref="AA5:AB5"/>
    <mergeCell ref="A560:L560"/>
    <mergeCell ref="A1:L1"/>
    <mergeCell ref="A2:L2"/>
    <mergeCell ref="A3:L3"/>
    <mergeCell ref="R3:AB3"/>
    <mergeCell ref="A4:L4"/>
    <mergeCell ref="R4:AB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ABF6-E0BD-4BE8-9E8B-4F01A9ADB123}">
  <sheetPr>
    <tabColor theme="9" tint="0.39997558519241921"/>
  </sheetPr>
  <dimension ref="A1:AQ564"/>
  <sheetViews>
    <sheetView tabSelected="1" view="pageBreakPreview" topLeftCell="A5" zoomScale="80" zoomScaleNormal="80" zoomScaleSheetLayoutView="80" workbookViewId="0">
      <pane ySplit="1200" activePane="bottomLeft"/>
      <selection activeCell="R5" sqref="R5:Y5"/>
      <selection pane="bottomLeft" activeCell="O8" sqref="O8"/>
    </sheetView>
  </sheetViews>
  <sheetFormatPr defaultColWidth="8.5" defaultRowHeight="19.5" x14ac:dyDescent="0.3"/>
  <cols>
    <col min="1" max="1" width="5.25" style="72" customWidth="1"/>
    <col min="2" max="2" width="19.5" style="73" customWidth="1"/>
    <col min="3" max="3" width="5.5" style="73" customWidth="1"/>
    <col min="4" max="4" width="11.625" style="73" customWidth="1"/>
    <col min="5" max="5" width="12.375" style="73" customWidth="1"/>
    <col min="6" max="6" width="13.125" style="73" customWidth="1"/>
    <col min="7" max="7" width="10.125" style="73" customWidth="1"/>
    <col min="8" max="8" width="16" style="73" customWidth="1"/>
    <col min="9" max="9" width="15" style="73" bestFit="1" customWidth="1"/>
    <col min="10" max="10" width="16.5" style="73" customWidth="1"/>
    <col min="11" max="11" width="21.5" style="73" customWidth="1"/>
    <col min="12" max="12" width="10.875" style="73" customWidth="1"/>
    <col min="13" max="13" width="1.5" style="73" customWidth="1"/>
    <col min="14" max="16" width="11.5" style="2" customWidth="1"/>
    <col min="17" max="17" width="1.25" style="96" customWidth="1"/>
    <col min="18" max="18" width="4.25" style="3" hidden="1" customWidth="1"/>
    <col min="19" max="19" width="23.25" hidden="1" customWidth="1"/>
    <col min="20" max="20" width="5.75" hidden="1" customWidth="1"/>
    <col min="21" max="21" width="9" hidden="1" customWidth="1"/>
    <col min="22" max="22" width="9.375" hidden="1" customWidth="1"/>
    <col min="23" max="23" width="5" hidden="1" customWidth="1"/>
    <col min="24" max="24" width="11.375" style="371" customWidth="1"/>
    <col min="25" max="25" width="11.75" customWidth="1"/>
    <col min="26" max="26" width="12.875" customWidth="1"/>
    <col min="27" max="27" width="12" customWidth="1"/>
    <col min="28" max="28" width="5.25" style="34" customWidth="1"/>
    <col min="29" max="29" width="1.75" customWidth="1"/>
    <col min="30" max="33" width="1.75" style="181" customWidth="1"/>
    <col min="34" max="34" width="5.875" style="68" customWidth="1"/>
    <col min="35" max="35" width="16.5" style="185" customWidth="1"/>
    <col min="36" max="36" width="15.375" style="185" customWidth="1"/>
    <col min="37" max="37" width="8.375" style="70" customWidth="1"/>
    <col min="38" max="38" width="1.625" style="70" customWidth="1"/>
    <col min="39" max="39" width="16.375" style="70" bestFit="1" customWidth="1"/>
    <col min="40" max="40" width="16.125" style="68" bestFit="1" customWidth="1"/>
    <col min="41" max="41" width="20.25" style="68" bestFit="1" customWidth="1"/>
    <col min="42" max="42" width="14.625" style="70" bestFit="1" customWidth="1"/>
    <col min="43" max="43" width="8" style="70" bestFit="1" customWidth="1"/>
    <col min="44" max="225" width="8.5" style="70"/>
    <col min="226" max="226" width="5.25" style="70" customWidth="1"/>
    <col min="227" max="227" width="26.25" style="70" customWidth="1"/>
    <col min="228" max="228" width="5.5" style="70" customWidth="1"/>
    <col min="229" max="229" width="8.5" style="70"/>
    <col min="230" max="231" width="10.875" style="70" customWidth="1"/>
    <col min="232" max="232" width="15.25" style="70" customWidth="1"/>
    <col min="233" max="233" width="0.75" style="70" customWidth="1"/>
    <col min="234" max="236" width="0.625" style="70" customWidth="1"/>
    <col min="237" max="481" width="8.5" style="70"/>
    <col min="482" max="482" width="5.25" style="70" customWidth="1"/>
    <col min="483" max="483" width="26.25" style="70" customWidth="1"/>
    <col min="484" max="484" width="5.5" style="70" customWidth="1"/>
    <col min="485" max="485" width="8.5" style="70"/>
    <col min="486" max="487" width="10.875" style="70" customWidth="1"/>
    <col min="488" max="488" width="15.25" style="70" customWidth="1"/>
    <col min="489" max="489" width="0.75" style="70" customWidth="1"/>
    <col min="490" max="492" width="0.625" style="70" customWidth="1"/>
    <col min="493" max="737" width="8.5" style="70"/>
    <col min="738" max="738" width="5.25" style="70" customWidth="1"/>
    <col min="739" max="739" width="26.25" style="70" customWidth="1"/>
    <col min="740" max="740" width="5.5" style="70" customWidth="1"/>
    <col min="741" max="741" width="8.5" style="70"/>
    <col min="742" max="743" width="10.875" style="70" customWidth="1"/>
    <col min="744" max="744" width="15.25" style="70" customWidth="1"/>
    <col min="745" max="745" width="0.75" style="70" customWidth="1"/>
    <col min="746" max="748" width="0.625" style="70" customWidth="1"/>
    <col min="749" max="993" width="8.5" style="70"/>
    <col min="994" max="994" width="5.25" style="70" customWidth="1"/>
    <col min="995" max="995" width="26.25" style="70" customWidth="1"/>
    <col min="996" max="996" width="5.5" style="70" customWidth="1"/>
    <col min="997" max="997" width="8.5" style="70"/>
    <col min="998" max="999" width="10.875" style="70" customWidth="1"/>
    <col min="1000" max="1000" width="15.25" style="70" customWidth="1"/>
    <col min="1001" max="1001" width="0.75" style="70" customWidth="1"/>
    <col min="1002" max="1004" width="0.625" style="70" customWidth="1"/>
    <col min="1005" max="1249" width="8.5" style="70"/>
    <col min="1250" max="1250" width="5.25" style="70" customWidth="1"/>
    <col min="1251" max="1251" width="26.25" style="70" customWidth="1"/>
    <col min="1252" max="1252" width="5.5" style="70" customWidth="1"/>
    <col min="1253" max="1253" width="8.5" style="70"/>
    <col min="1254" max="1255" width="10.875" style="70" customWidth="1"/>
    <col min="1256" max="1256" width="15.25" style="70" customWidth="1"/>
    <col min="1257" max="1257" width="0.75" style="70" customWidth="1"/>
    <col min="1258" max="1260" width="0.625" style="70" customWidth="1"/>
    <col min="1261" max="1505" width="8.5" style="70"/>
    <col min="1506" max="1506" width="5.25" style="70" customWidth="1"/>
    <col min="1507" max="1507" width="26.25" style="70" customWidth="1"/>
    <col min="1508" max="1508" width="5.5" style="70" customWidth="1"/>
    <col min="1509" max="1509" width="8.5" style="70"/>
    <col min="1510" max="1511" width="10.875" style="70" customWidth="1"/>
    <col min="1512" max="1512" width="15.25" style="70" customWidth="1"/>
    <col min="1513" max="1513" width="0.75" style="70" customWidth="1"/>
    <col min="1514" max="1516" width="0.625" style="70" customWidth="1"/>
    <col min="1517" max="1761" width="8.5" style="70"/>
    <col min="1762" max="1762" width="5.25" style="70" customWidth="1"/>
    <col min="1763" max="1763" width="26.25" style="70" customWidth="1"/>
    <col min="1764" max="1764" width="5.5" style="70" customWidth="1"/>
    <col min="1765" max="1765" width="8.5" style="70"/>
    <col min="1766" max="1767" width="10.875" style="70" customWidth="1"/>
    <col min="1768" max="1768" width="15.25" style="70" customWidth="1"/>
    <col min="1769" max="1769" width="0.75" style="70" customWidth="1"/>
    <col min="1770" max="1772" width="0.625" style="70" customWidth="1"/>
    <col min="1773" max="2017" width="8.5" style="70"/>
    <col min="2018" max="2018" width="5.25" style="70" customWidth="1"/>
    <col min="2019" max="2019" width="26.25" style="70" customWidth="1"/>
    <col min="2020" max="2020" width="5.5" style="70" customWidth="1"/>
    <col min="2021" max="2021" width="8.5" style="70"/>
    <col min="2022" max="2023" width="10.875" style="70" customWidth="1"/>
    <col min="2024" max="2024" width="15.25" style="70" customWidth="1"/>
    <col min="2025" max="2025" width="0.75" style="70" customWidth="1"/>
    <col min="2026" max="2028" width="0.625" style="70" customWidth="1"/>
    <col min="2029" max="2273" width="8.5" style="70"/>
    <col min="2274" max="2274" width="5.25" style="70" customWidth="1"/>
    <col min="2275" max="2275" width="26.25" style="70" customWidth="1"/>
    <col min="2276" max="2276" width="5.5" style="70" customWidth="1"/>
    <col min="2277" max="2277" width="8.5" style="70"/>
    <col min="2278" max="2279" width="10.875" style="70" customWidth="1"/>
    <col min="2280" max="2280" width="15.25" style="70" customWidth="1"/>
    <col min="2281" max="2281" width="0.75" style="70" customWidth="1"/>
    <col min="2282" max="2284" width="0.625" style="70" customWidth="1"/>
    <col min="2285" max="2529" width="8.5" style="70"/>
    <col min="2530" max="2530" width="5.25" style="70" customWidth="1"/>
    <col min="2531" max="2531" width="26.25" style="70" customWidth="1"/>
    <col min="2532" max="2532" width="5.5" style="70" customWidth="1"/>
    <col min="2533" max="2533" width="8.5" style="70"/>
    <col min="2534" max="2535" width="10.875" style="70" customWidth="1"/>
    <col min="2536" max="2536" width="15.25" style="70" customWidth="1"/>
    <col min="2537" max="2537" width="0.75" style="70" customWidth="1"/>
    <col min="2538" max="2540" width="0.625" style="70" customWidth="1"/>
    <col min="2541" max="2785" width="8.5" style="70"/>
    <col min="2786" max="2786" width="5.25" style="70" customWidth="1"/>
    <col min="2787" max="2787" width="26.25" style="70" customWidth="1"/>
    <col min="2788" max="2788" width="5.5" style="70" customWidth="1"/>
    <col min="2789" max="2789" width="8.5" style="70"/>
    <col min="2790" max="2791" width="10.875" style="70" customWidth="1"/>
    <col min="2792" max="2792" width="15.25" style="70" customWidth="1"/>
    <col min="2793" max="2793" width="0.75" style="70" customWidth="1"/>
    <col min="2794" max="2796" width="0.625" style="70" customWidth="1"/>
    <col min="2797" max="3041" width="8.5" style="70"/>
    <col min="3042" max="3042" width="5.25" style="70" customWidth="1"/>
    <col min="3043" max="3043" width="26.25" style="70" customWidth="1"/>
    <col min="3044" max="3044" width="5.5" style="70" customWidth="1"/>
    <col min="3045" max="3045" width="8.5" style="70"/>
    <col min="3046" max="3047" width="10.875" style="70" customWidth="1"/>
    <col min="3048" max="3048" width="15.25" style="70" customWidth="1"/>
    <col min="3049" max="3049" width="0.75" style="70" customWidth="1"/>
    <col min="3050" max="3052" width="0.625" style="70" customWidth="1"/>
    <col min="3053" max="3297" width="8.5" style="70"/>
    <col min="3298" max="3298" width="5.25" style="70" customWidth="1"/>
    <col min="3299" max="3299" width="26.25" style="70" customWidth="1"/>
    <col min="3300" max="3300" width="5.5" style="70" customWidth="1"/>
    <col min="3301" max="3301" width="8.5" style="70"/>
    <col min="3302" max="3303" width="10.875" style="70" customWidth="1"/>
    <col min="3304" max="3304" width="15.25" style="70" customWidth="1"/>
    <col min="3305" max="3305" width="0.75" style="70" customWidth="1"/>
    <col min="3306" max="3308" width="0.625" style="70" customWidth="1"/>
    <col min="3309" max="3553" width="8.5" style="70"/>
    <col min="3554" max="3554" width="5.25" style="70" customWidth="1"/>
    <col min="3555" max="3555" width="26.25" style="70" customWidth="1"/>
    <col min="3556" max="3556" width="5.5" style="70" customWidth="1"/>
    <col min="3557" max="3557" width="8.5" style="70"/>
    <col min="3558" max="3559" width="10.875" style="70" customWidth="1"/>
    <col min="3560" max="3560" width="15.25" style="70" customWidth="1"/>
    <col min="3561" max="3561" width="0.75" style="70" customWidth="1"/>
    <col min="3562" max="3564" width="0.625" style="70" customWidth="1"/>
    <col min="3565" max="3809" width="8.5" style="70"/>
    <col min="3810" max="3810" width="5.25" style="70" customWidth="1"/>
    <col min="3811" max="3811" width="26.25" style="70" customWidth="1"/>
    <col min="3812" max="3812" width="5.5" style="70" customWidth="1"/>
    <col min="3813" max="3813" width="8.5" style="70"/>
    <col min="3814" max="3815" width="10.875" style="70" customWidth="1"/>
    <col min="3816" max="3816" width="15.25" style="70" customWidth="1"/>
    <col min="3817" max="3817" width="0.75" style="70" customWidth="1"/>
    <col min="3818" max="3820" width="0.625" style="70" customWidth="1"/>
    <col min="3821" max="4065" width="8.5" style="70"/>
    <col min="4066" max="4066" width="5.25" style="70" customWidth="1"/>
    <col min="4067" max="4067" width="26.25" style="70" customWidth="1"/>
    <col min="4068" max="4068" width="5.5" style="70" customWidth="1"/>
    <col min="4069" max="4069" width="8.5" style="70"/>
    <col min="4070" max="4071" width="10.875" style="70" customWidth="1"/>
    <col min="4072" max="4072" width="15.25" style="70" customWidth="1"/>
    <col min="4073" max="4073" width="0.75" style="70" customWidth="1"/>
    <col min="4074" max="4076" width="0.625" style="70" customWidth="1"/>
    <col min="4077" max="4321" width="8.5" style="70"/>
    <col min="4322" max="4322" width="5.25" style="70" customWidth="1"/>
    <col min="4323" max="4323" width="26.25" style="70" customWidth="1"/>
    <col min="4324" max="4324" width="5.5" style="70" customWidth="1"/>
    <col min="4325" max="4325" width="8.5" style="70"/>
    <col min="4326" max="4327" width="10.875" style="70" customWidth="1"/>
    <col min="4328" max="4328" width="15.25" style="70" customWidth="1"/>
    <col min="4329" max="4329" width="0.75" style="70" customWidth="1"/>
    <col min="4330" max="4332" width="0.625" style="70" customWidth="1"/>
    <col min="4333" max="4577" width="8.5" style="70"/>
    <col min="4578" max="4578" width="5.25" style="70" customWidth="1"/>
    <col min="4579" max="4579" width="26.25" style="70" customWidth="1"/>
    <col min="4580" max="4580" width="5.5" style="70" customWidth="1"/>
    <col min="4581" max="4581" width="8.5" style="70"/>
    <col min="4582" max="4583" width="10.875" style="70" customWidth="1"/>
    <col min="4584" max="4584" width="15.25" style="70" customWidth="1"/>
    <col min="4585" max="4585" width="0.75" style="70" customWidth="1"/>
    <col min="4586" max="4588" width="0.625" style="70" customWidth="1"/>
    <col min="4589" max="4833" width="8.5" style="70"/>
    <col min="4834" max="4834" width="5.25" style="70" customWidth="1"/>
    <col min="4835" max="4835" width="26.25" style="70" customWidth="1"/>
    <col min="4836" max="4836" width="5.5" style="70" customWidth="1"/>
    <col min="4837" max="4837" width="8.5" style="70"/>
    <col min="4838" max="4839" width="10.875" style="70" customWidth="1"/>
    <col min="4840" max="4840" width="15.25" style="70" customWidth="1"/>
    <col min="4841" max="4841" width="0.75" style="70" customWidth="1"/>
    <col min="4842" max="4844" width="0.625" style="70" customWidth="1"/>
    <col min="4845" max="5089" width="8.5" style="70"/>
    <col min="5090" max="5090" width="5.25" style="70" customWidth="1"/>
    <col min="5091" max="5091" width="26.25" style="70" customWidth="1"/>
    <col min="5092" max="5092" width="5.5" style="70" customWidth="1"/>
    <col min="5093" max="5093" width="8.5" style="70"/>
    <col min="5094" max="5095" width="10.875" style="70" customWidth="1"/>
    <col min="5096" max="5096" width="15.25" style="70" customWidth="1"/>
    <col min="5097" max="5097" width="0.75" style="70" customWidth="1"/>
    <col min="5098" max="5100" width="0.625" style="70" customWidth="1"/>
    <col min="5101" max="5345" width="8.5" style="70"/>
    <col min="5346" max="5346" width="5.25" style="70" customWidth="1"/>
    <col min="5347" max="5347" width="26.25" style="70" customWidth="1"/>
    <col min="5348" max="5348" width="5.5" style="70" customWidth="1"/>
    <col min="5349" max="5349" width="8.5" style="70"/>
    <col min="5350" max="5351" width="10.875" style="70" customWidth="1"/>
    <col min="5352" max="5352" width="15.25" style="70" customWidth="1"/>
    <col min="5353" max="5353" width="0.75" style="70" customWidth="1"/>
    <col min="5354" max="5356" width="0.625" style="70" customWidth="1"/>
    <col min="5357" max="5601" width="8.5" style="70"/>
    <col min="5602" max="5602" width="5.25" style="70" customWidth="1"/>
    <col min="5603" max="5603" width="26.25" style="70" customWidth="1"/>
    <col min="5604" max="5604" width="5.5" style="70" customWidth="1"/>
    <col min="5605" max="5605" width="8.5" style="70"/>
    <col min="5606" max="5607" width="10.875" style="70" customWidth="1"/>
    <col min="5608" max="5608" width="15.25" style="70" customWidth="1"/>
    <col min="5609" max="5609" width="0.75" style="70" customWidth="1"/>
    <col min="5610" max="5612" width="0.625" style="70" customWidth="1"/>
    <col min="5613" max="5857" width="8.5" style="70"/>
    <col min="5858" max="5858" width="5.25" style="70" customWidth="1"/>
    <col min="5859" max="5859" width="26.25" style="70" customWidth="1"/>
    <col min="5860" max="5860" width="5.5" style="70" customWidth="1"/>
    <col min="5861" max="5861" width="8.5" style="70"/>
    <col min="5862" max="5863" width="10.875" style="70" customWidth="1"/>
    <col min="5864" max="5864" width="15.25" style="70" customWidth="1"/>
    <col min="5865" max="5865" width="0.75" style="70" customWidth="1"/>
    <col min="5866" max="5868" width="0.625" style="70" customWidth="1"/>
    <col min="5869" max="6113" width="8.5" style="70"/>
    <col min="6114" max="6114" width="5.25" style="70" customWidth="1"/>
    <col min="6115" max="6115" width="26.25" style="70" customWidth="1"/>
    <col min="6116" max="6116" width="5.5" style="70" customWidth="1"/>
    <col min="6117" max="6117" width="8.5" style="70"/>
    <col min="6118" max="6119" width="10.875" style="70" customWidth="1"/>
    <col min="6120" max="6120" width="15.25" style="70" customWidth="1"/>
    <col min="6121" max="6121" width="0.75" style="70" customWidth="1"/>
    <col min="6122" max="6124" width="0.625" style="70" customWidth="1"/>
    <col min="6125" max="6369" width="8.5" style="70"/>
    <col min="6370" max="6370" width="5.25" style="70" customWidth="1"/>
    <col min="6371" max="6371" width="26.25" style="70" customWidth="1"/>
    <col min="6372" max="6372" width="5.5" style="70" customWidth="1"/>
    <col min="6373" max="6373" width="8.5" style="70"/>
    <col min="6374" max="6375" width="10.875" style="70" customWidth="1"/>
    <col min="6376" max="6376" width="15.25" style="70" customWidth="1"/>
    <col min="6377" max="6377" width="0.75" style="70" customWidth="1"/>
    <col min="6378" max="6380" width="0.625" style="70" customWidth="1"/>
    <col min="6381" max="6625" width="8.5" style="70"/>
    <col min="6626" max="6626" width="5.25" style="70" customWidth="1"/>
    <col min="6627" max="6627" width="26.25" style="70" customWidth="1"/>
    <col min="6628" max="6628" width="5.5" style="70" customWidth="1"/>
    <col min="6629" max="6629" width="8.5" style="70"/>
    <col min="6630" max="6631" width="10.875" style="70" customWidth="1"/>
    <col min="6632" max="6632" width="15.25" style="70" customWidth="1"/>
    <col min="6633" max="6633" width="0.75" style="70" customWidth="1"/>
    <col min="6634" max="6636" width="0.625" style="70" customWidth="1"/>
    <col min="6637" max="6881" width="8.5" style="70"/>
    <col min="6882" max="6882" width="5.25" style="70" customWidth="1"/>
    <col min="6883" max="6883" width="26.25" style="70" customWidth="1"/>
    <col min="6884" max="6884" width="5.5" style="70" customWidth="1"/>
    <col min="6885" max="6885" width="8.5" style="70"/>
    <col min="6886" max="6887" width="10.875" style="70" customWidth="1"/>
    <col min="6888" max="6888" width="15.25" style="70" customWidth="1"/>
    <col min="6889" max="6889" width="0.75" style="70" customWidth="1"/>
    <col min="6890" max="6892" width="0.625" style="70" customWidth="1"/>
    <col min="6893" max="7137" width="8.5" style="70"/>
    <col min="7138" max="7138" width="5.25" style="70" customWidth="1"/>
    <col min="7139" max="7139" width="26.25" style="70" customWidth="1"/>
    <col min="7140" max="7140" width="5.5" style="70" customWidth="1"/>
    <col min="7141" max="7141" width="8.5" style="70"/>
    <col min="7142" max="7143" width="10.875" style="70" customWidth="1"/>
    <col min="7144" max="7144" width="15.25" style="70" customWidth="1"/>
    <col min="7145" max="7145" width="0.75" style="70" customWidth="1"/>
    <col min="7146" max="7148" width="0.625" style="70" customWidth="1"/>
    <col min="7149" max="7393" width="8.5" style="70"/>
    <col min="7394" max="7394" width="5.25" style="70" customWidth="1"/>
    <col min="7395" max="7395" width="26.25" style="70" customWidth="1"/>
    <col min="7396" max="7396" width="5.5" style="70" customWidth="1"/>
    <col min="7397" max="7397" width="8.5" style="70"/>
    <col min="7398" max="7399" width="10.875" style="70" customWidth="1"/>
    <col min="7400" max="7400" width="15.25" style="70" customWidth="1"/>
    <col min="7401" max="7401" width="0.75" style="70" customWidth="1"/>
    <col min="7402" max="7404" width="0.625" style="70" customWidth="1"/>
    <col min="7405" max="7649" width="8.5" style="70"/>
    <col min="7650" max="7650" width="5.25" style="70" customWidth="1"/>
    <col min="7651" max="7651" width="26.25" style="70" customWidth="1"/>
    <col min="7652" max="7652" width="5.5" style="70" customWidth="1"/>
    <col min="7653" max="7653" width="8.5" style="70"/>
    <col min="7654" max="7655" width="10.875" style="70" customWidth="1"/>
    <col min="7656" max="7656" width="15.25" style="70" customWidth="1"/>
    <col min="7657" max="7657" width="0.75" style="70" customWidth="1"/>
    <col min="7658" max="7660" width="0.625" style="70" customWidth="1"/>
    <col min="7661" max="7905" width="8.5" style="70"/>
    <col min="7906" max="7906" width="5.25" style="70" customWidth="1"/>
    <col min="7907" max="7907" width="26.25" style="70" customWidth="1"/>
    <col min="7908" max="7908" width="5.5" style="70" customWidth="1"/>
    <col min="7909" max="7909" width="8.5" style="70"/>
    <col min="7910" max="7911" width="10.875" style="70" customWidth="1"/>
    <col min="7912" max="7912" width="15.25" style="70" customWidth="1"/>
    <col min="7913" max="7913" width="0.75" style="70" customWidth="1"/>
    <col min="7914" max="7916" width="0.625" style="70" customWidth="1"/>
    <col min="7917" max="8161" width="8.5" style="70"/>
    <col min="8162" max="8162" width="5.25" style="70" customWidth="1"/>
    <col min="8163" max="8163" width="26.25" style="70" customWidth="1"/>
    <col min="8164" max="8164" width="5.5" style="70" customWidth="1"/>
    <col min="8165" max="8165" width="8.5" style="70"/>
    <col min="8166" max="8167" width="10.875" style="70" customWidth="1"/>
    <col min="8168" max="8168" width="15.25" style="70" customWidth="1"/>
    <col min="8169" max="8169" width="0.75" style="70" customWidth="1"/>
    <col min="8170" max="8172" width="0.625" style="70" customWidth="1"/>
    <col min="8173" max="8417" width="8.5" style="70"/>
    <col min="8418" max="8418" width="5.25" style="70" customWidth="1"/>
    <col min="8419" max="8419" width="26.25" style="70" customWidth="1"/>
    <col min="8420" max="8420" width="5.5" style="70" customWidth="1"/>
    <col min="8421" max="8421" width="8.5" style="70"/>
    <col min="8422" max="8423" width="10.875" style="70" customWidth="1"/>
    <col min="8424" max="8424" width="15.25" style="70" customWidth="1"/>
    <col min="8425" max="8425" width="0.75" style="70" customWidth="1"/>
    <col min="8426" max="8428" width="0.625" style="70" customWidth="1"/>
    <col min="8429" max="8673" width="8.5" style="70"/>
    <col min="8674" max="8674" width="5.25" style="70" customWidth="1"/>
    <col min="8675" max="8675" width="26.25" style="70" customWidth="1"/>
    <col min="8676" max="8676" width="5.5" style="70" customWidth="1"/>
    <col min="8677" max="8677" width="8.5" style="70"/>
    <col min="8678" max="8679" width="10.875" style="70" customWidth="1"/>
    <col min="8680" max="8680" width="15.25" style="70" customWidth="1"/>
    <col min="8681" max="8681" width="0.75" style="70" customWidth="1"/>
    <col min="8682" max="8684" width="0.625" style="70" customWidth="1"/>
    <col min="8685" max="8929" width="8.5" style="70"/>
    <col min="8930" max="8930" width="5.25" style="70" customWidth="1"/>
    <col min="8931" max="8931" width="26.25" style="70" customWidth="1"/>
    <col min="8932" max="8932" width="5.5" style="70" customWidth="1"/>
    <col min="8933" max="8933" width="8.5" style="70"/>
    <col min="8934" max="8935" width="10.875" style="70" customWidth="1"/>
    <col min="8936" max="8936" width="15.25" style="70" customWidth="1"/>
    <col min="8937" max="8937" width="0.75" style="70" customWidth="1"/>
    <col min="8938" max="8940" width="0.625" style="70" customWidth="1"/>
    <col min="8941" max="9185" width="8.5" style="70"/>
    <col min="9186" max="9186" width="5.25" style="70" customWidth="1"/>
    <col min="9187" max="9187" width="26.25" style="70" customWidth="1"/>
    <col min="9188" max="9188" width="5.5" style="70" customWidth="1"/>
    <col min="9189" max="9189" width="8.5" style="70"/>
    <col min="9190" max="9191" width="10.875" style="70" customWidth="1"/>
    <col min="9192" max="9192" width="15.25" style="70" customWidth="1"/>
    <col min="9193" max="9193" width="0.75" style="70" customWidth="1"/>
    <col min="9194" max="9196" width="0.625" style="70" customWidth="1"/>
    <col min="9197" max="9441" width="8.5" style="70"/>
    <col min="9442" max="9442" width="5.25" style="70" customWidth="1"/>
    <col min="9443" max="9443" width="26.25" style="70" customWidth="1"/>
    <col min="9444" max="9444" width="5.5" style="70" customWidth="1"/>
    <col min="9445" max="9445" width="8.5" style="70"/>
    <col min="9446" max="9447" width="10.875" style="70" customWidth="1"/>
    <col min="9448" max="9448" width="15.25" style="70" customWidth="1"/>
    <col min="9449" max="9449" width="0.75" style="70" customWidth="1"/>
    <col min="9450" max="9452" width="0.625" style="70" customWidth="1"/>
    <col min="9453" max="9697" width="8.5" style="70"/>
    <col min="9698" max="9698" width="5.25" style="70" customWidth="1"/>
    <col min="9699" max="9699" width="26.25" style="70" customWidth="1"/>
    <col min="9700" max="9700" width="5.5" style="70" customWidth="1"/>
    <col min="9701" max="9701" width="8.5" style="70"/>
    <col min="9702" max="9703" width="10.875" style="70" customWidth="1"/>
    <col min="9704" max="9704" width="15.25" style="70" customWidth="1"/>
    <col min="9705" max="9705" width="0.75" style="70" customWidth="1"/>
    <col min="9706" max="9708" width="0.625" style="70" customWidth="1"/>
    <col min="9709" max="9953" width="8.5" style="70"/>
    <col min="9954" max="9954" width="5.25" style="70" customWidth="1"/>
    <col min="9955" max="9955" width="26.25" style="70" customWidth="1"/>
    <col min="9956" max="9956" width="5.5" style="70" customWidth="1"/>
    <col min="9957" max="9957" width="8.5" style="70"/>
    <col min="9958" max="9959" width="10.875" style="70" customWidth="1"/>
    <col min="9960" max="9960" width="15.25" style="70" customWidth="1"/>
    <col min="9961" max="9961" width="0.75" style="70" customWidth="1"/>
    <col min="9962" max="9964" width="0.625" style="70" customWidth="1"/>
    <col min="9965" max="10209" width="8.5" style="70"/>
    <col min="10210" max="10210" width="5.25" style="70" customWidth="1"/>
    <col min="10211" max="10211" width="26.25" style="70" customWidth="1"/>
    <col min="10212" max="10212" width="5.5" style="70" customWidth="1"/>
    <col min="10213" max="10213" width="8.5" style="70"/>
    <col min="10214" max="10215" width="10.875" style="70" customWidth="1"/>
    <col min="10216" max="10216" width="15.25" style="70" customWidth="1"/>
    <col min="10217" max="10217" width="0.75" style="70" customWidth="1"/>
    <col min="10218" max="10220" width="0.625" style="70" customWidth="1"/>
    <col min="10221" max="10465" width="8.5" style="70"/>
    <col min="10466" max="10466" width="5.25" style="70" customWidth="1"/>
    <col min="10467" max="10467" width="26.25" style="70" customWidth="1"/>
    <col min="10468" max="10468" width="5.5" style="70" customWidth="1"/>
    <col min="10469" max="10469" width="8.5" style="70"/>
    <col min="10470" max="10471" width="10.875" style="70" customWidth="1"/>
    <col min="10472" max="10472" width="15.25" style="70" customWidth="1"/>
    <col min="10473" max="10473" width="0.75" style="70" customWidth="1"/>
    <col min="10474" max="10476" width="0.625" style="70" customWidth="1"/>
    <col min="10477" max="10721" width="8.5" style="70"/>
    <col min="10722" max="10722" width="5.25" style="70" customWidth="1"/>
    <col min="10723" max="10723" width="26.25" style="70" customWidth="1"/>
    <col min="10724" max="10724" width="5.5" style="70" customWidth="1"/>
    <col min="10725" max="10725" width="8.5" style="70"/>
    <col min="10726" max="10727" width="10.875" style="70" customWidth="1"/>
    <col min="10728" max="10728" width="15.25" style="70" customWidth="1"/>
    <col min="10729" max="10729" width="0.75" style="70" customWidth="1"/>
    <col min="10730" max="10732" width="0.625" style="70" customWidth="1"/>
    <col min="10733" max="10977" width="8.5" style="70"/>
    <col min="10978" max="10978" width="5.25" style="70" customWidth="1"/>
    <col min="10979" max="10979" width="26.25" style="70" customWidth="1"/>
    <col min="10980" max="10980" width="5.5" style="70" customWidth="1"/>
    <col min="10981" max="10981" width="8.5" style="70"/>
    <col min="10982" max="10983" width="10.875" style="70" customWidth="1"/>
    <col min="10984" max="10984" width="15.25" style="70" customWidth="1"/>
    <col min="10985" max="10985" width="0.75" style="70" customWidth="1"/>
    <col min="10986" max="10988" width="0.625" style="70" customWidth="1"/>
    <col min="10989" max="11233" width="8.5" style="70"/>
    <col min="11234" max="11234" width="5.25" style="70" customWidth="1"/>
    <col min="11235" max="11235" width="26.25" style="70" customWidth="1"/>
    <col min="11236" max="11236" width="5.5" style="70" customWidth="1"/>
    <col min="11237" max="11237" width="8.5" style="70"/>
    <col min="11238" max="11239" width="10.875" style="70" customWidth="1"/>
    <col min="11240" max="11240" width="15.25" style="70" customWidth="1"/>
    <col min="11241" max="11241" width="0.75" style="70" customWidth="1"/>
    <col min="11242" max="11244" width="0.625" style="70" customWidth="1"/>
    <col min="11245" max="11489" width="8.5" style="70"/>
    <col min="11490" max="11490" width="5.25" style="70" customWidth="1"/>
    <col min="11491" max="11491" width="26.25" style="70" customWidth="1"/>
    <col min="11492" max="11492" width="5.5" style="70" customWidth="1"/>
    <col min="11493" max="11493" width="8.5" style="70"/>
    <col min="11494" max="11495" width="10.875" style="70" customWidth="1"/>
    <col min="11496" max="11496" width="15.25" style="70" customWidth="1"/>
    <col min="11497" max="11497" width="0.75" style="70" customWidth="1"/>
    <col min="11498" max="11500" width="0.625" style="70" customWidth="1"/>
    <col min="11501" max="11745" width="8.5" style="70"/>
    <col min="11746" max="11746" width="5.25" style="70" customWidth="1"/>
    <col min="11747" max="11747" width="26.25" style="70" customWidth="1"/>
    <col min="11748" max="11748" width="5.5" style="70" customWidth="1"/>
    <col min="11749" max="11749" width="8.5" style="70"/>
    <col min="11750" max="11751" width="10.875" style="70" customWidth="1"/>
    <col min="11752" max="11752" width="15.25" style="70" customWidth="1"/>
    <col min="11753" max="11753" width="0.75" style="70" customWidth="1"/>
    <col min="11754" max="11756" width="0.625" style="70" customWidth="1"/>
    <col min="11757" max="12001" width="8.5" style="70"/>
    <col min="12002" max="12002" width="5.25" style="70" customWidth="1"/>
    <col min="12003" max="12003" width="26.25" style="70" customWidth="1"/>
    <col min="12004" max="12004" width="5.5" style="70" customWidth="1"/>
    <col min="12005" max="12005" width="8.5" style="70"/>
    <col min="12006" max="12007" width="10.875" style="70" customWidth="1"/>
    <col min="12008" max="12008" width="15.25" style="70" customWidth="1"/>
    <col min="12009" max="12009" width="0.75" style="70" customWidth="1"/>
    <col min="12010" max="12012" width="0.625" style="70" customWidth="1"/>
    <col min="12013" max="12257" width="8.5" style="70"/>
    <col min="12258" max="12258" width="5.25" style="70" customWidth="1"/>
    <col min="12259" max="12259" width="26.25" style="70" customWidth="1"/>
    <col min="12260" max="12260" width="5.5" style="70" customWidth="1"/>
    <col min="12261" max="12261" width="8.5" style="70"/>
    <col min="12262" max="12263" width="10.875" style="70" customWidth="1"/>
    <col min="12264" max="12264" width="15.25" style="70" customWidth="1"/>
    <col min="12265" max="12265" width="0.75" style="70" customWidth="1"/>
    <col min="12266" max="12268" width="0.625" style="70" customWidth="1"/>
    <col min="12269" max="12513" width="8.5" style="70"/>
    <col min="12514" max="12514" width="5.25" style="70" customWidth="1"/>
    <col min="12515" max="12515" width="26.25" style="70" customWidth="1"/>
    <col min="12516" max="12516" width="5.5" style="70" customWidth="1"/>
    <col min="12517" max="12517" width="8.5" style="70"/>
    <col min="12518" max="12519" width="10.875" style="70" customWidth="1"/>
    <col min="12520" max="12520" width="15.25" style="70" customWidth="1"/>
    <col min="12521" max="12521" width="0.75" style="70" customWidth="1"/>
    <col min="12522" max="12524" width="0.625" style="70" customWidth="1"/>
    <col min="12525" max="12769" width="8.5" style="70"/>
    <col min="12770" max="12770" width="5.25" style="70" customWidth="1"/>
    <col min="12771" max="12771" width="26.25" style="70" customWidth="1"/>
    <col min="12772" max="12772" width="5.5" style="70" customWidth="1"/>
    <col min="12773" max="12773" width="8.5" style="70"/>
    <col min="12774" max="12775" width="10.875" style="70" customWidth="1"/>
    <col min="12776" max="12776" width="15.25" style="70" customWidth="1"/>
    <col min="12777" max="12777" width="0.75" style="70" customWidth="1"/>
    <col min="12778" max="12780" width="0.625" style="70" customWidth="1"/>
    <col min="12781" max="13025" width="8.5" style="70"/>
    <col min="13026" max="13026" width="5.25" style="70" customWidth="1"/>
    <col min="13027" max="13027" width="26.25" style="70" customWidth="1"/>
    <col min="13028" max="13028" width="5.5" style="70" customWidth="1"/>
    <col min="13029" max="13029" width="8.5" style="70"/>
    <col min="13030" max="13031" width="10.875" style="70" customWidth="1"/>
    <col min="13032" max="13032" width="15.25" style="70" customWidth="1"/>
    <col min="13033" max="13033" width="0.75" style="70" customWidth="1"/>
    <col min="13034" max="13036" width="0.625" style="70" customWidth="1"/>
    <col min="13037" max="13281" width="8.5" style="70"/>
    <col min="13282" max="13282" width="5.25" style="70" customWidth="1"/>
    <col min="13283" max="13283" width="26.25" style="70" customWidth="1"/>
    <col min="13284" max="13284" width="5.5" style="70" customWidth="1"/>
    <col min="13285" max="13285" width="8.5" style="70"/>
    <col min="13286" max="13287" width="10.875" style="70" customWidth="1"/>
    <col min="13288" max="13288" width="15.25" style="70" customWidth="1"/>
    <col min="13289" max="13289" width="0.75" style="70" customWidth="1"/>
    <col min="13290" max="13292" width="0.625" style="70" customWidth="1"/>
    <col min="13293" max="13537" width="8.5" style="70"/>
    <col min="13538" max="13538" width="5.25" style="70" customWidth="1"/>
    <col min="13539" max="13539" width="26.25" style="70" customWidth="1"/>
    <col min="13540" max="13540" width="5.5" style="70" customWidth="1"/>
    <col min="13541" max="13541" width="8.5" style="70"/>
    <col min="13542" max="13543" width="10.875" style="70" customWidth="1"/>
    <col min="13544" max="13544" width="15.25" style="70" customWidth="1"/>
    <col min="13545" max="13545" width="0.75" style="70" customWidth="1"/>
    <col min="13546" max="13548" width="0.625" style="70" customWidth="1"/>
    <col min="13549" max="13793" width="8.5" style="70"/>
    <col min="13794" max="13794" width="5.25" style="70" customWidth="1"/>
    <col min="13795" max="13795" width="26.25" style="70" customWidth="1"/>
    <col min="13796" max="13796" width="5.5" style="70" customWidth="1"/>
    <col min="13797" max="13797" width="8.5" style="70"/>
    <col min="13798" max="13799" width="10.875" style="70" customWidth="1"/>
    <col min="13800" max="13800" width="15.25" style="70" customWidth="1"/>
    <col min="13801" max="13801" width="0.75" style="70" customWidth="1"/>
    <col min="13802" max="13804" width="0.625" style="70" customWidth="1"/>
    <col min="13805" max="14049" width="8.5" style="70"/>
    <col min="14050" max="14050" width="5.25" style="70" customWidth="1"/>
    <col min="14051" max="14051" width="26.25" style="70" customWidth="1"/>
    <col min="14052" max="14052" width="5.5" style="70" customWidth="1"/>
    <col min="14053" max="14053" width="8.5" style="70"/>
    <col min="14054" max="14055" width="10.875" style="70" customWidth="1"/>
    <col min="14056" max="14056" width="15.25" style="70" customWidth="1"/>
    <col min="14057" max="14057" width="0.75" style="70" customWidth="1"/>
    <col min="14058" max="14060" width="0.625" style="70" customWidth="1"/>
    <col min="14061" max="14305" width="8.5" style="70"/>
    <col min="14306" max="14306" width="5.25" style="70" customWidth="1"/>
    <col min="14307" max="14307" width="26.25" style="70" customWidth="1"/>
    <col min="14308" max="14308" width="5.5" style="70" customWidth="1"/>
    <col min="14309" max="14309" width="8.5" style="70"/>
    <col min="14310" max="14311" width="10.875" style="70" customWidth="1"/>
    <col min="14312" max="14312" width="15.25" style="70" customWidth="1"/>
    <col min="14313" max="14313" width="0.75" style="70" customWidth="1"/>
    <col min="14314" max="14316" width="0.625" style="70" customWidth="1"/>
    <col min="14317" max="14561" width="8.5" style="70"/>
    <col min="14562" max="14562" width="5.25" style="70" customWidth="1"/>
    <col min="14563" max="14563" width="26.25" style="70" customWidth="1"/>
    <col min="14564" max="14564" width="5.5" style="70" customWidth="1"/>
    <col min="14565" max="14565" width="8.5" style="70"/>
    <col min="14566" max="14567" width="10.875" style="70" customWidth="1"/>
    <col min="14568" max="14568" width="15.25" style="70" customWidth="1"/>
    <col min="14569" max="14569" width="0.75" style="70" customWidth="1"/>
    <col min="14570" max="14572" width="0.625" style="70" customWidth="1"/>
    <col min="14573" max="14817" width="8.5" style="70"/>
    <col min="14818" max="14818" width="5.25" style="70" customWidth="1"/>
    <col min="14819" max="14819" width="26.25" style="70" customWidth="1"/>
    <col min="14820" max="14820" width="5.5" style="70" customWidth="1"/>
    <col min="14821" max="14821" width="8.5" style="70"/>
    <col min="14822" max="14823" width="10.875" style="70" customWidth="1"/>
    <col min="14824" max="14824" width="15.25" style="70" customWidth="1"/>
    <col min="14825" max="14825" width="0.75" style="70" customWidth="1"/>
    <col min="14826" max="14828" width="0.625" style="70" customWidth="1"/>
    <col min="14829" max="15073" width="8.5" style="70"/>
    <col min="15074" max="15074" width="5.25" style="70" customWidth="1"/>
    <col min="15075" max="15075" width="26.25" style="70" customWidth="1"/>
    <col min="15076" max="15076" width="5.5" style="70" customWidth="1"/>
    <col min="15077" max="15077" width="8.5" style="70"/>
    <col min="15078" max="15079" width="10.875" style="70" customWidth="1"/>
    <col min="15080" max="15080" width="15.25" style="70" customWidth="1"/>
    <col min="15081" max="15081" width="0.75" style="70" customWidth="1"/>
    <col min="15082" max="15084" width="0.625" style="70" customWidth="1"/>
    <col min="15085" max="15329" width="8.5" style="70"/>
    <col min="15330" max="15330" width="5.25" style="70" customWidth="1"/>
    <col min="15331" max="15331" width="26.25" style="70" customWidth="1"/>
    <col min="15332" max="15332" width="5.5" style="70" customWidth="1"/>
    <col min="15333" max="15333" width="8.5" style="70"/>
    <col min="15334" max="15335" width="10.875" style="70" customWidth="1"/>
    <col min="15336" max="15336" width="15.25" style="70" customWidth="1"/>
    <col min="15337" max="15337" width="0.75" style="70" customWidth="1"/>
    <col min="15338" max="15340" width="0.625" style="70" customWidth="1"/>
    <col min="15341" max="15585" width="8.5" style="70"/>
    <col min="15586" max="15586" width="5.25" style="70" customWidth="1"/>
    <col min="15587" max="15587" width="26.25" style="70" customWidth="1"/>
    <col min="15588" max="15588" width="5.5" style="70" customWidth="1"/>
    <col min="15589" max="15589" width="8.5" style="70"/>
    <col min="15590" max="15591" width="10.875" style="70" customWidth="1"/>
    <col min="15592" max="15592" width="15.25" style="70" customWidth="1"/>
    <col min="15593" max="15593" width="0.75" style="70" customWidth="1"/>
    <col min="15594" max="15596" width="0.625" style="70" customWidth="1"/>
    <col min="15597" max="15841" width="8.5" style="70"/>
    <col min="15842" max="15842" width="5.25" style="70" customWidth="1"/>
    <col min="15843" max="15843" width="26.25" style="70" customWidth="1"/>
    <col min="15844" max="15844" width="5.5" style="70" customWidth="1"/>
    <col min="15845" max="15845" width="8.5" style="70"/>
    <col min="15846" max="15847" width="10.875" style="70" customWidth="1"/>
    <col min="15848" max="15848" width="15.25" style="70" customWidth="1"/>
    <col min="15849" max="15849" width="0.75" style="70" customWidth="1"/>
    <col min="15850" max="15852" width="0.625" style="70" customWidth="1"/>
    <col min="15853" max="16097" width="8.5" style="70"/>
    <col min="16098" max="16098" width="5.25" style="70" customWidth="1"/>
    <col min="16099" max="16099" width="26.25" style="70" customWidth="1"/>
    <col min="16100" max="16100" width="5.5" style="70" customWidth="1"/>
    <col min="16101" max="16101" width="8.5" style="70"/>
    <col min="16102" max="16103" width="10.875" style="70" customWidth="1"/>
    <col min="16104" max="16104" width="15.25" style="70" customWidth="1"/>
    <col min="16105" max="16105" width="0.75" style="70" customWidth="1"/>
    <col min="16106" max="16108" width="0.625" style="70" customWidth="1"/>
    <col min="16109" max="16384" width="8.5" style="70"/>
  </cols>
  <sheetData>
    <row r="1" spans="1:43" ht="21" customHeight="1" x14ac:dyDescent="0.3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47"/>
      <c r="X1" s="370"/>
      <c r="Y1" s="99"/>
      <c r="Z1" s="99"/>
      <c r="AA1" s="99"/>
      <c r="AB1" s="100"/>
    </row>
    <row r="2" spans="1:43" ht="20.25" customHeight="1" x14ac:dyDescent="0.3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47"/>
    </row>
    <row r="3" spans="1:43" ht="16.5" customHeight="1" x14ac:dyDescent="0.3">
      <c r="A3" s="385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47"/>
      <c r="R3" s="386" t="s">
        <v>0</v>
      </c>
      <c r="S3" s="387"/>
      <c r="T3" s="387"/>
      <c r="U3" s="387"/>
      <c r="V3" s="387"/>
      <c r="W3" s="387"/>
      <c r="X3" s="387"/>
      <c r="Y3" s="387"/>
      <c r="Z3" s="387"/>
      <c r="AA3" s="387"/>
      <c r="AB3" s="387"/>
    </row>
    <row r="4" spans="1:43" ht="16.5" customHeight="1" x14ac:dyDescent="0.3">
      <c r="A4" s="388" t="s">
        <v>3063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48"/>
      <c r="R4" s="389">
        <v>30</v>
      </c>
      <c r="S4" s="387"/>
      <c r="T4" s="387"/>
      <c r="U4" s="387"/>
      <c r="V4" s="387"/>
      <c r="W4" s="387"/>
      <c r="X4" s="387"/>
      <c r="Y4" s="387"/>
      <c r="Z4" s="387"/>
      <c r="AA4" s="387"/>
      <c r="AB4" s="387"/>
    </row>
    <row r="5" spans="1:43" s="68" customFormat="1" ht="17.25" customHeight="1" thickBot="1" x14ac:dyDescent="0.3">
      <c r="A5" s="388" t="s">
        <v>3</v>
      </c>
      <c r="B5" s="388"/>
      <c r="C5" s="388"/>
      <c r="D5" s="388"/>
      <c r="E5" s="388"/>
      <c r="F5" s="388"/>
      <c r="G5" s="388"/>
      <c r="H5" s="388"/>
      <c r="I5" s="388"/>
      <c r="J5" s="388"/>
      <c r="K5" s="393" t="s">
        <v>4</v>
      </c>
      <c r="L5" s="393"/>
      <c r="M5" s="74"/>
      <c r="N5" s="394" t="s">
        <v>3302</v>
      </c>
      <c r="O5" s="394"/>
      <c r="P5" s="394"/>
      <c r="Q5" s="96"/>
      <c r="R5" s="395" t="s">
        <v>2</v>
      </c>
      <c r="S5" s="396"/>
      <c r="T5" s="396"/>
      <c r="U5" s="396"/>
      <c r="V5" s="396"/>
      <c r="W5" s="396"/>
      <c r="X5" s="396"/>
      <c r="Y5" s="396"/>
      <c r="Z5" s="4" t="s">
        <v>1361</v>
      </c>
      <c r="AA5" s="380">
        <v>46081</v>
      </c>
      <c r="AB5" s="381"/>
      <c r="AC5"/>
      <c r="AD5" s="181"/>
      <c r="AE5" s="181"/>
      <c r="AF5" s="181"/>
      <c r="AG5" s="181"/>
    </row>
    <row r="6" spans="1:43" ht="37.5" customHeight="1" x14ac:dyDescent="0.3">
      <c r="A6" s="49"/>
      <c r="B6" s="50" t="s">
        <v>6</v>
      </c>
      <c r="C6" s="50" t="s">
        <v>7</v>
      </c>
      <c r="D6" s="50" t="s">
        <v>8</v>
      </c>
      <c r="E6" s="50" t="s">
        <v>1300</v>
      </c>
      <c r="F6" s="50" t="s">
        <v>1301</v>
      </c>
      <c r="G6" s="50" t="s">
        <v>3071</v>
      </c>
      <c r="H6" s="50" t="s">
        <v>3139</v>
      </c>
      <c r="I6" s="50" t="s">
        <v>3162</v>
      </c>
      <c r="J6" s="351" t="s">
        <v>9</v>
      </c>
      <c r="K6" s="51" t="s">
        <v>3068</v>
      </c>
      <c r="L6" s="50" t="s">
        <v>11</v>
      </c>
      <c r="M6" s="47"/>
      <c r="N6" s="1" t="s">
        <v>1423</v>
      </c>
      <c r="O6" s="1" t="s">
        <v>1424</v>
      </c>
      <c r="P6" s="1" t="s">
        <v>1425</v>
      </c>
      <c r="Q6" s="97"/>
      <c r="R6" s="5" t="s">
        <v>5</v>
      </c>
      <c r="S6" s="6" t="s">
        <v>1362</v>
      </c>
      <c r="T6" s="6" t="s">
        <v>7</v>
      </c>
      <c r="U6" s="6" t="s">
        <v>1363</v>
      </c>
      <c r="V6" s="6" t="s">
        <v>1364</v>
      </c>
      <c r="W6" s="6" t="s">
        <v>1365</v>
      </c>
      <c r="X6" s="6" t="s">
        <v>1366</v>
      </c>
      <c r="Y6" s="214" t="s">
        <v>1367</v>
      </c>
      <c r="Z6" s="214" t="s">
        <v>1368</v>
      </c>
      <c r="AA6" s="214" t="s">
        <v>1369</v>
      </c>
      <c r="AB6" s="7" t="s">
        <v>1370</v>
      </c>
      <c r="AC6" s="36"/>
      <c r="AI6" s="222">
        <f>AK7</f>
        <v>0.88758599999999999</v>
      </c>
      <c r="AJ6" s="360">
        <f>AK9</f>
        <v>5.8466855118680106E-3</v>
      </c>
      <c r="AK6" s="197" t="s">
        <v>1513</v>
      </c>
      <c r="AM6" s="68" t="s">
        <v>3110</v>
      </c>
    </row>
    <row r="7" spans="1:43" s="69" customFormat="1" x14ac:dyDescent="0.3">
      <c r="A7" s="52" t="s">
        <v>12</v>
      </c>
      <c r="B7" s="53" t="s">
        <v>13</v>
      </c>
      <c r="C7" s="54" t="s">
        <v>14</v>
      </c>
      <c r="D7" s="75">
        <v>1</v>
      </c>
      <c r="E7" s="75"/>
      <c r="F7" s="75"/>
      <c r="G7" s="75"/>
      <c r="H7" s="75"/>
      <c r="I7" s="75"/>
      <c r="J7" s="75"/>
      <c r="K7" s="75">
        <v>425454729</v>
      </c>
      <c r="L7" s="53" t="s">
        <v>15</v>
      </c>
      <c r="M7" s="73"/>
      <c r="N7" s="39">
        <v>1</v>
      </c>
      <c r="O7" s="39">
        <v>4923100.0000000428</v>
      </c>
      <c r="P7" s="39">
        <v>375140200</v>
      </c>
      <c r="Q7" s="98"/>
      <c r="R7" s="8" t="s">
        <v>12</v>
      </c>
      <c r="S7" s="9" t="s">
        <v>13</v>
      </c>
      <c r="T7" s="10" t="s">
        <v>14</v>
      </c>
      <c r="U7" s="11">
        <v>1</v>
      </c>
      <c r="V7" s="11"/>
      <c r="W7" s="11">
        <f>W8+W434+W464+W504+W508+W529+W549+W552+W553+W556</f>
        <v>425454728.99999994</v>
      </c>
      <c r="X7" s="11">
        <f>IF(Z7=0,0,1)</f>
        <v>1</v>
      </c>
      <c r="Y7" s="11">
        <f>IF(AA7=0,0,1)</f>
        <v>1</v>
      </c>
      <c r="Z7" s="11">
        <f>Z8+Z434+Z464+Z504+Z508+Z529+Z549+Z552+Z553+Z556</f>
        <v>2487500.0000000307</v>
      </c>
      <c r="AA7" s="11">
        <f>ROUNDDOWN((AA8+AA434+AA464+AA504+AA508+AA529+AA549+AA553+AA556+(AA8+AA434+AA464+AA504+AA508+AA529+AA549)*0.1095000004)/1000,1)*1000</f>
        <v>377627700</v>
      </c>
      <c r="AB7" s="12" t="s">
        <v>15</v>
      </c>
      <c r="AC7" s="232"/>
      <c r="AD7" s="182"/>
      <c r="AE7" s="182"/>
      <c r="AF7" s="182"/>
      <c r="AG7" s="182"/>
      <c r="AH7" s="363"/>
      <c r="AI7" s="186"/>
      <c r="AJ7" s="126">
        <f>K7</f>
        <v>425454729</v>
      </c>
      <c r="AK7" s="201">
        <f>ROUND(AA7/AJ7,6)</f>
        <v>0.88758599999999999</v>
      </c>
      <c r="AP7" s="367"/>
      <c r="AQ7" s="367"/>
    </row>
    <row r="8" spans="1:43" s="69" customFormat="1" ht="33" x14ac:dyDescent="0.3">
      <c r="A8" s="85" t="s">
        <v>17</v>
      </c>
      <c r="B8" s="86" t="s">
        <v>18</v>
      </c>
      <c r="C8" s="87" t="s">
        <v>14</v>
      </c>
      <c r="D8" s="88">
        <v>1</v>
      </c>
      <c r="E8" s="88"/>
      <c r="F8" s="88"/>
      <c r="G8" s="88"/>
      <c r="H8" s="88"/>
      <c r="I8" s="88"/>
      <c r="J8" s="88"/>
      <c r="K8" s="88">
        <v>325898218.11000001</v>
      </c>
      <c r="L8" s="86" t="s">
        <v>15</v>
      </c>
      <c r="M8" s="73"/>
      <c r="N8" s="42">
        <v>1</v>
      </c>
      <c r="O8" s="42">
        <v>3619149.3</v>
      </c>
      <c r="P8" s="42">
        <v>286385449.38999999</v>
      </c>
      <c r="Q8" s="98"/>
      <c r="R8" s="13" t="s">
        <v>1371</v>
      </c>
      <c r="S8" s="14" t="s">
        <v>18</v>
      </c>
      <c r="T8" s="15" t="s">
        <v>14</v>
      </c>
      <c r="U8" s="16">
        <v>1</v>
      </c>
      <c r="V8" s="16"/>
      <c r="W8" s="16">
        <f>W9+W40+W144+W193+W223+W242+W263+W362+W407+W415+W432</f>
        <v>325898218.11000001</v>
      </c>
      <c r="X8" s="16">
        <f t="shared" ref="X8:Y9" si="0">IF(Z8=0,0,1)</f>
        <v>1</v>
      </c>
      <c r="Y8" s="16">
        <f t="shared" si="0"/>
        <v>1</v>
      </c>
      <c r="Z8" s="16">
        <f>Z9+Z40+Z144+Z193+Z223+Z242+Z263+Z362+Z407+Z415+Z432</f>
        <v>2052107.72</v>
      </c>
      <c r="AA8" s="16">
        <f>AA9+AA40+AA144+AA193+AA223+AA242+AA263+AA362+AA407+AA415+AA432</f>
        <v>288437557.10999995</v>
      </c>
      <c r="AB8" s="17" t="s">
        <v>15</v>
      </c>
      <c r="AC8" s="232"/>
      <c r="AD8" s="183"/>
      <c r="AE8" s="183"/>
      <c r="AF8" s="183"/>
      <c r="AG8" s="183"/>
      <c r="AH8" s="363"/>
      <c r="AI8" s="185"/>
      <c r="AJ8" s="188"/>
      <c r="AK8" s="124" t="s">
        <v>1514</v>
      </c>
      <c r="AP8" s="367"/>
      <c r="AQ8" s="367"/>
    </row>
    <row r="9" spans="1:43" s="69" customFormat="1" x14ac:dyDescent="0.3">
      <c r="A9" s="79" t="s">
        <v>19</v>
      </c>
      <c r="B9" s="80" t="s">
        <v>20</v>
      </c>
      <c r="C9" s="81" t="s">
        <v>14</v>
      </c>
      <c r="D9" s="82">
        <v>1</v>
      </c>
      <c r="E9" s="82"/>
      <c r="F9" s="82"/>
      <c r="G9" s="82"/>
      <c r="H9" s="82"/>
      <c r="I9" s="82"/>
      <c r="J9" s="82"/>
      <c r="K9" s="82">
        <v>89884530.849999994</v>
      </c>
      <c r="L9" s="80" t="s">
        <v>15</v>
      </c>
      <c r="M9" s="73"/>
      <c r="N9" s="45">
        <v>1</v>
      </c>
      <c r="O9" s="45">
        <v>0</v>
      </c>
      <c r="P9" s="45">
        <v>84412579.359999985</v>
      </c>
      <c r="Q9" s="98"/>
      <c r="R9" s="18" t="s">
        <v>1372</v>
      </c>
      <c r="S9" s="19" t="s">
        <v>20</v>
      </c>
      <c r="T9" s="20" t="s">
        <v>14</v>
      </c>
      <c r="U9" s="21">
        <v>1</v>
      </c>
      <c r="V9" s="21"/>
      <c r="W9" s="21">
        <f>SUMIFS(AE:AE,AF:AF,AF9)</f>
        <v>89884530.849999994</v>
      </c>
      <c r="X9" s="21">
        <f t="shared" si="0"/>
        <v>0</v>
      </c>
      <c r="Y9" s="21">
        <f t="shared" si="0"/>
        <v>1</v>
      </c>
      <c r="Z9" s="21">
        <f>SUMIFS(Z:Z,AG:AG,AF9)</f>
        <v>0</v>
      </c>
      <c r="AA9" s="21">
        <f>SUMIFS(AA:AA,AG:AG,AF9)</f>
        <v>84412579.359999985</v>
      </c>
      <c r="AB9" s="22" t="s">
        <v>15</v>
      </c>
      <c r="AC9" s="232"/>
      <c r="AD9" s="184">
        <f>IF(V9=0,U9,V9)</f>
        <v>1</v>
      </c>
      <c r="AE9" s="184"/>
      <c r="AF9" s="181">
        <v>1.1000000000000001</v>
      </c>
      <c r="AG9" s="181"/>
      <c r="AH9" s="363"/>
      <c r="AI9" s="189" t="s">
        <v>3061</v>
      </c>
      <c r="AJ9" s="188"/>
      <c r="AK9" s="125">
        <f>Z7/AJ7</f>
        <v>5.8466855118680106E-3</v>
      </c>
      <c r="AM9" s="101" t="s">
        <v>3062</v>
      </c>
      <c r="AO9" s="367"/>
      <c r="AP9" s="367"/>
      <c r="AQ9" s="367"/>
    </row>
    <row r="10" spans="1:43" s="69" customFormat="1" ht="58.5" x14ac:dyDescent="0.3">
      <c r="A10" s="130" t="s">
        <v>21</v>
      </c>
      <c r="B10" s="131" t="s">
        <v>22</v>
      </c>
      <c r="C10" s="132" t="s">
        <v>23</v>
      </c>
      <c r="D10" s="133">
        <v>544.66</v>
      </c>
      <c r="E10" s="75"/>
      <c r="F10" s="75"/>
      <c r="G10" s="75"/>
      <c r="H10" s="75"/>
      <c r="I10" s="75"/>
      <c r="J10" s="75">
        <v>193.12</v>
      </c>
      <c r="K10" s="75">
        <v>105184.74</v>
      </c>
      <c r="L10" s="91" t="s">
        <v>24</v>
      </c>
      <c r="M10" s="73"/>
      <c r="N10" s="46">
        <v>532.65</v>
      </c>
      <c r="O10" s="46">
        <v>0</v>
      </c>
      <c r="P10" s="46">
        <v>102865.37</v>
      </c>
      <c r="Q10" s="98"/>
      <c r="R10" s="23" t="s">
        <v>1421</v>
      </c>
      <c r="S10" s="24" t="s">
        <v>22</v>
      </c>
      <c r="T10" s="25" t="s">
        <v>23</v>
      </c>
      <c r="U10" s="26">
        <v>544.66</v>
      </c>
      <c r="V10" s="26">
        <f>IF(I10&gt;0,I10,IF(H10&gt;0,H10,IF(G10&gt;0,G10,IF(F10&gt;0,F10,IF(E10&gt;0,E10,D10)))))</f>
        <v>544.66</v>
      </c>
      <c r="W10" s="26">
        <f>J10</f>
        <v>193.12</v>
      </c>
      <c r="X10" s="127">
        <f>AI10-N10</f>
        <v>0</v>
      </c>
      <c r="Y10" s="127">
        <f>X10+N10</f>
        <v>532.65</v>
      </c>
      <c r="Z10" s="127">
        <f t="shared" ref="Z10:Z39" si="1">AA10-P10</f>
        <v>0</v>
      </c>
      <c r="AA10" s="127">
        <f>ROUND(W10*Y10,2)</f>
        <v>102865.37</v>
      </c>
      <c r="AB10" s="33" t="s">
        <v>15</v>
      </c>
      <c r="AC10" s="324"/>
      <c r="AD10" s="181">
        <f t="shared" ref="AD10:AD73" si="2">IF(V10=0,U10,V10)</f>
        <v>544.66</v>
      </c>
      <c r="AE10" s="181">
        <f t="shared" ref="AE10:AE39" si="3">ROUND(W10*AD10,2)</f>
        <v>105184.74</v>
      </c>
      <c r="AF10" s="181">
        <v>1.1000000000000001</v>
      </c>
      <c r="AG10" s="181">
        <v>1.1000000000000001</v>
      </c>
      <c r="AH10" s="363" t="str">
        <f>IF(Y10&gt;AJ10,"超估","")</f>
        <v/>
      </c>
      <c r="AI10" s="194">
        <f>408.7+67.6+56.35</f>
        <v>532.65</v>
      </c>
      <c r="AJ10" s="188">
        <v>544.66</v>
      </c>
      <c r="AO10" s="367"/>
      <c r="AP10" s="367"/>
      <c r="AQ10" s="367"/>
    </row>
    <row r="11" spans="1:43" s="69" customFormat="1" ht="58.5" x14ac:dyDescent="0.3">
      <c r="A11" s="130" t="s">
        <v>25</v>
      </c>
      <c r="B11" s="131" t="s">
        <v>26</v>
      </c>
      <c r="C11" s="132" t="s">
        <v>23</v>
      </c>
      <c r="D11" s="133">
        <v>7089.42</v>
      </c>
      <c r="E11" s="75"/>
      <c r="F11" s="75"/>
      <c r="G11" s="75"/>
      <c r="H11" s="75"/>
      <c r="I11" s="75"/>
      <c r="J11" s="75">
        <v>1046.22</v>
      </c>
      <c r="K11" s="75">
        <v>7417092.9900000002</v>
      </c>
      <c r="L11" s="91" t="s">
        <v>27</v>
      </c>
      <c r="M11" s="73"/>
      <c r="N11" s="46">
        <v>7089.2099999999991</v>
      </c>
      <c r="O11" s="46">
        <v>0</v>
      </c>
      <c r="P11" s="46">
        <v>7416873.29</v>
      </c>
      <c r="Q11" s="98"/>
      <c r="R11" s="23" t="s">
        <v>1426</v>
      </c>
      <c r="S11" s="24" t="s">
        <v>26</v>
      </c>
      <c r="T11" s="25" t="s">
        <v>23</v>
      </c>
      <c r="U11" s="26">
        <v>7089.42</v>
      </c>
      <c r="V11" s="26">
        <f t="shared" ref="V11:V39" si="4">IF(I11&gt;0,I11,IF(H11&gt;0,H11,IF(G11&gt;0,G11,IF(F11&gt;0,F11,IF(E11&gt;0,E11,D11)))))</f>
        <v>7089.42</v>
      </c>
      <c r="W11" s="26">
        <f t="shared" ref="W11:W74" si="5">J11</f>
        <v>1046.22</v>
      </c>
      <c r="X11" s="127">
        <f>AI11-N11</f>
        <v>0</v>
      </c>
      <c r="Y11" s="127">
        <f t="shared" ref="Y11:Y76" si="6">X11+N11</f>
        <v>7089.2099999999991</v>
      </c>
      <c r="Z11" s="127">
        <f t="shared" si="1"/>
        <v>0</v>
      </c>
      <c r="AA11" s="127">
        <f t="shared" ref="AA11:AA76" si="7">ROUND(W11*Y11,2)</f>
        <v>7416873.29</v>
      </c>
      <c r="AB11" s="33" t="s">
        <v>15</v>
      </c>
      <c r="AC11" s="324"/>
      <c r="AD11" s="181">
        <f t="shared" si="2"/>
        <v>7089.42</v>
      </c>
      <c r="AE11" s="181">
        <f t="shared" si="3"/>
        <v>7417092.9900000002</v>
      </c>
      <c r="AF11" s="181">
        <v>1.1000000000000001</v>
      </c>
      <c r="AG11" s="181">
        <v>1.1000000000000001</v>
      </c>
      <c r="AH11" s="363" t="str">
        <f t="shared" ref="AH11:AH76" si="8">IF(Y11&gt;AJ11,"超估","")</f>
        <v/>
      </c>
      <c r="AI11" s="194">
        <f>6531.11+35.5+231.7+102.5+36.2+152.2</f>
        <v>7089.2099999999991</v>
      </c>
      <c r="AJ11" s="188">
        <v>7089.42</v>
      </c>
      <c r="AO11" s="367"/>
      <c r="AP11" s="367"/>
      <c r="AQ11" s="367"/>
    </row>
    <row r="12" spans="1:43" s="69" customFormat="1" ht="33" x14ac:dyDescent="0.3">
      <c r="A12" s="130" t="s">
        <v>28</v>
      </c>
      <c r="B12" s="131" t="s">
        <v>29</v>
      </c>
      <c r="C12" s="132" t="s">
        <v>30</v>
      </c>
      <c r="D12" s="133">
        <v>4616</v>
      </c>
      <c r="E12" s="75"/>
      <c r="F12" s="75"/>
      <c r="G12" s="75"/>
      <c r="H12" s="75"/>
      <c r="I12" s="75"/>
      <c r="J12" s="75">
        <v>6200</v>
      </c>
      <c r="K12" s="75">
        <v>28619200</v>
      </c>
      <c r="L12" s="91" t="s">
        <v>31</v>
      </c>
      <c r="M12" s="73"/>
      <c r="N12" s="46">
        <v>4610.7</v>
      </c>
      <c r="O12" s="46">
        <v>0</v>
      </c>
      <c r="P12" s="46">
        <v>28586340</v>
      </c>
      <c r="Q12" s="98"/>
      <c r="R12" s="23" t="s">
        <v>1402</v>
      </c>
      <c r="S12" s="24" t="s">
        <v>29</v>
      </c>
      <c r="T12" s="25" t="s">
        <v>30</v>
      </c>
      <c r="U12" s="26">
        <v>4616</v>
      </c>
      <c r="V12" s="26">
        <f t="shared" si="4"/>
        <v>4616</v>
      </c>
      <c r="W12" s="26">
        <f t="shared" si="5"/>
        <v>6200</v>
      </c>
      <c r="X12" s="127">
        <f t="shared" ref="X12:X77" si="9">AI12-N12</f>
        <v>0</v>
      </c>
      <c r="Y12" s="127">
        <f t="shared" si="6"/>
        <v>4610.7</v>
      </c>
      <c r="Z12" s="127">
        <f t="shared" si="1"/>
        <v>0</v>
      </c>
      <c r="AA12" s="127">
        <f t="shared" si="7"/>
        <v>28586340</v>
      </c>
      <c r="AB12" s="33" t="s">
        <v>15</v>
      </c>
      <c r="AC12" s="324"/>
      <c r="AD12" s="181">
        <f t="shared" si="2"/>
        <v>4616</v>
      </c>
      <c r="AE12" s="181">
        <f t="shared" si="3"/>
        <v>28619200</v>
      </c>
      <c r="AF12" s="181">
        <v>1.1000000000000001</v>
      </c>
      <c r="AG12" s="181">
        <v>1.1000000000000001</v>
      </c>
      <c r="AH12" s="363" t="str">
        <f t="shared" si="8"/>
        <v/>
      </c>
      <c r="AI12" s="192">
        <v>4610.7</v>
      </c>
      <c r="AJ12" s="188">
        <v>4616</v>
      </c>
      <c r="AO12" s="367"/>
      <c r="AP12" s="367"/>
      <c r="AQ12" s="367"/>
    </row>
    <row r="13" spans="1:43" s="69" customFormat="1" ht="78" x14ac:dyDescent="0.3">
      <c r="A13" s="130" t="s">
        <v>32</v>
      </c>
      <c r="B13" s="131" t="s">
        <v>33</v>
      </c>
      <c r="C13" s="132" t="s">
        <v>34</v>
      </c>
      <c r="D13" s="133">
        <v>29759</v>
      </c>
      <c r="E13" s="75"/>
      <c r="F13" s="75">
        <v>31759</v>
      </c>
      <c r="G13" s="75"/>
      <c r="H13" s="75"/>
      <c r="I13" s="75"/>
      <c r="J13" s="75">
        <v>48.28</v>
      </c>
      <c r="K13" s="75">
        <v>1533324.52</v>
      </c>
      <c r="L13" s="91" t="s">
        <v>35</v>
      </c>
      <c r="M13" s="73"/>
      <c r="N13" s="46">
        <v>30315.299999999996</v>
      </c>
      <c r="O13" s="46">
        <v>0</v>
      </c>
      <c r="P13" s="46">
        <v>1463622.68</v>
      </c>
      <c r="Q13" s="98"/>
      <c r="R13" s="23" t="s">
        <v>1373</v>
      </c>
      <c r="S13" s="24" t="s">
        <v>33</v>
      </c>
      <c r="T13" s="25" t="s">
        <v>34</v>
      </c>
      <c r="U13" s="26">
        <v>29759</v>
      </c>
      <c r="V13" s="26">
        <f t="shared" si="4"/>
        <v>31759</v>
      </c>
      <c r="W13" s="26">
        <f t="shared" si="5"/>
        <v>48.28</v>
      </c>
      <c r="X13" s="127">
        <f>AI13-N13</f>
        <v>0</v>
      </c>
      <c r="Y13" s="127">
        <f>X13+N13</f>
        <v>30315.299999999996</v>
      </c>
      <c r="Z13" s="127">
        <f t="shared" si="1"/>
        <v>0</v>
      </c>
      <c r="AA13" s="127">
        <f t="shared" si="7"/>
        <v>1463622.68</v>
      </c>
      <c r="AB13" s="27" t="s">
        <v>15</v>
      </c>
      <c r="AC13" s="324"/>
      <c r="AD13" s="263">
        <f t="shared" si="2"/>
        <v>31759</v>
      </c>
      <c r="AE13" s="263">
        <f t="shared" si="3"/>
        <v>1533324.52</v>
      </c>
      <c r="AF13" s="263">
        <v>1.1000000000000001</v>
      </c>
      <c r="AG13" s="263">
        <v>1.1000000000000001</v>
      </c>
      <c r="AH13" s="68" t="str">
        <f t="shared" si="8"/>
        <v/>
      </c>
      <c r="AI13" s="194">
        <f>28942.8+415.6+325.6+631.3</f>
        <v>30315.299999999996</v>
      </c>
      <c r="AJ13" s="188">
        <v>31759</v>
      </c>
      <c r="AO13" s="367"/>
      <c r="AP13" s="367"/>
      <c r="AQ13" s="367"/>
    </row>
    <row r="14" spans="1:43" s="69" customFormat="1" ht="58.5" x14ac:dyDescent="0.3">
      <c r="A14" s="130" t="s">
        <v>36</v>
      </c>
      <c r="B14" s="131" t="s">
        <v>37</v>
      </c>
      <c r="C14" s="132" t="s">
        <v>23</v>
      </c>
      <c r="D14" s="133">
        <v>731.44</v>
      </c>
      <c r="E14" s="75"/>
      <c r="F14" s="75"/>
      <c r="G14" s="75"/>
      <c r="H14" s="75"/>
      <c r="I14" s="343">
        <v>1561.19</v>
      </c>
      <c r="J14" s="75">
        <v>599.75</v>
      </c>
      <c r="K14" s="75">
        <v>936323.7</v>
      </c>
      <c r="L14" s="91" t="s">
        <v>38</v>
      </c>
      <c r="M14" s="73"/>
      <c r="N14" s="46">
        <v>1520.5900000000001</v>
      </c>
      <c r="O14" s="46">
        <v>0</v>
      </c>
      <c r="P14" s="46">
        <v>911973.85</v>
      </c>
      <c r="Q14" s="98"/>
      <c r="R14" s="23" t="s">
        <v>1393</v>
      </c>
      <c r="S14" s="24" t="s">
        <v>37</v>
      </c>
      <c r="T14" s="25" t="s">
        <v>23</v>
      </c>
      <c r="U14" s="26">
        <v>731.44</v>
      </c>
      <c r="V14" s="26">
        <f t="shared" si="4"/>
        <v>1561.19</v>
      </c>
      <c r="W14" s="26">
        <f t="shared" si="5"/>
        <v>599.75</v>
      </c>
      <c r="X14" s="127">
        <f>AI14-N14</f>
        <v>0</v>
      </c>
      <c r="Y14" s="127">
        <f t="shared" si="6"/>
        <v>1520.5900000000001</v>
      </c>
      <c r="Z14" s="127">
        <f t="shared" si="1"/>
        <v>0</v>
      </c>
      <c r="AA14" s="127">
        <f t="shared" si="7"/>
        <v>911973.85</v>
      </c>
      <c r="AB14" s="33" t="s">
        <v>15</v>
      </c>
      <c r="AC14" s="324"/>
      <c r="AD14" s="263">
        <f t="shared" si="2"/>
        <v>1561.19</v>
      </c>
      <c r="AE14" s="263">
        <f t="shared" si="3"/>
        <v>936323.7</v>
      </c>
      <c r="AF14" s="263">
        <v>1.1000000000000001</v>
      </c>
      <c r="AG14" s="263">
        <v>1.1000000000000001</v>
      </c>
      <c r="AH14" s="68" t="str">
        <f>IF(Y14&gt;AJ14,"超估","")</f>
        <v/>
      </c>
      <c r="AI14" s="194">
        <f>519.43+212.01+789.15</f>
        <v>1520.59</v>
      </c>
      <c r="AJ14" s="190">
        <v>1561.19</v>
      </c>
      <c r="AO14" s="367"/>
      <c r="AP14" s="367"/>
      <c r="AQ14" s="367"/>
    </row>
    <row r="15" spans="1:43" s="69" customFormat="1" ht="39" x14ac:dyDescent="0.3">
      <c r="A15" s="55" t="s">
        <v>39</v>
      </c>
      <c r="B15" s="53" t="s">
        <v>40</v>
      </c>
      <c r="C15" s="54" t="s">
        <v>23</v>
      </c>
      <c r="D15" s="75">
        <v>7519</v>
      </c>
      <c r="E15" s="75"/>
      <c r="F15" s="75"/>
      <c r="G15" s="75"/>
      <c r="H15" s="75"/>
      <c r="I15" s="328"/>
      <c r="J15" s="75">
        <v>104.64</v>
      </c>
      <c r="K15" s="75">
        <v>786788.16</v>
      </c>
      <c r="L15" s="91" t="s">
        <v>41</v>
      </c>
      <c r="M15" s="73"/>
      <c r="N15" s="46">
        <v>3959.2</v>
      </c>
      <c r="O15" s="46">
        <v>0</v>
      </c>
      <c r="P15" s="46">
        <v>414290.69</v>
      </c>
      <c r="Q15" s="98"/>
      <c r="R15" s="23" t="s">
        <v>1403</v>
      </c>
      <c r="S15" s="24" t="s">
        <v>40</v>
      </c>
      <c r="T15" s="25" t="s">
        <v>23</v>
      </c>
      <c r="U15" s="26">
        <v>7519</v>
      </c>
      <c r="V15" s="26">
        <f t="shared" si="4"/>
        <v>7519</v>
      </c>
      <c r="W15" s="26">
        <f t="shared" si="5"/>
        <v>104.64</v>
      </c>
      <c r="X15" s="127">
        <f t="shared" si="9"/>
        <v>0</v>
      </c>
      <c r="Y15" s="127">
        <f t="shared" si="6"/>
        <v>3959.2</v>
      </c>
      <c r="Z15" s="127">
        <f t="shared" si="1"/>
        <v>0</v>
      </c>
      <c r="AA15" s="127">
        <f t="shared" si="7"/>
        <v>414290.69</v>
      </c>
      <c r="AB15" s="33" t="s">
        <v>15</v>
      </c>
      <c r="AC15" s="325"/>
      <c r="AD15" s="263">
        <f t="shared" si="2"/>
        <v>7519</v>
      </c>
      <c r="AE15" s="263">
        <f t="shared" si="3"/>
        <v>786788.16</v>
      </c>
      <c r="AF15" s="263">
        <v>1.1000000000000001</v>
      </c>
      <c r="AG15" s="263">
        <v>1.1000000000000001</v>
      </c>
      <c r="AH15" s="68" t="str">
        <f t="shared" si="8"/>
        <v/>
      </c>
      <c r="AI15" s="194">
        <f>2219+252.6+967+520.6</f>
        <v>3959.2</v>
      </c>
      <c r="AJ15" s="188">
        <v>7519</v>
      </c>
      <c r="AO15" s="367"/>
      <c r="AP15" s="367"/>
      <c r="AQ15" s="367"/>
    </row>
    <row r="16" spans="1:43" s="69" customFormat="1" ht="41.25" x14ac:dyDescent="0.3">
      <c r="A16" s="55" t="s">
        <v>42</v>
      </c>
      <c r="B16" s="118" t="s">
        <v>3289</v>
      </c>
      <c r="C16" s="119" t="s">
        <v>34</v>
      </c>
      <c r="D16" s="120">
        <v>22240</v>
      </c>
      <c r="E16" s="75"/>
      <c r="F16" s="75"/>
      <c r="G16" s="75"/>
      <c r="H16" s="75"/>
      <c r="I16" s="328">
        <v>22595.42</v>
      </c>
      <c r="J16" s="75">
        <v>1027.43</v>
      </c>
      <c r="K16" s="75">
        <v>23215212.370000001</v>
      </c>
      <c r="L16" s="91" t="s">
        <v>44</v>
      </c>
      <c r="M16" s="73"/>
      <c r="N16" s="46">
        <v>22258</v>
      </c>
      <c r="O16" s="46">
        <v>0</v>
      </c>
      <c r="P16" s="46">
        <v>22868536.940000001</v>
      </c>
      <c r="Q16" s="98"/>
      <c r="R16" s="23" t="s">
        <v>1427</v>
      </c>
      <c r="S16" s="24" t="s">
        <v>43</v>
      </c>
      <c r="T16" s="25" t="s">
        <v>34</v>
      </c>
      <c r="U16" s="26">
        <v>22240</v>
      </c>
      <c r="V16" s="26">
        <f t="shared" si="4"/>
        <v>22595.42</v>
      </c>
      <c r="W16" s="26">
        <f t="shared" si="5"/>
        <v>1027.43</v>
      </c>
      <c r="X16" s="127">
        <f t="shared" si="9"/>
        <v>0</v>
      </c>
      <c r="Y16" s="121">
        <f t="shared" si="6"/>
        <v>22258</v>
      </c>
      <c r="Z16" s="127">
        <f t="shared" si="1"/>
        <v>0</v>
      </c>
      <c r="AA16" s="127">
        <f t="shared" si="7"/>
        <v>22868536.940000001</v>
      </c>
      <c r="AB16" s="33" t="s">
        <v>15</v>
      </c>
      <c r="AC16" s="324"/>
      <c r="AD16" s="181">
        <f t="shared" si="2"/>
        <v>22595.42</v>
      </c>
      <c r="AE16" s="181">
        <f t="shared" si="3"/>
        <v>23215212.370000001</v>
      </c>
      <c r="AF16" s="181">
        <v>1.1000000000000001</v>
      </c>
      <c r="AG16" s="181">
        <v>1.1000000000000001</v>
      </c>
      <c r="AH16" s="363" t="str">
        <f t="shared" si="8"/>
        <v/>
      </c>
      <c r="AI16" s="194">
        <f>19090+12*96+168*12</f>
        <v>22258</v>
      </c>
      <c r="AJ16" s="190">
        <v>22595.42</v>
      </c>
      <c r="AN16" s="363"/>
      <c r="AO16" s="368"/>
      <c r="AP16" s="367"/>
      <c r="AQ16" s="367"/>
    </row>
    <row r="17" spans="1:43" s="69" customFormat="1" ht="58.5" x14ac:dyDescent="0.3">
      <c r="A17" s="55" t="s">
        <v>45</v>
      </c>
      <c r="B17" s="118" t="s">
        <v>46</v>
      </c>
      <c r="C17" s="119" t="s">
        <v>23</v>
      </c>
      <c r="D17" s="120">
        <v>6730.42</v>
      </c>
      <c r="E17" s="75"/>
      <c r="F17" s="75"/>
      <c r="G17" s="75"/>
      <c r="H17" s="75"/>
      <c r="I17" s="343">
        <v>0</v>
      </c>
      <c r="J17" s="75">
        <v>1085.04</v>
      </c>
      <c r="K17" s="75">
        <v>0</v>
      </c>
      <c r="L17" s="91" t="s">
        <v>47</v>
      </c>
      <c r="M17" s="73"/>
      <c r="N17" s="46">
        <v>4956</v>
      </c>
      <c r="O17" s="46">
        <v>0</v>
      </c>
      <c r="P17" s="46">
        <v>5377458.2400000002</v>
      </c>
      <c r="Q17" s="98"/>
      <c r="R17" s="23" t="s">
        <v>1428</v>
      </c>
      <c r="S17" s="24" t="s">
        <v>46</v>
      </c>
      <c r="T17" s="25" t="s">
        <v>23</v>
      </c>
      <c r="U17" s="26">
        <v>6730.42</v>
      </c>
      <c r="V17" s="26">
        <v>0</v>
      </c>
      <c r="W17" s="26">
        <f t="shared" si="5"/>
        <v>1085.04</v>
      </c>
      <c r="X17" s="372">
        <f t="shared" si="9"/>
        <v>0</v>
      </c>
      <c r="Y17" s="377">
        <f t="shared" si="6"/>
        <v>4956</v>
      </c>
      <c r="Z17" s="127">
        <f t="shared" si="1"/>
        <v>0</v>
      </c>
      <c r="AA17" s="127">
        <f t="shared" si="7"/>
        <v>5377458.2400000002</v>
      </c>
      <c r="AB17" s="33" t="s">
        <v>15</v>
      </c>
      <c r="AC17" s="324"/>
      <c r="AD17" s="181">
        <v>0</v>
      </c>
      <c r="AE17" s="181">
        <f t="shared" si="3"/>
        <v>0</v>
      </c>
      <c r="AF17" s="181">
        <v>1.1000000000000001</v>
      </c>
      <c r="AG17" s="181">
        <v>1.1000000000000001</v>
      </c>
      <c r="AH17" s="363" t="str">
        <f t="shared" si="8"/>
        <v>超估</v>
      </c>
      <c r="AI17" s="194">
        <v>4956</v>
      </c>
      <c r="AJ17" s="190">
        <v>0</v>
      </c>
      <c r="AO17" s="367"/>
      <c r="AP17" s="367"/>
      <c r="AQ17" s="367"/>
    </row>
    <row r="18" spans="1:43" s="69" customFormat="1" ht="97.5" x14ac:dyDescent="0.3">
      <c r="A18" s="130" t="s">
        <v>48</v>
      </c>
      <c r="B18" s="131" t="s">
        <v>49</v>
      </c>
      <c r="C18" s="132" t="s">
        <v>50</v>
      </c>
      <c r="D18" s="133">
        <v>3735.5</v>
      </c>
      <c r="E18" s="75"/>
      <c r="F18" s="75"/>
      <c r="G18" s="75"/>
      <c r="H18" s="75"/>
      <c r="I18" s="75"/>
      <c r="J18" s="75">
        <v>30.45</v>
      </c>
      <c r="K18" s="75">
        <v>113745.98</v>
      </c>
      <c r="L18" s="91" t="s">
        <v>51</v>
      </c>
      <c r="M18" s="73"/>
      <c r="N18" s="46">
        <v>3723.2</v>
      </c>
      <c r="O18" s="46">
        <v>0</v>
      </c>
      <c r="P18" s="46">
        <v>113371.44</v>
      </c>
      <c r="Q18" s="98"/>
      <c r="R18" s="23" t="s">
        <v>1387</v>
      </c>
      <c r="S18" s="24" t="s">
        <v>49</v>
      </c>
      <c r="T18" s="25" t="s">
        <v>50</v>
      </c>
      <c r="U18" s="26">
        <v>3735.5</v>
      </c>
      <c r="V18" s="26">
        <f t="shared" si="4"/>
        <v>3735.5</v>
      </c>
      <c r="W18" s="26">
        <f t="shared" si="5"/>
        <v>30.45</v>
      </c>
      <c r="X18" s="127">
        <f t="shared" si="9"/>
        <v>0</v>
      </c>
      <c r="Y18" s="127">
        <f t="shared" si="6"/>
        <v>3723.2</v>
      </c>
      <c r="Z18" s="127">
        <f t="shared" si="1"/>
        <v>0</v>
      </c>
      <c r="AA18" s="127">
        <f t="shared" si="7"/>
        <v>113371.44</v>
      </c>
      <c r="AB18" s="33" t="s">
        <v>15</v>
      </c>
      <c r="AC18" s="324"/>
      <c r="AD18" s="181">
        <f t="shared" si="2"/>
        <v>3735.5</v>
      </c>
      <c r="AE18" s="181">
        <f t="shared" si="3"/>
        <v>113745.98</v>
      </c>
      <c r="AF18" s="181">
        <v>1.1000000000000001</v>
      </c>
      <c r="AG18" s="181">
        <v>1.1000000000000001</v>
      </c>
      <c r="AH18" s="363" t="str">
        <f t="shared" si="8"/>
        <v/>
      </c>
      <c r="AI18" s="194">
        <f>2100+1623.2</f>
        <v>3723.2</v>
      </c>
      <c r="AJ18" s="188">
        <v>3735.5</v>
      </c>
      <c r="AO18" s="367"/>
      <c r="AP18" s="367"/>
      <c r="AQ18" s="367"/>
    </row>
    <row r="19" spans="1:43" s="69" customFormat="1" ht="78" x14ac:dyDescent="0.3">
      <c r="A19" s="130" t="s">
        <v>52</v>
      </c>
      <c r="B19" s="131" t="s">
        <v>53</v>
      </c>
      <c r="C19" s="132" t="s">
        <v>50</v>
      </c>
      <c r="D19" s="133">
        <v>10205</v>
      </c>
      <c r="E19" s="75"/>
      <c r="F19" s="75"/>
      <c r="G19" s="75"/>
      <c r="H19" s="75"/>
      <c r="I19" s="75"/>
      <c r="J19" s="75">
        <v>28.48</v>
      </c>
      <c r="K19" s="75">
        <v>290638.40000000002</v>
      </c>
      <c r="L19" s="91" t="s">
        <v>54</v>
      </c>
      <c r="M19" s="73"/>
      <c r="N19" s="46">
        <v>9100</v>
      </c>
      <c r="O19" s="46">
        <v>0</v>
      </c>
      <c r="P19" s="46">
        <v>259168</v>
      </c>
      <c r="Q19" s="98"/>
      <c r="R19" s="23" t="s">
        <v>1405</v>
      </c>
      <c r="S19" s="24" t="s">
        <v>53</v>
      </c>
      <c r="T19" s="25" t="s">
        <v>50</v>
      </c>
      <c r="U19" s="26">
        <v>10205</v>
      </c>
      <c r="V19" s="26">
        <f t="shared" si="4"/>
        <v>10205</v>
      </c>
      <c r="W19" s="26">
        <f t="shared" si="5"/>
        <v>28.48</v>
      </c>
      <c r="X19" s="127">
        <f t="shared" si="9"/>
        <v>0</v>
      </c>
      <c r="Y19" s="127">
        <f t="shared" si="6"/>
        <v>9100</v>
      </c>
      <c r="Z19" s="127">
        <f t="shared" si="1"/>
        <v>0</v>
      </c>
      <c r="AA19" s="127">
        <f t="shared" si="7"/>
        <v>259168</v>
      </c>
      <c r="AB19" s="33" t="s">
        <v>15</v>
      </c>
      <c r="AC19" s="324"/>
      <c r="AD19" s="181">
        <f t="shared" si="2"/>
        <v>10205</v>
      </c>
      <c r="AE19" s="181">
        <f t="shared" si="3"/>
        <v>290638.40000000002</v>
      </c>
      <c r="AF19" s="181">
        <v>1.1000000000000001</v>
      </c>
      <c r="AG19" s="181">
        <v>1.1000000000000001</v>
      </c>
      <c r="AH19" s="363" t="str">
        <f t="shared" si="8"/>
        <v/>
      </c>
      <c r="AI19" s="194">
        <f>300+2363.8+198*2.2*2+128*2.2*2+3826.6+1175.2</f>
        <v>9100</v>
      </c>
      <c r="AJ19" s="188">
        <v>10205</v>
      </c>
      <c r="AO19" s="367"/>
      <c r="AP19" s="367"/>
      <c r="AQ19" s="367"/>
    </row>
    <row r="20" spans="1:43" s="69" customFormat="1" ht="78" x14ac:dyDescent="0.3">
      <c r="A20" s="130" t="s">
        <v>55</v>
      </c>
      <c r="B20" s="131" t="s">
        <v>56</v>
      </c>
      <c r="C20" s="132" t="s">
        <v>30</v>
      </c>
      <c r="D20" s="133">
        <v>142.6</v>
      </c>
      <c r="E20" s="75"/>
      <c r="F20" s="75"/>
      <c r="G20" s="75"/>
      <c r="H20" s="75"/>
      <c r="I20" s="75"/>
      <c r="J20" s="75">
        <v>65.400000000000006</v>
      </c>
      <c r="K20" s="75">
        <v>9326.0400000000009</v>
      </c>
      <c r="L20" s="91" t="s">
        <v>57</v>
      </c>
      <c r="M20" s="73"/>
      <c r="N20" s="46">
        <v>142.19999999999999</v>
      </c>
      <c r="O20" s="46">
        <v>0</v>
      </c>
      <c r="P20" s="46">
        <v>9299.8799999999992</v>
      </c>
      <c r="Q20" s="98"/>
      <c r="R20" s="23" t="s">
        <v>1406</v>
      </c>
      <c r="S20" s="24" t="s">
        <v>56</v>
      </c>
      <c r="T20" s="25" t="s">
        <v>30</v>
      </c>
      <c r="U20" s="26">
        <v>142.6</v>
      </c>
      <c r="V20" s="26">
        <f t="shared" si="4"/>
        <v>142.6</v>
      </c>
      <c r="W20" s="26">
        <f t="shared" si="5"/>
        <v>65.400000000000006</v>
      </c>
      <c r="X20" s="127">
        <f t="shared" si="9"/>
        <v>0</v>
      </c>
      <c r="Y20" s="127">
        <f t="shared" si="6"/>
        <v>142.19999999999999</v>
      </c>
      <c r="Z20" s="127">
        <f t="shared" si="1"/>
        <v>0</v>
      </c>
      <c r="AA20" s="127">
        <f t="shared" si="7"/>
        <v>9299.8799999999992</v>
      </c>
      <c r="AB20" s="33" t="s">
        <v>15</v>
      </c>
      <c r="AC20" s="324"/>
      <c r="AD20" s="181">
        <f t="shared" si="2"/>
        <v>142.6</v>
      </c>
      <c r="AE20" s="181">
        <f t="shared" si="3"/>
        <v>9326.0400000000009</v>
      </c>
      <c r="AF20" s="181">
        <v>1.1000000000000001</v>
      </c>
      <c r="AG20" s="181">
        <v>1.1000000000000001</v>
      </c>
      <c r="AH20" s="363" t="str">
        <f t="shared" si="8"/>
        <v/>
      </c>
      <c r="AI20" s="192">
        <f>73+69.2</f>
        <v>142.19999999999999</v>
      </c>
      <c r="AJ20" s="188">
        <v>142.6</v>
      </c>
      <c r="AO20" s="367"/>
      <c r="AP20" s="367"/>
      <c r="AQ20" s="367"/>
    </row>
    <row r="21" spans="1:43" s="69" customFormat="1" ht="58.5" x14ac:dyDescent="0.3">
      <c r="A21" s="130" t="s">
        <v>58</v>
      </c>
      <c r="B21" s="131" t="s">
        <v>59</v>
      </c>
      <c r="C21" s="132" t="s">
        <v>50</v>
      </c>
      <c r="D21" s="133">
        <v>8459.2999999999993</v>
      </c>
      <c r="E21" s="75"/>
      <c r="F21" s="75"/>
      <c r="G21" s="75"/>
      <c r="H21" s="75"/>
      <c r="I21" s="75"/>
      <c r="J21" s="75">
        <v>20.190000000000001</v>
      </c>
      <c r="K21" s="75">
        <v>170793.27</v>
      </c>
      <c r="L21" s="91" t="s">
        <v>60</v>
      </c>
      <c r="M21" s="73"/>
      <c r="N21" s="46">
        <v>8459.2999999999993</v>
      </c>
      <c r="O21" s="46">
        <v>0</v>
      </c>
      <c r="P21" s="46">
        <v>170793.27</v>
      </c>
      <c r="Q21" s="98"/>
      <c r="R21" s="23" t="s">
        <v>1414</v>
      </c>
      <c r="S21" s="24" t="s">
        <v>59</v>
      </c>
      <c r="T21" s="25" t="s">
        <v>50</v>
      </c>
      <c r="U21" s="26">
        <v>8459.2999999999993</v>
      </c>
      <c r="V21" s="26">
        <f t="shared" si="4"/>
        <v>8459.2999999999993</v>
      </c>
      <c r="W21" s="26">
        <f t="shared" si="5"/>
        <v>20.190000000000001</v>
      </c>
      <c r="X21" s="127">
        <f t="shared" si="9"/>
        <v>0</v>
      </c>
      <c r="Y21" s="127">
        <f t="shared" si="6"/>
        <v>8459.2999999999993</v>
      </c>
      <c r="Z21" s="127">
        <f t="shared" si="1"/>
        <v>0</v>
      </c>
      <c r="AA21" s="127">
        <f t="shared" si="7"/>
        <v>170793.27</v>
      </c>
      <c r="AB21" s="33" t="s">
        <v>15</v>
      </c>
      <c r="AC21" s="324"/>
      <c r="AD21" s="181">
        <f t="shared" si="2"/>
        <v>8459.2999999999993</v>
      </c>
      <c r="AE21" s="181">
        <f t="shared" si="3"/>
        <v>170793.27</v>
      </c>
      <c r="AF21" s="181">
        <v>1.1000000000000001</v>
      </c>
      <c r="AG21" s="181">
        <v>1.1000000000000001</v>
      </c>
      <c r="AH21" s="363" t="str">
        <f t="shared" si="8"/>
        <v/>
      </c>
      <c r="AI21" s="194">
        <f>7834+625.3</f>
        <v>8459.2999999999993</v>
      </c>
      <c r="AJ21" s="188">
        <v>8459.2999999999993</v>
      </c>
      <c r="AO21" s="367"/>
      <c r="AP21" s="367"/>
      <c r="AQ21" s="367"/>
    </row>
    <row r="22" spans="1:43" s="69" customFormat="1" ht="39" x14ac:dyDescent="0.3">
      <c r="A22" s="55" t="s">
        <v>61</v>
      </c>
      <c r="B22" s="118" t="s">
        <v>3290</v>
      </c>
      <c r="C22" s="119" t="s">
        <v>23</v>
      </c>
      <c r="D22" s="120">
        <v>1268.9000000000001</v>
      </c>
      <c r="E22" s="75"/>
      <c r="F22" s="75"/>
      <c r="G22" s="75"/>
      <c r="H22" s="75"/>
      <c r="I22" s="75"/>
      <c r="J22" s="75">
        <v>2492.81</v>
      </c>
      <c r="K22" s="75">
        <v>3163126.61</v>
      </c>
      <c r="L22" s="91" t="s">
        <v>63</v>
      </c>
      <c r="M22" s="73"/>
      <c r="N22" s="46">
        <v>1268.9000000000001</v>
      </c>
      <c r="O22" s="46">
        <v>0</v>
      </c>
      <c r="P22" s="46">
        <v>3163126.61</v>
      </c>
      <c r="Q22" s="98"/>
      <c r="R22" s="23" t="s">
        <v>1429</v>
      </c>
      <c r="S22" s="24" t="s">
        <v>62</v>
      </c>
      <c r="T22" s="25" t="s">
        <v>23</v>
      </c>
      <c r="U22" s="26">
        <v>1268.9000000000001</v>
      </c>
      <c r="V22" s="26">
        <f t="shared" si="4"/>
        <v>1268.9000000000001</v>
      </c>
      <c r="W22" s="26">
        <f t="shared" si="5"/>
        <v>2492.81</v>
      </c>
      <c r="X22" s="127">
        <f t="shared" si="9"/>
        <v>0</v>
      </c>
      <c r="Y22" s="127">
        <f t="shared" si="6"/>
        <v>1268.9000000000001</v>
      </c>
      <c r="Z22" s="127">
        <f t="shared" si="1"/>
        <v>0</v>
      </c>
      <c r="AA22" s="127">
        <f t="shared" si="7"/>
        <v>3163126.61</v>
      </c>
      <c r="AB22" s="33" t="s">
        <v>15</v>
      </c>
      <c r="AC22" s="324"/>
      <c r="AD22" s="181">
        <f t="shared" si="2"/>
        <v>1268.9000000000001</v>
      </c>
      <c r="AE22" s="181">
        <f t="shared" si="3"/>
        <v>3163126.61</v>
      </c>
      <c r="AF22" s="181">
        <v>1.1000000000000001</v>
      </c>
      <c r="AG22" s="181">
        <v>1.1000000000000001</v>
      </c>
      <c r="AH22" s="363" t="str">
        <f t="shared" si="8"/>
        <v/>
      </c>
      <c r="AI22" s="194">
        <f>369+63+60+389.5+387.4</f>
        <v>1268.9000000000001</v>
      </c>
      <c r="AJ22" s="188">
        <v>1268.9000000000001</v>
      </c>
      <c r="AO22" s="367"/>
      <c r="AP22" s="367"/>
      <c r="AQ22" s="367"/>
    </row>
    <row r="23" spans="1:43" s="69" customFormat="1" ht="33" x14ac:dyDescent="0.3">
      <c r="A23" s="130" t="s">
        <v>64</v>
      </c>
      <c r="B23" s="131" t="s">
        <v>65</v>
      </c>
      <c r="C23" s="132" t="s">
        <v>66</v>
      </c>
      <c r="D23" s="133">
        <v>659</v>
      </c>
      <c r="E23" s="75"/>
      <c r="F23" s="75"/>
      <c r="G23" s="75"/>
      <c r="H23" s="75"/>
      <c r="I23" s="75"/>
      <c r="J23" s="75">
        <v>521.17999999999995</v>
      </c>
      <c r="K23" s="75">
        <v>343457.62</v>
      </c>
      <c r="L23" s="91" t="s">
        <v>67</v>
      </c>
      <c r="M23" s="73"/>
      <c r="N23" s="46">
        <v>659</v>
      </c>
      <c r="O23" s="46">
        <v>0</v>
      </c>
      <c r="P23" s="46">
        <v>343457.62</v>
      </c>
      <c r="Q23" s="98"/>
      <c r="R23" s="23" t="s">
        <v>1430</v>
      </c>
      <c r="S23" s="24" t="s">
        <v>65</v>
      </c>
      <c r="T23" s="25" t="s">
        <v>66</v>
      </c>
      <c r="U23" s="26">
        <v>659</v>
      </c>
      <c r="V23" s="26">
        <f t="shared" si="4"/>
        <v>659</v>
      </c>
      <c r="W23" s="26">
        <f t="shared" si="5"/>
        <v>521.17999999999995</v>
      </c>
      <c r="X23" s="127">
        <f t="shared" si="9"/>
        <v>0</v>
      </c>
      <c r="Y23" s="127">
        <f t="shared" si="6"/>
        <v>659</v>
      </c>
      <c r="Z23" s="127">
        <f t="shared" si="1"/>
        <v>0</v>
      </c>
      <c r="AA23" s="127">
        <f t="shared" si="7"/>
        <v>343457.62</v>
      </c>
      <c r="AB23" s="33" t="s">
        <v>15</v>
      </c>
      <c r="AC23" s="324"/>
      <c r="AD23" s="181">
        <f t="shared" si="2"/>
        <v>659</v>
      </c>
      <c r="AE23" s="181">
        <f t="shared" si="3"/>
        <v>343457.62</v>
      </c>
      <c r="AF23" s="181">
        <v>1.1000000000000001</v>
      </c>
      <c r="AG23" s="181">
        <v>1.1000000000000001</v>
      </c>
      <c r="AH23" s="363" t="str">
        <f t="shared" si="8"/>
        <v/>
      </c>
      <c r="AI23" s="192">
        <v>659</v>
      </c>
      <c r="AJ23" s="188">
        <v>659</v>
      </c>
      <c r="AO23" s="367"/>
      <c r="AP23" s="367"/>
      <c r="AQ23" s="367"/>
    </row>
    <row r="24" spans="1:43" s="69" customFormat="1" ht="58.5" x14ac:dyDescent="0.3">
      <c r="A24" s="130" t="s">
        <v>68</v>
      </c>
      <c r="B24" s="131" t="s">
        <v>69</v>
      </c>
      <c r="C24" s="132" t="s">
        <v>30</v>
      </c>
      <c r="D24" s="133">
        <v>253.3</v>
      </c>
      <c r="E24" s="75"/>
      <c r="F24" s="75"/>
      <c r="G24" s="75"/>
      <c r="H24" s="75"/>
      <c r="I24" s="75"/>
      <c r="J24" s="75">
        <v>289.69</v>
      </c>
      <c r="K24" s="75">
        <v>73378.48</v>
      </c>
      <c r="L24" s="91" t="s">
        <v>70</v>
      </c>
      <c r="M24" s="73"/>
      <c r="N24" s="46">
        <v>250</v>
      </c>
      <c r="O24" s="46">
        <v>0</v>
      </c>
      <c r="P24" s="46">
        <v>72422.5</v>
      </c>
      <c r="Q24" s="98"/>
      <c r="R24" s="23" t="s">
        <v>1431</v>
      </c>
      <c r="S24" s="24" t="s">
        <v>69</v>
      </c>
      <c r="T24" s="25" t="s">
        <v>30</v>
      </c>
      <c r="U24" s="26">
        <v>253.3</v>
      </c>
      <c r="V24" s="26">
        <f t="shared" si="4"/>
        <v>253.3</v>
      </c>
      <c r="W24" s="26">
        <f t="shared" si="5"/>
        <v>289.69</v>
      </c>
      <c r="X24" s="127">
        <f t="shared" si="9"/>
        <v>0</v>
      </c>
      <c r="Y24" s="127">
        <f t="shared" si="6"/>
        <v>250</v>
      </c>
      <c r="Z24" s="127">
        <f t="shared" si="1"/>
        <v>0</v>
      </c>
      <c r="AA24" s="127">
        <f t="shared" si="7"/>
        <v>72422.5</v>
      </c>
      <c r="AB24" s="33" t="s">
        <v>15</v>
      </c>
      <c r="AC24" s="324"/>
      <c r="AD24" s="181">
        <f t="shared" si="2"/>
        <v>253.3</v>
      </c>
      <c r="AE24" s="181">
        <f t="shared" si="3"/>
        <v>73378.48</v>
      </c>
      <c r="AF24" s="181">
        <v>1.1000000000000001</v>
      </c>
      <c r="AG24" s="181">
        <v>1.1000000000000001</v>
      </c>
      <c r="AH24" s="363" t="str">
        <f t="shared" si="8"/>
        <v/>
      </c>
      <c r="AI24" s="192">
        <v>250</v>
      </c>
      <c r="AJ24" s="188">
        <v>253.3</v>
      </c>
      <c r="AO24" s="367"/>
      <c r="AP24" s="367"/>
      <c r="AQ24" s="367"/>
    </row>
    <row r="25" spans="1:43" s="69" customFormat="1" ht="39" x14ac:dyDescent="0.3">
      <c r="A25" s="55" t="s">
        <v>71</v>
      </c>
      <c r="B25" s="53" t="s">
        <v>72</v>
      </c>
      <c r="C25" s="54" t="s">
        <v>73</v>
      </c>
      <c r="D25" s="75">
        <v>80</v>
      </c>
      <c r="E25" s="75"/>
      <c r="F25" s="75"/>
      <c r="G25" s="75"/>
      <c r="H25" s="75"/>
      <c r="I25" s="75"/>
      <c r="J25" s="75">
        <v>3311.45</v>
      </c>
      <c r="K25" s="75">
        <v>264916</v>
      </c>
      <c r="L25" s="91" t="s">
        <v>74</v>
      </c>
      <c r="M25" s="73"/>
      <c r="N25" s="46">
        <v>30</v>
      </c>
      <c r="O25" s="46">
        <v>0</v>
      </c>
      <c r="P25" s="46">
        <v>99343.5</v>
      </c>
      <c r="Q25" s="98"/>
      <c r="R25" s="23" t="s">
        <v>1395</v>
      </c>
      <c r="S25" s="24" t="s">
        <v>72</v>
      </c>
      <c r="T25" s="25" t="s">
        <v>73</v>
      </c>
      <c r="U25" s="26">
        <v>80</v>
      </c>
      <c r="V25" s="26">
        <f t="shared" si="4"/>
        <v>80</v>
      </c>
      <c r="W25" s="26">
        <f t="shared" si="5"/>
        <v>3311.45</v>
      </c>
      <c r="X25" s="26">
        <f t="shared" si="9"/>
        <v>0</v>
      </c>
      <c r="Y25" s="26">
        <f t="shared" si="6"/>
        <v>30</v>
      </c>
      <c r="Z25" s="26">
        <f t="shared" si="1"/>
        <v>0</v>
      </c>
      <c r="AA25" s="26">
        <f t="shared" si="7"/>
        <v>99343.5</v>
      </c>
      <c r="AB25" s="33" t="s">
        <v>15</v>
      </c>
      <c r="AC25" s="325"/>
      <c r="AD25" s="263">
        <f t="shared" si="2"/>
        <v>80</v>
      </c>
      <c r="AE25" s="263">
        <f t="shared" si="3"/>
        <v>264916</v>
      </c>
      <c r="AF25" s="263">
        <v>1.1000000000000001</v>
      </c>
      <c r="AG25" s="263">
        <v>1.1000000000000001</v>
      </c>
      <c r="AH25" s="68" t="str">
        <f t="shared" si="8"/>
        <v/>
      </c>
      <c r="AI25" s="192">
        <f>30</f>
        <v>30</v>
      </c>
      <c r="AJ25" s="188">
        <v>80</v>
      </c>
      <c r="AO25" s="367"/>
      <c r="AP25" s="367"/>
      <c r="AQ25" s="367"/>
    </row>
    <row r="26" spans="1:43" s="69" customFormat="1" ht="39" x14ac:dyDescent="0.3">
      <c r="A26" s="55" t="s">
        <v>75</v>
      </c>
      <c r="B26" s="118" t="s">
        <v>76</v>
      </c>
      <c r="C26" s="119" t="s">
        <v>77</v>
      </c>
      <c r="D26" s="120">
        <v>1278</v>
      </c>
      <c r="E26" s="75"/>
      <c r="F26" s="75"/>
      <c r="G26" s="75"/>
      <c r="H26" s="75"/>
      <c r="I26" s="75"/>
      <c r="J26" s="75">
        <v>3082.28</v>
      </c>
      <c r="K26" s="75">
        <v>3939153.84</v>
      </c>
      <c r="L26" s="91" t="s">
        <v>78</v>
      </c>
      <c r="M26" s="73"/>
      <c r="N26" s="46">
        <v>1153</v>
      </c>
      <c r="O26" s="46">
        <v>0</v>
      </c>
      <c r="P26" s="46">
        <v>3553868.84</v>
      </c>
      <c r="Q26" s="98"/>
      <c r="R26" s="23" t="s">
        <v>1432</v>
      </c>
      <c r="S26" s="24" t="s">
        <v>76</v>
      </c>
      <c r="T26" s="25" t="s">
        <v>77</v>
      </c>
      <c r="U26" s="26">
        <v>1278</v>
      </c>
      <c r="V26" s="26">
        <f t="shared" si="4"/>
        <v>1278</v>
      </c>
      <c r="W26" s="26">
        <f t="shared" si="5"/>
        <v>3082.28</v>
      </c>
      <c r="X26" s="128">
        <f t="shared" si="9"/>
        <v>0</v>
      </c>
      <c r="Y26" s="121">
        <f t="shared" si="6"/>
        <v>1153</v>
      </c>
      <c r="Z26" s="26">
        <f t="shared" si="1"/>
        <v>0</v>
      </c>
      <c r="AA26" s="26">
        <f t="shared" si="7"/>
        <v>3553868.84</v>
      </c>
      <c r="AB26" s="33" t="s">
        <v>15</v>
      </c>
      <c r="AC26" s="324"/>
      <c r="AD26" s="181">
        <f t="shared" si="2"/>
        <v>1278</v>
      </c>
      <c r="AE26" s="181">
        <f t="shared" si="3"/>
        <v>3939153.84</v>
      </c>
      <c r="AF26" s="181">
        <v>1.1000000000000001</v>
      </c>
      <c r="AG26" s="181">
        <v>1.1000000000000001</v>
      </c>
      <c r="AH26" s="363" t="str">
        <f t="shared" si="8"/>
        <v/>
      </c>
      <c r="AI26" s="192">
        <v>1153</v>
      </c>
      <c r="AJ26" s="188">
        <v>1278</v>
      </c>
      <c r="AO26" s="367"/>
      <c r="AP26" s="367"/>
      <c r="AQ26" s="367"/>
    </row>
    <row r="27" spans="1:43" s="69" customFormat="1" x14ac:dyDescent="0.3">
      <c r="A27" s="55" t="s">
        <v>79</v>
      </c>
      <c r="B27" s="53" t="s">
        <v>80</v>
      </c>
      <c r="C27" s="54" t="s">
        <v>81</v>
      </c>
      <c r="D27" s="75">
        <v>30</v>
      </c>
      <c r="E27" s="75"/>
      <c r="F27" s="75"/>
      <c r="G27" s="75"/>
      <c r="H27" s="75"/>
      <c r="I27" s="75"/>
      <c r="J27" s="75">
        <v>1200</v>
      </c>
      <c r="K27" s="75">
        <v>36000</v>
      </c>
      <c r="L27" s="91" t="s">
        <v>82</v>
      </c>
      <c r="M27" s="73"/>
      <c r="N27" s="46">
        <v>0</v>
      </c>
      <c r="O27" s="46">
        <v>0</v>
      </c>
      <c r="P27" s="46">
        <v>0</v>
      </c>
      <c r="Q27" s="98"/>
      <c r="R27" s="23" t="s">
        <v>1433</v>
      </c>
      <c r="S27" s="24" t="s">
        <v>80</v>
      </c>
      <c r="T27" s="25" t="s">
        <v>81</v>
      </c>
      <c r="U27" s="26">
        <v>30</v>
      </c>
      <c r="V27" s="26">
        <f t="shared" si="4"/>
        <v>30</v>
      </c>
      <c r="W27" s="26">
        <f t="shared" si="5"/>
        <v>1200</v>
      </c>
      <c r="X27" s="26">
        <f t="shared" si="9"/>
        <v>0</v>
      </c>
      <c r="Y27" s="26">
        <f t="shared" si="6"/>
        <v>0</v>
      </c>
      <c r="Z27" s="26">
        <f t="shared" si="1"/>
        <v>0</v>
      </c>
      <c r="AA27" s="26">
        <f t="shared" si="7"/>
        <v>0</v>
      </c>
      <c r="AB27" s="33" t="s">
        <v>15</v>
      </c>
      <c r="AC27" s="324"/>
      <c r="AD27" s="181">
        <f t="shared" si="2"/>
        <v>30</v>
      </c>
      <c r="AE27" s="181">
        <f t="shared" si="3"/>
        <v>36000</v>
      </c>
      <c r="AF27" s="181">
        <v>1.1000000000000001</v>
      </c>
      <c r="AG27" s="181">
        <v>1.1000000000000001</v>
      </c>
      <c r="AH27" s="363" t="str">
        <f t="shared" si="8"/>
        <v/>
      </c>
      <c r="AI27" s="192">
        <v>0</v>
      </c>
      <c r="AJ27" s="188">
        <v>30</v>
      </c>
      <c r="AO27" s="367"/>
      <c r="AP27" s="367"/>
      <c r="AQ27" s="367"/>
    </row>
    <row r="28" spans="1:43" s="69" customFormat="1" x14ac:dyDescent="0.3">
      <c r="A28" s="130" t="s">
        <v>83</v>
      </c>
      <c r="B28" s="131" t="s">
        <v>84</v>
      </c>
      <c r="C28" s="132" t="s">
        <v>81</v>
      </c>
      <c r="D28" s="133">
        <v>12</v>
      </c>
      <c r="E28" s="75"/>
      <c r="F28" s="75"/>
      <c r="G28" s="75"/>
      <c r="H28" s="75"/>
      <c r="I28" s="75"/>
      <c r="J28" s="75">
        <v>3000</v>
      </c>
      <c r="K28" s="75">
        <v>36000</v>
      </c>
      <c r="L28" s="91" t="s">
        <v>85</v>
      </c>
      <c r="M28" s="73"/>
      <c r="N28" s="46">
        <v>12</v>
      </c>
      <c r="O28" s="46">
        <v>0</v>
      </c>
      <c r="P28" s="46">
        <v>36000</v>
      </c>
      <c r="Q28" s="98"/>
      <c r="R28" s="23" t="s">
        <v>1382</v>
      </c>
      <c r="S28" s="24" t="s">
        <v>84</v>
      </c>
      <c r="T28" s="25" t="s">
        <v>81</v>
      </c>
      <c r="U28" s="26">
        <v>12</v>
      </c>
      <c r="V28" s="26">
        <f t="shared" si="4"/>
        <v>12</v>
      </c>
      <c r="W28" s="26">
        <f t="shared" si="5"/>
        <v>3000</v>
      </c>
      <c r="X28" s="127">
        <f t="shared" si="9"/>
        <v>0</v>
      </c>
      <c r="Y28" s="127">
        <f t="shared" si="6"/>
        <v>12</v>
      </c>
      <c r="Z28" s="127">
        <f t="shared" si="1"/>
        <v>0</v>
      </c>
      <c r="AA28" s="127">
        <f t="shared" si="7"/>
        <v>36000</v>
      </c>
      <c r="AB28" s="33" t="s">
        <v>15</v>
      </c>
      <c r="AC28" s="324"/>
      <c r="AD28" s="181">
        <f t="shared" si="2"/>
        <v>12</v>
      </c>
      <c r="AE28" s="181">
        <f t="shared" si="3"/>
        <v>36000</v>
      </c>
      <c r="AF28" s="181">
        <v>1.1000000000000001</v>
      </c>
      <c r="AG28" s="181">
        <v>1.1000000000000001</v>
      </c>
      <c r="AH28" s="363" t="str">
        <f t="shared" si="8"/>
        <v/>
      </c>
      <c r="AI28" s="192">
        <v>12</v>
      </c>
      <c r="AJ28" s="188">
        <v>12</v>
      </c>
      <c r="AO28" s="367"/>
      <c r="AP28" s="367"/>
      <c r="AQ28" s="367"/>
    </row>
    <row r="29" spans="1:43" s="69" customFormat="1" x14ac:dyDescent="0.3">
      <c r="A29" s="130" t="s">
        <v>86</v>
      </c>
      <c r="B29" s="131" t="s">
        <v>87</v>
      </c>
      <c r="C29" s="132" t="s">
        <v>81</v>
      </c>
      <c r="D29" s="133">
        <v>20</v>
      </c>
      <c r="E29" s="75"/>
      <c r="F29" s="75"/>
      <c r="G29" s="75"/>
      <c r="H29" s="75"/>
      <c r="I29" s="75"/>
      <c r="J29" s="75">
        <v>3000</v>
      </c>
      <c r="K29" s="75">
        <v>60000</v>
      </c>
      <c r="L29" s="91" t="s">
        <v>88</v>
      </c>
      <c r="M29" s="73"/>
      <c r="N29" s="46">
        <v>20</v>
      </c>
      <c r="O29" s="46">
        <v>0</v>
      </c>
      <c r="P29" s="46">
        <v>60000</v>
      </c>
      <c r="Q29" s="98"/>
      <c r="R29" s="23" t="s">
        <v>1434</v>
      </c>
      <c r="S29" s="24" t="s">
        <v>87</v>
      </c>
      <c r="T29" s="25" t="s">
        <v>81</v>
      </c>
      <c r="U29" s="26">
        <v>20</v>
      </c>
      <c r="V29" s="26">
        <f t="shared" si="4"/>
        <v>20</v>
      </c>
      <c r="W29" s="26">
        <f t="shared" si="5"/>
        <v>3000</v>
      </c>
      <c r="X29" s="127">
        <f t="shared" si="9"/>
        <v>0</v>
      </c>
      <c r="Y29" s="127">
        <f t="shared" si="6"/>
        <v>20</v>
      </c>
      <c r="Z29" s="127">
        <f t="shared" si="1"/>
        <v>0</v>
      </c>
      <c r="AA29" s="127">
        <f t="shared" si="7"/>
        <v>60000</v>
      </c>
      <c r="AB29" s="33" t="s">
        <v>15</v>
      </c>
      <c r="AC29" s="324"/>
      <c r="AD29" s="181">
        <f t="shared" si="2"/>
        <v>20</v>
      </c>
      <c r="AE29" s="181">
        <f t="shared" si="3"/>
        <v>60000</v>
      </c>
      <c r="AF29" s="181">
        <v>1.1000000000000001</v>
      </c>
      <c r="AG29" s="181">
        <v>1.1000000000000001</v>
      </c>
      <c r="AH29" s="363" t="str">
        <f t="shared" si="8"/>
        <v/>
      </c>
      <c r="AI29" s="192">
        <v>20</v>
      </c>
      <c r="AJ29" s="188">
        <v>20</v>
      </c>
      <c r="AO29" s="367"/>
      <c r="AP29" s="367"/>
      <c r="AQ29" s="367"/>
    </row>
    <row r="30" spans="1:43" s="69" customFormat="1" x14ac:dyDescent="0.3">
      <c r="A30" s="130" t="s">
        <v>89</v>
      </c>
      <c r="B30" s="131" t="s">
        <v>90</v>
      </c>
      <c r="C30" s="132" t="s">
        <v>81</v>
      </c>
      <c r="D30" s="133">
        <v>19</v>
      </c>
      <c r="E30" s="75"/>
      <c r="F30" s="75"/>
      <c r="G30" s="75"/>
      <c r="H30" s="75"/>
      <c r="I30" s="75"/>
      <c r="J30" s="75">
        <v>3000</v>
      </c>
      <c r="K30" s="75">
        <v>57000</v>
      </c>
      <c r="L30" s="91" t="s">
        <v>91</v>
      </c>
      <c r="M30" s="73"/>
      <c r="N30" s="46">
        <v>16</v>
      </c>
      <c r="O30" s="46">
        <v>0</v>
      </c>
      <c r="P30" s="46">
        <v>48000</v>
      </c>
      <c r="Q30" s="98"/>
      <c r="R30" s="23" t="s">
        <v>1388</v>
      </c>
      <c r="S30" s="24" t="s">
        <v>90</v>
      </c>
      <c r="T30" s="25" t="s">
        <v>81</v>
      </c>
      <c r="U30" s="26">
        <v>19</v>
      </c>
      <c r="V30" s="26">
        <f t="shared" si="4"/>
        <v>19</v>
      </c>
      <c r="W30" s="26">
        <f t="shared" si="5"/>
        <v>3000</v>
      </c>
      <c r="X30" s="127">
        <f t="shared" si="9"/>
        <v>0</v>
      </c>
      <c r="Y30" s="127">
        <f t="shared" si="6"/>
        <v>16</v>
      </c>
      <c r="Z30" s="127">
        <f t="shared" si="1"/>
        <v>0</v>
      </c>
      <c r="AA30" s="127">
        <f t="shared" si="7"/>
        <v>48000</v>
      </c>
      <c r="AB30" s="33" t="s">
        <v>15</v>
      </c>
      <c r="AC30" s="324"/>
      <c r="AD30" s="181">
        <f t="shared" si="2"/>
        <v>19</v>
      </c>
      <c r="AE30" s="181">
        <f t="shared" si="3"/>
        <v>57000</v>
      </c>
      <c r="AF30" s="181">
        <v>1.1000000000000001</v>
      </c>
      <c r="AG30" s="181">
        <v>1.1000000000000001</v>
      </c>
      <c r="AH30" s="363" t="str">
        <f t="shared" si="8"/>
        <v/>
      </c>
      <c r="AI30" s="194">
        <v>16</v>
      </c>
      <c r="AJ30" s="188">
        <v>19</v>
      </c>
      <c r="AO30" s="367"/>
      <c r="AP30" s="367"/>
      <c r="AQ30" s="367"/>
    </row>
    <row r="31" spans="1:43" s="69" customFormat="1" ht="39" x14ac:dyDescent="0.3">
      <c r="A31" s="130" t="s">
        <v>92</v>
      </c>
      <c r="B31" s="131" t="s">
        <v>93</v>
      </c>
      <c r="C31" s="132" t="s">
        <v>14</v>
      </c>
      <c r="D31" s="133">
        <v>1</v>
      </c>
      <c r="E31" s="75"/>
      <c r="F31" s="75"/>
      <c r="G31" s="75"/>
      <c r="H31" s="75"/>
      <c r="I31" s="75"/>
      <c r="J31" s="75">
        <v>400000</v>
      </c>
      <c r="K31" s="75">
        <v>400000</v>
      </c>
      <c r="L31" s="91" t="s">
        <v>94</v>
      </c>
      <c r="M31" s="73"/>
      <c r="N31" s="46">
        <v>1</v>
      </c>
      <c r="O31" s="46">
        <v>0</v>
      </c>
      <c r="P31" s="46">
        <v>400000</v>
      </c>
      <c r="Q31" s="98"/>
      <c r="R31" s="23" t="s">
        <v>1389</v>
      </c>
      <c r="S31" s="24" t="s">
        <v>93</v>
      </c>
      <c r="T31" s="25" t="s">
        <v>14</v>
      </c>
      <c r="U31" s="26">
        <v>1</v>
      </c>
      <c r="V31" s="26">
        <f t="shared" si="4"/>
        <v>1</v>
      </c>
      <c r="W31" s="26">
        <f t="shared" si="5"/>
        <v>400000</v>
      </c>
      <c r="X31" s="127">
        <f t="shared" si="9"/>
        <v>0</v>
      </c>
      <c r="Y31" s="127">
        <f t="shared" si="6"/>
        <v>1</v>
      </c>
      <c r="Z31" s="127">
        <f t="shared" si="1"/>
        <v>0</v>
      </c>
      <c r="AA31" s="127">
        <f t="shared" si="7"/>
        <v>400000</v>
      </c>
      <c r="AB31" s="33" t="s">
        <v>15</v>
      </c>
      <c r="AC31" s="324"/>
      <c r="AD31" s="181">
        <f t="shared" si="2"/>
        <v>1</v>
      </c>
      <c r="AE31" s="181">
        <f t="shared" si="3"/>
        <v>400000</v>
      </c>
      <c r="AF31" s="181">
        <v>1.1000000000000001</v>
      </c>
      <c r="AG31" s="181">
        <v>1.1000000000000001</v>
      </c>
      <c r="AH31" s="363" t="str">
        <f t="shared" si="8"/>
        <v/>
      </c>
      <c r="AI31" s="192">
        <f>0.5+0.5</f>
        <v>1</v>
      </c>
      <c r="AJ31" s="188">
        <v>1</v>
      </c>
      <c r="AO31" s="367"/>
      <c r="AP31" s="367"/>
      <c r="AQ31" s="367"/>
    </row>
    <row r="32" spans="1:43" s="69" customFormat="1" ht="54" customHeight="1" x14ac:dyDescent="0.3">
      <c r="A32" s="55" t="s">
        <v>95</v>
      </c>
      <c r="B32" s="138" t="s">
        <v>96</v>
      </c>
      <c r="C32" s="56" t="s">
        <v>97</v>
      </c>
      <c r="D32" s="336">
        <v>30800</v>
      </c>
      <c r="E32" s="76"/>
      <c r="F32" s="76"/>
      <c r="G32" s="76"/>
      <c r="H32" s="76"/>
      <c r="I32" s="329">
        <v>25200</v>
      </c>
      <c r="J32" s="75">
        <v>280</v>
      </c>
      <c r="K32" s="75">
        <v>7056000</v>
      </c>
      <c r="L32" s="91" t="s">
        <v>3160</v>
      </c>
      <c r="M32" s="73"/>
      <c r="N32" s="46">
        <v>20362</v>
      </c>
      <c r="O32" s="46">
        <v>0</v>
      </c>
      <c r="P32" s="46">
        <v>5701360</v>
      </c>
      <c r="Q32" s="98"/>
      <c r="R32" s="23" t="s">
        <v>1390</v>
      </c>
      <c r="S32" s="24" t="s">
        <v>96</v>
      </c>
      <c r="T32" s="25" t="s">
        <v>97</v>
      </c>
      <c r="U32" s="26">
        <v>30800</v>
      </c>
      <c r="V32" s="26">
        <f t="shared" si="4"/>
        <v>25200</v>
      </c>
      <c r="W32" s="26">
        <f t="shared" si="5"/>
        <v>280</v>
      </c>
      <c r="X32" s="128">
        <f t="shared" si="9"/>
        <v>0</v>
      </c>
      <c r="Y32" s="26">
        <f t="shared" si="6"/>
        <v>20362</v>
      </c>
      <c r="Z32" s="26">
        <f t="shared" si="1"/>
        <v>0</v>
      </c>
      <c r="AA32" s="26">
        <f t="shared" si="7"/>
        <v>5701360</v>
      </c>
      <c r="AB32" s="33" t="s">
        <v>15</v>
      </c>
      <c r="AC32" s="325"/>
      <c r="AD32" s="263">
        <f t="shared" si="2"/>
        <v>25200</v>
      </c>
      <c r="AE32" s="263">
        <f t="shared" si="3"/>
        <v>7056000</v>
      </c>
      <c r="AF32" s="263">
        <v>1.1000000000000001</v>
      </c>
      <c r="AG32" s="263">
        <v>1.1000000000000001</v>
      </c>
      <c r="AH32" s="68" t="str">
        <f t="shared" si="8"/>
        <v/>
      </c>
      <c r="AI32" s="194">
        <f>13162+1120+1160+1620+1962+882+456</f>
        <v>20362</v>
      </c>
      <c r="AJ32" s="190">
        <v>25200</v>
      </c>
      <c r="AO32" s="367"/>
      <c r="AP32" s="367"/>
      <c r="AQ32" s="367"/>
    </row>
    <row r="33" spans="1:43" s="69" customFormat="1" ht="58.5" x14ac:dyDescent="0.3">
      <c r="A33" s="134" t="s">
        <v>1302</v>
      </c>
      <c r="B33" s="135" t="s">
        <v>1303</v>
      </c>
      <c r="C33" s="204" t="s">
        <v>50</v>
      </c>
      <c r="D33" s="216"/>
      <c r="E33" s="117">
        <v>2405</v>
      </c>
      <c r="F33" s="59"/>
      <c r="G33" s="59"/>
      <c r="H33" s="59"/>
      <c r="I33" s="330"/>
      <c r="J33" s="58">
        <v>70.23</v>
      </c>
      <c r="K33" s="59">
        <v>168903.15</v>
      </c>
      <c r="L33" s="92"/>
      <c r="M33" s="73"/>
      <c r="N33" s="46">
        <v>2405</v>
      </c>
      <c r="O33" s="46">
        <v>0</v>
      </c>
      <c r="P33" s="46">
        <v>168903.15</v>
      </c>
      <c r="Q33" s="98"/>
      <c r="R33" s="23" t="s">
        <v>1391</v>
      </c>
      <c r="S33" s="24" t="s">
        <v>1435</v>
      </c>
      <c r="T33" s="25" t="s">
        <v>50</v>
      </c>
      <c r="U33" s="26">
        <v>0</v>
      </c>
      <c r="V33" s="26">
        <f t="shared" si="4"/>
        <v>2405</v>
      </c>
      <c r="W33" s="26">
        <f t="shared" si="5"/>
        <v>70.23</v>
      </c>
      <c r="X33" s="127">
        <f t="shared" si="9"/>
        <v>0</v>
      </c>
      <c r="Y33" s="127">
        <f t="shared" si="6"/>
        <v>2405</v>
      </c>
      <c r="Z33" s="127">
        <f t="shared" si="1"/>
        <v>0</v>
      </c>
      <c r="AA33" s="127">
        <f t="shared" si="7"/>
        <v>168903.15</v>
      </c>
      <c r="AB33" s="27" t="s">
        <v>15</v>
      </c>
      <c r="AC33" s="324"/>
      <c r="AD33" s="181">
        <f t="shared" si="2"/>
        <v>2405</v>
      </c>
      <c r="AE33" s="181">
        <f t="shared" si="3"/>
        <v>168903.15</v>
      </c>
      <c r="AF33" s="181">
        <v>1.1000000000000001</v>
      </c>
      <c r="AG33" s="181">
        <v>1.1000000000000001</v>
      </c>
      <c r="AH33" s="363" t="str">
        <f t="shared" si="8"/>
        <v/>
      </c>
      <c r="AI33" s="192">
        <v>2405</v>
      </c>
      <c r="AJ33" s="188">
        <v>2405</v>
      </c>
      <c r="AN33" s="68"/>
      <c r="AO33" s="368"/>
      <c r="AP33" s="367"/>
      <c r="AQ33" s="367"/>
    </row>
    <row r="34" spans="1:43" x14ac:dyDescent="0.3">
      <c r="A34" s="67" t="s">
        <v>1304</v>
      </c>
      <c r="B34" s="60" t="s">
        <v>1305</v>
      </c>
      <c r="C34" s="61" t="s">
        <v>1358</v>
      </c>
      <c r="D34" s="62"/>
      <c r="E34" s="63"/>
      <c r="F34" s="62">
        <v>150</v>
      </c>
      <c r="G34" s="62"/>
      <c r="H34" s="62"/>
      <c r="I34" s="331"/>
      <c r="J34" s="61">
        <v>20000</v>
      </c>
      <c r="K34" s="62">
        <v>3000000</v>
      </c>
      <c r="L34" s="93"/>
      <c r="N34" s="46">
        <v>136</v>
      </c>
      <c r="O34" s="46">
        <v>0</v>
      </c>
      <c r="P34" s="46">
        <v>2720000</v>
      </c>
      <c r="Q34" s="98"/>
      <c r="R34" s="23" t="s">
        <v>1436</v>
      </c>
      <c r="S34" s="24" t="s">
        <v>1437</v>
      </c>
      <c r="T34" s="25" t="s">
        <v>1358</v>
      </c>
      <c r="U34" s="26">
        <v>0</v>
      </c>
      <c r="V34" s="26">
        <f t="shared" si="4"/>
        <v>150</v>
      </c>
      <c r="W34" s="26">
        <f t="shared" si="5"/>
        <v>20000</v>
      </c>
      <c r="X34" s="128">
        <f t="shared" si="9"/>
        <v>0</v>
      </c>
      <c r="Y34" s="26">
        <f t="shared" si="6"/>
        <v>136</v>
      </c>
      <c r="Z34" s="26">
        <f t="shared" si="1"/>
        <v>0</v>
      </c>
      <c r="AA34" s="26">
        <f t="shared" si="7"/>
        <v>2720000</v>
      </c>
      <c r="AB34" s="27"/>
      <c r="AC34" s="325"/>
      <c r="AD34" s="263">
        <f t="shared" si="2"/>
        <v>150</v>
      </c>
      <c r="AE34" s="263">
        <f t="shared" si="3"/>
        <v>3000000</v>
      </c>
      <c r="AF34" s="263">
        <v>1.1000000000000001</v>
      </c>
      <c r="AG34" s="263">
        <v>1.1000000000000001</v>
      </c>
      <c r="AH34" s="68" t="str">
        <f t="shared" si="8"/>
        <v/>
      </c>
      <c r="AI34" s="194">
        <v>136</v>
      </c>
      <c r="AJ34" s="188">
        <v>150</v>
      </c>
      <c r="AN34" s="70"/>
      <c r="AO34" s="367"/>
      <c r="AP34" s="367"/>
      <c r="AQ34" s="367"/>
    </row>
    <row r="35" spans="1:43" ht="42" customHeight="1" x14ac:dyDescent="0.3">
      <c r="A35" s="134" t="s">
        <v>1306</v>
      </c>
      <c r="B35" s="335" t="s">
        <v>1307</v>
      </c>
      <c r="C35" s="204" t="s">
        <v>50</v>
      </c>
      <c r="D35" s="216"/>
      <c r="E35" s="63"/>
      <c r="F35" s="62">
        <v>138.05000000000001</v>
      </c>
      <c r="G35" s="62"/>
      <c r="H35" s="62"/>
      <c r="I35" s="346">
        <v>246.03</v>
      </c>
      <c r="J35" s="61">
        <v>165.22</v>
      </c>
      <c r="K35" s="62">
        <v>40649.08</v>
      </c>
      <c r="L35" s="93"/>
      <c r="N35" s="46">
        <v>246.02</v>
      </c>
      <c r="O35" s="46">
        <v>0</v>
      </c>
      <c r="P35" s="46">
        <v>40647.42</v>
      </c>
      <c r="Q35" s="98"/>
      <c r="R35" s="23" t="s">
        <v>1374</v>
      </c>
      <c r="S35" s="24" t="s">
        <v>1375</v>
      </c>
      <c r="T35" s="25" t="s">
        <v>50</v>
      </c>
      <c r="U35" s="26">
        <v>0</v>
      </c>
      <c r="V35" s="26">
        <f t="shared" si="4"/>
        <v>246.03</v>
      </c>
      <c r="W35" s="26">
        <f t="shared" si="5"/>
        <v>165.22</v>
      </c>
      <c r="X35" s="127">
        <f t="shared" si="9"/>
        <v>0</v>
      </c>
      <c r="Y35" s="127">
        <f t="shared" si="6"/>
        <v>246.02</v>
      </c>
      <c r="Z35" s="127">
        <f t="shared" si="1"/>
        <v>0</v>
      </c>
      <c r="AA35" s="127">
        <f t="shared" si="7"/>
        <v>40647.42</v>
      </c>
      <c r="AB35" s="27"/>
      <c r="AC35" s="324"/>
      <c r="AD35" s="181">
        <f t="shared" si="2"/>
        <v>246.03</v>
      </c>
      <c r="AE35" s="181">
        <f t="shared" si="3"/>
        <v>40649.08</v>
      </c>
      <c r="AF35" s="181">
        <v>1.1000000000000001</v>
      </c>
      <c r="AG35" s="181">
        <v>1.1000000000000001</v>
      </c>
      <c r="AH35" s="363" t="str">
        <f t="shared" si="8"/>
        <v/>
      </c>
      <c r="AI35" s="194">
        <v>246.02</v>
      </c>
      <c r="AJ35" s="190">
        <v>246.03</v>
      </c>
      <c r="AN35" s="70"/>
      <c r="AO35" s="367"/>
      <c r="AP35" s="367"/>
      <c r="AQ35" s="367"/>
    </row>
    <row r="36" spans="1:43" ht="39" x14ac:dyDescent="0.3">
      <c r="A36" s="134" t="s">
        <v>1308</v>
      </c>
      <c r="B36" s="217" t="s">
        <v>1309</v>
      </c>
      <c r="C36" s="204" t="s">
        <v>34</v>
      </c>
      <c r="D36" s="216"/>
      <c r="E36" s="63"/>
      <c r="F36" s="116">
        <v>2000</v>
      </c>
      <c r="G36" s="62"/>
      <c r="H36" s="62"/>
      <c r="I36" s="331"/>
      <c r="J36" s="61">
        <v>100</v>
      </c>
      <c r="K36" s="62">
        <v>200000</v>
      </c>
      <c r="L36" s="93"/>
      <c r="N36" s="46">
        <v>2000</v>
      </c>
      <c r="O36" s="46">
        <v>0</v>
      </c>
      <c r="P36" s="46">
        <v>200000</v>
      </c>
      <c r="Q36" s="98"/>
      <c r="R36" s="23" t="s">
        <v>1376</v>
      </c>
      <c r="S36" s="24" t="s">
        <v>1377</v>
      </c>
      <c r="T36" s="25" t="s">
        <v>34</v>
      </c>
      <c r="U36" s="26">
        <v>0</v>
      </c>
      <c r="V36" s="26">
        <f t="shared" si="4"/>
        <v>2000</v>
      </c>
      <c r="W36" s="26">
        <f t="shared" si="5"/>
        <v>100</v>
      </c>
      <c r="X36" s="127">
        <f t="shared" si="9"/>
        <v>0</v>
      </c>
      <c r="Y36" s="127">
        <f t="shared" si="6"/>
        <v>2000</v>
      </c>
      <c r="Z36" s="127">
        <f t="shared" si="1"/>
        <v>0</v>
      </c>
      <c r="AA36" s="127">
        <f t="shared" si="7"/>
        <v>200000</v>
      </c>
      <c r="AB36" s="27"/>
      <c r="AC36" s="324"/>
      <c r="AD36" s="181">
        <f t="shared" si="2"/>
        <v>2000</v>
      </c>
      <c r="AE36" s="181">
        <f t="shared" si="3"/>
        <v>200000</v>
      </c>
      <c r="AF36" s="181">
        <v>1.1000000000000001</v>
      </c>
      <c r="AG36" s="181">
        <v>1.1000000000000001</v>
      </c>
      <c r="AH36" s="363" t="str">
        <f t="shared" si="8"/>
        <v/>
      </c>
      <c r="AI36" s="192">
        <v>2000</v>
      </c>
      <c r="AJ36" s="188">
        <v>2000</v>
      </c>
      <c r="AN36" s="70"/>
      <c r="AO36" s="367"/>
      <c r="AP36" s="367"/>
      <c r="AQ36" s="367"/>
    </row>
    <row r="37" spans="1:43" x14ac:dyDescent="0.3">
      <c r="A37" s="144" t="s">
        <v>1310</v>
      </c>
      <c r="B37" s="269" t="s">
        <v>1311</v>
      </c>
      <c r="C37" s="206" t="s">
        <v>50</v>
      </c>
      <c r="D37" s="270"/>
      <c r="E37" s="271"/>
      <c r="F37" s="300">
        <v>3324.02</v>
      </c>
      <c r="G37" s="148"/>
      <c r="H37" s="148"/>
      <c r="I37" s="332"/>
      <c r="J37" s="146">
        <v>33.35</v>
      </c>
      <c r="K37" s="148">
        <v>110856.07</v>
      </c>
      <c r="L37" s="149"/>
      <c r="N37" s="46">
        <v>3324.02</v>
      </c>
      <c r="O37" s="46">
        <v>0</v>
      </c>
      <c r="P37" s="46">
        <v>110856.07</v>
      </c>
      <c r="Q37" s="98"/>
      <c r="R37" s="23" t="s">
        <v>1378</v>
      </c>
      <c r="S37" s="24" t="s">
        <v>1379</v>
      </c>
      <c r="T37" s="25" t="s">
        <v>50</v>
      </c>
      <c r="U37" s="26">
        <v>0</v>
      </c>
      <c r="V37" s="26">
        <f t="shared" si="4"/>
        <v>3324.02</v>
      </c>
      <c r="W37" s="26">
        <f t="shared" si="5"/>
        <v>33.35</v>
      </c>
      <c r="X37" s="127">
        <f t="shared" si="9"/>
        <v>0</v>
      </c>
      <c r="Y37" s="127">
        <f t="shared" si="6"/>
        <v>3324.02</v>
      </c>
      <c r="Z37" s="127">
        <f t="shared" si="1"/>
        <v>0</v>
      </c>
      <c r="AA37" s="127">
        <f t="shared" si="7"/>
        <v>110856.07</v>
      </c>
      <c r="AB37" s="27"/>
      <c r="AC37" s="324"/>
      <c r="AD37" s="181">
        <f t="shared" si="2"/>
        <v>3324.02</v>
      </c>
      <c r="AE37" s="181">
        <f t="shared" si="3"/>
        <v>110856.07</v>
      </c>
      <c r="AF37" s="181">
        <v>1.1000000000000001</v>
      </c>
      <c r="AG37" s="181">
        <v>1.1000000000000001</v>
      </c>
      <c r="AH37" s="363" t="str">
        <f t="shared" si="8"/>
        <v/>
      </c>
      <c r="AI37" s="192">
        <v>3324.02</v>
      </c>
      <c r="AJ37" s="188">
        <v>3324.02</v>
      </c>
      <c r="AN37" s="369"/>
      <c r="AO37" s="368"/>
      <c r="AP37" s="367"/>
      <c r="AQ37" s="367"/>
    </row>
    <row r="38" spans="1:43" s="282" customFormat="1" ht="64.5" customHeight="1" x14ac:dyDescent="0.3">
      <c r="A38" s="272" t="s">
        <v>3163</v>
      </c>
      <c r="B38" s="273" t="s">
        <v>3165</v>
      </c>
      <c r="C38" s="274" t="s">
        <v>97</v>
      </c>
      <c r="D38" s="275"/>
      <c r="E38" s="276"/>
      <c r="F38" s="275"/>
      <c r="G38" s="275"/>
      <c r="H38" s="275"/>
      <c r="I38" s="333">
        <v>5600</v>
      </c>
      <c r="J38" s="274">
        <v>350</v>
      </c>
      <c r="K38" s="275">
        <v>1960000</v>
      </c>
      <c r="L38" s="277"/>
      <c r="M38" s="278"/>
      <c r="N38" s="42">
        <v>0</v>
      </c>
      <c r="O38" s="42">
        <v>0</v>
      </c>
      <c r="P38" s="42">
        <v>0</v>
      </c>
      <c r="Q38" s="98"/>
      <c r="R38" s="13" t="s">
        <v>3225</v>
      </c>
      <c r="S38" s="286" t="str">
        <f t="shared" ref="S38:T39" si="10">B38</f>
        <v>交通維持，道路管制人員，夜間(22-06時)，義交</v>
      </c>
      <c r="T38" s="287" t="str">
        <f t="shared" si="10"/>
        <v>時</v>
      </c>
      <c r="U38" s="16"/>
      <c r="V38" s="16">
        <f t="shared" si="4"/>
        <v>5600</v>
      </c>
      <c r="W38" s="16">
        <f t="shared" si="5"/>
        <v>350</v>
      </c>
      <c r="X38" s="373">
        <f t="shared" si="9"/>
        <v>0</v>
      </c>
      <c r="Y38" s="16">
        <f t="shared" si="6"/>
        <v>0</v>
      </c>
      <c r="Z38" s="16">
        <f t="shared" si="1"/>
        <v>0</v>
      </c>
      <c r="AA38" s="16">
        <f t="shared" si="7"/>
        <v>0</v>
      </c>
      <c r="AB38" s="279"/>
      <c r="AC38" s="324"/>
      <c r="AD38" s="181">
        <f t="shared" si="2"/>
        <v>5600</v>
      </c>
      <c r="AE38" s="181">
        <f t="shared" si="3"/>
        <v>1960000</v>
      </c>
      <c r="AF38" s="181">
        <v>1.1000000000000001</v>
      </c>
      <c r="AG38" s="181">
        <v>1.1000000000000001</v>
      </c>
      <c r="AH38" s="364"/>
      <c r="AI38" s="285">
        <v>0</v>
      </c>
      <c r="AJ38" s="190">
        <v>5600</v>
      </c>
      <c r="AN38" s="369"/>
      <c r="AO38" s="368"/>
      <c r="AP38" s="367"/>
      <c r="AQ38" s="367"/>
    </row>
    <row r="39" spans="1:43" s="282" customFormat="1" ht="78" x14ac:dyDescent="0.3">
      <c r="A39" s="272" t="s">
        <v>3164</v>
      </c>
      <c r="B39" s="273" t="s">
        <v>3166</v>
      </c>
      <c r="C39" s="274" t="s">
        <v>23</v>
      </c>
      <c r="D39" s="275"/>
      <c r="E39" s="276"/>
      <c r="F39" s="275"/>
      <c r="G39" s="275"/>
      <c r="H39" s="275"/>
      <c r="I39" s="333">
        <v>6730.42</v>
      </c>
      <c r="J39" s="274">
        <v>858.41</v>
      </c>
      <c r="K39" s="275">
        <v>5777459.8300000001</v>
      </c>
      <c r="L39" s="277"/>
      <c r="M39" s="278"/>
      <c r="N39" s="42">
        <v>0</v>
      </c>
      <c r="O39" s="42">
        <v>0</v>
      </c>
      <c r="P39" s="42">
        <v>0</v>
      </c>
      <c r="Q39" s="98"/>
      <c r="R39" s="13" t="s">
        <v>3226</v>
      </c>
      <c r="S39" s="286" t="str">
        <f t="shared" si="10"/>
        <v>餘方自行處理(含水土保持)，總重35-35.9t傾卸貨車</v>
      </c>
      <c r="T39" s="287" t="str">
        <f t="shared" si="10"/>
        <v>M3</v>
      </c>
      <c r="U39" s="16"/>
      <c r="V39" s="16">
        <f t="shared" si="4"/>
        <v>6730.42</v>
      </c>
      <c r="W39" s="16">
        <f t="shared" si="5"/>
        <v>858.41</v>
      </c>
      <c r="X39" s="373">
        <f t="shared" si="9"/>
        <v>0</v>
      </c>
      <c r="Y39" s="16">
        <f t="shared" si="6"/>
        <v>0</v>
      </c>
      <c r="Z39" s="16">
        <f t="shared" si="1"/>
        <v>0</v>
      </c>
      <c r="AA39" s="16">
        <f t="shared" si="7"/>
        <v>0</v>
      </c>
      <c r="AB39" s="279"/>
      <c r="AC39" s="324"/>
      <c r="AD39" s="181">
        <f t="shared" si="2"/>
        <v>6730.42</v>
      </c>
      <c r="AE39" s="181">
        <f t="shared" si="3"/>
        <v>5777459.8300000001</v>
      </c>
      <c r="AF39" s="181">
        <v>1.1000000000000001</v>
      </c>
      <c r="AG39" s="181">
        <v>1.1000000000000001</v>
      </c>
      <c r="AH39" s="364"/>
      <c r="AI39" s="285">
        <v>0</v>
      </c>
      <c r="AJ39" s="190">
        <v>6730.42</v>
      </c>
      <c r="AN39" s="69"/>
      <c r="AO39" s="367"/>
      <c r="AP39" s="367"/>
      <c r="AQ39" s="367"/>
    </row>
    <row r="40" spans="1:43" s="69" customFormat="1" x14ac:dyDescent="0.3">
      <c r="A40" s="266" t="s">
        <v>99</v>
      </c>
      <c r="B40" s="267" t="s">
        <v>100</v>
      </c>
      <c r="C40" s="83" t="s">
        <v>14</v>
      </c>
      <c r="D40" s="84">
        <v>1</v>
      </c>
      <c r="E40" s="84"/>
      <c r="F40" s="84"/>
      <c r="G40" s="84"/>
      <c r="H40" s="84"/>
      <c r="I40" s="84"/>
      <c r="J40" s="84">
        <v>46687873.390000001</v>
      </c>
      <c r="K40" s="84">
        <v>46687873.390000001</v>
      </c>
      <c r="L40" s="268" t="s">
        <v>15</v>
      </c>
      <c r="M40" s="73"/>
      <c r="N40" s="45">
        <v>1</v>
      </c>
      <c r="O40" s="45">
        <v>0</v>
      </c>
      <c r="P40" s="45">
        <v>37189574.640000001</v>
      </c>
      <c r="Q40" s="98"/>
      <c r="R40" s="18" t="s">
        <v>1380</v>
      </c>
      <c r="S40" s="19" t="s">
        <v>100</v>
      </c>
      <c r="T40" s="20" t="s">
        <v>14</v>
      </c>
      <c r="U40" s="21">
        <v>1</v>
      </c>
      <c r="V40" s="21"/>
      <c r="W40" s="21">
        <f t="shared" si="5"/>
        <v>46687873.390000001</v>
      </c>
      <c r="X40" s="21">
        <f t="shared" ref="X40:Y40" si="11">IF(Z40=0,0,1)</f>
        <v>0</v>
      </c>
      <c r="Y40" s="21">
        <f t="shared" si="11"/>
        <v>1</v>
      </c>
      <c r="Z40" s="21">
        <f>SUMIFS(Z:Z,AG:AG,AF40)</f>
        <v>0</v>
      </c>
      <c r="AA40" s="21">
        <f>SUMIFS(AA:AA,AG:AG,AF40)</f>
        <v>37189574.640000001</v>
      </c>
      <c r="AB40" s="22" t="s">
        <v>15</v>
      </c>
      <c r="AC40" s="324"/>
      <c r="AD40" s="181">
        <f t="shared" si="2"/>
        <v>1</v>
      </c>
      <c r="AE40" s="184"/>
      <c r="AF40" s="181">
        <v>1.2</v>
      </c>
      <c r="AG40" s="181"/>
      <c r="AH40" s="363" t="str">
        <f t="shared" si="8"/>
        <v/>
      </c>
      <c r="AI40" s="192">
        <v>1</v>
      </c>
      <c r="AJ40" s="188">
        <v>1</v>
      </c>
      <c r="AO40" s="367"/>
      <c r="AP40" s="367"/>
      <c r="AQ40" s="367"/>
    </row>
    <row r="41" spans="1:43" s="69" customFormat="1" ht="39" x14ac:dyDescent="0.3">
      <c r="A41" s="130" t="s">
        <v>101</v>
      </c>
      <c r="B41" s="131" t="s">
        <v>102</v>
      </c>
      <c r="C41" s="132" t="s">
        <v>103</v>
      </c>
      <c r="D41" s="133">
        <v>2347.79</v>
      </c>
      <c r="E41" s="75"/>
      <c r="F41" s="75"/>
      <c r="G41" s="75"/>
      <c r="H41" s="75"/>
      <c r="I41" s="75"/>
      <c r="J41" s="75">
        <v>320.74</v>
      </c>
      <c r="K41" s="75">
        <v>753030.16</v>
      </c>
      <c r="L41" s="91" t="s">
        <v>104</v>
      </c>
      <c r="M41" s="73"/>
      <c r="N41" s="46">
        <v>2223.5899999999997</v>
      </c>
      <c r="O41" s="46">
        <v>0</v>
      </c>
      <c r="P41" s="46">
        <v>713194.26</v>
      </c>
      <c r="Q41" s="98"/>
      <c r="R41" s="23" t="s">
        <v>1421</v>
      </c>
      <c r="S41" s="24" t="s">
        <v>102</v>
      </c>
      <c r="T41" s="25" t="s">
        <v>103</v>
      </c>
      <c r="U41" s="26">
        <v>2347.79</v>
      </c>
      <c r="V41" s="26">
        <f t="shared" ref="V41:V104" si="12">IF(I41&gt;0,I41,IF(H41&gt;0,H41,IF(G41&gt;0,G41,IF(F41&gt;0,F41,IF(E41&gt;0,E41,D41)))))</f>
        <v>2347.79</v>
      </c>
      <c r="W41" s="26">
        <f t="shared" si="5"/>
        <v>320.74</v>
      </c>
      <c r="X41" s="127">
        <f t="shared" si="9"/>
        <v>0</v>
      </c>
      <c r="Y41" s="127">
        <f t="shared" si="6"/>
        <v>2223.5899999999997</v>
      </c>
      <c r="Z41" s="127">
        <f t="shared" ref="Z41:Z104" si="13">AA41-P41</f>
        <v>0</v>
      </c>
      <c r="AA41" s="127">
        <f t="shared" si="7"/>
        <v>713194.26</v>
      </c>
      <c r="AB41" s="33" t="s">
        <v>15</v>
      </c>
      <c r="AC41" s="324"/>
      <c r="AD41" s="181">
        <f t="shared" si="2"/>
        <v>2347.79</v>
      </c>
      <c r="AE41" s="181">
        <f>ROUND(W41*AD41,2)</f>
        <v>753030.16</v>
      </c>
      <c r="AF41" s="181">
        <v>1.2</v>
      </c>
      <c r="AG41" s="181">
        <v>1.2</v>
      </c>
      <c r="AH41" s="363" t="str">
        <f t="shared" si="8"/>
        <v/>
      </c>
      <c r="AI41" s="194">
        <f>822+115.6+380.73+236.3+234.76+312.2+122</f>
        <v>2223.5899999999997</v>
      </c>
      <c r="AJ41" s="188">
        <v>2347.79</v>
      </c>
      <c r="AO41" s="367"/>
      <c r="AP41" s="367"/>
      <c r="AQ41" s="367"/>
    </row>
    <row r="42" spans="1:43" s="69" customFormat="1" ht="58.5" x14ac:dyDescent="0.3">
      <c r="A42" s="55" t="s">
        <v>105</v>
      </c>
      <c r="B42" s="53" t="s">
        <v>106</v>
      </c>
      <c r="C42" s="54" t="s">
        <v>103</v>
      </c>
      <c r="D42" s="75">
        <v>755.76</v>
      </c>
      <c r="E42" s="75"/>
      <c r="F42" s="75"/>
      <c r="G42" s="75"/>
      <c r="H42" s="75"/>
      <c r="I42" s="75"/>
      <c r="J42" s="75">
        <v>346.08</v>
      </c>
      <c r="K42" s="75">
        <v>261553.42</v>
      </c>
      <c r="L42" s="91" t="s">
        <v>107</v>
      </c>
      <c r="M42" s="73"/>
      <c r="N42" s="46">
        <v>712.7</v>
      </c>
      <c r="O42" s="46">
        <v>0</v>
      </c>
      <c r="P42" s="46">
        <v>246651.22</v>
      </c>
      <c r="Q42" s="98"/>
      <c r="R42" s="23" t="s">
        <v>1426</v>
      </c>
      <c r="S42" s="24" t="s">
        <v>106</v>
      </c>
      <c r="T42" s="25" t="s">
        <v>103</v>
      </c>
      <c r="U42" s="26">
        <v>755.76</v>
      </c>
      <c r="V42" s="26">
        <f t="shared" si="12"/>
        <v>755.76</v>
      </c>
      <c r="W42" s="26">
        <f t="shared" si="5"/>
        <v>346.08</v>
      </c>
      <c r="X42" s="128">
        <f t="shared" si="9"/>
        <v>0</v>
      </c>
      <c r="Y42" s="26">
        <f t="shared" si="6"/>
        <v>712.7</v>
      </c>
      <c r="Z42" s="26">
        <f t="shared" si="13"/>
        <v>0</v>
      </c>
      <c r="AA42" s="26">
        <f t="shared" si="7"/>
        <v>246651.22</v>
      </c>
      <c r="AB42" s="33" t="s">
        <v>15</v>
      </c>
      <c r="AC42" s="324"/>
      <c r="AD42" s="181">
        <f t="shared" si="2"/>
        <v>755.76</v>
      </c>
      <c r="AE42" s="181">
        <f t="shared" ref="AE42:AE105" si="14">ROUND(W42*AD42,2)</f>
        <v>261553.42</v>
      </c>
      <c r="AF42" s="181">
        <v>1.2</v>
      </c>
      <c r="AG42" s="181">
        <v>1.2</v>
      </c>
      <c r="AH42" s="363" t="str">
        <f t="shared" si="8"/>
        <v/>
      </c>
      <c r="AI42" s="194">
        <f>23+62.8+344.2+175.2+107.5</f>
        <v>712.7</v>
      </c>
      <c r="AJ42" s="188">
        <v>755.76</v>
      </c>
      <c r="AO42" s="367"/>
      <c r="AP42" s="367"/>
      <c r="AQ42" s="367"/>
    </row>
    <row r="43" spans="1:43" s="69" customFormat="1" ht="33" x14ac:dyDescent="0.3">
      <c r="A43" s="55" t="s">
        <v>108</v>
      </c>
      <c r="B43" s="53" t="s">
        <v>109</v>
      </c>
      <c r="C43" s="54" t="s">
        <v>110</v>
      </c>
      <c r="D43" s="75">
        <v>37233.480000000003</v>
      </c>
      <c r="E43" s="75"/>
      <c r="F43" s="75"/>
      <c r="G43" s="75"/>
      <c r="H43" s="75"/>
      <c r="I43" s="328">
        <v>38019.35</v>
      </c>
      <c r="J43" s="75">
        <v>36.4</v>
      </c>
      <c r="K43" s="75">
        <v>1383904.34</v>
      </c>
      <c r="L43" s="91" t="s">
        <v>111</v>
      </c>
      <c r="M43" s="73"/>
      <c r="N43" s="46">
        <v>37149.299999999996</v>
      </c>
      <c r="O43" s="46">
        <v>0</v>
      </c>
      <c r="P43" s="46">
        <v>1352234.52</v>
      </c>
      <c r="Q43" s="98"/>
      <c r="R43" s="23" t="s">
        <v>1402</v>
      </c>
      <c r="S43" s="24" t="s">
        <v>109</v>
      </c>
      <c r="T43" s="25" t="s">
        <v>110</v>
      </c>
      <c r="U43" s="26">
        <v>37233.480000000003</v>
      </c>
      <c r="V43" s="26">
        <f t="shared" si="12"/>
        <v>38019.35</v>
      </c>
      <c r="W43" s="26">
        <f t="shared" si="5"/>
        <v>36.4</v>
      </c>
      <c r="X43" s="128">
        <f t="shared" si="9"/>
        <v>0</v>
      </c>
      <c r="Y43" s="26">
        <f t="shared" si="6"/>
        <v>37149.299999999996</v>
      </c>
      <c r="Z43" s="26">
        <f t="shared" si="13"/>
        <v>0</v>
      </c>
      <c r="AA43" s="26">
        <f t="shared" si="7"/>
        <v>1352234.52</v>
      </c>
      <c r="AB43" s="33" t="s">
        <v>15</v>
      </c>
      <c r="AC43" s="324"/>
      <c r="AD43" s="181">
        <f t="shared" si="2"/>
        <v>38019.35</v>
      </c>
      <c r="AE43" s="181">
        <f t="shared" si="14"/>
        <v>1383904.34</v>
      </c>
      <c r="AF43" s="181">
        <v>1.2</v>
      </c>
      <c r="AG43" s="181">
        <v>1.2</v>
      </c>
      <c r="AH43" s="363" t="str">
        <f t="shared" si="8"/>
        <v/>
      </c>
      <c r="AI43" s="194">
        <f>4011.3+10712+7037.8+2325.2+4076.7+5962.6+3023.7</f>
        <v>37149.299999999996</v>
      </c>
      <c r="AJ43" s="190">
        <v>38019.35</v>
      </c>
      <c r="AO43" s="367"/>
      <c r="AP43" s="367"/>
      <c r="AQ43" s="367"/>
    </row>
    <row r="44" spans="1:43" s="69" customFormat="1" ht="58.5" x14ac:dyDescent="0.3">
      <c r="A44" s="55" t="s">
        <v>112</v>
      </c>
      <c r="B44" s="53" t="s">
        <v>113</v>
      </c>
      <c r="C44" s="54" t="s">
        <v>23</v>
      </c>
      <c r="D44" s="75">
        <v>294.98</v>
      </c>
      <c r="E44" s="75"/>
      <c r="F44" s="75"/>
      <c r="G44" s="75"/>
      <c r="H44" s="75"/>
      <c r="I44" s="75"/>
      <c r="J44" s="75">
        <v>3115.13</v>
      </c>
      <c r="K44" s="75">
        <v>918901.05</v>
      </c>
      <c r="L44" s="91" t="s">
        <v>114</v>
      </c>
      <c r="M44" s="73"/>
      <c r="N44" s="46">
        <v>276.10000000000002</v>
      </c>
      <c r="O44" s="46">
        <v>0</v>
      </c>
      <c r="P44" s="46">
        <v>860087.39</v>
      </c>
      <c r="Q44" s="98"/>
      <c r="R44" s="23" t="s">
        <v>1373</v>
      </c>
      <c r="S44" s="24" t="s">
        <v>392</v>
      </c>
      <c r="T44" s="25" t="s">
        <v>23</v>
      </c>
      <c r="U44" s="26">
        <v>294.98</v>
      </c>
      <c r="V44" s="26">
        <f t="shared" si="12"/>
        <v>294.98</v>
      </c>
      <c r="W44" s="26">
        <f t="shared" si="5"/>
        <v>3115.13</v>
      </c>
      <c r="X44" s="128">
        <f t="shared" si="9"/>
        <v>0</v>
      </c>
      <c r="Y44" s="26">
        <f t="shared" si="6"/>
        <v>276.10000000000002</v>
      </c>
      <c r="Z44" s="26">
        <f t="shared" si="13"/>
        <v>0</v>
      </c>
      <c r="AA44" s="26">
        <f t="shared" si="7"/>
        <v>860087.39</v>
      </c>
      <c r="AB44" s="33" t="s">
        <v>15</v>
      </c>
      <c r="AC44" s="324"/>
      <c r="AD44" s="181">
        <f t="shared" si="2"/>
        <v>294.98</v>
      </c>
      <c r="AE44" s="181">
        <f t="shared" si="14"/>
        <v>918901.05</v>
      </c>
      <c r="AF44" s="181">
        <v>1.2</v>
      </c>
      <c r="AG44" s="181">
        <v>1.2</v>
      </c>
      <c r="AH44" s="363" t="str">
        <f t="shared" si="8"/>
        <v/>
      </c>
      <c r="AI44" s="194">
        <f>36.6+39.2+23.9+112.01+5.7+30.69+16+12</f>
        <v>276.10000000000002</v>
      </c>
      <c r="AJ44" s="188">
        <v>294.98</v>
      </c>
      <c r="AO44" s="367"/>
      <c r="AP44" s="367"/>
      <c r="AQ44" s="367"/>
    </row>
    <row r="45" spans="1:43" s="69" customFormat="1" ht="58.5" x14ac:dyDescent="0.3">
      <c r="A45" s="130" t="s">
        <v>115</v>
      </c>
      <c r="B45" s="131" t="s">
        <v>116</v>
      </c>
      <c r="C45" s="132" t="s">
        <v>23</v>
      </c>
      <c r="D45" s="133">
        <v>846.68</v>
      </c>
      <c r="E45" s="75"/>
      <c r="F45" s="75"/>
      <c r="G45" s="75"/>
      <c r="H45" s="75"/>
      <c r="I45" s="328">
        <v>932.9</v>
      </c>
      <c r="J45" s="75">
        <v>3321.13</v>
      </c>
      <c r="K45" s="75">
        <v>3098282.18</v>
      </c>
      <c r="L45" s="91" t="s">
        <v>117</v>
      </c>
      <c r="M45" s="73"/>
      <c r="N45" s="46">
        <v>900.4799999999999</v>
      </c>
      <c r="O45" s="46">
        <v>0</v>
      </c>
      <c r="P45" s="46">
        <v>2990611.14</v>
      </c>
      <c r="Q45" s="98"/>
      <c r="R45" s="23" t="s">
        <v>1393</v>
      </c>
      <c r="S45" s="24" t="s">
        <v>116</v>
      </c>
      <c r="T45" s="25" t="s">
        <v>23</v>
      </c>
      <c r="U45" s="26">
        <v>846.68</v>
      </c>
      <c r="V45" s="26">
        <f t="shared" si="12"/>
        <v>932.9</v>
      </c>
      <c r="W45" s="26">
        <f t="shared" si="5"/>
        <v>3321.13</v>
      </c>
      <c r="X45" s="128">
        <f t="shared" si="9"/>
        <v>0</v>
      </c>
      <c r="Y45" s="26">
        <f>X45+N45</f>
        <v>900.4799999999999</v>
      </c>
      <c r="Z45" s="26">
        <f t="shared" si="13"/>
        <v>0</v>
      </c>
      <c r="AA45" s="26">
        <f t="shared" si="7"/>
        <v>2990611.14</v>
      </c>
      <c r="AB45" s="33" t="s">
        <v>15</v>
      </c>
      <c r="AC45" s="324"/>
      <c r="AD45" s="181">
        <f t="shared" si="2"/>
        <v>932.9</v>
      </c>
      <c r="AE45" s="181">
        <f t="shared" si="14"/>
        <v>3098282.18</v>
      </c>
      <c r="AF45" s="181">
        <v>1.2</v>
      </c>
      <c r="AG45" s="181">
        <v>1.2</v>
      </c>
      <c r="AH45" s="363" t="str">
        <f t="shared" si="8"/>
        <v/>
      </c>
      <c r="AI45" s="194">
        <f>282.3+157.6+131.2+92.3+145+38.2+0.08+53.8</f>
        <v>900.4799999999999</v>
      </c>
      <c r="AJ45" s="190">
        <v>932.9</v>
      </c>
      <c r="AO45" s="367"/>
      <c r="AP45" s="367"/>
      <c r="AQ45" s="367"/>
    </row>
    <row r="46" spans="1:43" s="69" customFormat="1" ht="26.1" customHeight="1" x14ac:dyDescent="0.3">
      <c r="A46" s="130" t="s">
        <v>118</v>
      </c>
      <c r="B46" s="131" t="s">
        <v>119</v>
      </c>
      <c r="C46" s="132" t="s">
        <v>50</v>
      </c>
      <c r="D46" s="133">
        <v>2387.33</v>
      </c>
      <c r="E46" s="75"/>
      <c r="F46" s="75"/>
      <c r="G46" s="75"/>
      <c r="H46" s="75"/>
      <c r="I46" s="328">
        <v>2715.61</v>
      </c>
      <c r="J46" s="75">
        <v>533.64</v>
      </c>
      <c r="K46" s="75">
        <v>1449158.12</v>
      </c>
      <c r="L46" s="91" t="s">
        <v>120</v>
      </c>
      <c r="M46" s="73"/>
      <c r="N46" s="46">
        <v>2583.29</v>
      </c>
      <c r="O46" s="46">
        <v>0</v>
      </c>
      <c r="P46" s="46">
        <v>1378546.88</v>
      </c>
      <c r="Q46" s="98"/>
      <c r="R46" s="23" t="s">
        <v>1403</v>
      </c>
      <c r="S46" s="24" t="s">
        <v>119</v>
      </c>
      <c r="T46" s="25" t="s">
        <v>50</v>
      </c>
      <c r="U46" s="26">
        <v>2387.33</v>
      </c>
      <c r="V46" s="26">
        <f t="shared" si="12"/>
        <v>2715.61</v>
      </c>
      <c r="W46" s="26">
        <f t="shared" si="5"/>
        <v>533.64</v>
      </c>
      <c r="X46" s="128">
        <f t="shared" si="9"/>
        <v>0</v>
      </c>
      <c r="Y46" s="26">
        <f t="shared" si="6"/>
        <v>2583.29</v>
      </c>
      <c r="Z46" s="26">
        <f t="shared" si="13"/>
        <v>0</v>
      </c>
      <c r="AA46" s="26">
        <f t="shared" si="7"/>
        <v>1378546.88</v>
      </c>
      <c r="AB46" s="33" t="s">
        <v>15</v>
      </c>
      <c r="AC46" s="324"/>
      <c r="AD46" s="181">
        <f t="shared" si="2"/>
        <v>2715.61</v>
      </c>
      <c r="AE46" s="181">
        <f t="shared" si="14"/>
        <v>1449158.12</v>
      </c>
      <c r="AF46" s="181">
        <v>1.2</v>
      </c>
      <c r="AG46" s="181">
        <v>1.2</v>
      </c>
      <c r="AH46" s="363" t="str">
        <f t="shared" si="8"/>
        <v/>
      </c>
      <c r="AI46" s="194">
        <f>815.4+226.8+231.1+653.04+121.2+311.35+27.5+196.9</f>
        <v>2583.29</v>
      </c>
      <c r="AJ46" s="190">
        <v>2715.61</v>
      </c>
      <c r="AO46" s="367"/>
      <c r="AP46" s="367"/>
      <c r="AQ46" s="367"/>
    </row>
    <row r="47" spans="1:43" s="69" customFormat="1" ht="26.1" customHeight="1" x14ac:dyDescent="0.3">
      <c r="A47" s="55" t="s">
        <v>121</v>
      </c>
      <c r="B47" s="53" t="s">
        <v>122</v>
      </c>
      <c r="C47" s="54" t="s">
        <v>50</v>
      </c>
      <c r="D47" s="75">
        <v>1362.2</v>
      </c>
      <c r="E47" s="75"/>
      <c r="F47" s="75"/>
      <c r="G47" s="75"/>
      <c r="H47" s="75"/>
      <c r="I47" s="328"/>
      <c r="J47" s="75">
        <v>1299.8900000000001</v>
      </c>
      <c r="K47" s="75">
        <v>1770710.16</v>
      </c>
      <c r="L47" s="91" t="s">
        <v>123</v>
      </c>
      <c r="M47" s="73"/>
      <c r="N47" s="46">
        <v>1235.8</v>
      </c>
      <c r="O47" s="46">
        <v>0</v>
      </c>
      <c r="P47" s="46">
        <v>1606404.06</v>
      </c>
      <c r="Q47" s="98"/>
      <c r="R47" s="23" t="s">
        <v>1427</v>
      </c>
      <c r="S47" s="24" t="s">
        <v>122</v>
      </c>
      <c r="T47" s="25" t="s">
        <v>50</v>
      </c>
      <c r="U47" s="26">
        <v>1362.2</v>
      </c>
      <c r="V47" s="26">
        <f t="shared" si="12"/>
        <v>1362.2</v>
      </c>
      <c r="W47" s="26">
        <f t="shared" si="5"/>
        <v>1299.8900000000001</v>
      </c>
      <c r="X47" s="128">
        <f t="shared" si="9"/>
        <v>0</v>
      </c>
      <c r="Y47" s="26">
        <f t="shared" si="6"/>
        <v>1235.8</v>
      </c>
      <c r="Z47" s="26">
        <f t="shared" si="13"/>
        <v>0</v>
      </c>
      <c r="AA47" s="26">
        <f t="shared" si="7"/>
        <v>1606404.06</v>
      </c>
      <c r="AB47" s="33" t="s">
        <v>15</v>
      </c>
      <c r="AC47" s="324"/>
      <c r="AD47" s="181">
        <f t="shared" si="2"/>
        <v>1362.2</v>
      </c>
      <c r="AE47" s="181">
        <f t="shared" si="14"/>
        <v>1770710.16</v>
      </c>
      <c r="AF47" s="181">
        <v>1.2</v>
      </c>
      <c r="AG47" s="181">
        <v>1.2</v>
      </c>
      <c r="AH47" s="363" t="str">
        <f t="shared" si="8"/>
        <v/>
      </c>
      <c r="AI47" s="194">
        <f>165+139.2+39.3+296.5+402.2+193.6</f>
        <v>1235.8</v>
      </c>
      <c r="AJ47" s="188">
        <v>1362.2</v>
      </c>
      <c r="AN47" s="363"/>
      <c r="AO47" s="368"/>
      <c r="AP47" s="367"/>
      <c r="AQ47" s="367"/>
    </row>
    <row r="48" spans="1:43" s="69" customFormat="1" ht="26.1" customHeight="1" x14ac:dyDescent="0.3">
      <c r="A48" s="130" t="s">
        <v>124</v>
      </c>
      <c r="B48" s="131" t="s">
        <v>125</v>
      </c>
      <c r="C48" s="132" t="s">
        <v>110</v>
      </c>
      <c r="D48" s="133">
        <v>4781.5600000000004</v>
      </c>
      <c r="E48" s="75"/>
      <c r="F48" s="75"/>
      <c r="G48" s="75"/>
      <c r="H48" s="75"/>
      <c r="I48" s="328">
        <v>17136.57</v>
      </c>
      <c r="J48" s="75">
        <v>60</v>
      </c>
      <c r="K48" s="75">
        <v>1028194.2</v>
      </c>
      <c r="L48" s="91" t="s">
        <v>126</v>
      </c>
      <c r="M48" s="73"/>
      <c r="N48" s="46">
        <v>15133.12</v>
      </c>
      <c r="O48" s="46">
        <v>0</v>
      </c>
      <c r="P48" s="46">
        <v>907987.2</v>
      </c>
      <c r="Q48" s="98"/>
      <c r="R48" s="23" t="s">
        <v>1428</v>
      </c>
      <c r="S48" s="24" t="s">
        <v>125</v>
      </c>
      <c r="T48" s="25" t="s">
        <v>110</v>
      </c>
      <c r="U48" s="26">
        <v>4781.5600000000004</v>
      </c>
      <c r="V48" s="26">
        <f t="shared" si="12"/>
        <v>17136.57</v>
      </c>
      <c r="W48" s="26">
        <f t="shared" si="5"/>
        <v>60</v>
      </c>
      <c r="X48" s="127">
        <f t="shared" si="9"/>
        <v>0</v>
      </c>
      <c r="Y48" s="127">
        <f t="shared" si="6"/>
        <v>15133.12</v>
      </c>
      <c r="Z48" s="127">
        <f t="shared" si="13"/>
        <v>0</v>
      </c>
      <c r="AA48" s="127">
        <f t="shared" si="7"/>
        <v>907987.2</v>
      </c>
      <c r="AB48" s="33" t="s">
        <v>15</v>
      </c>
      <c r="AC48" s="324"/>
      <c r="AD48" s="181">
        <f t="shared" si="2"/>
        <v>17136.57</v>
      </c>
      <c r="AE48" s="181">
        <f t="shared" si="14"/>
        <v>1028194.2</v>
      </c>
      <c r="AF48" s="181">
        <v>1.2</v>
      </c>
      <c r="AG48" s="181">
        <v>1.2</v>
      </c>
      <c r="AH48" s="363" t="str">
        <f t="shared" si="8"/>
        <v/>
      </c>
      <c r="AI48" s="194">
        <v>15133.12</v>
      </c>
      <c r="AJ48" s="190">
        <v>17136.57</v>
      </c>
      <c r="AN48" s="363"/>
      <c r="AO48" s="368"/>
      <c r="AP48" s="367"/>
      <c r="AQ48" s="367"/>
    </row>
    <row r="49" spans="1:43" s="69" customFormat="1" ht="58.5" x14ac:dyDescent="0.3">
      <c r="A49" s="130" t="s">
        <v>127</v>
      </c>
      <c r="B49" s="131" t="s">
        <v>128</v>
      </c>
      <c r="C49" s="132" t="s">
        <v>110</v>
      </c>
      <c r="D49" s="133">
        <v>4781.5600000000004</v>
      </c>
      <c r="E49" s="75"/>
      <c r="F49" s="75"/>
      <c r="G49" s="75"/>
      <c r="H49" s="75"/>
      <c r="I49" s="328">
        <v>17136.57</v>
      </c>
      <c r="J49" s="75">
        <v>31.9</v>
      </c>
      <c r="K49" s="75">
        <v>546656.57999999996</v>
      </c>
      <c r="L49" s="91" t="s">
        <v>129</v>
      </c>
      <c r="M49" s="73"/>
      <c r="N49" s="46">
        <v>15133.12</v>
      </c>
      <c r="O49" s="46">
        <v>0</v>
      </c>
      <c r="P49" s="46">
        <v>482746.53</v>
      </c>
      <c r="Q49" s="98"/>
      <c r="R49" s="23" t="s">
        <v>1387</v>
      </c>
      <c r="S49" s="24" t="s">
        <v>128</v>
      </c>
      <c r="T49" s="25" t="s">
        <v>110</v>
      </c>
      <c r="U49" s="26">
        <v>4781.5600000000004</v>
      </c>
      <c r="V49" s="26">
        <f t="shared" si="12"/>
        <v>17136.57</v>
      </c>
      <c r="W49" s="26">
        <f t="shared" si="5"/>
        <v>31.9</v>
      </c>
      <c r="X49" s="127">
        <f t="shared" si="9"/>
        <v>0</v>
      </c>
      <c r="Y49" s="127">
        <f t="shared" si="6"/>
        <v>15133.12</v>
      </c>
      <c r="Z49" s="127">
        <f t="shared" si="13"/>
        <v>0</v>
      </c>
      <c r="AA49" s="127">
        <f t="shared" si="7"/>
        <v>482746.53</v>
      </c>
      <c r="AB49" s="33" t="s">
        <v>15</v>
      </c>
      <c r="AC49" s="324"/>
      <c r="AD49" s="181">
        <f t="shared" si="2"/>
        <v>17136.57</v>
      </c>
      <c r="AE49" s="181">
        <f t="shared" si="14"/>
        <v>546656.57999999996</v>
      </c>
      <c r="AF49" s="181">
        <v>1.2</v>
      </c>
      <c r="AG49" s="181">
        <v>1.2</v>
      </c>
      <c r="AH49" s="363" t="str">
        <f t="shared" si="8"/>
        <v/>
      </c>
      <c r="AI49" s="194">
        <f>AI48</f>
        <v>15133.12</v>
      </c>
      <c r="AJ49" s="190">
        <v>17136.57</v>
      </c>
      <c r="AO49" s="367"/>
      <c r="AP49" s="367"/>
      <c r="AQ49" s="367"/>
    </row>
    <row r="50" spans="1:43" s="69" customFormat="1" ht="156" x14ac:dyDescent="0.3">
      <c r="A50" s="130" t="s">
        <v>130</v>
      </c>
      <c r="B50" s="131" t="s">
        <v>131</v>
      </c>
      <c r="C50" s="132" t="s">
        <v>110</v>
      </c>
      <c r="D50" s="133">
        <v>2300.86</v>
      </c>
      <c r="E50" s="75"/>
      <c r="F50" s="75"/>
      <c r="G50" s="75"/>
      <c r="H50" s="75"/>
      <c r="I50" s="328">
        <v>2741.71</v>
      </c>
      <c r="J50" s="75">
        <v>107.31</v>
      </c>
      <c r="K50" s="75">
        <v>294212.90000000002</v>
      </c>
      <c r="L50" s="91" t="s">
        <v>132</v>
      </c>
      <c r="M50" s="73"/>
      <c r="N50" s="46">
        <v>2741.6</v>
      </c>
      <c r="O50" s="46">
        <v>0</v>
      </c>
      <c r="P50" s="46">
        <v>294201.09999999998</v>
      </c>
      <c r="Q50" s="98"/>
      <c r="R50" s="23" t="s">
        <v>1405</v>
      </c>
      <c r="S50" s="24" t="s">
        <v>131</v>
      </c>
      <c r="T50" s="25" t="s">
        <v>110</v>
      </c>
      <c r="U50" s="26">
        <v>2300.86</v>
      </c>
      <c r="V50" s="26">
        <f t="shared" si="12"/>
        <v>2741.71</v>
      </c>
      <c r="W50" s="26">
        <f t="shared" si="5"/>
        <v>107.31</v>
      </c>
      <c r="X50" s="127">
        <f t="shared" si="9"/>
        <v>0</v>
      </c>
      <c r="Y50" s="127">
        <f t="shared" si="6"/>
        <v>2741.6</v>
      </c>
      <c r="Z50" s="127">
        <f t="shared" si="13"/>
        <v>0</v>
      </c>
      <c r="AA50" s="127">
        <f t="shared" si="7"/>
        <v>294201.09999999998</v>
      </c>
      <c r="AB50" s="33" t="s">
        <v>15</v>
      </c>
      <c r="AC50" s="324"/>
      <c r="AD50" s="181">
        <f t="shared" si="2"/>
        <v>2741.71</v>
      </c>
      <c r="AE50" s="181">
        <f t="shared" si="14"/>
        <v>294212.90000000002</v>
      </c>
      <c r="AF50" s="181">
        <v>1.2</v>
      </c>
      <c r="AG50" s="181">
        <v>1.2</v>
      </c>
      <c r="AH50" s="363" t="str">
        <f t="shared" si="8"/>
        <v/>
      </c>
      <c r="AI50" s="194">
        <f>1855+456+430.6</f>
        <v>2741.6</v>
      </c>
      <c r="AJ50" s="190">
        <v>2741.71</v>
      </c>
      <c r="AO50" s="367"/>
      <c r="AP50" s="367"/>
      <c r="AQ50" s="367"/>
    </row>
    <row r="51" spans="1:43" s="69" customFormat="1" ht="31.5" x14ac:dyDescent="0.3">
      <c r="A51" s="55" t="s">
        <v>133</v>
      </c>
      <c r="B51" s="215" t="s">
        <v>134</v>
      </c>
      <c r="C51" s="54" t="s">
        <v>50</v>
      </c>
      <c r="D51" s="75">
        <v>5207.01</v>
      </c>
      <c r="E51" s="75"/>
      <c r="F51" s="75"/>
      <c r="G51" s="75"/>
      <c r="H51" s="75"/>
      <c r="I51" s="328">
        <v>4297.84</v>
      </c>
      <c r="J51" s="75">
        <v>2964</v>
      </c>
      <c r="K51" s="75">
        <v>12738797.76</v>
      </c>
      <c r="L51" s="137" t="s">
        <v>135</v>
      </c>
      <c r="M51" s="73"/>
      <c r="N51" s="46">
        <v>3666.49</v>
      </c>
      <c r="O51" s="46">
        <v>0</v>
      </c>
      <c r="P51" s="46">
        <v>10867476.359999999</v>
      </c>
      <c r="Q51" s="98"/>
      <c r="R51" s="23" t="s">
        <v>1406</v>
      </c>
      <c r="S51" s="24" t="s">
        <v>134</v>
      </c>
      <c r="T51" s="25" t="s">
        <v>50</v>
      </c>
      <c r="U51" s="26">
        <v>5207.01</v>
      </c>
      <c r="V51" s="26">
        <f t="shared" si="12"/>
        <v>4297.84</v>
      </c>
      <c r="W51" s="26">
        <f t="shared" si="5"/>
        <v>2964</v>
      </c>
      <c r="X51" s="128">
        <f t="shared" si="9"/>
        <v>0</v>
      </c>
      <c r="Y51" s="26">
        <f t="shared" si="6"/>
        <v>3666.49</v>
      </c>
      <c r="Z51" s="26">
        <f t="shared" si="13"/>
        <v>0</v>
      </c>
      <c r="AA51" s="26">
        <f t="shared" si="7"/>
        <v>10867476.359999999</v>
      </c>
      <c r="AB51" s="33" t="s">
        <v>15</v>
      </c>
      <c r="AC51" s="325"/>
      <c r="AD51" s="263">
        <f t="shared" si="2"/>
        <v>4297.84</v>
      </c>
      <c r="AE51" s="263">
        <f t="shared" si="14"/>
        <v>12738797.76</v>
      </c>
      <c r="AF51" s="263">
        <v>1.2</v>
      </c>
      <c r="AG51" s="263">
        <v>1.2</v>
      </c>
      <c r="AH51" s="68" t="str">
        <f t="shared" si="8"/>
        <v/>
      </c>
      <c r="AI51" s="194">
        <f>1759.3+212.2+210.7+652.79+539.2+292.3</f>
        <v>3666.49</v>
      </c>
      <c r="AJ51" s="190">
        <v>4297.84</v>
      </c>
      <c r="AO51" s="367"/>
      <c r="AP51" s="367"/>
      <c r="AQ51" s="367"/>
    </row>
    <row r="52" spans="1:43" s="69" customFormat="1" ht="58.5" x14ac:dyDescent="0.3">
      <c r="A52" s="130" t="s">
        <v>136</v>
      </c>
      <c r="B52" s="131" t="s">
        <v>3138</v>
      </c>
      <c r="C52" s="132" t="s">
        <v>50</v>
      </c>
      <c r="D52" s="133">
        <v>693.8</v>
      </c>
      <c r="E52" s="75"/>
      <c r="F52" s="75"/>
      <c r="G52" s="75"/>
      <c r="H52" s="75"/>
      <c r="I52" s="75"/>
      <c r="J52" s="75">
        <v>3961.57</v>
      </c>
      <c r="K52" s="75">
        <v>2748537.27</v>
      </c>
      <c r="L52" s="137" t="s">
        <v>138</v>
      </c>
      <c r="M52" s="73"/>
      <c r="N52" s="46">
        <v>673.8</v>
      </c>
      <c r="O52" s="46">
        <v>0</v>
      </c>
      <c r="P52" s="46">
        <v>2669305.87</v>
      </c>
      <c r="Q52" s="98"/>
      <c r="R52" s="23" t="s">
        <v>1414</v>
      </c>
      <c r="S52" s="24" t="s">
        <v>137</v>
      </c>
      <c r="T52" s="25" t="s">
        <v>50</v>
      </c>
      <c r="U52" s="26">
        <v>693.8</v>
      </c>
      <c r="V52" s="26">
        <f t="shared" si="12"/>
        <v>693.8</v>
      </c>
      <c r="W52" s="26">
        <f t="shared" si="5"/>
        <v>3961.57</v>
      </c>
      <c r="X52" s="127">
        <f>AI52-N52</f>
        <v>0</v>
      </c>
      <c r="Y52" s="127">
        <f t="shared" si="6"/>
        <v>673.8</v>
      </c>
      <c r="Z52" s="127">
        <f t="shared" si="13"/>
        <v>0</v>
      </c>
      <c r="AA52" s="127">
        <f t="shared" si="7"/>
        <v>2669305.87</v>
      </c>
      <c r="AB52" s="33" t="s">
        <v>15</v>
      </c>
      <c r="AC52" s="324"/>
      <c r="AD52" s="181">
        <f t="shared" si="2"/>
        <v>693.8</v>
      </c>
      <c r="AE52" s="181">
        <f t="shared" si="14"/>
        <v>2748537.27</v>
      </c>
      <c r="AF52" s="181">
        <v>1.2</v>
      </c>
      <c r="AG52" s="181">
        <v>1.2</v>
      </c>
      <c r="AH52" s="363" t="str">
        <f t="shared" si="8"/>
        <v/>
      </c>
      <c r="AI52" s="194">
        <v>673.8</v>
      </c>
      <c r="AJ52" s="188">
        <v>693.8</v>
      </c>
      <c r="AO52" s="367"/>
      <c r="AP52" s="367"/>
      <c r="AQ52" s="367"/>
    </row>
    <row r="53" spans="1:43" s="69" customFormat="1" ht="26.1" customHeight="1" x14ac:dyDescent="0.3">
      <c r="A53" s="130" t="s">
        <v>139</v>
      </c>
      <c r="B53" s="131" t="s">
        <v>140</v>
      </c>
      <c r="C53" s="132" t="s">
        <v>50</v>
      </c>
      <c r="D53" s="133">
        <v>375.23</v>
      </c>
      <c r="E53" s="75"/>
      <c r="F53" s="75"/>
      <c r="G53" s="75"/>
      <c r="H53" s="75"/>
      <c r="I53" s="75"/>
      <c r="J53" s="75">
        <v>3965.81</v>
      </c>
      <c r="K53" s="75">
        <v>1488090.89</v>
      </c>
      <c r="L53" s="137" t="s">
        <v>141</v>
      </c>
      <c r="M53" s="73"/>
      <c r="N53" s="46">
        <v>349.8</v>
      </c>
      <c r="O53" s="46">
        <v>0</v>
      </c>
      <c r="P53" s="46">
        <v>1387240.34</v>
      </c>
      <c r="Q53" s="98"/>
      <c r="R53" s="23" t="s">
        <v>1429</v>
      </c>
      <c r="S53" s="24" t="s">
        <v>140</v>
      </c>
      <c r="T53" s="25" t="s">
        <v>50</v>
      </c>
      <c r="U53" s="26">
        <v>375.23</v>
      </c>
      <c r="V53" s="26">
        <f t="shared" si="12"/>
        <v>375.23</v>
      </c>
      <c r="W53" s="26">
        <f t="shared" si="5"/>
        <v>3965.81</v>
      </c>
      <c r="X53" s="127">
        <f t="shared" si="9"/>
        <v>0</v>
      </c>
      <c r="Y53" s="127">
        <f t="shared" si="6"/>
        <v>349.8</v>
      </c>
      <c r="Z53" s="127">
        <f t="shared" si="13"/>
        <v>0</v>
      </c>
      <c r="AA53" s="127">
        <f>ROUND(W53*Y53,2)</f>
        <v>1387240.34</v>
      </c>
      <c r="AB53" s="33" t="s">
        <v>15</v>
      </c>
      <c r="AC53" s="325"/>
      <c r="AD53" s="263">
        <f t="shared" si="2"/>
        <v>375.23</v>
      </c>
      <c r="AE53" s="263">
        <f t="shared" si="14"/>
        <v>1488090.89</v>
      </c>
      <c r="AF53" s="263">
        <v>1.2</v>
      </c>
      <c r="AG53" s="263">
        <v>1.2</v>
      </c>
      <c r="AH53" s="68" t="str">
        <f t="shared" si="8"/>
        <v/>
      </c>
      <c r="AI53" s="194">
        <v>349.8</v>
      </c>
      <c r="AJ53" s="188">
        <v>375.23</v>
      </c>
      <c r="AO53" s="367"/>
      <c r="AP53" s="367"/>
      <c r="AQ53" s="367"/>
    </row>
    <row r="54" spans="1:43" s="69" customFormat="1" ht="26.1" customHeight="1" x14ac:dyDescent="0.3">
      <c r="A54" s="55" t="s">
        <v>142</v>
      </c>
      <c r="B54" s="53" t="s">
        <v>143</v>
      </c>
      <c r="C54" s="54" t="s">
        <v>50</v>
      </c>
      <c r="D54" s="75">
        <v>34.799999999999997</v>
      </c>
      <c r="E54" s="75"/>
      <c r="F54" s="75"/>
      <c r="G54" s="75"/>
      <c r="H54" s="75"/>
      <c r="I54" s="75"/>
      <c r="J54" s="75">
        <v>773.88</v>
      </c>
      <c r="K54" s="75">
        <v>26931.02</v>
      </c>
      <c r="L54" s="91" t="s">
        <v>144</v>
      </c>
      <c r="M54" s="73"/>
      <c r="N54" s="46">
        <v>0</v>
      </c>
      <c r="O54" s="46">
        <v>0</v>
      </c>
      <c r="P54" s="46">
        <v>0</v>
      </c>
      <c r="Q54" s="98"/>
      <c r="R54" s="23" t="s">
        <v>1430</v>
      </c>
      <c r="S54" s="24" t="s">
        <v>143</v>
      </c>
      <c r="T54" s="25" t="s">
        <v>50</v>
      </c>
      <c r="U54" s="26">
        <v>34.799999999999997</v>
      </c>
      <c r="V54" s="26">
        <f t="shared" si="12"/>
        <v>34.799999999999997</v>
      </c>
      <c r="W54" s="26">
        <f t="shared" si="5"/>
        <v>773.88</v>
      </c>
      <c r="X54" s="26">
        <f t="shared" si="9"/>
        <v>0</v>
      </c>
      <c r="Y54" s="26">
        <f t="shared" si="6"/>
        <v>0</v>
      </c>
      <c r="Z54" s="26">
        <f t="shared" si="13"/>
        <v>0</v>
      </c>
      <c r="AA54" s="26">
        <f t="shared" si="7"/>
        <v>0</v>
      </c>
      <c r="AB54" s="33" t="s">
        <v>15</v>
      </c>
      <c r="AC54" s="324"/>
      <c r="AD54" s="181">
        <f t="shared" si="2"/>
        <v>34.799999999999997</v>
      </c>
      <c r="AE54" s="181">
        <f t="shared" si="14"/>
        <v>26931.02</v>
      </c>
      <c r="AF54" s="181">
        <v>1.2</v>
      </c>
      <c r="AG54" s="181">
        <v>1.2</v>
      </c>
      <c r="AH54" s="363" t="str">
        <f t="shared" si="8"/>
        <v/>
      </c>
      <c r="AI54" s="192">
        <v>0</v>
      </c>
      <c r="AJ54" s="188">
        <v>34.799999999999997</v>
      </c>
      <c r="AO54" s="367"/>
      <c r="AP54" s="367"/>
      <c r="AQ54" s="367"/>
    </row>
    <row r="55" spans="1:43" s="69" customFormat="1" ht="26.1" customHeight="1" x14ac:dyDescent="0.3">
      <c r="A55" s="55" t="s">
        <v>145</v>
      </c>
      <c r="B55" s="53" t="s">
        <v>146</v>
      </c>
      <c r="C55" s="54" t="s">
        <v>50</v>
      </c>
      <c r="D55" s="75">
        <v>11.98</v>
      </c>
      <c r="E55" s="75"/>
      <c r="F55" s="75"/>
      <c r="G55" s="75"/>
      <c r="H55" s="75"/>
      <c r="I55" s="75"/>
      <c r="J55" s="75">
        <v>948.4</v>
      </c>
      <c r="K55" s="75">
        <v>11361.83</v>
      </c>
      <c r="L55" s="91" t="s">
        <v>147</v>
      </c>
      <c r="M55" s="73"/>
      <c r="N55" s="46">
        <v>9.8000000000000007</v>
      </c>
      <c r="O55" s="46">
        <v>0</v>
      </c>
      <c r="P55" s="46">
        <v>9294.32</v>
      </c>
      <c r="Q55" s="98"/>
      <c r="R55" s="23" t="s">
        <v>1431</v>
      </c>
      <c r="S55" s="24" t="s">
        <v>146</v>
      </c>
      <c r="T55" s="25" t="s">
        <v>50</v>
      </c>
      <c r="U55" s="26">
        <v>11.98</v>
      </c>
      <c r="V55" s="26">
        <f t="shared" si="12"/>
        <v>11.98</v>
      </c>
      <c r="W55" s="26">
        <f t="shared" si="5"/>
        <v>948.4</v>
      </c>
      <c r="X55" s="26">
        <f t="shared" si="9"/>
        <v>0</v>
      </c>
      <c r="Y55" s="26">
        <f t="shared" si="6"/>
        <v>9.8000000000000007</v>
      </c>
      <c r="Z55" s="26">
        <f t="shared" si="13"/>
        <v>0</v>
      </c>
      <c r="AA55" s="26">
        <f t="shared" si="7"/>
        <v>9294.32</v>
      </c>
      <c r="AB55" s="33" t="s">
        <v>15</v>
      </c>
      <c r="AC55" s="325"/>
      <c r="AD55" s="263">
        <f t="shared" si="2"/>
        <v>11.98</v>
      </c>
      <c r="AE55" s="263">
        <f t="shared" si="14"/>
        <v>11361.83</v>
      </c>
      <c r="AF55" s="263">
        <v>1.2</v>
      </c>
      <c r="AG55" s="263">
        <v>1.2</v>
      </c>
      <c r="AH55" s="68" t="str">
        <f t="shared" si="8"/>
        <v/>
      </c>
      <c r="AI55" s="194">
        <f>9.8</f>
        <v>9.8000000000000007</v>
      </c>
      <c r="AJ55" s="188">
        <v>11.98</v>
      </c>
      <c r="AO55" s="367"/>
      <c r="AP55" s="367"/>
      <c r="AQ55" s="367"/>
    </row>
    <row r="56" spans="1:43" s="69" customFormat="1" ht="26.1" customHeight="1" x14ac:dyDescent="0.3">
      <c r="A56" s="55" t="s">
        <v>148</v>
      </c>
      <c r="B56" s="53" t="s">
        <v>149</v>
      </c>
      <c r="C56" s="54" t="s">
        <v>50</v>
      </c>
      <c r="D56" s="75">
        <v>141.26</v>
      </c>
      <c r="E56" s="75"/>
      <c r="F56" s="75"/>
      <c r="G56" s="75"/>
      <c r="H56" s="75"/>
      <c r="I56" s="75"/>
      <c r="J56" s="75">
        <v>6163.46</v>
      </c>
      <c r="K56" s="75">
        <v>870650.36</v>
      </c>
      <c r="L56" s="91" t="s">
        <v>150</v>
      </c>
      <c r="M56" s="73"/>
      <c r="N56" s="46">
        <v>12</v>
      </c>
      <c r="O56" s="46">
        <v>0</v>
      </c>
      <c r="P56" s="46">
        <v>73961.52</v>
      </c>
      <c r="Q56" s="98"/>
      <c r="R56" s="23" t="s">
        <v>1395</v>
      </c>
      <c r="S56" s="24" t="s">
        <v>149</v>
      </c>
      <c r="T56" s="25" t="s">
        <v>50</v>
      </c>
      <c r="U56" s="26">
        <v>141.26</v>
      </c>
      <c r="V56" s="26">
        <f t="shared" si="12"/>
        <v>141.26</v>
      </c>
      <c r="W56" s="26">
        <f t="shared" si="5"/>
        <v>6163.46</v>
      </c>
      <c r="X56" s="128">
        <f t="shared" si="9"/>
        <v>0</v>
      </c>
      <c r="Y56" s="26">
        <f t="shared" si="6"/>
        <v>12</v>
      </c>
      <c r="Z56" s="26">
        <f t="shared" si="13"/>
        <v>0</v>
      </c>
      <c r="AA56" s="26">
        <f t="shared" si="7"/>
        <v>73961.52</v>
      </c>
      <c r="AB56" s="33" t="s">
        <v>15</v>
      </c>
      <c r="AC56" s="325"/>
      <c r="AD56" s="263">
        <f t="shared" si="2"/>
        <v>141.26</v>
      </c>
      <c r="AE56" s="263">
        <f t="shared" si="14"/>
        <v>870650.36</v>
      </c>
      <c r="AF56" s="263">
        <v>1.2</v>
      </c>
      <c r="AG56" s="263">
        <v>1.2</v>
      </c>
      <c r="AH56" s="68" t="str">
        <f t="shared" si="8"/>
        <v/>
      </c>
      <c r="AI56" s="194">
        <f>12</f>
        <v>12</v>
      </c>
      <c r="AJ56" s="188">
        <v>141.26</v>
      </c>
      <c r="AO56" s="367"/>
      <c r="AP56" s="367"/>
      <c r="AQ56" s="367"/>
    </row>
    <row r="57" spans="1:43" s="69" customFormat="1" ht="26.1" customHeight="1" x14ac:dyDescent="0.3">
      <c r="A57" s="130" t="s">
        <v>151</v>
      </c>
      <c r="B57" s="131" t="s">
        <v>152</v>
      </c>
      <c r="C57" s="132" t="s">
        <v>81</v>
      </c>
      <c r="D57" s="133">
        <v>1</v>
      </c>
      <c r="E57" s="75"/>
      <c r="F57" s="75"/>
      <c r="G57" s="75"/>
      <c r="H57" s="75"/>
      <c r="I57" s="75"/>
      <c r="J57" s="75">
        <v>169519.61</v>
      </c>
      <c r="K57" s="75">
        <v>169519.61</v>
      </c>
      <c r="L57" s="91" t="s">
        <v>153</v>
      </c>
      <c r="M57" s="73"/>
      <c r="N57" s="46">
        <v>1</v>
      </c>
      <c r="O57" s="46">
        <v>0</v>
      </c>
      <c r="P57" s="46">
        <v>169519.61</v>
      </c>
      <c r="Q57" s="98"/>
      <c r="R57" s="23" t="s">
        <v>1432</v>
      </c>
      <c r="S57" s="24" t="s">
        <v>152</v>
      </c>
      <c r="T57" s="25" t="s">
        <v>81</v>
      </c>
      <c r="U57" s="26">
        <v>1</v>
      </c>
      <c r="V57" s="26">
        <f t="shared" si="12"/>
        <v>1</v>
      </c>
      <c r="W57" s="26">
        <f t="shared" si="5"/>
        <v>169519.61</v>
      </c>
      <c r="X57" s="127">
        <f t="shared" si="9"/>
        <v>0</v>
      </c>
      <c r="Y57" s="127">
        <f t="shared" si="6"/>
        <v>1</v>
      </c>
      <c r="Z57" s="127">
        <f t="shared" si="13"/>
        <v>0</v>
      </c>
      <c r="AA57" s="127">
        <f t="shared" si="7"/>
        <v>169519.61</v>
      </c>
      <c r="AB57" s="33" t="s">
        <v>15</v>
      </c>
      <c r="AC57" s="324"/>
      <c r="AD57" s="181">
        <f t="shared" si="2"/>
        <v>1</v>
      </c>
      <c r="AE57" s="181">
        <f t="shared" si="14"/>
        <v>169519.61</v>
      </c>
      <c r="AF57" s="181">
        <v>1.2</v>
      </c>
      <c r="AG57" s="181">
        <v>1.2</v>
      </c>
      <c r="AH57" s="363" t="str">
        <f t="shared" si="8"/>
        <v/>
      </c>
      <c r="AI57" s="194">
        <f>1</f>
        <v>1</v>
      </c>
      <c r="AJ57" s="188">
        <v>1</v>
      </c>
      <c r="AO57" s="367"/>
      <c r="AP57" s="367"/>
      <c r="AQ57" s="367"/>
    </row>
    <row r="58" spans="1:43" s="69" customFormat="1" ht="26.1" customHeight="1" x14ac:dyDescent="0.3">
      <c r="A58" s="130" t="s">
        <v>154</v>
      </c>
      <c r="B58" s="131" t="s">
        <v>155</v>
      </c>
      <c r="C58" s="132" t="s">
        <v>81</v>
      </c>
      <c r="D58" s="133">
        <v>1</v>
      </c>
      <c r="E58" s="75"/>
      <c r="F58" s="75"/>
      <c r="G58" s="75"/>
      <c r="H58" s="75"/>
      <c r="I58" s="75"/>
      <c r="J58" s="75">
        <v>350211.64</v>
      </c>
      <c r="K58" s="75">
        <v>350211.64</v>
      </c>
      <c r="L58" s="91" t="s">
        <v>156</v>
      </c>
      <c r="M58" s="73"/>
      <c r="N58" s="46">
        <v>1</v>
      </c>
      <c r="O58" s="46">
        <v>0</v>
      </c>
      <c r="P58" s="46">
        <v>350211.64</v>
      </c>
      <c r="Q58" s="98"/>
      <c r="R58" s="23" t="s">
        <v>1433</v>
      </c>
      <c r="S58" s="24" t="s">
        <v>155</v>
      </c>
      <c r="T58" s="25" t="s">
        <v>81</v>
      </c>
      <c r="U58" s="26">
        <v>1</v>
      </c>
      <c r="V58" s="26">
        <f t="shared" si="12"/>
        <v>1</v>
      </c>
      <c r="W58" s="26">
        <f t="shared" si="5"/>
        <v>350211.64</v>
      </c>
      <c r="X58" s="127">
        <f t="shared" si="9"/>
        <v>0</v>
      </c>
      <c r="Y58" s="127">
        <f t="shared" si="6"/>
        <v>1</v>
      </c>
      <c r="Z58" s="127">
        <f t="shared" si="13"/>
        <v>0</v>
      </c>
      <c r="AA58" s="127">
        <f t="shared" si="7"/>
        <v>350211.64</v>
      </c>
      <c r="AB58" s="33" t="s">
        <v>15</v>
      </c>
      <c r="AC58" s="324"/>
      <c r="AD58" s="181">
        <f t="shared" si="2"/>
        <v>1</v>
      </c>
      <c r="AE58" s="181">
        <f t="shared" si="14"/>
        <v>350211.64</v>
      </c>
      <c r="AF58" s="181">
        <v>1.2</v>
      </c>
      <c r="AG58" s="181">
        <v>1.2</v>
      </c>
      <c r="AH58" s="363" t="str">
        <f t="shared" si="8"/>
        <v/>
      </c>
      <c r="AI58" s="194">
        <f>1</f>
        <v>1</v>
      </c>
      <c r="AJ58" s="188">
        <v>1</v>
      </c>
      <c r="AO58" s="367"/>
      <c r="AP58" s="367"/>
      <c r="AQ58" s="367"/>
    </row>
    <row r="59" spans="1:43" s="69" customFormat="1" ht="26.1" customHeight="1" x14ac:dyDescent="0.3">
      <c r="A59" s="55" t="s">
        <v>157</v>
      </c>
      <c r="B59" s="53" t="s">
        <v>158</v>
      </c>
      <c r="C59" s="54" t="s">
        <v>81</v>
      </c>
      <c r="D59" s="75">
        <v>1</v>
      </c>
      <c r="E59" s="75"/>
      <c r="F59" s="75"/>
      <c r="G59" s="75"/>
      <c r="H59" s="75"/>
      <c r="I59" s="75"/>
      <c r="J59" s="75">
        <v>309726.87</v>
      </c>
      <c r="K59" s="75">
        <v>309726.87</v>
      </c>
      <c r="L59" s="91" t="s">
        <v>159</v>
      </c>
      <c r="M59" s="73"/>
      <c r="N59" s="46">
        <v>0</v>
      </c>
      <c r="O59" s="46">
        <v>0</v>
      </c>
      <c r="P59" s="46">
        <v>0</v>
      </c>
      <c r="Q59" s="98"/>
      <c r="R59" s="23" t="s">
        <v>1382</v>
      </c>
      <c r="S59" s="24" t="s">
        <v>158</v>
      </c>
      <c r="T59" s="25" t="s">
        <v>81</v>
      </c>
      <c r="U59" s="26">
        <v>1</v>
      </c>
      <c r="V59" s="26">
        <f t="shared" si="12"/>
        <v>1</v>
      </c>
      <c r="W59" s="26">
        <f t="shared" si="5"/>
        <v>309726.87</v>
      </c>
      <c r="X59" s="243">
        <f t="shared" si="9"/>
        <v>0</v>
      </c>
      <c r="Y59" s="26">
        <f t="shared" si="6"/>
        <v>0</v>
      </c>
      <c r="Z59" s="26">
        <f t="shared" si="13"/>
        <v>0</v>
      </c>
      <c r="AA59" s="26">
        <f t="shared" si="7"/>
        <v>0</v>
      </c>
      <c r="AB59" s="33" t="s">
        <v>15</v>
      </c>
      <c r="AC59" s="324"/>
      <c r="AD59" s="181">
        <f t="shared" si="2"/>
        <v>1</v>
      </c>
      <c r="AE59" s="181">
        <f t="shared" si="14"/>
        <v>309726.87</v>
      </c>
      <c r="AF59" s="181">
        <v>1.2</v>
      </c>
      <c r="AG59" s="181">
        <v>1.2</v>
      </c>
      <c r="AH59" s="363" t="str">
        <f t="shared" si="8"/>
        <v/>
      </c>
      <c r="AI59" s="191">
        <v>0</v>
      </c>
      <c r="AJ59" s="188">
        <v>1</v>
      </c>
      <c r="AO59" s="367"/>
      <c r="AP59" s="367"/>
      <c r="AQ59" s="367"/>
    </row>
    <row r="60" spans="1:43" s="69" customFormat="1" ht="26.1" customHeight="1" x14ac:dyDescent="0.3">
      <c r="A60" s="130" t="s">
        <v>160</v>
      </c>
      <c r="B60" s="131" t="s">
        <v>161</v>
      </c>
      <c r="C60" s="132" t="s">
        <v>162</v>
      </c>
      <c r="D60" s="133">
        <v>19</v>
      </c>
      <c r="E60" s="75"/>
      <c r="F60" s="75"/>
      <c r="G60" s="75"/>
      <c r="H60" s="75"/>
      <c r="I60" s="75"/>
      <c r="J60" s="75">
        <v>1134.56</v>
      </c>
      <c r="K60" s="75">
        <v>21556.639999999999</v>
      </c>
      <c r="L60" s="91" t="s">
        <v>163</v>
      </c>
      <c r="M60" s="73"/>
      <c r="N60" s="46">
        <v>19</v>
      </c>
      <c r="O60" s="46">
        <v>0</v>
      </c>
      <c r="P60" s="46">
        <v>21556.639999999999</v>
      </c>
      <c r="Q60" s="98"/>
      <c r="R60" s="23" t="s">
        <v>1434</v>
      </c>
      <c r="S60" s="24" t="s">
        <v>161</v>
      </c>
      <c r="T60" s="25" t="s">
        <v>162</v>
      </c>
      <c r="U60" s="26">
        <v>19</v>
      </c>
      <c r="V60" s="26">
        <f t="shared" si="12"/>
        <v>19</v>
      </c>
      <c r="W60" s="26">
        <f t="shared" si="5"/>
        <v>1134.56</v>
      </c>
      <c r="X60" s="127">
        <f t="shared" si="9"/>
        <v>0</v>
      </c>
      <c r="Y60" s="127">
        <f t="shared" si="6"/>
        <v>19</v>
      </c>
      <c r="Z60" s="127">
        <f t="shared" si="13"/>
        <v>0</v>
      </c>
      <c r="AA60" s="127">
        <f t="shared" si="7"/>
        <v>21556.639999999999</v>
      </c>
      <c r="AB60" s="33" t="s">
        <v>15</v>
      </c>
      <c r="AC60" s="324"/>
      <c r="AD60" s="181">
        <f t="shared" si="2"/>
        <v>19</v>
      </c>
      <c r="AE60" s="181">
        <f t="shared" si="14"/>
        <v>21556.639999999999</v>
      </c>
      <c r="AF60" s="181">
        <v>1.2</v>
      </c>
      <c r="AG60" s="181">
        <v>1.2</v>
      </c>
      <c r="AH60" s="363" t="str">
        <f t="shared" si="8"/>
        <v/>
      </c>
      <c r="AI60" s="194">
        <f>14+5</f>
        <v>19</v>
      </c>
      <c r="AJ60" s="188">
        <v>19</v>
      </c>
      <c r="AO60" s="367"/>
      <c r="AP60" s="367"/>
      <c r="AQ60" s="367"/>
    </row>
    <row r="61" spans="1:43" s="69" customFormat="1" ht="26.1" customHeight="1" x14ac:dyDescent="0.3">
      <c r="A61" s="130" t="s">
        <v>164</v>
      </c>
      <c r="B61" s="131" t="s">
        <v>165</v>
      </c>
      <c r="C61" s="132" t="s">
        <v>103</v>
      </c>
      <c r="D61" s="133">
        <v>179.11</v>
      </c>
      <c r="E61" s="75"/>
      <c r="F61" s="75"/>
      <c r="G61" s="75"/>
      <c r="H61" s="75"/>
      <c r="I61" s="75"/>
      <c r="J61" s="120">
        <v>145.21</v>
      </c>
      <c r="K61" s="75">
        <v>26008.560000000001</v>
      </c>
      <c r="L61" s="91" t="s">
        <v>166</v>
      </c>
      <c r="M61" s="73"/>
      <c r="N61" s="46">
        <v>179.11</v>
      </c>
      <c r="O61" s="46">
        <v>0</v>
      </c>
      <c r="P61" s="46">
        <v>26008.560000000001</v>
      </c>
      <c r="Q61" s="98"/>
      <c r="R61" s="23" t="s">
        <v>1388</v>
      </c>
      <c r="S61" s="24" t="s">
        <v>165</v>
      </c>
      <c r="T61" s="25" t="s">
        <v>103</v>
      </c>
      <c r="U61" s="26">
        <v>179.11</v>
      </c>
      <c r="V61" s="26">
        <f t="shared" si="12"/>
        <v>179.11</v>
      </c>
      <c r="W61" s="26">
        <f t="shared" si="5"/>
        <v>145.21</v>
      </c>
      <c r="X61" s="127">
        <f t="shared" si="9"/>
        <v>0</v>
      </c>
      <c r="Y61" s="127">
        <f t="shared" si="6"/>
        <v>179.11</v>
      </c>
      <c r="Z61" s="127">
        <f t="shared" si="13"/>
        <v>0</v>
      </c>
      <c r="AA61" s="127">
        <f t="shared" si="7"/>
        <v>26008.560000000001</v>
      </c>
      <c r="AB61" s="33" t="s">
        <v>15</v>
      </c>
      <c r="AC61" s="324"/>
      <c r="AD61" s="181">
        <f t="shared" si="2"/>
        <v>179.11</v>
      </c>
      <c r="AE61" s="181">
        <f t="shared" si="14"/>
        <v>26008.560000000001</v>
      </c>
      <c r="AF61" s="181">
        <v>1.2</v>
      </c>
      <c r="AG61" s="181">
        <v>1.2</v>
      </c>
      <c r="AH61" s="363" t="str">
        <f t="shared" si="8"/>
        <v/>
      </c>
      <c r="AI61" s="194">
        <f>179.11</f>
        <v>179.11</v>
      </c>
      <c r="AJ61" s="188">
        <v>179.11</v>
      </c>
      <c r="AO61" s="367"/>
      <c r="AP61" s="367"/>
      <c r="AQ61" s="367"/>
    </row>
    <row r="62" spans="1:43" s="69" customFormat="1" ht="26.1" customHeight="1" x14ac:dyDescent="0.3">
      <c r="A62" s="55" t="s">
        <v>167</v>
      </c>
      <c r="B62" s="53" t="s">
        <v>168</v>
      </c>
      <c r="C62" s="54" t="s">
        <v>30</v>
      </c>
      <c r="D62" s="75">
        <v>789.8</v>
      </c>
      <c r="E62" s="75"/>
      <c r="F62" s="75"/>
      <c r="G62" s="75"/>
      <c r="H62" s="75"/>
      <c r="I62" s="75"/>
      <c r="J62" s="75">
        <v>2755.97</v>
      </c>
      <c r="K62" s="75">
        <v>2176665.11</v>
      </c>
      <c r="L62" s="91" t="s">
        <v>169</v>
      </c>
      <c r="M62" s="73"/>
      <c r="N62" s="46">
        <v>740.8</v>
      </c>
      <c r="O62" s="46">
        <v>0</v>
      </c>
      <c r="P62" s="46">
        <v>2041622.58</v>
      </c>
      <c r="Q62" s="98"/>
      <c r="R62" s="23" t="s">
        <v>1389</v>
      </c>
      <c r="S62" s="24" t="s">
        <v>168</v>
      </c>
      <c r="T62" s="25" t="s">
        <v>30</v>
      </c>
      <c r="U62" s="26">
        <v>789.8</v>
      </c>
      <c r="V62" s="26">
        <f t="shared" si="12"/>
        <v>789.8</v>
      </c>
      <c r="W62" s="26">
        <f t="shared" si="5"/>
        <v>2755.97</v>
      </c>
      <c r="X62" s="128">
        <f t="shared" si="9"/>
        <v>0</v>
      </c>
      <c r="Y62" s="26">
        <f t="shared" si="6"/>
        <v>740.8</v>
      </c>
      <c r="Z62" s="26">
        <f t="shared" si="13"/>
        <v>0</v>
      </c>
      <c r="AA62" s="26">
        <f t="shared" si="7"/>
        <v>2041622.58</v>
      </c>
      <c r="AB62" s="33" t="s">
        <v>15</v>
      </c>
      <c r="AC62" s="324"/>
      <c r="AD62" s="181">
        <f t="shared" si="2"/>
        <v>789.8</v>
      </c>
      <c r="AE62" s="181">
        <f t="shared" si="14"/>
        <v>2176665.11</v>
      </c>
      <c r="AF62" s="181">
        <v>1.2</v>
      </c>
      <c r="AG62" s="181">
        <v>1.2</v>
      </c>
      <c r="AH62" s="363" t="str">
        <f t="shared" si="8"/>
        <v/>
      </c>
      <c r="AI62" s="194">
        <v>740.8</v>
      </c>
      <c r="AJ62" s="188">
        <v>789.8</v>
      </c>
      <c r="AO62" s="367"/>
      <c r="AP62" s="367"/>
      <c r="AQ62" s="367"/>
    </row>
    <row r="63" spans="1:43" s="69" customFormat="1" ht="26.1" customHeight="1" x14ac:dyDescent="0.3">
      <c r="A63" s="55" t="s">
        <v>170</v>
      </c>
      <c r="B63" s="53" t="s">
        <v>171</v>
      </c>
      <c r="C63" s="54" t="s">
        <v>30</v>
      </c>
      <c r="D63" s="75">
        <v>31.3</v>
      </c>
      <c r="E63" s="75"/>
      <c r="F63" s="75"/>
      <c r="G63" s="75"/>
      <c r="H63" s="75"/>
      <c r="I63" s="75"/>
      <c r="J63" s="75">
        <v>576.79999999999995</v>
      </c>
      <c r="K63" s="75">
        <v>18053.84</v>
      </c>
      <c r="L63" s="91" t="s">
        <v>172</v>
      </c>
      <c r="M63" s="73"/>
      <c r="N63" s="46">
        <v>10.199999999999999</v>
      </c>
      <c r="O63" s="46">
        <v>0</v>
      </c>
      <c r="P63" s="46">
        <v>5883.36</v>
      </c>
      <c r="Q63" s="98"/>
      <c r="R63" s="23" t="s">
        <v>1390</v>
      </c>
      <c r="S63" s="24" t="s">
        <v>171</v>
      </c>
      <c r="T63" s="25" t="s">
        <v>30</v>
      </c>
      <c r="U63" s="26">
        <v>31.3</v>
      </c>
      <c r="V63" s="26">
        <f t="shared" si="12"/>
        <v>31.3</v>
      </c>
      <c r="W63" s="26">
        <f t="shared" si="5"/>
        <v>576.79999999999995</v>
      </c>
      <c r="X63" s="128">
        <f t="shared" si="9"/>
        <v>0</v>
      </c>
      <c r="Y63" s="26">
        <f t="shared" si="6"/>
        <v>10.199999999999999</v>
      </c>
      <c r="Z63" s="26">
        <f t="shared" si="13"/>
        <v>0</v>
      </c>
      <c r="AA63" s="26">
        <f t="shared" si="7"/>
        <v>5883.36</v>
      </c>
      <c r="AB63" s="33" t="s">
        <v>15</v>
      </c>
      <c r="AC63" s="324"/>
      <c r="AD63" s="181">
        <f t="shared" si="2"/>
        <v>31.3</v>
      </c>
      <c r="AE63" s="181">
        <f t="shared" si="14"/>
        <v>18053.84</v>
      </c>
      <c r="AF63" s="181">
        <v>1.2</v>
      </c>
      <c r="AG63" s="181">
        <v>1.2</v>
      </c>
      <c r="AH63" s="363" t="str">
        <f t="shared" si="8"/>
        <v/>
      </c>
      <c r="AI63" s="194">
        <v>10.199999999999999</v>
      </c>
      <c r="AJ63" s="188">
        <v>31.3</v>
      </c>
      <c r="AO63" s="367"/>
      <c r="AP63" s="367"/>
      <c r="AQ63" s="367"/>
    </row>
    <row r="64" spans="1:43" s="69" customFormat="1" ht="26.1" customHeight="1" x14ac:dyDescent="0.3">
      <c r="A64" s="55" t="s">
        <v>173</v>
      </c>
      <c r="B64" s="215" t="s">
        <v>174</v>
      </c>
      <c r="C64" s="54" t="s">
        <v>30</v>
      </c>
      <c r="D64" s="75">
        <v>360.35</v>
      </c>
      <c r="E64" s="75"/>
      <c r="F64" s="75"/>
      <c r="G64" s="75"/>
      <c r="H64" s="75"/>
      <c r="I64" s="75"/>
      <c r="J64" s="75">
        <v>615.34</v>
      </c>
      <c r="K64" s="75">
        <v>221737.77</v>
      </c>
      <c r="L64" s="91" t="s">
        <v>175</v>
      </c>
      <c r="M64" s="73"/>
      <c r="N64" s="46">
        <v>292</v>
      </c>
      <c r="O64" s="46">
        <v>0</v>
      </c>
      <c r="P64" s="46">
        <v>179679.28</v>
      </c>
      <c r="Q64" s="98"/>
      <c r="R64" s="23" t="s">
        <v>1391</v>
      </c>
      <c r="S64" s="24" t="s">
        <v>174</v>
      </c>
      <c r="T64" s="25" t="s">
        <v>30</v>
      </c>
      <c r="U64" s="26">
        <v>360.35</v>
      </c>
      <c r="V64" s="26">
        <f t="shared" si="12"/>
        <v>360.35</v>
      </c>
      <c r="W64" s="26">
        <f t="shared" si="5"/>
        <v>615.34</v>
      </c>
      <c r="X64" s="128">
        <f t="shared" si="9"/>
        <v>0</v>
      </c>
      <c r="Y64" s="26">
        <f t="shared" si="6"/>
        <v>292</v>
      </c>
      <c r="Z64" s="26">
        <f t="shared" si="13"/>
        <v>0</v>
      </c>
      <c r="AA64" s="26">
        <f t="shared" si="7"/>
        <v>179679.28</v>
      </c>
      <c r="AB64" s="33" t="s">
        <v>15</v>
      </c>
      <c r="AC64" s="325"/>
      <c r="AD64" s="263">
        <f t="shared" si="2"/>
        <v>360.35</v>
      </c>
      <c r="AE64" s="263">
        <f t="shared" si="14"/>
        <v>221737.77</v>
      </c>
      <c r="AF64" s="263">
        <v>1.2</v>
      </c>
      <c r="AG64" s="263">
        <v>1.2</v>
      </c>
      <c r="AH64" s="68" t="str">
        <f t="shared" si="8"/>
        <v/>
      </c>
      <c r="AI64" s="194">
        <v>292</v>
      </c>
      <c r="AJ64" s="188">
        <v>360.35</v>
      </c>
      <c r="AO64" s="367"/>
      <c r="AP64" s="367"/>
      <c r="AQ64" s="367"/>
    </row>
    <row r="65" spans="1:43" s="69" customFormat="1" ht="26.1" customHeight="1" x14ac:dyDescent="0.3">
      <c r="A65" s="130" t="s">
        <v>176</v>
      </c>
      <c r="B65" s="131" t="s">
        <v>177</v>
      </c>
      <c r="C65" s="132" t="s">
        <v>30</v>
      </c>
      <c r="D65" s="133">
        <v>691.14</v>
      </c>
      <c r="E65" s="75"/>
      <c r="F65" s="75"/>
      <c r="G65" s="75"/>
      <c r="H65" s="75"/>
      <c r="I65" s="75"/>
      <c r="J65" s="75">
        <v>685.3</v>
      </c>
      <c r="K65" s="75">
        <v>473638.24</v>
      </c>
      <c r="L65" s="91" t="s">
        <v>178</v>
      </c>
      <c r="M65" s="73"/>
      <c r="N65" s="46">
        <v>670</v>
      </c>
      <c r="O65" s="46">
        <v>0</v>
      </c>
      <c r="P65" s="46">
        <v>459151</v>
      </c>
      <c r="Q65" s="98"/>
      <c r="R65" s="23" t="s">
        <v>1436</v>
      </c>
      <c r="S65" s="24" t="s">
        <v>177</v>
      </c>
      <c r="T65" s="25" t="s">
        <v>30</v>
      </c>
      <c r="U65" s="26">
        <v>691.14</v>
      </c>
      <c r="V65" s="26">
        <f t="shared" si="12"/>
        <v>691.14</v>
      </c>
      <c r="W65" s="26">
        <f t="shared" si="5"/>
        <v>685.3</v>
      </c>
      <c r="X65" s="127">
        <f t="shared" si="9"/>
        <v>0</v>
      </c>
      <c r="Y65" s="127">
        <f t="shared" si="6"/>
        <v>670</v>
      </c>
      <c r="Z65" s="127">
        <f t="shared" si="13"/>
        <v>0</v>
      </c>
      <c r="AA65" s="127">
        <f t="shared" si="7"/>
        <v>459151</v>
      </c>
      <c r="AB65" s="33" t="s">
        <v>15</v>
      </c>
      <c r="AC65" s="324"/>
      <c r="AD65" s="181">
        <f t="shared" si="2"/>
        <v>691.14</v>
      </c>
      <c r="AE65" s="181">
        <f t="shared" si="14"/>
        <v>473638.24</v>
      </c>
      <c r="AF65" s="181">
        <v>1.2</v>
      </c>
      <c r="AG65" s="181">
        <v>1.2</v>
      </c>
      <c r="AH65" s="363" t="str">
        <f t="shared" si="8"/>
        <v/>
      </c>
      <c r="AI65" s="194">
        <v>670</v>
      </c>
      <c r="AJ65" s="188">
        <v>691.14</v>
      </c>
      <c r="AO65" s="367"/>
      <c r="AP65" s="367"/>
      <c r="AQ65" s="367"/>
    </row>
    <row r="66" spans="1:43" s="69" customFormat="1" ht="26.1" customHeight="1" x14ac:dyDescent="0.3">
      <c r="A66" s="130" t="s">
        <v>179</v>
      </c>
      <c r="B66" s="131" t="s">
        <v>180</v>
      </c>
      <c r="C66" s="132" t="s">
        <v>30</v>
      </c>
      <c r="D66" s="133">
        <v>890.62</v>
      </c>
      <c r="E66" s="75"/>
      <c r="F66" s="75"/>
      <c r="G66" s="75"/>
      <c r="H66" s="75"/>
      <c r="I66" s="75"/>
      <c r="J66" s="75">
        <v>699.72</v>
      </c>
      <c r="K66" s="75">
        <v>623184.63</v>
      </c>
      <c r="L66" s="91" t="s">
        <v>181</v>
      </c>
      <c r="M66" s="73"/>
      <c r="N66" s="46">
        <v>884.1</v>
      </c>
      <c r="O66" s="46">
        <v>0</v>
      </c>
      <c r="P66" s="46">
        <v>618622.44999999995</v>
      </c>
      <c r="Q66" s="98"/>
      <c r="R66" s="23" t="s">
        <v>1374</v>
      </c>
      <c r="S66" s="24" t="s">
        <v>180</v>
      </c>
      <c r="T66" s="25" t="s">
        <v>30</v>
      </c>
      <c r="U66" s="26">
        <v>890.62</v>
      </c>
      <c r="V66" s="26">
        <f t="shared" si="12"/>
        <v>890.62</v>
      </c>
      <c r="W66" s="26">
        <f t="shared" si="5"/>
        <v>699.72</v>
      </c>
      <c r="X66" s="127">
        <f t="shared" si="9"/>
        <v>0</v>
      </c>
      <c r="Y66" s="127">
        <f t="shared" si="6"/>
        <v>884.1</v>
      </c>
      <c r="Z66" s="127">
        <f t="shared" si="13"/>
        <v>0</v>
      </c>
      <c r="AA66" s="127">
        <f t="shared" si="7"/>
        <v>618622.44999999995</v>
      </c>
      <c r="AB66" s="33" t="s">
        <v>15</v>
      </c>
      <c r="AC66" s="324"/>
      <c r="AD66" s="181">
        <f t="shared" si="2"/>
        <v>890.62</v>
      </c>
      <c r="AE66" s="181">
        <f t="shared" si="14"/>
        <v>623184.63</v>
      </c>
      <c r="AF66" s="181">
        <v>1.2</v>
      </c>
      <c r="AG66" s="181">
        <v>1.2</v>
      </c>
      <c r="AH66" s="363" t="str">
        <f t="shared" si="8"/>
        <v/>
      </c>
      <c r="AI66" s="194">
        <v>884.1</v>
      </c>
      <c r="AJ66" s="188">
        <v>890.62</v>
      </c>
      <c r="AO66" s="367"/>
      <c r="AP66" s="367"/>
      <c r="AQ66" s="367"/>
    </row>
    <row r="67" spans="1:43" s="69" customFormat="1" ht="26.1" customHeight="1" x14ac:dyDescent="0.3">
      <c r="A67" s="130" t="s">
        <v>182</v>
      </c>
      <c r="B67" s="131" t="s">
        <v>183</v>
      </c>
      <c r="C67" s="132" t="s">
        <v>30</v>
      </c>
      <c r="D67" s="133">
        <v>85.77</v>
      </c>
      <c r="E67" s="75"/>
      <c r="F67" s="75"/>
      <c r="G67" s="75"/>
      <c r="H67" s="75"/>
      <c r="I67" s="75"/>
      <c r="J67" s="75">
        <v>1199.33</v>
      </c>
      <c r="K67" s="75">
        <v>102866.53</v>
      </c>
      <c r="L67" s="91" t="s">
        <v>184</v>
      </c>
      <c r="M67" s="73"/>
      <c r="N67" s="46">
        <v>80.5</v>
      </c>
      <c r="O67" s="46">
        <v>0</v>
      </c>
      <c r="P67" s="46">
        <v>96546.07</v>
      </c>
      <c r="Q67" s="98"/>
      <c r="R67" s="23" t="s">
        <v>1376</v>
      </c>
      <c r="S67" s="24" t="s">
        <v>183</v>
      </c>
      <c r="T67" s="25" t="s">
        <v>30</v>
      </c>
      <c r="U67" s="26">
        <v>85.77</v>
      </c>
      <c r="V67" s="26">
        <f t="shared" si="12"/>
        <v>85.77</v>
      </c>
      <c r="W67" s="26">
        <f t="shared" si="5"/>
        <v>1199.33</v>
      </c>
      <c r="X67" s="127">
        <f t="shared" si="9"/>
        <v>0</v>
      </c>
      <c r="Y67" s="127">
        <f t="shared" si="6"/>
        <v>80.5</v>
      </c>
      <c r="Z67" s="127">
        <f t="shared" si="13"/>
        <v>0</v>
      </c>
      <c r="AA67" s="127">
        <f t="shared" si="7"/>
        <v>96546.07</v>
      </c>
      <c r="AB67" s="33" t="s">
        <v>15</v>
      </c>
      <c r="AC67" s="324"/>
      <c r="AD67" s="181">
        <f t="shared" si="2"/>
        <v>85.77</v>
      </c>
      <c r="AE67" s="181">
        <f t="shared" si="14"/>
        <v>102866.53</v>
      </c>
      <c r="AF67" s="181">
        <v>1.2</v>
      </c>
      <c r="AG67" s="181">
        <v>1.2</v>
      </c>
      <c r="AH67" s="363" t="str">
        <f t="shared" si="8"/>
        <v/>
      </c>
      <c r="AI67" s="194">
        <f>12+26.5+42</f>
        <v>80.5</v>
      </c>
      <c r="AJ67" s="188">
        <v>85.77</v>
      </c>
      <c r="AO67" s="367"/>
      <c r="AP67" s="367"/>
      <c r="AQ67" s="367"/>
    </row>
    <row r="68" spans="1:43" s="69" customFormat="1" ht="26.1" customHeight="1" x14ac:dyDescent="0.3">
      <c r="A68" s="130" t="s">
        <v>185</v>
      </c>
      <c r="B68" s="131" t="s">
        <v>186</v>
      </c>
      <c r="C68" s="132" t="s">
        <v>30</v>
      </c>
      <c r="D68" s="133">
        <v>187.82</v>
      </c>
      <c r="E68" s="75"/>
      <c r="F68" s="75"/>
      <c r="G68" s="75"/>
      <c r="H68" s="75"/>
      <c r="I68" s="75"/>
      <c r="J68" s="75">
        <v>57.68</v>
      </c>
      <c r="K68" s="75">
        <v>10833.46</v>
      </c>
      <c r="L68" s="91" t="s">
        <v>187</v>
      </c>
      <c r="M68" s="73"/>
      <c r="N68" s="46">
        <v>181.8</v>
      </c>
      <c r="O68" s="46">
        <v>0</v>
      </c>
      <c r="P68" s="46">
        <v>10486.22</v>
      </c>
      <c r="Q68" s="98"/>
      <c r="R68" s="23" t="s">
        <v>1378</v>
      </c>
      <c r="S68" s="24" t="s">
        <v>186</v>
      </c>
      <c r="T68" s="25" t="s">
        <v>30</v>
      </c>
      <c r="U68" s="26">
        <v>187.82</v>
      </c>
      <c r="V68" s="26">
        <f t="shared" si="12"/>
        <v>187.82</v>
      </c>
      <c r="W68" s="26">
        <f t="shared" si="5"/>
        <v>57.68</v>
      </c>
      <c r="X68" s="127">
        <f t="shared" si="9"/>
        <v>0</v>
      </c>
      <c r="Y68" s="127">
        <f t="shared" si="6"/>
        <v>181.8</v>
      </c>
      <c r="Z68" s="127">
        <f t="shared" si="13"/>
        <v>0</v>
      </c>
      <c r="AA68" s="127">
        <f t="shared" si="7"/>
        <v>10486.22</v>
      </c>
      <c r="AB68" s="33" t="s">
        <v>15</v>
      </c>
      <c r="AC68" s="324"/>
      <c r="AD68" s="181">
        <f t="shared" si="2"/>
        <v>187.82</v>
      </c>
      <c r="AE68" s="181">
        <f t="shared" si="14"/>
        <v>10833.46</v>
      </c>
      <c r="AF68" s="181">
        <v>1.2</v>
      </c>
      <c r="AG68" s="181">
        <v>1.2</v>
      </c>
      <c r="AH68" s="363" t="str">
        <f t="shared" si="8"/>
        <v/>
      </c>
      <c r="AI68" s="194">
        <f>132.6+49.2</f>
        <v>181.8</v>
      </c>
      <c r="AJ68" s="188">
        <v>187.82</v>
      </c>
      <c r="AO68" s="367"/>
      <c r="AP68" s="367"/>
      <c r="AQ68" s="367"/>
    </row>
    <row r="69" spans="1:43" s="69" customFormat="1" ht="26.1" customHeight="1" x14ac:dyDescent="0.3">
      <c r="A69" s="55" t="s">
        <v>188</v>
      </c>
      <c r="B69" s="53" t="s">
        <v>189</v>
      </c>
      <c r="C69" s="54" t="s">
        <v>30</v>
      </c>
      <c r="D69" s="75">
        <v>18.809999999999999</v>
      </c>
      <c r="E69" s="75"/>
      <c r="F69" s="75"/>
      <c r="G69" s="75"/>
      <c r="H69" s="75"/>
      <c r="I69" s="75"/>
      <c r="J69" s="75">
        <v>138.84</v>
      </c>
      <c r="K69" s="75">
        <v>2611.58</v>
      </c>
      <c r="L69" s="91" t="s">
        <v>190</v>
      </c>
      <c r="M69" s="73"/>
      <c r="N69" s="46">
        <v>15.2</v>
      </c>
      <c r="O69" s="46">
        <v>0</v>
      </c>
      <c r="P69" s="46">
        <v>2110.37</v>
      </c>
      <c r="Q69" s="98"/>
      <c r="R69" s="23" t="s">
        <v>1438</v>
      </c>
      <c r="S69" s="24" t="s">
        <v>189</v>
      </c>
      <c r="T69" s="25" t="s">
        <v>30</v>
      </c>
      <c r="U69" s="26">
        <v>18.809999999999999</v>
      </c>
      <c r="V69" s="26">
        <f t="shared" si="12"/>
        <v>18.809999999999999</v>
      </c>
      <c r="W69" s="26">
        <f t="shared" si="5"/>
        <v>138.84</v>
      </c>
      <c r="X69" s="26">
        <f t="shared" si="9"/>
        <v>0</v>
      </c>
      <c r="Y69" s="26">
        <f t="shared" si="6"/>
        <v>15.2</v>
      </c>
      <c r="Z69" s="26">
        <f t="shared" si="13"/>
        <v>0</v>
      </c>
      <c r="AA69" s="26">
        <f t="shared" si="7"/>
        <v>2110.37</v>
      </c>
      <c r="AB69" s="33" t="s">
        <v>15</v>
      </c>
      <c r="AC69" s="325"/>
      <c r="AD69" s="263">
        <f t="shared" si="2"/>
        <v>18.809999999999999</v>
      </c>
      <c r="AE69" s="263">
        <f t="shared" si="14"/>
        <v>2611.58</v>
      </c>
      <c r="AF69" s="263">
        <v>1.2</v>
      </c>
      <c r="AG69" s="263">
        <v>1.2</v>
      </c>
      <c r="AH69" s="68" t="str">
        <f t="shared" si="8"/>
        <v/>
      </c>
      <c r="AI69" s="194">
        <f>15.2</f>
        <v>15.2</v>
      </c>
      <c r="AJ69" s="188">
        <v>18.809999999999999</v>
      </c>
      <c r="AO69" s="367"/>
      <c r="AP69" s="367"/>
      <c r="AQ69" s="367"/>
    </row>
    <row r="70" spans="1:43" s="69" customFormat="1" ht="26.1" customHeight="1" x14ac:dyDescent="0.3">
      <c r="A70" s="55" t="s">
        <v>191</v>
      </c>
      <c r="B70" s="53" t="s">
        <v>192</v>
      </c>
      <c r="C70" s="54" t="s">
        <v>50</v>
      </c>
      <c r="D70" s="75">
        <v>20.48</v>
      </c>
      <c r="E70" s="75"/>
      <c r="F70" s="75"/>
      <c r="G70" s="75"/>
      <c r="H70" s="75"/>
      <c r="I70" s="75"/>
      <c r="J70" s="75">
        <v>2145.42</v>
      </c>
      <c r="K70" s="75">
        <v>43938.2</v>
      </c>
      <c r="L70" s="91" t="s">
        <v>193</v>
      </c>
      <c r="M70" s="73"/>
      <c r="N70" s="46">
        <v>19.5</v>
      </c>
      <c r="O70" s="46">
        <v>0</v>
      </c>
      <c r="P70" s="46">
        <v>41835.69</v>
      </c>
      <c r="Q70" s="98"/>
      <c r="R70" s="23" t="s">
        <v>1439</v>
      </c>
      <c r="S70" s="24" t="s">
        <v>192</v>
      </c>
      <c r="T70" s="25" t="s">
        <v>50</v>
      </c>
      <c r="U70" s="26">
        <v>20.48</v>
      </c>
      <c r="V70" s="26">
        <f t="shared" si="12"/>
        <v>20.48</v>
      </c>
      <c r="W70" s="26">
        <f t="shared" si="5"/>
        <v>2145.42</v>
      </c>
      <c r="X70" s="128">
        <f t="shared" si="9"/>
        <v>0</v>
      </c>
      <c r="Y70" s="26">
        <f t="shared" si="6"/>
        <v>19.5</v>
      </c>
      <c r="Z70" s="26">
        <f t="shared" si="13"/>
        <v>0</v>
      </c>
      <c r="AA70" s="26">
        <f t="shared" si="7"/>
        <v>41835.69</v>
      </c>
      <c r="AB70" s="33" t="s">
        <v>15</v>
      </c>
      <c r="AC70" s="325"/>
      <c r="AD70" s="263">
        <f t="shared" si="2"/>
        <v>20.48</v>
      </c>
      <c r="AE70" s="263">
        <f t="shared" si="14"/>
        <v>43938.2</v>
      </c>
      <c r="AF70" s="263">
        <v>1.2</v>
      </c>
      <c r="AG70" s="263">
        <v>1.2</v>
      </c>
      <c r="AH70" s="68" t="str">
        <f t="shared" si="8"/>
        <v/>
      </c>
      <c r="AI70" s="194">
        <f>15.2+4.3</f>
        <v>19.5</v>
      </c>
      <c r="AJ70" s="188">
        <v>20.48</v>
      </c>
      <c r="AO70" s="367"/>
      <c r="AP70" s="367"/>
      <c r="AQ70" s="367"/>
    </row>
    <row r="71" spans="1:43" s="69" customFormat="1" ht="26.1" customHeight="1" x14ac:dyDescent="0.3">
      <c r="A71" s="130" t="s">
        <v>194</v>
      </c>
      <c r="B71" s="131" t="s">
        <v>195</v>
      </c>
      <c r="C71" s="132" t="s">
        <v>30</v>
      </c>
      <c r="D71" s="133">
        <v>354.7</v>
      </c>
      <c r="E71" s="75"/>
      <c r="F71" s="75"/>
      <c r="G71" s="75"/>
      <c r="H71" s="75"/>
      <c r="I71" s="328">
        <v>400.18</v>
      </c>
      <c r="J71" s="75">
        <v>511.4</v>
      </c>
      <c r="K71" s="75">
        <v>204652.05</v>
      </c>
      <c r="L71" s="91" t="s">
        <v>3143</v>
      </c>
      <c r="M71" s="73"/>
      <c r="N71" s="46">
        <v>386.69999999999993</v>
      </c>
      <c r="O71" s="46">
        <v>0</v>
      </c>
      <c r="P71" s="46">
        <v>197758.38</v>
      </c>
      <c r="Q71" s="98"/>
      <c r="R71" s="23" t="s">
        <v>1440</v>
      </c>
      <c r="S71" s="24" t="s">
        <v>195</v>
      </c>
      <c r="T71" s="25" t="s">
        <v>30</v>
      </c>
      <c r="U71" s="26">
        <v>354.7</v>
      </c>
      <c r="V71" s="26">
        <f t="shared" si="12"/>
        <v>400.18</v>
      </c>
      <c r="W71" s="26">
        <f t="shared" si="5"/>
        <v>511.4</v>
      </c>
      <c r="X71" s="127">
        <f t="shared" si="9"/>
        <v>0</v>
      </c>
      <c r="Y71" s="127">
        <f t="shared" si="6"/>
        <v>386.69999999999993</v>
      </c>
      <c r="Z71" s="127">
        <f t="shared" si="13"/>
        <v>0</v>
      </c>
      <c r="AA71" s="127">
        <f t="shared" si="7"/>
        <v>197758.38</v>
      </c>
      <c r="AB71" s="33" t="s">
        <v>15</v>
      </c>
      <c r="AC71" s="325"/>
      <c r="AD71" s="263">
        <f t="shared" si="2"/>
        <v>400.18</v>
      </c>
      <c r="AE71" s="263">
        <f t="shared" si="14"/>
        <v>204652.05</v>
      </c>
      <c r="AF71" s="263">
        <v>1.2</v>
      </c>
      <c r="AG71" s="263">
        <v>1.2</v>
      </c>
      <c r="AH71" s="68" t="str">
        <f t="shared" si="8"/>
        <v/>
      </c>
      <c r="AI71" s="194">
        <f>127+51.2+107.1+69.4+32</f>
        <v>386.69999999999993</v>
      </c>
      <c r="AJ71" s="190">
        <v>400.18</v>
      </c>
      <c r="AO71" s="367"/>
      <c r="AP71" s="367"/>
      <c r="AQ71" s="367"/>
    </row>
    <row r="72" spans="1:43" s="69" customFormat="1" ht="26.1" customHeight="1" x14ac:dyDescent="0.3">
      <c r="A72" s="130" t="s">
        <v>197</v>
      </c>
      <c r="B72" s="131" t="s">
        <v>198</v>
      </c>
      <c r="C72" s="132" t="s">
        <v>30</v>
      </c>
      <c r="D72" s="133">
        <v>44.7</v>
      </c>
      <c r="E72" s="75"/>
      <c r="F72" s="75"/>
      <c r="G72" s="75"/>
      <c r="H72" s="75"/>
      <c r="I72" s="328"/>
      <c r="J72" s="75">
        <v>578.86</v>
      </c>
      <c r="K72" s="75">
        <v>25875.040000000001</v>
      </c>
      <c r="L72" s="91" t="s">
        <v>199</v>
      </c>
      <c r="M72" s="73"/>
      <c r="N72" s="46">
        <v>41.7</v>
      </c>
      <c r="O72" s="46">
        <v>0</v>
      </c>
      <c r="P72" s="46">
        <v>24138.46</v>
      </c>
      <c r="Q72" s="98"/>
      <c r="R72" s="23" t="s">
        <v>1441</v>
      </c>
      <c r="S72" s="24" t="s">
        <v>198</v>
      </c>
      <c r="T72" s="25" t="s">
        <v>30</v>
      </c>
      <c r="U72" s="26">
        <v>44.7</v>
      </c>
      <c r="V72" s="26">
        <f t="shared" si="12"/>
        <v>44.7</v>
      </c>
      <c r="W72" s="26">
        <f t="shared" si="5"/>
        <v>578.86</v>
      </c>
      <c r="X72" s="127">
        <f t="shared" si="9"/>
        <v>0</v>
      </c>
      <c r="Y72" s="127">
        <f t="shared" si="6"/>
        <v>41.7</v>
      </c>
      <c r="Z72" s="127">
        <f t="shared" si="13"/>
        <v>0</v>
      </c>
      <c r="AA72" s="127">
        <f t="shared" si="7"/>
        <v>24138.46</v>
      </c>
      <c r="AB72" s="33" t="s">
        <v>15</v>
      </c>
      <c r="AC72" s="325"/>
      <c r="AD72" s="263">
        <f t="shared" si="2"/>
        <v>44.7</v>
      </c>
      <c r="AE72" s="263">
        <f t="shared" si="14"/>
        <v>25875.040000000001</v>
      </c>
      <c r="AF72" s="263">
        <v>1.2</v>
      </c>
      <c r="AG72" s="263">
        <v>1.2</v>
      </c>
      <c r="AH72" s="68" t="str">
        <f t="shared" si="8"/>
        <v/>
      </c>
      <c r="AI72" s="194">
        <v>41.7</v>
      </c>
      <c r="AJ72" s="188">
        <v>44.7</v>
      </c>
      <c r="AO72" s="367"/>
      <c r="AP72" s="367"/>
      <c r="AQ72" s="367"/>
    </row>
    <row r="73" spans="1:43" s="69" customFormat="1" ht="26.1" customHeight="1" x14ac:dyDescent="0.3">
      <c r="A73" s="55" t="s">
        <v>200</v>
      </c>
      <c r="B73" s="53" t="s">
        <v>201</v>
      </c>
      <c r="C73" s="54" t="s">
        <v>30</v>
      </c>
      <c r="D73" s="75">
        <v>31</v>
      </c>
      <c r="E73" s="75"/>
      <c r="F73" s="75"/>
      <c r="G73" s="75"/>
      <c r="H73" s="75"/>
      <c r="I73" s="328"/>
      <c r="J73" s="75">
        <v>723.06</v>
      </c>
      <c r="K73" s="75">
        <v>22414.86</v>
      </c>
      <c r="L73" s="91" t="s">
        <v>202</v>
      </c>
      <c r="M73" s="73"/>
      <c r="N73" s="46">
        <v>29</v>
      </c>
      <c r="O73" s="46">
        <v>0</v>
      </c>
      <c r="P73" s="46">
        <v>20968.740000000002</v>
      </c>
      <c r="Q73" s="98"/>
      <c r="R73" s="23" t="s">
        <v>1442</v>
      </c>
      <c r="S73" s="24" t="s">
        <v>201</v>
      </c>
      <c r="T73" s="25" t="s">
        <v>30</v>
      </c>
      <c r="U73" s="26">
        <v>31</v>
      </c>
      <c r="V73" s="26">
        <f t="shared" si="12"/>
        <v>31</v>
      </c>
      <c r="W73" s="26">
        <f t="shared" si="5"/>
        <v>723.06</v>
      </c>
      <c r="X73" s="128">
        <f t="shared" si="9"/>
        <v>0</v>
      </c>
      <c r="Y73" s="26">
        <f t="shared" si="6"/>
        <v>29</v>
      </c>
      <c r="Z73" s="26">
        <f t="shared" si="13"/>
        <v>0</v>
      </c>
      <c r="AA73" s="26">
        <f t="shared" si="7"/>
        <v>20968.740000000002</v>
      </c>
      <c r="AB73" s="33" t="s">
        <v>15</v>
      </c>
      <c r="AC73" s="325"/>
      <c r="AD73" s="263">
        <f t="shared" si="2"/>
        <v>31</v>
      </c>
      <c r="AE73" s="263">
        <f t="shared" si="14"/>
        <v>22414.86</v>
      </c>
      <c r="AF73" s="263">
        <v>1.2</v>
      </c>
      <c r="AG73" s="263">
        <v>1.2</v>
      </c>
      <c r="AH73" s="68" t="str">
        <f t="shared" si="8"/>
        <v/>
      </c>
      <c r="AI73" s="194">
        <v>29</v>
      </c>
      <c r="AJ73" s="188">
        <v>31</v>
      </c>
      <c r="AO73" s="367"/>
      <c r="AP73" s="367"/>
      <c r="AQ73" s="367"/>
    </row>
    <row r="74" spans="1:43" s="69" customFormat="1" ht="26.1" customHeight="1" x14ac:dyDescent="0.3">
      <c r="A74" s="55" t="s">
        <v>203</v>
      </c>
      <c r="B74" s="53" t="s">
        <v>204</v>
      </c>
      <c r="C74" s="54" t="s">
        <v>30</v>
      </c>
      <c r="D74" s="75">
        <v>18.100000000000001</v>
      </c>
      <c r="E74" s="75"/>
      <c r="F74" s="75"/>
      <c r="G74" s="75"/>
      <c r="H74" s="75"/>
      <c r="I74" s="328"/>
      <c r="J74" s="75">
        <v>829.15</v>
      </c>
      <c r="K74" s="75">
        <v>15007.62</v>
      </c>
      <c r="L74" s="91" t="s">
        <v>205</v>
      </c>
      <c r="M74" s="73"/>
      <c r="N74" s="46">
        <v>12</v>
      </c>
      <c r="O74" s="46">
        <v>0</v>
      </c>
      <c r="P74" s="46">
        <v>9949.7999999999993</v>
      </c>
      <c r="Q74" s="98"/>
      <c r="R74" s="23" t="s">
        <v>1443</v>
      </c>
      <c r="S74" s="24" t="s">
        <v>204</v>
      </c>
      <c r="T74" s="25" t="s">
        <v>30</v>
      </c>
      <c r="U74" s="26">
        <v>18.100000000000001</v>
      </c>
      <c r="V74" s="26">
        <f t="shared" si="12"/>
        <v>18.100000000000001</v>
      </c>
      <c r="W74" s="26">
        <f t="shared" si="5"/>
        <v>829.15</v>
      </c>
      <c r="X74" s="128">
        <f t="shared" si="9"/>
        <v>0</v>
      </c>
      <c r="Y74" s="26">
        <f t="shared" si="6"/>
        <v>12</v>
      </c>
      <c r="Z74" s="26">
        <f t="shared" si="13"/>
        <v>0</v>
      </c>
      <c r="AA74" s="26">
        <f t="shared" si="7"/>
        <v>9949.7999999999993</v>
      </c>
      <c r="AB74" s="33" t="s">
        <v>15</v>
      </c>
      <c r="AC74" s="325"/>
      <c r="AD74" s="263">
        <f t="shared" ref="AD74:AD137" si="15">IF(V74=0,U74,V74)</f>
        <v>18.100000000000001</v>
      </c>
      <c r="AE74" s="263">
        <f t="shared" si="14"/>
        <v>15007.62</v>
      </c>
      <c r="AF74" s="263">
        <v>1.2</v>
      </c>
      <c r="AG74" s="263">
        <v>1.2</v>
      </c>
      <c r="AH74" s="68" t="str">
        <f t="shared" si="8"/>
        <v/>
      </c>
      <c r="AI74" s="194">
        <v>12</v>
      </c>
      <c r="AJ74" s="188">
        <v>18.100000000000001</v>
      </c>
      <c r="AO74" s="367"/>
      <c r="AP74" s="367"/>
      <c r="AQ74" s="367"/>
    </row>
    <row r="75" spans="1:43" s="69" customFormat="1" ht="26.1" customHeight="1" x14ac:dyDescent="0.3">
      <c r="A75" s="55" t="s">
        <v>206</v>
      </c>
      <c r="B75" s="53" t="s">
        <v>207</v>
      </c>
      <c r="C75" s="54" t="s">
        <v>30</v>
      </c>
      <c r="D75" s="75">
        <v>180.4</v>
      </c>
      <c r="E75" s="75"/>
      <c r="F75" s="75"/>
      <c r="G75" s="75"/>
      <c r="H75" s="75"/>
      <c r="I75" s="328"/>
      <c r="J75" s="75">
        <v>443.93</v>
      </c>
      <c r="K75" s="75">
        <v>80084.97</v>
      </c>
      <c r="L75" s="91" t="s">
        <v>208</v>
      </c>
      <c r="M75" s="73"/>
      <c r="N75" s="46">
        <v>60</v>
      </c>
      <c r="O75" s="46">
        <v>0</v>
      </c>
      <c r="P75" s="46">
        <v>26635.8</v>
      </c>
      <c r="Q75" s="98"/>
      <c r="R75" s="23" t="s">
        <v>1444</v>
      </c>
      <c r="S75" s="24" t="s">
        <v>207</v>
      </c>
      <c r="T75" s="25" t="s">
        <v>30</v>
      </c>
      <c r="U75" s="26">
        <v>180.4</v>
      </c>
      <c r="V75" s="26">
        <f t="shared" si="12"/>
        <v>180.4</v>
      </c>
      <c r="W75" s="26">
        <f t="shared" ref="W75:W138" si="16">J75</f>
        <v>443.93</v>
      </c>
      <c r="X75" s="128">
        <f t="shared" si="9"/>
        <v>0</v>
      </c>
      <c r="Y75" s="26">
        <f t="shared" si="6"/>
        <v>60</v>
      </c>
      <c r="Z75" s="26">
        <f t="shared" si="13"/>
        <v>0</v>
      </c>
      <c r="AA75" s="26">
        <f t="shared" si="7"/>
        <v>26635.8</v>
      </c>
      <c r="AB75" s="33" t="s">
        <v>15</v>
      </c>
      <c r="AC75" s="324"/>
      <c r="AD75" s="181">
        <f t="shared" si="15"/>
        <v>180.4</v>
      </c>
      <c r="AE75" s="181">
        <f t="shared" si="14"/>
        <v>80084.97</v>
      </c>
      <c r="AF75" s="181">
        <v>1.2</v>
      </c>
      <c r="AG75" s="181">
        <v>1.2</v>
      </c>
      <c r="AH75" s="363" t="str">
        <f t="shared" si="8"/>
        <v/>
      </c>
      <c r="AI75" s="194">
        <v>60</v>
      </c>
      <c r="AJ75" s="188">
        <v>180.4</v>
      </c>
      <c r="AO75" s="367"/>
      <c r="AP75" s="367"/>
      <c r="AQ75" s="367"/>
    </row>
    <row r="76" spans="1:43" s="69" customFormat="1" ht="26.1" customHeight="1" x14ac:dyDescent="0.3">
      <c r="A76" s="130" t="s">
        <v>209</v>
      </c>
      <c r="B76" s="131" t="s">
        <v>210</v>
      </c>
      <c r="C76" s="132" t="s">
        <v>30</v>
      </c>
      <c r="D76" s="133">
        <v>25.6</v>
      </c>
      <c r="E76" s="75"/>
      <c r="F76" s="75"/>
      <c r="G76" s="75"/>
      <c r="H76" s="75"/>
      <c r="I76" s="328"/>
      <c r="J76" s="75">
        <v>578.86</v>
      </c>
      <c r="K76" s="75">
        <v>14818.82</v>
      </c>
      <c r="L76" s="91" t="s">
        <v>211</v>
      </c>
      <c r="M76" s="73"/>
      <c r="N76" s="46">
        <v>24</v>
      </c>
      <c r="O76" s="46">
        <v>0</v>
      </c>
      <c r="P76" s="46">
        <v>13892.64</v>
      </c>
      <c r="Q76" s="98"/>
      <c r="R76" s="23" t="s">
        <v>1408</v>
      </c>
      <c r="S76" s="24" t="s">
        <v>210</v>
      </c>
      <c r="T76" s="25" t="s">
        <v>30</v>
      </c>
      <c r="U76" s="26">
        <v>25.6</v>
      </c>
      <c r="V76" s="26">
        <f t="shared" si="12"/>
        <v>25.6</v>
      </c>
      <c r="W76" s="26">
        <f t="shared" si="16"/>
        <v>578.86</v>
      </c>
      <c r="X76" s="127">
        <f t="shared" si="9"/>
        <v>0</v>
      </c>
      <c r="Y76" s="127">
        <f t="shared" si="6"/>
        <v>24</v>
      </c>
      <c r="Z76" s="127">
        <f t="shared" si="13"/>
        <v>0</v>
      </c>
      <c r="AA76" s="127">
        <f t="shared" si="7"/>
        <v>13892.64</v>
      </c>
      <c r="AB76" s="33" t="s">
        <v>15</v>
      </c>
      <c r="AC76" s="325"/>
      <c r="AD76" s="263">
        <f t="shared" si="15"/>
        <v>25.6</v>
      </c>
      <c r="AE76" s="263">
        <f t="shared" si="14"/>
        <v>14818.82</v>
      </c>
      <c r="AF76" s="263">
        <v>1.2</v>
      </c>
      <c r="AG76" s="263">
        <v>1.2</v>
      </c>
      <c r="AH76" s="68" t="str">
        <f t="shared" si="8"/>
        <v/>
      </c>
      <c r="AI76" s="194">
        <v>24</v>
      </c>
      <c r="AJ76" s="188">
        <v>25.6</v>
      </c>
      <c r="AO76" s="367"/>
      <c r="AP76" s="367"/>
      <c r="AQ76" s="367"/>
    </row>
    <row r="77" spans="1:43" s="69" customFormat="1" ht="26.1" customHeight="1" x14ac:dyDescent="0.3">
      <c r="A77" s="130" t="s">
        <v>212</v>
      </c>
      <c r="B77" s="131" t="s">
        <v>213</v>
      </c>
      <c r="C77" s="132" t="s">
        <v>81</v>
      </c>
      <c r="D77" s="133">
        <v>7</v>
      </c>
      <c r="E77" s="75"/>
      <c r="F77" s="75"/>
      <c r="G77" s="75"/>
      <c r="H77" s="75"/>
      <c r="I77" s="328"/>
      <c r="J77" s="75">
        <v>17307.09</v>
      </c>
      <c r="K77" s="75">
        <v>121149.63</v>
      </c>
      <c r="L77" s="91" t="s">
        <v>214</v>
      </c>
      <c r="M77" s="73"/>
      <c r="N77" s="46">
        <v>7</v>
      </c>
      <c r="O77" s="46">
        <v>0</v>
      </c>
      <c r="P77" s="46">
        <v>121149.63</v>
      </c>
      <c r="Q77" s="98"/>
      <c r="R77" s="23" t="s">
        <v>1409</v>
      </c>
      <c r="S77" s="24" t="s">
        <v>213</v>
      </c>
      <c r="T77" s="25" t="s">
        <v>81</v>
      </c>
      <c r="U77" s="26">
        <v>7</v>
      </c>
      <c r="V77" s="26">
        <f t="shared" si="12"/>
        <v>7</v>
      </c>
      <c r="W77" s="26">
        <f t="shared" si="16"/>
        <v>17307.09</v>
      </c>
      <c r="X77" s="127">
        <f t="shared" si="9"/>
        <v>0</v>
      </c>
      <c r="Y77" s="127">
        <f t="shared" ref="Y77:Y140" si="17">X77+N77</f>
        <v>7</v>
      </c>
      <c r="Z77" s="127">
        <f t="shared" si="13"/>
        <v>0</v>
      </c>
      <c r="AA77" s="127">
        <f t="shared" ref="AA77:AA149" si="18">ROUND(W77*Y77,2)</f>
        <v>121149.63</v>
      </c>
      <c r="AB77" s="33" t="s">
        <v>15</v>
      </c>
      <c r="AC77" s="325"/>
      <c r="AD77" s="263">
        <f t="shared" si="15"/>
        <v>7</v>
      </c>
      <c r="AE77" s="263">
        <f t="shared" si="14"/>
        <v>121149.63</v>
      </c>
      <c r="AF77" s="263">
        <v>1.2</v>
      </c>
      <c r="AG77" s="263">
        <v>1.2</v>
      </c>
      <c r="AH77" s="68" t="str">
        <f t="shared" ref="AH77:AH149" si="19">IF(Y77&gt;AJ77,"超估","")</f>
        <v/>
      </c>
      <c r="AI77" s="194">
        <v>7</v>
      </c>
      <c r="AJ77" s="188">
        <v>7</v>
      </c>
      <c r="AO77" s="367"/>
      <c r="AP77" s="367"/>
      <c r="AQ77" s="367"/>
    </row>
    <row r="78" spans="1:43" s="69" customFormat="1" ht="26.1" customHeight="1" x14ac:dyDescent="0.3">
      <c r="A78" s="130" t="s">
        <v>215</v>
      </c>
      <c r="B78" s="131" t="s">
        <v>216</v>
      </c>
      <c r="C78" s="132" t="s">
        <v>30</v>
      </c>
      <c r="D78" s="133">
        <v>7.8</v>
      </c>
      <c r="E78" s="75"/>
      <c r="F78" s="75"/>
      <c r="G78" s="75"/>
      <c r="H78" s="75"/>
      <c r="I78" s="328"/>
      <c r="J78" s="75">
        <v>443.93</v>
      </c>
      <c r="K78" s="75">
        <v>3462.65</v>
      </c>
      <c r="L78" s="91" t="s">
        <v>217</v>
      </c>
      <c r="M78" s="73"/>
      <c r="N78" s="46">
        <v>7.5</v>
      </c>
      <c r="O78" s="46">
        <v>0</v>
      </c>
      <c r="P78" s="46">
        <v>3329.48</v>
      </c>
      <c r="Q78" s="98"/>
      <c r="R78" s="23" t="s">
        <v>1410</v>
      </c>
      <c r="S78" s="24" t="s">
        <v>216</v>
      </c>
      <c r="T78" s="25" t="s">
        <v>30</v>
      </c>
      <c r="U78" s="26">
        <v>7.8</v>
      </c>
      <c r="V78" s="26">
        <f t="shared" si="12"/>
        <v>7.8</v>
      </c>
      <c r="W78" s="26">
        <f t="shared" si="16"/>
        <v>443.93</v>
      </c>
      <c r="X78" s="127">
        <f t="shared" ref="X78:X141" si="20">AI78-N78</f>
        <v>0</v>
      </c>
      <c r="Y78" s="127">
        <f t="shared" si="17"/>
        <v>7.5</v>
      </c>
      <c r="Z78" s="127">
        <f t="shared" si="13"/>
        <v>0</v>
      </c>
      <c r="AA78" s="127">
        <f t="shared" si="18"/>
        <v>3329.48</v>
      </c>
      <c r="AB78" s="33" t="s">
        <v>15</v>
      </c>
      <c r="AC78" s="324"/>
      <c r="AD78" s="181">
        <f t="shared" si="15"/>
        <v>7.8</v>
      </c>
      <c r="AE78" s="181">
        <f t="shared" si="14"/>
        <v>3462.65</v>
      </c>
      <c r="AF78" s="181">
        <v>1.2</v>
      </c>
      <c r="AG78" s="181">
        <v>1.2</v>
      </c>
      <c r="AH78" s="363" t="str">
        <f t="shared" si="19"/>
        <v/>
      </c>
      <c r="AI78" s="194">
        <v>7.5</v>
      </c>
      <c r="AJ78" s="188">
        <v>7.8</v>
      </c>
      <c r="AO78" s="367"/>
      <c r="AP78" s="367"/>
      <c r="AQ78" s="367"/>
    </row>
    <row r="79" spans="1:43" s="69" customFormat="1" ht="26.1" customHeight="1" x14ac:dyDescent="0.3">
      <c r="A79" s="130" t="s">
        <v>218</v>
      </c>
      <c r="B79" s="131" t="s">
        <v>219</v>
      </c>
      <c r="C79" s="132" t="s">
        <v>81</v>
      </c>
      <c r="D79" s="133">
        <v>2</v>
      </c>
      <c r="E79" s="75"/>
      <c r="F79" s="75"/>
      <c r="G79" s="75"/>
      <c r="H79" s="75"/>
      <c r="I79" s="328"/>
      <c r="J79" s="75">
        <v>13705.7</v>
      </c>
      <c r="K79" s="75">
        <v>27411.4</v>
      </c>
      <c r="L79" s="91" t="s">
        <v>220</v>
      </c>
      <c r="M79" s="73"/>
      <c r="N79" s="46">
        <v>2</v>
      </c>
      <c r="O79" s="46">
        <v>0</v>
      </c>
      <c r="P79" s="46">
        <v>27411.4</v>
      </c>
      <c r="Q79" s="98"/>
      <c r="R79" s="23" t="s">
        <v>1411</v>
      </c>
      <c r="S79" s="24" t="s">
        <v>219</v>
      </c>
      <c r="T79" s="25" t="s">
        <v>81</v>
      </c>
      <c r="U79" s="26">
        <v>2</v>
      </c>
      <c r="V79" s="26">
        <f t="shared" si="12"/>
        <v>2</v>
      </c>
      <c r="W79" s="26">
        <f t="shared" si="16"/>
        <v>13705.7</v>
      </c>
      <c r="X79" s="127">
        <f t="shared" si="20"/>
        <v>0</v>
      </c>
      <c r="Y79" s="127">
        <f t="shared" si="17"/>
        <v>2</v>
      </c>
      <c r="Z79" s="127">
        <f t="shared" si="13"/>
        <v>0</v>
      </c>
      <c r="AA79" s="127">
        <f t="shared" si="18"/>
        <v>27411.4</v>
      </c>
      <c r="AB79" s="33" t="s">
        <v>15</v>
      </c>
      <c r="AC79" s="324"/>
      <c r="AD79" s="181">
        <f t="shared" si="15"/>
        <v>2</v>
      </c>
      <c r="AE79" s="181">
        <f t="shared" si="14"/>
        <v>27411.4</v>
      </c>
      <c r="AF79" s="181">
        <v>1.2</v>
      </c>
      <c r="AG79" s="181">
        <v>1.2</v>
      </c>
      <c r="AH79" s="363" t="str">
        <f t="shared" si="19"/>
        <v/>
      </c>
      <c r="AI79" s="194">
        <v>2</v>
      </c>
      <c r="AJ79" s="188">
        <v>2</v>
      </c>
      <c r="AO79" s="367"/>
      <c r="AP79" s="367"/>
      <c r="AQ79" s="367"/>
    </row>
    <row r="80" spans="1:43" s="69" customFormat="1" ht="26.1" customHeight="1" x14ac:dyDescent="0.3">
      <c r="A80" s="130" t="s">
        <v>221</v>
      </c>
      <c r="B80" s="131" t="s">
        <v>222</v>
      </c>
      <c r="C80" s="132" t="s">
        <v>81</v>
      </c>
      <c r="D80" s="133">
        <v>3</v>
      </c>
      <c r="E80" s="75"/>
      <c r="F80" s="75"/>
      <c r="G80" s="75"/>
      <c r="H80" s="75"/>
      <c r="I80" s="328"/>
      <c r="J80" s="75">
        <v>25126.95</v>
      </c>
      <c r="K80" s="75">
        <v>75380.850000000006</v>
      </c>
      <c r="L80" s="91" t="s">
        <v>223</v>
      </c>
      <c r="M80" s="73"/>
      <c r="N80" s="46">
        <v>3</v>
      </c>
      <c r="O80" s="46">
        <v>0</v>
      </c>
      <c r="P80" s="46">
        <v>75380.850000000006</v>
      </c>
      <c r="Q80" s="98"/>
      <c r="R80" s="23" t="s">
        <v>1445</v>
      </c>
      <c r="S80" s="24" t="s">
        <v>222</v>
      </c>
      <c r="T80" s="25" t="s">
        <v>81</v>
      </c>
      <c r="U80" s="26">
        <v>3</v>
      </c>
      <c r="V80" s="26">
        <f t="shared" si="12"/>
        <v>3</v>
      </c>
      <c r="W80" s="26">
        <f t="shared" si="16"/>
        <v>25126.95</v>
      </c>
      <c r="X80" s="127">
        <f t="shared" si="20"/>
        <v>0</v>
      </c>
      <c r="Y80" s="127">
        <f t="shared" si="17"/>
        <v>3</v>
      </c>
      <c r="Z80" s="127">
        <f t="shared" si="13"/>
        <v>0</v>
      </c>
      <c r="AA80" s="127">
        <f t="shared" si="18"/>
        <v>75380.850000000006</v>
      </c>
      <c r="AB80" s="33" t="s">
        <v>15</v>
      </c>
      <c r="AC80" s="324"/>
      <c r="AD80" s="181">
        <f t="shared" si="15"/>
        <v>3</v>
      </c>
      <c r="AE80" s="181">
        <f t="shared" si="14"/>
        <v>75380.850000000006</v>
      </c>
      <c r="AF80" s="181">
        <v>1.2</v>
      </c>
      <c r="AG80" s="181">
        <v>1.2</v>
      </c>
      <c r="AH80" s="363" t="str">
        <f t="shared" si="19"/>
        <v/>
      </c>
      <c r="AI80" s="194">
        <v>3</v>
      </c>
      <c r="AJ80" s="188">
        <v>3</v>
      </c>
      <c r="AO80" s="367"/>
      <c r="AP80" s="367"/>
      <c r="AQ80" s="367"/>
    </row>
    <row r="81" spans="1:43" s="69" customFormat="1" ht="26.1" customHeight="1" x14ac:dyDescent="0.3">
      <c r="A81" s="130" t="s">
        <v>224</v>
      </c>
      <c r="B81" s="131" t="s">
        <v>225</v>
      </c>
      <c r="C81" s="132" t="s">
        <v>30</v>
      </c>
      <c r="D81" s="133">
        <v>18</v>
      </c>
      <c r="E81" s="75"/>
      <c r="F81" s="75"/>
      <c r="G81" s="75"/>
      <c r="H81" s="75"/>
      <c r="I81" s="328"/>
      <c r="J81" s="75">
        <v>2901.57</v>
      </c>
      <c r="K81" s="75">
        <v>52228.26</v>
      </c>
      <c r="L81" s="91" t="s">
        <v>226</v>
      </c>
      <c r="M81" s="73"/>
      <c r="N81" s="46">
        <v>13.1</v>
      </c>
      <c r="O81" s="46">
        <v>0</v>
      </c>
      <c r="P81" s="46">
        <v>38010.57</v>
      </c>
      <c r="Q81" s="98"/>
      <c r="R81" s="23" t="s">
        <v>1383</v>
      </c>
      <c r="S81" s="24" t="s">
        <v>225</v>
      </c>
      <c r="T81" s="25" t="s">
        <v>30</v>
      </c>
      <c r="U81" s="26">
        <v>18</v>
      </c>
      <c r="V81" s="26">
        <f t="shared" si="12"/>
        <v>18</v>
      </c>
      <c r="W81" s="26">
        <f t="shared" si="16"/>
        <v>2901.57</v>
      </c>
      <c r="X81" s="127">
        <f t="shared" si="20"/>
        <v>0</v>
      </c>
      <c r="Y81" s="127">
        <f t="shared" si="17"/>
        <v>13.1</v>
      </c>
      <c r="Z81" s="127">
        <f t="shared" si="13"/>
        <v>0</v>
      </c>
      <c r="AA81" s="127">
        <f t="shared" si="18"/>
        <v>38010.57</v>
      </c>
      <c r="AB81" s="33" t="s">
        <v>15</v>
      </c>
      <c r="AC81" s="325"/>
      <c r="AD81" s="263">
        <f t="shared" si="15"/>
        <v>18</v>
      </c>
      <c r="AE81" s="263">
        <f t="shared" si="14"/>
        <v>52228.26</v>
      </c>
      <c r="AF81" s="263">
        <v>1.2</v>
      </c>
      <c r="AG81" s="263">
        <v>1.2</v>
      </c>
      <c r="AH81" s="68" t="str">
        <f t="shared" si="19"/>
        <v/>
      </c>
      <c r="AI81" s="194">
        <v>13.1</v>
      </c>
      <c r="AJ81" s="188">
        <v>18</v>
      </c>
      <c r="AO81" s="367"/>
      <c r="AP81" s="367"/>
      <c r="AQ81" s="367"/>
    </row>
    <row r="82" spans="1:43" s="69" customFormat="1" ht="26.1" customHeight="1" x14ac:dyDescent="0.3">
      <c r="A82" s="130" t="s">
        <v>227</v>
      </c>
      <c r="B82" s="131" t="s">
        <v>228</v>
      </c>
      <c r="C82" s="132" t="s">
        <v>30</v>
      </c>
      <c r="D82" s="133">
        <v>17.100000000000001</v>
      </c>
      <c r="E82" s="75"/>
      <c r="F82" s="75"/>
      <c r="G82" s="75"/>
      <c r="H82" s="75"/>
      <c r="I82" s="343">
        <v>49</v>
      </c>
      <c r="J82" s="75">
        <v>1762.96</v>
      </c>
      <c r="K82" s="75">
        <v>86385.04</v>
      </c>
      <c r="L82" s="91" t="s">
        <v>229</v>
      </c>
      <c r="M82" s="73"/>
      <c r="N82" s="46">
        <v>47.1</v>
      </c>
      <c r="O82" s="46">
        <v>0</v>
      </c>
      <c r="P82" s="46">
        <v>83035.42</v>
      </c>
      <c r="Q82" s="98"/>
      <c r="R82" s="23" t="s">
        <v>1384</v>
      </c>
      <c r="S82" s="24" t="s">
        <v>228</v>
      </c>
      <c r="T82" s="25" t="s">
        <v>30</v>
      </c>
      <c r="U82" s="26">
        <v>17.100000000000001</v>
      </c>
      <c r="V82" s="26">
        <f t="shared" si="12"/>
        <v>49</v>
      </c>
      <c r="W82" s="26">
        <f t="shared" si="16"/>
        <v>1762.96</v>
      </c>
      <c r="X82" s="127">
        <f t="shared" si="20"/>
        <v>0</v>
      </c>
      <c r="Y82" s="127">
        <f t="shared" si="17"/>
        <v>47.1</v>
      </c>
      <c r="Z82" s="127">
        <f t="shared" si="13"/>
        <v>0</v>
      </c>
      <c r="AA82" s="127">
        <f t="shared" si="18"/>
        <v>83035.42</v>
      </c>
      <c r="AB82" s="33" t="s">
        <v>15</v>
      </c>
      <c r="AC82" s="324"/>
      <c r="AD82" s="181">
        <f t="shared" si="15"/>
        <v>49</v>
      </c>
      <c r="AE82" s="181">
        <f t="shared" si="14"/>
        <v>86385.04</v>
      </c>
      <c r="AF82" s="181">
        <v>1.2</v>
      </c>
      <c r="AG82" s="181">
        <v>1.2</v>
      </c>
      <c r="AH82" s="363" t="str">
        <f t="shared" si="19"/>
        <v/>
      </c>
      <c r="AI82" s="194">
        <v>47.1</v>
      </c>
      <c r="AJ82" s="190">
        <v>49</v>
      </c>
      <c r="AO82" s="367"/>
      <c r="AP82" s="367"/>
      <c r="AQ82" s="367"/>
    </row>
    <row r="83" spans="1:43" s="69" customFormat="1" ht="26.1" customHeight="1" x14ac:dyDescent="0.3">
      <c r="A83" s="130" t="s">
        <v>230</v>
      </c>
      <c r="B83" s="131" t="s">
        <v>231</v>
      </c>
      <c r="C83" s="132" t="s">
        <v>30</v>
      </c>
      <c r="D83" s="133">
        <v>77.400000000000006</v>
      </c>
      <c r="E83" s="75"/>
      <c r="F83" s="75"/>
      <c r="G83" s="75"/>
      <c r="H83" s="75"/>
      <c r="I83" s="343">
        <v>92.1</v>
      </c>
      <c r="J83" s="75">
        <v>1224.3</v>
      </c>
      <c r="K83" s="75">
        <v>112758.03</v>
      </c>
      <c r="L83" s="91" t="s">
        <v>232</v>
      </c>
      <c r="M83" s="73"/>
      <c r="N83" s="46">
        <v>77.400000000000006</v>
      </c>
      <c r="O83" s="46">
        <v>0</v>
      </c>
      <c r="P83" s="46">
        <v>94760.82</v>
      </c>
      <c r="Q83" s="98"/>
      <c r="R83" s="23" t="s">
        <v>1385</v>
      </c>
      <c r="S83" s="24" t="s">
        <v>231</v>
      </c>
      <c r="T83" s="25" t="s">
        <v>30</v>
      </c>
      <c r="U83" s="26">
        <v>77.400000000000006</v>
      </c>
      <c r="V83" s="26">
        <f t="shared" si="12"/>
        <v>92.1</v>
      </c>
      <c r="W83" s="26">
        <f t="shared" si="16"/>
        <v>1224.3</v>
      </c>
      <c r="X83" s="127">
        <f t="shared" si="20"/>
        <v>0</v>
      </c>
      <c r="Y83" s="127">
        <f t="shared" si="17"/>
        <v>77.400000000000006</v>
      </c>
      <c r="Z83" s="127">
        <f t="shared" si="13"/>
        <v>0</v>
      </c>
      <c r="AA83" s="127">
        <f t="shared" si="18"/>
        <v>94760.82</v>
      </c>
      <c r="AB83" s="33" t="s">
        <v>15</v>
      </c>
      <c r="AC83" s="325"/>
      <c r="AD83" s="263">
        <f t="shared" si="15"/>
        <v>92.1</v>
      </c>
      <c r="AE83" s="263">
        <f t="shared" si="14"/>
        <v>112758.03</v>
      </c>
      <c r="AF83" s="263">
        <v>1.2</v>
      </c>
      <c r="AG83" s="263">
        <v>1.2</v>
      </c>
      <c r="AH83" s="68" t="str">
        <f t="shared" si="19"/>
        <v/>
      </c>
      <c r="AI83" s="194">
        <f>56+21.4</f>
        <v>77.400000000000006</v>
      </c>
      <c r="AJ83" s="190">
        <v>92.1</v>
      </c>
      <c r="AO83" s="367"/>
      <c r="AP83" s="367"/>
      <c r="AQ83" s="367"/>
    </row>
    <row r="84" spans="1:43" s="69" customFormat="1" ht="26.1" customHeight="1" x14ac:dyDescent="0.3">
      <c r="A84" s="130" t="s">
        <v>233</v>
      </c>
      <c r="B84" s="131" t="s">
        <v>234</v>
      </c>
      <c r="C84" s="132" t="s">
        <v>30</v>
      </c>
      <c r="D84" s="133">
        <v>32.5</v>
      </c>
      <c r="E84" s="75"/>
      <c r="F84" s="75"/>
      <c r="G84" s="75"/>
      <c r="H84" s="75"/>
      <c r="I84" s="343">
        <v>0</v>
      </c>
      <c r="J84" s="75">
        <v>1148.7</v>
      </c>
      <c r="K84" s="75">
        <v>0</v>
      </c>
      <c r="L84" s="91" t="s">
        <v>235</v>
      </c>
      <c r="M84" s="73"/>
      <c r="N84" s="46">
        <v>0</v>
      </c>
      <c r="O84" s="46">
        <v>0</v>
      </c>
      <c r="P84" s="46">
        <v>0</v>
      </c>
      <c r="Q84" s="98"/>
      <c r="R84" s="23" t="s">
        <v>1446</v>
      </c>
      <c r="S84" s="24" t="s">
        <v>234</v>
      </c>
      <c r="T84" s="25" t="s">
        <v>30</v>
      </c>
      <c r="U84" s="26">
        <v>32.5</v>
      </c>
      <c r="V84" s="26">
        <v>0</v>
      </c>
      <c r="W84" s="26">
        <f t="shared" si="16"/>
        <v>1148.7</v>
      </c>
      <c r="X84" s="127">
        <f t="shared" si="20"/>
        <v>0</v>
      </c>
      <c r="Y84" s="127">
        <f t="shared" si="17"/>
        <v>0</v>
      </c>
      <c r="Z84" s="127">
        <f t="shared" si="13"/>
        <v>0</v>
      </c>
      <c r="AA84" s="127">
        <f t="shared" si="18"/>
        <v>0</v>
      </c>
      <c r="AB84" s="33" t="s">
        <v>15</v>
      </c>
      <c r="AC84" s="324"/>
      <c r="AD84" s="181">
        <v>0</v>
      </c>
      <c r="AE84" s="181">
        <f t="shared" si="14"/>
        <v>0</v>
      </c>
      <c r="AF84" s="181">
        <v>1.2</v>
      </c>
      <c r="AG84" s="181">
        <v>1.2</v>
      </c>
      <c r="AH84" s="363" t="str">
        <f t="shared" si="19"/>
        <v/>
      </c>
      <c r="AI84" s="192">
        <v>0</v>
      </c>
      <c r="AJ84" s="188">
        <v>0</v>
      </c>
      <c r="AO84" s="367"/>
      <c r="AP84" s="367"/>
      <c r="AQ84" s="367"/>
    </row>
    <row r="85" spans="1:43" s="69" customFormat="1" ht="26.1" customHeight="1" x14ac:dyDescent="0.3">
      <c r="A85" s="55" t="s">
        <v>236</v>
      </c>
      <c r="B85" s="53" t="s">
        <v>237</v>
      </c>
      <c r="C85" s="54" t="s">
        <v>81</v>
      </c>
      <c r="D85" s="75">
        <v>1</v>
      </c>
      <c r="E85" s="75"/>
      <c r="F85" s="75"/>
      <c r="G85" s="75"/>
      <c r="H85" s="75"/>
      <c r="I85" s="328"/>
      <c r="J85" s="75">
        <v>19780.169999999998</v>
      </c>
      <c r="K85" s="75">
        <v>19780.169999999998</v>
      </c>
      <c r="L85" s="91" t="s">
        <v>238</v>
      </c>
      <c r="M85" s="73"/>
      <c r="N85" s="46">
        <v>0</v>
      </c>
      <c r="O85" s="46">
        <v>0</v>
      </c>
      <c r="P85" s="46">
        <v>0</v>
      </c>
      <c r="Q85" s="98"/>
      <c r="R85" s="23" t="s">
        <v>1447</v>
      </c>
      <c r="S85" s="24" t="s">
        <v>237</v>
      </c>
      <c r="T85" s="25" t="s">
        <v>81</v>
      </c>
      <c r="U85" s="26">
        <v>1</v>
      </c>
      <c r="V85" s="26">
        <f t="shared" si="12"/>
        <v>1</v>
      </c>
      <c r="W85" s="26">
        <f t="shared" si="16"/>
        <v>19780.169999999998</v>
      </c>
      <c r="X85" s="243">
        <f t="shared" si="20"/>
        <v>0</v>
      </c>
      <c r="Y85" s="26">
        <f t="shared" si="17"/>
        <v>0</v>
      </c>
      <c r="Z85" s="26">
        <f t="shared" si="13"/>
        <v>0</v>
      </c>
      <c r="AA85" s="26">
        <f t="shared" si="18"/>
        <v>0</v>
      </c>
      <c r="AB85" s="33" t="s">
        <v>15</v>
      </c>
      <c r="AC85" s="324"/>
      <c r="AD85" s="181">
        <f t="shared" si="15"/>
        <v>1</v>
      </c>
      <c r="AE85" s="181">
        <f t="shared" si="14"/>
        <v>19780.169999999998</v>
      </c>
      <c r="AF85" s="181">
        <v>1.2</v>
      </c>
      <c r="AG85" s="181">
        <v>1.2</v>
      </c>
      <c r="AH85" s="363" t="str">
        <f t="shared" si="19"/>
        <v/>
      </c>
      <c r="AI85" s="191">
        <v>0</v>
      </c>
      <c r="AJ85" s="188">
        <v>1</v>
      </c>
      <c r="AO85" s="367"/>
      <c r="AP85" s="367"/>
      <c r="AQ85" s="367"/>
    </row>
    <row r="86" spans="1:43" s="69" customFormat="1" ht="26.1" customHeight="1" x14ac:dyDescent="0.3">
      <c r="A86" s="55" t="s">
        <v>239</v>
      </c>
      <c r="B86" s="53" t="s">
        <v>240</v>
      </c>
      <c r="C86" s="54" t="s">
        <v>81</v>
      </c>
      <c r="D86" s="75">
        <v>1</v>
      </c>
      <c r="E86" s="75"/>
      <c r="F86" s="75"/>
      <c r="G86" s="75"/>
      <c r="H86" s="75"/>
      <c r="I86" s="328"/>
      <c r="J86" s="75">
        <v>1218.03</v>
      </c>
      <c r="K86" s="75">
        <v>1218.03</v>
      </c>
      <c r="L86" s="91" t="s">
        <v>241</v>
      </c>
      <c r="M86" s="73"/>
      <c r="N86" s="46">
        <v>0</v>
      </c>
      <c r="O86" s="46">
        <v>0</v>
      </c>
      <c r="P86" s="46">
        <v>0</v>
      </c>
      <c r="Q86" s="98"/>
      <c r="R86" s="23" t="s">
        <v>1448</v>
      </c>
      <c r="S86" s="24" t="s">
        <v>240</v>
      </c>
      <c r="T86" s="25" t="s">
        <v>81</v>
      </c>
      <c r="U86" s="26">
        <v>1</v>
      </c>
      <c r="V86" s="26">
        <f t="shared" si="12"/>
        <v>1</v>
      </c>
      <c r="W86" s="26">
        <f t="shared" si="16"/>
        <v>1218.03</v>
      </c>
      <c r="X86" s="243">
        <f t="shared" si="20"/>
        <v>0</v>
      </c>
      <c r="Y86" s="26">
        <f t="shared" si="17"/>
        <v>0</v>
      </c>
      <c r="Z86" s="26">
        <f t="shared" si="13"/>
        <v>0</v>
      </c>
      <c r="AA86" s="26">
        <f t="shared" si="18"/>
        <v>0</v>
      </c>
      <c r="AB86" s="33" t="s">
        <v>15</v>
      </c>
      <c r="AC86" s="324"/>
      <c r="AD86" s="181">
        <f t="shared" si="15"/>
        <v>1</v>
      </c>
      <c r="AE86" s="181">
        <f t="shared" si="14"/>
        <v>1218.03</v>
      </c>
      <c r="AF86" s="181">
        <v>1.2</v>
      </c>
      <c r="AG86" s="181">
        <v>1.2</v>
      </c>
      <c r="AH86" s="363" t="str">
        <f t="shared" si="19"/>
        <v/>
      </c>
      <c r="AI86" s="191">
        <v>0</v>
      </c>
      <c r="AJ86" s="188">
        <v>1</v>
      </c>
      <c r="AO86" s="367"/>
      <c r="AP86" s="367"/>
      <c r="AQ86" s="367"/>
    </row>
    <row r="87" spans="1:43" s="69" customFormat="1" ht="26.1" customHeight="1" x14ac:dyDescent="0.3">
      <c r="A87" s="55" t="s">
        <v>242</v>
      </c>
      <c r="B87" s="53" t="s">
        <v>243</v>
      </c>
      <c r="C87" s="54" t="s">
        <v>81</v>
      </c>
      <c r="D87" s="75">
        <v>1</v>
      </c>
      <c r="E87" s="75"/>
      <c r="F87" s="75"/>
      <c r="G87" s="75"/>
      <c r="H87" s="75"/>
      <c r="I87" s="328"/>
      <c r="J87" s="75">
        <v>3110.7</v>
      </c>
      <c r="K87" s="75">
        <v>3110.7</v>
      </c>
      <c r="L87" s="91" t="s">
        <v>244</v>
      </c>
      <c r="M87" s="73"/>
      <c r="N87" s="46">
        <v>0</v>
      </c>
      <c r="O87" s="46">
        <v>0</v>
      </c>
      <c r="P87" s="46">
        <v>0</v>
      </c>
      <c r="Q87" s="98"/>
      <c r="R87" s="23" t="s">
        <v>1449</v>
      </c>
      <c r="S87" s="24" t="s">
        <v>243</v>
      </c>
      <c r="T87" s="25" t="s">
        <v>81</v>
      </c>
      <c r="U87" s="26">
        <v>1</v>
      </c>
      <c r="V87" s="26">
        <f t="shared" si="12"/>
        <v>1</v>
      </c>
      <c r="W87" s="26">
        <f t="shared" si="16"/>
        <v>3110.7</v>
      </c>
      <c r="X87" s="243">
        <f t="shared" si="20"/>
        <v>0</v>
      </c>
      <c r="Y87" s="26">
        <f t="shared" si="17"/>
        <v>0</v>
      </c>
      <c r="Z87" s="26">
        <f t="shared" si="13"/>
        <v>0</v>
      </c>
      <c r="AA87" s="26">
        <f t="shared" si="18"/>
        <v>0</v>
      </c>
      <c r="AB87" s="33" t="s">
        <v>15</v>
      </c>
      <c r="AC87" s="324"/>
      <c r="AD87" s="181">
        <f t="shared" si="15"/>
        <v>1</v>
      </c>
      <c r="AE87" s="181">
        <f t="shared" si="14"/>
        <v>3110.7</v>
      </c>
      <c r="AF87" s="181">
        <v>1.2</v>
      </c>
      <c r="AG87" s="181">
        <v>1.2</v>
      </c>
      <c r="AH87" s="363" t="str">
        <f t="shared" si="19"/>
        <v/>
      </c>
      <c r="AI87" s="191">
        <v>0</v>
      </c>
      <c r="AJ87" s="188">
        <v>1</v>
      </c>
      <c r="AO87" s="367"/>
      <c r="AP87" s="367"/>
      <c r="AQ87" s="367"/>
    </row>
    <row r="88" spans="1:43" s="69" customFormat="1" ht="26.1" customHeight="1" x14ac:dyDescent="0.3">
      <c r="A88" s="55" t="s">
        <v>245</v>
      </c>
      <c r="B88" s="53" t="s">
        <v>246</v>
      </c>
      <c r="C88" s="54" t="s">
        <v>81</v>
      </c>
      <c r="D88" s="75">
        <v>1</v>
      </c>
      <c r="E88" s="75"/>
      <c r="F88" s="75"/>
      <c r="G88" s="75"/>
      <c r="H88" s="75"/>
      <c r="I88" s="328"/>
      <c r="J88" s="75">
        <v>1251.0999999999999</v>
      </c>
      <c r="K88" s="75">
        <v>1251.0999999999999</v>
      </c>
      <c r="L88" s="91" t="s">
        <v>247</v>
      </c>
      <c r="M88" s="73"/>
      <c r="N88" s="46">
        <v>0</v>
      </c>
      <c r="O88" s="46">
        <v>0</v>
      </c>
      <c r="P88" s="46">
        <v>0</v>
      </c>
      <c r="Q88" s="98"/>
      <c r="R88" s="23" t="s">
        <v>1450</v>
      </c>
      <c r="S88" s="24" t="s">
        <v>246</v>
      </c>
      <c r="T88" s="25" t="s">
        <v>81</v>
      </c>
      <c r="U88" s="26">
        <v>1</v>
      </c>
      <c r="V88" s="26">
        <f t="shared" si="12"/>
        <v>1</v>
      </c>
      <c r="W88" s="26">
        <f t="shared" si="16"/>
        <v>1251.0999999999999</v>
      </c>
      <c r="X88" s="243">
        <f t="shared" si="20"/>
        <v>0</v>
      </c>
      <c r="Y88" s="26">
        <f t="shared" si="17"/>
        <v>0</v>
      </c>
      <c r="Z88" s="26">
        <f t="shared" si="13"/>
        <v>0</v>
      </c>
      <c r="AA88" s="26">
        <f t="shared" si="18"/>
        <v>0</v>
      </c>
      <c r="AB88" s="33" t="s">
        <v>15</v>
      </c>
      <c r="AC88" s="324"/>
      <c r="AD88" s="181">
        <f t="shared" si="15"/>
        <v>1</v>
      </c>
      <c r="AE88" s="181">
        <f t="shared" si="14"/>
        <v>1251.0999999999999</v>
      </c>
      <c r="AF88" s="181">
        <v>1.2</v>
      </c>
      <c r="AG88" s="181">
        <v>1.2</v>
      </c>
      <c r="AH88" s="363" t="str">
        <f t="shared" si="19"/>
        <v/>
      </c>
      <c r="AI88" s="191">
        <v>0</v>
      </c>
      <c r="AJ88" s="188">
        <v>1</v>
      </c>
      <c r="AO88" s="367"/>
      <c r="AP88" s="367"/>
      <c r="AQ88" s="367"/>
    </row>
    <row r="89" spans="1:43" s="69" customFormat="1" ht="26.1" customHeight="1" x14ac:dyDescent="0.3">
      <c r="A89" s="55" t="s">
        <v>248</v>
      </c>
      <c r="B89" s="53" t="s">
        <v>249</v>
      </c>
      <c r="C89" s="54" t="s">
        <v>81</v>
      </c>
      <c r="D89" s="75">
        <v>1</v>
      </c>
      <c r="E89" s="75"/>
      <c r="F89" s="75"/>
      <c r="G89" s="75"/>
      <c r="H89" s="75"/>
      <c r="I89" s="328"/>
      <c r="J89" s="75">
        <v>9500.58</v>
      </c>
      <c r="K89" s="75">
        <v>9500.58</v>
      </c>
      <c r="L89" s="91" t="s">
        <v>250</v>
      </c>
      <c r="M89" s="73"/>
      <c r="N89" s="46">
        <v>0</v>
      </c>
      <c r="O89" s="46">
        <v>0</v>
      </c>
      <c r="P89" s="46">
        <v>0</v>
      </c>
      <c r="Q89" s="98"/>
      <c r="R89" s="23" t="s">
        <v>1451</v>
      </c>
      <c r="S89" s="24" t="s">
        <v>249</v>
      </c>
      <c r="T89" s="25" t="s">
        <v>81</v>
      </c>
      <c r="U89" s="26">
        <v>1</v>
      </c>
      <c r="V89" s="26">
        <f t="shared" si="12"/>
        <v>1</v>
      </c>
      <c r="W89" s="26">
        <f t="shared" si="16"/>
        <v>9500.58</v>
      </c>
      <c r="X89" s="243">
        <f t="shared" si="20"/>
        <v>0</v>
      </c>
      <c r="Y89" s="26">
        <f t="shared" si="17"/>
        <v>0</v>
      </c>
      <c r="Z89" s="26">
        <f t="shared" si="13"/>
        <v>0</v>
      </c>
      <c r="AA89" s="26">
        <f t="shared" si="18"/>
        <v>0</v>
      </c>
      <c r="AB89" s="33" t="s">
        <v>15</v>
      </c>
      <c r="AC89" s="324"/>
      <c r="AD89" s="181">
        <f t="shared" si="15"/>
        <v>1</v>
      </c>
      <c r="AE89" s="181">
        <f t="shared" si="14"/>
        <v>9500.58</v>
      </c>
      <c r="AF89" s="181">
        <v>1.2</v>
      </c>
      <c r="AG89" s="181">
        <v>1.2</v>
      </c>
      <c r="AH89" s="363" t="str">
        <f t="shared" si="19"/>
        <v/>
      </c>
      <c r="AI89" s="191">
        <v>0</v>
      </c>
      <c r="AJ89" s="188">
        <v>1</v>
      </c>
      <c r="AO89" s="367"/>
      <c r="AP89" s="367"/>
      <c r="AQ89" s="367"/>
    </row>
    <row r="90" spans="1:43" s="69" customFormat="1" ht="26.1" customHeight="1" x14ac:dyDescent="0.3">
      <c r="A90" s="55" t="s">
        <v>251</v>
      </c>
      <c r="B90" s="53" t="s">
        <v>252</v>
      </c>
      <c r="C90" s="54" t="s">
        <v>81</v>
      </c>
      <c r="D90" s="75">
        <v>1</v>
      </c>
      <c r="E90" s="75"/>
      <c r="F90" s="75"/>
      <c r="G90" s="75"/>
      <c r="H90" s="75"/>
      <c r="I90" s="328"/>
      <c r="J90" s="75">
        <v>3871.43</v>
      </c>
      <c r="K90" s="75">
        <v>3871.43</v>
      </c>
      <c r="L90" s="91" t="s">
        <v>253</v>
      </c>
      <c r="M90" s="73"/>
      <c r="N90" s="46">
        <v>0</v>
      </c>
      <c r="O90" s="46">
        <v>0</v>
      </c>
      <c r="P90" s="46">
        <v>0</v>
      </c>
      <c r="Q90" s="98"/>
      <c r="R90" s="23" t="s">
        <v>1452</v>
      </c>
      <c r="S90" s="24" t="s">
        <v>252</v>
      </c>
      <c r="T90" s="25" t="s">
        <v>81</v>
      </c>
      <c r="U90" s="26">
        <v>1</v>
      </c>
      <c r="V90" s="26">
        <f t="shared" si="12"/>
        <v>1</v>
      </c>
      <c r="W90" s="26">
        <f t="shared" si="16"/>
        <v>3871.43</v>
      </c>
      <c r="X90" s="26">
        <f t="shared" si="20"/>
        <v>0</v>
      </c>
      <c r="Y90" s="26">
        <f t="shared" si="17"/>
        <v>0</v>
      </c>
      <c r="Z90" s="26">
        <f t="shared" si="13"/>
        <v>0</v>
      </c>
      <c r="AA90" s="26">
        <f t="shared" si="18"/>
        <v>0</v>
      </c>
      <c r="AB90" s="33" t="s">
        <v>15</v>
      </c>
      <c r="AC90" s="324"/>
      <c r="AD90" s="181">
        <f t="shared" si="15"/>
        <v>1</v>
      </c>
      <c r="AE90" s="181">
        <f t="shared" si="14"/>
        <v>3871.43</v>
      </c>
      <c r="AF90" s="181">
        <v>1.2</v>
      </c>
      <c r="AG90" s="181">
        <v>1.2</v>
      </c>
      <c r="AH90" s="363" t="str">
        <f t="shared" si="19"/>
        <v/>
      </c>
      <c r="AI90" s="192">
        <v>0</v>
      </c>
      <c r="AJ90" s="188">
        <v>1</v>
      </c>
      <c r="AO90" s="367"/>
      <c r="AP90" s="367"/>
      <c r="AQ90" s="367"/>
    </row>
    <row r="91" spans="1:43" s="69" customFormat="1" ht="26.1" customHeight="1" x14ac:dyDescent="0.3">
      <c r="A91" s="55" t="s">
        <v>254</v>
      </c>
      <c r="B91" s="53" t="s">
        <v>255</v>
      </c>
      <c r="C91" s="54" t="s">
        <v>81</v>
      </c>
      <c r="D91" s="75">
        <v>1</v>
      </c>
      <c r="E91" s="75"/>
      <c r="F91" s="75"/>
      <c r="G91" s="75"/>
      <c r="H91" s="75"/>
      <c r="I91" s="328"/>
      <c r="J91" s="75">
        <v>25380.34</v>
      </c>
      <c r="K91" s="75">
        <v>25380.34</v>
      </c>
      <c r="L91" s="91" t="s">
        <v>256</v>
      </c>
      <c r="M91" s="73"/>
      <c r="N91" s="46">
        <v>0</v>
      </c>
      <c r="O91" s="46">
        <v>0</v>
      </c>
      <c r="P91" s="46">
        <v>0</v>
      </c>
      <c r="Q91" s="98"/>
      <c r="R91" s="23" t="s">
        <v>1453</v>
      </c>
      <c r="S91" s="24" t="s">
        <v>255</v>
      </c>
      <c r="T91" s="25" t="s">
        <v>81</v>
      </c>
      <c r="U91" s="26">
        <v>1</v>
      </c>
      <c r="V91" s="26">
        <f t="shared" si="12"/>
        <v>1</v>
      </c>
      <c r="W91" s="26">
        <f t="shared" si="16"/>
        <v>25380.34</v>
      </c>
      <c r="X91" s="26">
        <f t="shared" si="20"/>
        <v>0</v>
      </c>
      <c r="Y91" s="26">
        <f t="shared" si="17"/>
        <v>0</v>
      </c>
      <c r="Z91" s="26">
        <f t="shared" si="13"/>
        <v>0</v>
      </c>
      <c r="AA91" s="26">
        <f t="shared" si="18"/>
        <v>0</v>
      </c>
      <c r="AB91" s="33" t="s">
        <v>15</v>
      </c>
      <c r="AC91" s="324"/>
      <c r="AD91" s="181">
        <f t="shared" si="15"/>
        <v>1</v>
      </c>
      <c r="AE91" s="181">
        <f t="shared" si="14"/>
        <v>25380.34</v>
      </c>
      <c r="AF91" s="181">
        <v>1.2</v>
      </c>
      <c r="AG91" s="181">
        <v>1.2</v>
      </c>
      <c r="AH91" s="363" t="str">
        <f t="shared" si="19"/>
        <v/>
      </c>
      <c r="AI91" s="192">
        <v>0</v>
      </c>
      <c r="AJ91" s="188">
        <v>1</v>
      </c>
      <c r="AN91" s="363"/>
      <c r="AO91" s="368"/>
      <c r="AP91" s="367"/>
      <c r="AQ91" s="367"/>
    </row>
    <row r="92" spans="1:43" s="69" customFormat="1" ht="26.1" customHeight="1" x14ac:dyDescent="0.3">
      <c r="A92" s="130" t="s">
        <v>257</v>
      </c>
      <c r="B92" s="131" t="s">
        <v>258</v>
      </c>
      <c r="C92" s="132" t="s">
        <v>30</v>
      </c>
      <c r="D92" s="133">
        <v>13.9</v>
      </c>
      <c r="E92" s="75"/>
      <c r="F92" s="75"/>
      <c r="G92" s="75"/>
      <c r="H92" s="75"/>
      <c r="I92" s="343">
        <v>0</v>
      </c>
      <c r="J92" s="75">
        <v>1285.31</v>
      </c>
      <c r="K92" s="75">
        <v>0</v>
      </c>
      <c r="L92" s="91" t="s">
        <v>259</v>
      </c>
      <c r="M92" s="73"/>
      <c r="N92" s="46">
        <v>13.9</v>
      </c>
      <c r="O92" s="46">
        <v>0</v>
      </c>
      <c r="P92" s="46">
        <v>17865.810000000001</v>
      </c>
      <c r="Q92" s="98"/>
      <c r="R92" s="23" t="s">
        <v>1454</v>
      </c>
      <c r="S92" s="24" t="s">
        <v>258</v>
      </c>
      <c r="T92" s="25" t="s">
        <v>30</v>
      </c>
      <c r="U92" s="26">
        <v>13.9</v>
      </c>
      <c r="V92" s="26">
        <v>0</v>
      </c>
      <c r="W92" s="26">
        <f t="shared" si="16"/>
        <v>1285.31</v>
      </c>
      <c r="X92" s="127">
        <f t="shared" si="20"/>
        <v>0</v>
      </c>
      <c r="Y92" s="127">
        <f t="shared" si="17"/>
        <v>13.9</v>
      </c>
      <c r="Z92" s="127">
        <f t="shared" si="13"/>
        <v>0</v>
      </c>
      <c r="AA92" s="127">
        <f t="shared" si="18"/>
        <v>17865.810000000001</v>
      </c>
      <c r="AB92" s="33" t="s">
        <v>15</v>
      </c>
      <c r="AC92" s="324"/>
      <c r="AD92" s="181">
        <v>0</v>
      </c>
      <c r="AE92" s="181">
        <f t="shared" si="14"/>
        <v>0</v>
      </c>
      <c r="AF92" s="181">
        <v>1.2</v>
      </c>
      <c r="AG92" s="181">
        <v>1.2</v>
      </c>
      <c r="AH92" s="363" t="str">
        <f t="shared" si="19"/>
        <v>超估</v>
      </c>
      <c r="AI92" s="194">
        <v>13.9</v>
      </c>
      <c r="AJ92" s="188">
        <v>0</v>
      </c>
      <c r="AO92" s="367"/>
      <c r="AP92" s="367"/>
      <c r="AQ92" s="367"/>
    </row>
    <row r="93" spans="1:43" s="69" customFormat="1" ht="26.1" customHeight="1" x14ac:dyDescent="0.3">
      <c r="A93" s="55" t="s">
        <v>260</v>
      </c>
      <c r="B93" s="53" t="s">
        <v>261</v>
      </c>
      <c r="C93" s="54" t="s">
        <v>30</v>
      </c>
      <c r="D93" s="75">
        <v>94.15</v>
      </c>
      <c r="E93" s="75"/>
      <c r="F93" s="75"/>
      <c r="G93" s="75"/>
      <c r="H93" s="75"/>
      <c r="I93" s="328">
        <v>130.1</v>
      </c>
      <c r="J93" s="75">
        <v>1976.06</v>
      </c>
      <c r="K93" s="75">
        <v>257085.41</v>
      </c>
      <c r="L93" s="91" t="s">
        <v>262</v>
      </c>
      <c r="M93" s="73"/>
      <c r="N93" s="46">
        <v>88.1</v>
      </c>
      <c r="O93" s="46">
        <v>0</v>
      </c>
      <c r="P93" s="46">
        <v>174090.89</v>
      </c>
      <c r="Q93" s="98"/>
      <c r="R93" s="23" t="s">
        <v>1455</v>
      </c>
      <c r="S93" s="24" t="s">
        <v>261</v>
      </c>
      <c r="T93" s="25" t="s">
        <v>30</v>
      </c>
      <c r="U93" s="26">
        <v>94.15</v>
      </c>
      <c r="V93" s="26">
        <f t="shared" si="12"/>
        <v>130.1</v>
      </c>
      <c r="W93" s="26">
        <f t="shared" si="16"/>
        <v>1976.06</v>
      </c>
      <c r="X93" s="128">
        <f t="shared" si="20"/>
        <v>0</v>
      </c>
      <c r="Y93" s="26">
        <f t="shared" si="17"/>
        <v>88.1</v>
      </c>
      <c r="Z93" s="26">
        <f t="shared" si="13"/>
        <v>0</v>
      </c>
      <c r="AA93" s="26">
        <f t="shared" si="18"/>
        <v>174090.89</v>
      </c>
      <c r="AB93" s="33" t="s">
        <v>15</v>
      </c>
      <c r="AC93" s="324"/>
      <c r="AD93" s="181">
        <f t="shared" si="15"/>
        <v>130.1</v>
      </c>
      <c r="AE93" s="181">
        <f t="shared" si="14"/>
        <v>257085.41</v>
      </c>
      <c r="AF93" s="181">
        <v>1.2</v>
      </c>
      <c r="AG93" s="181">
        <v>1.2</v>
      </c>
      <c r="AH93" s="363" t="str">
        <f t="shared" si="19"/>
        <v/>
      </c>
      <c r="AI93" s="194">
        <f>26.7+61.4</f>
        <v>88.1</v>
      </c>
      <c r="AJ93" s="190">
        <v>130.1</v>
      </c>
      <c r="AO93" s="367"/>
      <c r="AP93" s="367"/>
      <c r="AQ93" s="367"/>
    </row>
    <row r="94" spans="1:43" s="69" customFormat="1" ht="26.1" customHeight="1" x14ac:dyDescent="0.3">
      <c r="A94" s="130" t="s">
        <v>263</v>
      </c>
      <c r="B94" s="131" t="s">
        <v>264</v>
      </c>
      <c r="C94" s="132" t="s">
        <v>30</v>
      </c>
      <c r="D94" s="133">
        <v>13.5</v>
      </c>
      <c r="E94" s="75"/>
      <c r="F94" s="75"/>
      <c r="G94" s="75"/>
      <c r="H94" s="75"/>
      <c r="I94" s="328"/>
      <c r="J94" s="75">
        <v>1889.54</v>
      </c>
      <c r="K94" s="75">
        <v>25508.79</v>
      </c>
      <c r="L94" s="91" t="s">
        <v>265</v>
      </c>
      <c r="M94" s="73"/>
      <c r="N94" s="46">
        <v>13.1</v>
      </c>
      <c r="O94" s="46">
        <v>0</v>
      </c>
      <c r="P94" s="46">
        <v>24752.97</v>
      </c>
      <c r="Q94" s="98"/>
      <c r="R94" s="23" t="s">
        <v>1456</v>
      </c>
      <c r="S94" s="24" t="s">
        <v>264</v>
      </c>
      <c r="T94" s="25" t="s">
        <v>30</v>
      </c>
      <c r="U94" s="26">
        <v>13.5</v>
      </c>
      <c r="V94" s="26">
        <f t="shared" si="12"/>
        <v>13.5</v>
      </c>
      <c r="W94" s="26">
        <f t="shared" si="16"/>
        <v>1889.54</v>
      </c>
      <c r="X94" s="127">
        <f t="shared" si="20"/>
        <v>0</v>
      </c>
      <c r="Y94" s="127">
        <f t="shared" si="17"/>
        <v>13.1</v>
      </c>
      <c r="Z94" s="127">
        <f t="shared" si="13"/>
        <v>0</v>
      </c>
      <c r="AA94" s="127">
        <f t="shared" si="18"/>
        <v>24752.97</v>
      </c>
      <c r="AB94" s="33" t="s">
        <v>15</v>
      </c>
      <c r="AC94" s="325"/>
      <c r="AD94" s="263">
        <f t="shared" si="15"/>
        <v>13.5</v>
      </c>
      <c r="AE94" s="263">
        <f t="shared" si="14"/>
        <v>25508.79</v>
      </c>
      <c r="AF94" s="263">
        <v>1.2</v>
      </c>
      <c r="AG94" s="263">
        <v>1.2</v>
      </c>
      <c r="AH94" s="68" t="str">
        <f t="shared" si="19"/>
        <v/>
      </c>
      <c r="AI94" s="194">
        <f>11.5+1.6</f>
        <v>13.1</v>
      </c>
      <c r="AJ94" s="188">
        <v>13.5</v>
      </c>
      <c r="AO94" s="367"/>
      <c r="AP94" s="367"/>
      <c r="AQ94" s="367"/>
    </row>
    <row r="95" spans="1:43" s="69" customFormat="1" ht="24.75" x14ac:dyDescent="0.3">
      <c r="A95" s="130" t="s">
        <v>266</v>
      </c>
      <c r="B95" s="131" t="s">
        <v>267</v>
      </c>
      <c r="C95" s="132" t="s">
        <v>30</v>
      </c>
      <c r="D95" s="133">
        <v>13.7</v>
      </c>
      <c r="E95" s="75"/>
      <c r="F95" s="75"/>
      <c r="G95" s="75"/>
      <c r="H95" s="75"/>
      <c r="I95" s="343">
        <v>27.4</v>
      </c>
      <c r="J95" s="75">
        <v>1778.66</v>
      </c>
      <c r="K95" s="75">
        <v>48735.28</v>
      </c>
      <c r="L95" s="91" t="s">
        <v>268</v>
      </c>
      <c r="M95" s="73"/>
      <c r="N95" s="46">
        <v>26.7</v>
      </c>
      <c r="O95" s="46">
        <v>0</v>
      </c>
      <c r="P95" s="46">
        <v>47490.22</v>
      </c>
      <c r="Q95" s="98"/>
      <c r="R95" s="23" t="s">
        <v>1457</v>
      </c>
      <c r="S95" s="24" t="s">
        <v>267</v>
      </c>
      <c r="T95" s="25" t="s">
        <v>30</v>
      </c>
      <c r="U95" s="26">
        <v>13.7</v>
      </c>
      <c r="V95" s="26">
        <f t="shared" si="12"/>
        <v>27.4</v>
      </c>
      <c r="W95" s="26">
        <f t="shared" si="16"/>
        <v>1778.66</v>
      </c>
      <c r="X95" s="127">
        <f t="shared" si="20"/>
        <v>0</v>
      </c>
      <c r="Y95" s="127">
        <f t="shared" si="17"/>
        <v>26.7</v>
      </c>
      <c r="Z95" s="127">
        <f t="shared" si="13"/>
        <v>0</v>
      </c>
      <c r="AA95" s="127">
        <f t="shared" si="18"/>
        <v>47490.22</v>
      </c>
      <c r="AB95" s="33" t="s">
        <v>15</v>
      </c>
      <c r="AC95" s="325"/>
      <c r="AD95" s="263">
        <f t="shared" si="15"/>
        <v>27.4</v>
      </c>
      <c r="AE95" s="263">
        <f t="shared" si="14"/>
        <v>48735.28</v>
      </c>
      <c r="AF95" s="263">
        <v>1.2</v>
      </c>
      <c r="AG95" s="263">
        <v>1.2</v>
      </c>
      <c r="AH95" s="68" t="str">
        <f t="shared" si="19"/>
        <v/>
      </c>
      <c r="AI95" s="194">
        <v>26.7</v>
      </c>
      <c r="AJ95" s="190">
        <v>27.4</v>
      </c>
      <c r="AO95" s="367"/>
      <c r="AP95" s="367"/>
      <c r="AQ95" s="367"/>
    </row>
    <row r="96" spans="1:43" s="69" customFormat="1" ht="26.1" customHeight="1" x14ac:dyDescent="0.3">
      <c r="A96" s="130" t="s">
        <v>269</v>
      </c>
      <c r="B96" s="131" t="s">
        <v>270</v>
      </c>
      <c r="C96" s="132" t="s">
        <v>30</v>
      </c>
      <c r="D96" s="133">
        <v>17.920000000000002</v>
      </c>
      <c r="E96" s="75"/>
      <c r="F96" s="75"/>
      <c r="G96" s="75"/>
      <c r="H96" s="75"/>
      <c r="I96" s="343">
        <v>48.1</v>
      </c>
      <c r="J96" s="75">
        <v>2939.14</v>
      </c>
      <c r="K96" s="75">
        <v>141372.63</v>
      </c>
      <c r="L96" s="91" t="s">
        <v>271</v>
      </c>
      <c r="M96" s="73"/>
      <c r="N96" s="46">
        <v>46.1</v>
      </c>
      <c r="O96" s="46">
        <v>0</v>
      </c>
      <c r="P96" s="46">
        <v>135494.35</v>
      </c>
      <c r="Q96" s="98"/>
      <c r="R96" s="23" t="s">
        <v>1458</v>
      </c>
      <c r="S96" s="24" t="s">
        <v>270</v>
      </c>
      <c r="T96" s="25" t="s">
        <v>30</v>
      </c>
      <c r="U96" s="26">
        <v>17.920000000000002</v>
      </c>
      <c r="V96" s="26">
        <f t="shared" si="12"/>
        <v>48.1</v>
      </c>
      <c r="W96" s="26">
        <f t="shared" si="16"/>
        <v>2939.14</v>
      </c>
      <c r="X96" s="127">
        <f t="shared" si="20"/>
        <v>0</v>
      </c>
      <c r="Y96" s="127">
        <f t="shared" si="17"/>
        <v>46.1</v>
      </c>
      <c r="Z96" s="127">
        <f t="shared" si="13"/>
        <v>0</v>
      </c>
      <c r="AA96" s="127">
        <f t="shared" si="18"/>
        <v>135494.35</v>
      </c>
      <c r="AB96" s="33" t="s">
        <v>15</v>
      </c>
      <c r="AC96" s="325"/>
      <c r="AD96" s="263">
        <f t="shared" si="15"/>
        <v>48.1</v>
      </c>
      <c r="AE96" s="263">
        <f t="shared" si="14"/>
        <v>141372.63</v>
      </c>
      <c r="AF96" s="263">
        <v>1.2</v>
      </c>
      <c r="AG96" s="263">
        <v>1.2</v>
      </c>
      <c r="AH96" s="68" t="str">
        <f t="shared" si="19"/>
        <v/>
      </c>
      <c r="AI96" s="194">
        <v>46.1</v>
      </c>
      <c r="AJ96" s="190">
        <v>48.1</v>
      </c>
      <c r="AO96" s="367"/>
      <c r="AP96" s="367"/>
      <c r="AQ96" s="367"/>
    </row>
    <row r="97" spans="1:43" s="69" customFormat="1" ht="26.1" customHeight="1" x14ac:dyDescent="0.3">
      <c r="A97" s="55" t="s">
        <v>272</v>
      </c>
      <c r="B97" s="53" t="s">
        <v>273</v>
      </c>
      <c r="C97" s="54" t="s">
        <v>81</v>
      </c>
      <c r="D97" s="75">
        <v>1</v>
      </c>
      <c r="E97" s="75"/>
      <c r="F97" s="75"/>
      <c r="G97" s="75"/>
      <c r="H97" s="75"/>
      <c r="I97" s="75"/>
      <c r="J97" s="75">
        <v>23030.799999999999</v>
      </c>
      <c r="K97" s="75">
        <v>23030.799999999999</v>
      </c>
      <c r="L97" s="91" t="s">
        <v>274</v>
      </c>
      <c r="M97" s="73"/>
      <c r="N97" s="46">
        <v>0</v>
      </c>
      <c r="O97" s="46">
        <v>0</v>
      </c>
      <c r="P97" s="46">
        <v>0</v>
      </c>
      <c r="Q97" s="98"/>
      <c r="R97" s="23" t="s">
        <v>1459</v>
      </c>
      <c r="S97" s="24" t="s">
        <v>273</v>
      </c>
      <c r="T97" s="25" t="s">
        <v>81</v>
      </c>
      <c r="U97" s="26">
        <v>1</v>
      </c>
      <c r="V97" s="26">
        <f t="shared" si="12"/>
        <v>1</v>
      </c>
      <c r="W97" s="26">
        <f t="shared" si="16"/>
        <v>23030.799999999999</v>
      </c>
      <c r="X97" s="26">
        <f t="shared" si="20"/>
        <v>0</v>
      </c>
      <c r="Y97" s="26">
        <f t="shared" si="17"/>
        <v>0</v>
      </c>
      <c r="Z97" s="26">
        <f t="shared" si="13"/>
        <v>0</v>
      </c>
      <c r="AA97" s="26">
        <f t="shared" si="18"/>
        <v>0</v>
      </c>
      <c r="AB97" s="33" t="s">
        <v>15</v>
      </c>
      <c r="AC97" s="324"/>
      <c r="AD97" s="181">
        <f t="shared" si="15"/>
        <v>1</v>
      </c>
      <c r="AE97" s="181">
        <f t="shared" si="14"/>
        <v>23030.799999999999</v>
      </c>
      <c r="AF97" s="181">
        <v>1.2</v>
      </c>
      <c r="AG97" s="181">
        <v>1.2</v>
      </c>
      <c r="AH97" s="363" t="str">
        <f t="shared" si="19"/>
        <v/>
      </c>
      <c r="AI97" s="192">
        <v>0</v>
      </c>
      <c r="AJ97" s="188">
        <v>1</v>
      </c>
      <c r="AO97" s="367"/>
      <c r="AP97" s="367"/>
      <c r="AQ97" s="367"/>
    </row>
    <row r="98" spans="1:43" s="69" customFormat="1" ht="26.1" customHeight="1" x14ac:dyDescent="0.3">
      <c r="A98" s="55" t="s">
        <v>275</v>
      </c>
      <c r="B98" s="53" t="s">
        <v>276</v>
      </c>
      <c r="C98" s="54" t="s">
        <v>81</v>
      </c>
      <c r="D98" s="75">
        <v>2</v>
      </c>
      <c r="E98" s="75"/>
      <c r="F98" s="75"/>
      <c r="G98" s="75"/>
      <c r="H98" s="75"/>
      <c r="I98" s="75"/>
      <c r="J98" s="75">
        <v>18605.919999999998</v>
      </c>
      <c r="K98" s="75">
        <v>37211.839999999997</v>
      </c>
      <c r="L98" s="91" t="s">
        <v>277</v>
      </c>
      <c r="M98" s="73"/>
      <c r="N98" s="46">
        <v>0</v>
      </c>
      <c r="O98" s="46">
        <v>0</v>
      </c>
      <c r="P98" s="46">
        <v>0</v>
      </c>
      <c r="Q98" s="98"/>
      <c r="R98" s="23" t="s">
        <v>1460</v>
      </c>
      <c r="S98" s="24" t="s">
        <v>276</v>
      </c>
      <c r="T98" s="25" t="s">
        <v>81</v>
      </c>
      <c r="U98" s="26">
        <v>2</v>
      </c>
      <c r="V98" s="26">
        <f t="shared" si="12"/>
        <v>2</v>
      </c>
      <c r="W98" s="26">
        <f t="shared" si="16"/>
        <v>18605.919999999998</v>
      </c>
      <c r="X98" s="26">
        <f t="shared" si="20"/>
        <v>0</v>
      </c>
      <c r="Y98" s="26">
        <f t="shared" si="17"/>
        <v>0</v>
      </c>
      <c r="Z98" s="26">
        <f t="shared" si="13"/>
        <v>0</v>
      </c>
      <c r="AA98" s="26">
        <f t="shared" si="18"/>
        <v>0</v>
      </c>
      <c r="AB98" s="33" t="s">
        <v>15</v>
      </c>
      <c r="AC98" s="324"/>
      <c r="AD98" s="181">
        <f t="shared" si="15"/>
        <v>2</v>
      </c>
      <c r="AE98" s="181">
        <f t="shared" si="14"/>
        <v>37211.839999999997</v>
      </c>
      <c r="AF98" s="181">
        <v>1.2</v>
      </c>
      <c r="AG98" s="181">
        <v>1.2</v>
      </c>
      <c r="AH98" s="363" t="str">
        <f t="shared" si="19"/>
        <v/>
      </c>
      <c r="AI98" s="192">
        <v>0</v>
      </c>
      <c r="AJ98" s="188">
        <v>2</v>
      </c>
      <c r="AO98" s="367"/>
      <c r="AP98" s="367"/>
      <c r="AQ98" s="367"/>
    </row>
    <row r="99" spans="1:43" s="69" customFormat="1" ht="26.1" customHeight="1" x14ac:dyDescent="0.3">
      <c r="A99" s="55" t="s">
        <v>278</v>
      </c>
      <c r="B99" s="53" t="s">
        <v>279</v>
      </c>
      <c r="C99" s="54" t="s">
        <v>81</v>
      </c>
      <c r="D99" s="75">
        <v>1</v>
      </c>
      <c r="E99" s="75"/>
      <c r="F99" s="75"/>
      <c r="G99" s="75"/>
      <c r="H99" s="75"/>
      <c r="I99" s="75"/>
      <c r="J99" s="75">
        <v>18605.919999999998</v>
      </c>
      <c r="K99" s="75">
        <v>18605.919999999998</v>
      </c>
      <c r="L99" s="91" t="s">
        <v>280</v>
      </c>
      <c r="M99" s="73"/>
      <c r="N99" s="46">
        <v>0</v>
      </c>
      <c r="O99" s="46">
        <v>0</v>
      </c>
      <c r="P99" s="46">
        <v>0</v>
      </c>
      <c r="Q99" s="98"/>
      <c r="R99" s="23" t="s">
        <v>1461</v>
      </c>
      <c r="S99" s="24" t="s">
        <v>279</v>
      </c>
      <c r="T99" s="25" t="s">
        <v>81</v>
      </c>
      <c r="U99" s="26">
        <v>1</v>
      </c>
      <c r="V99" s="26">
        <f t="shared" si="12"/>
        <v>1</v>
      </c>
      <c r="W99" s="26">
        <f t="shared" si="16"/>
        <v>18605.919999999998</v>
      </c>
      <c r="X99" s="26">
        <f t="shared" si="20"/>
        <v>0</v>
      </c>
      <c r="Y99" s="26">
        <f t="shared" si="17"/>
        <v>0</v>
      </c>
      <c r="Z99" s="26">
        <f t="shared" si="13"/>
        <v>0</v>
      </c>
      <c r="AA99" s="26">
        <f t="shared" si="18"/>
        <v>0</v>
      </c>
      <c r="AB99" s="33" t="s">
        <v>15</v>
      </c>
      <c r="AC99" s="324"/>
      <c r="AD99" s="181">
        <f t="shared" si="15"/>
        <v>1</v>
      </c>
      <c r="AE99" s="181">
        <f t="shared" si="14"/>
        <v>18605.919999999998</v>
      </c>
      <c r="AF99" s="181">
        <v>1.2</v>
      </c>
      <c r="AG99" s="181">
        <v>1.2</v>
      </c>
      <c r="AH99" s="363" t="str">
        <f t="shared" si="19"/>
        <v/>
      </c>
      <c r="AI99" s="192">
        <v>0</v>
      </c>
      <c r="AJ99" s="188">
        <v>1</v>
      </c>
      <c r="AO99" s="367"/>
      <c r="AP99" s="367"/>
      <c r="AQ99" s="367"/>
    </row>
    <row r="100" spans="1:43" s="69" customFormat="1" ht="26.1" customHeight="1" x14ac:dyDescent="0.3">
      <c r="A100" s="55" t="s">
        <v>281</v>
      </c>
      <c r="B100" s="53" t="s">
        <v>282</v>
      </c>
      <c r="C100" s="54" t="s">
        <v>81</v>
      </c>
      <c r="D100" s="75">
        <v>3</v>
      </c>
      <c r="E100" s="75"/>
      <c r="F100" s="75"/>
      <c r="G100" s="75"/>
      <c r="H100" s="75"/>
      <c r="I100" s="75"/>
      <c r="J100" s="75">
        <v>11655.48</v>
      </c>
      <c r="K100" s="75">
        <v>34966.44</v>
      </c>
      <c r="L100" s="91" t="s">
        <v>283</v>
      </c>
      <c r="M100" s="73"/>
      <c r="N100" s="46">
        <v>0</v>
      </c>
      <c r="O100" s="46">
        <v>0</v>
      </c>
      <c r="P100" s="46">
        <v>0</v>
      </c>
      <c r="Q100" s="98"/>
      <c r="R100" s="23" t="s">
        <v>1462</v>
      </c>
      <c r="S100" s="24" t="s">
        <v>282</v>
      </c>
      <c r="T100" s="25" t="s">
        <v>81</v>
      </c>
      <c r="U100" s="26">
        <v>3</v>
      </c>
      <c r="V100" s="26">
        <f t="shared" si="12"/>
        <v>3</v>
      </c>
      <c r="W100" s="26">
        <f t="shared" si="16"/>
        <v>11655.48</v>
      </c>
      <c r="X100" s="26">
        <f t="shared" si="20"/>
        <v>0</v>
      </c>
      <c r="Y100" s="26">
        <f t="shared" si="17"/>
        <v>0</v>
      </c>
      <c r="Z100" s="26">
        <f t="shared" si="13"/>
        <v>0</v>
      </c>
      <c r="AA100" s="26">
        <f t="shared" si="18"/>
        <v>0</v>
      </c>
      <c r="AB100" s="33" t="s">
        <v>15</v>
      </c>
      <c r="AC100" s="324"/>
      <c r="AD100" s="181">
        <f t="shared" si="15"/>
        <v>3</v>
      </c>
      <c r="AE100" s="181">
        <f t="shared" si="14"/>
        <v>34966.44</v>
      </c>
      <c r="AF100" s="181">
        <v>1.2</v>
      </c>
      <c r="AG100" s="181">
        <v>1.2</v>
      </c>
      <c r="AH100" s="363" t="str">
        <f t="shared" si="19"/>
        <v/>
      </c>
      <c r="AI100" s="192">
        <v>0</v>
      </c>
      <c r="AJ100" s="188">
        <v>3</v>
      </c>
      <c r="AO100" s="367"/>
      <c r="AP100" s="367"/>
      <c r="AQ100" s="367"/>
    </row>
    <row r="101" spans="1:43" s="69" customFormat="1" ht="26.1" customHeight="1" x14ac:dyDescent="0.3">
      <c r="A101" s="246" t="s">
        <v>284</v>
      </c>
      <c r="B101" s="247" t="s">
        <v>285</v>
      </c>
      <c r="C101" s="248" t="s">
        <v>81</v>
      </c>
      <c r="D101" s="249">
        <v>4</v>
      </c>
      <c r="E101" s="75"/>
      <c r="F101" s="75"/>
      <c r="G101" s="75"/>
      <c r="H101" s="75"/>
      <c r="I101" s="75"/>
      <c r="J101" s="75">
        <v>25108.91</v>
      </c>
      <c r="K101" s="75">
        <v>100435.64</v>
      </c>
      <c r="L101" s="91" t="s">
        <v>286</v>
      </c>
      <c r="M101" s="73"/>
      <c r="N101" s="46">
        <v>0</v>
      </c>
      <c r="O101" s="46">
        <v>0</v>
      </c>
      <c r="P101" s="46">
        <v>0</v>
      </c>
      <c r="Q101" s="98"/>
      <c r="R101" s="23" t="s">
        <v>1463</v>
      </c>
      <c r="S101" s="24" t="s">
        <v>285</v>
      </c>
      <c r="T101" s="25" t="s">
        <v>81</v>
      </c>
      <c r="U101" s="26">
        <v>4</v>
      </c>
      <c r="V101" s="26">
        <f t="shared" si="12"/>
        <v>4</v>
      </c>
      <c r="W101" s="26">
        <f t="shared" si="16"/>
        <v>25108.91</v>
      </c>
      <c r="X101" s="26">
        <f t="shared" si="20"/>
        <v>0</v>
      </c>
      <c r="Y101" s="26">
        <f t="shared" si="17"/>
        <v>0</v>
      </c>
      <c r="Z101" s="26">
        <f t="shared" si="13"/>
        <v>0</v>
      </c>
      <c r="AA101" s="26">
        <f t="shared" si="18"/>
        <v>0</v>
      </c>
      <c r="AB101" s="33" t="s">
        <v>15</v>
      </c>
      <c r="AC101" s="324"/>
      <c r="AD101" s="181">
        <f t="shared" si="15"/>
        <v>4</v>
      </c>
      <c r="AE101" s="181">
        <f t="shared" si="14"/>
        <v>100435.64</v>
      </c>
      <c r="AF101" s="181">
        <v>1.2</v>
      </c>
      <c r="AG101" s="181">
        <v>1.2</v>
      </c>
      <c r="AH101" s="363" t="str">
        <f t="shared" si="19"/>
        <v/>
      </c>
      <c r="AI101" s="192">
        <v>0</v>
      </c>
      <c r="AJ101" s="188">
        <v>4</v>
      </c>
      <c r="AO101" s="367"/>
      <c r="AP101" s="367"/>
      <c r="AQ101" s="367"/>
    </row>
    <row r="102" spans="1:43" s="69" customFormat="1" ht="26.1" customHeight="1" x14ac:dyDescent="0.3">
      <c r="A102" s="55" t="s">
        <v>287</v>
      </c>
      <c r="B102" s="53" t="s">
        <v>288</v>
      </c>
      <c r="C102" s="54" t="s">
        <v>81</v>
      </c>
      <c r="D102" s="75">
        <v>5</v>
      </c>
      <c r="E102" s="75"/>
      <c r="F102" s="75"/>
      <c r="G102" s="75"/>
      <c r="H102" s="75"/>
      <c r="I102" s="75"/>
      <c r="J102" s="75">
        <v>22416.92</v>
      </c>
      <c r="K102" s="75">
        <v>112084.6</v>
      </c>
      <c r="L102" s="91" t="s">
        <v>289</v>
      </c>
      <c r="M102" s="73"/>
      <c r="N102" s="46">
        <v>0</v>
      </c>
      <c r="O102" s="46">
        <v>0</v>
      </c>
      <c r="P102" s="46">
        <v>0</v>
      </c>
      <c r="Q102" s="98"/>
      <c r="R102" s="23" t="s">
        <v>1464</v>
      </c>
      <c r="S102" s="24" t="s">
        <v>288</v>
      </c>
      <c r="T102" s="25" t="s">
        <v>81</v>
      </c>
      <c r="U102" s="26">
        <v>5</v>
      </c>
      <c r="V102" s="26">
        <f t="shared" si="12"/>
        <v>5</v>
      </c>
      <c r="W102" s="26">
        <f t="shared" si="16"/>
        <v>22416.92</v>
      </c>
      <c r="X102" s="26">
        <f t="shared" si="20"/>
        <v>0</v>
      </c>
      <c r="Y102" s="26">
        <f t="shared" si="17"/>
        <v>0</v>
      </c>
      <c r="Z102" s="26">
        <f t="shared" si="13"/>
        <v>0</v>
      </c>
      <c r="AA102" s="26">
        <f t="shared" si="18"/>
        <v>0</v>
      </c>
      <c r="AB102" s="33" t="s">
        <v>15</v>
      </c>
      <c r="AC102" s="324"/>
      <c r="AD102" s="181">
        <f t="shared" si="15"/>
        <v>5</v>
      </c>
      <c r="AE102" s="181">
        <f t="shared" si="14"/>
        <v>112084.6</v>
      </c>
      <c r="AF102" s="181">
        <v>1.2</v>
      </c>
      <c r="AG102" s="181">
        <v>1.2</v>
      </c>
      <c r="AH102" s="363" t="str">
        <f t="shared" si="19"/>
        <v/>
      </c>
      <c r="AI102" s="192">
        <v>0</v>
      </c>
      <c r="AJ102" s="188">
        <v>5</v>
      </c>
      <c r="AO102" s="367"/>
      <c r="AP102" s="367"/>
      <c r="AQ102" s="367"/>
    </row>
    <row r="103" spans="1:43" s="69" customFormat="1" ht="26.1" customHeight="1" x14ac:dyDescent="0.3">
      <c r="A103" s="55" t="s">
        <v>290</v>
      </c>
      <c r="B103" s="53" t="s">
        <v>291</v>
      </c>
      <c r="C103" s="54" t="s">
        <v>81</v>
      </c>
      <c r="D103" s="75">
        <v>1</v>
      </c>
      <c r="E103" s="75"/>
      <c r="F103" s="75"/>
      <c r="G103" s="75"/>
      <c r="H103" s="75"/>
      <c r="I103" s="75"/>
      <c r="J103" s="75">
        <v>21724.76</v>
      </c>
      <c r="K103" s="75">
        <v>21724.76</v>
      </c>
      <c r="L103" s="91" t="s">
        <v>292</v>
      </c>
      <c r="M103" s="73"/>
      <c r="N103" s="46">
        <v>0</v>
      </c>
      <c r="O103" s="46">
        <v>0</v>
      </c>
      <c r="P103" s="46">
        <v>0</v>
      </c>
      <c r="Q103" s="98"/>
      <c r="R103" s="23" t="s">
        <v>1465</v>
      </c>
      <c r="S103" s="24" t="s">
        <v>291</v>
      </c>
      <c r="T103" s="25" t="s">
        <v>81</v>
      </c>
      <c r="U103" s="26">
        <v>1</v>
      </c>
      <c r="V103" s="26">
        <f t="shared" si="12"/>
        <v>1</v>
      </c>
      <c r="W103" s="26">
        <f t="shared" si="16"/>
        <v>21724.76</v>
      </c>
      <c r="X103" s="26">
        <f t="shared" si="20"/>
        <v>0</v>
      </c>
      <c r="Y103" s="26">
        <f t="shared" si="17"/>
        <v>0</v>
      </c>
      <c r="Z103" s="26">
        <f t="shared" si="13"/>
        <v>0</v>
      </c>
      <c r="AA103" s="26">
        <f t="shared" si="18"/>
        <v>0</v>
      </c>
      <c r="AB103" s="33" t="s">
        <v>15</v>
      </c>
      <c r="AC103" s="324"/>
      <c r="AD103" s="181">
        <f t="shared" si="15"/>
        <v>1</v>
      </c>
      <c r="AE103" s="181">
        <f t="shared" si="14"/>
        <v>21724.76</v>
      </c>
      <c r="AF103" s="181">
        <v>1.2</v>
      </c>
      <c r="AG103" s="181">
        <v>1.2</v>
      </c>
      <c r="AH103" s="363" t="str">
        <f t="shared" si="19"/>
        <v/>
      </c>
      <c r="AI103" s="192">
        <v>0</v>
      </c>
      <c r="AJ103" s="188">
        <v>1</v>
      </c>
      <c r="AO103" s="367"/>
      <c r="AP103" s="367"/>
      <c r="AQ103" s="367"/>
    </row>
    <row r="104" spans="1:43" s="69" customFormat="1" ht="26.1" customHeight="1" x14ac:dyDescent="0.3">
      <c r="A104" s="55" t="s">
        <v>293</v>
      </c>
      <c r="B104" s="53" t="s">
        <v>294</v>
      </c>
      <c r="C104" s="54" t="s">
        <v>81</v>
      </c>
      <c r="D104" s="75">
        <v>2</v>
      </c>
      <c r="E104" s="75"/>
      <c r="F104" s="75"/>
      <c r="G104" s="75"/>
      <c r="H104" s="75"/>
      <c r="I104" s="75"/>
      <c r="J104" s="75">
        <v>17341.04</v>
      </c>
      <c r="K104" s="75">
        <v>34682.080000000002</v>
      </c>
      <c r="L104" s="91" t="s">
        <v>295</v>
      </c>
      <c r="M104" s="73"/>
      <c r="N104" s="46">
        <v>0</v>
      </c>
      <c r="O104" s="46">
        <v>0</v>
      </c>
      <c r="P104" s="46">
        <v>0</v>
      </c>
      <c r="Q104" s="98"/>
      <c r="R104" s="23" t="s">
        <v>1466</v>
      </c>
      <c r="S104" s="24" t="s">
        <v>294</v>
      </c>
      <c r="T104" s="25" t="s">
        <v>81</v>
      </c>
      <c r="U104" s="26">
        <v>2</v>
      </c>
      <c r="V104" s="26">
        <f t="shared" si="12"/>
        <v>2</v>
      </c>
      <c r="W104" s="26">
        <f t="shared" si="16"/>
        <v>17341.04</v>
      </c>
      <c r="X104" s="26">
        <f t="shared" si="20"/>
        <v>0</v>
      </c>
      <c r="Y104" s="26">
        <f t="shared" si="17"/>
        <v>0</v>
      </c>
      <c r="Z104" s="26">
        <f t="shared" si="13"/>
        <v>0</v>
      </c>
      <c r="AA104" s="26">
        <f t="shared" si="18"/>
        <v>0</v>
      </c>
      <c r="AB104" s="33" t="s">
        <v>15</v>
      </c>
      <c r="AC104" s="324"/>
      <c r="AD104" s="181">
        <f t="shared" si="15"/>
        <v>2</v>
      </c>
      <c r="AE104" s="181">
        <f t="shared" si="14"/>
        <v>34682.080000000002</v>
      </c>
      <c r="AF104" s="181">
        <v>1.2</v>
      </c>
      <c r="AG104" s="181">
        <v>1.2</v>
      </c>
      <c r="AH104" s="363" t="str">
        <f t="shared" si="19"/>
        <v/>
      </c>
      <c r="AI104" s="192">
        <v>0</v>
      </c>
      <c r="AJ104" s="188">
        <v>2</v>
      </c>
      <c r="AO104" s="367"/>
      <c r="AP104" s="367"/>
      <c r="AQ104" s="367"/>
    </row>
    <row r="105" spans="1:43" s="69" customFormat="1" ht="26.1" customHeight="1" x14ac:dyDescent="0.3">
      <c r="A105" s="55" t="s">
        <v>296</v>
      </c>
      <c r="B105" s="53" t="s">
        <v>297</v>
      </c>
      <c r="C105" s="54" t="s">
        <v>81</v>
      </c>
      <c r="D105" s="75">
        <v>1</v>
      </c>
      <c r="E105" s="75"/>
      <c r="F105" s="75"/>
      <c r="G105" s="75"/>
      <c r="H105" s="75"/>
      <c r="I105" s="75"/>
      <c r="J105" s="75">
        <v>17341.04</v>
      </c>
      <c r="K105" s="75">
        <v>17341.04</v>
      </c>
      <c r="L105" s="91" t="s">
        <v>298</v>
      </c>
      <c r="M105" s="73"/>
      <c r="N105" s="46">
        <v>0</v>
      </c>
      <c r="O105" s="46">
        <v>0</v>
      </c>
      <c r="P105" s="46">
        <v>0</v>
      </c>
      <c r="Q105" s="98"/>
      <c r="R105" s="23" t="s">
        <v>1467</v>
      </c>
      <c r="S105" s="24" t="s">
        <v>297</v>
      </c>
      <c r="T105" s="25" t="s">
        <v>81</v>
      </c>
      <c r="U105" s="26">
        <v>1</v>
      </c>
      <c r="V105" s="26">
        <f t="shared" ref="V105:V143" si="21">IF(I105&gt;0,I105,IF(H105&gt;0,H105,IF(G105&gt;0,G105,IF(F105&gt;0,F105,IF(E105&gt;0,E105,D105)))))</f>
        <v>1</v>
      </c>
      <c r="W105" s="26">
        <f t="shared" si="16"/>
        <v>17341.04</v>
      </c>
      <c r="X105" s="26">
        <f t="shared" si="20"/>
        <v>0</v>
      </c>
      <c r="Y105" s="26">
        <f t="shared" si="17"/>
        <v>0</v>
      </c>
      <c r="Z105" s="26">
        <f t="shared" ref="Z105:Z143" si="22">AA105-P105</f>
        <v>0</v>
      </c>
      <c r="AA105" s="26">
        <f t="shared" si="18"/>
        <v>0</v>
      </c>
      <c r="AB105" s="33" t="s">
        <v>15</v>
      </c>
      <c r="AC105" s="324"/>
      <c r="AD105" s="181">
        <f t="shared" si="15"/>
        <v>1</v>
      </c>
      <c r="AE105" s="181">
        <f t="shared" si="14"/>
        <v>17341.04</v>
      </c>
      <c r="AF105" s="181">
        <v>1.2</v>
      </c>
      <c r="AG105" s="181">
        <v>1.2</v>
      </c>
      <c r="AH105" s="363" t="str">
        <f t="shared" si="19"/>
        <v/>
      </c>
      <c r="AI105" s="192">
        <v>0</v>
      </c>
      <c r="AJ105" s="188">
        <v>1</v>
      </c>
      <c r="AO105" s="367"/>
      <c r="AP105" s="367"/>
      <c r="AQ105" s="367"/>
    </row>
    <row r="106" spans="1:43" s="69" customFormat="1" ht="26.1" customHeight="1" x14ac:dyDescent="0.3">
      <c r="A106" s="55" t="s">
        <v>299</v>
      </c>
      <c r="B106" s="53" t="s">
        <v>300</v>
      </c>
      <c r="C106" s="54" t="s">
        <v>81</v>
      </c>
      <c r="D106" s="75">
        <v>6</v>
      </c>
      <c r="E106" s="75"/>
      <c r="F106" s="75"/>
      <c r="G106" s="75"/>
      <c r="H106" s="75"/>
      <c r="I106" s="75"/>
      <c r="J106" s="75">
        <v>17341.04</v>
      </c>
      <c r="K106" s="75">
        <v>104046.24</v>
      </c>
      <c r="L106" s="91" t="s">
        <v>301</v>
      </c>
      <c r="M106" s="73"/>
      <c r="N106" s="46">
        <v>0</v>
      </c>
      <c r="O106" s="46">
        <v>0</v>
      </c>
      <c r="P106" s="46">
        <v>0</v>
      </c>
      <c r="Q106" s="98"/>
      <c r="R106" s="23" t="s">
        <v>1468</v>
      </c>
      <c r="S106" s="24" t="s">
        <v>300</v>
      </c>
      <c r="T106" s="25" t="s">
        <v>81</v>
      </c>
      <c r="U106" s="26">
        <v>6</v>
      </c>
      <c r="V106" s="26">
        <f t="shared" si="21"/>
        <v>6</v>
      </c>
      <c r="W106" s="26">
        <f t="shared" si="16"/>
        <v>17341.04</v>
      </c>
      <c r="X106" s="26">
        <f t="shared" si="20"/>
        <v>0</v>
      </c>
      <c r="Y106" s="26">
        <f t="shared" si="17"/>
        <v>0</v>
      </c>
      <c r="Z106" s="26">
        <f t="shared" si="22"/>
        <v>0</v>
      </c>
      <c r="AA106" s="26">
        <f t="shared" si="18"/>
        <v>0</v>
      </c>
      <c r="AB106" s="33" t="s">
        <v>15</v>
      </c>
      <c r="AC106" s="324"/>
      <c r="AD106" s="181">
        <f t="shared" si="15"/>
        <v>6</v>
      </c>
      <c r="AE106" s="181">
        <f t="shared" ref="AE106:AE143" si="23">ROUND(W106*AD106,2)</f>
        <v>104046.24</v>
      </c>
      <c r="AF106" s="181">
        <v>1.2</v>
      </c>
      <c r="AG106" s="181">
        <v>1.2</v>
      </c>
      <c r="AH106" s="363" t="str">
        <f t="shared" si="19"/>
        <v/>
      </c>
      <c r="AI106" s="192">
        <v>0</v>
      </c>
      <c r="AJ106" s="188">
        <v>6</v>
      </c>
      <c r="AO106" s="367"/>
      <c r="AP106" s="367"/>
      <c r="AQ106" s="367"/>
    </row>
    <row r="107" spans="1:43" s="69" customFormat="1" ht="26.1" customHeight="1" x14ac:dyDescent="0.3">
      <c r="A107" s="55" t="s">
        <v>302</v>
      </c>
      <c r="B107" s="53" t="s">
        <v>303</v>
      </c>
      <c r="C107" s="54" t="s">
        <v>81</v>
      </c>
      <c r="D107" s="75">
        <v>2</v>
      </c>
      <c r="E107" s="75"/>
      <c r="F107" s="75"/>
      <c r="G107" s="75"/>
      <c r="H107" s="75"/>
      <c r="I107" s="75"/>
      <c r="J107" s="75">
        <v>17497.64</v>
      </c>
      <c r="K107" s="75">
        <v>34995.279999999999</v>
      </c>
      <c r="L107" s="91" t="s">
        <v>304</v>
      </c>
      <c r="M107" s="73"/>
      <c r="N107" s="46">
        <v>0</v>
      </c>
      <c r="O107" s="46">
        <v>0</v>
      </c>
      <c r="P107" s="46">
        <v>0</v>
      </c>
      <c r="Q107" s="98"/>
      <c r="R107" s="23" t="s">
        <v>1469</v>
      </c>
      <c r="S107" s="24" t="s">
        <v>303</v>
      </c>
      <c r="T107" s="25" t="s">
        <v>81</v>
      </c>
      <c r="U107" s="26">
        <v>2</v>
      </c>
      <c r="V107" s="26">
        <f t="shared" si="21"/>
        <v>2</v>
      </c>
      <c r="W107" s="26">
        <f t="shared" si="16"/>
        <v>17497.64</v>
      </c>
      <c r="X107" s="26">
        <f t="shared" si="20"/>
        <v>0</v>
      </c>
      <c r="Y107" s="26">
        <f t="shared" si="17"/>
        <v>0</v>
      </c>
      <c r="Z107" s="26">
        <f t="shared" si="22"/>
        <v>0</v>
      </c>
      <c r="AA107" s="26">
        <f t="shared" si="18"/>
        <v>0</v>
      </c>
      <c r="AB107" s="33" t="s">
        <v>15</v>
      </c>
      <c r="AC107" s="324"/>
      <c r="AD107" s="181">
        <f t="shared" si="15"/>
        <v>2</v>
      </c>
      <c r="AE107" s="181">
        <f t="shared" si="23"/>
        <v>34995.279999999999</v>
      </c>
      <c r="AF107" s="181">
        <v>1.2</v>
      </c>
      <c r="AG107" s="181">
        <v>1.2</v>
      </c>
      <c r="AH107" s="363" t="str">
        <f t="shared" si="19"/>
        <v/>
      </c>
      <c r="AI107" s="192">
        <v>0</v>
      </c>
      <c r="AJ107" s="188">
        <v>2</v>
      </c>
      <c r="AO107" s="367"/>
      <c r="AP107" s="367"/>
      <c r="AQ107" s="367"/>
    </row>
    <row r="108" spans="1:43" s="69" customFormat="1" ht="26.1" customHeight="1" x14ac:dyDescent="0.3">
      <c r="A108" s="55" t="s">
        <v>305</v>
      </c>
      <c r="B108" s="53" t="s">
        <v>306</v>
      </c>
      <c r="C108" s="54" t="s">
        <v>81</v>
      </c>
      <c r="D108" s="75">
        <v>2</v>
      </c>
      <c r="E108" s="75"/>
      <c r="F108" s="75"/>
      <c r="G108" s="75"/>
      <c r="H108" s="75"/>
      <c r="I108" s="75"/>
      <c r="J108" s="75">
        <v>1501.74</v>
      </c>
      <c r="K108" s="75">
        <v>3003.48</v>
      </c>
      <c r="L108" s="91" t="s">
        <v>307</v>
      </c>
      <c r="M108" s="73"/>
      <c r="N108" s="46">
        <v>0</v>
      </c>
      <c r="O108" s="46">
        <v>0</v>
      </c>
      <c r="P108" s="46">
        <v>0</v>
      </c>
      <c r="Q108" s="98"/>
      <c r="R108" s="23" t="s">
        <v>1470</v>
      </c>
      <c r="S108" s="24" t="s">
        <v>306</v>
      </c>
      <c r="T108" s="25" t="s">
        <v>81</v>
      </c>
      <c r="U108" s="26">
        <v>2</v>
      </c>
      <c r="V108" s="26">
        <f t="shared" si="21"/>
        <v>2</v>
      </c>
      <c r="W108" s="26">
        <f t="shared" si="16"/>
        <v>1501.74</v>
      </c>
      <c r="X108" s="26">
        <f t="shared" si="20"/>
        <v>0</v>
      </c>
      <c r="Y108" s="26">
        <f t="shared" si="17"/>
        <v>0</v>
      </c>
      <c r="Z108" s="26">
        <f t="shared" si="22"/>
        <v>0</v>
      </c>
      <c r="AA108" s="26">
        <f t="shared" si="18"/>
        <v>0</v>
      </c>
      <c r="AB108" s="33" t="s">
        <v>15</v>
      </c>
      <c r="AC108" s="324"/>
      <c r="AD108" s="181">
        <f t="shared" si="15"/>
        <v>2</v>
      </c>
      <c r="AE108" s="181">
        <f t="shared" si="23"/>
        <v>3003.48</v>
      </c>
      <c r="AF108" s="181">
        <v>1.2</v>
      </c>
      <c r="AG108" s="181">
        <v>1.2</v>
      </c>
      <c r="AH108" s="363" t="str">
        <f t="shared" si="19"/>
        <v/>
      </c>
      <c r="AI108" s="192">
        <v>0</v>
      </c>
      <c r="AJ108" s="188">
        <v>2</v>
      </c>
      <c r="AO108" s="367"/>
      <c r="AP108" s="367"/>
      <c r="AQ108" s="367"/>
    </row>
    <row r="109" spans="1:43" s="69" customFormat="1" ht="26.1" customHeight="1" x14ac:dyDescent="0.3">
      <c r="A109" s="55" t="s">
        <v>308</v>
      </c>
      <c r="B109" s="53" t="s">
        <v>309</v>
      </c>
      <c r="C109" s="54" t="s">
        <v>81</v>
      </c>
      <c r="D109" s="75">
        <v>1</v>
      </c>
      <c r="E109" s="75"/>
      <c r="F109" s="75"/>
      <c r="G109" s="75"/>
      <c r="H109" s="75"/>
      <c r="I109" s="328">
        <v>2</v>
      </c>
      <c r="J109" s="75">
        <v>994.98</v>
      </c>
      <c r="K109" s="75">
        <v>1989.96</v>
      </c>
      <c r="L109" s="91" t="s">
        <v>310</v>
      </c>
      <c r="M109" s="73"/>
      <c r="N109" s="46">
        <v>0</v>
      </c>
      <c r="O109" s="46">
        <v>0</v>
      </c>
      <c r="P109" s="46">
        <v>0</v>
      </c>
      <c r="Q109" s="98"/>
      <c r="R109" s="23" t="s">
        <v>1471</v>
      </c>
      <c r="S109" s="24" t="s">
        <v>309</v>
      </c>
      <c r="T109" s="25" t="s">
        <v>81</v>
      </c>
      <c r="U109" s="26">
        <v>1</v>
      </c>
      <c r="V109" s="26">
        <f t="shared" si="21"/>
        <v>2</v>
      </c>
      <c r="W109" s="26">
        <f t="shared" si="16"/>
        <v>994.98</v>
      </c>
      <c r="X109" s="26">
        <f t="shared" si="20"/>
        <v>0</v>
      </c>
      <c r="Y109" s="26">
        <f t="shared" si="17"/>
        <v>0</v>
      </c>
      <c r="Z109" s="26">
        <f t="shared" si="22"/>
        <v>0</v>
      </c>
      <c r="AA109" s="26">
        <f t="shared" si="18"/>
        <v>0</v>
      </c>
      <c r="AB109" s="33" t="s">
        <v>15</v>
      </c>
      <c r="AC109" s="324"/>
      <c r="AD109" s="181">
        <f t="shared" si="15"/>
        <v>2</v>
      </c>
      <c r="AE109" s="181">
        <f t="shared" si="23"/>
        <v>1989.96</v>
      </c>
      <c r="AF109" s="181">
        <v>1.2</v>
      </c>
      <c r="AG109" s="181">
        <v>1.2</v>
      </c>
      <c r="AH109" s="363" t="str">
        <f t="shared" si="19"/>
        <v/>
      </c>
      <c r="AI109" s="192">
        <v>0</v>
      </c>
      <c r="AJ109" s="190">
        <v>2</v>
      </c>
      <c r="AO109" s="367"/>
      <c r="AP109" s="367"/>
      <c r="AQ109" s="367"/>
    </row>
    <row r="110" spans="1:43" s="69" customFormat="1" ht="26.1" customHeight="1" x14ac:dyDescent="0.3">
      <c r="A110" s="55" t="s">
        <v>311</v>
      </c>
      <c r="B110" s="53" t="s">
        <v>312</v>
      </c>
      <c r="C110" s="54" t="s">
        <v>81</v>
      </c>
      <c r="D110" s="75">
        <v>12</v>
      </c>
      <c r="E110" s="75"/>
      <c r="F110" s="75"/>
      <c r="G110" s="75"/>
      <c r="H110" s="75"/>
      <c r="I110" s="328"/>
      <c r="J110" s="75">
        <v>331.66</v>
      </c>
      <c r="K110" s="75">
        <v>3979.92</v>
      </c>
      <c r="L110" s="91" t="s">
        <v>313</v>
      </c>
      <c r="M110" s="73"/>
      <c r="N110" s="46">
        <v>0</v>
      </c>
      <c r="O110" s="46">
        <v>0</v>
      </c>
      <c r="P110" s="46">
        <v>0</v>
      </c>
      <c r="Q110" s="98"/>
      <c r="R110" s="23" t="s">
        <v>1472</v>
      </c>
      <c r="S110" s="24" t="s">
        <v>312</v>
      </c>
      <c r="T110" s="25" t="s">
        <v>81</v>
      </c>
      <c r="U110" s="26">
        <v>12</v>
      </c>
      <c r="V110" s="26">
        <f t="shared" si="21"/>
        <v>12</v>
      </c>
      <c r="W110" s="26">
        <f t="shared" si="16"/>
        <v>331.66</v>
      </c>
      <c r="X110" s="26">
        <f t="shared" si="20"/>
        <v>0</v>
      </c>
      <c r="Y110" s="26">
        <f t="shared" si="17"/>
        <v>0</v>
      </c>
      <c r="Z110" s="26">
        <f t="shared" si="22"/>
        <v>0</v>
      </c>
      <c r="AA110" s="26">
        <f t="shared" si="18"/>
        <v>0</v>
      </c>
      <c r="AB110" s="33" t="s">
        <v>15</v>
      </c>
      <c r="AC110" s="324"/>
      <c r="AD110" s="181">
        <f t="shared" si="15"/>
        <v>12</v>
      </c>
      <c r="AE110" s="181">
        <f t="shared" si="23"/>
        <v>3979.92</v>
      </c>
      <c r="AF110" s="181">
        <v>1.2</v>
      </c>
      <c r="AG110" s="181">
        <v>1.2</v>
      </c>
      <c r="AH110" s="363" t="str">
        <f t="shared" si="19"/>
        <v/>
      </c>
      <c r="AI110" s="192">
        <v>0</v>
      </c>
      <c r="AJ110" s="188">
        <v>12</v>
      </c>
      <c r="AO110" s="367"/>
      <c r="AP110" s="367"/>
      <c r="AQ110" s="367"/>
    </row>
    <row r="111" spans="1:43" s="69" customFormat="1" ht="26.1" customHeight="1" x14ac:dyDescent="0.3">
      <c r="A111" s="55" t="s">
        <v>314</v>
      </c>
      <c r="B111" s="53" t="s">
        <v>315</v>
      </c>
      <c r="C111" s="54" t="s">
        <v>81</v>
      </c>
      <c r="D111" s="75">
        <v>2</v>
      </c>
      <c r="E111" s="75"/>
      <c r="F111" s="75"/>
      <c r="G111" s="75"/>
      <c r="H111" s="75"/>
      <c r="I111" s="328"/>
      <c r="J111" s="75">
        <v>1096.44</v>
      </c>
      <c r="K111" s="75">
        <v>2192.88</v>
      </c>
      <c r="L111" s="91" t="s">
        <v>316</v>
      </c>
      <c r="M111" s="73"/>
      <c r="N111" s="46">
        <v>0</v>
      </c>
      <c r="O111" s="46">
        <v>0</v>
      </c>
      <c r="P111" s="46">
        <v>0</v>
      </c>
      <c r="Q111" s="98"/>
      <c r="R111" s="23" t="s">
        <v>1473</v>
      </c>
      <c r="S111" s="24" t="s">
        <v>315</v>
      </c>
      <c r="T111" s="25" t="s">
        <v>81</v>
      </c>
      <c r="U111" s="26">
        <v>2</v>
      </c>
      <c r="V111" s="26">
        <f t="shared" si="21"/>
        <v>2</v>
      </c>
      <c r="W111" s="26">
        <f t="shared" si="16"/>
        <v>1096.44</v>
      </c>
      <c r="X111" s="26">
        <f t="shared" si="20"/>
        <v>0</v>
      </c>
      <c r="Y111" s="26">
        <f t="shared" si="17"/>
        <v>0</v>
      </c>
      <c r="Z111" s="26">
        <f t="shared" si="22"/>
        <v>0</v>
      </c>
      <c r="AA111" s="26">
        <f t="shared" si="18"/>
        <v>0</v>
      </c>
      <c r="AB111" s="33" t="s">
        <v>15</v>
      </c>
      <c r="AC111" s="324"/>
      <c r="AD111" s="181">
        <f t="shared" si="15"/>
        <v>2</v>
      </c>
      <c r="AE111" s="181">
        <f t="shared" si="23"/>
        <v>2192.88</v>
      </c>
      <c r="AF111" s="181">
        <v>1.2</v>
      </c>
      <c r="AG111" s="181">
        <v>1.2</v>
      </c>
      <c r="AH111" s="363" t="str">
        <f t="shared" si="19"/>
        <v/>
      </c>
      <c r="AI111" s="192">
        <v>0</v>
      </c>
      <c r="AJ111" s="188">
        <v>2</v>
      </c>
      <c r="AO111" s="367"/>
      <c r="AP111" s="367"/>
      <c r="AQ111" s="367"/>
    </row>
    <row r="112" spans="1:43" s="69" customFormat="1" ht="26.1" customHeight="1" x14ac:dyDescent="0.3">
      <c r="A112" s="55" t="s">
        <v>317</v>
      </c>
      <c r="B112" s="53" t="s">
        <v>318</v>
      </c>
      <c r="C112" s="54" t="s">
        <v>81</v>
      </c>
      <c r="D112" s="75">
        <v>4</v>
      </c>
      <c r="E112" s="75"/>
      <c r="F112" s="75"/>
      <c r="G112" s="75"/>
      <c r="H112" s="75"/>
      <c r="I112" s="328"/>
      <c r="J112" s="75">
        <v>952.24</v>
      </c>
      <c r="K112" s="75">
        <v>3808.96</v>
      </c>
      <c r="L112" s="91" t="s">
        <v>319</v>
      </c>
      <c r="M112" s="73"/>
      <c r="N112" s="46">
        <v>0</v>
      </c>
      <c r="O112" s="46">
        <v>0</v>
      </c>
      <c r="P112" s="46">
        <v>0</v>
      </c>
      <c r="Q112" s="98"/>
      <c r="R112" s="23" t="s">
        <v>1474</v>
      </c>
      <c r="S112" s="24" t="s">
        <v>318</v>
      </c>
      <c r="T112" s="25" t="s">
        <v>81</v>
      </c>
      <c r="U112" s="26">
        <v>4</v>
      </c>
      <c r="V112" s="26">
        <f t="shared" si="21"/>
        <v>4</v>
      </c>
      <c r="W112" s="26">
        <f t="shared" si="16"/>
        <v>952.24</v>
      </c>
      <c r="X112" s="26">
        <f t="shared" si="20"/>
        <v>0</v>
      </c>
      <c r="Y112" s="26">
        <f t="shared" si="17"/>
        <v>0</v>
      </c>
      <c r="Z112" s="26">
        <f t="shared" si="22"/>
        <v>0</v>
      </c>
      <c r="AA112" s="26">
        <f t="shared" si="18"/>
        <v>0</v>
      </c>
      <c r="AB112" s="33" t="s">
        <v>15</v>
      </c>
      <c r="AC112" s="324"/>
      <c r="AD112" s="181">
        <f t="shared" si="15"/>
        <v>4</v>
      </c>
      <c r="AE112" s="181">
        <f t="shared" si="23"/>
        <v>3808.96</v>
      </c>
      <c r="AF112" s="181">
        <v>1.2</v>
      </c>
      <c r="AG112" s="181">
        <v>1.2</v>
      </c>
      <c r="AH112" s="363" t="str">
        <f t="shared" si="19"/>
        <v/>
      </c>
      <c r="AI112" s="192">
        <v>0</v>
      </c>
      <c r="AJ112" s="188">
        <v>4</v>
      </c>
      <c r="AO112" s="367"/>
      <c r="AP112" s="367"/>
      <c r="AQ112" s="367"/>
    </row>
    <row r="113" spans="1:43" s="69" customFormat="1" ht="49.5" x14ac:dyDescent="0.3">
      <c r="A113" s="130" t="s">
        <v>320</v>
      </c>
      <c r="B113" s="240" t="s">
        <v>321</v>
      </c>
      <c r="C113" s="132" t="s">
        <v>50</v>
      </c>
      <c r="D113" s="133">
        <v>676.98</v>
      </c>
      <c r="E113" s="75">
        <v>773.78</v>
      </c>
      <c r="F113" s="75"/>
      <c r="G113" s="75"/>
      <c r="H113" s="75"/>
      <c r="I113" s="328"/>
      <c r="J113" s="75">
        <v>647.70000000000005</v>
      </c>
      <c r="K113" s="75">
        <v>501177.31</v>
      </c>
      <c r="L113" s="91" t="s">
        <v>322</v>
      </c>
      <c r="M113" s="73"/>
      <c r="N113" s="46">
        <v>769.18</v>
      </c>
      <c r="O113" s="46">
        <v>0</v>
      </c>
      <c r="P113" s="46">
        <v>498197.89</v>
      </c>
      <c r="Q113" s="98"/>
      <c r="R113" s="23" t="s">
        <v>1475</v>
      </c>
      <c r="S113" s="24" t="s">
        <v>321</v>
      </c>
      <c r="T113" s="25" t="s">
        <v>50</v>
      </c>
      <c r="U113" s="26">
        <v>676.98</v>
      </c>
      <c r="V113" s="26">
        <f t="shared" si="21"/>
        <v>773.78</v>
      </c>
      <c r="W113" s="26">
        <f t="shared" si="16"/>
        <v>647.70000000000005</v>
      </c>
      <c r="X113" s="127">
        <f t="shared" si="20"/>
        <v>0</v>
      </c>
      <c r="Y113" s="127">
        <f t="shared" si="17"/>
        <v>769.18</v>
      </c>
      <c r="Z113" s="127">
        <f t="shared" si="22"/>
        <v>0</v>
      </c>
      <c r="AA113" s="127">
        <f t="shared" si="18"/>
        <v>498197.89</v>
      </c>
      <c r="AB113" s="27" t="s">
        <v>15</v>
      </c>
      <c r="AC113" s="324"/>
      <c r="AD113" s="181">
        <f t="shared" si="15"/>
        <v>773.78</v>
      </c>
      <c r="AE113" s="181">
        <f t="shared" si="23"/>
        <v>501177.31</v>
      </c>
      <c r="AF113" s="181">
        <v>1.2</v>
      </c>
      <c r="AG113" s="181">
        <v>1.2</v>
      </c>
      <c r="AH113" s="363" t="str">
        <f t="shared" si="19"/>
        <v/>
      </c>
      <c r="AI113" s="194">
        <f>354.83+231.1+91.05+92.2</f>
        <v>769.18</v>
      </c>
      <c r="AJ113" s="188">
        <v>773.78</v>
      </c>
      <c r="AO113" s="367"/>
      <c r="AP113" s="367"/>
      <c r="AQ113" s="367"/>
    </row>
    <row r="114" spans="1:43" s="69" customFormat="1" ht="24.75" x14ac:dyDescent="0.3">
      <c r="A114" s="55" t="s">
        <v>323</v>
      </c>
      <c r="B114" s="53" t="s">
        <v>3288</v>
      </c>
      <c r="C114" s="54" t="s">
        <v>325</v>
      </c>
      <c r="D114" s="75">
        <v>2</v>
      </c>
      <c r="E114" s="75"/>
      <c r="F114" s="75"/>
      <c r="G114" s="75"/>
      <c r="H114" s="75"/>
      <c r="I114" s="328"/>
      <c r="J114" s="75">
        <v>10413.299999999999</v>
      </c>
      <c r="K114" s="75">
        <v>20826.599999999999</v>
      </c>
      <c r="L114" s="91" t="s">
        <v>326</v>
      </c>
      <c r="M114" s="73"/>
      <c r="N114" s="46">
        <v>0</v>
      </c>
      <c r="O114" s="46">
        <v>0</v>
      </c>
      <c r="P114" s="46">
        <v>0</v>
      </c>
      <c r="Q114" s="98"/>
      <c r="R114" s="23" t="s">
        <v>1476</v>
      </c>
      <c r="S114" s="24" t="s">
        <v>324</v>
      </c>
      <c r="T114" s="25" t="s">
        <v>325</v>
      </c>
      <c r="U114" s="26">
        <v>2</v>
      </c>
      <c r="V114" s="26">
        <f t="shared" si="21"/>
        <v>2</v>
      </c>
      <c r="W114" s="26">
        <f t="shared" si="16"/>
        <v>10413.299999999999</v>
      </c>
      <c r="X114" s="26">
        <f t="shared" si="20"/>
        <v>0</v>
      </c>
      <c r="Y114" s="26">
        <f t="shared" si="17"/>
        <v>0</v>
      </c>
      <c r="Z114" s="26">
        <f t="shared" si="22"/>
        <v>0</v>
      </c>
      <c r="AA114" s="26">
        <f t="shared" si="18"/>
        <v>0</v>
      </c>
      <c r="AB114" s="33" t="s">
        <v>15</v>
      </c>
      <c r="AC114" s="324"/>
      <c r="AD114" s="181">
        <f t="shared" si="15"/>
        <v>2</v>
      </c>
      <c r="AE114" s="181">
        <f t="shared" si="23"/>
        <v>20826.599999999999</v>
      </c>
      <c r="AF114" s="181">
        <v>1.2</v>
      </c>
      <c r="AG114" s="181">
        <v>1.2</v>
      </c>
      <c r="AH114" s="363" t="str">
        <f t="shared" si="19"/>
        <v/>
      </c>
      <c r="AI114" s="192">
        <v>0</v>
      </c>
      <c r="AJ114" s="188">
        <v>2</v>
      </c>
      <c r="AO114" s="367"/>
      <c r="AP114" s="367"/>
      <c r="AQ114" s="367"/>
    </row>
    <row r="115" spans="1:43" s="69" customFormat="1" ht="24.75" x14ac:dyDescent="0.3">
      <c r="A115" s="130" t="s">
        <v>327</v>
      </c>
      <c r="B115" s="131" t="s">
        <v>328</v>
      </c>
      <c r="C115" s="132" t="s">
        <v>81</v>
      </c>
      <c r="D115" s="133">
        <v>1</v>
      </c>
      <c r="E115" s="75"/>
      <c r="F115" s="75"/>
      <c r="G115" s="75"/>
      <c r="H115" s="75"/>
      <c r="I115" s="328"/>
      <c r="J115" s="75">
        <v>101421.35</v>
      </c>
      <c r="K115" s="75">
        <v>101421.35</v>
      </c>
      <c r="L115" s="91" t="s">
        <v>329</v>
      </c>
      <c r="M115" s="73"/>
      <c r="N115" s="46">
        <v>1</v>
      </c>
      <c r="O115" s="46">
        <v>0</v>
      </c>
      <c r="P115" s="46">
        <v>101421.35</v>
      </c>
      <c r="Q115" s="98"/>
      <c r="R115" s="23" t="s">
        <v>1477</v>
      </c>
      <c r="S115" s="24" t="s">
        <v>328</v>
      </c>
      <c r="T115" s="25" t="s">
        <v>81</v>
      </c>
      <c r="U115" s="26">
        <v>1</v>
      </c>
      <c r="V115" s="26">
        <f t="shared" si="21"/>
        <v>1</v>
      </c>
      <c r="W115" s="26">
        <f t="shared" si="16"/>
        <v>101421.35</v>
      </c>
      <c r="X115" s="127">
        <f t="shared" si="20"/>
        <v>0</v>
      </c>
      <c r="Y115" s="127">
        <f t="shared" si="17"/>
        <v>1</v>
      </c>
      <c r="Z115" s="127">
        <f t="shared" si="22"/>
        <v>0</v>
      </c>
      <c r="AA115" s="127">
        <f t="shared" si="18"/>
        <v>101421.35</v>
      </c>
      <c r="AB115" s="33" t="s">
        <v>15</v>
      </c>
      <c r="AC115" s="324"/>
      <c r="AD115" s="181">
        <f t="shared" si="15"/>
        <v>1</v>
      </c>
      <c r="AE115" s="181">
        <f t="shared" si="23"/>
        <v>101421.35</v>
      </c>
      <c r="AF115" s="181">
        <v>1.2</v>
      </c>
      <c r="AG115" s="181">
        <v>1.2</v>
      </c>
      <c r="AH115" s="363" t="str">
        <f t="shared" si="19"/>
        <v/>
      </c>
      <c r="AI115" s="192">
        <v>1</v>
      </c>
      <c r="AJ115" s="188">
        <v>1</v>
      </c>
      <c r="AO115" s="367"/>
      <c r="AP115" s="367"/>
      <c r="AQ115" s="367"/>
    </row>
    <row r="116" spans="1:43" s="69" customFormat="1" ht="24.75" x14ac:dyDescent="0.3">
      <c r="A116" s="130" t="s">
        <v>330</v>
      </c>
      <c r="B116" s="131" t="s">
        <v>331</v>
      </c>
      <c r="C116" s="132" t="s">
        <v>325</v>
      </c>
      <c r="D116" s="133">
        <v>3</v>
      </c>
      <c r="E116" s="75"/>
      <c r="F116" s="75"/>
      <c r="G116" s="75"/>
      <c r="H116" s="75"/>
      <c r="I116" s="328"/>
      <c r="J116" s="75">
        <v>4575.26</v>
      </c>
      <c r="K116" s="75">
        <v>13725.78</v>
      </c>
      <c r="L116" s="91" t="s">
        <v>332</v>
      </c>
      <c r="M116" s="73"/>
      <c r="N116" s="46">
        <v>3</v>
      </c>
      <c r="O116" s="46">
        <v>0</v>
      </c>
      <c r="P116" s="46">
        <v>13725.78</v>
      </c>
      <c r="Q116" s="98"/>
      <c r="R116" s="23" t="s">
        <v>1478</v>
      </c>
      <c r="S116" s="24" t="s">
        <v>331</v>
      </c>
      <c r="T116" s="25" t="s">
        <v>325</v>
      </c>
      <c r="U116" s="26">
        <v>3</v>
      </c>
      <c r="V116" s="26">
        <f t="shared" si="21"/>
        <v>3</v>
      </c>
      <c r="W116" s="26">
        <f t="shared" si="16"/>
        <v>4575.26</v>
      </c>
      <c r="X116" s="127">
        <f t="shared" si="20"/>
        <v>0</v>
      </c>
      <c r="Y116" s="127">
        <f t="shared" si="17"/>
        <v>3</v>
      </c>
      <c r="Z116" s="127">
        <f t="shared" si="22"/>
        <v>0</v>
      </c>
      <c r="AA116" s="127">
        <f t="shared" si="18"/>
        <v>13725.78</v>
      </c>
      <c r="AB116" s="33" t="s">
        <v>15</v>
      </c>
      <c r="AC116" s="324"/>
      <c r="AD116" s="181">
        <f t="shared" si="15"/>
        <v>3</v>
      </c>
      <c r="AE116" s="181">
        <f t="shared" si="23"/>
        <v>13725.78</v>
      </c>
      <c r="AF116" s="181">
        <v>1.2</v>
      </c>
      <c r="AG116" s="181">
        <v>1.2</v>
      </c>
      <c r="AH116" s="363" t="str">
        <f t="shared" si="19"/>
        <v/>
      </c>
      <c r="AI116" s="194">
        <f>3</f>
        <v>3</v>
      </c>
      <c r="AJ116" s="188">
        <v>3</v>
      </c>
      <c r="AO116" s="367"/>
      <c r="AP116" s="367"/>
      <c r="AQ116" s="367"/>
    </row>
    <row r="117" spans="1:43" s="69" customFormat="1" ht="24.75" x14ac:dyDescent="0.3">
      <c r="A117" s="55" t="s">
        <v>333</v>
      </c>
      <c r="B117" s="53" t="s">
        <v>334</v>
      </c>
      <c r="C117" s="54" t="s">
        <v>81</v>
      </c>
      <c r="D117" s="75">
        <v>1</v>
      </c>
      <c r="E117" s="75"/>
      <c r="F117" s="75"/>
      <c r="G117" s="75"/>
      <c r="H117" s="75"/>
      <c r="I117" s="328"/>
      <c r="J117" s="75">
        <v>12634.43</v>
      </c>
      <c r="K117" s="75">
        <v>12634.43</v>
      </c>
      <c r="L117" s="91" t="s">
        <v>335</v>
      </c>
      <c r="M117" s="73"/>
      <c r="N117" s="46">
        <v>0</v>
      </c>
      <c r="O117" s="46">
        <v>0</v>
      </c>
      <c r="P117" s="46">
        <v>0</v>
      </c>
      <c r="Q117" s="98"/>
      <c r="R117" s="23" t="s">
        <v>1479</v>
      </c>
      <c r="S117" s="24" t="s">
        <v>334</v>
      </c>
      <c r="T117" s="25" t="s">
        <v>81</v>
      </c>
      <c r="U117" s="26">
        <v>1</v>
      </c>
      <c r="V117" s="26">
        <f t="shared" si="21"/>
        <v>1</v>
      </c>
      <c r="W117" s="26">
        <f t="shared" si="16"/>
        <v>12634.43</v>
      </c>
      <c r="X117" s="26">
        <f t="shared" si="20"/>
        <v>0</v>
      </c>
      <c r="Y117" s="26">
        <f t="shared" si="17"/>
        <v>0</v>
      </c>
      <c r="Z117" s="26">
        <f t="shared" si="22"/>
        <v>0</v>
      </c>
      <c r="AA117" s="26">
        <f t="shared" si="18"/>
        <v>0</v>
      </c>
      <c r="AB117" s="33" t="s">
        <v>15</v>
      </c>
      <c r="AC117" s="324"/>
      <c r="AD117" s="181">
        <f t="shared" si="15"/>
        <v>1</v>
      </c>
      <c r="AE117" s="181">
        <f t="shared" si="23"/>
        <v>12634.43</v>
      </c>
      <c r="AF117" s="181">
        <v>1.2</v>
      </c>
      <c r="AG117" s="181">
        <v>1.2</v>
      </c>
      <c r="AH117" s="363" t="str">
        <f t="shared" si="19"/>
        <v/>
      </c>
      <c r="AI117" s="192">
        <v>0</v>
      </c>
      <c r="AJ117" s="188">
        <v>1</v>
      </c>
      <c r="AO117" s="367"/>
      <c r="AP117" s="367"/>
      <c r="AQ117" s="367"/>
    </row>
    <row r="118" spans="1:43" s="69" customFormat="1" x14ac:dyDescent="0.3">
      <c r="A118" s="130" t="s">
        <v>336</v>
      </c>
      <c r="B118" s="131" t="s">
        <v>337</v>
      </c>
      <c r="C118" s="132" t="s">
        <v>338</v>
      </c>
      <c r="D118" s="133">
        <v>63.68</v>
      </c>
      <c r="E118" s="75"/>
      <c r="F118" s="75"/>
      <c r="G118" s="75"/>
      <c r="H118" s="75"/>
      <c r="I118" s="343">
        <v>73.459999999999994</v>
      </c>
      <c r="J118" s="75">
        <v>15300</v>
      </c>
      <c r="K118" s="75">
        <v>1123938</v>
      </c>
      <c r="L118" s="91" t="s">
        <v>339</v>
      </c>
      <c r="M118" s="73"/>
      <c r="N118" s="46">
        <v>73.460000000000008</v>
      </c>
      <c r="O118" s="46">
        <v>0</v>
      </c>
      <c r="P118" s="46">
        <v>1123938</v>
      </c>
      <c r="Q118" s="98"/>
      <c r="R118" s="23" t="s">
        <v>1480</v>
      </c>
      <c r="S118" s="24" t="s">
        <v>337</v>
      </c>
      <c r="T118" s="25" t="s">
        <v>338</v>
      </c>
      <c r="U118" s="26">
        <v>63.68</v>
      </c>
      <c r="V118" s="26">
        <f t="shared" si="21"/>
        <v>73.459999999999994</v>
      </c>
      <c r="W118" s="26">
        <f t="shared" si="16"/>
        <v>15300</v>
      </c>
      <c r="X118" s="127">
        <f t="shared" si="20"/>
        <v>0</v>
      </c>
      <c r="Y118" s="127">
        <f t="shared" si="17"/>
        <v>73.460000000000008</v>
      </c>
      <c r="Z118" s="127">
        <f t="shared" si="22"/>
        <v>0</v>
      </c>
      <c r="AA118" s="127">
        <f t="shared" si="18"/>
        <v>1123938</v>
      </c>
      <c r="AB118" s="33" t="s">
        <v>15</v>
      </c>
      <c r="AC118" s="324"/>
      <c r="AD118" s="181">
        <f t="shared" si="15"/>
        <v>73.459999999999994</v>
      </c>
      <c r="AE118" s="181">
        <f t="shared" si="23"/>
        <v>1123938</v>
      </c>
      <c r="AF118" s="181">
        <v>1.2</v>
      </c>
      <c r="AG118" s="181">
        <v>1.2</v>
      </c>
      <c r="AH118" s="363" t="str">
        <f t="shared" si="19"/>
        <v/>
      </c>
      <c r="AI118" s="194">
        <f>35.7+21.8+5.85+10.11</f>
        <v>73.460000000000008</v>
      </c>
      <c r="AJ118" s="190">
        <v>73.459999999999994</v>
      </c>
      <c r="AO118" s="367"/>
      <c r="AP118" s="367"/>
      <c r="AQ118" s="367"/>
    </row>
    <row r="119" spans="1:43" s="69" customFormat="1" ht="24.75" x14ac:dyDescent="0.3">
      <c r="A119" s="55" t="s">
        <v>340</v>
      </c>
      <c r="B119" s="53" t="s">
        <v>341</v>
      </c>
      <c r="C119" s="54" t="s">
        <v>81</v>
      </c>
      <c r="D119" s="75">
        <v>62</v>
      </c>
      <c r="E119" s="75"/>
      <c r="F119" s="75"/>
      <c r="G119" s="75"/>
      <c r="H119" s="75"/>
      <c r="I119" s="75"/>
      <c r="J119" s="75">
        <v>4498.58</v>
      </c>
      <c r="K119" s="75">
        <v>278911.96000000002</v>
      </c>
      <c r="L119" s="91" t="s">
        <v>342</v>
      </c>
      <c r="M119" s="73"/>
      <c r="N119" s="46">
        <v>50</v>
      </c>
      <c r="O119" s="46">
        <v>0</v>
      </c>
      <c r="P119" s="46">
        <v>224929</v>
      </c>
      <c r="Q119" s="98"/>
      <c r="R119" s="23" t="s">
        <v>1481</v>
      </c>
      <c r="S119" s="24" t="s">
        <v>341</v>
      </c>
      <c r="T119" s="25" t="s">
        <v>81</v>
      </c>
      <c r="U119" s="26">
        <v>62</v>
      </c>
      <c r="V119" s="26">
        <f t="shared" si="21"/>
        <v>62</v>
      </c>
      <c r="W119" s="26">
        <f t="shared" si="16"/>
        <v>4498.58</v>
      </c>
      <c r="X119" s="128">
        <f t="shared" si="20"/>
        <v>0</v>
      </c>
      <c r="Y119" s="26">
        <f t="shared" si="17"/>
        <v>50</v>
      </c>
      <c r="Z119" s="26">
        <f t="shared" si="22"/>
        <v>0</v>
      </c>
      <c r="AA119" s="26">
        <f t="shared" si="18"/>
        <v>224929</v>
      </c>
      <c r="AB119" s="33" t="s">
        <v>15</v>
      </c>
      <c r="AC119" s="324"/>
      <c r="AD119" s="181">
        <f t="shared" si="15"/>
        <v>62</v>
      </c>
      <c r="AE119" s="181">
        <f t="shared" si="23"/>
        <v>278911.96000000002</v>
      </c>
      <c r="AF119" s="181">
        <v>1.2</v>
      </c>
      <c r="AG119" s="181">
        <v>1.2</v>
      </c>
      <c r="AH119" s="363" t="str">
        <f t="shared" si="19"/>
        <v/>
      </c>
      <c r="AI119" s="194">
        <f>16+3+21+10</f>
        <v>50</v>
      </c>
      <c r="AJ119" s="188">
        <v>62</v>
      </c>
      <c r="AO119" s="367"/>
      <c r="AP119" s="367"/>
      <c r="AQ119" s="367"/>
    </row>
    <row r="120" spans="1:43" s="69" customFormat="1" ht="24.75" x14ac:dyDescent="0.3">
      <c r="A120" s="130" t="s">
        <v>343</v>
      </c>
      <c r="B120" s="131" t="s">
        <v>344</v>
      </c>
      <c r="C120" s="132" t="s">
        <v>81</v>
      </c>
      <c r="D120" s="133">
        <v>15</v>
      </c>
      <c r="E120" s="75"/>
      <c r="F120" s="75"/>
      <c r="G120" s="75"/>
      <c r="H120" s="75"/>
      <c r="I120" s="75"/>
      <c r="J120" s="75">
        <v>3353.68</v>
      </c>
      <c r="K120" s="75">
        <v>50305.2</v>
      </c>
      <c r="L120" s="91" t="s">
        <v>345</v>
      </c>
      <c r="M120" s="73"/>
      <c r="N120" s="46">
        <v>15</v>
      </c>
      <c r="O120" s="46">
        <v>0</v>
      </c>
      <c r="P120" s="46">
        <v>50305.2</v>
      </c>
      <c r="Q120" s="98"/>
      <c r="R120" s="23" t="s">
        <v>1482</v>
      </c>
      <c r="S120" s="24" t="s">
        <v>344</v>
      </c>
      <c r="T120" s="25" t="s">
        <v>81</v>
      </c>
      <c r="U120" s="26">
        <v>15</v>
      </c>
      <c r="V120" s="26">
        <f t="shared" si="21"/>
        <v>15</v>
      </c>
      <c r="W120" s="26">
        <f t="shared" si="16"/>
        <v>3353.68</v>
      </c>
      <c r="X120" s="127">
        <f t="shared" si="20"/>
        <v>0</v>
      </c>
      <c r="Y120" s="127">
        <f t="shared" si="17"/>
        <v>15</v>
      </c>
      <c r="Z120" s="127">
        <f t="shared" si="22"/>
        <v>0</v>
      </c>
      <c r="AA120" s="127">
        <f t="shared" si="18"/>
        <v>50305.2</v>
      </c>
      <c r="AB120" s="33" t="s">
        <v>15</v>
      </c>
      <c r="AC120" s="324"/>
      <c r="AD120" s="181">
        <f t="shared" si="15"/>
        <v>15</v>
      </c>
      <c r="AE120" s="181">
        <f t="shared" si="23"/>
        <v>50305.2</v>
      </c>
      <c r="AF120" s="181">
        <v>1.2</v>
      </c>
      <c r="AG120" s="181">
        <v>1.2</v>
      </c>
      <c r="AH120" s="363" t="str">
        <f t="shared" si="19"/>
        <v/>
      </c>
      <c r="AI120" s="194">
        <f>2+6+4+3</f>
        <v>15</v>
      </c>
      <c r="AJ120" s="188">
        <v>15</v>
      </c>
      <c r="AO120" s="367"/>
      <c r="AP120" s="367"/>
      <c r="AQ120" s="367"/>
    </row>
    <row r="121" spans="1:43" s="69" customFormat="1" ht="24.75" x14ac:dyDescent="0.3">
      <c r="A121" s="55" t="s">
        <v>346</v>
      </c>
      <c r="B121" s="53" t="s">
        <v>347</v>
      </c>
      <c r="C121" s="54" t="s">
        <v>30</v>
      </c>
      <c r="D121" s="75">
        <v>13</v>
      </c>
      <c r="E121" s="75"/>
      <c r="F121" s="75"/>
      <c r="G121" s="75"/>
      <c r="H121" s="75"/>
      <c r="I121" s="75"/>
      <c r="J121" s="75">
        <v>9874.4</v>
      </c>
      <c r="K121" s="75">
        <v>128367.2</v>
      </c>
      <c r="L121" s="91" t="s">
        <v>348</v>
      </c>
      <c r="M121" s="73"/>
      <c r="N121" s="46">
        <v>7</v>
      </c>
      <c r="O121" s="46">
        <v>0</v>
      </c>
      <c r="P121" s="46">
        <v>69120.800000000003</v>
      </c>
      <c r="Q121" s="98"/>
      <c r="R121" s="23" t="s">
        <v>1483</v>
      </c>
      <c r="S121" s="24" t="s">
        <v>347</v>
      </c>
      <c r="T121" s="25" t="s">
        <v>30</v>
      </c>
      <c r="U121" s="26">
        <v>13</v>
      </c>
      <c r="V121" s="26">
        <f t="shared" si="21"/>
        <v>13</v>
      </c>
      <c r="W121" s="26">
        <f t="shared" si="16"/>
        <v>9874.4</v>
      </c>
      <c r="X121" s="128">
        <f t="shared" si="20"/>
        <v>0</v>
      </c>
      <c r="Y121" s="26">
        <f t="shared" si="17"/>
        <v>7</v>
      </c>
      <c r="Z121" s="26">
        <f t="shared" si="22"/>
        <v>0</v>
      </c>
      <c r="AA121" s="26">
        <f t="shared" si="18"/>
        <v>69120.800000000003</v>
      </c>
      <c r="AB121" s="33" t="s">
        <v>15</v>
      </c>
      <c r="AC121" s="324"/>
      <c r="AD121" s="181">
        <f t="shared" si="15"/>
        <v>13</v>
      </c>
      <c r="AE121" s="181">
        <f t="shared" si="23"/>
        <v>128367.2</v>
      </c>
      <c r="AF121" s="181">
        <v>1.2</v>
      </c>
      <c r="AG121" s="181">
        <v>1.2</v>
      </c>
      <c r="AH121" s="363" t="str">
        <f t="shared" si="19"/>
        <v/>
      </c>
      <c r="AI121" s="194">
        <f>7</f>
        <v>7</v>
      </c>
      <c r="AJ121" s="188">
        <v>13</v>
      </c>
      <c r="AO121" s="367"/>
      <c r="AP121" s="367"/>
      <c r="AQ121" s="367"/>
    </row>
    <row r="122" spans="1:43" s="69" customFormat="1" ht="24.75" x14ac:dyDescent="0.3">
      <c r="A122" s="55" t="s">
        <v>349</v>
      </c>
      <c r="B122" s="53" t="s">
        <v>350</v>
      </c>
      <c r="C122" s="54" t="s">
        <v>30</v>
      </c>
      <c r="D122" s="75">
        <v>41.7</v>
      </c>
      <c r="E122" s="75"/>
      <c r="F122" s="75"/>
      <c r="G122" s="75"/>
      <c r="H122" s="75"/>
      <c r="I122" s="75"/>
      <c r="J122" s="75">
        <v>6554.37</v>
      </c>
      <c r="K122" s="75">
        <v>273317.23</v>
      </c>
      <c r="L122" s="91" t="s">
        <v>351</v>
      </c>
      <c r="M122" s="73"/>
      <c r="N122" s="46">
        <v>8.6</v>
      </c>
      <c r="O122" s="46">
        <v>0</v>
      </c>
      <c r="P122" s="46">
        <v>56367.58</v>
      </c>
      <c r="Q122" s="98"/>
      <c r="R122" s="23" t="s">
        <v>1484</v>
      </c>
      <c r="S122" s="24" t="s">
        <v>350</v>
      </c>
      <c r="T122" s="25" t="s">
        <v>30</v>
      </c>
      <c r="U122" s="26">
        <v>41.7</v>
      </c>
      <c r="V122" s="26">
        <f t="shared" si="21"/>
        <v>41.7</v>
      </c>
      <c r="W122" s="26">
        <f t="shared" si="16"/>
        <v>6554.37</v>
      </c>
      <c r="X122" s="128">
        <f t="shared" si="20"/>
        <v>0</v>
      </c>
      <c r="Y122" s="26">
        <f t="shared" si="17"/>
        <v>8.6</v>
      </c>
      <c r="Z122" s="26">
        <f t="shared" si="22"/>
        <v>0</v>
      </c>
      <c r="AA122" s="26">
        <f t="shared" si="18"/>
        <v>56367.58</v>
      </c>
      <c r="AB122" s="33" t="s">
        <v>15</v>
      </c>
      <c r="AC122" s="324"/>
      <c r="AD122" s="181">
        <f t="shared" si="15"/>
        <v>41.7</v>
      </c>
      <c r="AE122" s="181">
        <f t="shared" si="23"/>
        <v>273317.23</v>
      </c>
      <c r="AF122" s="181">
        <v>1.2</v>
      </c>
      <c r="AG122" s="181">
        <v>1.2</v>
      </c>
      <c r="AH122" s="363" t="str">
        <f t="shared" si="19"/>
        <v/>
      </c>
      <c r="AI122" s="194">
        <f>8.6</f>
        <v>8.6</v>
      </c>
      <c r="AJ122" s="188">
        <v>41.7</v>
      </c>
      <c r="AO122" s="367"/>
      <c r="AP122" s="367"/>
      <c r="AQ122" s="367"/>
    </row>
    <row r="123" spans="1:43" s="69" customFormat="1" ht="24.75" x14ac:dyDescent="0.3">
      <c r="A123" s="55" t="s">
        <v>352</v>
      </c>
      <c r="B123" s="53" t="s">
        <v>353</v>
      </c>
      <c r="C123" s="54" t="s">
        <v>30</v>
      </c>
      <c r="D123" s="75">
        <v>1.3</v>
      </c>
      <c r="E123" s="75"/>
      <c r="F123" s="75"/>
      <c r="G123" s="75"/>
      <c r="H123" s="75"/>
      <c r="I123" s="75"/>
      <c r="J123" s="75">
        <v>8390.73</v>
      </c>
      <c r="K123" s="75">
        <v>10907.95</v>
      </c>
      <c r="L123" s="91" t="s">
        <v>354</v>
      </c>
      <c r="M123" s="73"/>
      <c r="N123" s="46">
        <v>0</v>
      </c>
      <c r="O123" s="46">
        <v>0</v>
      </c>
      <c r="P123" s="46">
        <v>0</v>
      </c>
      <c r="Q123" s="98"/>
      <c r="R123" s="23" t="s">
        <v>1485</v>
      </c>
      <c r="S123" s="24" t="s">
        <v>353</v>
      </c>
      <c r="T123" s="25" t="s">
        <v>30</v>
      </c>
      <c r="U123" s="26">
        <v>1.3</v>
      </c>
      <c r="V123" s="26">
        <f t="shared" si="21"/>
        <v>1.3</v>
      </c>
      <c r="W123" s="26">
        <f t="shared" si="16"/>
        <v>8390.73</v>
      </c>
      <c r="X123" s="26">
        <f t="shared" si="20"/>
        <v>0</v>
      </c>
      <c r="Y123" s="26">
        <f t="shared" si="17"/>
        <v>0</v>
      </c>
      <c r="Z123" s="26">
        <f t="shared" si="22"/>
        <v>0</v>
      </c>
      <c r="AA123" s="26">
        <f t="shared" si="18"/>
        <v>0</v>
      </c>
      <c r="AB123" s="33" t="s">
        <v>15</v>
      </c>
      <c r="AC123" s="324"/>
      <c r="AD123" s="181">
        <f t="shared" si="15"/>
        <v>1.3</v>
      </c>
      <c r="AE123" s="181">
        <f t="shared" si="23"/>
        <v>10907.95</v>
      </c>
      <c r="AF123" s="181">
        <v>1.2</v>
      </c>
      <c r="AG123" s="181">
        <v>1.2</v>
      </c>
      <c r="AH123" s="363" t="str">
        <f t="shared" si="19"/>
        <v/>
      </c>
      <c r="AI123" s="192">
        <v>0</v>
      </c>
      <c r="AJ123" s="188">
        <v>1.3</v>
      </c>
      <c r="AO123" s="367"/>
      <c r="AP123" s="367"/>
      <c r="AQ123" s="367"/>
    </row>
    <row r="124" spans="1:43" s="69" customFormat="1" ht="39" x14ac:dyDescent="0.3">
      <c r="A124" s="55" t="s">
        <v>355</v>
      </c>
      <c r="B124" s="53" t="s">
        <v>356</v>
      </c>
      <c r="C124" s="54" t="s">
        <v>30</v>
      </c>
      <c r="D124" s="75">
        <v>122.3</v>
      </c>
      <c r="E124" s="75"/>
      <c r="F124" s="75"/>
      <c r="G124" s="75"/>
      <c r="H124" s="75"/>
      <c r="I124" s="75"/>
      <c r="J124" s="75">
        <v>671.99</v>
      </c>
      <c r="K124" s="75">
        <v>82184.38</v>
      </c>
      <c r="L124" s="91" t="s">
        <v>357</v>
      </c>
      <c r="M124" s="73"/>
      <c r="N124" s="46">
        <v>60</v>
      </c>
      <c r="O124" s="46">
        <v>0</v>
      </c>
      <c r="P124" s="46">
        <v>40319.4</v>
      </c>
      <c r="Q124" s="98"/>
      <c r="R124" s="23" t="s">
        <v>1486</v>
      </c>
      <c r="S124" s="24" t="s">
        <v>356</v>
      </c>
      <c r="T124" s="25" t="s">
        <v>30</v>
      </c>
      <c r="U124" s="26">
        <v>122.3</v>
      </c>
      <c r="V124" s="26">
        <f t="shared" si="21"/>
        <v>122.3</v>
      </c>
      <c r="W124" s="26">
        <f t="shared" si="16"/>
        <v>671.99</v>
      </c>
      <c r="X124" s="128">
        <f t="shared" si="20"/>
        <v>0</v>
      </c>
      <c r="Y124" s="26">
        <f t="shared" si="17"/>
        <v>60</v>
      </c>
      <c r="Z124" s="26">
        <f t="shared" si="22"/>
        <v>0</v>
      </c>
      <c r="AA124" s="26">
        <f t="shared" si="18"/>
        <v>40319.4</v>
      </c>
      <c r="AB124" s="33" t="s">
        <v>15</v>
      </c>
      <c r="AC124" s="324"/>
      <c r="AD124" s="181">
        <f t="shared" si="15"/>
        <v>122.3</v>
      </c>
      <c r="AE124" s="181">
        <f t="shared" si="23"/>
        <v>82184.38</v>
      </c>
      <c r="AF124" s="181">
        <v>1.2</v>
      </c>
      <c r="AG124" s="181">
        <v>1.2</v>
      </c>
      <c r="AH124" s="363" t="str">
        <f t="shared" si="19"/>
        <v/>
      </c>
      <c r="AI124" s="194">
        <f>60</f>
        <v>60</v>
      </c>
      <c r="AJ124" s="188">
        <v>122.3</v>
      </c>
      <c r="AO124" s="367"/>
      <c r="AP124" s="367"/>
      <c r="AQ124" s="367"/>
    </row>
    <row r="125" spans="1:43" s="69" customFormat="1" ht="39" x14ac:dyDescent="0.3">
      <c r="A125" s="55" t="s">
        <v>358</v>
      </c>
      <c r="B125" s="53" t="s">
        <v>359</v>
      </c>
      <c r="C125" s="54" t="s">
        <v>30</v>
      </c>
      <c r="D125" s="75">
        <v>101.01</v>
      </c>
      <c r="E125" s="75"/>
      <c r="F125" s="75"/>
      <c r="G125" s="75"/>
      <c r="H125" s="75"/>
      <c r="I125" s="75"/>
      <c r="J125" s="75">
        <v>935.67</v>
      </c>
      <c r="K125" s="75">
        <v>94512.03</v>
      </c>
      <c r="L125" s="91" t="s">
        <v>360</v>
      </c>
      <c r="M125" s="73"/>
      <c r="N125" s="46">
        <v>55</v>
      </c>
      <c r="O125" s="46">
        <v>0</v>
      </c>
      <c r="P125" s="46">
        <v>51461.85</v>
      </c>
      <c r="Q125" s="98"/>
      <c r="R125" s="23" t="s">
        <v>1487</v>
      </c>
      <c r="S125" s="24" t="s">
        <v>359</v>
      </c>
      <c r="T125" s="25" t="s">
        <v>30</v>
      </c>
      <c r="U125" s="26">
        <v>101.01</v>
      </c>
      <c r="V125" s="26">
        <f t="shared" si="21"/>
        <v>101.01</v>
      </c>
      <c r="W125" s="26">
        <f t="shared" si="16"/>
        <v>935.67</v>
      </c>
      <c r="X125" s="128">
        <f t="shared" si="20"/>
        <v>0</v>
      </c>
      <c r="Y125" s="26">
        <f t="shared" si="17"/>
        <v>55</v>
      </c>
      <c r="Z125" s="26">
        <f t="shared" si="22"/>
        <v>0</v>
      </c>
      <c r="AA125" s="26">
        <f t="shared" si="18"/>
        <v>51461.85</v>
      </c>
      <c r="AB125" s="33" t="s">
        <v>15</v>
      </c>
      <c r="AC125" s="324"/>
      <c r="AD125" s="181">
        <f t="shared" si="15"/>
        <v>101.01</v>
      </c>
      <c r="AE125" s="181">
        <f t="shared" si="23"/>
        <v>94512.03</v>
      </c>
      <c r="AF125" s="181">
        <v>1.2</v>
      </c>
      <c r="AG125" s="181">
        <v>1.2</v>
      </c>
      <c r="AH125" s="363" t="str">
        <f t="shared" si="19"/>
        <v/>
      </c>
      <c r="AI125" s="194">
        <f>55</f>
        <v>55</v>
      </c>
      <c r="AJ125" s="188">
        <v>101.01</v>
      </c>
      <c r="AO125" s="367"/>
      <c r="AP125" s="367"/>
      <c r="AQ125" s="367"/>
    </row>
    <row r="126" spans="1:43" s="69" customFormat="1" ht="24.75" x14ac:dyDescent="0.3">
      <c r="A126" s="130" t="s">
        <v>361</v>
      </c>
      <c r="B126" s="131" t="s">
        <v>362</v>
      </c>
      <c r="C126" s="132" t="s">
        <v>30</v>
      </c>
      <c r="D126" s="133">
        <v>489</v>
      </c>
      <c r="E126" s="75"/>
      <c r="F126" s="75"/>
      <c r="G126" s="75"/>
      <c r="H126" s="75"/>
      <c r="I126" s="75"/>
      <c r="J126" s="75">
        <v>658.31</v>
      </c>
      <c r="K126" s="75">
        <v>321913.59000000003</v>
      </c>
      <c r="L126" s="91" t="s">
        <v>363</v>
      </c>
      <c r="M126" s="73"/>
      <c r="N126" s="46">
        <v>458.7</v>
      </c>
      <c r="O126" s="46">
        <v>0</v>
      </c>
      <c r="P126" s="46">
        <v>301966.8</v>
      </c>
      <c r="Q126" s="98"/>
      <c r="R126" s="23" t="s">
        <v>1488</v>
      </c>
      <c r="S126" s="24" t="s">
        <v>362</v>
      </c>
      <c r="T126" s="25" t="s">
        <v>30</v>
      </c>
      <c r="U126" s="26">
        <v>489</v>
      </c>
      <c r="V126" s="26">
        <f t="shared" si="21"/>
        <v>489</v>
      </c>
      <c r="W126" s="26">
        <f t="shared" si="16"/>
        <v>658.31</v>
      </c>
      <c r="X126" s="127">
        <f t="shared" si="20"/>
        <v>0</v>
      </c>
      <c r="Y126" s="127">
        <f t="shared" si="17"/>
        <v>458.7</v>
      </c>
      <c r="Z126" s="127">
        <f t="shared" si="22"/>
        <v>0</v>
      </c>
      <c r="AA126" s="127">
        <f t="shared" si="18"/>
        <v>301966.8</v>
      </c>
      <c r="AB126" s="33" t="s">
        <v>15</v>
      </c>
      <c r="AC126" s="324"/>
      <c r="AD126" s="181">
        <f t="shared" si="15"/>
        <v>489</v>
      </c>
      <c r="AE126" s="181">
        <f t="shared" si="23"/>
        <v>321913.59000000003</v>
      </c>
      <c r="AF126" s="181">
        <v>1.2</v>
      </c>
      <c r="AG126" s="181">
        <v>1.2</v>
      </c>
      <c r="AH126" s="363" t="str">
        <f t="shared" si="19"/>
        <v/>
      </c>
      <c r="AI126" s="194">
        <f>277.7+100+81</f>
        <v>458.7</v>
      </c>
      <c r="AJ126" s="188">
        <v>489</v>
      </c>
      <c r="AO126" s="367"/>
      <c r="AP126" s="367"/>
      <c r="AQ126" s="367"/>
    </row>
    <row r="127" spans="1:43" s="69" customFormat="1" ht="24.75" x14ac:dyDescent="0.3">
      <c r="A127" s="130" t="s">
        <v>364</v>
      </c>
      <c r="B127" s="131" t="s">
        <v>3111</v>
      </c>
      <c r="C127" s="132" t="s">
        <v>30</v>
      </c>
      <c r="D127" s="133">
        <v>216</v>
      </c>
      <c r="E127" s="75"/>
      <c r="F127" s="75"/>
      <c r="G127" s="75"/>
      <c r="H127" s="75"/>
      <c r="I127" s="75"/>
      <c r="J127" s="75">
        <v>730.41</v>
      </c>
      <c r="K127" s="75">
        <v>157768.56</v>
      </c>
      <c r="L127" s="91" t="s">
        <v>366</v>
      </c>
      <c r="M127" s="73"/>
      <c r="N127" s="46">
        <v>180</v>
      </c>
      <c r="O127" s="46">
        <v>0</v>
      </c>
      <c r="P127" s="46">
        <v>131473.79999999999</v>
      </c>
      <c r="Q127" s="98"/>
      <c r="R127" s="23" t="s">
        <v>1489</v>
      </c>
      <c r="S127" s="24" t="s">
        <v>365</v>
      </c>
      <c r="T127" s="25" t="s">
        <v>30</v>
      </c>
      <c r="U127" s="26">
        <v>216</v>
      </c>
      <c r="V127" s="26">
        <f t="shared" si="21"/>
        <v>216</v>
      </c>
      <c r="W127" s="26">
        <f t="shared" si="16"/>
        <v>730.41</v>
      </c>
      <c r="X127" s="127">
        <f t="shared" si="20"/>
        <v>0</v>
      </c>
      <c r="Y127" s="127">
        <f t="shared" si="17"/>
        <v>180</v>
      </c>
      <c r="Z127" s="127">
        <f t="shared" si="22"/>
        <v>0</v>
      </c>
      <c r="AA127" s="127">
        <f t="shared" si="18"/>
        <v>131473.79999999999</v>
      </c>
      <c r="AB127" s="33" t="s">
        <v>15</v>
      </c>
      <c r="AC127" s="324"/>
      <c r="AD127" s="181">
        <f t="shared" si="15"/>
        <v>216</v>
      </c>
      <c r="AE127" s="181">
        <f t="shared" si="23"/>
        <v>157768.56</v>
      </c>
      <c r="AF127" s="181">
        <v>1.2</v>
      </c>
      <c r="AG127" s="181">
        <v>1.2</v>
      </c>
      <c r="AH127" s="363" t="str">
        <f t="shared" si="19"/>
        <v/>
      </c>
      <c r="AI127" s="194">
        <f>120+60</f>
        <v>180</v>
      </c>
      <c r="AJ127" s="188">
        <v>216</v>
      </c>
      <c r="AO127" s="367"/>
      <c r="AP127" s="367"/>
      <c r="AQ127" s="367"/>
    </row>
    <row r="128" spans="1:43" s="69" customFormat="1" ht="39" x14ac:dyDescent="0.3">
      <c r="A128" s="130" t="s">
        <v>367</v>
      </c>
      <c r="B128" s="131" t="s">
        <v>368</v>
      </c>
      <c r="C128" s="132" t="s">
        <v>30</v>
      </c>
      <c r="D128" s="133">
        <v>45.16</v>
      </c>
      <c r="E128" s="75"/>
      <c r="F128" s="75"/>
      <c r="G128" s="75"/>
      <c r="H128" s="75"/>
      <c r="I128" s="75"/>
      <c r="J128" s="75">
        <v>406.4</v>
      </c>
      <c r="K128" s="75">
        <v>18353.02</v>
      </c>
      <c r="L128" s="91" t="s">
        <v>369</v>
      </c>
      <c r="M128" s="73"/>
      <c r="N128" s="46">
        <v>45.1</v>
      </c>
      <c r="O128" s="46">
        <v>0</v>
      </c>
      <c r="P128" s="46">
        <v>18328.64</v>
      </c>
      <c r="Q128" s="98"/>
      <c r="R128" s="23" t="s">
        <v>1398</v>
      </c>
      <c r="S128" s="24" t="s">
        <v>368</v>
      </c>
      <c r="T128" s="25" t="s">
        <v>30</v>
      </c>
      <c r="U128" s="26">
        <v>45.16</v>
      </c>
      <c r="V128" s="26">
        <f t="shared" si="21"/>
        <v>45.16</v>
      </c>
      <c r="W128" s="26">
        <f t="shared" si="16"/>
        <v>406.4</v>
      </c>
      <c r="X128" s="127">
        <f t="shared" si="20"/>
        <v>0</v>
      </c>
      <c r="Y128" s="127">
        <f t="shared" si="17"/>
        <v>45.1</v>
      </c>
      <c r="Z128" s="127">
        <f t="shared" si="22"/>
        <v>0</v>
      </c>
      <c r="AA128" s="127">
        <f t="shared" si="18"/>
        <v>18328.64</v>
      </c>
      <c r="AB128" s="33" t="s">
        <v>15</v>
      </c>
      <c r="AC128" s="324"/>
      <c r="AD128" s="181">
        <f t="shared" si="15"/>
        <v>45.16</v>
      </c>
      <c r="AE128" s="181">
        <f t="shared" si="23"/>
        <v>18353.02</v>
      </c>
      <c r="AF128" s="181">
        <v>1.2</v>
      </c>
      <c r="AG128" s="181">
        <v>1.2</v>
      </c>
      <c r="AH128" s="363" t="str">
        <f t="shared" si="19"/>
        <v/>
      </c>
      <c r="AI128" s="194">
        <f>45.1</f>
        <v>45.1</v>
      </c>
      <c r="AJ128" s="188">
        <v>45.16</v>
      </c>
      <c r="AO128" s="367"/>
      <c r="AP128" s="367"/>
      <c r="AQ128" s="367"/>
    </row>
    <row r="129" spans="1:43" s="69" customFormat="1" ht="39" x14ac:dyDescent="0.3">
      <c r="A129" s="130" t="s">
        <v>370</v>
      </c>
      <c r="B129" s="131" t="s">
        <v>371</v>
      </c>
      <c r="C129" s="132" t="s">
        <v>30</v>
      </c>
      <c r="D129" s="133">
        <v>116.8</v>
      </c>
      <c r="E129" s="75"/>
      <c r="F129" s="75"/>
      <c r="G129" s="75"/>
      <c r="H129" s="75"/>
      <c r="I129" s="75"/>
      <c r="J129" s="75">
        <v>457.9</v>
      </c>
      <c r="K129" s="75">
        <v>53482.720000000001</v>
      </c>
      <c r="L129" s="91" t="s">
        <v>372</v>
      </c>
      <c r="M129" s="73"/>
      <c r="N129" s="46">
        <v>83.2</v>
      </c>
      <c r="O129" s="46">
        <v>0</v>
      </c>
      <c r="P129" s="46">
        <v>38097.279999999999</v>
      </c>
      <c r="Q129" s="98"/>
      <c r="R129" s="23" t="s">
        <v>1399</v>
      </c>
      <c r="S129" s="24" t="s">
        <v>371</v>
      </c>
      <c r="T129" s="25" t="s">
        <v>30</v>
      </c>
      <c r="U129" s="26">
        <v>116.8</v>
      </c>
      <c r="V129" s="26">
        <f t="shared" si="21"/>
        <v>116.8</v>
      </c>
      <c r="W129" s="26">
        <f t="shared" si="16"/>
        <v>457.9</v>
      </c>
      <c r="X129" s="127">
        <f t="shared" si="20"/>
        <v>0</v>
      </c>
      <c r="Y129" s="127">
        <f t="shared" si="17"/>
        <v>83.2</v>
      </c>
      <c r="Z129" s="127">
        <f t="shared" si="22"/>
        <v>0</v>
      </c>
      <c r="AA129" s="127">
        <f t="shared" si="18"/>
        <v>38097.279999999999</v>
      </c>
      <c r="AB129" s="33" t="s">
        <v>15</v>
      </c>
      <c r="AC129" s="324"/>
      <c r="AD129" s="181">
        <f t="shared" si="15"/>
        <v>116.8</v>
      </c>
      <c r="AE129" s="181">
        <f t="shared" si="23"/>
        <v>53482.720000000001</v>
      </c>
      <c r="AF129" s="181">
        <v>1.2</v>
      </c>
      <c r="AG129" s="181">
        <v>1.2</v>
      </c>
      <c r="AH129" s="363" t="str">
        <f t="shared" si="19"/>
        <v/>
      </c>
      <c r="AI129" s="194">
        <f>52+31.2</f>
        <v>83.2</v>
      </c>
      <c r="AJ129" s="188">
        <v>116.8</v>
      </c>
      <c r="AO129" s="367"/>
      <c r="AP129" s="367"/>
      <c r="AQ129" s="367"/>
    </row>
    <row r="130" spans="1:43" s="69" customFormat="1" ht="39" x14ac:dyDescent="0.3">
      <c r="A130" s="130" t="s">
        <v>373</v>
      </c>
      <c r="B130" s="131" t="s">
        <v>374</v>
      </c>
      <c r="C130" s="132" t="s">
        <v>30</v>
      </c>
      <c r="D130" s="133">
        <v>25.8</v>
      </c>
      <c r="E130" s="75"/>
      <c r="F130" s="75"/>
      <c r="G130" s="75"/>
      <c r="H130" s="75"/>
      <c r="I130" s="75"/>
      <c r="J130" s="75">
        <v>499.1</v>
      </c>
      <c r="K130" s="75">
        <v>12876.78</v>
      </c>
      <c r="L130" s="91" t="s">
        <v>375</v>
      </c>
      <c r="M130" s="73"/>
      <c r="N130" s="46">
        <v>21</v>
      </c>
      <c r="O130" s="46">
        <v>0</v>
      </c>
      <c r="P130" s="46">
        <v>10481.1</v>
      </c>
      <c r="Q130" s="98"/>
      <c r="R130" s="23" t="s">
        <v>1490</v>
      </c>
      <c r="S130" s="24" t="s">
        <v>374</v>
      </c>
      <c r="T130" s="25" t="s">
        <v>30</v>
      </c>
      <c r="U130" s="26">
        <v>25.8</v>
      </c>
      <c r="V130" s="26">
        <f t="shared" si="21"/>
        <v>25.8</v>
      </c>
      <c r="W130" s="26">
        <f t="shared" si="16"/>
        <v>499.1</v>
      </c>
      <c r="X130" s="127">
        <f t="shared" si="20"/>
        <v>0</v>
      </c>
      <c r="Y130" s="127">
        <f t="shared" si="17"/>
        <v>21</v>
      </c>
      <c r="Z130" s="127">
        <f t="shared" si="22"/>
        <v>0</v>
      </c>
      <c r="AA130" s="127">
        <f t="shared" si="18"/>
        <v>10481.1</v>
      </c>
      <c r="AB130" s="33" t="s">
        <v>15</v>
      </c>
      <c r="AC130" s="324"/>
      <c r="AD130" s="181">
        <f t="shared" si="15"/>
        <v>25.8</v>
      </c>
      <c r="AE130" s="181">
        <f t="shared" si="23"/>
        <v>12876.78</v>
      </c>
      <c r="AF130" s="181">
        <v>1.2</v>
      </c>
      <c r="AG130" s="181">
        <v>1.2</v>
      </c>
      <c r="AH130" s="363" t="str">
        <f t="shared" si="19"/>
        <v/>
      </c>
      <c r="AI130" s="194">
        <f>21</f>
        <v>21</v>
      </c>
      <c r="AJ130" s="188">
        <v>25.8</v>
      </c>
      <c r="AO130" s="367"/>
      <c r="AP130" s="367"/>
      <c r="AQ130" s="367"/>
    </row>
    <row r="131" spans="1:43" s="69" customFormat="1" ht="39" x14ac:dyDescent="0.3">
      <c r="A131" s="55" t="s">
        <v>376</v>
      </c>
      <c r="B131" s="53" t="s">
        <v>377</v>
      </c>
      <c r="C131" s="54" t="s">
        <v>30</v>
      </c>
      <c r="D131" s="75">
        <v>53.89</v>
      </c>
      <c r="E131" s="75"/>
      <c r="F131" s="75"/>
      <c r="G131" s="75"/>
      <c r="H131" s="75"/>
      <c r="I131" s="75"/>
      <c r="J131" s="75">
        <v>545.85</v>
      </c>
      <c r="K131" s="75">
        <v>29415.86</v>
      </c>
      <c r="L131" s="91" t="s">
        <v>378</v>
      </c>
      <c r="M131" s="73"/>
      <c r="N131" s="46">
        <v>40</v>
      </c>
      <c r="O131" s="46">
        <v>0</v>
      </c>
      <c r="P131" s="46">
        <v>21834</v>
      </c>
      <c r="Q131" s="98"/>
      <c r="R131" s="23" t="s">
        <v>1491</v>
      </c>
      <c r="S131" s="24" t="s">
        <v>377</v>
      </c>
      <c r="T131" s="25" t="s">
        <v>30</v>
      </c>
      <c r="U131" s="26">
        <v>53.89</v>
      </c>
      <c r="V131" s="26">
        <f t="shared" si="21"/>
        <v>53.89</v>
      </c>
      <c r="W131" s="26">
        <f t="shared" si="16"/>
        <v>545.85</v>
      </c>
      <c r="X131" s="26">
        <f t="shared" si="20"/>
        <v>0</v>
      </c>
      <c r="Y131" s="26">
        <f t="shared" si="17"/>
        <v>40</v>
      </c>
      <c r="Z131" s="26">
        <f t="shared" si="22"/>
        <v>0</v>
      </c>
      <c r="AA131" s="26">
        <f t="shared" si="18"/>
        <v>21834</v>
      </c>
      <c r="AB131" s="33" t="s">
        <v>15</v>
      </c>
      <c r="AC131" s="324"/>
      <c r="AD131" s="181">
        <f t="shared" si="15"/>
        <v>53.89</v>
      </c>
      <c r="AE131" s="181">
        <f t="shared" si="23"/>
        <v>29415.86</v>
      </c>
      <c r="AF131" s="181">
        <v>1.2</v>
      </c>
      <c r="AG131" s="181">
        <v>1.2</v>
      </c>
      <c r="AH131" s="363" t="str">
        <f t="shared" si="19"/>
        <v/>
      </c>
      <c r="AI131" s="194">
        <f>40</f>
        <v>40</v>
      </c>
      <c r="AJ131" s="188">
        <v>53.89</v>
      </c>
      <c r="AO131" s="367"/>
      <c r="AP131" s="367"/>
      <c r="AQ131" s="367"/>
    </row>
    <row r="132" spans="1:43" s="69" customFormat="1" ht="39" x14ac:dyDescent="0.3">
      <c r="A132" s="130" t="s">
        <v>379</v>
      </c>
      <c r="B132" s="131" t="s">
        <v>3156</v>
      </c>
      <c r="C132" s="132" t="s">
        <v>30</v>
      </c>
      <c r="D132" s="133">
        <v>21</v>
      </c>
      <c r="E132" s="75"/>
      <c r="F132" s="75"/>
      <c r="G132" s="75"/>
      <c r="H132" s="75"/>
      <c r="I132" s="75"/>
      <c r="J132" s="75">
        <v>644.09</v>
      </c>
      <c r="K132" s="75">
        <v>13525.89</v>
      </c>
      <c r="L132" s="91" t="s">
        <v>381</v>
      </c>
      <c r="M132" s="73"/>
      <c r="N132" s="46">
        <v>19</v>
      </c>
      <c r="O132" s="46">
        <v>0</v>
      </c>
      <c r="P132" s="46">
        <v>12237.71</v>
      </c>
      <c r="Q132" s="98"/>
      <c r="R132" s="23" t="s">
        <v>1492</v>
      </c>
      <c r="S132" s="24" t="s">
        <v>380</v>
      </c>
      <c r="T132" s="25" t="s">
        <v>30</v>
      </c>
      <c r="U132" s="26">
        <v>21</v>
      </c>
      <c r="V132" s="26">
        <f t="shared" si="21"/>
        <v>21</v>
      </c>
      <c r="W132" s="26">
        <f t="shared" si="16"/>
        <v>644.09</v>
      </c>
      <c r="X132" s="127">
        <f t="shared" si="20"/>
        <v>0</v>
      </c>
      <c r="Y132" s="127">
        <f t="shared" si="17"/>
        <v>19</v>
      </c>
      <c r="Z132" s="127">
        <f t="shared" si="22"/>
        <v>0</v>
      </c>
      <c r="AA132" s="127">
        <f t="shared" si="18"/>
        <v>12237.71</v>
      </c>
      <c r="AB132" s="33" t="s">
        <v>15</v>
      </c>
      <c r="AC132" s="324"/>
      <c r="AD132" s="181">
        <f t="shared" si="15"/>
        <v>21</v>
      </c>
      <c r="AE132" s="181">
        <f t="shared" si="23"/>
        <v>13525.89</v>
      </c>
      <c r="AF132" s="181">
        <v>1.2</v>
      </c>
      <c r="AG132" s="181">
        <v>1.2</v>
      </c>
      <c r="AH132" s="363" t="str">
        <f t="shared" si="19"/>
        <v/>
      </c>
      <c r="AI132" s="194">
        <f>19</f>
        <v>19</v>
      </c>
      <c r="AJ132" s="188">
        <v>21</v>
      </c>
      <c r="AO132" s="367"/>
      <c r="AP132" s="367"/>
      <c r="AQ132" s="367"/>
    </row>
    <row r="133" spans="1:43" s="69" customFormat="1" ht="33" x14ac:dyDescent="0.3">
      <c r="A133" s="130" t="s">
        <v>382</v>
      </c>
      <c r="B133" s="131" t="s">
        <v>383</v>
      </c>
      <c r="C133" s="132" t="s">
        <v>30</v>
      </c>
      <c r="D133" s="133">
        <v>275.60000000000002</v>
      </c>
      <c r="E133" s="75"/>
      <c r="F133" s="75"/>
      <c r="G133" s="75"/>
      <c r="H133" s="75"/>
      <c r="I133" s="75"/>
      <c r="J133" s="75">
        <v>7340.41</v>
      </c>
      <c r="K133" s="75">
        <v>2023017</v>
      </c>
      <c r="L133" s="91" t="s">
        <v>384</v>
      </c>
      <c r="M133" s="73"/>
      <c r="N133" s="46">
        <v>230</v>
      </c>
      <c r="O133" s="46">
        <v>0</v>
      </c>
      <c r="P133" s="46">
        <v>1688294.3</v>
      </c>
      <c r="Q133" s="98"/>
      <c r="R133" s="23" t="s">
        <v>1493</v>
      </c>
      <c r="S133" s="24" t="s">
        <v>383</v>
      </c>
      <c r="T133" s="25" t="s">
        <v>30</v>
      </c>
      <c r="U133" s="26">
        <v>275.60000000000002</v>
      </c>
      <c r="V133" s="26">
        <f t="shared" si="21"/>
        <v>275.60000000000002</v>
      </c>
      <c r="W133" s="26">
        <f t="shared" si="16"/>
        <v>7340.41</v>
      </c>
      <c r="X133" s="127">
        <f t="shared" si="20"/>
        <v>0</v>
      </c>
      <c r="Y133" s="127">
        <f t="shared" si="17"/>
        <v>230</v>
      </c>
      <c r="Z133" s="127">
        <f t="shared" si="22"/>
        <v>0</v>
      </c>
      <c r="AA133" s="127">
        <f t="shared" si="18"/>
        <v>1688294.3</v>
      </c>
      <c r="AB133" s="33" t="s">
        <v>15</v>
      </c>
      <c r="AC133" s="324"/>
      <c r="AD133" s="181">
        <f t="shared" si="15"/>
        <v>275.60000000000002</v>
      </c>
      <c r="AE133" s="181">
        <f t="shared" si="23"/>
        <v>2023017</v>
      </c>
      <c r="AF133" s="181">
        <v>1.2</v>
      </c>
      <c r="AG133" s="181">
        <v>1.2</v>
      </c>
      <c r="AH133" s="363" t="str">
        <f t="shared" si="19"/>
        <v/>
      </c>
      <c r="AI133" s="194">
        <f>182.3+47.7</f>
        <v>230</v>
      </c>
      <c r="AJ133" s="188">
        <v>275.60000000000002</v>
      </c>
      <c r="AO133" s="367"/>
      <c r="AP133" s="367"/>
      <c r="AQ133" s="367"/>
    </row>
    <row r="134" spans="1:43" s="69" customFormat="1" ht="24.75" x14ac:dyDescent="0.3">
      <c r="A134" s="130" t="s">
        <v>385</v>
      </c>
      <c r="B134" s="131" t="s">
        <v>386</v>
      </c>
      <c r="C134" s="132" t="s">
        <v>81</v>
      </c>
      <c r="D134" s="133">
        <v>1</v>
      </c>
      <c r="E134" s="75"/>
      <c r="F134" s="75"/>
      <c r="G134" s="75"/>
      <c r="H134" s="75"/>
      <c r="I134" s="75"/>
      <c r="J134" s="75">
        <v>913345.81</v>
      </c>
      <c r="K134" s="75">
        <v>913345.81</v>
      </c>
      <c r="L134" s="91" t="s">
        <v>387</v>
      </c>
      <c r="M134" s="73"/>
      <c r="N134" s="46">
        <v>1</v>
      </c>
      <c r="O134" s="46">
        <v>0</v>
      </c>
      <c r="P134" s="46">
        <v>913345.81</v>
      </c>
      <c r="Q134" s="98"/>
      <c r="R134" s="23" t="s">
        <v>1494</v>
      </c>
      <c r="S134" s="24" t="s">
        <v>386</v>
      </c>
      <c r="T134" s="25" t="s">
        <v>81</v>
      </c>
      <c r="U134" s="26">
        <v>1</v>
      </c>
      <c r="V134" s="26">
        <f t="shared" si="21"/>
        <v>1</v>
      </c>
      <c r="W134" s="26">
        <f t="shared" si="16"/>
        <v>913345.81</v>
      </c>
      <c r="X134" s="127">
        <f t="shared" si="20"/>
        <v>0</v>
      </c>
      <c r="Y134" s="127">
        <f t="shared" si="17"/>
        <v>1</v>
      </c>
      <c r="Z134" s="127">
        <f t="shared" si="22"/>
        <v>0</v>
      </c>
      <c r="AA134" s="127">
        <f t="shared" si="18"/>
        <v>913345.81</v>
      </c>
      <c r="AB134" s="33" t="s">
        <v>15</v>
      </c>
      <c r="AC134" s="324"/>
      <c r="AD134" s="181">
        <f t="shared" si="15"/>
        <v>1</v>
      </c>
      <c r="AE134" s="181">
        <f t="shared" si="23"/>
        <v>913345.81</v>
      </c>
      <c r="AF134" s="181">
        <v>1.2</v>
      </c>
      <c r="AG134" s="181">
        <v>1.2</v>
      </c>
      <c r="AH134" s="363" t="str">
        <f t="shared" si="19"/>
        <v/>
      </c>
      <c r="AI134" s="194">
        <v>1</v>
      </c>
      <c r="AJ134" s="188">
        <v>1</v>
      </c>
      <c r="AN134" s="281"/>
      <c r="AO134" s="367"/>
      <c r="AP134" s="367"/>
      <c r="AQ134" s="367"/>
    </row>
    <row r="135" spans="1:43" s="281" customFormat="1" ht="39" x14ac:dyDescent="0.3">
      <c r="A135" s="130" t="s">
        <v>3184</v>
      </c>
      <c r="B135" s="131" t="s">
        <v>3168</v>
      </c>
      <c r="C135" s="132" t="s">
        <v>50</v>
      </c>
      <c r="D135" s="133"/>
      <c r="E135" s="213"/>
      <c r="F135" s="213"/>
      <c r="G135" s="213"/>
      <c r="H135" s="213"/>
      <c r="I135" s="343">
        <v>145.4</v>
      </c>
      <c r="J135" s="213">
        <v>969.53</v>
      </c>
      <c r="K135" s="275">
        <v>140969.66</v>
      </c>
      <c r="L135" s="284"/>
      <c r="M135" s="278"/>
      <c r="N135" s="42">
        <v>142.30000000000001</v>
      </c>
      <c r="O135" s="42">
        <v>0</v>
      </c>
      <c r="P135" s="42">
        <v>137964.12</v>
      </c>
      <c r="Q135" s="98"/>
      <c r="R135" s="13" t="s">
        <v>3167</v>
      </c>
      <c r="S135" s="286" t="str">
        <f>B135</f>
        <v>特殊地坪，壓花地坪</v>
      </c>
      <c r="T135" s="287" t="str">
        <f>C135</f>
        <v>M2</v>
      </c>
      <c r="U135" s="16"/>
      <c r="V135" s="16">
        <f t="shared" si="21"/>
        <v>145.4</v>
      </c>
      <c r="W135" s="16">
        <f t="shared" si="16"/>
        <v>969.53</v>
      </c>
      <c r="X135" s="127">
        <f t="shared" si="20"/>
        <v>0</v>
      </c>
      <c r="Y135" s="127">
        <f t="shared" si="17"/>
        <v>142.30000000000001</v>
      </c>
      <c r="Z135" s="127">
        <f t="shared" si="22"/>
        <v>0</v>
      </c>
      <c r="AA135" s="127">
        <f t="shared" si="18"/>
        <v>137964.12</v>
      </c>
      <c r="AB135" s="17"/>
      <c r="AC135" s="324"/>
      <c r="AD135" s="181">
        <f t="shared" si="15"/>
        <v>145.4</v>
      </c>
      <c r="AE135" s="181">
        <f t="shared" si="23"/>
        <v>140969.66</v>
      </c>
      <c r="AF135" s="181">
        <v>1.2</v>
      </c>
      <c r="AG135" s="181">
        <v>1.2</v>
      </c>
      <c r="AH135" s="364"/>
      <c r="AI135" s="285">
        <v>142.30000000000001</v>
      </c>
      <c r="AJ135" s="190">
        <v>145.4</v>
      </c>
      <c r="AN135" s="364"/>
      <c r="AO135" s="368"/>
      <c r="AP135" s="367"/>
      <c r="AQ135" s="367"/>
    </row>
    <row r="136" spans="1:43" s="281" customFormat="1" x14ac:dyDescent="0.3">
      <c r="A136" s="130" t="s">
        <v>3185</v>
      </c>
      <c r="B136" s="131" t="s">
        <v>3170</v>
      </c>
      <c r="C136" s="132" t="s">
        <v>50</v>
      </c>
      <c r="D136" s="133"/>
      <c r="E136" s="213"/>
      <c r="F136" s="213"/>
      <c r="G136" s="213"/>
      <c r="H136" s="213"/>
      <c r="I136" s="343">
        <v>909.17</v>
      </c>
      <c r="J136" s="213">
        <v>2666.52</v>
      </c>
      <c r="K136" s="275">
        <v>2424319.9900000002</v>
      </c>
      <c r="L136" s="284"/>
      <c r="M136" s="278"/>
      <c r="N136" s="42">
        <v>218.78</v>
      </c>
      <c r="O136" s="42">
        <v>0</v>
      </c>
      <c r="P136" s="42">
        <v>583381.25</v>
      </c>
      <c r="Q136" s="98"/>
      <c r="R136" s="13" t="s">
        <v>3169</v>
      </c>
      <c r="S136" s="286" t="str">
        <f t="shared" ref="S136:T143" si="24">B136</f>
        <v>透水磚地坪B</v>
      </c>
      <c r="T136" s="287" t="str">
        <f t="shared" si="24"/>
        <v>M2</v>
      </c>
      <c r="U136" s="16"/>
      <c r="V136" s="16">
        <f t="shared" si="21"/>
        <v>909.17</v>
      </c>
      <c r="W136" s="16">
        <f t="shared" si="16"/>
        <v>2666.52</v>
      </c>
      <c r="X136" s="26">
        <f t="shared" si="20"/>
        <v>0</v>
      </c>
      <c r="Y136" s="26">
        <f t="shared" si="17"/>
        <v>218.78</v>
      </c>
      <c r="Z136" s="26">
        <f t="shared" si="22"/>
        <v>0</v>
      </c>
      <c r="AA136" s="26">
        <f t="shared" si="18"/>
        <v>583381.25</v>
      </c>
      <c r="AB136" s="17"/>
      <c r="AC136" s="324"/>
      <c r="AD136" s="181">
        <f t="shared" si="15"/>
        <v>909.17</v>
      </c>
      <c r="AE136" s="181">
        <f t="shared" si="23"/>
        <v>2424319.9900000002</v>
      </c>
      <c r="AF136" s="181">
        <v>1.2</v>
      </c>
      <c r="AG136" s="181">
        <v>1.2</v>
      </c>
      <c r="AH136" s="364"/>
      <c r="AI136" s="285">
        <v>218.78</v>
      </c>
      <c r="AJ136" s="190">
        <v>909.17</v>
      </c>
      <c r="AN136" s="364"/>
      <c r="AO136" s="368"/>
      <c r="AP136" s="367"/>
      <c r="AQ136" s="367"/>
    </row>
    <row r="137" spans="1:43" s="281" customFormat="1" ht="58.5" x14ac:dyDescent="0.3">
      <c r="A137" s="130" t="s">
        <v>3186</v>
      </c>
      <c r="B137" s="131" t="s">
        <v>1774</v>
      </c>
      <c r="C137" s="132" t="s">
        <v>50</v>
      </c>
      <c r="D137" s="133"/>
      <c r="E137" s="213"/>
      <c r="F137" s="213"/>
      <c r="G137" s="213"/>
      <c r="H137" s="213"/>
      <c r="I137" s="343">
        <v>308.85000000000002</v>
      </c>
      <c r="J137" s="213">
        <v>458.74</v>
      </c>
      <c r="K137" s="275">
        <v>141681.85</v>
      </c>
      <c r="L137" s="284"/>
      <c r="M137" s="278"/>
      <c r="N137" s="42">
        <v>120.5</v>
      </c>
      <c r="O137" s="42">
        <v>0</v>
      </c>
      <c r="P137" s="42">
        <v>55278.17</v>
      </c>
      <c r="Q137" s="98"/>
      <c r="R137" s="13" t="s">
        <v>3171</v>
      </c>
      <c r="S137" s="286" t="str">
        <f t="shared" si="24"/>
        <v>水泥砂漿粉刷，1：3水泥砂漿，面層粉光</v>
      </c>
      <c r="T137" s="287" t="str">
        <f t="shared" si="24"/>
        <v>M2</v>
      </c>
      <c r="U137" s="16"/>
      <c r="V137" s="16">
        <f t="shared" si="21"/>
        <v>308.85000000000002</v>
      </c>
      <c r="W137" s="16">
        <f t="shared" si="16"/>
        <v>458.74</v>
      </c>
      <c r="X137" s="26">
        <f t="shared" si="20"/>
        <v>0</v>
      </c>
      <c r="Y137" s="26">
        <f t="shared" si="17"/>
        <v>120.5</v>
      </c>
      <c r="Z137" s="26">
        <f t="shared" si="22"/>
        <v>0</v>
      </c>
      <c r="AA137" s="26">
        <f t="shared" si="18"/>
        <v>55278.17</v>
      </c>
      <c r="AB137" s="17"/>
      <c r="AC137" s="324"/>
      <c r="AD137" s="181">
        <f t="shared" si="15"/>
        <v>308.85000000000002</v>
      </c>
      <c r="AE137" s="181">
        <f t="shared" si="23"/>
        <v>141681.85</v>
      </c>
      <c r="AF137" s="181">
        <v>1.2</v>
      </c>
      <c r="AG137" s="181">
        <v>1.2</v>
      </c>
      <c r="AH137" s="364"/>
      <c r="AI137" s="285">
        <v>120.5</v>
      </c>
      <c r="AJ137" s="190">
        <v>308.85000000000002</v>
      </c>
      <c r="AO137" s="367"/>
      <c r="AP137" s="367"/>
      <c r="AQ137" s="367"/>
    </row>
    <row r="138" spans="1:43" s="281" customFormat="1" ht="58.5" x14ac:dyDescent="0.3">
      <c r="A138" s="283" t="s">
        <v>3187</v>
      </c>
      <c r="B138" s="211" t="s">
        <v>3173</v>
      </c>
      <c r="C138" s="212" t="s">
        <v>2735</v>
      </c>
      <c r="D138" s="213"/>
      <c r="E138" s="213"/>
      <c r="F138" s="213"/>
      <c r="G138" s="213"/>
      <c r="H138" s="213"/>
      <c r="I138" s="337">
        <v>1454</v>
      </c>
      <c r="J138" s="213">
        <v>675.93</v>
      </c>
      <c r="K138" s="275">
        <v>982802.22</v>
      </c>
      <c r="L138" s="284"/>
      <c r="M138" s="278"/>
      <c r="N138" s="42">
        <v>0</v>
      </c>
      <c r="O138" s="42">
        <v>0</v>
      </c>
      <c r="P138" s="42">
        <v>0</v>
      </c>
      <c r="Q138" s="98"/>
      <c r="R138" s="13" t="s">
        <v>3172</v>
      </c>
      <c r="S138" s="286" t="str">
        <f t="shared" si="24"/>
        <v>既有木作修復更新，含拆除、運棄</v>
      </c>
      <c r="T138" s="287" t="str">
        <f t="shared" si="24"/>
        <v>才</v>
      </c>
      <c r="U138" s="16"/>
      <c r="V138" s="16">
        <f t="shared" si="21"/>
        <v>1454</v>
      </c>
      <c r="W138" s="16">
        <f t="shared" si="16"/>
        <v>675.93</v>
      </c>
      <c r="X138" s="16">
        <f t="shared" si="20"/>
        <v>0</v>
      </c>
      <c r="Y138" s="16">
        <f t="shared" si="17"/>
        <v>0</v>
      </c>
      <c r="Z138" s="16">
        <f t="shared" si="22"/>
        <v>0</v>
      </c>
      <c r="AA138" s="16">
        <f t="shared" si="18"/>
        <v>0</v>
      </c>
      <c r="AB138" s="17"/>
      <c r="AC138" s="324"/>
      <c r="AD138" s="181">
        <f t="shared" ref="AD138:AD201" si="25">IF(V138=0,U138,V138)</f>
        <v>1454</v>
      </c>
      <c r="AE138" s="181">
        <f t="shared" si="23"/>
        <v>982802.22</v>
      </c>
      <c r="AF138" s="181">
        <v>1.2</v>
      </c>
      <c r="AG138" s="181">
        <v>1.2</v>
      </c>
      <c r="AH138" s="364"/>
      <c r="AI138" s="285"/>
      <c r="AJ138" s="190">
        <v>1454</v>
      </c>
      <c r="AO138" s="367"/>
      <c r="AP138" s="367"/>
      <c r="AQ138" s="367"/>
    </row>
    <row r="139" spans="1:43" s="281" customFormat="1" ht="58.5" x14ac:dyDescent="0.3">
      <c r="A139" s="283" t="s">
        <v>3188</v>
      </c>
      <c r="B139" s="211" t="s">
        <v>3175</v>
      </c>
      <c r="C139" s="212" t="s">
        <v>50</v>
      </c>
      <c r="D139" s="213"/>
      <c r="E139" s="213"/>
      <c r="F139" s="213"/>
      <c r="G139" s="213"/>
      <c r="H139" s="213"/>
      <c r="I139" s="337">
        <v>988</v>
      </c>
      <c r="J139" s="213">
        <v>531.74</v>
      </c>
      <c r="K139" s="275">
        <v>525359.12</v>
      </c>
      <c r="L139" s="284"/>
      <c r="M139" s="278"/>
      <c r="N139" s="42">
        <v>0</v>
      </c>
      <c r="O139" s="42">
        <v>0</v>
      </c>
      <c r="P139" s="42">
        <v>0</v>
      </c>
      <c r="Q139" s="98"/>
      <c r="R139" s="13" t="s">
        <v>3174</v>
      </c>
      <c r="S139" s="286" t="str">
        <f t="shared" si="24"/>
        <v>園區內木作欄杆修整，含護木漆塗布</v>
      </c>
      <c r="T139" s="287" t="str">
        <f t="shared" si="24"/>
        <v>M2</v>
      </c>
      <c r="U139" s="16"/>
      <c r="V139" s="16">
        <f t="shared" si="21"/>
        <v>988</v>
      </c>
      <c r="W139" s="16">
        <f t="shared" ref="W139:W202" si="26">J139</f>
        <v>531.74</v>
      </c>
      <c r="X139" s="16">
        <f t="shared" si="20"/>
        <v>0</v>
      </c>
      <c r="Y139" s="16">
        <f t="shared" si="17"/>
        <v>0</v>
      </c>
      <c r="Z139" s="16">
        <f t="shared" si="22"/>
        <v>0</v>
      </c>
      <c r="AA139" s="16">
        <f t="shared" si="18"/>
        <v>0</v>
      </c>
      <c r="AB139" s="17"/>
      <c r="AC139" s="324"/>
      <c r="AD139" s="181">
        <f t="shared" si="25"/>
        <v>988</v>
      </c>
      <c r="AE139" s="181">
        <f t="shared" si="23"/>
        <v>525359.12</v>
      </c>
      <c r="AF139" s="181">
        <v>1.2</v>
      </c>
      <c r="AG139" s="181">
        <v>1.2</v>
      </c>
      <c r="AH139" s="364"/>
      <c r="AI139" s="285"/>
      <c r="AJ139" s="190">
        <v>988</v>
      </c>
      <c r="AO139" s="367"/>
      <c r="AP139" s="367"/>
      <c r="AQ139" s="367"/>
    </row>
    <row r="140" spans="1:43" s="281" customFormat="1" ht="39" x14ac:dyDescent="0.3">
      <c r="A140" s="283" t="s">
        <v>3282</v>
      </c>
      <c r="B140" s="211" t="s">
        <v>3177</v>
      </c>
      <c r="C140" s="212" t="s">
        <v>50</v>
      </c>
      <c r="D140" s="213"/>
      <c r="E140" s="213"/>
      <c r="F140" s="213"/>
      <c r="G140" s="213"/>
      <c r="H140" s="213"/>
      <c r="I140" s="337">
        <v>100.8</v>
      </c>
      <c r="J140" s="213">
        <v>1634.34</v>
      </c>
      <c r="K140" s="275">
        <v>164741.47</v>
      </c>
      <c r="L140" s="284"/>
      <c r="M140" s="278"/>
      <c r="N140" s="42">
        <v>0</v>
      </c>
      <c r="O140" s="42">
        <v>0</v>
      </c>
      <c r="P140" s="42">
        <v>0</v>
      </c>
      <c r="Q140" s="98"/>
      <c r="R140" s="13" t="s">
        <v>3176</v>
      </c>
      <c r="S140" s="286" t="str">
        <f t="shared" si="24"/>
        <v>園區既有鋼料除銹打磨修整塗裝</v>
      </c>
      <c r="T140" s="287" t="str">
        <f t="shared" si="24"/>
        <v>M2</v>
      </c>
      <c r="U140" s="16"/>
      <c r="V140" s="16">
        <f t="shared" si="21"/>
        <v>100.8</v>
      </c>
      <c r="W140" s="16">
        <f t="shared" si="26"/>
        <v>1634.34</v>
      </c>
      <c r="X140" s="16">
        <f t="shared" si="20"/>
        <v>0</v>
      </c>
      <c r="Y140" s="16">
        <f t="shared" si="17"/>
        <v>0</v>
      </c>
      <c r="Z140" s="16">
        <f t="shared" si="22"/>
        <v>0</v>
      </c>
      <c r="AA140" s="16">
        <f t="shared" si="18"/>
        <v>0</v>
      </c>
      <c r="AB140" s="17"/>
      <c r="AC140" s="324"/>
      <c r="AD140" s="181">
        <f t="shared" si="25"/>
        <v>100.8</v>
      </c>
      <c r="AE140" s="181">
        <f t="shared" si="23"/>
        <v>164741.47</v>
      </c>
      <c r="AF140" s="181">
        <v>1.2</v>
      </c>
      <c r="AG140" s="181">
        <v>1.2</v>
      </c>
      <c r="AH140" s="364"/>
      <c r="AI140" s="285"/>
      <c r="AJ140" s="190">
        <v>100.8</v>
      </c>
      <c r="AO140" s="367"/>
      <c r="AP140" s="367"/>
      <c r="AQ140" s="367"/>
    </row>
    <row r="141" spans="1:43" s="281" customFormat="1" x14ac:dyDescent="0.3">
      <c r="A141" s="283" t="s">
        <v>3283</v>
      </c>
      <c r="B141" s="211" t="s">
        <v>3179</v>
      </c>
      <c r="C141" s="212" t="s">
        <v>1014</v>
      </c>
      <c r="D141" s="213"/>
      <c r="E141" s="213"/>
      <c r="F141" s="213"/>
      <c r="G141" s="213"/>
      <c r="H141" s="213"/>
      <c r="I141" s="337">
        <v>14</v>
      </c>
      <c r="J141" s="213">
        <v>5716.19</v>
      </c>
      <c r="K141" s="275">
        <v>80026.66</v>
      </c>
      <c r="L141" s="284"/>
      <c r="M141" s="278"/>
      <c r="N141" s="42">
        <v>0</v>
      </c>
      <c r="O141" s="42">
        <v>0</v>
      </c>
      <c r="P141" s="42">
        <v>0</v>
      </c>
      <c r="Q141" s="98"/>
      <c r="R141" s="13" t="s">
        <v>3178</v>
      </c>
      <c r="S141" s="286" t="str">
        <f t="shared" si="24"/>
        <v>既有立柱補強</v>
      </c>
      <c r="T141" s="287" t="str">
        <f t="shared" si="24"/>
        <v>處</v>
      </c>
      <c r="U141" s="16"/>
      <c r="V141" s="16">
        <f t="shared" si="21"/>
        <v>14</v>
      </c>
      <c r="W141" s="16">
        <f t="shared" si="26"/>
        <v>5716.19</v>
      </c>
      <c r="X141" s="16">
        <f t="shared" si="20"/>
        <v>0</v>
      </c>
      <c r="Y141" s="16">
        <f t="shared" ref="Y141:Y143" si="27">X141+N141</f>
        <v>0</v>
      </c>
      <c r="Z141" s="16">
        <f t="shared" si="22"/>
        <v>0</v>
      </c>
      <c r="AA141" s="16">
        <f t="shared" si="18"/>
        <v>0</v>
      </c>
      <c r="AB141" s="17"/>
      <c r="AC141" s="324"/>
      <c r="AD141" s="181">
        <f t="shared" si="25"/>
        <v>14</v>
      </c>
      <c r="AE141" s="181">
        <f t="shared" si="23"/>
        <v>80026.66</v>
      </c>
      <c r="AF141" s="181">
        <v>1.2</v>
      </c>
      <c r="AG141" s="181">
        <v>1.2</v>
      </c>
      <c r="AH141" s="364"/>
      <c r="AI141" s="285"/>
      <c r="AJ141" s="190">
        <v>14</v>
      </c>
      <c r="AO141" s="367"/>
      <c r="AP141" s="367"/>
      <c r="AQ141" s="367"/>
    </row>
    <row r="142" spans="1:43" s="281" customFormat="1" ht="58.5" x14ac:dyDescent="0.3">
      <c r="A142" s="283" t="s">
        <v>3284</v>
      </c>
      <c r="B142" s="211" t="s">
        <v>3181</v>
      </c>
      <c r="C142" s="212" t="s">
        <v>50</v>
      </c>
      <c r="D142" s="213"/>
      <c r="E142" s="213"/>
      <c r="F142" s="213"/>
      <c r="G142" s="213"/>
      <c r="H142" s="213"/>
      <c r="I142" s="337">
        <v>17.190000000000001</v>
      </c>
      <c r="J142" s="213">
        <v>4197.96</v>
      </c>
      <c r="K142" s="275">
        <v>72162.929999999993</v>
      </c>
      <c r="L142" s="284"/>
      <c r="M142" s="278"/>
      <c r="N142" s="42">
        <v>0</v>
      </c>
      <c r="O142" s="42">
        <v>0</v>
      </c>
      <c r="P142" s="42">
        <v>0</v>
      </c>
      <c r="Q142" s="98"/>
      <c r="R142" s="13" t="s">
        <v>3180</v>
      </c>
      <c r="S142" s="286" t="str">
        <f t="shared" si="24"/>
        <v>戶外專用電腦噴繪輸出及彩色膠膜</v>
      </c>
      <c r="T142" s="287" t="str">
        <f t="shared" si="24"/>
        <v>M2</v>
      </c>
      <c r="U142" s="16"/>
      <c r="V142" s="16">
        <f t="shared" si="21"/>
        <v>17.190000000000001</v>
      </c>
      <c r="W142" s="16">
        <f t="shared" si="26"/>
        <v>4197.96</v>
      </c>
      <c r="X142" s="16">
        <f t="shared" ref="X142:X143" si="28">AI142-N142</f>
        <v>0</v>
      </c>
      <c r="Y142" s="16">
        <f t="shared" si="27"/>
        <v>0</v>
      </c>
      <c r="Z142" s="16">
        <f t="shared" si="22"/>
        <v>0</v>
      </c>
      <c r="AA142" s="16">
        <f t="shared" si="18"/>
        <v>0</v>
      </c>
      <c r="AB142" s="17"/>
      <c r="AC142" s="324"/>
      <c r="AD142" s="181">
        <f t="shared" si="25"/>
        <v>17.190000000000001</v>
      </c>
      <c r="AE142" s="181">
        <f t="shared" si="23"/>
        <v>72162.929999999993</v>
      </c>
      <c r="AF142" s="181">
        <v>1.2</v>
      </c>
      <c r="AG142" s="181">
        <v>1.2</v>
      </c>
      <c r="AH142" s="364"/>
      <c r="AI142" s="285"/>
      <c r="AJ142" s="190">
        <v>17.190000000000001</v>
      </c>
      <c r="AO142" s="367"/>
      <c r="AP142" s="367"/>
      <c r="AQ142" s="367"/>
    </row>
    <row r="143" spans="1:43" s="281" customFormat="1" ht="49.5" x14ac:dyDescent="0.3">
      <c r="A143" s="130" t="s">
        <v>3285</v>
      </c>
      <c r="B143" s="240" t="s">
        <v>3183</v>
      </c>
      <c r="C143" s="132" t="s">
        <v>513</v>
      </c>
      <c r="D143" s="133"/>
      <c r="E143" s="213"/>
      <c r="F143" s="213"/>
      <c r="G143" s="213"/>
      <c r="H143" s="213"/>
      <c r="I143" s="337">
        <v>920</v>
      </c>
      <c r="J143" s="213">
        <v>51.97</v>
      </c>
      <c r="K143" s="275">
        <v>47812.4</v>
      </c>
      <c r="L143" s="284"/>
      <c r="M143" s="278"/>
      <c r="N143" s="42">
        <v>920</v>
      </c>
      <c r="O143" s="42">
        <v>0</v>
      </c>
      <c r="P143" s="42">
        <v>47812.4</v>
      </c>
      <c r="Q143" s="98"/>
      <c r="R143" s="13" t="s">
        <v>3182</v>
      </c>
      <c r="S143" s="286" t="str">
        <f t="shared" si="24"/>
        <v>鋼筋，植筋，D13mm，鑽孔(含空氣槍清孔)及化學藥劑</v>
      </c>
      <c r="T143" s="287" t="str">
        <f t="shared" si="24"/>
        <v>孔</v>
      </c>
      <c r="U143" s="16"/>
      <c r="V143" s="16">
        <f t="shared" si="21"/>
        <v>920</v>
      </c>
      <c r="W143" s="16">
        <f t="shared" si="26"/>
        <v>51.97</v>
      </c>
      <c r="X143" s="127">
        <f t="shared" si="28"/>
        <v>0</v>
      </c>
      <c r="Y143" s="127">
        <f t="shared" si="27"/>
        <v>920</v>
      </c>
      <c r="Z143" s="127">
        <f t="shared" si="22"/>
        <v>0</v>
      </c>
      <c r="AA143" s="127">
        <f t="shared" si="18"/>
        <v>47812.4</v>
      </c>
      <c r="AB143" s="17"/>
      <c r="AC143" s="324"/>
      <c r="AD143" s="181">
        <f t="shared" si="25"/>
        <v>920</v>
      </c>
      <c r="AE143" s="181">
        <f t="shared" si="23"/>
        <v>47812.4</v>
      </c>
      <c r="AF143" s="181">
        <v>1.2</v>
      </c>
      <c r="AG143" s="181">
        <v>1.2</v>
      </c>
      <c r="AH143" s="364"/>
      <c r="AI143" s="285">
        <v>920</v>
      </c>
      <c r="AJ143" s="190">
        <v>920</v>
      </c>
      <c r="AN143" s="69"/>
      <c r="AO143" s="367"/>
      <c r="AP143" s="367"/>
      <c r="AQ143" s="367"/>
    </row>
    <row r="144" spans="1:43" s="69" customFormat="1" x14ac:dyDescent="0.3">
      <c r="A144" s="79" t="s">
        <v>388</v>
      </c>
      <c r="B144" s="80" t="s">
        <v>389</v>
      </c>
      <c r="C144" s="81" t="s">
        <v>14</v>
      </c>
      <c r="D144" s="82">
        <v>1</v>
      </c>
      <c r="E144" s="82"/>
      <c r="F144" s="82"/>
      <c r="G144" s="82"/>
      <c r="H144" s="82"/>
      <c r="I144" s="82"/>
      <c r="J144" s="82">
        <v>62860224.049999997</v>
      </c>
      <c r="K144" s="82">
        <v>62860224.049999997</v>
      </c>
      <c r="L144" s="94" t="s">
        <v>15</v>
      </c>
      <c r="M144" s="73"/>
      <c r="N144" s="45">
        <v>1</v>
      </c>
      <c r="O144" s="45">
        <v>0</v>
      </c>
      <c r="P144" s="45">
        <v>61908516.150000028</v>
      </c>
      <c r="Q144" s="98"/>
      <c r="R144" s="18" t="s">
        <v>1381</v>
      </c>
      <c r="S144" s="19" t="s">
        <v>389</v>
      </c>
      <c r="T144" s="20" t="s">
        <v>14</v>
      </c>
      <c r="U144" s="21">
        <v>1</v>
      </c>
      <c r="V144" s="21"/>
      <c r="W144" s="21">
        <f t="shared" si="26"/>
        <v>62860224.049999997</v>
      </c>
      <c r="X144" s="21">
        <f t="shared" ref="X144:Y144" si="29">IF(Z144=0,0,1)</f>
        <v>0</v>
      </c>
      <c r="Y144" s="21">
        <f t="shared" si="29"/>
        <v>1</v>
      </c>
      <c r="Z144" s="21">
        <f>SUMIFS(Z:Z,AG:AG,AF144)</f>
        <v>0</v>
      </c>
      <c r="AA144" s="21">
        <f>SUMIFS(AA:AA,AG:AG,AF144)</f>
        <v>61908516.150000028</v>
      </c>
      <c r="AB144" s="22" t="s">
        <v>15</v>
      </c>
      <c r="AC144" s="324"/>
      <c r="AD144" s="181">
        <f t="shared" si="25"/>
        <v>1</v>
      </c>
      <c r="AE144" s="184"/>
      <c r="AF144" s="184">
        <v>1.3</v>
      </c>
      <c r="AG144" s="184"/>
      <c r="AH144" s="363" t="str">
        <f t="shared" si="19"/>
        <v/>
      </c>
      <c r="AI144" s="192">
        <v>1</v>
      </c>
      <c r="AJ144" s="188">
        <v>1</v>
      </c>
      <c r="AO144" s="367"/>
      <c r="AP144" s="367"/>
      <c r="AQ144" s="367"/>
    </row>
    <row r="145" spans="1:43" s="69" customFormat="1" ht="39" x14ac:dyDescent="0.3">
      <c r="A145" s="130" t="s">
        <v>390</v>
      </c>
      <c r="B145" s="131" t="s">
        <v>102</v>
      </c>
      <c r="C145" s="132" t="s">
        <v>103</v>
      </c>
      <c r="D145" s="133">
        <v>274.45</v>
      </c>
      <c r="E145" s="75"/>
      <c r="F145" s="75"/>
      <c r="G145" s="75"/>
      <c r="H145" s="75"/>
      <c r="I145" s="75"/>
      <c r="J145" s="75">
        <v>320.74</v>
      </c>
      <c r="K145" s="75">
        <v>88027.09</v>
      </c>
      <c r="L145" s="91" t="s">
        <v>104</v>
      </c>
      <c r="M145" s="73"/>
      <c r="N145" s="46">
        <v>274.45</v>
      </c>
      <c r="O145" s="46">
        <v>0</v>
      </c>
      <c r="P145" s="46">
        <v>88027.09</v>
      </c>
      <c r="Q145" s="98"/>
      <c r="R145" s="23" t="s">
        <v>1421</v>
      </c>
      <c r="S145" s="24" t="s">
        <v>102</v>
      </c>
      <c r="T145" s="25" t="s">
        <v>103</v>
      </c>
      <c r="U145" s="26">
        <v>274.45</v>
      </c>
      <c r="V145" s="26">
        <f t="shared" ref="V145:V192" si="30">IF(I145&gt;0,I145,IF(H145&gt;0,H145,IF(G145&gt;0,G145,IF(F145&gt;0,F145,IF(E145&gt;0,E145,D145)))))</f>
        <v>274.45</v>
      </c>
      <c r="W145" s="26">
        <f t="shared" si="26"/>
        <v>320.74</v>
      </c>
      <c r="X145" s="127">
        <f t="shared" ref="X145:X192" si="31">AI145-N145</f>
        <v>0</v>
      </c>
      <c r="Y145" s="127">
        <f t="shared" ref="Y145:Y192" si="32">X145+N145</f>
        <v>274.45</v>
      </c>
      <c r="Z145" s="127">
        <f t="shared" ref="Z145:Z192" si="33">AA145-P145</f>
        <v>0</v>
      </c>
      <c r="AA145" s="127">
        <f t="shared" si="18"/>
        <v>88027.09</v>
      </c>
      <c r="AB145" s="33" t="s">
        <v>15</v>
      </c>
      <c r="AC145" s="325"/>
      <c r="AD145" s="263">
        <f t="shared" si="25"/>
        <v>274.45</v>
      </c>
      <c r="AE145" s="263">
        <f t="shared" ref="AE145:AE192" si="34">ROUND(W145*AD145,2)</f>
        <v>88027.09</v>
      </c>
      <c r="AF145" s="263">
        <v>1.3</v>
      </c>
      <c r="AG145" s="263">
        <v>1.3</v>
      </c>
      <c r="AH145" s="68" t="str">
        <f t="shared" si="19"/>
        <v/>
      </c>
      <c r="AI145" s="194">
        <v>274.45</v>
      </c>
      <c r="AJ145" s="188">
        <v>274.45</v>
      </c>
      <c r="AO145" s="367"/>
      <c r="AP145" s="367"/>
      <c r="AQ145" s="367"/>
    </row>
    <row r="146" spans="1:43" s="69" customFormat="1" ht="58.5" x14ac:dyDescent="0.3">
      <c r="A146" s="130" t="s">
        <v>391</v>
      </c>
      <c r="B146" s="131" t="s">
        <v>392</v>
      </c>
      <c r="C146" s="132" t="s">
        <v>23</v>
      </c>
      <c r="D146" s="133">
        <v>44.22</v>
      </c>
      <c r="E146" s="75"/>
      <c r="F146" s="75"/>
      <c r="G146" s="75"/>
      <c r="H146" s="75"/>
      <c r="I146" s="75"/>
      <c r="J146" s="75">
        <v>3115.13</v>
      </c>
      <c r="K146" s="75">
        <v>137751.04999999999</v>
      </c>
      <c r="L146" s="91" t="s">
        <v>114</v>
      </c>
      <c r="M146" s="73"/>
      <c r="N146" s="46">
        <v>39.79</v>
      </c>
      <c r="O146" s="46">
        <v>0</v>
      </c>
      <c r="P146" s="46">
        <v>123951.02</v>
      </c>
      <c r="Q146" s="98"/>
      <c r="R146" s="23" t="s">
        <v>1426</v>
      </c>
      <c r="S146" s="24" t="s">
        <v>392</v>
      </c>
      <c r="T146" s="25" t="s">
        <v>23</v>
      </c>
      <c r="U146" s="26">
        <v>44.22</v>
      </c>
      <c r="V146" s="26">
        <f t="shared" si="30"/>
        <v>44.22</v>
      </c>
      <c r="W146" s="26">
        <f t="shared" si="26"/>
        <v>3115.13</v>
      </c>
      <c r="X146" s="127">
        <f t="shared" si="31"/>
        <v>0</v>
      </c>
      <c r="Y146" s="127">
        <f t="shared" si="32"/>
        <v>39.79</v>
      </c>
      <c r="Z146" s="127">
        <f t="shared" si="33"/>
        <v>0</v>
      </c>
      <c r="AA146" s="127">
        <f t="shared" si="18"/>
        <v>123951.02</v>
      </c>
      <c r="AB146" s="33" t="s">
        <v>15</v>
      </c>
      <c r="AC146" s="325"/>
      <c r="AD146" s="263">
        <f t="shared" si="25"/>
        <v>44.22</v>
      </c>
      <c r="AE146" s="263">
        <f t="shared" si="34"/>
        <v>137751.04999999999</v>
      </c>
      <c r="AF146" s="263">
        <v>1.3</v>
      </c>
      <c r="AG146" s="263">
        <v>1.3</v>
      </c>
      <c r="AH146" s="68" t="str">
        <f t="shared" si="19"/>
        <v/>
      </c>
      <c r="AI146" s="194">
        <v>39.79</v>
      </c>
      <c r="AJ146" s="188">
        <v>44.22</v>
      </c>
      <c r="AO146" s="367"/>
      <c r="AP146" s="367"/>
      <c r="AQ146" s="367"/>
    </row>
    <row r="147" spans="1:43" s="69" customFormat="1" ht="58.5" x14ac:dyDescent="0.3">
      <c r="A147" s="130" t="s">
        <v>393</v>
      </c>
      <c r="B147" s="131" t="s">
        <v>116</v>
      </c>
      <c r="C147" s="132" t="s">
        <v>23</v>
      </c>
      <c r="D147" s="133">
        <v>95.97</v>
      </c>
      <c r="E147" s="75"/>
      <c r="F147" s="75"/>
      <c r="G147" s="75"/>
      <c r="H147" s="75"/>
      <c r="I147" s="75"/>
      <c r="J147" s="75">
        <v>3321.13</v>
      </c>
      <c r="K147" s="75">
        <v>318728.84999999998</v>
      </c>
      <c r="L147" s="91" t="s">
        <v>117</v>
      </c>
      <c r="M147" s="73"/>
      <c r="N147" s="46">
        <v>95.2</v>
      </c>
      <c r="O147" s="46">
        <v>0</v>
      </c>
      <c r="P147" s="46">
        <v>316171.58</v>
      </c>
      <c r="Q147" s="98"/>
      <c r="R147" s="23" t="s">
        <v>1402</v>
      </c>
      <c r="S147" s="24" t="s">
        <v>116</v>
      </c>
      <c r="T147" s="25" t="s">
        <v>23</v>
      </c>
      <c r="U147" s="26">
        <v>95.97</v>
      </c>
      <c r="V147" s="26">
        <f t="shared" si="30"/>
        <v>95.97</v>
      </c>
      <c r="W147" s="26">
        <f t="shared" si="26"/>
        <v>3321.13</v>
      </c>
      <c r="X147" s="127">
        <f t="shared" si="31"/>
        <v>0</v>
      </c>
      <c r="Y147" s="127">
        <f t="shared" si="32"/>
        <v>95.2</v>
      </c>
      <c r="Z147" s="127">
        <f t="shared" si="33"/>
        <v>0</v>
      </c>
      <c r="AA147" s="127">
        <f t="shared" si="18"/>
        <v>316171.58</v>
      </c>
      <c r="AB147" s="33" t="s">
        <v>15</v>
      </c>
      <c r="AC147" s="325"/>
      <c r="AD147" s="263">
        <f t="shared" si="25"/>
        <v>95.97</v>
      </c>
      <c r="AE147" s="263">
        <f t="shared" si="34"/>
        <v>318728.84999999998</v>
      </c>
      <c r="AF147" s="263">
        <v>1.3</v>
      </c>
      <c r="AG147" s="263">
        <v>1.3</v>
      </c>
      <c r="AH147" s="68" t="str">
        <f t="shared" si="19"/>
        <v/>
      </c>
      <c r="AI147" s="194">
        <v>95.2</v>
      </c>
      <c r="AJ147" s="188">
        <v>95.97</v>
      </c>
      <c r="AO147" s="367"/>
      <c r="AP147" s="367"/>
      <c r="AQ147" s="367"/>
    </row>
    <row r="148" spans="1:43" s="69" customFormat="1" ht="58.5" x14ac:dyDescent="0.3">
      <c r="A148" s="130" t="s">
        <v>394</v>
      </c>
      <c r="B148" s="131" t="s">
        <v>395</v>
      </c>
      <c r="C148" s="132" t="s">
        <v>23</v>
      </c>
      <c r="D148" s="133">
        <v>1216.8</v>
      </c>
      <c r="E148" s="75"/>
      <c r="F148" s="75"/>
      <c r="G148" s="75"/>
      <c r="H148" s="133">
        <v>709.04</v>
      </c>
      <c r="I148" s="75"/>
      <c r="J148" s="75">
        <v>3643.73</v>
      </c>
      <c r="K148" s="75">
        <v>2583550.3199999998</v>
      </c>
      <c r="L148" s="91" t="s">
        <v>396</v>
      </c>
      <c r="M148" s="73"/>
      <c r="N148" s="46">
        <v>645.58000000000004</v>
      </c>
      <c r="O148" s="46">
        <v>0</v>
      </c>
      <c r="P148" s="46">
        <v>2352319.21</v>
      </c>
      <c r="Q148" s="98"/>
      <c r="R148" s="23" t="s">
        <v>1373</v>
      </c>
      <c r="S148" s="24" t="s">
        <v>395</v>
      </c>
      <c r="T148" s="25" t="s">
        <v>23</v>
      </c>
      <c r="U148" s="26">
        <v>1216.8</v>
      </c>
      <c r="V148" s="26">
        <f t="shared" si="30"/>
        <v>709.04</v>
      </c>
      <c r="W148" s="26">
        <f t="shared" si="26"/>
        <v>3643.73</v>
      </c>
      <c r="X148" s="127">
        <f t="shared" si="31"/>
        <v>0</v>
      </c>
      <c r="Y148" s="127">
        <f t="shared" si="32"/>
        <v>645.58000000000004</v>
      </c>
      <c r="Z148" s="127">
        <f t="shared" si="33"/>
        <v>0</v>
      </c>
      <c r="AA148" s="127">
        <f t="shared" si="18"/>
        <v>2352319.21</v>
      </c>
      <c r="AB148" s="33" t="s">
        <v>15</v>
      </c>
      <c r="AC148" s="325"/>
      <c r="AD148" s="263">
        <f t="shared" si="25"/>
        <v>709.04</v>
      </c>
      <c r="AE148" s="263">
        <f t="shared" si="34"/>
        <v>2583550.3199999998</v>
      </c>
      <c r="AF148" s="263">
        <v>1.3</v>
      </c>
      <c r="AG148" s="263">
        <v>1.3</v>
      </c>
      <c r="AH148" s="68" t="str">
        <f t="shared" si="19"/>
        <v/>
      </c>
      <c r="AI148" s="192">
        <v>645.58000000000004</v>
      </c>
      <c r="AJ148" s="188">
        <v>709.04</v>
      </c>
      <c r="AM148" s="195">
        <v>388.56</v>
      </c>
      <c r="AO148" s="367"/>
      <c r="AP148" s="367"/>
      <c r="AQ148" s="367"/>
    </row>
    <row r="149" spans="1:43" s="69" customFormat="1" ht="33" x14ac:dyDescent="0.3">
      <c r="A149" s="130" t="s">
        <v>397</v>
      </c>
      <c r="B149" s="122" t="s">
        <v>109</v>
      </c>
      <c r="C149" s="132" t="s">
        <v>110</v>
      </c>
      <c r="D149" s="133">
        <v>4788.7700000000004</v>
      </c>
      <c r="E149" s="75"/>
      <c r="F149" s="75"/>
      <c r="G149" s="75"/>
      <c r="H149" s="75"/>
      <c r="I149" s="75"/>
      <c r="J149" s="75">
        <v>36.4</v>
      </c>
      <c r="K149" s="75">
        <v>174311.23</v>
      </c>
      <c r="L149" s="91" t="s">
        <v>111</v>
      </c>
      <c r="M149" s="73"/>
      <c r="N149" s="46">
        <v>4778</v>
      </c>
      <c r="O149" s="46">
        <v>0</v>
      </c>
      <c r="P149" s="46">
        <v>173919.2</v>
      </c>
      <c r="Q149" s="98"/>
      <c r="R149" s="23" t="s">
        <v>1393</v>
      </c>
      <c r="S149" s="24" t="s">
        <v>109</v>
      </c>
      <c r="T149" s="25" t="s">
        <v>110</v>
      </c>
      <c r="U149" s="26">
        <v>4788.7700000000004</v>
      </c>
      <c r="V149" s="26">
        <f t="shared" si="30"/>
        <v>4788.7700000000004</v>
      </c>
      <c r="W149" s="26">
        <f t="shared" si="26"/>
        <v>36.4</v>
      </c>
      <c r="X149" s="127">
        <f t="shared" si="31"/>
        <v>0</v>
      </c>
      <c r="Y149" s="127">
        <f t="shared" si="32"/>
        <v>4778</v>
      </c>
      <c r="Z149" s="127">
        <f t="shared" si="33"/>
        <v>0</v>
      </c>
      <c r="AA149" s="127">
        <f t="shared" si="18"/>
        <v>173919.2</v>
      </c>
      <c r="AB149" s="33" t="s">
        <v>15</v>
      </c>
      <c r="AC149" s="325"/>
      <c r="AD149" s="263">
        <f t="shared" si="25"/>
        <v>4788.7700000000004</v>
      </c>
      <c r="AE149" s="263">
        <f t="shared" si="34"/>
        <v>174311.23</v>
      </c>
      <c r="AF149" s="263">
        <v>1.3</v>
      </c>
      <c r="AG149" s="263">
        <v>1.3</v>
      </c>
      <c r="AH149" s="68" t="str">
        <f t="shared" si="19"/>
        <v/>
      </c>
      <c r="AI149" s="192">
        <v>4778</v>
      </c>
      <c r="AJ149" s="188">
        <v>4788.7700000000004</v>
      </c>
      <c r="AM149" s="195">
        <v>4788.7700000000004</v>
      </c>
      <c r="AO149" s="367"/>
      <c r="AP149" s="367"/>
      <c r="AQ149" s="367"/>
    </row>
    <row r="150" spans="1:43" s="69" customFormat="1" ht="33" x14ac:dyDescent="0.3">
      <c r="A150" s="130" t="s">
        <v>398</v>
      </c>
      <c r="B150" s="122" t="s">
        <v>399</v>
      </c>
      <c r="C150" s="132" t="s">
        <v>110</v>
      </c>
      <c r="D150" s="133">
        <v>205535.32</v>
      </c>
      <c r="E150" s="75"/>
      <c r="F150" s="75"/>
      <c r="G150" s="75"/>
      <c r="H150" s="75"/>
      <c r="I150" s="75"/>
      <c r="J150" s="75">
        <v>38.71</v>
      </c>
      <c r="K150" s="75">
        <v>7956272.2400000002</v>
      </c>
      <c r="L150" s="91" t="s">
        <v>400</v>
      </c>
      <c r="M150" s="73"/>
      <c r="N150" s="46">
        <v>205151.02</v>
      </c>
      <c r="O150" s="46">
        <v>0</v>
      </c>
      <c r="P150" s="46">
        <v>7941395.9800000004</v>
      </c>
      <c r="Q150" s="98"/>
      <c r="R150" s="23" t="s">
        <v>1403</v>
      </c>
      <c r="S150" s="24" t="s">
        <v>399</v>
      </c>
      <c r="T150" s="25" t="s">
        <v>110</v>
      </c>
      <c r="U150" s="26">
        <v>205535.32</v>
      </c>
      <c r="V150" s="26">
        <f t="shared" si="30"/>
        <v>205535.32</v>
      </c>
      <c r="W150" s="26">
        <f t="shared" si="26"/>
        <v>38.71</v>
      </c>
      <c r="X150" s="127">
        <f t="shared" si="31"/>
        <v>0</v>
      </c>
      <c r="Y150" s="127">
        <f t="shared" si="32"/>
        <v>205151.02</v>
      </c>
      <c r="Z150" s="127">
        <f t="shared" si="33"/>
        <v>0</v>
      </c>
      <c r="AA150" s="127">
        <f t="shared" ref="AA150:AA224" si="35">ROUND(W150*Y150,2)</f>
        <v>7941395.9800000004</v>
      </c>
      <c r="AB150" s="33" t="s">
        <v>15</v>
      </c>
      <c r="AC150" s="325"/>
      <c r="AD150" s="263">
        <f t="shared" si="25"/>
        <v>205535.32</v>
      </c>
      <c r="AE150" s="263">
        <f t="shared" si="34"/>
        <v>7956272.2400000002</v>
      </c>
      <c r="AF150" s="263">
        <v>1.3</v>
      </c>
      <c r="AG150" s="263">
        <v>1.3</v>
      </c>
      <c r="AH150" s="68" t="str">
        <f t="shared" ref="AH150:AH223" si="36">IF(Y150&gt;AJ150,"超估","")</f>
        <v/>
      </c>
      <c r="AI150" s="194">
        <f>202264.52+2886.5</f>
        <v>205151.02</v>
      </c>
      <c r="AJ150" s="188">
        <v>205535.32</v>
      </c>
      <c r="AM150" s="195">
        <v>72641</v>
      </c>
      <c r="AO150" s="367"/>
      <c r="AP150" s="367"/>
      <c r="AQ150" s="367"/>
    </row>
    <row r="151" spans="1:43" s="69" customFormat="1" ht="33" x14ac:dyDescent="0.3">
      <c r="A151" s="130" t="s">
        <v>401</v>
      </c>
      <c r="B151" s="131" t="s">
        <v>402</v>
      </c>
      <c r="C151" s="132" t="s">
        <v>50</v>
      </c>
      <c r="D151" s="133">
        <v>320.89999999999998</v>
      </c>
      <c r="E151" s="75"/>
      <c r="F151" s="75"/>
      <c r="G151" s="75"/>
      <c r="H151" s="133">
        <v>351.33</v>
      </c>
      <c r="I151" s="75"/>
      <c r="J151" s="75">
        <v>1154.98</v>
      </c>
      <c r="K151" s="75">
        <v>405779.12</v>
      </c>
      <c r="L151" s="91" t="s">
        <v>403</v>
      </c>
      <c r="M151" s="73"/>
      <c r="N151" s="46">
        <v>349.89</v>
      </c>
      <c r="O151" s="46">
        <v>0</v>
      </c>
      <c r="P151" s="46">
        <v>404115.95</v>
      </c>
      <c r="Q151" s="98"/>
      <c r="R151" s="23" t="s">
        <v>1427</v>
      </c>
      <c r="S151" s="24" t="s">
        <v>402</v>
      </c>
      <c r="T151" s="25" t="s">
        <v>50</v>
      </c>
      <c r="U151" s="26">
        <v>320.89999999999998</v>
      </c>
      <c r="V151" s="26">
        <f t="shared" si="30"/>
        <v>351.33</v>
      </c>
      <c r="W151" s="26">
        <f t="shared" si="26"/>
        <v>1154.98</v>
      </c>
      <c r="X151" s="127">
        <f t="shared" si="31"/>
        <v>0</v>
      </c>
      <c r="Y151" s="127">
        <f t="shared" si="32"/>
        <v>349.89</v>
      </c>
      <c r="Z151" s="127">
        <f t="shared" si="33"/>
        <v>0</v>
      </c>
      <c r="AA151" s="127">
        <f t="shared" si="35"/>
        <v>404115.95</v>
      </c>
      <c r="AB151" s="33" t="s">
        <v>15</v>
      </c>
      <c r="AC151" s="325"/>
      <c r="AD151" s="263">
        <f t="shared" si="25"/>
        <v>351.33</v>
      </c>
      <c r="AE151" s="263">
        <f t="shared" si="34"/>
        <v>405779.12</v>
      </c>
      <c r="AF151" s="263">
        <v>1.3</v>
      </c>
      <c r="AG151" s="263">
        <v>1.3</v>
      </c>
      <c r="AH151" s="68" t="str">
        <f t="shared" si="36"/>
        <v/>
      </c>
      <c r="AI151" s="194">
        <v>349.89</v>
      </c>
      <c r="AJ151" s="188">
        <v>351.33</v>
      </c>
      <c r="AM151" s="195">
        <v>351.34</v>
      </c>
      <c r="AO151" s="367"/>
      <c r="AP151" s="367"/>
      <c r="AQ151" s="367"/>
    </row>
    <row r="152" spans="1:43" s="69" customFormat="1" ht="57.75" x14ac:dyDescent="0.3">
      <c r="A152" s="130" t="s">
        <v>404</v>
      </c>
      <c r="B152" s="131" t="s">
        <v>405</v>
      </c>
      <c r="C152" s="132" t="s">
        <v>50</v>
      </c>
      <c r="D152" s="133">
        <v>493.85</v>
      </c>
      <c r="E152" s="203"/>
      <c r="F152" s="203"/>
      <c r="G152" s="203"/>
      <c r="H152" s="133">
        <v>574.89</v>
      </c>
      <c r="I152" s="75"/>
      <c r="J152" s="75">
        <v>982.98</v>
      </c>
      <c r="K152" s="75">
        <v>565105.37</v>
      </c>
      <c r="L152" s="91" t="s">
        <v>406</v>
      </c>
      <c r="M152" s="73"/>
      <c r="N152" s="46">
        <v>570.15</v>
      </c>
      <c r="O152" s="46">
        <v>0</v>
      </c>
      <c r="P152" s="46">
        <v>560446.05000000005</v>
      </c>
      <c r="Q152" s="98"/>
      <c r="R152" s="23" t="s">
        <v>1428</v>
      </c>
      <c r="S152" s="24" t="s">
        <v>405</v>
      </c>
      <c r="T152" s="25" t="s">
        <v>50</v>
      </c>
      <c r="U152" s="26">
        <v>493.85</v>
      </c>
      <c r="V152" s="26">
        <f t="shared" si="30"/>
        <v>574.89</v>
      </c>
      <c r="W152" s="26">
        <f t="shared" si="26"/>
        <v>982.98</v>
      </c>
      <c r="X152" s="127">
        <f t="shared" si="31"/>
        <v>0</v>
      </c>
      <c r="Y152" s="127">
        <f t="shared" si="32"/>
        <v>570.15</v>
      </c>
      <c r="Z152" s="127">
        <f t="shared" si="33"/>
        <v>0</v>
      </c>
      <c r="AA152" s="127">
        <f t="shared" si="35"/>
        <v>560446.05000000005</v>
      </c>
      <c r="AB152" s="33" t="s">
        <v>15</v>
      </c>
      <c r="AC152" s="325"/>
      <c r="AD152" s="263">
        <f t="shared" si="25"/>
        <v>574.89</v>
      </c>
      <c r="AE152" s="263">
        <f t="shared" si="34"/>
        <v>565105.37</v>
      </c>
      <c r="AF152" s="263">
        <v>1.3</v>
      </c>
      <c r="AG152" s="263">
        <v>1.3</v>
      </c>
      <c r="AH152" s="68" t="str">
        <f t="shared" si="36"/>
        <v/>
      </c>
      <c r="AI152" s="192">
        <v>570.15</v>
      </c>
      <c r="AJ152" s="188">
        <v>574.89</v>
      </c>
      <c r="AM152" s="195">
        <v>574.89200000000017</v>
      </c>
      <c r="AO152" s="367"/>
      <c r="AP152" s="367"/>
      <c r="AQ152" s="367"/>
    </row>
    <row r="153" spans="1:43" s="69" customFormat="1" ht="41.25" x14ac:dyDescent="0.3">
      <c r="A153" s="130" t="s">
        <v>407</v>
      </c>
      <c r="B153" s="131" t="s">
        <v>408</v>
      </c>
      <c r="C153" s="132" t="s">
        <v>50</v>
      </c>
      <c r="D153" s="133">
        <v>126.48</v>
      </c>
      <c r="E153" s="203"/>
      <c r="F153" s="203"/>
      <c r="G153" s="203"/>
      <c r="H153" s="133">
        <v>138</v>
      </c>
      <c r="I153" s="75"/>
      <c r="J153" s="75">
        <v>804.79</v>
      </c>
      <c r="K153" s="75">
        <v>111061.02</v>
      </c>
      <c r="L153" s="91" t="s">
        <v>409</v>
      </c>
      <c r="M153" s="73"/>
      <c r="N153" s="46">
        <v>137.68</v>
      </c>
      <c r="O153" s="46">
        <v>0</v>
      </c>
      <c r="P153" s="46">
        <v>110803.49</v>
      </c>
      <c r="Q153" s="98"/>
      <c r="R153" s="23" t="s">
        <v>1387</v>
      </c>
      <c r="S153" s="24" t="s">
        <v>408</v>
      </c>
      <c r="T153" s="25" t="s">
        <v>50</v>
      </c>
      <c r="U153" s="26">
        <v>126.48</v>
      </c>
      <c r="V153" s="26">
        <f t="shared" si="30"/>
        <v>138</v>
      </c>
      <c r="W153" s="26">
        <f t="shared" si="26"/>
        <v>804.79</v>
      </c>
      <c r="X153" s="127">
        <f t="shared" si="31"/>
        <v>0</v>
      </c>
      <c r="Y153" s="127">
        <f t="shared" si="32"/>
        <v>137.68</v>
      </c>
      <c r="Z153" s="127">
        <f t="shared" si="33"/>
        <v>0</v>
      </c>
      <c r="AA153" s="127">
        <f t="shared" si="35"/>
        <v>110803.49</v>
      </c>
      <c r="AB153" s="33" t="s">
        <v>15</v>
      </c>
      <c r="AC153" s="325"/>
      <c r="AD153" s="263">
        <f t="shared" si="25"/>
        <v>138</v>
      </c>
      <c r="AE153" s="263">
        <f t="shared" si="34"/>
        <v>111061.02</v>
      </c>
      <c r="AF153" s="263">
        <v>1.3</v>
      </c>
      <c r="AG153" s="263">
        <v>1.3</v>
      </c>
      <c r="AH153" s="68" t="str">
        <f t="shared" si="36"/>
        <v/>
      </c>
      <c r="AI153" s="192">
        <f>126.48+11.2</f>
        <v>137.68</v>
      </c>
      <c r="AJ153" s="188">
        <v>138</v>
      </c>
      <c r="AM153" s="195">
        <v>120</v>
      </c>
      <c r="AO153" s="367"/>
      <c r="AP153" s="367"/>
      <c r="AQ153" s="367"/>
    </row>
    <row r="154" spans="1:43" s="69" customFormat="1" ht="31.5" x14ac:dyDescent="0.3">
      <c r="A154" s="265" t="s">
        <v>410</v>
      </c>
      <c r="B154" s="131" t="s">
        <v>411</v>
      </c>
      <c r="C154" s="132" t="s">
        <v>412</v>
      </c>
      <c r="D154" s="133">
        <v>12205</v>
      </c>
      <c r="E154" s="75"/>
      <c r="F154" s="75"/>
      <c r="G154" s="75"/>
      <c r="H154" s="75"/>
      <c r="I154" s="75"/>
      <c r="J154" s="75">
        <v>75</v>
      </c>
      <c r="K154" s="75">
        <v>915375</v>
      </c>
      <c r="L154" s="91" t="s">
        <v>413</v>
      </c>
      <c r="M154" s="73"/>
      <c r="N154" s="46">
        <v>12132.8</v>
      </c>
      <c r="O154" s="46">
        <v>0</v>
      </c>
      <c r="P154" s="46">
        <v>909960</v>
      </c>
      <c r="Q154" s="98"/>
      <c r="R154" s="23" t="s">
        <v>1405</v>
      </c>
      <c r="S154" s="24" t="s">
        <v>411</v>
      </c>
      <c r="T154" s="25" t="s">
        <v>412</v>
      </c>
      <c r="U154" s="26">
        <v>12205</v>
      </c>
      <c r="V154" s="26">
        <f t="shared" si="30"/>
        <v>12205</v>
      </c>
      <c r="W154" s="26">
        <f t="shared" si="26"/>
        <v>75</v>
      </c>
      <c r="X154" s="127">
        <f t="shared" si="31"/>
        <v>0</v>
      </c>
      <c r="Y154" s="127">
        <f t="shared" si="32"/>
        <v>12132.8</v>
      </c>
      <c r="Z154" s="127">
        <f t="shared" si="33"/>
        <v>0</v>
      </c>
      <c r="AA154" s="127">
        <f t="shared" si="35"/>
        <v>909960</v>
      </c>
      <c r="AB154" s="33" t="s">
        <v>15</v>
      </c>
      <c r="AC154" s="325"/>
      <c r="AD154" s="263">
        <f t="shared" si="25"/>
        <v>12205</v>
      </c>
      <c r="AE154" s="263">
        <f t="shared" si="34"/>
        <v>915375</v>
      </c>
      <c r="AF154" s="263">
        <v>1.3</v>
      </c>
      <c r="AG154" s="263">
        <v>1.3</v>
      </c>
      <c r="AH154" s="68" t="str">
        <f t="shared" si="36"/>
        <v/>
      </c>
      <c r="AI154" s="194">
        <f>6752.2+4233.9+623+523.7</f>
        <v>12132.8</v>
      </c>
      <c r="AJ154" s="188">
        <v>12205</v>
      </c>
      <c r="AO154" s="367"/>
      <c r="AP154" s="367"/>
      <c r="AQ154" s="367"/>
    </row>
    <row r="155" spans="1:43" s="69" customFormat="1" ht="33" x14ac:dyDescent="0.3">
      <c r="A155" s="265" t="s">
        <v>414</v>
      </c>
      <c r="B155" s="131" t="s">
        <v>125</v>
      </c>
      <c r="C155" s="132" t="s">
        <v>110</v>
      </c>
      <c r="D155" s="133">
        <v>8317</v>
      </c>
      <c r="E155" s="75"/>
      <c r="F155" s="75"/>
      <c r="G155" s="75"/>
      <c r="H155" s="75"/>
      <c r="I155" s="75"/>
      <c r="J155" s="75">
        <v>60</v>
      </c>
      <c r="K155" s="75">
        <v>499020</v>
      </c>
      <c r="L155" s="91" t="s">
        <v>126</v>
      </c>
      <c r="M155" s="73"/>
      <c r="N155" s="46">
        <v>8292.2000000000007</v>
      </c>
      <c r="O155" s="46">
        <v>0</v>
      </c>
      <c r="P155" s="46">
        <v>497532</v>
      </c>
      <c r="Q155" s="98"/>
      <c r="R155" s="23" t="s">
        <v>1406</v>
      </c>
      <c r="S155" s="24" t="s">
        <v>125</v>
      </c>
      <c r="T155" s="25" t="s">
        <v>110</v>
      </c>
      <c r="U155" s="26">
        <v>8317</v>
      </c>
      <c r="V155" s="26">
        <f t="shared" si="30"/>
        <v>8317</v>
      </c>
      <c r="W155" s="26">
        <f t="shared" si="26"/>
        <v>60</v>
      </c>
      <c r="X155" s="127">
        <f t="shared" si="31"/>
        <v>0</v>
      </c>
      <c r="Y155" s="127">
        <f t="shared" si="32"/>
        <v>8292.2000000000007</v>
      </c>
      <c r="Z155" s="127">
        <f t="shared" si="33"/>
        <v>0</v>
      </c>
      <c r="AA155" s="127">
        <f t="shared" si="35"/>
        <v>497532</v>
      </c>
      <c r="AB155" s="33" t="s">
        <v>15</v>
      </c>
      <c r="AC155" s="325"/>
      <c r="AD155" s="263">
        <f t="shared" si="25"/>
        <v>8317</v>
      </c>
      <c r="AE155" s="263">
        <f t="shared" si="34"/>
        <v>499020</v>
      </c>
      <c r="AF155" s="263">
        <v>1.3</v>
      </c>
      <c r="AG155" s="263">
        <v>1.3</v>
      </c>
      <c r="AH155" s="68" t="str">
        <f t="shared" si="36"/>
        <v/>
      </c>
      <c r="AI155" s="194">
        <f>5520+2390.2+382</f>
        <v>8292.2000000000007</v>
      </c>
      <c r="AJ155" s="188">
        <v>8317</v>
      </c>
      <c r="AO155" s="367"/>
      <c r="AP155" s="367"/>
      <c r="AQ155" s="367"/>
    </row>
    <row r="156" spans="1:43" s="69" customFormat="1" ht="58.5" x14ac:dyDescent="0.3">
      <c r="A156" s="265" t="s">
        <v>415</v>
      </c>
      <c r="B156" s="131" t="s">
        <v>3147</v>
      </c>
      <c r="C156" s="132" t="s">
        <v>110</v>
      </c>
      <c r="D156" s="133">
        <v>8317</v>
      </c>
      <c r="E156" s="75"/>
      <c r="F156" s="75"/>
      <c r="G156" s="75"/>
      <c r="H156" s="75"/>
      <c r="I156" s="75"/>
      <c r="J156" s="75">
        <v>31.9</v>
      </c>
      <c r="K156" s="75">
        <v>265312.3</v>
      </c>
      <c r="L156" s="91" t="s">
        <v>3148</v>
      </c>
      <c r="M156" s="73"/>
      <c r="N156" s="46">
        <v>8292.2000000000007</v>
      </c>
      <c r="O156" s="46">
        <v>0</v>
      </c>
      <c r="P156" s="46">
        <v>264521.18</v>
      </c>
      <c r="Q156" s="98"/>
      <c r="R156" s="23" t="s">
        <v>1414</v>
      </c>
      <c r="S156" s="24" t="s">
        <v>128</v>
      </c>
      <c r="T156" s="25" t="s">
        <v>110</v>
      </c>
      <c r="U156" s="26">
        <v>8317</v>
      </c>
      <c r="V156" s="26">
        <f t="shared" si="30"/>
        <v>8317</v>
      </c>
      <c r="W156" s="26">
        <f t="shared" si="26"/>
        <v>31.9</v>
      </c>
      <c r="X156" s="127">
        <f t="shared" si="31"/>
        <v>0</v>
      </c>
      <c r="Y156" s="127">
        <f t="shared" si="32"/>
        <v>8292.2000000000007</v>
      </c>
      <c r="Z156" s="127">
        <f t="shared" si="33"/>
        <v>0</v>
      </c>
      <c r="AA156" s="127">
        <f t="shared" si="35"/>
        <v>264521.18</v>
      </c>
      <c r="AB156" s="33" t="s">
        <v>15</v>
      </c>
      <c r="AC156" s="325"/>
      <c r="AD156" s="263">
        <f t="shared" si="25"/>
        <v>8317</v>
      </c>
      <c r="AE156" s="263">
        <f t="shared" si="34"/>
        <v>265312.3</v>
      </c>
      <c r="AF156" s="263">
        <v>1.3</v>
      </c>
      <c r="AG156" s="263">
        <v>1.3</v>
      </c>
      <c r="AH156" s="68" t="str">
        <f t="shared" si="36"/>
        <v/>
      </c>
      <c r="AI156" s="194">
        <f>AI155</f>
        <v>8292.2000000000007</v>
      </c>
      <c r="AJ156" s="188">
        <v>8317</v>
      </c>
      <c r="AO156" s="367"/>
      <c r="AP156" s="367"/>
      <c r="AQ156" s="367"/>
    </row>
    <row r="157" spans="1:43" s="69" customFormat="1" ht="58.5" x14ac:dyDescent="0.3">
      <c r="A157" s="265" t="s">
        <v>416</v>
      </c>
      <c r="B157" s="131" t="s">
        <v>417</v>
      </c>
      <c r="C157" s="132" t="s">
        <v>110</v>
      </c>
      <c r="D157" s="133">
        <v>1087</v>
      </c>
      <c r="E157" s="75"/>
      <c r="F157" s="75"/>
      <c r="G157" s="75"/>
      <c r="H157" s="75"/>
      <c r="I157" s="75"/>
      <c r="J157" s="75">
        <v>278.10000000000002</v>
      </c>
      <c r="K157" s="75">
        <v>302294.7</v>
      </c>
      <c r="L157" s="91" t="s">
        <v>418</v>
      </c>
      <c r="M157" s="73"/>
      <c r="N157" s="46">
        <v>1059.8</v>
      </c>
      <c r="O157" s="46">
        <v>0</v>
      </c>
      <c r="P157" s="46">
        <v>294730.38</v>
      </c>
      <c r="Q157" s="98"/>
      <c r="R157" s="23" t="s">
        <v>1429</v>
      </c>
      <c r="S157" s="24" t="s">
        <v>417</v>
      </c>
      <c r="T157" s="25" t="s">
        <v>110</v>
      </c>
      <c r="U157" s="26">
        <v>1087</v>
      </c>
      <c r="V157" s="26">
        <f t="shared" si="30"/>
        <v>1087</v>
      </c>
      <c r="W157" s="26">
        <f t="shared" si="26"/>
        <v>278.10000000000002</v>
      </c>
      <c r="X157" s="127">
        <f t="shared" si="31"/>
        <v>0</v>
      </c>
      <c r="Y157" s="127">
        <f t="shared" si="32"/>
        <v>1059.8</v>
      </c>
      <c r="Z157" s="127">
        <f t="shared" si="33"/>
        <v>0</v>
      </c>
      <c r="AA157" s="127">
        <f t="shared" si="35"/>
        <v>294730.38</v>
      </c>
      <c r="AB157" s="33" t="s">
        <v>15</v>
      </c>
      <c r="AC157" s="325"/>
      <c r="AD157" s="263">
        <f t="shared" si="25"/>
        <v>1087</v>
      </c>
      <c r="AE157" s="263">
        <f t="shared" si="34"/>
        <v>302294.7</v>
      </c>
      <c r="AF157" s="263">
        <v>1.3</v>
      </c>
      <c r="AG157" s="263">
        <v>1.3</v>
      </c>
      <c r="AH157" s="68" t="str">
        <f t="shared" si="36"/>
        <v/>
      </c>
      <c r="AI157" s="194">
        <f>526.1+533.7</f>
        <v>1059.8000000000002</v>
      </c>
      <c r="AJ157" s="188">
        <v>1087</v>
      </c>
      <c r="AO157" s="367"/>
      <c r="AP157" s="367"/>
      <c r="AQ157" s="367"/>
    </row>
    <row r="158" spans="1:43" s="69" customFormat="1" ht="78" x14ac:dyDescent="0.3">
      <c r="A158" s="265" t="s">
        <v>419</v>
      </c>
      <c r="B158" s="131" t="s">
        <v>420</v>
      </c>
      <c r="C158" s="132" t="s">
        <v>50</v>
      </c>
      <c r="D158" s="133">
        <v>172</v>
      </c>
      <c r="E158" s="75"/>
      <c r="F158" s="75"/>
      <c r="G158" s="75"/>
      <c r="H158" s="75"/>
      <c r="I158" s="75"/>
      <c r="J158" s="75">
        <v>1400</v>
      </c>
      <c r="K158" s="75">
        <v>240800</v>
      </c>
      <c r="L158" s="91" t="s">
        <v>421</v>
      </c>
      <c r="M158" s="73"/>
      <c r="N158" s="46">
        <v>171.4</v>
      </c>
      <c r="O158" s="46">
        <v>0</v>
      </c>
      <c r="P158" s="46">
        <v>239960</v>
      </c>
      <c r="Q158" s="98"/>
      <c r="R158" s="23" t="s">
        <v>1430</v>
      </c>
      <c r="S158" s="24" t="s">
        <v>420</v>
      </c>
      <c r="T158" s="25" t="s">
        <v>50</v>
      </c>
      <c r="U158" s="26">
        <v>172</v>
      </c>
      <c r="V158" s="26">
        <f t="shared" si="30"/>
        <v>172</v>
      </c>
      <c r="W158" s="26">
        <f t="shared" si="26"/>
        <v>1400</v>
      </c>
      <c r="X158" s="127">
        <f t="shared" si="31"/>
        <v>0</v>
      </c>
      <c r="Y158" s="127">
        <f t="shared" si="32"/>
        <v>171.4</v>
      </c>
      <c r="Z158" s="127">
        <f t="shared" si="33"/>
        <v>0</v>
      </c>
      <c r="AA158" s="127">
        <f t="shared" si="35"/>
        <v>239960</v>
      </c>
      <c r="AB158" s="33" t="s">
        <v>15</v>
      </c>
      <c r="AC158" s="325"/>
      <c r="AD158" s="263">
        <f t="shared" si="25"/>
        <v>172</v>
      </c>
      <c r="AE158" s="263">
        <f t="shared" si="34"/>
        <v>240800</v>
      </c>
      <c r="AF158" s="263">
        <v>1.3</v>
      </c>
      <c r="AG158" s="263">
        <v>1.3</v>
      </c>
      <c r="AH158" s="68" t="str">
        <f t="shared" si="36"/>
        <v/>
      </c>
      <c r="AI158" s="194">
        <f>69.6+101.8</f>
        <v>171.39999999999998</v>
      </c>
      <c r="AJ158" s="188">
        <v>172</v>
      </c>
      <c r="AO158" s="367"/>
      <c r="AP158" s="367"/>
      <c r="AQ158" s="367"/>
    </row>
    <row r="159" spans="1:43" s="69" customFormat="1" ht="156" x14ac:dyDescent="0.3">
      <c r="A159" s="130" t="s">
        <v>422</v>
      </c>
      <c r="B159" s="131" t="s">
        <v>3070</v>
      </c>
      <c r="C159" s="132" t="s">
        <v>110</v>
      </c>
      <c r="D159" s="133">
        <v>150400</v>
      </c>
      <c r="E159" s="75"/>
      <c r="F159" s="75"/>
      <c r="G159" s="75"/>
      <c r="H159" s="133">
        <v>154935.98000000001</v>
      </c>
      <c r="I159" s="75"/>
      <c r="J159" s="75">
        <v>107.31</v>
      </c>
      <c r="K159" s="75">
        <v>16626180.01</v>
      </c>
      <c r="L159" s="91" t="s">
        <v>132</v>
      </c>
      <c r="M159" s="73"/>
      <c r="N159" s="46">
        <v>154922.68</v>
      </c>
      <c r="O159" s="46">
        <v>0</v>
      </c>
      <c r="P159" s="46">
        <v>16624752.789999999</v>
      </c>
      <c r="Q159" s="98"/>
      <c r="R159" s="23" t="s">
        <v>1431</v>
      </c>
      <c r="S159" s="24" t="s">
        <v>131</v>
      </c>
      <c r="T159" s="25" t="s">
        <v>110</v>
      </c>
      <c r="U159" s="26">
        <v>150400</v>
      </c>
      <c r="V159" s="26">
        <f t="shared" si="30"/>
        <v>154935.98000000001</v>
      </c>
      <c r="W159" s="26">
        <f t="shared" si="26"/>
        <v>107.31</v>
      </c>
      <c r="X159" s="127">
        <f t="shared" si="31"/>
        <v>0</v>
      </c>
      <c r="Y159" s="127">
        <f t="shared" si="32"/>
        <v>154922.68</v>
      </c>
      <c r="Z159" s="127">
        <f t="shared" si="33"/>
        <v>0</v>
      </c>
      <c r="AA159" s="127">
        <f t="shared" si="35"/>
        <v>16624752.789999999</v>
      </c>
      <c r="AB159" s="33" t="s">
        <v>15</v>
      </c>
      <c r="AC159" s="325"/>
      <c r="AD159" s="263">
        <f t="shared" si="25"/>
        <v>154935.98000000001</v>
      </c>
      <c r="AE159" s="263">
        <f t="shared" si="34"/>
        <v>16626180.01</v>
      </c>
      <c r="AF159" s="263">
        <v>1.3</v>
      </c>
      <c r="AG159" s="263">
        <v>1.3</v>
      </c>
      <c r="AH159" s="68" t="str">
        <f t="shared" si="36"/>
        <v/>
      </c>
      <c r="AI159" s="194">
        <f>150350.58+4196.5+375.6</f>
        <v>154922.68</v>
      </c>
      <c r="AJ159" s="188">
        <v>154935.98000000001</v>
      </c>
      <c r="AO159" s="367"/>
      <c r="AP159" s="367"/>
      <c r="AQ159" s="367"/>
    </row>
    <row r="160" spans="1:43" s="69" customFormat="1" ht="58.5" x14ac:dyDescent="0.3">
      <c r="A160" s="130" t="s">
        <v>423</v>
      </c>
      <c r="B160" s="131" t="s">
        <v>424</v>
      </c>
      <c r="C160" s="132" t="s">
        <v>50</v>
      </c>
      <c r="D160" s="133">
        <v>1140.1600000000001</v>
      </c>
      <c r="E160" s="75"/>
      <c r="F160" s="75"/>
      <c r="G160" s="75"/>
      <c r="H160" s="75"/>
      <c r="I160" s="343">
        <v>1270.02</v>
      </c>
      <c r="J160" s="75">
        <v>692.16</v>
      </c>
      <c r="K160" s="75">
        <v>879057.04</v>
      </c>
      <c r="L160" s="91" t="s">
        <v>425</v>
      </c>
      <c r="M160" s="73"/>
      <c r="N160" s="46">
        <v>1270</v>
      </c>
      <c r="O160" s="46">
        <v>0</v>
      </c>
      <c r="P160" s="46">
        <v>879043.2</v>
      </c>
      <c r="Q160" s="98"/>
      <c r="R160" s="23" t="s">
        <v>1395</v>
      </c>
      <c r="S160" s="24" t="s">
        <v>424</v>
      </c>
      <c r="T160" s="25" t="s">
        <v>50</v>
      </c>
      <c r="U160" s="26">
        <v>1140.1600000000001</v>
      </c>
      <c r="V160" s="26">
        <f t="shared" si="30"/>
        <v>1270.02</v>
      </c>
      <c r="W160" s="26">
        <f t="shared" si="26"/>
        <v>692.16</v>
      </c>
      <c r="X160" s="127">
        <f t="shared" si="31"/>
        <v>0</v>
      </c>
      <c r="Y160" s="127">
        <f t="shared" si="32"/>
        <v>1270</v>
      </c>
      <c r="Z160" s="127">
        <f t="shared" si="33"/>
        <v>0</v>
      </c>
      <c r="AA160" s="127">
        <f t="shared" si="35"/>
        <v>879043.2</v>
      </c>
      <c r="AB160" s="33" t="s">
        <v>15</v>
      </c>
      <c r="AC160" s="325"/>
      <c r="AD160" s="263">
        <f t="shared" si="25"/>
        <v>1270.02</v>
      </c>
      <c r="AE160" s="263">
        <f t="shared" si="34"/>
        <v>879057.04</v>
      </c>
      <c r="AF160" s="263">
        <v>1.3</v>
      </c>
      <c r="AG160" s="263">
        <v>1.3</v>
      </c>
      <c r="AH160" s="68" t="str">
        <f t="shared" si="36"/>
        <v/>
      </c>
      <c r="AI160" s="194">
        <f>1139.6+130.4</f>
        <v>1270</v>
      </c>
      <c r="AJ160" s="190">
        <v>1270.02</v>
      </c>
      <c r="AO160" s="367"/>
      <c r="AP160" s="367"/>
      <c r="AQ160" s="367"/>
    </row>
    <row r="161" spans="1:43" s="69" customFormat="1" ht="78" x14ac:dyDescent="0.3">
      <c r="A161" s="130" t="s">
        <v>426</v>
      </c>
      <c r="B161" s="131" t="s">
        <v>33</v>
      </c>
      <c r="C161" s="132" t="s">
        <v>34</v>
      </c>
      <c r="D161" s="133">
        <v>527.59</v>
      </c>
      <c r="E161" s="203"/>
      <c r="F161" s="203"/>
      <c r="G161" s="203"/>
      <c r="H161" s="203"/>
      <c r="I161" s="203"/>
      <c r="J161" s="75">
        <v>48.28</v>
      </c>
      <c r="K161" s="75">
        <v>25472.05</v>
      </c>
      <c r="L161" s="91" t="s">
        <v>35</v>
      </c>
      <c r="M161" s="73"/>
      <c r="N161" s="46">
        <v>527.59</v>
      </c>
      <c r="O161" s="46">
        <v>0</v>
      </c>
      <c r="P161" s="46">
        <v>25472.05</v>
      </c>
      <c r="Q161" s="98"/>
      <c r="R161" s="23" t="s">
        <v>1432</v>
      </c>
      <c r="S161" s="24" t="s">
        <v>33</v>
      </c>
      <c r="T161" s="25" t="s">
        <v>34</v>
      </c>
      <c r="U161" s="26">
        <v>527.59</v>
      </c>
      <c r="V161" s="26">
        <f t="shared" si="30"/>
        <v>527.59</v>
      </c>
      <c r="W161" s="26">
        <f t="shared" si="26"/>
        <v>48.28</v>
      </c>
      <c r="X161" s="127">
        <f t="shared" si="31"/>
        <v>0</v>
      </c>
      <c r="Y161" s="127">
        <f t="shared" si="32"/>
        <v>527.59</v>
      </c>
      <c r="Z161" s="127">
        <f t="shared" si="33"/>
        <v>0</v>
      </c>
      <c r="AA161" s="127">
        <f t="shared" si="35"/>
        <v>25472.05</v>
      </c>
      <c r="AB161" s="33" t="s">
        <v>15</v>
      </c>
      <c r="AC161" s="324"/>
      <c r="AD161" s="181">
        <f t="shared" si="25"/>
        <v>527.59</v>
      </c>
      <c r="AE161" s="181">
        <f t="shared" si="34"/>
        <v>25472.05</v>
      </c>
      <c r="AF161" s="181">
        <v>1.3</v>
      </c>
      <c r="AG161" s="181">
        <v>1.3</v>
      </c>
      <c r="AH161" s="363" t="str">
        <f t="shared" si="36"/>
        <v/>
      </c>
      <c r="AI161" s="192">
        <v>527.59</v>
      </c>
      <c r="AJ161" s="188">
        <v>527.59</v>
      </c>
      <c r="AO161" s="367"/>
      <c r="AP161" s="367"/>
      <c r="AQ161" s="367"/>
    </row>
    <row r="162" spans="1:43" s="69" customFormat="1" ht="78" x14ac:dyDescent="0.3">
      <c r="A162" s="130" t="s">
        <v>427</v>
      </c>
      <c r="B162" s="131" t="s">
        <v>428</v>
      </c>
      <c r="C162" s="132" t="s">
        <v>34</v>
      </c>
      <c r="D162" s="133">
        <v>355.42</v>
      </c>
      <c r="E162" s="203"/>
      <c r="F162" s="203"/>
      <c r="G162" s="203"/>
      <c r="H162" s="203"/>
      <c r="I162" s="343">
        <v>0</v>
      </c>
      <c r="J162" s="75">
        <v>721.06</v>
      </c>
      <c r="K162" s="75">
        <v>0</v>
      </c>
      <c r="L162" s="91" t="s">
        <v>429</v>
      </c>
      <c r="M162" s="73"/>
      <c r="N162" s="46">
        <v>0</v>
      </c>
      <c r="O162" s="46">
        <v>0</v>
      </c>
      <c r="P162" s="46">
        <v>0</v>
      </c>
      <c r="Q162" s="98"/>
      <c r="R162" s="23" t="s">
        <v>1433</v>
      </c>
      <c r="S162" s="24" t="s">
        <v>428</v>
      </c>
      <c r="T162" s="25" t="s">
        <v>34</v>
      </c>
      <c r="U162" s="26">
        <v>355.42</v>
      </c>
      <c r="V162" s="26">
        <v>0</v>
      </c>
      <c r="W162" s="26">
        <f t="shared" si="26"/>
        <v>721.06</v>
      </c>
      <c r="X162" s="127">
        <f t="shared" si="31"/>
        <v>0</v>
      </c>
      <c r="Y162" s="127">
        <f t="shared" si="32"/>
        <v>0</v>
      </c>
      <c r="Z162" s="127">
        <f t="shared" si="33"/>
        <v>0</v>
      </c>
      <c r="AA162" s="127">
        <f t="shared" si="35"/>
        <v>0</v>
      </c>
      <c r="AB162" s="33" t="s">
        <v>15</v>
      </c>
      <c r="AC162" s="324"/>
      <c r="AD162" s="181">
        <v>0</v>
      </c>
      <c r="AE162" s="181">
        <f t="shared" si="34"/>
        <v>0</v>
      </c>
      <c r="AF162" s="181">
        <v>1.3</v>
      </c>
      <c r="AG162" s="181">
        <v>1.3</v>
      </c>
      <c r="AH162" s="363" t="str">
        <f t="shared" si="36"/>
        <v/>
      </c>
      <c r="AI162" s="192">
        <v>0</v>
      </c>
      <c r="AJ162" s="188">
        <v>0</v>
      </c>
      <c r="AO162" s="367"/>
      <c r="AP162" s="367"/>
      <c r="AQ162" s="367"/>
    </row>
    <row r="163" spans="1:43" s="69" customFormat="1" x14ac:dyDescent="0.3">
      <c r="A163" s="55" t="s">
        <v>430</v>
      </c>
      <c r="B163" s="53" t="s">
        <v>431</v>
      </c>
      <c r="C163" s="202" t="s">
        <v>50</v>
      </c>
      <c r="D163" s="203">
        <v>272</v>
      </c>
      <c r="E163" s="203"/>
      <c r="F163" s="203">
        <v>32675</v>
      </c>
      <c r="G163" s="203"/>
      <c r="H163" s="203"/>
      <c r="I163" s="203"/>
      <c r="J163" s="75">
        <v>28</v>
      </c>
      <c r="K163" s="75">
        <v>914900</v>
      </c>
      <c r="L163" s="91" t="s">
        <v>432</v>
      </c>
      <c r="M163" s="73"/>
      <c r="N163" s="46">
        <v>31219</v>
      </c>
      <c r="O163" s="46">
        <v>0</v>
      </c>
      <c r="P163" s="46">
        <v>874132</v>
      </c>
      <c r="Q163" s="98"/>
      <c r="R163" s="23" t="s">
        <v>1382</v>
      </c>
      <c r="S163" s="24" t="s">
        <v>431</v>
      </c>
      <c r="T163" s="25" t="s">
        <v>50</v>
      </c>
      <c r="U163" s="26">
        <v>272</v>
      </c>
      <c r="V163" s="26">
        <f t="shared" si="30"/>
        <v>32675</v>
      </c>
      <c r="W163" s="26">
        <f t="shared" si="26"/>
        <v>28</v>
      </c>
      <c r="X163" s="128">
        <f t="shared" si="31"/>
        <v>0</v>
      </c>
      <c r="Y163" s="26">
        <f t="shared" si="32"/>
        <v>31219</v>
      </c>
      <c r="Z163" s="26">
        <f t="shared" si="33"/>
        <v>0</v>
      </c>
      <c r="AA163" s="26">
        <f t="shared" si="35"/>
        <v>874132</v>
      </c>
      <c r="AB163" s="27" t="s">
        <v>15</v>
      </c>
      <c r="AC163" s="324"/>
      <c r="AD163" s="181">
        <f t="shared" si="25"/>
        <v>32675</v>
      </c>
      <c r="AE163" s="181">
        <f t="shared" si="34"/>
        <v>914900</v>
      </c>
      <c r="AF163" s="181">
        <v>1.3</v>
      </c>
      <c r="AG163" s="181">
        <v>1.3</v>
      </c>
      <c r="AH163" s="363" t="str">
        <f t="shared" si="36"/>
        <v/>
      </c>
      <c r="AI163" s="194">
        <f>22573+928+1928+1980+1855+1955</f>
        <v>31219</v>
      </c>
      <c r="AJ163" s="188">
        <v>32675</v>
      </c>
      <c r="AO163" s="367"/>
      <c r="AP163" s="367"/>
      <c r="AQ163" s="367"/>
    </row>
    <row r="164" spans="1:43" s="69" customFormat="1" ht="58.5" x14ac:dyDescent="0.3">
      <c r="A164" s="130" t="s">
        <v>433</v>
      </c>
      <c r="B164" s="131" t="s">
        <v>434</v>
      </c>
      <c r="C164" s="132" t="s">
        <v>30</v>
      </c>
      <c r="D164" s="133">
        <v>744</v>
      </c>
      <c r="E164" s="203"/>
      <c r="F164" s="203"/>
      <c r="G164" s="203"/>
      <c r="H164" s="203"/>
      <c r="I164" s="203"/>
      <c r="J164" s="75">
        <v>19012.060000000001</v>
      </c>
      <c r="K164" s="75">
        <v>14144972.640000001</v>
      </c>
      <c r="L164" s="91" t="s">
        <v>435</v>
      </c>
      <c r="M164" s="73"/>
      <c r="N164" s="46">
        <v>744</v>
      </c>
      <c r="O164" s="46">
        <v>0</v>
      </c>
      <c r="P164" s="46">
        <v>14144972.640000001</v>
      </c>
      <c r="Q164" s="98"/>
      <c r="R164" s="23" t="s">
        <v>1434</v>
      </c>
      <c r="S164" s="24" t="s">
        <v>434</v>
      </c>
      <c r="T164" s="25" t="s">
        <v>30</v>
      </c>
      <c r="U164" s="26">
        <v>744</v>
      </c>
      <c r="V164" s="26">
        <f t="shared" si="30"/>
        <v>744</v>
      </c>
      <c r="W164" s="26">
        <f t="shared" si="26"/>
        <v>19012.060000000001</v>
      </c>
      <c r="X164" s="127">
        <f t="shared" si="31"/>
        <v>0</v>
      </c>
      <c r="Y164" s="127">
        <f t="shared" si="32"/>
        <v>744</v>
      </c>
      <c r="Z164" s="127">
        <f t="shared" si="33"/>
        <v>0</v>
      </c>
      <c r="AA164" s="127">
        <f t="shared" si="35"/>
        <v>14144972.640000001</v>
      </c>
      <c r="AB164" s="33" t="s">
        <v>15</v>
      </c>
      <c r="AC164" s="324"/>
      <c r="AD164" s="181">
        <f t="shared" si="25"/>
        <v>744</v>
      </c>
      <c r="AE164" s="181">
        <f t="shared" si="34"/>
        <v>14144972.640000001</v>
      </c>
      <c r="AF164" s="181">
        <v>1.3</v>
      </c>
      <c r="AG164" s="181">
        <v>1.3</v>
      </c>
      <c r="AH164" s="363" t="str">
        <f t="shared" si="36"/>
        <v/>
      </c>
      <c r="AI164" s="192">
        <v>744</v>
      </c>
      <c r="AJ164" s="188">
        <v>744</v>
      </c>
      <c r="AO164" s="367"/>
      <c r="AP164" s="367"/>
      <c r="AQ164" s="367"/>
    </row>
    <row r="165" spans="1:43" s="69" customFormat="1" ht="39" x14ac:dyDescent="0.3">
      <c r="A165" s="55" t="s">
        <v>436</v>
      </c>
      <c r="B165" s="53" t="s">
        <v>437</v>
      </c>
      <c r="C165" s="54" t="s">
        <v>50</v>
      </c>
      <c r="D165" s="75">
        <v>136</v>
      </c>
      <c r="E165" s="75"/>
      <c r="F165" s="75"/>
      <c r="G165" s="75"/>
      <c r="H165" s="75"/>
      <c r="I165" s="75"/>
      <c r="J165" s="75">
        <v>373.1</v>
      </c>
      <c r="K165" s="75">
        <v>50741.599999999999</v>
      </c>
      <c r="L165" s="91" t="s">
        <v>438</v>
      </c>
      <c r="M165" s="73"/>
      <c r="N165" s="46">
        <v>112</v>
      </c>
      <c r="O165" s="46">
        <v>0</v>
      </c>
      <c r="P165" s="46">
        <v>41787.199999999997</v>
      </c>
      <c r="Q165" s="98"/>
      <c r="R165" s="23" t="s">
        <v>1388</v>
      </c>
      <c r="S165" s="24" t="s">
        <v>437</v>
      </c>
      <c r="T165" s="25" t="s">
        <v>50</v>
      </c>
      <c r="U165" s="26">
        <v>136</v>
      </c>
      <c r="V165" s="26">
        <f t="shared" si="30"/>
        <v>136</v>
      </c>
      <c r="W165" s="26">
        <f t="shared" si="26"/>
        <v>373.1</v>
      </c>
      <c r="X165" s="128">
        <f t="shared" si="31"/>
        <v>0</v>
      </c>
      <c r="Y165" s="26">
        <f t="shared" si="32"/>
        <v>112</v>
      </c>
      <c r="Z165" s="26">
        <f t="shared" si="33"/>
        <v>0</v>
      </c>
      <c r="AA165" s="26">
        <f t="shared" si="35"/>
        <v>41787.199999999997</v>
      </c>
      <c r="AB165" s="33" t="s">
        <v>15</v>
      </c>
      <c r="AC165" s="325"/>
      <c r="AD165" s="263">
        <f t="shared" si="25"/>
        <v>136</v>
      </c>
      <c r="AE165" s="263">
        <f t="shared" si="34"/>
        <v>50741.599999999999</v>
      </c>
      <c r="AF165" s="263">
        <v>1.3</v>
      </c>
      <c r="AG165" s="263">
        <v>1.3</v>
      </c>
      <c r="AH165" s="68" t="str">
        <f t="shared" si="36"/>
        <v/>
      </c>
      <c r="AI165" s="194">
        <v>112</v>
      </c>
      <c r="AJ165" s="188">
        <v>136</v>
      </c>
      <c r="AO165" s="367"/>
      <c r="AP165" s="367"/>
      <c r="AQ165" s="367"/>
    </row>
    <row r="166" spans="1:43" s="69" customFormat="1" ht="58.5" x14ac:dyDescent="0.3">
      <c r="A166" s="130" t="s">
        <v>439</v>
      </c>
      <c r="B166" s="131" t="s">
        <v>440</v>
      </c>
      <c r="C166" s="132" t="s">
        <v>50</v>
      </c>
      <c r="D166" s="133">
        <v>136</v>
      </c>
      <c r="E166" s="75"/>
      <c r="F166" s="75"/>
      <c r="G166" s="75"/>
      <c r="H166" s="75"/>
      <c r="I166" s="75"/>
      <c r="J166" s="75">
        <v>616.53</v>
      </c>
      <c r="K166" s="75">
        <v>83848.08</v>
      </c>
      <c r="L166" s="91" t="s">
        <v>441</v>
      </c>
      <c r="M166" s="73"/>
      <c r="N166" s="46">
        <v>122.8</v>
      </c>
      <c r="O166" s="46">
        <v>0</v>
      </c>
      <c r="P166" s="46">
        <v>75709.88</v>
      </c>
      <c r="Q166" s="98"/>
      <c r="R166" s="23" t="s">
        <v>1389</v>
      </c>
      <c r="S166" s="24" t="s">
        <v>440</v>
      </c>
      <c r="T166" s="25" t="s">
        <v>50</v>
      </c>
      <c r="U166" s="26">
        <v>136</v>
      </c>
      <c r="V166" s="26">
        <f t="shared" si="30"/>
        <v>136</v>
      </c>
      <c r="W166" s="26">
        <f t="shared" si="26"/>
        <v>616.53</v>
      </c>
      <c r="X166" s="127">
        <f t="shared" si="31"/>
        <v>0</v>
      </c>
      <c r="Y166" s="127">
        <f t="shared" si="32"/>
        <v>122.8</v>
      </c>
      <c r="Z166" s="127">
        <f t="shared" si="33"/>
        <v>0</v>
      </c>
      <c r="AA166" s="127">
        <f t="shared" si="35"/>
        <v>75709.88</v>
      </c>
      <c r="AB166" s="33" t="s">
        <v>15</v>
      </c>
      <c r="AC166" s="325"/>
      <c r="AD166" s="263">
        <f t="shared" si="25"/>
        <v>136</v>
      </c>
      <c r="AE166" s="263">
        <f t="shared" si="34"/>
        <v>83848.08</v>
      </c>
      <c r="AF166" s="263">
        <v>1.3</v>
      </c>
      <c r="AG166" s="263">
        <v>1.3</v>
      </c>
      <c r="AH166" s="68" t="str">
        <f t="shared" si="36"/>
        <v/>
      </c>
      <c r="AI166" s="194">
        <f>122.8</f>
        <v>122.8</v>
      </c>
      <c r="AJ166" s="188">
        <v>136</v>
      </c>
      <c r="AO166" s="367"/>
      <c r="AP166" s="367"/>
      <c r="AQ166" s="367"/>
    </row>
    <row r="167" spans="1:43" s="69" customFormat="1" ht="39" x14ac:dyDescent="0.3">
      <c r="A167" s="55" t="s">
        <v>442</v>
      </c>
      <c r="B167" s="53" t="s">
        <v>443</v>
      </c>
      <c r="C167" s="54" t="s">
        <v>50</v>
      </c>
      <c r="D167" s="75">
        <v>3.6</v>
      </c>
      <c r="E167" s="75"/>
      <c r="F167" s="75"/>
      <c r="G167" s="75"/>
      <c r="H167" s="75"/>
      <c r="I167" s="75"/>
      <c r="J167" s="75">
        <v>2664.06</v>
      </c>
      <c r="K167" s="75">
        <v>9590.6200000000008</v>
      </c>
      <c r="L167" s="91" t="s">
        <v>444</v>
      </c>
      <c r="M167" s="73"/>
      <c r="N167" s="46">
        <v>0</v>
      </c>
      <c r="O167" s="46">
        <v>0</v>
      </c>
      <c r="P167" s="46">
        <v>0</v>
      </c>
      <c r="Q167" s="98"/>
      <c r="R167" s="23" t="s">
        <v>1390</v>
      </c>
      <c r="S167" s="24" t="s">
        <v>443</v>
      </c>
      <c r="T167" s="25" t="s">
        <v>50</v>
      </c>
      <c r="U167" s="26">
        <v>3.6</v>
      </c>
      <c r="V167" s="26">
        <f t="shared" si="30"/>
        <v>3.6</v>
      </c>
      <c r="W167" s="26">
        <f t="shared" si="26"/>
        <v>2664.06</v>
      </c>
      <c r="X167" s="26">
        <f t="shared" si="31"/>
        <v>0</v>
      </c>
      <c r="Y167" s="26">
        <f t="shared" si="32"/>
        <v>0</v>
      </c>
      <c r="Z167" s="26">
        <f t="shared" si="33"/>
        <v>0</v>
      </c>
      <c r="AA167" s="26">
        <f t="shared" si="35"/>
        <v>0</v>
      </c>
      <c r="AB167" s="33" t="s">
        <v>15</v>
      </c>
      <c r="AC167" s="324"/>
      <c r="AD167" s="181">
        <f t="shared" si="25"/>
        <v>3.6</v>
      </c>
      <c r="AE167" s="181">
        <f t="shared" si="34"/>
        <v>9590.6200000000008</v>
      </c>
      <c r="AF167" s="181">
        <v>1.3</v>
      </c>
      <c r="AG167" s="181">
        <v>1.3</v>
      </c>
      <c r="AH167" s="363" t="str">
        <f t="shared" si="36"/>
        <v/>
      </c>
      <c r="AI167" s="192">
        <v>0</v>
      </c>
      <c r="AJ167" s="188">
        <v>3.6</v>
      </c>
      <c r="AO167" s="367"/>
      <c r="AP167" s="367"/>
      <c r="AQ167" s="367"/>
    </row>
    <row r="168" spans="1:43" s="69" customFormat="1" ht="39" x14ac:dyDescent="0.3">
      <c r="A168" s="130" t="s">
        <v>445</v>
      </c>
      <c r="B168" s="131" t="s">
        <v>446</v>
      </c>
      <c r="C168" s="132" t="s">
        <v>30</v>
      </c>
      <c r="D168" s="133">
        <v>44</v>
      </c>
      <c r="E168" s="75"/>
      <c r="F168" s="75"/>
      <c r="G168" s="75"/>
      <c r="H168" s="75"/>
      <c r="I168" s="75"/>
      <c r="J168" s="75">
        <v>5183.22</v>
      </c>
      <c r="K168" s="75">
        <v>228061.68</v>
      </c>
      <c r="L168" s="137" t="s">
        <v>447</v>
      </c>
      <c r="M168" s="73"/>
      <c r="N168" s="46">
        <v>43.7</v>
      </c>
      <c r="O168" s="46">
        <v>0</v>
      </c>
      <c r="P168" s="46">
        <v>226506.71</v>
      </c>
      <c r="Q168" s="98"/>
      <c r="R168" s="23" t="s">
        <v>1391</v>
      </c>
      <c r="S168" s="24" t="s">
        <v>446</v>
      </c>
      <c r="T168" s="25" t="s">
        <v>30</v>
      </c>
      <c r="U168" s="26">
        <v>44</v>
      </c>
      <c r="V168" s="26">
        <f t="shared" si="30"/>
        <v>44</v>
      </c>
      <c r="W168" s="26">
        <f t="shared" si="26"/>
        <v>5183.22</v>
      </c>
      <c r="X168" s="127">
        <f t="shared" si="31"/>
        <v>0</v>
      </c>
      <c r="Y168" s="127">
        <f t="shared" si="32"/>
        <v>43.7</v>
      </c>
      <c r="Z168" s="127">
        <f t="shared" si="33"/>
        <v>0</v>
      </c>
      <c r="AA168" s="127">
        <f t="shared" si="35"/>
        <v>226506.71</v>
      </c>
      <c r="AB168" s="33" t="s">
        <v>15</v>
      </c>
      <c r="AC168" s="324"/>
      <c r="AD168" s="181">
        <f t="shared" si="25"/>
        <v>44</v>
      </c>
      <c r="AE168" s="181">
        <f t="shared" si="34"/>
        <v>228061.68</v>
      </c>
      <c r="AF168" s="181">
        <v>1.3</v>
      </c>
      <c r="AG168" s="181">
        <v>1.3</v>
      </c>
      <c r="AH168" s="363" t="str">
        <f t="shared" si="36"/>
        <v/>
      </c>
      <c r="AI168" s="194">
        <f>AI171</f>
        <v>43.7</v>
      </c>
      <c r="AJ168" s="188">
        <v>44</v>
      </c>
      <c r="AO168" s="367"/>
      <c r="AP168" s="367"/>
      <c r="AQ168" s="367"/>
    </row>
    <row r="169" spans="1:43" s="69" customFormat="1" ht="39" x14ac:dyDescent="0.3">
      <c r="A169" s="130" t="s">
        <v>448</v>
      </c>
      <c r="B169" s="131" t="s">
        <v>449</v>
      </c>
      <c r="C169" s="132" t="s">
        <v>30</v>
      </c>
      <c r="D169" s="133">
        <v>94.14</v>
      </c>
      <c r="E169" s="75"/>
      <c r="F169" s="75"/>
      <c r="G169" s="75"/>
      <c r="H169" s="75"/>
      <c r="I169" s="75"/>
      <c r="J169" s="75">
        <v>9392.57</v>
      </c>
      <c r="K169" s="75">
        <v>884216.54</v>
      </c>
      <c r="L169" s="137" t="s">
        <v>450</v>
      </c>
      <c r="M169" s="73"/>
      <c r="N169" s="46">
        <v>93.1</v>
      </c>
      <c r="O169" s="46">
        <v>0</v>
      </c>
      <c r="P169" s="46">
        <v>874448.27</v>
      </c>
      <c r="Q169" s="98"/>
      <c r="R169" s="23" t="s">
        <v>1436</v>
      </c>
      <c r="S169" s="24" t="s">
        <v>449</v>
      </c>
      <c r="T169" s="25" t="s">
        <v>30</v>
      </c>
      <c r="U169" s="26">
        <v>94.14</v>
      </c>
      <c r="V169" s="26">
        <f t="shared" si="30"/>
        <v>94.14</v>
      </c>
      <c r="W169" s="26">
        <f t="shared" si="26"/>
        <v>9392.57</v>
      </c>
      <c r="X169" s="127">
        <f t="shared" si="31"/>
        <v>0</v>
      </c>
      <c r="Y169" s="127">
        <f t="shared" si="32"/>
        <v>93.1</v>
      </c>
      <c r="Z169" s="127">
        <f t="shared" si="33"/>
        <v>0</v>
      </c>
      <c r="AA169" s="127">
        <f t="shared" si="35"/>
        <v>874448.27</v>
      </c>
      <c r="AB169" s="33" t="s">
        <v>15</v>
      </c>
      <c r="AC169" s="324"/>
      <c r="AD169" s="181">
        <f t="shared" si="25"/>
        <v>94.14</v>
      </c>
      <c r="AE169" s="181">
        <f t="shared" si="34"/>
        <v>884216.54</v>
      </c>
      <c r="AF169" s="181">
        <v>1.3</v>
      </c>
      <c r="AG169" s="181">
        <v>1.3</v>
      </c>
      <c r="AH169" s="363" t="str">
        <f t="shared" si="36"/>
        <v/>
      </c>
      <c r="AI169" s="194">
        <f>75+18.1</f>
        <v>93.1</v>
      </c>
      <c r="AJ169" s="188">
        <v>94.14</v>
      </c>
      <c r="AO169" s="367"/>
      <c r="AP169" s="367"/>
      <c r="AQ169" s="367"/>
    </row>
    <row r="170" spans="1:43" s="69" customFormat="1" ht="39" x14ac:dyDescent="0.3">
      <c r="A170" s="55" t="s">
        <v>451</v>
      </c>
      <c r="B170" s="53" t="s">
        <v>452</v>
      </c>
      <c r="C170" s="54" t="s">
        <v>30</v>
      </c>
      <c r="D170" s="75">
        <v>114</v>
      </c>
      <c r="E170" s="75"/>
      <c r="F170" s="75"/>
      <c r="G170" s="75"/>
      <c r="H170" s="75"/>
      <c r="I170" s="75"/>
      <c r="J170" s="75">
        <v>2388.5700000000002</v>
      </c>
      <c r="K170" s="75">
        <v>272296.98</v>
      </c>
      <c r="L170" s="137" t="s">
        <v>453</v>
      </c>
      <c r="M170" s="73"/>
      <c r="N170" s="46">
        <v>68</v>
      </c>
      <c r="O170" s="46">
        <v>0</v>
      </c>
      <c r="P170" s="46">
        <v>162422.76</v>
      </c>
      <c r="Q170" s="98"/>
      <c r="R170" s="23" t="s">
        <v>1374</v>
      </c>
      <c r="S170" s="24" t="s">
        <v>452</v>
      </c>
      <c r="T170" s="25" t="s">
        <v>30</v>
      </c>
      <c r="U170" s="26">
        <v>114</v>
      </c>
      <c r="V170" s="26">
        <f t="shared" si="30"/>
        <v>114</v>
      </c>
      <c r="W170" s="26">
        <f t="shared" si="26"/>
        <v>2388.5700000000002</v>
      </c>
      <c r="X170" s="128">
        <f t="shared" si="31"/>
        <v>0</v>
      </c>
      <c r="Y170" s="26">
        <f t="shared" si="32"/>
        <v>68</v>
      </c>
      <c r="Z170" s="26">
        <f t="shared" si="33"/>
        <v>0</v>
      </c>
      <c r="AA170" s="26">
        <f t="shared" si="35"/>
        <v>162422.76</v>
      </c>
      <c r="AB170" s="33" t="s">
        <v>15</v>
      </c>
      <c r="AC170" s="325"/>
      <c r="AD170" s="263">
        <f t="shared" si="25"/>
        <v>114</v>
      </c>
      <c r="AE170" s="263">
        <f t="shared" si="34"/>
        <v>272296.98</v>
      </c>
      <c r="AF170" s="263">
        <v>1.3</v>
      </c>
      <c r="AG170" s="263">
        <v>1.3</v>
      </c>
      <c r="AH170" s="68" t="str">
        <f t="shared" si="36"/>
        <v/>
      </c>
      <c r="AI170" s="194">
        <f>68</f>
        <v>68</v>
      </c>
      <c r="AJ170" s="188">
        <v>114</v>
      </c>
      <c r="AO170" s="367"/>
      <c r="AP170" s="367"/>
      <c r="AQ170" s="367"/>
    </row>
    <row r="171" spans="1:43" s="69" customFormat="1" ht="58.5" x14ac:dyDescent="0.3">
      <c r="A171" s="130" t="s">
        <v>454</v>
      </c>
      <c r="B171" s="131" t="s">
        <v>455</v>
      </c>
      <c r="C171" s="132" t="s">
        <v>30</v>
      </c>
      <c r="D171" s="133">
        <v>44</v>
      </c>
      <c r="E171" s="75"/>
      <c r="F171" s="75"/>
      <c r="G171" s="75"/>
      <c r="H171" s="75"/>
      <c r="I171" s="75"/>
      <c r="J171" s="75">
        <v>80192.710000000006</v>
      </c>
      <c r="K171" s="75">
        <v>3528479.24</v>
      </c>
      <c r="L171" s="137" t="s">
        <v>456</v>
      </c>
      <c r="M171" s="73"/>
      <c r="N171" s="46">
        <v>43.7</v>
      </c>
      <c r="O171" s="46">
        <v>0</v>
      </c>
      <c r="P171" s="46">
        <v>3504421.43</v>
      </c>
      <c r="Q171" s="98"/>
      <c r="R171" s="23" t="s">
        <v>1376</v>
      </c>
      <c r="S171" s="24" t="s">
        <v>455</v>
      </c>
      <c r="T171" s="25" t="s">
        <v>30</v>
      </c>
      <c r="U171" s="26">
        <v>44</v>
      </c>
      <c r="V171" s="26">
        <f t="shared" si="30"/>
        <v>44</v>
      </c>
      <c r="W171" s="26">
        <f t="shared" si="26"/>
        <v>80192.710000000006</v>
      </c>
      <c r="X171" s="127">
        <f t="shared" si="31"/>
        <v>0</v>
      </c>
      <c r="Y171" s="127">
        <f t="shared" si="32"/>
        <v>43.7</v>
      </c>
      <c r="Z171" s="127">
        <f t="shared" si="33"/>
        <v>0</v>
      </c>
      <c r="AA171" s="127">
        <f t="shared" si="35"/>
        <v>3504421.43</v>
      </c>
      <c r="AB171" s="33" t="s">
        <v>15</v>
      </c>
      <c r="AC171" s="324"/>
      <c r="AD171" s="181">
        <f t="shared" si="25"/>
        <v>44</v>
      </c>
      <c r="AE171" s="181">
        <f t="shared" si="34"/>
        <v>3528479.24</v>
      </c>
      <c r="AF171" s="181">
        <v>1.3</v>
      </c>
      <c r="AG171" s="181">
        <v>1.3</v>
      </c>
      <c r="AH171" s="363" t="str">
        <f t="shared" si="36"/>
        <v/>
      </c>
      <c r="AI171" s="194">
        <f>35+9-0.3</f>
        <v>43.7</v>
      </c>
      <c r="AJ171" s="188">
        <v>44</v>
      </c>
      <c r="AO171" s="367"/>
      <c r="AP171" s="367"/>
      <c r="AQ171" s="367"/>
    </row>
    <row r="172" spans="1:43" s="69" customFormat="1" ht="78" x14ac:dyDescent="0.3">
      <c r="A172" s="130" t="s">
        <v>457</v>
      </c>
      <c r="B172" s="131" t="s">
        <v>458</v>
      </c>
      <c r="C172" s="132" t="s">
        <v>30</v>
      </c>
      <c r="D172" s="133">
        <v>90</v>
      </c>
      <c r="E172" s="75"/>
      <c r="F172" s="75"/>
      <c r="G172" s="75"/>
      <c r="H172" s="75"/>
      <c r="I172" s="75"/>
      <c r="J172" s="75">
        <v>9257.1299999999992</v>
      </c>
      <c r="K172" s="75">
        <v>833141.7</v>
      </c>
      <c r="L172" s="137" t="s">
        <v>459</v>
      </c>
      <c r="M172" s="73"/>
      <c r="N172" s="46">
        <v>90</v>
      </c>
      <c r="O172" s="46">
        <v>0</v>
      </c>
      <c r="P172" s="46">
        <v>833141.7</v>
      </c>
      <c r="Q172" s="98"/>
      <c r="R172" s="23" t="s">
        <v>1378</v>
      </c>
      <c r="S172" s="24" t="s">
        <v>458</v>
      </c>
      <c r="T172" s="25" t="s">
        <v>30</v>
      </c>
      <c r="U172" s="26">
        <v>90</v>
      </c>
      <c r="V172" s="26">
        <f t="shared" si="30"/>
        <v>90</v>
      </c>
      <c r="W172" s="26">
        <f t="shared" si="26"/>
        <v>9257.1299999999992</v>
      </c>
      <c r="X172" s="127">
        <f t="shared" si="31"/>
        <v>0</v>
      </c>
      <c r="Y172" s="127">
        <f t="shared" si="32"/>
        <v>90</v>
      </c>
      <c r="Z172" s="127">
        <f t="shared" si="33"/>
        <v>0</v>
      </c>
      <c r="AA172" s="127">
        <f t="shared" si="35"/>
        <v>833141.7</v>
      </c>
      <c r="AB172" s="33" t="s">
        <v>15</v>
      </c>
      <c r="AC172" s="324"/>
      <c r="AD172" s="181">
        <f t="shared" si="25"/>
        <v>90</v>
      </c>
      <c r="AE172" s="181">
        <f t="shared" si="34"/>
        <v>833141.7</v>
      </c>
      <c r="AF172" s="181">
        <v>1.3</v>
      </c>
      <c r="AG172" s="181">
        <v>1.3</v>
      </c>
      <c r="AH172" s="363" t="str">
        <f t="shared" si="36"/>
        <v/>
      </c>
      <c r="AI172" s="194">
        <f>70+20</f>
        <v>90</v>
      </c>
      <c r="AJ172" s="188">
        <v>90</v>
      </c>
      <c r="AO172" s="367"/>
      <c r="AP172" s="367"/>
      <c r="AQ172" s="367"/>
    </row>
    <row r="173" spans="1:43" s="69" customFormat="1" ht="31.5" x14ac:dyDescent="0.3">
      <c r="A173" s="130" t="s">
        <v>460</v>
      </c>
      <c r="B173" s="131" t="s">
        <v>461</v>
      </c>
      <c r="C173" s="132" t="s">
        <v>81</v>
      </c>
      <c r="D173" s="133">
        <v>1</v>
      </c>
      <c r="E173" s="75"/>
      <c r="F173" s="75"/>
      <c r="G173" s="75"/>
      <c r="H173" s="75"/>
      <c r="I173" s="75"/>
      <c r="J173" s="75">
        <v>58649</v>
      </c>
      <c r="K173" s="75">
        <v>58649</v>
      </c>
      <c r="L173" s="137" t="s">
        <v>462</v>
      </c>
      <c r="M173" s="73"/>
      <c r="N173" s="46">
        <v>1</v>
      </c>
      <c r="O173" s="46">
        <v>0</v>
      </c>
      <c r="P173" s="46">
        <v>58649</v>
      </c>
      <c r="Q173" s="98"/>
      <c r="R173" s="23" t="s">
        <v>1438</v>
      </c>
      <c r="S173" s="24" t="s">
        <v>461</v>
      </c>
      <c r="T173" s="25" t="s">
        <v>81</v>
      </c>
      <c r="U173" s="26">
        <v>1</v>
      </c>
      <c r="V173" s="26">
        <f t="shared" si="30"/>
        <v>1</v>
      </c>
      <c r="W173" s="26">
        <f t="shared" si="26"/>
        <v>58649</v>
      </c>
      <c r="X173" s="127">
        <f t="shared" si="31"/>
        <v>0</v>
      </c>
      <c r="Y173" s="127">
        <f t="shared" si="32"/>
        <v>1</v>
      </c>
      <c r="Z173" s="127">
        <f t="shared" si="33"/>
        <v>0</v>
      </c>
      <c r="AA173" s="127">
        <f t="shared" si="35"/>
        <v>58649</v>
      </c>
      <c r="AB173" s="33" t="s">
        <v>15</v>
      </c>
      <c r="AC173" s="324"/>
      <c r="AD173" s="181">
        <f t="shared" si="25"/>
        <v>1</v>
      </c>
      <c r="AE173" s="181">
        <f t="shared" si="34"/>
        <v>58649</v>
      </c>
      <c r="AF173" s="181">
        <v>1.3</v>
      </c>
      <c r="AG173" s="181">
        <v>1.3</v>
      </c>
      <c r="AH173" s="363" t="str">
        <f t="shared" si="36"/>
        <v/>
      </c>
      <c r="AI173" s="194">
        <f>1</f>
        <v>1</v>
      </c>
      <c r="AJ173" s="188">
        <v>1</v>
      </c>
      <c r="AO173" s="367"/>
      <c r="AP173" s="367"/>
      <c r="AQ173" s="367"/>
    </row>
    <row r="174" spans="1:43" s="69" customFormat="1" ht="39" x14ac:dyDescent="0.3">
      <c r="A174" s="130" t="s">
        <v>463</v>
      </c>
      <c r="B174" s="131" t="s">
        <v>464</v>
      </c>
      <c r="C174" s="132" t="s">
        <v>81</v>
      </c>
      <c r="D174" s="133">
        <v>1</v>
      </c>
      <c r="E174" s="75"/>
      <c r="F174" s="75"/>
      <c r="G174" s="75"/>
      <c r="H174" s="75"/>
      <c r="I174" s="75"/>
      <c r="J174" s="75">
        <v>107614.5</v>
      </c>
      <c r="K174" s="75">
        <v>107614.5</v>
      </c>
      <c r="L174" s="137" t="s">
        <v>465</v>
      </c>
      <c r="M174" s="73"/>
      <c r="N174" s="46">
        <v>1</v>
      </c>
      <c r="O174" s="46">
        <v>0</v>
      </c>
      <c r="P174" s="46">
        <v>107614.5</v>
      </c>
      <c r="Q174" s="98"/>
      <c r="R174" s="23" t="s">
        <v>1439</v>
      </c>
      <c r="S174" s="24" t="s">
        <v>464</v>
      </c>
      <c r="T174" s="25" t="s">
        <v>81</v>
      </c>
      <c r="U174" s="26">
        <v>1</v>
      </c>
      <c r="V174" s="26">
        <f t="shared" si="30"/>
        <v>1</v>
      </c>
      <c r="W174" s="26">
        <f t="shared" si="26"/>
        <v>107614.5</v>
      </c>
      <c r="X174" s="127">
        <f t="shared" si="31"/>
        <v>0</v>
      </c>
      <c r="Y174" s="127">
        <f t="shared" si="32"/>
        <v>1</v>
      </c>
      <c r="Z174" s="127">
        <f t="shared" si="33"/>
        <v>0</v>
      </c>
      <c r="AA174" s="127">
        <f t="shared" si="35"/>
        <v>107614.5</v>
      </c>
      <c r="AB174" s="33" t="s">
        <v>15</v>
      </c>
      <c r="AC174" s="325"/>
      <c r="AD174" s="263">
        <f t="shared" si="25"/>
        <v>1</v>
      </c>
      <c r="AE174" s="263">
        <f t="shared" si="34"/>
        <v>107614.5</v>
      </c>
      <c r="AF174" s="263">
        <v>1.3</v>
      </c>
      <c r="AG174" s="263">
        <v>1.3</v>
      </c>
      <c r="AH174" s="68" t="str">
        <f t="shared" si="36"/>
        <v/>
      </c>
      <c r="AI174" s="194">
        <f>0.8+0.2</f>
        <v>1</v>
      </c>
      <c r="AJ174" s="188">
        <v>1</v>
      </c>
      <c r="AO174" s="367"/>
      <c r="AP174" s="367"/>
      <c r="AQ174" s="367"/>
    </row>
    <row r="175" spans="1:43" s="69" customFormat="1" ht="39" x14ac:dyDescent="0.3">
      <c r="A175" s="130" t="s">
        <v>466</v>
      </c>
      <c r="B175" s="131" t="s">
        <v>467</v>
      </c>
      <c r="C175" s="132" t="s">
        <v>30</v>
      </c>
      <c r="D175" s="133">
        <v>13.2</v>
      </c>
      <c r="E175" s="75"/>
      <c r="F175" s="75"/>
      <c r="G175" s="75"/>
      <c r="H175" s="75"/>
      <c r="I175" s="75"/>
      <c r="J175" s="75">
        <v>2809.33</v>
      </c>
      <c r="K175" s="75">
        <v>37083.160000000003</v>
      </c>
      <c r="L175" s="137" t="s">
        <v>468</v>
      </c>
      <c r="M175" s="73"/>
      <c r="N175" s="46">
        <v>12.9</v>
      </c>
      <c r="O175" s="46">
        <v>0</v>
      </c>
      <c r="P175" s="46">
        <v>36240.36</v>
      </c>
      <c r="Q175" s="98"/>
      <c r="R175" s="23" t="s">
        <v>1440</v>
      </c>
      <c r="S175" s="24" t="s">
        <v>467</v>
      </c>
      <c r="T175" s="25" t="s">
        <v>30</v>
      </c>
      <c r="U175" s="26">
        <v>13.2</v>
      </c>
      <c r="V175" s="26">
        <f t="shared" si="30"/>
        <v>13.2</v>
      </c>
      <c r="W175" s="26">
        <f t="shared" si="26"/>
        <v>2809.33</v>
      </c>
      <c r="X175" s="127">
        <f t="shared" si="31"/>
        <v>0</v>
      </c>
      <c r="Y175" s="127">
        <f t="shared" si="32"/>
        <v>12.9</v>
      </c>
      <c r="Z175" s="127">
        <f t="shared" si="33"/>
        <v>0</v>
      </c>
      <c r="AA175" s="127">
        <f t="shared" si="35"/>
        <v>36240.36</v>
      </c>
      <c r="AB175" s="33" t="s">
        <v>15</v>
      </c>
      <c r="AC175" s="325"/>
      <c r="AD175" s="263">
        <f t="shared" si="25"/>
        <v>13.2</v>
      </c>
      <c r="AE175" s="263">
        <f t="shared" si="34"/>
        <v>37083.160000000003</v>
      </c>
      <c r="AF175" s="263">
        <v>1.3</v>
      </c>
      <c r="AG175" s="263">
        <v>1.3</v>
      </c>
      <c r="AH175" s="68" t="str">
        <f t="shared" si="36"/>
        <v/>
      </c>
      <c r="AI175" s="194">
        <f>12.9</f>
        <v>12.9</v>
      </c>
      <c r="AJ175" s="188">
        <v>13.2</v>
      </c>
      <c r="AO175" s="367"/>
      <c r="AP175" s="367"/>
      <c r="AQ175" s="367"/>
    </row>
    <row r="176" spans="1:43" s="69" customFormat="1" ht="39" x14ac:dyDescent="0.3">
      <c r="A176" s="130" t="s">
        <v>469</v>
      </c>
      <c r="B176" s="131" t="s">
        <v>470</v>
      </c>
      <c r="C176" s="132" t="s">
        <v>30</v>
      </c>
      <c r="D176" s="133">
        <v>3</v>
      </c>
      <c r="E176" s="75"/>
      <c r="F176" s="75"/>
      <c r="G176" s="75"/>
      <c r="H176" s="75"/>
      <c r="I176" s="75"/>
      <c r="J176" s="75">
        <v>2433.89</v>
      </c>
      <c r="K176" s="75">
        <v>7301.67</v>
      </c>
      <c r="L176" s="137" t="s">
        <v>471</v>
      </c>
      <c r="M176" s="73"/>
      <c r="N176" s="46">
        <v>2.8</v>
      </c>
      <c r="O176" s="46">
        <v>0</v>
      </c>
      <c r="P176" s="46">
        <v>6814.89</v>
      </c>
      <c r="Q176" s="98"/>
      <c r="R176" s="23" t="s">
        <v>1441</v>
      </c>
      <c r="S176" s="24" t="s">
        <v>470</v>
      </c>
      <c r="T176" s="25" t="s">
        <v>30</v>
      </c>
      <c r="U176" s="26">
        <v>3</v>
      </c>
      <c r="V176" s="26">
        <f t="shared" si="30"/>
        <v>3</v>
      </c>
      <c r="W176" s="26">
        <f t="shared" si="26"/>
        <v>2433.89</v>
      </c>
      <c r="X176" s="127">
        <f t="shared" si="31"/>
        <v>0</v>
      </c>
      <c r="Y176" s="127">
        <f t="shared" si="32"/>
        <v>2.8</v>
      </c>
      <c r="Z176" s="127">
        <f t="shared" si="33"/>
        <v>0</v>
      </c>
      <c r="AA176" s="127">
        <f t="shared" si="35"/>
        <v>6814.89</v>
      </c>
      <c r="AB176" s="33" t="s">
        <v>15</v>
      </c>
      <c r="AC176" s="325"/>
      <c r="AD176" s="263">
        <f t="shared" si="25"/>
        <v>3</v>
      </c>
      <c r="AE176" s="263">
        <f t="shared" si="34"/>
        <v>7301.67</v>
      </c>
      <c r="AF176" s="263">
        <v>1.3</v>
      </c>
      <c r="AG176" s="263">
        <v>1.3</v>
      </c>
      <c r="AH176" s="68" t="str">
        <f t="shared" si="36"/>
        <v/>
      </c>
      <c r="AI176" s="194">
        <f>2.8</f>
        <v>2.8</v>
      </c>
      <c r="AJ176" s="188">
        <v>3</v>
      </c>
      <c r="AO176" s="367"/>
      <c r="AP176" s="367"/>
      <c r="AQ176" s="367"/>
    </row>
    <row r="177" spans="1:43" s="69" customFormat="1" ht="39" x14ac:dyDescent="0.3">
      <c r="A177" s="130" t="s">
        <v>472</v>
      </c>
      <c r="B177" s="131" t="s">
        <v>473</v>
      </c>
      <c r="C177" s="132" t="s">
        <v>30</v>
      </c>
      <c r="D177" s="133">
        <v>6</v>
      </c>
      <c r="E177" s="75"/>
      <c r="F177" s="75"/>
      <c r="G177" s="75"/>
      <c r="H177" s="75"/>
      <c r="I177" s="75"/>
      <c r="J177" s="75">
        <v>2888.64</v>
      </c>
      <c r="K177" s="75">
        <v>17331.84</v>
      </c>
      <c r="L177" s="137" t="s">
        <v>474</v>
      </c>
      <c r="M177" s="73"/>
      <c r="N177" s="46">
        <v>5.5</v>
      </c>
      <c r="O177" s="46">
        <v>0</v>
      </c>
      <c r="P177" s="46">
        <v>15887.52</v>
      </c>
      <c r="Q177" s="98"/>
      <c r="R177" s="23" t="s">
        <v>1442</v>
      </c>
      <c r="S177" s="24" t="s">
        <v>473</v>
      </c>
      <c r="T177" s="25" t="s">
        <v>30</v>
      </c>
      <c r="U177" s="26">
        <v>6</v>
      </c>
      <c r="V177" s="26">
        <f t="shared" si="30"/>
        <v>6</v>
      </c>
      <c r="W177" s="26">
        <f t="shared" si="26"/>
        <v>2888.64</v>
      </c>
      <c r="X177" s="127">
        <f t="shared" si="31"/>
        <v>0</v>
      </c>
      <c r="Y177" s="127">
        <f t="shared" si="32"/>
        <v>5.5</v>
      </c>
      <c r="Z177" s="127">
        <f t="shared" si="33"/>
        <v>0</v>
      </c>
      <c r="AA177" s="127">
        <f t="shared" si="35"/>
        <v>15887.52</v>
      </c>
      <c r="AB177" s="33" t="s">
        <v>15</v>
      </c>
      <c r="AC177" s="325"/>
      <c r="AD177" s="263">
        <f t="shared" si="25"/>
        <v>6</v>
      </c>
      <c r="AE177" s="263">
        <f t="shared" si="34"/>
        <v>17331.84</v>
      </c>
      <c r="AF177" s="263">
        <v>1.3</v>
      </c>
      <c r="AG177" s="263">
        <v>1.3</v>
      </c>
      <c r="AH177" s="68" t="str">
        <f t="shared" si="36"/>
        <v/>
      </c>
      <c r="AI177" s="194">
        <f>5.5</f>
        <v>5.5</v>
      </c>
      <c r="AJ177" s="188">
        <v>6</v>
      </c>
      <c r="AO177" s="367"/>
      <c r="AP177" s="367"/>
      <c r="AQ177" s="367"/>
    </row>
    <row r="178" spans="1:43" s="69" customFormat="1" ht="78" x14ac:dyDescent="0.3">
      <c r="A178" s="130" t="s">
        <v>475</v>
      </c>
      <c r="B178" s="131" t="s">
        <v>476</v>
      </c>
      <c r="C178" s="132" t="s">
        <v>14</v>
      </c>
      <c r="D178" s="133">
        <v>1</v>
      </c>
      <c r="E178" s="75"/>
      <c r="F178" s="75"/>
      <c r="G178" s="75"/>
      <c r="H178" s="75"/>
      <c r="I178" s="75"/>
      <c r="J178" s="75">
        <v>430876.81</v>
      </c>
      <c r="K178" s="75">
        <v>430876.81</v>
      </c>
      <c r="L178" s="137" t="s">
        <v>477</v>
      </c>
      <c r="M178" s="73"/>
      <c r="N178" s="46">
        <v>1</v>
      </c>
      <c r="O178" s="46">
        <v>0</v>
      </c>
      <c r="P178" s="46">
        <v>430876.81</v>
      </c>
      <c r="Q178" s="98"/>
      <c r="R178" s="23" t="s">
        <v>1443</v>
      </c>
      <c r="S178" s="24" t="s">
        <v>476</v>
      </c>
      <c r="T178" s="25" t="s">
        <v>14</v>
      </c>
      <c r="U178" s="26">
        <v>1</v>
      </c>
      <c r="V178" s="26">
        <f t="shared" si="30"/>
        <v>1</v>
      </c>
      <c r="W178" s="26">
        <f t="shared" si="26"/>
        <v>430876.81</v>
      </c>
      <c r="X178" s="127">
        <f t="shared" si="31"/>
        <v>0</v>
      </c>
      <c r="Y178" s="127">
        <f t="shared" si="32"/>
        <v>1</v>
      </c>
      <c r="Z178" s="127">
        <f t="shared" si="33"/>
        <v>0</v>
      </c>
      <c r="AA178" s="127">
        <f t="shared" si="35"/>
        <v>430876.81</v>
      </c>
      <c r="AB178" s="33" t="s">
        <v>15</v>
      </c>
      <c r="AC178" s="324"/>
      <c r="AD178" s="181">
        <f t="shared" si="25"/>
        <v>1</v>
      </c>
      <c r="AE178" s="181">
        <f t="shared" si="34"/>
        <v>430876.81</v>
      </c>
      <c r="AF178" s="181">
        <v>1.3</v>
      </c>
      <c r="AG178" s="181">
        <v>1.3</v>
      </c>
      <c r="AH178" s="363" t="str">
        <f t="shared" si="36"/>
        <v/>
      </c>
      <c r="AI178" s="194">
        <v>1</v>
      </c>
      <c r="AJ178" s="188">
        <v>1</v>
      </c>
      <c r="AO178" s="367"/>
      <c r="AP178" s="367"/>
      <c r="AQ178" s="367"/>
    </row>
    <row r="179" spans="1:43" s="69" customFormat="1" ht="39" x14ac:dyDescent="0.3">
      <c r="A179" s="130" t="s">
        <v>478</v>
      </c>
      <c r="B179" s="131" t="s">
        <v>479</v>
      </c>
      <c r="C179" s="132" t="s">
        <v>81</v>
      </c>
      <c r="D179" s="133">
        <v>1</v>
      </c>
      <c r="E179" s="75"/>
      <c r="F179" s="75"/>
      <c r="G179" s="75"/>
      <c r="H179" s="75"/>
      <c r="I179" s="75"/>
      <c r="J179" s="75">
        <v>29563.21</v>
      </c>
      <c r="K179" s="75">
        <v>29563.21</v>
      </c>
      <c r="L179" s="137" t="s">
        <v>480</v>
      </c>
      <c r="M179" s="73"/>
      <c r="N179" s="46">
        <v>1</v>
      </c>
      <c r="O179" s="46">
        <v>0</v>
      </c>
      <c r="P179" s="46">
        <v>29563.21</v>
      </c>
      <c r="Q179" s="98"/>
      <c r="R179" s="23" t="s">
        <v>1444</v>
      </c>
      <c r="S179" s="24" t="s">
        <v>479</v>
      </c>
      <c r="T179" s="25" t="s">
        <v>81</v>
      </c>
      <c r="U179" s="26">
        <v>1</v>
      </c>
      <c r="V179" s="26">
        <f t="shared" si="30"/>
        <v>1</v>
      </c>
      <c r="W179" s="26">
        <f t="shared" si="26"/>
        <v>29563.21</v>
      </c>
      <c r="X179" s="127">
        <f t="shared" si="31"/>
        <v>0</v>
      </c>
      <c r="Y179" s="127">
        <f t="shared" si="32"/>
        <v>1</v>
      </c>
      <c r="Z179" s="127">
        <f t="shared" si="33"/>
        <v>0</v>
      </c>
      <c r="AA179" s="127">
        <f t="shared" si="35"/>
        <v>29563.21</v>
      </c>
      <c r="AB179" s="33" t="s">
        <v>15</v>
      </c>
      <c r="AC179" s="324"/>
      <c r="AD179" s="181">
        <f t="shared" si="25"/>
        <v>1</v>
      </c>
      <c r="AE179" s="181">
        <f t="shared" si="34"/>
        <v>29563.21</v>
      </c>
      <c r="AF179" s="181">
        <v>1.3</v>
      </c>
      <c r="AG179" s="181">
        <v>1.3</v>
      </c>
      <c r="AH179" s="363" t="str">
        <f t="shared" si="36"/>
        <v/>
      </c>
      <c r="AI179" s="194">
        <v>1</v>
      </c>
      <c r="AJ179" s="188">
        <v>1</v>
      </c>
      <c r="AO179" s="367"/>
      <c r="AP179" s="367"/>
      <c r="AQ179" s="367"/>
    </row>
    <row r="180" spans="1:43" s="69" customFormat="1" ht="31.5" x14ac:dyDescent="0.3">
      <c r="A180" s="130" t="s">
        <v>481</v>
      </c>
      <c r="B180" s="131" t="s">
        <v>482</v>
      </c>
      <c r="C180" s="132" t="s">
        <v>81</v>
      </c>
      <c r="D180" s="133">
        <v>1</v>
      </c>
      <c r="E180" s="75"/>
      <c r="F180" s="75"/>
      <c r="G180" s="75"/>
      <c r="H180" s="75"/>
      <c r="I180" s="75"/>
      <c r="J180" s="75">
        <v>1061152.75</v>
      </c>
      <c r="K180" s="75">
        <v>1061152.75</v>
      </c>
      <c r="L180" s="137" t="s">
        <v>483</v>
      </c>
      <c r="M180" s="73"/>
      <c r="N180" s="46">
        <v>1</v>
      </c>
      <c r="O180" s="46">
        <v>0</v>
      </c>
      <c r="P180" s="46">
        <v>1061152.75</v>
      </c>
      <c r="Q180" s="98"/>
      <c r="R180" s="23" t="s">
        <v>1408</v>
      </c>
      <c r="S180" s="24" t="s">
        <v>482</v>
      </c>
      <c r="T180" s="25" t="s">
        <v>81</v>
      </c>
      <c r="U180" s="26">
        <v>1</v>
      </c>
      <c r="V180" s="26">
        <f t="shared" si="30"/>
        <v>1</v>
      </c>
      <c r="W180" s="26">
        <f t="shared" si="26"/>
        <v>1061152.75</v>
      </c>
      <c r="X180" s="127">
        <f t="shared" si="31"/>
        <v>0</v>
      </c>
      <c r="Y180" s="127">
        <f t="shared" si="32"/>
        <v>1</v>
      </c>
      <c r="Z180" s="127">
        <f t="shared" si="33"/>
        <v>0</v>
      </c>
      <c r="AA180" s="127">
        <f t="shared" si="35"/>
        <v>1061152.75</v>
      </c>
      <c r="AB180" s="33" t="s">
        <v>15</v>
      </c>
      <c r="AC180" s="324"/>
      <c r="AD180" s="181">
        <f t="shared" si="25"/>
        <v>1</v>
      </c>
      <c r="AE180" s="181">
        <f t="shared" si="34"/>
        <v>1061152.75</v>
      </c>
      <c r="AF180" s="181">
        <v>1.3</v>
      </c>
      <c r="AG180" s="181">
        <v>1.3</v>
      </c>
      <c r="AH180" s="363" t="str">
        <f t="shared" si="36"/>
        <v/>
      </c>
      <c r="AI180" s="194">
        <v>1</v>
      </c>
      <c r="AJ180" s="188">
        <v>1</v>
      </c>
      <c r="AO180" s="367"/>
      <c r="AP180" s="367"/>
      <c r="AQ180" s="367"/>
    </row>
    <row r="181" spans="1:43" s="69" customFormat="1" ht="31.5" x14ac:dyDescent="0.3">
      <c r="A181" s="130" t="s">
        <v>484</v>
      </c>
      <c r="B181" s="131" t="s">
        <v>485</v>
      </c>
      <c r="C181" s="132" t="s">
        <v>81</v>
      </c>
      <c r="D181" s="133">
        <v>1</v>
      </c>
      <c r="E181" s="75"/>
      <c r="F181" s="75"/>
      <c r="G181" s="75"/>
      <c r="H181" s="75"/>
      <c r="I181" s="75"/>
      <c r="J181" s="75">
        <v>2431046.88</v>
      </c>
      <c r="K181" s="75">
        <v>2431046.88</v>
      </c>
      <c r="L181" s="137" t="s">
        <v>486</v>
      </c>
      <c r="M181" s="73"/>
      <c r="N181" s="46">
        <v>1</v>
      </c>
      <c r="O181" s="46">
        <v>0</v>
      </c>
      <c r="P181" s="46">
        <v>2431046.88</v>
      </c>
      <c r="Q181" s="98"/>
      <c r="R181" s="23" t="s">
        <v>1409</v>
      </c>
      <c r="S181" s="24" t="s">
        <v>485</v>
      </c>
      <c r="T181" s="25" t="s">
        <v>81</v>
      </c>
      <c r="U181" s="26">
        <v>1</v>
      </c>
      <c r="V181" s="26">
        <f t="shared" si="30"/>
        <v>1</v>
      </c>
      <c r="W181" s="26">
        <f t="shared" si="26"/>
        <v>2431046.88</v>
      </c>
      <c r="X181" s="127">
        <f t="shared" si="31"/>
        <v>0</v>
      </c>
      <c r="Y181" s="127">
        <f t="shared" si="32"/>
        <v>1</v>
      </c>
      <c r="Z181" s="127">
        <f t="shared" si="33"/>
        <v>0</v>
      </c>
      <c r="AA181" s="127">
        <f t="shared" si="35"/>
        <v>2431046.88</v>
      </c>
      <c r="AB181" s="33" t="s">
        <v>15</v>
      </c>
      <c r="AC181" s="324"/>
      <c r="AD181" s="181">
        <f t="shared" si="25"/>
        <v>1</v>
      </c>
      <c r="AE181" s="181">
        <f t="shared" si="34"/>
        <v>2431046.88</v>
      </c>
      <c r="AF181" s="181">
        <v>1.3</v>
      </c>
      <c r="AG181" s="181">
        <v>1.3</v>
      </c>
      <c r="AH181" s="363" t="str">
        <f t="shared" si="36"/>
        <v/>
      </c>
      <c r="AI181" s="194">
        <v>1</v>
      </c>
      <c r="AJ181" s="188">
        <v>1</v>
      </c>
      <c r="AO181" s="367"/>
      <c r="AP181" s="367"/>
      <c r="AQ181" s="367"/>
    </row>
    <row r="182" spans="1:43" s="69" customFormat="1" x14ac:dyDescent="0.3">
      <c r="A182" s="134" t="s">
        <v>1312</v>
      </c>
      <c r="B182" s="135" t="s">
        <v>1313</v>
      </c>
      <c r="C182" s="204" t="s">
        <v>14</v>
      </c>
      <c r="D182" s="133"/>
      <c r="E182" s="59">
        <v>1</v>
      </c>
      <c r="F182" s="77"/>
      <c r="G182" s="205"/>
      <c r="H182" s="205"/>
      <c r="I182" s="205"/>
      <c r="J182" s="205">
        <v>87950.62</v>
      </c>
      <c r="K182" s="59">
        <v>87950.62</v>
      </c>
      <c r="L182" s="92"/>
      <c r="M182" s="73"/>
      <c r="N182" s="46">
        <v>1</v>
      </c>
      <c r="O182" s="46">
        <v>0</v>
      </c>
      <c r="P182" s="46">
        <v>87950.62</v>
      </c>
      <c r="Q182" s="98"/>
      <c r="R182" s="23" t="s">
        <v>1410</v>
      </c>
      <c r="S182" s="24" t="s">
        <v>1495</v>
      </c>
      <c r="T182" s="25" t="s">
        <v>14</v>
      </c>
      <c r="U182" s="26">
        <v>0</v>
      </c>
      <c r="V182" s="26">
        <f t="shared" si="30"/>
        <v>1</v>
      </c>
      <c r="W182" s="26">
        <f t="shared" si="26"/>
        <v>87950.62</v>
      </c>
      <c r="X182" s="127">
        <f t="shared" si="31"/>
        <v>0</v>
      </c>
      <c r="Y182" s="127">
        <f t="shared" si="32"/>
        <v>1</v>
      </c>
      <c r="Z182" s="127">
        <f t="shared" si="33"/>
        <v>0</v>
      </c>
      <c r="AA182" s="127">
        <f t="shared" si="35"/>
        <v>87950.62</v>
      </c>
      <c r="AB182" s="27"/>
      <c r="AC182" s="324"/>
      <c r="AD182" s="181">
        <f t="shared" si="25"/>
        <v>1</v>
      </c>
      <c r="AE182" s="181">
        <f t="shared" si="34"/>
        <v>87950.62</v>
      </c>
      <c r="AF182" s="181">
        <v>1.3</v>
      </c>
      <c r="AG182" s="181">
        <v>1.3</v>
      </c>
      <c r="AH182" s="363" t="str">
        <f t="shared" si="36"/>
        <v/>
      </c>
      <c r="AI182" s="192">
        <v>1</v>
      </c>
      <c r="AJ182" s="188">
        <v>1</v>
      </c>
      <c r="AO182" s="367"/>
      <c r="AP182" s="367"/>
      <c r="AQ182" s="367"/>
    </row>
    <row r="183" spans="1:43" s="69" customFormat="1" x14ac:dyDescent="0.3">
      <c r="A183" s="134" t="s">
        <v>1314</v>
      </c>
      <c r="B183" s="135" t="s">
        <v>1315</v>
      </c>
      <c r="C183" s="204" t="s">
        <v>30</v>
      </c>
      <c r="D183" s="133"/>
      <c r="E183" s="59">
        <v>24</v>
      </c>
      <c r="F183" s="289"/>
      <c r="G183" s="230"/>
      <c r="H183" s="230"/>
      <c r="I183" s="230"/>
      <c r="J183" s="230">
        <v>4257.93</v>
      </c>
      <c r="K183" s="59">
        <v>102190.32</v>
      </c>
      <c r="L183" s="92"/>
      <c r="M183" s="73"/>
      <c r="N183" s="46">
        <v>24</v>
      </c>
      <c r="O183" s="46">
        <v>0</v>
      </c>
      <c r="P183" s="46">
        <v>102190.32</v>
      </c>
      <c r="Q183" s="98"/>
      <c r="R183" s="23" t="s">
        <v>1411</v>
      </c>
      <c r="S183" s="24" t="s">
        <v>1496</v>
      </c>
      <c r="T183" s="25" t="s">
        <v>30</v>
      </c>
      <c r="U183" s="26">
        <v>0</v>
      </c>
      <c r="V183" s="26">
        <f t="shared" si="30"/>
        <v>24</v>
      </c>
      <c r="W183" s="26">
        <f t="shared" si="26"/>
        <v>4257.93</v>
      </c>
      <c r="X183" s="127">
        <f t="shared" si="31"/>
        <v>0</v>
      </c>
      <c r="Y183" s="127">
        <f t="shared" si="32"/>
        <v>24</v>
      </c>
      <c r="Z183" s="127">
        <f t="shared" si="33"/>
        <v>0</v>
      </c>
      <c r="AA183" s="127">
        <f t="shared" si="35"/>
        <v>102190.32</v>
      </c>
      <c r="AB183" s="27"/>
      <c r="AC183" s="324"/>
      <c r="AD183" s="181">
        <f t="shared" si="25"/>
        <v>24</v>
      </c>
      <c r="AE183" s="181">
        <f t="shared" si="34"/>
        <v>102190.32</v>
      </c>
      <c r="AF183" s="181">
        <v>1.3</v>
      </c>
      <c r="AG183" s="181">
        <v>1.3</v>
      </c>
      <c r="AH183" s="363" t="str">
        <f t="shared" si="36"/>
        <v/>
      </c>
      <c r="AI183" s="192">
        <v>24</v>
      </c>
      <c r="AJ183" s="188">
        <v>24</v>
      </c>
      <c r="AO183" s="367"/>
      <c r="AP183" s="367"/>
      <c r="AQ183" s="367"/>
    </row>
    <row r="184" spans="1:43" s="69" customFormat="1" x14ac:dyDescent="0.3">
      <c r="A184" s="134" t="s">
        <v>1316</v>
      </c>
      <c r="B184" s="135" t="s">
        <v>1317</v>
      </c>
      <c r="C184" s="204" t="s">
        <v>513</v>
      </c>
      <c r="D184" s="133"/>
      <c r="E184" s="59">
        <v>1</v>
      </c>
      <c r="F184" s="289"/>
      <c r="G184" s="230"/>
      <c r="H184" s="230"/>
      <c r="I184" s="230"/>
      <c r="J184" s="230">
        <v>200835.11</v>
      </c>
      <c r="K184" s="59">
        <v>200835.11</v>
      </c>
      <c r="L184" s="92"/>
      <c r="M184" s="73"/>
      <c r="N184" s="46">
        <v>1</v>
      </c>
      <c r="O184" s="46">
        <v>0</v>
      </c>
      <c r="P184" s="46">
        <v>200835.11</v>
      </c>
      <c r="Q184" s="98"/>
      <c r="R184" s="23" t="s">
        <v>1445</v>
      </c>
      <c r="S184" s="24" t="s">
        <v>1497</v>
      </c>
      <c r="T184" s="25" t="s">
        <v>513</v>
      </c>
      <c r="U184" s="26">
        <v>0</v>
      </c>
      <c r="V184" s="26">
        <f t="shared" si="30"/>
        <v>1</v>
      </c>
      <c r="W184" s="26">
        <f t="shared" si="26"/>
        <v>200835.11</v>
      </c>
      <c r="X184" s="127">
        <f t="shared" si="31"/>
        <v>0</v>
      </c>
      <c r="Y184" s="127">
        <f t="shared" si="32"/>
        <v>1</v>
      </c>
      <c r="Z184" s="127">
        <f t="shared" si="33"/>
        <v>0</v>
      </c>
      <c r="AA184" s="127">
        <f t="shared" si="35"/>
        <v>200835.11</v>
      </c>
      <c r="AB184" s="27"/>
      <c r="AC184" s="324"/>
      <c r="AD184" s="181">
        <f t="shared" si="25"/>
        <v>1</v>
      </c>
      <c r="AE184" s="181">
        <f t="shared" si="34"/>
        <v>200835.11</v>
      </c>
      <c r="AF184" s="181">
        <v>1.3</v>
      </c>
      <c r="AG184" s="181">
        <v>1.3</v>
      </c>
      <c r="AH184" s="363" t="str">
        <f t="shared" si="36"/>
        <v/>
      </c>
      <c r="AI184" s="192">
        <v>1</v>
      </c>
      <c r="AJ184" s="188">
        <v>1</v>
      </c>
      <c r="AN184" s="70"/>
      <c r="AO184" s="367"/>
      <c r="AP184" s="367"/>
      <c r="AQ184" s="367"/>
    </row>
    <row r="185" spans="1:43" x14ac:dyDescent="0.3">
      <c r="A185" s="134" t="s">
        <v>1318</v>
      </c>
      <c r="B185" s="135" t="s">
        <v>1319</v>
      </c>
      <c r="C185" s="204" t="s">
        <v>412</v>
      </c>
      <c r="D185" s="133"/>
      <c r="E185" s="78"/>
      <c r="F185" s="339">
        <v>150400</v>
      </c>
      <c r="G185" s="116"/>
      <c r="H185" s="359">
        <v>154935.98000000001</v>
      </c>
      <c r="I185" s="116"/>
      <c r="J185" s="290">
        <v>16.21</v>
      </c>
      <c r="K185" s="62">
        <v>2511512.2400000002</v>
      </c>
      <c r="L185" s="93"/>
      <c r="N185" s="46">
        <v>154922.68</v>
      </c>
      <c r="O185" s="46">
        <v>0</v>
      </c>
      <c r="P185" s="46">
        <v>2511296.64</v>
      </c>
      <c r="Q185" s="98"/>
      <c r="R185" s="23" t="s">
        <v>1383</v>
      </c>
      <c r="S185" s="24" t="s">
        <v>1319</v>
      </c>
      <c r="T185" s="25" t="s">
        <v>412</v>
      </c>
      <c r="U185" s="26">
        <v>0</v>
      </c>
      <c r="V185" s="26">
        <f t="shared" si="30"/>
        <v>154935.98000000001</v>
      </c>
      <c r="W185" s="26">
        <f t="shared" si="26"/>
        <v>16.21</v>
      </c>
      <c r="X185" s="127">
        <f t="shared" si="31"/>
        <v>0</v>
      </c>
      <c r="Y185" s="127">
        <f t="shared" si="32"/>
        <v>154922.68</v>
      </c>
      <c r="Z185" s="127">
        <f t="shared" si="33"/>
        <v>0</v>
      </c>
      <c r="AA185" s="127">
        <f t="shared" si="35"/>
        <v>2511296.64</v>
      </c>
      <c r="AB185" s="27"/>
      <c r="AC185" s="324"/>
      <c r="AD185" s="181">
        <f t="shared" si="25"/>
        <v>154935.98000000001</v>
      </c>
      <c r="AE185" s="181">
        <f t="shared" si="34"/>
        <v>2511512.2400000002</v>
      </c>
      <c r="AF185" s="181">
        <v>1.3</v>
      </c>
      <c r="AG185" s="181">
        <v>1.3</v>
      </c>
      <c r="AH185" s="363" t="str">
        <f t="shared" si="36"/>
        <v/>
      </c>
      <c r="AI185" s="194">
        <f>AI159</f>
        <v>154922.68</v>
      </c>
      <c r="AJ185" s="188">
        <v>154935.98000000001</v>
      </c>
      <c r="AN185" s="70"/>
      <c r="AO185" s="367"/>
      <c r="AP185" s="367"/>
      <c r="AQ185" s="367"/>
    </row>
    <row r="186" spans="1:43" ht="39" x14ac:dyDescent="0.3">
      <c r="A186" s="134" t="s">
        <v>1320</v>
      </c>
      <c r="B186" s="135" t="s">
        <v>1321</v>
      </c>
      <c r="C186" s="204" t="s">
        <v>325</v>
      </c>
      <c r="D186" s="133"/>
      <c r="E186" s="78"/>
      <c r="F186" s="348">
        <v>18</v>
      </c>
      <c r="G186" s="62"/>
      <c r="H186" s="62"/>
      <c r="I186" s="62"/>
      <c r="J186" s="290">
        <v>79588.210000000006</v>
      </c>
      <c r="K186" s="62">
        <v>1432587.78</v>
      </c>
      <c r="L186" s="93"/>
      <c r="N186" s="46">
        <v>18</v>
      </c>
      <c r="O186" s="46">
        <v>0</v>
      </c>
      <c r="P186" s="46">
        <v>1432587.78</v>
      </c>
      <c r="Q186" s="98"/>
      <c r="R186" s="23" t="s">
        <v>1384</v>
      </c>
      <c r="S186" s="24" t="s">
        <v>1321</v>
      </c>
      <c r="T186" s="25" t="s">
        <v>325</v>
      </c>
      <c r="U186" s="26">
        <v>0</v>
      </c>
      <c r="V186" s="26">
        <f t="shared" si="30"/>
        <v>18</v>
      </c>
      <c r="W186" s="26">
        <f t="shared" si="26"/>
        <v>79588.210000000006</v>
      </c>
      <c r="X186" s="127">
        <f t="shared" si="31"/>
        <v>0</v>
      </c>
      <c r="Y186" s="127">
        <f t="shared" si="32"/>
        <v>18</v>
      </c>
      <c r="Z186" s="127">
        <f t="shared" si="33"/>
        <v>0</v>
      </c>
      <c r="AA186" s="127">
        <f t="shared" si="35"/>
        <v>1432587.78</v>
      </c>
      <c r="AB186" s="27"/>
      <c r="AC186" s="324"/>
      <c r="AD186" s="181">
        <f t="shared" si="25"/>
        <v>18</v>
      </c>
      <c r="AE186" s="181">
        <f t="shared" si="34"/>
        <v>1432587.78</v>
      </c>
      <c r="AF186" s="181">
        <v>1.3</v>
      </c>
      <c r="AG186" s="181">
        <v>1.3</v>
      </c>
      <c r="AH186" s="363" t="str">
        <f t="shared" si="36"/>
        <v/>
      </c>
      <c r="AI186" s="194">
        <v>18</v>
      </c>
      <c r="AJ186" s="188">
        <v>18</v>
      </c>
      <c r="AN186" s="70"/>
      <c r="AO186" s="367"/>
      <c r="AP186" s="367"/>
      <c r="AQ186" s="367"/>
    </row>
    <row r="187" spans="1:43" ht="39" x14ac:dyDescent="0.3">
      <c r="A187" s="144" t="s">
        <v>1322</v>
      </c>
      <c r="B187" s="145" t="s">
        <v>1323</v>
      </c>
      <c r="C187" s="206" t="s">
        <v>325</v>
      </c>
      <c r="D187" s="170"/>
      <c r="E187" s="147"/>
      <c r="F187" s="164">
        <v>2</v>
      </c>
      <c r="G187" s="62"/>
      <c r="H187" s="216">
        <v>3</v>
      </c>
      <c r="I187" s="62"/>
      <c r="J187" s="290">
        <v>120491.2</v>
      </c>
      <c r="K187" s="148">
        <v>361473.6</v>
      </c>
      <c r="L187" s="149"/>
      <c r="N187" s="46">
        <v>3</v>
      </c>
      <c r="O187" s="46">
        <v>0</v>
      </c>
      <c r="P187" s="46">
        <v>361473.6</v>
      </c>
      <c r="Q187" s="98"/>
      <c r="R187" s="23" t="s">
        <v>1385</v>
      </c>
      <c r="S187" s="24" t="s">
        <v>1323</v>
      </c>
      <c r="T187" s="25" t="s">
        <v>325</v>
      </c>
      <c r="U187" s="26">
        <v>0</v>
      </c>
      <c r="V187" s="26">
        <f t="shared" si="30"/>
        <v>3</v>
      </c>
      <c r="W187" s="26">
        <f t="shared" si="26"/>
        <v>120491.2</v>
      </c>
      <c r="X187" s="127">
        <f t="shared" si="31"/>
        <v>0</v>
      </c>
      <c r="Y187" s="127">
        <f t="shared" si="32"/>
        <v>3</v>
      </c>
      <c r="Z187" s="127">
        <f t="shared" si="33"/>
        <v>0</v>
      </c>
      <c r="AA187" s="127">
        <f t="shared" si="35"/>
        <v>361473.6</v>
      </c>
      <c r="AB187" s="27"/>
      <c r="AC187" s="324"/>
      <c r="AD187" s="181">
        <f t="shared" si="25"/>
        <v>3</v>
      </c>
      <c r="AE187" s="181">
        <f t="shared" si="34"/>
        <v>361473.6</v>
      </c>
      <c r="AF187" s="181">
        <v>1.3</v>
      </c>
      <c r="AG187" s="181">
        <v>1.3</v>
      </c>
      <c r="AH187" s="363" t="str">
        <f t="shared" si="36"/>
        <v/>
      </c>
      <c r="AI187" s="194">
        <v>3</v>
      </c>
      <c r="AJ187" s="188">
        <v>3</v>
      </c>
      <c r="AN187" s="282"/>
      <c r="AO187" s="367"/>
      <c r="AP187" s="367"/>
      <c r="AQ187" s="367"/>
    </row>
    <row r="188" spans="1:43" s="282" customFormat="1" ht="58.5" x14ac:dyDescent="0.3">
      <c r="A188" s="207" t="s">
        <v>3194</v>
      </c>
      <c r="B188" s="208" t="s">
        <v>3189</v>
      </c>
      <c r="C188" s="204" t="s">
        <v>30</v>
      </c>
      <c r="D188" s="171"/>
      <c r="E188" s="288"/>
      <c r="F188" s="275"/>
      <c r="G188" s="275"/>
      <c r="H188" s="275"/>
      <c r="I188" s="346">
        <v>120</v>
      </c>
      <c r="J188" s="288">
        <v>273.47000000000003</v>
      </c>
      <c r="K188" s="275">
        <v>32816.400000000001</v>
      </c>
      <c r="L188" s="277"/>
      <c r="M188" s="278"/>
      <c r="N188" s="42">
        <v>120</v>
      </c>
      <c r="O188" s="42">
        <v>0</v>
      </c>
      <c r="P188" s="42">
        <v>32816.400000000001</v>
      </c>
      <c r="Q188" s="98"/>
      <c r="R188" s="13" t="s">
        <v>1446</v>
      </c>
      <c r="S188" s="286" t="str">
        <f t="shared" ref="S188:T192" si="37">B188</f>
        <v>2"PVC管埋設(含接頭、彎管、導線佈設等)</v>
      </c>
      <c r="T188" s="287" t="str">
        <f t="shared" si="37"/>
        <v>M</v>
      </c>
      <c r="U188" s="16"/>
      <c r="V188" s="16">
        <f t="shared" si="30"/>
        <v>120</v>
      </c>
      <c r="W188" s="16">
        <f t="shared" si="26"/>
        <v>273.47000000000003</v>
      </c>
      <c r="X188" s="127">
        <f t="shared" si="31"/>
        <v>0</v>
      </c>
      <c r="Y188" s="127">
        <f t="shared" si="32"/>
        <v>120</v>
      </c>
      <c r="Z188" s="127">
        <f t="shared" si="33"/>
        <v>0</v>
      </c>
      <c r="AA188" s="127">
        <f t="shared" si="35"/>
        <v>32816.400000000001</v>
      </c>
      <c r="AB188" s="17"/>
      <c r="AC188" s="324"/>
      <c r="AD188" s="181">
        <f t="shared" si="25"/>
        <v>120</v>
      </c>
      <c r="AE188" s="181">
        <f t="shared" si="34"/>
        <v>32816.400000000001</v>
      </c>
      <c r="AF188" s="181">
        <v>1.3</v>
      </c>
      <c r="AG188" s="181">
        <v>1.3</v>
      </c>
      <c r="AH188" s="364"/>
      <c r="AI188" s="374">
        <v>120</v>
      </c>
      <c r="AJ188" s="190">
        <v>120</v>
      </c>
      <c r="AO188" s="367"/>
      <c r="AP188" s="367"/>
      <c r="AQ188" s="367"/>
    </row>
    <row r="189" spans="1:43" s="282" customFormat="1" ht="58.5" x14ac:dyDescent="0.3">
      <c r="A189" s="207" t="s">
        <v>3195</v>
      </c>
      <c r="B189" s="208" t="s">
        <v>3190</v>
      </c>
      <c r="C189" s="204" t="s">
        <v>30</v>
      </c>
      <c r="D189" s="171"/>
      <c r="E189" s="288"/>
      <c r="F189" s="275"/>
      <c r="G189" s="275"/>
      <c r="H189" s="275"/>
      <c r="I189" s="346">
        <v>160</v>
      </c>
      <c r="J189" s="288">
        <v>304.22000000000003</v>
      </c>
      <c r="K189" s="275">
        <v>48675.199999999997</v>
      </c>
      <c r="L189" s="277"/>
      <c r="M189" s="278"/>
      <c r="N189" s="42">
        <v>160</v>
      </c>
      <c r="O189" s="42">
        <v>0</v>
      </c>
      <c r="P189" s="42">
        <v>48675.199999999997</v>
      </c>
      <c r="Q189" s="98"/>
      <c r="R189" s="13" t="s">
        <v>1447</v>
      </c>
      <c r="S189" s="286" t="str">
        <f t="shared" si="37"/>
        <v>3"PVC管埋設(含接頭、彎管、導線佈設等)</v>
      </c>
      <c r="T189" s="287" t="str">
        <f t="shared" si="37"/>
        <v>M</v>
      </c>
      <c r="U189" s="16"/>
      <c r="V189" s="16">
        <f t="shared" si="30"/>
        <v>160</v>
      </c>
      <c r="W189" s="16">
        <f t="shared" si="26"/>
        <v>304.22000000000003</v>
      </c>
      <c r="X189" s="127">
        <f t="shared" si="31"/>
        <v>0</v>
      </c>
      <c r="Y189" s="127">
        <f t="shared" si="32"/>
        <v>160</v>
      </c>
      <c r="Z189" s="127">
        <f t="shared" si="33"/>
        <v>0</v>
      </c>
      <c r="AA189" s="127">
        <f t="shared" si="35"/>
        <v>48675.199999999997</v>
      </c>
      <c r="AB189" s="17"/>
      <c r="AC189" s="324"/>
      <c r="AD189" s="181">
        <f t="shared" si="25"/>
        <v>160</v>
      </c>
      <c r="AE189" s="181">
        <f t="shared" si="34"/>
        <v>48675.199999999997</v>
      </c>
      <c r="AF189" s="181">
        <v>1.3</v>
      </c>
      <c r="AG189" s="181">
        <v>1.3</v>
      </c>
      <c r="AH189" s="364"/>
      <c r="AI189" s="374">
        <v>160</v>
      </c>
      <c r="AJ189" s="190">
        <v>160</v>
      </c>
      <c r="AO189" s="367"/>
      <c r="AP189" s="367"/>
      <c r="AQ189" s="367"/>
    </row>
    <row r="190" spans="1:43" s="282" customFormat="1" ht="58.5" x14ac:dyDescent="0.3">
      <c r="A190" s="207" t="s">
        <v>3196</v>
      </c>
      <c r="B190" s="208" t="s">
        <v>3191</v>
      </c>
      <c r="C190" s="204" t="s">
        <v>30</v>
      </c>
      <c r="D190" s="171"/>
      <c r="E190" s="288"/>
      <c r="F190" s="275"/>
      <c r="G190" s="275"/>
      <c r="H190" s="275"/>
      <c r="I190" s="346">
        <v>480</v>
      </c>
      <c r="J190" s="288">
        <v>324.97000000000003</v>
      </c>
      <c r="K190" s="275">
        <v>155985.60000000001</v>
      </c>
      <c r="L190" s="277"/>
      <c r="M190" s="278"/>
      <c r="N190" s="42">
        <v>480</v>
      </c>
      <c r="O190" s="42">
        <v>0</v>
      </c>
      <c r="P190" s="42">
        <v>155985.60000000001</v>
      </c>
      <c r="Q190" s="98"/>
      <c r="R190" s="13" t="s">
        <v>1448</v>
      </c>
      <c r="S190" s="286" t="str">
        <f t="shared" si="37"/>
        <v>4"PVC管埋設(含接頭、彎管、導線佈設等)</v>
      </c>
      <c r="T190" s="287" t="str">
        <f t="shared" si="37"/>
        <v>M</v>
      </c>
      <c r="U190" s="16"/>
      <c r="V190" s="16">
        <f t="shared" si="30"/>
        <v>480</v>
      </c>
      <c r="W190" s="16">
        <f t="shared" si="26"/>
        <v>324.97000000000003</v>
      </c>
      <c r="X190" s="127">
        <f t="shared" si="31"/>
        <v>0</v>
      </c>
      <c r="Y190" s="127">
        <f t="shared" si="32"/>
        <v>480</v>
      </c>
      <c r="Z190" s="127">
        <f t="shared" si="33"/>
        <v>0</v>
      </c>
      <c r="AA190" s="127">
        <f t="shared" si="35"/>
        <v>155985.60000000001</v>
      </c>
      <c r="AB190" s="17"/>
      <c r="AC190" s="324"/>
      <c r="AD190" s="181">
        <f t="shared" si="25"/>
        <v>480</v>
      </c>
      <c r="AE190" s="181">
        <f t="shared" si="34"/>
        <v>155985.60000000001</v>
      </c>
      <c r="AF190" s="181">
        <v>1.3</v>
      </c>
      <c r="AG190" s="181">
        <v>1.3</v>
      </c>
      <c r="AH190" s="364"/>
      <c r="AI190" s="374">
        <v>480</v>
      </c>
      <c r="AJ190" s="190">
        <v>480</v>
      </c>
      <c r="AO190" s="367"/>
      <c r="AP190" s="367"/>
      <c r="AQ190" s="367"/>
    </row>
    <row r="191" spans="1:43" s="282" customFormat="1" ht="78" x14ac:dyDescent="0.3">
      <c r="A191" s="207" t="s">
        <v>3197</v>
      </c>
      <c r="B191" s="208" t="s">
        <v>3192</v>
      </c>
      <c r="C191" s="204" t="s">
        <v>30</v>
      </c>
      <c r="D191" s="171"/>
      <c r="E191" s="288"/>
      <c r="F191" s="275"/>
      <c r="G191" s="275"/>
      <c r="H191" s="275"/>
      <c r="I191" s="346">
        <v>320</v>
      </c>
      <c r="J191" s="288">
        <v>788.11</v>
      </c>
      <c r="K191" s="275">
        <v>252195.20000000001</v>
      </c>
      <c r="L191" s="277"/>
      <c r="M191" s="278"/>
      <c r="N191" s="42">
        <v>320</v>
      </c>
      <c r="O191" s="42">
        <v>0</v>
      </c>
      <c r="P191" s="42">
        <v>252195.20000000001</v>
      </c>
      <c r="Q191" s="98"/>
      <c r="R191" s="13" t="s">
        <v>1449</v>
      </c>
      <c r="S191" s="286" t="str">
        <f t="shared" si="37"/>
        <v>6"PVC管埋設及附掛(含接頭、彎管及吊架、過管補強版等)</v>
      </c>
      <c r="T191" s="287" t="str">
        <f t="shared" si="37"/>
        <v>M</v>
      </c>
      <c r="U191" s="16"/>
      <c r="V191" s="16">
        <f t="shared" si="30"/>
        <v>320</v>
      </c>
      <c r="W191" s="16">
        <f t="shared" si="26"/>
        <v>788.11</v>
      </c>
      <c r="X191" s="127">
        <f t="shared" si="31"/>
        <v>0</v>
      </c>
      <c r="Y191" s="127">
        <f t="shared" si="32"/>
        <v>320</v>
      </c>
      <c r="Z191" s="127">
        <f t="shared" si="33"/>
        <v>0</v>
      </c>
      <c r="AA191" s="127">
        <f t="shared" si="35"/>
        <v>252195.20000000001</v>
      </c>
      <c r="AB191" s="17"/>
      <c r="AC191" s="324"/>
      <c r="AD191" s="181">
        <f t="shared" si="25"/>
        <v>320</v>
      </c>
      <c r="AE191" s="181">
        <f t="shared" si="34"/>
        <v>252195.20000000001</v>
      </c>
      <c r="AF191" s="181">
        <v>1.3</v>
      </c>
      <c r="AG191" s="181">
        <v>1.3</v>
      </c>
      <c r="AH191" s="364"/>
      <c r="AI191" s="374">
        <v>320</v>
      </c>
      <c r="AJ191" s="190">
        <v>320</v>
      </c>
      <c r="AN191" s="369"/>
      <c r="AO191" s="368"/>
      <c r="AP191" s="367"/>
      <c r="AQ191" s="367"/>
    </row>
    <row r="192" spans="1:43" s="282" customFormat="1" ht="39" x14ac:dyDescent="0.3">
      <c r="A192" s="272" t="s">
        <v>3198</v>
      </c>
      <c r="B192" s="276" t="s">
        <v>3193</v>
      </c>
      <c r="C192" s="274" t="s">
        <v>50</v>
      </c>
      <c r="D192" s="288"/>
      <c r="E192" s="288"/>
      <c r="F192" s="275"/>
      <c r="G192" s="275"/>
      <c r="H192" s="275"/>
      <c r="I192" s="378">
        <v>131.09</v>
      </c>
      <c r="J192" s="288">
        <v>3425.4</v>
      </c>
      <c r="K192" s="275">
        <v>449035.69</v>
      </c>
      <c r="L192" s="277"/>
      <c r="M192" s="278"/>
      <c r="N192" s="42">
        <v>0</v>
      </c>
      <c r="O192" s="42">
        <v>0</v>
      </c>
      <c r="P192" s="42">
        <v>0</v>
      </c>
      <c r="Q192" s="98"/>
      <c r="R192" s="13" t="s">
        <v>1450</v>
      </c>
      <c r="S192" s="286" t="str">
        <f t="shared" si="37"/>
        <v>仿清水混凝土塗裝</v>
      </c>
      <c r="T192" s="287" t="str">
        <f t="shared" si="37"/>
        <v>M2</v>
      </c>
      <c r="U192" s="16"/>
      <c r="V192" s="16">
        <f t="shared" si="30"/>
        <v>131.09</v>
      </c>
      <c r="W192" s="16">
        <f t="shared" si="26"/>
        <v>3425.4</v>
      </c>
      <c r="X192" s="128">
        <f t="shared" si="31"/>
        <v>0</v>
      </c>
      <c r="Y192" s="26">
        <f t="shared" si="32"/>
        <v>0</v>
      </c>
      <c r="Z192" s="26">
        <f t="shared" si="33"/>
        <v>0</v>
      </c>
      <c r="AA192" s="26">
        <f t="shared" si="35"/>
        <v>0</v>
      </c>
      <c r="AB192" s="17"/>
      <c r="AC192" s="324"/>
      <c r="AD192" s="181">
        <f t="shared" si="25"/>
        <v>131.09</v>
      </c>
      <c r="AE192" s="181">
        <f t="shared" si="34"/>
        <v>449035.69</v>
      </c>
      <c r="AF192" s="181">
        <v>1.3</v>
      </c>
      <c r="AG192" s="181">
        <v>1.3</v>
      </c>
      <c r="AH192" s="364"/>
      <c r="AI192" s="374">
        <v>0</v>
      </c>
      <c r="AJ192" s="190">
        <v>131.09</v>
      </c>
      <c r="AN192" s="69"/>
      <c r="AO192" s="367"/>
      <c r="AP192" s="367"/>
      <c r="AQ192" s="367"/>
    </row>
    <row r="193" spans="1:43" s="69" customFormat="1" x14ac:dyDescent="0.3">
      <c r="A193" s="266" t="s">
        <v>487</v>
      </c>
      <c r="B193" s="267" t="s">
        <v>488</v>
      </c>
      <c r="C193" s="83" t="s">
        <v>14</v>
      </c>
      <c r="D193" s="84">
        <v>1</v>
      </c>
      <c r="E193" s="84"/>
      <c r="F193" s="84"/>
      <c r="G193" s="84"/>
      <c r="H193" s="84"/>
      <c r="I193" s="84"/>
      <c r="J193" s="84">
        <v>28303620.390000001</v>
      </c>
      <c r="K193" s="84">
        <v>28303620.390000001</v>
      </c>
      <c r="L193" s="268" t="s">
        <v>15</v>
      </c>
      <c r="M193" s="73"/>
      <c r="N193" s="45">
        <v>1</v>
      </c>
      <c r="O193" s="45">
        <v>0</v>
      </c>
      <c r="P193" s="45">
        <v>26198846.749999996</v>
      </c>
      <c r="Q193" s="98"/>
      <c r="R193" s="18" t="s">
        <v>1386</v>
      </c>
      <c r="S193" s="19" t="s">
        <v>488</v>
      </c>
      <c r="T193" s="20" t="s">
        <v>14</v>
      </c>
      <c r="U193" s="21">
        <v>1</v>
      </c>
      <c r="V193" s="21"/>
      <c r="W193" s="21">
        <f t="shared" si="26"/>
        <v>28303620.390000001</v>
      </c>
      <c r="X193" s="21">
        <f t="shared" ref="X193:Y193" si="38">IF(Z193=0,0,1)</f>
        <v>0</v>
      </c>
      <c r="Y193" s="21">
        <f t="shared" si="38"/>
        <v>1</v>
      </c>
      <c r="Z193" s="21">
        <f>SUMIFS(Z:Z,AG:AG,AF193)</f>
        <v>0</v>
      </c>
      <c r="AA193" s="21">
        <f>SUMIFS(AA:AA,AG:AG,AF193)</f>
        <v>26198846.749999996</v>
      </c>
      <c r="AB193" s="22" t="s">
        <v>15</v>
      </c>
      <c r="AC193" s="324"/>
      <c r="AD193" s="181">
        <f t="shared" si="25"/>
        <v>1</v>
      </c>
      <c r="AE193" s="184"/>
      <c r="AF193" s="184">
        <v>1.4</v>
      </c>
      <c r="AG193" s="184"/>
      <c r="AH193" s="363" t="str">
        <f t="shared" si="36"/>
        <v/>
      </c>
      <c r="AI193" s="192">
        <v>1</v>
      </c>
      <c r="AJ193" s="188">
        <v>1</v>
      </c>
      <c r="AO193" s="367"/>
      <c r="AP193" s="367"/>
      <c r="AQ193" s="367"/>
    </row>
    <row r="194" spans="1:43" s="69" customFormat="1" ht="58.5" x14ac:dyDescent="0.3">
      <c r="A194" s="130" t="s">
        <v>489</v>
      </c>
      <c r="B194" s="131" t="s">
        <v>392</v>
      </c>
      <c r="C194" s="132" t="s">
        <v>23</v>
      </c>
      <c r="D194" s="133">
        <v>20</v>
      </c>
      <c r="E194" s="75"/>
      <c r="F194" s="75"/>
      <c r="G194" s="75"/>
      <c r="H194" s="75"/>
      <c r="I194" s="75"/>
      <c r="J194" s="75">
        <v>3115.13</v>
      </c>
      <c r="K194" s="75">
        <v>62302.6</v>
      </c>
      <c r="L194" s="91" t="s">
        <v>114</v>
      </c>
      <c r="M194" s="73"/>
      <c r="N194" s="46">
        <v>19.45</v>
      </c>
      <c r="O194" s="46">
        <v>0</v>
      </c>
      <c r="P194" s="46">
        <v>60589.279999999999</v>
      </c>
      <c r="Q194" s="98"/>
      <c r="R194" s="23" t="s">
        <v>1421</v>
      </c>
      <c r="S194" s="24" t="s">
        <v>392</v>
      </c>
      <c r="T194" s="25" t="s">
        <v>23</v>
      </c>
      <c r="U194" s="26">
        <v>20</v>
      </c>
      <c r="V194" s="26">
        <f t="shared" ref="V194:V222" si="39">IF(I194&gt;0,I194,IF(H194&gt;0,H194,IF(G194&gt;0,G194,IF(F194&gt;0,F194,IF(E194&gt;0,E194,D194)))))</f>
        <v>20</v>
      </c>
      <c r="W194" s="26">
        <f t="shared" si="26"/>
        <v>3115.13</v>
      </c>
      <c r="X194" s="127">
        <f t="shared" ref="X194:X222" si="40">AI194-N194</f>
        <v>0</v>
      </c>
      <c r="Y194" s="127">
        <f t="shared" ref="Y194:Y267" si="41">X194+N194</f>
        <v>19.45</v>
      </c>
      <c r="Z194" s="127">
        <f t="shared" ref="Z194:Z222" si="42">AA194-P194</f>
        <v>0</v>
      </c>
      <c r="AA194" s="127">
        <f t="shared" si="35"/>
        <v>60589.279999999999</v>
      </c>
      <c r="AB194" s="33" t="s">
        <v>15</v>
      </c>
      <c r="AC194" s="324"/>
      <c r="AD194" s="181">
        <f t="shared" si="25"/>
        <v>20</v>
      </c>
      <c r="AE194" s="181">
        <f t="shared" ref="AE194:AE241" si="43">ROUND(W194*AD194,2)</f>
        <v>62302.6</v>
      </c>
      <c r="AF194" s="181">
        <v>1.4</v>
      </c>
      <c r="AG194" s="181">
        <v>1.4</v>
      </c>
      <c r="AH194" s="363" t="str">
        <f t="shared" si="36"/>
        <v/>
      </c>
      <c r="AI194" s="194">
        <v>19.45</v>
      </c>
      <c r="AJ194" s="188">
        <v>20</v>
      </c>
      <c r="AO194" s="367"/>
      <c r="AP194" s="367"/>
      <c r="AQ194" s="367"/>
    </row>
    <row r="195" spans="1:43" s="69" customFormat="1" ht="58.5" x14ac:dyDescent="0.3">
      <c r="A195" s="130" t="s">
        <v>490</v>
      </c>
      <c r="B195" s="131" t="s">
        <v>116</v>
      </c>
      <c r="C195" s="132" t="s">
        <v>23</v>
      </c>
      <c r="D195" s="133">
        <v>354</v>
      </c>
      <c r="E195" s="75"/>
      <c r="F195" s="75"/>
      <c r="G195" s="75"/>
      <c r="H195" s="75"/>
      <c r="I195" s="75"/>
      <c r="J195" s="75">
        <v>3321.13</v>
      </c>
      <c r="K195" s="75">
        <v>1175680.02</v>
      </c>
      <c r="L195" s="91" t="s">
        <v>117</v>
      </c>
      <c r="M195" s="73"/>
      <c r="N195" s="46">
        <v>326.60000000000002</v>
      </c>
      <c r="O195" s="46">
        <v>0</v>
      </c>
      <c r="P195" s="46">
        <v>1084681.06</v>
      </c>
      <c r="Q195" s="98"/>
      <c r="R195" s="23" t="s">
        <v>1426</v>
      </c>
      <c r="S195" s="24" t="s">
        <v>116</v>
      </c>
      <c r="T195" s="25" t="s">
        <v>23</v>
      </c>
      <c r="U195" s="26">
        <v>354</v>
      </c>
      <c r="V195" s="26">
        <f t="shared" si="39"/>
        <v>354</v>
      </c>
      <c r="W195" s="26">
        <f t="shared" si="26"/>
        <v>3321.13</v>
      </c>
      <c r="X195" s="127">
        <f t="shared" si="40"/>
        <v>0</v>
      </c>
      <c r="Y195" s="127">
        <f t="shared" si="41"/>
        <v>326.60000000000002</v>
      </c>
      <c r="Z195" s="127">
        <f t="shared" si="42"/>
        <v>0</v>
      </c>
      <c r="AA195" s="127">
        <f t="shared" si="35"/>
        <v>1084681.06</v>
      </c>
      <c r="AB195" s="33" t="s">
        <v>15</v>
      </c>
      <c r="AC195" s="324"/>
      <c r="AD195" s="181">
        <f t="shared" si="25"/>
        <v>354</v>
      </c>
      <c r="AE195" s="181">
        <f t="shared" si="43"/>
        <v>1175680.02</v>
      </c>
      <c r="AF195" s="181">
        <v>1.4</v>
      </c>
      <c r="AG195" s="181">
        <v>1.4</v>
      </c>
      <c r="AH195" s="363" t="str">
        <f t="shared" si="36"/>
        <v/>
      </c>
      <c r="AI195" s="194">
        <v>326.60000000000002</v>
      </c>
      <c r="AJ195" s="188">
        <v>354</v>
      </c>
      <c r="AO195" s="367"/>
      <c r="AP195" s="367"/>
      <c r="AQ195" s="367"/>
    </row>
    <row r="196" spans="1:43" s="69" customFormat="1" ht="58.5" x14ac:dyDescent="0.3">
      <c r="A196" s="130" t="s">
        <v>491</v>
      </c>
      <c r="B196" s="131" t="s">
        <v>395</v>
      </c>
      <c r="C196" s="132" t="s">
        <v>23</v>
      </c>
      <c r="D196" s="133">
        <v>690</v>
      </c>
      <c r="E196" s="203"/>
      <c r="F196" s="203">
        <v>0</v>
      </c>
      <c r="G196" s="203"/>
      <c r="H196" s="203"/>
      <c r="I196" s="203"/>
      <c r="J196" s="75">
        <v>3643.73</v>
      </c>
      <c r="K196" s="75">
        <v>0</v>
      </c>
      <c r="L196" s="91" t="s">
        <v>396</v>
      </c>
      <c r="M196" s="73"/>
      <c r="N196" s="46">
        <v>0</v>
      </c>
      <c r="O196" s="46">
        <v>0</v>
      </c>
      <c r="P196" s="46">
        <v>0</v>
      </c>
      <c r="Q196" s="98"/>
      <c r="R196" s="23" t="s">
        <v>1402</v>
      </c>
      <c r="S196" s="24" t="s">
        <v>395</v>
      </c>
      <c r="T196" s="25" t="s">
        <v>23</v>
      </c>
      <c r="U196" s="26">
        <v>690</v>
      </c>
      <c r="V196" s="26">
        <v>0</v>
      </c>
      <c r="W196" s="26">
        <f t="shared" si="26"/>
        <v>3643.73</v>
      </c>
      <c r="X196" s="127">
        <f t="shared" si="40"/>
        <v>0</v>
      </c>
      <c r="Y196" s="127">
        <f t="shared" si="41"/>
        <v>0</v>
      </c>
      <c r="Z196" s="127">
        <f t="shared" si="42"/>
        <v>0</v>
      </c>
      <c r="AA196" s="127">
        <f t="shared" si="35"/>
        <v>0</v>
      </c>
      <c r="AB196" s="33" t="s">
        <v>15</v>
      </c>
      <c r="AC196" s="324"/>
      <c r="AD196" s="181">
        <v>0</v>
      </c>
      <c r="AE196" s="181">
        <f t="shared" si="43"/>
        <v>0</v>
      </c>
      <c r="AF196" s="181">
        <v>1.4</v>
      </c>
      <c r="AG196" s="181">
        <v>1.4</v>
      </c>
      <c r="AH196" s="363" t="str">
        <f t="shared" si="36"/>
        <v/>
      </c>
      <c r="AI196" s="194">
        <v>0</v>
      </c>
      <c r="AJ196" s="188">
        <v>0</v>
      </c>
      <c r="AO196" s="367"/>
      <c r="AP196" s="367"/>
      <c r="AQ196" s="367"/>
    </row>
    <row r="197" spans="1:43" s="69" customFormat="1" ht="33" customHeight="1" x14ac:dyDescent="0.3">
      <c r="A197" s="130" t="s">
        <v>492</v>
      </c>
      <c r="B197" s="131" t="s">
        <v>493</v>
      </c>
      <c r="C197" s="132" t="s">
        <v>23</v>
      </c>
      <c r="D197" s="133">
        <v>1065</v>
      </c>
      <c r="E197" s="203"/>
      <c r="F197" s="203"/>
      <c r="G197" s="203"/>
      <c r="H197" s="203">
        <v>1900.83</v>
      </c>
      <c r="I197" s="203"/>
      <c r="J197" s="75">
        <v>200</v>
      </c>
      <c r="K197" s="75">
        <v>380166</v>
      </c>
      <c r="L197" s="91" t="s">
        <v>494</v>
      </c>
      <c r="M197" s="73"/>
      <c r="N197" s="46">
        <v>1815.71</v>
      </c>
      <c r="O197" s="46">
        <v>0</v>
      </c>
      <c r="P197" s="46">
        <v>363142</v>
      </c>
      <c r="Q197" s="98"/>
      <c r="R197" s="23" t="s">
        <v>1373</v>
      </c>
      <c r="S197" s="24" t="s">
        <v>493</v>
      </c>
      <c r="T197" s="25" t="s">
        <v>23</v>
      </c>
      <c r="U197" s="26">
        <v>1065</v>
      </c>
      <c r="V197" s="26">
        <f t="shared" si="39"/>
        <v>1900.83</v>
      </c>
      <c r="W197" s="26">
        <f t="shared" si="26"/>
        <v>200</v>
      </c>
      <c r="X197" s="127">
        <f>AI197-N197</f>
        <v>0</v>
      </c>
      <c r="Y197" s="127">
        <f t="shared" si="41"/>
        <v>1815.71</v>
      </c>
      <c r="Z197" s="127">
        <f t="shared" si="42"/>
        <v>0</v>
      </c>
      <c r="AA197" s="127">
        <f t="shared" si="35"/>
        <v>363142</v>
      </c>
      <c r="AB197" s="33" t="s">
        <v>15</v>
      </c>
      <c r="AC197" s="324"/>
      <c r="AD197" s="181">
        <f t="shared" si="25"/>
        <v>1900.83</v>
      </c>
      <c r="AE197" s="181">
        <f t="shared" si="43"/>
        <v>380166</v>
      </c>
      <c r="AF197" s="181">
        <v>1.4</v>
      </c>
      <c r="AG197" s="181">
        <v>1.4</v>
      </c>
      <c r="AH197" s="363" t="str">
        <f t="shared" si="36"/>
        <v/>
      </c>
      <c r="AI197" s="194">
        <v>1815.71</v>
      </c>
      <c r="AJ197" s="188">
        <v>1900.83</v>
      </c>
      <c r="AO197" s="367"/>
      <c r="AP197" s="367"/>
      <c r="AQ197" s="367"/>
    </row>
    <row r="198" spans="1:43" s="69" customFormat="1" ht="57.75" x14ac:dyDescent="0.3">
      <c r="A198" s="130" t="s">
        <v>495</v>
      </c>
      <c r="B198" s="131" t="s">
        <v>405</v>
      </c>
      <c r="C198" s="132" t="s">
        <v>50</v>
      </c>
      <c r="D198" s="133">
        <v>1229</v>
      </c>
      <c r="E198" s="203"/>
      <c r="F198" s="203"/>
      <c r="G198" s="203"/>
      <c r="H198" s="203">
        <v>1437.49</v>
      </c>
      <c r="I198" s="203"/>
      <c r="J198" s="75">
        <v>982.98</v>
      </c>
      <c r="K198" s="75">
        <v>1413023.92</v>
      </c>
      <c r="L198" s="91" t="s">
        <v>406</v>
      </c>
      <c r="M198" s="73"/>
      <c r="N198" s="46">
        <v>1435.8</v>
      </c>
      <c r="O198" s="46">
        <v>0</v>
      </c>
      <c r="P198" s="46">
        <v>1411362.68</v>
      </c>
      <c r="Q198" s="98"/>
      <c r="R198" s="23" t="s">
        <v>1393</v>
      </c>
      <c r="S198" s="24" t="s">
        <v>405</v>
      </c>
      <c r="T198" s="25" t="s">
        <v>50</v>
      </c>
      <c r="U198" s="26">
        <v>1229</v>
      </c>
      <c r="V198" s="26">
        <f t="shared" si="39"/>
        <v>1437.49</v>
      </c>
      <c r="W198" s="26">
        <f t="shared" si="26"/>
        <v>982.98</v>
      </c>
      <c r="X198" s="127">
        <f t="shared" si="40"/>
        <v>0</v>
      </c>
      <c r="Y198" s="127">
        <f t="shared" si="41"/>
        <v>1435.8</v>
      </c>
      <c r="Z198" s="127">
        <f t="shared" si="42"/>
        <v>0</v>
      </c>
      <c r="AA198" s="127">
        <f t="shared" si="35"/>
        <v>1411362.68</v>
      </c>
      <c r="AB198" s="33" t="s">
        <v>15</v>
      </c>
      <c r="AC198" s="325"/>
      <c r="AD198" s="263">
        <f t="shared" si="25"/>
        <v>1437.49</v>
      </c>
      <c r="AE198" s="263">
        <f t="shared" si="43"/>
        <v>1413023.92</v>
      </c>
      <c r="AF198" s="263">
        <v>1.4</v>
      </c>
      <c r="AG198" s="263">
        <v>1.4</v>
      </c>
      <c r="AH198" s="68" t="str">
        <f t="shared" si="36"/>
        <v/>
      </c>
      <c r="AI198" s="194">
        <f>1349+86.8</f>
        <v>1435.8</v>
      </c>
      <c r="AJ198" s="188">
        <v>1437.49</v>
      </c>
      <c r="AO198" s="367"/>
      <c r="AP198" s="367"/>
      <c r="AQ198" s="367"/>
    </row>
    <row r="199" spans="1:43" s="69" customFormat="1" ht="41.25" x14ac:dyDescent="0.3">
      <c r="A199" s="130" t="s">
        <v>496</v>
      </c>
      <c r="B199" s="131" t="s">
        <v>408</v>
      </c>
      <c r="C199" s="132" t="s">
        <v>50</v>
      </c>
      <c r="D199" s="133">
        <v>285</v>
      </c>
      <c r="E199" s="203"/>
      <c r="F199" s="203"/>
      <c r="G199" s="203"/>
      <c r="H199" s="203">
        <v>685.45</v>
      </c>
      <c r="I199" s="203"/>
      <c r="J199" s="75">
        <v>804.79</v>
      </c>
      <c r="K199" s="75">
        <v>551643.31000000006</v>
      </c>
      <c r="L199" s="91" t="s">
        <v>409</v>
      </c>
      <c r="M199" s="73"/>
      <c r="N199" s="46">
        <v>684.2</v>
      </c>
      <c r="O199" s="46">
        <v>0</v>
      </c>
      <c r="P199" s="46">
        <v>550637.31999999995</v>
      </c>
      <c r="Q199" s="98"/>
      <c r="R199" s="23" t="s">
        <v>1403</v>
      </c>
      <c r="S199" s="24" t="s">
        <v>408</v>
      </c>
      <c r="T199" s="25" t="s">
        <v>50</v>
      </c>
      <c r="U199" s="26">
        <v>285</v>
      </c>
      <c r="V199" s="26">
        <f t="shared" si="39"/>
        <v>685.45</v>
      </c>
      <c r="W199" s="26">
        <f t="shared" si="26"/>
        <v>804.79</v>
      </c>
      <c r="X199" s="127">
        <f t="shared" si="40"/>
        <v>0</v>
      </c>
      <c r="Y199" s="127">
        <f t="shared" si="41"/>
        <v>684.2</v>
      </c>
      <c r="Z199" s="127">
        <f t="shared" si="42"/>
        <v>0</v>
      </c>
      <c r="AA199" s="127">
        <f t="shared" si="35"/>
        <v>550637.31999999995</v>
      </c>
      <c r="AB199" s="33" t="s">
        <v>15</v>
      </c>
      <c r="AC199" s="325"/>
      <c r="AD199" s="263">
        <f t="shared" si="25"/>
        <v>685.45</v>
      </c>
      <c r="AE199" s="263">
        <f t="shared" si="43"/>
        <v>551643.31000000006</v>
      </c>
      <c r="AF199" s="263">
        <v>1.4</v>
      </c>
      <c r="AG199" s="263">
        <v>1.4</v>
      </c>
      <c r="AH199" s="68" t="str">
        <f t="shared" si="36"/>
        <v/>
      </c>
      <c r="AI199" s="194">
        <f>551+133.2</f>
        <v>684.2</v>
      </c>
      <c r="AJ199" s="188">
        <v>685.45</v>
      </c>
      <c r="AO199" s="367"/>
      <c r="AP199" s="367"/>
      <c r="AQ199" s="367"/>
    </row>
    <row r="200" spans="1:43" s="69" customFormat="1" ht="33" x14ac:dyDescent="0.3">
      <c r="A200" s="130" t="s">
        <v>497</v>
      </c>
      <c r="B200" s="131" t="s">
        <v>109</v>
      </c>
      <c r="C200" s="132" t="s">
        <v>110</v>
      </c>
      <c r="D200" s="133">
        <v>13716</v>
      </c>
      <c r="E200" s="203"/>
      <c r="F200" s="203"/>
      <c r="G200" s="203"/>
      <c r="H200" s="203">
        <v>18482.54</v>
      </c>
      <c r="I200" s="203"/>
      <c r="J200" s="75">
        <v>36.4</v>
      </c>
      <c r="K200" s="75">
        <v>672764.46</v>
      </c>
      <c r="L200" s="91" t="s">
        <v>111</v>
      </c>
      <c r="M200" s="73"/>
      <c r="N200" s="46">
        <v>18475.939999999999</v>
      </c>
      <c r="O200" s="46">
        <v>0</v>
      </c>
      <c r="P200" s="46">
        <v>672524.22</v>
      </c>
      <c r="Q200" s="98"/>
      <c r="R200" s="23" t="s">
        <v>1427</v>
      </c>
      <c r="S200" s="24" t="s">
        <v>109</v>
      </c>
      <c r="T200" s="25" t="s">
        <v>110</v>
      </c>
      <c r="U200" s="26">
        <v>13716</v>
      </c>
      <c r="V200" s="26">
        <f t="shared" si="39"/>
        <v>18482.54</v>
      </c>
      <c r="W200" s="26">
        <f t="shared" si="26"/>
        <v>36.4</v>
      </c>
      <c r="X200" s="127">
        <f t="shared" si="40"/>
        <v>0</v>
      </c>
      <c r="Y200" s="127">
        <f t="shared" si="41"/>
        <v>18475.939999999999</v>
      </c>
      <c r="Z200" s="127">
        <f t="shared" si="42"/>
        <v>0</v>
      </c>
      <c r="AA200" s="127">
        <f t="shared" si="35"/>
        <v>672524.22</v>
      </c>
      <c r="AB200" s="33" t="s">
        <v>15</v>
      </c>
      <c r="AC200" s="325"/>
      <c r="AD200" s="263">
        <f t="shared" si="25"/>
        <v>18482.54</v>
      </c>
      <c r="AE200" s="263">
        <f t="shared" si="43"/>
        <v>672764.46</v>
      </c>
      <c r="AF200" s="263">
        <v>1.4</v>
      </c>
      <c r="AG200" s="263">
        <v>1.4</v>
      </c>
      <c r="AH200" s="68" t="str">
        <f t="shared" si="36"/>
        <v/>
      </c>
      <c r="AI200" s="194">
        <f>13110.94+5365</f>
        <v>18475.940000000002</v>
      </c>
      <c r="AJ200" s="188">
        <v>18482.54</v>
      </c>
      <c r="AO200" s="367"/>
      <c r="AP200" s="367"/>
      <c r="AQ200" s="367"/>
    </row>
    <row r="201" spans="1:43" s="69" customFormat="1" ht="33" x14ac:dyDescent="0.3">
      <c r="A201" s="130" t="s">
        <v>498</v>
      </c>
      <c r="B201" s="131" t="s">
        <v>399</v>
      </c>
      <c r="C201" s="132" t="s">
        <v>110</v>
      </c>
      <c r="D201" s="133">
        <v>13810</v>
      </c>
      <c r="E201" s="203"/>
      <c r="F201" s="203"/>
      <c r="G201" s="203"/>
      <c r="H201" s="203">
        <v>36577.19</v>
      </c>
      <c r="I201" s="225"/>
      <c r="J201" s="75">
        <v>38.71</v>
      </c>
      <c r="K201" s="75">
        <v>1415903.02</v>
      </c>
      <c r="L201" s="91" t="s">
        <v>400</v>
      </c>
      <c r="M201" s="73"/>
      <c r="N201" s="46">
        <v>36483.800000000003</v>
      </c>
      <c r="O201" s="46">
        <v>0</v>
      </c>
      <c r="P201" s="46">
        <v>1412287.9</v>
      </c>
      <c r="Q201" s="98"/>
      <c r="R201" s="23" t="s">
        <v>1428</v>
      </c>
      <c r="S201" s="24" t="s">
        <v>399</v>
      </c>
      <c r="T201" s="25" t="s">
        <v>110</v>
      </c>
      <c r="U201" s="26">
        <v>13810</v>
      </c>
      <c r="V201" s="26">
        <f t="shared" si="39"/>
        <v>36577.19</v>
      </c>
      <c r="W201" s="26">
        <f t="shared" si="26"/>
        <v>38.71</v>
      </c>
      <c r="X201" s="127">
        <f t="shared" si="40"/>
        <v>0</v>
      </c>
      <c r="Y201" s="127">
        <f t="shared" si="41"/>
        <v>36483.800000000003</v>
      </c>
      <c r="Z201" s="127">
        <f t="shared" si="42"/>
        <v>0</v>
      </c>
      <c r="AA201" s="127">
        <f t="shared" si="35"/>
        <v>1412287.9</v>
      </c>
      <c r="AB201" s="33" t="s">
        <v>15</v>
      </c>
      <c r="AC201" s="325"/>
      <c r="AD201" s="263">
        <f t="shared" si="25"/>
        <v>36577.19</v>
      </c>
      <c r="AE201" s="263">
        <f t="shared" si="43"/>
        <v>1415903.02</v>
      </c>
      <c r="AF201" s="263">
        <v>1.4</v>
      </c>
      <c r="AG201" s="263">
        <v>1.4</v>
      </c>
      <c r="AH201" s="68" t="str">
        <f t="shared" si="36"/>
        <v/>
      </c>
      <c r="AI201" s="194">
        <f>28173+8310.8</f>
        <v>36483.800000000003</v>
      </c>
      <c r="AJ201" s="188">
        <v>36577.19</v>
      </c>
      <c r="AO201" s="367"/>
      <c r="AP201" s="367"/>
      <c r="AQ201" s="367"/>
    </row>
    <row r="202" spans="1:43" s="69" customFormat="1" ht="39" x14ac:dyDescent="0.3">
      <c r="A202" s="130" t="s">
        <v>499</v>
      </c>
      <c r="B202" s="131" t="s">
        <v>500</v>
      </c>
      <c r="C202" s="132" t="s">
        <v>50</v>
      </c>
      <c r="D202" s="133">
        <v>699</v>
      </c>
      <c r="E202" s="203"/>
      <c r="F202" s="203">
        <v>754.47</v>
      </c>
      <c r="G202" s="203"/>
      <c r="H202" s="162">
        <v>762.55</v>
      </c>
      <c r="I202" s="295"/>
      <c r="J202" s="166">
        <v>2510.79</v>
      </c>
      <c r="K202" s="75">
        <v>1914602.91</v>
      </c>
      <c r="L202" s="91" t="s">
        <v>501</v>
      </c>
      <c r="M202" s="73"/>
      <c r="N202" s="46">
        <v>762.55</v>
      </c>
      <c r="O202" s="46">
        <v>0</v>
      </c>
      <c r="P202" s="46">
        <v>1914602.91</v>
      </c>
      <c r="Q202" s="98"/>
      <c r="R202" s="23" t="s">
        <v>1387</v>
      </c>
      <c r="S202" s="24" t="s">
        <v>500</v>
      </c>
      <c r="T202" s="25" t="s">
        <v>50</v>
      </c>
      <c r="U202" s="26">
        <v>699</v>
      </c>
      <c r="V202" s="26">
        <f t="shared" si="39"/>
        <v>762.55</v>
      </c>
      <c r="W202" s="26">
        <f t="shared" si="26"/>
        <v>2510.79</v>
      </c>
      <c r="X202" s="127">
        <f t="shared" si="40"/>
        <v>0</v>
      </c>
      <c r="Y202" s="127">
        <f t="shared" si="41"/>
        <v>762.55</v>
      </c>
      <c r="Z202" s="127">
        <f t="shared" si="42"/>
        <v>0</v>
      </c>
      <c r="AA202" s="127">
        <f t="shared" si="35"/>
        <v>1914602.91</v>
      </c>
      <c r="AB202" s="27"/>
      <c r="AC202" s="325"/>
      <c r="AD202" s="263">
        <f t="shared" ref="AD202:AD265" si="44">IF(V202=0,U202,V202)</f>
        <v>762.55</v>
      </c>
      <c r="AE202" s="263">
        <f t="shared" si="43"/>
        <v>1914602.91</v>
      </c>
      <c r="AF202" s="263">
        <v>1.4</v>
      </c>
      <c r="AG202" s="263">
        <v>1.4</v>
      </c>
      <c r="AH202" s="68" t="str">
        <f t="shared" si="36"/>
        <v/>
      </c>
      <c r="AI202" s="194">
        <f>754.3+8.25</f>
        <v>762.55</v>
      </c>
      <c r="AJ202" s="188">
        <v>762.55</v>
      </c>
      <c r="AO202" s="367"/>
      <c r="AP202" s="367"/>
      <c r="AQ202" s="367"/>
    </row>
    <row r="203" spans="1:43" s="69" customFormat="1" ht="39" x14ac:dyDescent="0.3">
      <c r="A203" s="130" t="s">
        <v>502</v>
      </c>
      <c r="B203" s="131" t="s">
        <v>503</v>
      </c>
      <c r="C203" s="132" t="s">
        <v>103</v>
      </c>
      <c r="D203" s="133">
        <v>275</v>
      </c>
      <c r="E203" s="203"/>
      <c r="F203" s="203"/>
      <c r="G203" s="203"/>
      <c r="H203" s="162">
        <v>318.56</v>
      </c>
      <c r="I203" s="295"/>
      <c r="J203" s="166">
        <v>3298.06</v>
      </c>
      <c r="K203" s="75">
        <v>1050629.99</v>
      </c>
      <c r="L203" s="91" t="s">
        <v>504</v>
      </c>
      <c r="M203" s="73"/>
      <c r="N203" s="46">
        <v>318.56</v>
      </c>
      <c r="O203" s="46">
        <v>0</v>
      </c>
      <c r="P203" s="46">
        <v>1050629.99</v>
      </c>
      <c r="Q203" s="98"/>
      <c r="R203" s="23" t="s">
        <v>1405</v>
      </c>
      <c r="S203" s="24" t="s">
        <v>503</v>
      </c>
      <c r="T203" s="25" t="s">
        <v>103</v>
      </c>
      <c r="U203" s="26">
        <v>275</v>
      </c>
      <c r="V203" s="26">
        <f t="shared" si="39"/>
        <v>318.56</v>
      </c>
      <c r="W203" s="26">
        <f t="shared" ref="W203:W266" si="45">J203</f>
        <v>3298.06</v>
      </c>
      <c r="X203" s="127">
        <f t="shared" si="40"/>
        <v>0</v>
      </c>
      <c r="Y203" s="127">
        <f t="shared" si="41"/>
        <v>318.56</v>
      </c>
      <c r="Z203" s="127">
        <f t="shared" si="42"/>
        <v>0</v>
      </c>
      <c r="AA203" s="127">
        <f t="shared" si="35"/>
        <v>1050629.99</v>
      </c>
      <c r="AB203" s="33"/>
      <c r="AC203" s="325"/>
      <c r="AD203" s="263">
        <f t="shared" si="44"/>
        <v>318.56</v>
      </c>
      <c r="AE203" s="263">
        <f t="shared" si="43"/>
        <v>1050629.99</v>
      </c>
      <c r="AF203" s="263">
        <v>1.4</v>
      </c>
      <c r="AG203" s="263">
        <v>1.4</v>
      </c>
      <c r="AH203" s="68" t="str">
        <f t="shared" si="36"/>
        <v/>
      </c>
      <c r="AI203" s="194">
        <f>304.6+13.96</f>
        <v>318.56</v>
      </c>
      <c r="AJ203" s="188">
        <v>318.56</v>
      </c>
      <c r="AO203" s="367"/>
      <c r="AP203" s="367"/>
      <c r="AQ203" s="367"/>
    </row>
    <row r="204" spans="1:43" s="69" customFormat="1" ht="39" x14ac:dyDescent="0.3">
      <c r="A204" s="130" t="s">
        <v>505</v>
      </c>
      <c r="B204" s="131" t="s">
        <v>506</v>
      </c>
      <c r="C204" s="132" t="s">
        <v>50</v>
      </c>
      <c r="D204" s="133">
        <v>203</v>
      </c>
      <c r="E204" s="75"/>
      <c r="F204" s="75"/>
      <c r="G204" s="75"/>
      <c r="H204" s="162">
        <v>418.05</v>
      </c>
      <c r="I204" s="158"/>
      <c r="J204" s="166">
        <v>2952.19</v>
      </c>
      <c r="K204" s="75">
        <v>1234163.03</v>
      </c>
      <c r="L204" s="91" t="s">
        <v>507</v>
      </c>
      <c r="M204" s="73"/>
      <c r="N204" s="46">
        <v>418.05</v>
      </c>
      <c r="O204" s="46">
        <v>0</v>
      </c>
      <c r="P204" s="46">
        <v>1234163.03</v>
      </c>
      <c r="Q204" s="98"/>
      <c r="R204" s="23" t="s">
        <v>1406</v>
      </c>
      <c r="S204" s="24" t="s">
        <v>506</v>
      </c>
      <c r="T204" s="25" t="s">
        <v>50</v>
      </c>
      <c r="U204" s="26">
        <v>203</v>
      </c>
      <c r="V204" s="26">
        <f t="shared" si="39"/>
        <v>418.05</v>
      </c>
      <c r="W204" s="26">
        <f t="shared" si="45"/>
        <v>2952.19</v>
      </c>
      <c r="X204" s="127">
        <f t="shared" si="40"/>
        <v>0</v>
      </c>
      <c r="Y204" s="127">
        <f t="shared" si="41"/>
        <v>418.05</v>
      </c>
      <c r="Z204" s="127">
        <f t="shared" si="42"/>
        <v>0</v>
      </c>
      <c r="AA204" s="127">
        <f t="shared" si="35"/>
        <v>1234163.03</v>
      </c>
      <c r="AB204" s="33" t="s">
        <v>15</v>
      </c>
      <c r="AC204" s="325"/>
      <c r="AD204" s="263">
        <f t="shared" si="44"/>
        <v>418.05</v>
      </c>
      <c r="AE204" s="263">
        <f t="shared" si="43"/>
        <v>1234163.03</v>
      </c>
      <c r="AF204" s="263">
        <v>1.4</v>
      </c>
      <c r="AG204" s="263">
        <v>1.4</v>
      </c>
      <c r="AH204" s="68" t="str">
        <f t="shared" si="36"/>
        <v/>
      </c>
      <c r="AI204" s="194">
        <f>392.5+25.55</f>
        <v>418.05</v>
      </c>
      <c r="AJ204" s="188">
        <v>418.05</v>
      </c>
      <c r="AN204" s="363"/>
      <c r="AO204" s="368"/>
      <c r="AP204" s="367"/>
      <c r="AQ204" s="367"/>
    </row>
    <row r="205" spans="1:43" s="69" customFormat="1" ht="24.75" x14ac:dyDescent="0.3">
      <c r="A205" s="130" t="s">
        <v>508</v>
      </c>
      <c r="B205" s="131" t="s">
        <v>509</v>
      </c>
      <c r="C205" s="132" t="s">
        <v>50</v>
      </c>
      <c r="D205" s="133">
        <v>405</v>
      </c>
      <c r="E205" s="75"/>
      <c r="F205" s="75"/>
      <c r="G205" s="75"/>
      <c r="H205" s="161"/>
      <c r="I205" s="345">
        <v>835.62</v>
      </c>
      <c r="J205" s="166">
        <v>1454.57</v>
      </c>
      <c r="K205" s="75">
        <v>1215467.78</v>
      </c>
      <c r="L205" s="91" t="s">
        <v>510</v>
      </c>
      <c r="M205" s="73"/>
      <c r="N205" s="46">
        <v>405</v>
      </c>
      <c r="O205" s="46">
        <v>0</v>
      </c>
      <c r="P205" s="46">
        <v>589100.85</v>
      </c>
      <c r="Q205" s="98"/>
      <c r="R205" s="23" t="s">
        <v>1414</v>
      </c>
      <c r="S205" s="24" t="s">
        <v>509</v>
      </c>
      <c r="T205" s="25" t="s">
        <v>50</v>
      </c>
      <c r="U205" s="26">
        <v>405</v>
      </c>
      <c r="V205" s="26">
        <f t="shared" si="39"/>
        <v>835.62</v>
      </c>
      <c r="W205" s="26">
        <f t="shared" si="45"/>
        <v>1454.57</v>
      </c>
      <c r="X205" s="128">
        <f t="shared" si="40"/>
        <v>0</v>
      </c>
      <c r="Y205" s="26">
        <f t="shared" si="41"/>
        <v>405</v>
      </c>
      <c r="Z205" s="26">
        <f t="shared" si="42"/>
        <v>0</v>
      </c>
      <c r="AA205" s="26">
        <f t="shared" si="35"/>
        <v>589100.85</v>
      </c>
      <c r="AB205" s="33" t="s">
        <v>15</v>
      </c>
      <c r="AC205" s="324"/>
      <c r="AD205" s="181">
        <f t="shared" si="44"/>
        <v>835.62</v>
      </c>
      <c r="AE205" s="181">
        <f t="shared" si="43"/>
        <v>1215467.78</v>
      </c>
      <c r="AF205" s="181">
        <v>1.4</v>
      </c>
      <c r="AG205" s="181">
        <v>1.4</v>
      </c>
      <c r="AH205" s="363" t="str">
        <f t="shared" si="36"/>
        <v/>
      </c>
      <c r="AI205" s="194">
        <v>405</v>
      </c>
      <c r="AJ205" s="190">
        <v>835.62</v>
      </c>
      <c r="AO205" s="367"/>
      <c r="AP205" s="367"/>
      <c r="AQ205" s="367"/>
    </row>
    <row r="206" spans="1:43" s="69" customFormat="1" ht="78" x14ac:dyDescent="0.3">
      <c r="A206" s="130" t="s">
        <v>511</v>
      </c>
      <c r="B206" s="131" t="s">
        <v>512</v>
      </c>
      <c r="C206" s="132" t="s">
        <v>513</v>
      </c>
      <c r="D206" s="133">
        <v>372</v>
      </c>
      <c r="E206" s="75"/>
      <c r="F206" s="75"/>
      <c r="G206" s="75"/>
      <c r="H206" s="161"/>
      <c r="I206" s="158"/>
      <c r="J206" s="166">
        <v>435</v>
      </c>
      <c r="K206" s="75">
        <v>161820</v>
      </c>
      <c r="L206" s="91" t="s">
        <v>514</v>
      </c>
      <c r="M206" s="73"/>
      <c r="N206" s="46">
        <v>292</v>
      </c>
      <c r="O206" s="46">
        <v>0</v>
      </c>
      <c r="P206" s="46">
        <v>127020</v>
      </c>
      <c r="Q206" s="98"/>
      <c r="R206" s="23" t="s">
        <v>1429</v>
      </c>
      <c r="S206" s="24" t="s">
        <v>512</v>
      </c>
      <c r="T206" s="25" t="s">
        <v>513</v>
      </c>
      <c r="U206" s="26">
        <v>372</v>
      </c>
      <c r="V206" s="26">
        <f t="shared" si="39"/>
        <v>372</v>
      </c>
      <c r="W206" s="26">
        <f t="shared" si="45"/>
        <v>435</v>
      </c>
      <c r="X206" s="127">
        <f t="shared" si="40"/>
        <v>0</v>
      </c>
      <c r="Y206" s="127">
        <f t="shared" si="41"/>
        <v>292</v>
      </c>
      <c r="Z206" s="127">
        <f t="shared" si="42"/>
        <v>0</v>
      </c>
      <c r="AA206" s="127">
        <f t="shared" si="35"/>
        <v>127020</v>
      </c>
      <c r="AB206" s="33" t="s">
        <v>15</v>
      </c>
      <c r="AC206" s="324"/>
      <c r="AD206" s="181">
        <f t="shared" si="44"/>
        <v>372</v>
      </c>
      <c r="AE206" s="181">
        <f t="shared" si="43"/>
        <v>161820</v>
      </c>
      <c r="AF206" s="181">
        <v>1.4</v>
      </c>
      <c r="AG206" s="181">
        <v>1.4</v>
      </c>
      <c r="AH206" s="363" t="str">
        <f t="shared" si="36"/>
        <v/>
      </c>
      <c r="AI206" s="194">
        <v>292</v>
      </c>
      <c r="AJ206" s="188">
        <v>372</v>
      </c>
      <c r="AO206" s="367"/>
      <c r="AP206" s="367"/>
      <c r="AQ206" s="367"/>
    </row>
    <row r="207" spans="1:43" s="69" customFormat="1" ht="24.75" x14ac:dyDescent="0.3">
      <c r="A207" s="130" t="s">
        <v>515</v>
      </c>
      <c r="B207" s="131" t="s">
        <v>516</v>
      </c>
      <c r="C207" s="132" t="s">
        <v>50</v>
      </c>
      <c r="D207" s="133">
        <v>1984</v>
      </c>
      <c r="E207" s="75"/>
      <c r="F207" s="75"/>
      <c r="G207" s="75"/>
      <c r="H207" s="161"/>
      <c r="I207" s="158"/>
      <c r="J207" s="166">
        <v>885.8</v>
      </c>
      <c r="K207" s="75">
        <v>1757427.2</v>
      </c>
      <c r="L207" s="91" t="s">
        <v>517</v>
      </c>
      <c r="M207" s="73"/>
      <c r="N207" s="46">
        <v>1796.5</v>
      </c>
      <c r="O207" s="46">
        <v>0</v>
      </c>
      <c r="P207" s="46">
        <v>1591339.7</v>
      </c>
      <c r="Q207" s="98"/>
      <c r="R207" s="23" t="s">
        <v>1430</v>
      </c>
      <c r="S207" s="24" t="s">
        <v>516</v>
      </c>
      <c r="T207" s="25" t="s">
        <v>50</v>
      </c>
      <c r="U207" s="26">
        <v>1984</v>
      </c>
      <c r="V207" s="26">
        <f t="shared" si="39"/>
        <v>1984</v>
      </c>
      <c r="W207" s="26">
        <f t="shared" si="45"/>
        <v>885.8</v>
      </c>
      <c r="X207" s="127">
        <f t="shared" si="40"/>
        <v>0</v>
      </c>
      <c r="Y207" s="127">
        <f t="shared" si="41"/>
        <v>1796.5</v>
      </c>
      <c r="Z207" s="127">
        <f t="shared" si="42"/>
        <v>0</v>
      </c>
      <c r="AA207" s="127">
        <f t="shared" si="35"/>
        <v>1591339.7</v>
      </c>
      <c r="AB207" s="33" t="s">
        <v>15</v>
      </c>
      <c r="AC207" s="324"/>
      <c r="AD207" s="181">
        <f t="shared" si="44"/>
        <v>1984</v>
      </c>
      <c r="AE207" s="181">
        <f t="shared" si="43"/>
        <v>1757427.2</v>
      </c>
      <c r="AF207" s="181">
        <v>1.4</v>
      </c>
      <c r="AG207" s="181">
        <v>1.4</v>
      </c>
      <c r="AH207" s="363" t="str">
        <f t="shared" si="36"/>
        <v/>
      </c>
      <c r="AI207" s="192">
        <v>1796.5</v>
      </c>
      <c r="AJ207" s="188">
        <v>1984</v>
      </c>
      <c r="AO207" s="367"/>
      <c r="AP207" s="367"/>
      <c r="AQ207" s="367"/>
    </row>
    <row r="208" spans="1:43" s="69" customFormat="1" ht="24.75" x14ac:dyDescent="0.3">
      <c r="A208" s="130" t="s">
        <v>518</v>
      </c>
      <c r="B208" s="131" t="s">
        <v>189</v>
      </c>
      <c r="C208" s="132" t="s">
        <v>30</v>
      </c>
      <c r="D208" s="133">
        <v>45</v>
      </c>
      <c r="E208" s="75"/>
      <c r="F208" s="75"/>
      <c r="G208" s="75"/>
      <c r="H208" s="161"/>
      <c r="I208" s="158"/>
      <c r="J208" s="166">
        <v>138.84</v>
      </c>
      <c r="K208" s="75">
        <v>6247.8</v>
      </c>
      <c r="L208" s="91" t="s">
        <v>190</v>
      </c>
      <c r="M208" s="73"/>
      <c r="N208" s="46">
        <v>36.96</v>
      </c>
      <c r="O208" s="46">
        <v>0</v>
      </c>
      <c r="P208" s="46">
        <v>5131.53</v>
      </c>
      <c r="Q208" s="98"/>
      <c r="R208" s="23" t="s">
        <v>1431</v>
      </c>
      <c r="S208" s="24" t="s">
        <v>189</v>
      </c>
      <c r="T208" s="25" t="s">
        <v>30</v>
      </c>
      <c r="U208" s="26">
        <v>45</v>
      </c>
      <c r="V208" s="26">
        <f t="shared" si="39"/>
        <v>45</v>
      </c>
      <c r="W208" s="26">
        <f t="shared" si="45"/>
        <v>138.84</v>
      </c>
      <c r="X208" s="127">
        <f t="shared" si="40"/>
        <v>0</v>
      </c>
      <c r="Y208" s="127">
        <f t="shared" si="41"/>
        <v>36.96</v>
      </c>
      <c r="Z208" s="127">
        <f t="shared" si="42"/>
        <v>0</v>
      </c>
      <c r="AA208" s="127">
        <f t="shared" si="35"/>
        <v>5131.53</v>
      </c>
      <c r="AB208" s="33" t="s">
        <v>15</v>
      </c>
      <c r="AC208" s="324"/>
      <c r="AD208" s="181">
        <f t="shared" si="44"/>
        <v>45</v>
      </c>
      <c r="AE208" s="181">
        <f t="shared" si="43"/>
        <v>6247.8</v>
      </c>
      <c r="AF208" s="181">
        <v>1.4</v>
      </c>
      <c r="AG208" s="181">
        <v>1.4</v>
      </c>
      <c r="AH208" s="363" t="str">
        <f t="shared" si="36"/>
        <v/>
      </c>
      <c r="AI208" s="194">
        <v>36.96</v>
      </c>
      <c r="AJ208" s="188">
        <v>45</v>
      </c>
      <c r="AO208" s="367"/>
      <c r="AP208" s="367"/>
      <c r="AQ208" s="367"/>
    </row>
    <row r="209" spans="1:43" s="69" customFormat="1" ht="24.75" x14ac:dyDescent="0.3">
      <c r="A209" s="130" t="s">
        <v>519</v>
      </c>
      <c r="B209" s="131" t="s">
        <v>520</v>
      </c>
      <c r="C209" s="132" t="s">
        <v>30</v>
      </c>
      <c r="D209" s="133">
        <v>62</v>
      </c>
      <c r="E209" s="75"/>
      <c r="F209" s="75"/>
      <c r="G209" s="75"/>
      <c r="H209" s="224"/>
      <c r="I209" s="158"/>
      <c r="J209" s="166">
        <v>326.3</v>
      </c>
      <c r="K209" s="75">
        <v>20230.599999999999</v>
      </c>
      <c r="L209" s="91" t="s">
        <v>521</v>
      </c>
      <c r="M209" s="73"/>
      <c r="N209" s="46">
        <v>59</v>
      </c>
      <c r="O209" s="46">
        <v>0</v>
      </c>
      <c r="P209" s="46">
        <v>19251.7</v>
      </c>
      <c r="Q209" s="98"/>
      <c r="R209" s="23" t="s">
        <v>1395</v>
      </c>
      <c r="S209" s="24" t="s">
        <v>520</v>
      </c>
      <c r="T209" s="25" t="s">
        <v>30</v>
      </c>
      <c r="U209" s="26">
        <v>62</v>
      </c>
      <c r="V209" s="26">
        <f t="shared" si="39"/>
        <v>62</v>
      </c>
      <c r="W209" s="26">
        <f t="shared" si="45"/>
        <v>326.3</v>
      </c>
      <c r="X209" s="127">
        <f t="shared" si="40"/>
        <v>0</v>
      </c>
      <c r="Y209" s="127">
        <f t="shared" si="41"/>
        <v>59</v>
      </c>
      <c r="Z209" s="127">
        <f t="shared" si="42"/>
        <v>0</v>
      </c>
      <c r="AA209" s="127">
        <f t="shared" si="35"/>
        <v>19251.7</v>
      </c>
      <c r="AB209" s="33" t="s">
        <v>15</v>
      </c>
      <c r="AC209" s="324"/>
      <c r="AD209" s="181">
        <f t="shared" si="44"/>
        <v>62</v>
      </c>
      <c r="AE209" s="181">
        <f t="shared" si="43"/>
        <v>20230.599999999999</v>
      </c>
      <c r="AF209" s="181">
        <v>1.4</v>
      </c>
      <c r="AG209" s="181">
        <v>1.4</v>
      </c>
      <c r="AH209" s="363" t="str">
        <f t="shared" si="36"/>
        <v/>
      </c>
      <c r="AI209" s="194">
        <v>59</v>
      </c>
      <c r="AJ209" s="188">
        <v>62</v>
      </c>
      <c r="AN209" s="363"/>
      <c r="AO209" s="368"/>
      <c r="AP209" s="367"/>
      <c r="AQ209" s="367"/>
    </row>
    <row r="210" spans="1:43" s="69" customFormat="1" ht="58.5" x14ac:dyDescent="0.3">
      <c r="A210" s="55" t="s">
        <v>522</v>
      </c>
      <c r="B210" s="53" t="s">
        <v>424</v>
      </c>
      <c r="C210" s="54" t="s">
        <v>50</v>
      </c>
      <c r="D210" s="75">
        <v>275</v>
      </c>
      <c r="E210" s="75"/>
      <c r="F210" s="75"/>
      <c r="G210" s="161"/>
      <c r="H210" s="347">
        <v>2016.9</v>
      </c>
      <c r="I210" s="158"/>
      <c r="J210" s="166">
        <v>692.16</v>
      </c>
      <c r="K210" s="75">
        <v>1396017.5</v>
      </c>
      <c r="L210" s="91" t="s">
        <v>425</v>
      </c>
      <c r="M210" s="73"/>
      <c r="N210" s="46">
        <v>1427.6</v>
      </c>
      <c r="O210" s="46">
        <v>0</v>
      </c>
      <c r="P210" s="46">
        <v>988127.62</v>
      </c>
      <c r="Q210" s="98"/>
      <c r="R210" s="23" t="s">
        <v>1432</v>
      </c>
      <c r="S210" s="24" t="s">
        <v>424</v>
      </c>
      <c r="T210" s="25" t="s">
        <v>50</v>
      </c>
      <c r="U210" s="26">
        <v>275</v>
      </c>
      <c r="V210" s="26">
        <f t="shared" si="39"/>
        <v>2016.9</v>
      </c>
      <c r="W210" s="26">
        <f t="shared" si="45"/>
        <v>692.16</v>
      </c>
      <c r="X210" s="128">
        <f t="shared" si="40"/>
        <v>0</v>
      </c>
      <c r="Y210" s="26">
        <f t="shared" si="41"/>
        <v>1427.6</v>
      </c>
      <c r="Z210" s="26">
        <f t="shared" si="42"/>
        <v>0</v>
      </c>
      <c r="AA210" s="26">
        <f t="shared" si="35"/>
        <v>988127.62</v>
      </c>
      <c r="AB210" s="33" t="s">
        <v>15</v>
      </c>
      <c r="AC210" s="324"/>
      <c r="AD210" s="181">
        <f t="shared" si="44"/>
        <v>2016.9</v>
      </c>
      <c r="AE210" s="181">
        <f t="shared" si="43"/>
        <v>1396017.5</v>
      </c>
      <c r="AF210" s="181">
        <v>1.4</v>
      </c>
      <c r="AG210" s="181">
        <v>1.4</v>
      </c>
      <c r="AH210" s="363" t="str">
        <f t="shared" si="36"/>
        <v/>
      </c>
      <c r="AI210" s="194">
        <v>1427.6</v>
      </c>
      <c r="AJ210" s="188">
        <v>2016.9</v>
      </c>
      <c r="AO210" s="367"/>
      <c r="AP210" s="367"/>
      <c r="AQ210" s="367"/>
    </row>
    <row r="211" spans="1:43" s="69" customFormat="1" ht="41.25" x14ac:dyDescent="0.3">
      <c r="A211" s="130" t="s">
        <v>523</v>
      </c>
      <c r="B211" s="131" t="s">
        <v>524</v>
      </c>
      <c r="C211" s="132" t="s">
        <v>30</v>
      </c>
      <c r="D211" s="133">
        <v>429</v>
      </c>
      <c r="E211" s="75"/>
      <c r="F211" s="75"/>
      <c r="G211" s="161"/>
      <c r="H211" s="235"/>
      <c r="I211" s="158"/>
      <c r="J211" s="166">
        <v>1707.13</v>
      </c>
      <c r="K211" s="75">
        <v>0</v>
      </c>
      <c r="L211" s="91" t="s">
        <v>525</v>
      </c>
      <c r="M211" s="73"/>
      <c r="N211" s="46">
        <v>0</v>
      </c>
      <c r="O211" s="46">
        <v>0</v>
      </c>
      <c r="P211" s="46">
        <v>0</v>
      </c>
      <c r="Q211" s="98"/>
      <c r="R211" s="23" t="s">
        <v>1433</v>
      </c>
      <c r="S211" s="24" t="s">
        <v>524</v>
      </c>
      <c r="T211" s="25" t="s">
        <v>30</v>
      </c>
      <c r="U211" s="26">
        <v>429</v>
      </c>
      <c r="V211" s="26">
        <v>0</v>
      </c>
      <c r="W211" s="26">
        <f t="shared" si="45"/>
        <v>1707.13</v>
      </c>
      <c r="X211" s="127">
        <f t="shared" si="40"/>
        <v>0</v>
      </c>
      <c r="Y211" s="127">
        <f t="shared" si="41"/>
        <v>0</v>
      </c>
      <c r="Z211" s="127">
        <f t="shared" si="42"/>
        <v>0</v>
      </c>
      <c r="AA211" s="127">
        <f t="shared" si="35"/>
        <v>0</v>
      </c>
      <c r="AB211" s="33" t="s">
        <v>15</v>
      </c>
      <c r="AC211" s="324"/>
      <c r="AD211" s="181">
        <v>0</v>
      </c>
      <c r="AE211" s="181">
        <f t="shared" si="43"/>
        <v>0</v>
      </c>
      <c r="AF211" s="181">
        <v>1.4</v>
      </c>
      <c r="AG211" s="181">
        <v>1.4</v>
      </c>
      <c r="AH211" s="363" t="str">
        <f t="shared" si="36"/>
        <v/>
      </c>
      <c r="AI211" s="192">
        <v>0</v>
      </c>
      <c r="AJ211" s="188">
        <v>0</v>
      </c>
      <c r="AO211" s="367"/>
      <c r="AP211" s="367"/>
      <c r="AQ211" s="367"/>
    </row>
    <row r="212" spans="1:43" s="69" customFormat="1" ht="39" x14ac:dyDescent="0.3">
      <c r="A212" s="130" t="s">
        <v>526</v>
      </c>
      <c r="B212" s="131" t="s">
        <v>527</v>
      </c>
      <c r="C212" s="132" t="s">
        <v>34</v>
      </c>
      <c r="D212" s="133">
        <v>1597.5</v>
      </c>
      <c r="E212" s="75"/>
      <c r="F212" s="75"/>
      <c r="G212" s="161"/>
      <c r="H212" s="235">
        <v>2059.1999999999998</v>
      </c>
      <c r="I212" s="158"/>
      <c r="J212" s="166">
        <v>49</v>
      </c>
      <c r="K212" s="75">
        <v>100900.8</v>
      </c>
      <c r="L212" s="91" t="s">
        <v>528</v>
      </c>
      <c r="M212" s="73"/>
      <c r="N212" s="46">
        <v>2059.1999999999998</v>
      </c>
      <c r="O212" s="46">
        <v>0</v>
      </c>
      <c r="P212" s="46">
        <v>100900.8</v>
      </c>
      <c r="Q212" s="98"/>
      <c r="R212" s="23" t="s">
        <v>1382</v>
      </c>
      <c r="S212" s="24" t="s">
        <v>527</v>
      </c>
      <c r="T212" s="25" t="s">
        <v>34</v>
      </c>
      <c r="U212" s="26">
        <v>1597.5</v>
      </c>
      <c r="V212" s="26">
        <f t="shared" si="39"/>
        <v>2059.1999999999998</v>
      </c>
      <c r="W212" s="26">
        <f t="shared" si="45"/>
        <v>49</v>
      </c>
      <c r="X212" s="127">
        <f t="shared" si="40"/>
        <v>0</v>
      </c>
      <c r="Y212" s="127">
        <f t="shared" si="41"/>
        <v>2059.1999999999998</v>
      </c>
      <c r="Z212" s="127">
        <f t="shared" si="42"/>
        <v>0</v>
      </c>
      <c r="AA212" s="127">
        <f t="shared" si="35"/>
        <v>100900.8</v>
      </c>
      <c r="AB212" s="33" t="s">
        <v>15</v>
      </c>
      <c r="AC212" s="324"/>
      <c r="AD212" s="181">
        <f t="shared" si="44"/>
        <v>2059.1999999999998</v>
      </c>
      <c r="AE212" s="181">
        <f t="shared" si="43"/>
        <v>100900.8</v>
      </c>
      <c r="AF212" s="181">
        <v>1.4</v>
      </c>
      <c r="AG212" s="181">
        <v>1.4</v>
      </c>
      <c r="AH212" s="363" t="str">
        <f t="shared" si="36"/>
        <v/>
      </c>
      <c r="AI212" s="194">
        <f>1530+529.2</f>
        <v>2059.1999999999998</v>
      </c>
      <c r="AJ212" s="190">
        <v>2059.1999999999998</v>
      </c>
      <c r="AO212" s="367"/>
      <c r="AP212" s="367"/>
      <c r="AQ212" s="367"/>
    </row>
    <row r="213" spans="1:43" s="69" customFormat="1" ht="39" x14ac:dyDescent="0.3">
      <c r="A213" s="134" t="s">
        <v>1324</v>
      </c>
      <c r="B213" s="135" t="s">
        <v>1325</v>
      </c>
      <c r="C213" s="204" t="s">
        <v>23</v>
      </c>
      <c r="D213" s="216"/>
      <c r="E213" s="117">
        <v>1362.5</v>
      </c>
      <c r="F213" s="77"/>
      <c r="G213" s="226"/>
      <c r="H213" s="294"/>
      <c r="I213" s="230"/>
      <c r="J213" s="178">
        <v>926.62</v>
      </c>
      <c r="K213" s="59">
        <v>1262519.75</v>
      </c>
      <c r="L213" s="92"/>
      <c r="M213" s="73"/>
      <c r="N213" s="46">
        <v>1345</v>
      </c>
      <c r="O213" s="46">
        <v>0</v>
      </c>
      <c r="P213" s="46">
        <v>1246303.8999999999</v>
      </c>
      <c r="Q213" s="98"/>
      <c r="R213" s="23" t="s">
        <v>1434</v>
      </c>
      <c r="S213" s="24" t="s">
        <v>1498</v>
      </c>
      <c r="T213" s="25" t="s">
        <v>23</v>
      </c>
      <c r="U213" s="26">
        <v>0</v>
      </c>
      <c r="V213" s="26">
        <f t="shared" si="39"/>
        <v>1362.5</v>
      </c>
      <c r="W213" s="26">
        <f t="shared" si="45"/>
        <v>926.62</v>
      </c>
      <c r="X213" s="127">
        <f t="shared" si="40"/>
        <v>0</v>
      </c>
      <c r="Y213" s="127">
        <f t="shared" si="41"/>
        <v>1345</v>
      </c>
      <c r="Z213" s="127">
        <f t="shared" si="42"/>
        <v>0</v>
      </c>
      <c r="AA213" s="127">
        <f t="shared" si="35"/>
        <v>1246303.8999999999</v>
      </c>
      <c r="AB213" s="27"/>
      <c r="AC213" s="324"/>
      <c r="AD213" s="181">
        <f t="shared" si="44"/>
        <v>1362.5</v>
      </c>
      <c r="AE213" s="181">
        <f t="shared" si="43"/>
        <v>1262519.75</v>
      </c>
      <c r="AF213" s="181">
        <v>1.4</v>
      </c>
      <c r="AG213" s="181">
        <v>1.4</v>
      </c>
      <c r="AH213" s="363" t="str">
        <f t="shared" si="36"/>
        <v/>
      </c>
      <c r="AI213" s="194">
        <v>1345</v>
      </c>
      <c r="AJ213" s="188">
        <v>1362.5</v>
      </c>
      <c r="AN213" s="70"/>
      <c r="AO213" s="367"/>
      <c r="AP213" s="367"/>
      <c r="AQ213" s="367"/>
    </row>
    <row r="214" spans="1:43" ht="58.5" x14ac:dyDescent="0.3">
      <c r="A214" s="134" t="s">
        <v>1326</v>
      </c>
      <c r="B214" s="135" t="s">
        <v>3136</v>
      </c>
      <c r="C214" s="204" t="s">
        <v>50</v>
      </c>
      <c r="D214" s="216"/>
      <c r="E214" s="78"/>
      <c r="F214" s="62">
        <v>548.70000000000005</v>
      </c>
      <c r="G214" s="163"/>
      <c r="H214" s="348">
        <v>805.73</v>
      </c>
      <c r="I214" s="62"/>
      <c r="J214" s="167">
        <v>3120.78</v>
      </c>
      <c r="K214" s="62">
        <v>2514506.0699999998</v>
      </c>
      <c r="L214" s="93"/>
      <c r="N214" s="46">
        <v>805.73</v>
      </c>
      <c r="O214" s="46">
        <v>0</v>
      </c>
      <c r="P214" s="46">
        <v>2514506.0699999998</v>
      </c>
      <c r="Q214" s="98"/>
      <c r="R214" s="23" t="s">
        <v>1388</v>
      </c>
      <c r="S214" s="24" t="s">
        <v>1327</v>
      </c>
      <c r="T214" s="25" t="s">
        <v>50</v>
      </c>
      <c r="U214" s="26">
        <v>0</v>
      </c>
      <c r="V214" s="26">
        <f t="shared" si="39"/>
        <v>805.73</v>
      </c>
      <c r="W214" s="26">
        <f t="shared" si="45"/>
        <v>3120.78</v>
      </c>
      <c r="X214" s="127">
        <f t="shared" si="40"/>
        <v>0</v>
      </c>
      <c r="Y214" s="127">
        <f t="shared" si="41"/>
        <v>805.73</v>
      </c>
      <c r="Z214" s="127">
        <f t="shared" si="42"/>
        <v>0</v>
      </c>
      <c r="AA214" s="127">
        <f>ROUND(W214*Y214,2)</f>
        <v>2514506.0699999998</v>
      </c>
      <c r="AB214" s="27"/>
      <c r="AC214" s="324"/>
      <c r="AD214" s="181">
        <f t="shared" si="44"/>
        <v>805.73</v>
      </c>
      <c r="AE214" s="181">
        <f t="shared" si="43"/>
        <v>2514506.0699999998</v>
      </c>
      <c r="AF214" s="181">
        <v>1.4</v>
      </c>
      <c r="AG214" s="181">
        <v>1.4</v>
      </c>
      <c r="AH214" s="363" t="str">
        <f t="shared" si="36"/>
        <v/>
      </c>
      <c r="AI214" s="194">
        <f>672.3+133.43</f>
        <v>805.73</v>
      </c>
      <c r="AJ214" s="188">
        <v>805.73</v>
      </c>
      <c r="AN214" s="70"/>
      <c r="AO214" s="367"/>
      <c r="AP214" s="367"/>
      <c r="AQ214" s="367"/>
    </row>
    <row r="215" spans="1:43" ht="66" x14ac:dyDescent="0.3">
      <c r="A215" s="134" t="s">
        <v>1328</v>
      </c>
      <c r="B215" s="139" t="s">
        <v>1329</v>
      </c>
      <c r="C215" s="204" t="s">
        <v>30</v>
      </c>
      <c r="D215" s="216"/>
      <c r="E215" s="78"/>
      <c r="F215" s="62">
        <v>410</v>
      </c>
      <c r="G215" s="163"/>
      <c r="H215" s="163"/>
      <c r="I215" s="62"/>
      <c r="J215" s="167">
        <v>5733.63</v>
      </c>
      <c r="K215" s="62">
        <v>2350788.2999999998</v>
      </c>
      <c r="L215" s="93"/>
      <c r="N215" s="46">
        <v>410</v>
      </c>
      <c r="O215" s="46">
        <v>0</v>
      </c>
      <c r="P215" s="46">
        <v>2350788.2999999998</v>
      </c>
      <c r="Q215" s="98"/>
      <c r="R215" s="23" t="s">
        <v>1389</v>
      </c>
      <c r="S215" s="24" t="s">
        <v>1329</v>
      </c>
      <c r="T215" s="25" t="s">
        <v>30</v>
      </c>
      <c r="U215" s="26">
        <v>0</v>
      </c>
      <c r="V215" s="26">
        <f t="shared" si="39"/>
        <v>410</v>
      </c>
      <c r="W215" s="26">
        <f t="shared" si="45"/>
        <v>5733.63</v>
      </c>
      <c r="X215" s="127">
        <f t="shared" si="40"/>
        <v>0</v>
      </c>
      <c r="Y215" s="127">
        <f t="shared" si="41"/>
        <v>410</v>
      </c>
      <c r="Z215" s="127">
        <f t="shared" si="42"/>
        <v>0</v>
      </c>
      <c r="AA215" s="127">
        <f t="shared" si="35"/>
        <v>2350788.2999999998</v>
      </c>
      <c r="AB215" s="27"/>
      <c r="AC215" s="324"/>
      <c r="AD215" s="181">
        <f t="shared" si="44"/>
        <v>410</v>
      </c>
      <c r="AE215" s="181">
        <f t="shared" si="43"/>
        <v>2350788.2999999998</v>
      </c>
      <c r="AF215" s="181">
        <v>1.4</v>
      </c>
      <c r="AG215" s="181">
        <v>1.4</v>
      </c>
      <c r="AH215" s="363" t="str">
        <f t="shared" si="36"/>
        <v/>
      </c>
      <c r="AI215" s="192">
        <v>410</v>
      </c>
      <c r="AJ215" s="188">
        <v>410</v>
      </c>
      <c r="AN215" s="70"/>
      <c r="AO215" s="367"/>
      <c r="AP215" s="367"/>
      <c r="AQ215" s="367"/>
    </row>
    <row r="216" spans="1:43" ht="78" x14ac:dyDescent="0.3">
      <c r="A216" s="134" t="s">
        <v>1330</v>
      </c>
      <c r="B216" s="135" t="s">
        <v>3135</v>
      </c>
      <c r="C216" s="204" t="s">
        <v>23</v>
      </c>
      <c r="D216" s="216"/>
      <c r="E216" s="78"/>
      <c r="F216" s="62">
        <v>690</v>
      </c>
      <c r="G216" s="163"/>
      <c r="H216" s="163">
        <v>1526.83</v>
      </c>
      <c r="I216" s="62"/>
      <c r="J216" s="167">
        <v>3832.97</v>
      </c>
      <c r="K216" s="62">
        <v>5852293.5899999999</v>
      </c>
      <c r="L216" s="93"/>
      <c r="N216" s="46">
        <v>1469.66</v>
      </c>
      <c r="O216" s="46">
        <v>0</v>
      </c>
      <c r="P216" s="46">
        <v>5633162.6900000004</v>
      </c>
      <c r="Q216" s="98"/>
      <c r="R216" s="23" t="s">
        <v>1390</v>
      </c>
      <c r="S216" s="24" t="s">
        <v>1331</v>
      </c>
      <c r="T216" s="25" t="s">
        <v>23</v>
      </c>
      <c r="U216" s="26">
        <v>0</v>
      </c>
      <c r="V216" s="26">
        <f t="shared" si="39"/>
        <v>1526.83</v>
      </c>
      <c r="W216" s="26">
        <f t="shared" si="45"/>
        <v>3832.97</v>
      </c>
      <c r="X216" s="127">
        <f t="shared" si="40"/>
        <v>0</v>
      </c>
      <c r="Y216" s="127">
        <f t="shared" si="41"/>
        <v>1469.66</v>
      </c>
      <c r="Z216" s="127">
        <f t="shared" si="42"/>
        <v>0</v>
      </c>
      <c r="AA216" s="127">
        <f t="shared" si="35"/>
        <v>5633162.6900000004</v>
      </c>
      <c r="AB216" s="27"/>
      <c r="AC216" s="324"/>
      <c r="AD216" s="181">
        <f t="shared" si="44"/>
        <v>1526.83</v>
      </c>
      <c r="AE216" s="181">
        <f t="shared" si="43"/>
        <v>5852293.5899999999</v>
      </c>
      <c r="AF216" s="181">
        <v>1.4</v>
      </c>
      <c r="AG216" s="181">
        <v>1.4</v>
      </c>
      <c r="AH216" s="363" t="str">
        <f t="shared" si="36"/>
        <v/>
      </c>
      <c r="AI216" s="194">
        <v>1469.66</v>
      </c>
      <c r="AJ216" s="188">
        <v>1526.83</v>
      </c>
      <c r="AN216" s="70"/>
      <c r="AO216" s="367"/>
      <c r="AP216" s="367"/>
      <c r="AQ216" s="367"/>
    </row>
    <row r="217" spans="1:43" x14ac:dyDescent="0.3">
      <c r="A217" s="144" t="s">
        <v>1332</v>
      </c>
      <c r="B217" s="145" t="s">
        <v>1333</v>
      </c>
      <c r="C217" s="206" t="s">
        <v>50</v>
      </c>
      <c r="D217" s="270"/>
      <c r="E217" s="147"/>
      <c r="F217" s="148">
        <v>48</v>
      </c>
      <c r="G217" s="164"/>
      <c r="H217" s="164"/>
      <c r="I217" s="62"/>
      <c r="J217" s="168">
        <v>695.25</v>
      </c>
      <c r="K217" s="148">
        <v>33372</v>
      </c>
      <c r="L217" s="149"/>
      <c r="N217" s="46">
        <v>48</v>
      </c>
      <c r="O217" s="46">
        <v>0</v>
      </c>
      <c r="P217" s="46">
        <v>33372</v>
      </c>
      <c r="Q217" s="98"/>
      <c r="R217" s="23" t="s">
        <v>1391</v>
      </c>
      <c r="S217" s="24" t="s">
        <v>1333</v>
      </c>
      <c r="T217" s="25" t="s">
        <v>50</v>
      </c>
      <c r="U217" s="26">
        <v>0</v>
      </c>
      <c r="V217" s="26">
        <f t="shared" si="39"/>
        <v>48</v>
      </c>
      <c r="W217" s="26">
        <f t="shared" si="45"/>
        <v>695.25</v>
      </c>
      <c r="X217" s="127">
        <f t="shared" si="40"/>
        <v>0</v>
      </c>
      <c r="Y217" s="127">
        <f t="shared" si="41"/>
        <v>48</v>
      </c>
      <c r="Z217" s="127">
        <f t="shared" si="42"/>
        <v>0</v>
      </c>
      <c r="AA217" s="127">
        <f t="shared" si="35"/>
        <v>33372</v>
      </c>
      <c r="AB217" s="27"/>
      <c r="AC217" s="324"/>
      <c r="AD217" s="181">
        <f t="shared" si="44"/>
        <v>48</v>
      </c>
      <c r="AE217" s="181">
        <f t="shared" si="43"/>
        <v>33372</v>
      </c>
      <c r="AF217" s="181">
        <v>1.4</v>
      </c>
      <c r="AG217" s="181">
        <v>1.4</v>
      </c>
      <c r="AH217" s="363" t="str">
        <f t="shared" si="36"/>
        <v/>
      </c>
      <c r="AI217" s="192">
        <v>48</v>
      </c>
      <c r="AJ217" s="188">
        <v>48</v>
      </c>
      <c r="AN217" s="282"/>
      <c r="AO217" s="367"/>
      <c r="AP217" s="367"/>
      <c r="AQ217" s="367"/>
    </row>
    <row r="218" spans="1:43" s="282" customFormat="1" ht="58.5" x14ac:dyDescent="0.3">
      <c r="A218" s="207" t="s">
        <v>3202</v>
      </c>
      <c r="B218" s="208" t="s">
        <v>2874</v>
      </c>
      <c r="C218" s="204" t="s">
        <v>50</v>
      </c>
      <c r="D218" s="216"/>
      <c r="E218" s="288"/>
      <c r="F218" s="275"/>
      <c r="G218" s="275"/>
      <c r="H218" s="275"/>
      <c r="I218" s="346">
        <v>919.12</v>
      </c>
      <c r="J218" s="288">
        <v>235</v>
      </c>
      <c r="K218" s="275">
        <v>215993.2</v>
      </c>
      <c r="L218" s="277"/>
      <c r="M218" s="278"/>
      <c r="N218" s="42">
        <v>917.8</v>
      </c>
      <c r="O218" s="42">
        <v>0</v>
      </c>
      <c r="P218" s="42">
        <v>215683</v>
      </c>
      <c r="Q218" s="98"/>
      <c r="R218" s="13" t="s">
        <v>3221</v>
      </c>
      <c r="S218" s="286" t="str">
        <f t="shared" ref="S218:T222" si="46">B218</f>
        <v>銲接鋼線網，D=10.00mm，15x15cm</v>
      </c>
      <c r="T218" s="287" t="str">
        <f t="shared" si="46"/>
        <v>M2</v>
      </c>
      <c r="U218" s="16"/>
      <c r="V218" s="16">
        <f t="shared" si="39"/>
        <v>919.12</v>
      </c>
      <c r="W218" s="16">
        <f t="shared" si="45"/>
        <v>235</v>
      </c>
      <c r="X218" s="127">
        <f t="shared" si="40"/>
        <v>0</v>
      </c>
      <c r="Y218" s="127">
        <f t="shared" si="41"/>
        <v>917.8</v>
      </c>
      <c r="Z218" s="127">
        <f t="shared" si="42"/>
        <v>0</v>
      </c>
      <c r="AA218" s="127">
        <f t="shared" si="35"/>
        <v>215683</v>
      </c>
      <c r="AB218" s="279"/>
      <c r="AC218" s="324"/>
      <c r="AD218" s="181">
        <f t="shared" si="44"/>
        <v>919.12</v>
      </c>
      <c r="AE218" s="181">
        <f t="shared" si="43"/>
        <v>215993.2</v>
      </c>
      <c r="AF218" s="181">
        <v>1.4</v>
      </c>
      <c r="AG218" s="181">
        <v>1.4</v>
      </c>
      <c r="AH218" s="364"/>
      <c r="AI218" s="285">
        <v>917.8</v>
      </c>
      <c r="AJ218" s="190">
        <v>919.12</v>
      </c>
      <c r="AN218" s="369"/>
      <c r="AO218" s="368"/>
      <c r="AP218" s="367"/>
      <c r="AQ218" s="367"/>
    </row>
    <row r="219" spans="1:43" s="282" customFormat="1" ht="39" x14ac:dyDescent="0.3">
      <c r="A219" s="207" t="s">
        <v>3203</v>
      </c>
      <c r="B219" s="208" t="s">
        <v>3199</v>
      </c>
      <c r="C219" s="204" t="s">
        <v>50</v>
      </c>
      <c r="D219" s="216"/>
      <c r="E219" s="288"/>
      <c r="F219" s="275"/>
      <c r="G219" s="275"/>
      <c r="H219" s="275"/>
      <c r="I219" s="346">
        <v>2140.9</v>
      </c>
      <c r="J219" s="288">
        <v>613.58000000000004</v>
      </c>
      <c r="K219" s="275">
        <v>1313613.42</v>
      </c>
      <c r="L219" s="277"/>
      <c r="M219" s="278"/>
      <c r="N219" s="42">
        <v>1310.2</v>
      </c>
      <c r="O219" s="42">
        <v>0</v>
      </c>
      <c r="P219" s="42">
        <v>803912.52</v>
      </c>
      <c r="Q219" s="98"/>
      <c r="R219" s="13" t="s">
        <v>3222</v>
      </c>
      <c r="S219" s="286" t="str">
        <f t="shared" si="46"/>
        <v>地工織物，抗沖蝕網，疊接施工</v>
      </c>
      <c r="T219" s="287" t="str">
        <f t="shared" si="46"/>
        <v>M2</v>
      </c>
      <c r="U219" s="16"/>
      <c r="V219" s="16">
        <f t="shared" si="39"/>
        <v>2140.9</v>
      </c>
      <c r="W219" s="16">
        <f t="shared" si="45"/>
        <v>613.58000000000004</v>
      </c>
      <c r="X219" s="127">
        <f t="shared" si="40"/>
        <v>0</v>
      </c>
      <c r="Y219" s="127">
        <f t="shared" si="41"/>
        <v>1310.2</v>
      </c>
      <c r="Z219" s="127">
        <f t="shared" si="42"/>
        <v>0</v>
      </c>
      <c r="AA219" s="127">
        <f t="shared" si="35"/>
        <v>803912.52</v>
      </c>
      <c r="AB219" s="279"/>
      <c r="AC219" s="324"/>
      <c r="AD219" s="181">
        <f t="shared" si="44"/>
        <v>2140.9</v>
      </c>
      <c r="AE219" s="181">
        <f t="shared" si="43"/>
        <v>1313613.42</v>
      </c>
      <c r="AF219" s="181">
        <v>1.4</v>
      </c>
      <c r="AG219" s="181">
        <v>1.4</v>
      </c>
      <c r="AH219" s="364"/>
      <c r="AI219" s="285">
        <v>1310.2</v>
      </c>
      <c r="AJ219" s="190">
        <v>2140.9</v>
      </c>
      <c r="AO219" s="367"/>
      <c r="AP219" s="367"/>
      <c r="AQ219" s="367"/>
    </row>
    <row r="220" spans="1:43" s="282" customFormat="1" ht="39" x14ac:dyDescent="0.3">
      <c r="A220" s="207" t="s">
        <v>3204</v>
      </c>
      <c r="B220" s="208" t="s">
        <v>2628</v>
      </c>
      <c r="C220" s="204" t="s">
        <v>30</v>
      </c>
      <c r="D220" s="216"/>
      <c r="E220" s="288"/>
      <c r="F220" s="275"/>
      <c r="G220" s="275"/>
      <c r="H220" s="275"/>
      <c r="I220" s="346">
        <v>321.5</v>
      </c>
      <c r="J220" s="288">
        <v>120</v>
      </c>
      <c r="K220" s="275">
        <v>38580</v>
      </c>
      <c r="L220" s="277"/>
      <c r="M220" s="278"/>
      <c r="N220" s="42">
        <v>315.5</v>
      </c>
      <c r="O220" s="42">
        <v>0</v>
      </c>
      <c r="P220" s="42">
        <v>37860</v>
      </c>
      <c r="Q220" s="98"/>
      <c r="R220" s="13" t="s">
        <v>3223</v>
      </c>
      <c r="S220" s="286" t="str">
        <f t="shared" si="46"/>
        <v>產品，∮2"PVC排水管</v>
      </c>
      <c r="T220" s="287" t="str">
        <f t="shared" si="46"/>
        <v>M</v>
      </c>
      <c r="U220" s="16"/>
      <c r="V220" s="16">
        <f t="shared" si="39"/>
        <v>321.5</v>
      </c>
      <c r="W220" s="16">
        <f t="shared" si="45"/>
        <v>120</v>
      </c>
      <c r="X220" s="127">
        <f t="shared" si="40"/>
        <v>0</v>
      </c>
      <c r="Y220" s="127">
        <f t="shared" si="41"/>
        <v>315.5</v>
      </c>
      <c r="Z220" s="127">
        <f t="shared" si="42"/>
        <v>0</v>
      </c>
      <c r="AA220" s="127">
        <f t="shared" si="35"/>
        <v>37860</v>
      </c>
      <c r="AB220" s="279"/>
      <c r="AC220" s="324"/>
      <c r="AD220" s="181">
        <f t="shared" si="44"/>
        <v>321.5</v>
      </c>
      <c r="AE220" s="181">
        <f t="shared" si="43"/>
        <v>38580</v>
      </c>
      <c r="AF220" s="181">
        <v>1.4</v>
      </c>
      <c r="AG220" s="181">
        <v>1.4</v>
      </c>
      <c r="AH220" s="364"/>
      <c r="AI220" s="285">
        <v>315.5</v>
      </c>
      <c r="AJ220" s="190">
        <v>321.5</v>
      </c>
      <c r="AO220" s="367"/>
      <c r="AP220" s="367"/>
      <c r="AQ220" s="367"/>
    </row>
    <row r="221" spans="1:43" s="282" customFormat="1" x14ac:dyDescent="0.3">
      <c r="A221" s="207" t="s">
        <v>3205</v>
      </c>
      <c r="B221" s="208" t="s">
        <v>3200</v>
      </c>
      <c r="C221" s="204" t="s">
        <v>162</v>
      </c>
      <c r="D221" s="216"/>
      <c r="E221" s="288"/>
      <c r="F221" s="275"/>
      <c r="G221" s="275"/>
      <c r="H221" s="275"/>
      <c r="I221" s="346">
        <v>428</v>
      </c>
      <c r="J221" s="288">
        <v>324.83999999999997</v>
      </c>
      <c r="K221" s="275">
        <v>139031.51999999999</v>
      </c>
      <c r="L221" s="277"/>
      <c r="M221" s="278"/>
      <c r="N221" s="42">
        <v>412</v>
      </c>
      <c r="O221" s="42">
        <v>0</v>
      </c>
      <c r="P221" s="42">
        <v>133834.07999999999</v>
      </c>
      <c r="Q221" s="98"/>
      <c r="R221" s="13" t="s">
        <v>3224</v>
      </c>
      <c r="S221" s="286" t="str">
        <f t="shared" si="46"/>
        <v>洩水袋</v>
      </c>
      <c r="T221" s="287" t="str">
        <f t="shared" si="46"/>
        <v>個</v>
      </c>
      <c r="U221" s="16"/>
      <c r="V221" s="16">
        <f t="shared" si="39"/>
        <v>428</v>
      </c>
      <c r="W221" s="16">
        <f t="shared" si="45"/>
        <v>324.83999999999997</v>
      </c>
      <c r="X221" s="127">
        <f t="shared" si="40"/>
        <v>0</v>
      </c>
      <c r="Y221" s="127">
        <f t="shared" si="41"/>
        <v>412</v>
      </c>
      <c r="Z221" s="127">
        <f t="shared" si="42"/>
        <v>0</v>
      </c>
      <c r="AA221" s="127">
        <f t="shared" si="35"/>
        <v>133834.07999999999</v>
      </c>
      <c r="AB221" s="279"/>
      <c r="AC221" s="324"/>
      <c r="AD221" s="181">
        <f t="shared" si="44"/>
        <v>428</v>
      </c>
      <c r="AE221" s="181">
        <f t="shared" si="43"/>
        <v>139031.51999999999</v>
      </c>
      <c r="AF221" s="181">
        <v>1.4</v>
      </c>
      <c r="AG221" s="181">
        <v>1.4</v>
      </c>
      <c r="AH221" s="364"/>
      <c r="AI221" s="285">
        <v>412</v>
      </c>
      <c r="AJ221" s="190">
        <v>428</v>
      </c>
      <c r="AO221" s="367"/>
      <c r="AP221" s="367"/>
      <c r="AQ221" s="367"/>
    </row>
    <row r="222" spans="1:43" s="282" customFormat="1" ht="78" x14ac:dyDescent="0.3">
      <c r="A222" s="207" t="s">
        <v>3206</v>
      </c>
      <c r="B222" s="208" t="s">
        <v>3201</v>
      </c>
      <c r="C222" s="204" t="s">
        <v>513</v>
      </c>
      <c r="D222" s="216"/>
      <c r="E222" s="288"/>
      <c r="F222" s="275"/>
      <c r="G222" s="275"/>
      <c r="H222" s="275"/>
      <c r="I222" s="346">
        <v>568</v>
      </c>
      <c r="J222" s="288">
        <v>94.95</v>
      </c>
      <c r="K222" s="275">
        <v>53931.6</v>
      </c>
      <c r="L222" s="277"/>
      <c r="M222" s="278"/>
      <c r="N222" s="42">
        <v>568</v>
      </c>
      <c r="O222" s="42">
        <v>0</v>
      </c>
      <c r="P222" s="42">
        <v>53931.6</v>
      </c>
      <c r="Q222" s="98"/>
      <c r="R222" s="13" t="s">
        <v>3225</v>
      </c>
      <c r="S222" s="286" t="str">
        <f t="shared" si="46"/>
        <v>鋼筋，植筋，D16mm，鑽孔(含空氣槍清孔)及化學藥劑</v>
      </c>
      <c r="T222" s="287" t="str">
        <f t="shared" si="46"/>
        <v>孔</v>
      </c>
      <c r="U222" s="16"/>
      <c r="V222" s="16">
        <f t="shared" si="39"/>
        <v>568</v>
      </c>
      <c r="W222" s="16">
        <f t="shared" si="45"/>
        <v>94.95</v>
      </c>
      <c r="X222" s="127">
        <f t="shared" si="40"/>
        <v>0</v>
      </c>
      <c r="Y222" s="127">
        <f t="shared" si="41"/>
        <v>568</v>
      </c>
      <c r="Z222" s="127">
        <f t="shared" si="42"/>
        <v>0</v>
      </c>
      <c r="AA222" s="127">
        <f t="shared" si="35"/>
        <v>53931.6</v>
      </c>
      <c r="AB222" s="279"/>
      <c r="AC222" s="324"/>
      <c r="AD222" s="181">
        <f t="shared" si="44"/>
        <v>568</v>
      </c>
      <c r="AE222" s="181">
        <f t="shared" si="43"/>
        <v>53931.6</v>
      </c>
      <c r="AF222" s="181">
        <v>1.4</v>
      </c>
      <c r="AG222" s="181">
        <v>1.4</v>
      </c>
      <c r="AH222" s="364"/>
      <c r="AI222" s="285">
        <v>568</v>
      </c>
      <c r="AJ222" s="190">
        <v>568</v>
      </c>
      <c r="AN222" s="69"/>
      <c r="AO222" s="367"/>
      <c r="AP222" s="367"/>
      <c r="AQ222" s="367"/>
    </row>
    <row r="223" spans="1:43" s="69" customFormat="1" ht="33" customHeight="1" x14ac:dyDescent="0.3">
      <c r="A223" s="266" t="s">
        <v>529</v>
      </c>
      <c r="B223" s="267" t="s">
        <v>530</v>
      </c>
      <c r="C223" s="83" t="s">
        <v>14</v>
      </c>
      <c r="D223" s="84">
        <v>1</v>
      </c>
      <c r="E223" s="84"/>
      <c r="F223" s="84"/>
      <c r="G223" s="227"/>
      <c r="H223" s="291"/>
      <c r="I223" s="231"/>
      <c r="J223" s="292">
        <v>33480921.34</v>
      </c>
      <c r="K223" s="84">
        <v>33480921.34</v>
      </c>
      <c r="L223" s="268" t="s">
        <v>15</v>
      </c>
      <c r="M223" s="73"/>
      <c r="N223" s="45">
        <v>1</v>
      </c>
      <c r="O223" s="45">
        <v>0</v>
      </c>
      <c r="P223" s="45">
        <v>32990140.839999996</v>
      </c>
      <c r="Q223" s="98"/>
      <c r="R223" s="18" t="s">
        <v>1392</v>
      </c>
      <c r="S223" s="19" t="s">
        <v>530</v>
      </c>
      <c r="T223" s="20" t="s">
        <v>14</v>
      </c>
      <c r="U223" s="21">
        <v>1</v>
      </c>
      <c r="V223" s="21"/>
      <c r="W223" s="21">
        <f t="shared" si="45"/>
        <v>33480921.34</v>
      </c>
      <c r="X223" s="21">
        <f t="shared" ref="X223:Y223" si="47">IF(Z223=0,0,1)</f>
        <v>0</v>
      </c>
      <c r="Y223" s="21">
        <f t="shared" si="47"/>
        <v>1</v>
      </c>
      <c r="Z223" s="21">
        <f>SUMIFS(Z:Z,AG:AG,AF223)</f>
        <v>0</v>
      </c>
      <c r="AA223" s="21">
        <f>SUMIFS(AA:AA,AG:AG,AF223)</f>
        <v>32990140.839999996</v>
      </c>
      <c r="AB223" s="22" t="s">
        <v>15</v>
      </c>
      <c r="AC223" s="324"/>
      <c r="AD223" s="181">
        <f t="shared" si="44"/>
        <v>1</v>
      </c>
      <c r="AE223" s="181"/>
      <c r="AF223" s="184">
        <v>1.5</v>
      </c>
      <c r="AG223" s="184"/>
      <c r="AH223" s="363" t="str">
        <f t="shared" si="36"/>
        <v/>
      </c>
      <c r="AI223" s="192">
        <v>1</v>
      </c>
      <c r="AJ223" s="188">
        <v>1</v>
      </c>
      <c r="AO223" s="367"/>
      <c r="AP223" s="367"/>
      <c r="AQ223" s="367"/>
    </row>
    <row r="224" spans="1:43" s="69" customFormat="1" ht="49.5" customHeight="1" x14ac:dyDescent="0.3">
      <c r="A224" s="130" t="s">
        <v>531</v>
      </c>
      <c r="B224" s="131" t="s">
        <v>392</v>
      </c>
      <c r="C224" s="132" t="s">
        <v>23</v>
      </c>
      <c r="D224" s="133">
        <v>250</v>
      </c>
      <c r="E224" s="75"/>
      <c r="F224" s="75"/>
      <c r="G224" s="75"/>
      <c r="H224" s="229">
        <v>11.7</v>
      </c>
      <c r="I224" s="229"/>
      <c r="J224" s="75">
        <v>3115.13</v>
      </c>
      <c r="K224" s="75">
        <v>36447.019999999997</v>
      </c>
      <c r="L224" s="91" t="s">
        <v>114</v>
      </c>
      <c r="M224" s="73"/>
      <c r="N224" s="46">
        <v>11.7</v>
      </c>
      <c r="O224" s="46">
        <v>0</v>
      </c>
      <c r="P224" s="46">
        <v>36447.019999999997</v>
      </c>
      <c r="Q224" s="98"/>
      <c r="R224" s="23" t="s">
        <v>1421</v>
      </c>
      <c r="S224" s="24" t="s">
        <v>392</v>
      </c>
      <c r="T224" s="25" t="s">
        <v>23</v>
      </c>
      <c r="U224" s="26">
        <v>250</v>
      </c>
      <c r="V224" s="26">
        <f t="shared" ref="V224:V241" si="48">IF(I224&gt;0,I224,IF(H224&gt;0,H224,IF(G224&gt;0,G224,IF(F224&gt;0,F224,IF(E224&gt;0,E224,D224)))))</f>
        <v>11.7</v>
      </c>
      <c r="W224" s="26">
        <f t="shared" si="45"/>
        <v>3115.13</v>
      </c>
      <c r="X224" s="127">
        <v>0</v>
      </c>
      <c r="Y224" s="127">
        <f t="shared" si="41"/>
        <v>11.7</v>
      </c>
      <c r="Z224" s="127">
        <f t="shared" ref="Z224:Z241" si="49">AA224-P224</f>
        <v>0</v>
      </c>
      <c r="AA224" s="127">
        <f t="shared" si="35"/>
        <v>36447.019999999997</v>
      </c>
      <c r="AB224" s="33" t="s">
        <v>15</v>
      </c>
      <c r="AC224" s="324"/>
      <c r="AD224" s="181">
        <f t="shared" si="44"/>
        <v>11.7</v>
      </c>
      <c r="AE224" s="181">
        <f t="shared" si="43"/>
        <v>36447.019999999997</v>
      </c>
      <c r="AF224" s="181">
        <v>1.5</v>
      </c>
      <c r="AG224" s="181">
        <v>1.5</v>
      </c>
      <c r="AH224" s="363" t="str">
        <f t="shared" ref="AH224:AH292" si="50">IF(Y224&gt;AJ224,"超估","")</f>
        <v/>
      </c>
      <c r="AI224" s="194">
        <f>11.7+10.2</f>
        <v>21.9</v>
      </c>
      <c r="AJ224" s="188">
        <v>11.7</v>
      </c>
      <c r="AO224" s="367"/>
      <c r="AP224" s="367"/>
      <c r="AQ224" s="367"/>
    </row>
    <row r="225" spans="1:43" s="69" customFormat="1" ht="49.5" customHeight="1" x14ac:dyDescent="0.3">
      <c r="A225" s="130" t="s">
        <v>532</v>
      </c>
      <c r="B225" s="131" t="s">
        <v>116</v>
      </c>
      <c r="C225" s="132" t="s">
        <v>23</v>
      </c>
      <c r="D225" s="133">
        <v>2474</v>
      </c>
      <c r="E225" s="75"/>
      <c r="F225" s="75"/>
      <c r="G225" s="75"/>
      <c r="H225" s="75">
        <v>2593.6999999999998</v>
      </c>
      <c r="I225" s="75"/>
      <c r="J225" s="75">
        <v>3321.13</v>
      </c>
      <c r="K225" s="75">
        <v>8614014.8800000008</v>
      </c>
      <c r="L225" s="91" t="s">
        <v>117</v>
      </c>
      <c r="M225" s="73"/>
      <c r="N225" s="46">
        <v>2560.35</v>
      </c>
      <c r="O225" s="46">
        <v>0</v>
      </c>
      <c r="P225" s="46">
        <v>8503255.1999999993</v>
      </c>
      <c r="Q225" s="98"/>
      <c r="R225" s="23" t="s">
        <v>1426</v>
      </c>
      <c r="S225" s="24" t="s">
        <v>116</v>
      </c>
      <c r="T225" s="25" t="s">
        <v>23</v>
      </c>
      <c r="U225" s="26">
        <v>2474</v>
      </c>
      <c r="V225" s="26">
        <f t="shared" si="48"/>
        <v>2593.6999999999998</v>
      </c>
      <c r="W225" s="26">
        <f t="shared" si="45"/>
        <v>3321.13</v>
      </c>
      <c r="X225" s="127">
        <f t="shared" ref="X225:X241" si="51">AI225-N225</f>
        <v>0</v>
      </c>
      <c r="Y225" s="127">
        <f t="shared" si="41"/>
        <v>2560.35</v>
      </c>
      <c r="Z225" s="127">
        <f t="shared" si="49"/>
        <v>0</v>
      </c>
      <c r="AA225" s="127">
        <f t="shared" ref="AA225:AA293" si="52">ROUND(W225*Y225,2)</f>
        <v>8503255.1999999993</v>
      </c>
      <c r="AB225" s="33" t="s">
        <v>15</v>
      </c>
      <c r="AC225" s="324"/>
      <c r="AD225" s="181">
        <f t="shared" si="44"/>
        <v>2593.6999999999998</v>
      </c>
      <c r="AE225" s="181">
        <f t="shared" si="43"/>
        <v>8614014.8800000008</v>
      </c>
      <c r="AF225" s="181">
        <v>1.5</v>
      </c>
      <c r="AG225" s="181">
        <v>1.5</v>
      </c>
      <c r="AH225" s="363" t="str">
        <f t="shared" si="50"/>
        <v/>
      </c>
      <c r="AI225" s="194">
        <f>2473.35+87</f>
        <v>2560.35</v>
      </c>
      <c r="AJ225" s="188">
        <v>2593.6999999999998</v>
      </c>
      <c r="AM225" s="196">
        <v>2782.2855</v>
      </c>
      <c r="AO225" s="367"/>
      <c r="AP225" s="367"/>
      <c r="AQ225" s="367"/>
    </row>
    <row r="226" spans="1:43" s="69" customFormat="1" ht="49.5" customHeight="1" x14ac:dyDescent="0.3">
      <c r="A226" s="130" t="s">
        <v>533</v>
      </c>
      <c r="B226" s="131" t="s">
        <v>534</v>
      </c>
      <c r="C226" s="132" t="s">
        <v>23</v>
      </c>
      <c r="D226" s="133">
        <v>1187</v>
      </c>
      <c r="E226" s="75"/>
      <c r="F226" s="75"/>
      <c r="G226" s="75"/>
      <c r="H226" s="75">
        <v>1256.1500000000001</v>
      </c>
      <c r="I226" s="75"/>
      <c r="J226" s="75">
        <v>1749.25</v>
      </c>
      <c r="K226" s="75">
        <v>2197320.39</v>
      </c>
      <c r="L226" s="91" t="s">
        <v>535</v>
      </c>
      <c r="M226" s="73"/>
      <c r="N226" s="46">
        <v>1187</v>
      </c>
      <c r="O226" s="46">
        <v>0</v>
      </c>
      <c r="P226" s="46">
        <v>2076359.75</v>
      </c>
      <c r="Q226" s="98"/>
      <c r="R226" s="23" t="s">
        <v>1402</v>
      </c>
      <c r="S226" s="24" t="s">
        <v>534</v>
      </c>
      <c r="T226" s="25" t="s">
        <v>23</v>
      </c>
      <c r="U226" s="26">
        <v>1187</v>
      </c>
      <c r="V226" s="26">
        <f t="shared" si="48"/>
        <v>1256.1500000000001</v>
      </c>
      <c r="W226" s="26">
        <f t="shared" si="45"/>
        <v>1749.25</v>
      </c>
      <c r="X226" s="127">
        <f t="shared" si="51"/>
        <v>0</v>
      </c>
      <c r="Y226" s="127">
        <f t="shared" si="41"/>
        <v>1187</v>
      </c>
      <c r="Z226" s="127">
        <f t="shared" si="49"/>
        <v>0</v>
      </c>
      <c r="AA226" s="127">
        <f t="shared" si="52"/>
        <v>2076359.75</v>
      </c>
      <c r="AB226" s="33" t="s">
        <v>15</v>
      </c>
      <c r="AC226" s="324"/>
      <c r="AD226" s="181">
        <f t="shared" si="44"/>
        <v>1256.1500000000001</v>
      </c>
      <c r="AE226" s="181">
        <f t="shared" si="43"/>
        <v>2197320.39</v>
      </c>
      <c r="AF226" s="181">
        <v>1.5</v>
      </c>
      <c r="AG226" s="181">
        <v>1.5</v>
      </c>
      <c r="AH226" s="363" t="str">
        <f t="shared" si="50"/>
        <v/>
      </c>
      <c r="AI226" s="194">
        <v>1187</v>
      </c>
      <c r="AJ226" s="188">
        <v>1256.1500000000001</v>
      </c>
      <c r="AM226" s="195">
        <v>1161.5828000000001</v>
      </c>
      <c r="AO226" s="367"/>
      <c r="AP226" s="367"/>
      <c r="AQ226" s="367"/>
    </row>
    <row r="227" spans="1:43" s="69" customFormat="1" ht="39" x14ac:dyDescent="0.3">
      <c r="A227" s="130" t="s">
        <v>536</v>
      </c>
      <c r="B227" s="131" t="s">
        <v>493</v>
      </c>
      <c r="C227" s="132" t="s">
        <v>23</v>
      </c>
      <c r="D227" s="133">
        <v>3911</v>
      </c>
      <c r="E227" s="75"/>
      <c r="F227" s="75"/>
      <c r="G227" s="75"/>
      <c r="H227" s="75"/>
      <c r="I227" s="75"/>
      <c r="J227" s="75">
        <v>200</v>
      </c>
      <c r="K227" s="75">
        <v>782200</v>
      </c>
      <c r="L227" s="91" t="s">
        <v>494</v>
      </c>
      <c r="M227" s="73"/>
      <c r="N227" s="46">
        <v>3769.25</v>
      </c>
      <c r="O227" s="46">
        <v>0</v>
      </c>
      <c r="P227" s="46">
        <v>753850</v>
      </c>
      <c r="Q227" s="98"/>
      <c r="R227" s="23" t="s">
        <v>1373</v>
      </c>
      <c r="S227" s="24" t="s">
        <v>493</v>
      </c>
      <c r="T227" s="25" t="s">
        <v>23</v>
      </c>
      <c r="U227" s="26">
        <v>3911</v>
      </c>
      <c r="V227" s="26">
        <f t="shared" si="48"/>
        <v>3911</v>
      </c>
      <c r="W227" s="26">
        <f t="shared" si="45"/>
        <v>200</v>
      </c>
      <c r="X227" s="127">
        <f t="shared" si="51"/>
        <v>0</v>
      </c>
      <c r="Y227" s="127">
        <f t="shared" si="41"/>
        <v>3769.25</v>
      </c>
      <c r="Z227" s="127">
        <f t="shared" si="49"/>
        <v>0</v>
      </c>
      <c r="AA227" s="127">
        <f t="shared" si="52"/>
        <v>753850</v>
      </c>
      <c r="AB227" s="33" t="s">
        <v>15</v>
      </c>
      <c r="AC227" s="324"/>
      <c r="AD227" s="181">
        <f t="shared" si="44"/>
        <v>3911</v>
      </c>
      <c r="AE227" s="181">
        <f t="shared" si="43"/>
        <v>782200</v>
      </c>
      <c r="AF227" s="181">
        <v>1.5</v>
      </c>
      <c r="AG227" s="181">
        <v>1.5</v>
      </c>
      <c r="AH227" s="363" t="str">
        <f t="shared" si="50"/>
        <v/>
      </c>
      <c r="AI227" s="194">
        <f>AI224+AI225+AI226</f>
        <v>3769.25</v>
      </c>
      <c r="AJ227" s="188">
        <v>3911</v>
      </c>
      <c r="AM227" s="198">
        <f>AM224+AM225+AM226</f>
        <v>3943.8683000000001</v>
      </c>
      <c r="AO227" s="367"/>
      <c r="AP227" s="367"/>
      <c r="AQ227" s="367"/>
    </row>
    <row r="228" spans="1:43" s="69" customFormat="1" ht="57.75" x14ac:dyDescent="0.3">
      <c r="A228" s="130" t="s">
        <v>537</v>
      </c>
      <c r="B228" s="131" t="s">
        <v>405</v>
      </c>
      <c r="C228" s="132" t="s">
        <v>50</v>
      </c>
      <c r="D228" s="133">
        <v>3820</v>
      </c>
      <c r="E228" s="75"/>
      <c r="F228" s="75">
        <v>4730</v>
      </c>
      <c r="G228" s="75"/>
      <c r="H228" s="75">
        <v>5411.06</v>
      </c>
      <c r="I228" s="75"/>
      <c r="J228" s="75">
        <v>982.98</v>
      </c>
      <c r="K228" s="75">
        <v>5318963.76</v>
      </c>
      <c r="L228" s="91" t="s">
        <v>406</v>
      </c>
      <c r="M228" s="73"/>
      <c r="N228" s="46">
        <v>5409.2</v>
      </c>
      <c r="O228" s="46">
        <v>0</v>
      </c>
      <c r="P228" s="46">
        <v>5317135.42</v>
      </c>
      <c r="Q228" s="98"/>
      <c r="R228" s="23" t="s">
        <v>1393</v>
      </c>
      <c r="S228" s="24" t="s">
        <v>405</v>
      </c>
      <c r="T228" s="25" t="s">
        <v>50</v>
      </c>
      <c r="U228" s="26">
        <v>3820</v>
      </c>
      <c r="V228" s="26">
        <f t="shared" si="48"/>
        <v>5411.06</v>
      </c>
      <c r="W228" s="26">
        <f t="shared" si="45"/>
        <v>982.98</v>
      </c>
      <c r="X228" s="127">
        <f t="shared" si="51"/>
        <v>0</v>
      </c>
      <c r="Y228" s="127">
        <f t="shared" si="41"/>
        <v>5409.2</v>
      </c>
      <c r="Z228" s="127">
        <f t="shared" si="49"/>
        <v>0</v>
      </c>
      <c r="AA228" s="127">
        <f t="shared" si="52"/>
        <v>5317135.42</v>
      </c>
      <c r="AB228" s="27" t="s">
        <v>15</v>
      </c>
      <c r="AC228" s="324"/>
      <c r="AD228" s="181">
        <f t="shared" si="44"/>
        <v>5411.06</v>
      </c>
      <c r="AE228" s="181">
        <f t="shared" si="43"/>
        <v>5318963.76</v>
      </c>
      <c r="AF228" s="181">
        <v>1.5</v>
      </c>
      <c r="AG228" s="181">
        <v>1.5</v>
      </c>
      <c r="AH228" s="363" t="str">
        <f t="shared" si="50"/>
        <v/>
      </c>
      <c r="AI228" s="194">
        <v>5409.2</v>
      </c>
      <c r="AJ228" s="188">
        <v>5411.06</v>
      </c>
      <c r="AM228" s="195">
        <v>5411.06</v>
      </c>
      <c r="AO228" s="367"/>
      <c r="AP228" s="367"/>
      <c r="AQ228" s="367"/>
    </row>
    <row r="229" spans="1:43" s="69" customFormat="1" ht="41.25" x14ac:dyDescent="0.3">
      <c r="A229" s="130" t="s">
        <v>538</v>
      </c>
      <c r="B229" s="131" t="s">
        <v>408</v>
      </c>
      <c r="C229" s="132" t="s">
        <v>50</v>
      </c>
      <c r="D229" s="133">
        <v>800</v>
      </c>
      <c r="E229" s="203"/>
      <c r="F229" s="203"/>
      <c r="G229" s="203"/>
      <c r="H229" s="203">
        <v>1811.33</v>
      </c>
      <c r="I229" s="203"/>
      <c r="J229" s="75">
        <v>804.79</v>
      </c>
      <c r="K229" s="75">
        <v>1457740.27</v>
      </c>
      <c r="L229" s="91" t="s">
        <v>409</v>
      </c>
      <c r="M229" s="73"/>
      <c r="N229" s="46">
        <v>1796.3</v>
      </c>
      <c r="O229" s="46">
        <v>0</v>
      </c>
      <c r="P229" s="46">
        <v>1445644.28</v>
      </c>
      <c r="Q229" s="98"/>
      <c r="R229" s="23" t="s">
        <v>1403</v>
      </c>
      <c r="S229" s="24" t="s">
        <v>408</v>
      </c>
      <c r="T229" s="25" t="s">
        <v>50</v>
      </c>
      <c r="U229" s="26">
        <v>800</v>
      </c>
      <c r="V229" s="26">
        <f t="shared" si="48"/>
        <v>1811.33</v>
      </c>
      <c r="W229" s="26">
        <f t="shared" si="45"/>
        <v>804.79</v>
      </c>
      <c r="X229" s="127">
        <f t="shared" si="51"/>
        <v>0</v>
      </c>
      <c r="Y229" s="127">
        <f t="shared" si="41"/>
        <v>1796.3</v>
      </c>
      <c r="Z229" s="127">
        <f t="shared" si="49"/>
        <v>0</v>
      </c>
      <c r="AA229" s="127">
        <f t="shared" si="52"/>
        <v>1445644.28</v>
      </c>
      <c r="AB229" s="33" t="s">
        <v>15</v>
      </c>
      <c r="AC229" s="324"/>
      <c r="AD229" s="181">
        <f t="shared" si="44"/>
        <v>1811.33</v>
      </c>
      <c r="AE229" s="181">
        <f t="shared" si="43"/>
        <v>1457740.27</v>
      </c>
      <c r="AF229" s="181">
        <v>1.5</v>
      </c>
      <c r="AG229" s="181">
        <v>1.5</v>
      </c>
      <c r="AH229" s="363" t="str">
        <f t="shared" si="50"/>
        <v/>
      </c>
      <c r="AI229" s="194">
        <v>1796.3</v>
      </c>
      <c r="AJ229" s="188">
        <v>1811.33</v>
      </c>
      <c r="AO229" s="367"/>
      <c r="AP229" s="367"/>
      <c r="AQ229" s="367"/>
    </row>
    <row r="230" spans="1:43" s="69" customFormat="1" ht="41.25" x14ac:dyDescent="0.3">
      <c r="A230" s="130" t="s">
        <v>539</v>
      </c>
      <c r="B230" s="131" t="s">
        <v>119</v>
      </c>
      <c r="C230" s="132" t="s">
        <v>50</v>
      </c>
      <c r="D230" s="133">
        <v>258</v>
      </c>
      <c r="E230" s="203"/>
      <c r="F230" s="203"/>
      <c r="G230" s="203"/>
      <c r="H230" s="203">
        <v>1210.32</v>
      </c>
      <c r="I230" s="203"/>
      <c r="J230" s="75">
        <v>533.64</v>
      </c>
      <c r="K230" s="75">
        <v>645875.16</v>
      </c>
      <c r="L230" s="91" t="s">
        <v>120</v>
      </c>
      <c r="M230" s="73"/>
      <c r="N230" s="46">
        <v>1206.5</v>
      </c>
      <c r="O230" s="46">
        <v>0</v>
      </c>
      <c r="P230" s="46">
        <v>643836.66</v>
      </c>
      <c r="Q230" s="98"/>
      <c r="R230" s="23" t="s">
        <v>1427</v>
      </c>
      <c r="S230" s="24" t="s">
        <v>119</v>
      </c>
      <c r="T230" s="25" t="s">
        <v>50</v>
      </c>
      <c r="U230" s="26">
        <v>258</v>
      </c>
      <c r="V230" s="26">
        <f t="shared" si="48"/>
        <v>1210.32</v>
      </c>
      <c r="W230" s="26">
        <f t="shared" si="45"/>
        <v>533.64</v>
      </c>
      <c r="X230" s="127">
        <f t="shared" si="51"/>
        <v>0</v>
      </c>
      <c r="Y230" s="127">
        <f t="shared" si="41"/>
        <v>1206.5</v>
      </c>
      <c r="Z230" s="127">
        <f t="shared" si="49"/>
        <v>0</v>
      </c>
      <c r="AA230" s="127">
        <f t="shared" si="52"/>
        <v>643836.66</v>
      </c>
      <c r="AB230" s="33" t="s">
        <v>15</v>
      </c>
      <c r="AC230" s="324"/>
      <c r="AD230" s="181">
        <f t="shared" si="44"/>
        <v>1210.32</v>
      </c>
      <c r="AE230" s="181">
        <f t="shared" si="43"/>
        <v>645875.16</v>
      </c>
      <c r="AF230" s="181">
        <v>1.5</v>
      </c>
      <c r="AG230" s="181">
        <v>1.5</v>
      </c>
      <c r="AH230" s="363" t="str">
        <f t="shared" si="50"/>
        <v/>
      </c>
      <c r="AI230" s="194">
        <f>1121.2+85.3</f>
        <v>1206.5</v>
      </c>
      <c r="AJ230" s="188">
        <v>1210.32</v>
      </c>
      <c r="AO230" s="367"/>
      <c r="AP230" s="367"/>
      <c r="AQ230" s="367"/>
    </row>
    <row r="231" spans="1:43" s="69" customFormat="1" ht="33" x14ac:dyDescent="0.3">
      <c r="A231" s="130" t="s">
        <v>540</v>
      </c>
      <c r="B231" s="131" t="s">
        <v>109</v>
      </c>
      <c r="C231" s="132" t="s">
        <v>110</v>
      </c>
      <c r="D231" s="133">
        <v>133401</v>
      </c>
      <c r="E231" s="203"/>
      <c r="F231" s="203"/>
      <c r="G231" s="203"/>
      <c r="H231" s="203">
        <v>153939.46</v>
      </c>
      <c r="I231" s="203"/>
      <c r="J231" s="75">
        <v>36.4</v>
      </c>
      <c r="K231" s="75">
        <v>5603396.3399999999</v>
      </c>
      <c r="L231" s="91" t="s">
        <v>111</v>
      </c>
      <c r="M231" s="73"/>
      <c r="N231" s="46">
        <v>153669.92000000001</v>
      </c>
      <c r="O231" s="46">
        <v>0</v>
      </c>
      <c r="P231" s="46">
        <v>5593585.0899999999</v>
      </c>
      <c r="Q231" s="98"/>
      <c r="R231" s="23" t="s">
        <v>1428</v>
      </c>
      <c r="S231" s="24" t="s">
        <v>109</v>
      </c>
      <c r="T231" s="25" t="s">
        <v>110</v>
      </c>
      <c r="U231" s="26">
        <v>133401</v>
      </c>
      <c r="V231" s="26">
        <f t="shared" si="48"/>
        <v>153939.46</v>
      </c>
      <c r="W231" s="26">
        <f t="shared" si="45"/>
        <v>36.4</v>
      </c>
      <c r="X231" s="127">
        <f t="shared" si="51"/>
        <v>0</v>
      </c>
      <c r="Y231" s="127">
        <f t="shared" si="41"/>
        <v>153669.92000000001</v>
      </c>
      <c r="Z231" s="127">
        <f t="shared" si="49"/>
        <v>0</v>
      </c>
      <c r="AA231" s="127">
        <f t="shared" si="52"/>
        <v>5593585.0899999999</v>
      </c>
      <c r="AB231" s="33" t="s">
        <v>15</v>
      </c>
      <c r="AC231" s="324"/>
      <c r="AD231" s="181">
        <f t="shared" si="44"/>
        <v>153939.46</v>
      </c>
      <c r="AE231" s="181">
        <f t="shared" si="43"/>
        <v>5603396.3399999999</v>
      </c>
      <c r="AF231" s="181">
        <v>1.5</v>
      </c>
      <c r="AG231" s="181">
        <v>1.5</v>
      </c>
      <c r="AH231" s="363" t="str">
        <f t="shared" si="50"/>
        <v/>
      </c>
      <c r="AI231" s="194">
        <v>153669.92000000001</v>
      </c>
      <c r="AJ231" s="188">
        <v>153939.46</v>
      </c>
      <c r="AO231" s="367"/>
      <c r="AP231" s="367"/>
      <c r="AQ231" s="367"/>
    </row>
    <row r="232" spans="1:43" s="69" customFormat="1" ht="33" x14ac:dyDescent="0.3">
      <c r="A232" s="130" t="s">
        <v>541</v>
      </c>
      <c r="B232" s="131" t="s">
        <v>399</v>
      </c>
      <c r="C232" s="132" t="s">
        <v>110</v>
      </c>
      <c r="D232" s="133">
        <v>118802</v>
      </c>
      <c r="E232" s="203"/>
      <c r="F232" s="203"/>
      <c r="G232" s="203"/>
      <c r="H232" s="203">
        <v>185226.6</v>
      </c>
      <c r="I232" s="203"/>
      <c r="J232" s="75">
        <v>38.71</v>
      </c>
      <c r="K232" s="75">
        <v>7170121.6900000004</v>
      </c>
      <c r="L232" s="91" t="s">
        <v>400</v>
      </c>
      <c r="M232" s="73"/>
      <c r="N232" s="46">
        <v>185029</v>
      </c>
      <c r="O232" s="46">
        <v>0</v>
      </c>
      <c r="P232" s="46">
        <v>7162472.5899999999</v>
      </c>
      <c r="Q232" s="98"/>
      <c r="R232" s="23" t="s">
        <v>1387</v>
      </c>
      <c r="S232" s="24" t="s">
        <v>399</v>
      </c>
      <c r="T232" s="25" t="s">
        <v>110</v>
      </c>
      <c r="U232" s="26">
        <v>118802</v>
      </c>
      <c r="V232" s="26">
        <f t="shared" si="48"/>
        <v>185226.6</v>
      </c>
      <c r="W232" s="26">
        <f t="shared" si="45"/>
        <v>38.71</v>
      </c>
      <c r="X232" s="127">
        <f t="shared" si="51"/>
        <v>0</v>
      </c>
      <c r="Y232" s="127">
        <f t="shared" si="41"/>
        <v>185029</v>
      </c>
      <c r="Z232" s="127">
        <f t="shared" si="49"/>
        <v>0</v>
      </c>
      <c r="AA232" s="127">
        <f t="shared" si="52"/>
        <v>7162472.5899999999</v>
      </c>
      <c r="AB232" s="33" t="s">
        <v>15</v>
      </c>
      <c r="AC232" s="324"/>
      <c r="AD232" s="181">
        <f t="shared" si="44"/>
        <v>185226.6</v>
      </c>
      <c r="AE232" s="181">
        <f t="shared" si="43"/>
        <v>7170121.6900000004</v>
      </c>
      <c r="AF232" s="181">
        <v>1.5</v>
      </c>
      <c r="AG232" s="181">
        <v>1.5</v>
      </c>
      <c r="AH232" s="363" t="str">
        <f t="shared" si="50"/>
        <v/>
      </c>
      <c r="AI232" s="194">
        <v>185029</v>
      </c>
      <c r="AJ232" s="188">
        <v>185226.6</v>
      </c>
      <c r="AO232" s="367"/>
      <c r="AP232" s="367"/>
      <c r="AQ232" s="367"/>
    </row>
    <row r="233" spans="1:43" s="69" customFormat="1" ht="78" x14ac:dyDescent="0.3">
      <c r="A233" s="130" t="s">
        <v>542</v>
      </c>
      <c r="B233" s="131" t="s">
        <v>543</v>
      </c>
      <c r="C233" s="132" t="s">
        <v>30</v>
      </c>
      <c r="D233" s="133">
        <v>129</v>
      </c>
      <c r="E233" s="75"/>
      <c r="F233" s="75"/>
      <c r="G233" s="75"/>
      <c r="H233" s="75"/>
      <c r="I233" s="343">
        <v>93.9</v>
      </c>
      <c r="J233" s="75">
        <v>2865.95</v>
      </c>
      <c r="K233" s="75">
        <v>269112.71000000002</v>
      </c>
      <c r="L233" s="91" t="s">
        <v>544</v>
      </c>
      <c r="M233" s="73"/>
      <c r="N233" s="46">
        <v>78</v>
      </c>
      <c r="O233" s="46">
        <v>0</v>
      </c>
      <c r="P233" s="46">
        <v>223544.1</v>
      </c>
      <c r="Q233" s="98"/>
      <c r="R233" s="23" t="s">
        <v>1405</v>
      </c>
      <c r="S233" s="24" t="s">
        <v>543</v>
      </c>
      <c r="T233" s="25" t="s">
        <v>30</v>
      </c>
      <c r="U233" s="26">
        <v>129</v>
      </c>
      <c r="V233" s="26">
        <f t="shared" si="48"/>
        <v>93.9</v>
      </c>
      <c r="W233" s="26">
        <f t="shared" si="45"/>
        <v>2865.95</v>
      </c>
      <c r="X233" s="127">
        <f t="shared" si="51"/>
        <v>0</v>
      </c>
      <c r="Y233" s="127">
        <f t="shared" si="41"/>
        <v>78</v>
      </c>
      <c r="Z233" s="127">
        <f t="shared" si="49"/>
        <v>0</v>
      </c>
      <c r="AA233" s="127">
        <f t="shared" si="52"/>
        <v>223544.1</v>
      </c>
      <c r="AB233" s="33" t="s">
        <v>15</v>
      </c>
      <c r="AC233" s="324"/>
      <c r="AD233" s="181">
        <f t="shared" si="44"/>
        <v>93.9</v>
      </c>
      <c r="AE233" s="181">
        <f t="shared" si="43"/>
        <v>269112.71000000002</v>
      </c>
      <c r="AF233" s="181">
        <v>1.5</v>
      </c>
      <c r="AG233" s="181">
        <v>1.5</v>
      </c>
      <c r="AH233" s="363" t="str">
        <f t="shared" si="50"/>
        <v/>
      </c>
      <c r="AI233" s="194">
        <f>36+42</f>
        <v>78</v>
      </c>
      <c r="AJ233" s="190">
        <v>93.9</v>
      </c>
      <c r="AO233" s="367"/>
      <c r="AP233" s="367"/>
      <c r="AQ233" s="367"/>
    </row>
    <row r="234" spans="1:43" s="69" customFormat="1" ht="58.5" x14ac:dyDescent="0.3">
      <c r="A234" s="130" t="s">
        <v>545</v>
      </c>
      <c r="B234" s="131" t="s">
        <v>546</v>
      </c>
      <c r="C234" s="132" t="s">
        <v>81</v>
      </c>
      <c r="D234" s="133">
        <v>54</v>
      </c>
      <c r="E234" s="75"/>
      <c r="F234" s="75"/>
      <c r="G234" s="75"/>
      <c r="H234" s="75"/>
      <c r="I234" s="343">
        <v>33</v>
      </c>
      <c r="J234" s="75">
        <v>1478.05</v>
      </c>
      <c r="K234" s="75">
        <v>48775.65</v>
      </c>
      <c r="L234" s="91" t="s">
        <v>547</v>
      </c>
      <c r="M234" s="73"/>
      <c r="N234" s="46">
        <v>33</v>
      </c>
      <c r="O234" s="46">
        <v>0</v>
      </c>
      <c r="P234" s="46">
        <v>48775.65</v>
      </c>
      <c r="Q234" s="98"/>
      <c r="R234" s="23" t="s">
        <v>1406</v>
      </c>
      <c r="S234" s="24" t="s">
        <v>546</v>
      </c>
      <c r="T234" s="25" t="s">
        <v>81</v>
      </c>
      <c r="U234" s="26">
        <v>54</v>
      </c>
      <c r="V234" s="26">
        <f t="shared" si="48"/>
        <v>33</v>
      </c>
      <c r="W234" s="26">
        <f t="shared" si="45"/>
        <v>1478.05</v>
      </c>
      <c r="X234" s="127">
        <f t="shared" si="51"/>
        <v>0</v>
      </c>
      <c r="Y234" s="127">
        <f t="shared" si="41"/>
        <v>33</v>
      </c>
      <c r="Z234" s="127">
        <f t="shared" si="49"/>
        <v>0</v>
      </c>
      <c r="AA234" s="127">
        <f t="shared" si="52"/>
        <v>48775.65</v>
      </c>
      <c r="AB234" s="33" t="s">
        <v>15</v>
      </c>
      <c r="AC234" s="324"/>
      <c r="AD234" s="181">
        <f t="shared" si="44"/>
        <v>33</v>
      </c>
      <c r="AE234" s="181">
        <f t="shared" si="43"/>
        <v>48775.65</v>
      </c>
      <c r="AF234" s="181">
        <v>1.5</v>
      </c>
      <c r="AG234" s="181">
        <v>1.5</v>
      </c>
      <c r="AH234" s="363" t="str">
        <f t="shared" si="50"/>
        <v/>
      </c>
      <c r="AI234" s="194">
        <f>18+15</f>
        <v>33</v>
      </c>
      <c r="AJ234" s="190">
        <v>33</v>
      </c>
      <c r="AO234" s="367"/>
      <c r="AP234" s="367"/>
      <c r="AQ234" s="367"/>
    </row>
    <row r="235" spans="1:43" s="69" customFormat="1" ht="66" x14ac:dyDescent="0.3">
      <c r="A235" s="130" t="s">
        <v>548</v>
      </c>
      <c r="B235" s="240" t="s">
        <v>549</v>
      </c>
      <c r="C235" s="132" t="s">
        <v>30</v>
      </c>
      <c r="D235" s="133">
        <v>170</v>
      </c>
      <c r="E235" s="75"/>
      <c r="F235" s="75"/>
      <c r="G235" s="75"/>
      <c r="H235" s="75"/>
      <c r="I235" s="343">
        <v>109.9</v>
      </c>
      <c r="J235" s="75">
        <v>151.72</v>
      </c>
      <c r="K235" s="75">
        <v>16674.03</v>
      </c>
      <c r="L235" s="91" t="s">
        <v>550</v>
      </c>
      <c r="M235" s="73"/>
      <c r="N235" s="46">
        <v>91</v>
      </c>
      <c r="O235" s="46">
        <v>0</v>
      </c>
      <c r="P235" s="46">
        <v>13806.52</v>
      </c>
      <c r="Q235" s="98"/>
      <c r="R235" s="23" t="s">
        <v>1414</v>
      </c>
      <c r="S235" s="24" t="s">
        <v>549</v>
      </c>
      <c r="T235" s="25" t="s">
        <v>30</v>
      </c>
      <c r="U235" s="26">
        <v>170</v>
      </c>
      <c r="V235" s="26">
        <f t="shared" si="48"/>
        <v>109.9</v>
      </c>
      <c r="W235" s="26">
        <f t="shared" si="45"/>
        <v>151.72</v>
      </c>
      <c r="X235" s="127">
        <f t="shared" si="51"/>
        <v>0</v>
      </c>
      <c r="Y235" s="127">
        <f t="shared" si="41"/>
        <v>91</v>
      </c>
      <c r="Z235" s="127">
        <f t="shared" si="49"/>
        <v>0</v>
      </c>
      <c r="AA235" s="127">
        <f t="shared" si="52"/>
        <v>13806.52</v>
      </c>
      <c r="AB235" s="33" t="s">
        <v>15</v>
      </c>
      <c r="AC235" s="324"/>
      <c r="AD235" s="181">
        <f t="shared" si="44"/>
        <v>109.9</v>
      </c>
      <c r="AE235" s="181">
        <f t="shared" si="43"/>
        <v>16674.03</v>
      </c>
      <c r="AF235" s="181">
        <v>1.5</v>
      </c>
      <c r="AG235" s="181">
        <v>1.5</v>
      </c>
      <c r="AH235" s="363" t="str">
        <f t="shared" si="50"/>
        <v/>
      </c>
      <c r="AI235" s="194">
        <f>36+55</f>
        <v>91</v>
      </c>
      <c r="AJ235" s="190">
        <v>109.9</v>
      </c>
      <c r="AO235" s="367"/>
      <c r="AP235" s="367"/>
      <c r="AQ235" s="367"/>
    </row>
    <row r="236" spans="1:43" s="69" customFormat="1" ht="49.5" x14ac:dyDescent="0.3">
      <c r="A236" s="130" t="s">
        <v>551</v>
      </c>
      <c r="B236" s="240" t="s">
        <v>552</v>
      </c>
      <c r="C236" s="132" t="s">
        <v>325</v>
      </c>
      <c r="D236" s="133">
        <v>4</v>
      </c>
      <c r="E236" s="75"/>
      <c r="F236" s="75"/>
      <c r="G236" s="75"/>
      <c r="H236" s="75">
        <v>6</v>
      </c>
      <c r="I236" s="343">
        <v>8</v>
      </c>
      <c r="J236" s="75">
        <v>15779.6</v>
      </c>
      <c r="K236" s="75">
        <v>126236.8</v>
      </c>
      <c r="L236" s="91" t="s">
        <v>553</v>
      </c>
      <c r="M236" s="73"/>
      <c r="N236" s="46">
        <v>8</v>
      </c>
      <c r="O236" s="46">
        <v>0</v>
      </c>
      <c r="P236" s="46">
        <v>126236.8</v>
      </c>
      <c r="Q236" s="98"/>
      <c r="R236" s="23" t="s">
        <v>1429</v>
      </c>
      <c r="S236" s="24" t="s">
        <v>552</v>
      </c>
      <c r="T236" s="25" t="s">
        <v>325</v>
      </c>
      <c r="U236" s="26">
        <v>4</v>
      </c>
      <c r="V236" s="26">
        <f t="shared" si="48"/>
        <v>8</v>
      </c>
      <c r="W236" s="26">
        <f t="shared" si="45"/>
        <v>15779.6</v>
      </c>
      <c r="X236" s="127">
        <f t="shared" si="51"/>
        <v>0</v>
      </c>
      <c r="Y236" s="127">
        <f t="shared" si="41"/>
        <v>8</v>
      </c>
      <c r="Z236" s="127">
        <f t="shared" si="49"/>
        <v>0</v>
      </c>
      <c r="AA236" s="127">
        <f t="shared" si="52"/>
        <v>126236.8</v>
      </c>
      <c r="AB236" s="33" t="s">
        <v>15</v>
      </c>
      <c r="AC236" s="324"/>
      <c r="AD236" s="181">
        <f t="shared" si="44"/>
        <v>8</v>
      </c>
      <c r="AE236" s="181">
        <f t="shared" si="43"/>
        <v>126236.8</v>
      </c>
      <c r="AF236" s="181">
        <v>1.5</v>
      </c>
      <c r="AG236" s="181">
        <v>1.5</v>
      </c>
      <c r="AH236" s="363" t="str">
        <f t="shared" si="50"/>
        <v/>
      </c>
      <c r="AI236" s="194">
        <f>6+2</f>
        <v>8</v>
      </c>
      <c r="AJ236" s="190">
        <v>8</v>
      </c>
      <c r="AO236" s="367"/>
      <c r="AP236" s="367"/>
      <c r="AQ236" s="367"/>
    </row>
    <row r="237" spans="1:43" s="69" customFormat="1" ht="24.75" x14ac:dyDescent="0.3">
      <c r="A237" s="130" t="s">
        <v>554</v>
      </c>
      <c r="B237" s="131" t="s">
        <v>189</v>
      </c>
      <c r="C237" s="132" t="s">
        <v>30</v>
      </c>
      <c r="D237" s="133">
        <v>453</v>
      </c>
      <c r="E237" s="75"/>
      <c r="F237" s="75"/>
      <c r="G237" s="75"/>
      <c r="H237" s="75"/>
      <c r="I237" s="75"/>
      <c r="J237" s="75">
        <v>138.84</v>
      </c>
      <c r="K237" s="75">
        <v>62894.52</v>
      </c>
      <c r="L237" s="91" t="s">
        <v>190</v>
      </c>
      <c r="M237" s="73"/>
      <c r="N237" s="46">
        <v>376</v>
      </c>
      <c r="O237" s="46">
        <v>0</v>
      </c>
      <c r="P237" s="46">
        <v>52203.839999999997</v>
      </c>
      <c r="Q237" s="98"/>
      <c r="R237" s="23" t="s">
        <v>1430</v>
      </c>
      <c r="S237" s="24" t="s">
        <v>189</v>
      </c>
      <c r="T237" s="25" t="s">
        <v>30</v>
      </c>
      <c r="U237" s="26">
        <v>453</v>
      </c>
      <c r="V237" s="26">
        <f t="shared" si="48"/>
        <v>453</v>
      </c>
      <c r="W237" s="26">
        <f t="shared" si="45"/>
        <v>138.84</v>
      </c>
      <c r="X237" s="127">
        <f t="shared" si="51"/>
        <v>0</v>
      </c>
      <c r="Y237" s="127">
        <f t="shared" si="41"/>
        <v>376</v>
      </c>
      <c r="Z237" s="127">
        <f t="shared" si="49"/>
        <v>0</v>
      </c>
      <c r="AA237" s="127">
        <f t="shared" si="52"/>
        <v>52203.839999999997</v>
      </c>
      <c r="AB237" s="33" t="s">
        <v>15</v>
      </c>
      <c r="AC237" s="324"/>
      <c r="AD237" s="181">
        <f t="shared" si="44"/>
        <v>453</v>
      </c>
      <c r="AE237" s="181">
        <f t="shared" si="43"/>
        <v>62894.52</v>
      </c>
      <c r="AF237" s="181">
        <v>1.5</v>
      </c>
      <c r="AG237" s="181">
        <v>1.5</v>
      </c>
      <c r="AH237" s="363" t="str">
        <f t="shared" si="50"/>
        <v/>
      </c>
      <c r="AI237" s="194">
        <f>285+91</f>
        <v>376</v>
      </c>
      <c r="AJ237" s="188">
        <v>453</v>
      </c>
      <c r="AO237" s="367"/>
      <c r="AP237" s="367"/>
      <c r="AQ237" s="367"/>
    </row>
    <row r="238" spans="1:43" s="69" customFormat="1" ht="24.75" x14ac:dyDescent="0.3">
      <c r="A238" s="130" t="s">
        <v>555</v>
      </c>
      <c r="B238" s="131" t="s">
        <v>520</v>
      </c>
      <c r="C238" s="132" t="s">
        <v>30</v>
      </c>
      <c r="D238" s="133">
        <v>1680</v>
      </c>
      <c r="E238" s="75"/>
      <c r="F238" s="75"/>
      <c r="G238" s="75"/>
      <c r="H238" s="75"/>
      <c r="I238" s="75"/>
      <c r="J238" s="75">
        <v>326.3</v>
      </c>
      <c r="K238" s="75">
        <v>548184</v>
      </c>
      <c r="L238" s="91" t="s">
        <v>521</v>
      </c>
      <c r="M238" s="73"/>
      <c r="N238" s="46">
        <v>1298</v>
      </c>
      <c r="O238" s="46">
        <v>0</v>
      </c>
      <c r="P238" s="46">
        <v>423537.4</v>
      </c>
      <c r="Q238" s="98"/>
      <c r="R238" s="23" t="s">
        <v>1431</v>
      </c>
      <c r="S238" s="24" t="s">
        <v>520</v>
      </c>
      <c r="T238" s="25" t="s">
        <v>30</v>
      </c>
      <c r="U238" s="26">
        <v>1680</v>
      </c>
      <c r="V238" s="26">
        <f t="shared" si="48"/>
        <v>1680</v>
      </c>
      <c r="W238" s="26">
        <f t="shared" si="45"/>
        <v>326.3</v>
      </c>
      <c r="X238" s="127">
        <f t="shared" si="51"/>
        <v>0</v>
      </c>
      <c r="Y238" s="127">
        <f t="shared" si="41"/>
        <v>1298</v>
      </c>
      <c r="Z238" s="127">
        <f t="shared" si="49"/>
        <v>0</v>
      </c>
      <c r="AA238" s="127">
        <f t="shared" si="52"/>
        <v>423537.4</v>
      </c>
      <c r="AB238" s="33" t="s">
        <v>15</v>
      </c>
      <c r="AC238" s="324"/>
      <c r="AD238" s="181">
        <f t="shared" si="44"/>
        <v>1680</v>
      </c>
      <c r="AE238" s="181">
        <f t="shared" si="43"/>
        <v>548184</v>
      </c>
      <c r="AF238" s="181">
        <v>1.5</v>
      </c>
      <c r="AG238" s="181">
        <v>1.5</v>
      </c>
      <c r="AH238" s="363" t="str">
        <f t="shared" si="50"/>
        <v/>
      </c>
      <c r="AI238" s="194">
        <f>936+362</f>
        <v>1298</v>
      </c>
      <c r="AJ238" s="188">
        <v>1680</v>
      </c>
      <c r="AO238" s="367"/>
      <c r="AP238" s="367"/>
      <c r="AQ238" s="367"/>
    </row>
    <row r="239" spans="1:43" s="69" customFormat="1" ht="58.5" x14ac:dyDescent="0.3">
      <c r="A239" s="130" t="s">
        <v>556</v>
      </c>
      <c r="B239" s="131" t="s">
        <v>424</v>
      </c>
      <c r="C239" s="132" t="s">
        <v>50</v>
      </c>
      <c r="D239" s="133">
        <v>756</v>
      </c>
      <c r="E239" s="75"/>
      <c r="F239" s="75"/>
      <c r="G239" s="75"/>
      <c r="H239" s="75"/>
      <c r="I239" s="75"/>
      <c r="J239" s="75">
        <v>692.16</v>
      </c>
      <c r="K239" s="75">
        <v>523272.96000000002</v>
      </c>
      <c r="L239" s="91" t="s">
        <v>425</v>
      </c>
      <c r="M239" s="73"/>
      <c r="N239" s="46">
        <v>756</v>
      </c>
      <c r="O239" s="46">
        <v>0</v>
      </c>
      <c r="P239" s="46">
        <v>523272.96000000002</v>
      </c>
      <c r="Q239" s="98"/>
      <c r="R239" s="23" t="s">
        <v>1395</v>
      </c>
      <c r="S239" s="24" t="s">
        <v>424</v>
      </c>
      <c r="T239" s="25" t="s">
        <v>50</v>
      </c>
      <c r="U239" s="26">
        <v>756</v>
      </c>
      <c r="V239" s="26">
        <f t="shared" si="48"/>
        <v>756</v>
      </c>
      <c r="W239" s="26">
        <f t="shared" si="45"/>
        <v>692.16</v>
      </c>
      <c r="X239" s="127">
        <f t="shared" si="51"/>
        <v>0</v>
      </c>
      <c r="Y239" s="127">
        <f t="shared" si="41"/>
        <v>756</v>
      </c>
      <c r="Z239" s="127">
        <f t="shared" si="49"/>
        <v>0</v>
      </c>
      <c r="AA239" s="127">
        <f t="shared" si="52"/>
        <v>523272.96000000002</v>
      </c>
      <c r="AB239" s="33" t="s">
        <v>15</v>
      </c>
      <c r="AC239" s="324"/>
      <c r="AD239" s="181">
        <f t="shared" si="44"/>
        <v>756</v>
      </c>
      <c r="AE239" s="181">
        <f t="shared" si="43"/>
        <v>523272.96000000002</v>
      </c>
      <c r="AF239" s="181">
        <v>1.5</v>
      </c>
      <c r="AG239" s="181">
        <v>1.5</v>
      </c>
      <c r="AH239" s="363" t="str">
        <f t="shared" si="50"/>
        <v/>
      </c>
      <c r="AI239" s="194">
        <v>756</v>
      </c>
      <c r="AJ239" s="188">
        <v>756</v>
      </c>
      <c r="AO239" s="367"/>
      <c r="AP239" s="367"/>
      <c r="AQ239" s="367"/>
    </row>
    <row r="240" spans="1:43" s="69" customFormat="1" ht="58.5" x14ac:dyDescent="0.3">
      <c r="A240" s="55" t="s">
        <v>557</v>
      </c>
      <c r="B240" s="53" t="s">
        <v>558</v>
      </c>
      <c r="C240" s="54" t="s">
        <v>559</v>
      </c>
      <c r="D240" s="75">
        <v>32</v>
      </c>
      <c r="E240" s="75"/>
      <c r="F240" s="75"/>
      <c r="G240" s="75"/>
      <c r="H240" s="75"/>
      <c r="I240" s="75"/>
      <c r="J240" s="75">
        <v>422.3</v>
      </c>
      <c r="K240" s="75">
        <v>13513.6</v>
      </c>
      <c r="L240" s="91" t="s">
        <v>560</v>
      </c>
      <c r="M240" s="73"/>
      <c r="N240" s="46">
        <v>0</v>
      </c>
      <c r="O240" s="46">
        <v>0</v>
      </c>
      <c r="P240" s="46">
        <v>0</v>
      </c>
      <c r="Q240" s="98"/>
      <c r="R240" s="23" t="s">
        <v>1432</v>
      </c>
      <c r="S240" s="24" t="s">
        <v>558</v>
      </c>
      <c r="T240" s="25" t="s">
        <v>559</v>
      </c>
      <c r="U240" s="26">
        <v>32</v>
      </c>
      <c r="V240" s="26">
        <f t="shared" si="48"/>
        <v>32</v>
      </c>
      <c r="W240" s="26">
        <f t="shared" si="45"/>
        <v>422.3</v>
      </c>
      <c r="X240" s="26">
        <f t="shared" si="51"/>
        <v>0</v>
      </c>
      <c r="Y240" s="26">
        <f t="shared" si="41"/>
        <v>0</v>
      </c>
      <c r="Z240" s="26">
        <f t="shared" si="49"/>
        <v>0</v>
      </c>
      <c r="AA240" s="26">
        <f t="shared" si="52"/>
        <v>0</v>
      </c>
      <c r="AB240" s="33" t="s">
        <v>15</v>
      </c>
      <c r="AC240" s="324"/>
      <c r="AD240" s="181">
        <f t="shared" si="44"/>
        <v>32</v>
      </c>
      <c r="AE240" s="181">
        <f t="shared" si="43"/>
        <v>13513.6</v>
      </c>
      <c r="AF240" s="181">
        <v>1.5</v>
      </c>
      <c r="AG240" s="181">
        <v>1.5</v>
      </c>
      <c r="AH240" s="363" t="str">
        <f t="shared" si="50"/>
        <v/>
      </c>
      <c r="AI240" s="192">
        <v>0</v>
      </c>
      <c r="AJ240" s="188">
        <v>32</v>
      </c>
      <c r="AN240" s="281"/>
      <c r="AO240" s="367"/>
      <c r="AP240" s="367"/>
      <c r="AQ240" s="367"/>
    </row>
    <row r="241" spans="1:43" s="281" customFormat="1" ht="39" x14ac:dyDescent="0.3">
      <c r="A241" s="283" t="s">
        <v>3208</v>
      </c>
      <c r="B241" s="211" t="s">
        <v>3207</v>
      </c>
      <c r="C241" s="212" t="s">
        <v>30</v>
      </c>
      <c r="D241" s="213"/>
      <c r="E241" s="213"/>
      <c r="F241" s="213"/>
      <c r="G241" s="213"/>
      <c r="H241" s="213"/>
      <c r="I241" s="343">
        <v>12</v>
      </c>
      <c r="J241" s="213">
        <v>3848.13</v>
      </c>
      <c r="K241" s="275">
        <v>46177.56</v>
      </c>
      <c r="L241" s="284"/>
      <c r="M241" s="278"/>
      <c r="N241" s="42">
        <v>12</v>
      </c>
      <c r="O241" s="42">
        <v>0</v>
      </c>
      <c r="P241" s="42">
        <v>46177.56</v>
      </c>
      <c r="Q241" s="98"/>
      <c r="R241" s="13" t="s">
        <v>3218</v>
      </c>
      <c r="S241" s="286" t="str">
        <f t="shared" ref="S241:T241" si="53">B241</f>
        <v>12"排水鋼管，含埋設</v>
      </c>
      <c r="T241" s="287" t="str">
        <f t="shared" si="53"/>
        <v>M</v>
      </c>
      <c r="U241" s="16"/>
      <c r="V241" s="16">
        <f t="shared" si="48"/>
        <v>12</v>
      </c>
      <c r="W241" s="16">
        <f t="shared" si="45"/>
        <v>3848.13</v>
      </c>
      <c r="X241" s="16">
        <f t="shared" si="51"/>
        <v>0</v>
      </c>
      <c r="Y241" s="127">
        <f t="shared" si="41"/>
        <v>12</v>
      </c>
      <c r="Z241" s="127">
        <f t="shared" si="49"/>
        <v>0</v>
      </c>
      <c r="AA241" s="127">
        <f t="shared" si="52"/>
        <v>46177.56</v>
      </c>
      <c r="AB241" s="17"/>
      <c r="AC241" s="324"/>
      <c r="AD241" s="181">
        <f t="shared" si="44"/>
        <v>12</v>
      </c>
      <c r="AE241" s="181">
        <f t="shared" si="43"/>
        <v>46177.56</v>
      </c>
      <c r="AF241" s="181">
        <v>1.5</v>
      </c>
      <c r="AG241" s="181">
        <v>1.5</v>
      </c>
      <c r="AH241" s="364"/>
      <c r="AI241" s="285">
        <f>12</f>
        <v>12</v>
      </c>
      <c r="AJ241" s="190">
        <v>12</v>
      </c>
      <c r="AN241" s="69"/>
      <c r="AO241" s="367"/>
      <c r="AP241" s="367"/>
      <c r="AQ241" s="367"/>
    </row>
    <row r="242" spans="1:43" s="69" customFormat="1" x14ac:dyDescent="0.3">
      <c r="A242" s="79" t="s">
        <v>561</v>
      </c>
      <c r="B242" s="80" t="s">
        <v>562</v>
      </c>
      <c r="C242" s="81" t="s">
        <v>14</v>
      </c>
      <c r="D242" s="82">
        <v>1</v>
      </c>
      <c r="E242" s="82"/>
      <c r="F242" s="82"/>
      <c r="G242" s="82"/>
      <c r="H242" s="82"/>
      <c r="I242" s="82"/>
      <c r="J242" s="82">
        <v>18979468.52</v>
      </c>
      <c r="K242" s="82">
        <v>18979468.52</v>
      </c>
      <c r="L242" s="94" t="s">
        <v>15</v>
      </c>
      <c r="M242" s="73"/>
      <c r="N242" s="45">
        <v>1</v>
      </c>
      <c r="O242" s="45">
        <v>0</v>
      </c>
      <c r="P242" s="45">
        <v>17251452.990000002</v>
      </c>
      <c r="Q242" s="98"/>
      <c r="R242" s="18" t="s">
        <v>1394</v>
      </c>
      <c r="S242" s="19" t="s">
        <v>562</v>
      </c>
      <c r="T242" s="20" t="s">
        <v>14</v>
      </c>
      <c r="U242" s="21">
        <v>1</v>
      </c>
      <c r="V242" s="21"/>
      <c r="W242" s="21">
        <f t="shared" si="45"/>
        <v>18979468.52</v>
      </c>
      <c r="X242" s="21">
        <f t="shared" ref="X242:Y242" si="54">IF(Z242=0,0,1)</f>
        <v>0</v>
      </c>
      <c r="Y242" s="21">
        <f t="shared" si="54"/>
        <v>1</v>
      </c>
      <c r="Z242" s="21">
        <f>SUMIFS(Z:Z,AG:AG,AF242)</f>
        <v>0</v>
      </c>
      <c r="AA242" s="21">
        <f>SUMIFS(AA:AA,AG:AG,AF242)</f>
        <v>17251452.990000002</v>
      </c>
      <c r="AB242" s="22" t="s">
        <v>15</v>
      </c>
      <c r="AC242" s="324"/>
      <c r="AD242" s="181">
        <f t="shared" si="44"/>
        <v>1</v>
      </c>
      <c r="AE242" s="184"/>
      <c r="AF242" s="184">
        <v>1.6</v>
      </c>
      <c r="AG242" s="184"/>
      <c r="AH242" s="363" t="str">
        <f t="shared" si="50"/>
        <v/>
      </c>
      <c r="AI242" s="192">
        <v>1</v>
      </c>
      <c r="AJ242" s="188">
        <v>1</v>
      </c>
      <c r="AO242" s="367"/>
      <c r="AP242" s="367"/>
      <c r="AQ242" s="367"/>
    </row>
    <row r="243" spans="1:43" s="69" customFormat="1" ht="58.5" x14ac:dyDescent="0.3">
      <c r="A243" s="130" t="s">
        <v>563</v>
      </c>
      <c r="B243" s="131" t="s">
        <v>564</v>
      </c>
      <c r="C243" s="132" t="s">
        <v>23</v>
      </c>
      <c r="D243" s="133">
        <v>256</v>
      </c>
      <c r="E243" s="75"/>
      <c r="F243" s="75"/>
      <c r="G243" s="75"/>
      <c r="H243" s="75">
        <v>380.68</v>
      </c>
      <c r="I243" s="343">
        <v>482.1</v>
      </c>
      <c r="J243" s="75">
        <v>7517.56</v>
      </c>
      <c r="K243" s="75">
        <v>3624215.68</v>
      </c>
      <c r="L243" s="91" t="s">
        <v>565</v>
      </c>
      <c r="M243" s="73"/>
      <c r="N243" s="46">
        <v>470</v>
      </c>
      <c r="O243" s="46">
        <v>0</v>
      </c>
      <c r="P243" s="46">
        <v>3533253.2</v>
      </c>
      <c r="Q243" s="98"/>
      <c r="R243" s="23" t="s">
        <v>1421</v>
      </c>
      <c r="S243" s="24" t="s">
        <v>564</v>
      </c>
      <c r="T243" s="25" t="s">
        <v>23</v>
      </c>
      <c r="U243" s="26">
        <v>256</v>
      </c>
      <c r="V243" s="26">
        <f t="shared" ref="V243:V306" si="55">IF(I243&gt;0,I243,IF(H243&gt;0,H243,IF(G243&gt;0,G243,IF(F243&gt;0,F243,IF(E243&gt;0,E243,D243)))))</f>
        <v>482.1</v>
      </c>
      <c r="W243" s="26">
        <f t="shared" si="45"/>
        <v>7517.56</v>
      </c>
      <c r="X243" s="379">
        <f t="shared" ref="X243:X262" si="56">AI243-N243</f>
        <v>0</v>
      </c>
      <c r="Y243" s="127">
        <f t="shared" si="41"/>
        <v>470</v>
      </c>
      <c r="Z243" s="127">
        <f t="shared" ref="Z243:Z262" si="57">AA243-P243</f>
        <v>0</v>
      </c>
      <c r="AA243" s="127">
        <f t="shared" si="52"/>
        <v>3533253.2</v>
      </c>
      <c r="AB243" s="33" t="s">
        <v>15</v>
      </c>
      <c r="AC243" s="324"/>
      <c r="AD243" s="181">
        <f t="shared" si="44"/>
        <v>482.1</v>
      </c>
      <c r="AE243" s="181">
        <f t="shared" ref="AE243:AE262" si="58">ROUND(W243*AD243,2)</f>
        <v>3624215.68</v>
      </c>
      <c r="AF243" s="181">
        <v>1.6</v>
      </c>
      <c r="AG243" s="181">
        <v>1.6</v>
      </c>
      <c r="AH243" s="363" t="str">
        <f t="shared" si="50"/>
        <v/>
      </c>
      <c r="AI243" s="194">
        <v>470</v>
      </c>
      <c r="AJ243" s="190">
        <v>482.1</v>
      </c>
      <c r="AO243" s="367"/>
      <c r="AP243" s="367"/>
      <c r="AQ243" s="367"/>
    </row>
    <row r="244" spans="1:43" s="69" customFormat="1" ht="58.5" x14ac:dyDescent="0.3">
      <c r="A244" s="55" t="s">
        <v>566</v>
      </c>
      <c r="B244" s="53" t="s">
        <v>3064</v>
      </c>
      <c r="C244" s="54" t="s">
        <v>23</v>
      </c>
      <c r="D244" s="75">
        <v>766</v>
      </c>
      <c r="E244" s="75"/>
      <c r="F244" s="75"/>
      <c r="G244" s="75"/>
      <c r="H244" s="75">
        <v>917.25</v>
      </c>
      <c r="I244" s="328"/>
      <c r="J244" s="75">
        <v>7496.96</v>
      </c>
      <c r="K244" s="75">
        <v>6876586.5599999996</v>
      </c>
      <c r="L244" s="91" t="s">
        <v>568</v>
      </c>
      <c r="M244" s="73"/>
      <c r="N244" s="46">
        <v>749.30000000000007</v>
      </c>
      <c r="O244" s="46">
        <v>0</v>
      </c>
      <c r="P244" s="46">
        <v>5617472.1299999999</v>
      </c>
      <c r="Q244" s="98"/>
      <c r="R244" s="23" t="s">
        <v>1426</v>
      </c>
      <c r="S244" s="24" t="s">
        <v>567</v>
      </c>
      <c r="T244" s="25" t="s">
        <v>23</v>
      </c>
      <c r="U244" s="26">
        <v>766</v>
      </c>
      <c r="V244" s="26">
        <f t="shared" si="55"/>
        <v>917.25</v>
      </c>
      <c r="W244" s="26">
        <f t="shared" si="45"/>
        <v>7496.96</v>
      </c>
      <c r="X244" s="342">
        <f t="shared" si="56"/>
        <v>0</v>
      </c>
      <c r="Y244" s="26">
        <f t="shared" si="41"/>
        <v>749.30000000000007</v>
      </c>
      <c r="Z244" s="26">
        <f t="shared" si="57"/>
        <v>0</v>
      </c>
      <c r="AA244" s="26">
        <f t="shared" si="52"/>
        <v>5617472.1299999999</v>
      </c>
      <c r="AB244" s="33" t="s">
        <v>15</v>
      </c>
      <c r="AC244" s="325"/>
      <c r="AD244" s="263">
        <f t="shared" si="44"/>
        <v>917.25</v>
      </c>
      <c r="AE244" s="263">
        <f t="shared" si="58"/>
        <v>6876586.5599999996</v>
      </c>
      <c r="AF244" s="263">
        <v>1.6</v>
      </c>
      <c r="AG244" s="263">
        <v>1.6</v>
      </c>
      <c r="AH244" s="68" t="str">
        <f t="shared" si="50"/>
        <v/>
      </c>
      <c r="AI244" s="194">
        <f>437.3+1672*0.15+61.2</f>
        <v>749.30000000000007</v>
      </c>
      <c r="AJ244" s="188">
        <v>917.25</v>
      </c>
      <c r="AO244" s="367"/>
      <c r="AP244" s="367"/>
      <c r="AQ244" s="367"/>
    </row>
    <row r="245" spans="1:43" s="69" customFormat="1" ht="24.75" x14ac:dyDescent="0.3">
      <c r="A245" s="55" t="s">
        <v>569</v>
      </c>
      <c r="B245" s="53" t="s">
        <v>570</v>
      </c>
      <c r="C245" s="54" t="s">
        <v>50</v>
      </c>
      <c r="D245" s="75">
        <v>5103</v>
      </c>
      <c r="E245" s="75"/>
      <c r="F245" s="75"/>
      <c r="G245" s="75"/>
      <c r="H245" s="75"/>
      <c r="I245" s="328"/>
      <c r="J245" s="75">
        <v>11.6</v>
      </c>
      <c r="K245" s="75">
        <v>59194.8</v>
      </c>
      <c r="L245" s="91" t="s">
        <v>571</v>
      </c>
      <c r="M245" s="73"/>
      <c r="N245" s="46">
        <v>2634</v>
      </c>
      <c r="O245" s="46">
        <v>0</v>
      </c>
      <c r="P245" s="46">
        <v>30554.400000000001</v>
      </c>
      <c r="Q245" s="98"/>
      <c r="R245" s="23" t="s">
        <v>1402</v>
      </c>
      <c r="S245" s="24" t="s">
        <v>570</v>
      </c>
      <c r="T245" s="25" t="s">
        <v>50</v>
      </c>
      <c r="U245" s="26">
        <v>5103</v>
      </c>
      <c r="V245" s="26">
        <f t="shared" si="55"/>
        <v>5103</v>
      </c>
      <c r="W245" s="26">
        <f t="shared" si="45"/>
        <v>11.6</v>
      </c>
      <c r="X245" s="342">
        <f t="shared" si="56"/>
        <v>0</v>
      </c>
      <c r="Y245" s="26">
        <f t="shared" si="41"/>
        <v>2634</v>
      </c>
      <c r="Z245" s="26">
        <f t="shared" si="57"/>
        <v>0</v>
      </c>
      <c r="AA245" s="26">
        <f t="shared" si="52"/>
        <v>30554.400000000001</v>
      </c>
      <c r="AB245" s="33" t="s">
        <v>15</v>
      </c>
      <c r="AC245" s="325"/>
      <c r="AD245" s="263">
        <f t="shared" si="44"/>
        <v>5103</v>
      </c>
      <c r="AE245" s="263">
        <f t="shared" si="58"/>
        <v>59194.8</v>
      </c>
      <c r="AF245" s="263">
        <v>1.6</v>
      </c>
      <c r="AG245" s="263">
        <v>1.6</v>
      </c>
      <c r="AH245" s="68" t="str">
        <f t="shared" si="50"/>
        <v/>
      </c>
      <c r="AI245" s="194">
        <f>798+1836</f>
        <v>2634</v>
      </c>
      <c r="AJ245" s="188">
        <v>5103</v>
      </c>
      <c r="AO245" s="367"/>
      <c r="AP245" s="367"/>
      <c r="AQ245" s="367"/>
    </row>
    <row r="246" spans="1:43" s="69" customFormat="1" ht="58.5" x14ac:dyDescent="0.3">
      <c r="A246" s="55" t="s">
        <v>572</v>
      </c>
      <c r="B246" s="53" t="s">
        <v>573</v>
      </c>
      <c r="C246" s="54" t="s">
        <v>50</v>
      </c>
      <c r="D246" s="75">
        <v>5103</v>
      </c>
      <c r="E246" s="75"/>
      <c r="F246" s="75"/>
      <c r="G246" s="75"/>
      <c r="H246" s="75">
        <v>6734.4</v>
      </c>
      <c r="I246" s="328"/>
      <c r="J246" s="75">
        <v>42.46</v>
      </c>
      <c r="K246" s="75">
        <v>285942.62</v>
      </c>
      <c r="L246" s="91" t="s">
        <v>574</v>
      </c>
      <c r="M246" s="73"/>
      <c r="N246" s="46">
        <v>4306</v>
      </c>
      <c r="O246" s="46">
        <v>0</v>
      </c>
      <c r="P246" s="46">
        <v>182832.76</v>
      </c>
      <c r="Q246" s="98"/>
      <c r="R246" s="23" t="s">
        <v>1373</v>
      </c>
      <c r="S246" s="24" t="s">
        <v>573</v>
      </c>
      <c r="T246" s="25" t="s">
        <v>50</v>
      </c>
      <c r="U246" s="26">
        <v>5103</v>
      </c>
      <c r="V246" s="26">
        <f t="shared" si="55"/>
        <v>6734.4</v>
      </c>
      <c r="W246" s="26">
        <f t="shared" si="45"/>
        <v>42.46</v>
      </c>
      <c r="X246" s="342">
        <f t="shared" si="56"/>
        <v>0</v>
      </c>
      <c r="Y246" s="26">
        <f t="shared" si="41"/>
        <v>4306</v>
      </c>
      <c r="Z246" s="26">
        <f t="shared" si="57"/>
        <v>0</v>
      </c>
      <c r="AA246" s="26">
        <f t="shared" si="52"/>
        <v>182832.76</v>
      </c>
      <c r="AB246" s="33" t="s">
        <v>15</v>
      </c>
      <c r="AC246" s="325"/>
      <c r="AD246" s="263">
        <f t="shared" si="44"/>
        <v>6734.4</v>
      </c>
      <c r="AE246" s="263">
        <f t="shared" si="58"/>
        <v>285942.62</v>
      </c>
      <c r="AF246" s="263">
        <v>1.6</v>
      </c>
      <c r="AG246" s="263">
        <v>1.6</v>
      </c>
      <c r="AH246" s="68" t="str">
        <f t="shared" si="50"/>
        <v/>
      </c>
      <c r="AI246" s="194">
        <f>2381+1925</f>
        <v>4306</v>
      </c>
      <c r="AJ246" s="188">
        <v>6734.4</v>
      </c>
      <c r="AO246" s="367"/>
      <c r="AP246" s="367"/>
      <c r="AQ246" s="367"/>
    </row>
    <row r="247" spans="1:43" s="69" customFormat="1" ht="58.5" x14ac:dyDescent="0.3">
      <c r="A247" s="55" t="s">
        <v>575</v>
      </c>
      <c r="B247" s="53" t="s">
        <v>576</v>
      </c>
      <c r="C247" s="54" t="s">
        <v>50</v>
      </c>
      <c r="D247" s="75">
        <v>15307</v>
      </c>
      <c r="E247" s="75"/>
      <c r="F247" s="75"/>
      <c r="G247" s="75"/>
      <c r="H247" s="75">
        <v>19027.2</v>
      </c>
      <c r="I247" s="328">
        <v>21202.13</v>
      </c>
      <c r="J247" s="75">
        <v>15.96</v>
      </c>
      <c r="K247" s="75">
        <v>338385.99</v>
      </c>
      <c r="L247" s="91" t="s">
        <v>577</v>
      </c>
      <c r="M247" s="73"/>
      <c r="N247" s="46">
        <v>17728.7</v>
      </c>
      <c r="O247" s="46">
        <v>0</v>
      </c>
      <c r="P247" s="46">
        <v>282950.05</v>
      </c>
      <c r="Q247" s="98"/>
      <c r="R247" s="23" t="s">
        <v>1393</v>
      </c>
      <c r="S247" s="24" t="s">
        <v>576</v>
      </c>
      <c r="T247" s="25" t="s">
        <v>50</v>
      </c>
      <c r="U247" s="26">
        <v>15307</v>
      </c>
      <c r="V247" s="26">
        <f t="shared" si="55"/>
        <v>21202.13</v>
      </c>
      <c r="W247" s="26">
        <f t="shared" si="45"/>
        <v>15.96</v>
      </c>
      <c r="X247" s="342">
        <f t="shared" si="56"/>
        <v>0</v>
      </c>
      <c r="Y247" s="26">
        <f t="shared" si="41"/>
        <v>17728.7</v>
      </c>
      <c r="Z247" s="26">
        <f t="shared" si="57"/>
        <v>0</v>
      </c>
      <c r="AA247" s="26">
        <f t="shared" si="52"/>
        <v>282950.05</v>
      </c>
      <c r="AB247" s="33" t="s">
        <v>15</v>
      </c>
      <c r="AC247" s="325"/>
      <c r="AD247" s="263">
        <f t="shared" si="44"/>
        <v>21202.13</v>
      </c>
      <c r="AE247" s="263">
        <f t="shared" si="58"/>
        <v>338385.99</v>
      </c>
      <c r="AF247" s="263">
        <v>1.6</v>
      </c>
      <c r="AG247" s="263">
        <v>1.6</v>
      </c>
      <c r="AH247" s="68" t="str">
        <f t="shared" si="50"/>
        <v/>
      </c>
      <c r="AI247" s="194">
        <f>7986+1500+5632+2610.7</f>
        <v>17728.7</v>
      </c>
      <c r="AJ247" s="190">
        <v>21202.13</v>
      </c>
      <c r="AO247" s="367"/>
      <c r="AP247" s="367"/>
      <c r="AQ247" s="367"/>
    </row>
    <row r="248" spans="1:43" s="69" customFormat="1" ht="58.5" x14ac:dyDescent="0.3">
      <c r="A248" s="130" t="s">
        <v>578</v>
      </c>
      <c r="B248" s="131" t="s">
        <v>392</v>
      </c>
      <c r="C248" s="132" t="s">
        <v>23</v>
      </c>
      <c r="D248" s="133">
        <v>24</v>
      </c>
      <c r="E248" s="75"/>
      <c r="F248" s="75"/>
      <c r="G248" s="75"/>
      <c r="H248" s="75"/>
      <c r="I248" s="328"/>
      <c r="J248" s="75">
        <v>3115.13</v>
      </c>
      <c r="K248" s="75">
        <v>74763.12</v>
      </c>
      <c r="L248" s="91" t="s">
        <v>114</v>
      </c>
      <c r="M248" s="73"/>
      <c r="N248" s="46">
        <v>24</v>
      </c>
      <c r="O248" s="46">
        <v>0</v>
      </c>
      <c r="P248" s="46">
        <v>74763.12</v>
      </c>
      <c r="Q248" s="98"/>
      <c r="R248" s="23" t="s">
        <v>1403</v>
      </c>
      <c r="S248" s="24" t="s">
        <v>392</v>
      </c>
      <c r="T248" s="25" t="s">
        <v>23</v>
      </c>
      <c r="U248" s="26">
        <v>24</v>
      </c>
      <c r="V248" s="26">
        <f t="shared" si="55"/>
        <v>24</v>
      </c>
      <c r="W248" s="26">
        <f t="shared" si="45"/>
        <v>3115.13</v>
      </c>
      <c r="X248" s="127">
        <f t="shared" si="56"/>
        <v>0</v>
      </c>
      <c r="Y248" s="127">
        <f t="shared" si="41"/>
        <v>24</v>
      </c>
      <c r="Z248" s="127">
        <f t="shared" si="57"/>
        <v>0</v>
      </c>
      <c r="AA248" s="127">
        <f t="shared" si="52"/>
        <v>74763.12</v>
      </c>
      <c r="AB248" s="33" t="s">
        <v>15</v>
      </c>
      <c r="AC248" s="324"/>
      <c r="AD248" s="181">
        <f t="shared" si="44"/>
        <v>24</v>
      </c>
      <c r="AE248" s="181">
        <f t="shared" si="58"/>
        <v>74763.12</v>
      </c>
      <c r="AF248" s="181">
        <v>1.6</v>
      </c>
      <c r="AG248" s="181">
        <v>1.6</v>
      </c>
      <c r="AH248" s="363" t="str">
        <f t="shared" si="50"/>
        <v/>
      </c>
      <c r="AI248" s="194">
        <f>5+19</f>
        <v>24</v>
      </c>
      <c r="AJ248" s="188">
        <v>24</v>
      </c>
      <c r="AO248" s="367"/>
      <c r="AP248" s="367"/>
      <c r="AQ248" s="367"/>
    </row>
    <row r="249" spans="1:43" s="69" customFormat="1" ht="58.5" x14ac:dyDescent="0.3">
      <c r="A249" s="130" t="s">
        <v>579</v>
      </c>
      <c r="B249" s="131" t="s">
        <v>116</v>
      </c>
      <c r="C249" s="132" t="s">
        <v>23</v>
      </c>
      <c r="D249" s="133">
        <v>237</v>
      </c>
      <c r="E249" s="75"/>
      <c r="F249" s="75"/>
      <c r="G249" s="75"/>
      <c r="H249" s="75"/>
      <c r="I249" s="343">
        <v>362.85</v>
      </c>
      <c r="J249" s="75">
        <v>3321.13</v>
      </c>
      <c r="K249" s="75">
        <v>1205072.02</v>
      </c>
      <c r="L249" s="91" t="s">
        <v>117</v>
      </c>
      <c r="M249" s="73"/>
      <c r="N249" s="46">
        <v>362.85</v>
      </c>
      <c r="O249" s="46">
        <v>0</v>
      </c>
      <c r="P249" s="46">
        <v>1205072.02</v>
      </c>
      <c r="Q249" s="98"/>
      <c r="R249" s="23" t="s">
        <v>1427</v>
      </c>
      <c r="S249" s="24" t="s">
        <v>116</v>
      </c>
      <c r="T249" s="25" t="s">
        <v>23</v>
      </c>
      <c r="U249" s="26">
        <v>237</v>
      </c>
      <c r="V249" s="26">
        <f t="shared" si="55"/>
        <v>362.85</v>
      </c>
      <c r="W249" s="26">
        <f t="shared" si="45"/>
        <v>3321.13</v>
      </c>
      <c r="X249" s="127">
        <f t="shared" si="56"/>
        <v>0</v>
      </c>
      <c r="Y249" s="127">
        <f t="shared" si="41"/>
        <v>362.85</v>
      </c>
      <c r="Z249" s="127">
        <f t="shared" si="57"/>
        <v>0</v>
      </c>
      <c r="AA249" s="127">
        <f t="shared" si="52"/>
        <v>1205072.02</v>
      </c>
      <c r="AB249" s="33" t="s">
        <v>15</v>
      </c>
      <c r="AC249" s="324"/>
      <c r="AD249" s="181">
        <f t="shared" si="44"/>
        <v>362.85</v>
      </c>
      <c r="AE249" s="181">
        <f t="shared" si="58"/>
        <v>1205072.02</v>
      </c>
      <c r="AF249" s="181">
        <v>1.6</v>
      </c>
      <c r="AG249" s="181">
        <v>1.6</v>
      </c>
      <c r="AH249" s="363" t="str">
        <f t="shared" si="50"/>
        <v/>
      </c>
      <c r="AI249" s="194">
        <f>120.35+103.6+13.05+125.85</f>
        <v>362.85</v>
      </c>
      <c r="AJ249" s="190">
        <v>362.85</v>
      </c>
      <c r="AO249" s="367"/>
      <c r="AP249" s="367"/>
      <c r="AQ249" s="367"/>
    </row>
    <row r="250" spans="1:43" s="69" customFormat="1" ht="39" x14ac:dyDescent="0.3">
      <c r="A250" s="130" t="s">
        <v>580</v>
      </c>
      <c r="B250" s="131" t="s">
        <v>493</v>
      </c>
      <c r="C250" s="132" t="s">
        <v>23</v>
      </c>
      <c r="D250" s="133">
        <v>261</v>
      </c>
      <c r="E250" s="75"/>
      <c r="F250" s="75"/>
      <c r="G250" s="75"/>
      <c r="H250" s="75"/>
      <c r="I250" s="344">
        <v>386.85</v>
      </c>
      <c r="J250" s="75">
        <v>200</v>
      </c>
      <c r="K250" s="75">
        <v>77370</v>
      </c>
      <c r="L250" s="91" t="s">
        <v>494</v>
      </c>
      <c r="M250" s="73"/>
      <c r="N250" s="46">
        <v>386.85</v>
      </c>
      <c r="O250" s="46">
        <v>0</v>
      </c>
      <c r="P250" s="46">
        <v>77370</v>
      </c>
      <c r="Q250" s="98"/>
      <c r="R250" s="23" t="s">
        <v>1428</v>
      </c>
      <c r="S250" s="24" t="s">
        <v>493</v>
      </c>
      <c r="T250" s="25" t="s">
        <v>23</v>
      </c>
      <c r="U250" s="26">
        <v>261</v>
      </c>
      <c r="V250" s="26">
        <f t="shared" si="55"/>
        <v>386.85</v>
      </c>
      <c r="W250" s="26">
        <f t="shared" si="45"/>
        <v>200</v>
      </c>
      <c r="X250" s="127">
        <f t="shared" si="56"/>
        <v>0</v>
      </c>
      <c r="Y250" s="127">
        <f t="shared" si="41"/>
        <v>386.85</v>
      </c>
      <c r="Z250" s="127">
        <f t="shared" si="57"/>
        <v>0</v>
      </c>
      <c r="AA250" s="127">
        <f t="shared" si="52"/>
        <v>77370</v>
      </c>
      <c r="AB250" s="33" t="s">
        <v>15</v>
      </c>
      <c r="AC250" s="324"/>
      <c r="AD250" s="181">
        <f t="shared" si="44"/>
        <v>386.85</v>
      </c>
      <c r="AE250" s="181">
        <f t="shared" si="58"/>
        <v>77370</v>
      </c>
      <c r="AF250" s="181">
        <v>1.6</v>
      </c>
      <c r="AG250" s="181">
        <v>1.6</v>
      </c>
      <c r="AH250" s="363" t="str">
        <f t="shared" si="50"/>
        <v/>
      </c>
      <c r="AI250" s="194">
        <f>AI248+AI249</f>
        <v>386.85</v>
      </c>
      <c r="AJ250" s="190">
        <v>386.85</v>
      </c>
      <c r="AO250" s="367"/>
      <c r="AP250" s="367"/>
      <c r="AQ250" s="367"/>
    </row>
    <row r="251" spans="1:43" s="69" customFormat="1" ht="33" x14ac:dyDescent="0.3">
      <c r="A251" s="130" t="s">
        <v>581</v>
      </c>
      <c r="B251" s="131" t="s">
        <v>582</v>
      </c>
      <c r="C251" s="132" t="s">
        <v>50</v>
      </c>
      <c r="D251" s="133">
        <v>745</v>
      </c>
      <c r="E251" s="75"/>
      <c r="F251" s="75"/>
      <c r="G251" s="75"/>
      <c r="H251" s="161"/>
      <c r="I251" s="345">
        <v>1025.82</v>
      </c>
      <c r="J251" s="166">
        <v>698.31</v>
      </c>
      <c r="K251" s="75">
        <v>716340.36</v>
      </c>
      <c r="L251" s="91" t="s">
        <v>583</v>
      </c>
      <c r="M251" s="73"/>
      <c r="N251" s="46">
        <v>1025.82</v>
      </c>
      <c r="O251" s="46">
        <v>0</v>
      </c>
      <c r="P251" s="46">
        <v>716340.36</v>
      </c>
      <c r="Q251" s="98"/>
      <c r="R251" s="23" t="s">
        <v>1387</v>
      </c>
      <c r="S251" s="24" t="s">
        <v>582</v>
      </c>
      <c r="T251" s="25" t="s">
        <v>50</v>
      </c>
      <c r="U251" s="26">
        <v>745</v>
      </c>
      <c r="V251" s="26">
        <f t="shared" si="55"/>
        <v>1025.82</v>
      </c>
      <c r="W251" s="26">
        <f t="shared" si="45"/>
        <v>698.31</v>
      </c>
      <c r="X251" s="127">
        <f t="shared" si="56"/>
        <v>0</v>
      </c>
      <c r="Y251" s="127">
        <f t="shared" si="41"/>
        <v>1025.82</v>
      </c>
      <c r="Z251" s="127">
        <f t="shared" si="57"/>
        <v>0</v>
      </c>
      <c r="AA251" s="127">
        <f t="shared" si="52"/>
        <v>716340.36</v>
      </c>
      <c r="AB251" s="33" t="s">
        <v>15</v>
      </c>
      <c r="AC251" s="324"/>
      <c r="AD251" s="181">
        <f t="shared" si="44"/>
        <v>1025.82</v>
      </c>
      <c r="AE251" s="181">
        <f t="shared" si="58"/>
        <v>716340.36</v>
      </c>
      <c r="AF251" s="181">
        <v>1.6</v>
      </c>
      <c r="AG251" s="181">
        <v>1.6</v>
      </c>
      <c r="AH251" s="363" t="str">
        <f t="shared" si="50"/>
        <v/>
      </c>
      <c r="AI251" s="194">
        <f>256+312+177+280.82</f>
        <v>1025.82</v>
      </c>
      <c r="AJ251" s="190">
        <v>1025.82</v>
      </c>
      <c r="AO251" s="367"/>
      <c r="AP251" s="367"/>
      <c r="AQ251" s="367"/>
    </row>
    <row r="252" spans="1:43" s="69" customFormat="1" ht="41.25" x14ac:dyDescent="0.3">
      <c r="A252" s="130" t="s">
        <v>584</v>
      </c>
      <c r="B252" s="131" t="s">
        <v>119</v>
      </c>
      <c r="C252" s="132" t="s">
        <v>50</v>
      </c>
      <c r="D252" s="133">
        <v>915</v>
      </c>
      <c r="E252" s="75"/>
      <c r="F252" s="75"/>
      <c r="G252" s="75"/>
      <c r="H252" s="161"/>
      <c r="I252" s="345">
        <v>1236.82</v>
      </c>
      <c r="J252" s="166">
        <v>533.64</v>
      </c>
      <c r="K252" s="75">
        <v>660016.62</v>
      </c>
      <c r="L252" s="91" t="s">
        <v>120</v>
      </c>
      <c r="M252" s="73"/>
      <c r="N252" s="46">
        <v>1236.82</v>
      </c>
      <c r="O252" s="46">
        <v>0</v>
      </c>
      <c r="P252" s="46">
        <v>660016.62</v>
      </c>
      <c r="Q252" s="98"/>
      <c r="R252" s="23" t="s">
        <v>1405</v>
      </c>
      <c r="S252" s="24" t="s">
        <v>119</v>
      </c>
      <c r="T252" s="25" t="s">
        <v>50</v>
      </c>
      <c r="U252" s="26">
        <v>915</v>
      </c>
      <c r="V252" s="26">
        <f t="shared" si="55"/>
        <v>1236.82</v>
      </c>
      <c r="W252" s="26">
        <f t="shared" si="45"/>
        <v>533.64</v>
      </c>
      <c r="X252" s="127">
        <f t="shared" si="56"/>
        <v>0</v>
      </c>
      <c r="Y252" s="127">
        <f t="shared" si="41"/>
        <v>1236.82</v>
      </c>
      <c r="Z252" s="127">
        <f t="shared" si="57"/>
        <v>0</v>
      </c>
      <c r="AA252" s="127">
        <f t="shared" si="52"/>
        <v>660016.62</v>
      </c>
      <c r="AB252" s="33" t="s">
        <v>15</v>
      </c>
      <c r="AC252" s="324"/>
      <c r="AD252" s="181">
        <f t="shared" si="44"/>
        <v>1236.82</v>
      </c>
      <c r="AE252" s="181">
        <f t="shared" si="58"/>
        <v>660016.62</v>
      </c>
      <c r="AF252" s="181">
        <v>1.6</v>
      </c>
      <c r="AG252" s="181">
        <v>1.6</v>
      </c>
      <c r="AH252" s="363" t="str">
        <f t="shared" si="50"/>
        <v/>
      </c>
      <c r="AI252" s="194">
        <f>254.5+622+38.5+321.82</f>
        <v>1236.82</v>
      </c>
      <c r="AJ252" s="190">
        <v>1236.82</v>
      </c>
      <c r="AO252" s="367"/>
      <c r="AP252" s="367"/>
      <c r="AQ252" s="367"/>
    </row>
    <row r="253" spans="1:43" s="69" customFormat="1" ht="33" x14ac:dyDescent="0.3">
      <c r="A253" s="130" t="s">
        <v>585</v>
      </c>
      <c r="B253" s="131" t="s">
        <v>109</v>
      </c>
      <c r="C253" s="132" t="s">
        <v>110</v>
      </c>
      <c r="D253" s="133">
        <v>9227</v>
      </c>
      <c r="E253" s="75"/>
      <c r="F253" s="75"/>
      <c r="G253" s="75"/>
      <c r="H253" s="161"/>
      <c r="I253" s="345">
        <v>64145.43</v>
      </c>
      <c r="J253" s="166">
        <v>36.4</v>
      </c>
      <c r="K253" s="75">
        <v>2334893.65</v>
      </c>
      <c r="L253" s="91" t="s">
        <v>111</v>
      </c>
      <c r="M253" s="73"/>
      <c r="N253" s="46">
        <v>64145.43</v>
      </c>
      <c r="O253" s="46">
        <v>0</v>
      </c>
      <c r="P253" s="46">
        <v>2334893.65</v>
      </c>
      <c r="Q253" s="98"/>
      <c r="R253" s="23" t="s">
        <v>1406</v>
      </c>
      <c r="S253" s="24" t="s">
        <v>109</v>
      </c>
      <c r="T253" s="25" t="s">
        <v>110</v>
      </c>
      <c r="U253" s="26">
        <v>9227</v>
      </c>
      <c r="V253" s="26">
        <f t="shared" si="55"/>
        <v>64145.43</v>
      </c>
      <c r="W253" s="26">
        <f t="shared" si="45"/>
        <v>36.4</v>
      </c>
      <c r="X253" s="127">
        <f t="shared" si="56"/>
        <v>0</v>
      </c>
      <c r="Y253" s="127">
        <f t="shared" si="41"/>
        <v>64145.43</v>
      </c>
      <c r="Z253" s="127">
        <f t="shared" si="57"/>
        <v>0</v>
      </c>
      <c r="AA253" s="127">
        <f t="shared" si="52"/>
        <v>2334893.65</v>
      </c>
      <c r="AB253" s="33" t="s">
        <v>15</v>
      </c>
      <c r="AC253" s="324"/>
      <c r="AD253" s="181">
        <f t="shared" si="44"/>
        <v>64145.43</v>
      </c>
      <c r="AE253" s="181">
        <f t="shared" si="58"/>
        <v>2334893.65</v>
      </c>
      <c r="AF253" s="181">
        <v>1.6</v>
      </c>
      <c r="AG253" s="181">
        <v>1.6</v>
      </c>
      <c r="AH253" s="363" t="str">
        <f t="shared" si="50"/>
        <v/>
      </c>
      <c r="AI253" s="194">
        <f>9227+54918.43</f>
        <v>64145.43</v>
      </c>
      <c r="AJ253" s="190">
        <v>64145.43</v>
      </c>
      <c r="AO253" s="367"/>
      <c r="AP253" s="367"/>
      <c r="AQ253" s="367"/>
    </row>
    <row r="254" spans="1:43" s="69" customFormat="1" ht="78" x14ac:dyDescent="0.3">
      <c r="A254" s="130" t="s">
        <v>586</v>
      </c>
      <c r="B254" s="131" t="s">
        <v>587</v>
      </c>
      <c r="C254" s="132" t="s">
        <v>513</v>
      </c>
      <c r="D254" s="133">
        <v>189</v>
      </c>
      <c r="E254" s="75"/>
      <c r="F254" s="75"/>
      <c r="G254" s="75"/>
      <c r="H254" s="161"/>
      <c r="I254" s="345">
        <v>0</v>
      </c>
      <c r="J254" s="166">
        <v>40</v>
      </c>
      <c r="K254" s="75">
        <v>0</v>
      </c>
      <c r="L254" s="91" t="s">
        <v>588</v>
      </c>
      <c r="M254" s="73"/>
      <c r="N254" s="46">
        <v>0</v>
      </c>
      <c r="O254" s="46">
        <v>0</v>
      </c>
      <c r="P254" s="46">
        <v>0</v>
      </c>
      <c r="Q254" s="98"/>
      <c r="R254" s="23" t="s">
        <v>1414</v>
      </c>
      <c r="S254" s="24" t="s">
        <v>587</v>
      </c>
      <c r="T254" s="25" t="s">
        <v>513</v>
      </c>
      <c r="U254" s="26">
        <v>189</v>
      </c>
      <c r="V254" s="26">
        <v>0</v>
      </c>
      <c r="W254" s="26">
        <f t="shared" si="45"/>
        <v>40</v>
      </c>
      <c r="X254" s="127">
        <f t="shared" si="56"/>
        <v>0</v>
      </c>
      <c r="Y254" s="127">
        <f t="shared" si="41"/>
        <v>0</v>
      </c>
      <c r="Z254" s="127">
        <f t="shared" si="57"/>
        <v>0</v>
      </c>
      <c r="AA254" s="127">
        <f t="shared" si="52"/>
        <v>0</v>
      </c>
      <c r="AB254" s="33" t="s">
        <v>15</v>
      </c>
      <c r="AC254" s="324"/>
      <c r="AD254" s="181">
        <v>0</v>
      </c>
      <c r="AE254" s="181">
        <f t="shared" si="58"/>
        <v>0</v>
      </c>
      <c r="AF254" s="181">
        <v>1.6</v>
      </c>
      <c r="AG254" s="181">
        <v>1.6</v>
      </c>
      <c r="AH254" s="363" t="str">
        <f t="shared" si="50"/>
        <v/>
      </c>
      <c r="AI254" s="192">
        <v>0</v>
      </c>
      <c r="AJ254" s="188">
        <v>0</v>
      </c>
      <c r="AO254" s="367"/>
      <c r="AP254" s="367"/>
      <c r="AQ254" s="367"/>
    </row>
    <row r="255" spans="1:43" s="69" customFormat="1" ht="58.5" x14ac:dyDescent="0.3">
      <c r="A255" s="130" t="s">
        <v>589</v>
      </c>
      <c r="B255" s="131" t="s">
        <v>590</v>
      </c>
      <c r="C255" s="132" t="s">
        <v>325</v>
      </c>
      <c r="D255" s="133">
        <v>118</v>
      </c>
      <c r="E255" s="75"/>
      <c r="F255" s="75"/>
      <c r="G255" s="75"/>
      <c r="H255" s="161"/>
      <c r="I255" s="158"/>
      <c r="J255" s="166">
        <v>3615.3</v>
      </c>
      <c r="K255" s="75">
        <v>426605.4</v>
      </c>
      <c r="L255" s="91" t="s">
        <v>591</v>
      </c>
      <c r="M255" s="73"/>
      <c r="N255" s="46">
        <v>108</v>
      </c>
      <c r="O255" s="46">
        <v>0</v>
      </c>
      <c r="P255" s="46">
        <v>390452.4</v>
      </c>
      <c r="Q255" s="98"/>
      <c r="R255" s="23" t="s">
        <v>1429</v>
      </c>
      <c r="S255" s="24" t="s">
        <v>590</v>
      </c>
      <c r="T255" s="25" t="s">
        <v>325</v>
      </c>
      <c r="U255" s="26">
        <v>118</v>
      </c>
      <c r="V255" s="26">
        <f t="shared" si="55"/>
        <v>118</v>
      </c>
      <c r="W255" s="26">
        <f t="shared" si="45"/>
        <v>3615.3</v>
      </c>
      <c r="X255" s="128">
        <f t="shared" si="56"/>
        <v>0</v>
      </c>
      <c r="Y255" s="26">
        <f t="shared" si="41"/>
        <v>108</v>
      </c>
      <c r="Z255" s="26">
        <f t="shared" si="57"/>
        <v>0</v>
      </c>
      <c r="AA255" s="26">
        <f t="shared" si="52"/>
        <v>390452.4</v>
      </c>
      <c r="AB255" s="33" t="s">
        <v>15</v>
      </c>
      <c r="AC255" s="325"/>
      <c r="AD255" s="263">
        <f t="shared" si="44"/>
        <v>118</v>
      </c>
      <c r="AE255" s="263">
        <f t="shared" si="58"/>
        <v>426605.4</v>
      </c>
      <c r="AF255" s="263">
        <v>1.6</v>
      </c>
      <c r="AG255" s="263">
        <v>1.6</v>
      </c>
      <c r="AH255" s="68" t="str">
        <f t="shared" si="50"/>
        <v/>
      </c>
      <c r="AI255" s="194">
        <f>40+42+26</f>
        <v>108</v>
      </c>
      <c r="AJ255" s="188">
        <v>118</v>
      </c>
      <c r="AO255" s="367"/>
      <c r="AP255" s="367"/>
      <c r="AQ255" s="367"/>
    </row>
    <row r="256" spans="1:43" s="69" customFormat="1" ht="58.5" x14ac:dyDescent="0.3">
      <c r="A256" s="130" t="s">
        <v>592</v>
      </c>
      <c r="B256" s="131" t="s">
        <v>593</v>
      </c>
      <c r="C256" s="132" t="s">
        <v>110</v>
      </c>
      <c r="D256" s="133">
        <v>2773</v>
      </c>
      <c r="E256" s="75"/>
      <c r="F256" s="75"/>
      <c r="G256" s="75"/>
      <c r="H256" s="161"/>
      <c r="I256" s="158"/>
      <c r="J256" s="166">
        <v>113.98</v>
      </c>
      <c r="K256" s="75">
        <v>316066.53999999998</v>
      </c>
      <c r="L256" s="91" t="s">
        <v>594</v>
      </c>
      <c r="M256" s="73"/>
      <c r="N256" s="46">
        <v>2487</v>
      </c>
      <c r="O256" s="46">
        <v>0</v>
      </c>
      <c r="P256" s="46">
        <v>283468.26</v>
      </c>
      <c r="Q256" s="98"/>
      <c r="R256" s="23" t="s">
        <v>1430</v>
      </c>
      <c r="S256" s="24" t="s">
        <v>593</v>
      </c>
      <c r="T256" s="25" t="s">
        <v>110</v>
      </c>
      <c r="U256" s="26">
        <v>2773</v>
      </c>
      <c r="V256" s="26">
        <f t="shared" si="55"/>
        <v>2773</v>
      </c>
      <c r="W256" s="26">
        <f t="shared" si="45"/>
        <v>113.98</v>
      </c>
      <c r="X256" s="128">
        <f t="shared" si="56"/>
        <v>0</v>
      </c>
      <c r="Y256" s="26">
        <f t="shared" si="41"/>
        <v>2487</v>
      </c>
      <c r="Z256" s="26">
        <f t="shared" si="57"/>
        <v>0</v>
      </c>
      <c r="AA256" s="26">
        <f t="shared" si="52"/>
        <v>283468.26</v>
      </c>
      <c r="AB256" s="33" t="s">
        <v>15</v>
      </c>
      <c r="AC256" s="325"/>
      <c r="AD256" s="263">
        <f t="shared" si="44"/>
        <v>2773</v>
      </c>
      <c r="AE256" s="263">
        <f t="shared" si="58"/>
        <v>316066.53999999998</v>
      </c>
      <c r="AF256" s="263">
        <v>1.6</v>
      </c>
      <c r="AG256" s="263">
        <v>1.6</v>
      </c>
      <c r="AH256" s="68" t="str">
        <f t="shared" si="50"/>
        <v/>
      </c>
      <c r="AI256" s="194">
        <f>940+962+585</f>
        <v>2487</v>
      </c>
      <c r="AJ256" s="188">
        <v>2773</v>
      </c>
      <c r="AO256" s="367"/>
      <c r="AP256" s="367"/>
      <c r="AQ256" s="367"/>
    </row>
    <row r="257" spans="1:43" s="69" customFormat="1" ht="24.75" x14ac:dyDescent="0.3">
      <c r="A257" s="130" t="s">
        <v>595</v>
      </c>
      <c r="B257" s="131" t="s">
        <v>189</v>
      </c>
      <c r="C257" s="132" t="s">
        <v>30</v>
      </c>
      <c r="D257" s="133">
        <v>112</v>
      </c>
      <c r="E257" s="75"/>
      <c r="F257" s="75"/>
      <c r="G257" s="75"/>
      <c r="H257" s="224"/>
      <c r="I257" s="158"/>
      <c r="J257" s="166">
        <v>138.84</v>
      </c>
      <c r="K257" s="75">
        <v>15550.08</v>
      </c>
      <c r="L257" s="91" t="s">
        <v>190</v>
      </c>
      <c r="M257" s="73"/>
      <c r="N257" s="46">
        <v>112</v>
      </c>
      <c r="O257" s="46">
        <v>0</v>
      </c>
      <c r="P257" s="46">
        <v>15550.08</v>
      </c>
      <c r="Q257" s="98"/>
      <c r="R257" s="23" t="s">
        <v>1431</v>
      </c>
      <c r="S257" s="24" t="s">
        <v>189</v>
      </c>
      <c r="T257" s="25" t="s">
        <v>30</v>
      </c>
      <c r="U257" s="26">
        <v>112</v>
      </c>
      <c r="V257" s="26">
        <f t="shared" si="55"/>
        <v>112</v>
      </c>
      <c r="W257" s="26">
        <f t="shared" si="45"/>
        <v>138.84</v>
      </c>
      <c r="X257" s="127">
        <f t="shared" si="56"/>
        <v>0</v>
      </c>
      <c r="Y257" s="127">
        <f t="shared" si="41"/>
        <v>112</v>
      </c>
      <c r="Z257" s="127">
        <f t="shared" si="57"/>
        <v>0</v>
      </c>
      <c r="AA257" s="127">
        <f t="shared" si="52"/>
        <v>15550.08</v>
      </c>
      <c r="AB257" s="33" t="s">
        <v>15</v>
      </c>
      <c r="AC257" s="325"/>
      <c r="AD257" s="263">
        <f t="shared" si="44"/>
        <v>112</v>
      </c>
      <c r="AE257" s="263">
        <f t="shared" si="58"/>
        <v>15550.08</v>
      </c>
      <c r="AF257" s="263">
        <v>1.6</v>
      </c>
      <c r="AG257" s="263">
        <v>1.6</v>
      </c>
      <c r="AH257" s="68" t="str">
        <f t="shared" si="50"/>
        <v/>
      </c>
      <c r="AI257" s="194">
        <f>112</f>
        <v>112</v>
      </c>
      <c r="AJ257" s="188">
        <v>112</v>
      </c>
      <c r="AN257" s="68"/>
      <c r="AO257" s="368"/>
      <c r="AP257" s="367"/>
      <c r="AQ257" s="367"/>
    </row>
    <row r="258" spans="1:43" ht="39" x14ac:dyDescent="0.3">
      <c r="A258" s="144" t="s">
        <v>1334</v>
      </c>
      <c r="B258" s="145" t="s">
        <v>1335</v>
      </c>
      <c r="C258" s="206" t="s">
        <v>50</v>
      </c>
      <c r="D258" s="170"/>
      <c r="E258" s="147"/>
      <c r="F258" s="148">
        <v>518.22</v>
      </c>
      <c r="G258" s="140"/>
      <c r="H258" s="148"/>
      <c r="I258" s="346">
        <v>648.53</v>
      </c>
      <c r="J258" s="168">
        <v>868.85</v>
      </c>
      <c r="K258" s="148">
        <v>563475.29</v>
      </c>
      <c r="L258" s="93"/>
      <c r="N258" s="46">
        <v>518.22</v>
      </c>
      <c r="O258" s="46">
        <v>0</v>
      </c>
      <c r="P258" s="46">
        <v>450255.45</v>
      </c>
      <c r="Q258" s="98"/>
      <c r="R258" s="23" t="s">
        <v>1395</v>
      </c>
      <c r="S258" s="24" t="s">
        <v>1396</v>
      </c>
      <c r="T258" s="25" t="s">
        <v>50</v>
      </c>
      <c r="U258" s="26">
        <v>0</v>
      </c>
      <c r="V258" s="26">
        <f t="shared" si="55"/>
        <v>648.53</v>
      </c>
      <c r="W258" s="26">
        <f t="shared" si="45"/>
        <v>868.85</v>
      </c>
      <c r="X258" s="127">
        <f t="shared" si="56"/>
        <v>0</v>
      </c>
      <c r="Y258" s="127">
        <f t="shared" si="41"/>
        <v>518.22</v>
      </c>
      <c r="Z258" s="127">
        <f t="shared" si="57"/>
        <v>0</v>
      </c>
      <c r="AA258" s="127">
        <f t="shared" si="52"/>
        <v>450255.45</v>
      </c>
      <c r="AB258" s="27"/>
      <c r="AC258" s="325"/>
      <c r="AD258" s="263">
        <f t="shared" si="44"/>
        <v>648.53</v>
      </c>
      <c r="AE258" s="263">
        <f t="shared" si="58"/>
        <v>563475.29</v>
      </c>
      <c r="AF258" s="263">
        <v>1.6</v>
      </c>
      <c r="AG258" s="263">
        <v>1.6</v>
      </c>
      <c r="AH258" s="68" t="str">
        <f t="shared" si="50"/>
        <v/>
      </c>
      <c r="AI258" s="194">
        <v>518.22</v>
      </c>
      <c r="AJ258" s="190">
        <v>648.53</v>
      </c>
      <c r="AN258" s="282"/>
      <c r="AO258" s="367"/>
      <c r="AP258" s="367"/>
      <c r="AQ258" s="367"/>
    </row>
    <row r="259" spans="1:43" s="282" customFormat="1" ht="39" x14ac:dyDescent="0.3">
      <c r="A259" s="207" t="s">
        <v>3209</v>
      </c>
      <c r="B259" s="208" t="s">
        <v>3213</v>
      </c>
      <c r="C259" s="204" t="s">
        <v>103</v>
      </c>
      <c r="D259" s="171"/>
      <c r="E259" s="288"/>
      <c r="F259" s="275"/>
      <c r="G259" s="275"/>
      <c r="H259" s="275"/>
      <c r="I259" s="346">
        <v>879.36</v>
      </c>
      <c r="J259" s="288">
        <v>1299.01</v>
      </c>
      <c r="K259" s="275">
        <v>1142297.43</v>
      </c>
      <c r="L259" s="297"/>
      <c r="M259" s="278"/>
      <c r="N259" s="42">
        <v>872.6</v>
      </c>
      <c r="O259" s="42">
        <v>0</v>
      </c>
      <c r="P259" s="42">
        <v>1133516.1299999999</v>
      </c>
      <c r="Q259" s="98"/>
      <c r="R259" s="13" t="s">
        <v>3217</v>
      </c>
      <c r="S259" s="286" t="str">
        <f t="shared" ref="S259:T262" si="59">B259</f>
        <v>級配粒料底層，碎石級配</v>
      </c>
      <c r="T259" s="287" t="str">
        <f t="shared" si="59"/>
        <v>C.M3</v>
      </c>
      <c r="U259" s="16"/>
      <c r="V259" s="16">
        <f t="shared" si="55"/>
        <v>879.36</v>
      </c>
      <c r="W259" s="16">
        <f t="shared" si="45"/>
        <v>1299.01</v>
      </c>
      <c r="X259" s="127">
        <f t="shared" si="56"/>
        <v>0</v>
      </c>
      <c r="Y259" s="127">
        <f t="shared" si="41"/>
        <v>872.6</v>
      </c>
      <c r="Z259" s="127">
        <f t="shared" si="57"/>
        <v>0</v>
      </c>
      <c r="AA259" s="127">
        <f t="shared" si="52"/>
        <v>1133516.1299999999</v>
      </c>
      <c r="AB259" s="16"/>
      <c r="AC259" s="324"/>
      <c r="AD259" s="181">
        <f t="shared" si="44"/>
        <v>879.36</v>
      </c>
      <c r="AE259" s="181">
        <f t="shared" si="58"/>
        <v>1142297.43</v>
      </c>
      <c r="AF259" s="181">
        <v>1.6</v>
      </c>
      <c r="AG259" s="181">
        <v>1.6</v>
      </c>
      <c r="AH259" s="364"/>
      <c r="AI259" s="285">
        <f>872.6</f>
        <v>872.6</v>
      </c>
      <c r="AJ259" s="190">
        <v>879.36</v>
      </c>
      <c r="AO259" s="367"/>
      <c r="AP259" s="367"/>
      <c r="AQ259" s="367"/>
    </row>
    <row r="260" spans="1:43" s="282" customFormat="1" ht="39" x14ac:dyDescent="0.3">
      <c r="A260" s="207" t="s">
        <v>3210</v>
      </c>
      <c r="B260" s="208" t="s">
        <v>3214</v>
      </c>
      <c r="C260" s="204" t="s">
        <v>325</v>
      </c>
      <c r="D260" s="171"/>
      <c r="E260" s="288"/>
      <c r="F260" s="275"/>
      <c r="G260" s="275"/>
      <c r="H260" s="275"/>
      <c r="I260" s="346">
        <v>30</v>
      </c>
      <c r="J260" s="288">
        <v>6028.76</v>
      </c>
      <c r="K260" s="275">
        <v>180862.8</v>
      </c>
      <c r="L260" s="297"/>
      <c r="M260" s="278"/>
      <c r="N260" s="42">
        <v>30</v>
      </c>
      <c r="O260" s="42">
        <v>0</v>
      </c>
      <c r="P260" s="42">
        <v>180862.8</v>
      </c>
      <c r="Q260" s="98"/>
      <c r="R260" s="13" t="s">
        <v>3218</v>
      </c>
      <c r="S260" s="286" t="str">
        <f t="shared" si="59"/>
        <v>人行道化妝蓋板及底座</v>
      </c>
      <c r="T260" s="287" t="str">
        <f t="shared" si="59"/>
        <v>組</v>
      </c>
      <c r="U260" s="16"/>
      <c r="V260" s="16">
        <f t="shared" si="55"/>
        <v>30</v>
      </c>
      <c r="W260" s="16">
        <f t="shared" si="45"/>
        <v>6028.76</v>
      </c>
      <c r="X260" s="127">
        <f t="shared" si="56"/>
        <v>0</v>
      </c>
      <c r="Y260" s="127">
        <f t="shared" si="41"/>
        <v>30</v>
      </c>
      <c r="Z260" s="127">
        <f t="shared" si="57"/>
        <v>0</v>
      </c>
      <c r="AA260" s="127">
        <f t="shared" si="52"/>
        <v>180862.8</v>
      </c>
      <c r="AB260" s="16"/>
      <c r="AC260" s="324"/>
      <c r="AD260" s="181">
        <f t="shared" si="44"/>
        <v>30</v>
      </c>
      <c r="AE260" s="181">
        <f t="shared" si="58"/>
        <v>180862.8</v>
      </c>
      <c r="AF260" s="181">
        <v>1.6</v>
      </c>
      <c r="AG260" s="181">
        <v>1.6</v>
      </c>
      <c r="AH260" s="364"/>
      <c r="AI260" s="285">
        <v>30</v>
      </c>
      <c r="AJ260" s="190">
        <v>30</v>
      </c>
      <c r="AO260" s="367"/>
      <c r="AP260" s="367"/>
      <c r="AQ260" s="367"/>
    </row>
    <row r="261" spans="1:43" s="282" customFormat="1" ht="39" x14ac:dyDescent="0.3">
      <c r="A261" s="207" t="s">
        <v>3211</v>
      </c>
      <c r="B261" s="208" t="s">
        <v>3215</v>
      </c>
      <c r="C261" s="204" t="s">
        <v>325</v>
      </c>
      <c r="D261" s="171"/>
      <c r="E261" s="288"/>
      <c r="F261" s="275"/>
      <c r="G261" s="275"/>
      <c r="H261" s="275"/>
      <c r="I261" s="346">
        <v>7</v>
      </c>
      <c r="J261" s="288">
        <v>6560.4</v>
      </c>
      <c r="K261" s="275">
        <v>45922.8</v>
      </c>
      <c r="L261" s="297"/>
      <c r="M261" s="278"/>
      <c r="N261" s="42">
        <v>7</v>
      </c>
      <c r="O261" s="42">
        <v>0</v>
      </c>
      <c r="P261" s="42">
        <v>45922.8</v>
      </c>
      <c r="Q261" s="98"/>
      <c r="R261" s="13" t="s">
        <v>3219</v>
      </c>
      <c r="S261" s="286" t="str">
        <f t="shared" si="59"/>
        <v>道路交通標誌桿，含基礎</v>
      </c>
      <c r="T261" s="287" t="str">
        <f t="shared" si="59"/>
        <v>組</v>
      </c>
      <c r="U261" s="16"/>
      <c r="V261" s="16">
        <f t="shared" si="55"/>
        <v>7</v>
      </c>
      <c r="W261" s="16">
        <f t="shared" si="45"/>
        <v>6560.4</v>
      </c>
      <c r="X261" s="127">
        <f t="shared" si="56"/>
        <v>0</v>
      </c>
      <c r="Y261" s="127">
        <f t="shared" si="41"/>
        <v>7</v>
      </c>
      <c r="Z261" s="127">
        <f t="shared" si="57"/>
        <v>0</v>
      </c>
      <c r="AA261" s="127">
        <f t="shared" si="52"/>
        <v>45922.8</v>
      </c>
      <c r="AB261" s="16"/>
      <c r="AC261" s="324"/>
      <c r="AD261" s="181">
        <f t="shared" si="44"/>
        <v>7</v>
      </c>
      <c r="AE261" s="181">
        <f t="shared" si="58"/>
        <v>45922.8</v>
      </c>
      <c r="AF261" s="181">
        <v>1.6</v>
      </c>
      <c r="AG261" s="181">
        <v>1.6</v>
      </c>
      <c r="AH261" s="364"/>
      <c r="AI261" s="285">
        <v>7</v>
      </c>
      <c r="AJ261" s="190">
        <v>7</v>
      </c>
      <c r="AO261" s="367"/>
      <c r="AP261" s="367"/>
      <c r="AQ261" s="367"/>
    </row>
    <row r="262" spans="1:43" s="282" customFormat="1" ht="39" x14ac:dyDescent="0.3">
      <c r="A262" s="207" t="s">
        <v>3212</v>
      </c>
      <c r="B262" s="208" t="s">
        <v>3216</v>
      </c>
      <c r="C262" s="204" t="s">
        <v>325</v>
      </c>
      <c r="D262" s="171"/>
      <c r="E262" s="288"/>
      <c r="F262" s="275"/>
      <c r="G262" s="275"/>
      <c r="H262" s="275"/>
      <c r="I262" s="346">
        <v>9</v>
      </c>
      <c r="J262" s="288">
        <v>3989.64</v>
      </c>
      <c r="K262" s="275">
        <v>35906.76</v>
      </c>
      <c r="L262" s="297"/>
      <c r="M262" s="278"/>
      <c r="N262" s="42">
        <v>9</v>
      </c>
      <c r="O262" s="42">
        <v>0</v>
      </c>
      <c r="P262" s="42">
        <v>35906.76</v>
      </c>
      <c r="Q262" s="98"/>
      <c r="R262" s="13" t="s">
        <v>3108</v>
      </c>
      <c r="S262" s="286" t="str">
        <f t="shared" si="59"/>
        <v>道路交通標誌牌面</v>
      </c>
      <c r="T262" s="287" t="str">
        <f t="shared" si="59"/>
        <v>組</v>
      </c>
      <c r="U262" s="16"/>
      <c r="V262" s="16">
        <f t="shared" si="55"/>
        <v>9</v>
      </c>
      <c r="W262" s="16">
        <f t="shared" si="45"/>
        <v>3989.64</v>
      </c>
      <c r="X262" s="127">
        <f t="shared" si="56"/>
        <v>0</v>
      </c>
      <c r="Y262" s="127">
        <f t="shared" si="41"/>
        <v>9</v>
      </c>
      <c r="Z262" s="127">
        <f t="shared" si="57"/>
        <v>0</v>
      </c>
      <c r="AA262" s="127">
        <f t="shared" si="52"/>
        <v>35906.76</v>
      </c>
      <c r="AB262" s="16"/>
      <c r="AC262" s="324"/>
      <c r="AD262" s="181">
        <f t="shared" si="44"/>
        <v>9</v>
      </c>
      <c r="AE262" s="181">
        <f t="shared" si="58"/>
        <v>35906.76</v>
      </c>
      <c r="AF262" s="181">
        <v>1.6</v>
      </c>
      <c r="AG262" s="181">
        <v>1.6</v>
      </c>
      <c r="AH262" s="364"/>
      <c r="AI262" s="285">
        <v>9</v>
      </c>
      <c r="AJ262" s="190">
        <v>9</v>
      </c>
      <c r="AN262" s="69"/>
      <c r="AO262" s="367"/>
      <c r="AP262" s="367"/>
      <c r="AQ262" s="367"/>
    </row>
    <row r="263" spans="1:43" s="69" customFormat="1" ht="33" customHeight="1" x14ac:dyDescent="0.3">
      <c r="A263" s="266" t="s">
        <v>596</v>
      </c>
      <c r="B263" s="267" t="s">
        <v>597</v>
      </c>
      <c r="C263" s="83" t="s">
        <v>14</v>
      </c>
      <c r="D263" s="84">
        <v>1</v>
      </c>
      <c r="E263" s="84"/>
      <c r="F263" s="84"/>
      <c r="G263" s="84"/>
      <c r="H263" s="84"/>
      <c r="I263" s="84"/>
      <c r="J263" s="84">
        <v>21270090.559999999</v>
      </c>
      <c r="K263" s="84">
        <v>21270090.559999999</v>
      </c>
      <c r="L263" s="94" t="s">
        <v>15</v>
      </c>
      <c r="M263" s="73"/>
      <c r="N263" s="45">
        <v>1</v>
      </c>
      <c r="O263" s="45">
        <v>2058252.2</v>
      </c>
      <c r="P263" s="45">
        <v>12565959.18</v>
      </c>
      <c r="Q263" s="98"/>
      <c r="R263" s="18" t="s">
        <v>1397</v>
      </c>
      <c r="S263" s="19" t="s">
        <v>597</v>
      </c>
      <c r="T263" s="20" t="s">
        <v>14</v>
      </c>
      <c r="U263" s="21">
        <v>1</v>
      </c>
      <c r="V263" s="21"/>
      <c r="W263" s="21">
        <f t="shared" si="45"/>
        <v>21270090.559999999</v>
      </c>
      <c r="X263" s="21">
        <f t="shared" ref="X263:Y263" si="60">IF(Z263=0,0,1)</f>
        <v>1</v>
      </c>
      <c r="Y263" s="21">
        <f t="shared" si="60"/>
        <v>1</v>
      </c>
      <c r="Z263" s="21">
        <f>SUMIFS(Z:Z,AG:AG,AF263)</f>
        <v>2052107.72</v>
      </c>
      <c r="AA263" s="21">
        <f>SUMIFS(AA:AA,AG:AG,AF263)</f>
        <v>14618066.899999999</v>
      </c>
      <c r="AB263" s="22" t="s">
        <v>15</v>
      </c>
      <c r="AC263" s="324"/>
      <c r="AD263" s="181">
        <f t="shared" si="44"/>
        <v>1</v>
      </c>
      <c r="AE263" s="184"/>
      <c r="AF263" s="184">
        <v>1.7</v>
      </c>
      <c r="AG263" s="184"/>
      <c r="AH263" s="363" t="str">
        <f t="shared" si="50"/>
        <v/>
      </c>
      <c r="AI263" s="192">
        <v>1</v>
      </c>
      <c r="AJ263" s="188">
        <v>1</v>
      </c>
      <c r="AO263" s="367"/>
      <c r="AP263" s="367"/>
      <c r="AQ263" s="367"/>
    </row>
    <row r="264" spans="1:43" s="69" customFormat="1" ht="39" x14ac:dyDescent="0.3">
      <c r="A264" s="55" t="s">
        <v>598</v>
      </c>
      <c r="B264" s="53" t="s">
        <v>599</v>
      </c>
      <c r="C264" s="54" t="s">
        <v>103</v>
      </c>
      <c r="D264" s="75">
        <v>2596.6999999999998</v>
      </c>
      <c r="E264" s="75"/>
      <c r="F264" s="75"/>
      <c r="G264" s="75"/>
      <c r="H264" s="75"/>
      <c r="I264" s="75"/>
      <c r="J264" s="75">
        <v>704.52</v>
      </c>
      <c r="K264" s="75">
        <v>1829427.08</v>
      </c>
      <c r="L264" s="91" t="s">
        <v>600</v>
      </c>
      <c r="M264" s="73"/>
      <c r="N264" s="46">
        <v>1906.3</v>
      </c>
      <c r="O264" s="46">
        <v>0</v>
      </c>
      <c r="P264" s="46">
        <v>1343026.48</v>
      </c>
      <c r="Q264" s="98"/>
      <c r="R264" s="23" t="s">
        <v>1421</v>
      </c>
      <c r="S264" s="24" t="s">
        <v>599</v>
      </c>
      <c r="T264" s="25" t="s">
        <v>103</v>
      </c>
      <c r="U264" s="26">
        <v>2596.6999999999998</v>
      </c>
      <c r="V264" s="26">
        <f t="shared" si="55"/>
        <v>2596.6999999999998</v>
      </c>
      <c r="W264" s="26">
        <f t="shared" si="45"/>
        <v>704.52</v>
      </c>
      <c r="X264" s="128">
        <f t="shared" ref="X264:X327" si="61">AI264-N264</f>
        <v>0</v>
      </c>
      <c r="Y264" s="26">
        <f t="shared" si="41"/>
        <v>1906.3</v>
      </c>
      <c r="Z264" s="26">
        <f t="shared" ref="Z264:Z327" si="62">AA264-P264</f>
        <v>0</v>
      </c>
      <c r="AA264" s="26">
        <f t="shared" si="52"/>
        <v>1343026.48</v>
      </c>
      <c r="AB264" s="33" t="s">
        <v>15</v>
      </c>
      <c r="AC264" s="324"/>
      <c r="AD264" s="181">
        <f t="shared" si="44"/>
        <v>2596.6999999999998</v>
      </c>
      <c r="AE264" s="181">
        <f t="shared" ref="AE264:AE327" si="63">ROUND(W264*AD264,2)</f>
        <v>1829427.08</v>
      </c>
      <c r="AF264" s="181">
        <v>1.7</v>
      </c>
      <c r="AG264" s="181">
        <v>1.7</v>
      </c>
      <c r="AH264" s="363" t="str">
        <f t="shared" si="50"/>
        <v/>
      </c>
      <c r="AI264" s="194">
        <f>316+565+392+112+392.5+128.8</f>
        <v>1906.3</v>
      </c>
      <c r="AJ264" s="188">
        <v>2596.6999999999998</v>
      </c>
      <c r="AO264" s="367"/>
      <c r="AP264" s="367"/>
      <c r="AQ264" s="367"/>
    </row>
    <row r="265" spans="1:43" s="69" customFormat="1" ht="39" x14ac:dyDescent="0.3">
      <c r="A265" s="55" t="s">
        <v>601</v>
      </c>
      <c r="B265" s="53" t="s">
        <v>602</v>
      </c>
      <c r="C265" s="54" t="s">
        <v>559</v>
      </c>
      <c r="D265" s="75">
        <v>126</v>
      </c>
      <c r="E265" s="75"/>
      <c r="F265" s="75"/>
      <c r="G265" s="75"/>
      <c r="H265" s="75"/>
      <c r="I265" s="75"/>
      <c r="J265" s="75">
        <v>400</v>
      </c>
      <c r="K265" s="75">
        <v>50400</v>
      </c>
      <c r="L265" s="91" t="s">
        <v>603</v>
      </c>
      <c r="M265" s="73"/>
      <c r="N265" s="46">
        <v>0</v>
      </c>
      <c r="O265" s="46">
        <v>0</v>
      </c>
      <c r="P265" s="46">
        <v>0</v>
      </c>
      <c r="Q265" s="98"/>
      <c r="R265" s="23" t="s">
        <v>1426</v>
      </c>
      <c r="S265" s="24" t="s">
        <v>602</v>
      </c>
      <c r="T265" s="25" t="s">
        <v>559</v>
      </c>
      <c r="U265" s="26">
        <v>126</v>
      </c>
      <c r="V265" s="26">
        <f t="shared" si="55"/>
        <v>126</v>
      </c>
      <c r="W265" s="26">
        <f t="shared" si="45"/>
        <v>400</v>
      </c>
      <c r="X265" s="26">
        <f t="shared" si="61"/>
        <v>0</v>
      </c>
      <c r="Y265" s="26">
        <f t="shared" si="41"/>
        <v>0</v>
      </c>
      <c r="Z265" s="26">
        <f t="shared" si="62"/>
        <v>0</v>
      </c>
      <c r="AA265" s="26">
        <f t="shared" si="52"/>
        <v>0</v>
      </c>
      <c r="AB265" s="33" t="s">
        <v>15</v>
      </c>
      <c r="AC265" s="324"/>
      <c r="AD265" s="181">
        <f t="shared" si="44"/>
        <v>126</v>
      </c>
      <c r="AE265" s="181">
        <f t="shared" si="63"/>
        <v>50400</v>
      </c>
      <c r="AF265" s="181">
        <v>1.7</v>
      </c>
      <c r="AG265" s="181">
        <v>1.7</v>
      </c>
      <c r="AH265" s="363" t="str">
        <f t="shared" si="50"/>
        <v/>
      </c>
      <c r="AI265" s="192">
        <v>0</v>
      </c>
      <c r="AJ265" s="188">
        <v>126</v>
      </c>
      <c r="AO265" s="367"/>
      <c r="AP265" s="367"/>
      <c r="AQ265" s="367"/>
    </row>
    <row r="266" spans="1:43" s="69" customFormat="1" ht="58.5" x14ac:dyDescent="0.3">
      <c r="A266" s="55" t="s">
        <v>604</v>
      </c>
      <c r="B266" s="53" t="s">
        <v>605</v>
      </c>
      <c r="C266" s="54" t="s">
        <v>606</v>
      </c>
      <c r="D266" s="75">
        <v>12</v>
      </c>
      <c r="E266" s="75"/>
      <c r="F266" s="75"/>
      <c r="G266" s="75"/>
      <c r="H266" s="75"/>
      <c r="I266" s="75"/>
      <c r="J266" s="75">
        <v>3569.95</v>
      </c>
      <c r="K266" s="75">
        <v>42839.4</v>
      </c>
      <c r="L266" s="91" t="s">
        <v>607</v>
      </c>
      <c r="M266" s="73"/>
      <c r="N266" s="46">
        <v>0</v>
      </c>
      <c r="O266" s="46">
        <v>0</v>
      </c>
      <c r="P266" s="46">
        <v>0</v>
      </c>
      <c r="Q266" s="98"/>
      <c r="R266" s="23" t="s">
        <v>1402</v>
      </c>
      <c r="S266" s="24" t="s">
        <v>605</v>
      </c>
      <c r="T266" s="25" t="s">
        <v>606</v>
      </c>
      <c r="U266" s="26">
        <v>12</v>
      </c>
      <c r="V266" s="26">
        <f t="shared" si="55"/>
        <v>12</v>
      </c>
      <c r="W266" s="26">
        <f t="shared" si="45"/>
        <v>3569.95</v>
      </c>
      <c r="X266" s="26">
        <f t="shared" si="61"/>
        <v>0</v>
      </c>
      <c r="Y266" s="26">
        <f t="shared" si="41"/>
        <v>0</v>
      </c>
      <c r="Z266" s="26">
        <f t="shared" si="62"/>
        <v>0</v>
      </c>
      <c r="AA266" s="26">
        <f t="shared" si="52"/>
        <v>0</v>
      </c>
      <c r="AB266" s="33" t="s">
        <v>15</v>
      </c>
      <c r="AC266" s="324"/>
      <c r="AD266" s="181">
        <f t="shared" ref="AD266:AD329" si="64">IF(V266=0,U266,V266)</f>
        <v>12</v>
      </c>
      <c r="AE266" s="181">
        <f t="shared" si="63"/>
        <v>42839.4</v>
      </c>
      <c r="AF266" s="181">
        <v>1.7</v>
      </c>
      <c r="AG266" s="181">
        <v>1.7</v>
      </c>
      <c r="AH266" s="363" t="str">
        <f t="shared" si="50"/>
        <v/>
      </c>
      <c r="AI266" s="192">
        <v>0</v>
      </c>
      <c r="AJ266" s="188">
        <v>12</v>
      </c>
      <c r="AO266" s="367"/>
      <c r="AP266" s="367"/>
      <c r="AQ266" s="367"/>
    </row>
    <row r="267" spans="1:43" s="69" customFormat="1" ht="58.5" x14ac:dyDescent="0.3">
      <c r="A267" s="55" t="s">
        <v>608</v>
      </c>
      <c r="B267" s="53" t="s">
        <v>609</v>
      </c>
      <c r="C267" s="54" t="s">
        <v>606</v>
      </c>
      <c r="D267" s="75">
        <v>18</v>
      </c>
      <c r="E267" s="75"/>
      <c r="F267" s="75"/>
      <c r="G267" s="75"/>
      <c r="H267" s="75"/>
      <c r="I267" s="75"/>
      <c r="J267" s="75">
        <v>4083.1</v>
      </c>
      <c r="K267" s="75">
        <v>73495.8</v>
      </c>
      <c r="L267" s="91" t="s">
        <v>610</v>
      </c>
      <c r="M267" s="73"/>
      <c r="N267" s="46">
        <v>5</v>
      </c>
      <c r="O267" s="46">
        <v>0</v>
      </c>
      <c r="P267" s="46">
        <v>20415.5</v>
      </c>
      <c r="Q267" s="98"/>
      <c r="R267" s="23" t="s">
        <v>1373</v>
      </c>
      <c r="S267" s="24" t="s">
        <v>609</v>
      </c>
      <c r="T267" s="25" t="s">
        <v>606</v>
      </c>
      <c r="U267" s="26">
        <v>18</v>
      </c>
      <c r="V267" s="26">
        <f t="shared" si="55"/>
        <v>18</v>
      </c>
      <c r="W267" s="26">
        <f t="shared" ref="W267:W330" si="65">J267</f>
        <v>4083.1</v>
      </c>
      <c r="X267" s="26">
        <f t="shared" si="61"/>
        <v>0</v>
      </c>
      <c r="Y267" s="26">
        <f t="shared" si="41"/>
        <v>5</v>
      </c>
      <c r="Z267" s="26">
        <f t="shared" si="62"/>
        <v>0</v>
      </c>
      <c r="AA267" s="26">
        <f t="shared" si="52"/>
        <v>20415.5</v>
      </c>
      <c r="AB267" s="33" t="s">
        <v>15</v>
      </c>
      <c r="AC267" s="324"/>
      <c r="AD267" s="181">
        <f t="shared" si="64"/>
        <v>18</v>
      </c>
      <c r="AE267" s="181">
        <f t="shared" si="63"/>
        <v>73495.8</v>
      </c>
      <c r="AF267" s="181">
        <v>1.7</v>
      </c>
      <c r="AG267" s="181">
        <v>1.7</v>
      </c>
      <c r="AH267" s="363" t="str">
        <f t="shared" si="50"/>
        <v/>
      </c>
      <c r="AI267" s="192">
        <v>5</v>
      </c>
      <c r="AJ267" s="188">
        <v>18</v>
      </c>
      <c r="AO267" s="367"/>
      <c r="AP267" s="367"/>
      <c r="AQ267" s="367"/>
    </row>
    <row r="268" spans="1:43" s="69" customFormat="1" ht="58.5" x14ac:dyDescent="0.3">
      <c r="A268" s="130" t="s">
        <v>611</v>
      </c>
      <c r="B268" s="131" t="s">
        <v>612</v>
      </c>
      <c r="C268" s="132" t="s">
        <v>606</v>
      </c>
      <c r="D268" s="133">
        <v>5</v>
      </c>
      <c r="E268" s="203"/>
      <c r="F268" s="203"/>
      <c r="G268" s="203"/>
      <c r="H268" s="203"/>
      <c r="I268" s="203"/>
      <c r="J268" s="75">
        <v>7408.5</v>
      </c>
      <c r="K268" s="75">
        <v>37042.5</v>
      </c>
      <c r="L268" s="91" t="s">
        <v>613</v>
      </c>
      <c r="M268" s="73"/>
      <c r="N268" s="46">
        <v>5</v>
      </c>
      <c r="O268" s="46">
        <v>0</v>
      </c>
      <c r="P268" s="46">
        <v>37042.5</v>
      </c>
      <c r="Q268" s="98"/>
      <c r="R268" s="23" t="s">
        <v>1393</v>
      </c>
      <c r="S268" s="24" t="s">
        <v>612</v>
      </c>
      <c r="T268" s="25" t="s">
        <v>606</v>
      </c>
      <c r="U268" s="26">
        <v>5</v>
      </c>
      <c r="V268" s="26">
        <f t="shared" si="55"/>
        <v>5</v>
      </c>
      <c r="W268" s="26">
        <f t="shared" si="65"/>
        <v>7408.5</v>
      </c>
      <c r="X268" s="127">
        <f t="shared" si="61"/>
        <v>0</v>
      </c>
      <c r="Y268" s="127">
        <f t="shared" ref="Y268:Y331" si="66">X268+N268</f>
        <v>5</v>
      </c>
      <c r="Z268" s="127">
        <f t="shared" si="62"/>
        <v>0</v>
      </c>
      <c r="AA268" s="127">
        <f t="shared" si="52"/>
        <v>37042.5</v>
      </c>
      <c r="AB268" s="33" t="s">
        <v>15</v>
      </c>
      <c r="AC268" s="324"/>
      <c r="AD268" s="181">
        <f t="shared" si="64"/>
        <v>5</v>
      </c>
      <c r="AE268" s="181">
        <f t="shared" si="63"/>
        <v>37042.5</v>
      </c>
      <c r="AF268" s="181">
        <v>1.7</v>
      </c>
      <c r="AG268" s="181">
        <v>1.7</v>
      </c>
      <c r="AH268" s="363" t="str">
        <f t="shared" si="50"/>
        <v/>
      </c>
      <c r="AI268" s="192">
        <v>5</v>
      </c>
      <c r="AJ268" s="188">
        <v>5</v>
      </c>
      <c r="AO268" s="367"/>
      <c r="AP268" s="367"/>
      <c r="AQ268" s="367"/>
    </row>
    <row r="269" spans="1:43" s="69" customFormat="1" ht="49.5" x14ac:dyDescent="0.3">
      <c r="A269" s="130" t="s">
        <v>614</v>
      </c>
      <c r="B269" s="240" t="s">
        <v>615</v>
      </c>
      <c r="C269" s="132" t="s">
        <v>606</v>
      </c>
      <c r="D269" s="133">
        <v>5</v>
      </c>
      <c r="E269" s="203"/>
      <c r="F269" s="203"/>
      <c r="G269" s="203"/>
      <c r="H269" s="203"/>
      <c r="I269" s="203"/>
      <c r="J269" s="75">
        <v>10319.280000000001</v>
      </c>
      <c r="K269" s="75">
        <v>51596.4</v>
      </c>
      <c r="L269" s="91" t="s">
        <v>616</v>
      </c>
      <c r="M269" s="73"/>
      <c r="N269" s="46">
        <v>5</v>
      </c>
      <c r="O269" s="46">
        <v>0</v>
      </c>
      <c r="P269" s="46">
        <v>51596.4</v>
      </c>
      <c r="Q269" s="98"/>
      <c r="R269" s="23" t="s">
        <v>1403</v>
      </c>
      <c r="S269" s="24" t="s">
        <v>615</v>
      </c>
      <c r="T269" s="25" t="s">
        <v>606</v>
      </c>
      <c r="U269" s="26">
        <v>5</v>
      </c>
      <c r="V269" s="26">
        <f t="shared" si="55"/>
        <v>5</v>
      </c>
      <c r="W269" s="26">
        <f t="shared" si="65"/>
        <v>10319.280000000001</v>
      </c>
      <c r="X269" s="127">
        <f t="shared" si="61"/>
        <v>0</v>
      </c>
      <c r="Y269" s="127">
        <f t="shared" si="66"/>
        <v>5</v>
      </c>
      <c r="Z269" s="127">
        <f t="shared" si="62"/>
        <v>0</v>
      </c>
      <c r="AA269" s="127">
        <f t="shared" si="52"/>
        <v>51596.4</v>
      </c>
      <c r="AB269" s="33" t="s">
        <v>15</v>
      </c>
      <c r="AC269" s="324"/>
      <c r="AD269" s="181">
        <f t="shared" si="64"/>
        <v>5</v>
      </c>
      <c r="AE269" s="181">
        <f t="shared" si="63"/>
        <v>51596.4</v>
      </c>
      <c r="AF269" s="181">
        <v>1.7</v>
      </c>
      <c r="AG269" s="181">
        <v>1.7</v>
      </c>
      <c r="AH269" s="363" t="str">
        <f t="shared" si="50"/>
        <v/>
      </c>
      <c r="AI269" s="192">
        <v>5</v>
      </c>
      <c r="AJ269" s="188">
        <v>5</v>
      </c>
      <c r="AO269" s="367"/>
      <c r="AP269" s="367"/>
      <c r="AQ269" s="367"/>
    </row>
    <row r="270" spans="1:43" s="69" customFormat="1" ht="49.5" x14ac:dyDescent="0.3">
      <c r="A270" s="130" t="s">
        <v>617</v>
      </c>
      <c r="B270" s="240" t="s">
        <v>618</v>
      </c>
      <c r="C270" s="132" t="s">
        <v>606</v>
      </c>
      <c r="D270" s="133">
        <v>2</v>
      </c>
      <c r="E270" s="203"/>
      <c r="F270" s="203"/>
      <c r="G270" s="203"/>
      <c r="H270" s="203"/>
      <c r="I270" s="203"/>
      <c r="J270" s="75">
        <v>15164.14</v>
      </c>
      <c r="K270" s="75">
        <v>30328.28</v>
      </c>
      <c r="L270" s="91" t="s">
        <v>619</v>
      </c>
      <c r="M270" s="73"/>
      <c r="N270" s="46">
        <v>2</v>
      </c>
      <c r="O270" s="46">
        <v>0</v>
      </c>
      <c r="P270" s="46">
        <v>30328.28</v>
      </c>
      <c r="Q270" s="98"/>
      <c r="R270" s="23" t="s">
        <v>1427</v>
      </c>
      <c r="S270" s="24" t="s">
        <v>618</v>
      </c>
      <c r="T270" s="25" t="s">
        <v>606</v>
      </c>
      <c r="U270" s="26">
        <v>2</v>
      </c>
      <c r="V270" s="26">
        <f t="shared" si="55"/>
        <v>2</v>
      </c>
      <c r="W270" s="26">
        <f t="shared" si="65"/>
        <v>15164.14</v>
      </c>
      <c r="X270" s="127">
        <f t="shared" si="61"/>
        <v>0</v>
      </c>
      <c r="Y270" s="127">
        <f t="shared" si="66"/>
        <v>2</v>
      </c>
      <c r="Z270" s="127">
        <f t="shared" si="62"/>
        <v>0</v>
      </c>
      <c r="AA270" s="127">
        <f t="shared" si="52"/>
        <v>30328.28</v>
      </c>
      <c r="AB270" s="33" t="s">
        <v>15</v>
      </c>
      <c r="AC270" s="324"/>
      <c r="AD270" s="181">
        <f t="shared" si="64"/>
        <v>2</v>
      </c>
      <c r="AE270" s="181">
        <f t="shared" si="63"/>
        <v>30328.28</v>
      </c>
      <c r="AF270" s="181">
        <v>1.7</v>
      </c>
      <c r="AG270" s="181">
        <v>1.7</v>
      </c>
      <c r="AH270" s="363" t="str">
        <f t="shared" si="50"/>
        <v/>
      </c>
      <c r="AI270" s="192">
        <v>2</v>
      </c>
      <c r="AJ270" s="188">
        <v>2</v>
      </c>
      <c r="AO270" s="367"/>
      <c r="AP270" s="367"/>
      <c r="AQ270" s="367"/>
    </row>
    <row r="271" spans="1:43" s="69" customFormat="1" ht="49.5" x14ac:dyDescent="0.3">
      <c r="A271" s="130" t="s">
        <v>620</v>
      </c>
      <c r="B271" s="240" t="s">
        <v>621</v>
      </c>
      <c r="C271" s="132" t="s">
        <v>606</v>
      </c>
      <c r="D271" s="133">
        <v>6</v>
      </c>
      <c r="E271" s="203"/>
      <c r="F271" s="203"/>
      <c r="G271" s="203"/>
      <c r="H271" s="203"/>
      <c r="I271" s="203"/>
      <c r="J271" s="75">
        <v>21803.06</v>
      </c>
      <c r="K271" s="75">
        <v>130818.36</v>
      </c>
      <c r="L271" s="91" t="s">
        <v>622</v>
      </c>
      <c r="M271" s="73"/>
      <c r="N271" s="46">
        <v>6</v>
      </c>
      <c r="O271" s="46">
        <v>0</v>
      </c>
      <c r="P271" s="46">
        <v>130818.36</v>
      </c>
      <c r="Q271" s="98"/>
      <c r="R271" s="23" t="s">
        <v>1428</v>
      </c>
      <c r="S271" s="24" t="s">
        <v>621</v>
      </c>
      <c r="T271" s="25" t="s">
        <v>606</v>
      </c>
      <c r="U271" s="26">
        <v>6</v>
      </c>
      <c r="V271" s="26">
        <f t="shared" si="55"/>
        <v>6</v>
      </c>
      <c r="W271" s="26">
        <f t="shared" si="65"/>
        <v>21803.06</v>
      </c>
      <c r="X271" s="127">
        <f t="shared" si="61"/>
        <v>0</v>
      </c>
      <c r="Y271" s="127">
        <f t="shared" si="66"/>
        <v>6</v>
      </c>
      <c r="Z271" s="127">
        <f t="shared" si="62"/>
        <v>0</v>
      </c>
      <c r="AA271" s="127">
        <f t="shared" si="52"/>
        <v>130818.36</v>
      </c>
      <c r="AB271" s="33" t="s">
        <v>15</v>
      </c>
      <c r="AC271" s="324"/>
      <c r="AD271" s="181">
        <f t="shared" si="64"/>
        <v>6</v>
      </c>
      <c r="AE271" s="181">
        <f t="shared" si="63"/>
        <v>130818.36</v>
      </c>
      <c r="AF271" s="181">
        <v>1.7</v>
      </c>
      <c r="AG271" s="181">
        <v>1.7</v>
      </c>
      <c r="AH271" s="363" t="str">
        <f t="shared" si="50"/>
        <v/>
      </c>
      <c r="AI271" s="192">
        <v>6</v>
      </c>
      <c r="AJ271" s="188">
        <v>6</v>
      </c>
      <c r="AO271" s="367"/>
      <c r="AP271" s="367"/>
      <c r="AQ271" s="367"/>
    </row>
    <row r="272" spans="1:43" s="69" customFormat="1" ht="49.5" x14ac:dyDescent="0.3">
      <c r="A272" s="130" t="s">
        <v>623</v>
      </c>
      <c r="B272" s="240" t="s">
        <v>624</v>
      </c>
      <c r="C272" s="132" t="s">
        <v>606</v>
      </c>
      <c r="D272" s="133">
        <v>3</v>
      </c>
      <c r="E272" s="203"/>
      <c r="F272" s="203"/>
      <c r="G272" s="203"/>
      <c r="H272" s="203"/>
      <c r="I272" s="203"/>
      <c r="J272" s="75">
        <v>26196.51</v>
      </c>
      <c r="K272" s="75">
        <v>78589.53</v>
      </c>
      <c r="L272" s="91" t="s">
        <v>625</v>
      </c>
      <c r="M272" s="73"/>
      <c r="N272" s="46">
        <v>3</v>
      </c>
      <c r="O272" s="46">
        <v>0</v>
      </c>
      <c r="P272" s="46">
        <v>78589.53</v>
      </c>
      <c r="Q272" s="98"/>
      <c r="R272" s="23" t="s">
        <v>1387</v>
      </c>
      <c r="S272" s="24" t="s">
        <v>624</v>
      </c>
      <c r="T272" s="25" t="s">
        <v>606</v>
      </c>
      <c r="U272" s="26">
        <v>3</v>
      </c>
      <c r="V272" s="26">
        <f t="shared" si="55"/>
        <v>3</v>
      </c>
      <c r="W272" s="26">
        <f t="shared" si="65"/>
        <v>26196.51</v>
      </c>
      <c r="X272" s="127">
        <f t="shared" si="61"/>
        <v>0</v>
      </c>
      <c r="Y272" s="127">
        <f t="shared" si="66"/>
        <v>3</v>
      </c>
      <c r="Z272" s="127">
        <f t="shared" si="62"/>
        <v>0</v>
      </c>
      <c r="AA272" s="127">
        <f t="shared" si="52"/>
        <v>78589.53</v>
      </c>
      <c r="AB272" s="33" t="s">
        <v>15</v>
      </c>
      <c r="AC272" s="324"/>
      <c r="AD272" s="181">
        <f t="shared" si="64"/>
        <v>3</v>
      </c>
      <c r="AE272" s="181">
        <f t="shared" si="63"/>
        <v>78589.53</v>
      </c>
      <c r="AF272" s="181">
        <v>1.7</v>
      </c>
      <c r="AG272" s="181">
        <v>1.7</v>
      </c>
      <c r="AH272" s="363" t="str">
        <f t="shared" si="50"/>
        <v/>
      </c>
      <c r="AI272" s="192">
        <v>3</v>
      </c>
      <c r="AJ272" s="188">
        <v>3</v>
      </c>
      <c r="AO272" s="367"/>
      <c r="AP272" s="367"/>
      <c r="AQ272" s="367"/>
    </row>
    <row r="273" spans="1:43" s="69" customFormat="1" ht="49.5" x14ac:dyDescent="0.3">
      <c r="A273" s="130" t="s">
        <v>626</v>
      </c>
      <c r="B273" s="240" t="s">
        <v>627</v>
      </c>
      <c r="C273" s="132" t="s">
        <v>606</v>
      </c>
      <c r="D273" s="133">
        <v>2</v>
      </c>
      <c r="E273" s="203"/>
      <c r="F273" s="203"/>
      <c r="G273" s="203"/>
      <c r="H273" s="203"/>
      <c r="I273" s="203"/>
      <c r="J273" s="75">
        <v>29984.85</v>
      </c>
      <c r="K273" s="75">
        <v>59969.7</v>
      </c>
      <c r="L273" s="91" t="s">
        <v>628</v>
      </c>
      <c r="M273" s="73"/>
      <c r="N273" s="46">
        <v>2</v>
      </c>
      <c r="O273" s="46">
        <v>0</v>
      </c>
      <c r="P273" s="46">
        <v>59969.7</v>
      </c>
      <c r="Q273" s="98"/>
      <c r="R273" s="23" t="s">
        <v>1405</v>
      </c>
      <c r="S273" s="24" t="s">
        <v>627</v>
      </c>
      <c r="T273" s="25" t="s">
        <v>606</v>
      </c>
      <c r="U273" s="26">
        <v>2</v>
      </c>
      <c r="V273" s="26">
        <f t="shared" si="55"/>
        <v>2</v>
      </c>
      <c r="W273" s="26">
        <f t="shared" si="65"/>
        <v>29984.85</v>
      </c>
      <c r="X273" s="127">
        <f t="shared" si="61"/>
        <v>0</v>
      </c>
      <c r="Y273" s="127">
        <f t="shared" si="66"/>
        <v>2</v>
      </c>
      <c r="Z273" s="127">
        <f t="shared" si="62"/>
        <v>0</v>
      </c>
      <c r="AA273" s="127">
        <f t="shared" si="52"/>
        <v>59969.7</v>
      </c>
      <c r="AB273" s="33" t="s">
        <v>15</v>
      </c>
      <c r="AC273" s="324"/>
      <c r="AD273" s="181">
        <f t="shared" si="64"/>
        <v>2</v>
      </c>
      <c r="AE273" s="181">
        <f t="shared" si="63"/>
        <v>59969.7</v>
      </c>
      <c r="AF273" s="181">
        <v>1.7</v>
      </c>
      <c r="AG273" s="181">
        <v>1.7</v>
      </c>
      <c r="AH273" s="363" t="str">
        <f t="shared" si="50"/>
        <v/>
      </c>
      <c r="AI273" s="192">
        <v>2</v>
      </c>
      <c r="AJ273" s="188">
        <v>2</v>
      </c>
      <c r="AO273" s="367"/>
      <c r="AP273" s="367"/>
      <c r="AQ273" s="367"/>
    </row>
    <row r="274" spans="1:43" s="69" customFormat="1" ht="49.5" x14ac:dyDescent="0.3">
      <c r="A274" s="130" t="s">
        <v>629</v>
      </c>
      <c r="B274" s="240" t="s">
        <v>630</v>
      </c>
      <c r="C274" s="132" t="s">
        <v>606</v>
      </c>
      <c r="D274" s="133">
        <v>3</v>
      </c>
      <c r="E274" s="203"/>
      <c r="F274" s="203"/>
      <c r="G274" s="203"/>
      <c r="H274" s="203"/>
      <c r="I274" s="225"/>
      <c r="J274" s="75">
        <v>38914.949999999997</v>
      </c>
      <c r="K274" s="75">
        <v>116744.85</v>
      </c>
      <c r="L274" s="91" t="s">
        <v>631</v>
      </c>
      <c r="M274" s="73"/>
      <c r="N274" s="46">
        <v>3</v>
      </c>
      <c r="O274" s="46">
        <v>0</v>
      </c>
      <c r="P274" s="46">
        <v>116744.85</v>
      </c>
      <c r="Q274" s="98"/>
      <c r="R274" s="23" t="s">
        <v>1406</v>
      </c>
      <c r="S274" s="24" t="s">
        <v>630</v>
      </c>
      <c r="T274" s="25" t="s">
        <v>606</v>
      </c>
      <c r="U274" s="26">
        <v>3</v>
      </c>
      <c r="V274" s="26">
        <f t="shared" si="55"/>
        <v>3</v>
      </c>
      <c r="W274" s="26">
        <f t="shared" si="65"/>
        <v>38914.949999999997</v>
      </c>
      <c r="X274" s="127">
        <f t="shared" si="61"/>
        <v>0</v>
      </c>
      <c r="Y274" s="127">
        <f t="shared" si="66"/>
        <v>3</v>
      </c>
      <c r="Z274" s="127">
        <f t="shared" si="62"/>
        <v>0</v>
      </c>
      <c r="AA274" s="127">
        <f t="shared" si="52"/>
        <v>116744.85</v>
      </c>
      <c r="AB274" s="33" t="s">
        <v>15</v>
      </c>
      <c r="AC274" s="324"/>
      <c r="AD274" s="181">
        <f t="shared" si="64"/>
        <v>3</v>
      </c>
      <c r="AE274" s="181">
        <f t="shared" si="63"/>
        <v>116744.85</v>
      </c>
      <c r="AF274" s="181">
        <v>1.7</v>
      </c>
      <c r="AG274" s="181">
        <v>1.7</v>
      </c>
      <c r="AH274" s="363" t="str">
        <f t="shared" si="50"/>
        <v/>
      </c>
      <c r="AI274" s="192">
        <v>3</v>
      </c>
      <c r="AJ274" s="188">
        <v>3</v>
      </c>
      <c r="AO274" s="367"/>
      <c r="AP274" s="367"/>
      <c r="AQ274" s="367"/>
    </row>
    <row r="275" spans="1:43" s="69" customFormat="1" ht="49.5" x14ac:dyDescent="0.3">
      <c r="A275" s="130" t="s">
        <v>632</v>
      </c>
      <c r="B275" s="240" t="s">
        <v>633</v>
      </c>
      <c r="C275" s="132" t="s">
        <v>606</v>
      </c>
      <c r="D275" s="133">
        <v>3</v>
      </c>
      <c r="E275" s="203"/>
      <c r="F275" s="203"/>
      <c r="G275" s="203"/>
      <c r="H275" s="293"/>
      <c r="I275" s="295"/>
      <c r="J275" s="166">
        <v>43624.88</v>
      </c>
      <c r="K275" s="75">
        <v>130874.64</v>
      </c>
      <c r="L275" s="91" t="s">
        <v>634</v>
      </c>
      <c r="M275" s="73"/>
      <c r="N275" s="46">
        <v>3</v>
      </c>
      <c r="O275" s="46">
        <v>0</v>
      </c>
      <c r="P275" s="46">
        <v>130874.64</v>
      </c>
      <c r="Q275" s="98"/>
      <c r="R275" s="23" t="s">
        <v>1414</v>
      </c>
      <c r="S275" s="24" t="s">
        <v>633</v>
      </c>
      <c r="T275" s="25" t="s">
        <v>606</v>
      </c>
      <c r="U275" s="26">
        <v>3</v>
      </c>
      <c r="V275" s="26">
        <f t="shared" si="55"/>
        <v>3</v>
      </c>
      <c r="W275" s="26">
        <f t="shared" si="65"/>
        <v>43624.88</v>
      </c>
      <c r="X275" s="127">
        <f t="shared" si="61"/>
        <v>0</v>
      </c>
      <c r="Y275" s="127">
        <f t="shared" si="66"/>
        <v>3</v>
      </c>
      <c r="Z275" s="127">
        <f t="shared" si="62"/>
        <v>0</v>
      </c>
      <c r="AA275" s="127">
        <f t="shared" si="52"/>
        <v>130874.64</v>
      </c>
      <c r="AB275" s="33" t="s">
        <v>15</v>
      </c>
      <c r="AC275" s="324"/>
      <c r="AD275" s="181">
        <f t="shared" si="64"/>
        <v>3</v>
      </c>
      <c r="AE275" s="181">
        <f t="shared" si="63"/>
        <v>130874.64</v>
      </c>
      <c r="AF275" s="181">
        <v>1.7</v>
      </c>
      <c r="AG275" s="181">
        <v>1.7</v>
      </c>
      <c r="AH275" s="363" t="str">
        <f t="shared" si="50"/>
        <v/>
      </c>
      <c r="AI275" s="192">
        <v>3</v>
      </c>
      <c r="AJ275" s="188">
        <v>3</v>
      </c>
      <c r="AO275" s="367"/>
      <c r="AP275" s="367"/>
      <c r="AQ275" s="367"/>
    </row>
    <row r="276" spans="1:43" s="69" customFormat="1" ht="49.5" x14ac:dyDescent="0.3">
      <c r="A276" s="130" t="s">
        <v>635</v>
      </c>
      <c r="B276" s="240" t="s">
        <v>636</v>
      </c>
      <c r="C276" s="132" t="s">
        <v>606</v>
      </c>
      <c r="D276" s="133">
        <v>1</v>
      </c>
      <c r="E276" s="203"/>
      <c r="F276" s="203"/>
      <c r="G276" s="203"/>
      <c r="H276" s="293"/>
      <c r="I276" s="295"/>
      <c r="J276" s="166">
        <v>73088.800000000003</v>
      </c>
      <c r="K276" s="75">
        <v>73088.800000000003</v>
      </c>
      <c r="L276" s="91" t="s">
        <v>637</v>
      </c>
      <c r="M276" s="73"/>
      <c r="N276" s="46">
        <v>1</v>
      </c>
      <c r="O276" s="46">
        <v>0</v>
      </c>
      <c r="P276" s="46">
        <v>73088.800000000003</v>
      </c>
      <c r="Q276" s="98"/>
      <c r="R276" s="23" t="s">
        <v>1429</v>
      </c>
      <c r="S276" s="24" t="s">
        <v>636</v>
      </c>
      <c r="T276" s="25" t="s">
        <v>606</v>
      </c>
      <c r="U276" s="26">
        <v>1</v>
      </c>
      <c r="V276" s="26">
        <f t="shared" si="55"/>
        <v>1</v>
      </c>
      <c r="W276" s="26">
        <f t="shared" si="65"/>
        <v>73088.800000000003</v>
      </c>
      <c r="X276" s="127">
        <f t="shared" si="61"/>
        <v>0</v>
      </c>
      <c r="Y276" s="127">
        <f t="shared" si="66"/>
        <v>1</v>
      </c>
      <c r="Z276" s="127">
        <f t="shared" si="62"/>
        <v>0</v>
      </c>
      <c r="AA276" s="127">
        <f t="shared" si="52"/>
        <v>73088.800000000003</v>
      </c>
      <c r="AB276" s="33" t="s">
        <v>15</v>
      </c>
      <c r="AC276" s="324"/>
      <c r="AD276" s="181">
        <f t="shared" si="64"/>
        <v>1</v>
      </c>
      <c r="AE276" s="181">
        <f t="shared" si="63"/>
        <v>73088.800000000003</v>
      </c>
      <c r="AF276" s="181">
        <v>1.7</v>
      </c>
      <c r="AG276" s="181">
        <v>1.7</v>
      </c>
      <c r="AH276" s="363" t="str">
        <f t="shared" si="50"/>
        <v/>
      </c>
      <c r="AI276" s="192">
        <v>1</v>
      </c>
      <c r="AJ276" s="188">
        <v>1</v>
      </c>
      <c r="AO276" s="367"/>
      <c r="AP276" s="367"/>
      <c r="AQ276" s="367"/>
    </row>
    <row r="277" spans="1:43" s="69" customFormat="1" ht="58.5" x14ac:dyDescent="0.3">
      <c r="A277" s="55" t="s">
        <v>638</v>
      </c>
      <c r="B277" s="53" t="s">
        <v>639</v>
      </c>
      <c r="C277" s="54" t="s">
        <v>606</v>
      </c>
      <c r="D277" s="75">
        <v>6</v>
      </c>
      <c r="E277" s="75"/>
      <c r="F277" s="75"/>
      <c r="G277" s="75"/>
      <c r="H277" s="161"/>
      <c r="I277" s="158"/>
      <c r="J277" s="166">
        <v>22814.5</v>
      </c>
      <c r="K277" s="75">
        <v>136887</v>
      </c>
      <c r="L277" s="91" t="s">
        <v>640</v>
      </c>
      <c r="M277" s="73"/>
      <c r="N277" s="46">
        <v>3</v>
      </c>
      <c r="O277" s="46">
        <v>0</v>
      </c>
      <c r="P277" s="46">
        <v>68443.5</v>
      </c>
      <c r="Q277" s="98"/>
      <c r="R277" s="23" t="s">
        <v>1430</v>
      </c>
      <c r="S277" s="24" t="s">
        <v>639</v>
      </c>
      <c r="T277" s="25" t="s">
        <v>606</v>
      </c>
      <c r="U277" s="26">
        <v>6</v>
      </c>
      <c r="V277" s="26">
        <f t="shared" si="55"/>
        <v>6</v>
      </c>
      <c r="W277" s="26">
        <f t="shared" si="65"/>
        <v>22814.5</v>
      </c>
      <c r="X277" s="128">
        <f t="shared" si="61"/>
        <v>0</v>
      </c>
      <c r="Y277" s="26">
        <f t="shared" si="66"/>
        <v>3</v>
      </c>
      <c r="Z277" s="26">
        <f t="shared" si="62"/>
        <v>0</v>
      </c>
      <c r="AA277" s="26">
        <f t="shared" si="52"/>
        <v>68443.5</v>
      </c>
      <c r="AB277" s="33" t="s">
        <v>15</v>
      </c>
      <c r="AC277" s="324"/>
      <c r="AD277" s="181">
        <f t="shared" si="64"/>
        <v>6</v>
      </c>
      <c r="AE277" s="181">
        <f t="shared" si="63"/>
        <v>136887</v>
      </c>
      <c r="AF277" s="181">
        <v>1.7</v>
      </c>
      <c r="AG277" s="181">
        <v>1.7</v>
      </c>
      <c r="AH277" s="363" t="str">
        <f t="shared" si="50"/>
        <v/>
      </c>
      <c r="AI277" s="194">
        <f>3</f>
        <v>3</v>
      </c>
      <c r="AJ277" s="188">
        <v>6</v>
      </c>
      <c r="AO277" s="367"/>
      <c r="AP277" s="367"/>
      <c r="AQ277" s="367"/>
    </row>
    <row r="278" spans="1:43" s="69" customFormat="1" ht="66" x14ac:dyDescent="0.3">
      <c r="A278" s="130" t="s">
        <v>641</v>
      </c>
      <c r="B278" s="240" t="s">
        <v>642</v>
      </c>
      <c r="C278" s="132" t="s">
        <v>606</v>
      </c>
      <c r="D278" s="133">
        <v>3</v>
      </c>
      <c r="E278" s="203"/>
      <c r="F278" s="203"/>
      <c r="G278" s="203"/>
      <c r="H278" s="293">
        <v>8</v>
      </c>
      <c r="I278" s="295"/>
      <c r="J278" s="166">
        <v>1963.3</v>
      </c>
      <c r="K278" s="75">
        <v>15706.4</v>
      </c>
      <c r="L278" s="91" t="s">
        <v>643</v>
      </c>
      <c r="M278" s="73"/>
      <c r="N278" s="46">
        <v>3</v>
      </c>
      <c r="O278" s="46">
        <v>0</v>
      </c>
      <c r="P278" s="46">
        <v>5889.9</v>
      </c>
      <c r="Q278" s="98"/>
      <c r="R278" s="23" t="s">
        <v>1431</v>
      </c>
      <c r="S278" s="24" t="s">
        <v>642</v>
      </c>
      <c r="T278" s="25" t="s">
        <v>606</v>
      </c>
      <c r="U278" s="26">
        <v>3</v>
      </c>
      <c r="V278" s="26">
        <f t="shared" si="55"/>
        <v>8</v>
      </c>
      <c r="W278" s="26">
        <f t="shared" si="65"/>
        <v>1963.3</v>
      </c>
      <c r="X278" s="127">
        <f t="shared" si="61"/>
        <v>0</v>
      </c>
      <c r="Y278" s="127">
        <f t="shared" si="66"/>
        <v>3</v>
      </c>
      <c r="Z278" s="127">
        <f t="shared" si="62"/>
        <v>0</v>
      </c>
      <c r="AA278" s="127">
        <f t="shared" si="52"/>
        <v>5889.9</v>
      </c>
      <c r="AB278" s="33" t="s">
        <v>15</v>
      </c>
      <c r="AC278" s="324"/>
      <c r="AD278" s="181">
        <f t="shared" si="64"/>
        <v>8</v>
      </c>
      <c r="AE278" s="181">
        <f t="shared" si="63"/>
        <v>15706.4</v>
      </c>
      <c r="AF278" s="181">
        <v>1.7</v>
      </c>
      <c r="AG278" s="181">
        <v>1.7</v>
      </c>
      <c r="AH278" s="363" t="str">
        <f t="shared" si="50"/>
        <v/>
      </c>
      <c r="AI278" s="192">
        <v>3</v>
      </c>
      <c r="AJ278" s="188">
        <v>8</v>
      </c>
      <c r="AO278" s="367"/>
      <c r="AP278" s="367"/>
      <c r="AQ278" s="367"/>
    </row>
    <row r="279" spans="1:43" s="69" customFormat="1" ht="66" x14ac:dyDescent="0.3">
      <c r="A279" s="130" t="s">
        <v>644</v>
      </c>
      <c r="B279" s="240" t="s">
        <v>645</v>
      </c>
      <c r="C279" s="132" t="s">
        <v>606</v>
      </c>
      <c r="D279" s="133">
        <v>5</v>
      </c>
      <c r="E279" s="203"/>
      <c r="F279" s="203"/>
      <c r="G279" s="203"/>
      <c r="H279" s="293">
        <v>10</v>
      </c>
      <c r="I279" s="295"/>
      <c r="J279" s="166">
        <v>2216.6</v>
      </c>
      <c r="K279" s="75">
        <v>22166</v>
      </c>
      <c r="L279" s="91" t="s">
        <v>646</v>
      </c>
      <c r="M279" s="73"/>
      <c r="N279" s="46">
        <v>5</v>
      </c>
      <c r="O279" s="46">
        <v>0</v>
      </c>
      <c r="P279" s="46">
        <v>11083</v>
      </c>
      <c r="Q279" s="98"/>
      <c r="R279" s="23" t="s">
        <v>1395</v>
      </c>
      <c r="S279" s="24" t="s">
        <v>645</v>
      </c>
      <c r="T279" s="25" t="s">
        <v>606</v>
      </c>
      <c r="U279" s="26">
        <v>5</v>
      </c>
      <c r="V279" s="26">
        <f t="shared" si="55"/>
        <v>10</v>
      </c>
      <c r="W279" s="26">
        <f t="shared" si="65"/>
        <v>2216.6</v>
      </c>
      <c r="X279" s="127">
        <f t="shared" si="61"/>
        <v>0</v>
      </c>
      <c r="Y279" s="127">
        <f t="shared" si="66"/>
        <v>5</v>
      </c>
      <c r="Z279" s="127">
        <f t="shared" si="62"/>
        <v>0</v>
      </c>
      <c r="AA279" s="127">
        <f t="shared" si="52"/>
        <v>11083</v>
      </c>
      <c r="AB279" s="33" t="s">
        <v>15</v>
      </c>
      <c r="AC279" s="324"/>
      <c r="AD279" s="181">
        <f t="shared" si="64"/>
        <v>10</v>
      </c>
      <c r="AE279" s="181">
        <f t="shared" si="63"/>
        <v>22166</v>
      </c>
      <c r="AF279" s="181">
        <v>1.7</v>
      </c>
      <c r="AG279" s="181">
        <v>1.7</v>
      </c>
      <c r="AH279" s="363" t="str">
        <f t="shared" si="50"/>
        <v/>
      </c>
      <c r="AI279" s="192">
        <v>5</v>
      </c>
      <c r="AJ279" s="188">
        <v>10</v>
      </c>
      <c r="AO279" s="367"/>
      <c r="AP279" s="367"/>
      <c r="AQ279" s="367"/>
    </row>
    <row r="280" spans="1:43" s="69" customFormat="1" ht="66" x14ac:dyDescent="0.3">
      <c r="A280" s="55" t="s">
        <v>647</v>
      </c>
      <c r="B280" s="138" t="s">
        <v>648</v>
      </c>
      <c r="C280" s="54" t="s">
        <v>606</v>
      </c>
      <c r="D280" s="203">
        <v>7</v>
      </c>
      <c r="E280" s="203">
        <v>17</v>
      </c>
      <c r="F280" s="203"/>
      <c r="G280" s="203"/>
      <c r="H280" s="293"/>
      <c r="I280" s="295"/>
      <c r="J280" s="166">
        <v>2999.02</v>
      </c>
      <c r="K280" s="75">
        <v>50983.34</v>
      </c>
      <c r="L280" s="91" t="s">
        <v>649</v>
      </c>
      <c r="M280" s="73"/>
      <c r="N280" s="46">
        <v>7</v>
      </c>
      <c r="O280" s="46">
        <v>0</v>
      </c>
      <c r="P280" s="46">
        <v>20993.14</v>
      </c>
      <c r="Q280" s="98"/>
      <c r="R280" s="23" t="s">
        <v>1432</v>
      </c>
      <c r="S280" s="24" t="s">
        <v>648</v>
      </c>
      <c r="T280" s="25" t="s">
        <v>606</v>
      </c>
      <c r="U280" s="26">
        <v>7</v>
      </c>
      <c r="V280" s="26">
        <f t="shared" si="55"/>
        <v>17</v>
      </c>
      <c r="W280" s="26">
        <f t="shared" si="65"/>
        <v>2999.02</v>
      </c>
      <c r="X280" s="26">
        <f t="shared" si="61"/>
        <v>0</v>
      </c>
      <c r="Y280" s="26">
        <f t="shared" si="66"/>
        <v>7</v>
      </c>
      <c r="Z280" s="26">
        <f t="shared" si="62"/>
        <v>0</v>
      </c>
      <c r="AA280" s="26">
        <f t="shared" si="52"/>
        <v>20993.14</v>
      </c>
      <c r="AB280" s="27" t="s">
        <v>15</v>
      </c>
      <c r="AC280" s="324"/>
      <c r="AD280" s="181">
        <f t="shared" si="64"/>
        <v>17</v>
      </c>
      <c r="AE280" s="181">
        <f t="shared" si="63"/>
        <v>50983.34</v>
      </c>
      <c r="AF280" s="181">
        <v>1.7</v>
      </c>
      <c r="AG280" s="181">
        <v>1.7</v>
      </c>
      <c r="AH280" s="363" t="str">
        <f t="shared" si="50"/>
        <v/>
      </c>
      <c r="AI280" s="192">
        <v>7</v>
      </c>
      <c r="AJ280" s="188">
        <v>17</v>
      </c>
      <c r="AO280" s="367"/>
      <c r="AP280" s="367"/>
      <c r="AQ280" s="367"/>
    </row>
    <row r="281" spans="1:43" s="69" customFormat="1" ht="66" x14ac:dyDescent="0.3">
      <c r="A281" s="130" t="s">
        <v>650</v>
      </c>
      <c r="B281" s="240" t="s">
        <v>651</v>
      </c>
      <c r="C281" s="132" t="s">
        <v>606</v>
      </c>
      <c r="D281" s="133">
        <v>3</v>
      </c>
      <c r="E281" s="203"/>
      <c r="F281" s="203"/>
      <c r="G281" s="203"/>
      <c r="H281" s="293"/>
      <c r="I281" s="295"/>
      <c r="J281" s="166">
        <v>4720.5600000000004</v>
      </c>
      <c r="K281" s="75">
        <v>14161.68</v>
      </c>
      <c r="L281" s="91" t="s">
        <v>652</v>
      </c>
      <c r="M281" s="73"/>
      <c r="N281" s="46">
        <v>3</v>
      </c>
      <c r="O281" s="46">
        <v>0</v>
      </c>
      <c r="P281" s="46">
        <v>14161.68</v>
      </c>
      <c r="Q281" s="98"/>
      <c r="R281" s="23" t="s">
        <v>1433</v>
      </c>
      <c r="S281" s="24" t="s">
        <v>651</v>
      </c>
      <c r="T281" s="25" t="s">
        <v>606</v>
      </c>
      <c r="U281" s="26">
        <v>3</v>
      </c>
      <c r="V281" s="26">
        <f t="shared" si="55"/>
        <v>3</v>
      </c>
      <c r="W281" s="26">
        <f t="shared" si="65"/>
        <v>4720.5600000000004</v>
      </c>
      <c r="X281" s="127">
        <f t="shared" si="61"/>
        <v>0</v>
      </c>
      <c r="Y281" s="127">
        <f t="shared" si="66"/>
        <v>3</v>
      </c>
      <c r="Z281" s="127">
        <f t="shared" si="62"/>
        <v>0</v>
      </c>
      <c r="AA281" s="127">
        <f t="shared" si="52"/>
        <v>14161.68</v>
      </c>
      <c r="AB281" s="33" t="s">
        <v>15</v>
      </c>
      <c r="AC281" s="324"/>
      <c r="AD281" s="181">
        <f t="shared" si="64"/>
        <v>3</v>
      </c>
      <c r="AE281" s="181">
        <f t="shared" si="63"/>
        <v>14161.68</v>
      </c>
      <c r="AF281" s="181">
        <v>1.7</v>
      </c>
      <c r="AG281" s="181">
        <v>1.7</v>
      </c>
      <c r="AH281" s="363" t="str">
        <f t="shared" si="50"/>
        <v/>
      </c>
      <c r="AI281" s="192">
        <v>3</v>
      </c>
      <c r="AJ281" s="188">
        <v>3</v>
      </c>
      <c r="AO281" s="367"/>
      <c r="AP281" s="367"/>
      <c r="AQ281" s="367"/>
    </row>
    <row r="282" spans="1:43" s="69" customFormat="1" ht="66" x14ac:dyDescent="0.3">
      <c r="A282" s="130" t="s">
        <v>653</v>
      </c>
      <c r="B282" s="240" t="s">
        <v>654</v>
      </c>
      <c r="C282" s="132" t="s">
        <v>606</v>
      </c>
      <c r="D282" s="133">
        <v>4</v>
      </c>
      <c r="E282" s="203"/>
      <c r="F282" s="203"/>
      <c r="G282" s="203"/>
      <c r="H282" s="293">
        <v>5</v>
      </c>
      <c r="I282" s="295"/>
      <c r="J282" s="166">
        <v>5897.9</v>
      </c>
      <c r="K282" s="75">
        <v>29489.5</v>
      </c>
      <c r="L282" s="91" t="s">
        <v>655</v>
      </c>
      <c r="M282" s="73"/>
      <c r="N282" s="46">
        <v>4</v>
      </c>
      <c r="O282" s="46">
        <v>0</v>
      </c>
      <c r="P282" s="46">
        <v>23591.599999999999</v>
      </c>
      <c r="Q282" s="98"/>
      <c r="R282" s="23" t="s">
        <v>1382</v>
      </c>
      <c r="S282" s="24" t="s">
        <v>654</v>
      </c>
      <c r="T282" s="25" t="s">
        <v>606</v>
      </c>
      <c r="U282" s="26">
        <v>4</v>
      </c>
      <c r="V282" s="26">
        <f t="shared" si="55"/>
        <v>5</v>
      </c>
      <c r="W282" s="26">
        <f t="shared" si="65"/>
        <v>5897.9</v>
      </c>
      <c r="X282" s="127">
        <f t="shared" si="61"/>
        <v>0</v>
      </c>
      <c r="Y282" s="127">
        <f t="shared" si="66"/>
        <v>4</v>
      </c>
      <c r="Z282" s="127">
        <f t="shared" si="62"/>
        <v>0</v>
      </c>
      <c r="AA282" s="127">
        <f t="shared" si="52"/>
        <v>23591.599999999999</v>
      </c>
      <c r="AB282" s="33" t="s">
        <v>15</v>
      </c>
      <c r="AC282" s="324"/>
      <c r="AD282" s="181">
        <f t="shared" si="64"/>
        <v>5</v>
      </c>
      <c r="AE282" s="181">
        <f t="shared" si="63"/>
        <v>29489.5</v>
      </c>
      <c r="AF282" s="181">
        <v>1.7</v>
      </c>
      <c r="AG282" s="181">
        <v>1.7</v>
      </c>
      <c r="AH282" s="363" t="str">
        <f t="shared" si="50"/>
        <v/>
      </c>
      <c r="AI282" s="192">
        <v>4</v>
      </c>
      <c r="AJ282" s="188">
        <v>5</v>
      </c>
      <c r="AO282" s="367"/>
      <c r="AP282" s="367"/>
      <c r="AQ282" s="367"/>
    </row>
    <row r="283" spans="1:43" s="69" customFormat="1" ht="78" x14ac:dyDescent="0.3">
      <c r="A283" s="130" t="s">
        <v>656</v>
      </c>
      <c r="B283" s="131" t="s">
        <v>657</v>
      </c>
      <c r="C283" s="132" t="s">
        <v>606</v>
      </c>
      <c r="D283" s="133">
        <v>1</v>
      </c>
      <c r="E283" s="203"/>
      <c r="F283" s="203"/>
      <c r="G283" s="203"/>
      <c r="H283" s="293"/>
      <c r="I283" s="295"/>
      <c r="J283" s="166">
        <v>9356.16</v>
      </c>
      <c r="K283" s="75">
        <v>9356.16</v>
      </c>
      <c r="L283" s="91" t="s">
        <v>658</v>
      </c>
      <c r="M283" s="73"/>
      <c r="N283" s="46">
        <v>1</v>
      </c>
      <c r="O283" s="46">
        <v>0</v>
      </c>
      <c r="P283" s="46">
        <v>9356.16</v>
      </c>
      <c r="Q283" s="98"/>
      <c r="R283" s="23" t="s">
        <v>1434</v>
      </c>
      <c r="S283" s="24" t="s">
        <v>657</v>
      </c>
      <c r="T283" s="25" t="s">
        <v>606</v>
      </c>
      <c r="U283" s="26">
        <v>1</v>
      </c>
      <c r="V283" s="26">
        <f t="shared" si="55"/>
        <v>1</v>
      </c>
      <c r="W283" s="26">
        <f t="shared" si="65"/>
        <v>9356.16</v>
      </c>
      <c r="X283" s="127">
        <f t="shared" si="61"/>
        <v>0</v>
      </c>
      <c r="Y283" s="127">
        <f t="shared" si="66"/>
        <v>1</v>
      </c>
      <c r="Z283" s="127">
        <f t="shared" si="62"/>
        <v>0</v>
      </c>
      <c r="AA283" s="127">
        <f t="shared" si="52"/>
        <v>9356.16</v>
      </c>
      <c r="AB283" s="33" t="s">
        <v>15</v>
      </c>
      <c r="AC283" s="324"/>
      <c r="AD283" s="181">
        <f t="shared" si="64"/>
        <v>1</v>
      </c>
      <c r="AE283" s="181">
        <f t="shared" si="63"/>
        <v>9356.16</v>
      </c>
      <c r="AF283" s="181">
        <v>1.7</v>
      </c>
      <c r="AG283" s="181">
        <v>1.7</v>
      </c>
      <c r="AH283" s="363" t="str">
        <f t="shared" si="50"/>
        <v/>
      </c>
      <c r="AI283" s="192">
        <v>1</v>
      </c>
      <c r="AJ283" s="188">
        <v>1</v>
      </c>
      <c r="AO283" s="367"/>
      <c r="AP283" s="367"/>
      <c r="AQ283" s="367"/>
    </row>
    <row r="284" spans="1:43" s="69" customFormat="1" ht="58.5" x14ac:dyDescent="0.3">
      <c r="A284" s="130" t="s">
        <v>659</v>
      </c>
      <c r="B284" s="131" t="s">
        <v>660</v>
      </c>
      <c r="C284" s="132" t="s">
        <v>606</v>
      </c>
      <c r="D284" s="133">
        <v>1</v>
      </c>
      <c r="E284" s="203"/>
      <c r="F284" s="203"/>
      <c r="G284" s="203"/>
      <c r="H284" s="293"/>
      <c r="I284" s="295"/>
      <c r="J284" s="166">
        <v>13184.01</v>
      </c>
      <c r="K284" s="75">
        <v>13184.01</v>
      </c>
      <c r="L284" s="91" t="s">
        <v>661</v>
      </c>
      <c r="M284" s="73"/>
      <c r="N284" s="46">
        <v>1</v>
      </c>
      <c r="O284" s="46">
        <v>0</v>
      </c>
      <c r="P284" s="46">
        <v>13184.01</v>
      </c>
      <c r="Q284" s="98"/>
      <c r="R284" s="23" t="s">
        <v>1388</v>
      </c>
      <c r="S284" s="24" t="s">
        <v>660</v>
      </c>
      <c r="T284" s="25" t="s">
        <v>606</v>
      </c>
      <c r="U284" s="26">
        <v>1</v>
      </c>
      <c r="V284" s="26">
        <f t="shared" si="55"/>
        <v>1</v>
      </c>
      <c r="W284" s="26">
        <f t="shared" si="65"/>
        <v>13184.01</v>
      </c>
      <c r="X284" s="127">
        <f t="shared" si="61"/>
        <v>0</v>
      </c>
      <c r="Y284" s="127">
        <f t="shared" si="66"/>
        <v>1</v>
      </c>
      <c r="Z284" s="127">
        <f t="shared" si="62"/>
        <v>0</v>
      </c>
      <c r="AA284" s="127">
        <f t="shared" si="52"/>
        <v>13184.01</v>
      </c>
      <c r="AB284" s="33" t="s">
        <v>15</v>
      </c>
      <c r="AC284" s="324"/>
      <c r="AD284" s="181">
        <f t="shared" si="64"/>
        <v>1</v>
      </c>
      <c r="AE284" s="181">
        <f t="shared" si="63"/>
        <v>13184.01</v>
      </c>
      <c r="AF284" s="181">
        <v>1.7</v>
      </c>
      <c r="AG284" s="181">
        <v>1.7</v>
      </c>
      <c r="AH284" s="363" t="str">
        <f t="shared" si="50"/>
        <v/>
      </c>
      <c r="AI284" s="192">
        <v>1</v>
      </c>
      <c r="AJ284" s="188">
        <v>1</v>
      </c>
      <c r="AO284" s="367"/>
      <c r="AP284" s="367"/>
      <c r="AQ284" s="367"/>
    </row>
    <row r="285" spans="1:43" s="69" customFormat="1" ht="58.5" x14ac:dyDescent="0.3">
      <c r="A285" s="130" t="s">
        <v>662</v>
      </c>
      <c r="B285" s="131" t="s">
        <v>663</v>
      </c>
      <c r="C285" s="132" t="s">
        <v>30</v>
      </c>
      <c r="D285" s="133">
        <v>47.01</v>
      </c>
      <c r="E285" s="203"/>
      <c r="F285" s="203"/>
      <c r="G285" s="203"/>
      <c r="H285" s="293"/>
      <c r="I285" s="295"/>
      <c r="J285" s="166">
        <v>1859.87</v>
      </c>
      <c r="K285" s="75">
        <v>87432.49</v>
      </c>
      <c r="L285" s="91" t="s">
        <v>664</v>
      </c>
      <c r="M285" s="73"/>
      <c r="N285" s="46">
        <v>47.01</v>
      </c>
      <c r="O285" s="46">
        <v>0</v>
      </c>
      <c r="P285" s="46">
        <v>87432.49</v>
      </c>
      <c r="Q285" s="98"/>
      <c r="R285" s="23" t="s">
        <v>1389</v>
      </c>
      <c r="S285" s="24" t="s">
        <v>663</v>
      </c>
      <c r="T285" s="25" t="s">
        <v>30</v>
      </c>
      <c r="U285" s="26">
        <v>47.01</v>
      </c>
      <c r="V285" s="26">
        <f t="shared" si="55"/>
        <v>47.01</v>
      </c>
      <c r="W285" s="26">
        <f t="shared" si="65"/>
        <v>1859.87</v>
      </c>
      <c r="X285" s="127">
        <f t="shared" si="61"/>
        <v>0</v>
      </c>
      <c r="Y285" s="127">
        <f t="shared" si="66"/>
        <v>47.01</v>
      </c>
      <c r="Z285" s="127">
        <f t="shared" si="62"/>
        <v>0</v>
      </c>
      <c r="AA285" s="127">
        <f t="shared" si="52"/>
        <v>87432.49</v>
      </c>
      <c r="AB285" s="33" t="s">
        <v>15</v>
      </c>
      <c r="AC285" s="324"/>
      <c r="AD285" s="181">
        <f t="shared" si="64"/>
        <v>47.01</v>
      </c>
      <c r="AE285" s="181">
        <f t="shared" si="63"/>
        <v>87432.49</v>
      </c>
      <c r="AF285" s="181">
        <v>1.7</v>
      </c>
      <c r="AG285" s="181">
        <v>1.7</v>
      </c>
      <c r="AH285" s="363" t="str">
        <f t="shared" si="50"/>
        <v/>
      </c>
      <c r="AI285" s="192">
        <v>47.01</v>
      </c>
      <c r="AJ285" s="188">
        <v>47.01</v>
      </c>
      <c r="AO285" s="367"/>
      <c r="AP285" s="367"/>
      <c r="AQ285" s="367"/>
    </row>
    <row r="286" spans="1:43" s="69" customFormat="1" ht="78" x14ac:dyDescent="0.3">
      <c r="A286" s="130" t="s">
        <v>665</v>
      </c>
      <c r="B286" s="131" t="s">
        <v>666</v>
      </c>
      <c r="C286" s="132" t="s">
        <v>325</v>
      </c>
      <c r="D286" s="133">
        <v>63</v>
      </c>
      <c r="E286" s="203"/>
      <c r="F286" s="203"/>
      <c r="G286" s="203"/>
      <c r="H286" s="293"/>
      <c r="I286" s="295"/>
      <c r="J286" s="166">
        <v>40</v>
      </c>
      <c r="K286" s="75">
        <v>2520</v>
      </c>
      <c r="L286" s="91" t="s">
        <v>667</v>
      </c>
      <c r="M286" s="73"/>
      <c r="N286" s="46">
        <v>63</v>
      </c>
      <c r="O286" s="46">
        <v>0</v>
      </c>
      <c r="P286" s="46">
        <v>2520</v>
      </c>
      <c r="Q286" s="98"/>
      <c r="R286" s="23" t="s">
        <v>1390</v>
      </c>
      <c r="S286" s="24" t="s">
        <v>666</v>
      </c>
      <c r="T286" s="25" t="s">
        <v>325</v>
      </c>
      <c r="U286" s="26">
        <v>63</v>
      </c>
      <c r="V286" s="26">
        <f t="shared" si="55"/>
        <v>63</v>
      </c>
      <c r="W286" s="26">
        <f t="shared" si="65"/>
        <v>40</v>
      </c>
      <c r="X286" s="127">
        <f t="shared" si="61"/>
        <v>0</v>
      </c>
      <c r="Y286" s="127">
        <f t="shared" si="66"/>
        <v>63</v>
      </c>
      <c r="Z286" s="127">
        <f t="shared" si="62"/>
        <v>0</v>
      </c>
      <c r="AA286" s="127">
        <f t="shared" si="52"/>
        <v>2520</v>
      </c>
      <c r="AB286" s="33" t="s">
        <v>15</v>
      </c>
      <c r="AC286" s="324"/>
      <c r="AD286" s="181">
        <f t="shared" si="64"/>
        <v>63</v>
      </c>
      <c r="AE286" s="181">
        <f t="shared" si="63"/>
        <v>2520</v>
      </c>
      <c r="AF286" s="181">
        <v>1.7</v>
      </c>
      <c r="AG286" s="181">
        <v>1.7</v>
      </c>
      <c r="AH286" s="363" t="str">
        <f t="shared" si="50"/>
        <v/>
      </c>
      <c r="AI286" s="192">
        <v>63</v>
      </c>
      <c r="AJ286" s="188">
        <v>63</v>
      </c>
      <c r="AO286" s="367"/>
      <c r="AP286" s="367"/>
      <c r="AQ286" s="367"/>
    </row>
    <row r="287" spans="1:43" s="69" customFormat="1" ht="78" x14ac:dyDescent="0.3">
      <c r="A287" s="130" t="s">
        <v>668</v>
      </c>
      <c r="B287" s="131" t="s">
        <v>669</v>
      </c>
      <c r="C287" s="132" t="s">
        <v>162</v>
      </c>
      <c r="D287" s="133">
        <v>315</v>
      </c>
      <c r="E287" s="203"/>
      <c r="F287" s="203"/>
      <c r="G287" s="203"/>
      <c r="H287" s="293"/>
      <c r="I287" s="295"/>
      <c r="J287" s="166">
        <v>35</v>
      </c>
      <c r="K287" s="75">
        <v>11025</v>
      </c>
      <c r="L287" s="91" t="s">
        <v>670</v>
      </c>
      <c r="M287" s="73"/>
      <c r="N287" s="46">
        <v>315</v>
      </c>
      <c r="O287" s="46">
        <v>0</v>
      </c>
      <c r="P287" s="46">
        <v>11025</v>
      </c>
      <c r="Q287" s="98"/>
      <c r="R287" s="23" t="s">
        <v>1391</v>
      </c>
      <c r="S287" s="24" t="s">
        <v>669</v>
      </c>
      <c r="T287" s="25" t="s">
        <v>162</v>
      </c>
      <c r="U287" s="26">
        <v>315</v>
      </c>
      <c r="V287" s="26">
        <f t="shared" si="55"/>
        <v>315</v>
      </c>
      <c r="W287" s="26">
        <f t="shared" si="65"/>
        <v>35</v>
      </c>
      <c r="X287" s="127">
        <f t="shared" si="61"/>
        <v>0</v>
      </c>
      <c r="Y287" s="127">
        <f t="shared" si="66"/>
        <v>315</v>
      </c>
      <c r="Z287" s="127">
        <f t="shared" si="62"/>
        <v>0</v>
      </c>
      <c r="AA287" s="127">
        <f t="shared" si="52"/>
        <v>11025</v>
      </c>
      <c r="AB287" s="33" t="s">
        <v>15</v>
      </c>
      <c r="AC287" s="324"/>
      <c r="AD287" s="181">
        <f t="shared" si="64"/>
        <v>315</v>
      </c>
      <c r="AE287" s="181">
        <f t="shared" si="63"/>
        <v>11025</v>
      </c>
      <c r="AF287" s="181">
        <v>1.7</v>
      </c>
      <c r="AG287" s="181">
        <v>1.7</v>
      </c>
      <c r="AH287" s="363" t="str">
        <f t="shared" si="50"/>
        <v/>
      </c>
      <c r="AI287" s="192">
        <v>315</v>
      </c>
      <c r="AJ287" s="188">
        <v>315</v>
      </c>
      <c r="AO287" s="367"/>
      <c r="AP287" s="367"/>
      <c r="AQ287" s="367"/>
    </row>
    <row r="288" spans="1:43" s="69" customFormat="1" ht="78" x14ac:dyDescent="0.3">
      <c r="A288" s="55" t="s">
        <v>671</v>
      </c>
      <c r="B288" s="53" t="s">
        <v>672</v>
      </c>
      <c r="C288" s="54" t="s">
        <v>30</v>
      </c>
      <c r="D288" s="75">
        <v>1200</v>
      </c>
      <c r="E288" s="75"/>
      <c r="F288" s="75"/>
      <c r="G288" s="75"/>
      <c r="H288" s="161"/>
      <c r="I288" s="158"/>
      <c r="J288" s="166">
        <v>10</v>
      </c>
      <c r="K288" s="75">
        <v>12000</v>
      </c>
      <c r="L288" s="91" t="s">
        <v>673</v>
      </c>
      <c r="M288" s="73"/>
      <c r="N288" s="46">
        <v>500</v>
      </c>
      <c r="O288" s="46">
        <v>0</v>
      </c>
      <c r="P288" s="46">
        <v>5000</v>
      </c>
      <c r="Q288" s="98"/>
      <c r="R288" s="23" t="s">
        <v>1436</v>
      </c>
      <c r="S288" s="24" t="s">
        <v>672</v>
      </c>
      <c r="T288" s="25" t="s">
        <v>30</v>
      </c>
      <c r="U288" s="26">
        <v>1200</v>
      </c>
      <c r="V288" s="26">
        <f t="shared" si="55"/>
        <v>1200</v>
      </c>
      <c r="W288" s="26">
        <f t="shared" si="65"/>
        <v>10</v>
      </c>
      <c r="X288" s="128">
        <f t="shared" si="61"/>
        <v>0</v>
      </c>
      <c r="Y288" s="26">
        <f t="shared" si="66"/>
        <v>500</v>
      </c>
      <c r="Z288" s="26">
        <f t="shared" si="62"/>
        <v>0</v>
      </c>
      <c r="AA288" s="26">
        <f t="shared" si="52"/>
        <v>5000</v>
      </c>
      <c r="AB288" s="33" t="s">
        <v>15</v>
      </c>
      <c r="AC288" s="324"/>
      <c r="AD288" s="181">
        <f t="shared" si="64"/>
        <v>1200</v>
      </c>
      <c r="AE288" s="181">
        <f t="shared" si="63"/>
        <v>12000</v>
      </c>
      <c r="AF288" s="181">
        <v>1.7</v>
      </c>
      <c r="AG288" s="181">
        <v>1.7</v>
      </c>
      <c r="AH288" s="363" t="str">
        <f t="shared" si="50"/>
        <v/>
      </c>
      <c r="AI288" s="194">
        <f>500</f>
        <v>500</v>
      </c>
      <c r="AJ288" s="188">
        <v>1200</v>
      </c>
      <c r="AO288" s="367"/>
      <c r="AP288" s="367"/>
      <c r="AQ288" s="367"/>
    </row>
    <row r="289" spans="1:43" s="69" customFormat="1" x14ac:dyDescent="0.3">
      <c r="A289" s="130" t="s">
        <v>674</v>
      </c>
      <c r="B289" s="131" t="s">
        <v>675</v>
      </c>
      <c r="C289" s="132" t="s">
        <v>50</v>
      </c>
      <c r="D289" s="133">
        <v>30.85</v>
      </c>
      <c r="E289" s="203"/>
      <c r="F289" s="203"/>
      <c r="G289" s="203"/>
      <c r="H289" s="293"/>
      <c r="I289" s="295"/>
      <c r="J289" s="166">
        <v>531</v>
      </c>
      <c r="K289" s="75">
        <v>16381.35</v>
      </c>
      <c r="L289" s="91" t="s">
        <v>676</v>
      </c>
      <c r="M289" s="73"/>
      <c r="N289" s="46">
        <v>30.85</v>
      </c>
      <c r="O289" s="46">
        <v>0</v>
      </c>
      <c r="P289" s="46">
        <v>16381.35</v>
      </c>
      <c r="Q289" s="98"/>
      <c r="R289" s="23" t="s">
        <v>1374</v>
      </c>
      <c r="S289" s="24" t="s">
        <v>675</v>
      </c>
      <c r="T289" s="25" t="s">
        <v>50</v>
      </c>
      <c r="U289" s="26">
        <v>30.85</v>
      </c>
      <c r="V289" s="26">
        <f t="shared" si="55"/>
        <v>30.85</v>
      </c>
      <c r="W289" s="26">
        <f t="shared" si="65"/>
        <v>531</v>
      </c>
      <c r="X289" s="127">
        <f t="shared" si="61"/>
        <v>0</v>
      </c>
      <c r="Y289" s="127">
        <f t="shared" si="66"/>
        <v>30.85</v>
      </c>
      <c r="Z289" s="127">
        <f t="shared" si="62"/>
        <v>0</v>
      </c>
      <c r="AA289" s="127">
        <f t="shared" si="52"/>
        <v>16381.35</v>
      </c>
      <c r="AB289" s="33" t="s">
        <v>15</v>
      </c>
      <c r="AC289" s="324"/>
      <c r="AD289" s="181">
        <f t="shared" si="64"/>
        <v>30.85</v>
      </c>
      <c r="AE289" s="181">
        <f t="shared" si="63"/>
        <v>16381.35</v>
      </c>
      <c r="AF289" s="181">
        <v>1.7</v>
      </c>
      <c r="AG289" s="181">
        <v>1.7</v>
      </c>
      <c r="AH289" s="363" t="str">
        <f t="shared" si="50"/>
        <v/>
      </c>
      <c r="AI289" s="192">
        <v>30.85</v>
      </c>
      <c r="AJ289" s="188">
        <v>30.85</v>
      </c>
      <c r="AO289" s="367"/>
      <c r="AP289" s="367"/>
      <c r="AQ289" s="367"/>
    </row>
    <row r="290" spans="1:43" s="69" customFormat="1" ht="24.75" x14ac:dyDescent="0.3">
      <c r="A290" s="130" t="s">
        <v>677</v>
      </c>
      <c r="B290" s="131" t="s">
        <v>678</v>
      </c>
      <c r="C290" s="132" t="s">
        <v>23</v>
      </c>
      <c r="D290" s="133">
        <v>3.7</v>
      </c>
      <c r="E290" s="203"/>
      <c r="F290" s="203"/>
      <c r="G290" s="203"/>
      <c r="H290" s="302"/>
      <c r="I290" s="295"/>
      <c r="J290" s="166">
        <v>3386.57</v>
      </c>
      <c r="K290" s="75">
        <v>12530.31</v>
      </c>
      <c r="L290" s="91" t="s">
        <v>679</v>
      </c>
      <c r="M290" s="73"/>
      <c r="N290" s="46">
        <v>3.7</v>
      </c>
      <c r="O290" s="46">
        <v>0</v>
      </c>
      <c r="P290" s="46">
        <v>12530.31</v>
      </c>
      <c r="Q290" s="98"/>
      <c r="R290" s="23" t="s">
        <v>1376</v>
      </c>
      <c r="S290" s="24" t="s">
        <v>678</v>
      </c>
      <c r="T290" s="25" t="s">
        <v>23</v>
      </c>
      <c r="U290" s="26">
        <v>3.7</v>
      </c>
      <c r="V290" s="26">
        <f t="shared" si="55"/>
        <v>3.7</v>
      </c>
      <c r="W290" s="26">
        <f t="shared" si="65"/>
        <v>3386.57</v>
      </c>
      <c r="X290" s="127">
        <f t="shared" si="61"/>
        <v>0</v>
      </c>
      <c r="Y290" s="127">
        <f t="shared" si="66"/>
        <v>3.7</v>
      </c>
      <c r="Z290" s="127">
        <f t="shared" si="62"/>
        <v>0</v>
      </c>
      <c r="AA290" s="127">
        <f t="shared" si="52"/>
        <v>12530.31</v>
      </c>
      <c r="AB290" s="33" t="s">
        <v>15</v>
      </c>
      <c r="AC290" s="324"/>
      <c r="AD290" s="181">
        <f t="shared" si="64"/>
        <v>3.7</v>
      </c>
      <c r="AE290" s="181">
        <f t="shared" si="63"/>
        <v>12530.31</v>
      </c>
      <c r="AF290" s="181">
        <v>1.7</v>
      </c>
      <c r="AG290" s="181">
        <v>1.7</v>
      </c>
      <c r="AH290" s="363" t="str">
        <f t="shared" si="50"/>
        <v/>
      </c>
      <c r="AI290" s="192">
        <v>3.7</v>
      </c>
      <c r="AJ290" s="188">
        <v>3.7</v>
      </c>
      <c r="AO290" s="367"/>
      <c r="AP290" s="367"/>
      <c r="AQ290" s="367"/>
    </row>
    <row r="291" spans="1:43" s="69" customFormat="1" x14ac:dyDescent="0.3">
      <c r="A291" s="55" t="s">
        <v>680</v>
      </c>
      <c r="B291" s="53" t="s">
        <v>681</v>
      </c>
      <c r="C291" s="54" t="s">
        <v>14</v>
      </c>
      <c r="D291" s="75">
        <v>1</v>
      </c>
      <c r="E291" s="75"/>
      <c r="F291" s="75"/>
      <c r="G291" s="161"/>
      <c r="H291" s="235"/>
      <c r="I291" s="158"/>
      <c r="J291" s="166">
        <v>108000</v>
      </c>
      <c r="K291" s="75">
        <v>108000</v>
      </c>
      <c r="L291" s="91" t="s">
        <v>682</v>
      </c>
      <c r="M291" s="73"/>
      <c r="N291" s="46">
        <v>0</v>
      </c>
      <c r="O291" s="46">
        <v>0</v>
      </c>
      <c r="P291" s="46">
        <v>0</v>
      </c>
      <c r="Q291" s="98"/>
      <c r="R291" s="23" t="s">
        <v>1378</v>
      </c>
      <c r="S291" s="24" t="s">
        <v>681</v>
      </c>
      <c r="T291" s="25" t="s">
        <v>14</v>
      </c>
      <c r="U291" s="26">
        <v>1</v>
      </c>
      <c r="V291" s="26">
        <f t="shared" si="55"/>
        <v>1</v>
      </c>
      <c r="W291" s="26">
        <f t="shared" si="65"/>
        <v>108000</v>
      </c>
      <c r="X291" s="26">
        <f t="shared" si="61"/>
        <v>0</v>
      </c>
      <c r="Y291" s="26">
        <f t="shared" si="66"/>
        <v>0</v>
      </c>
      <c r="Z291" s="26">
        <f t="shared" si="62"/>
        <v>0</v>
      </c>
      <c r="AA291" s="26">
        <f t="shared" si="52"/>
        <v>0</v>
      </c>
      <c r="AB291" s="33" t="s">
        <v>15</v>
      </c>
      <c r="AC291" s="324"/>
      <c r="AD291" s="181">
        <f t="shared" si="64"/>
        <v>1</v>
      </c>
      <c r="AE291" s="181">
        <f t="shared" si="63"/>
        <v>108000</v>
      </c>
      <c r="AF291" s="181">
        <v>1.7</v>
      </c>
      <c r="AG291" s="181">
        <v>1.7</v>
      </c>
      <c r="AH291" s="363" t="str">
        <f t="shared" si="50"/>
        <v/>
      </c>
      <c r="AI291" s="192">
        <v>0</v>
      </c>
      <c r="AJ291" s="188">
        <v>1</v>
      </c>
      <c r="AO291" s="367"/>
      <c r="AP291" s="367"/>
      <c r="AQ291" s="367"/>
    </row>
    <row r="292" spans="1:43" s="69" customFormat="1" ht="39" x14ac:dyDescent="0.3">
      <c r="A292" s="55" t="s">
        <v>683</v>
      </c>
      <c r="B292" s="53" t="s">
        <v>684</v>
      </c>
      <c r="C292" s="54" t="s">
        <v>50</v>
      </c>
      <c r="D292" s="75">
        <v>1448.32</v>
      </c>
      <c r="E292" s="75"/>
      <c r="F292" s="75"/>
      <c r="G292" s="161"/>
      <c r="H292" s="235"/>
      <c r="I292" s="158"/>
      <c r="J292" s="166">
        <v>500</v>
      </c>
      <c r="K292" s="75">
        <v>724160</v>
      </c>
      <c r="L292" s="91" t="s">
        <v>685</v>
      </c>
      <c r="M292" s="73"/>
      <c r="N292" s="46">
        <v>0</v>
      </c>
      <c r="O292" s="46">
        <v>0</v>
      </c>
      <c r="P292" s="46">
        <v>0</v>
      </c>
      <c r="Q292" s="98"/>
      <c r="R292" s="23" t="s">
        <v>1438</v>
      </c>
      <c r="S292" s="24" t="s">
        <v>684</v>
      </c>
      <c r="T292" s="25" t="s">
        <v>50</v>
      </c>
      <c r="U292" s="26">
        <v>1448.32</v>
      </c>
      <c r="V292" s="26">
        <f t="shared" si="55"/>
        <v>1448.32</v>
      </c>
      <c r="W292" s="26">
        <f t="shared" si="65"/>
        <v>500</v>
      </c>
      <c r="X292" s="26">
        <f t="shared" si="61"/>
        <v>0</v>
      </c>
      <c r="Y292" s="26">
        <f t="shared" si="66"/>
        <v>0</v>
      </c>
      <c r="Z292" s="26">
        <f t="shared" si="62"/>
        <v>0</v>
      </c>
      <c r="AA292" s="26">
        <f t="shared" si="52"/>
        <v>0</v>
      </c>
      <c r="AB292" s="33" t="s">
        <v>15</v>
      </c>
      <c r="AC292" s="324"/>
      <c r="AD292" s="181">
        <f t="shared" si="64"/>
        <v>1448.32</v>
      </c>
      <c r="AE292" s="181">
        <f t="shared" si="63"/>
        <v>724160</v>
      </c>
      <c r="AF292" s="181">
        <v>1.7</v>
      </c>
      <c r="AG292" s="181">
        <v>1.7</v>
      </c>
      <c r="AH292" s="363" t="str">
        <f t="shared" si="50"/>
        <v/>
      </c>
      <c r="AI292" s="194">
        <v>0</v>
      </c>
      <c r="AJ292" s="188">
        <v>1448.32</v>
      </c>
      <c r="AO292" s="367"/>
      <c r="AP292" s="367"/>
      <c r="AQ292" s="367"/>
    </row>
    <row r="293" spans="1:43" s="69" customFormat="1" ht="66" x14ac:dyDescent="0.3">
      <c r="A293" s="130" t="s">
        <v>686</v>
      </c>
      <c r="B293" s="240" t="s">
        <v>687</v>
      </c>
      <c r="C293" s="132" t="s">
        <v>606</v>
      </c>
      <c r="D293" s="133">
        <v>42</v>
      </c>
      <c r="E293" s="75"/>
      <c r="F293" s="75"/>
      <c r="G293" s="161"/>
      <c r="H293" s="235"/>
      <c r="I293" s="158"/>
      <c r="J293" s="166">
        <v>10176.969999999999</v>
      </c>
      <c r="K293" s="75">
        <v>427432.74</v>
      </c>
      <c r="L293" s="91" t="s">
        <v>688</v>
      </c>
      <c r="M293" s="73"/>
      <c r="N293" s="46">
        <v>42</v>
      </c>
      <c r="O293" s="46">
        <v>0</v>
      </c>
      <c r="P293" s="46">
        <v>427432.74</v>
      </c>
      <c r="Q293" s="98"/>
      <c r="R293" s="23" t="s">
        <v>1439</v>
      </c>
      <c r="S293" s="24" t="s">
        <v>687</v>
      </c>
      <c r="T293" s="25" t="s">
        <v>606</v>
      </c>
      <c r="U293" s="26">
        <v>42</v>
      </c>
      <c r="V293" s="26">
        <f t="shared" si="55"/>
        <v>42</v>
      </c>
      <c r="W293" s="26">
        <f t="shared" si="65"/>
        <v>10176.969999999999</v>
      </c>
      <c r="X293" s="127">
        <f t="shared" si="61"/>
        <v>0</v>
      </c>
      <c r="Y293" s="127">
        <f t="shared" si="66"/>
        <v>42</v>
      </c>
      <c r="Z293" s="127">
        <f t="shared" si="62"/>
        <v>0</v>
      </c>
      <c r="AA293" s="127">
        <f t="shared" si="52"/>
        <v>427432.74</v>
      </c>
      <c r="AB293" s="33" t="s">
        <v>15</v>
      </c>
      <c r="AC293" s="324"/>
      <c r="AD293" s="181">
        <f t="shared" si="64"/>
        <v>42</v>
      </c>
      <c r="AE293" s="181">
        <f t="shared" si="63"/>
        <v>427432.74</v>
      </c>
      <c r="AF293" s="181">
        <v>1.7</v>
      </c>
      <c r="AG293" s="181">
        <v>1.7</v>
      </c>
      <c r="AH293" s="363" t="str">
        <f t="shared" ref="AH293:AH365" si="67">IF(Y293&gt;AJ293,"超估","")</f>
        <v/>
      </c>
      <c r="AI293" s="194">
        <v>42</v>
      </c>
      <c r="AJ293" s="188">
        <v>42</v>
      </c>
      <c r="AO293" s="367"/>
      <c r="AP293" s="367"/>
      <c r="AQ293" s="367"/>
    </row>
    <row r="294" spans="1:43" s="69" customFormat="1" ht="66" x14ac:dyDescent="0.3">
      <c r="A294" s="55" t="s">
        <v>689</v>
      </c>
      <c r="B294" s="138" t="s">
        <v>690</v>
      </c>
      <c r="C294" s="54" t="s">
        <v>606</v>
      </c>
      <c r="D294" s="75">
        <v>19</v>
      </c>
      <c r="E294" s="75"/>
      <c r="F294" s="75"/>
      <c r="G294" s="161"/>
      <c r="H294" s="235"/>
      <c r="I294" s="341">
        <v>1</v>
      </c>
      <c r="J294" s="166">
        <v>13526.18</v>
      </c>
      <c r="K294" s="75">
        <v>13526.18</v>
      </c>
      <c r="L294" s="91" t="s">
        <v>691</v>
      </c>
      <c r="M294" s="73"/>
      <c r="N294" s="46">
        <v>0</v>
      </c>
      <c r="O294" s="46">
        <v>0</v>
      </c>
      <c r="P294" s="46">
        <v>0</v>
      </c>
      <c r="Q294" s="98"/>
      <c r="R294" s="23" t="s">
        <v>1440</v>
      </c>
      <c r="S294" s="24" t="s">
        <v>690</v>
      </c>
      <c r="T294" s="25" t="s">
        <v>606</v>
      </c>
      <c r="U294" s="26">
        <v>19</v>
      </c>
      <c r="V294" s="26">
        <f t="shared" si="55"/>
        <v>1</v>
      </c>
      <c r="W294" s="26">
        <f t="shared" si="65"/>
        <v>13526.18</v>
      </c>
      <c r="X294" s="26">
        <f t="shared" si="61"/>
        <v>0</v>
      </c>
      <c r="Y294" s="26">
        <f t="shared" si="66"/>
        <v>0</v>
      </c>
      <c r="Z294" s="26">
        <f t="shared" si="62"/>
        <v>0</v>
      </c>
      <c r="AA294" s="26">
        <f t="shared" ref="AA294:AA366" si="68">ROUND(W294*Y294,2)</f>
        <v>0</v>
      </c>
      <c r="AB294" s="33" t="s">
        <v>15</v>
      </c>
      <c r="AC294" s="324"/>
      <c r="AD294" s="181">
        <f t="shared" si="64"/>
        <v>1</v>
      </c>
      <c r="AE294" s="181">
        <f t="shared" si="63"/>
        <v>13526.18</v>
      </c>
      <c r="AF294" s="181">
        <v>1.7</v>
      </c>
      <c r="AG294" s="181">
        <v>1.7</v>
      </c>
      <c r="AH294" s="363" t="str">
        <f t="shared" si="67"/>
        <v/>
      </c>
      <c r="AI294" s="192">
        <v>0</v>
      </c>
      <c r="AJ294" s="190">
        <v>1</v>
      </c>
      <c r="AO294" s="367"/>
      <c r="AP294" s="367"/>
      <c r="AQ294" s="367"/>
    </row>
    <row r="295" spans="1:43" s="69" customFormat="1" ht="66" x14ac:dyDescent="0.3">
      <c r="A295" s="130" t="s">
        <v>692</v>
      </c>
      <c r="B295" s="240" t="s">
        <v>693</v>
      </c>
      <c r="C295" s="132" t="s">
        <v>606</v>
      </c>
      <c r="D295" s="133">
        <v>8</v>
      </c>
      <c r="E295" s="75"/>
      <c r="F295" s="75"/>
      <c r="G295" s="161"/>
      <c r="H295" s="235"/>
      <c r="I295" s="345">
        <v>31</v>
      </c>
      <c r="J295" s="166">
        <v>8660.64</v>
      </c>
      <c r="K295" s="75">
        <v>268479.84000000003</v>
      </c>
      <c r="L295" s="91" t="s">
        <v>694</v>
      </c>
      <c r="M295" s="73"/>
      <c r="N295" s="46">
        <v>27</v>
      </c>
      <c r="O295" s="46">
        <v>0</v>
      </c>
      <c r="P295" s="46">
        <v>233837.28</v>
      </c>
      <c r="Q295" s="98"/>
      <c r="R295" s="23" t="s">
        <v>1441</v>
      </c>
      <c r="S295" s="24" t="s">
        <v>693</v>
      </c>
      <c r="T295" s="25" t="s">
        <v>606</v>
      </c>
      <c r="U295" s="26">
        <v>8</v>
      </c>
      <c r="V295" s="26">
        <f t="shared" si="55"/>
        <v>31</v>
      </c>
      <c r="W295" s="26">
        <f t="shared" si="65"/>
        <v>8660.64</v>
      </c>
      <c r="X295" s="243">
        <f t="shared" si="61"/>
        <v>0</v>
      </c>
      <c r="Y295" s="127">
        <f t="shared" si="66"/>
        <v>27</v>
      </c>
      <c r="Z295" s="127">
        <f t="shared" si="62"/>
        <v>0</v>
      </c>
      <c r="AA295" s="127">
        <f t="shared" si="68"/>
        <v>233837.28</v>
      </c>
      <c r="AB295" s="33" t="s">
        <v>15</v>
      </c>
      <c r="AC295" s="324"/>
      <c r="AD295" s="181">
        <f t="shared" si="64"/>
        <v>31</v>
      </c>
      <c r="AE295" s="181">
        <f t="shared" si="63"/>
        <v>268479.84000000003</v>
      </c>
      <c r="AF295" s="181">
        <v>1.7</v>
      </c>
      <c r="AG295" s="181">
        <v>1.7</v>
      </c>
      <c r="AH295" s="363" t="str">
        <f t="shared" si="67"/>
        <v/>
      </c>
      <c r="AI295" s="191">
        <v>27</v>
      </c>
      <c r="AJ295" s="190">
        <v>31</v>
      </c>
      <c r="AO295" s="367"/>
      <c r="AP295" s="367"/>
      <c r="AQ295" s="367"/>
    </row>
    <row r="296" spans="1:43" s="69" customFormat="1" ht="66" x14ac:dyDescent="0.3">
      <c r="A296" s="130" t="s">
        <v>695</v>
      </c>
      <c r="B296" s="240" t="s">
        <v>696</v>
      </c>
      <c r="C296" s="132" t="s">
        <v>606</v>
      </c>
      <c r="D296" s="133">
        <v>8</v>
      </c>
      <c r="E296" s="75"/>
      <c r="F296" s="75"/>
      <c r="G296" s="161"/>
      <c r="H296" s="235"/>
      <c r="I296" s="345">
        <v>16</v>
      </c>
      <c r="J296" s="166">
        <v>17930.64</v>
      </c>
      <c r="K296" s="75">
        <v>286890.23999999999</v>
      </c>
      <c r="L296" s="91" t="s">
        <v>697</v>
      </c>
      <c r="M296" s="73"/>
      <c r="N296" s="46">
        <v>0</v>
      </c>
      <c r="O296" s="46">
        <v>0</v>
      </c>
      <c r="P296" s="46">
        <v>0</v>
      </c>
      <c r="Q296" s="98"/>
      <c r="R296" s="23" t="s">
        <v>1442</v>
      </c>
      <c r="S296" s="24" t="s">
        <v>696</v>
      </c>
      <c r="T296" s="25" t="s">
        <v>606</v>
      </c>
      <c r="U296" s="26">
        <v>8</v>
      </c>
      <c r="V296" s="26">
        <f t="shared" si="55"/>
        <v>16</v>
      </c>
      <c r="W296" s="26">
        <f t="shared" si="65"/>
        <v>17930.64</v>
      </c>
      <c r="X296" s="243">
        <f t="shared" si="61"/>
        <v>0</v>
      </c>
      <c r="Y296" s="127">
        <f t="shared" si="66"/>
        <v>0</v>
      </c>
      <c r="Z296" s="127">
        <f t="shared" si="62"/>
        <v>0</v>
      </c>
      <c r="AA296" s="127">
        <f t="shared" si="68"/>
        <v>0</v>
      </c>
      <c r="AB296" s="33" t="s">
        <v>15</v>
      </c>
      <c r="AC296" s="324"/>
      <c r="AD296" s="181">
        <f t="shared" si="64"/>
        <v>16</v>
      </c>
      <c r="AE296" s="181">
        <f t="shared" si="63"/>
        <v>286890.23999999999</v>
      </c>
      <c r="AF296" s="181">
        <v>1.7</v>
      </c>
      <c r="AG296" s="181">
        <v>1.7</v>
      </c>
      <c r="AH296" s="363" t="str">
        <f t="shared" si="67"/>
        <v/>
      </c>
      <c r="AI296" s="191">
        <v>0</v>
      </c>
      <c r="AJ296" s="190">
        <v>16</v>
      </c>
      <c r="AO296" s="367"/>
      <c r="AP296" s="367"/>
      <c r="AQ296" s="367"/>
    </row>
    <row r="297" spans="1:43" s="69" customFormat="1" ht="66" x14ac:dyDescent="0.3">
      <c r="A297" s="55" t="s">
        <v>698</v>
      </c>
      <c r="B297" s="138" t="s">
        <v>699</v>
      </c>
      <c r="C297" s="54" t="s">
        <v>606</v>
      </c>
      <c r="D297" s="75">
        <v>14</v>
      </c>
      <c r="E297" s="75"/>
      <c r="F297" s="75"/>
      <c r="G297" s="161"/>
      <c r="H297" s="235"/>
      <c r="I297" s="341">
        <v>1</v>
      </c>
      <c r="J297" s="166">
        <v>5272.95</v>
      </c>
      <c r="K297" s="75">
        <v>5272.95</v>
      </c>
      <c r="L297" s="91" t="s">
        <v>700</v>
      </c>
      <c r="M297" s="73"/>
      <c r="N297" s="46">
        <v>0</v>
      </c>
      <c r="O297" s="46">
        <v>0</v>
      </c>
      <c r="P297" s="46">
        <v>0</v>
      </c>
      <c r="Q297" s="98"/>
      <c r="R297" s="23" t="s">
        <v>1443</v>
      </c>
      <c r="S297" s="24" t="s">
        <v>699</v>
      </c>
      <c r="T297" s="25" t="s">
        <v>606</v>
      </c>
      <c r="U297" s="26">
        <v>14</v>
      </c>
      <c r="V297" s="26">
        <f t="shared" si="55"/>
        <v>1</v>
      </c>
      <c r="W297" s="26">
        <f t="shared" si="65"/>
        <v>5272.95</v>
      </c>
      <c r="X297" s="26">
        <f t="shared" si="61"/>
        <v>0</v>
      </c>
      <c r="Y297" s="26">
        <f t="shared" si="66"/>
        <v>0</v>
      </c>
      <c r="Z297" s="26">
        <f t="shared" si="62"/>
        <v>0</v>
      </c>
      <c r="AA297" s="26">
        <f t="shared" si="68"/>
        <v>0</v>
      </c>
      <c r="AB297" s="33" t="s">
        <v>15</v>
      </c>
      <c r="AC297" s="324"/>
      <c r="AD297" s="181">
        <f t="shared" si="64"/>
        <v>1</v>
      </c>
      <c r="AE297" s="181">
        <f t="shared" si="63"/>
        <v>5272.95</v>
      </c>
      <c r="AF297" s="181">
        <v>1.7</v>
      </c>
      <c r="AG297" s="181">
        <v>1.7</v>
      </c>
      <c r="AH297" s="363" t="str">
        <f t="shared" si="67"/>
        <v/>
      </c>
      <c r="AI297" s="192">
        <v>0</v>
      </c>
      <c r="AJ297" s="190">
        <v>1</v>
      </c>
      <c r="AO297" s="367"/>
      <c r="AP297" s="367"/>
      <c r="AQ297" s="367"/>
    </row>
    <row r="298" spans="1:43" s="69" customFormat="1" ht="66" x14ac:dyDescent="0.3">
      <c r="A298" s="55" t="s">
        <v>701</v>
      </c>
      <c r="B298" s="138" t="s">
        <v>702</v>
      </c>
      <c r="C298" s="54" t="s">
        <v>606</v>
      </c>
      <c r="D298" s="75">
        <v>15</v>
      </c>
      <c r="E298" s="75"/>
      <c r="F298" s="75"/>
      <c r="G298" s="161"/>
      <c r="H298" s="235"/>
      <c r="I298" s="341">
        <v>1</v>
      </c>
      <c r="J298" s="166">
        <v>5272.95</v>
      </c>
      <c r="K298" s="75">
        <v>5272.95</v>
      </c>
      <c r="L298" s="91" t="s">
        <v>703</v>
      </c>
      <c r="M298" s="73"/>
      <c r="N298" s="46">
        <v>0</v>
      </c>
      <c r="O298" s="46">
        <v>0</v>
      </c>
      <c r="P298" s="46">
        <v>0</v>
      </c>
      <c r="Q298" s="98"/>
      <c r="R298" s="23" t="s">
        <v>1444</v>
      </c>
      <c r="S298" s="24" t="s">
        <v>702</v>
      </c>
      <c r="T298" s="25" t="s">
        <v>606</v>
      </c>
      <c r="U298" s="26">
        <v>15</v>
      </c>
      <c r="V298" s="26">
        <f t="shared" si="55"/>
        <v>1</v>
      </c>
      <c r="W298" s="26">
        <f t="shared" si="65"/>
        <v>5272.95</v>
      </c>
      <c r="X298" s="26">
        <f t="shared" si="61"/>
        <v>0</v>
      </c>
      <c r="Y298" s="26">
        <f t="shared" si="66"/>
        <v>0</v>
      </c>
      <c r="Z298" s="26">
        <f t="shared" si="62"/>
        <v>0</v>
      </c>
      <c r="AA298" s="26">
        <f t="shared" si="68"/>
        <v>0</v>
      </c>
      <c r="AB298" s="33" t="s">
        <v>15</v>
      </c>
      <c r="AC298" s="324"/>
      <c r="AD298" s="181">
        <f t="shared" si="64"/>
        <v>1</v>
      </c>
      <c r="AE298" s="181">
        <f t="shared" si="63"/>
        <v>5272.95</v>
      </c>
      <c r="AF298" s="181">
        <v>1.7</v>
      </c>
      <c r="AG298" s="181">
        <v>1.7</v>
      </c>
      <c r="AH298" s="363" t="str">
        <f t="shared" si="67"/>
        <v/>
      </c>
      <c r="AI298" s="192">
        <v>0</v>
      </c>
      <c r="AJ298" s="190">
        <v>1</v>
      </c>
      <c r="AO298" s="367"/>
      <c r="AP298" s="367"/>
      <c r="AQ298" s="367"/>
    </row>
    <row r="299" spans="1:43" s="69" customFormat="1" ht="66" x14ac:dyDescent="0.3">
      <c r="A299" s="130" t="s">
        <v>704</v>
      </c>
      <c r="B299" s="240" t="s">
        <v>705</v>
      </c>
      <c r="C299" s="132" t="s">
        <v>606</v>
      </c>
      <c r="D299" s="133">
        <v>1</v>
      </c>
      <c r="E299" s="75"/>
      <c r="F299" s="75"/>
      <c r="G299" s="161"/>
      <c r="H299" s="235"/>
      <c r="I299" s="345">
        <v>26</v>
      </c>
      <c r="J299" s="166">
        <v>7859.47</v>
      </c>
      <c r="K299" s="75">
        <v>204346.22</v>
      </c>
      <c r="L299" s="91" t="s">
        <v>706</v>
      </c>
      <c r="M299" s="73"/>
      <c r="N299" s="46">
        <v>20</v>
      </c>
      <c r="O299" s="46">
        <v>0</v>
      </c>
      <c r="P299" s="46">
        <v>157189.4</v>
      </c>
      <c r="Q299" s="98"/>
      <c r="R299" s="23" t="s">
        <v>1408</v>
      </c>
      <c r="S299" s="24" t="s">
        <v>705</v>
      </c>
      <c r="T299" s="25" t="s">
        <v>606</v>
      </c>
      <c r="U299" s="26">
        <v>1</v>
      </c>
      <c r="V299" s="26">
        <f t="shared" si="55"/>
        <v>26</v>
      </c>
      <c r="W299" s="26">
        <f t="shared" si="65"/>
        <v>7859.47</v>
      </c>
      <c r="X299" s="243">
        <f t="shared" si="61"/>
        <v>0</v>
      </c>
      <c r="Y299" s="127">
        <f t="shared" si="66"/>
        <v>20</v>
      </c>
      <c r="Z299" s="127">
        <f t="shared" si="62"/>
        <v>0</v>
      </c>
      <c r="AA299" s="127">
        <f t="shared" si="68"/>
        <v>157189.4</v>
      </c>
      <c r="AB299" s="33" t="s">
        <v>15</v>
      </c>
      <c r="AC299" s="324"/>
      <c r="AD299" s="181">
        <f t="shared" si="64"/>
        <v>26</v>
      </c>
      <c r="AE299" s="181">
        <f t="shared" si="63"/>
        <v>204346.22</v>
      </c>
      <c r="AF299" s="181">
        <v>1.7</v>
      </c>
      <c r="AG299" s="181">
        <v>1.7</v>
      </c>
      <c r="AH299" s="363" t="str">
        <f t="shared" si="67"/>
        <v/>
      </c>
      <c r="AI299" s="191">
        <v>20</v>
      </c>
      <c r="AJ299" s="190">
        <v>26</v>
      </c>
      <c r="AO299" s="367"/>
      <c r="AP299" s="367"/>
      <c r="AQ299" s="367"/>
    </row>
    <row r="300" spans="1:43" s="69" customFormat="1" ht="66" x14ac:dyDescent="0.3">
      <c r="A300" s="130" t="s">
        <v>707</v>
      </c>
      <c r="B300" s="240" t="s">
        <v>708</v>
      </c>
      <c r="C300" s="132" t="s">
        <v>606</v>
      </c>
      <c r="D300" s="133">
        <v>1</v>
      </c>
      <c r="E300" s="75"/>
      <c r="F300" s="75"/>
      <c r="G300" s="161"/>
      <c r="H300" s="235"/>
      <c r="I300" s="158"/>
      <c r="J300" s="166">
        <v>5839.45</v>
      </c>
      <c r="K300" s="75">
        <v>5839.45</v>
      </c>
      <c r="L300" s="91" t="s">
        <v>709</v>
      </c>
      <c r="M300" s="73"/>
      <c r="N300" s="46">
        <v>0</v>
      </c>
      <c r="O300" s="46">
        <v>0</v>
      </c>
      <c r="P300" s="46">
        <v>0</v>
      </c>
      <c r="Q300" s="98"/>
      <c r="R300" s="23" t="s">
        <v>1409</v>
      </c>
      <c r="S300" s="24" t="s">
        <v>708</v>
      </c>
      <c r="T300" s="25" t="s">
        <v>606</v>
      </c>
      <c r="U300" s="26">
        <v>1</v>
      </c>
      <c r="V300" s="26">
        <f t="shared" si="55"/>
        <v>1</v>
      </c>
      <c r="W300" s="26">
        <f t="shared" si="65"/>
        <v>5839.45</v>
      </c>
      <c r="X300" s="127">
        <f t="shared" si="61"/>
        <v>0</v>
      </c>
      <c r="Y300" s="127">
        <f t="shared" si="66"/>
        <v>0</v>
      </c>
      <c r="Z300" s="127">
        <f t="shared" si="62"/>
        <v>0</v>
      </c>
      <c r="AA300" s="127">
        <f t="shared" si="68"/>
        <v>0</v>
      </c>
      <c r="AB300" s="33" t="s">
        <v>15</v>
      </c>
      <c r="AC300" s="324"/>
      <c r="AD300" s="181">
        <f t="shared" si="64"/>
        <v>1</v>
      </c>
      <c r="AE300" s="181">
        <f t="shared" si="63"/>
        <v>5839.45</v>
      </c>
      <c r="AF300" s="181">
        <v>1.7</v>
      </c>
      <c r="AG300" s="181">
        <v>1.7</v>
      </c>
      <c r="AH300" s="363" t="str">
        <f t="shared" si="67"/>
        <v/>
      </c>
      <c r="AI300" s="192">
        <v>0</v>
      </c>
      <c r="AJ300" s="188">
        <v>1</v>
      </c>
      <c r="AO300" s="367"/>
      <c r="AP300" s="367"/>
      <c r="AQ300" s="367"/>
    </row>
    <row r="301" spans="1:43" s="69" customFormat="1" ht="66" x14ac:dyDescent="0.3">
      <c r="A301" s="55" t="s">
        <v>710</v>
      </c>
      <c r="B301" s="138" t="s">
        <v>711</v>
      </c>
      <c r="C301" s="54" t="s">
        <v>606</v>
      </c>
      <c r="D301" s="75">
        <v>1</v>
      </c>
      <c r="E301" s="75"/>
      <c r="F301" s="75"/>
      <c r="G301" s="161"/>
      <c r="H301" s="235"/>
      <c r="I301" s="158"/>
      <c r="J301" s="166">
        <v>7189.97</v>
      </c>
      <c r="K301" s="75">
        <v>7189.97</v>
      </c>
      <c r="L301" s="91" t="s">
        <v>712</v>
      </c>
      <c r="M301" s="73"/>
      <c r="N301" s="46">
        <v>0</v>
      </c>
      <c r="O301" s="46">
        <v>0</v>
      </c>
      <c r="P301" s="46">
        <v>0</v>
      </c>
      <c r="Q301" s="98"/>
      <c r="R301" s="23" t="s">
        <v>1410</v>
      </c>
      <c r="S301" s="24" t="s">
        <v>711</v>
      </c>
      <c r="T301" s="25" t="s">
        <v>606</v>
      </c>
      <c r="U301" s="26">
        <v>1</v>
      </c>
      <c r="V301" s="26">
        <f t="shared" si="55"/>
        <v>1</v>
      </c>
      <c r="W301" s="26">
        <f t="shared" si="65"/>
        <v>7189.97</v>
      </c>
      <c r="X301" s="26">
        <f t="shared" si="61"/>
        <v>0</v>
      </c>
      <c r="Y301" s="26">
        <f t="shared" si="66"/>
        <v>0</v>
      </c>
      <c r="Z301" s="26">
        <f t="shared" si="62"/>
        <v>0</v>
      </c>
      <c r="AA301" s="26">
        <f t="shared" si="68"/>
        <v>0</v>
      </c>
      <c r="AB301" s="33" t="s">
        <v>15</v>
      </c>
      <c r="AC301" s="324"/>
      <c r="AD301" s="181">
        <f t="shared" si="64"/>
        <v>1</v>
      </c>
      <c r="AE301" s="181">
        <f t="shared" si="63"/>
        <v>7189.97</v>
      </c>
      <c r="AF301" s="181">
        <v>1.7</v>
      </c>
      <c r="AG301" s="181">
        <v>1.7</v>
      </c>
      <c r="AH301" s="363" t="str">
        <f t="shared" si="67"/>
        <v/>
      </c>
      <c r="AI301" s="192">
        <v>0</v>
      </c>
      <c r="AJ301" s="188">
        <v>1</v>
      </c>
      <c r="AO301" s="367"/>
      <c r="AP301" s="367"/>
      <c r="AQ301" s="367"/>
    </row>
    <row r="302" spans="1:43" s="69" customFormat="1" ht="66" x14ac:dyDescent="0.3">
      <c r="A302" s="55" t="s">
        <v>713</v>
      </c>
      <c r="B302" s="138" t="s">
        <v>714</v>
      </c>
      <c r="C302" s="54" t="s">
        <v>606</v>
      </c>
      <c r="D302" s="75">
        <v>4</v>
      </c>
      <c r="E302" s="75"/>
      <c r="F302" s="75"/>
      <c r="G302" s="161"/>
      <c r="H302" s="235"/>
      <c r="I302" s="341">
        <v>1</v>
      </c>
      <c r="J302" s="166">
        <v>4860.95</v>
      </c>
      <c r="K302" s="75">
        <v>4860.95</v>
      </c>
      <c r="L302" s="91" t="s">
        <v>715</v>
      </c>
      <c r="M302" s="73"/>
      <c r="N302" s="46">
        <v>0</v>
      </c>
      <c r="O302" s="46">
        <v>0</v>
      </c>
      <c r="P302" s="46">
        <v>0</v>
      </c>
      <c r="Q302" s="98"/>
      <c r="R302" s="23" t="s">
        <v>1411</v>
      </c>
      <c r="S302" s="24" t="s">
        <v>714</v>
      </c>
      <c r="T302" s="25" t="s">
        <v>606</v>
      </c>
      <c r="U302" s="26">
        <v>4</v>
      </c>
      <c r="V302" s="26">
        <f t="shared" si="55"/>
        <v>1</v>
      </c>
      <c r="W302" s="26">
        <f t="shared" si="65"/>
        <v>4860.95</v>
      </c>
      <c r="X302" s="26">
        <f t="shared" si="61"/>
        <v>0</v>
      </c>
      <c r="Y302" s="26">
        <f t="shared" si="66"/>
        <v>0</v>
      </c>
      <c r="Z302" s="26">
        <f t="shared" si="62"/>
        <v>0</v>
      </c>
      <c r="AA302" s="26">
        <f t="shared" si="68"/>
        <v>0</v>
      </c>
      <c r="AB302" s="33" t="s">
        <v>15</v>
      </c>
      <c r="AC302" s="324"/>
      <c r="AD302" s="181">
        <f t="shared" si="64"/>
        <v>1</v>
      </c>
      <c r="AE302" s="181">
        <f t="shared" si="63"/>
        <v>4860.95</v>
      </c>
      <c r="AF302" s="181">
        <v>1.7</v>
      </c>
      <c r="AG302" s="181">
        <v>1.7</v>
      </c>
      <c r="AH302" s="363" t="str">
        <f t="shared" si="67"/>
        <v/>
      </c>
      <c r="AI302" s="192">
        <v>0</v>
      </c>
      <c r="AJ302" s="190">
        <v>1</v>
      </c>
      <c r="AO302" s="367"/>
      <c r="AP302" s="367"/>
      <c r="AQ302" s="367"/>
    </row>
    <row r="303" spans="1:43" s="69" customFormat="1" ht="66" x14ac:dyDescent="0.3">
      <c r="A303" s="130" t="s">
        <v>716</v>
      </c>
      <c r="B303" s="240" t="s">
        <v>717</v>
      </c>
      <c r="C303" s="132" t="s">
        <v>606</v>
      </c>
      <c r="D303" s="133">
        <v>1</v>
      </c>
      <c r="E303" s="75"/>
      <c r="F303" s="75"/>
      <c r="G303" s="161"/>
      <c r="H303" s="235"/>
      <c r="I303" s="345">
        <v>19</v>
      </c>
      <c r="J303" s="166">
        <v>14800.45</v>
      </c>
      <c r="K303" s="75">
        <v>281208.55</v>
      </c>
      <c r="L303" s="91" t="s">
        <v>718</v>
      </c>
      <c r="M303" s="73"/>
      <c r="N303" s="46">
        <v>19</v>
      </c>
      <c r="O303" s="46">
        <v>0</v>
      </c>
      <c r="P303" s="46">
        <v>281208.55</v>
      </c>
      <c r="Q303" s="98"/>
      <c r="R303" s="23" t="s">
        <v>1445</v>
      </c>
      <c r="S303" s="24" t="s">
        <v>717</v>
      </c>
      <c r="T303" s="25" t="s">
        <v>606</v>
      </c>
      <c r="U303" s="26">
        <v>1</v>
      </c>
      <c r="V303" s="26">
        <f t="shared" si="55"/>
        <v>19</v>
      </c>
      <c r="W303" s="26">
        <f t="shared" si="65"/>
        <v>14800.45</v>
      </c>
      <c r="X303" s="127">
        <f t="shared" si="61"/>
        <v>0</v>
      </c>
      <c r="Y303" s="127">
        <f t="shared" si="66"/>
        <v>19</v>
      </c>
      <c r="Z303" s="127">
        <f t="shared" si="62"/>
        <v>0</v>
      </c>
      <c r="AA303" s="127">
        <f t="shared" si="68"/>
        <v>281208.55</v>
      </c>
      <c r="AB303" s="33" t="s">
        <v>15</v>
      </c>
      <c r="AC303" s="324"/>
      <c r="AD303" s="181">
        <f t="shared" si="64"/>
        <v>19</v>
      </c>
      <c r="AE303" s="181">
        <f t="shared" si="63"/>
        <v>281208.55</v>
      </c>
      <c r="AF303" s="181">
        <v>1.7</v>
      </c>
      <c r="AG303" s="181">
        <v>1.7</v>
      </c>
      <c r="AH303" s="363" t="str">
        <f t="shared" si="67"/>
        <v/>
      </c>
      <c r="AI303" s="194">
        <v>19</v>
      </c>
      <c r="AJ303" s="190">
        <v>19</v>
      </c>
      <c r="AO303" s="367"/>
      <c r="AP303" s="367"/>
      <c r="AQ303" s="367"/>
    </row>
    <row r="304" spans="1:43" s="69" customFormat="1" ht="66" x14ac:dyDescent="0.3">
      <c r="A304" s="130" t="s">
        <v>719</v>
      </c>
      <c r="B304" s="240" t="s">
        <v>720</v>
      </c>
      <c r="C304" s="132" t="s">
        <v>606</v>
      </c>
      <c r="D304" s="133">
        <v>1</v>
      </c>
      <c r="E304" s="75"/>
      <c r="F304" s="75"/>
      <c r="G304" s="161"/>
      <c r="H304" s="235"/>
      <c r="I304" s="158"/>
      <c r="J304" s="166">
        <v>6661.47</v>
      </c>
      <c r="K304" s="75">
        <v>6661.47</v>
      </c>
      <c r="L304" s="91" t="s">
        <v>721</v>
      </c>
      <c r="M304" s="73"/>
      <c r="N304" s="46">
        <v>0</v>
      </c>
      <c r="O304" s="46">
        <v>0</v>
      </c>
      <c r="P304" s="46">
        <v>0</v>
      </c>
      <c r="Q304" s="98"/>
      <c r="R304" s="23" t="s">
        <v>1383</v>
      </c>
      <c r="S304" s="24" t="s">
        <v>720</v>
      </c>
      <c r="T304" s="25" t="s">
        <v>606</v>
      </c>
      <c r="U304" s="26">
        <v>1</v>
      </c>
      <c r="V304" s="26">
        <f t="shared" si="55"/>
        <v>1</v>
      </c>
      <c r="W304" s="26">
        <f t="shared" si="65"/>
        <v>6661.47</v>
      </c>
      <c r="X304" s="127">
        <f t="shared" si="61"/>
        <v>0</v>
      </c>
      <c r="Y304" s="127">
        <f t="shared" si="66"/>
        <v>0</v>
      </c>
      <c r="Z304" s="127">
        <f t="shared" si="62"/>
        <v>0</v>
      </c>
      <c r="AA304" s="127">
        <f t="shared" si="68"/>
        <v>0</v>
      </c>
      <c r="AB304" s="33" t="s">
        <v>15</v>
      </c>
      <c r="AC304" s="324"/>
      <c r="AD304" s="181">
        <f t="shared" si="64"/>
        <v>1</v>
      </c>
      <c r="AE304" s="181">
        <f t="shared" si="63"/>
        <v>6661.47</v>
      </c>
      <c r="AF304" s="181">
        <v>1.7</v>
      </c>
      <c r="AG304" s="181">
        <v>1.7</v>
      </c>
      <c r="AH304" s="363" t="str">
        <f t="shared" si="67"/>
        <v/>
      </c>
      <c r="AI304" s="192">
        <v>0</v>
      </c>
      <c r="AJ304" s="188">
        <v>1</v>
      </c>
      <c r="AO304" s="367"/>
      <c r="AP304" s="367"/>
      <c r="AQ304" s="367"/>
    </row>
    <row r="305" spans="1:43" s="69" customFormat="1" ht="66" x14ac:dyDescent="0.3">
      <c r="A305" s="130" t="s">
        <v>722</v>
      </c>
      <c r="B305" s="240" t="s">
        <v>723</v>
      </c>
      <c r="C305" s="132" t="s">
        <v>606</v>
      </c>
      <c r="D305" s="133">
        <v>1</v>
      </c>
      <c r="E305" s="75"/>
      <c r="F305" s="75"/>
      <c r="G305" s="161"/>
      <c r="H305" s="235"/>
      <c r="I305" s="158"/>
      <c r="J305" s="166">
        <v>15584.47</v>
      </c>
      <c r="K305" s="75">
        <v>15584.47</v>
      </c>
      <c r="L305" s="91" t="s">
        <v>724</v>
      </c>
      <c r="M305" s="73"/>
      <c r="N305" s="46">
        <v>0</v>
      </c>
      <c r="O305" s="46">
        <v>0</v>
      </c>
      <c r="P305" s="46">
        <v>0</v>
      </c>
      <c r="Q305" s="98"/>
      <c r="R305" s="23" t="s">
        <v>1384</v>
      </c>
      <c r="S305" s="24" t="s">
        <v>723</v>
      </c>
      <c r="T305" s="25" t="s">
        <v>606</v>
      </c>
      <c r="U305" s="26">
        <v>1</v>
      </c>
      <c r="V305" s="26">
        <f t="shared" si="55"/>
        <v>1</v>
      </c>
      <c r="W305" s="26">
        <f t="shared" si="65"/>
        <v>15584.47</v>
      </c>
      <c r="X305" s="127">
        <f t="shared" si="61"/>
        <v>0</v>
      </c>
      <c r="Y305" s="127">
        <f t="shared" si="66"/>
        <v>0</v>
      </c>
      <c r="Z305" s="127">
        <f t="shared" si="62"/>
        <v>0</v>
      </c>
      <c r="AA305" s="127">
        <f t="shared" si="68"/>
        <v>0</v>
      </c>
      <c r="AB305" s="33" t="s">
        <v>15</v>
      </c>
      <c r="AC305" s="324"/>
      <c r="AD305" s="181">
        <f t="shared" si="64"/>
        <v>1</v>
      </c>
      <c r="AE305" s="181">
        <f t="shared" si="63"/>
        <v>15584.47</v>
      </c>
      <c r="AF305" s="181">
        <v>1.7</v>
      </c>
      <c r="AG305" s="181">
        <v>1.7</v>
      </c>
      <c r="AH305" s="363" t="str">
        <f t="shared" si="67"/>
        <v/>
      </c>
      <c r="AI305" s="192">
        <v>0</v>
      </c>
      <c r="AJ305" s="188">
        <v>1</v>
      </c>
      <c r="AO305" s="367"/>
      <c r="AP305" s="367"/>
      <c r="AQ305" s="367"/>
    </row>
    <row r="306" spans="1:43" s="69" customFormat="1" ht="66" x14ac:dyDescent="0.3">
      <c r="A306" s="55" t="s">
        <v>725</v>
      </c>
      <c r="B306" s="138" t="s">
        <v>726</v>
      </c>
      <c r="C306" s="54" t="s">
        <v>606</v>
      </c>
      <c r="D306" s="75">
        <v>4</v>
      </c>
      <c r="E306" s="75"/>
      <c r="F306" s="75"/>
      <c r="G306" s="161"/>
      <c r="H306" s="235"/>
      <c r="I306" s="158"/>
      <c r="J306" s="166">
        <v>3949.4</v>
      </c>
      <c r="K306" s="75">
        <v>15797.6</v>
      </c>
      <c r="L306" s="91" t="s">
        <v>727</v>
      </c>
      <c r="M306" s="73"/>
      <c r="N306" s="46">
        <v>0</v>
      </c>
      <c r="O306" s="46">
        <v>0</v>
      </c>
      <c r="P306" s="46">
        <v>0</v>
      </c>
      <c r="Q306" s="98"/>
      <c r="R306" s="23" t="s">
        <v>1385</v>
      </c>
      <c r="S306" s="24" t="s">
        <v>726</v>
      </c>
      <c r="T306" s="25" t="s">
        <v>606</v>
      </c>
      <c r="U306" s="26">
        <v>4</v>
      </c>
      <c r="V306" s="26">
        <f t="shared" si="55"/>
        <v>4</v>
      </c>
      <c r="W306" s="26">
        <f t="shared" si="65"/>
        <v>3949.4</v>
      </c>
      <c r="X306" s="26">
        <f t="shared" si="61"/>
        <v>0</v>
      </c>
      <c r="Y306" s="26">
        <f t="shared" si="66"/>
        <v>0</v>
      </c>
      <c r="Z306" s="26">
        <f t="shared" si="62"/>
        <v>0</v>
      </c>
      <c r="AA306" s="26">
        <f t="shared" si="68"/>
        <v>0</v>
      </c>
      <c r="AB306" s="33" t="s">
        <v>15</v>
      </c>
      <c r="AC306" s="324"/>
      <c r="AD306" s="181">
        <f t="shared" si="64"/>
        <v>4</v>
      </c>
      <c r="AE306" s="181">
        <f t="shared" si="63"/>
        <v>15797.6</v>
      </c>
      <c r="AF306" s="181">
        <v>1.7</v>
      </c>
      <c r="AG306" s="181">
        <v>1.7</v>
      </c>
      <c r="AH306" s="363" t="str">
        <f t="shared" si="67"/>
        <v/>
      </c>
      <c r="AI306" s="192">
        <v>0</v>
      </c>
      <c r="AJ306" s="188">
        <v>4</v>
      </c>
      <c r="AO306" s="367"/>
      <c r="AP306" s="367"/>
      <c r="AQ306" s="367"/>
    </row>
    <row r="307" spans="1:43" s="69" customFormat="1" ht="49.5" x14ac:dyDescent="0.3">
      <c r="A307" s="55" t="s">
        <v>728</v>
      </c>
      <c r="B307" s="138" t="s">
        <v>729</v>
      </c>
      <c r="C307" s="54" t="s">
        <v>606</v>
      </c>
      <c r="D307" s="75">
        <v>1</v>
      </c>
      <c r="E307" s="75"/>
      <c r="F307" s="75"/>
      <c r="G307" s="161"/>
      <c r="H307" s="235"/>
      <c r="I307" s="341">
        <v>722</v>
      </c>
      <c r="J307" s="166">
        <v>227.07</v>
      </c>
      <c r="K307" s="75">
        <v>163944.54</v>
      </c>
      <c r="L307" s="91" t="s">
        <v>730</v>
      </c>
      <c r="M307" s="73"/>
      <c r="N307" s="46">
        <v>0</v>
      </c>
      <c r="O307" s="46">
        <v>0</v>
      </c>
      <c r="P307" s="46">
        <v>0</v>
      </c>
      <c r="Q307" s="98"/>
      <c r="R307" s="23" t="s">
        <v>1446</v>
      </c>
      <c r="S307" s="24" t="s">
        <v>729</v>
      </c>
      <c r="T307" s="25" t="s">
        <v>606</v>
      </c>
      <c r="U307" s="26">
        <v>1</v>
      </c>
      <c r="V307" s="26">
        <f t="shared" ref="V307:V361" si="69">IF(I307&gt;0,I307,IF(H307&gt;0,H307,IF(G307&gt;0,G307,IF(F307&gt;0,F307,IF(E307&gt;0,E307,D307)))))</f>
        <v>722</v>
      </c>
      <c r="W307" s="26">
        <f t="shared" si="65"/>
        <v>227.07</v>
      </c>
      <c r="X307" s="26">
        <f t="shared" si="61"/>
        <v>0</v>
      </c>
      <c r="Y307" s="26">
        <f t="shared" si="66"/>
        <v>0</v>
      </c>
      <c r="Z307" s="26">
        <f t="shared" si="62"/>
        <v>0</v>
      </c>
      <c r="AA307" s="26">
        <f t="shared" si="68"/>
        <v>0</v>
      </c>
      <c r="AB307" s="33" t="s">
        <v>15</v>
      </c>
      <c r="AC307" s="324"/>
      <c r="AD307" s="181">
        <f t="shared" si="64"/>
        <v>722</v>
      </c>
      <c r="AE307" s="181">
        <f t="shared" si="63"/>
        <v>163944.54</v>
      </c>
      <c r="AF307" s="181">
        <v>1.7</v>
      </c>
      <c r="AG307" s="181">
        <v>1.7</v>
      </c>
      <c r="AH307" s="363" t="str">
        <f t="shared" si="67"/>
        <v/>
      </c>
      <c r="AI307" s="194">
        <v>0</v>
      </c>
      <c r="AJ307" s="190">
        <v>722</v>
      </c>
      <c r="AO307" s="367"/>
      <c r="AP307" s="367"/>
      <c r="AQ307" s="367"/>
    </row>
    <row r="308" spans="1:43" s="69" customFormat="1" ht="49.5" x14ac:dyDescent="0.3">
      <c r="A308" s="130" t="s">
        <v>731</v>
      </c>
      <c r="B308" s="240" t="s">
        <v>732</v>
      </c>
      <c r="C308" s="132" t="s">
        <v>606</v>
      </c>
      <c r="D308" s="133">
        <v>1</v>
      </c>
      <c r="E308" s="75"/>
      <c r="F308" s="75"/>
      <c r="G308" s="161"/>
      <c r="H308" s="235"/>
      <c r="I308" s="341"/>
      <c r="J308" s="166">
        <v>277.02999999999997</v>
      </c>
      <c r="K308" s="75">
        <v>277.02999999999997</v>
      </c>
      <c r="L308" s="91" t="s">
        <v>733</v>
      </c>
      <c r="M308" s="73"/>
      <c r="N308" s="46">
        <v>0</v>
      </c>
      <c r="O308" s="46">
        <v>0</v>
      </c>
      <c r="P308" s="46">
        <v>0</v>
      </c>
      <c r="Q308" s="98"/>
      <c r="R308" s="23" t="s">
        <v>1447</v>
      </c>
      <c r="S308" s="24" t="s">
        <v>732</v>
      </c>
      <c r="T308" s="25" t="s">
        <v>606</v>
      </c>
      <c r="U308" s="26">
        <v>1</v>
      </c>
      <c r="V308" s="26">
        <f t="shared" si="69"/>
        <v>1</v>
      </c>
      <c r="W308" s="26">
        <f t="shared" si="65"/>
        <v>277.02999999999997</v>
      </c>
      <c r="X308" s="127">
        <f t="shared" si="61"/>
        <v>0</v>
      </c>
      <c r="Y308" s="127">
        <f t="shared" si="66"/>
        <v>0</v>
      </c>
      <c r="Z308" s="127">
        <f t="shared" si="62"/>
        <v>0</v>
      </c>
      <c r="AA308" s="127">
        <f t="shared" si="68"/>
        <v>0</v>
      </c>
      <c r="AB308" s="33" t="s">
        <v>15</v>
      </c>
      <c r="AC308" s="324"/>
      <c r="AD308" s="181">
        <f t="shared" si="64"/>
        <v>1</v>
      </c>
      <c r="AE308" s="181">
        <f t="shared" si="63"/>
        <v>277.02999999999997</v>
      </c>
      <c r="AF308" s="181">
        <v>1.7</v>
      </c>
      <c r="AG308" s="181">
        <v>1.7</v>
      </c>
      <c r="AH308" s="363" t="str">
        <f t="shared" si="67"/>
        <v/>
      </c>
      <c r="AI308" s="192">
        <v>0</v>
      </c>
      <c r="AJ308" s="188">
        <v>1</v>
      </c>
      <c r="AO308" s="367"/>
      <c r="AP308" s="367"/>
      <c r="AQ308" s="367"/>
    </row>
    <row r="309" spans="1:43" s="69" customFormat="1" ht="49.5" x14ac:dyDescent="0.3">
      <c r="A309" s="55" t="s">
        <v>734</v>
      </c>
      <c r="B309" s="138" t="s">
        <v>735</v>
      </c>
      <c r="C309" s="54" t="s">
        <v>606</v>
      </c>
      <c r="D309" s="75">
        <v>1</v>
      </c>
      <c r="E309" s="75"/>
      <c r="F309" s="75"/>
      <c r="G309" s="161"/>
      <c r="H309" s="235"/>
      <c r="I309" s="341">
        <v>1331</v>
      </c>
      <c r="J309" s="166">
        <v>286.3</v>
      </c>
      <c r="K309" s="75">
        <v>381065.3</v>
      </c>
      <c r="L309" s="91" t="s">
        <v>736</v>
      </c>
      <c r="M309" s="73"/>
      <c r="N309" s="46">
        <v>594</v>
      </c>
      <c r="O309" s="46">
        <v>0</v>
      </c>
      <c r="P309" s="46">
        <v>170062.2</v>
      </c>
      <c r="Q309" s="98"/>
      <c r="R309" s="23" t="s">
        <v>1448</v>
      </c>
      <c r="S309" s="24" t="s">
        <v>735</v>
      </c>
      <c r="T309" s="25" t="s">
        <v>606</v>
      </c>
      <c r="U309" s="26">
        <v>1</v>
      </c>
      <c r="V309" s="26">
        <f t="shared" si="69"/>
        <v>1331</v>
      </c>
      <c r="W309" s="26">
        <f t="shared" si="65"/>
        <v>286.3</v>
      </c>
      <c r="X309" s="243">
        <f t="shared" si="61"/>
        <v>0</v>
      </c>
      <c r="Y309" s="26">
        <f t="shared" si="66"/>
        <v>594</v>
      </c>
      <c r="Z309" s="26">
        <f t="shared" si="62"/>
        <v>0</v>
      </c>
      <c r="AA309" s="26">
        <f t="shared" si="68"/>
        <v>170062.2</v>
      </c>
      <c r="AB309" s="33" t="s">
        <v>15</v>
      </c>
      <c r="AC309" s="324"/>
      <c r="AD309" s="181">
        <f t="shared" si="64"/>
        <v>1331</v>
      </c>
      <c r="AE309" s="181">
        <f t="shared" si="63"/>
        <v>381065.3</v>
      </c>
      <c r="AF309" s="181">
        <v>1.7</v>
      </c>
      <c r="AG309" s="181">
        <v>1.7</v>
      </c>
      <c r="AH309" s="363" t="str">
        <f t="shared" si="67"/>
        <v/>
      </c>
      <c r="AI309" s="191">
        <v>594</v>
      </c>
      <c r="AJ309" s="190">
        <v>1331</v>
      </c>
      <c r="AO309" s="367"/>
      <c r="AP309" s="367"/>
      <c r="AQ309" s="367"/>
    </row>
    <row r="310" spans="1:43" s="69" customFormat="1" ht="49.5" x14ac:dyDescent="0.3">
      <c r="A310" s="55" t="s">
        <v>737</v>
      </c>
      <c r="B310" s="138" t="s">
        <v>738</v>
      </c>
      <c r="C310" s="54" t="s">
        <v>606</v>
      </c>
      <c r="D310" s="75">
        <v>1</v>
      </c>
      <c r="E310" s="75"/>
      <c r="F310" s="75"/>
      <c r="G310" s="161"/>
      <c r="H310" s="235"/>
      <c r="I310" s="341">
        <v>478</v>
      </c>
      <c r="J310" s="166">
        <v>134.37</v>
      </c>
      <c r="K310" s="75">
        <v>64228.86</v>
      </c>
      <c r="L310" s="91" t="s">
        <v>739</v>
      </c>
      <c r="M310" s="73"/>
      <c r="N310" s="46">
        <v>0</v>
      </c>
      <c r="O310" s="46">
        <v>0</v>
      </c>
      <c r="P310" s="46">
        <v>0</v>
      </c>
      <c r="Q310" s="98"/>
      <c r="R310" s="23" t="s">
        <v>1449</v>
      </c>
      <c r="S310" s="24" t="s">
        <v>738</v>
      </c>
      <c r="T310" s="25" t="s">
        <v>606</v>
      </c>
      <c r="U310" s="26">
        <v>1</v>
      </c>
      <c r="V310" s="26">
        <f t="shared" si="69"/>
        <v>478</v>
      </c>
      <c r="W310" s="26">
        <f t="shared" si="65"/>
        <v>134.37</v>
      </c>
      <c r="X310" s="26">
        <f t="shared" si="61"/>
        <v>0</v>
      </c>
      <c r="Y310" s="26">
        <f t="shared" si="66"/>
        <v>0</v>
      </c>
      <c r="Z310" s="26">
        <f t="shared" si="62"/>
        <v>0</v>
      </c>
      <c r="AA310" s="26">
        <f t="shared" si="68"/>
        <v>0</v>
      </c>
      <c r="AB310" s="33" t="s">
        <v>15</v>
      </c>
      <c r="AC310" s="324"/>
      <c r="AD310" s="181">
        <f t="shared" si="64"/>
        <v>478</v>
      </c>
      <c r="AE310" s="181">
        <f t="shared" si="63"/>
        <v>64228.86</v>
      </c>
      <c r="AF310" s="181">
        <v>1.7</v>
      </c>
      <c r="AG310" s="181">
        <v>1.7</v>
      </c>
      <c r="AH310" s="363" t="str">
        <f t="shared" si="67"/>
        <v/>
      </c>
      <c r="AI310" s="194">
        <v>0</v>
      </c>
      <c r="AJ310" s="190">
        <v>478</v>
      </c>
      <c r="AO310" s="367"/>
      <c r="AP310" s="367"/>
      <c r="AQ310" s="367"/>
    </row>
    <row r="311" spans="1:43" s="69" customFormat="1" ht="49.5" x14ac:dyDescent="0.3">
      <c r="A311" s="130" t="s">
        <v>740</v>
      </c>
      <c r="B311" s="240" t="s">
        <v>741</v>
      </c>
      <c r="C311" s="132" t="s">
        <v>606</v>
      </c>
      <c r="D311" s="133">
        <v>1</v>
      </c>
      <c r="E311" s="75"/>
      <c r="F311" s="75"/>
      <c r="G311" s="161"/>
      <c r="H311" s="235"/>
      <c r="I311" s="345">
        <v>6268</v>
      </c>
      <c r="J311" s="166">
        <v>142.1</v>
      </c>
      <c r="K311" s="75">
        <v>890682.8</v>
      </c>
      <c r="L311" s="91" t="s">
        <v>742</v>
      </c>
      <c r="M311" s="73"/>
      <c r="N311" s="46">
        <v>6100</v>
      </c>
      <c r="O311" s="46">
        <v>0</v>
      </c>
      <c r="P311" s="46">
        <v>866810</v>
      </c>
      <c r="Q311" s="98"/>
      <c r="R311" s="23" t="s">
        <v>1450</v>
      </c>
      <c r="S311" s="24" t="s">
        <v>741</v>
      </c>
      <c r="T311" s="25" t="s">
        <v>606</v>
      </c>
      <c r="U311" s="26">
        <v>1</v>
      </c>
      <c r="V311" s="26">
        <f t="shared" si="69"/>
        <v>6268</v>
      </c>
      <c r="W311" s="26">
        <f t="shared" si="65"/>
        <v>142.1</v>
      </c>
      <c r="X311" s="127">
        <f t="shared" si="61"/>
        <v>0</v>
      </c>
      <c r="Y311" s="127">
        <f t="shared" si="66"/>
        <v>6100</v>
      </c>
      <c r="Z311" s="127">
        <f t="shared" si="62"/>
        <v>0</v>
      </c>
      <c r="AA311" s="127">
        <f t="shared" si="68"/>
        <v>866810</v>
      </c>
      <c r="AB311" s="33" t="s">
        <v>15</v>
      </c>
      <c r="AC311" s="324"/>
      <c r="AD311" s="181">
        <f t="shared" si="64"/>
        <v>6268</v>
      </c>
      <c r="AE311" s="181">
        <f t="shared" si="63"/>
        <v>890682.8</v>
      </c>
      <c r="AF311" s="181">
        <v>1.7</v>
      </c>
      <c r="AG311" s="181">
        <v>1.7</v>
      </c>
      <c r="AH311" s="363" t="str">
        <f t="shared" si="67"/>
        <v/>
      </c>
      <c r="AI311" s="194">
        <v>6100</v>
      </c>
      <c r="AJ311" s="190">
        <v>6268</v>
      </c>
      <c r="AO311" s="367"/>
      <c r="AP311" s="367"/>
      <c r="AQ311" s="367"/>
    </row>
    <row r="312" spans="1:43" s="69" customFormat="1" ht="49.5" x14ac:dyDescent="0.3">
      <c r="A312" s="55" t="s">
        <v>743</v>
      </c>
      <c r="B312" s="138" t="s">
        <v>744</v>
      </c>
      <c r="C312" s="54" t="s">
        <v>606</v>
      </c>
      <c r="D312" s="75">
        <v>1</v>
      </c>
      <c r="E312" s="75"/>
      <c r="F312" s="75"/>
      <c r="G312" s="161"/>
      <c r="H312" s="235"/>
      <c r="I312" s="341">
        <v>2843</v>
      </c>
      <c r="J312" s="166">
        <v>90.32</v>
      </c>
      <c r="K312" s="75">
        <v>256779.76</v>
      </c>
      <c r="L312" s="91" t="s">
        <v>745</v>
      </c>
      <c r="M312" s="73"/>
      <c r="N312" s="46">
        <v>1100</v>
      </c>
      <c r="O312" s="46">
        <v>0</v>
      </c>
      <c r="P312" s="46">
        <v>99352</v>
      </c>
      <c r="Q312" s="98"/>
      <c r="R312" s="23" t="s">
        <v>1451</v>
      </c>
      <c r="S312" s="24" t="s">
        <v>744</v>
      </c>
      <c r="T312" s="25" t="s">
        <v>606</v>
      </c>
      <c r="U312" s="26">
        <v>1</v>
      </c>
      <c r="V312" s="26">
        <f t="shared" si="69"/>
        <v>2843</v>
      </c>
      <c r="W312" s="26">
        <f t="shared" si="65"/>
        <v>90.32</v>
      </c>
      <c r="X312" s="243">
        <f t="shared" si="61"/>
        <v>0</v>
      </c>
      <c r="Y312" s="26">
        <f t="shared" si="66"/>
        <v>1100</v>
      </c>
      <c r="Z312" s="26">
        <f t="shared" si="62"/>
        <v>0</v>
      </c>
      <c r="AA312" s="26">
        <f t="shared" si="68"/>
        <v>99352</v>
      </c>
      <c r="AB312" s="33" t="s">
        <v>15</v>
      </c>
      <c r="AC312" s="324"/>
      <c r="AD312" s="181">
        <f t="shared" si="64"/>
        <v>2843</v>
      </c>
      <c r="AE312" s="181">
        <f t="shared" si="63"/>
        <v>256779.76</v>
      </c>
      <c r="AF312" s="181">
        <v>1.7</v>
      </c>
      <c r="AG312" s="181">
        <v>1.7</v>
      </c>
      <c r="AH312" s="363" t="str">
        <f t="shared" si="67"/>
        <v/>
      </c>
      <c r="AI312" s="191">
        <v>1100</v>
      </c>
      <c r="AJ312" s="190">
        <v>2843</v>
      </c>
      <c r="AO312" s="367"/>
      <c r="AP312" s="367"/>
      <c r="AQ312" s="367"/>
    </row>
    <row r="313" spans="1:43" s="69" customFormat="1" ht="49.5" x14ac:dyDescent="0.3">
      <c r="A313" s="130" t="s">
        <v>746</v>
      </c>
      <c r="B313" s="240" t="s">
        <v>747</v>
      </c>
      <c r="C313" s="132" t="s">
        <v>606</v>
      </c>
      <c r="D313" s="133">
        <v>1</v>
      </c>
      <c r="E313" s="75"/>
      <c r="F313" s="75"/>
      <c r="G313" s="161"/>
      <c r="H313" s="235"/>
      <c r="I313" s="345">
        <v>2202</v>
      </c>
      <c r="J313" s="166">
        <v>125.1</v>
      </c>
      <c r="K313" s="75">
        <v>275470.2</v>
      </c>
      <c r="L313" s="91" t="s">
        <v>748</v>
      </c>
      <c r="M313" s="73"/>
      <c r="N313" s="46">
        <v>2100</v>
      </c>
      <c r="O313" s="46">
        <v>0</v>
      </c>
      <c r="P313" s="46">
        <v>262710</v>
      </c>
      <c r="Q313" s="98"/>
      <c r="R313" s="23" t="s">
        <v>1452</v>
      </c>
      <c r="S313" s="24" t="s">
        <v>747</v>
      </c>
      <c r="T313" s="25" t="s">
        <v>606</v>
      </c>
      <c r="U313" s="26">
        <v>1</v>
      </c>
      <c r="V313" s="26">
        <f t="shared" si="69"/>
        <v>2202</v>
      </c>
      <c r="W313" s="26">
        <f t="shared" si="65"/>
        <v>125.1</v>
      </c>
      <c r="X313" s="127">
        <f t="shared" si="61"/>
        <v>0</v>
      </c>
      <c r="Y313" s="127">
        <f t="shared" si="66"/>
        <v>2100</v>
      </c>
      <c r="Z313" s="127">
        <f t="shared" si="62"/>
        <v>0</v>
      </c>
      <c r="AA313" s="127">
        <f t="shared" si="68"/>
        <v>262710</v>
      </c>
      <c r="AB313" s="33" t="s">
        <v>15</v>
      </c>
      <c r="AC313" s="324"/>
      <c r="AD313" s="181">
        <f t="shared" si="64"/>
        <v>2202</v>
      </c>
      <c r="AE313" s="181">
        <f t="shared" si="63"/>
        <v>275470.2</v>
      </c>
      <c r="AF313" s="181">
        <v>1.7</v>
      </c>
      <c r="AG313" s="181">
        <v>1.7</v>
      </c>
      <c r="AH313" s="363" t="str">
        <f t="shared" si="67"/>
        <v/>
      </c>
      <c r="AI313" s="194">
        <v>2100</v>
      </c>
      <c r="AJ313" s="190">
        <v>2202</v>
      </c>
      <c r="AO313" s="367"/>
      <c r="AP313" s="367"/>
      <c r="AQ313" s="367"/>
    </row>
    <row r="314" spans="1:43" s="69" customFormat="1" ht="49.5" x14ac:dyDescent="0.3">
      <c r="A314" s="130" t="s">
        <v>749</v>
      </c>
      <c r="B314" s="240" t="s">
        <v>750</v>
      </c>
      <c r="C314" s="132" t="s">
        <v>606</v>
      </c>
      <c r="D314" s="133">
        <v>1</v>
      </c>
      <c r="E314" s="75"/>
      <c r="F314" s="75"/>
      <c r="G314" s="161"/>
      <c r="H314" s="235"/>
      <c r="I314" s="158"/>
      <c r="J314" s="166">
        <v>137.04</v>
      </c>
      <c r="K314" s="75">
        <v>137.04</v>
      </c>
      <c r="L314" s="91" t="s">
        <v>751</v>
      </c>
      <c r="M314" s="73"/>
      <c r="N314" s="46">
        <v>0</v>
      </c>
      <c r="O314" s="46">
        <v>0</v>
      </c>
      <c r="P314" s="46">
        <v>0</v>
      </c>
      <c r="Q314" s="98"/>
      <c r="R314" s="23" t="s">
        <v>1453</v>
      </c>
      <c r="S314" s="24" t="s">
        <v>750</v>
      </c>
      <c r="T314" s="25" t="s">
        <v>606</v>
      </c>
      <c r="U314" s="26">
        <v>1</v>
      </c>
      <c r="V314" s="26">
        <f t="shared" si="69"/>
        <v>1</v>
      </c>
      <c r="W314" s="26">
        <f t="shared" si="65"/>
        <v>137.04</v>
      </c>
      <c r="X314" s="127">
        <f t="shared" si="61"/>
        <v>0</v>
      </c>
      <c r="Y314" s="127">
        <f t="shared" si="66"/>
        <v>0</v>
      </c>
      <c r="Z314" s="127">
        <f t="shared" si="62"/>
        <v>0</v>
      </c>
      <c r="AA314" s="127">
        <f t="shared" si="68"/>
        <v>0</v>
      </c>
      <c r="AB314" s="33" t="s">
        <v>15</v>
      </c>
      <c r="AC314" s="324"/>
      <c r="AD314" s="181">
        <f t="shared" si="64"/>
        <v>1</v>
      </c>
      <c r="AE314" s="181">
        <f t="shared" si="63"/>
        <v>137.04</v>
      </c>
      <c r="AF314" s="181">
        <v>1.7</v>
      </c>
      <c r="AG314" s="181">
        <v>1.7</v>
      </c>
      <c r="AH314" s="363" t="str">
        <f t="shared" si="67"/>
        <v/>
      </c>
      <c r="AI314" s="192">
        <v>0</v>
      </c>
      <c r="AJ314" s="188">
        <v>1</v>
      </c>
      <c r="AO314" s="367"/>
      <c r="AP314" s="367"/>
      <c r="AQ314" s="367"/>
    </row>
    <row r="315" spans="1:43" s="69" customFormat="1" ht="49.5" x14ac:dyDescent="0.3">
      <c r="A315" s="55" t="s">
        <v>752</v>
      </c>
      <c r="B315" s="138" t="s">
        <v>753</v>
      </c>
      <c r="C315" s="54" t="s">
        <v>606</v>
      </c>
      <c r="D315" s="75">
        <v>1</v>
      </c>
      <c r="E315" s="75"/>
      <c r="F315" s="75"/>
      <c r="G315" s="161"/>
      <c r="H315" s="235"/>
      <c r="I315" s="341">
        <v>1007</v>
      </c>
      <c r="J315" s="166">
        <v>107.12</v>
      </c>
      <c r="K315" s="75">
        <v>107869.84</v>
      </c>
      <c r="L315" s="91" t="s">
        <v>754</v>
      </c>
      <c r="M315" s="73"/>
      <c r="N315" s="46">
        <v>0</v>
      </c>
      <c r="O315" s="46">
        <v>0</v>
      </c>
      <c r="P315" s="46">
        <v>0</v>
      </c>
      <c r="Q315" s="98"/>
      <c r="R315" s="23" t="s">
        <v>1454</v>
      </c>
      <c r="S315" s="24" t="s">
        <v>753</v>
      </c>
      <c r="T315" s="25" t="s">
        <v>606</v>
      </c>
      <c r="U315" s="26">
        <v>1</v>
      </c>
      <c r="V315" s="26">
        <f t="shared" si="69"/>
        <v>1007</v>
      </c>
      <c r="W315" s="26">
        <f t="shared" si="65"/>
        <v>107.12</v>
      </c>
      <c r="X315" s="199">
        <f t="shared" si="61"/>
        <v>890</v>
      </c>
      <c r="Y315" s="26">
        <f t="shared" si="66"/>
        <v>890</v>
      </c>
      <c r="Z315" s="26">
        <f t="shared" si="62"/>
        <v>95336.8</v>
      </c>
      <c r="AA315" s="26">
        <f t="shared" si="68"/>
        <v>95336.8</v>
      </c>
      <c r="AB315" s="33" t="s">
        <v>15</v>
      </c>
      <c r="AC315" s="324"/>
      <c r="AD315" s="181">
        <f t="shared" si="64"/>
        <v>1007</v>
      </c>
      <c r="AE315" s="181">
        <f t="shared" si="63"/>
        <v>107869.84</v>
      </c>
      <c r="AF315" s="181">
        <v>1.7</v>
      </c>
      <c r="AG315" s="181">
        <v>1.7</v>
      </c>
      <c r="AH315" s="363" t="str">
        <f t="shared" si="67"/>
        <v/>
      </c>
      <c r="AI315" s="191">
        <v>890</v>
      </c>
      <c r="AJ315" s="190">
        <v>1007</v>
      </c>
      <c r="AO315" s="367"/>
      <c r="AP315" s="367"/>
      <c r="AQ315" s="367"/>
    </row>
    <row r="316" spans="1:43" s="69" customFormat="1" ht="49.5" x14ac:dyDescent="0.3">
      <c r="A316" s="55" t="s">
        <v>755</v>
      </c>
      <c r="B316" s="138" t="s">
        <v>756</v>
      </c>
      <c r="C316" s="54" t="s">
        <v>606</v>
      </c>
      <c r="D316" s="75">
        <v>1</v>
      </c>
      <c r="E316" s="75"/>
      <c r="F316" s="75"/>
      <c r="G316" s="161"/>
      <c r="H316" s="235"/>
      <c r="I316" s="341">
        <v>1139</v>
      </c>
      <c r="J316" s="166">
        <v>124.17</v>
      </c>
      <c r="K316" s="75">
        <v>141429.63</v>
      </c>
      <c r="L316" s="91" t="s">
        <v>757</v>
      </c>
      <c r="M316" s="73"/>
      <c r="N316" s="46">
        <v>0</v>
      </c>
      <c r="O316" s="46">
        <v>0</v>
      </c>
      <c r="P316" s="46">
        <v>0</v>
      </c>
      <c r="Q316" s="98"/>
      <c r="R316" s="23" t="s">
        <v>1455</v>
      </c>
      <c r="S316" s="24" t="s">
        <v>756</v>
      </c>
      <c r="T316" s="25" t="s">
        <v>606</v>
      </c>
      <c r="U316" s="26">
        <v>1</v>
      </c>
      <c r="V316" s="26">
        <f t="shared" si="69"/>
        <v>1139</v>
      </c>
      <c r="W316" s="26">
        <f t="shared" si="65"/>
        <v>124.17</v>
      </c>
      <c r="X316" s="199">
        <f t="shared" si="61"/>
        <v>970</v>
      </c>
      <c r="Y316" s="26">
        <f t="shared" si="66"/>
        <v>970</v>
      </c>
      <c r="Z316" s="26">
        <f t="shared" si="62"/>
        <v>120444.9</v>
      </c>
      <c r="AA316" s="26">
        <f t="shared" si="68"/>
        <v>120444.9</v>
      </c>
      <c r="AB316" s="33" t="s">
        <v>15</v>
      </c>
      <c r="AC316" s="324"/>
      <c r="AD316" s="181">
        <f t="shared" si="64"/>
        <v>1139</v>
      </c>
      <c r="AE316" s="181">
        <f t="shared" si="63"/>
        <v>141429.63</v>
      </c>
      <c r="AF316" s="181">
        <v>1.7</v>
      </c>
      <c r="AG316" s="181">
        <v>1.7</v>
      </c>
      <c r="AH316" s="363" t="str">
        <f t="shared" si="67"/>
        <v/>
      </c>
      <c r="AI316" s="191">
        <v>970</v>
      </c>
      <c r="AJ316" s="190">
        <v>1139</v>
      </c>
      <c r="AO316" s="367"/>
      <c r="AP316" s="367"/>
      <c r="AQ316" s="367"/>
    </row>
    <row r="317" spans="1:43" s="69" customFormat="1" ht="49.5" x14ac:dyDescent="0.3">
      <c r="A317" s="55" t="s">
        <v>758</v>
      </c>
      <c r="B317" s="138" t="s">
        <v>759</v>
      </c>
      <c r="C317" s="54" t="s">
        <v>606</v>
      </c>
      <c r="D317" s="75">
        <v>1</v>
      </c>
      <c r="E317" s="75"/>
      <c r="F317" s="75"/>
      <c r="G317" s="161"/>
      <c r="H317" s="235"/>
      <c r="I317" s="341">
        <v>2260</v>
      </c>
      <c r="J317" s="166">
        <v>121.59</v>
      </c>
      <c r="K317" s="75">
        <v>274793.40000000002</v>
      </c>
      <c r="L317" s="91" t="s">
        <v>760</v>
      </c>
      <c r="M317" s="73"/>
      <c r="N317" s="46">
        <v>0</v>
      </c>
      <c r="O317" s="46">
        <v>0</v>
      </c>
      <c r="P317" s="46">
        <v>0</v>
      </c>
      <c r="Q317" s="98"/>
      <c r="R317" s="23" t="s">
        <v>1456</v>
      </c>
      <c r="S317" s="24" t="s">
        <v>759</v>
      </c>
      <c r="T317" s="25" t="s">
        <v>606</v>
      </c>
      <c r="U317" s="26">
        <v>1</v>
      </c>
      <c r="V317" s="26">
        <f t="shared" si="69"/>
        <v>2260</v>
      </c>
      <c r="W317" s="26">
        <f t="shared" si="65"/>
        <v>121.59</v>
      </c>
      <c r="X317" s="199">
        <f t="shared" si="61"/>
        <v>1930</v>
      </c>
      <c r="Y317" s="26">
        <f t="shared" si="66"/>
        <v>1930</v>
      </c>
      <c r="Z317" s="26">
        <f t="shared" si="62"/>
        <v>234668.7</v>
      </c>
      <c r="AA317" s="26">
        <f t="shared" si="68"/>
        <v>234668.7</v>
      </c>
      <c r="AB317" s="33" t="s">
        <v>15</v>
      </c>
      <c r="AC317" s="324"/>
      <c r="AD317" s="181">
        <f t="shared" si="64"/>
        <v>2260</v>
      </c>
      <c r="AE317" s="181">
        <f t="shared" si="63"/>
        <v>274793.40000000002</v>
      </c>
      <c r="AF317" s="181">
        <v>1.7</v>
      </c>
      <c r="AG317" s="181">
        <v>1.7</v>
      </c>
      <c r="AH317" s="363" t="str">
        <f t="shared" si="67"/>
        <v/>
      </c>
      <c r="AI317" s="191">
        <v>1930</v>
      </c>
      <c r="AJ317" s="190">
        <v>2260</v>
      </c>
      <c r="AO317" s="367"/>
      <c r="AP317" s="367"/>
      <c r="AQ317" s="367"/>
    </row>
    <row r="318" spans="1:43" s="69" customFormat="1" ht="49.5" x14ac:dyDescent="0.3">
      <c r="A318" s="55" t="s">
        <v>761</v>
      </c>
      <c r="B318" s="138" t="s">
        <v>762</v>
      </c>
      <c r="C318" s="54" t="s">
        <v>606</v>
      </c>
      <c r="D318" s="75">
        <v>1</v>
      </c>
      <c r="E318" s="75"/>
      <c r="F318" s="75"/>
      <c r="G318" s="161"/>
      <c r="H318" s="235"/>
      <c r="I318" s="341">
        <v>867</v>
      </c>
      <c r="J318" s="166">
        <v>154.51</v>
      </c>
      <c r="K318" s="75">
        <v>133960.17000000001</v>
      </c>
      <c r="L318" s="91" t="s">
        <v>763</v>
      </c>
      <c r="M318" s="73"/>
      <c r="N318" s="46">
        <v>620</v>
      </c>
      <c r="O318" s="46">
        <v>95796.2</v>
      </c>
      <c r="P318" s="46">
        <v>95796.2</v>
      </c>
      <c r="Q318" s="98"/>
      <c r="R318" s="23" t="s">
        <v>1457</v>
      </c>
      <c r="S318" s="24" t="s">
        <v>762</v>
      </c>
      <c r="T318" s="25" t="s">
        <v>606</v>
      </c>
      <c r="U318" s="26">
        <v>1</v>
      </c>
      <c r="V318" s="26">
        <f t="shared" si="69"/>
        <v>867</v>
      </c>
      <c r="W318" s="26">
        <f t="shared" si="65"/>
        <v>154.51</v>
      </c>
      <c r="X318" s="26">
        <f t="shared" si="61"/>
        <v>0</v>
      </c>
      <c r="Y318" s="26">
        <f t="shared" si="66"/>
        <v>620</v>
      </c>
      <c r="Z318" s="26">
        <f t="shared" si="62"/>
        <v>0</v>
      </c>
      <c r="AA318" s="26">
        <f t="shared" si="68"/>
        <v>95796.2</v>
      </c>
      <c r="AB318" s="33" t="s">
        <v>15</v>
      </c>
      <c r="AC318" s="324"/>
      <c r="AD318" s="181">
        <f t="shared" si="64"/>
        <v>867</v>
      </c>
      <c r="AE318" s="181">
        <f t="shared" si="63"/>
        <v>133960.17000000001</v>
      </c>
      <c r="AF318" s="181">
        <v>1.7</v>
      </c>
      <c r="AG318" s="181">
        <v>1.7</v>
      </c>
      <c r="AH318" s="363" t="str">
        <f t="shared" si="67"/>
        <v/>
      </c>
      <c r="AI318" s="194">
        <f>620</f>
        <v>620</v>
      </c>
      <c r="AJ318" s="190">
        <v>867</v>
      </c>
      <c r="AO318" s="367"/>
      <c r="AP318" s="367"/>
      <c r="AQ318" s="367"/>
    </row>
    <row r="319" spans="1:43" s="69" customFormat="1" ht="49.5" x14ac:dyDescent="0.3">
      <c r="A319" s="55" t="s">
        <v>764</v>
      </c>
      <c r="B319" s="138" t="s">
        <v>765</v>
      </c>
      <c r="C319" s="54" t="s">
        <v>606</v>
      </c>
      <c r="D319" s="75">
        <v>1</v>
      </c>
      <c r="E319" s="75"/>
      <c r="F319" s="75"/>
      <c r="G319" s="161"/>
      <c r="H319" s="235"/>
      <c r="I319" s="341">
        <v>6916</v>
      </c>
      <c r="J319" s="166">
        <v>36.549999999999997</v>
      </c>
      <c r="K319" s="75">
        <v>252779.8</v>
      </c>
      <c r="L319" s="91" t="s">
        <v>766</v>
      </c>
      <c r="M319" s="73"/>
      <c r="N319" s="46">
        <v>4800</v>
      </c>
      <c r="O319" s="46">
        <v>175440</v>
      </c>
      <c r="P319" s="46">
        <v>175440</v>
      </c>
      <c r="Q319" s="98"/>
      <c r="R319" s="23" t="s">
        <v>1458</v>
      </c>
      <c r="S319" s="24" t="s">
        <v>765</v>
      </c>
      <c r="T319" s="25" t="s">
        <v>606</v>
      </c>
      <c r="U319" s="26">
        <v>1</v>
      </c>
      <c r="V319" s="26">
        <f t="shared" si="69"/>
        <v>6916</v>
      </c>
      <c r="W319" s="26">
        <f t="shared" si="65"/>
        <v>36.549999999999997</v>
      </c>
      <c r="X319" s="26">
        <f t="shared" si="61"/>
        <v>0</v>
      </c>
      <c r="Y319" s="26">
        <f t="shared" si="66"/>
        <v>4800</v>
      </c>
      <c r="Z319" s="26">
        <f t="shared" si="62"/>
        <v>0</v>
      </c>
      <c r="AA319" s="26">
        <f t="shared" si="68"/>
        <v>175440</v>
      </c>
      <c r="AB319" s="33" t="s">
        <v>15</v>
      </c>
      <c r="AC319" s="324"/>
      <c r="AD319" s="181">
        <f t="shared" si="64"/>
        <v>6916</v>
      </c>
      <c r="AE319" s="181">
        <f t="shared" si="63"/>
        <v>252779.8</v>
      </c>
      <c r="AF319" s="181">
        <v>1.7</v>
      </c>
      <c r="AG319" s="181">
        <v>1.7</v>
      </c>
      <c r="AH319" s="363" t="str">
        <f t="shared" si="67"/>
        <v/>
      </c>
      <c r="AI319" s="194">
        <f>4800</f>
        <v>4800</v>
      </c>
      <c r="AJ319" s="190">
        <v>6916</v>
      </c>
      <c r="AO319" s="367"/>
      <c r="AP319" s="367"/>
      <c r="AQ319" s="367"/>
    </row>
    <row r="320" spans="1:43" s="69" customFormat="1" ht="49.5" x14ac:dyDescent="0.3">
      <c r="A320" s="55" t="s">
        <v>767</v>
      </c>
      <c r="B320" s="138" t="s">
        <v>768</v>
      </c>
      <c r="C320" s="54" t="s">
        <v>606</v>
      </c>
      <c r="D320" s="75">
        <v>1</v>
      </c>
      <c r="E320" s="75"/>
      <c r="F320" s="75"/>
      <c r="G320" s="161"/>
      <c r="H320" s="235"/>
      <c r="I320" s="341">
        <v>4205</v>
      </c>
      <c r="J320" s="166">
        <v>27.8</v>
      </c>
      <c r="K320" s="75">
        <v>116899</v>
      </c>
      <c r="L320" s="91" t="s">
        <v>769</v>
      </c>
      <c r="M320" s="73"/>
      <c r="N320" s="46">
        <v>0</v>
      </c>
      <c r="O320" s="46">
        <v>0</v>
      </c>
      <c r="P320" s="46">
        <v>0</v>
      </c>
      <c r="Q320" s="98"/>
      <c r="R320" s="23" t="s">
        <v>1459</v>
      </c>
      <c r="S320" s="24" t="s">
        <v>768</v>
      </c>
      <c r="T320" s="25" t="s">
        <v>606</v>
      </c>
      <c r="U320" s="26">
        <v>1</v>
      </c>
      <c r="V320" s="26">
        <f t="shared" si="69"/>
        <v>4205</v>
      </c>
      <c r="W320" s="26">
        <f t="shared" si="65"/>
        <v>27.8</v>
      </c>
      <c r="X320" s="243">
        <f t="shared" si="61"/>
        <v>0</v>
      </c>
      <c r="Y320" s="26">
        <f t="shared" si="66"/>
        <v>0</v>
      </c>
      <c r="Z320" s="26">
        <f t="shared" si="62"/>
        <v>0</v>
      </c>
      <c r="AA320" s="26">
        <f t="shared" si="68"/>
        <v>0</v>
      </c>
      <c r="AB320" s="33" t="s">
        <v>15</v>
      </c>
      <c r="AC320" s="324"/>
      <c r="AD320" s="181">
        <f t="shared" si="64"/>
        <v>4205</v>
      </c>
      <c r="AE320" s="181">
        <f t="shared" si="63"/>
        <v>116899</v>
      </c>
      <c r="AF320" s="181">
        <v>1.7</v>
      </c>
      <c r="AG320" s="181">
        <v>1.7</v>
      </c>
      <c r="AH320" s="363" t="str">
        <f t="shared" si="67"/>
        <v/>
      </c>
      <c r="AI320" s="191">
        <v>0</v>
      </c>
      <c r="AJ320" s="190">
        <v>4205</v>
      </c>
      <c r="AO320" s="367"/>
      <c r="AP320" s="367"/>
      <c r="AQ320" s="367"/>
    </row>
    <row r="321" spans="1:43" s="69" customFormat="1" ht="49.5" x14ac:dyDescent="0.3">
      <c r="A321" s="130" t="s">
        <v>770</v>
      </c>
      <c r="B321" s="240" t="s">
        <v>771</v>
      </c>
      <c r="C321" s="132" t="s">
        <v>606</v>
      </c>
      <c r="D321" s="133">
        <v>1</v>
      </c>
      <c r="E321" s="75"/>
      <c r="F321" s="75"/>
      <c r="G321" s="161"/>
      <c r="H321" s="235"/>
      <c r="I321" s="345">
        <v>408</v>
      </c>
      <c r="J321" s="166">
        <v>105.13</v>
      </c>
      <c r="K321" s="75">
        <v>42893.04</v>
      </c>
      <c r="L321" s="91" t="s">
        <v>772</v>
      </c>
      <c r="M321" s="73"/>
      <c r="N321" s="46">
        <v>400</v>
      </c>
      <c r="O321" s="46">
        <v>0</v>
      </c>
      <c r="P321" s="46">
        <v>42052</v>
      </c>
      <c r="Q321" s="98"/>
      <c r="R321" s="23" t="s">
        <v>1460</v>
      </c>
      <c r="S321" s="24" t="s">
        <v>771</v>
      </c>
      <c r="T321" s="25" t="s">
        <v>606</v>
      </c>
      <c r="U321" s="26">
        <v>1</v>
      </c>
      <c r="V321" s="26">
        <f t="shared" si="69"/>
        <v>408</v>
      </c>
      <c r="W321" s="26">
        <f t="shared" si="65"/>
        <v>105.13</v>
      </c>
      <c r="X321" s="127">
        <f t="shared" si="61"/>
        <v>0</v>
      </c>
      <c r="Y321" s="127">
        <f t="shared" si="66"/>
        <v>400</v>
      </c>
      <c r="Z321" s="127">
        <f t="shared" si="62"/>
        <v>0</v>
      </c>
      <c r="AA321" s="127">
        <f t="shared" si="68"/>
        <v>42052</v>
      </c>
      <c r="AB321" s="33" t="s">
        <v>15</v>
      </c>
      <c r="AC321" s="324"/>
      <c r="AD321" s="181">
        <f t="shared" si="64"/>
        <v>408</v>
      </c>
      <c r="AE321" s="181">
        <f t="shared" si="63"/>
        <v>42893.04</v>
      </c>
      <c r="AF321" s="181">
        <v>1.7</v>
      </c>
      <c r="AG321" s="181">
        <v>1.7</v>
      </c>
      <c r="AH321" s="363" t="str">
        <f t="shared" si="67"/>
        <v/>
      </c>
      <c r="AI321" s="194">
        <v>400</v>
      </c>
      <c r="AJ321" s="190">
        <v>408</v>
      </c>
      <c r="AO321" s="367"/>
      <c r="AP321" s="367"/>
      <c r="AQ321" s="367"/>
    </row>
    <row r="322" spans="1:43" s="69" customFormat="1" ht="49.5" x14ac:dyDescent="0.3">
      <c r="A322" s="55" t="s">
        <v>773</v>
      </c>
      <c r="B322" s="138" t="s">
        <v>774</v>
      </c>
      <c r="C322" s="54" t="s">
        <v>606</v>
      </c>
      <c r="D322" s="75">
        <v>1</v>
      </c>
      <c r="E322" s="75"/>
      <c r="F322" s="75"/>
      <c r="G322" s="161"/>
      <c r="H322" s="235"/>
      <c r="I322" s="341">
        <v>4860</v>
      </c>
      <c r="J322" s="166">
        <v>53.12</v>
      </c>
      <c r="K322" s="75">
        <v>258163.20000000001</v>
      </c>
      <c r="L322" s="91" t="s">
        <v>775</v>
      </c>
      <c r="M322" s="73"/>
      <c r="N322" s="46">
        <v>3625</v>
      </c>
      <c r="O322" s="46">
        <v>114208</v>
      </c>
      <c r="P322" s="46">
        <v>192560</v>
      </c>
      <c r="Q322" s="98"/>
      <c r="R322" s="23" t="s">
        <v>1461</v>
      </c>
      <c r="S322" s="24" t="s">
        <v>774</v>
      </c>
      <c r="T322" s="25" t="s">
        <v>606</v>
      </c>
      <c r="U322" s="26">
        <v>1</v>
      </c>
      <c r="V322" s="26">
        <f t="shared" si="69"/>
        <v>4860</v>
      </c>
      <c r="W322" s="26">
        <f t="shared" si="65"/>
        <v>53.12</v>
      </c>
      <c r="X322" s="26">
        <f t="shared" si="61"/>
        <v>0</v>
      </c>
      <c r="Y322" s="26">
        <f t="shared" si="66"/>
        <v>3625</v>
      </c>
      <c r="Z322" s="26">
        <f t="shared" si="62"/>
        <v>0</v>
      </c>
      <c r="AA322" s="26">
        <f t="shared" si="68"/>
        <v>192560</v>
      </c>
      <c r="AB322" s="33" t="s">
        <v>15</v>
      </c>
      <c r="AC322" s="324"/>
      <c r="AD322" s="181">
        <f t="shared" si="64"/>
        <v>4860</v>
      </c>
      <c r="AE322" s="181">
        <f t="shared" si="63"/>
        <v>258163.20000000001</v>
      </c>
      <c r="AF322" s="181">
        <v>1.7</v>
      </c>
      <c r="AG322" s="181">
        <v>1.7</v>
      </c>
      <c r="AH322" s="363" t="str">
        <f t="shared" si="67"/>
        <v/>
      </c>
      <c r="AI322" s="194">
        <f>1475+2150</f>
        <v>3625</v>
      </c>
      <c r="AJ322" s="190">
        <v>4860</v>
      </c>
      <c r="AO322" s="367"/>
      <c r="AP322" s="367"/>
      <c r="AQ322" s="367"/>
    </row>
    <row r="323" spans="1:43" s="69" customFormat="1" ht="49.5" x14ac:dyDescent="0.3">
      <c r="A323" s="130" t="s">
        <v>776</v>
      </c>
      <c r="B323" s="240" t="s">
        <v>777</v>
      </c>
      <c r="C323" s="132" t="s">
        <v>606</v>
      </c>
      <c r="D323" s="133">
        <v>1</v>
      </c>
      <c r="E323" s="75"/>
      <c r="F323" s="75"/>
      <c r="G323" s="161"/>
      <c r="H323" s="235"/>
      <c r="I323" s="158"/>
      <c r="J323" s="166">
        <v>36.380000000000003</v>
      </c>
      <c r="K323" s="75">
        <v>36.380000000000003</v>
      </c>
      <c r="L323" s="91" t="s">
        <v>778</v>
      </c>
      <c r="M323" s="73"/>
      <c r="N323" s="46">
        <v>0</v>
      </c>
      <c r="O323" s="46">
        <v>0</v>
      </c>
      <c r="P323" s="46">
        <v>0</v>
      </c>
      <c r="Q323" s="98"/>
      <c r="R323" s="23" t="s">
        <v>1462</v>
      </c>
      <c r="S323" s="24" t="s">
        <v>777</v>
      </c>
      <c r="T323" s="25" t="s">
        <v>606</v>
      </c>
      <c r="U323" s="26">
        <v>1</v>
      </c>
      <c r="V323" s="26">
        <f t="shared" si="69"/>
        <v>1</v>
      </c>
      <c r="W323" s="26">
        <f t="shared" si="65"/>
        <v>36.380000000000003</v>
      </c>
      <c r="X323" s="127">
        <f t="shared" si="61"/>
        <v>0</v>
      </c>
      <c r="Y323" s="127">
        <f t="shared" si="66"/>
        <v>0</v>
      </c>
      <c r="Z323" s="127">
        <f t="shared" si="62"/>
        <v>0</v>
      </c>
      <c r="AA323" s="127">
        <f t="shared" si="68"/>
        <v>0</v>
      </c>
      <c r="AB323" s="33" t="s">
        <v>15</v>
      </c>
      <c r="AC323" s="324"/>
      <c r="AD323" s="181">
        <f t="shared" si="64"/>
        <v>1</v>
      </c>
      <c r="AE323" s="181">
        <f t="shared" si="63"/>
        <v>36.380000000000003</v>
      </c>
      <c r="AF323" s="181">
        <v>1.7</v>
      </c>
      <c r="AG323" s="181">
        <v>1.7</v>
      </c>
      <c r="AH323" s="363" t="str">
        <f t="shared" si="67"/>
        <v/>
      </c>
      <c r="AI323" s="192">
        <v>0</v>
      </c>
      <c r="AJ323" s="188">
        <v>1</v>
      </c>
      <c r="AO323" s="367"/>
      <c r="AP323" s="367"/>
      <c r="AQ323" s="367"/>
    </row>
    <row r="324" spans="1:43" s="69" customFormat="1" ht="49.5" x14ac:dyDescent="0.3">
      <c r="A324" s="55" t="s">
        <v>779</v>
      </c>
      <c r="B324" s="138" t="s">
        <v>780</v>
      </c>
      <c r="C324" s="54" t="s">
        <v>606</v>
      </c>
      <c r="D324" s="75">
        <v>1</v>
      </c>
      <c r="E324" s="75"/>
      <c r="F324" s="75"/>
      <c r="G324" s="161"/>
      <c r="H324" s="235"/>
      <c r="I324" s="341">
        <v>2283</v>
      </c>
      <c r="J324" s="166">
        <v>59.74</v>
      </c>
      <c r="K324" s="75">
        <v>136386.42000000001</v>
      </c>
      <c r="L324" s="91" t="s">
        <v>781</v>
      </c>
      <c r="M324" s="73"/>
      <c r="N324" s="46">
        <v>0</v>
      </c>
      <c r="O324" s="46">
        <v>0</v>
      </c>
      <c r="P324" s="46">
        <v>0</v>
      </c>
      <c r="Q324" s="98"/>
      <c r="R324" s="23" t="s">
        <v>1463</v>
      </c>
      <c r="S324" s="24" t="s">
        <v>780</v>
      </c>
      <c r="T324" s="25" t="s">
        <v>606</v>
      </c>
      <c r="U324" s="26">
        <v>1</v>
      </c>
      <c r="V324" s="26">
        <f t="shared" si="69"/>
        <v>2283</v>
      </c>
      <c r="W324" s="26">
        <f t="shared" si="65"/>
        <v>59.74</v>
      </c>
      <c r="X324" s="199">
        <f t="shared" si="61"/>
        <v>600</v>
      </c>
      <c r="Y324" s="26">
        <f t="shared" si="66"/>
        <v>600</v>
      </c>
      <c r="Z324" s="26">
        <f t="shared" si="62"/>
        <v>35844</v>
      </c>
      <c r="AA324" s="26">
        <f t="shared" si="68"/>
        <v>35844</v>
      </c>
      <c r="AB324" s="33" t="s">
        <v>15</v>
      </c>
      <c r="AC324" s="324"/>
      <c r="AD324" s="181">
        <f t="shared" si="64"/>
        <v>2283</v>
      </c>
      <c r="AE324" s="181">
        <f t="shared" si="63"/>
        <v>136386.42000000001</v>
      </c>
      <c r="AF324" s="181">
        <v>1.7</v>
      </c>
      <c r="AG324" s="181">
        <v>1.7</v>
      </c>
      <c r="AH324" s="363" t="str">
        <f t="shared" si="67"/>
        <v/>
      </c>
      <c r="AI324" s="191">
        <v>600</v>
      </c>
      <c r="AJ324" s="190">
        <v>2283</v>
      </c>
      <c r="AO324" s="367"/>
      <c r="AP324" s="367"/>
      <c r="AQ324" s="367"/>
    </row>
    <row r="325" spans="1:43" s="69" customFormat="1" ht="49.5" x14ac:dyDescent="0.3">
      <c r="A325" s="55" t="s">
        <v>782</v>
      </c>
      <c r="B325" s="138" t="s">
        <v>783</v>
      </c>
      <c r="C325" s="54" t="s">
        <v>606</v>
      </c>
      <c r="D325" s="75">
        <v>1</v>
      </c>
      <c r="E325" s="75"/>
      <c r="F325" s="75"/>
      <c r="G325" s="161"/>
      <c r="H325" s="235"/>
      <c r="I325" s="341">
        <v>3653</v>
      </c>
      <c r="J325" s="166">
        <v>80.41</v>
      </c>
      <c r="K325" s="75">
        <v>293737.73</v>
      </c>
      <c r="L325" s="91" t="s">
        <v>784</v>
      </c>
      <c r="M325" s="73"/>
      <c r="N325" s="46">
        <v>0</v>
      </c>
      <c r="O325" s="46">
        <v>0</v>
      </c>
      <c r="P325" s="46">
        <v>0</v>
      </c>
      <c r="Q325" s="98"/>
      <c r="R325" s="23" t="s">
        <v>1464</v>
      </c>
      <c r="S325" s="24" t="s">
        <v>783</v>
      </c>
      <c r="T325" s="25" t="s">
        <v>606</v>
      </c>
      <c r="U325" s="26">
        <v>1</v>
      </c>
      <c r="V325" s="26">
        <f t="shared" si="69"/>
        <v>3653</v>
      </c>
      <c r="W325" s="26">
        <f t="shared" si="65"/>
        <v>80.41</v>
      </c>
      <c r="X325" s="199">
        <f t="shared" si="61"/>
        <v>3150</v>
      </c>
      <c r="Y325" s="26">
        <f t="shared" si="66"/>
        <v>3150</v>
      </c>
      <c r="Z325" s="26">
        <f t="shared" si="62"/>
        <v>253291.5</v>
      </c>
      <c r="AA325" s="26">
        <f t="shared" si="68"/>
        <v>253291.5</v>
      </c>
      <c r="AB325" s="33" t="s">
        <v>15</v>
      </c>
      <c r="AC325" s="324"/>
      <c r="AD325" s="181">
        <f t="shared" si="64"/>
        <v>3653</v>
      </c>
      <c r="AE325" s="181">
        <f t="shared" si="63"/>
        <v>293737.73</v>
      </c>
      <c r="AF325" s="181">
        <v>1.7</v>
      </c>
      <c r="AG325" s="181">
        <v>1.7</v>
      </c>
      <c r="AH325" s="363" t="str">
        <f t="shared" si="67"/>
        <v/>
      </c>
      <c r="AI325" s="191">
        <v>3150</v>
      </c>
      <c r="AJ325" s="190">
        <v>3653</v>
      </c>
      <c r="AO325" s="367"/>
      <c r="AP325" s="367"/>
      <c r="AQ325" s="367"/>
    </row>
    <row r="326" spans="1:43" s="69" customFormat="1" ht="49.5" x14ac:dyDescent="0.3">
      <c r="A326" s="55" t="s">
        <v>785</v>
      </c>
      <c r="B326" s="138" t="s">
        <v>786</v>
      </c>
      <c r="C326" s="54" t="s">
        <v>606</v>
      </c>
      <c r="D326" s="75">
        <v>1</v>
      </c>
      <c r="E326" s="75"/>
      <c r="F326" s="75"/>
      <c r="G326" s="161"/>
      <c r="H326" s="235"/>
      <c r="I326" s="341">
        <v>20708</v>
      </c>
      <c r="J326" s="166">
        <v>64.959999999999994</v>
      </c>
      <c r="K326" s="75">
        <v>1345191.68</v>
      </c>
      <c r="L326" s="91" t="s">
        <v>787</v>
      </c>
      <c r="M326" s="73"/>
      <c r="N326" s="46">
        <v>9050</v>
      </c>
      <c r="O326" s="46">
        <v>451472</v>
      </c>
      <c r="P326" s="46">
        <v>587888</v>
      </c>
      <c r="Q326" s="98"/>
      <c r="R326" s="23" t="s">
        <v>1465</v>
      </c>
      <c r="S326" s="24" t="s">
        <v>786</v>
      </c>
      <c r="T326" s="25" t="s">
        <v>606</v>
      </c>
      <c r="U326" s="26">
        <v>1</v>
      </c>
      <c r="V326" s="26">
        <f t="shared" si="69"/>
        <v>20708</v>
      </c>
      <c r="W326" s="26">
        <f t="shared" si="65"/>
        <v>64.959999999999994</v>
      </c>
      <c r="X326" s="199">
        <f t="shared" si="61"/>
        <v>6050</v>
      </c>
      <c r="Y326" s="26">
        <f t="shared" si="66"/>
        <v>15100</v>
      </c>
      <c r="Z326" s="26">
        <f t="shared" si="62"/>
        <v>393008</v>
      </c>
      <c r="AA326" s="26">
        <f t="shared" si="68"/>
        <v>980896</v>
      </c>
      <c r="AB326" s="33" t="s">
        <v>15</v>
      </c>
      <c r="AC326" s="325"/>
      <c r="AD326" s="263">
        <f t="shared" si="64"/>
        <v>20708</v>
      </c>
      <c r="AE326" s="263">
        <f t="shared" si="63"/>
        <v>1345191.68</v>
      </c>
      <c r="AF326" s="263">
        <v>1.7</v>
      </c>
      <c r="AG326" s="263">
        <v>1.7</v>
      </c>
      <c r="AH326" s="68" t="str">
        <f t="shared" si="67"/>
        <v/>
      </c>
      <c r="AI326" s="191">
        <v>15100</v>
      </c>
      <c r="AJ326" s="190">
        <v>20708</v>
      </c>
      <c r="AO326" s="367"/>
      <c r="AP326" s="367"/>
      <c r="AQ326" s="367"/>
    </row>
    <row r="327" spans="1:43" s="69" customFormat="1" ht="49.5" x14ac:dyDescent="0.3">
      <c r="A327" s="130" t="s">
        <v>788</v>
      </c>
      <c r="B327" s="240" t="s">
        <v>789</v>
      </c>
      <c r="C327" s="132" t="s">
        <v>606</v>
      </c>
      <c r="D327" s="133">
        <v>1</v>
      </c>
      <c r="E327" s="75"/>
      <c r="F327" s="75"/>
      <c r="G327" s="161"/>
      <c r="H327" s="235"/>
      <c r="I327" s="158"/>
      <c r="J327" s="166">
        <v>95.86</v>
      </c>
      <c r="K327" s="75">
        <v>95.86</v>
      </c>
      <c r="L327" s="91" t="s">
        <v>790</v>
      </c>
      <c r="M327" s="73"/>
      <c r="N327" s="46">
        <v>0</v>
      </c>
      <c r="O327" s="46">
        <v>0</v>
      </c>
      <c r="P327" s="46">
        <v>0</v>
      </c>
      <c r="Q327" s="98"/>
      <c r="R327" s="23" t="s">
        <v>1466</v>
      </c>
      <c r="S327" s="24" t="s">
        <v>789</v>
      </c>
      <c r="T327" s="25" t="s">
        <v>606</v>
      </c>
      <c r="U327" s="26">
        <v>1</v>
      </c>
      <c r="V327" s="26">
        <f t="shared" si="69"/>
        <v>1</v>
      </c>
      <c r="W327" s="26">
        <f t="shared" si="65"/>
        <v>95.86</v>
      </c>
      <c r="X327" s="127">
        <f t="shared" si="61"/>
        <v>0</v>
      </c>
      <c r="Y327" s="127">
        <f t="shared" si="66"/>
        <v>0</v>
      </c>
      <c r="Z327" s="127">
        <f t="shared" si="62"/>
        <v>0</v>
      </c>
      <c r="AA327" s="127">
        <f t="shared" si="68"/>
        <v>0</v>
      </c>
      <c r="AB327" s="33" t="s">
        <v>15</v>
      </c>
      <c r="AC327" s="325"/>
      <c r="AD327" s="263">
        <f t="shared" si="64"/>
        <v>1</v>
      </c>
      <c r="AE327" s="263">
        <f t="shared" si="63"/>
        <v>95.86</v>
      </c>
      <c r="AF327" s="263">
        <v>1.7</v>
      </c>
      <c r="AG327" s="263">
        <v>1.7</v>
      </c>
      <c r="AH327" s="68" t="str">
        <f t="shared" si="67"/>
        <v/>
      </c>
      <c r="AI327" s="192">
        <v>0</v>
      </c>
      <c r="AJ327" s="188">
        <v>1</v>
      </c>
      <c r="AO327" s="367"/>
      <c r="AP327" s="367"/>
      <c r="AQ327" s="367"/>
    </row>
    <row r="328" spans="1:43" s="69" customFormat="1" ht="49.5" x14ac:dyDescent="0.3">
      <c r="A328" s="55" t="s">
        <v>791</v>
      </c>
      <c r="B328" s="138" t="s">
        <v>792</v>
      </c>
      <c r="C328" s="54" t="s">
        <v>606</v>
      </c>
      <c r="D328" s="75">
        <v>1</v>
      </c>
      <c r="E328" s="75"/>
      <c r="F328" s="75"/>
      <c r="G328" s="161"/>
      <c r="H328" s="235"/>
      <c r="I328" s="341">
        <v>1905</v>
      </c>
      <c r="J328" s="166">
        <v>93.29</v>
      </c>
      <c r="K328" s="75">
        <v>177717.45</v>
      </c>
      <c r="L328" s="91" t="s">
        <v>793</v>
      </c>
      <c r="M328" s="73"/>
      <c r="N328" s="46">
        <v>850</v>
      </c>
      <c r="O328" s="46">
        <v>79296.5</v>
      </c>
      <c r="P328" s="46">
        <v>79296.5</v>
      </c>
      <c r="Q328" s="98"/>
      <c r="R328" s="23" t="s">
        <v>1467</v>
      </c>
      <c r="S328" s="24" t="s">
        <v>792</v>
      </c>
      <c r="T328" s="25" t="s">
        <v>606</v>
      </c>
      <c r="U328" s="26">
        <v>1</v>
      </c>
      <c r="V328" s="26">
        <f t="shared" si="69"/>
        <v>1905</v>
      </c>
      <c r="W328" s="26">
        <f t="shared" si="65"/>
        <v>93.29</v>
      </c>
      <c r="X328" s="26">
        <f t="shared" ref="X328:X361" si="70">AI328-N328</f>
        <v>0</v>
      </c>
      <c r="Y328" s="26">
        <f t="shared" si="66"/>
        <v>850</v>
      </c>
      <c r="Z328" s="26">
        <f t="shared" ref="Z328:Z361" si="71">AA328-P328</f>
        <v>0</v>
      </c>
      <c r="AA328" s="26">
        <f t="shared" si="68"/>
        <v>79296.5</v>
      </c>
      <c r="AB328" s="33" t="s">
        <v>15</v>
      </c>
      <c r="AC328" s="325"/>
      <c r="AD328" s="263">
        <f t="shared" si="64"/>
        <v>1905</v>
      </c>
      <c r="AE328" s="263">
        <f t="shared" ref="AE328:AE400" si="72">ROUND(W328*AD328,2)</f>
        <v>177717.45</v>
      </c>
      <c r="AF328" s="263">
        <v>1.7</v>
      </c>
      <c r="AG328" s="263">
        <v>1.7</v>
      </c>
      <c r="AH328" s="68" t="str">
        <f t="shared" si="67"/>
        <v/>
      </c>
      <c r="AI328" s="194">
        <f>850</f>
        <v>850</v>
      </c>
      <c r="AJ328" s="190">
        <v>1905</v>
      </c>
      <c r="AO328" s="367"/>
      <c r="AP328" s="367"/>
      <c r="AQ328" s="367"/>
    </row>
    <row r="329" spans="1:43" s="69" customFormat="1" ht="49.5" x14ac:dyDescent="0.3">
      <c r="A329" s="55" t="s">
        <v>794</v>
      </c>
      <c r="B329" s="138" t="s">
        <v>795</v>
      </c>
      <c r="C329" s="54" t="s">
        <v>606</v>
      </c>
      <c r="D329" s="75">
        <v>1</v>
      </c>
      <c r="E329" s="75"/>
      <c r="F329" s="75"/>
      <c r="G329" s="161"/>
      <c r="H329" s="235"/>
      <c r="I329" s="341">
        <v>4290</v>
      </c>
      <c r="J329" s="166">
        <v>93.8</v>
      </c>
      <c r="K329" s="75">
        <v>402402</v>
      </c>
      <c r="L329" s="91" t="s">
        <v>796</v>
      </c>
      <c r="M329" s="73"/>
      <c r="N329" s="46">
        <v>2100</v>
      </c>
      <c r="O329" s="46">
        <v>196980</v>
      </c>
      <c r="P329" s="46">
        <v>196980</v>
      </c>
      <c r="Q329" s="98"/>
      <c r="R329" s="23" t="s">
        <v>1468</v>
      </c>
      <c r="S329" s="24" t="s">
        <v>795</v>
      </c>
      <c r="T329" s="25" t="s">
        <v>606</v>
      </c>
      <c r="U329" s="26">
        <v>1</v>
      </c>
      <c r="V329" s="26">
        <f t="shared" si="69"/>
        <v>4290</v>
      </c>
      <c r="W329" s="26">
        <f t="shared" si="65"/>
        <v>93.8</v>
      </c>
      <c r="X329" s="199">
        <f t="shared" si="70"/>
        <v>0</v>
      </c>
      <c r="Y329" s="26">
        <f t="shared" si="66"/>
        <v>2100</v>
      </c>
      <c r="Z329" s="26">
        <f t="shared" si="71"/>
        <v>0</v>
      </c>
      <c r="AA329" s="26">
        <f t="shared" si="68"/>
        <v>196980</v>
      </c>
      <c r="AB329" s="33" t="s">
        <v>15</v>
      </c>
      <c r="AC329" s="325"/>
      <c r="AD329" s="263">
        <f t="shared" si="64"/>
        <v>4290</v>
      </c>
      <c r="AE329" s="263">
        <f t="shared" si="72"/>
        <v>402402</v>
      </c>
      <c r="AF329" s="263">
        <v>1.7</v>
      </c>
      <c r="AG329" s="263">
        <v>1.7</v>
      </c>
      <c r="AH329" s="68" t="str">
        <f t="shared" si="67"/>
        <v/>
      </c>
      <c r="AI329" s="191">
        <v>2100</v>
      </c>
      <c r="AJ329" s="190">
        <v>4290</v>
      </c>
      <c r="AO329" s="367"/>
      <c r="AP329" s="367"/>
      <c r="AQ329" s="367"/>
    </row>
    <row r="330" spans="1:43" s="69" customFormat="1" ht="49.5" x14ac:dyDescent="0.3">
      <c r="A330" s="55" t="s">
        <v>797</v>
      </c>
      <c r="B330" s="138" t="s">
        <v>798</v>
      </c>
      <c r="C330" s="54" t="s">
        <v>606</v>
      </c>
      <c r="D330" s="75">
        <v>1</v>
      </c>
      <c r="E330" s="75"/>
      <c r="F330" s="75"/>
      <c r="G330" s="161"/>
      <c r="H330" s="235"/>
      <c r="I330" s="341">
        <v>613</v>
      </c>
      <c r="J330" s="166">
        <v>63.35</v>
      </c>
      <c r="K330" s="75">
        <v>38833.550000000003</v>
      </c>
      <c r="L330" s="91" t="s">
        <v>799</v>
      </c>
      <c r="M330" s="73"/>
      <c r="N330" s="46">
        <v>0</v>
      </c>
      <c r="O330" s="46">
        <v>0</v>
      </c>
      <c r="P330" s="46">
        <v>0</v>
      </c>
      <c r="Q330" s="98"/>
      <c r="R330" s="23" t="s">
        <v>1469</v>
      </c>
      <c r="S330" s="24" t="s">
        <v>798</v>
      </c>
      <c r="T330" s="25" t="s">
        <v>606</v>
      </c>
      <c r="U330" s="26">
        <v>1</v>
      </c>
      <c r="V330" s="26">
        <f t="shared" si="69"/>
        <v>613</v>
      </c>
      <c r="W330" s="26">
        <f t="shared" si="65"/>
        <v>63.35</v>
      </c>
      <c r="X330" s="199">
        <f t="shared" si="70"/>
        <v>0</v>
      </c>
      <c r="Y330" s="26">
        <f t="shared" si="66"/>
        <v>0</v>
      </c>
      <c r="Z330" s="26">
        <f t="shared" si="71"/>
        <v>0</v>
      </c>
      <c r="AA330" s="26">
        <f t="shared" si="68"/>
        <v>0</v>
      </c>
      <c r="AB330" s="33" t="s">
        <v>15</v>
      </c>
      <c r="AC330" s="324"/>
      <c r="AD330" s="181">
        <f t="shared" ref="AD330:AD393" si="73">IF(V330=0,U330,V330)</f>
        <v>613</v>
      </c>
      <c r="AE330" s="181">
        <f t="shared" si="72"/>
        <v>38833.550000000003</v>
      </c>
      <c r="AF330" s="181">
        <v>1.7</v>
      </c>
      <c r="AG330" s="181">
        <v>1.7</v>
      </c>
      <c r="AH330" s="363" t="str">
        <f t="shared" si="67"/>
        <v/>
      </c>
      <c r="AI330" s="191">
        <v>0</v>
      </c>
      <c r="AJ330" s="190">
        <v>613</v>
      </c>
      <c r="AO330" s="367"/>
      <c r="AP330" s="367"/>
      <c r="AQ330" s="367"/>
    </row>
    <row r="331" spans="1:43" s="69" customFormat="1" ht="49.5" x14ac:dyDescent="0.3">
      <c r="A331" s="55" t="s">
        <v>800</v>
      </c>
      <c r="B331" s="138" t="s">
        <v>801</v>
      </c>
      <c r="C331" s="54" t="s">
        <v>606</v>
      </c>
      <c r="D331" s="75">
        <v>1</v>
      </c>
      <c r="E331" s="75"/>
      <c r="F331" s="75"/>
      <c r="G331" s="161"/>
      <c r="H331" s="235"/>
      <c r="I331" s="341">
        <v>690</v>
      </c>
      <c r="J331" s="166">
        <v>156.05000000000001</v>
      </c>
      <c r="K331" s="75">
        <v>107674.5</v>
      </c>
      <c r="L331" s="91" t="s">
        <v>802</v>
      </c>
      <c r="M331" s="73"/>
      <c r="N331" s="46">
        <v>0</v>
      </c>
      <c r="O331" s="46">
        <v>0</v>
      </c>
      <c r="P331" s="46">
        <v>0</v>
      </c>
      <c r="Q331" s="98"/>
      <c r="R331" s="23" t="s">
        <v>1470</v>
      </c>
      <c r="S331" s="24" t="s">
        <v>801</v>
      </c>
      <c r="T331" s="25" t="s">
        <v>606</v>
      </c>
      <c r="U331" s="26">
        <v>1</v>
      </c>
      <c r="V331" s="26">
        <f t="shared" si="69"/>
        <v>690</v>
      </c>
      <c r="W331" s="26">
        <f t="shared" ref="W331:W394" si="74">J331</f>
        <v>156.05000000000001</v>
      </c>
      <c r="X331" s="199">
        <f t="shared" si="70"/>
        <v>500</v>
      </c>
      <c r="Y331" s="26">
        <f t="shared" si="66"/>
        <v>500</v>
      </c>
      <c r="Z331" s="26">
        <f t="shared" si="71"/>
        <v>78025</v>
      </c>
      <c r="AA331" s="26">
        <f t="shared" si="68"/>
        <v>78025</v>
      </c>
      <c r="AB331" s="33" t="s">
        <v>15</v>
      </c>
      <c r="AC331" s="324"/>
      <c r="AD331" s="181">
        <f t="shared" si="73"/>
        <v>690</v>
      </c>
      <c r="AE331" s="181">
        <f t="shared" si="72"/>
        <v>107674.5</v>
      </c>
      <c r="AF331" s="181">
        <v>1.7</v>
      </c>
      <c r="AG331" s="181">
        <v>1.7</v>
      </c>
      <c r="AH331" s="363" t="str">
        <f t="shared" si="67"/>
        <v/>
      </c>
      <c r="AI331" s="191">
        <v>500</v>
      </c>
      <c r="AJ331" s="190">
        <v>690</v>
      </c>
      <c r="AO331" s="367"/>
      <c r="AP331" s="367"/>
      <c r="AQ331" s="367"/>
    </row>
    <row r="332" spans="1:43" s="69" customFormat="1" ht="49.5" x14ac:dyDescent="0.3">
      <c r="A332" s="55" t="s">
        <v>803</v>
      </c>
      <c r="B332" s="138" t="s">
        <v>804</v>
      </c>
      <c r="C332" s="54" t="s">
        <v>606</v>
      </c>
      <c r="D332" s="75">
        <v>1</v>
      </c>
      <c r="E332" s="75"/>
      <c r="F332" s="75"/>
      <c r="G332" s="161"/>
      <c r="H332" s="235"/>
      <c r="I332" s="341">
        <v>1335</v>
      </c>
      <c r="J332" s="166">
        <v>69.08</v>
      </c>
      <c r="K332" s="75">
        <v>92221.8</v>
      </c>
      <c r="L332" s="91" t="s">
        <v>805</v>
      </c>
      <c r="M332" s="73"/>
      <c r="N332" s="46">
        <v>0</v>
      </c>
      <c r="O332" s="46">
        <v>0</v>
      </c>
      <c r="P332" s="46">
        <v>0</v>
      </c>
      <c r="Q332" s="98"/>
      <c r="R332" s="23" t="s">
        <v>1471</v>
      </c>
      <c r="S332" s="24" t="s">
        <v>804</v>
      </c>
      <c r="T332" s="25" t="s">
        <v>606</v>
      </c>
      <c r="U332" s="26">
        <v>1</v>
      </c>
      <c r="V332" s="26">
        <f t="shared" si="69"/>
        <v>1335</v>
      </c>
      <c r="W332" s="26">
        <f t="shared" si="74"/>
        <v>69.08</v>
      </c>
      <c r="X332" s="199">
        <f t="shared" si="70"/>
        <v>710</v>
      </c>
      <c r="Y332" s="26">
        <f t="shared" ref="Y332:Y408" si="75">X332+N332</f>
        <v>710</v>
      </c>
      <c r="Z332" s="26">
        <f t="shared" si="71"/>
        <v>49046.8</v>
      </c>
      <c r="AA332" s="26">
        <f t="shared" si="68"/>
        <v>49046.8</v>
      </c>
      <c r="AB332" s="33" t="s">
        <v>15</v>
      </c>
      <c r="AC332" s="324"/>
      <c r="AD332" s="181">
        <f t="shared" si="73"/>
        <v>1335</v>
      </c>
      <c r="AE332" s="181">
        <f t="shared" si="72"/>
        <v>92221.8</v>
      </c>
      <c r="AF332" s="181">
        <v>1.7</v>
      </c>
      <c r="AG332" s="181">
        <v>1.7</v>
      </c>
      <c r="AH332" s="363" t="str">
        <f t="shared" si="67"/>
        <v/>
      </c>
      <c r="AI332" s="191">
        <v>710</v>
      </c>
      <c r="AJ332" s="190">
        <v>1335</v>
      </c>
      <c r="AO332" s="367"/>
      <c r="AP332" s="367"/>
      <c r="AQ332" s="367"/>
    </row>
    <row r="333" spans="1:43" s="69" customFormat="1" ht="49.5" x14ac:dyDescent="0.3">
      <c r="A333" s="130" t="s">
        <v>806</v>
      </c>
      <c r="B333" s="240" t="s">
        <v>807</v>
      </c>
      <c r="C333" s="132" t="s">
        <v>606</v>
      </c>
      <c r="D333" s="133">
        <v>1</v>
      </c>
      <c r="E333" s="75"/>
      <c r="F333" s="75"/>
      <c r="G333" s="161"/>
      <c r="H333" s="235"/>
      <c r="I333" s="341"/>
      <c r="J333" s="166">
        <v>55.62</v>
      </c>
      <c r="K333" s="75">
        <v>55.62</v>
      </c>
      <c r="L333" s="91" t="s">
        <v>808</v>
      </c>
      <c r="M333" s="73"/>
      <c r="N333" s="46">
        <v>0</v>
      </c>
      <c r="O333" s="46">
        <v>0</v>
      </c>
      <c r="P333" s="46">
        <v>0</v>
      </c>
      <c r="Q333" s="98"/>
      <c r="R333" s="23" t="s">
        <v>1472</v>
      </c>
      <c r="S333" s="24" t="s">
        <v>807</v>
      </c>
      <c r="T333" s="25" t="s">
        <v>606</v>
      </c>
      <c r="U333" s="26">
        <v>1</v>
      </c>
      <c r="V333" s="26">
        <f t="shared" si="69"/>
        <v>1</v>
      </c>
      <c r="W333" s="26">
        <f t="shared" si="74"/>
        <v>55.62</v>
      </c>
      <c r="X333" s="127">
        <f t="shared" si="70"/>
        <v>0</v>
      </c>
      <c r="Y333" s="127">
        <f t="shared" si="75"/>
        <v>0</v>
      </c>
      <c r="Z333" s="127">
        <f t="shared" si="71"/>
        <v>0</v>
      </c>
      <c r="AA333" s="127">
        <f t="shared" si="68"/>
        <v>0</v>
      </c>
      <c r="AB333" s="33" t="s">
        <v>15</v>
      </c>
      <c r="AC333" s="324"/>
      <c r="AD333" s="181">
        <f t="shared" si="73"/>
        <v>1</v>
      </c>
      <c r="AE333" s="181">
        <f t="shared" si="72"/>
        <v>55.62</v>
      </c>
      <c r="AF333" s="181">
        <v>1.7</v>
      </c>
      <c r="AG333" s="181">
        <v>1.7</v>
      </c>
      <c r="AH333" s="363" t="str">
        <f t="shared" si="67"/>
        <v/>
      </c>
      <c r="AI333" s="192">
        <v>0</v>
      </c>
      <c r="AJ333" s="188">
        <v>1</v>
      </c>
      <c r="AO333" s="367"/>
      <c r="AP333" s="367"/>
      <c r="AQ333" s="367"/>
    </row>
    <row r="334" spans="1:43" s="69" customFormat="1" ht="49.5" x14ac:dyDescent="0.3">
      <c r="A334" s="55" t="s">
        <v>809</v>
      </c>
      <c r="B334" s="138" t="s">
        <v>810</v>
      </c>
      <c r="C334" s="54" t="s">
        <v>606</v>
      </c>
      <c r="D334" s="75">
        <v>1</v>
      </c>
      <c r="E334" s="75"/>
      <c r="F334" s="75"/>
      <c r="G334" s="161"/>
      <c r="H334" s="235"/>
      <c r="I334" s="341">
        <v>1323</v>
      </c>
      <c r="J334" s="166">
        <v>91.67</v>
      </c>
      <c r="K334" s="75">
        <v>121279.41</v>
      </c>
      <c r="L334" s="91" t="s">
        <v>811</v>
      </c>
      <c r="M334" s="73"/>
      <c r="N334" s="46">
        <v>0</v>
      </c>
      <c r="O334" s="46">
        <v>0</v>
      </c>
      <c r="P334" s="46">
        <v>0</v>
      </c>
      <c r="Q334" s="98"/>
      <c r="R334" s="23" t="s">
        <v>1473</v>
      </c>
      <c r="S334" s="24" t="s">
        <v>810</v>
      </c>
      <c r="T334" s="25" t="s">
        <v>606</v>
      </c>
      <c r="U334" s="26">
        <v>1</v>
      </c>
      <c r="V334" s="26">
        <f t="shared" si="69"/>
        <v>1323</v>
      </c>
      <c r="W334" s="26">
        <f t="shared" si="74"/>
        <v>91.67</v>
      </c>
      <c r="X334" s="26">
        <f t="shared" si="70"/>
        <v>0</v>
      </c>
      <c r="Y334" s="26">
        <f t="shared" si="75"/>
        <v>0</v>
      </c>
      <c r="Z334" s="26">
        <f t="shared" si="71"/>
        <v>0</v>
      </c>
      <c r="AA334" s="26">
        <f t="shared" si="68"/>
        <v>0</v>
      </c>
      <c r="AB334" s="33" t="s">
        <v>15</v>
      </c>
      <c r="AC334" s="324"/>
      <c r="AD334" s="181">
        <f t="shared" si="73"/>
        <v>1323</v>
      </c>
      <c r="AE334" s="181">
        <f t="shared" si="72"/>
        <v>121279.41</v>
      </c>
      <c r="AF334" s="181">
        <v>1.7</v>
      </c>
      <c r="AG334" s="181">
        <v>1.7</v>
      </c>
      <c r="AH334" s="363" t="str">
        <f t="shared" si="67"/>
        <v/>
      </c>
      <c r="AI334" s="192">
        <v>0</v>
      </c>
      <c r="AJ334" s="190">
        <v>1323</v>
      </c>
      <c r="AO334" s="367"/>
      <c r="AP334" s="367"/>
      <c r="AQ334" s="367"/>
    </row>
    <row r="335" spans="1:43" s="69" customFormat="1" ht="49.5" x14ac:dyDescent="0.3">
      <c r="A335" s="130" t="s">
        <v>812</v>
      </c>
      <c r="B335" s="240" t="s">
        <v>813</v>
      </c>
      <c r="C335" s="132" t="s">
        <v>606</v>
      </c>
      <c r="D335" s="133">
        <v>1</v>
      </c>
      <c r="E335" s="75"/>
      <c r="F335" s="75"/>
      <c r="G335" s="161"/>
      <c r="H335" s="235"/>
      <c r="I335" s="158"/>
      <c r="J335" s="166">
        <v>68.5</v>
      </c>
      <c r="K335" s="75">
        <v>68.5</v>
      </c>
      <c r="L335" s="91" t="s">
        <v>814</v>
      </c>
      <c r="M335" s="73"/>
      <c r="N335" s="46">
        <v>0</v>
      </c>
      <c r="O335" s="46">
        <v>0</v>
      </c>
      <c r="P335" s="46">
        <v>0</v>
      </c>
      <c r="Q335" s="98"/>
      <c r="R335" s="23" t="s">
        <v>1474</v>
      </c>
      <c r="S335" s="24" t="s">
        <v>813</v>
      </c>
      <c r="T335" s="25" t="s">
        <v>606</v>
      </c>
      <c r="U335" s="26">
        <v>1</v>
      </c>
      <c r="V335" s="26">
        <f t="shared" si="69"/>
        <v>1</v>
      </c>
      <c r="W335" s="26">
        <f t="shared" si="74"/>
        <v>68.5</v>
      </c>
      <c r="X335" s="127">
        <f t="shared" si="70"/>
        <v>0</v>
      </c>
      <c r="Y335" s="127">
        <f t="shared" si="75"/>
        <v>0</v>
      </c>
      <c r="Z335" s="127">
        <f t="shared" si="71"/>
        <v>0</v>
      </c>
      <c r="AA335" s="127">
        <f t="shared" si="68"/>
        <v>0</v>
      </c>
      <c r="AB335" s="33" t="s">
        <v>15</v>
      </c>
      <c r="AC335" s="324"/>
      <c r="AD335" s="181">
        <f t="shared" si="73"/>
        <v>1</v>
      </c>
      <c r="AE335" s="181">
        <f t="shared" si="72"/>
        <v>68.5</v>
      </c>
      <c r="AF335" s="181">
        <v>1.7</v>
      </c>
      <c r="AG335" s="181">
        <v>1.7</v>
      </c>
      <c r="AH335" s="363" t="str">
        <f t="shared" si="67"/>
        <v/>
      </c>
      <c r="AI335" s="192">
        <v>0</v>
      </c>
      <c r="AJ335" s="188">
        <v>1</v>
      </c>
      <c r="AO335" s="367"/>
      <c r="AP335" s="367"/>
      <c r="AQ335" s="367"/>
    </row>
    <row r="336" spans="1:43" s="69" customFormat="1" ht="49.5" x14ac:dyDescent="0.3">
      <c r="A336" s="55" t="s">
        <v>815</v>
      </c>
      <c r="B336" s="138" t="s">
        <v>816</v>
      </c>
      <c r="C336" s="54" t="s">
        <v>606</v>
      </c>
      <c r="D336" s="75">
        <v>1</v>
      </c>
      <c r="E336" s="75"/>
      <c r="F336" s="75"/>
      <c r="G336" s="161"/>
      <c r="H336" s="235"/>
      <c r="I336" s="341">
        <v>934</v>
      </c>
      <c r="J336" s="166">
        <v>58.2</v>
      </c>
      <c r="K336" s="75">
        <v>54358.8</v>
      </c>
      <c r="L336" s="91" t="s">
        <v>817</v>
      </c>
      <c r="M336" s="73"/>
      <c r="N336" s="46">
        <v>0</v>
      </c>
      <c r="O336" s="46">
        <v>0</v>
      </c>
      <c r="P336" s="46">
        <v>0</v>
      </c>
      <c r="Q336" s="98"/>
      <c r="R336" s="23" t="s">
        <v>1475</v>
      </c>
      <c r="S336" s="24" t="s">
        <v>816</v>
      </c>
      <c r="T336" s="25" t="s">
        <v>606</v>
      </c>
      <c r="U336" s="26">
        <v>1</v>
      </c>
      <c r="V336" s="26">
        <f t="shared" si="69"/>
        <v>934</v>
      </c>
      <c r="W336" s="26">
        <f t="shared" si="74"/>
        <v>58.2</v>
      </c>
      <c r="X336" s="199">
        <f t="shared" si="70"/>
        <v>450</v>
      </c>
      <c r="Y336" s="26">
        <f t="shared" si="75"/>
        <v>450</v>
      </c>
      <c r="Z336" s="26">
        <f t="shared" si="71"/>
        <v>26190</v>
      </c>
      <c r="AA336" s="26">
        <f t="shared" si="68"/>
        <v>26190</v>
      </c>
      <c r="AB336" s="33" t="s">
        <v>15</v>
      </c>
      <c r="AC336" s="324"/>
      <c r="AD336" s="181">
        <f t="shared" si="73"/>
        <v>934</v>
      </c>
      <c r="AE336" s="181">
        <f t="shared" si="72"/>
        <v>54358.8</v>
      </c>
      <c r="AF336" s="181">
        <v>1.7</v>
      </c>
      <c r="AG336" s="181">
        <v>1.7</v>
      </c>
      <c r="AH336" s="363" t="str">
        <f t="shared" si="67"/>
        <v/>
      </c>
      <c r="AI336" s="191">
        <v>450</v>
      </c>
      <c r="AJ336" s="190">
        <v>934</v>
      </c>
      <c r="AO336" s="367"/>
      <c r="AP336" s="367"/>
      <c r="AQ336" s="367"/>
    </row>
    <row r="337" spans="1:43" s="69" customFormat="1" ht="49.5" x14ac:dyDescent="0.3">
      <c r="A337" s="130" t="s">
        <v>818</v>
      </c>
      <c r="B337" s="240" t="s">
        <v>819</v>
      </c>
      <c r="C337" s="132" t="s">
        <v>606</v>
      </c>
      <c r="D337" s="133">
        <v>1</v>
      </c>
      <c r="E337" s="75"/>
      <c r="F337" s="75"/>
      <c r="G337" s="161"/>
      <c r="H337" s="235"/>
      <c r="I337" s="341"/>
      <c r="J337" s="166">
        <v>70.040000000000006</v>
      </c>
      <c r="K337" s="75">
        <v>70.040000000000006</v>
      </c>
      <c r="L337" s="91" t="s">
        <v>820</v>
      </c>
      <c r="M337" s="73"/>
      <c r="N337" s="46">
        <v>0</v>
      </c>
      <c r="O337" s="46">
        <v>0</v>
      </c>
      <c r="P337" s="46">
        <v>0</v>
      </c>
      <c r="Q337" s="98"/>
      <c r="R337" s="23" t="s">
        <v>1476</v>
      </c>
      <c r="S337" s="24" t="s">
        <v>819</v>
      </c>
      <c r="T337" s="25" t="s">
        <v>606</v>
      </c>
      <c r="U337" s="26">
        <v>1</v>
      </c>
      <c r="V337" s="26">
        <f t="shared" si="69"/>
        <v>1</v>
      </c>
      <c r="W337" s="26">
        <f t="shared" si="74"/>
        <v>70.040000000000006</v>
      </c>
      <c r="X337" s="127">
        <f t="shared" si="70"/>
        <v>0</v>
      </c>
      <c r="Y337" s="127">
        <f t="shared" si="75"/>
        <v>0</v>
      </c>
      <c r="Z337" s="127">
        <f t="shared" si="71"/>
        <v>0</v>
      </c>
      <c r="AA337" s="127">
        <f t="shared" si="68"/>
        <v>0</v>
      </c>
      <c r="AB337" s="33" t="s">
        <v>15</v>
      </c>
      <c r="AC337" s="324"/>
      <c r="AD337" s="181">
        <f t="shared" si="73"/>
        <v>1</v>
      </c>
      <c r="AE337" s="181">
        <f t="shared" si="72"/>
        <v>70.040000000000006</v>
      </c>
      <c r="AF337" s="181">
        <v>1.7</v>
      </c>
      <c r="AG337" s="181">
        <v>1.7</v>
      </c>
      <c r="AH337" s="363" t="str">
        <f t="shared" si="67"/>
        <v/>
      </c>
      <c r="AI337" s="192">
        <v>0</v>
      </c>
      <c r="AJ337" s="188">
        <v>1</v>
      </c>
      <c r="AO337" s="367"/>
      <c r="AP337" s="367"/>
      <c r="AQ337" s="367"/>
    </row>
    <row r="338" spans="1:43" s="69" customFormat="1" ht="49.5" x14ac:dyDescent="0.3">
      <c r="A338" s="55" t="s">
        <v>821</v>
      </c>
      <c r="B338" s="138" t="s">
        <v>822</v>
      </c>
      <c r="C338" s="54" t="s">
        <v>606</v>
      </c>
      <c r="D338" s="75">
        <v>1</v>
      </c>
      <c r="E338" s="75"/>
      <c r="F338" s="75"/>
      <c r="G338" s="161"/>
      <c r="H338" s="235"/>
      <c r="I338" s="341">
        <v>2725</v>
      </c>
      <c r="J338" s="166">
        <v>61.29</v>
      </c>
      <c r="K338" s="75">
        <v>167015.25</v>
      </c>
      <c r="L338" s="91" t="s">
        <v>823</v>
      </c>
      <c r="M338" s="73"/>
      <c r="N338" s="46">
        <v>0</v>
      </c>
      <c r="O338" s="46">
        <v>0</v>
      </c>
      <c r="P338" s="46">
        <v>0</v>
      </c>
      <c r="Q338" s="98"/>
      <c r="R338" s="23" t="s">
        <v>1477</v>
      </c>
      <c r="S338" s="24" t="s">
        <v>822</v>
      </c>
      <c r="T338" s="25" t="s">
        <v>606</v>
      </c>
      <c r="U338" s="26">
        <v>1</v>
      </c>
      <c r="V338" s="26">
        <f t="shared" si="69"/>
        <v>2725</v>
      </c>
      <c r="W338" s="26">
        <f t="shared" si="74"/>
        <v>61.29</v>
      </c>
      <c r="X338" s="199">
        <f t="shared" si="70"/>
        <v>1670</v>
      </c>
      <c r="Y338" s="26">
        <f t="shared" si="75"/>
        <v>1670</v>
      </c>
      <c r="Z338" s="26">
        <f t="shared" si="71"/>
        <v>102354.3</v>
      </c>
      <c r="AA338" s="26">
        <f t="shared" si="68"/>
        <v>102354.3</v>
      </c>
      <c r="AB338" s="33" t="s">
        <v>15</v>
      </c>
      <c r="AC338" s="324"/>
      <c r="AD338" s="181">
        <f t="shared" si="73"/>
        <v>2725</v>
      </c>
      <c r="AE338" s="181">
        <f t="shared" si="72"/>
        <v>167015.25</v>
      </c>
      <c r="AF338" s="181">
        <v>1.7</v>
      </c>
      <c r="AG338" s="181">
        <v>1.7</v>
      </c>
      <c r="AH338" s="363" t="str">
        <f t="shared" si="67"/>
        <v/>
      </c>
      <c r="AI338" s="191">
        <v>1670</v>
      </c>
      <c r="AJ338" s="190">
        <v>2725</v>
      </c>
      <c r="AO338" s="367"/>
      <c r="AP338" s="367"/>
      <c r="AQ338" s="367"/>
    </row>
    <row r="339" spans="1:43" s="69" customFormat="1" ht="49.5" x14ac:dyDescent="0.3">
      <c r="A339" s="55" t="s">
        <v>824</v>
      </c>
      <c r="B339" s="138" t="s">
        <v>825</v>
      </c>
      <c r="C339" s="54" t="s">
        <v>606</v>
      </c>
      <c r="D339" s="75">
        <v>1</v>
      </c>
      <c r="E339" s="75"/>
      <c r="F339" s="75"/>
      <c r="G339" s="161"/>
      <c r="H339" s="235"/>
      <c r="I339" s="341">
        <v>833</v>
      </c>
      <c r="J339" s="166">
        <v>59.74</v>
      </c>
      <c r="K339" s="75">
        <v>49763.42</v>
      </c>
      <c r="L339" s="91" t="s">
        <v>826</v>
      </c>
      <c r="M339" s="73"/>
      <c r="N339" s="46">
        <v>0</v>
      </c>
      <c r="O339" s="46">
        <v>0</v>
      </c>
      <c r="P339" s="46">
        <v>0</v>
      </c>
      <c r="Q339" s="98"/>
      <c r="R339" s="23" t="s">
        <v>1478</v>
      </c>
      <c r="S339" s="24" t="s">
        <v>825</v>
      </c>
      <c r="T339" s="25" t="s">
        <v>606</v>
      </c>
      <c r="U339" s="26">
        <v>1</v>
      </c>
      <c r="V339" s="26">
        <f t="shared" si="69"/>
        <v>833</v>
      </c>
      <c r="W339" s="26">
        <f t="shared" si="74"/>
        <v>59.74</v>
      </c>
      <c r="X339" s="26">
        <f t="shared" si="70"/>
        <v>0</v>
      </c>
      <c r="Y339" s="26">
        <f t="shared" si="75"/>
        <v>0</v>
      </c>
      <c r="Z339" s="26">
        <f t="shared" si="71"/>
        <v>0</v>
      </c>
      <c r="AA339" s="26">
        <f t="shared" si="68"/>
        <v>0</v>
      </c>
      <c r="AB339" s="33" t="s">
        <v>15</v>
      </c>
      <c r="AC339" s="324"/>
      <c r="AD339" s="181">
        <f t="shared" si="73"/>
        <v>833</v>
      </c>
      <c r="AE339" s="181">
        <f t="shared" si="72"/>
        <v>49763.42</v>
      </c>
      <c r="AF339" s="181">
        <v>1.7</v>
      </c>
      <c r="AG339" s="181">
        <v>1.7</v>
      </c>
      <c r="AH339" s="363" t="str">
        <f t="shared" si="67"/>
        <v/>
      </c>
      <c r="AI339" s="192">
        <v>0</v>
      </c>
      <c r="AJ339" s="190">
        <v>833</v>
      </c>
      <c r="AO339" s="367"/>
      <c r="AP339" s="367"/>
      <c r="AQ339" s="367"/>
    </row>
    <row r="340" spans="1:43" s="69" customFormat="1" ht="33" x14ac:dyDescent="0.3">
      <c r="A340" s="130" t="s">
        <v>827</v>
      </c>
      <c r="B340" s="240" t="s">
        <v>828</v>
      </c>
      <c r="C340" s="132" t="s">
        <v>606</v>
      </c>
      <c r="D340" s="133">
        <v>1</v>
      </c>
      <c r="E340" s="75"/>
      <c r="F340" s="75"/>
      <c r="G340" s="161"/>
      <c r="H340" s="235"/>
      <c r="I340" s="345">
        <v>880</v>
      </c>
      <c r="J340" s="166">
        <v>69.58</v>
      </c>
      <c r="K340" s="75">
        <v>61230.400000000001</v>
      </c>
      <c r="L340" s="91" t="s">
        <v>829</v>
      </c>
      <c r="M340" s="73"/>
      <c r="N340" s="46">
        <v>800</v>
      </c>
      <c r="O340" s="46">
        <v>0</v>
      </c>
      <c r="P340" s="46">
        <v>55664</v>
      </c>
      <c r="Q340" s="98"/>
      <c r="R340" s="23" t="s">
        <v>1479</v>
      </c>
      <c r="S340" s="24" t="s">
        <v>828</v>
      </c>
      <c r="T340" s="25" t="s">
        <v>606</v>
      </c>
      <c r="U340" s="26">
        <v>1</v>
      </c>
      <c r="V340" s="26">
        <f t="shared" si="69"/>
        <v>880</v>
      </c>
      <c r="W340" s="26">
        <f t="shared" si="74"/>
        <v>69.58</v>
      </c>
      <c r="X340" s="127">
        <f t="shared" si="70"/>
        <v>0</v>
      </c>
      <c r="Y340" s="127">
        <f t="shared" si="75"/>
        <v>800</v>
      </c>
      <c r="Z340" s="127">
        <f t="shared" si="71"/>
        <v>0</v>
      </c>
      <c r="AA340" s="127">
        <f t="shared" si="68"/>
        <v>55664</v>
      </c>
      <c r="AB340" s="33" t="s">
        <v>15</v>
      </c>
      <c r="AC340" s="324"/>
      <c r="AD340" s="181">
        <f t="shared" si="73"/>
        <v>880</v>
      </c>
      <c r="AE340" s="181">
        <f t="shared" si="72"/>
        <v>61230.400000000001</v>
      </c>
      <c r="AF340" s="181">
        <v>1.7</v>
      </c>
      <c r="AG340" s="181">
        <v>1.7</v>
      </c>
      <c r="AH340" s="363" t="str">
        <f t="shared" si="67"/>
        <v/>
      </c>
      <c r="AI340" s="194">
        <v>800</v>
      </c>
      <c r="AJ340" s="190">
        <v>880</v>
      </c>
      <c r="AO340" s="367"/>
      <c r="AP340" s="367"/>
      <c r="AQ340" s="367"/>
    </row>
    <row r="341" spans="1:43" s="69" customFormat="1" ht="33" x14ac:dyDescent="0.3">
      <c r="A341" s="130" t="s">
        <v>830</v>
      </c>
      <c r="B341" s="240" t="s">
        <v>831</v>
      </c>
      <c r="C341" s="132" t="s">
        <v>606</v>
      </c>
      <c r="D341" s="133">
        <v>1</v>
      </c>
      <c r="E341" s="75"/>
      <c r="F341" s="75"/>
      <c r="G341" s="161"/>
      <c r="H341" s="235"/>
      <c r="I341" s="158"/>
      <c r="J341" s="166">
        <v>112.84</v>
      </c>
      <c r="K341" s="75">
        <v>112.84</v>
      </c>
      <c r="L341" s="91" t="s">
        <v>832</v>
      </c>
      <c r="M341" s="73"/>
      <c r="N341" s="46">
        <v>0</v>
      </c>
      <c r="O341" s="46">
        <v>0</v>
      </c>
      <c r="P341" s="46">
        <v>0</v>
      </c>
      <c r="Q341" s="98"/>
      <c r="R341" s="23" t="s">
        <v>1480</v>
      </c>
      <c r="S341" s="24" t="s">
        <v>831</v>
      </c>
      <c r="T341" s="25" t="s">
        <v>606</v>
      </c>
      <c r="U341" s="26">
        <v>1</v>
      </c>
      <c r="V341" s="26">
        <f t="shared" si="69"/>
        <v>1</v>
      </c>
      <c r="W341" s="26">
        <f t="shared" si="74"/>
        <v>112.84</v>
      </c>
      <c r="X341" s="127">
        <f t="shared" si="70"/>
        <v>0</v>
      </c>
      <c r="Y341" s="127">
        <f t="shared" si="75"/>
        <v>0</v>
      </c>
      <c r="Z341" s="127">
        <f t="shared" si="71"/>
        <v>0</v>
      </c>
      <c r="AA341" s="127">
        <f t="shared" si="68"/>
        <v>0</v>
      </c>
      <c r="AB341" s="33" t="s">
        <v>15</v>
      </c>
      <c r="AC341" s="324"/>
      <c r="AD341" s="181">
        <f t="shared" si="73"/>
        <v>1</v>
      </c>
      <c r="AE341" s="181">
        <f t="shared" si="72"/>
        <v>112.84</v>
      </c>
      <c r="AF341" s="181">
        <v>1.7</v>
      </c>
      <c r="AG341" s="181">
        <v>1.7</v>
      </c>
      <c r="AH341" s="363" t="str">
        <f t="shared" si="67"/>
        <v/>
      </c>
      <c r="AI341" s="192">
        <v>0</v>
      </c>
      <c r="AJ341" s="188">
        <v>1</v>
      </c>
      <c r="AO341" s="367"/>
      <c r="AP341" s="367"/>
      <c r="AQ341" s="367"/>
    </row>
    <row r="342" spans="1:43" s="69" customFormat="1" ht="33" x14ac:dyDescent="0.3">
      <c r="A342" s="130" t="s">
        <v>833</v>
      </c>
      <c r="B342" s="240" t="s">
        <v>834</v>
      </c>
      <c r="C342" s="132" t="s">
        <v>606</v>
      </c>
      <c r="D342" s="133">
        <v>1</v>
      </c>
      <c r="E342" s="75"/>
      <c r="F342" s="75"/>
      <c r="G342" s="161"/>
      <c r="H342" s="235"/>
      <c r="I342" s="158"/>
      <c r="J342" s="166">
        <v>102.54</v>
      </c>
      <c r="K342" s="75">
        <v>102.54</v>
      </c>
      <c r="L342" s="91" t="s">
        <v>835</v>
      </c>
      <c r="M342" s="73"/>
      <c r="N342" s="46">
        <v>0</v>
      </c>
      <c r="O342" s="46">
        <v>0</v>
      </c>
      <c r="P342" s="46">
        <v>0</v>
      </c>
      <c r="Q342" s="98"/>
      <c r="R342" s="23" t="s">
        <v>1481</v>
      </c>
      <c r="S342" s="24" t="s">
        <v>834</v>
      </c>
      <c r="T342" s="25" t="s">
        <v>606</v>
      </c>
      <c r="U342" s="26">
        <v>1</v>
      </c>
      <c r="V342" s="26">
        <f t="shared" si="69"/>
        <v>1</v>
      </c>
      <c r="W342" s="26">
        <f t="shared" si="74"/>
        <v>102.54</v>
      </c>
      <c r="X342" s="127">
        <f t="shared" si="70"/>
        <v>0</v>
      </c>
      <c r="Y342" s="127">
        <f t="shared" si="75"/>
        <v>0</v>
      </c>
      <c r="Z342" s="127">
        <f t="shared" si="71"/>
        <v>0</v>
      </c>
      <c r="AA342" s="127">
        <f t="shared" si="68"/>
        <v>0</v>
      </c>
      <c r="AB342" s="33" t="s">
        <v>15</v>
      </c>
      <c r="AC342" s="324"/>
      <c r="AD342" s="181">
        <f t="shared" si="73"/>
        <v>1</v>
      </c>
      <c r="AE342" s="181">
        <f t="shared" si="72"/>
        <v>102.54</v>
      </c>
      <c r="AF342" s="181">
        <v>1.7</v>
      </c>
      <c r="AG342" s="181">
        <v>1.7</v>
      </c>
      <c r="AH342" s="363" t="str">
        <f t="shared" si="67"/>
        <v/>
      </c>
      <c r="AI342" s="192">
        <v>0</v>
      </c>
      <c r="AJ342" s="188">
        <v>1</v>
      </c>
      <c r="AO342" s="367"/>
      <c r="AP342" s="367"/>
      <c r="AQ342" s="367"/>
    </row>
    <row r="343" spans="1:43" s="69" customFormat="1" ht="49.5" x14ac:dyDescent="0.3">
      <c r="A343" s="55" t="s">
        <v>836</v>
      </c>
      <c r="B343" s="138" t="s">
        <v>837</v>
      </c>
      <c r="C343" s="54" t="s">
        <v>606</v>
      </c>
      <c r="D343" s="75">
        <v>1</v>
      </c>
      <c r="E343" s="75"/>
      <c r="F343" s="75"/>
      <c r="G343" s="161"/>
      <c r="H343" s="235"/>
      <c r="I343" s="341">
        <v>5815</v>
      </c>
      <c r="J343" s="166">
        <v>82.99</v>
      </c>
      <c r="K343" s="75">
        <v>482586.85</v>
      </c>
      <c r="L343" s="91" t="s">
        <v>838</v>
      </c>
      <c r="M343" s="73"/>
      <c r="N343" s="46">
        <v>4950</v>
      </c>
      <c r="O343" s="46">
        <v>0</v>
      </c>
      <c r="P343" s="46">
        <v>410800.5</v>
      </c>
      <c r="Q343" s="98"/>
      <c r="R343" s="23" t="s">
        <v>1482</v>
      </c>
      <c r="S343" s="24" t="s">
        <v>837</v>
      </c>
      <c r="T343" s="25" t="s">
        <v>606</v>
      </c>
      <c r="U343" s="26">
        <v>1</v>
      </c>
      <c r="V343" s="26">
        <f t="shared" si="69"/>
        <v>5815</v>
      </c>
      <c r="W343" s="26">
        <f t="shared" si="74"/>
        <v>82.99</v>
      </c>
      <c r="X343" s="26">
        <f t="shared" si="70"/>
        <v>0</v>
      </c>
      <c r="Y343" s="26">
        <f t="shared" si="75"/>
        <v>4950</v>
      </c>
      <c r="Z343" s="26">
        <f t="shared" si="71"/>
        <v>0</v>
      </c>
      <c r="AA343" s="26">
        <f t="shared" si="68"/>
        <v>410800.5</v>
      </c>
      <c r="AB343" s="33" t="s">
        <v>15</v>
      </c>
      <c r="AC343" s="324"/>
      <c r="AD343" s="181">
        <f t="shared" si="73"/>
        <v>5815</v>
      </c>
      <c r="AE343" s="181">
        <f t="shared" si="72"/>
        <v>482586.85</v>
      </c>
      <c r="AF343" s="181">
        <v>1.7</v>
      </c>
      <c r="AG343" s="181">
        <v>1.7</v>
      </c>
      <c r="AH343" s="363" t="str">
        <f t="shared" si="67"/>
        <v/>
      </c>
      <c r="AI343" s="194">
        <v>4950</v>
      </c>
      <c r="AJ343" s="190">
        <v>5815</v>
      </c>
      <c r="AO343" s="367"/>
      <c r="AP343" s="367"/>
      <c r="AQ343" s="367"/>
    </row>
    <row r="344" spans="1:43" s="69" customFormat="1" ht="49.5" x14ac:dyDescent="0.3">
      <c r="A344" s="130" t="s">
        <v>839</v>
      </c>
      <c r="B344" s="240" t="s">
        <v>840</v>
      </c>
      <c r="C344" s="132" t="s">
        <v>606</v>
      </c>
      <c r="D344" s="133">
        <v>1</v>
      </c>
      <c r="E344" s="75"/>
      <c r="F344" s="75"/>
      <c r="G344" s="161"/>
      <c r="H344" s="235"/>
      <c r="I344" s="341"/>
      <c r="J344" s="166">
        <v>80.41</v>
      </c>
      <c r="K344" s="75">
        <v>80.41</v>
      </c>
      <c r="L344" s="91" t="s">
        <v>841</v>
      </c>
      <c r="M344" s="73"/>
      <c r="N344" s="46">
        <v>0</v>
      </c>
      <c r="O344" s="46">
        <v>0</v>
      </c>
      <c r="P344" s="46">
        <v>0</v>
      </c>
      <c r="Q344" s="98"/>
      <c r="R344" s="23" t="s">
        <v>1483</v>
      </c>
      <c r="S344" s="24" t="s">
        <v>840</v>
      </c>
      <c r="T344" s="25" t="s">
        <v>606</v>
      </c>
      <c r="U344" s="26">
        <v>1</v>
      </c>
      <c r="V344" s="26">
        <f t="shared" si="69"/>
        <v>1</v>
      </c>
      <c r="W344" s="26">
        <f t="shared" si="74"/>
        <v>80.41</v>
      </c>
      <c r="X344" s="127">
        <f t="shared" si="70"/>
        <v>0</v>
      </c>
      <c r="Y344" s="127">
        <f t="shared" si="75"/>
        <v>0</v>
      </c>
      <c r="Z344" s="127">
        <f t="shared" si="71"/>
        <v>0</v>
      </c>
      <c r="AA344" s="127">
        <f t="shared" si="68"/>
        <v>0</v>
      </c>
      <c r="AB344" s="33" t="s">
        <v>15</v>
      </c>
      <c r="AC344" s="324"/>
      <c r="AD344" s="181">
        <f t="shared" si="73"/>
        <v>1</v>
      </c>
      <c r="AE344" s="181">
        <f t="shared" si="72"/>
        <v>80.41</v>
      </c>
      <c r="AF344" s="181">
        <v>1.7</v>
      </c>
      <c r="AG344" s="181">
        <v>1.7</v>
      </c>
      <c r="AH344" s="363" t="str">
        <f t="shared" si="67"/>
        <v/>
      </c>
      <c r="AI344" s="192">
        <v>0</v>
      </c>
      <c r="AJ344" s="188">
        <v>1</v>
      </c>
      <c r="AO344" s="367"/>
      <c r="AP344" s="367"/>
      <c r="AQ344" s="367"/>
    </row>
    <row r="345" spans="1:43" s="69" customFormat="1" ht="49.5" x14ac:dyDescent="0.3">
      <c r="A345" s="130" t="s">
        <v>842</v>
      </c>
      <c r="B345" s="240" t="s">
        <v>843</v>
      </c>
      <c r="C345" s="132" t="s">
        <v>606</v>
      </c>
      <c r="D345" s="133">
        <v>1</v>
      </c>
      <c r="E345" s="75"/>
      <c r="F345" s="75"/>
      <c r="G345" s="161"/>
      <c r="H345" s="235"/>
      <c r="I345" s="341"/>
      <c r="J345" s="166">
        <v>101.01</v>
      </c>
      <c r="K345" s="75">
        <v>101.01</v>
      </c>
      <c r="L345" s="91" t="s">
        <v>844</v>
      </c>
      <c r="M345" s="73"/>
      <c r="N345" s="46">
        <v>0</v>
      </c>
      <c r="O345" s="46">
        <v>0</v>
      </c>
      <c r="P345" s="46">
        <v>0</v>
      </c>
      <c r="Q345" s="98"/>
      <c r="R345" s="23" t="s">
        <v>1484</v>
      </c>
      <c r="S345" s="24" t="s">
        <v>843</v>
      </c>
      <c r="T345" s="25" t="s">
        <v>606</v>
      </c>
      <c r="U345" s="26">
        <v>1</v>
      </c>
      <c r="V345" s="26">
        <f t="shared" si="69"/>
        <v>1</v>
      </c>
      <c r="W345" s="26">
        <f t="shared" si="74"/>
        <v>101.01</v>
      </c>
      <c r="X345" s="127">
        <f t="shared" si="70"/>
        <v>0</v>
      </c>
      <c r="Y345" s="127">
        <f t="shared" si="75"/>
        <v>0</v>
      </c>
      <c r="Z345" s="127">
        <f t="shared" si="71"/>
        <v>0</v>
      </c>
      <c r="AA345" s="127">
        <f t="shared" si="68"/>
        <v>0</v>
      </c>
      <c r="AB345" s="33" t="s">
        <v>15</v>
      </c>
      <c r="AC345" s="324"/>
      <c r="AD345" s="181">
        <f t="shared" si="73"/>
        <v>1</v>
      </c>
      <c r="AE345" s="181">
        <f t="shared" si="72"/>
        <v>101.01</v>
      </c>
      <c r="AF345" s="181">
        <v>1.7</v>
      </c>
      <c r="AG345" s="181">
        <v>1.7</v>
      </c>
      <c r="AH345" s="363" t="str">
        <f t="shared" si="67"/>
        <v/>
      </c>
      <c r="AI345" s="192">
        <v>0</v>
      </c>
      <c r="AJ345" s="188">
        <v>1</v>
      </c>
      <c r="AO345" s="367"/>
      <c r="AP345" s="367"/>
      <c r="AQ345" s="367"/>
    </row>
    <row r="346" spans="1:43" s="69" customFormat="1" ht="49.5" x14ac:dyDescent="0.3">
      <c r="A346" s="55" t="s">
        <v>845</v>
      </c>
      <c r="B346" s="138" t="s">
        <v>846</v>
      </c>
      <c r="C346" s="54" t="s">
        <v>606</v>
      </c>
      <c r="D346" s="75">
        <v>1</v>
      </c>
      <c r="E346" s="75"/>
      <c r="F346" s="75"/>
      <c r="G346" s="161"/>
      <c r="H346" s="235"/>
      <c r="I346" s="341">
        <v>1657</v>
      </c>
      <c r="J346" s="166">
        <v>76.290000000000006</v>
      </c>
      <c r="K346" s="75">
        <v>126412.53</v>
      </c>
      <c r="L346" s="91" t="s">
        <v>847</v>
      </c>
      <c r="M346" s="73"/>
      <c r="N346" s="46">
        <v>1400</v>
      </c>
      <c r="O346" s="46">
        <v>0</v>
      </c>
      <c r="P346" s="46">
        <v>106806</v>
      </c>
      <c r="Q346" s="98"/>
      <c r="R346" s="23" t="s">
        <v>1485</v>
      </c>
      <c r="S346" s="24" t="s">
        <v>846</v>
      </c>
      <c r="T346" s="25" t="s">
        <v>606</v>
      </c>
      <c r="U346" s="26">
        <v>1</v>
      </c>
      <c r="V346" s="26">
        <f t="shared" si="69"/>
        <v>1657</v>
      </c>
      <c r="W346" s="26">
        <f t="shared" si="74"/>
        <v>76.290000000000006</v>
      </c>
      <c r="X346" s="26">
        <f t="shared" si="70"/>
        <v>0</v>
      </c>
      <c r="Y346" s="26">
        <f t="shared" si="75"/>
        <v>1400</v>
      </c>
      <c r="Z346" s="26">
        <f t="shared" si="71"/>
        <v>0</v>
      </c>
      <c r="AA346" s="26">
        <f t="shared" si="68"/>
        <v>106806</v>
      </c>
      <c r="AB346" s="33" t="s">
        <v>15</v>
      </c>
      <c r="AC346" s="324"/>
      <c r="AD346" s="181">
        <f t="shared" si="73"/>
        <v>1657</v>
      </c>
      <c r="AE346" s="181">
        <f t="shared" si="72"/>
        <v>126412.53</v>
      </c>
      <c r="AF346" s="181">
        <v>1.7</v>
      </c>
      <c r="AG346" s="181">
        <v>1.7</v>
      </c>
      <c r="AH346" s="363" t="str">
        <f t="shared" si="67"/>
        <v/>
      </c>
      <c r="AI346" s="194">
        <v>1400</v>
      </c>
      <c r="AJ346" s="190">
        <v>1657</v>
      </c>
      <c r="AO346" s="367"/>
      <c r="AP346" s="367"/>
      <c r="AQ346" s="367"/>
    </row>
    <row r="347" spans="1:43" s="69" customFormat="1" ht="33" x14ac:dyDescent="0.3">
      <c r="A347" s="55" t="s">
        <v>848</v>
      </c>
      <c r="B347" s="138" t="s">
        <v>849</v>
      </c>
      <c r="C347" s="54" t="s">
        <v>606</v>
      </c>
      <c r="D347" s="75">
        <v>1</v>
      </c>
      <c r="E347" s="75"/>
      <c r="F347" s="75"/>
      <c r="G347" s="161"/>
      <c r="H347" s="235"/>
      <c r="I347" s="341">
        <v>759</v>
      </c>
      <c r="J347" s="166">
        <v>73.650000000000006</v>
      </c>
      <c r="K347" s="75">
        <v>55900.35</v>
      </c>
      <c r="L347" s="91" t="s">
        <v>850</v>
      </c>
      <c r="M347" s="73"/>
      <c r="N347" s="46">
        <v>320</v>
      </c>
      <c r="O347" s="46">
        <v>0</v>
      </c>
      <c r="P347" s="46">
        <v>23568</v>
      </c>
      <c r="Q347" s="98"/>
      <c r="R347" s="23" t="s">
        <v>1486</v>
      </c>
      <c r="S347" s="24" t="s">
        <v>849</v>
      </c>
      <c r="T347" s="25" t="s">
        <v>606</v>
      </c>
      <c r="U347" s="26">
        <v>1</v>
      </c>
      <c r="V347" s="26">
        <f t="shared" si="69"/>
        <v>759</v>
      </c>
      <c r="W347" s="26">
        <f t="shared" si="74"/>
        <v>73.650000000000006</v>
      </c>
      <c r="X347" s="26">
        <f t="shared" si="70"/>
        <v>0</v>
      </c>
      <c r="Y347" s="26">
        <f t="shared" si="75"/>
        <v>320</v>
      </c>
      <c r="Z347" s="26">
        <f t="shared" si="71"/>
        <v>0</v>
      </c>
      <c r="AA347" s="26">
        <f t="shared" si="68"/>
        <v>23568</v>
      </c>
      <c r="AB347" s="33" t="s">
        <v>15</v>
      </c>
      <c r="AC347" s="324"/>
      <c r="AD347" s="181">
        <f t="shared" si="73"/>
        <v>759</v>
      </c>
      <c r="AE347" s="181">
        <f t="shared" si="72"/>
        <v>55900.35</v>
      </c>
      <c r="AF347" s="181">
        <v>1.7</v>
      </c>
      <c r="AG347" s="181">
        <v>1.7</v>
      </c>
      <c r="AH347" s="363" t="str">
        <f t="shared" si="67"/>
        <v/>
      </c>
      <c r="AI347" s="194">
        <v>320</v>
      </c>
      <c r="AJ347" s="190">
        <v>759</v>
      </c>
      <c r="AO347" s="367"/>
      <c r="AP347" s="367"/>
      <c r="AQ347" s="367"/>
    </row>
    <row r="348" spans="1:43" s="69" customFormat="1" ht="58.5" x14ac:dyDescent="0.3">
      <c r="A348" s="130" t="s">
        <v>851</v>
      </c>
      <c r="B348" s="131" t="s">
        <v>852</v>
      </c>
      <c r="C348" s="132" t="s">
        <v>50</v>
      </c>
      <c r="D348" s="133">
        <v>1</v>
      </c>
      <c r="E348" s="75"/>
      <c r="F348" s="75"/>
      <c r="G348" s="161"/>
      <c r="H348" s="235"/>
      <c r="I348" s="345">
        <v>1489</v>
      </c>
      <c r="J348" s="166">
        <v>43.78</v>
      </c>
      <c r="K348" s="75">
        <v>65188.42</v>
      </c>
      <c r="L348" s="91" t="s">
        <v>853</v>
      </c>
      <c r="M348" s="73"/>
      <c r="N348" s="46">
        <v>1489</v>
      </c>
      <c r="O348" s="46">
        <v>0</v>
      </c>
      <c r="P348" s="46">
        <v>65188.42</v>
      </c>
      <c r="Q348" s="98"/>
      <c r="R348" s="23" t="s">
        <v>1487</v>
      </c>
      <c r="S348" s="24" t="s">
        <v>852</v>
      </c>
      <c r="T348" s="25" t="s">
        <v>50</v>
      </c>
      <c r="U348" s="26">
        <v>1</v>
      </c>
      <c r="V348" s="26">
        <f t="shared" si="69"/>
        <v>1489</v>
      </c>
      <c r="W348" s="26">
        <f t="shared" si="74"/>
        <v>43.78</v>
      </c>
      <c r="X348" s="127">
        <f t="shared" si="70"/>
        <v>0</v>
      </c>
      <c r="Y348" s="127">
        <f t="shared" si="75"/>
        <v>1489</v>
      </c>
      <c r="Z348" s="127">
        <f t="shared" si="71"/>
        <v>0</v>
      </c>
      <c r="AA348" s="127">
        <f t="shared" si="68"/>
        <v>65188.42</v>
      </c>
      <c r="AB348" s="33" t="s">
        <v>15</v>
      </c>
      <c r="AC348" s="324"/>
      <c r="AD348" s="181">
        <f t="shared" si="73"/>
        <v>1489</v>
      </c>
      <c r="AE348" s="181">
        <f t="shared" si="72"/>
        <v>65188.42</v>
      </c>
      <c r="AF348" s="181">
        <v>1.7</v>
      </c>
      <c r="AG348" s="181">
        <v>1.7</v>
      </c>
      <c r="AH348" s="363" t="str">
        <f t="shared" si="67"/>
        <v/>
      </c>
      <c r="AI348" s="194">
        <v>1489</v>
      </c>
      <c r="AJ348" s="190">
        <v>1489</v>
      </c>
      <c r="AO348" s="367"/>
      <c r="AP348" s="367"/>
      <c r="AQ348" s="367"/>
    </row>
    <row r="349" spans="1:43" s="69" customFormat="1" ht="39" x14ac:dyDescent="0.3">
      <c r="A349" s="55" t="s">
        <v>854</v>
      </c>
      <c r="B349" s="53" t="s">
        <v>855</v>
      </c>
      <c r="C349" s="54" t="s">
        <v>856</v>
      </c>
      <c r="D349" s="75">
        <v>1</v>
      </c>
      <c r="E349" s="75"/>
      <c r="F349" s="75"/>
      <c r="G349" s="161"/>
      <c r="H349" s="235"/>
      <c r="I349" s="341">
        <v>27100</v>
      </c>
      <c r="J349" s="166">
        <v>28.11</v>
      </c>
      <c r="K349" s="75">
        <v>761781</v>
      </c>
      <c r="L349" s="91" t="s">
        <v>857</v>
      </c>
      <c r="M349" s="73"/>
      <c r="N349" s="46">
        <v>16000</v>
      </c>
      <c r="O349" s="46">
        <v>0</v>
      </c>
      <c r="P349" s="46">
        <v>449760</v>
      </c>
      <c r="Q349" s="98"/>
      <c r="R349" s="23" t="s">
        <v>1488</v>
      </c>
      <c r="S349" s="24" t="s">
        <v>855</v>
      </c>
      <c r="T349" s="25" t="s">
        <v>856</v>
      </c>
      <c r="U349" s="26">
        <v>1</v>
      </c>
      <c r="V349" s="26">
        <f t="shared" si="69"/>
        <v>27100</v>
      </c>
      <c r="W349" s="26">
        <f t="shared" si="74"/>
        <v>28.11</v>
      </c>
      <c r="X349" s="26">
        <f t="shared" si="70"/>
        <v>0</v>
      </c>
      <c r="Y349" s="26">
        <f t="shared" si="75"/>
        <v>16000</v>
      </c>
      <c r="Z349" s="26">
        <f t="shared" si="71"/>
        <v>0</v>
      </c>
      <c r="AA349" s="26">
        <f t="shared" si="68"/>
        <v>449760</v>
      </c>
      <c r="AB349" s="33" t="s">
        <v>15</v>
      </c>
      <c r="AC349" s="324"/>
      <c r="AD349" s="181">
        <f t="shared" si="73"/>
        <v>27100</v>
      </c>
      <c r="AE349" s="181">
        <f t="shared" si="72"/>
        <v>761781</v>
      </c>
      <c r="AF349" s="181">
        <v>1.7</v>
      </c>
      <c r="AG349" s="181">
        <v>1.7</v>
      </c>
      <c r="AH349" s="363" t="str">
        <f t="shared" si="67"/>
        <v/>
      </c>
      <c r="AI349" s="194">
        <v>16000</v>
      </c>
      <c r="AJ349" s="190">
        <v>27100</v>
      </c>
      <c r="AO349" s="367"/>
      <c r="AP349" s="367"/>
      <c r="AQ349" s="367"/>
    </row>
    <row r="350" spans="1:43" s="69" customFormat="1" ht="24.75" x14ac:dyDescent="0.3">
      <c r="A350" s="55" t="s">
        <v>858</v>
      </c>
      <c r="B350" s="53" t="s">
        <v>859</v>
      </c>
      <c r="C350" s="54" t="s">
        <v>50</v>
      </c>
      <c r="D350" s="75">
        <v>1</v>
      </c>
      <c r="E350" s="75"/>
      <c r="F350" s="75"/>
      <c r="G350" s="224"/>
      <c r="H350" s="235"/>
      <c r="I350" s="341">
        <v>6966</v>
      </c>
      <c r="J350" s="166">
        <v>245.47</v>
      </c>
      <c r="K350" s="75">
        <v>1709944.02</v>
      </c>
      <c r="L350" s="91" t="s">
        <v>860</v>
      </c>
      <c r="M350" s="73"/>
      <c r="N350" s="46">
        <v>5050</v>
      </c>
      <c r="O350" s="46">
        <v>945059.5</v>
      </c>
      <c r="P350" s="46">
        <v>1239623.5</v>
      </c>
      <c r="Q350" s="98"/>
      <c r="R350" s="23" t="s">
        <v>1489</v>
      </c>
      <c r="S350" s="24" t="s">
        <v>859</v>
      </c>
      <c r="T350" s="25" t="s">
        <v>50</v>
      </c>
      <c r="U350" s="26">
        <v>1</v>
      </c>
      <c r="V350" s="26">
        <f t="shared" si="69"/>
        <v>6966</v>
      </c>
      <c r="W350" s="26">
        <f t="shared" si="74"/>
        <v>245.47</v>
      </c>
      <c r="X350" s="199">
        <f t="shared" si="70"/>
        <v>0</v>
      </c>
      <c r="Y350" s="26">
        <f t="shared" si="75"/>
        <v>5050</v>
      </c>
      <c r="Z350" s="26">
        <f t="shared" si="71"/>
        <v>0</v>
      </c>
      <c r="AA350" s="26">
        <f t="shared" si="68"/>
        <v>1239623.5</v>
      </c>
      <c r="AB350" s="33" t="s">
        <v>15</v>
      </c>
      <c r="AC350" s="324"/>
      <c r="AD350" s="181">
        <f t="shared" si="73"/>
        <v>6966</v>
      </c>
      <c r="AE350" s="181">
        <f t="shared" si="72"/>
        <v>1709944.02</v>
      </c>
      <c r="AF350" s="181">
        <v>1.7</v>
      </c>
      <c r="AG350" s="181">
        <v>1.7</v>
      </c>
      <c r="AH350" s="363" t="str">
        <f t="shared" si="67"/>
        <v/>
      </c>
      <c r="AI350" s="191">
        <f>1200+3850</f>
        <v>5050</v>
      </c>
      <c r="AJ350" s="190">
        <v>6966</v>
      </c>
      <c r="AN350" s="70"/>
      <c r="AO350" s="367"/>
      <c r="AP350" s="367"/>
      <c r="AQ350" s="367"/>
    </row>
    <row r="351" spans="1:43" x14ac:dyDescent="0.3">
      <c r="A351" s="67" t="s">
        <v>1336</v>
      </c>
      <c r="B351" s="64" t="s">
        <v>1337</v>
      </c>
      <c r="C351" s="61" t="s">
        <v>30</v>
      </c>
      <c r="D351" s="78"/>
      <c r="E351" s="78"/>
      <c r="F351" s="62">
        <v>73.48</v>
      </c>
      <c r="G351" s="163"/>
      <c r="H351" s="163"/>
      <c r="I351" s="62"/>
      <c r="J351" s="167">
        <v>839.94</v>
      </c>
      <c r="K351" s="62">
        <v>61718.79</v>
      </c>
      <c r="L351" s="93"/>
      <c r="N351" s="46">
        <v>0</v>
      </c>
      <c r="O351" s="46">
        <v>0</v>
      </c>
      <c r="P351" s="46">
        <v>0</v>
      </c>
      <c r="Q351" s="98"/>
      <c r="R351" s="23" t="s">
        <v>1398</v>
      </c>
      <c r="S351" s="24" t="s">
        <v>1337</v>
      </c>
      <c r="T351" s="25" t="s">
        <v>30</v>
      </c>
      <c r="U351" s="26">
        <v>0</v>
      </c>
      <c r="V351" s="26">
        <f t="shared" si="69"/>
        <v>73.48</v>
      </c>
      <c r="W351" s="26">
        <f t="shared" si="74"/>
        <v>839.94</v>
      </c>
      <c r="X351" s="26">
        <f t="shared" si="70"/>
        <v>0</v>
      </c>
      <c r="Y351" s="26">
        <f t="shared" si="75"/>
        <v>0</v>
      </c>
      <c r="Z351" s="26">
        <f t="shared" si="71"/>
        <v>0</v>
      </c>
      <c r="AA351" s="26">
        <f>ROUND(W351*Y351,2)</f>
        <v>0</v>
      </c>
      <c r="AB351" s="27"/>
      <c r="AC351" s="324"/>
      <c r="AD351" s="181">
        <f t="shared" si="73"/>
        <v>73.48</v>
      </c>
      <c r="AE351" s="181">
        <f t="shared" si="72"/>
        <v>61718.79</v>
      </c>
      <c r="AF351" s="181">
        <v>1.7</v>
      </c>
      <c r="AG351" s="181">
        <v>1.7</v>
      </c>
      <c r="AH351" s="363" t="str">
        <f t="shared" si="67"/>
        <v/>
      </c>
      <c r="AI351" s="192">
        <v>0</v>
      </c>
      <c r="AJ351" s="188">
        <v>73.48</v>
      </c>
      <c r="AN351" s="70"/>
      <c r="AO351" s="367"/>
      <c r="AP351" s="367"/>
      <c r="AQ351" s="367"/>
    </row>
    <row r="352" spans="1:43" ht="39" x14ac:dyDescent="0.3">
      <c r="A352" s="298" t="s">
        <v>1338</v>
      </c>
      <c r="B352" s="299" t="s">
        <v>1339</v>
      </c>
      <c r="C352" s="146" t="s">
        <v>1359</v>
      </c>
      <c r="D352" s="147"/>
      <c r="E352" s="147"/>
      <c r="F352" s="300">
        <v>17856</v>
      </c>
      <c r="G352" s="164"/>
      <c r="H352" s="164"/>
      <c r="I352" s="62"/>
      <c r="J352" s="168">
        <v>150</v>
      </c>
      <c r="K352" s="148">
        <v>2678400</v>
      </c>
      <c r="L352" s="149"/>
      <c r="N352" s="46">
        <v>11608</v>
      </c>
      <c r="O352" s="46">
        <v>0</v>
      </c>
      <c r="P352" s="46">
        <v>1741200</v>
      </c>
      <c r="Q352" s="98"/>
      <c r="R352" s="23" t="s">
        <v>1399</v>
      </c>
      <c r="S352" s="24" t="s">
        <v>1339</v>
      </c>
      <c r="T352" s="25" t="s">
        <v>1359</v>
      </c>
      <c r="U352" s="26">
        <v>0</v>
      </c>
      <c r="V352" s="26">
        <f t="shared" si="69"/>
        <v>17856</v>
      </c>
      <c r="W352" s="26">
        <f t="shared" si="74"/>
        <v>150</v>
      </c>
      <c r="X352" s="128">
        <f t="shared" si="70"/>
        <v>0</v>
      </c>
      <c r="Y352" s="26">
        <f t="shared" si="75"/>
        <v>11608</v>
      </c>
      <c r="Z352" s="26">
        <f t="shared" si="71"/>
        <v>0</v>
      </c>
      <c r="AA352" s="26">
        <f t="shared" si="68"/>
        <v>1741200</v>
      </c>
      <c r="AB352" s="27"/>
      <c r="AC352" s="324"/>
      <c r="AD352" s="181">
        <f t="shared" si="73"/>
        <v>17856</v>
      </c>
      <c r="AE352" s="181">
        <f t="shared" si="72"/>
        <v>2678400</v>
      </c>
      <c r="AF352" s="181">
        <v>1.7</v>
      </c>
      <c r="AG352" s="181">
        <v>1.7</v>
      </c>
      <c r="AH352" s="363" t="str">
        <f t="shared" si="67"/>
        <v/>
      </c>
      <c r="AI352" s="194">
        <f>10000+1608</f>
        <v>11608</v>
      </c>
      <c r="AJ352" s="188">
        <v>17856</v>
      </c>
      <c r="AN352" s="282"/>
      <c r="AO352" s="367"/>
      <c r="AP352" s="367"/>
      <c r="AQ352" s="367"/>
    </row>
    <row r="353" spans="1:43" s="282" customFormat="1" ht="66" x14ac:dyDescent="0.3">
      <c r="A353" s="207" t="s">
        <v>3227</v>
      </c>
      <c r="B353" s="241" t="s">
        <v>3236</v>
      </c>
      <c r="C353" s="204" t="s">
        <v>606</v>
      </c>
      <c r="D353" s="171"/>
      <c r="E353" s="288"/>
      <c r="F353" s="301"/>
      <c r="G353" s="275"/>
      <c r="H353" s="275"/>
      <c r="I353" s="346">
        <v>19</v>
      </c>
      <c r="J353" s="288">
        <v>40413.589999999997</v>
      </c>
      <c r="K353" s="275">
        <v>767858.21</v>
      </c>
      <c r="L353" s="277"/>
      <c r="M353" s="278"/>
      <c r="N353" s="42">
        <v>19</v>
      </c>
      <c r="O353" s="42">
        <v>0</v>
      </c>
      <c r="P353" s="42">
        <v>767858.21</v>
      </c>
      <c r="Q353" s="98"/>
      <c r="R353" s="13" t="s">
        <v>1490</v>
      </c>
      <c r="S353" s="286" t="str">
        <f t="shared" ref="S353:T361" si="76">B353</f>
        <v>水茄苳，450≦樹高&lt;500cm，220≦樹幅&lt;240cm，14≦米高直徑&lt;16cm</v>
      </c>
      <c r="T353" s="287" t="str">
        <f t="shared" si="76"/>
        <v>株</v>
      </c>
      <c r="U353" s="16"/>
      <c r="V353" s="16">
        <f t="shared" si="69"/>
        <v>19</v>
      </c>
      <c r="W353" s="16">
        <f t="shared" si="74"/>
        <v>40413.589999999997</v>
      </c>
      <c r="X353" s="127">
        <f t="shared" si="70"/>
        <v>0</v>
      </c>
      <c r="Y353" s="127">
        <f t="shared" si="75"/>
        <v>19</v>
      </c>
      <c r="Z353" s="127">
        <f t="shared" si="71"/>
        <v>0</v>
      </c>
      <c r="AA353" s="127">
        <f t="shared" si="68"/>
        <v>767858.21</v>
      </c>
      <c r="AB353" s="279"/>
      <c r="AC353" s="324"/>
      <c r="AD353" s="181">
        <f t="shared" si="73"/>
        <v>19</v>
      </c>
      <c r="AE353" s="181">
        <f t="shared" si="72"/>
        <v>767858.21</v>
      </c>
      <c r="AF353" s="181">
        <v>1.7</v>
      </c>
      <c r="AG353" s="181">
        <v>1.7</v>
      </c>
      <c r="AH353" s="364"/>
      <c r="AI353" s="285">
        <v>19</v>
      </c>
      <c r="AJ353" s="190">
        <v>19</v>
      </c>
      <c r="AO353" s="367"/>
      <c r="AP353" s="367"/>
      <c r="AQ353" s="367"/>
    </row>
    <row r="354" spans="1:43" s="282" customFormat="1" ht="66" x14ac:dyDescent="0.3">
      <c r="A354" s="272" t="s">
        <v>3228</v>
      </c>
      <c r="B354" s="349" t="s">
        <v>3237</v>
      </c>
      <c r="C354" s="274" t="s">
        <v>606</v>
      </c>
      <c r="D354" s="288"/>
      <c r="E354" s="288"/>
      <c r="F354" s="301"/>
      <c r="G354" s="275"/>
      <c r="H354" s="275"/>
      <c r="I354" s="333">
        <v>15</v>
      </c>
      <c r="J354" s="288">
        <v>24864.34</v>
      </c>
      <c r="K354" s="275">
        <v>372965.1</v>
      </c>
      <c r="L354" s="277"/>
      <c r="M354" s="278"/>
      <c r="N354" s="42">
        <v>0</v>
      </c>
      <c r="O354" s="42">
        <v>0</v>
      </c>
      <c r="P354" s="42">
        <v>0</v>
      </c>
      <c r="Q354" s="98"/>
      <c r="R354" s="13" t="s">
        <v>1491</v>
      </c>
      <c r="S354" s="286" t="str">
        <f t="shared" si="76"/>
        <v>台灣石楠，250≦樹高&lt;300cm，160≦樹幅&lt;180cm，8≦米高直徑&lt;10cm</v>
      </c>
      <c r="T354" s="287" t="str">
        <f t="shared" si="76"/>
        <v>株</v>
      </c>
      <c r="U354" s="16"/>
      <c r="V354" s="16">
        <f t="shared" si="69"/>
        <v>15</v>
      </c>
      <c r="W354" s="16">
        <f t="shared" si="74"/>
        <v>24864.34</v>
      </c>
      <c r="X354" s="243">
        <f t="shared" si="70"/>
        <v>15</v>
      </c>
      <c r="Y354" s="16">
        <f t="shared" si="75"/>
        <v>15</v>
      </c>
      <c r="Z354" s="16">
        <f t="shared" si="71"/>
        <v>372965.1</v>
      </c>
      <c r="AA354" s="16">
        <f t="shared" si="68"/>
        <v>372965.1</v>
      </c>
      <c r="AB354" s="279"/>
      <c r="AC354" s="324"/>
      <c r="AD354" s="181">
        <f t="shared" si="73"/>
        <v>15</v>
      </c>
      <c r="AE354" s="181">
        <f t="shared" si="72"/>
        <v>372965.1</v>
      </c>
      <c r="AF354" s="181">
        <v>1.7</v>
      </c>
      <c r="AG354" s="181">
        <v>1.7</v>
      </c>
      <c r="AH354" s="364"/>
      <c r="AI354" s="296">
        <v>15</v>
      </c>
      <c r="AJ354" s="190">
        <v>15</v>
      </c>
      <c r="AO354" s="367"/>
      <c r="AP354" s="367"/>
      <c r="AQ354" s="367"/>
    </row>
    <row r="355" spans="1:43" s="282" customFormat="1" ht="66" x14ac:dyDescent="0.3">
      <c r="A355" s="207" t="s">
        <v>3229</v>
      </c>
      <c r="B355" s="241" t="s">
        <v>3238</v>
      </c>
      <c r="C355" s="204" t="s">
        <v>606</v>
      </c>
      <c r="D355" s="171"/>
      <c r="E355" s="288"/>
      <c r="F355" s="301"/>
      <c r="G355" s="275"/>
      <c r="H355" s="275"/>
      <c r="I355" s="346">
        <v>18</v>
      </c>
      <c r="J355" s="288">
        <v>42644.21</v>
      </c>
      <c r="K355" s="275">
        <v>767595.78</v>
      </c>
      <c r="L355" s="277"/>
      <c r="M355" s="278"/>
      <c r="N355" s="42">
        <v>18</v>
      </c>
      <c r="O355" s="42">
        <v>0</v>
      </c>
      <c r="P355" s="42">
        <v>767595.78</v>
      </c>
      <c r="Q355" s="98"/>
      <c r="R355" s="13" t="s">
        <v>1492</v>
      </c>
      <c r="S355" s="286" t="str">
        <f t="shared" si="76"/>
        <v>九芎，450≦樹高&lt;500cm，220≦樹幅&lt;240cm，14≦米高直徑&lt;16cm</v>
      </c>
      <c r="T355" s="287" t="str">
        <f t="shared" si="76"/>
        <v>株</v>
      </c>
      <c r="U355" s="16"/>
      <c r="V355" s="16">
        <f t="shared" si="69"/>
        <v>18</v>
      </c>
      <c r="W355" s="16">
        <f t="shared" si="74"/>
        <v>42644.21</v>
      </c>
      <c r="X355" s="127">
        <f t="shared" si="70"/>
        <v>0</v>
      </c>
      <c r="Y355" s="127">
        <f t="shared" si="75"/>
        <v>18</v>
      </c>
      <c r="Z355" s="127">
        <f t="shared" si="71"/>
        <v>0</v>
      </c>
      <c r="AA355" s="127">
        <f t="shared" si="68"/>
        <v>767595.78</v>
      </c>
      <c r="AB355" s="279"/>
      <c r="AC355" s="324"/>
      <c r="AD355" s="181">
        <f t="shared" si="73"/>
        <v>18</v>
      </c>
      <c r="AE355" s="181">
        <f t="shared" si="72"/>
        <v>767595.78</v>
      </c>
      <c r="AF355" s="181">
        <v>1.7</v>
      </c>
      <c r="AG355" s="181">
        <v>1.7</v>
      </c>
      <c r="AH355" s="364"/>
      <c r="AI355" s="285">
        <v>18</v>
      </c>
      <c r="AJ355" s="190">
        <v>18</v>
      </c>
      <c r="AO355" s="367"/>
      <c r="AP355" s="367"/>
      <c r="AQ355" s="367"/>
    </row>
    <row r="356" spans="1:43" s="282" customFormat="1" ht="66" x14ac:dyDescent="0.3">
      <c r="A356" s="272" t="s">
        <v>3230</v>
      </c>
      <c r="B356" s="349" t="s">
        <v>3239</v>
      </c>
      <c r="C356" s="274" t="s">
        <v>606</v>
      </c>
      <c r="D356" s="288"/>
      <c r="E356" s="288"/>
      <c r="F356" s="301"/>
      <c r="G356" s="275"/>
      <c r="H356" s="275"/>
      <c r="I356" s="333">
        <v>13</v>
      </c>
      <c r="J356" s="288">
        <v>32692.34</v>
      </c>
      <c r="K356" s="275">
        <v>425000.42</v>
      </c>
      <c r="L356" s="277"/>
      <c r="M356" s="278"/>
      <c r="N356" s="42">
        <v>8</v>
      </c>
      <c r="O356" s="42">
        <v>0</v>
      </c>
      <c r="P356" s="42">
        <v>261538.72</v>
      </c>
      <c r="Q356" s="98"/>
      <c r="R356" s="13" t="s">
        <v>1493</v>
      </c>
      <c r="S356" s="286" t="str">
        <f t="shared" si="76"/>
        <v>水柳，450≦樹高&lt;500cm，220≦樹幅&lt;240cm，14≦米高直徑&lt;16cm</v>
      </c>
      <c r="T356" s="287" t="str">
        <f t="shared" si="76"/>
        <v>株</v>
      </c>
      <c r="U356" s="16"/>
      <c r="V356" s="16">
        <f t="shared" si="69"/>
        <v>13</v>
      </c>
      <c r="W356" s="16">
        <f t="shared" si="74"/>
        <v>32692.34</v>
      </c>
      <c r="X356" s="243">
        <f t="shared" si="70"/>
        <v>5</v>
      </c>
      <c r="Y356" s="16">
        <f t="shared" si="75"/>
        <v>13</v>
      </c>
      <c r="Z356" s="16">
        <f t="shared" si="71"/>
        <v>163461.69999999998</v>
      </c>
      <c r="AA356" s="16">
        <f t="shared" si="68"/>
        <v>425000.42</v>
      </c>
      <c r="AB356" s="279"/>
      <c r="AC356" s="324"/>
      <c r="AD356" s="181">
        <f t="shared" si="73"/>
        <v>13</v>
      </c>
      <c r="AE356" s="181">
        <f t="shared" si="72"/>
        <v>425000.42</v>
      </c>
      <c r="AF356" s="181">
        <v>1.7</v>
      </c>
      <c r="AG356" s="181">
        <v>1.7</v>
      </c>
      <c r="AH356" s="364"/>
      <c r="AI356" s="296">
        <v>13</v>
      </c>
      <c r="AJ356" s="190">
        <v>13</v>
      </c>
      <c r="AO356" s="367"/>
      <c r="AP356" s="367"/>
      <c r="AQ356" s="367"/>
    </row>
    <row r="357" spans="1:43" s="282" customFormat="1" ht="66" x14ac:dyDescent="0.3">
      <c r="A357" s="272" t="s">
        <v>3231</v>
      </c>
      <c r="B357" s="349" t="s">
        <v>3240</v>
      </c>
      <c r="C357" s="274" t="s">
        <v>606</v>
      </c>
      <c r="D357" s="288"/>
      <c r="E357" s="288"/>
      <c r="F357" s="301"/>
      <c r="G357" s="275"/>
      <c r="H357" s="275"/>
      <c r="I357" s="333">
        <v>4</v>
      </c>
      <c r="J357" s="288">
        <v>31867.73</v>
      </c>
      <c r="K357" s="275">
        <v>127470.92</v>
      </c>
      <c r="L357" s="277"/>
      <c r="M357" s="278"/>
      <c r="N357" s="42">
        <v>0</v>
      </c>
      <c r="O357" s="42">
        <v>0</v>
      </c>
      <c r="P357" s="42">
        <v>0</v>
      </c>
      <c r="Q357" s="98"/>
      <c r="R357" s="13" t="s">
        <v>1494</v>
      </c>
      <c r="S357" s="286" t="str">
        <f t="shared" si="76"/>
        <v>烏桕，400≦樹高&lt;450cm，200≦樹幅&lt;220cm，14≦米高直徑&lt;16cm</v>
      </c>
      <c r="T357" s="287" t="str">
        <f t="shared" si="76"/>
        <v>株</v>
      </c>
      <c r="U357" s="16"/>
      <c r="V357" s="16">
        <f t="shared" si="69"/>
        <v>4</v>
      </c>
      <c r="W357" s="16">
        <f t="shared" si="74"/>
        <v>31867.73</v>
      </c>
      <c r="X357" s="243">
        <f t="shared" si="70"/>
        <v>4</v>
      </c>
      <c r="Y357" s="16">
        <f t="shared" si="75"/>
        <v>4</v>
      </c>
      <c r="Z357" s="16">
        <f t="shared" si="71"/>
        <v>127470.92</v>
      </c>
      <c r="AA357" s="16">
        <f t="shared" si="68"/>
        <v>127470.92</v>
      </c>
      <c r="AB357" s="279"/>
      <c r="AC357" s="324"/>
      <c r="AD357" s="181">
        <f t="shared" si="73"/>
        <v>4</v>
      </c>
      <c r="AE357" s="181">
        <f t="shared" si="72"/>
        <v>127470.92</v>
      </c>
      <c r="AF357" s="181">
        <v>1.7</v>
      </c>
      <c r="AG357" s="181">
        <v>1.7</v>
      </c>
      <c r="AH357" s="364"/>
      <c r="AI357" s="296">
        <v>4</v>
      </c>
      <c r="AJ357" s="190">
        <v>4</v>
      </c>
      <c r="AO357" s="367"/>
      <c r="AP357" s="367"/>
      <c r="AQ357" s="367"/>
    </row>
    <row r="358" spans="1:43" s="282" customFormat="1" ht="66" x14ac:dyDescent="0.3">
      <c r="A358" s="272" t="s">
        <v>3232</v>
      </c>
      <c r="B358" s="349" t="s">
        <v>3241</v>
      </c>
      <c r="C358" s="274" t="s">
        <v>606</v>
      </c>
      <c r="D358" s="288"/>
      <c r="E358" s="288"/>
      <c r="F358" s="301"/>
      <c r="G358" s="275"/>
      <c r="H358" s="275"/>
      <c r="I358" s="333">
        <v>18</v>
      </c>
      <c r="J358" s="288">
        <v>10969.38</v>
      </c>
      <c r="K358" s="275">
        <v>197448.84</v>
      </c>
      <c r="L358" s="277"/>
      <c r="M358" s="278"/>
      <c r="N358" s="42">
        <v>0</v>
      </c>
      <c r="O358" s="42">
        <v>0</v>
      </c>
      <c r="P358" s="42">
        <v>0</v>
      </c>
      <c r="Q358" s="98"/>
      <c r="R358" s="13" t="s">
        <v>3167</v>
      </c>
      <c r="S358" s="286" t="str">
        <f t="shared" si="76"/>
        <v>樟樹，400≦樹高&lt;450cm，200≦樹幅&lt;220cm，10≦米高直徑&lt;12cm</v>
      </c>
      <c r="T358" s="287" t="str">
        <f t="shared" si="76"/>
        <v>株</v>
      </c>
      <c r="U358" s="16"/>
      <c r="V358" s="16">
        <f t="shared" si="69"/>
        <v>18</v>
      </c>
      <c r="W358" s="16">
        <f t="shared" si="74"/>
        <v>10969.38</v>
      </c>
      <c r="X358" s="16">
        <f t="shared" si="70"/>
        <v>0</v>
      </c>
      <c r="Y358" s="16">
        <f t="shared" si="75"/>
        <v>0</v>
      </c>
      <c r="Z358" s="16">
        <f t="shared" si="71"/>
        <v>0</v>
      </c>
      <c r="AA358" s="16">
        <f t="shared" si="68"/>
        <v>0</v>
      </c>
      <c r="AB358" s="279"/>
      <c r="AC358" s="324"/>
      <c r="AD358" s="181">
        <f t="shared" si="73"/>
        <v>18</v>
      </c>
      <c r="AE358" s="181">
        <f t="shared" si="72"/>
        <v>197448.84</v>
      </c>
      <c r="AF358" s="181">
        <v>1.7</v>
      </c>
      <c r="AG358" s="181">
        <v>1.7</v>
      </c>
      <c r="AH358" s="364"/>
      <c r="AI358" s="285">
        <v>0</v>
      </c>
      <c r="AJ358" s="190">
        <v>18</v>
      </c>
      <c r="AO358" s="367"/>
      <c r="AP358" s="367"/>
      <c r="AQ358" s="367"/>
    </row>
    <row r="359" spans="1:43" s="282" customFormat="1" ht="49.5" x14ac:dyDescent="0.3">
      <c r="A359" s="272" t="s">
        <v>3233</v>
      </c>
      <c r="B359" s="349" t="s">
        <v>3242</v>
      </c>
      <c r="C359" s="274" t="s">
        <v>606</v>
      </c>
      <c r="D359" s="288"/>
      <c r="E359" s="288"/>
      <c r="F359" s="301"/>
      <c r="G359" s="275"/>
      <c r="H359" s="275"/>
      <c r="I359" s="333">
        <v>2760</v>
      </c>
      <c r="J359" s="288">
        <v>132.66999999999999</v>
      </c>
      <c r="K359" s="275">
        <v>366169.2</v>
      </c>
      <c r="L359" s="277"/>
      <c r="M359" s="278"/>
      <c r="N359" s="42">
        <v>2200</v>
      </c>
      <c r="O359" s="42">
        <v>0</v>
      </c>
      <c r="P359" s="42">
        <v>291874</v>
      </c>
      <c r="Q359" s="98"/>
      <c r="R359" s="13" t="s">
        <v>3169</v>
      </c>
      <c r="S359" s="286" t="str">
        <f t="shared" si="76"/>
        <v>番茉莉，50≦高度&lt;60cm，25≦寬度&lt;30cm</v>
      </c>
      <c r="T359" s="287" t="str">
        <f t="shared" si="76"/>
        <v>株</v>
      </c>
      <c r="U359" s="16"/>
      <c r="V359" s="16">
        <f t="shared" si="69"/>
        <v>2760</v>
      </c>
      <c r="W359" s="16">
        <f t="shared" si="74"/>
        <v>132.66999999999999</v>
      </c>
      <c r="X359" s="16">
        <f t="shared" si="70"/>
        <v>0</v>
      </c>
      <c r="Y359" s="16">
        <f t="shared" si="75"/>
        <v>2200</v>
      </c>
      <c r="Z359" s="16">
        <f t="shared" si="71"/>
        <v>0</v>
      </c>
      <c r="AA359" s="16">
        <f t="shared" si="68"/>
        <v>291874</v>
      </c>
      <c r="AB359" s="279"/>
      <c r="AC359" s="324"/>
      <c r="AD359" s="181">
        <f t="shared" si="73"/>
        <v>2760</v>
      </c>
      <c r="AE359" s="181">
        <f t="shared" si="72"/>
        <v>366169.2</v>
      </c>
      <c r="AF359" s="181">
        <v>1.7</v>
      </c>
      <c r="AG359" s="181">
        <v>1.7</v>
      </c>
      <c r="AH359" s="364"/>
      <c r="AI359" s="285">
        <v>2200</v>
      </c>
      <c r="AJ359" s="190">
        <v>2760</v>
      </c>
      <c r="AO359" s="367"/>
      <c r="AP359" s="367"/>
      <c r="AQ359" s="367"/>
    </row>
    <row r="360" spans="1:43" s="282" customFormat="1" ht="58.5" x14ac:dyDescent="0.3">
      <c r="A360" s="272" t="s">
        <v>3234</v>
      </c>
      <c r="B360" s="276" t="s">
        <v>3243</v>
      </c>
      <c r="C360" s="274" t="s">
        <v>606</v>
      </c>
      <c r="D360" s="288"/>
      <c r="E360" s="288"/>
      <c r="F360" s="301"/>
      <c r="G360" s="275"/>
      <c r="H360" s="275"/>
      <c r="I360" s="333">
        <v>1323</v>
      </c>
      <c r="J360" s="288">
        <v>142.25</v>
      </c>
      <c r="K360" s="275">
        <v>188196.75</v>
      </c>
      <c r="L360" s="277"/>
      <c r="M360" s="278"/>
      <c r="N360" s="42">
        <v>0</v>
      </c>
      <c r="O360" s="42">
        <v>0</v>
      </c>
      <c r="P360" s="42">
        <v>0</v>
      </c>
      <c r="Q360" s="98"/>
      <c r="R360" s="13" t="s">
        <v>3171</v>
      </c>
      <c r="S360" s="286" t="str">
        <f t="shared" si="76"/>
        <v>紙莎草，30≦高度&lt;40cm，寬度&lt;10cm</v>
      </c>
      <c r="T360" s="287" t="str">
        <f t="shared" si="76"/>
        <v>株</v>
      </c>
      <c r="U360" s="16"/>
      <c r="V360" s="16">
        <f t="shared" si="69"/>
        <v>1323</v>
      </c>
      <c r="W360" s="16">
        <f t="shared" si="74"/>
        <v>142.25</v>
      </c>
      <c r="X360" s="16">
        <f t="shared" si="70"/>
        <v>0</v>
      </c>
      <c r="Y360" s="16">
        <f t="shared" si="75"/>
        <v>0</v>
      </c>
      <c r="Z360" s="16">
        <f t="shared" si="71"/>
        <v>0</v>
      </c>
      <c r="AA360" s="16">
        <f t="shared" si="68"/>
        <v>0</v>
      </c>
      <c r="AB360" s="279"/>
      <c r="AC360" s="324"/>
      <c r="AD360" s="181">
        <f t="shared" si="73"/>
        <v>1323</v>
      </c>
      <c r="AE360" s="181">
        <f t="shared" si="72"/>
        <v>188196.75</v>
      </c>
      <c r="AF360" s="181">
        <v>1.7</v>
      </c>
      <c r="AG360" s="181">
        <v>1.7</v>
      </c>
      <c r="AH360" s="364"/>
      <c r="AI360" s="285">
        <v>0</v>
      </c>
      <c r="AJ360" s="190">
        <v>1323</v>
      </c>
      <c r="AO360" s="367"/>
      <c r="AP360" s="367"/>
      <c r="AQ360" s="367"/>
    </row>
    <row r="361" spans="1:43" s="282" customFormat="1" ht="39" x14ac:dyDescent="0.3">
      <c r="A361" s="272" t="s">
        <v>3235</v>
      </c>
      <c r="B361" s="276" t="s">
        <v>3244</v>
      </c>
      <c r="C361" s="274" t="s">
        <v>606</v>
      </c>
      <c r="D361" s="288"/>
      <c r="E361" s="288"/>
      <c r="F361" s="301"/>
      <c r="G361" s="275"/>
      <c r="H361" s="275"/>
      <c r="I361" s="333">
        <v>446</v>
      </c>
      <c r="J361" s="288">
        <v>417</v>
      </c>
      <c r="K361" s="275">
        <v>185982</v>
      </c>
      <c r="L361" s="277"/>
      <c r="M361" s="278"/>
      <c r="N361" s="42">
        <v>340</v>
      </c>
      <c r="O361" s="42">
        <v>0</v>
      </c>
      <c r="P361" s="42">
        <v>141780</v>
      </c>
      <c r="Q361" s="98"/>
      <c r="R361" s="13" t="s">
        <v>3172</v>
      </c>
      <c r="S361" s="286" t="str">
        <f t="shared" si="76"/>
        <v>九重葛，120≦高度&lt;150cm</v>
      </c>
      <c r="T361" s="287" t="str">
        <f t="shared" si="76"/>
        <v>株</v>
      </c>
      <c r="U361" s="16"/>
      <c r="V361" s="16">
        <f t="shared" si="69"/>
        <v>446</v>
      </c>
      <c r="W361" s="16">
        <f t="shared" si="74"/>
        <v>417</v>
      </c>
      <c r="X361" s="16">
        <f t="shared" si="70"/>
        <v>0</v>
      </c>
      <c r="Y361" s="16">
        <f t="shared" si="75"/>
        <v>340</v>
      </c>
      <c r="Z361" s="16">
        <f t="shared" si="71"/>
        <v>0</v>
      </c>
      <c r="AA361" s="16">
        <f t="shared" si="68"/>
        <v>141780</v>
      </c>
      <c r="AB361" s="279"/>
      <c r="AC361" s="324"/>
      <c r="AD361" s="181">
        <f t="shared" si="73"/>
        <v>446</v>
      </c>
      <c r="AE361" s="181">
        <f t="shared" si="72"/>
        <v>185982</v>
      </c>
      <c r="AF361" s="181">
        <v>1.7</v>
      </c>
      <c r="AG361" s="181">
        <v>1.7</v>
      </c>
      <c r="AH361" s="364"/>
      <c r="AI361" s="285">
        <v>340</v>
      </c>
      <c r="AJ361" s="190">
        <v>446</v>
      </c>
      <c r="AN361" s="69"/>
      <c r="AO361" s="367"/>
      <c r="AP361" s="367"/>
      <c r="AQ361" s="367"/>
    </row>
    <row r="362" spans="1:43" s="69" customFormat="1" x14ac:dyDescent="0.3">
      <c r="A362" s="266" t="s">
        <v>861</v>
      </c>
      <c r="B362" s="267" t="s">
        <v>862</v>
      </c>
      <c r="C362" s="83" t="s">
        <v>14</v>
      </c>
      <c r="D362" s="84">
        <v>1</v>
      </c>
      <c r="E362" s="84"/>
      <c r="F362" s="84"/>
      <c r="G362" s="84"/>
      <c r="H362" s="84"/>
      <c r="I362" s="84"/>
      <c r="J362" s="84">
        <v>6915687.3899999997</v>
      </c>
      <c r="K362" s="84">
        <v>6915687.3899999997</v>
      </c>
      <c r="L362" s="268" t="s">
        <v>15</v>
      </c>
      <c r="M362" s="73"/>
      <c r="N362" s="45">
        <v>1</v>
      </c>
      <c r="O362" s="45">
        <v>907362.1</v>
      </c>
      <c r="P362" s="45">
        <v>4687447.26</v>
      </c>
      <c r="Q362" s="98"/>
      <c r="R362" s="18" t="s">
        <v>1400</v>
      </c>
      <c r="S362" s="19" t="s">
        <v>862</v>
      </c>
      <c r="T362" s="20" t="s">
        <v>14</v>
      </c>
      <c r="U362" s="21">
        <v>1</v>
      </c>
      <c r="V362" s="21"/>
      <c r="W362" s="21">
        <f t="shared" si="74"/>
        <v>6915687.3899999997</v>
      </c>
      <c r="X362" s="21">
        <f t="shared" ref="X362:Y362" si="77">IF(Z362=0,0,1)</f>
        <v>0</v>
      </c>
      <c r="Y362" s="21">
        <f t="shared" si="77"/>
        <v>1</v>
      </c>
      <c r="Z362" s="21">
        <f>SUMIFS(Z:Z,AG:AG,AF362)</f>
        <v>0</v>
      </c>
      <c r="AA362" s="21">
        <f>SUMIFS(AA:AA,AG:AG,AF362)</f>
        <v>4687447.26</v>
      </c>
      <c r="AB362" s="22" t="s">
        <v>15</v>
      </c>
      <c r="AC362" s="324"/>
      <c r="AD362" s="181">
        <f t="shared" si="73"/>
        <v>1</v>
      </c>
      <c r="AE362" s="184"/>
      <c r="AF362" s="184">
        <v>1.8</v>
      </c>
      <c r="AG362" s="184"/>
      <c r="AH362" s="363" t="str">
        <f t="shared" si="67"/>
        <v/>
      </c>
      <c r="AI362" s="192">
        <v>1</v>
      </c>
      <c r="AJ362" s="188">
        <v>1</v>
      </c>
      <c r="AO362" s="367"/>
      <c r="AP362" s="367"/>
      <c r="AQ362" s="367"/>
    </row>
    <row r="363" spans="1:43" s="69" customFormat="1" ht="49.5" customHeight="1" x14ac:dyDescent="0.3">
      <c r="A363" s="55" t="s">
        <v>863</v>
      </c>
      <c r="B363" s="53" t="s">
        <v>864</v>
      </c>
      <c r="C363" s="54" t="s">
        <v>14</v>
      </c>
      <c r="D363" s="75">
        <v>1</v>
      </c>
      <c r="E363" s="75"/>
      <c r="F363" s="75"/>
      <c r="G363" s="75"/>
      <c r="H363" s="75"/>
      <c r="I363" s="75"/>
      <c r="J363" s="75">
        <v>69458</v>
      </c>
      <c r="K363" s="75">
        <v>69458</v>
      </c>
      <c r="L363" s="91" t="s">
        <v>865</v>
      </c>
      <c r="M363" s="73"/>
      <c r="N363" s="46">
        <v>0</v>
      </c>
      <c r="O363" s="46">
        <v>0</v>
      </c>
      <c r="P363" s="46">
        <v>0</v>
      </c>
      <c r="Q363" s="98"/>
      <c r="R363" s="23" t="s">
        <v>1421</v>
      </c>
      <c r="S363" s="24" t="s">
        <v>864</v>
      </c>
      <c r="T363" s="25" t="s">
        <v>14</v>
      </c>
      <c r="U363" s="26">
        <v>1</v>
      </c>
      <c r="V363" s="26">
        <f t="shared" ref="V363:V406" si="78">IF(I363&gt;0,I363,IF(H363&gt;0,H363,IF(G363&gt;0,G363,IF(F363&gt;0,F363,IF(E363&gt;0,E363,D363)))))</f>
        <v>1</v>
      </c>
      <c r="W363" s="26">
        <f t="shared" si="74"/>
        <v>69458</v>
      </c>
      <c r="X363" s="26">
        <f t="shared" ref="X363:X406" si="79">AI363-N363</f>
        <v>0</v>
      </c>
      <c r="Y363" s="26">
        <f t="shared" si="75"/>
        <v>0</v>
      </c>
      <c r="Z363" s="26">
        <f t="shared" ref="Z363:Z406" si="80">AA363-P363</f>
        <v>0</v>
      </c>
      <c r="AA363" s="26">
        <f t="shared" si="68"/>
        <v>0</v>
      </c>
      <c r="AB363" s="33" t="s">
        <v>15</v>
      </c>
      <c r="AC363" s="324"/>
      <c r="AD363" s="181">
        <f t="shared" si="73"/>
        <v>1</v>
      </c>
      <c r="AE363" s="181">
        <f t="shared" si="72"/>
        <v>69458</v>
      </c>
      <c r="AF363" s="181">
        <v>1.8</v>
      </c>
      <c r="AG363" s="181">
        <v>1.8</v>
      </c>
      <c r="AH363" s="363" t="str">
        <f t="shared" si="67"/>
        <v/>
      </c>
      <c r="AI363" s="192">
        <v>0</v>
      </c>
      <c r="AJ363" s="188">
        <v>1</v>
      </c>
      <c r="AO363" s="367"/>
      <c r="AP363" s="367"/>
      <c r="AQ363" s="367"/>
    </row>
    <row r="364" spans="1:43" s="69" customFormat="1" ht="39" x14ac:dyDescent="0.3">
      <c r="A364" s="55" t="s">
        <v>866</v>
      </c>
      <c r="B364" s="53" t="s">
        <v>867</v>
      </c>
      <c r="C364" s="54" t="s">
        <v>14</v>
      </c>
      <c r="D364" s="75">
        <v>1</v>
      </c>
      <c r="E364" s="75"/>
      <c r="F364" s="75"/>
      <c r="G364" s="75"/>
      <c r="H364" s="75"/>
      <c r="I364" s="75"/>
      <c r="J364" s="75">
        <v>94852.479999999996</v>
      </c>
      <c r="K364" s="75">
        <v>94852.479999999996</v>
      </c>
      <c r="L364" s="91" t="s">
        <v>868</v>
      </c>
      <c r="M364" s="73"/>
      <c r="N364" s="46">
        <v>0</v>
      </c>
      <c r="O364" s="46">
        <v>0</v>
      </c>
      <c r="P364" s="46">
        <v>0</v>
      </c>
      <c r="Q364" s="98"/>
      <c r="R364" s="23" t="s">
        <v>1426</v>
      </c>
      <c r="S364" s="24" t="s">
        <v>867</v>
      </c>
      <c r="T364" s="25" t="s">
        <v>14</v>
      </c>
      <c r="U364" s="26">
        <v>1</v>
      </c>
      <c r="V364" s="26">
        <f t="shared" si="78"/>
        <v>1</v>
      </c>
      <c r="W364" s="26">
        <f t="shared" si="74"/>
        <v>94852.479999999996</v>
      </c>
      <c r="X364" s="26">
        <f t="shared" si="79"/>
        <v>0</v>
      </c>
      <c r="Y364" s="26">
        <f t="shared" si="75"/>
        <v>0</v>
      </c>
      <c r="Z364" s="26">
        <f t="shared" si="80"/>
        <v>0</v>
      </c>
      <c r="AA364" s="26">
        <f t="shared" si="68"/>
        <v>0</v>
      </c>
      <c r="AB364" s="33" t="s">
        <v>15</v>
      </c>
      <c r="AC364" s="324"/>
      <c r="AD364" s="181">
        <f t="shared" si="73"/>
        <v>1</v>
      </c>
      <c r="AE364" s="181">
        <f t="shared" si="72"/>
        <v>94852.479999999996</v>
      </c>
      <c r="AF364" s="181">
        <v>1.8</v>
      </c>
      <c r="AG364" s="181">
        <v>1.8</v>
      </c>
      <c r="AH364" s="363" t="str">
        <f t="shared" si="67"/>
        <v/>
      </c>
      <c r="AI364" s="192">
        <v>0</v>
      </c>
      <c r="AJ364" s="188">
        <v>1</v>
      </c>
      <c r="AO364" s="367"/>
      <c r="AP364" s="367"/>
      <c r="AQ364" s="367"/>
    </row>
    <row r="365" spans="1:43" s="69" customFormat="1" ht="58.5" x14ac:dyDescent="0.3">
      <c r="A365" s="130" t="s">
        <v>869</v>
      </c>
      <c r="B365" s="131" t="s">
        <v>870</v>
      </c>
      <c r="C365" s="132" t="s">
        <v>14</v>
      </c>
      <c r="D365" s="133">
        <v>1</v>
      </c>
      <c r="E365" s="75"/>
      <c r="F365" s="75"/>
      <c r="G365" s="75"/>
      <c r="H365" s="75"/>
      <c r="I365" s="75"/>
      <c r="J365" s="75">
        <v>251510</v>
      </c>
      <c r="K365" s="75">
        <v>251510</v>
      </c>
      <c r="L365" s="91" t="s">
        <v>871</v>
      </c>
      <c r="M365" s="73"/>
      <c r="N365" s="46">
        <v>1</v>
      </c>
      <c r="O365" s="46">
        <v>0</v>
      </c>
      <c r="P365" s="46">
        <v>251510</v>
      </c>
      <c r="Q365" s="98"/>
      <c r="R365" s="23" t="s">
        <v>1402</v>
      </c>
      <c r="S365" s="24" t="s">
        <v>870</v>
      </c>
      <c r="T365" s="25" t="s">
        <v>14</v>
      </c>
      <c r="U365" s="26">
        <v>1</v>
      </c>
      <c r="V365" s="26">
        <f t="shared" si="78"/>
        <v>1</v>
      </c>
      <c r="W365" s="26">
        <f t="shared" si="74"/>
        <v>251510</v>
      </c>
      <c r="X365" s="127">
        <f t="shared" si="79"/>
        <v>0</v>
      </c>
      <c r="Y365" s="127">
        <f t="shared" si="75"/>
        <v>1</v>
      </c>
      <c r="Z365" s="127">
        <f t="shared" si="80"/>
        <v>0</v>
      </c>
      <c r="AA365" s="127">
        <f t="shared" si="68"/>
        <v>251510</v>
      </c>
      <c r="AB365" s="33" t="s">
        <v>15</v>
      </c>
      <c r="AC365" s="324"/>
      <c r="AD365" s="181">
        <f t="shared" si="73"/>
        <v>1</v>
      </c>
      <c r="AE365" s="181">
        <f t="shared" si="72"/>
        <v>251510</v>
      </c>
      <c r="AF365" s="181">
        <v>1.8</v>
      </c>
      <c r="AG365" s="181">
        <v>1.8</v>
      </c>
      <c r="AH365" s="363" t="str">
        <f t="shared" si="67"/>
        <v/>
      </c>
      <c r="AI365" s="194">
        <v>1</v>
      </c>
      <c r="AJ365" s="188">
        <v>1</v>
      </c>
      <c r="AO365" s="367"/>
      <c r="AP365" s="367"/>
      <c r="AQ365" s="367"/>
    </row>
    <row r="366" spans="1:43" s="69" customFormat="1" ht="39" x14ac:dyDescent="0.3">
      <c r="A366" s="130" t="s">
        <v>872</v>
      </c>
      <c r="B366" s="131" t="s">
        <v>873</v>
      </c>
      <c r="C366" s="132" t="s">
        <v>14</v>
      </c>
      <c r="D366" s="133">
        <v>1</v>
      </c>
      <c r="E366" s="75"/>
      <c r="F366" s="75"/>
      <c r="G366" s="75"/>
      <c r="H366" s="75"/>
      <c r="I366" s="343">
        <v>0</v>
      </c>
      <c r="J366" s="75">
        <v>174688.22</v>
      </c>
      <c r="K366" s="75">
        <v>0</v>
      </c>
      <c r="L366" s="91" t="s">
        <v>874</v>
      </c>
      <c r="M366" s="73"/>
      <c r="N366" s="46">
        <v>0</v>
      </c>
      <c r="O366" s="46">
        <v>0</v>
      </c>
      <c r="P366" s="46">
        <v>0</v>
      </c>
      <c r="Q366" s="98"/>
      <c r="R366" s="23" t="s">
        <v>1373</v>
      </c>
      <c r="S366" s="24" t="s">
        <v>873</v>
      </c>
      <c r="T366" s="25" t="s">
        <v>14</v>
      </c>
      <c r="U366" s="26">
        <v>1</v>
      </c>
      <c r="V366" s="26">
        <v>0</v>
      </c>
      <c r="W366" s="26">
        <f t="shared" si="74"/>
        <v>174688.22</v>
      </c>
      <c r="X366" s="127">
        <f t="shared" si="79"/>
        <v>0</v>
      </c>
      <c r="Y366" s="127">
        <f t="shared" si="75"/>
        <v>0</v>
      </c>
      <c r="Z366" s="127">
        <f t="shared" si="80"/>
        <v>0</v>
      </c>
      <c r="AA366" s="127">
        <f t="shared" si="68"/>
        <v>0</v>
      </c>
      <c r="AB366" s="33" t="s">
        <v>15</v>
      </c>
      <c r="AC366" s="324"/>
      <c r="AD366" s="181">
        <v>0</v>
      </c>
      <c r="AE366" s="181">
        <f t="shared" si="72"/>
        <v>0</v>
      </c>
      <c r="AF366" s="181">
        <v>1.8</v>
      </c>
      <c r="AG366" s="181">
        <v>1.8</v>
      </c>
      <c r="AH366" s="363" t="str">
        <f t="shared" ref="AH366:AH469" si="81">IF(Y366&gt;AJ366,"超估","")</f>
        <v/>
      </c>
      <c r="AI366" s="192">
        <v>0</v>
      </c>
      <c r="AJ366" s="188">
        <v>0</v>
      </c>
      <c r="AO366" s="367"/>
      <c r="AP366" s="367"/>
      <c r="AQ366" s="367"/>
    </row>
    <row r="367" spans="1:43" s="69" customFormat="1" ht="39" x14ac:dyDescent="0.3">
      <c r="A367" s="55" t="s">
        <v>875</v>
      </c>
      <c r="B367" s="53" t="s">
        <v>876</v>
      </c>
      <c r="C367" s="54" t="s">
        <v>14</v>
      </c>
      <c r="D367" s="75">
        <v>1</v>
      </c>
      <c r="E367" s="75"/>
      <c r="F367" s="75"/>
      <c r="G367" s="75"/>
      <c r="H367" s="75"/>
      <c r="I367" s="75"/>
      <c r="J367" s="75">
        <v>21221.84</v>
      </c>
      <c r="K367" s="75">
        <v>21221.84</v>
      </c>
      <c r="L367" s="91" t="s">
        <v>877</v>
      </c>
      <c r="M367" s="73"/>
      <c r="N367" s="46">
        <v>0</v>
      </c>
      <c r="O367" s="46">
        <v>0</v>
      </c>
      <c r="P367" s="46">
        <v>0</v>
      </c>
      <c r="Q367" s="98"/>
      <c r="R367" s="23" t="s">
        <v>1393</v>
      </c>
      <c r="S367" s="24" t="s">
        <v>876</v>
      </c>
      <c r="T367" s="25" t="s">
        <v>14</v>
      </c>
      <c r="U367" s="26">
        <v>1</v>
      </c>
      <c r="V367" s="26">
        <f t="shared" si="78"/>
        <v>1</v>
      </c>
      <c r="W367" s="26">
        <f t="shared" si="74"/>
        <v>21221.84</v>
      </c>
      <c r="X367" s="26">
        <f t="shared" si="79"/>
        <v>0</v>
      </c>
      <c r="Y367" s="26">
        <f t="shared" si="75"/>
        <v>0</v>
      </c>
      <c r="Z367" s="26">
        <f t="shared" si="80"/>
        <v>0</v>
      </c>
      <c r="AA367" s="26">
        <f t="shared" ref="AA367:AA406" si="82">ROUND(W367*Y367,2)</f>
        <v>0</v>
      </c>
      <c r="AB367" s="33" t="s">
        <v>15</v>
      </c>
      <c r="AC367" s="324"/>
      <c r="AD367" s="181">
        <f t="shared" si="73"/>
        <v>1</v>
      </c>
      <c r="AE367" s="181">
        <f t="shared" si="72"/>
        <v>21221.84</v>
      </c>
      <c r="AF367" s="181">
        <v>1.8</v>
      </c>
      <c r="AG367" s="181">
        <v>1.8</v>
      </c>
      <c r="AH367" s="363" t="str">
        <f t="shared" si="81"/>
        <v/>
      </c>
      <c r="AI367" s="192">
        <v>0</v>
      </c>
      <c r="AJ367" s="188">
        <v>1</v>
      </c>
      <c r="AO367" s="367"/>
      <c r="AP367" s="367"/>
      <c r="AQ367" s="367"/>
    </row>
    <row r="368" spans="1:43" s="69" customFormat="1" ht="78" x14ac:dyDescent="0.3">
      <c r="A368" s="130" t="s">
        <v>878</v>
      </c>
      <c r="B368" s="131" t="s">
        <v>879</v>
      </c>
      <c r="C368" s="132" t="s">
        <v>3144</v>
      </c>
      <c r="D368" s="133">
        <v>12</v>
      </c>
      <c r="E368" s="75"/>
      <c r="F368" s="75"/>
      <c r="G368" s="75"/>
      <c r="H368" s="75"/>
      <c r="I368" s="75"/>
      <c r="J368" s="75">
        <v>42800</v>
      </c>
      <c r="K368" s="75">
        <v>513600</v>
      </c>
      <c r="L368" s="91" t="s">
        <v>880</v>
      </c>
      <c r="M368" s="73"/>
      <c r="N368" s="46">
        <v>12</v>
      </c>
      <c r="O368" s="46">
        <v>0</v>
      </c>
      <c r="P368" s="46">
        <v>513600</v>
      </c>
      <c r="Q368" s="98"/>
      <c r="R368" s="23" t="s">
        <v>1403</v>
      </c>
      <c r="S368" s="24" t="s">
        <v>879</v>
      </c>
      <c r="T368" s="25" t="s">
        <v>81</v>
      </c>
      <c r="U368" s="26">
        <v>12</v>
      </c>
      <c r="V368" s="26">
        <f t="shared" si="78"/>
        <v>12</v>
      </c>
      <c r="W368" s="26">
        <f t="shared" si="74"/>
        <v>42800</v>
      </c>
      <c r="X368" s="127">
        <f t="shared" si="79"/>
        <v>0</v>
      </c>
      <c r="Y368" s="127">
        <f t="shared" si="75"/>
        <v>12</v>
      </c>
      <c r="Z368" s="127">
        <f t="shared" si="80"/>
        <v>0</v>
      </c>
      <c r="AA368" s="127">
        <f t="shared" si="82"/>
        <v>513600</v>
      </c>
      <c r="AB368" s="33" t="s">
        <v>15</v>
      </c>
      <c r="AC368" s="324"/>
      <c r="AD368" s="181">
        <f t="shared" si="73"/>
        <v>12</v>
      </c>
      <c r="AE368" s="181">
        <f t="shared" si="72"/>
        <v>513600</v>
      </c>
      <c r="AF368" s="181">
        <v>1.8</v>
      </c>
      <c r="AG368" s="181">
        <v>1.8</v>
      </c>
      <c r="AH368" s="363" t="str">
        <f t="shared" si="81"/>
        <v/>
      </c>
      <c r="AI368" s="194">
        <f>4+8</f>
        <v>12</v>
      </c>
      <c r="AJ368" s="188">
        <v>12</v>
      </c>
      <c r="AO368" s="367"/>
      <c r="AP368" s="367"/>
      <c r="AQ368" s="367"/>
    </row>
    <row r="369" spans="1:43" s="69" customFormat="1" ht="97.5" x14ac:dyDescent="0.3">
      <c r="A369" s="130" t="s">
        <v>881</v>
      </c>
      <c r="B369" s="131" t="s">
        <v>882</v>
      </c>
      <c r="C369" s="132" t="s">
        <v>81</v>
      </c>
      <c r="D369" s="133">
        <v>7</v>
      </c>
      <c r="E369" s="75"/>
      <c r="F369" s="75"/>
      <c r="G369" s="75"/>
      <c r="H369" s="75"/>
      <c r="I369" s="75"/>
      <c r="J369" s="75">
        <v>60400</v>
      </c>
      <c r="K369" s="75">
        <v>422800</v>
      </c>
      <c r="L369" s="91" t="s">
        <v>883</v>
      </c>
      <c r="M369" s="73"/>
      <c r="N369" s="46">
        <v>7</v>
      </c>
      <c r="O369" s="46">
        <v>0</v>
      </c>
      <c r="P369" s="46">
        <v>422800</v>
      </c>
      <c r="Q369" s="98"/>
      <c r="R369" s="23" t="s">
        <v>1427</v>
      </c>
      <c r="S369" s="24" t="s">
        <v>882</v>
      </c>
      <c r="T369" s="25" t="s">
        <v>81</v>
      </c>
      <c r="U369" s="26">
        <v>7</v>
      </c>
      <c r="V369" s="26">
        <f t="shared" si="78"/>
        <v>7</v>
      </c>
      <c r="W369" s="26">
        <f t="shared" si="74"/>
        <v>60400</v>
      </c>
      <c r="X369" s="127">
        <f t="shared" si="79"/>
        <v>0</v>
      </c>
      <c r="Y369" s="127">
        <f t="shared" si="75"/>
        <v>7</v>
      </c>
      <c r="Z369" s="127">
        <f t="shared" si="80"/>
        <v>0</v>
      </c>
      <c r="AA369" s="127">
        <f t="shared" si="82"/>
        <v>422800</v>
      </c>
      <c r="AB369" s="33" t="s">
        <v>15</v>
      </c>
      <c r="AC369" s="324"/>
      <c r="AD369" s="181">
        <f t="shared" si="73"/>
        <v>7</v>
      </c>
      <c r="AE369" s="181">
        <f t="shared" si="72"/>
        <v>422800</v>
      </c>
      <c r="AF369" s="181">
        <v>1.8</v>
      </c>
      <c r="AG369" s="181">
        <v>1.8</v>
      </c>
      <c r="AH369" s="363" t="str">
        <f t="shared" si="81"/>
        <v/>
      </c>
      <c r="AI369" s="194">
        <f>5+1+1</f>
        <v>7</v>
      </c>
      <c r="AJ369" s="188">
        <v>7</v>
      </c>
      <c r="AO369" s="367"/>
      <c r="AP369" s="367"/>
      <c r="AQ369" s="367"/>
    </row>
    <row r="370" spans="1:43" s="69" customFormat="1" ht="97.5" x14ac:dyDescent="0.3">
      <c r="A370" s="55" t="s">
        <v>884</v>
      </c>
      <c r="B370" s="53" t="s">
        <v>885</v>
      </c>
      <c r="C370" s="54" t="s">
        <v>81</v>
      </c>
      <c r="D370" s="75">
        <v>13</v>
      </c>
      <c r="E370" s="75"/>
      <c r="F370" s="75"/>
      <c r="G370" s="75"/>
      <c r="H370" s="75"/>
      <c r="I370" s="75"/>
      <c r="J370" s="75">
        <v>35000</v>
      </c>
      <c r="K370" s="75">
        <v>455000</v>
      </c>
      <c r="L370" s="91" t="s">
        <v>886</v>
      </c>
      <c r="M370" s="73"/>
      <c r="N370" s="46">
        <v>11</v>
      </c>
      <c r="O370" s="46">
        <v>210000</v>
      </c>
      <c r="P370" s="46">
        <v>385000</v>
      </c>
      <c r="Q370" s="98"/>
      <c r="R370" s="23" t="s">
        <v>1428</v>
      </c>
      <c r="S370" s="24" t="s">
        <v>885</v>
      </c>
      <c r="T370" s="25" t="s">
        <v>81</v>
      </c>
      <c r="U370" s="26">
        <v>13</v>
      </c>
      <c r="V370" s="26">
        <f t="shared" si="78"/>
        <v>13</v>
      </c>
      <c r="W370" s="26">
        <f t="shared" si="74"/>
        <v>35000</v>
      </c>
      <c r="X370" s="243">
        <f t="shared" si="79"/>
        <v>0</v>
      </c>
      <c r="Y370" s="26">
        <f t="shared" si="75"/>
        <v>11</v>
      </c>
      <c r="Z370" s="26">
        <f t="shared" si="80"/>
        <v>0</v>
      </c>
      <c r="AA370" s="26">
        <f t="shared" si="82"/>
        <v>385000</v>
      </c>
      <c r="AB370" s="33" t="s">
        <v>15</v>
      </c>
      <c r="AC370" s="324"/>
      <c r="AD370" s="181">
        <f t="shared" si="73"/>
        <v>13</v>
      </c>
      <c r="AE370" s="181">
        <f t="shared" si="72"/>
        <v>455000</v>
      </c>
      <c r="AF370" s="181">
        <v>1.8</v>
      </c>
      <c r="AG370" s="181">
        <v>1.8</v>
      </c>
      <c r="AH370" s="363" t="str">
        <f t="shared" si="81"/>
        <v/>
      </c>
      <c r="AI370" s="191">
        <f>5+6</f>
        <v>11</v>
      </c>
      <c r="AJ370" s="188">
        <v>13</v>
      </c>
      <c r="AO370" s="367"/>
      <c r="AP370" s="367"/>
      <c r="AQ370" s="367"/>
    </row>
    <row r="371" spans="1:43" s="69" customFormat="1" ht="78" x14ac:dyDescent="0.3">
      <c r="A371" s="55" t="s">
        <v>887</v>
      </c>
      <c r="B371" s="53" t="s">
        <v>888</v>
      </c>
      <c r="C371" s="54" t="s">
        <v>81</v>
      </c>
      <c r="D371" s="75">
        <v>13</v>
      </c>
      <c r="E371" s="75"/>
      <c r="F371" s="75"/>
      <c r="G371" s="75"/>
      <c r="H371" s="75"/>
      <c r="I371" s="75"/>
      <c r="J371" s="75">
        <v>10000</v>
      </c>
      <c r="K371" s="75">
        <v>130000</v>
      </c>
      <c r="L371" s="91" t="s">
        <v>889</v>
      </c>
      <c r="M371" s="73"/>
      <c r="N371" s="46">
        <v>11</v>
      </c>
      <c r="O371" s="46">
        <v>110000</v>
      </c>
      <c r="P371" s="46">
        <v>110000</v>
      </c>
      <c r="Q371" s="98"/>
      <c r="R371" s="23" t="s">
        <v>1387</v>
      </c>
      <c r="S371" s="24" t="s">
        <v>888</v>
      </c>
      <c r="T371" s="25" t="s">
        <v>81</v>
      </c>
      <c r="U371" s="26">
        <v>13</v>
      </c>
      <c r="V371" s="26">
        <f t="shared" si="78"/>
        <v>13</v>
      </c>
      <c r="W371" s="26">
        <f t="shared" si="74"/>
        <v>10000</v>
      </c>
      <c r="X371" s="199">
        <f t="shared" si="79"/>
        <v>0</v>
      </c>
      <c r="Y371" s="26">
        <f t="shared" si="75"/>
        <v>11</v>
      </c>
      <c r="Z371" s="26">
        <f t="shared" si="80"/>
        <v>0</v>
      </c>
      <c r="AA371" s="26">
        <f t="shared" si="82"/>
        <v>110000</v>
      </c>
      <c r="AB371" s="33" t="s">
        <v>15</v>
      </c>
      <c r="AC371" s="324"/>
      <c r="AD371" s="181">
        <f t="shared" si="73"/>
        <v>13</v>
      </c>
      <c r="AE371" s="181">
        <f t="shared" si="72"/>
        <v>130000</v>
      </c>
      <c r="AF371" s="181">
        <v>1.8</v>
      </c>
      <c r="AG371" s="181">
        <v>1.8</v>
      </c>
      <c r="AH371" s="363" t="str">
        <f t="shared" si="81"/>
        <v/>
      </c>
      <c r="AI371" s="191">
        <f>11</f>
        <v>11</v>
      </c>
      <c r="AJ371" s="188">
        <v>13</v>
      </c>
      <c r="AO371" s="367"/>
      <c r="AP371" s="367"/>
      <c r="AQ371" s="367"/>
    </row>
    <row r="372" spans="1:43" s="69" customFormat="1" ht="39" x14ac:dyDescent="0.3">
      <c r="A372" s="55" t="s">
        <v>890</v>
      </c>
      <c r="B372" s="53" t="s">
        <v>891</v>
      </c>
      <c r="C372" s="54" t="s">
        <v>325</v>
      </c>
      <c r="D372" s="75">
        <v>2</v>
      </c>
      <c r="E372" s="75"/>
      <c r="F372" s="75"/>
      <c r="G372" s="75"/>
      <c r="H372" s="75"/>
      <c r="I372" s="75"/>
      <c r="J372" s="75">
        <v>1500</v>
      </c>
      <c r="K372" s="75">
        <v>3000</v>
      </c>
      <c r="L372" s="91" t="s">
        <v>892</v>
      </c>
      <c r="M372" s="73"/>
      <c r="N372" s="46">
        <v>0</v>
      </c>
      <c r="O372" s="46">
        <v>0</v>
      </c>
      <c r="P372" s="46">
        <v>0</v>
      </c>
      <c r="Q372" s="98"/>
      <c r="R372" s="23" t="s">
        <v>1405</v>
      </c>
      <c r="S372" s="24" t="s">
        <v>891</v>
      </c>
      <c r="T372" s="25" t="s">
        <v>325</v>
      </c>
      <c r="U372" s="26">
        <v>2</v>
      </c>
      <c r="V372" s="26">
        <f t="shared" si="78"/>
        <v>2</v>
      </c>
      <c r="W372" s="26">
        <f t="shared" si="74"/>
        <v>1500</v>
      </c>
      <c r="X372" s="26">
        <f t="shared" si="79"/>
        <v>0</v>
      </c>
      <c r="Y372" s="26">
        <f t="shared" si="75"/>
        <v>0</v>
      </c>
      <c r="Z372" s="26">
        <f t="shared" si="80"/>
        <v>0</v>
      </c>
      <c r="AA372" s="26">
        <f t="shared" si="82"/>
        <v>0</v>
      </c>
      <c r="AB372" s="33" t="s">
        <v>15</v>
      </c>
      <c r="AC372" s="324"/>
      <c r="AD372" s="181">
        <f t="shared" si="73"/>
        <v>2</v>
      </c>
      <c r="AE372" s="181">
        <f t="shared" si="72"/>
        <v>3000</v>
      </c>
      <c r="AF372" s="181">
        <v>1.8</v>
      </c>
      <c r="AG372" s="181">
        <v>1.8</v>
      </c>
      <c r="AH372" s="363" t="str">
        <f t="shared" si="81"/>
        <v/>
      </c>
      <c r="AI372" s="192">
        <v>0</v>
      </c>
      <c r="AJ372" s="188">
        <v>2</v>
      </c>
      <c r="AO372" s="367"/>
      <c r="AP372" s="367"/>
      <c r="AQ372" s="367"/>
    </row>
    <row r="373" spans="1:43" s="69" customFormat="1" ht="39" x14ac:dyDescent="0.3">
      <c r="A373" s="55" t="s">
        <v>893</v>
      </c>
      <c r="B373" s="53" t="s">
        <v>894</v>
      </c>
      <c r="C373" s="54" t="s">
        <v>325</v>
      </c>
      <c r="D373" s="75">
        <v>2</v>
      </c>
      <c r="E373" s="75"/>
      <c r="F373" s="75"/>
      <c r="G373" s="75"/>
      <c r="H373" s="75"/>
      <c r="I373" s="75"/>
      <c r="J373" s="75">
        <v>4000</v>
      </c>
      <c r="K373" s="75">
        <v>8000</v>
      </c>
      <c r="L373" s="91" t="s">
        <v>895</v>
      </c>
      <c r="M373" s="73"/>
      <c r="N373" s="46">
        <v>0</v>
      </c>
      <c r="O373" s="46">
        <v>0</v>
      </c>
      <c r="P373" s="46">
        <v>0</v>
      </c>
      <c r="Q373" s="98"/>
      <c r="R373" s="23" t="s">
        <v>1406</v>
      </c>
      <c r="S373" s="24" t="s">
        <v>894</v>
      </c>
      <c r="T373" s="25" t="s">
        <v>325</v>
      </c>
      <c r="U373" s="26">
        <v>2</v>
      </c>
      <c r="V373" s="26">
        <f t="shared" si="78"/>
        <v>2</v>
      </c>
      <c r="W373" s="26">
        <f t="shared" si="74"/>
        <v>4000</v>
      </c>
      <c r="X373" s="26">
        <f t="shared" si="79"/>
        <v>0</v>
      </c>
      <c r="Y373" s="26">
        <f t="shared" si="75"/>
        <v>0</v>
      </c>
      <c r="Z373" s="26">
        <f t="shared" si="80"/>
        <v>0</v>
      </c>
      <c r="AA373" s="26">
        <f t="shared" si="82"/>
        <v>0</v>
      </c>
      <c r="AB373" s="33" t="s">
        <v>15</v>
      </c>
      <c r="AC373" s="324"/>
      <c r="AD373" s="181">
        <f t="shared" si="73"/>
        <v>2</v>
      </c>
      <c r="AE373" s="181">
        <f t="shared" si="72"/>
        <v>8000</v>
      </c>
      <c r="AF373" s="181">
        <v>1.8</v>
      </c>
      <c r="AG373" s="181">
        <v>1.8</v>
      </c>
      <c r="AH373" s="363" t="str">
        <f t="shared" si="81"/>
        <v/>
      </c>
      <c r="AI373" s="192">
        <v>0</v>
      </c>
      <c r="AJ373" s="188">
        <v>2</v>
      </c>
      <c r="AO373" s="367"/>
      <c r="AP373" s="367"/>
      <c r="AQ373" s="367"/>
    </row>
    <row r="374" spans="1:43" s="69" customFormat="1" x14ac:dyDescent="0.3">
      <c r="A374" s="258" t="s">
        <v>896</v>
      </c>
      <c r="B374" s="215" t="s">
        <v>897</v>
      </c>
      <c r="C374" s="259" t="s">
        <v>30</v>
      </c>
      <c r="D374" s="260">
        <v>216.55</v>
      </c>
      <c r="E374" s="75"/>
      <c r="F374" s="75"/>
      <c r="G374" s="75"/>
      <c r="H374" s="75"/>
      <c r="I374" s="75"/>
      <c r="J374" s="75">
        <v>800</v>
      </c>
      <c r="K374" s="75">
        <v>173240</v>
      </c>
      <c r="L374" s="91" t="s">
        <v>898</v>
      </c>
      <c r="M374" s="73"/>
      <c r="N374" s="46">
        <v>115</v>
      </c>
      <c r="O374" s="46">
        <v>0</v>
      </c>
      <c r="P374" s="46">
        <v>92000</v>
      </c>
      <c r="Q374" s="98"/>
      <c r="R374" s="23" t="s">
        <v>1414</v>
      </c>
      <c r="S374" s="24" t="s">
        <v>897</v>
      </c>
      <c r="T374" s="25" t="s">
        <v>30</v>
      </c>
      <c r="U374" s="26">
        <v>216.55</v>
      </c>
      <c r="V374" s="26">
        <f t="shared" si="78"/>
        <v>216.55</v>
      </c>
      <c r="W374" s="26">
        <f t="shared" si="74"/>
        <v>800</v>
      </c>
      <c r="X374" s="128">
        <f t="shared" si="79"/>
        <v>0</v>
      </c>
      <c r="Y374" s="26">
        <f t="shared" si="75"/>
        <v>115</v>
      </c>
      <c r="Z374" s="26">
        <f t="shared" si="80"/>
        <v>0</v>
      </c>
      <c r="AA374" s="26">
        <f t="shared" si="82"/>
        <v>92000</v>
      </c>
      <c r="AB374" s="33" t="s">
        <v>15</v>
      </c>
      <c r="AC374" s="324"/>
      <c r="AD374" s="181">
        <f t="shared" si="73"/>
        <v>216.55</v>
      </c>
      <c r="AE374" s="181">
        <f t="shared" si="72"/>
        <v>173240</v>
      </c>
      <c r="AF374" s="181">
        <v>1.8</v>
      </c>
      <c r="AG374" s="181">
        <v>1.8</v>
      </c>
      <c r="AH374" s="363" t="str">
        <f t="shared" si="81"/>
        <v/>
      </c>
      <c r="AI374" s="194">
        <f>115</f>
        <v>115</v>
      </c>
      <c r="AJ374" s="188">
        <v>216.55</v>
      </c>
      <c r="AO374" s="367"/>
      <c r="AP374" s="367"/>
      <c r="AQ374" s="367"/>
    </row>
    <row r="375" spans="1:43" s="69" customFormat="1" ht="39" x14ac:dyDescent="0.3">
      <c r="A375" s="130" t="s">
        <v>899</v>
      </c>
      <c r="B375" s="131" t="s">
        <v>900</v>
      </c>
      <c r="C375" s="132" t="s">
        <v>325</v>
      </c>
      <c r="D375" s="133">
        <v>5</v>
      </c>
      <c r="E375" s="75"/>
      <c r="F375" s="75"/>
      <c r="G375" s="75"/>
      <c r="H375" s="75"/>
      <c r="I375" s="75"/>
      <c r="J375" s="75">
        <v>11300</v>
      </c>
      <c r="K375" s="75">
        <v>56500</v>
      </c>
      <c r="L375" s="91" t="s">
        <v>901</v>
      </c>
      <c r="M375" s="73"/>
      <c r="N375" s="46">
        <v>5</v>
      </c>
      <c r="O375" s="46">
        <v>0</v>
      </c>
      <c r="P375" s="46">
        <v>56500</v>
      </c>
      <c r="Q375" s="98"/>
      <c r="R375" s="23" t="s">
        <v>1429</v>
      </c>
      <c r="S375" s="24" t="s">
        <v>900</v>
      </c>
      <c r="T375" s="25" t="s">
        <v>325</v>
      </c>
      <c r="U375" s="26">
        <v>5</v>
      </c>
      <c r="V375" s="26">
        <f t="shared" si="78"/>
        <v>5</v>
      </c>
      <c r="W375" s="26">
        <f t="shared" si="74"/>
        <v>11300</v>
      </c>
      <c r="X375" s="26">
        <f t="shared" si="79"/>
        <v>0</v>
      </c>
      <c r="Y375" s="127">
        <f t="shared" si="75"/>
        <v>5</v>
      </c>
      <c r="Z375" s="127">
        <f t="shared" si="80"/>
        <v>0</v>
      </c>
      <c r="AA375" s="127">
        <f t="shared" si="82"/>
        <v>56500</v>
      </c>
      <c r="AB375" s="33" t="s">
        <v>15</v>
      </c>
      <c r="AC375" s="324"/>
      <c r="AD375" s="181">
        <f t="shared" si="73"/>
        <v>5</v>
      </c>
      <c r="AE375" s="181">
        <f t="shared" si="72"/>
        <v>56500</v>
      </c>
      <c r="AF375" s="181">
        <v>1.8</v>
      </c>
      <c r="AG375" s="181">
        <v>1.8</v>
      </c>
      <c r="AH375" s="363" t="str">
        <f t="shared" si="81"/>
        <v/>
      </c>
      <c r="AI375" s="192">
        <v>5</v>
      </c>
      <c r="AJ375" s="188">
        <v>5</v>
      </c>
      <c r="AO375" s="367"/>
      <c r="AP375" s="367"/>
      <c r="AQ375" s="367"/>
    </row>
    <row r="376" spans="1:43" s="69" customFormat="1" x14ac:dyDescent="0.3">
      <c r="A376" s="55" t="s">
        <v>902</v>
      </c>
      <c r="B376" s="53" t="s">
        <v>903</v>
      </c>
      <c r="C376" s="54" t="s">
        <v>325</v>
      </c>
      <c r="D376" s="75">
        <v>8</v>
      </c>
      <c r="E376" s="75"/>
      <c r="F376" s="75"/>
      <c r="G376" s="75"/>
      <c r="H376" s="75"/>
      <c r="I376" s="75"/>
      <c r="J376" s="75">
        <v>13500</v>
      </c>
      <c r="K376" s="75">
        <v>108000</v>
      </c>
      <c r="L376" s="91" t="s">
        <v>904</v>
      </c>
      <c r="M376" s="73"/>
      <c r="N376" s="46">
        <v>0</v>
      </c>
      <c r="O376" s="46">
        <v>0</v>
      </c>
      <c r="P376" s="46">
        <v>0</v>
      </c>
      <c r="Q376" s="98"/>
      <c r="R376" s="23" t="s">
        <v>1430</v>
      </c>
      <c r="S376" s="24" t="s">
        <v>903</v>
      </c>
      <c r="T376" s="25" t="s">
        <v>325</v>
      </c>
      <c r="U376" s="26">
        <v>8</v>
      </c>
      <c r="V376" s="26">
        <f t="shared" si="78"/>
        <v>8</v>
      </c>
      <c r="W376" s="26">
        <f t="shared" si="74"/>
        <v>13500</v>
      </c>
      <c r="X376" s="26">
        <f t="shared" si="79"/>
        <v>0</v>
      </c>
      <c r="Y376" s="26">
        <f t="shared" si="75"/>
        <v>0</v>
      </c>
      <c r="Z376" s="26">
        <f t="shared" si="80"/>
        <v>0</v>
      </c>
      <c r="AA376" s="26">
        <f t="shared" si="82"/>
        <v>0</v>
      </c>
      <c r="AB376" s="33" t="s">
        <v>15</v>
      </c>
      <c r="AC376" s="324"/>
      <c r="AD376" s="181">
        <f t="shared" si="73"/>
        <v>8</v>
      </c>
      <c r="AE376" s="181">
        <f t="shared" si="72"/>
        <v>108000</v>
      </c>
      <c r="AF376" s="181">
        <v>1.8</v>
      </c>
      <c r="AG376" s="181">
        <v>1.8</v>
      </c>
      <c r="AH376" s="363" t="str">
        <f t="shared" si="81"/>
        <v/>
      </c>
      <c r="AI376" s="192">
        <v>0</v>
      </c>
      <c r="AJ376" s="188">
        <v>8</v>
      </c>
      <c r="AO376" s="367"/>
      <c r="AP376" s="367"/>
      <c r="AQ376" s="367"/>
    </row>
    <row r="377" spans="1:43" s="69" customFormat="1" ht="24.75" x14ac:dyDescent="0.3">
      <c r="A377" s="55" t="s">
        <v>905</v>
      </c>
      <c r="B377" s="53" t="s">
        <v>906</v>
      </c>
      <c r="C377" s="54" t="s">
        <v>73</v>
      </c>
      <c r="D377" s="75">
        <v>1</v>
      </c>
      <c r="E377" s="75"/>
      <c r="F377" s="75"/>
      <c r="G377" s="75"/>
      <c r="H377" s="75"/>
      <c r="I377" s="75"/>
      <c r="J377" s="75">
        <v>112963.49</v>
      </c>
      <c r="K377" s="75">
        <v>112963.49</v>
      </c>
      <c r="L377" s="91" t="s">
        <v>907</v>
      </c>
      <c r="M377" s="73"/>
      <c r="N377" s="46">
        <v>0</v>
      </c>
      <c r="O377" s="46">
        <v>0</v>
      </c>
      <c r="P377" s="46">
        <v>0</v>
      </c>
      <c r="Q377" s="98"/>
      <c r="R377" s="23" t="s">
        <v>1431</v>
      </c>
      <c r="S377" s="24" t="s">
        <v>906</v>
      </c>
      <c r="T377" s="25" t="s">
        <v>73</v>
      </c>
      <c r="U377" s="26">
        <v>1</v>
      </c>
      <c r="V377" s="26">
        <f t="shared" si="78"/>
        <v>1</v>
      </c>
      <c r="W377" s="26">
        <f t="shared" si="74"/>
        <v>112963.49</v>
      </c>
      <c r="X377" s="26">
        <f t="shared" si="79"/>
        <v>0</v>
      </c>
      <c r="Y377" s="26">
        <f t="shared" si="75"/>
        <v>0</v>
      </c>
      <c r="Z377" s="26">
        <f t="shared" si="80"/>
        <v>0</v>
      </c>
      <c r="AA377" s="26">
        <f t="shared" si="82"/>
        <v>0</v>
      </c>
      <c r="AB377" s="33" t="s">
        <v>15</v>
      </c>
      <c r="AC377" s="324"/>
      <c r="AD377" s="181">
        <f t="shared" si="73"/>
        <v>1</v>
      </c>
      <c r="AE377" s="181">
        <f t="shared" si="72"/>
        <v>112963.49</v>
      </c>
      <c r="AF377" s="181">
        <v>1.8</v>
      </c>
      <c r="AG377" s="181">
        <v>1.8</v>
      </c>
      <c r="AH377" s="363" t="str">
        <f t="shared" si="81"/>
        <v/>
      </c>
      <c r="AI377" s="192">
        <v>0</v>
      </c>
      <c r="AJ377" s="188">
        <v>1</v>
      </c>
      <c r="AO377" s="367"/>
      <c r="AP377" s="367"/>
      <c r="AQ377" s="367"/>
    </row>
    <row r="378" spans="1:43" s="69" customFormat="1" ht="24.75" x14ac:dyDescent="0.3">
      <c r="A378" s="130" t="s">
        <v>908</v>
      </c>
      <c r="B378" s="131" t="s">
        <v>909</v>
      </c>
      <c r="C378" s="132" t="s">
        <v>14</v>
      </c>
      <c r="D378" s="133">
        <v>1</v>
      </c>
      <c r="E378" s="75"/>
      <c r="F378" s="75"/>
      <c r="G378" s="75"/>
      <c r="H378" s="75"/>
      <c r="I378" s="343">
        <v>0</v>
      </c>
      <c r="J378" s="75">
        <v>322500</v>
      </c>
      <c r="K378" s="75">
        <v>0</v>
      </c>
      <c r="L378" s="91" t="s">
        <v>910</v>
      </c>
      <c r="M378" s="73"/>
      <c r="N378" s="46">
        <v>0</v>
      </c>
      <c r="O378" s="46">
        <v>0</v>
      </c>
      <c r="P378" s="46">
        <v>0</v>
      </c>
      <c r="Q378" s="98"/>
      <c r="R378" s="23" t="s">
        <v>1395</v>
      </c>
      <c r="S378" s="24" t="s">
        <v>909</v>
      </c>
      <c r="T378" s="25" t="s">
        <v>14</v>
      </c>
      <c r="U378" s="26">
        <v>1</v>
      </c>
      <c r="V378" s="26">
        <v>0</v>
      </c>
      <c r="W378" s="26">
        <f t="shared" si="74"/>
        <v>322500</v>
      </c>
      <c r="X378" s="127">
        <f t="shared" si="79"/>
        <v>0</v>
      </c>
      <c r="Y378" s="127">
        <f t="shared" si="75"/>
        <v>0</v>
      </c>
      <c r="Z378" s="127">
        <f t="shared" si="80"/>
        <v>0</v>
      </c>
      <c r="AA378" s="127">
        <f t="shared" si="82"/>
        <v>0</v>
      </c>
      <c r="AB378" s="33" t="s">
        <v>15</v>
      </c>
      <c r="AC378" s="324"/>
      <c r="AD378" s="181">
        <v>0</v>
      </c>
      <c r="AE378" s="181">
        <f t="shared" si="72"/>
        <v>0</v>
      </c>
      <c r="AF378" s="181">
        <v>1.8</v>
      </c>
      <c r="AG378" s="181">
        <v>1.8</v>
      </c>
      <c r="AH378" s="363" t="str">
        <f t="shared" si="81"/>
        <v/>
      </c>
      <c r="AI378" s="192">
        <v>0</v>
      </c>
      <c r="AJ378" s="188">
        <v>0</v>
      </c>
      <c r="AO378" s="367"/>
      <c r="AP378" s="367"/>
      <c r="AQ378" s="367"/>
    </row>
    <row r="379" spans="1:43" s="69" customFormat="1" x14ac:dyDescent="0.3">
      <c r="A379" s="246" t="s">
        <v>911</v>
      </c>
      <c r="B379" s="247" t="s">
        <v>912</v>
      </c>
      <c r="C379" s="248" t="s">
        <v>325</v>
      </c>
      <c r="D379" s="249">
        <v>7</v>
      </c>
      <c r="E379" s="75"/>
      <c r="F379" s="75"/>
      <c r="G379" s="75"/>
      <c r="H379" s="75"/>
      <c r="I379" s="75"/>
      <c r="J379" s="75">
        <v>15500</v>
      </c>
      <c r="K379" s="75">
        <v>108500</v>
      </c>
      <c r="L379" s="91" t="s">
        <v>913</v>
      </c>
      <c r="M379" s="73"/>
      <c r="N379" s="46">
        <v>0</v>
      </c>
      <c r="O379" s="46">
        <v>0</v>
      </c>
      <c r="P379" s="46">
        <v>0</v>
      </c>
      <c r="Q379" s="98"/>
      <c r="R379" s="23" t="s">
        <v>1432</v>
      </c>
      <c r="S379" s="24" t="s">
        <v>912</v>
      </c>
      <c r="T379" s="25" t="s">
        <v>325</v>
      </c>
      <c r="U379" s="26">
        <v>7</v>
      </c>
      <c r="V379" s="26">
        <f t="shared" si="78"/>
        <v>7</v>
      </c>
      <c r="W379" s="26">
        <f t="shared" si="74"/>
        <v>15500</v>
      </c>
      <c r="X379" s="26">
        <f t="shared" si="79"/>
        <v>0</v>
      </c>
      <c r="Y379" s="26">
        <f t="shared" si="75"/>
        <v>0</v>
      </c>
      <c r="Z379" s="26">
        <f t="shared" si="80"/>
        <v>0</v>
      </c>
      <c r="AA379" s="26">
        <f t="shared" si="82"/>
        <v>0</v>
      </c>
      <c r="AB379" s="33" t="s">
        <v>15</v>
      </c>
      <c r="AC379" s="324"/>
      <c r="AD379" s="181">
        <f t="shared" si="73"/>
        <v>7</v>
      </c>
      <c r="AE379" s="181">
        <f t="shared" si="72"/>
        <v>108500</v>
      </c>
      <c r="AF379" s="181">
        <v>1.8</v>
      </c>
      <c r="AG379" s="181">
        <v>1.8</v>
      </c>
      <c r="AH379" s="363" t="str">
        <f t="shared" si="81"/>
        <v/>
      </c>
      <c r="AI379" s="192">
        <v>0</v>
      </c>
      <c r="AJ379" s="188">
        <v>7</v>
      </c>
      <c r="AO379" s="367"/>
      <c r="AP379" s="367"/>
      <c r="AQ379" s="367"/>
    </row>
    <row r="380" spans="1:43" s="69" customFormat="1" ht="24.75" x14ac:dyDescent="0.3">
      <c r="A380" s="246" t="s">
        <v>914</v>
      </c>
      <c r="B380" s="247" t="s">
        <v>915</v>
      </c>
      <c r="C380" s="248" t="s">
        <v>325</v>
      </c>
      <c r="D380" s="249">
        <v>2</v>
      </c>
      <c r="E380" s="75"/>
      <c r="F380" s="75"/>
      <c r="G380" s="75"/>
      <c r="H380" s="75"/>
      <c r="I380" s="75"/>
      <c r="J380" s="75">
        <v>113300</v>
      </c>
      <c r="K380" s="75">
        <v>226600</v>
      </c>
      <c r="L380" s="91" t="s">
        <v>916</v>
      </c>
      <c r="M380" s="73"/>
      <c r="N380" s="46">
        <v>0</v>
      </c>
      <c r="O380" s="46">
        <v>0</v>
      </c>
      <c r="P380" s="46">
        <v>0</v>
      </c>
      <c r="Q380" s="98"/>
      <c r="R380" s="23" t="s">
        <v>1433</v>
      </c>
      <c r="S380" s="24" t="s">
        <v>915</v>
      </c>
      <c r="T380" s="25" t="s">
        <v>325</v>
      </c>
      <c r="U380" s="26">
        <v>2</v>
      </c>
      <c r="V380" s="26">
        <f t="shared" si="78"/>
        <v>2</v>
      </c>
      <c r="W380" s="26">
        <f t="shared" si="74"/>
        <v>113300</v>
      </c>
      <c r="X380" s="26">
        <f t="shared" si="79"/>
        <v>0</v>
      </c>
      <c r="Y380" s="26">
        <f t="shared" si="75"/>
        <v>0</v>
      </c>
      <c r="Z380" s="26">
        <f t="shared" si="80"/>
        <v>0</v>
      </c>
      <c r="AA380" s="26">
        <f t="shared" si="82"/>
        <v>0</v>
      </c>
      <c r="AB380" s="33" t="s">
        <v>15</v>
      </c>
      <c r="AC380" s="324"/>
      <c r="AD380" s="181">
        <f t="shared" si="73"/>
        <v>2</v>
      </c>
      <c r="AE380" s="181">
        <f t="shared" si="72"/>
        <v>226600</v>
      </c>
      <c r="AF380" s="181">
        <v>1.8</v>
      </c>
      <c r="AG380" s="181">
        <v>1.8</v>
      </c>
      <c r="AH380" s="363" t="str">
        <f t="shared" si="81"/>
        <v/>
      </c>
      <c r="AI380" s="192">
        <v>0</v>
      </c>
      <c r="AJ380" s="188">
        <v>2</v>
      </c>
      <c r="AO380" s="367"/>
      <c r="AP380" s="367"/>
      <c r="AQ380" s="367"/>
    </row>
    <row r="381" spans="1:43" s="69" customFormat="1" x14ac:dyDescent="0.3">
      <c r="A381" s="130" t="s">
        <v>917</v>
      </c>
      <c r="B381" s="131" t="s">
        <v>918</v>
      </c>
      <c r="C381" s="132" t="s">
        <v>325</v>
      </c>
      <c r="D381" s="133">
        <v>9</v>
      </c>
      <c r="E381" s="75"/>
      <c r="F381" s="75"/>
      <c r="G381" s="75"/>
      <c r="H381" s="75"/>
      <c r="I381" s="343">
        <v>13</v>
      </c>
      <c r="J381" s="75">
        <v>100000</v>
      </c>
      <c r="K381" s="75">
        <v>1300000</v>
      </c>
      <c r="L381" s="91" t="s">
        <v>919</v>
      </c>
      <c r="M381" s="73"/>
      <c r="N381" s="46">
        <v>13</v>
      </c>
      <c r="O381" s="46">
        <v>0</v>
      </c>
      <c r="P381" s="46">
        <v>1300000</v>
      </c>
      <c r="Q381" s="98"/>
      <c r="R381" s="23" t="s">
        <v>1382</v>
      </c>
      <c r="S381" s="24" t="s">
        <v>918</v>
      </c>
      <c r="T381" s="25" t="s">
        <v>325</v>
      </c>
      <c r="U381" s="26">
        <v>9</v>
      </c>
      <c r="V381" s="26">
        <f t="shared" si="78"/>
        <v>13</v>
      </c>
      <c r="W381" s="26">
        <f t="shared" si="74"/>
        <v>100000</v>
      </c>
      <c r="X381" s="127">
        <f t="shared" si="79"/>
        <v>0</v>
      </c>
      <c r="Y381" s="127">
        <f t="shared" si="75"/>
        <v>13</v>
      </c>
      <c r="Z381" s="127">
        <f t="shared" si="80"/>
        <v>0</v>
      </c>
      <c r="AA381" s="127">
        <f t="shared" si="82"/>
        <v>1300000</v>
      </c>
      <c r="AB381" s="33" t="s">
        <v>15</v>
      </c>
      <c r="AC381" s="324"/>
      <c r="AD381" s="181">
        <f t="shared" si="73"/>
        <v>13</v>
      </c>
      <c r="AE381" s="181">
        <f t="shared" si="72"/>
        <v>1300000</v>
      </c>
      <c r="AF381" s="181">
        <v>1.8</v>
      </c>
      <c r="AG381" s="181">
        <v>1.8</v>
      </c>
      <c r="AH381" s="363" t="str">
        <f t="shared" si="81"/>
        <v/>
      </c>
      <c r="AI381" s="194">
        <v>13</v>
      </c>
      <c r="AJ381" s="190">
        <v>13</v>
      </c>
      <c r="AO381" s="367"/>
      <c r="AP381" s="367"/>
      <c r="AQ381" s="367"/>
    </row>
    <row r="382" spans="1:43" s="69" customFormat="1" x14ac:dyDescent="0.3">
      <c r="A382" s="130" t="s">
        <v>920</v>
      </c>
      <c r="B382" s="131" t="s">
        <v>921</v>
      </c>
      <c r="C382" s="132" t="s">
        <v>81</v>
      </c>
      <c r="D382" s="133">
        <v>2</v>
      </c>
      <c r="E382" s="75"/>
      <c r="F382" s="75"/>
      <c r="G382" s="75"/>
      <c r="H382" s="75"/>
      <c r="I382" s="75"/>
      <c r="J382" s="75">
        <v>15000</v>
      </c>
      <c r="K382" s="75">
        <v>30000</v>
      </c>
      <c r="L382" s="91" t="s">
        <v>922</v>
      </c>
      <c r="M382" s="73"/>
      <c r="N382" s="46">
        <v>2</v>
      </c>
      <c r="O382" s="46">
        <v>0</v>
      </c>
      <c r="P382" s="46">
        <v>30000</v>
      </c>
      <c r="Q382" s="98"/>
      <c r="R382" s="23" t="s">
        <v>1434</v>
      </c>
      <c r="S382" s="24" t="s">
        <v>921</v>
      </c>
      <c r="T382" s="25" t="s">
        <v>81</v>
      </c>
      <c r="U382" s="26">
        <v>2</v>
      </c>
      <c r="V382" s="26">
        <f t="shared" si="78"/>
        <v>2</v>
      </c>
      <c r="W382" s="26">
        <f t="shared" si="74"/>
        <v>15000</v>
      </c>
      <c r="X382" s="127">
        <f t="shared" si="79"/>
        <v>0</v>
      </c>
      <c r="Y382" s="127">
        <f t="shared" si="75"/>
        <v>2</v>
      </c>
      <c r="Z382" s="127">
        <f t="shared" si="80"/>
        <v>0</v>
      </c>
      <c r="AA382" s="127">
        <f t="shared" si="82"/>
        <v>30000</v>
      </c>
      <c r="AB382" s="33" t="s">
        <v>15</v>
      </c>
      <c r="AC382" s="324"/>
      <c r="AD382" s="181">
        <f t="shared" si="73"/>
        <v>2</v>
      </c>
      <c r="AE382" s="181">
        <f t="shared" si="72"/>
        <v>30000</v>
      </c>
      <c r="AF382" s="181">
        <v>1.8</v>
      </c>
      <c r="AG382" s="181">
        <v>1.8</v>
      </c>
      <c r="AH382" s="363" t="str">
        <f t="shared" si="81"/>
        <v/>
      </c>
      <c r="AI382" s="194">
        <v>2</v>
      </c>
      <c r="AJ382" s="188">
        <v>2</v>
      </c>
      <c r="AO382" s="367"/>
      <c r="AP382" s="367"/>
      <c r="AQ382" s="367"/>
    </row>
    <row r="383" spans="1:43" s="69" customFormat="1" ht="39" x14ac:dyDescent="0.3">
      <c r="A383" s="55" t="s">
        <v>923</v>
      </c>
      <c r="B383" s="53" t="s">
        <v>3157</v>
      </c>
      <c r="C383" s="54" t="s">
        <v>925</v>
      </c>
      <c r="D383" s="75">
        <v>1</v>
      </c>
      <c r="E383" s="75"/>
      <c r="F383" s="75"/>
      <c r="G383" s="75"/>
      <c r="H383" s="75"/>
      <c r="I383" s="75"/>
      <c r="J383" s="75">
        <v>15000</v>
      </c>
      <c r="K383" s="75">
        <v>15000</v>
      </c>
      <c r="L383" s="91" t="s">
        <v>926</v>
      </c>
      <c r="M383" s="73"/>
      <c r="N383" s="46">
        <v>0</v>
      </c>
      <c r="O383" s="46">
        <v>0</v>
      </c>
      <c r="P383" s="46">
        <v>0</v>
      </c>
      <c r="Q383" s="98"/>
      <c r="R383" s="23" t="s">
        <v>1388</v>
      </c>
      <c r="S383" s="24" t="s">
        <v>924</v>
      </c>
      <c r="T383" s="25" t="s">
        <v>925</v>
      </c>
      <c r="U383" s="26">
        <v>1</v>
      </c>
      <c r="V383" s="26">
        <f t="shared" si="78"/>
        <v>1</v>
      </c>
      <c r="W383" s="26">
        <f t="shared" si="74"/>
        <v>15000</v>
      </c>
      <c r="X383" s="26">
        <f t="shared" si="79"/>
        <v>0</v>
      </c>
      <c r="Y383" s="26">
        <f t="shared" si="75"/>
        <v>0</v>
      </c>
      <c r="Z383" s="26">
        <f t="shared" si="80"/>
        <v>0</v>
      </c>
      <c r="AA383" s="26">
        <f t="shared" si="82"/>
        <v>0</v>
      </c>
      <c r="AB383" s="33" t="s">
        <v>15</v>
      </c>
      <c r="AC383" s="324"/>
      <c r="AD383" s="181">
        <f t="shared" si="73"/>
        <v>1</v>
      </c>
      <c r="AE383" s="181">
        <f t="shared" si="72"/>
        <v>15000</v>
      </c>
      <c r="AF383" s="181">
        <v>1.8</v>
      </c>
      <c r="AG383" s="181">
        <v>1.8</v>
      </c>
      <c r="AH383" s="363" t="str">
        <f t="shared" si="81"/>
        <v/>
      </c>
      <c r="AI383" s="192">
        <v>0</v>
      </c>
      <c r="AJ383" s="188">
        <v>1</v>
      </c>
      <c r="AO383" s="367"/>
      <c r="AP383" s="367"/>
      <c r="AQ383" s="367"/>
    </row>
    <row r="384" spans="1:43" s="69" customFormat="1" x14ac:dyDescent="0.3">
      <c r="A384" s="55" t="s">
        <v>927</v>
      </c>
      <c r="B384" s="53" t="s">
        <v>928</v>
      </c>
      <c r="C384" s="54" t="s">
        <v>325</v>
      </c>
      <c r="D384" s="75">
        <v>1</v>
      </c>
      <c r="E384" s="75"/>
      <c r="F384" s="75"/>
      <c r="G384" s="75"/>
      <c r="H384" s="75"/>
      <c r="I384" s="75"/>
      <c r="J384" s="75">
        <v>1500</v>
      </c>
      <c r="K384" s="75">
        <v>1500</v>
      </c>
      <c r="L384" s="91" t="s">
        <v>929</v>
      </c>
      <c r="M384" s="73"/>
      <c r="N384" s="46">
        <v>0</v>
      </c>
      <c r="O384" s="46">
        <v>0</v>
      </c>
      <c r="P384" s="46">
        <v>0</v>
      </c>
      <c r="Q384" s="98"/>
      <c r="R384" s="23" t="s">
        <v>1389</v>
      </c>
      <c r="S384" s="24" t="s">
        <v>928</v>
      </c>
      <c r="T384" s="25" t="s">
        <v>325</v>
      </c>
      <c r="U384" s="26">
        <v>1</v>
      </c>
      <c r="V384" s="26">
        <f t="shared" si="78"/>
        <v>1</v>
      </c>
      <c r="W384" s="26">
        <f t="shared" si="74"/>
        <v>1500</v>
      </c>
      <c r="X384" s="26">
        <f t="shared" si="79"/>
        <v>0</v>
      </c>
      <c r="Y384" s="26">
        <f t="shared" si="75"/>
        <v>0</v>
      </c>
      <c r="Z384" s="26">
        <f t="shared" si="80"/>
        <v>0</v>
      </c>
      <c r="AA384" s="26">
        <f t="shared" si="82"/>
        <v>0</v>
      </c>
      <c r="AB384" s="33" t="s">
        <v>15</v>
      </c>
      <c r="AC384" s="324"/>
      <c r="AD384" s="181">
        <f t="shared" si="73"/>
        <v>1</v>
      </c>
      <c r="AE384" s="181">
        <f t="shared" si="72"/>
        <v>1500</v>
      </c>
      <c r="AF384" s="181">
        <v>1.8</v>
      </c>
      <c r="AG384" s="181">
        <v>1.8</v>
      </c>
      <c r="AH384" s="363" t="str">
        <f t="shared" si="81"/>
        <v/>
      </c>
      <c r="AI384" s="192">
        <v>0</v>
      </c>
      <c r="AJ384" s="188">
        <v>1</v>
      </c>
      <c r="AO384" s="367"/>
      <c r="AP384" s="367"/>
      <c r="AQ384" s="367"/>
    </row>
    <row r="385" spans="1:43" s="69" customFormat="1" ht="39" x14ac:dyDescent="0.3">
      <c r="A385" s="55" t="s">
        <v>930</v>
      </c>
      <c r="B385" s="53" t="s">
        <v>931</v>
      </c>
      <c r="C385" s="54" t="s">
        <v>932</v>
      </c>
      <c r="D385" s="75">
        <v>3</v>
      </c>
      <c r="E385" s="75"/>
      <c r="F385" s="75"/>
      <c r="G385" s="75"/>
      <c r="H385" s="75"/>
      <c r="I385" s="75"/>
      <c r="J385" s="75">
        <v>2600</v>
      </c>
      <c r="K385" s="75">
        <v>7800</v>
      </c>
      <c r="L385" s="91" t="s">
        <v>933</v>
      </c>
      <c r="M385" s="73"/>
      <c r="N385" s="46">
        <v>0</v>
      </c>
      <c r="O385" s="46">
        <v>0</v>
      </c>
      <c r="P385" s="46">
        <v>0</v>
      </c>
      <c r="Q385" s="98"/>
      <c r="R385" s="23" t="s">
        <v>1390</v>
      </c>
      <c r="S385" s="24" t="s">
        <v>931</v>
      </c>
      <c r="T385" s="25" t="s">
        <v>932</v>
      </c>
      <c r="U385" s="26">
        <v>3</v>
      </c>
      <c r="V385" s="26">
        <f t="shared" si="78"/>
        <v>3</v>
      </c>
      <c r="W385" s="26">
        <f t="shared" si="74"/>
        <v>2600</v>
      </c>
      <c r="X385" s="26">
        <f t="shared" si="79"/>
        <v>0</v>
      </c>
      <c r="Y385" s="26">
        <f t="shared" si="75"/>
        <v>0</v>
      </c>
      <c r="Z385" s="26">
        <f t="shared" si="80"/>
        <v>0</v>
      </c>
      <c r="AA385" s="26">
        <f t="shared" si="82"/>
        <v>0</v>
      </c>
      <c r="AB385" s="33" t="s">
        <v>15</v>
      </c>
      <c r="AC385" s="324"/>
      <c r="AD385" s="181">
        <f t="shared" si="73"/>
        <v>3</v>
      </c>
      <c r="AE385" s="181">
        <f t="shared" si="72"/>
        <v>7800</v>
      </c>
      <c r="AF385" s="181">
        <v>1.8</v>
      </c>
      <c r="AG385" s="181">
        <v>1.8</v>
      </c>
      <c r="AH385" s="363" t="str">
        <f t="shared" si="81"/>
        <v/>
      </c>
      <c r="AI385" s="192">
        <v>0</v>
      </c>
      <c r="AJ385" s="188">
        <v>3</v>
      </c>
      <c r="AO385" s="367"/>
      <c r="AP385" s="367"/>
      <c r="AQ385" s="367"/>
    </row>
    <row r="386" spans="1:43" s="69" customFormat="1" ht="58.5" x14ac:dyDescent="0.3">
      <c r="A386" s="55" t="s">
        <v>934</v>
      </c>
      <c r="B386" s="53" t="s">
        <v>935</v>
      </c>
      <c r="C386" s="54" t="s">
        <v>932</v>
      </c>
      <c r="D386" s="75">
        <v>38</v>
      </c>
      <c r="E386" s="75"/>
      <c r="F386" s="75"/>
      <c r="G386" s="75"/>
      <c r="H386" s="75"/>
      <c r="I386" s="75"/>
      <c r="J386" s="75">
        <v>4460</v>
      </c>
      <c r="K386" s="75">
        <v>169480</v>
      </c>
      <c r="L386" s="91" t="s">
        <v>936</v>
      </c>
      <c r="M386" s="73"/>
      <c r="N386" s="46">
        <v>31</v>
      </c>
      <c r="O386" s="46">
        <v>0</v>
      </c>
      <c r="P386" s="46">
        <v>138260</v>
      </c>
      <c r="Q386" s="98"/>
      <c r="R386" s="23" t="s">
        <v>1391</v>
      </c>
      <c r="S386" s="24" t="s">
        <v>935</v>
      </c>
      <c r="T386" s="25" t="s">
        <v>932</v>
      </c>
      <c r="U386" s="26">
        <v>38</v>
      </c>
      <c r="V386" s="26">
        <f t="shared" si="78"/>
        <v>38</v>
      </c>
      <c r="W386" s="26">
        <f t="shared" si="74"/>
        <v>4460</v>
      </c>
      <c r="X386" s="128">
        <f t="shared" si="79"/>
        <v>0</v>
      </c>
      <c r="Y386" s="26">
        <f t="shared" si="75"/>
        <v>31</v>
      </c>
      <c r="Z386" s="26">
        <f t="shared" si="80"/>
        <v>0</v>
      </c>
      <c r="AA386" s="26">
        <f t="shared" si="82"/>
        <v>138260</v>
      </c>
      <c r="AB386" s="33" t="s">
        <v>15</v>
      </c>
      <c r="AC386" s="325"/>
      <c r="AD386" s="263">
        <f t="shared" si="73"/>
        <v>38</v>
      </c>
      <c r="AE386" s="263">
        <f t="shared" si="72"/>
        <v>169480</v>
      </c>
      <c r="AF386" s="263">
        <v>1.8</v>
      </c>
      <c r="AG386" s="263">
        <v>1.8</v>
      </c>
      <c r="AH386" s="68" t="str">
        <f t="shared" si="81"/>
        <v/>
      </c>
      <c r="AI386" s="194">
        <v>31</v>
      </c>
      <c r="AJ386" s="188">
        <v>38</v>
      </c>
      <c r="AO386" s="367"/>
      <c r="AP386" s="367"/>
      <c r="AQ386" s="367"/>
    </row>
    <row r="387" spans="1:43" s="69" customFormat="1" ht="58.5" x14ac:dyDescent="0.3">
      <c r="A387" s="55" t="s">
        <v>937</v>
      </c>
      <c r="B387" s="118" t="s">
        <v>938</v>
      </c>
      <c r="C387" s="119" t="s">
        <v>30</v>
      </c>
      <c r="D387" s="120">
        <v>1352</v>
      </c>
      <c r="E387" s="75"/>
      <c r="F387" s="75"/>
      <c r="G387" s="75"/>
      <c r="H387" s="75"/>
      <c r="I387" s="75"/>
      <c r="J387" s="75">
        <v>30.59</v>
      </c>
      <c r="K387" s="75">
        <v>41357.68</v>
      </c>
      <c r="L387" s="91" t="s">
        <v>939</v>
      </c>
      <c r="M387" s="73"/>
      <c r="N387" s="46">
        <v>1210</v>
      </c>
      <c r="O387" s="46">
        <v>3884.9300000000003</v>
      </c>
      <c r="P387" s="46">
        <v>37013.9</v>
      </c>
      <c r="Q387" s="98"/>
      <c r="R387" s="23" t="s">
        <v>1436</v>
      </c>
      <c r="S387" s="24" t="s">
        <v>938</v>
      </c>
      <c r="T387" s="25" t="s">
        <v>30</v>
      </c>
      <c r="U387" s="26">
        <v>1352</v>
      </c>
      <c r="V387" s="26">
        <f t="shared" si="78"/>
        <v>1352</v>
      </c>
      <c r="W387" s="26">
        <f t="shared" si="74"/>
        <v>30.59</v>
      </c>
      <c r="X387" s="243">
        <f t="shared" si="79"/>
        <v>0</v>
      </c>
      <c r="Y387" s="26">
        <f t="shared" si="75"/>
        <v>1210</v>
      </c>
      <c r="Z387" s="26">
        <f t="shared" si="80"/>
        <v>0</v>
      </c>
      <c r="AA387" s="26">
        <f t="shared" si="82"/>
        <v>37013.9</v>
      </c>
      <c r="AB387" s="33" t="s">
        <v>15</v>
      </c>
      <c r="AC387" s="325"/>
      <c r="AD387" s="263">
        <f t="shared" si="73"/>
        <v>1352</v>
      </c>
      <c r="AE387" s="263">
        <f t="shared" si="72"/>
        <v>41357.68</v>
      </c>
      <c r="AF387" s="263">
        <v>1.8</v>
      </c>
      <c r="AG387" s="263">
        <v>1.8</v>
      </c>
      <c r="AH387" s="68" t="str">
        <f t="shared" si="81"/>
        <v/>
      </c>
      <c r="AI387" s="191">
        <f>1083+127</f>
        <v>1210</v>
      </c>
      <c r="AJ387" s="188">
        <v>1352</v>
      </c>
      <c r="AO387" s="367"/>
      <c r="AP387" s="367"/>
      <c r="AQ387" s="367"/>
    </row>
    <row r="388" spans="1:43" s="69" customFormat="1" ht="78" x14ac:dyDescent="0.3">
      <c r="A388" s="55" t="s">
        <v>940</v>
      </c>
      <c r="B388" s="118" t="s">
        <v>941</v>
      </c>
      <c r="C388" s="119" t="s">
        <v>30</v>
      </c>
      <c r="D388" s="120">
        <v>300</v>
      </c>
      <c r="E388" s="75"/>
      <c r="F388" s="75"/>
      <c r="G388" s="75"/>
      <c r="H388" s="75"/>
      <c r="I388" s="75"/>
      <c r="J388" s="75">
        <v>972.45</v>
      </c>
      <c r="K388" s="75">
        <v>291735</v>
      </c>
      <c r="L388" s="91" t="s">
        <v>942</v>
      </c>
      <c r="M388" s="73"/>
      <c r="N388" s="46">
        <v>226</v>
      </c>
      <c r="O388" s="46">
        <v>219773.7</v>
      </c>
      <c r="P388" s="46">
        <v>219773.7</v>
      </c>
      <c r="Q388" s="98"/>
      <c r="R388" s="23" t="s">
        <v>1374</v>
      </c>
      <c r="S388" s="24" t="s">
        <v>941</v>
      </c>
      <c r="T388" s="25" t="s">
        <v>30</v>
      </c>
      <c r="U388" s="26">
        <v>300</v>
      </c>
      <c r="V388" s="26">
        <f t="shared" si="78"/>
        <v>300</v>
      </c>
      <c r="W388" s="26">
        <f t="shared" si="74"/>
        <v>972.45</v>
      </c>
      <c r="X388" s="199">
        <f t="shared" si="79"/>
        <v>0</v>
      </c>
      <c r="Y388" s="26">
        <f t="shared" si="75"/>
        <v>226</v>
      </c>
      <c r="Z388" s="26">
        <f t="shared" si="80"/>
        <v>0</v>
      </c>
      <c r="AA388" s="26">
        <f t="shared" si="82"/>
        <v>219773.7</v>
      </c>
      <c r="AB388" s="33" t="s">
        <v>15</v>
      </c>
      <c r="AC388" s="324"/>
      <c r="AD388" s="181">
        <f t="shared" si="73"/>
        <v>300</v>
      </c>
      <c r="AE388" s="181">
        <f t="shared" si="72"/>
        <v>291735</v>
      </c>
      <c r="AF388" s="181">
        <v>1.8</v>
      </c>
      <c r="AG388" s="181">
        <v>1.8</v>
      </c>
      <c r="AH388" s="363" t="str">
        <f t="shared" si="81"/>
        <v/>
      </c>
      <c r="AI388" s="191">
        <v>226</v>
      </c>
      <c r="AJ388" s="188">
        <v>300</v>
      </c>
      <c r="AO388" s="367"/>
      <c r="AP388" s="367"/>
      <c r="AQ388" s="367"/>
    </row>
    <row r="389" spans="1:43" s="69" customFormat="1" ht="78" x14ac:dyDescent="0.3">
      <c r="A389" s="55" t="s">
        <v>943</v>
      </c>
      <c r="B389" s="53" t="s">
        <v>944</v>
      </c>
      <c r="C389" s="54" t="s">
        <v>30</v>
      </c>
      <c r="D389" s="75">
        <v>252</v>
      </c>
      <c r="E389" s="75"/>
      <c r="F389" s="75"/>
      <c r="G389" s="75"/>
      <c r="H389" s="75"/>
      <c r="I389" s="75"/>
      <c r="J389" s="75">
        <v>628.34</v>
      </c>
      <c r="K389" s="75">
        <v>158341.68</v>
      </c>
      <c r="L389" s="91" t="s">
        <v>945</v>
      </c>
      <c r="M389" s="73"/>
      <c r="N389" s="46">
        <v>226</v>
      </c>
      <c r="O389" s="46">
        <v>142004.84</v>
      </c>
      <c r="P389" s="46">
        <v>142004.84</v>
      </c>
      <c r="Q389" s="98"/>
      <c r="R389" s="23" t="s">
        <v>1376</v>
      </c>
      <c r="S389" s="24" t="s">
        <v>944</v>
      </c>
      <c r="T389" s="25" t="s">
        <v>30</v>
      </c>
      <c r="U389" s="26">
        <v>252</v>
      </c>
      <c r="V389" s="26">
        <f t="shared" si="78"/>
        <v>252</v>
      </c>
      <c r="W389" s="26">
        <f t="shared" si="74"/>
        <v>628.34</v>
      </c>
      <c r="X389" s="199">
        <f t="shared" si="79"/>
        <v>0</v>
      </c>
      <c r="Y389" s="26">
        <f t="shared" si="75"/>
        <v>226</v>
      </c>
      <c r="Z389" s="26">
        <f t="shared" si="80"/>
        <v>0</v>
      </c>
      <c r="AA389" s="26">
        <f t="shared" si="82"/>
        <v>142004.84</v>
      </c>
      <c r="AB389" s="33" t="s">
        <v>15</v>
      </c>
      <c r="AC389" s="324"/>
      <c r="AD389" s="181">
        <f t="shared" si="73"/>
        <v>252</v>
      </c>
      <c r="AE389" s="181">
        <f t="shared" si="72"/>
        <v>158341.68</v>
      </c>
      <c r="AF389" s="181">
        <v>1.8</v>
      </c>
      <c r="AG389" s="181">
        <v>1.8</v>
      </c>
      <c r="AH389" s="363" t="str">
        <f t="shared" si="81"/>
        <v/>
      </c>
      <c r="AI389" s="191">
        <v>226</v>
      </c>
      <c r="AJ389" s="188">
        <v>252</v>
      </c>
      <c r="AO389" s="367"/>
      <c r="AP389" s="367"/>
      <c r="AQ389" s="367"/>
    </row>
    <row r="390" spans="1:43" s="69" customFormat="1" ht="78" x14ac:dyDescent="0.3">
      <c r="A390" s="55" t="s">
        <v>946</v>
      </c>
      <c r="B390" s="53" t="s">
        <v>947</v>
      </c>
      <c r="C390" s="54" t="s">
        <v>30</v>
      </c>
      <c r="D390" s="75">
        <v>36</v>
      </c>
      <c r="E390" s="75"/>
      <c r="F390" s="75"/>
      <c r="G390" s="75"/>
      <c r="H390" s="75"/>
      <c r="I390" s="75"/>
      <c r="J390" s="75">
        <v>497.09</v>
      </c>
      <c r="K390" s="75">
        <v>17895.240000000002</v>
      </c>
      <c r="L390" s="91" t="s">
        <v>948</v>
      </c>
      <c r="M390" s="73"/>
      <c r="N390" s="46">
        <v>28</v>
      </c>
      <c r="O390" s="46">
        <v>13918.52</v>
      </c>
      <c r="P390" s="46">
        <v>13918.52</v>
      </c>
      <c r="Q390" s="98"/>
      <c r="R390" s="23" t="s">
        <v>1378</v>
      </c>
      <c r="S390" s="24" t="s">
        <v>947</v>
      </c>
      <c r="T390" s="25" t="s">
        <v>30</v>
      </c>
      <c r="U390" s="26">
        <v>36</v>
      </c>
      <c r="V390" s="26">
        <f t="shared" si="78"/>
        <v>36</v>
      </c>
      <c r="W390" s="26">
        <f t="shared" si="74"/>
        <v>497.09</v>
      </c>
      <c r="X390" s="199">
        <f t="shared" si="79"/>
        <v>0</v>
      </c>
      <c r="Y390" s="26">
        <f t="shared" si="75"/>
        <v>28</v>
      </c>
      <c r="Z390" s="26">
        <f t="shared" si="80"/>
        <v>0</v>
      </c>
      <c r="AA390" s="26">
        <f t="shared" si="82"/>
        <v>13918.52</v>
      </c>
      <c r="AB390" s="33" t="s">
        <v>15</v>
      </c>
      <c r="AC390" s="324"/>
      <c r="AD390" s="181">
        <f t="shared" si="73"/>
        <v>36</v>
      </c>
      <c r="AE390" s="181">
        <f t="shared" si="72"/>
        <v>17895.240000000002</v>
      </c>
      <c r="AF390" s="181">
        <v>1.8</v>
      </c>
      <c r="AG390" s="181">
        <v>1.8</v>
      </c>
      <c r="AH390" s="363" t="str">
        <f t="shared" si="81"/>
        <v/>
      </c>
      <c r="AI390" s="191">
        <v>28</v>
      </c>
      <c r="AJ390" s="188">
        <v>36</v>
      </c>
      <c r="AO390" s="367"/>
      <c r="AP390" s="367"/>
      <c r="AQ390" s="367"/>
    </row>
    <row r="391" spans="1:43" s="69" customFormat="1" ht="78" x14ac:dyDescent="0.3">
      <c r="A391" s="55" t="s">
        <v>949</v>
      </c>
      <c r="B391" s="53" t="s">
        <v>950</v>
      </c>
      <c r="C391" s="54" t="s">
        <v>30</v>
      </c>
      <c r="D391" s="75">
        <v>159</v>
      </c>
      <c r="E391" s="75"/>
      <c r="F391" s="75"/>
      <c r="G391" s="75"/>
      <c r="H391" s="75"/>
      <c r="I391" s="75"/>
      <c r="J391" s="75">
        <v>270.2</v>
      </c>
      <c r="K391" s="75">
        <v>42961.8</v>
      </c>
      <c r="L391" s="91" t="s">
        <v>951</v>
      </c>
      <c r="M391" s="73"/>
      <c r="N391" s="46">
        <v>143</v>
      </c>
      <c r="O391" s="46">
        <v>38638.6</v>
      </c>
      <c r="P391" s="46">
        <v>38638.6</v>
      </c>
      <c r="Q391" s="98"/>
      <c r="R391" s="23" t="s">
        <v>1438</v>
      </c>
      <c r="S391" s="24" t="s">
        <v>950</v>
      </c>
      <c r="T391" s="25" t="s">
        <v>30</v>
      </c>
      <c r="U391" s="26">
        <v>159</v>
      </c>
      <c r="V391" s="26">
        <f t="shared" si="78"/>
        <v>159</v>
      </c>
      <c r="W391" s="26">
        <f t="shared" si="74"/>
        <v>270.2</v>
      </c>
      <c r="X391" s="199">
        <f t="shared" si="79"/>
        <v>0</v>
      </c>
      <c r="Y391" s="26">
        <f t="shared" si="75"/>
        <v>143</v>
      </c>
      <c r="Z391" s="26">
        <f t="shared" si="80"/>
        <v>0</v>
      </c>
      <c r="AA391" s="26">
        <f t="shared" si="82"/>
        <v>38638.6</v>
      </c>
      <c r="AB391" s="33" t="s">
        <v>15</v>
      </c>
      <c r="AC391" s="324"/>
      <c r="AD391" s="181">
        <f t="shared" si="73"/>
        <v>159</v>
      </c>
      <c r="AE391" s="181">
        <f t="shared" si="72"/>
        <v>42961.8</v>
      </c>
      <c r="AF391" s="181">
        <v>1.8</v>
      </c>
      <c r="AG391" s="181">
        <v>1.8</v>
      </c>
      <c r="AH391" s="363" t="str">
        <f t="shared" si="81"/>
        <v/>
      </c>
      <c r="AI391" s="191">
        <v>143</v>
      </c>
      <c r="AJ391" s="188">
        <v>159</v>
      </c>
      <c r="AO391" s="367"/>
      <c r="AP391" s="367"/>
      <c r="AQ391" s="367"/>
    </row>
    <row r="392" spans="1:43" s="69" customFormat="1" ht="78" x14ac:dyDescent="0.3">
      <c r="A392" s="130" t="s">
        <v>952</v>
      </c>
      <c r="B392" s="131" t="s">
        <v>953</v>
      </c>
      <c r="C392" s="132" t="s">
        <v>30</v>
      </c>
      <c r="D392" s="133">
        <v>1199</v>
      </c>
      <c r="E392" s="75"/>
      <c r="F392" s="75"/>
      <c r="G392" s="75"/>
      <c r="H392" s="75"/>
      <c r="I392" s="328">
        <v>2197.1999999999998</v>
      </c>
      <c r="J392" s="75">
        <v>152.94</v>
      </c>
      <c r="K392" s="75">
        <v>336039.77</v>
      </c>
      <c r="L392" s="91" t="s">
        <v>954</v>
      </c>
      <c r="M392" s="73"/>
      <c r="N392" s="46">
        <v>1192</v>
      </c>
      <c r="O392" s="46">
        <v>3517.6200000000244</v>
      </c>
      <c r="P392" s="46">
        <v>182304.48</v>
      </c>
      <c r="Q392" s="98"/>
      <c r="R392" s="23" t="s">
        <v>1439</v>
      </c>
      <c r="S392" s="24" t="s">
        <v>953</v>
      </c>
      <c r="T392" s="25" t="s">
        <v>30</v>
      </c>
      <c r="U392" s="26">
        <v>1199</v>
      </c>
      <c r="V392" s="26">
        <f t="shared" si="78"/>
        <v>2197.1999999999998</v>
      </c>
      <c r="W392" s="26">
        <f t="shared" si="74"/>
        <v>152.94</v>
      </c>
      <c r="X392" s="243">
        <f t="shared" si="79"/>
        <v>0</v>
      </c>
      <c r="Y392" s="127">
        <f t="shared" si="75"/>
        <v>1192</v>
      </c>
      <c r="Z392" s="127">
        <f t="shared" si="80"/>
        <v>0</v>
      </c>
      <c r="AA392" s="127">
        <f t="shared" si="82"/>
        <v>182304.48</v>
      </c>
      <c r="AB392" s="33" t="s">
        <v>15</v>
      </c>
      <c r="AC392" s="324"/>
      <c r="AD392" s="181">
        <f t="shared" si="73"/>
        <v>2197.1999999999998</v>
      </c>
      <c r="AE392" s="181">
        <f t="shared" si="72"/>
        <v>336039.77</v>
      </c>
      <c r="AF392" s="181">
        <v>1.8</v>
      </c>
      <c r="AG392" s="181">
        <v>1.8</v>
      </c>
      <c r="AH392" s="363" t="str">
        <f t="shared" si="81"/>
        <v/>
      </c>
      <c r="AI392" s="191">
        <f>427+136.9+605.1+23</f>
        <v>1192</v>
      </c>
      <c r="AJ392" s="190">
        <v>2197.1999999999998</v>
      </c>
      <c r="AO392" s="367"/>
      <c r="AP392" s="367"/>
      <c r="AQ392" s="367"/>
    </row>
    <row r="393" spans="1:43" s="69" customFormat="1" ht="49.5" x14ac:dyDescent="0.3">
      <c r="A393" s="130" t="s">
        <v>955</v>
      </c>
      <c r="B393" s="240" t="s">
        <v>956</v>
      </c>
      <c r="C393" s="132" t="s">
        <v>30</v>
      </c>
      <c r="D393" s="133">
        <v>144</v>
      </c>
      <c r="E393" s="75"/>
      <c r="F393" s="75"/>
      <c r="G393" s="75"/>
      <c r="H393" s="75"/>
      <c r="I393" s="75"/>
      <c r="J393" s="75">
        <v>228.14</v>
      </c>
      <c r="K393" s="75">
        <v>32852.160000000003</v>
      </c>
      <c r="L393" s="91" t="s">
        <v>957</v>
      </c>
      <c r="M393" s="73"/>
      <c r="N393" s="46">
        <v>144</v>
      </c>
      <c r="O393" s="46">
        <v>0</v>
      </c>
      <c r="P393" s="46">
        <v>32852.160000000003</v>
      </c>
      <c r="Q393" s="98"/>
      <c r="R393" s="23" t="s">
        <v>1440</v>
      </c>
      <c r="S393" s="24" t="s">
        <v>956</v>
      </c>
      <c r="T393" s="25" t="s">
        <v>30</v>
      </c>
      <c r="U393" s="26">
        <v>144</v>
      </c>
      <c r="V393" s="26">
        <f t="shared" si="78"/>
        <v>144</v>
      </c>
      <c r="W393" s="26">
        <f t="shared" si="74"/>
        <v>228.14</v>
      </c>
      <c r="X393" s="127">
        <f t="shared" si="79"/>
        <v>0</v>
      </c>
      <c r="Y393" s="127">
        <f t="shared" si="75"/>
        <v>144</v>
      </c>
      <c r="Z393" s="127">
        <f t="shared" si="80"/>
        <v>0</v>
      </c>
      <c r="AA393" s="127">
        <f t="shared" si="82"/>
        <v>32852.160000000003</v>
      </c>
      <c r="AB393" s="33" t="s">
        <v>15</v>
      </c>
      <c r="AC393" s="324"/>
      <c r="AD393" s="181">
        <f t="shared" si="73"/>
        <v>144</v>
      </c>
      <c r="AE393" s="181">
        <f t="shared" si="72"/>
        <v>32852.160000000003</v>
      </c>
      <c r="AF393" s="181">
        <v>1.8</v>
      </c>
      <c r="AG393" s="181">
        <v>1.8</v>
      </c>
      <c r="AH393" s="363" t="str">
        <f t="shared" si="81"/>
        <v/>
      </c>
      <c r="AI393" s="194">
        <f>75+69</f>
        <v>144</v>
      </c>
      <c r="AJ393" s="188">
        <v>144</v>
      </c>
      <c r="AO393" s="367"/>
      <c r="AP393" s="367"/>
      <c r="AQ393" s="367"/>
    </row>
    <row r="394" spans="1:43" s="69" customFormat="1" ht="39" x14ac:dyDescent="0.3">
      <c r="A394" s="130" t="s">
        <v>958</v>
      </c>
      <c r="B394" s="131" t="s">
        <v>959</v>
      </c>
      <c r="C394" s="132" t="s">
        <v>14</v>
      </c>
      <c r="D394" s="133">
        <v>1</v>
      </c>
      <c r="E394" s="75"/>
      <c r="F394" s="75"/>
      <c r="G394" s="75"/>
      <c r="H394" s="75"/>
      <c r="I394" s="75"/>
      <c r="J394" s="75">
        <v>90448.13</v>
      </c>
      <c r="K394" s="75">
        <v>90448.13</v>
      </c>
      <c r="L394" s="91" t="s">
        <v>960</v>
      </c>
      <c r="M394" s="73"/>
      <c r="N394" s="46">
        <v>1</v>
      </c>
      <c r="O394" s="46">
        <v>90448.13</v>
      </c>
      <c r="P394" s="46">
        <v>90448.13</v>
      </c>
      <c r="Q394" s="98"/>
      <c r="R394" s="23" t="s">
        <v>1441</v>
      </c>
      <c r="S394" s="24" t="s">
        <v>959</v>
      </c>
      <c r="T394" s="25" t="s">
        <v>14</v>
      </c>
      <c r="U394" s="26">
        <v>1</v>
      </c>
      <c r="V394" s="26">
        <f t="shared" si="78"/>
        <v>1</v>
      </c>
      <c r="W394" s="26">
        <f t="shared" si="74"/>
        <v>90448.13</v>
      </c>
      <c r="X394" s="243">
        <f t="shared" si="79"/>
        <v>0</v>
      </c>
      <c r="Y394" s="127">
        <f t="shared" si="75"/>
        <v>1</v>
      </c>
      <c r="Z394" s="127">
        <f t="shared" si="80"/>
        <v>0</v>
      </c>
      <c r="AA394" s="127">
        <f t="shared" si="82"/>
        <v>90448.13</v>
      </c>
      <c r="AB394" s="33" t="s">
        <v>15</v>
      </c>
      <c r="AC394" s="324"/>
      <c r="AD394" s="181">
        <f t="shared" ref="AD394:AD457" si="83">IF(V394=0,U394,V394)</f>
        <v>1</v>
      </c>
      <c r="AE394" s="181">
        <f t="shared" si="72"/>
        <v>90448.13</v>
      </c>
      <c r="AF394" s="181">
        <v>1.8</v>
      </c>
      <c r="AG394" s="181">
        <v>1.8</v>
      </c>
      <c r="AH394" s="363" t="str">
        <f t="shared" si="81"/>
        <v/>
      </c>
      <c r="AI394" s="193">
        <v>1</v>
      </c>
      <c r="AJ394" s="188">
        <v>1</v>
      </c>
      <c r="AO394" s="367"/>
      <c r="AP394" s="367"/>
      <c r="AQ394" s="367"/>
    </row>
    <row r="395" spans="1:43" s="69" customFormat="1" ht="57" x14ac:dyDescent="0.3">
      <c r="A395" s="130" t="s">
        <v>961</v>
      </c>
      <c r="B395" s="358" t="s">
        <v>962</v>
      </c>
      <c r="C395" s="132" t="s">
        <v>30</v>
      </c>
      <c r="D395" s="133">
        <v>2702</v>
      </c>
      <c r="E395" s="75"/>
      <c r="F395" s="75"/>
      <c r="G395" s="75"/>
      <c r="H395" s="75"/>
      <c r="I395" s="75"/>
      <c r="J395" s="75">
        <v>81.569999999999993</v>
      </c>
      <c r="K395" s="75">
        <v>220402.14</v>
      </c>
      <c r="L395" s="91" t="s">
        <v>963</v>
      </c>
      <c r="M395" s="73"/>
      <c r="N395" s="46">
        <v>2678</v>
      </c>
      <c r="O395" s="46">
        <v>41763.839999999997</v>
      </c>
      <c r="P395" s="46">
        <v>218444.46</v>
      </c>
      <c r="Q395" s="98"/>
      <c r="R395" s="23" t="s">
        <v>1442</v>
      </c>
      <c r="S395" s="24" t="s">
        <v>962</v>
      </c>
      <c r="T395" s="25" t="s">
        <v>30</v>
      </c>
      <c r="U395" s="26">
        <v>2702</v>
      </c>
      <c r="V395" s="26">
        <f t="shared" si="78"/>
        <v>2702</v>
      </c>
      <c r="W395" s="26">
        <f t="shared" ref="W395:W458" si="84">J395</f>
        <v>81.569999999999993</v>
      </c>
      <c r="X395" s="243">
        <f t="shared" si="79"/>
        <v>0</v>
      </c>
      <c r="Y395" s="127">
        <f t="shared" si="75"/>
        <v>2678</v>
      </c>
      <c r="Z395" s="127">
        <f t="shared" si="80"/>
        <v>0</v>
      </c>
      <c r="AA395" s="127">
        <f t="shared" si="82"/>
        <v>218444.46</v>
      </c>
      <c r="AB395" s="33" t="s">
        <v>15</v>
      </c>
      <c r="AC395" s="324"/>
      <c r="AD395" s="181">
        <f t="shared" si="83"/>
        <v>2702</v>
      </c>
      <c r="AE395" s="181">
        <f t="shared" si="72"/>
        <v>220402.14</v>
      </c>
      <c r="AF395" s="181">
        <v>1.8</v>
      </c>
      <c r="AG395" s="181">
        <v>1.8</v>
      </c>
      <c r="AH395" s="363" t="str">
        <f t="shared" si="81"/>
        <v/>
      </c>
      <c r="AI395" s="191">
        <f>1127.8+1038.2+512</f>
        <v>2678</v>
      </c>
      <c r="AJ395" s="188">
        <v>2702</v>
      </c>
      <c r="AO395" s="367"/>
      <c r="AP395" s="367"/>
      <c r="AQ395" s="367"/>
    </row>
    <row r="396" spans="1:43" s="69" customFormat="1" ht="39" x14ac:dyDescent="0.3">
      <c r="A396" s="130" t="s">
        <v>964</v>
      </c>
      <c r="B396" s="131" t="s">
        <v>965</v>
      </c>
      <c r="C396" s="132" t="s">
        <v>14</v>
      </c>
      <c r="D396" s="133">
        <v>1</v>
      </c>
      <c r="E396" s="75"/>
      <c r="F396" s="75"/>
      <c r="G396" s="75"/>
      <c r="H396" s="75"/>
      <c r="I396" s="75"/>
      <c r="J396" s="75">
        <v>25939</v>
      </c>
      <c r="K396" s="75">
        <v>25939</v>
      </c>
      <c r="L396" s="91" t="s">
        <v>966</v>
      </c>
      <c r="M396" s="73"/>
      <c r="N396" s="46">
        <v>1</v>
      </c>
      <c r="O396" s="46">
        <v>0</v>
      </c>
      <c r="P396" s="46">
        <v>25939</v>
      </c>
      <c r="Q396" s="98"/>
      <c r="R396" s="23" t="s">
        <v>1443</v>
      </c>
      <c r="S396" s="24" t="s">
        <v>965</v>
      </c>
      <c r="T396" s="25" t="s">
        <v>14</v>
      </c>
      <c r="U396" s="26">
        <v>1</v>
      </c>
      <c r="V396" s="26">
        <f t="shared" si="78"/>
        <v>1</v>
      </c>
      <c r="W396" s="26">
        <f t="shared" si="84"/>
        <v>25939</v>
      </c>
      <c r="X396" s="127">
        <f t="shared" si="79"/>
        <v>0</v>
      </c>
      <c r="Y396" s="127">
        <f t="shared" si="75"/>
        <v>1</v>
      </c>
      <c r="Z396" s="127">
        <f t="shared" si="80"/>
        <v>0</v>
      </c>
      <c r="AA396" s="127">
        <f t="shared" si="82"/>
        <v>25939</v>
      </c>
      <c r="AB396" s="33" t="s">
        <v>15</v>
      </c>
      <c r="AC396" s="324"/>
      <c r="AD396" s="181">
        <f t="shared" si="83"/>
        <v>1</v>
      </c>
      <c r="AE396" s="181">
        <f t="shared" si="72"/>
        <v>25939</v>
      </c>
      <c r="AF396" s="181">
        <v>1.8</v>
      </c>
      <c r="AG396" s="181">
        <v>1.8</v>
      </c>
      <c r="AH396" s="363" t="str">
        <f t="shared" si="81"/>
        <v/>
      </c>
      <c r="AI396" s="194">
        <v>1</v>
      </c>
      <c r="AJ396" s="188">
        <v>1</v>
      </c>
      <c r="AO396" s="367"/>
      <c r="AP396" s="367"/>
      <c r="AQ396" s="367"/>
    </row>
    <row r="397" spans="1:43" s="69" customFormat="1" ht="58.5" x14ac:dyDescent="0.3">
      <c r="A397" s="55" t="s">
        <v>967</v>
      </c>
      <c r="B397" s="215" t="s">
        <v>3159</v>
      </c>
      <c r="C397" s="54" t="s">
        <v>30</v>
      </c>
      <c r="D397" s="75">
        <v>1272</v>
      </c>
      <c r="E397" s="75"/>
      <c r="F397" s="75"/>
      <c r="G397" s="75"/>
      <c r="H397" s="75"/>
      <c r="I397" s="75"/>
      <c r="J397" s="75">
        <v>36.96</v>
      </c>
      <c r="K397" s="75">
        <v>47013.120000000003</v>
      </c>
      <c r="L397" s="91" t="s">
        <v>969</v>
      </c>
      <c r="M397" s="73"/>
      <c r="N397" s="46">
        <v>1239.8</v>
      </c>
      <c r="O397" s="46">
        <v>18923.52</v>
      </c>
      <c r="P397" s="46">
        <v>45823.01</v>
      </c>
      <c r="Q397" s="98"/>
      <c r="R397" s="23" t="s">
        <v>1444</v>
      </c>
      <c r="S397" s="24" t="s">
        <v>968</v>
      </c>
      <c r="T397" s="25" t="s">
        <v>30</v>
      </c>
      <c r="U397" s="26">
        <v>1272</v>
      </c>
      <c r="V397" s="26">
        <f t="shared" si="78"/>
        <v>1272</v>
      </c>
      <c r="W397" s="26">
        <f t="shared" si="84"/>
        <v>36.96</v>
      </c>
      <c r="X397" s="243">
        <f t="shared" si="79"/>
        <v>0</v>
      </c>
      <c r="Y397" s="26">
        <f t="shared" si="75"/>
        <v>1239.8</v>
      </c>
      <c r="Z397" s="26">
        <f t="shared" si="80"/>
        <v>0</v>
      </c>
      <c r="AA397" s="26">
        <f t="shared" si="82"/>
        <v>45823.01</v>
      </c>
      <c r="AB397" s="33" t="s">
        <v>15</v>
      </c>
      <c r="AC397" s="325"/>
      <c r="AD397" s="263">
        <f t="shared" si="83"/>
        <v>1272</v>
      </c>
      <c r="AE397" s="263">
        <f t="shared" si="72"/>
        <v>47013.120000000003</v>
      </c>
      <c r="AF397" s="263">
        <v>1.8</v>
      </c>
      <c r="AG397" s="263">
        <v>1.8</v>
      </c>
      <c r="AH397" s="68" t="str">
        <f t="shared" si="81"/>
        <v/>
      </c>
      <c r="AI397" s="191">
        <f>365.5+62.3+300+512</f>
        <v>1239.8</v>
      </c>
      <c r="AJ397" s="188">
        <v>1272</v>
      </c>
      <c r="AO397" s="367"/>
      <c r="AP397" s="367"/>
      <c r="AQ397" s="367"/>
    </row>
    <row r="398" spans="1:43" s="69" customFormat="1" ht="58.5" x14ac:dyDescent="0.3">
      <c r="A398" s="55" t="s">
        <v>970</v>
      </c>
      <c r="B398" s="215" t="s">
        <v>971</v>
      </c>
      <c r="C398" s="54" t="s">
        <v>30</v>
      </c>
      <c r="D398" s="75">
        <v>1470</v>
      </c>
      <c r="E398" s="75"/>
      <c r="F398" s="75"/>
      <c r="G398" s="75"/>
      <c r="H398" s="75"/>
      <c r="I398" s="75"/>
      <c r="J398" s="75">
        <v>62.45</v>
      </c>
      <c r="K398" s="75">
        <v>91801.5</v>
      </c>
      <c r="L398" s="91" t="s">
        <v>972</v>
      </c>
      <c r="M398" s="73"/>
      <c r="N398" s="46">
        <v>1315</v>
      </c>
      <c r="O398" s="46">
        <v>14488.399999999994</v>
      </c>
      <c r="P398" s="46">
        <v>82121.75</v>
      </c>
      <c r="Q398" s="98"/>
      <c r="R398" s="23" t="s">
        <v>1408</v>
      </c>
      <c r="S398" s="24" t="s">
        <v>971</v>
      </c>
      <c r="T398" s="25" t="s">
        <v>30</v>
      </c>
      <c r="U398" s="26">
        <v>1470</v>
      </c>
      <c r="V398" s="26">
        <f t="shared" si="78"/>
        <v>1470</v>
      </c>
      <c r="W398" s="26">
        <f t="shared" si="84"/>
        <v>62.45</v>
      </c>
      <c r="X398" s="243">
        <f t="shared" si="79"/>
        <v>0</v>
      </c>
      <c r="Y398" s="26">
        <f t="shared" si="75"/>
        <v>1315</v>
      </c>
      <c r="Z398" s="26">
        <f t="shared" si="80"/>
        <v>0</v>
      </c>
      <c r="AA398" s="26">
        <f t="shared" si="82"/>
        <v>82121.75</v>
      </c>
      <c r="AB398" s="33" t="s">
        <v>15</v>
      </c>
      <c r="AC398" s="325"/>
      <c r="AD398" s="263">
        <f t="shared" si="83"/>
        <v>1470</v>
      </c>
      <c r="AE398" s="263">
        <f t="shared" si="72"/>
        <v>91801.5</v>
      </c>
      <c r="AF398" s="263">
        <v>1.8</v>
      </c>
      <c r="AG398" s="263">
        <v>1.8</v>
      </c>
      <c r="AH398" s="68" t="str">
        <f t="shared" si="81"/>
        <v/>
      </c>
      <c r="AI398" s="191">
        <f>427+136.9+519.1+232</f>
        <v>1315</v>
      </c>
      <c r="AJ398" s="188">
        <v>1470</v>
      </c>
      <c r="AO398" s="367"/>
      <c r="AP398" s="367"/>
      <c r="AQ398" s="367"/>
    </row>
    <row r="399" spans="1:43" s="69" customFormat="1" ht="58.5" x14ac:dyDescent="0.3">
      <c r="A399" s="130" t="s">
        <v>973</v>
      </c>
      <c r="B399" s="131" t="s">
        <v>974</v>
      </c>
      <c r="C399" s="132" t="s">
        <v>30</v>
      </c>
      <c r="D399" s="133">
        <v>407</v>
      </c>
      <c r="E399" s="75"/>
      <c r="F399" s="75"/>
      <c r="G399" s="75"/>
      <c r="H399" s="75"/>
      <c r="I399" s="328">
        <v>784</v>
      </c>
      <c r="J399" s="75">
        <v>90.49</v>
      </c>
      <c r="K399" s="75">
        <v>70944.160000000003</v>
      </c>
      <c r="L399" s="91" t="s">
        <v>975</v>
      </c>
      <c r="M399" s="73"/>
      <c r="N399" s="46">
        <v>407</v>
      </c>
      <c r="O399" s="46">
        <v>0</v>
      </c>
      <c r="P399" s="46">
        <v>36829.43</v>
      </c>
      <c r="Q399" s="98"/>
      <c r="R399" s="23" t="s">
        <v>1409</v>
      </c>
      <c r="S399" s="24" t="s">
        <v>974</v>
      </c>
      <c r="T399" s="25" t="s">
        <v>30</v>
      </c>
      <c r="U399" s="26">
        <v>407</v>
      </c>
      <c r="V399" s="26">
        <f t="shared" si="78"/>
        <v>784</v>
      </c>
      <c r="W399" s="26">
        <f t="shared" si="84"/>
        <v>90.49</v>
      </c>
      <c r="X399" s="128">
        <f t="shared" si="79"/>
        <v>0</v>
      </c>
      <c r="Y399" s="127">
        <f t="shared" si="75"/>
        <v>407</v>
      </c>
      <c r="Z399" s="127">
        <f t="shared" si="80"/>
        <v>0</v>
      </c>
      <c r="AA399" s="127">
        <f t="shared" si="82"/>
        <v>36829.43</v>
      </c>
      <c r="AB399" s="33" t="s">
        <v>15</v>
      </c>
      <c r="AC399" s="325"/>
      <c r="AD399" s="263">
        <f t="shared" si="83"/>
        <v>784</v>
      </c>
      <c r="AE399" s="263">
        <f t="shared" si="72"/>
        <v>70944.160000000003</v>
      </c>
      <c r="AF399" s="263">
        <v>1.8</v>
      </c>
      <c r="AG399" s="263">
        <v>1.8</v>
      </c>
      <c r="AH399" s="68" t="str">
        <f t="shared" si="81"/>
        <v/>
      </c>
      <c r="AI399" s="194">
        <f>149+258</f>
        <v>407</v>
      </c>
      <c r="AJ399" s="190">
        <v>784</v>
      </c>
      <c r="AO399" s="367"/>
      <c r="AP399" s="367"/>
      <c r="AQ399" s="367"/>
    </row>
    <row r="400" spans="1:43" s="69" customFormat="1" ht="58.5" x14ac:dyDescent="0.3">
      <c r="A400" s="130" t="s">
        <v>976</v>
      </c>
      <c r="B400" s="131" t="s">
        <v>977</v>
      </c>
      <c r="C400" s="132" t="s">
        <v>30</v>
      </c>
      <c r="D400" s="133">
        <v>55</v>
      </c>
      <c r="E400" s="75"/>
      <c r="F400" s="75"/>
      <c r="G400" s="75"/>
      <c r="H400" s="75"/>
      <c r="I400" s="328">
        <v>515</v>
      </c>
      <c r="J400" s="75">
        <v>186.08</v>
      </c>
      <c r="K400" s="75">
        <v>95831.2</v>
      </c>
      <c r="L400" s="91" t="s">
        <v>978</v>
      </c>
      <c r="M400" s="73"/>
      <c r="N400" s="46">
        <v>55</v>
      </c>
      <c r="O400" s="46">
        <v>0</v>
      </c>
      <c r="P400" s="46">
        <v>10234.4</v>
      </c>
      <c r="Q400" s="98"/>
      <c r="R400" s="23" t="s">
        <v>1410</v>
      </c>
      <c r="S400" s="24" t="s">
        <v>977</v>
      </c>
      <c r="T400" s="25" t="s">
        <v>30</v>
      </c>
      <c r="U400" s="26">
        <v>55</v>
      </c>
      <c r="V400" s="26">
        <f t="shared" si="78"/>
        <v>515</v>
      </c>
      <c r="W400" s="26">
        <f t="shared" si="84"/>
        <v>186.08</v>
      </c>
      <c r="X400" s="128">
        <f t="shared" si="79"/>
        <v>0</v>
      </c>
      <c r="Y400" s="127">
        <f t="shared" si="75"/>
        <v>55</v>
      </c>
      <c r="Z400" s="127">
        <f t="shared" si="80"/>
        <v>0</v>
      </c>
      <c r="AA400" s="127">
        <f t="shared" si="82"/>
        <v>10234.4</v>
      </c>
      <c r="AB400" s="33" t="s">
        <v>15</v>
      </c>
      <c r="AC400" s="325"/>
      <c r="AD400" s="263">
        <f t="shared" si="83"/>
        <v>515</v>
      </c>
      <c r="AE400" s="263">
        <f t="shared" si="72"/>
        <v>95831.2</v>
      </c>
      <c r="AF400" s="263">
        <v>1.8</v>
      </c>
      <c r="AG400" s="263">
        <v>1.8</v>
      </c>
      <c r="AH400" s="68" t="str">
        <f t="shared" si="81"/>
        <v/>
      </c>
      <c r="AI400" s="194">
        <f>55</f>
        <v>55</v>
      </c>
      <c r="AJ400" s="190">
        <v>515</v>
      </c>
      <c r="AO400" s="367"/>
      <c r="AP400" s="367"/>
      <c r="AQ400" s="367"/>
    </row>
    <row r="401" spans="1:43" s="69" customFormat="1" ht="39" x14ac:dyDescent="0.3">
      <c r="A401" s="55" t="s">
        <v>979</v>
      </c>
      <c r="B401" s="53" t="s">
        <v>980</v>
      </c>
      <c r="C401" s="54" t="s">
        <v>14</v>
      </c>
      <c r="D401" s="75">
        <v>1</v>
      </c>
      <c r="E401" s="75"/>
      <c r="F401" s="75"/>
      <c r="G401" s="75"/>
      <c r="H401" s="75"/>
      <c r="I401" s="75"/>
      <c r="J401" s="75">
        <v>51046</v>
      </c>
      <c r="K401" s="75">
        <v>51046</v>
      </c>
      <c r="L401" s="91" t="s">
        <v>981</v>
      </c>
      <c r="M401" s="73"/>
      <c r="N401" s="46">
        <v>0</v>
      </c>
      <c r="O401" s="46">
        <v>0</v>
      </c>
      <c r="P401" s="46">
        <v>0</v>
      </c>
      <c r="Q401" s="98"/>
      <c r="R401" s="23" t="s">
        <v>1411</v>
      </c>
      <c r="S401" s="24" t="s">
        <v>980</v>
      </c>
      <c r="T401" s="25" t="s">
        <v>14</v>
      </c>
      <c r="U401" s="26">
        <v>1</v>
      </c>
      <c r="V401" s="26">
        <f t="shared" si="78"/>
        <v>1</v>
      </c>
      <c r="W401" s="26">
        <f t="shared" si="84"/>
        <v>51046</v>
      </c>
      <c r="X401" s="26">
        <f t="shared" si="79"/>
        <v>0</v>
      </c>
      <c r="Y401" s="26">
        <f t="shared" si="75"/>
        <v>0</v>
      </c>
      <c r="Z401" s="26">
        <f t="shared" si="80"/>
        <v>0</v>
      </c>
      <c r="AA401" s="26">
        <f t="shared" si="82"/>
        <v>0</v>
      </c>
      <c r="AB401" s="33" t="s">
        <v>15</v>
      </c>
      <c r="AC401" s="324"/>
      <c r="AD401" s="181">
        <f t="shared" si="83"/>
        <v>1</v>
      </c>
      <c r="AE401" s="181">
        <f t="shared" ref="AE401:AE406" si="85">ROUND(W401*AD401,2)</f>
        <v>51046</v>
      </c>
      <c r="AF401" s="181">
        <v>1.8</v>
      </c>
      <c r="AG401" s="181">
        <v>1.8</v>
      </c>
      <c r="AH401" s="363" t="str">
        <f t="shared" si="81"/>
        <v/>
      </c>
      <c r="AI401" s="192">
        <v>0</v>
      </c>
      <c r="AJ401" s="188">
        <v>1</v>
      </c>
      <c r="AO401" s="367"/>
      <c r="AP401" s="367"/>
      <c r="AQ401" s="367"/>
    </row>
    <row r="402" spans="1:43" s="69" customFormat="1" ht="39" x14ac:dyDescent="0.3">
      <c r="A402" s="55" t="s">
        <v>982</v>
      </c>
      <c r="B402" s="53" t="s">
        <v>983</v>
      </c>
      <c r="C402" s="54" t="s">
        <v>30</v>
      </c>
      <c r="D402" s="75">
        <v>132</v>
      </c>
      <c r="E402" s="75"/>
      <c r="F402" s="75"/>
      <c r="G402" s="75"/>
      <c r="H402" s="75"/>
      <c r="I402" s="75"/>
      <c r="J402" s="75">
        <v>671.66</v>
      </c>
      <c r="K402" s="75">
        <v>88659.12</v>
      </c>
      <c r="L402" s="91" t="s">
        <v>984</v>
      </c>
      <c r="M402" s="73"/>
      <c r="N402" s="46">
        <v>120</v>
      </c>
      <c r="O402" s="46">
        <v>0</v>
      </c>
      <c r="P402" s="46">
        <v>80599.199999999997</v>
      </c>
      <c r="Q402" s="98"/>
      <c r="R402" s="23" t="s">
        <v>1445</v>
      </c>
      <c r="S402" s="24" t="s">
        <v>983</v>
      </c>
      <c r="T402" s="25" t="s">
        <v>30</v>
      </c>
      <c r="U402" s="26">
        <v>132</v>
      </c>
      <c r="V402" s="26">
        <f t="shared" si="78"/>
        <v>132</v>
      </c>
      <c r="W402" s="26">
        <f t="shared" si="84"/>
        <v>671.66</v>
      </c>
      <c r="X402" s="26">
        <f t="shared" si="79"/>
        <v>0</v>
      </c>
      <c r="Y402" s="26">
        <f t="shared" si="75"/>
        <v>120</v>
      </c>
      <c r="Z402" s="26">
        <f t="shared" si="80"/>
        <v>0</v>
      </c>
      <c r="AA402" s="26">
        <f t="shared" si="82"/>
        <v>80599.199999999997</v>
      </c>
      <c r="AB402" s="33" t="s">
        <v>15</v>
      </c>
      <c r="AC402" s="325"/>
      <c r="AD402" s="263">
        <f t="shared" si="83"/>
        <v>132</v>
      </c>
      <c r="AE402" s="263">
        <f t="shared" si="85"/>
        <v>88659.12</v>
      </c>
      <c r="AF402" s="263">
        <v>1.8</v>
      </c>
      <c r="AG402" s="263">
        <v>1.8</v>
      </c>
      <c r="AH402" s="68" t="str">
        <f t="shared" si="81"/>
        <v/>
      </c>
      <c r="AI402" s="194">
        <v>120</v>
      </c>
      <c r="AJ402" s="188">
        <v>132</v>
      </c>
      <c r="AO402" s="367"/>
      <c r="AP402" s="367"/>
      <c r="AQ402" s="367"/>
    </row>
    <row r="403" spans="1:43" s="69" customFormat="1" ht="39" x14ac:dyDescent="0.3">
      <c r="A403" s="55" t="s">
        <v>985</v>
      </c>
      <c r="B403" s="53" t="s">
        <v>986</v>
      </c>
      <c r="C403" s="54" t="s">
        <v>14</v>
      </c>
      <c r="D403" s="75">
        <v>1</v>
      </c>
      <c r="E403" s="75"/>
      <c r="F403" s="75"/>
      <c r="G403" s="75"/>
      <c r="H403" s="75"/>
      <c r="I403" s="75"/>
      <c r="J403" s="75">
        <v>24347</v>
      </c>
      <c r="K403" s="75">
        <v>24347</v>
      </c>
      <c r="L403" s="91" t="s">
        <v>987</v>
      </c>
      <c r="M403" s="73"/>
      <c r="N403" s="46">
        <v>0</v>
      </c>
      <c r="O403" s="46">
        <v>0</v>
      </c>
      <c r="P403" s="46">
        <v>0</v>
      </c>
      <c r="Q403" s="98"/>
      <c r="R403" s="23" t="s">
        <v>1383</v>
      </c>
      <c r="S403" s="24" t="s">
        <v>986</v>
      </c>
      <c r="T403" s="25" t="s">
        <v>14</v>
      </c>
      <c r="U403" s="26">
        <v>1</v>
      </c>
      <c r="V403" s="26">
        <f t="shared" si="78"/>
        <v>1</v>
      </c>
      <c r="W403" s="26">
        <f t="shared" si="84"/>
        <v>24347</v>
      </c>
      <c r="X403" s="26">
        <f t="shared" si="79"/>
        <v>0</v>
      </c>
      <c r="Y403" s="26">
        <f t="shared" si="75"/>
        <v>0</v>
      </c>
      <c r="Z403" s="26">
        <f t="shared" si="80"/>
        <v>0</v>
      </c>
      <c r="AA403" s="26">
        <f t="shared" si="82"/>
        <v>0</v>
      </c>
      <c r="AB403" s="33" t="s">
        <v>15</v>
      </c>
      <c r="AC403" s="324"/>
      <c r="AD403" s="181">
        <f t="shared" si="83"/>
        <v>1</v>
      </c>
      <c r="AE403" s="181">
        <f t="shared" si="85"/>
        <v>24347</v>
      </c>
      <c r="AF403" s="181">
        <v>1.8</v>
      </c>
      <c r="AG403" s="181">
        <v>1.8</v>
      </c>
      <c r="AH403" s="363" t="str">
        <f t="shared" si="81"/>
        <v/>
      </c>
      <c r="AI403" s="192">
        <v>0</v>
      </c>
      <c r="AJ403" s="188">
        <v>1</v>
      </c>
      <c r="AN403" s="281"/>
      <c r="AO403" s="367"/>
      <c r="AP403" s="367"/>
      <c r="AQ403" s="367"/>
    </row>
    <row r="404" spans="1:43" s="281" customFormat="1" x14ac:dyDescent="0.3">
      <c r="A404" s="283" t="s">
        <v>3245</v>
      </c>
      <c r="B404" s="211" t="s">
        <v>3248</v>
      </c>
      <c r="C404" s="212" t="s">
        <v>81</v>
      </c>
      <c r="D404" s="213"/>
      <c r="E404" s="213"/>
      <c r="F404" s="213"/>
      <c r="G404" s="213"/>
      <c r="H404" s="213"/>
      <c r="I404" s="337">
        <v>17</v>
      </c>
      <c r="J404" s="213">
        <v>9345.1200000000008</v>
      </c>
      <c r="K404" s="275">
        <v>158867.04</v>
      </c>
      <c r="L404" s="277"/>
      <c r="M404" s="278"/>
      <c r="N404" s="42">
        <v>14</v>
      </c>
      <c r="O404" s="42">
        <v>0</v>
      </c>
      <c r="P404" s="42">
        <v>130831.67999999999</v>
      </c>
      <c r="Q404" s="98"/>
      <c r="R404" s="13" t="s">
        <v>3251</v>
      </c>
      <c r="S404" s="286" t="str">
        <f t="shared" ref="S404:T406" si="86">B404</f>
        <v>手孔埋設</v>
      </c>
      <c r="T404" s="287" t="str">
        <f t="shared" si="86"/>
        <v>座</v>
      </c>
      <c r="U404" s="16"/>
      <c r="V404" s="16">
        <f t="shared" si="78"/>
        <v>17</v>
      </c>
      <c r="W404" s="16">
        <f t="shared" si="84"/>
        <v>9345.1200000000008</v>
      </c>
      <c r="X404" s="16">
        <f t="shared" si="79"/>
        <v>0</v>
      </c>
      <c r="Y404" s="16">
        <f t="shared" si="75"/>
        <v>14</v>
      </c>
      <c r="Z404" s="16">
        <f t="shared" si="80"/>
        <v>0</v>
      </c>
      <c r="AA404" s="16">
        <f t="shared" si="82"/>
        <v>130831.67999999999</v>
      </c>
      <c r="AB404" s="17"/>
      <c r="AC404" s="324"/>
      <c r="AD404" s="181">
        <f t="shared" si="83"/>
        <v>17</v>
      </c>
      <c r="AE404" s="181">
        <f t="shared" si="85"/>
        <v>158867.04</v>
      </c>
      <c r="AF404" s="181">
        <v>1.8</v>
      </c>
      <c r="AG404" s="181">
        <v>1.8</v>
      </c>
      <c r="AH404" s="364"/>
      <c r="AI404" s="375">
        <v>14</v>
      </c>
      <c r="AJ404" s="190">
        <v>17</v>
      </c>
      <c r="AO404" s="367"/>
      <c r="AP404" s="367"/>
      <c r="AQ404" s="367"/>
    </row>
    <row r="405" spans="1:43" s="281" customFormat="1" ht="78" x14ac:dyDescent="0.3">
      <c r="A405" s="283" t="s">
        <v>3246</v>
      </c>
      <c r="B405" s="211" t="s">
        <v>3249</v>
      </c>
      <c r="C405" s="212" t="s">
        <v>14</v>
      </c>
      <c r="D405" s="213"/>
      <c r="E405" s="213"/>
      <c r="F405" s="213"/>
      <c r="G405" s="213"/>
      <c r="H405" s="213"/>
      <c r="I405" s="337">
        <v>1</v>
      </c>
      <c r="J405" s="213">
        <v>644687.24</v>
      </c>
      <c r="K405" s="275">
        <v>644687.24</v>
      </c>
      <c r="L405" s="277"/>
      <c r="M405" s="278"/>
      <c r="N405" s="42">
        <v>0</v>
      </c>
      <c r="O405" s="42">
        <v>0</v>
      </c>
      <c r="P405" s="42">
        <v>0</v>
      </c>
      <c r="Q405" s="98"/>
      <c r="R405" s="13" t="s">
        <v>3252</v>
      </c>
      <c r="S405" s="286" t="str">
        <f t="shared" si="86"/>
        <v>液位警報系統(系統規劃建置、網路線佈設等)</v>
      </c>
      <c r="T405" s="287" t="str">
        <f t="shared" si="86"/>
        <v>式</v>
      </c>
      <c r="U405" s="16"/>
      <c r="V405" s="16">
        <f t="shared" si="78"/>
        <v>1</v>
      </c>
      <c r="W405" s="16">
        <f t="shared" si="84"/>
        <v>644687.24</v>
      </c>
      <c r="X405" s="16">
        <f t="shared" si="79"/>
        <v>0</v>
      </c>
      <c r="Y405" s="16">
        <f t="shared" si="75"/>
        <v>0</v>
      </c>
      <c r="Z405" s="16">
        <f t="shared" si="80"/>
        <v>0</v>
      </c>
      <c r="AA405" s="16">
        <f t="shared" si="82"/>
        <v>0</v>
      </c>
      <c r="AB405" s="17"/>
      <c r="AC405" s="324"/>
      <c r="AD405" s="181">
        <f t="shared" si="83"/>
        <v>1</v>
      </c>
      <c r="AE405" s="181">
        <f t="shared" si="85"/>
        <v>644687.24</v>
      </c>
      <c r="AF405" s="181">
        <v>1.8</v>
      </c>
      <c r="AG405" s="181">
        <v>1.8</v>
      </c>
      <c r="AH405" s="364"/>
      <c r="AI405" s="375"/>
      <c r="AJ405" s="190">
        <v>1</v>
      </c>
      <c r="AO405" s="367"/>
      <c r="AP405" s="367"/>
      <c r="AQ405" s="367"/>
    </row>
    <row r="406" spans="1:43" s="281" customFormat="1" ht="39" x14ac:dyDescent="0.3">
      <c r="A406" s="283" t="s">
        <v>3247</v>
      </c>
      <c r="B406" s="211" t="s">
        <v>3250</v>
      </c>
      <c r="C406" s="212" t="s">
        <v>325</v>
      </c>
      <c r="D406" s="213"/>
      <c r="E406" s="213"/>
      <c r="F406" s="213"/>
      <c r="G406" s="213"/>
      <c r="H406" s="213"/>
      <c r="I406" s="337">
        <v>18</v>
      </c>
      <c r="J406" s="213">
        <v>5860.7</v>
      </c>
      <c r="K406" s="275">
        <v>105492.6</v>
      </c>
      <c r="L406" s="277"/>
      <c r="M406" s="278"/>
      <c r="N406" s="42">
        <v>0</v>
      </c>
      <c r="O406" s="42">
        <v>0</v>
      </c>
      <c r="P406" s="42">
        <v>0</v>
      </c>
      <c r="Q406" s="98"/>
      <c r="R406" s="13" t="s">
        <v>3253</v>
      </c>
      <c r="S406" s="286" t="str">
        <f t="shared" si="86"/>
        <v>道路照明，路燈，色溫調整</v>
      </c>
      <c r="T406" s="287" t="str">
        <f t="shared" si="86"/>
        <v>組</v>
      </c>
      <c r="U406" s="16"/>
      <c r="V406" s="16">
        <f t="shared" si="78"/>
        <v>18</v>
      </c>
      <c r="W406" s="16">
        <f t="shared" si="84"/>
        <v>5860.7</v>
      </c>
      <c r="X406" s="16">
        <f t="shared" si="79"/>
        <v>0</v>
      </c>
      <c r="Y406" s="16">
        <f t="shared" si="75"/>
        <v>0</v>
      </c>
      <c r="Z406" s="16">
        <f t="shared" si="80"/>
        <v>0</v>
      </c>
      <c r="AA406" s="16">
        <f t="shared" si="82"/>
        <v>0</v>
      </c>
      <c r="AB406" s="17"/>
      <c r="AC406" s="324"/>
      <c r="AD406" s="181">
        <f t="shared" si="83"/>
        <v>18</v>
      </c>
      <c r="AE406" s="181">
        <f t="shared" si="85"/>
        <v>105492.6</v>
      </c>
      <c r="AF406" s="181">
        <v>1.8</v>
      </c>
      <c r="AG406" s="181">
        <v>1.8</v>
      </c>
      <c r="AH406" s="364"/>
      <c r="AI406" s="375"/>
      <c r="AJ406" s="190">
        <v>18</v>
      </c>
      <c r="AN406" s="69"/>
      <c r="AO406" s="367"/>
      <c r="AP406" s="367"/>
      <c r="AQ406" s="367"/>
    </row>
    <row r="407" spans="1:43" s="69" customFormat="1" ht="39" x14ac:dyDescent="0.3">
      <c r="A407" s="79" t="s">
        <v>988</v>
      </c>
      <c r="B407" s="80" t="s">
        <v>989</v>
      </c>
      <c r="C407" s="81" t="s">
        <v>14</v>
      </c>
      <c r="D407" s="82">
        <v>1</v>
      </c>
      <c r="E407" s="82"/>
      <c r="F407" s="82"/>
      <c r="G407" s="82"/>
      <c r="H407" s="82"/>
      <c r="I407" s="82"/>
      <c r="J407" s="82">
        <v>9899611.0700000003</v>
      </c>
      <c r="K407" s="82">
        <v>9899611.0700000003</v>
      </c>
      <c r="L407" s="94" t="s">
        <v>15</v>
      </c>
      <c r="M407" s="73"/>
      <c r="N407" s="45">
        <v>1</v>
      </c>
      <c r="O407" s="45">
        <v>0</v>
      </c>
      <c r="P407" s="45">
        <v>7776829.2599999998</v>
      </c>
      <c r="Q407" s="98"/>
      <c r="R407" s="18" t="s">
        <v>1401</v>
      </c>
      <c r="S407" s="19" t="s">
        <v>989</v>
      </c>
      <c r="T407" s="20" t="s">
        <v>14</v>
      </c>
      <c r="U407" s="21">
        <v>1</v>
      </c>
      <c r="V407" s="21"/>
      <c r="W407" s="21">
        <f t="shared" si="84"/>
        <v>9899611.0700000003</v>
      </c>
      <c r="X407" s="21">
        <f t="shared" ref="X407:Y407" si="87">IF(Z407=0,0,1)</f>
        <v>0</v>
      </c>
      <c r="Y407" s="21">
        <f t="shared" si="87"/>
        <v>1</v>
      </c>
      <c r="Z407" s="21">
        <f>SUMIFS(Z:Z,AG:AG,AF407)</f>
        <v>0</v>
      </c>
      <c r="AA407" s="21">
        <f>SUMIFS(AA:AA,AG:AG,AF407)</f>
        <v>7776829.2599999998</v>
      </c>
      <c r="AB407" s="22" t="s">
        <v>15</v>
      </c>
      <c r="AC407" s="324"/>
      <c r="AD407" s="181">
        <f t="shared" si="83"/>
        <v>1</v>
      </c>
      <c r="AE407" s="184"/>
      <c r="AF407" s="184">
        <v>1.9</v>
      </c>
      <c r="AG407" s="184"/>
      <c r="AH407" s="363" t="str">
        <f t="shared" si="81"/>
        <v/>
      </c>
      <c r="AI407" s="192">
        <v>1</v>
      </c>
      <c r="AJ407" s="188">
        <v>1</v>
      </c>
      <c r="AO407" s="367"/>
      <c r="AP407" s="367"/>
      <c r="AQ407" s="367"/>
    </row>
    <row r="408" spans="1:43" s="69" customFormat="1" ht="33" x14ac:dyDescent="0.3">
      <c r="A408" s="55" t="s">
        <v>990</v>
      </c>
      <c r="B408" s="138" t="s">
        <v>991</v>
      </c>
      <c r="C408" s="54" t="s">
        <v>30</v>
      </c>
      <c r="D408" s="75">
        <v>1088</v>
      </c>
      <c r="E408" s="75">
        <v>975</v>
      </c>
      <c r="F408" s="75"/>
      <c r="G408" s="75"/>
      <c r="H408" s="328">
        <v>2893</v>
      </c>
      <c r="I408" s="75"/>
      <c r="J408" s="75">
        <v>247.2</v>
      </c>
      <c r="K408" s="75">
        <v>715149.6</v>
      </c>
      <c r="L408" s="91" t="s">
        <v>992</v>
      </c>
      <c r="M408" s="73"/>
      <c r="N408" s="46">
        <v>975</v>
      </c>
      <c r="O408" s="46">
        <v>0</v>
      </c>
      <c r="P408" s="46">
        <v>241020</v>
      </c>
      <c r="Q408" s="98"/>
      <c r="R408" s="23" t="s">
        <v>1421</v>
      </c>
      <c r="S408" s="24" t="s">
        <v>991</v>
      </c>
      <c r="T408" s="25" t="s">
        <v>30</v>
      </c>
      <c r="U408" s="26">
        <v>1088</v>
      </c>
      <c r="V408" s="26">
        <f t="shared" ref="V408:V414" si="88">IF(I408&gt;0,I408,IF(H408&gt;0,H408,IF(G408&gt;0,G408,IF(F408&gt;0,F408,IF(E408&gt;0,E408,D408)))))</f>
        <v>2893</v>
      </c>
      <c r="W408" s="26">
        <f t="shared" si="84"/>
        <v>247.2</v>
      </c>
      <c r="X408" s="128">
        <f t="shared" ref="X408:X431" si="89">AI408-N408</f>
        <v>0</v>
      </c>
      <c r="Y408" s="26">
        <f t="shared" si="75"/>
        <v>975</v>
      </c>
      <c r="Z408" s="26">
        <f t="shared" ref="Z408:Z431" si="90">AA408-P408</f>
        <v>0</v>
      </c>
      <c r="AA408" s="26">
        <f t="shared" ref="AA408:AA431" si="91">ROUND(W408*Y408,2)</f>
        <v>241020</v>
      </c>
      <c r="AB408" s="27" t="s">
        <v>15</v>
      </c>
      <c r="AC408" s="325"/>
      <c r="AD408" s="263">
        <f t="shared" si="83"/>
        <v>2893</v>
      </c>
      <c r="AE408" s="263">
        <f t="shared" ref="AE408:AE433" si="92">ROUND(W408*AD408,2)</f>
        <v>715149.6</v>
      </c>
      <c r="AF408" s="263">
        <v>1.9</v>
      </c>
      <c r="AG408" s="263">
        <v>1.9</v>
      </c>
      <c r="AH408" s="68" t="str">
        <f t="shared" si="81"/>
        <v/>
      </c>
      <c r="AI408" s="194">
        <v>975</v>
      </c>
      <c r="AJ408" s="188">
        <v>2893</v>
      </c>
      <c r="AO408" s="367"/>
      <c r="AP408" s="367"/>
      <c r="AQ408" s="367"/>
    </row>
    <row r="409" spans="1:43" s="69" customFormat="1" ht="49.5" x14ac:dyDescent="0.3">
      <c r="A409" s="55" t="s">
        <v>993</v>
      </c>
      <c r="B409" s="138" t="s">
        <v>994</v>
      </c>
      <c r="C409" s="54" t="s">
        <v>30</v>
      </c>
      <c r="D409" s="75">
        <v>1088</v>
      </c>
      <c r="E409" s="75">
        <v>975</v>
      </c>
      <c r="F409" s="75"/>
      <c r="G409" s="75"/>
      <c r="H409" s="328">
        <v>2893</v>
      </c>
      <c r="I409" s="75"/>
      <c r="J409" s="75">
        <v>236.9</v>
      </c>
      <c r="K409" s="75">
        <v>685351.7</v>
      </c>
      <c r="L409" s="91" t="s">
        <v>995</v>
      </c>
      <c r="M409" s="73"/>
      <c r="N409" s="46">
        <v>975</v>
      </c>
      <c r="O409" s="46">
        <v>0</v>
      </c>
      <c r="P409" s="46">
        <v>230977.5</v>
      </c>
      <c r="Q409" s="98"/>
      <c r="R409" s="23" t="s">
        <v>1426</v>
      </c>
      <c r="S409" s="24" t="s">
        <v>994</v>
      </c>
      <c r="T409" s="25" t="s">
        <v>30</v>
      </c>
      <c r="U409" s="26">
        <v>1088</v>
      </c>
      <c r="V409" s="26">
        <f t="shared" si="88"/>
        <v>2893</v>
      </c>
      <c r="W409" s="26">
        <f t="shared" si="84"/>
        <v>236.9</v>
      </c>
      <c r="X409" s="128">
        <f t="shared" si="89"/>
        <v>0</v>
      </c>
      <c r="Y409" s="26">
        <f t="shared" ref="Y409:Y431" si="93">X409+N409</f>
        <v>975</v>
      </c>
      <c r="Z409" s="26">
        <f>AA409-P409</f>
        <v>0</v>
      </c>
      <c r="AA409" s="26">
        <f t="shared" si="91"/>
        <v>230977.5</v>
      </c>
      <c r="AB409" s="27" t="s">
        <v>15</v>
      </c>
      <c r="AC409" s="325"/>
      <c r="AD409" s="263">
        <f t="shared" si="83"/>
        <v>2893</v>
      </c>
      <c r="AE409" s="263">
        <f t="shared" si="92"/>
        <v>685351.7</v>
      </c>
      <c r="AF409" s="263">
        <v>1.9</v>
      </c>
      <c r="AG409" s="263">
        <v>1.9</v>
      </c>
      <c r="AH409" s="68" t="str">
        <f t="shared" si="81"/>
        <v/>
      </c>
      <c r="AI409" s="194">
        <v>975</v>
      </c>
      <c r="AJ409" s="188">
        <v>2893</v>
      </c>
      <c r="AO409" s="367"/>
      <c r="AP409" s="367"/>
      <c r="AQ409" s="367"/>
    </row>
    <row r="410" spans="1:43" s="69" customFormat="1" ht="39" x14ac:dyDescent="0.3">
      <c r="A410" s="55" t="s">
        <v>996</v>
      </c>
      <c r="B410" s="53" t="s">
        <v>997</v>
      </c>
      <c r="C410" s="54" t="s">
        <v>998</v>
      </c>
      <c r="D410" s="75">
        <v>6984</v>
      </c>
      <c r="E410" s="75">
        <v>8144</v>
      </c>
      <c r="F410" s="75">
        <v>8744</v>
      </c>
      <c r="G410" s="75"/>
      <c r="H410" s="328">
        <v>9795.5</v>
      </c>
      <c r="I410" s="75"/>
      <c r="J410" s="75">
        <v>252.35</v>
      </c>
      <c r="K410" s="75">
        <v>2471894.4300000002</v>
      </c>
      <c r="L410" s="91" t="s">
        <v>999</v>
      </c>
      <c r="M410" s="73"/>
      <c r="N410" s="46">
        <v>9604</v>
      </c>
      <c r="O410" s="46">
        <v>0</v>
      </c>
      <c r="P410" s="46">
        <v>2423569.4</v>
      </c>
      <c r="Q410" s="98"/>
      <c r="R410" s="23" t="s">
        <v>1402</v>
      </c>
      <c r="S410" s="24" t="s">
        <v>997</v>
      </c>
      <c r="T410" s="25" t="s">
        <v>998</v>
      </c>
      <c r="U410" s="26">
        <v>6984</v>
      </c>
      <c r="V410" s="26">
        <f t="shared" si="88"/>
        <v>9795.5</v>
      </c>
      <c r="W410" s="26">
        <f t="shared" si="84"/>
        <v>252.35</v>
      </c>
      <c r="X410" s="128">
        <f t="shared" si="89"/>
        <v>0</v>
      </c>
      <c r="Y410" s="26">
        <f t="shared" si="93"/>
        <v>9604</v>
      </c>
      <c r="Z410" s="26">
        <f t="shared" si="90"/>
        <v>0</v>
      </c>
      <c r="AA410" s="26">
        <f t="shared" si="91"/>
        <v>2423569.4</v>
      </c>
      <c r="AB410" s="27" t="s">
        <v>15</v>
      </c>
      <c r="AC410" s="325"/>
      <c r="AD410" s="263">
        <f t="shared" si="83"/>
        <v>9795.5</v>
      </c>
      <c r="AE410" s="263">
        <f t="shared" si="92"/>
        <v>2471894.4300000002</v>
      </c>
      <c r="AF410" s="263">
        <v>1.9</v>
      </c>
      <c r="AG410" s="263">
        <v>1.9</v>
      </c>
      <c r="AH410" s="68" t="str">
        <f t="shared" si="81"/>
        <v/>
      </c>
      <c r="AI410" s="194">
        <f>7744+360+360+510+210+210+210</f>
        <v>9604</v>
      </c>
      <c r="AJ410" s="188">
        <v>9795.5</v>
      </c>
      <c r="AO410" s="367"/>
      <c r="AP410" s="367"/>
      <c r="AQ410" s="367"/>
    </row>
    <row r="411" spans="1:43" s="69" customFormat="1" ht="66" x14ac:dyDescent="0.3">
      <c r="A411" s="130" t="s">
        <v>1000</v>
      </c>
      <c r="B411" s="240" t="s">
        <v>1001</v>
      </c>
      <c r="C411" s="132" t="s">
        <v>14</v>
      </c>
      <c r="D411" s="133">
        <v>1</v>
      </c>
      <c r="E411" s="75"/>
      <c r="F411" s="75"/>
      <c r="G411" s="75"/>
      <c r="H411" s="75"/>
      <c r="I411" s="75"/>
      <c r="J411" s="75">
        <v>350000</v>
      </c>
      <c r="K411" s="75">
        <v>350000</v>
      </c>
      <c r="L411" s="91" t="s">
        <v>1002</v>
      </c>
      <c r="M411" s="73"/>
      <c r="N411" s="46">
        <v>1</v>
      </c>
      <c r="O411" s="46">
        <v>0</v>
      </c>
      <c r="P411" s="46">
        <v>350000</v>
      </c>
      <c r="Q411" s="98"/>
      <c r="R411" s="23" t="s">
        <v>1373</v>
      </c>
      <c r="S411" s="24" t="s">
        <v>1001</v>
      </c>
      <c r="T411" s="25" t="s">
        <v>14</v>
      </c>
      <c r="U411" s="26">
        <v>1</v>
      </c>
      <c r="V411" s="26">
        <f t="shared" si="88"/>
        <v>1</v>
      </c>
      <c r="W411" s="26">
        <f t="shared" si="84"/>
        <v>350000</v>
      </c>
      <c r="X411" s="128">
        <v>0.5</v>
      </c>
      <c r="Y411" s="209">
        <f>IF(AA411=0,0,1)</f>
        <v>1</v>
      </c>
      <c r="Z411" s="209">
        <f>AA411-P411</f>
        <v>0</v>
      </c>
      <c r="AA411" s="209">
        <v>350000</v>
      </c>
      <c r="AB411" s="123">
        <f>AA411/K411</f>
        <v>1</v>
      </c>
      <c r="AC411" s="325"/>
      <c r="AD411" s="263">
        <f t="shared" si="83"/>
        <v>1</v>
      </c>
      <c r="AE411" s="263">
        <f t="shared" si="92"/>
        <v>350000</v>
      </c>
      <c r="AF411" s="263">
        <v>1.9</v>
      </c>
      <c r="AG411" s="263">
        <v>1.9</v>
      </c>
      <c r="AH411" s="68" t="str">
        <f t="shared" si="81"/>
        <v/>
      </c>
      <c r="AI411" s="194">
        <v>1</v>
      </c>
      <c r="AJ411" s="188">
        <v>1</v>
      </c>
      <c r="AO411" s="367"/>
      <c r="AP411" s="367"/>
      <c r="AQ411" s="367"/>
    </row>
    <row r="412" spans="1:43" s="69" customFormat="1" ht="49.5" x14ac:dyDescent="0.3">
      <c r="A412" s="55" t="s">
        <v>1003</v>
      </c>
      <c r="B412" s="138" t="s">
        <v>1004</v>
      </c>
      <c r="C412" s="54" t="s">
        <v>97</v>
      </c>
      <c r="D412" s="75">
        <v>1</v>
      </c>
      <c r="E412" s="75">
        <v>2480</v>
      </c>
      <c r="F412" s="75"/>
      <c r="G412" s="75"/>
      <c r="H412" s="328">
        <v>3149</v>
      </c>
      <c r="I412" s="75"/>
      <c r="J412" s="75">
        <v>931.12</v>
      </c>
      <c r="K412" s="75">
        <v>2932096.88</v>
      </c>
      <c r="L412" s="91" t="s">
        <v>1005</v>
      </c>
      <c r="M412" s="73"/>
      <c r="N412" s="46">
        <v>2362</v>
      </c>
      <c r="O412" s="46">
        <v>0</v>
      </c>
      <c r="P412" s="46">
        <v>2199305.44</v>
      </c>
      <c r="Q412" s="98"/>
      <c r="R412" s="23" t="s">
        <v>1393</v>
      </c>
      <c r="S412" s="24" t="s">
        <v>1004</v>
      </c>
      <c r="T412" s="25" t="s">
        <v>97</v>
      </c>
      <c r="U412" s="26">
        <v>1</v>
      </c>
      <c r="V412" s="26">
        <f t="shared" si="88"/>
        <v>3149</v>
      </c>
      <c r="W412" s="26">
        <f t="shared" si="84"/>
        <v>931.12</v>
      </c>
      <c r="X412" s="128">
        <f t="shared" si="89"/>
        <v>0</v>
      </c>
      <c r="Y412" s="26">
        <f t="shared" si="93"/>
        <v>2362</v>
      </c>
      <c r="Z412" s="26">
        <f t="shared" si="90"/>
        <v>0</v>
      </c>
      <c r="AA412" s="26">
        <f t="shared" si="91"/>
        <v>2199305.44</v>
      </c>
      <c r="AB412" s="27" t="s">
        <v>15</v>
      </c>
      <c r="AC412" s="325"/>
      <c r="AD412" s="263">
        <f t="shared" si="83"/>
        <v>3149</v>
      </c>
      <c r="AE412" s="263">
        <f t="shared" si="92"/>
        <v>2932096.88</v>
      </c>
      <c r="AF412" s="263">
        <v>1.9</v>
      </c>
      <c r="AG412" s="263">
        <v>1.9</v>
      </c>
      <c r="AH412" s="68" t="str">
        <f t="shared" si="81"/>
        <v/>
      </c>
      <c r="AI412" s="194">
        <f>2060+182+120</f>
        <v>2362</v>
      </c>
      <c r="AJ412" s="188">
        <v>3149</v>
      </c>
      <c r="AO412" s="367"/>
      <c r="AP412" s="367"/>
      <c r="AQ412" s="367"/>
    </row>
    <row r="413" spans="1:43" s="69" customFormat="1" ht="24.75" x14ac:dyDescent="0.3">
      <c r="A413" s="55" t="s">
        <v>1006</v>
      </c>
      <c r="B413" s="53" t="s">
        <v>678</v>
      </c>
      <c r="C413" s="54" t="s">
        <v>23</v>
      </c>
      <c r="D413" s="75">
        <v>1</v>
      </c>
      <c r="E413" s="203">
        <v>91</v>
      </c>
      <c r="F413" s="203">
        <v>291</v>
      </c>
      <c r="G413" s="203"/>
      <c r="H413" s="338">
        <v>438</v>
      </c>
      <c r="I413" s="203"/>
      <c r="J413" s="75">
        <v>3386.57</v>
      </c>
      <c r="K413" s="75">
        <v>1483317.66</v>
      </c>
      <c r="L413" s="91" t="s">
        <v>679</v>
      </c>
      <c r="M413" s="73"/>
      <c r="N413" s="46">
        <v>316</v>
      </c>
      <c r="O413" s="46">
        <v>0</v>
      </c>
      <c r="P413" s="46">
        <v>1070156.1200000001</v>
      </c>
      <c r="Q413" s="98"/>
      <c r="R413" s="23" t="s">
        <v>1403</v>
      </c>
      <c r="S413" s="24" t="s">
        <v>678</v>
      </c>
      <c r="T413" s="25" t="s">
        <v>23</v>
      </c>
      <c r="U413" s="26">
        <v>1</v>
      </c>
      <c r="V413" s="26">
        <f t="shared" si="88"/>
        <v>438</v>
      </c>
      <c r="W413" s="26">
        <f t="shared" si="84"/>
        <v>3386.57</v>
      </c>
      <c r="X413" s="128">
        <f t="shared" si="89"/>
        <v>0</v>
      </c>
      <c r="Y413" s="26">
        <f t="shared" si="93"/>
        <v>316</v>
      </c>
      <c r="Z413" s="26">
        <f t="shared" si="90"/>
        <v>0</v>
      </c>
      <c r="AA413" s="26">
        <f t="shared" si="91"/>
        <v>1070156.1200000001</v>
      </c>
      <c r="AB413" s="27" t="s">
        <v>15</v>
      </c>
      <c r="AC413" s="325"/>
      <c r="AD413" s="263">
        <f t="shared" si="83"/>
        <v>438</v>
      </c>
      <c r="AE413" s="263">
        <f t="shared" si="92"/>
        <v>1483317.66</v>
      </c>
      <c r="AF413" s="263">
        <v>1.9</v>
      </c>
      <c r="AG413" s="263">
        <v>1.9</v>
      </c>
      <c r="AH413" s="68" t="str">
        <f t="shared" si="81"/>
        <v/>
      </c>
      <c r="AI413" s="194">
        <f>291+25</f>
        <v>316</v>
      </c>
      <c r="AJ413" s="188">
        <v>438</v>
      </c>
      <c r="AO413" s="367"/>
      <c r="AP413" s="367"/>
      <c r="AQ413" s="367"/>
    </row>
    <row r="414" spans="1:43" s="69" customFormat="1" ht="66" x14ac:dyDescent="0.3">
      <c r="A414" s="134" t="s">
        <v>1340</v>
      </c>
      <c r="B414" s="139" t="s">
        <v>3137</v>
      </c>
      <c r="C414" s="204" t="s">
        <v>30</v>
      </c>
      <c r="D414" s="133"/>
      <c r="E414" s="59">
        <v>130</v>
      </c>
      <c r="F414" s="77"/>
      <c r="G414" s="77"/>
      <c r="H414" s="77"/>
      <c r="I414" s="77"/>
      <c r="J414" s="77">
        <v>9706.16</v>
      </c>
      <c r="K414" s="59">
        <v>1261800.8</v>
      </c>
      <c r="L414" s="92"/>
      <c r="M414" s="73"/>
      <c r="N414" s="46">
        <v>130</v>
      </c>
      <c r="O414" s="46">
        <v>0</v>
      </c>
      <c r="P414" s="46">
        <v>1261800.8</v>
      </c>
      <c r="Q414" s="98"/>
      <c r="R414" s="23" t="s">
        <v>1427</v>
      </c>
      <c r="S414" s="24" t="s">
        <v>1500</v>
      </c>
      <c r="T414" s="25" t="s">
        <v>30</v>
      </c>
      <c r="U414" s="26">
        <v>0</v>
      </c>
      <c r="V414" s="26">
        <f t="shared" si="88"/>
        <v>130</v>
      </c>
      <c r="W414" s="26">
        <f t="shared" si="84"/>
        <v>9706.16</v>
      </c>
      <c r="X414" s="127">
        <f t="shared" si="89"/>
        <v>0</v>
      </c>
      <c r="Y414" s="127">
        <f t="shared" si="93"/>
        <v>130</v>
      </c>
      <c r="Z414" s="127">
        <f t="shared" si="90"/>
        <v>0</v>
      </c>
      <c r="AA414" s="127">
        <f t="shared" si="91"/>
        <v>1261800.8</v>
      </c>
      <c r="AB414" s="27"/>
      <c r="AC414" s="324"/>
      <c r="AD414" s="181">
        <f t="shared" si="83"/>
        <v>130</v>
      </c>
      <c r="AE414" s="181">
        <f t="shared" si="92"/>
        <v>1261800.8</v>
      </c>
      <c r="AF414" s="181">
        <v>1.9</v>
      </c>
      <c r="AG414" s="181">
        <v>1.9</v>
      </c>
      <c r="AH414" s="363" t="str">
        <f t="shared" si="81"/>
        <v/>
      </c>
      <c r="AI414" s="194">
        <v>130</v>
      </c>
      <c r="AJ414" s="188">
        <v>130</v>
      </c>
      <c r="AO414" s="367"/>
      <c r="AP414" s="367"/>
      <c r="AQ414" s="367"/>
    </row>
    <row r="415" spans="1:43" s="69" customFormat="1" x14ac:dyDescent="0.3">
      <c r="A415" s="79" t="s">
        <v>3254</v>
      </c>
      <c r="B415" s="80" t="s">
        <v>3286</v>
      </c>
      <c r="C415" s="81" t="s">
        <v>14</v>
      </c>
      <c r="D415" s="82"/>
      <c r="E415" s="82"/>
      <c r="F415" s="82"/>
      <c r="G415" s="82"/>
      <c r="H415" s="82"/>
      <c r="I415" s="82">
        <v>1</v>
      </c>
      <c r="J415" s="82">
        <v>6916525.5499999998</v>
      </c>
      <c r="K415" s="82">
        <v>6916525.5499999998</v>
      </c>
      <c r="L415" s="94" t="s">
        <v>15</v>
      </c>
      <c r="M415" s="73"/>
      <c r="N415" s="45">
        <v>1</v>
      </c>
      <c r="O415" s="45">
        <v>653535</v>
      </c>
      <c r="P415" s="45">
        <v>1404102.96</v>
      </c>
      <c r="Q415" s="98"/>
      <c r="R415" s="18" t="s">
        <v>3254</v>
      </c>
      <c r="S415" s="19" t="str">
        <f t="shared" ref="S415:T431" si="94">B415</f>
        <v>涼亭工程</v>
      </c>
      <c r="T415" s="20" t="str">
        <f t="shared" si="94"/>
        <v>式</v>
      </c>
      <c r="U415" s="21"/>
      <c r="V415" s="21">
        <v>1</v>
      </c>
      <c r="W415" s="21">
        <f t="shared" si="84"/>
        <v>6916525.5499999998</v>
      </c>
      <c r="X415" s="21">
        <f t="shared" ref="X415:Y415" si="95">IF(Z415=0,0,1)</f>
        <v>0</v>
      </c>
      <c r="Y415" s="21">
        <f t="shared" si="95"/>
        <v>1</v>
      </c>
      <c r="Z415" s="21">
        <f>SUMIFS(Z:Z,AG:AG,AF415)</f>
        <v>0</v>
      </c>
      <c r="AA415" s="21">
        <f>SUMIFS(AA:AA,AG:AG,AF415)</f>
        <v>1404102.96</v>
      </c>
      <c r="AB415" s="22" t="s">
        <v>15</v>
      </c>
      <c r="AC415" s="324"/>
      <c r="AD415" s="181">
        <f t="shared" si="83"/>
        <v>1</v>
      </c>
      <c r="AE415" s="184"/>
      <c r="AF415" s="184">
        <v>1.111</v>
      </c>
      <c r="AG415" s="184"/>
      <c r="AH415" s="363" t="str">
        <f t="shared" si="81"/>
        <v/>
      </c>
      <c r="AI415" s="192">
        <v>1</v>
      </c>
      <c r="AJ415" s="190">
        <v>1</v>
      </c>
      <c r="AN415" s="281"/>
      <c r="AO415" s="367"/>
      <c r="AP415" s="367"/>
      <c r="AQ415" s="367"/>
    </row>
    <row r="416" spans="1:43" s="281" customFormat="1" ht="49.5" x14ac:dyDescent="0.3">
      <c r="A416" s="130" t="s">
        <v>3255</v>
      </c>
      <c r="B416" s="240" t="s">
        <v>33</v>
      </c>
      <c r="C416" s="132" t="s">
        <v>34</v>
      </c>
      <c r="D416" s="133"/>
      <c r="E416" s="213"/>
      <c r="F416" s="213"/>
      <c r="G416" s="213"/>
      <c r="H416" s="213"/>
      <c r="I416" s="343">
        <v>17.57</v>
      </c>
      <c r="J416" s="213">
        <v>48.28</v>
      </c>
      <c r="K416" s="213">
        <v>848.28</v>
      </c>
      <c r="L416" s="284"/>
      <c r="M416" s="278"/>
      <c r="N416" s="42">
        <v>17.57</v>
      </c>
      <c r="O416" s="42">
        <v>0</v>
      </c>
      <c r="P416" s="42">
        <v>848.28</v>
      </c>
      <c r="Q416" s="98"/>
      <c r="R416" s="13" t="s">
        <v>3274</v>
      </c>
      <c r="S416" s="286" t="str">
        <f t="shared" si="94"/>
        <v>基地及路幅開挖，未含運費，(機械挖，0.7～0.79m3開挖機)</v>
      </c>
      <c r="T416" s="287" t="str">
        <f t="shared" si="94"/>
        <v>B.M3</v>
      </c>
      <c r="U416" s="16"/>
      <c r="V416" s="16">
        <f t="shared" ref="V416:V431" si="96">IF(I416&gt;0,I416,IF(H416&gt;0,H416,IF(G416&gt;0,G416,IF(F416&gt;0,F416,IF(E416&gt;0,E416,D416)))))</f>
        <v>17.57</v>
      </c>
      <c r="W416" s="16">
        <f t="shared" si="84"/>
        <v>48.28</v>
      </c>
      <c r="X416" s="127">
        <f t="shared" si="89"/>
        <v>0</v>
      </c>
      <c r="Y416" s="127">
        <f t="shared" si="93"/>
        <v>17.57</v>
      </c>
      <c r="Z416" s="127">
        <f t="shared" si="90"/>
        <v>0</v>
      </c>
      <c r="AA416" s="127">
        <f t="shared" si="91"/>
        <v>848.28</v>
      </c>
      <c r="AB416" s="279"/>
      <c r="AC416" s="324"/>
      <c r="AD416" s="181">
        <f t="shared" si="83"/>
        <v>17.57</v>
      </c>
      <c r="AE416" s="181">
        <f t="shared" si="92"/>
        <v>848.28</v>
      </c>
      <c r="AF416" s="184">
        <v>1.111</v>
      </c>
      <c r="AG416" s="184">
        <v>1.111</v>
      </c>
      <c r="AH416" s="365"/>
      <c r="AI416" s="285">
        <v>17.57</v>
      </c>
      <c r="AJ416" s="190">
        <v>17.57</v>
      </c>
      <c r="AO416" s="367"/>
      <c r="AP416" s="367"/>
      <c r="AQ416" s="367"/>
    </row>
    <row r="417" spans="1:43" s="281" customFormat="1" x14ac:dyDescent="0.3">
      <c r="A417" s="130" t="s">
        <v>3256</v>
      </c>
      <c r="B417" s="240" t="s">
        <v>431</v>
      </c>
      <c r="C417" s="132" t="s">
        <v>50</v>
      </c>
      <c r="D417" s="133"/>
      <c r="E417" s="213"/>
      <c r="F417" s="213"/>
      <c r="G417" s="213"/>
      <c r="H417" s="213"/>
      <c r="I417" s="343">
        <v>93.17</v>
      </c>
      <c r="J417" s="213">
        <v>28</v>
      </c>
      <c r="K417" s="213">
        <v>2608.7600000000002</v>
      </c>
      <c r="L417" s="284"/>
      <c r="M417" s="278"/>
      <c r="N417" s="42">
        <v>93.17</v>
      </c>
      <c r="O417" s="42">
        <v>0</v>
      </c>
      <c r="P417" s="42">
        <v>2608.7600000000002</v>
      </c>
      <c r="Q417" s="98"/>
      <c r="R417" s="13" t="s">
        <v>3275</v>
      </c>
      <c r="S417" s="286" t="str">
        <f t="shared" si="94"/>
        <v>放樣</v>
      </c>
      <c r="T417" s="287" t="str">
        <f t="shared" si="94"/>
        <v>M2</v>
      </c>
      <c r="U417" s="16"/>
      <c r="V417" s="16">
        <f t="shared" si="96"/>
        <v>93.17</v>
      </c>
      <c r="W417" s="16">
        <f t="shared" si="84"/>
        <v>28</v>
      </c>
      <c r="X417" s="127">
        <f t="shared" si="89"/>
        <v>0</v>
      </c>
      <c r="Y417" s="127">
        <f t="shared" si="93"/>
        <v>93.17</v>
      </c>
      <c r="Z417" s="127">
        <f t="shared" si="90"/>
        <v>0</v>
      </c>
      <c r="AA417" s="127">
        <f t="shared" si="91"/>
        <v>2608.7600000000002</v>
      </c>
      <c r="AB417" s="279"/>
      <c r="AC417" s="324"/>
      <c r="AD417" s="181">
        <f t="shared" si="83"/>
        <v>93.17</v>
      </c>
      <c r="AE417" s="181">
        <f t="shared" si="92"/>
        <v>2608.7600000000002</v>
      </c>
      <c r="AF417" s="184">
        <v>1.111</v>
      </c>
      <c r="AG417" s="184">
        <v>1.111</v>
      </c>
      <c r="AH417" s="365"/>
      <c r="AI417" s="285">
        <v>93.17</v>
      </c>
      <c r="AJ417" s="190">
        <v>93.17</v>
      </c>
      <c r="AO417" s="367"/>
      <c r="AP417" s="367"/>
      <c r="AQ417" s="367"/>
    </row>
    <row r="418" spans="1:43" s="281" customFormat="1" ht="58.5" x14ac:dyDescent="0.3">
      <c r="A418" s="130" t="s">
        <v>3257</v>
      </c>
      <c r="B418" s="131" t="s">
        <v>106</v>
      </c>
      <c r="C418" s="132" t="s">
        <v>103</v>
      </c>
      <c r="D418" s="133"/>
      <c r="E418" s="213"/>
      <c r="F418" s="213"/>
      <c r="G418" s="213"/>
      <c r="H418" s="213"/>
      <c r="I418" s="343">
        <v>17.57</v>
      </c>
      <c r="J418" s="213">
        <v>346.08</v>
      </c>
      <c r="K418" s="213">
        <v>6080.63</v>
      </c>
      <c r="L418" s="284"/>
      <c r="M418" s="278"/>
      <c r="N418" s="42">
        <v>17.57</v>
      </c>
      <c r="O418" s="42">
        <v>0</v>
      </c>
      <c r="P418" s="42">
        <v>6080.63</v>
      </c>
      <c r="Q418" s="98"/>
      <c r="R418" s="13" t="s">
        <v>1402</v>
      </c>
      <c r="S418" s="286" t="str">
        <f t="shared" si="94"/>
        <v>構造物回填，回填及夯實，人工夯實</v>
      </c>
      <c r="T418" s="287" t="str">
        <f t="shared" si="94"/>
        <v>C.M3</v>
      </c>
      <c r="U418" s="16"/>
      <c r="V418" s="16">
        <f t="shared" si="96"/>
        <v>17.57</v>
      </c>
      <c r="W418" s="16">
        <f t="shared" si="84"/>
        <v>346.08</v>
      </c>
      <c r="X418" s="127">
        <f t="shared" si="89"/>
        <v>0</v>
      </c>
      <c r="Y418" s="127">
        <f t="shared" si="93"/>
        <v>17.57</v>
      </c>
      <c r="Z418" s="127">
        <f t="shared" si="90"/>
        <v>0</v>
      </c>
      <c r="AA418" s="127">
        <f t="shared" si="91"/>
        <v>6080.63</v>
      </c>
      <c r="AB418" s="279"/>
      <c r="AC418" s="324"/>
      <c r="AD418" s="181">
        <f t="shared" si="83"/>
        <v>17.57</v>
      </c>
      <c r="AE418" s="181">
        <f t="shared" si="92"/>
        <v>6080.63</v>
      </c>
      <c r="AF418" s="184">
        <v>1.111</v>
      </c>
      <c r="AG418" s="184">
        <v>1.111</v>
      </c>
      <c r="AH418" s="365"/>
      <c r="AI418" s="285">
        <v>17.57</v>
      </c>
      <c r="AJ418" s="190">
        <v>17.57</v>
      </c>
      <c r="AO418" s="367"/>
      <c r="AP418" s="367"/>
      <c r="AQ418" s="367"/>
    </row>
    <row r="419" spans="1:43" s="281" customFormat="1" x14ac:dyDescent="0.3">
      <c r="A419" s="130" t="s">
        <v>3258</v>
      </c>
      <c r="B419" s="240" t="s">
        <v>119</v>
      </c>
      <c r="C419" s="132" t="s">
        <v>50</v>
      </c>
      <c r="D419" s="133"/>
      <c r="E419" s="213"/>
      <c r="F419" s="213"/>
      <c r="G419" s="213"/>
      <c r="H419" s="213"/>
      <c r="I419" s="343">
        <v>82.73</v>
      </c>
      <c r="J419" s="213">
        <v>533.64</v>
      </c>
      <c r="K419" s="213">
        <v>44148.04</v>
      </c>
      <c r="L419" s="284"/>
      <c r="M419" s="278"/>
      <c r="N419" s="42">
        <v>82.73</v>
      </c>
      <c r="O419" s="42">
        <v>0</v>
      </c>
      <c r="P419" s="42">
        <v>44148.04</v>
      </c>
      <c r="Q419" s="98"/>
      <c r="R419" s="13" t="s">
        <v>1373</v>
      </c>
      <c r="S419" s="286" t="str">
        <f t="shared" si="94"/>
        <v>普通模板，丙種</v>
      </c>
      <c r="T419" s="287" t="str">
        <f t="shared" si="94"/>
        <v>M2</v>
      </c>
      <c r="U419" s="16"/>
      <c r="V419" s="16">
        <f t="shared" si="96"/>
        <v>82.73</v>
      </c>
      <c r="W419" s="16">
        <f t="shared" si="84"/>
        <v>533.64</v>
      </c>
      <c r="X419" s="127">
        <f t="shared" si="89"/>
        <v>0</v>
      </c>
      <c r="Y419" s="127">
        <f t="shared" si="93"/>
        <v>82.73</v>
      </c>
      <c r="Z419" s="127">
        <f t="shared" si="90"/>
        <v>0</v>
      </c>
      <c r="AA419" s="127">
        <f t="shared" si="91"/>
        <v>44148.04</v>
      </c>
      <c r="AB419" s="304"/>
      <c r="AC419" s="324"/>
      <c r="AD419" s="181">
        <f t="shared" si="83"/>
        <v>82.73</v>
      </c>
      <c r="AE419" s="181">
        <f t="shared" si="92"/>
        <v>44148.04</v>
      </c>
      <c r="AF419" s="184">
        <v>1.111</v>
      </c>
      <c r="AG419" s="184">
        <v>1.111</v>
      </c>
      <c r="AH419" s="365"/>
      <c r="AI419" s="285">
        <v>82.73</v>
      </c>
      <c r="AJ419" s="190">
        <v>82.73</v>
      </c>
      <c r="AO419" s="367"/>
      <c r="AP419" s="367"/>
      <c r="AQ419" s="367"/>
    </row>
    <row r="420" spans="1:43" s="281" customFormat="1" x14ac:dyDescent="0.3">
      <c r="A420" s="130" t="s">
        <v>3259</v>
      </c>
      <c r="B420" s="240" t="s">
        <v>122</v>
      </c>
      <c r="C420" s="132" t="s">
        <v>50</v>
      </c>
      <c r="D420" s="133"/>
      <c r="E420" s="213"/>
      <c r="F420" s="213"/>
      <c r="G420" s="213"/>
      <c r="H420" s="213"/>
      <c r="I420" s="343">
        <v>28.02</v>
      </c>
      <c r="J420" s="213">
        <v>1299.8900000000001</v>
      </c>
      <c r="K420" s="213">
        <v>36422.92</v>
      </c>
      <c r="L420" s="284"/>
      <c r="M420" s="278"/>
      <c r="N420" s="42">
        <v>28.02</v>
      </c>
      <c r="O420" s="42">
        <v>0</v>
      </c>
      <c r="P420" s="42">
        <v>36422.92</v>
      </c>
      <c r="Q420" s="98"/>
      <c r="R420" s="13" t="s">
        <v>1393</v>
      </c>
      <c r="S420" s="286" t="str">
        <f t="shared" si="94"/>
        <v>清水模板，鋼模</v>
      </c>
      <c r="T420" s="287" t="str">
        <f t="shared" si="94"/>
        <v>M2</v>
      </c>
      <c r="U420" s="16"/>
      <c r="V420" s="16">
        <f t="shared" si="96"/>
        <v>28.02</v>
      </c>
      <c r="W420" s="16">
        <f t="shared" si="84"/>
        <v>1299.8900000000001</v>
      </c>
      <c r="X420" s="127">
        <f t="shared" si="89"/>
        <v>0</v>
      </c>
      <c r="Y420" s="127">
        <f t="shared" si="93"/>
        <v>28.02</v>
      </c>
      <c r="Z420" s="127">
        <f t="shared" si="90"/>
        <v>0</v>
      </c>
      <c r="AA420" s="127">
        <f t="shared" si="91"/>
        <v>36422.92</v>
      </c>
      <c r="AB420" s="279"/>
      <c r="AC420" s="324"/>
      <c r="AD420" s="181">
        <f t="shared" si="83"/>
        <v>28.02</v>
      </c>
      <c r="AE420" s="181">
        <f t="shared" si="92"/>
        <v>36422.92</v>
      </c>
      <c r="AF420" s="184">
        <v>1.111</v>
      </c>
      <c r="AG420" s="184">
        <v>1.111</v>
      </c>
      <c r="AH420" s="365"/>
      <c r="AI420" s="285">
        <v>28.02</v>
      </c>
      <c r="AJ420" s="190">
        <v>28.02</v>
      </c>
      <c r="AO420" s="367"/>
      <c r="AP420" s="367"/>
      <c r="AQ420" s="367"/>
    </row>
    <row r="421" spans="1:43" s="281" customFormat="1" ht="33" x14ac:dyDescent="0.3">
      <c r="A421" s="130" t="s">
        <v>3260</v>
      </c>
      <c r="B421" s="240" t="s">
        <v>392</v>
      </c>
      <c r="C421" s="132" t="s">
        <v>23</v>
      </c>
      <c r="D421" s="133"/>
      <c r="E421" s="213"/>
      <c r="F421" s="213"/>
      <c r="G421" s="213"/>
      <c r="H421" s="213"/>
      <c r="I421" s="343">
        <v>2.94</v>
      </c>
      <c r="J421" s="213">
        <v>3115.13</v>
      </c>
      <c r="K421" s="213">
        <v>9158.48</v>
      </c>
      <c r="L421" s="284"/>
      <c r="M421" s="278"/>
      <c r="N421" s="42">
        <v>2.94</v>
      </c>
      <c r="O421" s="42">
        <v>0</v>
      </c>
      <c r="P421" s="42">
        <v>9158.48</v>
      </c>
      <c r="Q421" s="98"/>
      <c r="R421" s="13" t="s">
        <v>1403</v>
      </c>
      <c r="S421" s="286" t="str">
        <f t="shared" si="94"/>
        <v>結構用混凝土，預拌，140kgf/cm2</v>
      </c>
      <c r="T421" s="287" t="str">
        <f t="shared" si="94"/>
        <v>M3</v>
      </c>
      <c r="U421" s="16"/>
      <c r="V421" s="16">
        <f t="shared" si="96"/>
        <v>2.94</v>
      </c>
      <c r="W421" s="16">
        <f t="shared" si="84"/>
        <v>3115.13</v>
      </c>
      <c r="X421" s="127">
        <f t="shared" si="89"/>
        <v>0</v>
      </c>
      <c r="Y421" s="127">
        <f t="shared" si="93"/>
        <v>2.94</v>
      </c>
      <c r="Z421" s="127">
        <f t="shared" si="90"/>
        <v>0</v>
      </c>
      <c r="AA421" s="127">
        <f t="shared" si="91"/>
        <v>9158.48</v>
      </c>
      <c r="AB421" s="279"/>
      <c r="AC421" s="324"/>
      <c r="AD421" s="181">
        <f t="shared" si="83"/>
        <v>2.94</v>
      </c>
      <c r="AE421" s="181">
        <f t="shared" si="92"/>
        <v>9158.48</v>
      </c>
      <c r="AF421" s="184">
        <v>1.111</v>
      </c>
      <c r="AG421" s="184">
        <v>1.111</v>
      </c>
      <c r="AH421" s="365"/>
      <c r="AI421" s="285">
        <v>2.94</v>
      </c>
      <c r="AJ421" s="190">
        <v>2.94</v>
      </c>
      <c r="AO421" s="367"/>
      <c r="AP421" s="367"/>
      <c r="AQ421" s="367"/>
    </row>
    <row r="422" spans="1:43" s="281" customFormat="1" ht="33" x14ac:dyDescent="0.3">
      <c r="A422" s="130" t="s">
        <v>3261</v>
      </c>
      <c r="B422" s="240" t="s">
        <v>116</v>
      </c>
      <c r="C422" s="132" t="s">
        <v>23</v>
      </c>
      <c r="D422" s="133"/>
      <c r="E422" s="213"/>
      <c r="F422" s="213"/>
      <c r="G422" s="213"/>
      <c r="H422" s="213"/>
      <c r="I422" s="343">
        <v>21.45</v>
      </c>
      <c r="J422" s="213">
        <v>3321.13</v>
      </c>
      <c r="K422" s="213">
        <v>71238.240000000005</v>
      </c>
      <c r="L422" s="284"/>
      <c r="M422" s="278"/>
      <c r="N422" s="42">
        <v>21.45</v>
      </c>
      <c r="O422" s="42">
        <v>0</v>
      </c>
      <c r="P422" s="42">
        <v>71238.240000000005</v>
      </c>
      <c r="Q422" s="98"/>
      <c r="R422" s="13" t="s">
        <v>1427</v>
      </c>
      <c r="S422" s="286" t="str">
        <f t="shared" si="94"/>
        <v>結構用混凝土，預拌，210kgf/cm2</v>
      </c>
      <c r="T422" s="287" t="str">
        <f t="shared" si="94"/>
        <v>M3</v>
      </c>
      <c r="U422" s="16"/>
      <c r="V422" s="16">
        <f t="shared" si="96"/>
        <v>21.45</v>
      </c>
      <c r="W422" s="16">
        <f t="shared" si="84"/>
        <v>3321.13</v>
      </c>
      <c r="X422" s="127">
        <f t="shared" si="89"/>
        <v>0</v>
      </c>
      <c r="Y422" s="127">
        <f t="shared" si="93"/>
        <v>21.45</v>
      </c>
      <c r="Z422" s="127">
        <f t="shared" si="90"/>
        <v>0</v>
      </c>
      <c r="AA422" s="127">
        <f t="shared" si="91"/>
        <v>71238.240000000005</v>
      </c>
      <c r="AB422" s="279"/>
      <c r="AC422" s="324"/>
      <c r="AD422" s="181">
        <f t="shared" si="83"/>
        <v>21.45</v>
      </c>
      <c r="AE422" s="181">
        <f t="shared" si="92"/>
        <v>71238.240000000005</v>
      </c>
      <c r="AF422" s="184">
        <v>1.111</v>
      </c>
      <c r="AG422" s="184">
        <v>1.111</v>
      </c>
      <c r="AH422" s="365"/>
      <c r="AI422" s="285">
        <v>21.45</v>
      </c>
      <c r="AJ422" s="190">
        <v>21.45</v>
      </c>
      <c r="AO422" s="367"/>
      <c r="AP422" s="367"/>
      <c r="AQ422" s="367"/>
    </row>
    <row r="423" spans="1:43" s="281" customFormat="1" x14ac:dyDescent="0.3">
      <c r="A423" s="130" t="s">
        <v>3262</v>
      </c>
      <c r="B423" s="240" t="s">
        <v>109</v>
      </c>
      <c r="C423" s="132" t="s">
        <v>110</v>
      </c>
      <c r="D423" s="133"/>
      <c r="E423" s="213"/>
      <c r="F423" s="213"/>
      <c r="G423" s="213"/>
      <c r="H423" s="213"/>
      <c r="I423" s="343">
        <v>1747.16</v>
      </c>
      <c r="J423" s="213">
        <v>36.4</v>
      </c>
      <c r="K423" s="213">
        <v>63596.62</v>
      </c>
      <c r="L423" s="284"/>
      <c r="M423" s="278"/>
      <c r="N423" s="42">
        <v>1747.16</v>
      </c>
      <c r="O423" s="42">
        <v>0</v>
      </c>
      <c r="P423" s="42">
        <v>63596.62</v>
      </c>
      <c r="Q423" s="98"/>
      <c r="R423" s="13" t="s">
        <v>1428</v>
      </c>
      <c r="S423" s="286" t="str">
        <f t="shared" si="94"/>
        <v>鋼筋，SD280W</v>
      </c>
      <c r="T423" s="287" t="str">
        <f t="shared" si="94"/>
        <v>KG</v>
      </c>
      <c r="U423" s="16"/>
      <c r="V423" s="16">
        <f t="shared" si="96"/>
        <v>1747.16</v>
      </c>
      <c r="W423" s="16">
        <f t="shared" si="84"/>
        <v>36.4</v>
      </c>
      <c r="X423" s="127">
        <f t="shared" si="89"/>
        <v>0</v>
      </c>
      <c r="Y423" s="127">
        <f t="shared" si="93"/>
        <v>1747.16</v>
      </c>
      <c r="Z423" s="127">
        <f t="shared" si="90"/>
        <v>0</v>
      </c>
      <c r="AA423" s="127">
        <f t="shared" si="91"/>
        <v>63596.62</v>
      </c>
      <c r="AB423" s="279"/>
      <c r="AC423" s="324"/>
      <c r="AD423" s="181">
        <f t="shared" si="83"/>
        <v>1747.16</v>
      </c>
      <c r="AE423" s="181">
        <f t="shared" si="92"/>
        <v>63596.62</v>
      </c>
      <c r="AF423" s="184">
        <v>1.111</v>
      </c>
      <c r="AG423" s="184">
        <v>1.111</v>
      </c>
      <c r="AH423" s="365"/>
      <c r="AI423" s="285">
        <v>1747.16</v>
      </c>
      <c r="AJ423" s="190">
        <v>1747.16</v>
      </c>
      <c r="AO423" s="367"/>
      <c r="AP423" s="367"/>
      <c r="AQ423" s="367"/>
    </row>
    <row r="424" spans="1:43" s="281" customFormat="1" ht="99" x14ac:dyDescent="0.3">
      <c r="A424" s="130" t="s">
        <v>3263</v>
      </c>
      <c r="B424" s="240" t="s">
        <v>131</v>
      </c>
      <c r="C424" s="132" t="s">
        <v>110</v>
      </c>
      <c r="D424" s="133"/>
      <c r="E424" s="213"/>
      <c r="F424" s="213"/>
      <c r="G424" s="213"/>
      <c r="H424" s="213"/>
      <c r="I424" s="343">
        <v>1971.61</v>
      </c>
      <c r="J424" s="213">
        <v>107.31</v>
      </c>
      <c r="K424" s="213">
        <v>211573.47</v>
      </c>
      <c r="L424" s="284"/>
      <c r="M424" s="278"/>
      <c r="N424" s="42">
        <v>1235.2</v>
      </c>
      <c r="O424" s="42">
        <v>0</v>
      </c>
      <c r="P424" s="42">
        <v>132549.31</v>
      </c>
      <c r="Q424" s="98"/>
      <c r="R424" s="13" t="s">
        <v>1387</v>
      </c>
      <c r="S424" s="286" t="str">
        <f t="shared" si="94"/>
        <v>結構用鋼材，銲接結構用軋鋼料，SM400B鋼構工程及製作、組立工程(含加勁板、續接板、螺絲、螺栓、螺帽等)</v>
      </c>
      <c r="T424" s="287" t="str">
        <f t="shared" si="94"/>
        <v>KG</v>
      </c>
      <c r="U424" s="16"/>
      <c r="V424" s="16">
        <f t="shared" si="96"/>
        <v>1971.61</v>
      </c>
      <c r="W424" s="16">
        <f t="shared" si="84"/>
        <v>107.31</v>
      </c>
      <c r="X424" s="334">
        <f t="shared" si="89"/>
        <v>0</v>
      </c>
      <c r="Y424" s="127">
        <f t="shared" si="93"/>
        <v>1235.2</v>
      </c>
      <c r="Z424" s="127">
        <f t="shared" si="90"/>
        <v>0</v>
      </c>
      <c r="AA424" s="127">
        <f t="shared" si="91"/>
        <v>132549.31</v>
      </c>
      <c r="AB424" s="279"/>
      <c r="AC424" s="324"/>
      <c r="AD424" s="181">
        <f t="shared" si="83"/>
        <v>1971.61</v>
      </c>
      <c r="AE424" s="181">
        <f t="shared" si="92"/>
        <v>211573.47</v>
      </c>
      <c r="AF424" s="184">
        <v>1.111</v>
      </c>
      <c r="AG424" s="184">
        <v>1.111</v>
      </c>
      <c r="AH424" s="365"/>
      <c r="AI424" s="296">
        <v>1235.2</v>
      </c>
      <c r="AJ424" s="190">
        <v>1971.61</v>
      </c>
      <c r="AO424" s="367"/>
      <c r="AP424" s="367"/>
      <c r="AQ424" s="367"/>
    </row>
    <row r="425" spans="1:43" s="281" customFormat="1" x14ac:dyDescent="0.3">
      <c r="A425" s="283" t="s">
        <v>3264</v>
      </c>
      <c r="B425" s="303" t="s">
        <v>125</v>
      </c>
      <c r="C425" s="212" t="s">
        <v>110</v>
      </c>
      <c r="D425" s="213"/>
      <c r="E425" s="213"/>
      <c r="F425" s="213"/>
      <c r="G425" s="213"/>
      <c r="H425" s="213"/>
      <c r="I425" s="337">
        <v>3256.5</v>
      </c>
      <c r="J425" s="213">
        <v>60</v>
      </c>
      <c r="K425" s="213">
        <v>195390</v>
      </c>
      <c r="L425" s="284"/>
      <c r="M425" s="278"/>
      <c r="N425" s="42">
        <v>2168.1</v>
      </c>
      <c r="O425" s="42">
        <v>0</v>
      </c>
      <c r="P425" s="42">
        <v>130086</v>
      </c>
      <c r="Q425" s="98"/>
      <c r="R425" s="13" t="s">
        <v>1405</v>
      </c>
      <c r="S425" s="286" t="str">
        <f t="shared" si="94"/>
        <v>鍍鋅鋼料</v>
      </c>
      <c r="T425" s="287" t="str">
        <f t="shared" si="94"/>
        <v>KG</v>
      </c>
      <c r="U425" s="16"/>
      <c r="V425" s="16">
        <f t="shared" si="96"/>
        <v>3256.5</v>
      </c>
      <c r="W425" s="16">
        <f t="shared" si="84"/>
        <v>60</v>
      </c>
      <c r="X425" s="334">
        <f t="shared" si="89"/>
        <v>0</v>
      </c>
      <c r="Y425" s="16">
        <f t="shared" si="93"/>
        <v>2168.1</v>
      </c>
      <c r="Z425" s="16">
        <f t="shared" si="90"/>
        <v>0</v>
      </c>
      <c r="AA425" s="16">
        <f t="shared" si="91"/>
        <v>130086</v>
      </c>
      <c r="AB425" s="279"/>
      <c r="AC425" s="324"/>
      <c r="AD425" s="181">
        <f t="shared" si="83"/>
        <v>3256.5</v>
      </c>
      <c r="AE425" s="181">
        <f t="shared" si="92"/>
        <v>195390</v>
      </c>
      <c r="AF425" s="184">
        <v>1.111</v>
      </c>
      <c r="AG425" s="184">
        <v>1.111</v>
      </c>
      <c r="AH425" s="365"/>
      <c r="AI425" s="296">
        <v>2168.1</v>
      </c>
      <c r="AJ425" s="190">
        <v>3256.5</v>
      </c>
      <c r="AO425" s="367"/>
      <c r="AP425" s="367"/>
      <c r="AQ425" s="367"/>
    </row>
    <row r="426" spans="1:43" s="281" customFormat="1" ht="49.5" x14ac:dyDescent="0.3">
      <c r="A426" s="283" t="s">
        <v>3265</v>
      </c>
      <c r="B426" s="303" t="s">
        <v>128</v>
      </c>
      <c r="C426" s="212" t="s">
        <v>110</v>
      </c>
      <c r="D426" s="213"/>
      <c r="E426" s="213"/>
      <c r="F426" s="213"/>
      <c r="G426" s="213"/>
      <c r="H426" s="213"/>
      <c r="I426" s="337">
        <v>3256.5</v>
      </c>
      <c r="J426" s="213">
        <v>31.9</v>
      </c>
      <c r="K426" s="213">
        <v>103882.35</v>
      </c>
      <c r="L426" s="284"/>
      <c r="M426" s="278"/>
      <c r="N426" s="42">
        <v>2168.1</v>
      </c>
      <c r="O426" s="42">
        <v>0</v>
      </c>
      <c r="P426" s="42">
        <v>69162.39</v>
      </c>
      <c r="Q426" s="98"/>
      <c r="R426" s="13" t="s">
        <v>1406</v>
      </c>
      <c r="S426" s="286" t="str">
        <f t="shared" si="94"/>
        <v>金屬材料，鋼料，裁切加工銲製(工廠加工)</v>
      </c>
      <c r="T426" s="287" t="str">
        <f t="shared" si="94"/>
        <v>KG</v>
      </c>
      <c r="U426" s="16"/>
      <c r="V426" s="16">
        <f t="shared" si="96"/>
        <v>3256.5</v>
      </c>
      <c r="W426" s="16">
        <f t="shared" si="84"/>
        <v>31.9</v>
      </c>
      <c r="X426" s="334">
        <f t="shared" si="89"/>
        <v>0</v>
      </c>
      <c r="Y426" s="16">
        <f t="shared" si="93"/>
        <v>2168.1</v>
      </c>
      <c r="Z426" s="16">
        <f t="shared" si="90"/>
        <v>0</v>
      </c>
      <c r="AA426" s="16">
        <f t="shared" si="91"/>
        <v>69162.39</v>
      </c>
      <c r="AB426" s="279"/>
      <c r="AC426" s="324"/>
      <c r="AD426" s="181">
        <f t="shared" si="83"/>
        <v>3256.5</v>
      </c>
      <c r="AE426" s="181">
        <f t="shared" si="92"/>
        <v>103882.35</v>
      </c>
      <c r="AF426" s="184">
        <v>1.111</v>
      </c>
      <c r="AG426" s="184">
        <v>1.111</v>
      </c>
      <c r="AH426" s="365"/>
      <c r="AI426" s="296">
        <f>AI425</f>
        <v>2168.1</v>
      </c>
      <c r="AJ426" s="190">
        <v>3256.5</v>
      </c>
      <c r="AN426" s="364"/>
      <c r="AO426" s="368"/>
      <c r="AP426" s="367"/>
      <c r="AQ426" s="367"/>
    </row>
    <row r="427" spans="1:43" s="281" customFormat="1" ht="33" x14ac:dyDescent="0.3">
      <c r="A427" s="283" t="s">
        <v>3266</v>
      </c>
      <c r="B427" s="303" t="s">
        <v>417</v>
      </c>
      <c r="C427" s="212" t="s">
        <v>110</v>
      </c>
      <c r="D427" s="213"/>
      <c r="E427" s="213"/>
      <c r="F427" s="213"/>
      <c r="G427" s="213"/>
      <c r="H427" s="213"/>
      <c r="I427" s="337">
        <v>5029.79</v>
      </c>
      <c r="J427" s="213">
        <v>278.10000000000002</v>
      </c>
      <c r="K427" s="213">
        <v>1398784.6</v>
      </c>
      <c r="L427" s="284"/>
      <c r="M427" s="278"/>
      <c r="N427" s="42">
        <v>2350</v>
      </c>
      <c r="O427" s="42">
        <v>653535</v>
      </c>
      <c r="P427" s="42">
        <v>653535</v>
      </c>
      <c r="Q427" s="98"/>
      <c r="R427" s="13" t="s">
        <v>1414</v>
      </c>
      <c r="S427" s="286" t="str">
        <f t="shared" si="94"/>
        <v>不銹鋼料，SUS304，含加工安裝等</v>
      </c>
      <c r="T427" s="287" t="str">
        <f t="shared" si="94"/>
        <v>KG</v>
      </c>
      <c r="U427" s="16"/>
      <c r="V427" s="16">
        <f t="shared" si="96"/>
        <v>5029.79</v>
      </c>
      <c r="W427" s="16">
        <f t="shared" si="84"/>
        <v>278.10000000000002</v>
      </c>
      <c r="X427" s="334">
        <f t="shared" si="89"/>
        <v>0</v>
      </c>
      <c r="Y427" s="16">
        <f t="shared" si="93"/>
        <v>2350</v>
      </c>
      <c r="Z427" s="16">
        <f t="shared" si="90"/>
        <v>0</v>
      </c>
      <c r="AA427" s="16">
        <f t="shared" si="91"/>
        <v>653535</v>
      </c>
      <c r="AB427" s="279"/>
      <c r="AC427" s="324"/>
      <c r="AD427" s="181">
        <f t="shared" si="83"/>
        <v>5029.79</v>
      </c>
      <c r="AE427" s="181">
        <f t="shared" si="92"/>
        <v>1398784.6</v>
      </c>
      <c r="AF427" s="184">
        <v>1.111</v>
      </c>
      <c r="AG427" s="184">
        <v>1.111</v>
      </c>
      <c r="AH427" s="365"/>
      <c r="AI427" s="296">
        <v>2350</v>
      </c>
      <c r="AJ427" s="190">
        <v>5029.79</v>
      </c>
      <c r="AN427" s="364"/>
      <c r="AO427" s="368"/>
      <c r="AP427" s="367"/>
      <c r="AQ427" s="367"/>
    </row>
    <row r="428" spans="1:43" s="281" customFormat="1" ht="33" x14ac:dyDescent="0.3">
      <c r="A428" s="283" t="s">
        <v>3267</v>
      </c>
      <c r="B428" s="303" t="s">
        <v>3271</v>
      </c>
      <c r="C428" s="212" t="s">
        <v>50</v>
      </c>
      <c r="D428" s="213"/>
      <c r="E428" s="213"/>
      <c r="F428" s="213"/>
      <c r="G428" s="213"/>
      <c r="H428" s="213"/>
      <c r="I428" s="337">
        <v>94.85</v>
      </c>
      <c r="J428" s="213">
        <v>4997.58</v>
      </c>
      <c r="K428" s="213">
        <v>474020.46</v>
      </c>
      <c r="L428" s="284"/>
      <c r="M428" s="278"/>
      <c r="N428" s="42">
        <v>0</v>
      </c>
      <c r="O428" s="42">
        <v>0</v>
      </c>
      <c r="P428" s="42">
        <v>0</v>
      </c>
      <c r="Q428" s="98"/>
      <c r="R428" s="13" t="s">
        <v>1429</v>
      </c>
      <c r="S428" s="286" t="str">
        <f t="shared" si="94"/>
        <v>不鏽鋼板雷射造型切割</v>
      </c>
      <c r="T428" s="287" t="str">
        <f t="shared" si="94"/>
        <v>M2</v>
      </c>
      <c r="U428" s="16"/>
      <c r="V428" s="16">
        <f t="shared" si="96"/>
        <v>94.85</v>
      </c>
      <c r="W428" s="16">
        <f t="shared" si="84"/>
        <v>4997.58</v>
      </c>
      <c r="X428" s="334">
        <f t="shared" si="89"/>
        <v>0</v>
      </c>
      <c r="Y428" s="16">
        <f t="shared" si="93"/>
        <v>0</v>
      </c>
      <c r="Z428" s="16">
        <f t="shared" si="90"/>
        <v>0</v>
      </c>
      <c r="AA428" s="16">
        <f t="shared" si="91"/>
        <v>0</v>
      </c>
      <c r="AB428" s="279"/>
      <c r="AC428" s="324"/>
      <c r="AD428" s="181">
        <f t="shared" si="83"/>
        <v>94.85</v>
      </c>
      <c r="AE428" s="181">
        <f t="shared" si="92"/>
        <v>474020.46</v>
      </c>
      <c r="AF428" s="184">
        <v>1.111</v>
      </c>
      <c r="AG428" s="184">
        <v>1.111</v>
      </c>
      <c r="AH428" s="365"/>
      <c r="AI428" s="296">
        <v>0</v>
      </c>
      <c r="AJ428" s="190">
        <v>94.85</v>
      </c>
      <c r="AO428" s="367"/>
      <c r="AP428" s="367"/>
      <c r="AQ428" s="367"/>
    </row>
    <row r="429" spans="1:43" s="281" customFormat="1" ht="33" x14ac:dyDescent="0.3">
      <c r="A429" s="283" t="s">
        <v>3268</v>
      </c>
      <c r="B429" s="303" t="s">
        <v>424</v>
      </c>
      <c r="C429" s="212" t="s">
        <v>50</v>
      </c>
      <c r="D429" s="213"/>
      <c r="E429" s="213"/>
      <c r="F429" s="213"/>
      <c r="G429" s="213"/>
      <c r="H429" s="213"/>
      <c r="I429" s="337">
        <v>390.48</v>
      </c>
      <c r="J429" s="213">
        <v>692.16</v>
      </c>
      <c r="K429" s="213">
        <v>270274.64</v>
      </c>
      <c r="L429" s="284"/>
      <c r="M429" s="278"/>
      <c r="N429" s="42">
        <v>266.8</v>
      </c>
      <c r="O429" s="42">
        <v>0</v>
      </c>
      <c r="P429" s="42">
        <v>184668.29</v>
      </c>
      <c r="Q429" s="98"/>
      <c r="R429" s="13" t="s">
        <v>1430</v>
      </c>
      <c r="S429" s="286" t="str">
        <f t="shared" si="94"/>
        <v>施工輔助設施，施工架，鋼管，框式</v>
      </c>
      <c r="T429" s="287" t="str">
        <f t="shared" si="94"/>
        <v>M2</v>
      </c>
      <c r="U429" s="16"/>
      <c r="V429" s="16">
        <f t="shared" si="96"/>
        <v>390.48</v>
      </c>
      <c r="W429" s="16">
        <f t="shared" si="84"/>
        <v>692.16</v>
      </c>
      <c r="X429" s="16">
        <f t="shared" si="89"/>
        <v>0</v>
      </c>
      <c r="Y429" s="16">
        <f t="shared" si="93"/>
        <v>266.8</v>
      </c>
      <c r="Z429" s="16">
        <f t="shared" si="90"/>
        <v>0</v>
      </c>
      <c r="AA429" s="16">
        <f t="shared" si="91"/>
        <v>184668.29</v>
      </c>
      <c r="AB429" s="279"/>
      <c r="AC429" s="324"/>
      <c r="AD429" s="181">
        <f t="shared" si="83"/>
        <v>390.48</v>
      </c>
      <c r="AE429" s="181">
        <f t="shared" si="92"/>
        <v>270274.64</v>
      </c>
      <c r="AF429" s="184">
        <v>1.111</v>
      </c>
      <c r="AG429" s="184">
        <v>1.111</v>
      </c>
      <c r="AH429" s="365"/>
      <c r="AI429" s="285">
        <v>266.8</v>
      </c>
      <c r="AJ429" s="190">
        <v>390.48</v>
      </c>
      <c r="AN429" s="364"/>
      <c r="AO429" s="368"/>
      <c r="AP429" s="367"/>
      <c r="AQ429" s="367"/>
    </row>
    <row r="430" spans="1:43" s="281" customFormat="1" ht="39" x14ac:dyDescent="0.3">
      <c r="A430" s="130" t="s">
        <v>3269</v>
      </c>
      <c r="B430" s="131" t="s">
        <v>3272</v>
      </c>
      <c r="C430" s="132" t="s">
        <v>81</v>
      </c>
      <c r="D430" s="133"/>
      <c r="E430" s="213"/>
      <c r="F430" s="213"/>
      <c r="G430" s="213"/>
      <c r="H430" s="213"/>
      <c r="I430" s="343">
        <v>1</v>
      </c>
      <c r="J430" s="213">
        <v>738224.66</v>
      </c>
      <c r="K430" s="213">
        <v>738224.66</v>
      </c>
      <c r="L430" s="284"/>
      <c r="M430" s="278"/>
      <c r="N430" s="42">
        <v>0</v>
      </c>
      <c r="O430" s="42">
        <v>0</v>
      </c>
      <c r="P430" s="42">
        <v>0</v>
      </c>
      <c r="Q430" s="98"/>
      <c r="R430" s="13" t="s">
        <v>1431</v>
      </c>
      <c r="S430" s="286" t="str">
        <f t="shared" si="94"/>
        <v>觀溪亭地坪及外飾面</v>
      </c>
      <c r="T430" s="287" t="str">
        <f t="shared" si="94"/>
        <v>座</v>
      </c>
      <c r="U430" s="16"/>
      <c r="V430" s="16">
        <f t="shared" si="96"/>
        <v>1</v>
      </c>
      <c r="W430" s="16">
        <f t="shared" si="84"/>
        <v>738224.66</v>
      </c>
      <c r="X430" s="334">
        <f t="shared" si="89"/>
        <v>0</v>
      </c>
      <c r="Y430" s="127">
        <f t="shared" si="93"/>
        <v>0</v>
      </c>
      <c r="Z430" s="127">
        <f t="shared" si="90"/>
        <v>0</v>
      </c>
      <c r="AA430" s="127">
        <f t="shared" si="91"/>
        <v>0</v>
      </c>
      <c r="AB430" s="279"/>
      <c r="AC430" s="324"/>
      <c r="AD430" s="181">
        <f t="shared" si="83"/>
        <v>1</v>
      </c>
      <c r="AE430" s="181">
        <f t="shared" si="92"/>
        <v>738224.66</v>
      </c>
      <c r="AF430" s="184">
        <v>1.111</v>
      </c>
      <c r="AG430" s="184">
        <v>1.111</v>
      </c>
      <c r="AH430" s="365"/>
      <c r="AI430" s="296">
        <v>0</v>
      </c>
      <c r="AJ430" s="190">
        <v>1</v>
      </c>
      <c r="AN430" s="364"/>
      <c r="AO430" s="368"/>
      <c r="AP430" s="367"/>
      <c r="AQ430" s="367"/>
    </row>
    <row r="431" spans="1:43" s="281" customFormat="1" ht="82.5" x14ac:dyDescent="0.3">
      <c r="A431" s="130" t="s">
        <v>3270</v>
      </c>
      <c r="B431" s="139" t="s">
        <v>3273</v>
      </c>
      <c r="C431" s="204" t="s">
        <v>81</v>
      </c>
      <c r="D431" s="133"/>
      <c r="E431" s="275"/>
      <c r="F431" s="213"/>
      <c r="G431" s="213"/>
      <c r="H431" s="213"/>
      <c r="I431" s="343">
        <v>1</v>
      </c>
      <c r="J431" s="301">
        <v>3290273.4</v>
      </c>
      <c r="K431" s="275">
        <v>3290273.4</v>
      </c>
      <c r="L431" s="284"/>
      <c r="M431" s="278"/>
      <c r="N431" s="42">
        <v>0</v>
      </c>
      <c r="O431" s="42">
        <v>0</v>
      </c>
      <c r="P431" s="42">
        <v>0</v>
      </c>
      <c r="Q431" s="98"/>
      <c r="R431" s="13" t="s">
        <v>1395</v>
      </c>
      <c r="S431" s="286" t="str">
        <f t="shared" si="94"/>
        <v>蝶舞亭地坪及外飾面(含板材手工鍛造成型、板材手工拋磨、造型製作、工廠內假組立等)</v>
      </c>
      <c r="T431" s="287" t="str">
        <f t="shared" si="94"/>
        <v>座</v>
      </c>
      <c r="U431" s="16"/>
      <c r="V431" s="16">
        <f t="shared" si="96"/>
        <v>1</v>
      </c>
      <c r="W431" s="16">
        <f t="shared" si="84"/>
        <v>3290273.4</v>
      </c>
      <c r="X431" s="334">
        <f t="shared" si="89"/>
        <v>0</v>
      </c>
      <c r="Y431" s="127">
        <f t="shared" si="93"/>
        <v>0</v>
      </c>
      <c r="Z431" s="127">
        <f t="shared" si="90"/>
        <v>0</v>
      </c>
      <c r="AA431" s="127">
        <f t="shared" si="91"/>
        <v>0</v>
      </c>
      <c r="AB431" s="279"/>
      <c r="AC431" s="324"/>
      <c r="AD431" s="181">
        <f t="shared" si="83"/>
        <v>1</v>
      </c>
      <c r="AE431" s="181">
        <f t="shared" si="92"/>
        <v>3290273.4</v>
      </c>
      <c r="AF431" s="184">
        <v>1.111</v>
      </c>
      <c r="AG431" s="184">
        <v>1.111</v>
      </c>
      <c r="AH431" s="365"/>
      <c r="AI431" s="296">
        <v>0</v>
      </c>
      <c r="AJ431" s="190">
        <v>1</v>
      </c>
      <c r="AN431" s="69"/>
      <c r="AO431" s="367"/>
      <c r="AP431" s="367"/>
      <c r="AQ431" s="367"/>
    </row>
    <row r="432" spans="1:43" s="69" customFormat="1" x14ac:dyDescent="0.3">
      <c r="A432" s="79" t="s">
        <v>3278</v>
      </c>
      <c r="B432" s="80" t="s">
        <v>3279</v>
      </c>
      <c r="C432" s="81" t="s">
        <v>14</v>
      </c>
      <c r="D432" s="82"/>
      <c r="E432" s="82"/>
      <c r="F432" s="82"/>
      <c r="G432" s="82"/>
      <c r="H432" s="82"/>
      <c r="I432" s="82">
        <v>1</v>
      </c>
      <c r="J432" s="82">
        <v>699665</v>
      </c>
      <c r="K432" s="82">
        <v>699665</v>
      </c>
      <c r="L432" s="94" t="s">
        <v>15</v>
      </c>
      <c r="M432" s="73"/>
      <c r="N432" s="45">
        <v>0</v>
      </c>
      <c r="O432" s="45">
        <v>0</v>
      </c>
      <c r="P432" s="45">
        <v>0</v>
      </c>
      <c r="Q432" s="98"/>
      <c r="R432" s="18" t="s">
        <v>3254</v>
      </c>
      <c r="S432" s="19" t="str">
        <f t="shared" ref="S432:T433" si="97">B432</f>
        <v>工程效益</v>
      </c>
      <c r="T432" s="20" t="str">
        <f t="shared" si="97"/>
        <v>式</v>
      </c>
      <c r="U432" s="21"/>
      <c r="V432" s="21">
        <v>1</v>
      </c>
      <c r="W432" s="21">
        <f t="shared" si="84"/>
        <v>699665</v>
      </c>
      <c r="X432" s="21">
        <f t="shared" ref="X432:Y432" si="98">IF(Z432=0,0,1)</f>
        <v>0</v>
      </c>
      <c r="Y432" s="21">
        <f t="shared" si="98"/>
        <v>0</v>
      </c>
      <c r="Z432" s="21">
        <f>SUMIFS(Z:Z,AG:AG,AF432)</f>
        <v>0</v>
      </c>
      <c r="AA432" s="21">
        <f>SUMIFS(AA:AA,AG:AG,AF432)</f>
        <v>0</v>
      </c>
      <c r="AB432" s="22" t="s">
        <v>15</v>
      </c>
      <c r="AC432" s="324"/>
      <c r="AD432" s="181">
        <f t="shared" si="83"/>
        <v>1</v>
      </c>
      <c r="AE432" s="184"/>
      <c r="AF432" s="184">
        <v>1.1113</v>
      </c>
      <c r="AG432" s="184"/>
      <c r="AH432" s="363" t="str">
        <f t="shared" ref="AH432:AH433" si="99">IF(Y432&gt;AJ432,"超估","")</f>
        <v/>
      </c>
      <c r="AI432" s="192">
        <v>1</v>
      </c>
      <c r="AJ432" s="190">
        <v>1</v>
      </c>
      <c r="AN432" s="281"/>
      <c r="AO432" s="367"/>
      <c r="AP432" s="367"/>
      <c r="AQ432" s="367"/>
    </row>
    <row r="433" spans="1:43" s="281" customFormat="1" x14ac:dyDescent="0.3">
      <c r="A433" s="283" t="s">
        <v>3281</v>
      </c>
      <c r="B433" s="305" t="s">
        <v>3280</v>
      </c>
      <c r="C433" s="274" t="s">
        <v>14</v>
      </c>
      <c r="D433" s="213"/>
      <c r="E433" s="275"/>
      <c r="F433" s="213"/>
      <c r="G433" s="213"/>
      <c r="H433" s="213"/>
      <c r="I433" s="213">
        <v>1</v>
      </c>
      <c r="J433" s="301">
        <v>699665</v>
      </c>
      <c r="K433" s="275">
        <v>699665</v>
      </c>
      <c r="L433" s="284" t="s">
        <v>15</v>
      </c>
      <c r="M433" s="278"/>
      <c r="N433" s="42">
        <v>0</v>
      </c>
      <c r="O433" s="42">
        <v>0</v>
      </c>
      <c r="P433" s="42">
        <v>0</v>
      </c>
      <c r="Q433" s="98"/>
      <c r="R433" s="13" t="s">
        <v>3274</v>
      </c>
      <c r="S433" s="286" t="str">
        <f t="shared" si="97"/>
        <v>工程效益宣導活動</v>
      </c>
      <c r="T433" s="287" t="str">
        <f t="shared" si="97"/>
        <v>式</v>
      </c>
      <c r="U433" s="16"/>
      <c r="V433" s="16">
        <f t="shared" ref="V433" si="100">IF(I433&gt;0,I433,IF(H433&gt;0,H433,IF(G433&gt;0,G433,IF(F433&gt;0,F433,IF(E433&gt;0,E433,D433)))))</f>
        <v>1</v>
      </c>
      <c r="W433" s="16">
        <f t="shared" si="84"/>
        <v>699665</v>
      </c>
      <c r="X433" s="16">
        <f t="shared" ref="X433" si="101">AI433-N433</f>
        <v>0</v>
      </c>
      <c r="Y433" s="16">
        <f t="shared" ref="Y433" si="102">X433+N433</f>
        <v>0</v>
      </c>
      <c r="Z433" s="16">
        <f t="shared" ref="Z433" si="103">AA433-P433</f>
        <v>0</v>
      </c>
      <c r="AA433" s="16">
        <f t="shared" ref="AA433" si="104">ROUND(W433*Y433,2)</f>
        <v>0</v>
      </c>
      <c r="AB433" s="279" t="s">
        <v>15</v>
      </c>
      <c r="AC433" s="324"/>
      <c r="AD433" s="181">
        <f t="shared" si="83"/>
        <v>1</v>
      </c>
      <c r="AE433" s="181">
        <f t="shared" si="92"/>
        <v>699665</v>
      </c>
      <c r="AF433" s="184">
        <v>1.1113</v>
      </c>
      <c r="AG433" s="184">
        <v>1.1113</v>
      </c>
      <c r="AH433" s="365" t="str">
        <f t="shared" si="99"/>
        <v/>
      </c>
      <c r="AI433" s="285"/>
      <c r="AJ433" s="190">
        <v>1</v>
      </c>
      <c r="AN433" s="315"/>
      <c r="AO433" s="367"/>
      <c r="AP433" s="367"/>
      <c r="AQ433" s="367"/>
    </row>
    <row r="434" spans="1:43" s="315" customFormat="1" x14ac:dyDescent="0.3">
      <c r="A434" s="85" t="s">
        <v>1007</v>
      </c>
      <c r="B434" s="86" t="s">
        <v>1008</v>
      </c>
      <c r="C434" s="87" t="s">
        <v>14</v>
      </c>
      <c r="D434" s="88">
        <v>1</v>
      </c>
      <c r="E434" s="88"/>
      <c r="F434" s="88"/>
      <c r="G434" s="88"/>
      <c r="H434" s="88"/>
      <c r="I434" s="318"/>
      <c r="J434" s="88">
        <v>28415313.68</v>
      </c>
      <c r="K434" s="88">
        <v>28415313.68</v>
      </c>
      <c r="L434" s="95" t="s">
        <v>15</v>
      </c>
      <c r="M434" s="306"/>
      <c r="N434" s="307">
        <v>1</v>
      </c>
      <c r="O434" s="307">
        <v>254958</v>
      </c>
      <c r="P434" s="307">
        <v>26095020.070000004</v>
      </c>
      <c r="Q434" s="98"/>
      <c r="R434" s="308" t="s">
        <v>1404</v>
      </c>
      <c r="S434" s="309" t="s">
        <v>1008</v>
      </c>
      <c r="T434" s="310" t="s">
        <v>14</v>
      </c>
      <c r="U434" s="311">
        <v>1</v>
      </c>
      <c r="V434" s="311"/>
      <c r="W434" s="311">
        <f t="shared" si="84"/>
        <v>28415313.68</v>
      </c>
      <c r="X434" s="311">
        <f t="shared" ref="X434:Y434" si="105">IF(Z434=0,0,1)</f>
        <v>0</v>
      </c>
      <c r="Y434" s="311">
        <f t="shared" si="105"/>
        <v>1</v>
      </c>
      <c r="Z434" s="311">
        <f>SUMIFS(Z:Z,AG:AG,AF434)</f>
        <v>0</v>
      </c>
      <c r="AA434" s="311">
        <f>SUMIFS(AA:AA,AG:AG,AF434)</f>
        <v>26095020.070000004</v>
      </c>
      <c r="AB434" s="312" t="s">
        <v>15</v>
      </c>
      <c r="AC434" s="324"/>
      <c r="AD434" s="313">
        <f t="shared" si="83"/>
        <v>1</v>
      </c>
      <c r="AE434" s="313"/>
      <c r="AF434" s="313">
        <v>2</v>
      </c>
      <c r="AG434" s="313"/>
      <c r="AH434" s="366" t="str">
        <f t="shared" si="81"/>
        <v/>
      </c>
      <c r="AI434" s="376">
        <v>1</v>
      </c>
      <c r="AJ434" s="362">
        <v>1</v>
      </c>
      <c r="AN434" s="363"/>
      <c r="AO434" s="368"/>
      <c r="AP434" s="367"/>
      <c r="AQ434" s="367"/>
    </row>
    <row r="435" spans="1:43" s="69" customFormat="1" ht="39" x14ac:dyDescent="0.3">
      <c r="A435" s="55" t="s">
        <v>1009</v>
      </c>
      <c r="B435" s="53" t="s">
        <v>1010</v>
      </c>
      <c r="C435" s="54" t="s">
        <v>14</v>
      </c>
      <c r="D435" s="75">
        <v>1</v>
      </c>
      <c r="E435" s="75"/>
      <c r="F435" s="75"/>
      <c r="G435" s="75"/>
      <c r="H435" s="161"/>
      <c r="I435" s="158"/>
      <c r="J435" s="166">
        <v>711302</v>
      </c>
      <c r="K435" s="75">
        <v>711302</v>
      </c>
      <c r="L435" s="91" t="s">
        <v>1011</v>
      </c>
      <c r="M435" s="73"/>
      <c r="N435" s="46">
        <v>0.6</v>
      </c>
      <c r="O435" s="46">
        <v>0</v>
      </c>
      <c r="P435" s="46">
        <v>426781.2</v>
      </c>
      <c r="Q435" s="98"/>
      <c r="R435" s="23" t="s">
        <v>1421</v>
      </c>
      <c r="S435" s="24" t="s">
        <v>1010</v>
      </c>
      <c r="T435" s="25" t="s">
        <v>14</v>
      </c>
      <c r="U435" s="26">
        <v>1</v>
      </c>
      <c r="V435" s="26">
        <f t="shared" ref="V435:V463" si="106">IF(I435&gt;0,I435,IF(H435&gt;0,H435,IF(G435&gt;0,G435,IF(F435&gt;0,F435,IF(E435&gt;0,E435,D435)))))</f>
        <v>1</v>
      </c>
      <c r="W435" s="26">
        <f t="shared" si="84"/>
        <v>711302</v>
      </c>
      <c r="X435" s="26">
        <f>AI435-N435</f>
        <v>0</v>
      </c>
      <c r="Y435" s="26">
        <f t="shared" ref="Y435:Y515" si="107">X435+N435</f>
        <v>0.6</v>
      </c>
      <c r="Z435" s="26">
        <f t="shared" ref="Z435:Z463" si="108">AA435-P435</f>
        <v>0</v>
      </c>
      <c r="AA435" s="26">
        <f>ROUND(W435*Y435,2)</f>
        <v>426781.2</v>
      </c>
      <c r="AB435" s="33" t="s">
        <v>15</v>
      </c>
      <c r="AC435" s="324"/>
      <c r="AD435" s="181">
        <f t="shared" si="83"/>
        <v>1</v>
      </c>
      <c r="AE435" s="181">
        <f t="shared" ref="AE435:AE463" si="109">ROUND(W435*AD435,2)</f>
        <v>711302</v>
      </c>
      <c r="AF435" s="181">
        <v>2</v>
      </c>
      <c r="AG435" s="181">
        <v>2</v>
      </c>
      <c r="AH435" s="363" t="str">
        <f t="shared" si="81"/>
        <v/>
      </c>
      <c r="AI435" s="194">
        <v>0.6</v>
      </c>
      <c r="AJ435" s="188">
        <v>1</v>
      </c>
      <c r="AO435" s="367"/>
      <c r="AP435" s="367"/>
      <c r="AQ435" s="367"/>
    </row>
    <row r="436" spans="1:43" s="69" customFormat="1" ht="33" customHeight="1" x14ac:dyDescent="0.3">
      <c r="A436" s="55" t="s">
        <v>1012</v>
      </c>
      <c r="B436" s="53" t="s">
        <v>3153</v>
      </c>
      <c r="C436" s="54" t="s">
        <v>1014</v>
      </c>
      <c r="D436" s="75">
        <v>7</v>
      </c>
      <c r="E436" s="75"/>
      <c r="F436" s="75"/>
      <c r="G436" s="75"/>
      <c r="H436" s="224"/>
      <c r="I436" s="158"/>
      <c r="J436" s="166">
        <v>50000</v>
      </c>
      <c r="K436" s="75">
        <v>350000</v>
      </c>
      <c r="L436" s="91" t="s">
        <v>1015</v>
      </c>
      <c r="M436" s="73"/>
      <c r="N436" s="46">
        <v>1</v>
      </c>
      <c r="O436" s="46">
        <v>0</v>
      </c>
      <c r="P436" s="46">
        <v>50000</v>
      </c>
      <c r="Q436" s="98"/>
      <c r="R436" s="23" t="s">
        <v>1426</v>
      </c>
      <c r="S436" s="24" t="s">
        <v>1013</v>
      </c>
      <c r="T436" s="25" t="s">
        <v>1014</v>
      </c>
      <c r="U436" s="26">
        <v>7</v>
      </c>
      <c r="V436" s="26">
        <f t="shared" si="106"/>
        <v>7</v>
      </c>
      <c r="W436" s="26">
        <f t="shared" si="84"/>
        <v>50000</v>
      </c>
      <c r="X436" s="128">
        <f t="shared" ref="X436:X463" si="110">AI436-N436</f>
        <v>0</v>
      </c>
      <c r="Y436" s="26">
        <f t="shared" si="107"/>
        <v>1</v>
      </c>
      <c r="Z436" s="26">
        <f t="shared" si="108"/>
        <v>0</v>
      </c>
      <c r="AA436" s="26">
        <f t="shared" ref="AA436:AA463" si="111">ROUND(W436*Y436,2)</f>
        <v>50000</v>
      </c>
      <c r="AB436" s="33" t="s">
        <v>15</v>
      </c>
      <c r="AC436" s="324"/>
      <c r="AD436" s="181">
        <f t="shared" si="83"/>
        <v>7</v>
      </c>
      <c r="AE436" s="181">
        <f t="shared" si="109"/>
        <v>350000</v>
      </c>
      <c r="AF436" s="181">
        <v>2</v>
      </c>
      <c r="AG436" s="181">
        <v>2</v>
      </c>
      <c r="AH436" s="363" t="str">
        <f t="shared" si="81"/>
        <v/>
      </c>
      <c r="AI436" s="194">
        <f>1</f>
        <v>1</v>
      </c>
      <c r="AJ436" s="188">
        <v>7</v>
      </c>
      <c r="AO436" s="367"/>
      <c r="AP436" s="367"/>
      <c r="AQ436" s="367"/>
    </row>
    <row r="437" spans="1:43" s="69" customFormat="1" x14ac:dyDescent="0.3">
      <c r="A437" s="130" t="s">
        <v>1016</v>
      </c>
      <c r="B437" s="131" t="s">
        <v>1017</v>
      </c>
      <c r="C437" s="132" t="s">
        <v>50</v>
      </c>
      <c r="D437" s="133">
        <v>360</v>
      </c>
      <c r="E437" s="75"/>
      <c r="F437" s="133">
        <v>400</v>
      </c>
      <c r="G437" s="224"/>
      <c r="H437" s="235"/>
      <c r="I437" s="158"/>
      <c r="J437" s="166">
        <v>22500</v>
      </c>
      <c r="K437" s="75">
        <v>9000000</v>
      </c>
      <c r="L437" s="91" t="s">
        <v>1018</v>
      </c>
      <c r="M437" s="73"/>
      <c r="N437" s="46">
        <v>400</v>
      </c>
      <c r="O437" s="46">
        <v>0</v>
      </c>
      <c r="P437" s="46">
        <v>9000000</v>
      </c>
      <c r="Q437" s="98"/>
      <c r="R437" s="23" t="s">
        <v>1402</v>
      </c>
      <c r="S437" s="24" t="s">
        <v>1017</v>
      </c>
      <c r="T437" s="25" t="s">
        <v>50</v>
      </c>
      <c r="U437" s="26">
        <v>360</v>
      </c>
      <c r="V437" s="26">
        <f t="shared" si="106"/>
        <v>400</v>
      </c>
      <c r="W437" s="26">
        <f t="shared" si="84"/>
        <v>22500</v>
      </c>
      <c r="X437" s="127">
        <f t="shared" si="110"/>
        <v>0</v>
      </c>
      <c r="Y437" s="127">
        <f t="shared" si="107"/>
        <v>400</v>
      </c>
      <c r="Z437" s="127">
        <f t="shared" si="108"/>
        <v>0</v>
      </c>
      <c r="AA437" s="127">
        <f t="shared" si="111"/>
        <v>9000000</v>
      </c>
      <c r="AB437" s="27" t="s">
        <v>15</v>
      </c>
      <c r="AC437" s="324"/>
      <c r="AD437" s="181">
        <f t="shared" si="83"/>
        <v>400</v>
      </c>
      <c r="AE437" s="181">
        <f t="shared" si="109"/>
        <v>9000000</v>
      </c>
      <c r="AF437" s="181">
        <v>2</v>
      </c>
      <c r="AG437" s="181">
        <v>2</v>
      </c>
      <c r="AH437" s="363" t="str">
        <f t="shared" si="81"/>
        <v/>
      </c>
      <c r="AI437" s="192">
        <v>400</v>
      </c>
      <c r="AJ437" s="188">
        <v>400</v>
      </c>
      <c r="AO437" s="367"/>
      <c r="AP437" s="367"/>
      <c r="AQ437" s="367"/>
    </row>
    <row r="438" spans="1:43" s="69" customFormat="1" ht="82.5" x14ac:dyDescent="0.3">
      <c r="A438" s="55" t="s">
        <v>1019</v>
      </c>
      <c r="B438" s="138" t="s">
        <v>1020</v>
      </c>
      <c r="C438" s="54" t="s">
        <v>1021</v>
      </c>
      <c r="D438" s="75">
        <v>730</v>
      </c>
      <c r="E438" s="75">
        <v>910</v>
      </c>
      <c r="F438" s="161">
        <v>3650</v>
      </c>
      <c r="G438" s="235"/>
      <c r="H438" s="235"/>
      <c r="I438" s="158"/>
      <c r="J438" s="166">
        <v>806</v>
      </c>
      <c r="K438" s="75">
        <v>2941900</v>
      </c>
      <c r="L438" s="91" t="s">
        <v>1022</v>
      </c>
      <c r="M438" s="73"/>
      <c r="N438" s="46">
        <v>2715</v>
      </c>
      <c r="O438" s="46">
        <v>74958</v>
      </c>
      <c r="P438" s="46">
        <v>2188290</v>
      </c>
      <c r="Q438" s="98"/>
      <c r="R438" s="23" t="s">
        <v>1373</v>
      </c>
      <c r="S438" s="24" t="s">
        <v>1020</v>
      </c>
      <c r="T438" s="25" t="s">
        <v>1021</v>
      </c>
      <c r="U438" s="26">
        <v>730</v>
      </c>
      <c r="V438" s="26">
        <f t="shared" si="106"/>
        <v>3650</v>
      </c>
      <c r="W438" s="26">
        <f t="shared" si="84"/>
        <v>806</v>
      </c>
      <c r="X438" s="250">
        <f t="shared" si="110"/>
        <v>0</v>
      </c>
      <c r="Y438" s="26">
        <f t="shared" si="107"/>
        <v>2715</v>
      </c>
      <c r="Z438" s="26">
        <f t="shared" si="108"/>
        <v>0</v>
      </c>
      <c r="AA438" s="26">
        <f t="shared" si="111"/>
        <v>2188290</v>
      </c>
      <c r="AB438" s="27" t="s">
        <v>15</v>
      </c>
      <c r="AC438" s="324"/>
      <c r="AD438" s="181">
        <f t="shared" si="83"/>
        <v>3650</v>
      </c>
      <c r="AE438" s="181">
        <f t="shared" si="109"/>
        <v>2941900</v>
      </c>
      <c r="AF438" s="181">
        <v>2</v>
      </c>
      <c r="AG438" s="181">
        <v>2</v>
      </c>
      <c r="AH438" s="363" t="str">
        <f t="shared" si="81"/>
        <v/>
      </c>
      <c r="AI438" s="191">
        <v>2715</v>
      </c>
      <c r="AJ438" s="188">
        <v>3650</v>
      </c>
      <c r="AO438" s="367"/>
      <c r="AP438" s="367"/>
      <c r="AQ438" s="367"/>
    </row>
    <row r="439" spans="1:43" s="69" customFormat="1" ht="33" customHeight="1" x14ac:dyDescent="0.3">
      <c r="A439" s="130" t="s">
        <v>1023</v>
      </c>
      <c r="B439" s="131" t="s">
        <v>1024</v>
      </c>
      <c r="C439" s="132" t="s">
        <v>1014</v>
      </c>
      <c r="D439" s="133">
        <v>2</v>
      </c>
      <c r="E439" s="75">
        <v>4</v>
      </c>
      <c r="F439" s="162">
        <v>5</v>
      </c>
      <c r="G439" s="235"/>
      <c r="H439" s="235"/>
      <c r="I439" s="158"/>
      <c r="J439" s="166">
        <v>50000</v>
      </c>
      <c r="K439" s="75">
        <v>250000</v>
      </c>
      <c r="L439" s="91" t="s">
        <v>1025</v>
      </c>
      <c r="M439" s="73"/>
      <c r="N439" s="46">
        <v>5</v>
      </c>
      <c r="O439" s="46">
        <v>0</v>
      </c>
      <c r="P439" s="46">
        <v>250000</v>
      </c>
      <c r="Q439" s="98"/>
      <c r="R439" s="23" t="s">
        <v>1393</v>
      </c>
      <c r="S439" s="24" t="s">
        <v>1024</v>
      </c>
      <c r="T439" s="25" t="s">
        <v>1014</v>
      </c>
      <c r="U439" s="26">
        <v>2</v>
      </c>
      <c r="V439" s="26">
        <f t="shared" si="106"/>
        <v>5</v>
      </c>
      <c r="W439" s="26">
        <f t="shared" si="84"/>
        <v>50000</v>
      </c>
      <c r="X439" s="127">
        <f t="shared" si="110"/>
        <v>0</v>
      </c>
      <c r="Y439" s="127">
        <f t="shared" si="107"/>
        <v>5</v>
      </c>
      <c r="Z439" s="127">
        <f t="shared" si="108"/>
        <v>0</v>
      </c>
      <c r="AA439" s="127">
        <f t="shared" si="111"/>
        <v>250000</v>
      </c>
      <c r="AB439" s="27" t="s">
        <v>15</v>
      </c>
      <c r="AC439" s="324"/>
      <c r="AD439" s="181">
        <f t="shared" si="83"/>
        <v>5</v>
      </c>
      <c r="AE439" s="181">
        <f t="shared" si="109"/>
        <v>250000</v>
      </c>
      <c r="AF439" s="181">
        <v>2</v>
      </c>
      <c r="AG439" s="181">
        <v>2</v>
      </c>
      <c r="AH439" s="363" t="str">
        <f t="shared" si="81"/>
        <v/>
      </c>
      <c r="AI439" s="192">
        <v>5</v>
      </c>
      <c r="AJ439" s="188">
        <v>5</v>
      </c>
      <c r="AO439" s="367"/>
      <c r="AP439" s="367"/>
      <c r="AQ439" s="367"/>
    </row>
    <row r="440" spans="1:43" s="69" customFormat="1" ht="36.75" customHeight="1" x14ac:dyDescent="0.3">
      <c r="A440" s="55" t="s">
        <v>1026</v>
      </c>
      <c r="B440" s="53" t="s">
        <v>1027</v>
      </c>
      <c r="C440" s="54" t="s">
        <v>1028</v>
      </c>
      <c r="D440" s="75">
        <v>24</v>
      </c>
      <c r="E440" s="75"/>
      <c r="F440" s="161"/>
      <c r="G440" s="235"/>
      <c r="H440" s="235"/>
      <c r="I440" s="341">
        <v>28</v>
      </c>
      <c r="J440" s="166">
        <v>180000</v>
      </c>
      <c r="K440" s="75">
        <v>5040000</v>
      </c>
      <c r="L440" s="91" t="s">
        <v>1029</v>
      </c>
      <c r="M440" s="73"/>
      <c r="N440" s="46">
        <v>25</v>
      </c>
      <c r="O440" s="46">
        <v>180000</v>
      </c>
      <c r="P440" s="46">
        <v>4500000</v>
      </c>
      <c r="Q440" s="98"/>
      <c r="R440" s="23" t="s">
        <v>1403</v>
      </c>
      <c r="S440" s="24" t="s">
        <v>1027</v>
      </c>
      <c r="T440" s="25" t="s">
        <v>1028</v>
      </c>
      <c r="U440" s="26">
        <v>24</v>
      </c>
      <c r="V440" s="26">
        <f t="shared" si="106"/>
        <v>28</v>
      </c>
      <c r="W440" s="26">
        <f t="shared" si="84"/>
        <v>180000</v>
      </c>
      <c r="X440" s="250">
        <f t="shared" si="110"/>
        <v>0</v>
      </c>
      <c r="Y440" s="26">
        <f t="shared" si="107"/>
        <v>25</v>
      </c>
      <c r="Z440" s="26">
        <f t="shared" si="108"/>
        <v>0</v>
      </c>
      <c r="AA440" s="26">
        <f t="shared" si="111"/>
        <v>4500000</v>
      </c>
      <c r="AB440" s="33" t="s">
        <v>15</v>
      </c>
      <c r="AC440" s="324"/>
      <c r="AD440" s="181">
        <f t="shared" si="83"/>
        <v>28</v>
      </c>
      <c r="AE440" s="181">
        <f t="shared" si="109"/>
        <v>5040000</v>
      </c>
      <c r="AF440" s="181">
        <v>2</v>
      </c>
      <c r="AG440" s="181">
        <v>2</v>
      </c>
      <c r="AH440" s="363" t="str">
        <f t="shared" si="81"/>
        <v/>
      </c>
      <c r="AI440" s="191">
        <v>25</v>
      </c>
      <c r="AJ440" s="190">
        <v>28</v>
      </c>
      <c r="AO440" s="367"/>
      <c r="AP440" s="367"/>
      <c r="AQ440" s="367"/>
    </row>
    <row r="441" spans="1:43" s="69" customFormat="1" ht="34.5" customHeight="1" x14ac:dyDescent="0.3">
      <c r="A441" s="55" t="s">
        <v>1030</v>
      </c>
      <c r="B441" s="53" t="s">
        <v>1031</v>
      </c>
      <c r="C441" s="54" t="s">
        <v>14</v>
      </c>
      <c r="D441" s="75">
        <v>1</v>
      </c>
      <c r="E441" s="75"/>
      <c r="F441" s="161"/>
      <c r="G441" s="235"/>
      <c r="H441" s="235"/>
      <c r="I441" s="158"/>
      <c r="J441" s="166">
        <v>205982.81</v>
      </c>
      <c r="K441" s="75">
        <v>205982.81</v>
      </c>
      <c r="L441" s="91" t="s">
        <v>1032</v>
      </c>
      <c r="M441" s="73"/>
      <c r="N441" s="46">
        <v>0</v>
      </c>
      <c r="O441" s="46">
        <v>0</v>
      </c>
      <c r="P441" s="46">
        <v>0</v>
      </c>
      <c r="Q441" s="98"/>
      <c r="R441" s="23" t="s">
        <v>1427</v>
      </c>
      <c r="S441" s="24" t="s">
        <v>1031</v>
      </c>
      <c r="T441" s="25" t="s">
        <v>14</v>
      </c>
      <c r="U441" s="26">
        <v>1</v>
      </c>
      <c r="V441" s="26">
        <f t="shared" si="106"/>
        <v>1</v>
      </c>
      <c r="W441" s="26">
        <f t="shared" si="84"/>
        <v>205982.81</v>
      </c>
      <c r="X441" s="26">
        <f t="shared" si="110"/>
        <v>0</v>
      </c>
      <c r="Y441" s="26">
        <f t="shared" si="107"/>
        <v>0</v>
      </c>
      <c r="Z441" s="26">
        <f t="shared" si="108"/>
        <v>0</v>
      </c>
      <c r="AA441" s="26">
        <f t="shared" si="111"/>
        <v>0</v>
      </c>
      <c r="AB441" s="33" t="s">
        <v>15</v>
      </c>
      <c r="AC441" s="324"/>
      <c r="AD441" s="181">
        <f t="shared" si="83"/>
        <v>1</v>
      </c>
      <c r="AE441" s="181">
        <f t="shared" si="109"/>
        <v>205982.81</v>
      </c>
      <c r="AF441" s="181">
        <v>2</v>
      </c>
      <c r="AG441" s="181">
        <v>2</v>
      </c>
      <c r="AH441" s="363" t="str">
        <f t="shared" si="81"/>
        <v/>
      </c>
      <c r="AI441" s="192">
        <v>0</v>
      </c>
      <c r="AJ441" s="188">
        <v>1</v>
      </c>
      <c r="AO441" s="367"/>
      <c r="AP441" s="367"/>
      <c r="AQ441" s="367"/>
    </row>
    <row r="442" spans="1:43" s="69" customFormat="1" ht="33" customHeight="1" x14ac:dyDescent="0.3">
      <c r="A442" s="130" t="s">
        <v>1033</v>
      </c>
      <c r="B442" s="131" t="s">
        <v>1034</v>
      </c>
      <c r="C442" s="132" t="s">
        <v>14</v>
      </c>
      <c r="D442" s="133">
        <v>1</v>
      </c>
      <c r="E442" s="75"/>
      <c r="F442" s="161"/>
      <c r="G442" s="235"/>
      <c r="H442" s="235"/>
      <c r="I442" s="158"/>
      <c r="J442" s="166">
        <v>2425000</v>
      </c>
      <c r="K442" s="75">
        <v>2425000</v>
      </c>
      <c r="L442" s="91" t="s">
        <v>1035</v>
      </c>
      <c r="M442" s="73"/>
      <c r="N442" s="46">
        <v>1</v>
      </c>
      <c r="O442" s="46">
        <v>0</v>
      </c>
      <c r="P442" s="46">
        <v>2425000</v>
      </c>
      <c r="Q442" s="98"/>
      <c r="R442" s="23" t="s">
        <v>1428</v>
      </c>
      <c r="S442" s="24" t="s">
        <v>1034</v>
      </c>
      <c r="T442" s="25" t="s">
        <v>14</v>
      </c>
      <c r="U442" s="26">
        <v>1</v>
      </c>
      <c r="V442" s="26">
        <f t="shared" si="106"/>
        <v>1</v>
      </c>
      <c r="W442" s="26">
        <f t="shared" si="84"/>
        <v>2425000</v>
      </c>
      <c r="X442" s="127">
        <f t="shared" si="110"/>
        <v>0</v>
      </c>
      <c r="Y442" s="127">
        <f t="shared" si="107"/>
        <v>1</v>
      </c>
      <c r="Z442" s="127">
        <f t="shared" si="108"/>
        <v>0</v>
      </c>
      <c r="AA442" s="127">
        <f t="shared" si="111"/>
        <v>2425000</v>
      </c>
      <c r="AB442" s="33" t="s">
        <v>1499</v>
      </c>
      <c r="AC442" s="324"/>
      <c r="AD442" s="181">
        <f t="shared" si="83"/>
        <v>1</v>
      </c>
      <c r="AE442" s="181">
        <f t="shared" si="109"/>
        <v>2425000</v>
      </c>
      <c r="AF442" s="181">
        <v>2</v>
      </c>
      <c r="AG442" s="181">
        <v>2</v>
      </c>
      <c r="AH442" s="363" t="str">
        <f t="shared" si="81"/>
        <v/>
      </c>
      <c r="AI442" s="192">
        <v>1</v>
      </c>
      <c r="AJ442" s="188">
        <v>1</v>
      </c>
      <c r="AN442" s="363"/>
      <c r="AO442" s="368"/>
      <c r="AP442" s="367"/>
      <c r="AQ442" s="367"/>
    </row>
    <row r="443" spans="1:43" s="69" customFormat="1" ht="33" customHeight="1" x14ac:dyDescent="0.3">
      <c r="A443" s="55" t="s">
        <v>1036</v>
      </c>
      <c r="B443" s="53" t="s">
        <v>1037</v>
      </c>
      <c r="C443" s="54" t="s">
        <v>14</v>
      </c>
      <c r="D443" s="75">
        <v>1</v>
      </c>
      <c r="E443" s="75"/>
      <c r="F443" s="161"/>
      <c r="G443" s="235"/>
      <c r="H443" s="235"/>
      <c r="I443" s="158"/>
      <c r="J443" s="166">
        <v>350000</v>
      </c>
      <c r="K443" s="75">
        <v>350000</v>
      </c>
      <c r="L443" s="91" t="s">
        <v>1038</v>
      </c>
      <c r="M443" s="73"/>
      <c r="N443" s="46">
        <v>0.85</v>
      </c>
      <c r="O443" s="46">
        <v>0</v>
      </c>
      <c r="P443" s="46">
        <v>297500</v>
      </c>
      <c r="Q443" s="98"/>
      <c r="R443" s="23" t="s">
        <v>1387</v>
      </c>
      <c r="S443" s="24" t="s">
        <v>1037</v>
      </c>
      <c r="T443" s="25" t="s">
        <v>14</v>
      </c>
      <c r="U443" s="26">
        <v>1</v>
      </c>
      <c r="V443" s="26">
        <f t="shared" si="106"/>
        <v>1</v>
      </c>
      <c r="W443" s="26">
        <f t="shared" si="84"/>
        <v>350000</v>
      </c>
      <c r="X443" s="128">
        <f t="shared" si="110"/>
        <v>0</v>
      </c>
      <c r="Y443" s="26">
        <f t="shared" si="107"/>
        <v>0.85</v>
      </c>
      <c r="Z443" s="26">
        <f>AA443-P443</f>
        <v>0</v>
      </c>
      <c r="AA443" s="26">
        <f>ROUND(W443*Y443,2)</f>
        <v>297500</v>
      </c>
      <c r="AB443" s="33" t="s">
        <v>15</v>
      </c>
      <c r="AC443" s="324"/>
      <c r="AD443" s="181">
        <f t="shared" si="83"/>
        <v>1</v>
      </c>
      <c r="AE443" s="181">
        <f t="shared" si="109"/>
        <v>350000</v>
      </c>
      <c r="AF443" s="181">
        <v>2</v>
      </c>
      <c r="AG443" s="181">
        <v>2</v>
      </c>
      <c r="AH443" s="363" t="str">
        <f t="shared" si="81"/>
        <v/>
      </c>
      <c r="AI443" s="194">
        <v>0.85</v>
      </c>
      <c r="AJ443" s="188">
        <v>1</v>
      </c>
      <c r="AN443" s="70"/>
      <c r="AO443" s="367"/>
      <c r="AP443" s="367"/>
      <c r="AQ443" s="367"/>
    </row>
    <row r="444" spans="1:43" x14ac:dyDescent="0.3">
      <c r="A444" s="134" t="s">
        <v>1342</v>
      </c>
      <c r="B444" s="135" t="s">
        <v>1343</v>
      </c>
      <c r="C444" s="204" t="s">
        <v>50</v>
      </c>
      <c r="D444" s="133"/>
      <c r="E444" s="78"/>
      <c r="F444" s="348">
        <v>320</v>
      </c>
      <c r="G444" s="163"/>
      <c r="H444" s="163"/>
      <c r="I444" s="62"/>
      <c r="J444" s="167">
        <v>10869.24</v>
      </c>
      <c r="K444" s="62">
        <v>3478156.8</v>
      </c>
      <c r="L444" s="93"/>
      <c r="N444" s="46">
        <v>320</v>
      </c>
      <c r="O444" s="46">
        <v>0</v>
      </c>
      <c r="P444" s="46">
        <v>3478156.8</v>
      </c>
      <c r="Q444" s="98"/>
      <c r="R444" s="23" t="s">
        <v>1405</v>
      </c>
      <c r="S444" s="24" t="s">
        <v>1343</v>
      </c>
      <c r="T444" s="25" t="s">
        <v>50</v>
      </c>
      <c r="U444" s="26">
        <v>0</v>
      </c>
      <c r="V444" s="26">
        <f t="shared" si="106"/>
        <v>320</v>
      </c>
      <c r="W444" s="26">
        <f t="shared" si="84"/>
        <v>10869.24</v>
      </c>
      <c r="X444" s="127">
        <f t="shared" si="110"/>
        <v>0</v>
      </c>
      <c r="Y444" s="127">
        <f t="shared" si="107"/>
        <v>320</v>
      </c>
      <c r="Z444" s="127">
        <f t="shared" si="108"/>
        <v>0</v>
      </c>
      <c r="AA444" s="127">
        <f t="shared" si="111"/>
        <v>3478156.8</v>
      </c>
      <c r="AB444" s="27"/>
      <c r="AC444" s="324"/>
      <c r="AD444" s="181">
        <f t="shared" si="83"/>
        <v>320</v>
      </c>
      <c r="AE444" s="181">
        <f t="shared" si="109"/>
        <v>3478156.8</v>
      </c>
      <c r="AF444" s="181">
        <v>2</v>
      </c>
      <c r="AG444" s="181">
        <v>2</v>
      </c>
      <c r="AH444" s="363" t="str">
        <f t="shared" si="81"/>
        <v/>
      </c>
      <c r="AI444" s="194">
        <v>320</v>
      </c>
      <c r="AJ444" s="188">
        <v>320</v>
      </c>
      <c r="AN444" s="70"/>
      <c r="AO444" s="367"/>
      <c r="AP444" s="367"/>
      <c r="AQ444" s="367"/>
    </row>
    <row r="445" spans="1:43" x14ac:dyDescent="0.3">
      <c r="A445" s="144" t="s">
        <v>1344</v>
      </c>
      <c r="B445" s="145" t="s">
        <v>1345</v>
      </c>
      <c r="C445" s="206" t="s">
        <v>325</v>
      </c>
      <c r="D445" s="170"/>
      <c r="E445" s="147"/>
      <c r="F445" s="164">
        <v>2</v>
      </c>
      <c r="G445" s="163"/>
      <c r="H445" s="163"/>
      <c r="I445" s="346">
        <v>3</v>
      </c>
      <c r="J445" s="168">
        <v>60995.57</v>
      </c>
      <c r="K445" s="148">
        <v>182986.71</v>
      </c>
      <c r="L445" s="149"/>
      <c r="N445" s="46">
        <v>3</v>
      </c>
      <c r="O445" s="46">
        <v>0</v>
      </c>
      <c r="P445" s="46">
        <v>182986.71</v>
      </c>
      <c r="Q445" s="98"/>
      <c r="R445" s="23" t="s">
        <v>1406</v>
      </c>
      <c r="S445" s="24" t="s">
        <v>1345</v>
      </c>
      <c r="T445" s="25" t="s">
        <v>325</v>
      </c>
      <c r="U445" s="26">
        <v>0</v>
      </c>
      <c r="V445" s="26">
        <f t="shared" si="106"/>
        <v>3</v>
      </c>
      <c r="W445" s="26">
        <f t="shared" si="84"/>
        <v>60995.57</v>
      </c>
      <c r="X445" s="128">
        <f t="shared" si="110"/>
        <v>0</v>
      </c>
      <c r="Y445" s="127">
        <f t="shared" si="107"/>
        <v>3</v>
      </c>
      <c r="Z445" s="127">
        <f t="shared" si="108"/>
        <v>0</v>
      </c>
      <c r="AA445" s="127">
        <f t="shared" si="111"/>
        <v>182986.71</v>
      </c>
      <c r="AB445" s="27"/>
      <c r="AC445" s="324"/>
      <c r="AD445" s="181">
        <f t="shared" si="83"/>
        <v>3</v>
      </c>
      <c r="AE445" s="181">
        <f t="shared" si="109"/>
        <v>182986.71</v>
      </c>
      <c r="AF445" s="181">
        <v>2</v>
      </c>
      <c r="AG445" s="181">
        <v>2</v>
      </c>
      <c r="AH445" s="363" t="str">
        <f t="shared" si="81"/>
        <v/>
      </c>
      <c r="AI445" s="192">
        <f>2+1</f>
        <v>3</v>
      </c>
      <c r="AJ445" s="190">
        <v>3</v>
      </c>
      <c r="AN445" s="70"/>
      <c r="AO445" s="367"/>
      <c r="AP445" s="367"/>
      <c r="AQ445" s="367"/>
    </row>
    <row r="446" spans="1:43" ht="39" x14ac:dyDescent="0.3">
      <c r="A446" s="207" t="s">
        <v>3072</v>
      </c>
      <c r="B446" s="208" t="s">
        <v>3073</v>
      </c>
      <c r="C446" s="204" t="s">
        <v>97</v>
      </c>
      <c r="D446" s="171"/>
      <c r="E446" s="158"/>
      <c r="F446" s="165"/>
      <c r="G446" s="219">
        <v>220</v>
      </c>
      <c r="H446" s="317"/>
      <c r="I446" s="159"/>
      <c r="J446" s="169">
        <v>1159.82</v>
      </c>
      <c r="K446" s="159">
        <v>255160.4</v>
      </c>
      <c r="L446" s="172"/>
      <c r="N446" s="46">
        <v>220</v>
      </c>
      <c r="O446" s="46">
        <v>0</v>
      </c>
      <c r="P446" s="46">
        <v>255160.4</v>
      </c>
      <c r="Q446" s="98"/>
      <c r="R446" s="23" t="s">
        <v>1414</v>
      </c>
      <c r="S446" s="24" t="s">
        <v>3073</v>
      </c>
      <c r="T446" s="25" t="s">
        <v>97</v>
      </c>
      <c r="U446" s="26"/>
      <c r="V446" s="26">
        <f t="shared" si="106"/>
        <v>220</v>
      </c>
      <c r="W446" s="169">
        <f t="shared" si="84"/>
        <v>1159.82</v>
      </c>
      <c r="X446" s="127">
        <f t="shared" si="110"/>
        <v>0</v>
      </c>
      <c r="Y446" s="127">
        <f>X446+N446</f>
        <v>220</v>
      </c>
      <c r="Z446" s="127">
        <f t="shared" si="108"/>
        <v>0</v>
      </c>
      <c r="AA446" s="127">
        <f t="shared" si="111"/>
        <v>255160.4</v>
      </c>
      <c r="AB446" s="27"/>
      <c r="AC446" s="324"/>
      <c r="AD446" s="200">
        <f t="shared" si="83"/>
        <v>220</v>
      </c>
      <c r="AE446" s="181">
        <f t="shared" si="109"/>
        <v>255160.4</v>
      </c>
      <c r="AF446" s="181">
        <v>2</v>
      </c>
      <c r="AG446" s="181">
        <v>2</v>
      </c>
      <c r="AH446" s="363"/>
      <c r="AI446" s="192">
        <v>220</v>
      </c>
      <c r="AJ446" s="188">
        <v>220</v>
      </c>
      <c r="AN446" s="70"/>
      <c r="AO446" s="367"/>
      <c r="AP446" s="367"/>
      <c r="AQ446" s="367"/>
    </row>
    <row r="447" spans="1:43" ht="39" x14ac:dyDescent="0.3">
      <c r="A447" s="207" t="s">
        <v>3074</v>
      </c>
      <c r="B447" s="208" t="s">
        <v>3075</v>
      </c>
      <c r="C447" s="204" t="s">
        <v>97</v>
      </c>
      <c r="D447" s="171"/>
      <c r="E447" s="158"/>
      <c r="F447" s="165"/>
      <c r="G447" s="219">
        <v>264.5</v>
      </c>
      <c r="H447" s="317"/>
      <c r="I447" s="159"/>
      <c r="J447" s="169">
        <v>689.89</v>
      </c>
      <c r="K447" s="159">
        <v>182475.91</v>
      </c>
      <c r="L447" s="172"/>
      <c r="N447" s="46">
        <v>264.5</v>
      </c>
      <c r="O447" s="46">
        <v>0</v>
      </c>
      <c r="P447" s="46">
        <v>182475.91</v>
      </c>
      <c r="Q447" s="98"/>
      <c r="R447" s="23" t="s">
        <v>1429</v>
      </c>
      <c r="S447" s="24" t="s">
        <v>3075</v>
      </c>
      <c r="T447" s="25" t="s">
        <v>97</v>
      </c>
      <c r="U447" s="26"/>
      <c r="V447" s="26">
        <f t="shared" si="106"/>
        <v>264.5</v>
      </c>
      <c r="W447" s="169">
        <f t="shared" si="84"/>
        <v>689.89</v>
      </c>
      <c r="X447" s="127">
        <f t="shared" si="110"/>
        <v>0</v>
      </c>
      <c r="Y447" s="127">
        <f t="shared" ref="Y447:Y463" si="112">X447+N447</f>
        <v>264.5</v>
      </c>
      <c r="Z447" s="127">
        <f t="shared" si="108"/>
        <v>0</v>
      </c>
      <c r="AA447" s="127">
        <f t="shared" si="111"/>
        <v>182475.91</v>
      </c>
      <c r="AB447" s="27"/>
      <c r="AC447" s="324"/>
      <c r="AD447" s="200">
        <f t="shared" si="83"/>
        <v>264.5</v>
      </c>
      <c r="AE447" s="181">
        <f t="shared" si="109"/>
        <v>182475.91</v>
      </c>
      <c r="AF447" s="181">
        <v>2</v>
      </c>
      <c r="AG447" s="181">
        <v>2</v>
      </c>
      <c r="AH447" s="363"/>
      <c r="AI447" s="192">
        <v>264.5</v>
      </c>
      <c r="AJ447" s="188">
        <v>264.5</v>
      </c>
      <c r="AN447" s="70"/>
      <c r="AO447" s="367"/>
      <c r="AP447" s="367"/>
      <c r="AQ447" s="367"/>
    </row>
    <row r="448" spans="1:43" ht="49.5" x14ac:dyDescent="0.3">
      <c r="A448" s="207" t="s">
        <v>3076</v>
      </c>
      <c r="B448" s="241" t="s">
        <v>3077</v>
      </c>
      <c r="C448" s="204" t="s">
        <v>97</v>
      </c>
      <c r="D448" s="171"/>
      <c r="E448" s="158"/>
      <c r="F448" s="165"/>
      <c r="G448" s="219">
        <v>218.5</v>
      </c>
      <c r="H448" s="317"/>
      <c r="I448" s="159"/>
      <c r="J448" s="169">
        <v>899.86</v>
      </c>
      <c r="K448" s="159">
        <v>196619.41</v>
      </c>
      <c r="L448" s="172"/>
      <c r="N448" s="46">
        <v>218.5</v>
      </c>
      <c r="O448" s="46">
        <v>0</v>
      </c>
      <c r="P448" s="46">
        <v>196619.41</v>
      </c>
      <c r="Q448" s="98"/>
      <c r="R448" s="23" t="s">
        <v>1430</v>
      </c>
      <c r="S448" s="24" t="s">
        <v>3077</v>
      </c>
      <c r="T448" s="25" t="s">
        <v>97</v>
      </c>
      <c r="U448" s="26"/>
      <c r="V448" s="26">
        <f t="shared" si="106"/>
        <v>218.5</v>
      </c>
      <c r="W448" s="169">
        <f t="shared" si="84"/>
        <v>899.86</v>
      </c>
      <c r="X448" s="127">
        <f t="shared" si="110"/>
        <v>0</v>
      </c>
      <c r="Y448" s="127">
        <f t="shared" si="112"/>
        <v>218.5</v>
      </c>
      <c r="Z448" s="127">
        <f t="shared" si="108"/>
        <v>0</v>
      </c>
      <c r="AA448" s="127">
        <f t="shared" si="111"/>
        <v>196619.41</v>
      </c>
      <c r="AB448" s="27"/>
      <c r="AC448" s="324"/>
      <c r="AD448" s="200">
        <f t="shared" si="83"/>
        <v>218.5</v>
      </c>
      <c r="AE448" s="181">
        <f t="shared" si="109"/>
        <v>196619.41</v>
      </c>
      <c r="AF448" s="181">
        <v>2</v>
      </c>
      <c r="AG448" s="181">
        <v>2</v>
      </c>
      <c r="AH448" s="363"/>
      <c r="AI448" s="192">
        <v>218.5</v>
      </c>
      <c r="AJ448" s="188">
        <v>218.5</v>
      </c>
      <c r="AN448" s="70"/>
      <c r="AO448" s="367"/>
      <c r="AP448" s="367"/>
      <c r="AQ448" s="367"/>
    </row>
    <row r="449" spans="1:43" ht="58.5" x14ac:dyDescent="0.3">
      <c r="A449" s="207" t="s">
        <v>3078</v>
      </c>
      <c r="B449" s="208" t="s">
        <v>3292</v>
      </c>
      <c r="C449" s="204" t="s">
        <v>97</v>
      </c>
      <c r="D449" s="171"/>
      <c r="E449" s="158"/>
      <c r="F449" s="165"/>
      <c r="G449" s="219">
        <v>87.5</v>
      </c>
      <c r="H449" s="317"/>
      <c r="I449" s="159"/>
      <c r="J449" s="169">
        <v>1499.76</v>
      </c>
      <c r="K449" s="159">
        <v>131229</v>
      </c>
      <c r="L449" s="172"/>
      <c r="N449" s="46">
        <v>87.5</v>
      </c>
      <c r="O449" s="46">
        <v>0</v>
      </c>
      <c r="P449" s="46">
        <v>131229</v>
      </c>
      <c r="Q449" s="98"/>
      <c r="R449" s="23" t="s">
        <v>1431</v>
      </c>
      <c r="S449" s="24" t="s">
        <v>3079</v>
      </c>
      <c r="T449" s="25" t="s">
        <v>97</v>
      </c>
      <c r="U449" s="26"/>
      <c r="V449" s="26">
        <f t="shared" si="106"/>
        <v>87.5</v>
      </c>
      <c r="W449" s="169">
        <f t="shared" si="84"/>
        <v>1499.76</v>
      </c>
      <c r="X449" s="127">
        <f t="shared" si="110"/>
        <v>0</v>
      </c>
      <c r="Y449" s="127">
        <f t="shared" si="112"/>
        <v>87.5</v>
      </c>
      <c r="Z449" s="127">
        <f t="shared" si="108"/>
        <v>0</v>
      </c>
      <c r="AA449" s="127">
        <f t="shared" si="111"/>
        <v>131229</v>
      </c>
      <c r="AB449" s="27"/>
      <c r="AC449" s="324"/>
      <c r="AD449" s="200">
        <f t="shared" si="83"/>
        <v>87.5</v>
      </c>
      <c r="AE449" s="181">
        <f t="shared" si="109"/>
        <v>131229</v>
      </c>
      <c r="AF449" s="181">
        <v>2</v>
      </c>
      <c r="AG449" s="181">
        <v>2</v>
      </c>
      <c r="AH449" s="363"/>
      <c r="AI449" s="192">
        <v>87.5</v>
      </c>
      <c r="AJ449" s="188">
        <v>87.5</v>
      </c>
      <c r="AN449" s="70"/>
      <c r="AO449" s="367"/>
      <c r="AP449" s="367"/>
      <c r="AQ449" s="367"/>
    </row>
    <row r="450" spans="1:43" ht="39" x14ac:dyDescent="0.3">
      <c r="A450" s="207" t="s">
        <v>3080</v>
      </c>
      <c r="B450" s="208" t="s">
        <v>3081</v>
      </c>
      <c r="C450" s="204" t="s">
        <v>97</v>
      </c>
      <c r="D450" s="171"/>
      <c r="E450" s="158"/>
      <c r="F450" s="159"/>
      <c r="G450" s="219">
        <v>144.5</v>
      </c>
      <c r="H450" s="165"/>
      <c r="I450" s="159"/>
      <c r="J450" s="169">
        <v>1419.78</v>
      </c>
      <c r="K450" s="159">
        <v>205158.21</v>
      </c>
      <c r="L450" s="172"/>
      <c r="N450" s="46">
        <v>144.5</v>
      </c>
      <c r="O450" s="46">
        <v>0</v>
      </c>
      <c r="P450" s="46">
        <v>205158.21</v>
      </c>
      <c r="Q450" s="98"/>
      <c r="R450" s="23" t="s">
        <v>1395</v>
      </c>
      <c r="S450" s="24" t="s">
        <v>3081</v>
      </c>
      <c r="T450" s="25" t="s">
        <v>97</v>
      </c>
      <c r="U450" s="26"/>
      <c r="V450" s="26">
        <f t="shared" si="106"/>
        <v>144.5</v>
      </c>
      <c r="W450" s="158">
        <f t="shared" si="84"/>
        <v>1419.78</v>
      </c>
      <c r="X450" s="127">
        <f t="shared" si="110"/>
        <v>0</v>
      </c>
      <c r="Y450" s="127">
        <f t="shared" si="112"/>
        <v>144.5</v>
      </c>
      <c r="Z450" s="127">
        <f t="shared" si="108"/>
        <v>0</v>
      </c>
      <c r="AA450" s="127">
        <f t="shared" si="111"/>
        <v>205158.21</v>
      </c>
      <c r="AB450" s="27"/>
      <c r="AC450" s="324"/>
      <c r="AD450" s="200">
        <f t="shared" si="83"/>
        <v>144.5</v>
      </c>
      <c r="AE450" s="181">
        <f t="shared" si="109"/>
        <v>205158.21</v>
      </c>
      <c r="AF450" s="181">
        <v>2</v>
      </c>
      <c r="AG450" s="181">
        <v>2</v>
      </c>
      <c r="AH450" s="363"/>
      <c r="AI450" s="192">
        <v>144.5</v>
      </c>
      <c r="AJ450" s="188">
        <v>144.5</v>
      </c>
      <c r="AN450" s="70"/>
      <c r="AO450" s="367"/>
      <c r="AP450" s="367"/>
      <c r="AQ450" s="367"/>
    </row>
    <row r="451" spans="1:43" ht="39" x14ac:dyDescent="0.3">
      <c r="A451" s="207" t="s">
        <v>3082</v>
      </c>
      <c r="B451" s="208" t="s">
        <v>3291</v>
      </c>
      <c r="C451" s="204" t="s">
        <v>97</v>
      </c>
      <c r="D451" s="171"/>
      <c r="E451" s="158"/>
      <c r="F451" s="159"/>
      <c r="G451" s="219">
        <v>27</v>
      </c>
      <c r="H451" s="165"/>
      <c r="I451" s="159"/>
      <c r="J451" s="169">
        <v>2999.53</v>
      </c>
      <c r="K451" s="159">
        <v>80987.31</v>
      </c>
      <c r="L451" s="172"/>
      <c r="N451" s="46">
        <v>27</v>
      </c>
      <c r="O451" s="46">
        <v>0</v>
      </c>
      <c r="P451" s="46">
        <v>80987.31</v>
      </c>
      <c r="Q451" s="98"/>
      <c r="R451" s="23" t="s">
        <v>1432</v>
      </c>
      <c r="S451" s="24" t="s">
        <v>3083</v>
      </c>
      <c r="T451" s="25" t="s">
        <v>97</v>
      </c>
      <c r="U451" s="26"/>
      <c r="V451" s="26">
        <f t="shared" si="106"/>
        <v>27</v>
      </c>
      <c r="W451" s="158">
        <f t="shared" si="84"/>
        <v>2999.53</v>
      </c>
      <c r="X451" s="127">
        <f t="shared" si="110"/>
        <v>0</v>
      </c>
      <c r="Y451" s="127">
        <f t="shared" si="112"/>
        <v>27</v>
      </c>
      <c r="Z451" s="127">
        <f t="shared" si="108"/>
        <v>0</v>
      </c>
      <c r="AA451" s="127">
        <f t="shared" si="111"/>
        <v>80987.31</v>
      </c>
      <c r="AB451" s="27"/>
      <c r="AC451" s="324"/>
      <c r="AD451" s="200">
        <f t="shared" si="83"/>
        <v>27</v>
      </c>
      <c r="AE451" s="181">
        <f t="shared" si="109"/>
        <v>80987.31</v>
      </c>
      <c r="AF451" s="181">
        <v>2</v>
      </c>
      <c r="AG451" s="181">
        <v>2</v>
      </c>
      <c r="AH451" s="363"/>
      <c r="AI451" s="192">
        <v>27</v>
      </c>
      <c r="AJ451" s="188">
        <v>27</v>
      </c>
      <c r="AN451" s="70"/>
      <c r="AO451" s="367"/>
      <c r="AP451" s="367"/>
      <c r="AQ451" s="367"/>
    </row>
    <row r="452" spans="1:43" ht="39" x14ac:dyDescent="0.3">
      <c r="A452" s="207" t="s">
        <v>3084</v>
      </c>
      <c r="B452" s="208" t="s">
        <v>3085</v>
      </c>
      <c r="C452" s="204" t="s">
        <v>97</v>
      </c>
      <c r="D452" s="171"/>
      <c r="E452" s="158"/>
      <c r="F452" s="159"/>
      <c r="G452" s="219">
        <v>28</v>
      </c>
      <c r="H452" s="159"/>
      <c r="I452" s="159"/>
      <c r="J452" s="158">
        <v>1364.78</v>
      </c>
      <c r="K452" s="159">
        <v>38213.839999999997</v>
      </c>
      <c r="L452" s="172"/>
      <c r="N452" s="46">
        <v>28</v>
      </c>
      <c r="O452" s="46">
        <v>0</v>
      </c>
      <c r="P452" s="46">
        <v>38213.839999999997</v>
      </c>
      <c r="Q452" s="98"/>
      <c r="R452" s="23" t="s">
        <v>1433</v>
      </c>
      <c r="S452" s="24" t="s">
        <v>3085</v>
      </c>
      <c r="T452" s="25" t="s">
        <v>97</v>
      </c>
      <c r="U452" s="26"/>
      <c r="V452" s="26">
        <f t="shared" si="106"/>
        <v>28</v>
      </c>
      <c r="W452" s="158">
        <f t="shared" si="84"/>
        <v>1364.78</v>
      </c>
      <c r="X452" s="127">
        <f t="shared" si="110"/>
        <v>0</v>
      </c>
      <c r="Y452" s="127">
        <f t="shared" si="112"/>
        <v>28</v>
      </c>
      <c r="Z452" s="127">
        <f t="shared" si="108"/>
        <v>0</v>
      </c>
      <c r="AA452" s="127">
        <f t="shared" si="111"/>
        <v>38213.839999999997</v>
      </c>
      <c r="AB452" s="27"/>
      <c r="AC452" s="324"/>
      <c r="AD452" s="200">
        <f t="shared" si="83"/>
        <v>28</v>
      </c>
      <c r="AE452" s="181">
        <f t="shared" si="109"/>
        <v>38213.839999999997</v>
      </c>
      <c r="AF452" s="181">
        <v>2</v>
      </c>
      <c r="AG452" s="181">
        <v>2</v>
      </c>
      <c r="AH452" s="363"/>
      <c r="AI452" s="192">
        <v>28</v>
      </c>
      <c r="AJ452" s="188">
        <v>28</v>
      </c>
      <c r="AN452" s="70"/>
      <c r="AO452" s="367"/>
      <c r="AP452" s="367"/>
      <c r="AQ452" s="367"/>
    </row>
    <row r="453" spans="1:43" ht="58.5" x14ac:dyDescent="0.3">
      <c r="A453" s="207" t="s">
        <v>3086</v>
      </c>
      <c r="B453" s="208" t="s">
        <v>3087</v>
      </c>
      <c r="C453" s="204" t="s">
        <v>97</v>
      </c>
      <c r="D453" s="171"/>
      <c r="E453" s="158"/>
      <c r="F453" s="159"/>
      <c r="G453" s="219">
        <v>156</v>
      </c>
      <c r="H453" s="159"/>
      <c r="I453" s="159"/>
      <c r="J453" s="158">
        <v>771.88</v>
      </c>
      <c r="K453" s="159">
        <v>120413.28</v>
      </c>
      <c r="L453" s="172"/>
      <c r="N453" s="46">
        <v>156</v>
      </c>
      <c r="O453" s="46">
        <v>0</v>
      </c>
      <c r="P453" s="46">
        <v>120413.28</v>
      </c>
      <c r="Q453" s="98"/>
      <c r="R453" s="23" t="s">
        <v>1382</v>
      </c>
      <c r="S453" s="24" t="s">
        <v>3087</v>
      </c>
      <c r="T453" s="25" t="s">
        <v>97</v>
      </c>
      <c r="U453" s="26"/>
      <c r="V453" s="26">
        <f t="shared" si="106"/>
        <v>156</v>
      </c>
      <c r="W453" s="158">
        <f t="shared" si="84"/>
        <v>771.88</v>
      </c>
      <c r="X453" s="127">
        <f t="shared" si="110"/>
        <v>0</v>
      </c>
      <c r="Y453" s="127">
        <f t="shared" si="112"/>
        <v>156</v>
      </c>
      <c r="Z453" s="127">
        <f t="shared" si="108"/>
        <v>0</v>
      </c>
      <c r="AA453" s="127">
        <f t="shared" si="111"/>
        <v>120413.28</v>
      </c>
      <c r="AB453" s="27"/>
      <c r="AC453" s="324"/>
      <c r="AD453" s="200">
        <f t="shared" si="83"/>
        <v>156</v>
      </c>
      <c r="AE453" s="181">
        <f t="shared" si="109"/>
        <v>120413.28</v>
      </c>
      <c r="AF453" s="181">
        <v>2</v>
      </c>
      <c r="AG453" s="181">
        <v>2</v>
      </c>
      <c r="AH453" s="363"/>
      <c r="AI453" s="192">
        <v>156</v>
      </c>
      <c r="AJ453" s="188">
        <v>156</v>
      </c>
      <c r="AN453" s="70"/>
      <c r="AO453" s="367"/>
      <c r="AP453" s="367"/>
      <c r="AQ453" s="367"/>
    </row>
    <row r="454" spans="1:43" ht="58.5" x14ac:dyDescent="0.3">
      <c r="A454" s="207" t="s">
        <v>3088</v>
      </c>
      <c r="B454" s="208" t="s">
        <v>3293</v>
      </c>
      <c r="C454" s="204" t="s">
        <v>97</v>
      </c>
      <c r="D454" s="171"/>
      <c r="E454" s="158"/>
      <c r="F454" s="159"/>
      <c r="G454" s="355">
        <v>1917</v>
      </c>
      <c r="H454" s="219"/>
      <c r="I454" s="219"/>
      <c r="J454" s="158">
        <v>400.94</v>
      </c>
      <c r="K454" s="159">
        <v>768601.98</v>
      </c>
      <c r="L454" s="172"/>
      <c r="N454" s="46">
        <v>1917</v>
      </c>
      <c r="O454" s="46">
        <v>0</v>
      </c>
      <c r="P454" s="46">
        <v>768601.98</v>
      </c>
      <c r="Q454" s="98"/>
      <c r="R454" s="23" t="s">
        <v>1434</v>
      </c>
      <c r="S454" s="24" t="s">
        <v>3089</v>
      </c>
      <c r="T454" s="25" t="s">
        <v>97</v>
      </c>
      <c r="U454" s="26"/>
      <c r="V454" s="26">
        <f t="shared" si="106"/>
        <v>1917</v>
      </c>
      <c r="W454" s="158">
        <f t="shared" si="84"/>
        <v>400.94</v>
      </c>
      <c r="X454" s="127">
        <f t="shared" si="110"/>
        <v>0</v>
      </c>
      <c r="Y454" s="127">
        <f t="shared" si="112"/>
        <v>1917</v>
      </c>
      <c r="Z454" s="127">
        <f t="shared" si="108"/>
        <v>0</v>
      </c>
      <c r="AA454" s="127">
        <f t="shared" si="111"/>
        <v>768601.98</v>
      </c>
      <c r="AB454" s="27"/>
      <c r="AC454" s="324"/>
      <c r="AD454" s="200">
        <f t="shared" si="83"/>
        <v>1917</v>
      </c>
      <c r="AE454" s="181">
        <f t="shared" si="109"/>
        <v>768601.98</v>
      </c>
      <c r="AF454" s="181">
        <v>2</v>
      </c>
      <c r="AG454" s="181">
        <v>2</v>
      </c>
      <c r="AH454" s="363"/>
      <c r="AI454" s="192">
        <v>1917</v>
      </c>
      <c r="AJ454" s="188">
        <v>1917</v>
      </c>
      <c r="AN454" s="70"/>
      <c r="AO454" s="367"/>
      <c r="AP454" s="367"/>
      <c r="AQ454" s="367"/>
    </row>
    <row r="455" spans="1:43" x14ac:dyDescent="0.3">
      <c r="A455" s="207" t="s">
        <v>3090</v>
      </c>
      <c r="B455" s="208" t="s">
        <v>3091</v>
      </c>
      <c r="C455" s="204" t="s">
        <v>97</v>
      </c>
      <c r="D455" s="171"/>
      <c r="E455" s="158"/>
      <c r="F455" s="159"/>
      <c r="G455" s="219">
        <v>380</v>
      </c>
      <c r="H455" s="159"/>
      <c r="I455" s="159"/>
      <c r="J455" s="158">
        <v>280.95999999999998</v>
      </c>
      <c r="K455" s="159">
        <v>106764.8</v>
      </c>
      <c r="L455" s="172"/>
      <c r="N455" s="46">
        <v>380</v>
      </c>
      <c r="O455" s="46">
        <v>0</v>
      </c>
      <c r="P455" s="46">
        <v>106764.8</v>
      </c>
      <c r="Q455" s="98"/>
      <c r="R455" s="23" t="s">
        <v>1388</v>
      </c>
      <c r="S455" s="24" t="s">
        <v>3091</v>
      </c>
      <c r="T455" s="25" t="s">
        <v>97</v>
      </c>
      <c r="U455" s="26"/>
      <c r="V455" s="26">
        <f t="shared" si="106"/>
        <v>380</v>
      </c>
      <c r="W455" s="158">
        <f t="shared" si="84"/>
        <v>280.95999999999998</v>
      </c>
      <c r="X455" s="127">
        <f t="shared" si="110"/>
        <v>0</v>
      </c>
      <c r="Y455" s="127">
        <f t="shared" si="112"/>
        <v>380</v>
      </c>
      <c r="Z455" s="127">
        <f t="shared" si="108"/>
        <v>0</v>
      </c>
      <c r="AA455" s="127">
        <f t="shared" si="111"/>
        <v>106764.8</v>
      </c>
      <c r="AB455" s="27"/>
      <c r="AC455" s="324"/>
      <c r="AD455" s="200">
        <f t="shared" si="83"/>
        <v>380</v>
      </c>
      <c r="AE455" s="181">
        <f t="shared" si="109"/>
        <v>106764.8</v>
      </c>
      <c r="AF455" s="181">
        <v>2</v>
      </c>
      <c r="AG455" s="181">
        <v>2</v>
      </c>
      <c r="AH455" s="363"/>
      <c r="AI455" s="192">
        <v>380</v>
      </c>
      <c r="AJ455" s="188">
        <v>380</v>
      </c>
      <c r="AN455" s="70"/>
      <c r="AO455" s="367"/>
      <c r="AP455" s="367"/>
      <c r="AQ455" s="367"/>
    </row>
    <row r="456" spans="1:43" ht="49.5" x14ac:dyDescent="0.3">
      <c r="A456" s="207" t="s">
        <v>3092</v>
      </c>
      <c r="B456" s="241" t="s">
        <v>3093</v>
      </c>
      <c r="C456" s="204" t="s">
        <v>97</v>
      </c>
      <c r="D456" s="171"/>
      <c r="E456" s="158"/>
      <c r="F456" s="159"/>
      <c r="G456" s="219">
        <v>660.5</v>
      </c>
      <c r="H456" s="159"/>
      <c r="I456" s="159"/>
      <c r="J456" s="158">
        <v>800.87</v>
      </c>
      <c r="K456" s="159">
        <v>528974.64</v>
      </c>
      <c r="L456" s="172"/>
      <c r="N456" s="46">
        <v>660.5</v>
      </c>
      <c r="O456" s="46">
        <v>0</v>
      </c>
      <c r="P456" s="46">
        <v>528974.64</v>
      </c>
      <c r="Q456" s="98"/>
      <c r="R456" s="23" t="s">
        <v>1389</v>
      </c>
      <c r="S456" s="24" t="s">
        <v>3093</v>
      </c>
      <c r="T456" s="25" t="s">
        <v>97</v>
      </c>
      <c r="U456" s="26"/>
      <c r="V456" s="26">
        <f t="shared" si="106"/>
        <v>660.5</v>
      </c>
      <c r="W456" s="158">
        <f t="shared" si="84"/>
        <v>800.87</v>
      </c>
      <c r="X456" s="127">
        <f t="shared" si="110"/>
        <v>0</v>
      </c>
      <c r="Y456" s="127">
        <f t="shared" si="112"/>
        <v>660.5</v>
      </c>
      <c r="Z456" s="127">
        <f t="shared" si="108"/>
        <v>0</v>
      </c>
      <c r="AA456" s="127">
        <f t="shared" si="111"/>
        <v>528974.64</v>
      </c>
      <c r="AB456" s="27"/>
      <c r="AC456" s="324"/>
      <c r="AD456" s="200">
        <f t="shared" si="83"/>
        <v>660.5</v>
      </c>
      <c r="AE456" s="181">
        <f t="shared" si="109"/>
        <v>528974.64</v>
      </c>
      <c r="AF456" s="181">
        <v>2</v>
      </c>
      <c r="AG456" s="181">
        <v>2</v>
      </c>
      <c r="AH456" s="363"/>
      <c r="AI456" s="192">
        <v>660.5</v>
      </c>
      <c r="AJ456" s="188">
        <v>660.5</v>
      </c>
      <c r="AN456" s="70"/>
      <c r="AO456" s="367"/>
      <c r="AP456" s="367"/>
      <c r="AQ456" s="367"/>
    </row>
    <row r="457" spans="1:43" ht="39" x14ac:dyDescent="0.3">
      <c r="A457" s="207" t="s">
        <v>3094</v>
      </c>
      <c r="B457" s="208" t="s">
        <v>3095</v>
      </c>
      <c r="C457" s="204" t="s">
        <v>97</v>
      </c>
      <c r="D457" s="171"/>
      <c r="E457" s="158"/>
      <c r="F457" s="159"/>
      <c r="G457" s="219">
        <v>288.5</v>
      </c>
      <c r="H457" s="159"/>
      <c r="I457" s="159"/>
      <c r="J457" s="158">
        <v>561.91</v>
      </c>
      <c r="K457" s="159">
        <v>162111.04000000001</v>
      </c>
      <c r="L457" s="172"/>
      <c r="N457" s="46">
        <v>288.5</v>
      </c>
      <c r="O457" s="46">
        <v>0</v>
      </c>
      <c r="P457" s="46">
        <v>162111.04000000001</v>
      </c>
      <c r="Q457" s="98"/>
      <c r="R457" s="23" t="s">
        <v>1390</v>
      </c>
      <c r="S457" s="24" t="s">
        <v>3095</v>
      </c>
      <c r="T457" s="25" t="s">
        <v>97</v>
      </c>
      <c r="U457" s="26"/>
      <c r="V457" s="26">
        <f t="shared" si="106"/>
        <v>288.5</v>
      </c>
      <c r="W457" s="158">
        <f t="shared" si="84"/>
        <v>561.91</v>
      </c>
      <c r="X457" s="127">
        <f t="shared" si="110"/>
        <v>0</v>
      </c>
      <c r="Y457" s="127">
        <f t="shared" si="112"/>
        <v>288.5</v>
      </c>
      <c r="Z457" s="127">
        <f t="shared" si="108"/>
        <v>0</v>
      </c>
      <c r="AA457" s="127">
        <f t="shared" si="111"/>
        <v>162111.04000000001</v>
      </c>
      <c r="AB457" s="27"/>
      <c r="AC457" s="324"/>
      <c r="AD457" s="200">
        <f t="shared" si="83"/>
        <v>288.5</v>
      </c>
      <c r="AE457" s="181">
        <f t="shared" si="109"/>
        <v>162111.04000000001</v>
      </c>
      <c r="AF457" s="181">
        <v>2</v>
      </c>
      <c r="AG457" s="181">
        <v>2</v>
      </c>
      <c r="AH457" s="363"/>
      <c r="AI457" s="192">
        <v>288.5</v>
      </c>
      <c r="AJ457" s="188">
        <v>288.5</v>
      </c>
      <c r="AN457" s="70"/>
      <c r="AO457" s="367"/>
      <c r="AP457" s="367"/>
      <c r="AQ457" s="367"/>
    </row>
    <row r="458" spans="1:43" ht="39" x14ac:dyDescent="0.3">
      <c r="A458" s="207" t="s">
        <v>3096</v>
      </c>
      <c r="B458" s="208" t="s">
        <v>3097</v>
      </c>
      <c r="C458" s="204" t="s">
        <v>97</v>
      </c>
      <c r="D458" s="171"/>
      <c r="E458" s="158"/>
      <c r="F458" s="159"/>
      <c r="G458" s="219">
        <v>438</v>
      </c>
      <c r="H458" s="159"/>
      <c r="I458" s="159"/>
      <c r="J458" s="158">
        <v>519.91999999999996</v>
      </c>
      <c r="K458" s="159">
        <v>227724.96</v>
      </c>
      <c r="L458" s="172"/>
      <c r="N458" s="46">
        <v>438</v>
      </c>
      <c r="O458" s="46">
        <v>0</v>
      </c>
      <c r="P458" s="46">
        <v>227724.96</v>
      </c>
      <c r="Q458" s="98"/>
      <c r="R458" s="23" t="s">
        <v>1391</v>
      </c>
      <c r="S458" s="24" t="s">
        <v>3097</v>
      </c>
      <c r="T458" s="25" t="s">
        <v>97</v>
      </c>
      <c r="U458" s="26"/>
      <c r="V458" s="26">
        <f t="shared" si="106"/>
        <v>438</v>
      </c>
      <c r="W458" s="158">
        <f t="shared" si="84"/>
        <v>519.91999999999996</v>
      </c>
      <c r="X458" s="127">
        <f t="shared" si="110"/>
        <v>0</v>
      </c>
      <c r="Y458" s="127">
        <f t="shared" si="112"/>
        <v>438</v>
      </c>
      <c r="Z458" s="127">
        <f t="shared" si="108"/>
        <v>0</v>
      </c>
      <c r="AA458" s="127">
        <f t="shared" si="111"/>
        <v>227724.96</v>
      </c>
      <c r="AB458" s="27"/>
      <c r="AC458" s="324"/>
      <c r="AD458" s="200">
        <f t="shared" ref="AD458:AD521" si="113">IF(V458=0,U458,V458)</f>
        <v>438</v>
      </c>
      <c r="AE458" s="181">
        <f t="shared" si="109"/>
        <v>227724.96</v>
      </c>
      <c r="AF458" s="181">
        <v>2</v>
      </c>
      <c r="AG458" s="181">
        <v>2</v>
      </c>
      <c r="AH458" s="363"/>
      <c r="AI458" s="192">
        <v>438</v>
      </c>
      <c r="AJ458" s="188">
        <v>438</v>
      </c>
      <c r="AN458" s="70"/>
      <c r="AO458" s="367"/>
      <c r="AP458" s="367"/>
      <c r="AQ458" s="367"/>
    </row>
    <row r="459" spans="1:43" ht="39" x14ac:dyDescent="0.3">
      <c r="A459" s="207" t="s">
        <v>3098</v>
      </c>
      <c r="B459" s="208" t="s">
        <v>3099</v>
      </c>
      <c r="C459" s="204" t="s">
        <v>97</v>
      </c>
      <c r="D459" s="171"/>
      <c r="E459" s="158"/>
      <c r="F459" s="159"/>
      <c r="G459" s="219">
        <v>54</v>
      </c>
      <c r="H459" s="159"/>
      <c r="I459" s="159"/>
      <c r="J459" s="158">
        <v>1579.75</v>
      </c>
      <c r="K459" s="159">
        <v>85306.5</v>
      </c>
      <c r="L459" s="172"/>
      <c r="N459" s="46">
        <v>54</v>
      </c>
      <c r="O459" s="46">
        <v>0</v>
      </c>
      <c r="P459" s="46">
        <v>85306.5</v>
      </c>
      <c r="Q459" s="98"/>
      <c r="R459" s="23" t="s">
        <v>1436</v>
      </c>
      <c r="S459" s="24" t="s">
        <v>3099</v>
      </c>
      <c r="T459" s="25" t="s">
        <v>97</v>
      </c>
      <c r="U459" s="26"/>
      <c r="V459" s="26">
        <f t="shared" si="106"/>
        <v>54</v>
      </c>
      <c r="W459" s="158">
        <f t="shared" ref="W459:W522" si="114">J459</f>
        <v>1579.75</v>
      </c>
      <c r="X459" s="127">
        <f t="shared" si="110"/>
        <v>0</v>
      </c>
      <c r="Y459" s="127">
        <f t="shared" si="112"/>
        <v>54</v>
      </c>
      <c r="Z459" s="127">
        <f t="shared" si="108"/>
        <v>0</v>
      </c>
      <c r="AA459" s="127">
        <f t="shared" si="111"/>
        <v>85306.5</v>
      </c>
      <c r="AB459" s="27"/>
      <c r="AC459" s="324"/>
      <c r="AD459" s="200">
        <f t="shared" si="113"/>
        <v>54</v>
      </c>
      <c r="AE459" s="181">
        <f t="shared" si="109"/>
        <v>85306.5</v>
      </c>
      <c r="AF459" s="181">
        <v>2</v>
      </c>
      <c r="AG459" s="181">
        <v>2</v>
      </c>
      <c r="AH459" s="363"/>
      <c r="AI459" s="192">
        <v>54</v>
      </c>
      <c r="AJ459" s="188">
        <v>54</v>
      </c>
      <c r="AN459" s="70"/>
      <c r="AO459" s="367"/>
      <c r="AP459" s="367"/>
      <c r="AQ459" s="367"/>
    </row>
    <row r="460" spans="1:43" ht="39" x14ac:dyDescent="0.3">
      <c r="A460" s="207" t="s">
        <v>3100</v>
      </c>
      <c r="B460" s="208" t="s">
        <v>3101</v>
      </c>
      <c r="C460" s="204" t="s">
        <v>97</v>
      </c>
      <c r="D460" s="171"/>
      <c r="E460" s="158"/>
      <c r="F460" s="159"/>
      <c r="G460" s="219">
        <v>519.5</v>
      </c>
      <c r="H460" s="159"/>
      <c r="I460" s="159"/>
      <c r="J460" s="158">
        <v>209.97</v>
      </c>
      <c r="K460" s="159">
        <v>109079.42</v>
      </c>
      <c r="L460" s="172"/>
      <c r="N460" s="46">
        <v>519.5</v>
      </c>
      <c r="O460" s="46">
        <v>0</v>
      </c>
      <c r="P460" s="46">
        <v>109079.42</v>
      </c>
      <c r="Q460" s="98"/>
      <c r="R460" s="23" t="s">
        <v>1374</v>
      </c>
      <c r="S460" s="24" t="s">
        <v>3101</v>
      </c>
      <c r="T460" s="25" t="s">
        <v>97</v>
      </c>
      <c r="U460" s="26"/>
      <c r="V460" s="26">
        <f t="shared" si="106"/>
        <v>519.5</v>
      </c>
      <c r="W460" s="158">
        <f t="shared" si="114"/>
        <v>209.97</v>
      </c>
      <c r="X460" s="127">
        <f t="shared" si="110"/>
        <v>0</v>
      </c>
      <c r="Y460" s="127">
        <f t="shared" si="112"/>
        <v>519.5</v>
      </c>
      <c r="Z460" s="127">
        <f t="shared" si="108"/>
        <v>0</v>
      </c>
      <c r="AA460" s="127">
        <f t="shared" si="111"/>
        <v>109079.42</v>
      </c>
      <c r="AB460" s="27"/>
      <c r="AC460" s="324"/>
      <c r="AD460" s="200">
        <f t="shared" si="113"/>
        <v>519.5</v>
      </c>
      <c r="AE460" s="181">
        <f t="shared" si="109"/>
        <v>109079.42</v>
      </c>
      <c r="AF460" s="181">
        <v>2</v>
      </c>
      <c r="AG460" s="181">
        <v>2</v>
      </c>
      <c r="AH460" s="363"/>
      <c r="AI460" s="192">
        <v>519.5</v>
      </c>
      <c r="AJ460" s="188">
        <v>519.5</v>
      </c>
      <c r="AN460" s="70"/>
      <c r="AO460" s="367"/>
      <c r="AP460" s="367"/>
      <c r="AQ460" s="367"/>
    </row>
    <row r="461" spans="1:43" ht="66" x14ac:dyDescent="0.3">
      <c r="A461" s="207" t="s">
        <v>3102</v>
      </c>
      <c r="B461" s="241" t="s">
        <v>3103</v>
      </c>
      <c r="C461" s="204" t="s">
        <v>66</v>
      </c>
      <c r="D461" s="171"/>
      <c r="E461" s="158"/>
      <c r="F461" s="159"/>
      <c r="G461" s="159">
        <v>5</v>
      </c>
      <c r="H461" s="159"/>
      <c r="I461" s="159"/>
      <c r="J461" s="158">
        <v>10798.3</v>
      </c>
      <c r="K461" s="159">
        <v>53991.5</v>
      </c>
      <c r="L461" s="172"/>
      <c r="N461" s="46">
        <v>5</v>
      </c>
      <c r="O461" s="46">
        <v>0</v>
      </c>
      <c r="P461" s="46">
        <v>53991.5</v>
      </c>
      <c r="Q461" s="98"/>
      <c r="R461" s="23" t="s">
        <v>1376</v>
      </c>
      <c r="S461" s="24" t="s">
        <v>3103</v>
      </c>
      <c r="T461" s="25" t="s">
        <v>66</v>
      </c>
      <c r="U461" s="26"/>
      <c r="V461" s="26">
        <f t="shared" si="106"/>
        <v>5</v>
      </c>
      <c r="W461" s="158">
        <f t="shared" si="114"/>
        <v>10798.3</v>
      </c>
      <c r="X461" s="127">
        <f t="shared" si="110"/>
        <v>0</v>
      </c>
      <c r="Y461" s="127">
        <f t="shared" si="112"/>
        <v>5</v>
      </c>
      <c r="Z461" s="127">
        <f t="shared" si="108"/>
        <v>0</v>
      </c>
      <c r="AA461" s="127">
        <f t="shared" si="111"/>
        <v>53991.5</v>
      </c>
      <c r="AB461" s="27"/>
      <c r="AC461" s="324"/>
      <c r="AD461" s="200">
        <f t="shared" si="113"/>
        <v>5</v>
      </c>
      <c r="AE461" s="181">
        <f t="shared" si="109"/>
        <v>53991.5</v>
      </c>
      <c r="AF461" s="181">
        <v>2</v>
      </c>
      <c r="AG461" s="181">
        <v>2</v>
      </c>
      <c r="AH461" s="363"/>
      <c r="AI461" s="192">
        <v>5</v>
      </c>
      <c r="AJ461" s="188">
        <v>5</v>
      </c>
      <c r="AN461" s="70"/>
      <c r="AO461" s="367"/>
      <c r="AP461" s="367"/>
      <c r="AQ461" s="367"/>
    </row>
    <row r="462" spans="1:43" ht="66" x14ac:dyDescent="0.3">
      <c r="A462" s="207" t="s">
        <v>3104</v>
      </c>
      <c r="B462" s="241" t="s">
        <v>3105</v>
      </c>
      <c r="C462" s="204" t="s">
        <v>66</v>
      </c>
      <c r="D462" s="171"/>
      <c r="E462" s="158"/>
      <c r="F462" s="159"/>
      <c r="G462" s="159">
        <v>6</v>
      </c>
      <c r="H462" s="159"/>
      <c r="I462" s="159"/>
      <c r="J462" s="158">
        <v>7248.86</v>
      </c>
      <c r="K462" s="159">
        <v>43493.16</v>
      </c>
      <c r="L462" s="172"/>
      <c r="N462" s="46">
        <v>6</v>
      </c>
      <c r="O462" s="46">
        <v>0</v>
      </c>
      <c r="P462" s="46">
        <v>43493.16</v>
      </c>
      <c r="Q462" s="98"/>
      <c r="R462" s="23" t="s">
        <v>1378</v>
      </c>
      <c r="S462" s="24" t="s">
        <v>3105</v>
      </c>
      <c r="T462" s="25" t="s">
        <v>66</v>
      </c>
      <c r="U462" s="26"/>
      <c r="V462" s="26">
        <f t="shared" si="106"/>
        <v>6</v>
      </c>
      <c r="W462" s="158">
        <f t="shared" si="114"/>
        <v>7248.86</v>
      </c>
      <c r="X462" s="127">
        <f t="shared" si="110"/>
        <v>0</v>
      </c>
      <c r="Y462" s="127">
        <f t="shared" si="112"/>
        <v>6</v>
      </c>
      <c r="Z462" s="127">
        <f t="shared" si="108"/>
        <v>0</v>
      </c>
      <c r="AA462" s="127">
        <f t="shared" si="111"/>
        <v>43493.16</v>
      </c>
      <c r="AB462" s="27"/>
      <c r="AC462" s="324"/>
      <c r="AD462" s="200">
        <f t="shared" si="113"/>
        <v>6</v>
      </c>
      <c r="AE462" s="181">
        <f t="shared" si="109"/>
        <v>43493.16</v>
      </c>
      <c r="AF462" s="181">
        <v>2</v>
      </c>
      <c r="AG462" s="181">
        <v>2</v>
      </c>
      <c r="AH462" s="363"/>
      <c r="AI462" s="192">
        <v>6</v>
      </c>
      <c r="AJ462" s="188">
        <v>6</v>
      </c>
      <c r="AN462" s="70"/>
      <c r="AO462" s="367"/>
      <c r="AP462" s="367"/>
      <c r="AQ462" s="367"/>
    </row>
    <row r="463" spans="1:43" ht="25.5" customHeight="1" x14ac:dyDescent="0.3">
      <c r="A463" s="233">
        <v>2.29</v>
      </c>
      <c r="B463" s="180" t="s">
        <v>3294</v>
      </c>
      <c r="C463" s="58" t="s">
        <v>97</v>
      </c>
      <c r="D463" s="230"/>
      <c r="E463" s="230"/>
      <c r="F463" s="59"/>
      <c r="G463" s="59"/>
      <c r="H463" s="59">
        <v>320</v>
      </c>
      <c r="I463" s="330">
        <v>656</v>
      </c>
      <c r="J463" s="230">
        <v>280</v>
      </c>
      <c r="K463" s="59">
        <v>183680</v>
      </c>
      <c r="L463" s="234"/>
      <c r="N463" s="46">
        <v>0</v>
      </c>
      <c r="O463" s="46">
        <v>0</v>
      </c>
      <c r="P463" s="46">
        <v>0</v>
      </c>
      <c r="Q463" s="98"/>
      <c r="R463" s="23">
        <v>29</v>
      </c>
      <c r="S463" s="24" t="s">
        <v>1527</v>
      </c>
      <c r="T463" s="25" t="s">
        <v>97</v>
      </c>
      <c r="U463" s="26"/>
      <c r="V463" s="26">
        <f t="shared" si="106"/>
        <v>656</v>
      </c>
      <c r="W463" s="158">
        <f t="shared" si="114"/>
        <v>280</v>
      </c>
      <c r="X463" s="26">
        <f t="shared" si="110"/>
        <v>0</v>
      </c>
      <c r="Y463" s="26">
        <f t="shared" si="112"/>
        <v>0</v>
      </c>
      <c r="Z463" s="26">
        <f t="shared" si="108"/>
        <v>0</v>
      </c>
      <c r="AA463" s="26">
        <f t="shared" si="111"/>
        <v>0</v>
      </c>
      <c r="AB463" s="27"/>
      <c r="AC463" s="324"/>
      <c r="AD463" s="200">
        <f t="shared" si="113"/>
        <v>656</v>
      </c>
      <c r="AE463" s="181">
        <f t="shared" si="109"/>
        <v>183680</v>
      </c>
      <c r="AF463" s="200">
        <v>2</v>
      </c>
      <c r="AG463" s="181">
        <v>2</v>
      </c>
      <c r="AH463" s="363"/>
      <c r="AI463" s="192">
        <v>0</v>
      </c>
      <c r="AJ463" s="190">
        <v>656</v>
      </c>
      <c r="AN463" s="69"/>
      <c r="AO463" s="367"/>
      <c r="AP463" s="367"/>
      <c r="AQ463" s="367"/>
    </row>
    <row r="464" spans="1:43" s="69" customFormat="1" ht="33" customHeight="1" x14ac:dyDescent="0.3">
      <c r="A464" s="150" t="s">
        <v>1039</v>
      </c>
      <c r="B464" s="151" t="s">
        <v>1040</v>
      </c>
      <c r="C464" s="152" t="s">
        <v>14</v>
      </c>
      <c r="D464" s="153">
        <v>1</v>
      </c>
      <c r="E464" s="153"/>
      <c r="F464" s="153"/>
      <c r="G464" s="153"/>
      <c r="H464" s="153"/>
      <c r="I464" s="153"/>
      <c r="J464" s="153">
        <v>3727423.71</v>
      </c>
      <c r="K464" s="153">
        <v>3727423.71</v>
      </c>
      <c r="L464" s="154" t="s">
        <v>15</v>
      </c>
      <c r="M464" s="73"/>
      <c r="N464" s="42">
        <v>1</v>
      </c>
      <c r="O464" s="42">
        <v>0</v>
      </c>
      <c r="P464" s="42">
        <v>2746823.7099999995</v>
      </c>
      <c r="Q464" s="98"/>
      <c r="R464" s="13" t="s">
        <v>1407</v>
      </c>
      <c r="S464" s="14" t="s">
        <v>1040</v>
      </c>
      <c r="T464" s="15" t="s">
        <v>14</v>
      </c>
      <c r="U464" s="16">
        <v>1</v>
      </c>
      <c r="V464" s="16"/>
      <c r="W464" s="16">
        <f t="shared" si="114"/>
        <v>3727423.71</v>
      </c>
      <c r="X464" s="16">
        <f t="shared" ref="X464:Y464" si="115">IF(Z464=0,0,1)</f>
        <v>0</v>
      </c>
      <c r="Y464" s="16">
        <f t="shared" si="115"/>
        <v>1</v>
      </c>
      <c r="Z464" s="16">
        <f>SUMIFS(Z:Z,AG:AG,AF464)</f>
        <v>0</v>
      </c>
      <c r="AA464" s="16">
        <f>SUMIFS(AA:AA,AG:AG,AF464)</f>
        <v>2746823.7099999995</v>
      </c>
      <c r="AB464" s="17" t="s">
        <v>15</v>
      </c>
      <c r="AC464" s="232"/>
      <c r="AD464" s="181">
        <f t="shared" si="113"/>
        <v>1</v>
      </c>
      <c r="AE464" s="183"/>
      <c r="AF464" s="183">
        <v>3</v>
      </c>
      <c r="AG464" s="183"/>
      <c r="AH464" s="363" t="str">
        <f t="shared" si="81"/>
        <v/>
      </c>
      <c r="AI464" s="192">
        <v>1</v>
      </c>
      <c r="AJ464" s="188">
        <v>1</v>
      </c>
      <c r="AO464" s="367"/>
      <c r="AP464" s="367"/>
      <c r="AQ464" s="367"/>
    </row>
    <row r="465" spans="1:43" s="69" customFormat="1" ht="82.5" x14ac:dyDescent="0.3">
      <c r="A465" s="130" t="s">
        <v>1041</v>
      </c>
      <c r="B465" s="240" t="s">
        <v>1042</v>
      </c>
      <c r="C465" s="132" t="s">
        <v>162</v>
      </c>
      <c r="D465" s="133">
        <v>340</v>
      </c>
      <c r="E465" s="75"/>
      <c r="F465" s="75"/>
      <c r="G465" s="75"/>
      <c r="H465" s="75"/>
      <c r="I465" s="75"/>
      <c r="J465" s="75">
        <v>300</v>
      </c>
      <c r="K465" s="75">
        <v>102000</v>
      </c>
      <c r="L465" s="91" t="s">
        <v>1043</v>
      </c>
      <c r="M465" s="73"/>
      <c r="N465" s="46">
        <v>340</v>
      </c>
      <c r="O465" s="46">
        <v>0</v>
      </c>
      <c r="P465" s="46">
        <v>102000</v>
      </c>
      <c r="Q465" s="98"/>
      <c r="R465" s="23" t="s">
        <v>1421</v>
      </c>
      <c r="S465" s="24" t="s">
        <v>1042</v>
      </c>
      <c r="T465" s="25" t="s">
        <v>162</v>
      </c>
      <c r="U465" s="26">
        <v>340</v>
      </c>
      <c r="V465" s="26">
        <f t="shared" ref="V465:V503" si="116">IF(I465&gt;0,I465,IF(H465&gt;0,H465,IF(G465&gt;0,G465,IF(F465&gt;0,F465,IF(E465&gt;0,E465,D465)))))</f>
        <v>340</v>
      </c>
      <c r="W465" s="26">
        <f t="shared" si="114"/>
        <v>300</v>
      </c>
      <c r="X465" s="128">
        <f t="shared" ref="X465:X503" si="117">AI465-N465</f>
        <v>0</v>
      </c>
      <c r="Y465" s="127">
        <f t="shared" si="107"/>
        <v>340</v>
      </c>
      <c r="Z465" s="127">
        <f t="shared" ref="Z465:Z503" si="118">AA465-P465</f>
        <v>0</v>
      </c>
      <c r="AA465" s="127">
        <f t="shared" ref="AA465:AA503" si="119">ROUND(W465*Y465,2)</f>
        <v>102000</v>
      </c>
      <c r="AB465" s="33" t="s">
        <v>15</v>
      </c>
      <c r="AC465" s="324"/>
      <c r="AD465" s="181">
        <f t="shared" si="113"/>
        <v>340</v>
      </c>
      <c r="AE465" s="181">
        <f t="shared" ref="AE465:AE503" si="120">ROUND(W465*AD465,2)</f>
        <v>102000</v>
      </c>
      <c r="AF465" s="181">
        <v>3</v>
      </c>
      <c r="AG465" s="181">
        <v>3</v>
      </c>
      <c r="AH465" s="363" t="str">
        <f t="shared" si="81"/>
        <v/>
      </c>
      <c r="AI465" s="194">
        <v>340</v>
      </c>
      <c r="AJ465" s="188">
        <v>340</v>
      </c>
      <c r="AM465" s="69">
        <v>0</v>
      </c>
      <c r="AO465" s="367"/>
      <c r="AP465" s="367"/>
      <c r="AQ465" s="367"/>
    </row>
    <row r="466" spans="1:43" s="69" customFormat="1" ht="66" x14ac:dyDescent="0.3">
      <c r="A466" s="130" t="s">
        <v>1044</v>
      </c>
      <c r="B466" s="240" t="s">
        <v>1045</v>
      </c>
      <c r="C466" s="132" t="s">
        <v>325</v>
      </c>
      <c r="D466" s="133">
        <v>68</v>
      </c>
      <c r="E466" s="75"/>
      <c r="F466" s="75"/>
      <c r="G466" s="75"/>
      <c r="H466" s="75"/>
      <c r="I466" s="75"/>
      <c r="J466" s="75">
        <v>3000</v>
      </c>
      <c r="K466" s="75">
        <v>204000</v>
      </c>
      <c r="L466" s="91" t="s">
        <v>1046</v>
      </c>
      <c r="M466" s="73"/>
      <c r="N466" s="46">
        <v>68</v>
      </c>
      <c r="O466" s="46">
        <v>0</v>
      </c>
      <c r="P466" s="46">
        <v>204000</v>
      </c>
      <c r="Q466" s="98"/>
      <c r="R466" s="23" t="s">
        <v>1426</v>
      </c>
      <c r="S466" s="24" t="s">
        <v>1045</v>
      </c>
      <c r="T466" s="25" t="s">
        <v>325</v>
      </c>
      <c r="U466" s="26">
        <v>68</v>
      </c>
      <c r="V466" s="26">
        <f t="shared" si="116"/>
        <v>68</v>
      </c>
      <c r="W466" s="26">
        <f t="shared" si="114"/>
        <v>3000</v>
      </c>
      <c r="X466" s="128">
        <f t="shared" si="117"/>
        <v>0</v>
      </c>
      <c r="Y466" s="127">
        <f t="shared" si="107"/>
        <v>68</v>
      </c>
      <c r="Z466" s="127">
        <f t="shared" si="118"/>
        <v>0</v>
      </c>
      <c r="AA466" s="127">
        <f t="shared" si="119"/>
        <v>204000</v>
      </c>
      <c r="AB466" s="33" t="s">
        <v>15</v>
      </c>
      <c r="AC466" s="324"/>
      <c r="AD466" s="181">
        <f t="shared" si="113"/>
        <v>68</v>
      </c>
      <c r="AE466" s="181">
        <f t="shared" si="120"/>
        <v>204000</v>
      </c>
      <c r="AF466" s="181">
        <v>3</v>
      </c>
      <c r="AG466" s="181">
        <v>3</v>
      </c>
      <c r="AH466" s="363" t="str">
        <f t="shared" si="81"/>
        <v/>
      </c>
      <c r="AI466" s="194">
        <v>68</v>
      </c>
      <c r="AJ466" s="188">
        <v>68</v>
      </c>
      <c r="AM466" s="69">
        <v>0</v>
      </c>
      <c r="AO466" s="367"/>
      <c r="AP466" s="367"/>
      <c r="AQ466" s="367"/>
    </row>
    <row r="467" spans="1:43" s="69" customFormat="1" ht="49.5" x14ac:dyDescent="0.3">
      <c r="A467" s="130" t="s">
        <v>1047</v>
      </c>
      <c r="B467" s="240" t="s">
        <v>1048</v>
      </c>
      <c r="C467" s="132" t="s">
        <v>325</v>
      </c>
      <c r="D467" s="133">
        <v>68</v>
      </c>
      <c r="E467" s="75"/>
      <c r="F467" s="75"/>
      <c r="G467" s="75"/>
      <c r="H467" s="75"/>
      <c r="I467" s="75"/>
      <c r="J467" s="75">
        <v>150</v>
      </c>
      <c r="K467" s="75">
        <v>10200</v>
      </c>
      <c r="L467" s="91" t="s">
        <v>1049</v>
      </c>
      <c r="M467" s="73"/>
      <c r="N467" s="46">
        <v>68</v>
      </c>
      <c r="O467" s="46">
        <v>0</v>
      </c>
      <c r="P467" s="46">
        <v>10200</v>
      </c>
      <c r="Q467" s="98"/>
      <c r="R467" s="23" t="s">
        <v>1402</v>
      </c>
      <c r="S467" s="24" t="s">
        <v>1048</v>
      </c>
      <c r="T467" s="25" t="s">
        <v>325</v>
      </c>
      <c r="U467" s="26">
        <v>68</v>
      </c>
      <c r="V467" s="26">
        <f t="shared" si="116"/>
        <v>68</v>
      </c>
      <c r="W467" s="26">
        <f t="shared" si="114"/>
        <v>150</v>
      </c>
      <c r="X467" s="128">
        <f t="shared" si="117"/>
        <v>0</v>
      </c>
      <c r="Y467" s="127">
        <f t="shared" si="107"/>
        <v>68</v>
      </c>
      <c r="Z467" s="127">
        <f t="shared" si="118"/>
        <v>0</v>
      </c>
      <c r="AA467" s="127">
        <f t="shared" si="119"/>
        <v>10200</v>
      </c>
      <c r="AB467" s="33" t="s">
        <v>15</v>
      </c>
      <c r="AC467" s="324"/>
      <c r="AD467" s="181">
        <f t="shared" si="113"/>
        <v>68</v>
      </c>
      <c r="AE467" s="181">
        <f t="shared" si="120"/>
        <v>10200</v>
      </c>
      <c r="AF467" s="181">
        <v>3</v>
      </c>
      <c r="AG467" s="181">
        <v>3</v>
      </c>
      <c r="AH467" s="363" t="str">
        <f t="shared" si="81"/>
        <v/>
      </c>
      <c r="AI467" s="194">
        <v>68</v>
      </c>
      <c r="AJ467" s="188">
        <v>68</v>
      </c>
      <c r="AM467" s="69">
        <v>0</v>
      </c>
      <c r="AO467" s="367"/>
      <c r="AP467" s="367"/>
      <c r="AQ467" s="367"/>
    </row>
    <row r="468" spans="1:43" s="69" customFormat="1" ht="66" x14ac:dyDescent="0.3">
      <c r="A468" s="55" t="s">
        <v>1050</v>
      </c>
      <c r="B468" s="138" t="s">
        <v>1051</v>
      </c>
      <c r="C468" s="54" t="s">
        <v>1052</v>
      </c>
      <c r="D468" s="75">
        <v>9</v>
      </c>
      <c r="E468" s="75"/>
      <c r="F468" s="75"/>
      <c r="G468" s="75"/>
      <c r="H468" s="75"/>
      <c r="I468" s="75"/>
      <c r="J468" s="75">
        <v>1200</v>
      </c>
      <c r="K468" s="75">
        <v>10800</v>
      </c>
      <c r="L468" s="91" t="s">
        <v>1053</v>
      </c>
      <c r="M468" s="73"/>
      <c r="N468" s="46">
        <v>3</v>
      </c>
      <c r="O468" s="46">
        <v>0</v>
      </c>
      <c r="P468" s="46">
        <v>3600</v>
      </c>
      <c r="Q468" s="98"/>
      <c r="R468" s="23" t="s">
        <v>1373</v>
      </c>
      <c r="S468" s="24" t="s">
        <v>1051</v>
      </c>
      <c r="T468" s="25" t="s">
        <v>1052</v>
      </c>
      <c r="U468" s="26">
        <v>9</v>
      </c>
      <c r="V468" s="26">
        <f t="shared" si="116"/>
        <v>9</v>
      </c>
      <c r="W468" s="26">
        <f t="shared" si="114"/>
        <v>1200</v>
      </c>
      <c r="X468" s="128">
        <f t="shared" si="117"/>
        <v>0</v>
      </c>
      <c r="Y468" s="26">
        <f t="shared" si="107"/>
        <v>3</v>
      </c>
      <c r="Z468" s="26">
        <f t="shared" si="118"/>
        <v>0</v>
      </c>
      <c r="AA468" s="26">
        <f t="shared" si="119"/>
        <v>3600</v>
      </c>
      <c r="AB468" s="33" t="s">
        <v>15</v>
      </c>
      <c r="AC468" s="324"/>
      <c r="AD468" s="181">
        <f t="shared" si="113"/>
        <v>9</v>
      </c>
      <c r="AE468" s="181">
        <f t="shared" si="120"/>
        <v>10800</v>
      </c>
      <c r="AF468" s="181">
        <v>3</v>
      </c>
      <c r="AG468" s="181">
        <v>3</v>
      </c>
      <c r="AH468" s="363" t="str">
        <f t="shared" si="81"/>
        <v/>
      </c>
      <c r="AI468" s="194">
        <f>3</f>
        <v>3</v>
      </c>
      <c r="AJ468" s="188">
        <v>9</v>
      </c>
      <c r="AM468" s="69">
        <v>0</v>
      </c>
      <c r="AO468" s="367"/>
      <c r="AP468" s="367"/>
      <c r="AQ468" s="367"/>
    </row>
    <row r="469" spans="1:43" s="69" customFormat="1" ht="82.5" x14ac:dyDescent="0.3">
      <c r="A469" s="130" t="s">
        <v>1054</v>
      </c>
      <c r="B469" s="240" t="s">
        <v>3114</v>
      </c>
      <c r="C469" s="132" t="s">
        <v>325</v>
      </c>
      <c r="D469" s="133">
        <v>38</v>
      </c>
      <c r="E469" s="75"/>
      <c r="F469" s="75"/>
      <c r="G469" s="75"/>
      <c r="H469" s="75"/>
      <c r="I469" s="75"/>
      <c r="J469" s="75">
        <v>650</v>
      </c>
      <c r="K469" s="75">
        <v>24700</v>
      </c>
      <c r="L469" s="91" t="s">
        <v>1056</v>
      </c>
      <c r="M469" s="73"/>
      <c r="N469" s="46">
        <v>38</v>
      </c>
      <c r="O469" s="46">
        <v>0</v>
      </c>
      <c r="P469" s="46">
        <v>24700</v>
      </c>
      <c r="Q469" s="98"/>
      <c r="R469" s="23" t="s">
        <v>1393</v>
      </c>
      <c r="S469" s="24" t="s">
        <v>1055</v>
      </c>
      <c r="T469" s="25" t="s">
        <v>325</v>
      </c>
      <c r="U469" s="26">
        <v>38</v>
      </c>
      <c r="V469" s="26">
        <f t="shared" si="116"/>
        <v>38</v>
      </c>
      <c r="W469" s="26">
        <f t="shared" si="114"/>
        <v>650</v>
      </c>
      <c r="X469" s="128">
        <f t="shared" si="117"/>
        <v>0</v>
      </c>
      <c r="Y469" s="127">
        <f t="shared" si="107"/>
        <v>38</v>
      </c>
      <c r="Z469" s="127">
        <f t="shared" si="118"/>
        <v>0</v>
      </c>
      <c r="AA469" s="127">
        <f t="shared" si="119"/>
        <v>24700</v>
      </c>
      <c r="AB469" s="33" t="s">
        <v>15</v>
      </c>
      <c r="AC469" s="324"/>
      <c r="AD469" s="181">
        <f t="shared" si="113"/>
        <v>38</v>
      </c>
      <c r="AE469" s="181">
        <f t="shared" si="120"/>
        <v>24700</v>
      </c>
      <c r="AF469" s="181">
        <v>3</v>
      </c>
      <c r="AG469" s="181">
        <v>3</v>
      </c>
      <c r="AH469" s="363" t="str">
        <f t="shared" si="81"/>
        <v/>
      </c>
      <c r="AI469" s="194">
        <v>38</v>
      </c>
      <c r="AJ469" s="188">
        <v>38</v>
      </c>
      <c r="AM469" s="69">
        <v>0</v>
      </c>
      <c r="AO469" s="367"/>
      <c r="AP469" s="367"/>
      <c r="AQ469" s="367"/>
    </row>
    <row r="470" spans="1:43" s="69" customFormat="1" ht="66" customHeight="1" x14ac:dyDescent="0.3">
      <c r="A470" s="130" t="s">
        <v>1057</v>
      </c>
      <c r="B470" s="240" t="s">
        <v>3115</v>
      </c>
      <c r="C470" s="132" t="s">
        <v>325</v>
      </c>
      <c r="D470" s="133">
        <v>38</v>
      </c>
      <c r="E470" s="75"/>
      <c r="F470" s="75"/>
      <c r="G470" s="75"/>
      <c r="H470" s="75"/>
      <c r="I470" s="75"/>
      <c r="J470" s="75">
        <v>1300</v>
      </c>
      <c r="K470" s="75">
        <v>49400</v>
      </c>
      <c r="L470" s="91" t="s">
        <v>1059</v>
      </c>
      <c r="M470" s="73"/>
      <c r="N470" s="46">
        <v>38</v>
      </c>
      <c r="O470" s="46">
        <v>0</v>
      </c>
      <c r="P470" s="46">
        <v>49400</v>
      </c>
      <c r="Q470" s="98"/>
      <c r="R470" s="23" t="s">
        <v>1403</v>
      </c>
      <c r="S470" s="24" t="s">
        <v>1058</v>
      </c>
      <c r="T470" s="25" t="s">
        <v>325</v>
      </c>
      <c r="U470" s="26">
        <v>38</v>
      </c>
      <c r="V470" s="26">
        <f t="shared" si="116"/>
        <v>38</v>
      </c>
      <c r="W470" s="26">
        <f t="shared" si="114"/>
        <v>1300</v>
      </c>
      <c r="X470" s="128">
        <f t="shared" si="117"/>
        <v>0</v>
      </c>
      <c r="Y470" s="127">
        <f t="shared" si="107"/>
        <v>38</v>
      </c>
      <c r="Z470" s="127">
        <f t="shared" si="118"/>
        <v>0</v>
      </c>
      <c r="AA470" s="127">
        <f t="shared" si="119"/>
        <v>49400</v>
      </c>
      <c r="AB470" s="33" t="s">
        <v>15</v>
      </c>
      <c r="AC470" s="324"/>
      <c r="AD470" s="181">
        <f t="shared" si="113"/>
        <v>38</v>
      </c>
      <c r="AE470" s="181">
        <f t="shared" si="120"/>
        <v>49400</v>
      </c>
      <c r="AF470" s="181">
        <v>3</v>
      </c>
      <c r="AG470" s="181">
        <v>3</v>
      </c>
      <c r="AH470" s="363" t="str">
        <f t="shared" ref="AH470:AH534" si="121">IF(Y470&gt;AJ470,"超估","")</f>
        <v/>
      </c>
      <c r="AI470" s="194">
        <v>38</v>
      </c>
      <c r="AJ470" s="188">
        <v>38</v>
      </c>
      <c r="AM470" s="69">
        <v>0</v>
      </c>
      <c r="AO470" s="367"/>
      <c r="AP470" s="367"/>
      <c r="AQ470" s="367"/>
    </row>
    <row r="471" spans="1:43" s="69" customFormat="1" ht="66" customHeight="1" x14ac:dyDescent="0.3">
      <c r="A471" s="55" t="s">
        <v>1060</v>
      </c>
      <c r="B471" s="138" t="s">
        <v>3116</v>
      </c>
      <c r="C471" s="54" t="s">
        <v>325</v>
      </c>
      <c r="D471" s="75">
        <v>7</v>
      </c>
      <c r="E471" s="75"/>
      <c r="F471" s="75"/>
      <c r="G471" s="75"/>
      <c r="H471" s="75"/>
      <c r="I471" s="75"/>
      <c r="J471" s="75">
        <v>3500</v>
      </c>
      <c r="K471" s="75">
        <v>24500</v>
      </c>
      <c r="L471" s="91" t="s">
        <v>1062</v>
      </c>
      <c r="M471" s="73"/>
      <c r="N471" s="46">
        <v>0</v>
      </c>
      <c r="O471" s="46">
        <v>0</v>
      </c>
      <c r="P471" s="46">
        <v>0</v>
      </c>
      <c r="Q471" s="98"/>
      <c r="R471" s="23" t="s">
        <v>1427</v>
      </c>
      <c r="S471" s="24" t="s">
        <v>1061</v>
      </c>
      <c r="T471" s="25" t="s">
        <v>325</v>
      </c>
      <c r="U471" s="26">
        <v>7</v>
      </c>
      <c r="V471" s="26">
        <f t="shared" si="116"/>
        <v>7</v>
      </c>
      <c r="W471" s="26">
        <f t="shared" si="114"/>
        <v>3500</v>
      </c>
      <c r="X471" s="26">
        <f t="shared" si="117"/>
        <v>0</v>
      </c>
      <c r="Y471" s="26">
        <f t="shared" si="107"/>
        <v>0</v>
      </c>
      <c r="Z471" s="26">
        <f t="shared" si="118"/>
        <v>0</v>
      </c>
      <c r="AA471" s="26">
        <f t="shared" si="119"/>
        <v>0</v>
      </c>
      <c r="AB471" s="33" t="s">
        <v>15</v>
      </c>
      <c r="AC471" s="324"/>
      <c r="AD471" s="181">
        <f t="shared" si="113"/>
        <v>7</v>
      </c>
      <c r="AE471" s="181">
        <f t="shared" si="120"/>
        <v>24500</v>
      </c>
      <c r="AF471" s="181">
        <v>3</v>
      </c>
      <c r="AG471" s="181">
        <v>3</v>
      </c>
      <c r="AH471" s="363" t="str">
        <f t="shared" si="121"/>
        <v/>
      </c>
      <c r="AI471" s="192">
        <v>0</v>
      </c>
      <c r="AJ471" s="188">
        <v>7</v>
      </c>
      <c r="AM471" s="69">
        <v>0</v>
      </c>
      <c r="AO471" s="367"/>
      <c r="AP471" s="367"/>
      <c r="AQ471" s="367"/>
    </row>
    <row r="472" spans="1:43" s="69" customFormat="1" ht="66" customHeight="1" x14ac:dyDescent="0.3">
      <c r="A472" s="130" t="s">
        <v>1063</v>
      </c>
      <c r="B472" s="357" t="s">
        <v>1064</v>
      </c>
      <c r="C472" s="132" t="s">
        <v>325</v>
      </c>
      <c r="D472" s="133">
        <v>5</v>
      </c>
      <c r="E472" s="75"/>
      <c r="F472" s="75"/>
      <c r="G472" s="75"/>
      <c r="H472" s="75"/>
      <c r="I472" s="75"/>
      <c r="J472" s="75">
        <v>700</v>
      </c>
      <c r="K472" s="75">
        <v>3500</v>
      </c>
      <c r="L472" s="91" t="s">
        <v>1065</v>
      </c>
      <c r="M472" s="73"/>
      <c r="N472" s="46">
        <v>5</v>
      </c>
      <c r="O472" s="46">
        <v>0</v>
      </c>
      <c r="P472" s="46">
        <v>3500</v>
      </c>
      <c r="Q472" s="98"/>
      <c r="R472" s="23" t="s">
        <v>1428</v>
      </c>
      <c r="S472" s="24" t="s">
        <v>1064</v>
      </c>
      <c r="T472" s="25" t="s">
        <v>325</v>
      </c>
      <c r="U472" s="26">
        <v>5</v>
      </c>
      <c r="V472" s="26">
        <f t="shared" si="116"/>
        <v>5</v>
      </c>
      <c r="W472" s="26">
        <f t="shared" si="114"/>
        <v>700</v>
      </c>
      <c r="X472" s="26">
        <f t="shared" si="117"/>
        <v>0</v>
      </c>
      <c r="Y472" s="127">
        <f t="shared" si="107"/>
        <v>5</v>
      </c>
      <c r="Z472" s="127">
        <f t="shared" si="118"/>
        <v>0</v>
      </c>
      <c r="AA472" s="127">
        <f t="shared" si="119"/>
        <v>3500</v>
      </c>
      <c r="AB472" s="33" t="s">
        <v>15</v>
      </c>
      <c r="AC472" s="324"/>
      <c r="AD472" s="181">
        <f t="shared" si="113"/>
        <v>5</v>
      </c>
      <c r="AE472" s="181">
        <f t="shared" si="120"/>
        <v>3500</v>
      </c>
      <c r="AF472" s="181">
        <v>3</v>
      </c>
      <c r="AG472" s="181">
        <v>3</v>
      </c>
      <c r="AH472" s="363" t="str">
        <f t="shared" si="121"/>
        <v/>
      </c>
      <c r="AI472" s="192">
        <v>5</v>
      </c>
      <c r="AJ472" s="188">
        <v>5</v>
      </c>
      <c r="AM472" s="69">
        <v>0</v>
      </c>
      <c r="AO472" s="367"/>
      <c r="AP472" s="367"/>
      <c r="AQ472" s="367"/>
    </row>
    <row r="473" spans="1:43" s="69" customFormat="1" ht="57" customHeight="1" x14ac:dyDescent="0.3">
      <c r="A473" s="55" t="s">
        <v>1066</v>
      </c>
      <c r="B473" s="254" t="s">
        <v>1067</v>
      </c>
      <c r="C473" s="54" t="s">
        <v>66</v>
      </c>
      <c r="D473" s="75">
        <v>1</v>
      </c>
      <c r="E473" s="75"/>
      <c r="F473" s="75"/>
      <c r="G473" s="75"/>
      <c r="H473" s="75"/>
      <c r="I473" s="75"/>
      <c r="J473" s="75">
        <v>15000</v>
      </c>
      <c r="K473" s="75">
        <v>15000</v>
      </c>
      <c r="L473" s="91" t="s">
        <v>1068</v>
      </c>
      <c r="M473" s="73"/>
      <c r="N473" s="46">
        <v>0</v>
      </c>
      <c r="O473" s="46">
        <v>0</v>
      </c>
      <c r="P473" s="46">
        <v>0</v>
      </c>
      <c r="Q473" s="98"/>
      <c r="R473" s="23" t="s">
        <v>1387</v>
      </c>
      <c r="S473" s="24" t="s">
        <v>1067</v>
      </c>
      <c r="T473" s="25" t="s">
        <v>66</v>
      </c>
      <c r="U473" s="26">
        <v>1</v>
      </c>
      <c r="V473" s="26">
        <f t="shared" si="116"/>
        <v>1</v>
      </c>
      <c r="W473" s="26">
        <f t="shared" si="114"/>
        <v>15000</v>
      </c>
      <c r="X473" s="26">
        <f t="shared" si="117"/>
        <v>0</v>
      </c>
      <c r="Y473" s="26">
        <f t="shared" si="107"/>
        <v>0</v>
      </c>
      <c r="Z473" s="26">
        <f t="shared" si="118"/>
        <v>0</v>
      </c>
      <c r="AA473" s="26">
        <f t="shared" si="119"/>
        <v>0</v>
      </c>
      <c r="AB473" s="33" t="s">
        <v>15</v>
      </c>
      <c r="AC473" s="324"/>
      <c r="AD473" s="181">
        <f t="shared" si="113"/>
        <v>1</v>
      </c>
      <c r="AE473" s="181">
        <f t="shared" si="120"/>
        <v>15000</v>
      </c>
      <c r="AF473" s="181">
        <v>3</v>
      </c>
      <c r="AG473" s="181">
        <v>3</v>
      </c>
      <c r="AH473" s="363" t="str">
        <f t="shared" si="121"/>
        <v/>
      </c>
      <c r="AI473" s="192">
        <v>0</v>
      </c>
      <c r="AJ473" s="188">
        <v>1</v>
      </c>
      <c r="AM473" s="69">
        <v>0</v>
      </c>
      <c r="AO473" s="367"/>
      <c r="AP473" s="367"/>
      <c r="AQ473" s="367"/>
    </row>
    <row r="474" spans="1:43" s="69" customFormat="1" ht="56.25" customHeight="1" x14ac:dyDescent="0.3">
      <c r="A474" s="55" t="s">
        <v>1069</v>
      </c>
      <c r="B474" s="254" t="s">
        <v>1070</v>
      </c>
      <c r="C474" s="54" t="s">
        <v>325</v>
      </c>
      <c r="D474" s="75">
        <v>1</v>
      </c>
      <c r="E474" s="75"/>
      <c r="F474" s="75"/>
      <c r="G474" s="75"/>
      <c r="H474" s="75"/>
      <c r="I474" s="75"/>
      <c r="J474" s="75">
        <v>6000</v>
      </c>
      <c r="K474" s="75">
        <v>6000</v>
      </c>
      <c r="L474" s="91" t="s">
        <v>1071</v>
      </c>
      <c r="M474" s="73"/>
      <c r="N474" s="46">
        <v>0</v>
      </c>
      <c r="O474" s="46">
        <v>0</v>
      </c>
      <c r="P474" s="46">
        <v>0</v>
      </c>
      <c r="Q474" s="98"/>
      <c r="R474" s="23" t="s">
        <v>1405</v>
      </c>
      <c r="S474" s="24" t="s">
        <v>1070</v>
      </c>
      <c r="T474" s="25" t="s">
        <v>325</v>
      </c>
      <c r="U474" s="26">
        <v>1</v>
      </c>
      <c r="V474" s="26">
        <f t="shared" si="116"/>
        <v>1</v>
      </c>
      <c r="W474" s="26">
        <f t="shared" si="114"/>
        <v>6000</v>
      </c>
      <c r="X474" s="26">
        <f t="shared" si="117"/>
        <v>0</v>
      </c>
      <c r="Y474" s="26">
        <f t="shared" si="107"/>
        <v>0</v>
      </c>
      <c r="Z474" s="26">
        <f t="shared" si="118"/>
        <v>0</v>
      </c>
      <c r="AA474" s="26">
        <f t="shared" si="119"/>
        <v>0</v>
      </c>
      <c r="AB474" s="33" t="s">
        <v>15</v>
      </c>
      <c r="AC474" s="324"/>
      <c r="AD474" s="181">
        <f t="shared" si="113"/>
        <v>1</v>
      </c>
      <c r="AE474" s="181">
        <f t="shared" si="120"/>
        <v>6000</v>
      </c>
      <c r="AF474" s="181">
        <v>3</v>
      </c>
      <c r="AG474" s="181">
        <v>3</v>
      </c>
      <c r="AH474" s="363" t="str">
        <f t="shared" si="121"/>
        <v/>
      </c>
      <c r="AI474" s="192">
        <v>0</v>
      </c>
      <c r="AJ474" s="188">
        <v>1</v>
      </c>
      <c r="AM474" s="69">
        <v>0</v>
      </c>
      <c r="AO474" s="367"/>
      <c r="AP474" s="367"/>
      <c r="AQ474" s="367"/>
    </row>
    <row r="475" spans="1:43" s="69" customFormat="1" ht="92.25" customHeight="1" x14ac:dyDescent="0.3">
      <c r="A475" s="130" t="s">
        <v>1072</v>
      </c>
      <c r="B475" s="357" t="s">
        <v>3295</v>
      </c>
      <c r="C475" s="132" t="s">
        <v>325</v>
      </c>
      <c r="D475" s="133">
        <v>1</v>
      </c>
      <c r="E475" s="75"/>
      <c r="F475" s="75"/>
      <c r="G475" s="75"/>
      <c r="H475" s="75"/>
      <c r="I475" s="75"/>
      <c r="J475" s="75">
        <v>49500</v>
      </c>
      <c r="K475" s="75">
        <v>49500</v>
      </c>
      <c r="L475" s="91" t="s">
        <v>1074</v>
      </c>
      <c r="M475" s="73"/>
      <c r="N475" s="46">
        <v>1</v>
      </c>
      <c r="O475" s="46">
        <v>0</v>
      </c>
      <c r="P475" s="46">
        <v>49500</v>
      </c>
      <c r="Q475" s="98"/>
      <c r="R475" s="23" t="s">
        <v>1406</v>
      </c>
      <c r="S475" s="24" t="s">
        <v>1073</v>
      </c>
      <c r="T475" s="25" t="s">
        <v>325</v>
      </c>
      <c r="U475" s="26">
        <v>1</v>
      </c>
      <c r="V475" s="26">
        <f t="shared" si="116"/>
        <v>1</v>
      </c>
      <c r="W475" s="26">
        <f t="shared" si="114"/>
        <v>49500</v>
      </c>
      <c r="X475" s="127">
        <f t="shared" si="117"/>
        <v>0</v>
      </c>
      <c r="Y475" s="127">
        <f t="shared" si="107"/>
        <v>1</v>
      </c>
      <c r="Z475" s="127">
        <f t="shared" si="118"/>
        <v>0</v>
      </c>
      <c r="AA475" s="127">
        <f t="shared" si="119"/>
        <v>49500</v>
      </c>
      <c r="AB475" s="33" t="s">
        <v>15</v>
      </c>
      <c r="AC475" s="324"/>
      <c r="AD475" s="181">
        <f t="shared" si="113"/>
        <v>1</v>
      </c>
      <c r="AE475" s="181">
        <f t="shared" si="120"/>
        <v>49500</v>
      </c>
      <c r="AF475" s="181">
        <v>3</v>
      </c>
      <c r="AG475" s="181">
        <v>3</v>
      </c>
      <c r="AH475" s="363" t="str">
        <f t="shared" si="121"/>
        <v/>
      </c>
      <c r="AI475" s="194">
        <v>1</v>
      </c>
      <c r="AJ475" s="188">
        <v>1</v>
      </c>
      <c r="AM475" s="69">
        <v>0</v>
      </c>
      <c r="AO475" s="367"/>
      <c r="AP475" s="367"/>
      <c r="AQ475" s="367"/>
    </row>
    <row r="476" spans="1:43" s="69" customFormat="1" ht="66" customHeight="1" x14ac:dyDescent="0.3">
      <c r="A476" s="55" t="s">
        <v>1075</v>
      </c>
      <c r="B476" s="138" t="s">
        <v>3118</v>
      </c>
      <c r="C476" s="54" t="s">
        <v>325</v>
      </c>
      <c r="D476" s="75">
        <v>8</v>
      </c>
      <c r="E476" s="75"/>
      <c r="F476" s="75"/>
      <c r="G476" s="75"/>
      <c r="H476" s="75"/>
      <c r="I476" s="75"/>
      <c r="J476" s="75">
        <v>3000</v>
      </c>
      <c r="K476" s="75">
        <v>24000</v>
      </c>
      <c r="L476" s="91" t="s">
        <v>1077</v>
      </c>
      <c r="M476" s="73"/>
      <c r="N476" s="46">
        <v>3</v>
      </c>
      <c r="O476" s="46">
        <v>0</v>
      </c>
      <c r="P476" s="46">
        <v>9000</v>
      </c>
      <c r="Q476" s="98"/>
      <c r="R476" s="23" t="s">
        <v>1414</v>
      </c>
      <c r="S476" s="24" t="s">
        <v>1076</v>
      </c>
      <c r="T476" s="25" t="s">
        <v>325</v>
      </c>
      <c r="U476" s="26">
        <v>8</v>
      </c>
      <c r="V476" s="26">
        <f t="shared" si="116"/>
        <v>8</v>
      </c>
      <c r="W476" s="26">
        <f t="shared" si="114"/>
        <v>3000</v>
      </c>
      <c r="X476" s="26">
        <f t="shared" si="117"/>
        <v>0</v>
      </c>
      <c r="Y476" s="26">
        <f t="shared" si="107"/>
        <v>3</v>
      </c>
      <c r="Z476" s="26">
        <f t="shared" si="118"/>
        <v>0</v>
      </c>
      <c r="AA476" s="26">
        <f t="shared" si="119"/>
        <v>9000</v>
      </c>
      <c r="AB476" s="33" t="s">
        <v>15</v>
      </c>
      <c r="AC476" s="324"/>
      <c r="AD476" s="181">
        <f t="shared" si="113"/>
        <v>8</v>
      </c>
      <c r="AE476" s="181">
        <f t="shared" si="120"/>
        <v>24000</v>
      </c>
      <c r="AF476" s="181">
        <v>3</v>
      </c>
      <c r="AG476" s="181">
        <v>3</v>
      </c>
      <c r="AH476" s="363" t="str">
        <f t="shared" si="121"/>
        <v/>
      </c>
      <c r="AI476" s="192">
        <v>3</v>
      </c>
      <c r="AJ476" s="188">
        <v>8</v>
      </c>
      <c r="AM476" s="69">
        <v>0</v>
      </c>
      <c r="AO476" s="367"/>
      <c r="AP476" s="367"/>
      <c r="AQ476" s="367"/>
    </row>
    <row r="477" spans="1:43" s="69" customFormat="1" ht="33" customHeight="1" x14ac:dyDescent="0.3">
      <c r="A477" s="130" t="s">
        <v>1078</v>
      </c>
      <c r="B477" s="240" t="s">
        <v>1079</v>
      </c>
      <c r="C477" s="132" t="s">
        <v>66</v>
      </c>
      <c r="D477" s="133">
        <v>75</v>
      </c>
      <c r="E477" s="75"/>
      <c r="F477" s="75"/>
      <c r="G477" s="75"/>
      <c r="H477" s="75"/>
      <c r="I477" s="75"/>
      <c r="J477" s="75">
        <v>12000</v>
      </c>
      <c r="K477" s="75">
        <v>900000</v>
      </c>
      <c r="L477" s="91" t="s">
        <v>1080</v>
      </c>
      <c r="M477" s="73"/>
      <c r="N477" s="46">
        <v>75</v>
      </c>
      <c r="O477" s="46">
        <v>0</v>
      </c>
      <c r="P477" s="46">
        <v>900000</v>
      </c>
      <c r="Q477" s="98"/>
      <c r="R477" s="23" t="s">
        <v>1429</v>
      </c>
      <c r="S477" s="24" t="s">
        <v>1079</v>
      </c>
      <c r="T477" s="25" t="s">
        <v>66</v>
      </c>
      <c r="U477" s="26">
        <v>75</v>
      </c>
      <c r="V477" s="26">
        <f t="shared" si="116"/>
        <v>75</v>
      </c>
      <c r="W477" s="26">
        <f t="shared" si="114"/>
        <v>12000</v>
      </c>
      <c r="X477" s="127">
        <f t="shared" si="117"/>
        <v>0</v>
      </c>
      <c r="Y477" s="127">
        <f t="shared" si="107"/>
        <v>75</v>
      </c>
      <c r="Z477" s="127">
        <f t="shared" si="118"/>
        <v>0</v>
      </c>
      <c r="AA477" s="127">
        <f t="shared" si="119"/>
        <v>900000</v>
      </c>
      <c r="AB477" s="33" t="s">
        <v>15</v>
      </c>
      <c r="AC477" s="324"/>
      <c r="AD477" s="181">
        <f t="shared" si="113"/>
        <v>75</v>
      </c>
      <c r="AE477" s="181">
        <f t="shared" si="120"/>
        <v>900000</v>
      </c>
      <c r="AF477" s="181">
        <v>3</v>
      </c>
      <c r="AG477" s="181">
        <v>3</v>
      </c>
      <c r="AH477" s="363" t="str">
        <f t="shared" si="121"/>
        <v/>
      </c>
      <c r="AI477" s="194">
        <f>50+25</f>
        <v>75</v>
      </c>
      <c r="AJ477" s="188">
        <v>75</v>
      </c>
      <c r="AM477" s="69">
        <v>0</v>
      </c>
      <c r="AO477" s="367"/>
      <c r="AP477" s="367"/>
      <c r="AQ477" s="367"/>
    </row>
    <row r="478" spans="1:43" s="69" customFormat="1" ht="33" customHeight="1" x14ac:dyDescent="0.3">
      <c r="A478" s="130" t="s">
        <v>1081</v>
      </c>
      <c r="B478" s="240" t="s">
        <v>1082</v>
      </c>
      <c r="C478" s="132" t="s">
        <v>1014</v>
      </c>
      <c r="D478" s="133">
        <v>75</v>
      </c>
      <c r="E478" s="75"/>
      <c r="F478" s="75"/>
      <c r="G478" s="75"/>
      <c r="H478" s="75"/>
      <c r="I478" s="75"/>
      <c r="J478" s="75">
        <v>1500</v>
      </c>
      <c r="K478" s="75">
        <v>112500</v>
      </c>
      <c r="L478" s="91" t="s">
        <v>1083</v>
      </c>
      <c r="M478" s="73"/>
      <c r="N478" s="46">
        <v>30</v>
      </c>
      <c r="O478" s="46">
        <v>0</v>
      </c>
      <c r="P478" s="46">
        <v>45000</v>
      </c>
      <c r="Q478" s="98"/>
      <c r="R478" s="23" t="s">
        <v>1430</v>
      </c>
      <c r="S478" s="24" t="s">
        <v>1082</v>
      </c>
      <c r="T478" s="25" t="s">
        <v>1014</v>
      </c>
      <c r="U478" s="26">
        <v>75</v>
      </c>
      <c r="V478" s="26">
        <f t="shared" si="116"/>
        <v>75</v>
      </c>
      <c r="W478" s="26">
        <f t="shared" si="114"/>
        <v>1500</v>
      </c>
      <c r="X478" s="127">
        <f t="shared" si="117"/>
        <v>0</v>
      </c>
      <c r="Y478" s="127">
        <f t="shared" si="107"/>
        <v>30</v>
      </c>
      <c r="Z478" s="127">
        <f t="shared" si="118"/>
        <v>0</v>
      </c>
      <c r="AA478" s="127">
        <f t="shared" si="119"/>
        <v>45000</v>
      </c>
      <c r="AB478" s="33" t="s">
        <v>15</v>
      </c>
      <c r="AC478" s="324"/>
      <c r="AD478" s="181">
        <f t="shared" si="113"/>
        <v>75</v>
      </c>
      <c r="AE478" s="181">
        <f t="shared" si="120"/>
        <v>112500</v>
      </c>
      <c r="AF478" s="181">
        <v>3</v>
      </c>
      <c r="AG478" s="181">
        <v>3</v>
      </c>
      <c r="AH478" s="363" t="str">
        <f t="shared" si="121"/>
        <v/>
      </c>
      <c r="AI478" s="194">
        <f>30</f>
        <v>30</v>
      </c>
      <c r="AJ478" s="188">
        <v>75</v>
      </c>
      <c r="AM478" s="69">
        <v>0</v>
      </c>
      <c r="AO478" s="367"/>
      <c r="AP478" s="367"/>
      <c r="AQ478" s="367"/>
    </row>
    <row r="479" spans="1:43" s="69" customFormat="1" ht="66" customHeight="1" x14ac:dyDescent="0.3">
      <c r="A479" s="130" t="s">
        <v>1084</v>
      </c>
      <c r="B479" s="358" t="s">
        <v>1085</v>
      </c>
      <c r="C479" s="132" t="s">
        <v>325</v>
      </c>
      <c r="D479" s="133">
        <v>1</v>
      </c>
      <c r="E479" s="75"/>
      <c r="F479" s="75"/>
      <c r="G479" s="75"/>
      <c r="H479" s="75"/>
      <c r="I479" s="75"/>
      <c r="J479" s="75">
        <v>12000</v>
      </c>
      <c r="K479" s="75">
        <v>12000</v>
      </c>
      <c r="L479" s="91" t="s">
        <v>1086</v>
      </c>
      <c r="M479" s="73"/>
      <c r="N479" s="46">
        <v>1</v>
      </c>
      <c r="O479" s="46">
        <v>0</v>
      </c>
      <c r="P479" s="46">
        <v>12000</v>
      </c>
      <c r="Q479" s="98"/>
      <c r="R479" s="23" t="s">
        <v>1431</v>
      </c>
      <c r="S479" s="24" t="s">
        <v>1085</v>
      </c>
      <c r="T479" s="25" t="s">
        <v>325</v>
      </c>
      <c r="U479" s="26">
        <v>1</v>
      </c>
      <c r="V479" s="26">
        <f t="shared" si="116"/>
        <v>1</v>
      </c>
      <c r="W479" s="26">
        <f t="shared" si="114"/>
        <v>12000</v>
      </c>
      <c r="X479" s="26">
        <f t="shared" si="117"/>
        <v>0</v>
      </c>
      <c r="Y479" s="127">
        <f t="shared" si="107"/>
        <v>1</v>
      </c>
      <c r="Z479" s="127">
        <f t="shared" si="118"/>
        <v>0</v>
      </c>
      <c r="AA479" s="127">
        <f t="shared" si="119"/>
        <v>12000</v>
      </c>
      <c r="AB479" s="33" t="s">
        <v>15</v>
      </c>
      <c r="AC479" s="324"/>
      <c r="AD479" s="181">
        <f t="shared" si="113"/>
        <v>1</v>
      </c>
      <c r="AE479" s="181">
        <f t="shared" si="120"/>
        <v>12000</v>
      </c>
      <c r="AF479" s="181">
        <v>3</v>
      </c>
      <c r="AG479" s="181">
        <v>3</v>
      </c>
      <c r="AH479" s="363" t="str">
        <f t="shared" si="121"/>
        <v/>
      </c>
      <c r="AI479" s="192">
        <v>1</v>
      </c>
      <c r="AJ479" s="188">
        <v>1</v>
      </c>
      <c r="AM479" s="69">
        <v>0</v>
      </c>
      <c r="AO479" s="367"/>
      <c r="AP479" s="367"/>
      <c r="AQ479" s="367"/>
    </row>
    <row r="480" spans="1:43" s="69" customFormat="1" ht="49.5" customHeight="1" x14ac:dyDescent="0.3">
      <c r="A480" s="130" t="s">
        <v>1087</v>
      </c>
      <c r="B480" s="240" t="s">
        <v>1088</v>
      </c>
      <c r="C480" s="132" t="s">
        <v>325</v>
      </c>
      <c r="D480" s="133">
        <v>1</v>
      </c>
      <c r="E480" s="75"/>
      <c r="F480" s="75"/>
      <c r="G480" s="75"/>
      <c r="H480" s="75"/>
      <c r="I480" s="75"/>
      <c r="J480" s="75">
        <v>2000</v>
      </c>
      <c r="K480" s="75">
        <v>2000</v>
      </c>
      <c r="L480" s="91" t="s">
        <v>1089</v>
      </c>
      <c r="M480" s="73"/>
      <c r="N480" s="46">
        <v>1</v>
      </c>
      <c r="O480" s="46">
        <v>0</v>
      </c>
      <c r="P480" s="46">
        <v>2000</v>
      </c>
      <c r="Q480" s="98"/>
      <c r="R480" s="23" t="s">
        <v>1395</v>
      </c>
      <c r="S480" s="24" t="s">
        <v>1088</v>
      </c>
      <c r="T480" s="25" t="s">
        <v>325</v>
      </c>
      <c r="U480" s="26">
        <v>1</v>
      </c>
      <c r="V480" s="26">
        <f t="shared" si="116"/>
        <v>1</v>
      </c>
      <c r="W480" s="26">
        <f t="shared" si="114"/>
        <v>2000</v>
      </c>
      <c r="X480" s="26">
        <f t="shared" si="117"/>
        <v>0</v>
      </c>
      <c r="Y480" s="127">
        <f t="shared" si="107"/>
        <v>1</v>
      </c>
      <c r="Z480" s="127">
        <f t="shared" si="118"/>
        <v>0</v>
      </c>
      <c r="AA480" s="127">
        <f t="shared" si="119"/>
        <v>2000</v>
      </c>
      <c r="AB480" s="33" t="s">
        <v>15</v>
      </c>
      <c r="AC480" s="324"/>
      <c r="AD480" s="181">
        <f t="shared" si="113"/>
        <v>1</v>
      </c>
      <c r="AE480" s="181">
        <f t="shared" si="120"/>
        <v>2000</v>
      </c>
      <c r="AF480" s="181">
        <v>3</v>
      </c>
      <c r="AG480" s="181">
        <v>3</v>
      </c>
      <c r="AH480" s="363" t="str">
        <f t="shared" si="121"/>
        <v/>
      </c>
      <c r="AI480" s="192">
        <v>1</v>
      </c>
      <c r="AJ480" s="188">
        <v>1</v>
      </c>
      <c r="AM480" s="69">
        <v>0</v>
      </c>
      <c r="AO480" s="367"/>
      <c r="AP480" s="367"/>
      <c r="AQ480" s="367"/>
    </row>
    <row r="481" spans="1:43" s="69" customFormat="1" ht="66" customHeight="1" x14ac:dyDescent="0.3">
      <c r="A481" s="55" t="s">
        <v>1090</v>
      </c>
      <c r="B481" s="138" t="s">
        <v>3119</v>
      </c>
      <c r="C481" s="54" t="s">
        <v>325</v>
      </c>
      <c r="D481" s="75">
        <v>14</v>
      </c>
      <c r="E481" s="75"/>
      <c r="F481" s="75"/>
      <c r="G481" s="75"/>
      <c r="H481" s="75"/>
      <c r="I481" s="75"/>
      <c r="J481" s="75">
        <v>3000</v>
      </c>
      <c r="K481" s="75">
        <v>42000</v>
      </c>
      <c r="L481" s="91" t="s">
        <v>1092</v>
      </c>
      <c r="M481" s="73"/>
      <c r="N481" s="46">
        <v>8</v>
      </c>
      <c r="O481" s="46">
        <v>0</v>
      </c>
      <c r="P481" s="46">
        <v>24000</v>
      </c>
      <c r="Q481" s="98"/>
      <c r="R481" s="23" t="s">
        <v>1432</v>
      </c>
      <c r="S481" s="24" t="s">
        <v>1091</v>
      </c>
      <c r="T481" s="25" t="s">
        <v>325</v>
      </c>
      <c r="U481" s="26">
        <v>14</v>
      </c>
      <c r="V481" s="26">
        <f t="shared" si="116"/>
        <v>14</v>
      </c>
      <c r="W481" s="26">
        <f t="shared" si="114"/>
        <v>3000</v>
      </c>
      <c r="X481" s="128">
        <f t="shared" si="117"/>
        <v>0</v>
      </c>
      <c r="Y481" s="26">
        <f t="shared" si="107"/>
        <v>8</v>
      </c>
      <c r="Z481" s="26">
        <f t="shared" si="118"/>
        <v>0</v>
      </c>
      <c r="AA481" s="26">
        <f t="shared" si="119"/>
        <v>24000</v>
      </c>
      <c r="AB481" s="33" t="s">
        <v>15</v>
      </c>
      <c r="AC481" s="324"/>
      <c r="AD481" s="181">
        <f t="shared" si="113"/>
        <v>14</v>
      </c>
      <c r="AE481" s="181">
        <f t="shared" si="120"/>
        <v>42000</v>
      </c>
      <c r="AF481" s="181">
        <v>3</v>
      </c>
      <c r="AG481" s="181">
        <v>3</v>
      </c>
      <c r="AH481" s="363" t="str">
        <f t="shared" si="121"/>
        <v/>
      </c>
      <c r="AI481" s="194">
        <f>8</f>
        <v>8</v>
      </c>
      <c r="AJ481" s="188">
        <v>14</v>
      </c>
      <c r="AM481" s="69">
        <v>0</v>
      </c>
      <c r="AO481" s="367"/>
      <c r="AP481" s="367"/>
      <c r="AQ481" s="367"/>
    </row>
    <row r="482" spans="1:43" s="69" customFormat="1" ht="49.5" customHeight="1" x14ac:dyDescent="0.3">
      <c r="A482" s="130" t="s">
        <v>1093</v>
      </c>
      <c r="B482" s="358" t="s">
        <v>1094</v>
      </c>
      <c r="C482" s="132" t="s">
        <v>325</v>
      </c>
      <c r="D482" s="133">
        <v>3</v>
      </c>
      <c r="E482" s="75"/>
      <c r="F482" s="75"/>
      <c r="G482" s="75"/>
      <c r="H482" s="75"/>
      <c r="I482" s="75"/>
      <c r="J482" s="75">
        <v>1400</v>
      </c>
      <c r="K482" s="75">
        <v>4200</v>
      </c>
      <c r="L482" s="91" t="s">
        <v>1095</v>
      </c>
      <c r="M482" s="73"/>
      <c r="N482" s="46">
        <v>3</v>
      </c>
      <c r="O482" s="46">
        <v>0</v>
      </c>
      <c r="P482" s="46">
        <v>4200</v>
      </c>
      <c r="Q482" s="98"/>
      <c r="R482" s="23" t="s">
        <v>1433</v>
      </c>
      <c r="S482" s="24" t="s">
        <v>1094</v>
      </c>
      <c r="T482" s="25" t="s">
        <v>325</v>
      </c>
      <c r="U482" s="26">
        <v>3</v>
      </c>
      <c r="V482" s="26">
        <f t="shared" si="116"/>
        <v>3</v>
      </c>
      <c r="W482" s="26">
        <f t="shared" si="114"/>
        <v>1400</v>
      </c>
      <c r="X482" s="127">
        <f t="shared" si="117"/>
        <v>0</v>
      </c>
      <c r="Y482" s="127">
        <f t="shared" si="107"/>
        <v>3</v>
      </c>
      <c r="Z482" s="127">
        <f t="shared" si="118"/>
        <v>0</v>
      </c>
      <c r="AA482" s="127">
        <f t="shared" si="119"/>
        <v>4200</v>
      </c>
      <c r="AB482" s="33" t="s">
        <v>15</v>
      </c>
      <c r="AC482" s="324"/>
      <c r="AD482" s="181">
        <f t="shared" si="113"/>
        <v>3</v>
      </c>
      <c r="AE482" s="181">
        <f t="shared" si="120"/>
        <v>4200</v>
      </c>
      <c r="AF482" s="181">
        <v>3</v>
      </c>
      <c r="AG482" s="181">
        <v>3</v>
      </c>
      <c r="AH482" s="363" t="str">
        <f t="shared" si="121"/>
        <v/>
      </c>
      <c r="AI482" s="194">
        <f>3</f>
        <v>3</v>
      </c>
      <c r="AJ482" s="188">
        <v>3</v>
      </c>
      <c r="AM482" s="69">
        <v>0</v>
      </c>
      <c r="AO482" s="367"/>
      <c r="AP482" s="367"/>
      <c r="AQ482" s="367"/>
    </row>
    <row r="483" spans="1:43" s="69" customFormat="1" ht="66" customHeight="1" x14ac:dyDescent="0.3">
      <c r="A483" s="55" t="s">
        <v>1096</v>
      </c>
      <c r="B483" s="138" t="s">
        <v>3140</v>
      </c>
      <c r="C483" s="54" t="s">
        <v>66</v>
      </c>
      <c r="D483" s="75">
        <v>5</v>
      </c>
      <c r="E483" s="75"/>
      <c r="F483" s="75"/>
      <c r="G483" s="75"/>
      <c r="H483" s="75"/>
      <c r="I483" s="75"/>
      <c r="J483" s="75">
        <v>18000</v>
      </c>
      <c r="K483" s="75">
        <v>90000</v>
      </c>
      <c r="L483" s="91" t="s">
        <v>1098</v>
      </c>
      <c r="M483" s="73"/>
      <c r="N483" s="46">
        <v>0</v>
      </c>
      <c r="O483" s="46">
        <v>0</v>
      </c>
      <c r="P483" s="46">
        <v>0</v>
      </c>
      <c r="Q483" s="98"/>
      <c r="R483" s="23" t="s">
        <v>1382</v>
      </c>
      <c r="S483" s="24" t="s">
        <v>1097</v>
      </c>
      <c r="T483" s="25" t="s">
        <v>66</v>
      </c>
      <c r="U483" s="26">
        <v>5</v>
      </c>
      <c r="V483" s="26">
        <f t="shared" si="116"/>
        <v>5</v>
      </c>
      <c r="W483" s="26">
        <f t="shared" si="114"/>
        <v>18000</v>
      </c>
      <c r="X483" s="26">
        <f t="shared" si="117"/>
        <v>0</v>
      </c>
      <c r="Y483" s="26">
        <f t="shared" si="107"/>
        <v>0</v>
      </c>
      <c r="Z483" s="26">
        <f t="shared" si="118"/>
        <v>0</v>
      </c>
      <c r="AA483" s="26">
        <f t="shared" si="119"/>
        <v>0</v>
      </c>
      <c r="AB483" s="33" t="s">
        <v>15</v>
      </c>
      <c r="AC483" s="324"/>
      <c r="AD483" s="181">
        <f t="shared" si="113"/>
        <v>5</v>
      </c>
      <c r="AE483" s="181">
        <f t="shared" si="120"/>
        <v>90000</v>
      </c>
      <c r="AF483" s="181">
        <v>3</v>
      </c>
      <c r="AG483" s="181">
        <v>3</v>
      </c>
      <c r="AH483" s="363" t="str">
        <f t="shared" si="121"/>
        <v/>
      </c>
      <c r="AI483" s="192">
        <v>0</v>
      </c>
      <c r="AJ483" s="188">
        <v>5</v>
      </c>
      <c r="AM483" s="69">
        <v>0</v>
      </c>
      <c r="AO483" s="367"/>
      <c r="AP483" s="367"/>
      <c r="AQ483" s="367"/>
    </row>
    <row r="484" spans="1:43" s="69" customFormat="1" ht="49.5" customHeight="1" x14ac:dyDescent="0.3">
      <c r="A484" s="55" t="s">
        <v>1099</v>
      </c>
      <c r="B484" s="138" t="s">
        <v>1100</v>
      </c>
      <c r="C484" s="54" t="s">
        <v>66</v>
      </c>
      <c r="D484" s="75">
        <v>1</v>
      </c>
      <c r="E484" s="75"/>
      <c r="F484" s="75"/>
      <c r="G484" s="75"/>
      <c r="H484" s="75"/>
      <c r="I484" s="75"/>
      <c r="J484" s="75">
        <v>9000</v>
      </c>
      <c r="K484" s="75">
        <v>9000</v>
      </c>
      <c r="L484" s="91" t="s">
        <v>1101</v>
      </c>
      <c r="M484" s="73"/>
      <c r="N484" s="46">
        <v>0</v>
      </c>
      <c r="O484" s="46">
        <v>0</v>
      </c>
      <c r="P484" s="46">
        <v>0</v>
      </c>
      <c r="Q484" s="98"/>
      <c r="R484" s="23" t="s">
        <v>1434</v>
      </c>
      <c r="S484" s="24" t="s">
        <v>1100</v>
      </c>
      <c r="T484" s="25" t="s">
        <v>66</v>
      </c>
      <c r="U484" s="26">
        <v>1</v>
      </c>
      <c r="V484" s="26">
        <f t="shared" si="116"/>
        <v>1</v>
      </c>
      <c r="W484" s="26">
        <f t="shared" si="114"/>
        <v>9000</v>
      </c>
      <c r="X484" s="26">
        <f t="shared" si="117"/>
        <v>0</v>
      </c>
      <c r="Y484" s="26">
        <f t="shared" si="107"/>
        <v>0</v>
      </c>
      <c r="Z484" s="26">
        <f t="shared" si="118"/>
        <v>0</v>
      </c>
      <c r="AA484" s="26">
        <f t="shared" si="119"/>
        <v>0</v>
      </c>
      <c r="AB484" s="33" t="s">
        <v>15</v>
      </c>
      <c r="AC484" s="324"/>
      <c r="AD484" s="181">
        <f t="shared" si="113"/>
        <v>1</v>
      </c>
      <c r="AE484" s="181">
        <f t="shared" si="120"/>
        <v>9000</v>
      </c>
      <c r="AF484" s="181">
        <v>3</v>
      </c>
      <c r="AG484" s="181">
        <v>3</v>
      </c>
      <c r="AH484" s="363" t="str">
        <f t="shared" si="121"/>
        <v/>
      </c>
      <c r="AI484" s="192">
        <v>0</v>
      </c>
      <c r="AJ484" s="188">
        <v>1</v>
      </c>
      <c r="AM484" s="69">
        <v>0</v>
      </c>
      <c r="AO484" s="367"/>
      <c r="AP484" s="367"/>
      <c r="AQ484" s="367"/>
    </row>
    <row r="485" spans="1:43" s="69" customFormat="1" ht="49.5" customHeight="1" x14ac:dyDescent="0.3">
      <c r="A485" s="55" t="s">
        <v>1102</v>
      </c>
      <c r="B485" s="138" t="s">
        <v>3120</v>
      </c>
      <c r="C485" s="54" t="s">
        <v>325</v>
      </c>
      <c r="D485" s="75">
        <v>3</v>
      </c>
      <c r="E485" s="75"/>
      <c r="F485" s="75"/>
      <c r="G485" s="75"/>
      <c r="H485" s="75"/>
      <c r="I485" s="75"/>
      <c r="J485" s="75">
        <v>6000</v>
      </c>
      <c r="K485" s="75">
        <v>18000</v>
      </c>
      <c r="L485" s="91" t="s">
        <v>1104</v>
      </c>
      <c r="M485" s="73"/>
      <c r="N485" s="46">
        <v>1</v>
      </c>
      <c r="O485" s="46">
        <v>0</v>
      </c>
      <c r="P485" s="46">
        <v>6000</v>
      </c>
      <c r="Q485" s="98"/>
      <c r="R485" s="23" t="s">
        <v>1388</v>
      </c>
      <c r="S485" s="24" t="s">
        <v>1103</v>
      </c>
      <c r="T485" s="25" t="s">
        <v>325</v>
      </c>
      <c r="U485" s="26">
        <v>3</v>
      </c>
      <c r="V485" s="26">
        <f t="shared" si="116"/>
        <v>3</v>
      </c>
      <c r="W485" s="26">
        <f t="shared" si="114"/>
        <v>6000</v>
      </c>
      <c r="X485" s="128">
        <f t="shared" si="117"/>
        <v>0</v>
      </c>
      <c r="Y485" s="26">
        <f t="shared" si="107"/>
        <v>1</v>
      </c>
      <c r="Z485" s="26">
        <f t="shared" si="118"/>
        <v>0</v>
      </c>
      <c r="AA485" s="26">
        <f t="shared" si="119"/>
        <v>6000</v>
      </c>
      <c r="AB485" s="33" t="s">
        <v>15</v>
      </c>
      <c r="AC485" s="324"/>
      <c r="AD485" s="181">
        <f t="shared" si="113"/>
        <v>3</v>
      </c>
      <c r="AE485" s="181">
        <f t="shared" si="120"/>
        <v>18000</v>
      </c>
      <c r="AF485" s="181">
        <v>3</v>
      </c>
      <c r="AG485" s="181">
        <v>3</v>
      </c>
      <c r="AH485" s="363" t="str">
        <f t="shared" si="121"/>
        <v/>
      </c>
      <c r="AI485" s="194">
        <f>1</f>
        <v>1</v>
      </c>
      <c r="AJ485" s="188">
        <v>3</v>
      </c>
      <c r="AM485" s="69">
        <v>0</v>
      </c>
      <c r="AO485" s="367"/>
      <c r="AP485" s="367"/>
      <c r="AQ485" s="367"/>
    </row>
    <row r="486" spans="1:43" s="69" customFormat="1" ht="49.5" customHeight="1" x14ac:dyDescent="0.3">
      <c r="A486" s="130" t="s">
        <v>1105</v>
      </c>
      <c r="B486" s="240" t="s">
        <v>3121</v>
      </c>
      <c r="C486" s="132" t="s">
        <v>66</v>
      </c>
      <c r="D486" s="133">
        <v>1</v>
      </c>
      <c r="E486" s="75"/>
      <c r="F486" s="75"/>
      <c r="G486" s="75"/>
      <c r="H486" s="75"/>
      <c r="I486" s="75"/>
      <c r="J486" s="75">
        <v>2500</v>
      </c>
      <c r="K486" s="75">
        <v>2500</v>
      </c>
      <c r="L486" s="91" t="s">
        <v>1107</v>
      </c>
      <c r="M486" s="73"/>
      <c r="N486" s="46">
        <v>1</v>
      </c>
      <c r="O486" s="46">
        <v>0</v>
      </c>
      <c r="P486" s="46">
        <v>2500</v>
      </c>
      <c r="Q486" s="98"/>
      <c r="R486" s="23" t="s">
        <v>1389</v>
      </c>
      <c r="S486" s="24" t="s">
        <v>1106</v>
      </c>
      <c r="T486" s="25" t="s">
        <v>66</v>
      </c>
      <c r="U486" s="26">
        <v>1</v>
      </c>
      <c r="V486" s="26">
        <f t="shared" si="116"/>
        <v>1</v>
      </c>
      <c r="W486" s="26">
        <f t="shared" si="114"/>
        <v>2500</v>
      </c>
      <c r="X486" s="127">
        <f t="shared" si="117"/>
        <v>0</v>
      </c>
      <c r="Y486" s="127">
        <f t="shared" si="107"/>
        <v>1</v>
      </c>
      <c r="Z486" s="127">
        <f t="shared" si="118"/>
        <v>0</v>
      </c>
      <c r="AA486" s="127">
        <f t="shared" si="119"/>
        <v>2500</v>
      </c>
      <c r="AB486" s="33" t="s">
        <v>15</v>
      </c>
      <c r="AC486" s="324"/>
      <c r="AD486" s="181">
        <f t="shared" si="113"/>
        <v>1</v>
      </c>
      <c r="AE486" s="181">
        <f t="shared" si="120"/>
        <v>2500</v>
      </c>
      <c r="AF486" s="181">
        <v>3</v>
      </c>
      <c r="AG486" s="181">
        <v>3</v>
      </c>
      <c r="AH486" s="363" t="str">
        <f t="shared" si="121"/>
        <v/>
      </c>
      <c r="AI486" s="194">
        <f>1</f>
        <v>1</v>
      </c>
      <c r="AJ486" s="188">
        <v>1</v>
      </c>
      <c r="AM486" s="69">
        <v>0</v>
      </c>
      <c r="AO486" s="367"/>
      <c r="AP486" s="367"/>
      <c r="AQ486" s="367"/>
    </row>
    <row r="487" spans="1:43" s="69" customFormat="1" ht="49.5" customHeight="1" x14ac:dyDescent="0.3">
      <c r="A487" s="130" t="s">
        <v>1108</v>
      </c>
      <c r="B487" s="240" t="s">
        <v>1109</v>
      </c>
      <c r="C487" s="132" t="s">
        <v>66</v>
      </c>
      <c r="D487" s="133">
        <v>1</v>
      </c>
      <c r="E487" s="75"/>
      <c r="F487" s="75"/>
      <c r="G487" s="75"/>
      <c r="H487" s="75"/>
      <c r="I487" s="75"/>
      <c r="J487" s="75">
        <v>2500</v>
      </c>
      <c r="K487" s="75">
        <v>2500</v>
      </c>
      <c r="L487" s="91" t="s">
        <v>1110</v>
      </c>
      <c r="M487" s="73"/>
      <c r="N487" s="46">
        <v>1</v>
      </c>
      <c r="O487" s="46">
        <v>0</v>
      </c>
      <c r="P487" s="46">
        <v>2500</v>
      </c>
      <c r="Q487" s="98"/>
      <c r="R487" s="23" t="s">
        <v>1390</v>
      </c>
      <c r="S487" s="24" t="s">
        <v>1109</v>
      </c>
      <c r="T487" s="25" t="s">
        <v>66</v>
      </c>
      <c r="U487" s="26">
        <v>1</v>
      </c>
      <c r="V487" s="26">
        <f t="shared" si="116"/>
        <v>1</v>
      </c>
      <c r="W487" s="26">
        <f t="shared" si="114"/>
        <v>2500</v>
      </c>
      <c r="X487" s="127">
        <f t="shared" si="117"/>
        <v>0</v>
      </c>
      <c r="Y487" s="127">
        <f t="shared" si="107"/>
        <v>1</v>
      </c>
      <c r="Z487" s="127">
        <f t="shared" si="118"/>
        <v>0</v>
      </c>
      <c r="AA487" s="127">
        <f t="shared" si="119"/>
        <v>2500</v>
      </c>
      <c r="AB487" s="33" t="s">
        <v>15</v>
      </c>
      <c r="AC487" s="324"/>
      <c r="AD487" s="181">
        <f t="shared" si="113"/>
        <v>1</v>
      </c>
      <c r="AE487" s="181">
        <f t="shared" si="120"/>
        <v>2500</v>
      </c>
      <c r="AF487" s="181">
        <v>3</v>
      </c>
      <c r="AG487" s="181">
        <v>3</v>
      </c>
      <c r="AH487" s="363" t="str">
        <f t="shared" si="121"/>
        <v/>
      </c>
      <c r="AI487" s="194">
        <f>1</f>
        <v>1</v>
      </c>
      <c r="AJ487" s="188">
        <v>1</v>
      </c>
      <c r="AM487" s="69">
        <v>0</v>
      </c>
      <c r="AO487" s="367"/>
      <c r="AP487" s="367"/>
      <c r="AQ487" s="367"/>
    </row>
    <row r="488" spans="1:43" s="69" customFormat="1" ht="49.5" customHeight="1" x14ac:dyDescent="0.3">
      <c r="A488" s="55" t="s">
        <v>1111</v>
      </c>
      <c r="B488" s="254" t="s">
        <v>3296</v>
      </c>
      <c r="C488" s="54" t="s">
        <v>325</v>
      </c>
      <c r="D488" s="75">
        <v>4</v>
      </c>
      <c r="E488" s="75"/>
      <c r="F488" s="75"/>
      <c r="G488" s="75"/>
      <c r="H488" s="75"/>
      <c r="I488" s="75"/>
      <c r="J488" s="75">
        <v>3000</v>
      </c>
      <c r="K488" s="75">
        <v>12000</v>
      </c>
      <c r="L488" s="91" t="s">
        <v>1113</v>
      </c>
      <c r="M488" s="73"/>
      <c r="N488" s="46">
        <v>2</v>
      </c>
      <c r="O488" s="46">
        <v>0</v>
      </c>
      <c r="P488" s="46">
        <v>6000</v>
      </c>
      <c r="Q488" s="98"/>
      <c r="R488" s="23" t="s">
        <v>1391</v>
      </c>
      <c r="S488" s="24" t="s">
        <v>1112</v>
      </c>
      <c r="T488" s="25" t="s">
        <v>325</v>
      </c>
      <c r="U488" s="26">
        <v>4</v>
      </c>
      <c r="V488" s="26">
        <f t="shared" si="116"/>
        <v>4</v>
      </c>
      <c r="W488" s="26">
        <f t="shared" si="114"/>
        <v>3000</v>
      </c>
      <c r="X488" s="128">
        <f t="shared" si="117"/>
        <v>0</v>
      </c>
      <c r="Y488" s="26">
        <f t="shared" si="107"/>
        <v>2</v>
      </c>
      <c r="Z488" s="26">
        <f t="shared" si="118"/>
        <v>0</v>
      </c>
      <c r="AA488" s="26">
        <f t="shared" si="119"/>
        <v>6000</v>
      </c>
      <c r="AB488" s="33" t="s">
        <v>15</v>
      </c>
      <c r="AC488" s="324"/>
      <c r="AD488" s="181">
        <f t="shared" si="113"/>
        <v>4</v>
      </c>
      <c r="AE488" s="181">
        <f t="shared" si="120"/>
        <v>12000</v>
      </c>
      <c r="AF488" s="181">
        <v>3</v>
      </c>
      <c r="AG488" s="181">
        <v>3</v>
      </c>
      <c r="AH488" s="363" t="str">
        <f t="shared" si="121"/>
        <v/>
      </c>
      <c r="AI488" s="194">
        <f>2</f>
        <v>2</v>
      </c>
      <c r="AJ488" s="188">
        <v>4</v>
      </c>
      <c r="AM488" s="69">
        <v>0</v>
      </c>
      <c r="AO488" s="367"/>
      <c r="AP488" s="367"/>
      <c r="AQ488" s="367"/>
    </row>
    <row r="489" spans="1:43" s="69" customFormat="1" ht="66" customHeight="1" x14ac:dyDescent="0.3">
      <c r="A489" s="130" t="s">
        <v>1114</v>
      </c>
      <c r="B489" s="240" t="s">
        <v>3123</v>
      </c>
      <c r="C489" s="132" t="s">
        <v>325</v>
      </c>
      <c r="D489" s="133">
        <v>2</v>
      </c>
      <c r="E489" s="75"/>
      <c r="F489" s="75"/>
      <c r="G489" s="75"/>
      <c r="H489" s="75"/>
      <c r="I489" s="75"/>
      <c r="J489" s="75">
        <v>20000</v>
      </c>
      <c r="K489" s="75">
        <v>40000</v>
      </c>
      <c r="L489" s="91" t="s">
        <v>1116</v>
      </c>
      <c r="M489" s="73"/>
      <c r="N489" s="46">
        <v>2</v>
      </c>
      <c r="O489" s="46">
        <v>0</v>
      </c>
      <c r="P489" s="46">
        <v>40000</v>
      </c>
      <c r="Q489" s="98"/>
      <c r="R489" s="23" t="s">
        <v>1436</v>
      </c>
      <c r="S489" s="24" t="s">
        <v>1115</v>
      </c>
      <c r="T489" s="25" t="s">
        <v>325</v>
      </c>
      <c r="U489" s="26">
        <v>2</v>
      </c>
      <c r="V489" s="26">
        <f t="shared" si="116"/>
        <v>2</v>
      </c>
      <c r="W489" s="26">
        <f t="shared" si="114"/>
        <v>20000</v>
      </c>
      <c r="X489" s="127">
        <f t="shared" si="117"/>
        <v>0</v>
      </c>
      <c r="Y489" s="127">
        <f t="shared" si="107"/>
        <v>2</v>
      </c>
      <c r="Z489" s="127">
        <f t="shared" si="118"/>
        <v>0</v>
      </c>
      <c r="AA489" s="127">
        <f t="shared" si="119"/>
        <v>40000</v>
      </c>
      <c r="AB489" s="33" t="s">
        <v>15</v>
      </c>
      <c r="AC489" s="324"/>
      <c r="AD489" s="181">
        <f t="shared" si="113"/>
        <v>2</v>
      </c>
      <c r="AE489" s="181">
        <f t="shared" si="120"/>
        <v>40000</v>
      </c>
      <c r="AF489" s="181">
        <v>3</v>
      </c>
      <c r="AG489" s="181">
        <v>3</v>
      </c>
      <c r="AH489" s="363" t="str">
        <f t="shared" si="121"/>
        <v/>
      </c>
      <c r="AI489" s="194">
        <f>2</f>
        <v>2</v>
      </c>
      <c r="AJ489" s="188">
        <v>2</v>
      </c>
      <c r="AM489" s="69">
        <v>0</v>
      </c>
      <c r="AO489" s="367"/>
      <c r="AP489" s="367"/>
      <c r="AQ489" s="367"/>
    </row>
    <row r="490" spans="1:43" s="69" customFormat="1" ht="49.5" customHeight="1" x14ac:dyDescent="0.3">
      <c r="A490" s="55" t="s">
        <v>1117</v>
      </c>
      <c r="B490" s="254" t="s">
        <v>1118</v>
      </c>
      <c r="C490" s="54" t="s">
        <v>66</v>
      </c>
      <c r="D490" s="75">
        <v>1</v>
      </c>
      <c r="E490" s="75"/>
      <c r="F490" s="75"/>
      <c r="G490" s="75"/>
      <c r="H490" s="75"/>
      <c r="I490" s="75"/>
      <c r="J490" s="75">
        <v>15000</v>
      </c>
      <c r="K490" s="75">
        <v>15000</v>
      </c>
      <c r="L490" s="91" t="s">
        <v>1119</v>
      </c>
      <c r="M490" s="73"/>
      <c r="N490" s="46">
        <v>0</v>
      </c>
      <c r="O490" s="46">
        <v>0</v>
      </c>
      <c r="P490" s="46">
        <v>0</v>
      </c>
      <c r="Q490" s="98"/>
      <c r="R490" s="23" t="s">
        <v>1374</v>
      </c>
      <c r="S490" s="24" t="s">
        <v>1118</v>
      </c>
      <c r="T490" s="25" t="s">
        <v>66</v>
      </c>
      <c r="U490" s="26">
        <v>1</v>
      </c>
      <c r="V490" s="26">
        <f t="shared" si="116"/>
        <v>1</v>
      </c>
      <c r="W490" s="26">
        <f t="shared" si="114"/>
        <v>15000</v>
      </c>
      <c r="X490" s="26">
        <f t="shared" si="117"/>
        <v>0</v>
      </c>
      <c r="Y490" s="26">
        <f t="shared" si="107"/>
        <v>0</v>
      </c>
      <c r="Z490" s="26">
        <f t="shared" si="118"/>
        <v>0</v>
      </c>
      <c r="AA490" s="26">
        <f t="shared" si="119"/>
        <v>0</v>
      </c>
      <c r="AB490" s="33" t="s">
        <v>15</v>
      </c>
      <c r="AC490" s="324"/>
      <c r="AD490" s="181">
        <f t="shared" si="113"/>
        <v>1</v>
      </c>
      <c r="AE490" s="181">
        <f t="shared" si="120"/>
        <v>15000</v>
      </c>
      <c r="AF490" s="181">
        <v>3</v>
      </c>
      <c r="AG490" s="181">
        <v>3</v>
      </c>
      <c r="AH490" s="363" t="str">
        <f t="shared" si="121"/>
        <v/>
      </c>
      <c r="AI490" s="192">
        <v>0</v>
      </c>
      <c r="AJ490" s="188">
        <v>1</v>
      </c>
      <c r="AM490" s="69">
        <v>0</v>
      </c>
      <c r="AO490" s="367"/>
      <c r="AP490" s="367"/>
      <c r="AQ490" s="367"/>
    </row>
    <row r="491" spans="1:43" s="69" customFormat="1" ht="49.5" customHeight="1" x14ac:dyDescent="0.3">
      <c r="A491" s="55" t="s">
        <v>1120</v>
      </c>
      <c r="B491" s="254" t="s">
        <v>3297</v>
      </c>
      <c r="C491" s="54" t="s">
        <v>1122</v>
      </c>
      <c r="D491" s="75">
        <v>3</v>
      </c>
      <c r="E491" s="75"/>
      <c r="F491" s="75"/>
      <c r="G491" s="75"/>
      <c r="H491" s="75"/>
      <c r="I491" s="75"/>
      <c r="J491" s="75">
        <v>1300</v>
      </c>
      <c r="K491" s="75">
        <v>3900</v>
      </c>
      <c r="L491" s="91" t="s">
        <v>1123</v>
      </c>
      <c r="M491" s="73"/>
      <c r="N491" s="46">
        <v>0</v>
      </c>
      <c r="O491" s="46">
        <v>0</v>
      </c>
      <c r="P491" s="46">
        <v>0</v>
      </c>
      <c r="Q491" s="98"/>
      <c r="R491" s="23" t="s">
        <v>1376</v>
      </c>
      <c r="S491" s="24" t="s">
        <v>1121</v>
      </c>
      <c r="T491" s="25" t="s">
        <v>1122</v>
      </c>
      <c r="U491" s="26">
        <v>3</v>
      </c>
      <c r="V491" s="26">
        <f t="shared" si="116"/>
        <v>3</v>
      </c>
      <c r="W491" s="26">
        <f t="shared" si="114"/>
        <v>1300</v>
      </c>
      <c r="X491" s="26">
        <f t="shared" si="117"/>
        <v>0</v>
      </c>
      <c r="Y491" s="26">
        <f t="shared" si="107"/>
        <v>0</v>
      </c>
      <c r="Z491" s="26">
        <f t="shared" si="118"/>
        <v>0</v>
      </c>
      <c r="AA491" s="26">
        <f t="shared" si="119"/>
        <v>0</v>
      </c>
      <c r="AB491" s="33" t="s">
        <v>15</v>
      </c>
      <c r="AC491" s="324"/>
      <c r="AD491" s="181">
        <f t="shared" si="113"/>
        <v>3</v>
      </c>
      <c r="AE491" s="181">
        <f t="shared" si="120"/>
        <v>3900</v>
      </c>
      <c r="AF491" s="181">
        <v>3</v>
      </c>
      <c r="AG491" s="181">
        <v>3</v>
      </c>
      <c r="AH491" s="363" t="str">
        <f t="shared" si="121"/>
        <v/>
      </c>
      <c r="AI491" s="192">
        <v>0</v>
      </c>
      <c r="AJ491" s="188">
        <v>3</v>
      </c>
      <c r="AM491" s="69">
        <v>0</v>
      </c>
      <c r="AO491" s="367"/>
      <c r="AP491" s="367"/>
      <c r="AQ491" s="367"/>
    </row>
    <row r="492" spans="1:43" s="69" customFormat="1" ht="33" customHeight="1" x14ac:dyDescent="0.3">
      <c r="A492" s="55" t="s">
        <v>1124</v>
      </c>
      <c r="B492" s="138" t="s">
        <v>3124</v>
      </c>
      <c r="C492" s="54" t="s">
        <v>1122</v>
      </c>
      <c r="D492" s="75">
        <v>6</v>
      </c>
      <c r="E492" s="75"/>
      <c r="F492" s="75"/>
      <c r="G492" s="75"/>
      <c r="H492" s="75"/>
      <c r="I492" s="75"/>
      <c r="J492" s="75">
        <v>1000</v>
      </c>
      <c r="K492" s="75">
        <v>6000</v>
      </c>
      <c r="L492" s="91" t="s">
        <v>1126</v>
      </c>
      <c r="M492" s="73"/>
      <c r="N492" s="46">
        <v>0</v>
      </c>
      <c r="O492" s="46">
        <v>0</v>
      </c>
      <c r="P492" s="46">
        <v>0</v>
      </c>
      <c r="Q492" s="98"/>
      <c r="R492" s="23" t="s">
        <v>1378</v>
      </c>
      <c r="S492" s="24" t="s">
        <v>1125</v>
      </c>
      <c r="T492" s="25" t="s">
        <v>1122</v>
      </c>
      <c r="U492" s="26">
        <v>6</v>
      </c>
      <c r="V492" s="26">
        <f t="shared" si="116"/>
        <v>6</v>
      </c>
      <c r="W492" s="26">
        <f t="shared" si="114"/>
        <v>1000</v>
      </c>
      <c r="X492" s="26">
        <f t="shared" si="117"/>
        <v>0</v>
      </c>
      <c r="Y492" s="26">
        <f t="shared" si="107"/>
        <v>0</v>
      </c>
      <c r="Z492" s="26">
        <f t="shared" si="118"/>
        <v>0</v>
      </c>
      <c r="AA492" s="26">
        <f t="shared" si="119"/>
        <v>0</v>
      </c>
      <c r="AB492" s="33" t="s">
        <v>15</v>
      </c>
      <c r="AC492" s="324"/>
      <c r="AD492" s="181">
        <f t="shared" si="113"/>
        <v>6</v>
      </c>
      <c r="AE492" s="181">
        <f t="shared" si="120"/>
        <v>6000</v>
      </c>
      <c r="AF492" s="181">
        <v>3</v>
      </c>
      <c r="AG492" s="181">
        <v>3</v>
      </c>
      <c r="AH492" s="363" t="str">
        <f t="shared" si="121"/>
        <v/>
      </c>
      <c r="AI492" s="192">
        <v>0</v>
      </c>
      <c r="AJ492" s="188">
        <v>6</v>
      </c>
      <c r="AM492" s="69">
        <v>0</v>
      </c>
      <c r="AO492" s="367"/>
      <c r="AP492" s="367"/>
      <c r="AQ492" s="367"/>
    </row>
    <row r="493" spans="1:43" s="69" customFormat="1" ht="33" customHeight="1" x14ac:dyDescent="0.3">
      <c r="A493" s="55" t="s">
        <v>1127</v>
      </c>
      <c r="B493" s="138" t="s">
        <v>1128</v>
      </c>
      <c r="C493" s="54" t="s">
        <v>325</v>
      </c>
      <c r="D493" s="75">
        <v>2</v>
      </c>
      <c r="E493" s="75"/>
      <c r="F493" s="75"/>
      <c r="G493" s="75"/>
      <c r="H493" s="75"/>
      <c r="I493" s="75"/>
      <c r="J493" s="75">
        <v>9000</v>
      </c>
      <c r="K493" s="75">
        <v>18000</v>
      </c>
      <c r="L493" s="91" t="s">
        <v>1129</v>
      </c>
      <c r="M493" s="73"/>
      <c r="N493" s="46">
        <v>0</v>
      </c>
      <c r="O493" s="46">
        <v>0</v>
      </c>
      <c r="P493" s="46">
        <v>0</v>
      </c>
      <c r="Q493" s="98"/>
      <c r="R493" s="23" t="s">
        <v>1438</v>
      </c>
      <c r="S493" s="24" t="s">
        <v>1128</v>
      </c>
      <c r="T493" s="25" t="s">
        <v>325</v>
      </c>
      <c r="U493" s="26">
        <v>2</v>
      </c>
      <c r="V493" s="26">
        <f t="shared" si="116"/>
        <v>2</v>
      </c>
      <c r="W493" s="26">
        <f t="shared" si="114"/>
        <v>9000</v>
      </c>
      <c r="X493" s="26">
        <f t="shared" si="117"/>
        <v>0</v>
      </c>
      <c r="Y493" s="26">
        <f t="shared" si="107"/>
        <v>0</v>
      </c>
      <c r="Z493" s="26">
        <f t="shared" si="118"/>
        <v>0</v>
      </c>
      <c r="AA493" s="26">
        <f t="shared" si="119"/>
        <v>0</v>
      </c>
      <c r="AB493" s="33" t="s">
        <v>15</v>
      </c>
      <c r="AC493" s="324"/>
      <c r="AD493" s="181">
        <f t="shared" si="113"/>
        <v>2</v>
      </c>
      <c r="AE493" s="181">
        <f t="shared" si="120"/>
        <v>18000</v>
      </c>
      <c r="AF493" s="181">
        <v>3</v>
      </c>
      <c r="AG493" s="181">
        <v>3</v>
      </c>
      <c r="AH493" s="363" t="str">
        <f t="shared" si="121"/>
        <v/>
      </c>
      <c r="AI493" s="192">
        <v>0</v>
      </c>
      <c r="AJ493" s="188">
        <v>2</v>
      </c>
      <c r="AM493" s="69">
        <v>0</v>
      </c>
      <c r="AO493" s="367"/>
      <c r="AP493" s="367"/>
      <c r="AQ493" s="367"/>
    </row>
    <row r="494" spans="1:43" s="69" customFormat="1" ht="49.5" customHeight="1" x14ac:dyDescent="0.3">
      <c r="A494" s="55" t="s">
        <v>1130</v>
      </c>
      <c r="B494" s="254" t="s">
        <v>3301</v>
      </c>
      <c r="C494" s="54" t="s">
        <v>325</v>
      </c>
      <c r="D494" s="75">
        <v>3</v>
      </c>
      <c r="E494" s="75"/>
      <c r="F494" s="75"/>
      <c r="G494" s="75"/>
      <c r="H494" s="75"/>
      <c r="I494" s="75"/>
      <c r="J494" s="75">
        <v>4200</v>
      </c>
      <c r="K494" s="75">
        <v>12600</v>
      </c>
      <c r="L494" s="91" t="s">
        <v>1132</v>
      </c>
      <c r="M494" s="73"/>
      <c r="N494" s="46">
        <v>2</v>
      </c>
      <c r="O494" s="46">
        <v>0</v>
      </c>
      <c r="P494" s="46">
        <v>8400</v>
      </c>
      <c r="Q494" s="98"/>
      <c r="R494" s="23" t="s">
        <v>1439</v>
      </c>
      <c r="S494" s="24" t="s">
        <v>1131</v>
      </c>
      <c r="T494" s="25" t="s">
        <v>325</v>
      </c>
      <c r="U494" s="26">
        <v>3</v>
      </c>
      <c r="V494" s="26">
        <f t="shared" si="116"/>
        <v>3</v>
      </c>
      <c r="W494" s="26">
        <f t="shared" si="114"/>
        <v>4200</v>
      </c>
      <c r="X494" s="128">
        <f t="shared" si="117"/>
        <v>0</v>
      </c>
      <c r="Y494" s="26">
        <f t="shared" si="107"/>
        <v>2</v>
      </c>
      <c r="Z494" s="26">
        <f t="shared" si="118"/>
        <v>0</v>
      </c>
      <c r="AA494" s="26">
        <f t="shared" si="119"/>
        <v>8400</v>
      </c>
      <c r="AB494" s="33" t="s">
        <v>15</v>
      </c>
      <c r="AC494" s="324"/>
      <c r="AD494" s="181">
        <f t="shared" si="113"/>
        <v>3</v>
      </c>
      <c r="AE494" s="181">
        <f t="shared" si="120"/>
        <v>12600</v>
      </c>
      <c r="AF494" s="181">
        <v>3</v>
      </c>
      <c r="AG494" s="181">
        <v>3</v>
      </c>
      <c r="AH494" s="363" t="str">
        <f t="shared" si="121"/>
        <v/>
      </c>
      <c r="AI494" s="194">
        <f>2</f>
        <v>2</v>
      </c>
      <c r="AJ494" s="188">
        <v>3</v>
      </c>
      <c r="AO494" s="367"/>
      <c r="AP494" s="367"/>
      <c r="AQ494" s="367"/>
    </row>
    <row r="495" spans="1:43" s="69" customFormat="1" ht="49.5" customHeight="1" x14ac:dyDescent="0.3">
      <c r="A495" s="130" t="s">
        <v>1133</v>
      </c>
      <c r="B495" s="358" t="s">
        <v>3298</v>
      </c>
      <c r="C495" s="132" t="s">
        <v>66</v>
      </c>
      <c r="D495" s="133">
        <v>4</v>
      </c>
      <c r="E495" s="75"/>
      <c r="F495" s="75"/>
      <c r="G495" s="75"/>
      <c r="H495" s="75"/>
      <c r="I495" s="75"/>
      <c r="J495" s="75">
        <v>1000</v>
      </c>
      <c r="K495" s="75">
        <v>4000</v>
      </c>
      <c r="L495" s="91" t="s">
        <v>1135</v>
      </c>
      <c r="M495" s="73"/>
      <c r="N495" s="46">
        <v>4</v>
      </c>
      <c r="O495" s="46">
        <v>0</v>
      </c>
      <c r="P495" s="46">
        <v>4000</v>
      </c>
      <c r="Q495" s="98"/>
      <c r="R495" s="23" t="s">
        <v>1440</v>
      </c>
      <c r="S495" s="24" t="s">
        <v>1134</v>
      </c>
      <c r="T495" s="25" t="s">
        <v>66</v>
      </c>
      <c r="U495" s="26">
        <v>4</v>
      </c>
      <c r="V495" s="26">
        <f t="shared" si="116"/>
        <v>4</v>
      </c>
      <c r="W495" s="26">
        <f t="shared" si="114"/>
        <v>1000</v>
      </c>
      <c r="X495" s="127">
        <f t="shared" si="117"/>
        <v>0</v>
      </c>
      <c r="Y495" s="127">
        <f t="shared" si="107"/>
        <v>4</v>
      </c>
      <c r="Z495" s="127">
        <f t="shared" si="118"/>
        <v>0</v>
      </c>
      <c r="AA495" s="127">
        <f t="shared" si="119"/>
        <v>4000</v>
      </c>
      <c r="AB495" s="33" t="s">
        <v>15</v>
      </c>
      <c r="AC495" s="324"/>
      <c r="AD495" s="181">
        <f t="shared" si="113"/>
        <v>4</v>
      </c>
      <c r="AE495" s="181">
        <f t="shared" si="120"/>
        <v>4000</v>
      </c>
      <c r="AF495" s="181">
        <v>3</v>
      </c>
      <c r="AG495" s="181">
        <v>3</v>
      </c>
      <c r="AH495" s="363" t="str">
        <f t="shared" si="121"/>
        <v/>
      </c>
      <c r="AI495" s="194">
        <f>4</f>
        <v>4</v>
      </c>
      <c r="AJ495" s="188">
        <v>4</v>
      </c>
      <c r="AO495" s="367"/>
      <c r="AP495" s="367"/>
      <c r="AQ495" s="367"/>
    </row>
    <row r="496" spans="1:43" s="69" customFormat="1" ht="49.5" customHeight="1" x14ac:dyDescent="0.3">
      <c r="A496" s="55" t="s">
        <v>1136</v>
      </c>
      <c r="B496" s="254" t="s">
        <v>3299</v>
      </c>
      <c r="C496" s="54" t="s">
        <v>325</v>
      </c>
      <c r="D496" s="75">
        <v>15</v>
      </c>
      <c r="E496" s="75"/>
      <c r="F496" s="75"/>
      <c r="G496" s="75"/>
      <c r="H496" s="75"/>
      <c r="I496" s="75"/>
      <c r="J496" s="75">
        <v>4500</v>
      </c>
      <c r="K496" s="75">
        <v>67500</v>
      </c>
      <c r="L496" s="91" t="s">
        <v>1138</v>
      </c>
      <c r="M496" s="73"/>
      <c r="N496" s="46">
        <v>9</v>
      </c>
      <c r="O496" s="46">
        <v>0</v>
      </c>
      <c r="P496" s="46">
        <v>40500</v>
      </c>
      <c r="Q496" s="98"/>
      <c r="R496" s="23" t="s">
        <v>1441</v>
      </c>
      <c r="S496" s="24" t="s">
        <v>1137</v>
      </c>
      <c r="T496" s="25" t="s">
        <v>325</v>
      </c>
      <c r="U496" s="26">
        <v>15</v>
      </c>
      <c r="V496" s="26">
        <f t="shared" si="116"/>
        <v>15</v>
      </c>
      <c r="W496" s="26">
        <f t="shared" si="114"/>
        <v>4500</v>
      </c>
      <c r="X496" s="128">
        <f t="shared" si="117"/>
        <v>0</v>
      </c>
      <c r="Y496" s="26">
        <f t="shared" si="107"/>
        <v>9</v>
      </c>
      <c r="Z496" s="26">
        <f t="shared" si="118"/>
        <v>0</v>
      </c>
      <c r="AA496" s="26">
        <f t="shared" si="119"/>
        <v>40500</v>
      </c>
      <c r="AB496" s="33" t="s">
        <v>15</v>
      </c>
      <c r="AC496" s="324"/>
      <c r="AD496" s="181">
        <f t="shared" si="113"/>
        <v>15</v>
      </c>
      <c r="AE496" s="181">
        <f t="shared" si="120"/>
        <v>67500</v>
      </c>
      <c r="AF496" s="181">
        <v>3</v>
      </c>
      <c r="AG496" s="181">
        <v>3</v>
      </c>
      <c r="AH496" s="363" t="str">
        <f t="shared" si="121"/>
        <v/>
      </c>
      <c r="AI496" s="194">
        <f>9</f>
        <v>9</v>
      </c>
      <c r="AJ496" s="188">
        <v>15</v>
      </c>
      <c r="AO496" s="367"/>
      <c r="AP496" s="367"/>
      <c r="AQ496" s="367"/>
    </row>
    <row r="497" spans="1:43" s="69" customFormat="1" ht="33" customHeight="1" x14ac:dyDescent="0.3">
      <c r="A497" s="55" t="s">
        <v>1139</v>
      </c>
      <c r="B497" s="138" t="s">
        <v>3128</v>
      </c>
      <c r="C497" s="54" t="s">
        <v>325</v>
      </c>
      <c r="D497" s="75">
        <v>2</v>
      </c>
      <c r="E497" s="75"/>
      <c r="F497" s="75"/>
      <c r="G497" s="75"/>
      <c r="H497" s="75"/>
      <c r="I497" s="76"/>
      <c r="J497" s="75">
        <v>636300</v>
      </c>
      <c r="K497" s="75">
        <v>1272600</v>
      </c>
      <c r="L497" s="91" t="s">
        <v>1141</v>
      </c>
      <c r="M497" s="73"/>
      <c r="N497" s="46">
        <v>1</v>
      </c>
      <c r="O497" s="46">
        <v>0</v>
      </c>
      <c r="P497" s="46">
        <v>636300</v>
      </c>
      <c r="Q497" s="98"/>
      <c r="R497" s="23" t="s">
        <v>1442</v>
      </c>
      <c r="S497" s="24" t="s">
        <v>1140</v>
      </c>
      <c r="T497" s="25" t="s">
        <v>325</v>
      </c>
      <c r="U497" s="26">
        <v>2</v>
      </c>
      <c r="V497" s="26">
        <f t="shared" si="116"/>
        <v>2</v>
      </c>
      <c r="W497" s="26">
        <f t="shared" si="114"/>
        <v>636300</v>
      </c>
      <c r="X497" s="26">
        <f t="shared" si="117"/>
        <v>0</v>
      </c>
      <c r="Y497" s="26">
        <f t="shared" si="107"/>
        <v>1</v>
      </c>
      <c r="Z497" s="26">
        <f t="shared" si="118"/>
        <v>0</v>
      </c>
      <c r="AA497" s="26">
        <f t="shared" si="119"/>
        <v>636300</v>
      </c>
      <c r="AB497" s="33" t="s">
        <v>15</v>
      </c>
      <c r="AC497" s="324"/>
      <c r="AD497" s="181">
        <f t="shared" si="113"/>
        <v>2</v>
      </c>
      <c r="AE497" s="181">
        <f t="shared" si="120"/>
        <v>1272600</v>
      </c>
      <c r="AF497" s="181">
        <v>3</v>
      </c>
      <c r="AG497" s="181">
        <v>3</v>
      </c>
      <c r="AH497" s="363" t="str">
        <f t="shared" si="121"/>
        <v/>
      </c>
      <c r="AI497" s="192">
        <v>1</v>
      </c>
      <c r="AJ497" s="188">
        <v>2</v>
      </c>
      <c r="AO497" s="367"/>
      <c r="AP497" s="367"/>
      <c r="AQ497" s="367"/>
    </row>
    <row r="498" spans="1:43" s="69" customFormat="1" ht="49.5" customHeight="1" x14ac:dyDescent="0.3">
      <c r="A498" s="130" t="s">
        <v>1142</v>
      </c>
      <c r="B498" s="240" t="s">
        <v>3131</v>
      </c>
      <c r="C498" s="132" t="s">
        <v>1144</v>
      </c>
      <c r="D498" s="133">
        <v>4</v>
      </c>
      <c r="E498" s="75"/>
      <c r="F498" s="75"/>
      <c r="G498" s="75"/>
      <c r="H498" s="224"/>
      <c r="I498" s="158"/>
      <c r="J498" s="166">
        <v>2000</v>
      </c>
      <c r="K498" s="75">
        <v>8000</v>
      </c>
      <c r="L498" s="91" t="s">
        <v>1145</v>
      </c>
      <c r="M498" s="73"/>
      <c r="N498" s="46">
        <v>4</v>
      </c>
      <c r="O498" s="46">
        <v>0</v>
      </c>
      <c r="P498" s="46">
        <v>8000</v>
      </c>
      <c r="Q498" s="98"/>
      <c r="R498" s="23" t="s">
        <v>1443</v>
      </c>
      <c r="S498" s="24" t="s">
        <v>1143</v>
      </c>
      <c r="T498" s="25" t="s">
        <v>1144</v>
      </c>
      <c r="U498" s="26">
        <v>4</v>
      </c>
      <c r="V498" s="26">
        <f t="shared" si="116"/>
        <v>4</v>
      </c>
      <c r="W498" s="26">
        <f t="shared" si="114"/>
        <v>2000</v>
      </c>
      <c r="X498" s="127">
        <f t="shared" si="117"/>
        <v>0</v>
      </c>
      <c r="Y498" s="127">
        <f t="shared" si="107"/>
        <v>4</v>
      </c>
      <c r="Z498" s="127">
        <f t="shared" si="118"/>
        <v>0</v>
      </c>
      <c r="AA498" s="127">
        <f t="shared" si="119"/>
        <v>8000</v>
      </c>
      <c r="AB498" s="33" t="s">
        <v>15</v>
      </c>
      <c r="AC498" s="324"/>
      <c r="AD498" s="181">
        <f t="shared" si="113"/>
        <v>4</v>
      </c>
      <c r="AE498" s="181">
        <f t="shared" si="120"/>
        <v>8000</v>
      </c>
      <c r="AF498" s="181">
        <v>3</v>
      </c>
      <c r="AG498" s="181">
        <v>3</v>
      </c>
      <c r="AH498" s="363" t="str">
        <f t="shared" si="121"/>
        <v/>
      </c>
      <c r="AI498" s="194">
        <f>4</f>
        <v>4</v>
      </c>
      <c r="AJ498" s="188">
        <v>4</v>
      </c>
      <c r="AO498" s="367"/>
      <c r="AP498" s="367"/>
      <c r="AQ498" s="367"/>
    </row>
    <row r="499" spans="1:43" s="69" customFormat="1" x14ac:dyDescent="0.3">
      <c r="A499" s="134">
        <v>3.35</v>
      </c>
      <c r="B499" s="135" t="s">
        <v>1346</v>
      </c>
      <c r="C499" s="204" t="s">
        <v>325</v>
      </c>
      <c r="D499" s="133"/>
      <c r="E499" s="59">
        <v>1</v>
      </c>
      <c r="F499" s="77"/>
      <c r="G499" s="226"/>
      <c r="H499" s="294"/>
      <c r="I499" s="230"/>
      <c r="J499" s="178">
        <v>119161.05</v>
      </c>
      <c r="K499" s="59">
        <v>119161.05</v>
      </c>
      <c r="L499" s="92"/>
      <c r="M499" s="73"/>
      <c r="N499" s="46">
        <v>1</v>
      </c>
      <c r="O499" s="46">
        <v>0</v>
      </c>
      <c r="P499" s="46">
        <v>119161.05</v>
      </c>
      <c r="Q499" s="98"/>
      <c r="R499" s="23" t="s">
        <v>1444</v>
      </c>
      <c r="S499" s="24" t="s">
        <v>1501</v>
      </c>
      <c r="T499" s="25" t="s">
        <v>325</v>
      </c>
      <c r="U499" s="26">
        <v>0</v>
      </c>
      <c r="V499" s="26">
        <f t="shared" si="116"/>
        <v>1</v>
      </c>
      <c r="W499" s="26">
        <f t="shared" si="114"/>
        <v>119161.05</v>
      </c>
      <c r="X499" s="127">
        <f t="shared" si="117"/>
        <v>0</v>
      </c>
      <c r="Y499" s="127">
        <f t="shared" si="107"/>
        <v>1</v>
      </c>
      <c r="Z499" s="127">
        <f t="shared" si="118"/>
        <v>0</v>
      </c>
      <c r="AA499" s="127">
        <f t="shared" si="119"/>
        <v>119161.05</v>
      </c>
      <c r="AB499" s="27"/>
      <c r="AC499" s="324"/>
      <c r="AD499" s="181">
        <f t="shared" si="113"/>
        <v>1</v>
      </c>
      <c r="AE499" s="181">
        <f t="shared" si="120"/>
        <v>119161.05</v>
      </c>
      <c r="AF499" s="181">
        <v>3</v>
      </c>
      <c r="AG499" s="181">
        <v>3</v>
      </c>
      <c r="AH499" s="363" t="str">
        <f t="shared" si="121"/>
        <v/>
      </c>
      <c r="AI499" s="192">
        <v>1</v>
      </c>
      <c r="AJ499" s="188">
        <v>1</v>
      </c>
      <c r="AN499" s="70"/>
      <c r="AO499" s="367"/>
      <c r="AP499" s="367"/>
      <c r="AQ499" s="367"/>
    </row>
    <row r="500" spans="1:43" ht="39" x14ac:dyDescent="0.3">
      <c r="A500" s="134" t="s">
        <v>1347</v>
      </c>
      <c r="B500" s="135" t="s">
        <v>1348</v>
      </c>
      <c r="C500" s="204" t="s">
        <v>325</v>
      </c>
      <c r="D500" s="133"/>
      <c r="E500" s="78"/>
      <c r="F500" s="62">
        <v>1</v>
      </c>
      <c r="G500" s="163"/>
      <c r="H500" s="163"/>
      <c r="I500" s="62"/>
      <c r="J500" s="167">
        <v>74988.5</v>
      </c>
      <c r="K500" s="62">
        <v>74988.5</v>
      </c>
      <c r="L500" s="93"/>
      <c r="N500" s="46">
        <v>1</v>
      </c>
      <c r="O500" s="46">
        <v>0</v>
      </c>
      <c r="P500" s="46">
        <v>74988.5</v>
      </c>
      <c r="Q500" s="98"/>
      <c r="R500" s="23" t="s">
        <v>1408</v>
      </c>
      <c r="S500" s="24" t="s">
        <v>1348</v>
      </c>
      <c r="T500" s="25" t="s">
        <v>325</v>
      </c>
      <c r="U500" s="26">
        <v>0</v>
      </c>
      <c r="V500" s="26">
        <f t="shared" si="116"/>
        <v>1</v>
      </c>
      <c r="W500" s="26">
        <f t="shared" si="114"/>
        <v>74988.5</v>
      </c>
      <c r="X500" s="127">
        <f t="shared" si="117"/>
        <v>0</v>
      </c>
      <c r="Y500" s="127">
        <f t="shared" si="107"/>
        <v>1</v>
      </c>
      <c r="Z500" s="127">
        <f t="shared" si="118"/>
        <v>0</v>
      </c>
      <c r="AA500" s="127">
        <f t="shared" si="119"/>
        <v>74988.5</v>
      </c>
      <c r="AB500" s="27"/>
      <c r="AC500" s="324"/>
      <c r="AD500" s="181">
        <f t="shared" si="113"/>
        <v>1</v>
      </c>
      <c r="AE500" s="181">
        <f t="shared" si="120"/>
        <v>74988.5</v>
      </c>
      <c r="AF500" s="181">
        <v>3</v>
      </c>
      <c r="AG500" s="181">
        <v>3</v>
      </c>
      <c r="AH500" s="363" t="str">
        <f t="shared" si="121"/>
        <v/>
      </c>
      <c r="AI500" s="192">
        <v>1</v>
      </c>
      <c r="AJ500" s="188">
        <v>1</v>
      </c>
      <c r="AN500" s="70"/>
      <c r="AO500" s="367"/>
      <c r="AP500" s="367"/>
      <c r="AQ500" s="367"/>
    </row>
    <row r="501" spans="1:43" ht="82.5" x14ac:dyDescent="0.3">
      <c r="A501" s="134" t="s">
        <v>1349</v>
      </c>
      <c r="B501" s="139" t="s">
        <v>3132</v>
      </c>
      <c r="C501" s="204" t="s">
        <v>325</v>
      </c>
      <c r="D501" s="133"/>
      <c r="E501" s="78"/>
      <c r="F501" s="62">
        <v>2</v>
      </c>
      <c r="G501" s="163"/>
      <c r="H501" s="163"/>
      <c r="I501" s="62"/>
      <c r="J501" s="167">
        <v>83493.929999999993</v>
      </c>
      <c r="K501" s="62">
        <v>166987.85999999999</v>
      </c>
      <c r="L501" s="93"/>
      <c r="N501" s="46">
        <v>2</v>
      </c>
      <c r="O501" s="46">
        <v>0</v>
      </c>
      <c r="P501" s="46">
        <v>166987.85999999999</v>
      </c>
      <c r="Q501" s="98"/>
      <c r="R501" s="23" t="s">
        <v>1409</v>
      </c>
      <c r="S501" s="24" t="s">
        <v>1350</v>
      </c>
      <c r="T501" s="25" t="s">
        <v>325</v>
      </c>
      <c r="U501" s="26">
        <v>0</v>
      </c>
      <c r="V501" s="26">
        <f t="shared" si="116"/>
        <v>2</v>
      </c>
      <c r="W501" s="26">
        <f t="shared" si="114"/>
        <v>83493.929999999993</v>
      </c>
      <c r="X501" s="127">
        <f t="shared" si="117"/>
        <v>0</v>
      </c>
      <c r="Y501" s="127">
        <f t="shared" si="107"/>
        <v>2</v>
      </c>
      <c r="Z501" s="127">
        <f t="shared" si="118"/>
        <v>0</v>
      </c>
      <c r="AA501" s="127">
        <f t="shared" si="119"/>
        <v>166987.85999999999</v>
      </c>
      <c r="AB501" s="27"/>
      <c r="AC501" s="324"/>
      <c r="AD501" s="181">
        <f t="shared" si="113"/>
        <v>2</v>
      </c>
      <c r="AE501" s="181">
        <f t="shared" si="120"/>
        <v>166987.85999999999</v>
      </c>
      <c r="AF501" s="181">
        <v>3</v>
      </c>
      <c r="AG501" s="181">
        <v>3</v>
      </c>
      <c r="AH501" s="363" t="str">
        <f t="shared" si="121"/>
        <v/>
      </c>
      <c r="AI501" s="192">
        <v>2</v>
      </c>
      <c r="AJ501" s="188">
        <v>2</v>
      </c>
      <c r="AN501" s="70"/>
      <c r="AO501" s="367"/>
      <c r="AP501" s="367"/>
      <c r="AQ501" s="367"/>
    </row>
    <row r="502" spans="1:43" ht="66" x14ac:dyDescent="0.3">
      <c r="A502" s="134" t="s">
        <v>1351</v>
      </c>
      <c r="B502" s="139" t="s">
        <v>3133</v>
      </c>
      <c r="C502" s="204" t="s">
        <v>325</v>
      </c>
      <c r="D502" s="133"/>
      <c r="E502" s="78"/>
      <c r="F502" s="62">
        <v>2</v>
      </c>
      <c r="G502" s="163"/>
      <c r="H502" s="163"/>
      <c r="I502" s="62"/>
      <c r="J502" s="167">
        <v>76194.460000000006</v>
      </c>
      <c r="K502" s="62">
        <v>152388.92000000001</v>
      </c>
      <c r="L502" s="93"/>
      <c r="N502" s="46">
        <v>2</v>
      </c>
      <c r="O502" s="46">
        <v>0</v>
      </c>
      <c r="P502" s="46">
        <v>152388.92000000001</v>
      </c>
      <c r="Q502" s="98"/>
      <c r="R502" s="23" t="s">
        <v>1410</v>
      </c>
      <c r="S502" s="24" t="s">
        <v>1352</v>
      </c>
      <c r="T502" s="25" t="s">
        <v>325</v>
      </c>
      <c r="U502" s="26">
        <v>0</v>
      </c>
      <c r="V502" s="26">
        <f t="shared" si="116"/>
        <v>2</v>
      </c>
      <c r="W502" s="26">
        <f t="shared" si="114"/>
        <v>76194.460000000006</v>
      </c>
      <c r="X502" s="127">
        <f t="shared" si="117"/>
        <v>0</v>
      </c>
      <c r="Y502" s="127">
        <f t="shared" si="107"/>
        <v>2</v>
      </c>
      <c r="Z502" s="127">
        <f t="shared" si="118"/>
        <v>0</v>
      </c>
      <c r="AA502" s="127">
        <f t="shared" si="119"/>
        <v>152388.92000000001</v>
      </c>
      <c r="AB502" s="27"/>
      <c r="AC502" s="324"/>
      <c r="AD502" s="181">
        <f t="shared" si="113"/>
        <v>2</v>
      </c>
      <c r="AE502" s="181">
        <f t="shared" si="120"/>
        <v>152388.92000000001</v>
      </c>
      <c r="AF502" s="181">
        <v>3</v>
      </c>
      <c r="AG502" s="181">
        <v>3</v>
      </c>
      <c r="AH502" s="363" t="str">
        <f t="shared" si="121"/>
        <v/>
      </c>
      <c r="AI502" s="192">
        <v>2</v>
      </c>
      <c r="AJ502" s="188">
        <v>2</v>
      </c>
      <c r="AN502" s="70"/>
      <c r="AO502" s="367"/>
      <c r="AP502" s="367"/>
      <c r="AQ502" s="367"/>
    </row>
    <row r="503" spans="1:43" ht="49.5" x14ac:dyDescent="0.3">
      <c r="A503" s="134" t="s">
        <v>1353</v>
      </c>
      <c r="B503" s="139" t="s">
        <v>3134</v>
      </c>
      <c r="C503" s="204" t="s">
        <v>325</v>
      </c>
      <c r="D503" s="133"/>
      <c r="E503" s="78"/>
      <c r="F503" s="62">
        <v>2</v>
      </c>
      <c r="G503" s="163"/>
      <c r="H503" s="163"/>
      <c r="I503" s="62"/>
      <c r="J503" s="167">
        <v>17998.689999999999</v>
      </c>
      <c r="K503" s="62">
        <v>35997.379999999997</v>
      </c>
      <c r="L503" s="93"/>
      <c r="N503" s="46">
        <v>2</v>
      </c>
      <c r="O503" s="46">
        <v>0</v>
      </c>
      <c r="P503" s="46">
        <v>35997.379999999997</v>
      </c>
      <c r="Q503" s="98"/>
      <c r="R503" s="23" t="s">
        <v>1411</v>
      </c>
      <c r="S503" s="24" t="s">
        <v>1354</v>
      </c>
      <c r="T503" s="25" t="s">
        <v>325</v>
      </c>
      <c r="U503" s="26">
        <v>0</v>
      </c>
      <c r="V503" s="26">
        <f t="shared" si="116"/>
        <v>2</v>
      </c>
      <c r="W503" s="26">
        <f t="shared" si="114"/>
        <v>17998.689999999999</v>
      </c>
      <c r="X503" s="127">
        <f t="shared" si="117"/>
        <v>0</v>
      </c>
      <c r="Y503" s="127">
        <f t="shared" si="107"/>
        <v>2</v>
      </c>
      <c r="Z503" s="127">
        <f t="shared" si="118"/>
        <v>0</v>
      </c>
      <c r="AA503" s="127">
        <f t="shared" si="119"/>
        <v>35997.379999999997</v>
      </c>
      <c r="AB503" s="27"/>
      <c r="AC503" s="324"/>
      <c r="AD503" s="181">
        <f t="shared" si="113"/>
        <v>2</v>
      </c>
      <c r="AE503" s="181">
        <f t="shared" si="120"/>
        <v>35997.379999999997</v>
      </c>
      <c r="AF503" s="181">
        <v>3</v>
      </c>
      <c r="AG503" s="181">
        <v>3</v>
      </c>
      <c r="AH503" s="363" t="str">
        <f t="shared" si="121"/>
        <v/>
      </c>
      <c r="AI503" s="192">
        <v>2</v>
      </c>
      <c r="AJ503" s="188">
        <v>2</v>
      </c>
      <c r="AN503" s="69"/>
      <c r="AO503" s="367"/>
      <c r="AP503" s="367"/>
      <c r="AQ503" s="367"/>
    </row>
    <row r="504" spans="1:43" s="69" customFormat="1" ht="33" customHeight="1" x14ac:dyDescent="0.3">
      <c r="A504" s="85" t="s">
        <v>1146</v>
      </c>
      <c r="B504" s="86" t="s">
        <v>1147</v>
      </c>
      <c r="C504" s="87" t="s">
        <v>14</v>
      </c>
      <c r="D504" s="88">
        <v>1</v>
      </c>
      <c r="E504" s="88"/>
      <c r="F504" s="88"/>
      <c r="G504" s="236"/>
      <c r="H504" s="319"/>
      <c r="I504" s="238"/>
      <c r="J504" s="237">
        <v>4074390.62</v>
      </c>
      <c r="K504" s="88">
        <v>4074390.62</v>
      </c>
      <c r="L504" s="95" t="s">
        <v>15</v>
      </c>
      <c r="M504" s="73"/>
      <c r="N504" s="42">
        <v>1</v>
      </c>
      <c r="O504" s="42">
        <v>283922.69000000012</v>
      </c>
      <c r="P504" s="42">
        <v>2554026.7800000003</v>
      </c>
      <c r="Q504" s="98"/>
      <c r="R504" s="13" t="s">
        <v>1412</v>
      </c>
      <c r="S504" s="14" t="s">
        <v>1147</v>
      </c>
      <c r="T504" s="15" t="s">
        <v>14</v>
      </c>
      <c r="U504" s="16">
        <v>1</v>
      </c>
      <c r="V504" s="16"/>
      <c r="W504" s="16">
        <f t="shared" si="114"/>
        <v>4074390.62</v>
      </c>
      <c r="X504" s="16">
        <f t="shared" ref="X504:Y504" si="122">IF(Z504=0,0,1)</f>
        <v>0</v>
      </c>
      <c r="Y504" s="16">
        <f t="shared" si="122"/>
        <v>1</v>
      </c>
      <c r="Z504" s="16">
        <f>SUMIFS(Z:Z,AG:AG,AF504)</f>
        <v>0</v>
      </c>
      <c r="AA504" s="16">
        <f>SUMIFS(AA:AA,AG:AG,AF504)</f>
        <v>2554026.7800000003</v>
      </c>
      <c r="AB504" s="17" t="s">
        <v>15</v>
      </c>
      <c r="AC504" s="232"/>
      <c r="AD504" s="181">
        <f t="shared" si="113"/>
        <v>1</v>
      </c>
      <c r="AE504" s="183"/>
      <c r="AF504" s="183">
        <v>4</v>
      </c>
      <c r="AG504" s="183"/>
      <c r="AH504" s="363" t="str">
        <f t="shared" si="121"/>
        <v/>
      </c>
      <c r="AI504" s="192">
        <v>1</v>
      </c>
      <c r="AJ504" s="188">
        <v>1</v>
      </c>
      <c r="AN504" s="363"/>
      <c r="AO504" s="368"/>
      <c r="AP504" s="367"/>
      <c r="AQ504" s="367"/>
    </row>
    <row r="505" spans="1:43" s="69" customFormat="1" ht="49.5" customHeight="1" x14ac:dyDescent="0.3">
      <c r="A505" s="55" t="s">
        <v>1148</v>
      </c>
      <c r="B505" s="53" t="s">
        <v>1149</v>
      </c>
      <c r="C505" s="54" t="s">
        <v>1150</v>
      </c>
      <c r="D505" s="75">
        <v>48</v>
      </c>
      <c r="E505" s="75"/>
      <c r="F505" s="75"/>
      <c r="G505" s="75"/>
      <c r="H505" s="320"/>
      <c r="I505" s="341">
        <v>56</v>
      </c>
      <c r="J505" s="166">
        <v>13068.13</v>
      </c>
      <c r="K505" s="75">
        <v>731815.28</v>
      </c>
      <c r="L505" s="91" t="s">
        <v>1151</v>
      </c>
      <c r="M505" s="73"/>
      <c r="N505" s="46">
        <v>48</v>
      </c>
      <c r="O505" s="46">
        <v>26136.260000000009</v>
      </c>
      <c r="P505" s="46">
        <v>627270.24</v>
      </c>
      <c r="Q505" s="98"/>
      <c r="R505" s="23" t="s">
        <v>1421</v>
      </c>
      <c r="S505" s="24" t="s">
        <v>1149</v>
      </c>
      <c r="T505" s="25" t="s">
        <v>1150</v>
      </c>
      <c r="U505" s="26">
        <v>48</v>
      </c>
      <c r="V505" s="26">
        <f t="shared" ref="V505:V507" si="123">IF(I505&gt;0,I505,IF(H505&gt;0,H505,IF(G505&gt;0,G505,IF(F505&gt;0,F505,IF(E505&gt;0,E505,D505)))))</f>
        <v>56</v>
      </c>
      <c r="W505" s="26">
        <f t="shared" si="114"/>
        <v>13068.13</v>
      </c>
      <c r="X505" s="250">
        <f t="shared" ref="X505:X507" si="124">AI505-N505</f>
        <v>0</v>
      </c>
      <c r="Y505" s="26">
        <f t="shared" si="107"/>
        <v>48</v>
      </c>
      <c r="Z505" s="26">
        <f>AA505-P505</f>
        <v>0</v>
      </c>
      <c r="AA505" s="26">
        <f t="shared" ref="AA505:AA507" si="125">ROUND(W505*Y505,2)</f>
        <v>627270.24</v>
      </c>
      <c r="AB505" s="33" t="s">
        <v>15</v>
      </c>
      <c r="AC505" s="324"/>
      <c r="AD505" s="181">
        <f t="shared" si="113"/>
        <v>56</v>
      </c>
      <c r="AE505" s="181">
        <f t="shared" ref="AE505:AE507" si="126">ROUND(W505*AD505,2)</f>
        <v>731815.28</v>
      </c>
      <c r="AF505" s="181">
        <v>4</v>
      </c>
      <c r="AG505" s="181">
        <v>4</v>
      </c>
      <c r="AH505" s="363" t="str">
        <f t="shared" si="121"/>
        <v/>
      </c>
      <c r="AI505" s="191">
        <v>48</v>
      </c>
      <c r="AJ505" s="190">
        <v>56</v>
      </c>
      <c r="AN505" s="363"/>
      <c r="AO505" s="368"/>
      <c r="AP505" s="367"/>
      <c r="AQ505" s="367"/>
    </row>
    <row r="506" spans="1:43" s="69" customFormat="1" ht="66" customHeight="1" x14ac:dyDescent="0.3">
      <c r="A506" s="55" t="s">
        <v>1152</v>
      </c>
      <c r="B506" s="53" t="s">
        <v>1153</v>
      </c>
      <c r="C506" s="54" t="s">
        <v>998</v>
      </c>
      <c r="D506" s="75">
        <v>6720</v>
      </c>
      <c r="E506" s="75"/>
      <c r="F506" s="75"/>
      <c r="G506" s="76"/>
      <c r="H506" s="76"/>
      <c r="I506" s="350">
        <v>28182</v>
      </c>
      <c r="J506" s="75">
        <v>54.57</v>
      </c>
      <c r="K506" s="75">
        <v>1537891.74</v>
      </c>
      <c r="L506" s="91" t="s">
        <v>1154</v>
      </c>
      <c r="M506" s="73"/>
      <c r="N506" s="46">
        <v>12390</v>
      </c>
      <c r="O506" s="46">
        <v>204910.35000000003</v>
      </c>
      <c r="P506" s="46">
        <v>676122.3</v>
      </c>
      <c r="Q506" s="98"/>
      <c r="R506" s="23" t="s">
        <v>1426</v>
      </c>
      <c r="S506" s="24" t="s">
        <v>1153</v>
      </c>
      <c r="T506" s="25" t="s">
        <v>998</v>
      </c>
      <c r="U506" s="26">
        <v>6720</v>
      </c>
      <c r="V506" s="26">
        <f t="shared" si="123"/>
        <v>28182</v>
      </c>
      <c r="W506" s="26">
        <f t="shared" si="114"/>
        <v>54.57</v>
      </c>
      <c r="X506" s="250">
        <f t="shared" si="124"/>
        <v>0</v>
      </c>
      <c r="Y506" s="26">
        <f t="shared" si="107"/>
        <v>12390</v>
      </c>
      <c r="Z506" s="26">
        <f>AA506-P506</f>
        <v>0</v>
      </c>
      <c r="AA506" s="26">
        <f t="shared" si="125"/>
        <v>676122.3</v>
      </c>
      <c r="AB506" s="33" t="s">
        <v>15</v>
      </c>
      <c r="AC506" s="324"/>
      <c r="AD506" s="181">
        <f t="shared" si="113"/>
        <v>28182</v>
      </c>
      <c r="AE506" s="181">
        <f t="shared" si="126"/>
        <v>1537891.74</v>
      </c>
      <c r="AF506" s="181">
        <v>4</v>
      </c>
      <c r="AG506" s="181">
        <v>4</v>
      </c>
      <c r="AH506" s="363" t="str">
        <f t="shared" si="121"/>
        <v/>
      </c>
      <c r="AI506" s="191">
        <v>12390</v>
      </c>
      <c r="AJ506" s="190">
        <v>28182</v>
      </c>
      <c r="AO506" s="367"/>
      <c r="AP506" s="367"/>
      <c r="AQ506" s="367"/>
    </row>
    <row r="507" spans="1:43" s="69" customFormat="1" ht="39" x14ac:dyDescent="0.3">
      <c r="A507" s="66">
        <v>4.3</v>
      </c>
      <c r="B507" s="57" t="s">
        <v>1355</v>
      </c>
      <c r="C507" s="58" t="s">
        <v>1360</v>
      </c>
      <c r="D507" s="77"/>
      <c r="E507" s="117">
        <v>1570</v>
      </c>
      <c r="F507" s="59"/>
      <c r="G507" s="59"/>
      <c r="H507" s="59"/>
      <c r="I507" s="59"/>
      <c r="J507" s="178">
        <v>1149.48</v>
      </c>
      <c r="K507" s="59">
        <v>1804683.6</v>
      </c>
      <c r="L507" s="92"/>
      <c r="M507" s="73"/>
      <c r="N507" s="46">
        <v>1088</v>
      </c>
      <c r="O507" s="46">
        <v>52876.080000000075</v>
      </c>
      <c r="P507" s="46">
        <v>1250634.24</v>
      </c>
      <c r="Q507" s="98"/>
      <c r="R507" s="23" t="s">
        <v>1402</v>
      </c>
      <c r="S507" s="24" t="s">
        <v>1502</v>
      </c>
      <c r="T507" s="25" t="s">
        <v>1360</v>
      </c>
      <c r="U507" s="26">
        <v>0</v>
      </c>
      <c r="V507" s="26">
        <f t="shared" si="123"/>
        <v>1570</v>
      </c>
      <c r="W507" s="26">
        <f t="shared" si="114"/>
        <v>1149.48</v>
      </c>
      <c r="X507" s="250">
        <f t="shared" si="124"/>
        <v>0</v>
      </c>
      <c r="Y507" s="26">
        <f t="shared" si="107"/>
        <v>1088</v>
      </c>
      <c r="Z507" s="26">
        <f>AA507-P507</f>
        <v>0</v>
      </c>
      <c r="AA507" s="26">
        <f t="shared" si="125"/>
        <v>1250634.24</v>
      </c>
      <c r="AB507" s="27"/>
      <c r="AC507" s="324"/>
      <c r="AD507" s="181">
        <f t="shared" si="113"/>
        <v>1570</v>
      </c>
      <c r="AE507" s="181">
        <f t="shared" si="126"/>
        <v>1804683.6</v>
      </c>
      <c r="AF507" s="181">
        <v>4</v>
      </c>
      <c r="AG507" s="181">
        <v>4</v>
      </c>
      <c r="AH507" s="363" t="str">
        <f t="shared" si="121"/>
        <v/>
      </c>
      <c r="AI507" s="191">
        <v>1088</v>
      </c>
      <c r="AJ507" s="188">
        <v>1570</v>
      </c>
      <c r="AO507" s="367"/>
      <c r="AP507" s="367"/>
      <c r="AQ507" s="367"/>
    </row>
    <row r="508" spans="1:43" s="69" customFormat="1" ht="33" customHeight="1" x14ac:dyDescent="0.3">
      <c r="A508" s="85" t="s">
        <v>1155</v>
      </c>
      <c r="B508" s="86" t="s">
        <v>1156</v>
      </c>
      <c r="C508" s="87" t="s">
        <v>14</v>
      </c>
      <c r="D508" s="88">
        <v>1</v>
      </c>
      <c r="E508" s="88"/>
      <c r="F508" s="88"/>
      <c r="G508" s="153"/>
      <c r="H508" s="153"/>
      <c r="I508" s="153"/>
      <c r="J508" s="88">
        <v>10848539.710000001</v>
      </c>
      <c r="K508" s="88">
        <v>10848539.710000001</v>
      </c>
      <c r="L508" s="95" t="s">
        <v>15</v>
      </c>
      <c r="M508" s="73"/>
      <c r="N508" s="42">
        <v>1</v>
      </c>
      <c r="O508" s="42">
        <v>89300</v>
      </c>
      <c r="P508" s="42">
        <v>10444640.140000001</v>
      </c>
      <c r="Q508" s="98"/>
      <c r="R508" s="13" t="s">
        <v>1413</v>
      </c>
      <c r="S508" s="14" t="s">
        <v>1156</v>
      </c>
      <c r="T508" s="15" t="s">
        <v>14</v>
      </c>
      <c r="U508" s="16">
        <v>1</v>
      </c>
      <c r="V508" s="16"/>
      <c r="W508" s="16">
        <f t="shared" si="114"/>
        <v>10848539.710000001</v>
      </c>
      <c r="X508" s="16">
        <f t="shared" ref="X508:Y508" si="127">IF(Z508=0,0,1)</f>
        <v>0</v>
      </c>
      <c r="Y508" s="16">
        <f t="shared" si="127"/>
        <v>1</v>
      </c>
      <c r="Z508" s="16">
        <f>SUMIFS(Z:Z,AG:AG,AF508)</f>
        <v>0</v>
      </c>
      <c r="AA508" s="16">
        <f>SUMIFS(AA:AA,AG:AG,AF508)</f>
        <v>10444640.140000001</v>
      </c>
      <c r="AB508" s="17" t="s">
        <v>15</v>
      </c>
      <c r="AC508" s="232"/>
      <c r="AD508" s="181">
        <f t="shared" si="113"/>
        <v>1</v>
      </c>
      <c r="AE508" s="183"/>
      <c r="AF508" s="183">
        <v>5</v>
      </c>
      <c r="AG508" s="183"/>
      <c r="AH508" s="363" t="str">
        <f t="shared" si="121"/>
        <v/>
      </c>
      <c r="AI508" s="192">
        <v>1</v>
      </c>
      <c r="AJ508" s="188">
        <v>1</v>
      </c>
      <c r="AO508" s="367"/>
      <c r="AP508" s="367"/>
      <c r="AQ508" s="367"/>
    </row>
    <row r="509" spans="1:43" s="69" customFormat="1" ht="49.5" customHeight="1" x14ac:dyDescent="0.3">
      <c r="A509" s="130" t="s">
        <v>1157</v>
      </c>
      <c r="B509" s="240" t="s">
        <v>1158</v>
      </c>
      <c r="C509" s="132" t="s">
        <v>30</v>
      </c>
      <c r="D509" s="133">
        <v>1698.29</v>
      </c>
      <c r="E509" s="75"/>
      <c r="F509" s="75"/>
      <c r="G509" s="75"/>
      <c r="H509" s="75"/>
      <c r="I509" s="75"/>
      <c r="J509" s="75">
        <v>3662.23</v>
      </c>
      <c r="K509" s="75">
        <v>6219528.5899999999</v>
      </c>
      <c r="L509" s="91" t="s">
        <v>1159</v>
      </c>
      <c r="M509" s="73"/>
      <c r="N509" s="46">
        <v>1698.29</v>
      </c>
      <c r="O509" s="46">
        <v>0</v>
      </c>
      <c r="P509" s="46">
        <v>6219528.5899999999</v>
      </c>
      <c r="Q509" s="98"/>
      <c r="R509" s="23" t="s">
        <v>1421</v>
      </c>
      <c r="S509" s="24" t="s">
        <v>1158</v>
      </c>
      <c r="T509" s="25" t="s">
        <v>30</v>
      </c>
      <c r="U509" s="26">
        <v>1698.29</v>
      </c>
      <c r="V509" s="26">
        <f t="shared" ref="V509:V528" si="128">IF(I509&gt;0,I509,IF(H509&gt;0,H509,IF(G509&gt;0,G509,IF(F509&gt;0,F509,IF(E509&gt;0,E509,D509)))))</f>
        <v>1698.29</v>
      </c>
      <c r="W509" s="26">
        <f t="shared" si="114"/>
        <v>3662.23</v>
      </c>
      <c r="X509" s="127">
        <f t="shared" ref="X509:X528" si="129">AI509-N509</f>
        <v>0</v>
      </c>
      <c r="Y509" s="127">
        <f t="shared" si="107"/>
        <v>1698.29</v>
      </c>
      <c r="Z509" s="127">
        <f t="shared" ref="Z509:Z528" si="130">AA509-P509</f>
        <v>0</v>
      </c>
      <c r="AA509" s="127">
        <f t="shared" ref="AA509:AA528" si="131">ROUND(W509*Y509,2)</f>
        <v>6219528.5899999999</v>
      </c>
      <c r="AB509" s="33" t="s">
        <v>15</v>
      </c>
      <c r="AC509" s="324"/>
      <c r="AD509" s="181">
        <f t="shared" si="113"/>
        <v>1698.29</v>
      </c>
      <c r="AE509" s="181">
        <f t="shared" ref="AE509:AE528" si="132">ROUND(W509*AD509,2)</f>
        <v>6219528.5899999999</v>
      </c>
      <c r="AF509" s="181">
        <v>5</v>
      </c>
      <c r="AG509" s="181">
        <v>5</v>
      </c>
      <c r="AH509" s="363" t="str">
        <f t="shared" si="121"/>
        <v/>
      </c>
      <c r="AI509" s="192">
        <v>1698.29</v>
      </c>
      <c r="AJ509" s="188">
        <v>1698.29</v>
      </c>
      <c r="AO509" s="367"/>
      <c r="AP509" s="367"/>
      <c r="AQ509" s="367"/>
    </row>
    <row r="510" spans="1:43" s="69" customFormat="1" ht="49.5" x14ac:dyDescent="0.3">
      <c r="A510" s="130" t="s">
        <v>1160</v>
      </c>
      <c r="B510" s="240" t="s">
        <v>1161</v>
      </c>
      <c r="C510" s="132" t="s">
        <v>50</v>
      </c>
      <c r="D510" s="133">
        <v>2123.4</v>
      </c>
      <c r="E510" s="75"/>
      <c r="F510" s="75"/>
      <c r="G510" s="75"/>
      <c r="H510" s="75"/>
      <c r="I510" s="328">
        <v>2363.4</v>
      </c>
      <c r="J510" s="75">
        <v>353</v>
      </c>
      <c r="K510" s="75">
        <v>834280.2</v>
      </c>
      <c r="L510" s="91" t="s">
        <v>1162</v>
      </c>
      <c r="M510" s="73"/>
      <c r="N510" s="46">
        <v>2123.4</v>
      </c>
      <c r="O510" s="46">
        <v>0</v>
      </c>
      <c r="P510" s="46">
        <v>749560.2</v>
      </c>
      <c r="Q510" s="98"/>
      <c r="R510" s="23" t="s">
        <v>1426</v>
      </c>
      <c r="S510" s="24" t="s">
        <v>1161</v>
      </c>
      <c r="T510" s="25" t="s">
        <v>50</v>
      </c>
      <c r="U510" s="26">
        <v>2123.4</v>
      </c>
      <c r="V510" s="26">
        <f t="shared" si="128"/>
        <v>2363.4</v>
      </c>
      <c r="W510" s="26">
        <f t="shared" si="114"/>
        <v>353</v>
      </c>
      <c r="X510" s="128">
        <f t="shared" si="129"/>
        <v>0</v>
      </c>
      <c r="Y510" s="127">
        <v>2123.4</v>
      </c>
      <c r="Z510" s="127">
        <f t="shared" si="130"/>
        <v>0</v>
      </c>
      <c r="AA510" s="127">
        <f t="shared" si="131"/>
        <v>749560.2</v>
      </c>
      <c r="AB510" s="33" t="s">
        <v>15</v>
      </c>
      <c r="AC510" s="324"/>
      <c r="AD510" s="181">
        <f t="shared" si="113"/>
        <v>2363.4</v>
      </c>
      <c r="AE510" s="181">
        <f t="shared" si="132"/>
        <v>834280.2</v>
      </c>
      <c r="AF510" s="181">
        <v>5</v>
      </c>
      <c r="AG510" s="181">
        <v>5</v>
      </c>
      <c r="AH510" s="363" t="str">
        <f t="shared" si="121"/>
        <v/>
      </c>
      <c r="AI510" s="194">
        <f>2123.4</f>
        <v>2123.4</v>
      </c>
      <c r="AJ510" s="190">
        <v>2363.4</v>
      </c>
      <c r="AO510" s="367"/>
      <c r="AP510" s="367"/>
      <c r="AQ510" s="367"/>
    </row>
    <row r="511" spans="1:43" s="69" customFormat="1" ht="42" customHeight="1" x14ac:dyDescent="0.3">
      <c r="A511" s="130" t="s">
        <v>1163</v>
      </c>
      <c r="B511" s="240" t="s">
        <v>1164</v>
      </c>
      <c r="C511" s="132" t="s">
        <v>162</v>
      </c>
      <c r="D511" s="133">
        <v>59</v>
      </c>
      <c r="E511" s="75"/>
      <c r="F511" s="75"/>
      <c r="G511" s="75"/>
      <c r="H511" s="75"/>
      <c r="I511" s="328"/>
      <c r="J511" s="75">
        <v>217.02</v>
      </c>
      <c r="K511" s="75">
        <v>12804.18</v>
      </c>
      <c r="L511" s="91" t="s">
        <v>1165</v>
      </c>
      <c r="M511" s="73"/>
      <c r="N511" s="46">
        <v>59</v>
      </c>
      <c r="O511" s="46">
        <v>0</v>
      </c>
      <c r="P511" s="46">
        <v>12804.18</v>
      </c>
      <c r="Q511" s="98"/>
      <c r="R511" s="23" t="s">
        <v>1402</v>
      </c>
      <c r="S511" s="24" t="s">
        <v>1164</v>
      </c>
      <c r="T511" s="25" t="s">
        <v>162</v>
      </c>
      <c r="U511" s="26">
        <v>59</v>
      </c>
      <c r="V511" s="26">
        <f t="shared" si="128"/>
        <v>59</v>
      </c>
      <c r="W511" s="26">
        <f t="shared" si="114"/>
        <v>217.02</v>
      </c>
      <c r="X511" s="127">
        <f t="shared" si="129"/>
        <v>0</v>
      </c>
      <c r="Y511" s="127">
        <f t="shared" si="107"/>
        <v>59</v>
      </c>
      <c r="Z511" s="127">
        <f t="shared" si="130"/>
        <v>0</v>
      </c>
      <c r="AA511" s="127">
        <f t="shared" si="131"/>
        <v>12804.18</v>
      </c>
      <c r="AB511" s="33" t="s">
        <v>15</v>
      </c>
      <c r="AC511" s="324"/>
      <c r="AD511" s="181">
        <f t="shared" si="113"/>
        <v>59</v>
      </c>
      <c r="AE511" s="181">
        <f t="shared" si="132"/>
        <v>12804.18</v>
      </c>
      <c r="AF511" s="181">
        <v>5</v>
      </c>
      <c r="AG511" s="181">
        <v>5</v>
      </c>
      <c r="AH511" s="363" t="str">
        <f t="shared" si="121"/>
        <v/>
      </c>
      <c r="AI511" s="194">
        <v>59</v>
      </c>
      <c r="AJ511" s="188">
        <v>59</v>
      </c>
      <c r="AO511" s="367"/>
      <c r="AP511" s="367"/>
      <c r="AQ511" s="367"/>
    </row>
    <row r="512" spans="1:43" s="69" customFormat="1" ht="26.1" customHeight="1" x14ac:dyDescent="0.3">
      <c r="A512" s="130" t="s">
        <v>1166</v>
      </c>
      <c r="B512" s="131" t="s">
        <v>1167</v>
      </c>
      <c r="C512" s="132" t="s">
        <v>559</v>
      </c>
      <c r="D512" s="133">
        <v>30</v>
      </c>
      <c r="E512" s="75"/>
      <c r="F512" s="75"/>
      <c r="G512" s="75"/>
      <c r="H512" s="75"/>
      <c r="I512" s="328"/>
      <c r="J512" s="75">
        <v>50</v>
      </c>
      <c r="K512" s="75">
        <v>1500</v>
      </c>
      <c r="L512" s="91" t="s">
        <v>1168</v>
      </c>
      <c r="M512" s="73"/>
      <c r="N512" s="46">
        <v>30</v>
      </c>
      <c r="O512" s="46">
        <v>0</v>
      </c>
      <c r="P512" s="46">
        <v>1500</v>
      </c>
      <c r="Q512" s="98"/>
      <c r="R512" s="23" t="s">
        <v>1373</v>
      </c>
      <c r="S512" s="24" t="s">
        <v>1167</v>
      </c>
      <c r="T512" s="25" t="s">
        <v>559</v>
      </c>
      <c r="U512" s="26">
        <v>30</v>
      </c>
      <c r="V512" s="26">
        <f t="shared" si="128"/>
        <v>30</v>
      </c>
      <c r="W512" s="26">
        <f t="shared" si="114"/>
        <v>50</v>
      </c>
      <c r="X512" s="127">
        <f t="shared" si="129"/>
        <v>0</v>
      </c>
      <c r="Y512" s="127">
        <f t="shared" si="107"/>
        <v>30</v>
      </c>
      <c r="Z512" s="127">
        <f t="shared" si="130"/>
        <v>0</v>
      </c>
      <c r="AA512" s="127">
        <f t="shared" si="131"/>
        <v>1500</v>
      </c>
      <c r="AB512" s="33" t="s">
        <v>15</v>
      </c>
      <c r="AC512" s="324"/>
      <c r="AD512" s="181">
        <f t="shared" si="113"/>
        <v>30</v>
      </c>
      <c r="AE512" s="181">
        <f t="shared" si="132"/>
        <v>1500</v>
      </c>
      <c r="AF512" s="181">
        <v>5</v>
      </c>
      <c r="AG512" s="181">
        <v>5</v>
      </c>
      <c r="AH512" s="363" t="str">
        <f t="shared" si="121"/>
        <v/>
      </c>
      <c r="AI512" s="194">
        <v>30</v>
      </c>
      <c r="AJ512" s="188">
        <v>30</v>
      </c>
      <c r="AO512" s="367"/>
      <c r="AP512" s="367"/>
      <c r="AQ512" s="367"/>
    </row>
    <row r="513" spans="1:43" s="69" customFormat="1" ht="26.1" customHeight="1" x14ac:dyDescent="0.3">
      <c r="A513" s="130" t="s">
        <v>1169</v>
      </c>
      <c r="B513" s="131" t="s">
        <v>1170</v>
      </c>
      <c r="C513" s="132" t="s">
        <v>81</v>
      </c>
      <c r="D513" s="133">
        <v>9</v>
      </c>
      <c r="E513" s="75"/>
      <c r="F513" s="75"/>
      <c r="G513" s="75"/>
      <c r="H513" s="75"/>
      <c r="I513" s="328"/>
      <c r="J513" s="75">
        <v>1900.97</v>
      </c>
      <c r="K513" s="75">
        <v>17108.73</v>
      </c>
      <c r="L513" s="91" t="s">
        <v>1171</v>
      </c>
      <c r="M513" s="73"/>
      <c r="N513" s="46">
        <v>9</v>
      </c>
      <c r="O513" s="46">
        <v>0</v>
      </c>
      <c r="P513" s="46">
        <v>17108.73</v>
      </c>
      <c r="Q513" s="98"/>
      <c r="R513" s="23" t="s">
        <v>1393</v>
      </c>
      <c r="S513" s="24" t="s">
        <v>1170</v>
      </c>
      <c r="T513" s="25" t="s">
        <v>81</v>
      </c>
      <c r="U513" s="26">
        <v>9</v>
      </c>
      <c r="V513" s="26">
        <f t="shared" si="128"/>
        <v>9</v>
      </c>
      <c r="W513" s="26">
        <f t="shared" si="114"/>
        <v>1900.97</v>
      </c>
      <c r="X513" s="127">
        <f t="shared" si="129"/>
        <v>0</v>
      </c>
      <c r="Y513" s="127">
        <f t="shared" si="107"/>
        <v>9</v>
      </c>
      <c r="Z513" s="127">
        <f t="shared" si="130"/>
        <v>0</v>
      </c>
      <c r="AA513" s="127">
        <f t="shared" si="131"/>
        <v>17108.73</v>
      </c>
      <c r="AB513" s="33" t="s">
        <v>15</v>
      </c>
      <c r="AC513" s="324"/>
      <c r="AD513" s="181">
        <f t="shared" si="113"/>
        <v>9</v>
      </c>
      <c r="AE513" s="181">
        <f t="shared" si="132"/>
        <v>17108.73</v>
      </c>
      <c r="AF513" s="181">
        <v>5</v>
      </c>
      <c r="AG513" s="181">
        <v>5</v>
      </c>
      <c r="AH513" s="363" t="str">
        <f t="shared" si="121"/>
        <v/>
      </c>
      <c r="AI513" s="192">
        <v>9</v>
      </c>
      <c r="AJ513" s="188">
        <v>9</v>
      </c>
      <c r="AO513" s="367"/>
      <c r="AP513" s="367"/>
      <c r="AQ513" s="367"/>
    </row>
    <row r="514" spans="1:43" s="69" customFormat="1" ht="26.1" customHeight="1" x14ac:dyDescent="0.3">
      <c r="A514" s="130" t="s">
        <v>1172</v>
      </c>
      <c r="B514" s="131" t="s">
        <v>1173</v>
      </c>
      <c r="C514" s="132" t="s">
        <v>81</v>
      </c>
      <c r="D514" s="133">
        <v>5</v>
      </c>
      <c r="E514" s="75"/>
      <c r="F514" s="75"/>
      <c r="G514" s="75"/>
      <c r="H514" s="75"/>
      <c r="I514" s="328"/>
      <c r="J514" s="75">
        <v>1230.75</v>
      </c>
      <c r="K514" s="75">
        <v>6153.75</v>
      </c>
      <c r="L514" s="91" t="s">
        <v>1174</v>
      </c>
      <c r="M514" s="73"/>
      <c r="N514" s="46">
        <v>5</v>
      </c>
      <c r="O514" s="46">
        <v>0</v>
      </c>
      <c r="P514" s="46">
        <v>6153.75</v>
      </c>
      <c r="Q514" s="98"/>
      <c r="R514" s="23" t="s">
        <v>1403</v>
      </c>
      <c r="S514" s="24" t="s">
        <v>1173</v>
      </c>
      <c r="T514" s="25" t="s">
        <v>81</v>
      </c>
      <c r="U514" s="26">
        <v>5</v>
      </c>
      <c r="V514" s="26">
        <f t="shared" si="128"/>
        <v>5</v>
      </c>
      <c r="W514" s="26">
        <f t="shared" si="114"/>
        <v>1230.75</v>
      </c>
      <c r="X514" s="127">
        <f t="shared" si="129"/>
        <v>0</v>
      </c>
      <c r="Y514" s="127">
        <f t="shared" si="107"/>
        <v>5</v>
      </c>
      <c r="Z514" s="127">
        <f t="shared" si="130"/>
        <v>0</v>
      </c>
      <c r="AA514" s="127">
        <f t="shared" si="131"/>
        <v>6153.75</v>
      </c>
      <c r="AB514" s="33" t="s">
        <v>15</v>
      </c>
      <c r="AC514" s="324"/>
      <c r="AD514" s="181">
        <f t="shared" si="113"/>
        <v>5</v>
      </c>
      <c r="AE514" s="181">
        <f t="shared" si="132"/>
        <v>6153.75</v>
      </c>
      <c r="AF514" s="181">
        <v>5</v>
      </c>
      <c r="AG514" s="181">
        <v>5</v>
      </c>
      <c r="AH514" s="363" t="str">
        <f t="shared" si="121"/>
        <v/>
      </c>
      <c r="AI514" s="192">
        <v>5</v>
      </c>
      <c r="AJ514" s="188">
        <v>5</v>
      </c>
      <c r="AO514" s="367"/>
      <c r="AP514" s="367"/>
      <c r="AQ514" s="367"/>
    </row>
    <row r="515" spans="1:43" s="69" customFormat="1" ht="24.75" x14ac:dyDescent="0.3">
      <c r="A515" s="55" t="s">
        <v>1175</v>
      </c>
      <c r="B515" s="53" t="s">
        <v>1176</v>
      </c>
      <c r="C515" s="54" t="s">
        <v>81</v>
      </c>
      <c r="D515" s="75">
        <v>756</v>
      </c>
      <c r="E515" s="75"/>
      <c r="F515" s="75"/>
      <c r="G515" s="75"/>
      <c r="H515" s="75"/>
      <c r="I515" s="328"/>
      <c r="J515" s="75">
        <v>1666.11</v>
      </c>
      <c r="K515" s="75">
        <v>1259579.1599999999</v>
      </c>
      <c r="L515" s="91" t="s">
        <v>1177</v>
      </c>
      <c r="M515" s="73"/>
      <c r="N515" s="46">
        <v>681</v>
      </c>
      <c r="O515" s="46">
        <v>0</v>
      </c>
      <c r="P515" s="46">
        <v>1134620.9099999999</v>
      </c>
      <c r="Q515" s="98"/>
      <c r="R515" s="23" t="s">
        <v>1427</v>
      </c>
      <c r="S515" s="24" t="s">
        <v>1176</v>
      </c>
      <c r="T515" s="25" t="s">
        <v>81</v>
      </c>
      <c r="U515" s="26">
        <v>756</v>
      </c>
      <c r="V515" s="26">
        <f t="shared" si="128"/>
        <v>756</v>
      </c>
      <c r="W515" s="26">
        <f t="shared" si="114"/>
        <v>1666.11</v>
      </c>
      <c r="X515" s="128">
        <f t="shared" si="129"/>
        <v>0</v>
      </c>
      <c r="Y515" s="26">
        <f t="shared" si="107"/>
        <v>681</v>
      </c>
      <c r="Z515" s="26">
        <f t="shared" si="130"/>
        <v>0</v>
      </c>
      <c r="AA515" s="26">
        <f t="shared" si="131"/>
        <v>1134620.9099999999</v>
      </c>
      <c r="AB515" s="33" t="s">
        <v>15</v>
      </c>
      <c r="AC515" s="324"/>
      <c r="AD515" s="181">
        <f t="shared" si="113"/>
        <v>756</v>
      </c>
      <c r="AE515" s="181">
        <f t="shared" si="132"/>
        <v>1259579.1599999999</v>
      </c>
      <c r="AF515" s="181">
        <v>5</v>
      </c>
      <c r="AG515" s="181">
        <v>5</v>
      </c>
      <c r="AH515" s="363" t="str">
        <f t="shared" si="121"/>
        <v/>
      </c>
      <c r="AI515" s="194">
        <f>471+52+26+22+52+20+16+22</f>
        <v>681</v>
      </c>
      <c r="AJ515" s="188">
        <v>756</v>
      </c>
      <c r="AO515" s="367"/>
      <c r="AP515" s="367"/>
      <c r="AQ515" s="367"/>
    </row>
    <row r="516" spans="1:43" s="69" customFormat="1" ht="49.5" customHeight="1" x14ac:dyDescent="0.3">
      <c r="A516" s="130" t="s">
        <v>1178</v>
      </c>
      <c r="B516" s="240" t="s">
        <v>1179</v>
      </c>
      <c r="C516" s="132" t="s">
        <v>81</v>
      </c>
      <c r="D516" s="133">
        <v>2</v>
      </c>
      <c r="E516" s="75"/>
      <c r="F516" s="75"/>
      <c r="G516" s="75"/>
      <c r="H516" s="75"/>
      <c r="I516" s="328">
        <v>3</v>
      </c>
      <c r="J516" s="75">
        <v>48513</v>
      </c>
      <c r="K516" s="75">
        <v>145539</v>
      </c>
      <c r="L516" s="91" t="s">
        <v>1180</v>
      </c>
      <c r="M516" s="73"/>
      <c r="N516" s="46">
        <v>2</v>
      </c>
      <c r="O516" s="46">
        <v>0</v>
      </c>
      <c r="P516" s="46">
        <v>97026</v>
      </c>
      <c r="Q516" s="98"/>
      <c r="R516" s="23" t="s">
        <v>1428</v>
      </c>
      <c r="S516" s="24" t="s">
        <v>1179</v>
      </c>
      <c r="T516" s="25" t="s">
        <v>81</v>
      </c>
      <c r="U516" s="26">
        <v>2</v>
      </c>
      <c r="V516" s="26">
        <f t="shared" si="128"/>
        <v>3</v>
      </c>
      <c r="W516" s="26">
        <f t="shared" si="114"/>
        <v>48513</v>
      </c>
      <c r="X516" s="128">
        <f t="shared" si="129"/>
        <v>0</v>
      </c>
      <c r="Y516" s="127">
        <v>2</v>
      </c>
      <c r="Z516" s="127">
        <f t="shared" si="130"/>
        <v>0</v>
      </c>
      <c r="AA516" s="127">
        <f t="shared" si="131"/>
        <v>97026</v>
      </c>
      <c r="AB516" s="33" t="s">
        <v>15</v>
      </c>
      <c r="AC516" s="324"/>
      <c r="AD516" s="181">
        <f t="shared" si="113"/>
        <v>3</v>
      </c>
      <c r="AE516" s="181">
        <f t="shared" si="132"/>
        <v>145539</v>
      </c>
      <c r="AF516" s="181">
        <v>5</v>
      </c>
      <c r="AG516" s="181">
        <v>5</v>
      </c>
      <c r="AH516" s="363" t="str">
        <f t="shared" si="121"/>
        <v/>
      </c>
      <c r="AI516" s="194">
        <f>2</f>
        <v>2</v>
      </c>
      <c r="AJ516" s="190">
        <v>3</v>
      </c>
      <c r="AO516" s="367"/>
      <c r="AP516" s="367"/>
      <c r="AQ516" s="367"/>
    </row>
    <row r="517" spans="1:43" s="69" customFormat="1" ht="58.5" x14ac:dyDescent="0.3">
      <c r="A517" s="130" t="s">
        <v>1181</v>
      </c>
      <c r="B517" s="131" t="s">
        <v>1182</v>
      </c>
      <c r="C517" s="132" t="s">
        <v>1183</v>
      </c>
      <c r="D517" s="133">
        <v>18</v>
      </c>
      <c r="E517" s="75">
        <v>38</v>
      </c>
      <c r="F517" s="75"/>
      <c r="G517" s="75"/>
      <c r="H517" s="75"/>
      <c r="I517" s="75"/>
      <c r="J517" s="75">
        <v>587.1</v>
      </c>
      <c r="K517" s="75">
        <v>22309.8</v>
      </c>
      <c r="L517" s="91" t="s">
        <v>1184</v>
      </c>
      <c r="M517" s="73"/>
      <c r="N517" s="46">
        <v>38</v>
      </c>
      <c r="O517" s="46">
        <v>0</v>
      </c>
      <c r="P517" s="46">
        <v>22309.8</v>
      </c>
      <c r="Q517" s="98"/>
      <c r="R517" s="23" t="s">
        <v>1387</v>
      </c>
      <c r="S517" s="24" t="s">
        <v>1182</v>
      </c>
      <c r="T517" s="25" t="s">
        <v>1183</v>
      </c>
      <c r="U517" s="26">
        <v>18</v>
      </c>
      <c r="V517" s="26">
        <f t="shared" si="128"/>
        <v>38</v>
      </c>
      <c r="W517" s="26">
        <f t="shared" si="114"/>
        <v>587.1</v>
      </c>
      <c r="X517" s="127">
        <f t="shared" si="129"/>
        <v>0</v>
      </c>
      <c r="Y517" s="127">
        <f t="shared" ref="Y517:Y551" si="133">X517+N517</f>
        <v>38</v>
      </c>
      <c r="Z517" s="127">
        <f t="shared" si="130"/>
        <v>0</v>
      </c>
      <c r="AA517" s="127">
        <f t="shared" si="131"/>
        <v>22309.8</v>
      </c>
      <c r="AB517" s="27" t="s">
        <v>15</v>
      </c>
      <c r="AC517" s="324"/>
      <c r="AD517" s="181">
        <f t="shared" si="113"/>
        <v>38</v>
      </c>
      <c r="AE517" s="181">
        <f t="shared" si="132"/>
        <v>22309.8</v>
      </c>
      <c r="AF517" s="181">
        <v>5</v>
      </c>
      <c r="AG517" s="181">
        <v>5</v>
      </c>
      <c r="AH517" s="363" t="str">
        <f t="shared" si="121"/>
        <v/>
      </c>
      <c r="AI517" s="194">
        <v>38</v>
      </c>
      <c r="AJ517" s="188">
        <v>38</v>
      </c>
      <c r="AO517" s="367"/>
      <c r="AP517" s="367"/>
      <c r="AQ517" s="367"/>
    </row>
    <row r="518" spans="1:43" s="69" customFormat="1" ht="33.75" customHeight="1" x14ac:dyDescent="0.3">
      <c r="A518" s="55" t="s">
        <v>1185</v>
      </c>
      <c r="B518" s="53" t="s">
        <v>1186</v>
      </c>
      <c r="C518" s="54" t="s">
        <v>162</v>
      </c>
      <c r="D518" s="75">
        <v>9</v>
      </c>
      <c r="E518" s="75"/>
      <c r="F518" s="75"/>
      <c r="G518" s="75"/>
      <c r="H518" s="75"/>
      <c r="I518" s="75"/>
      <c r="J518" s="75">
        <v>664.14</v>
      </c>
      <c r="K518" s="75">
        <v>5977.26</v>
      </c>
      <c r="L518" s="91" t="s">
        <v>1187</v>
      </c>
      <c r="M518" s="73"/>
      <c r="N518" s="46">
        <v>5</v>
      </c>
      <c r="O518" s="46">
        <v>0</v>
      </c>
      <c r="P518" s="46">
        <v>3320.7</v>
      </c>
      <c r="Q518" s="98"/>
      <c r="R518" s="23" t="s">
        <v>1405</v>
      </c>
      <c r="S518" s="24" t="s">
        <v>1186</v>
      </c>
      <c r="T518" s="25" t="s">
        <v>162</v>
      </c>
      <c r="U518" s="26">
        <v>9</v>
      </c>
      <c r="V518" s="26">
        <f t="shared" si="128"/>
        <v>9</v>
      </c>
      <c r="W518" s="26">
        <f t="shared" si="114"/>
        <v>664.14</v>
      </c>
      <c r="X518" s="128">
        <f t="shared" si="129"/>
        <v>0</v>
      </c>
      <c r="Y518" s="26">
        <f t="shared" si="133"/>
        <v>5</v>
      </c>
      <c r="Z518" s="26">
        <f t="shared" si="130"/>
        <v>0</v>
      </c>
      <c r="AA518" s="26">
        <f t="shared" si="131"/>
        <v>3320.7</v>
      </c>
      <c r="AB518" s="33" t="s">
        <v>15</v>
      </c>
      <c r="AC518" s="324"/>
      <c r="AD518" s="181">
        <f t="shared" si="113"/>
        <v>9</v>
      </c>
      <c r="AE518" s="181">
        <f t="shared" si="132"/>
        <v>5977.26</v>
      </c>
      <c r="AF518" s="181">
        <v>5</v>
      </c>
      <c r="AG518" s="181">
        <v>5</v>
      </c>
      <c r="AH518" s="363" t="str">
        <f t="shared" si="121"/>
        <v/>
      </c>
      <c r="AI518" s="194">
        <f>5</f>
        <v>5</v>
      </c>
      <c r="AJ518" s="188">
        <v>9</v>
      </c>
      <c r="AO518" s="367"/>
      <c r="AP518" s="367"/>
      <c r="AQ518" s="367"/>
    </row>
    <row r="519" spans="1:43" s="69" customFormat="1" ht="39" x14ac:dyDescent="0.3">
      <c r="A519" s="55" t="s">
        <v>1188</v>
      </c>
      <c r="B519" s="53" t="s">
        <v>1189</v>
      </c>
      <c r="C519" s="54" t="s">
        <v>81</v>
      </c>
      <c r="D519" s="75">
        <v>68</v>
      </c>
      <c r="E519" s="75"/>
      <c r="F519" s="75"/>
      <c r="G519" s="75"/>
      <c r="H519" s="75"/>
      <c r="I519" s="75"/>
      <c r="J519" s="75">
        <v>847.07</v>
      </c>
      <c r="K519" s="75">
        <v>57600.76</v>
      </c>
      <c r="L519" s="91" t="s">
        <v>1190</v>
      </c>
      <c r="M519" s="73"/>
      <c r="N519" s="46">
        <v>40</v>
      </c>
      <c r="O519" s="46">
        <v>0</v>
      </c>
      <c r="P519" s="46">
        <v>33882.800000000003</v>
      </c>
      <c r="Q519" s="98"/>
      <c r="R519" s="23" t="s">
        <v>1406</v>
      </c>
      <c r="S519" s="24" t="s">
        <v>1189</v>
      </c>
      <c r="T519" s="25" t="s">
        <v>81</v>
      </c>
      <c r="U519" s="26">
        <v>68</v>
      </c>
      <c r="V519" s="26">
        <f t="shared" si="128"/>
        <v>68</v>
      </c>
      <c r="W519" s="26">
        <f t="shared" si="114"/>
        <v>847.07</v>
      </c>
      <c r="X519" s="128">
        <f t="shared" si="129"/>
        <v>0</v>
      </c>
      <c r="Y519" s="26">
        <f t="shared" si="133"/>
        <v>40</v>
      </c>
      <c r="Z519" s="26">
        <f t="shared" si="130"/>
        <v>0</v>
      </c>
      <c r="AA519" s="26">
        <f t="shared" si="131"/>
        <v>33882.800000000003</v>
      </c>
      <c r="AB519" s="33" t="s">
        <v>15</v>
      </c>
      <c r="AC519" s="324"/>
      <c r="AD519" s="181">
        <f t="shared" si="113"/>
        <v>68</v>
      </c>
      <c r="AE519" s="181">
        <f t="shared" si="132"/>
        <v>57600.76</v>
      </c>
      <c r="AF519" s="181">
        <v>5</v>
      </c>
      <c r="AG519" s="181">
        <v>5</v>
      </c>
      <c r="AH519" s="363" t="str">
        <f t="shared" si="121"/>
        <v/>
      </c>
      <c r="AI519" s="192">
        <v>40</v>
      </c>
      <c r="AJ519" s="188">
        <v>68</v>
      </c>
      <c r="AO519" s="367"/>
      <c r="AP519" s="367"/>
      <c r="AQ519" s="367"/>
    </row>
    <row r="520" spans="1:43" s="69" customFormat="1" ht="41.25" x14ac:dyDescent="0.3">
      <c r="A520" s="130" t="s">
        <v>1191</v>
      </c>
      <c r="B520" s="131" t="s">
        <v>1192</v>
      </c>
      <c r="C520" s="132" t="s">
        <v>30</v>
      </c>
      <c r="D520" s="133">
        <v>27.54</v>
      </c>
      <c r="E520" s="75"/>
      <c r="F520" s="75">
        <v>87.54</v>
      </c>
      <c r="G520" s="75"/>
      <c r="H520" s="75"/>
      <c r="I520" s="75"/>
      <c r="J520" s="75">
        <v>293.74</v>
      </c>
      <c r="K520" s="75">
        <v>25714</v>
      </c>
      <c r="L520" s="91" t="s">
        <v>1193</v>
      </c>
      <c r="M520" s="73"/>
      <c r="N520" s="46">
        <v>87.54</v>
      </c>
      <c r="O520" s="46">
        <v>0</v>
      </c>
      <c r="P520" s="46">
        <v>25714</v>
      </c>
      <c r="Q520" s="98"/>
      <c r="R520" s="23" t="s">
        <v>1414</v>
      </c>
      <c r="S520" s="24" t="s">
        <v>1192</v>
      </c>
      <c r="T520" s="25" t="s">
        <v>30</v>
      </c>
      <c r="U520" s="26">
        <v>27.54</v>
      </c>
      <c r="V520" s="26">
        <f t="shared" si="128"/>
        <v>87.54</v>
      </c>
      <c r="W520" s="26">
        <f t="shared" si="114"/>
        <v>293.74</v>
      </c>
      <c r="X520" s="127">
        <f t="shared" si="129"/>
        <v>0</v>
      </c>
      <c r="Y520" s="127">
        <f t="shared" si="133"/>
        <v>87.54</v>
      </c>
      <c r="Z520" s="127">
        <f t="shared" si="130"/>
        <v>0</v>
      </c>
      <c r="AA520" s="127">
        <f t="shared" si="131"/>
        <v>25714</v>
      </c>
      <c r="AB520" s="27" t="s">
        <v>15</v>
      </c>
      <c r="AC520" s="324"/>
      <c r="AD520" s="181">
        <f t="shared" si="113"/>
        <v>87.54</v>
      </c>
      <c r="AE520" s="181">
        <f t="shared" si="132"/>
        <v>25714</v>
      </c>
      <c r="AF520" s="181">
        <v>5</v>
      </c>
      <c r="AG520" s="181">
        <v>5</v>
      </c>
      <c r="AH520" s="363" t="str">
        <f t="shared" si="121"/>
        <v/>
      </c>
      <c r="AI520" s="192">
        <v>87.54</v>
      </c>
      <c r="AJ520" s="188">
        <v>87.54</v>
      </c>
      <c r="AO520" s="367"/>
      <c r="AP520" s="367"/>
      <c r="AQ520" s="367"/>
    </row>
    <row r="521" spans="1:43" s="69" customFormat="1" ht="33" customHeight="1" x14ac:dyDescent="0.3">
      <c r="A521" s="130" t="s">
        <v>1194</v>
      </c>
      <c r="B521" s="131" t="s">
        <v>1195</v>
      </c>
      <c r="C521" s="132" t="s">
        <v>1196</v>
      </c>
      <c r="D521" s="133">
        <v>2</v>
      </c>
      <c r="E521" s="75"/>
      <c r="F521" s="75"/>
      <c r="G521" s="76"/>
      <c r="H521" s="76"/>
      <c r="I521" s="76"/>
      <c r="J521" s="76">
        <v>10000</v>
      </c>
      <c r="K521" s="76">
        <v>20000</v>
      </c>
      <c r="L521" s="91" t="s">
        <v>1197</v>
      </c>
      <c r="M521" s="73"/>
      <c r="N521" s="46">
        <v>2</v>
      </c>
      <c r="O521" s="46">
        <v>0</v>
      </c>
      <c r="P521" s="46">
        <v>20000</v>
      </c>
      <c r="Q521" s="98"/>
      <c r="R521" s="23" t="s">
        <v>1429</v>
      </c>
      <c r="S521" s="24" t="s">
        <v>1195</v>
      </c>
      <c r="T521" s="25" t="s">
        <v>1196</v>
      </c>
      <c r="U521" s="26">
        <v>2</v>
      </c>
      <c r="V521" s="26">
        <f t="shared" si="128"/>
        <v>2</v>
      </c>
      <c r="W521" s="26">
        <f t="shared" si="114"/>
        <v>10000</v>
      </c>
      <c r="X521" s="127">
        <f t="shared" si="129"/>
        <v>0</v>
      </c>
      <c r="Y521" s="127">
        <f t="shared" si="133"/>
        <v>2</v>
      </c>
      <c r="Z521" s="127">
        <f t="shared" si="130"/>
        <v>0</v>
      </c>
      <c r="AA521" s="127">
        <f t="shared" si="131"/>
        <v>20000</v>
      </c>
      <c r="AB521" s="33" t="s">
        <v>15</v>
      </c>
      <c r="AC521" s="324"/>
      <c r="AD521" s="181">
        <f t="shared" si="113"/>
        <v>2</v>
      </c>
      <c r="AE521" s="181">
        <f t="shared" si="132"/>
        <v>20000</v>
      </c>
      <c r="AF521" s="181">
        <v>5</v>
      </c>
      <c r="AG521" s="181">
        <v>5</v>
      </c>
      <c r="AH521" s="363" t="str">
        <f t="shared" si="121"/>
        <v/>
      </c>
      <c r="AI521" s="192">
        <v>2</v>
      </c>
      <c r="AJ521" s="188">
        <v>2</v>
      </c>
      <c r="AO521" s="367"/>
      <c r="AP521" s="367"/>
      <c r="AQ521" s="367"/>
    </row>
    <row r="522" spans="1:43" s="69" customFormat="1" ht="33" customHeight="1" x14ac:dyDescent="0.3">
      <c r="A522" s="55" t="s">
        <v>1198</v>
      </c>
      <c r="B522" s="53" t="s">
        <v>1199</v>
      </c>
      <c r="C522" s="54" t="s">
        <v>30</v>
      </c>
      <c r="D522" s="75">
        <v>1064.31</v>
      </c>
      <c r="E522" s="75"/>
      <c r="F522" s="161"/>
      <c r="G522" s="158"/>
      <c r="H522" s="158"/>
      <c r="I522" s="158"/>
      <c r="J522" s="158">
        <v>210</v>
      </c>
      <c r="K522" s="158">
        <v>223505.1</v>
      </c>
      <c r="L522" s="321" t="s">
        <v>1200</v>
      </c>
      <c r="M522" s="73"/>
      <c r="N522" s="46">
        <v>1009.3</v>
      </c>
      <c r="O522" s="46">
        <v>0</v>
      </c>
      <c r="P522" s="46">
        <v>211953</v>
      </c>
      <c r="Q522" s="98"/>
      <c r="R522" s="23" t="s">
        <v>1430</v>
      </c>
      <c r="S522" s="24" t="s">
        <v>1199</v>
      </c>
      <c r="T522" s="25" t="s">
        <v>30</v>
      </c>
      <c r="U522" s="26">
        <v>1064.31</v>
      </c>
      <c r="V522" s="26">
        <f t="shared" si="128"/>
        <v>1064.31</v>
      </c>
      <c r="W522" s="26">
        <f t="shared" si="114"/>
        <v>210</v>
      </c>
      <c r="X522" s="128">
        <f t="shared" si="129"/>
        <v>0</v>
      </c>
      <c r="Y522" s="26">
        <f t="shared" si="133"/>
        <v>1009.3</v>
      </c>
      <c r="Z522" s="26">
        <f t="shared" si="130"/>
        <v>0</v>
      </c>
      <c r="AA522" s="26">
        <f t="shared" si="131"/>
        <v>211953</v>
      </c>
      <c r="AB522" s="33" t="s">
        <v>15</v>
      </c>
      <c r="AC522" s="324"/>
      <c r="AD522" s="181">
        <f t="shared" ref="AD522:AD557" si="134">IF(V522=0,U522,V522)</f>
        <v>1064.31</v>
      </c>
      <c r="AE522" s="181">
        <f t="shared" si="132"/>
        <v>223505.1</v>
      </c>
      <c r="AF522" s="181">
        <v>5</v>
      </c>
      <c r="AG522" s="181">
        <v>5</v>
      </c>
      <c r="AH522" s="363" t="str">
        <f t="shared" si="121"/>
        <v/>
      </c>
      <c r="AI522" s="194">
        <f>845+110+32+22.3</f>
        <v>1009.3</v>
      </c>
      <c r="AJ522" s="188">
        <v>1064.31</v>
      </c>
      <c r="AO522" s="367"/>
      <c r="AP522" s="367"/>
      <c r="AQ522" s="367"/>
    </row>
    <row r="523" spans="1:43" s="69" customFormat="1" ht="39" x14ac:dyDescent="0.3">
      <c r="A523" s="55" t="s">
        <v>1201</v>
      </c>
      <c r="B523" s="53" t="s">
        <v>1202</v>
      </c>
      <c r="C523" s="54" t="s">
        <v>30</v>
      </c>
      <c r="D523" s="75">
        <v>1910.54</v>
      </c>
      <c r="E523" s="75"/>
      <c r="F523" s="161"/>
      <c r="G523" s="158"/>
      <c r="H523" s="158"/>
      <c r="I523" s="158"/>
      <c r="J523" s="158">
        <v>300</v>
      </c>
      <c r="K523" s="158">
        <v>573162</v>
      </c>
      <c r="L523" s="321" t="s">
        <v>1203</v>
      </c>
      <c r="M523" s="73"/>
      <c r="N523" s="46">
        <v>1793.1999999999998</v>
      </c>
      <c r="O523" s="46">
        <v>24300</v>
      </c>
      <c r="P523" s="46">
        <v>537960</v>
      </c>
      <c r="Q523" s="98"/>
      <c r="R523" s="23" t="s">
        <v>1431</v>
      </c>
      <c r="S523" s="24" t="s">
        <v>1202</v>
      </c>
      <c r="T523" s="25" t="s">
        <v>30</v>
      </c>
      <c r="U523" s="26">
        <v>1910.54</v>
      </c>
      <c r="V523" s="26">
        <f t="shared" si="128"/>
        <v>1910.54</v>
      </c>
      <c r="W523" s="26">
        <f t="shared" ref="W523:W557" si="135">J523</f>
        <v>300</v>
      </c>
      <c r="X523" s="243">
        <f t="shared" si="129"/>
        <v>0</v>
      </c>
      <c r="Y523" s="26">
        <f t="shared" si="133"/>
        <v>1793.1999999999998</v>
      </c>
      <c r="Z523" s="26">
        <f t="shared" si="130"/>
        <v>0</v>
      </c>
      <c r="AA523" s="26">
        <f t="shared" si="131"/>
        <v>537960</v>
      </c>
      <c r="AB523" s="33" t="s">
        <v>15</v>
      </c>
      <c r="AC523" s="324"/>
      <c r="AD523" s="181">
        <f t="shared" si="134"/>
        <v>1910.54</v>
      </c>
      <c r="AE523" s="181">
        <f t="shared" si="132"/>
        <v>573162</v>
      </c>
      <c r="AF523" s="181">
        <v>5</v>
      </c>
      <c r="AG523" s="181">
        <v>5</v>
      </c>
      <c r="AH523" s="363" t="str">
        <f t="shared" si="121"/>
        <v/>
      </c>
      <c r="AI523" s="191">
        <f>1106+136+265.3+67.5+65.6+71.8+2.25*36</f>
        <v>1793.1999999999998</v>
      </c>
      <c r="AJ523" s="188">
        <v>1910.54</v>
      </c>
      <c r="AO523" s="367"/>
      <c r="AP523" s="367"/>
      <c r="AQ523" s="367"/>
    </row>
    <row r="524" spans="1:43" s="69" customFormat="1" ht="39" x14ac:dyDescent="0.3">
      <c r="A524" s="55" t="s">
        <v>1204</v>
      </c>
      <c r="B524" s="53" t="s">
        <v>1205</v>
      </c>
      <c r="C524" s="54" t="s">
        <v>30</v>
      </c>
      <c r="D524" s="75">
        <v>2738.45</v>
      </c>
      <c r="E524" s="75"/>
      <c r="F524" s="161"/>
      <c r="G524" s="158"/>
      <c r="H524" s="158"/>
      <c r="I524" s="158"/>
      <c r="J524" s="158">
        <v>200</v>
      </c>
      <c r="K524" s="158">
        <v>547690</v>
      </c>
      <c r="L524" s="321" t="s">
        <v>1206</v>
      </c>
      <c r="M524" s="73"/>
      <c r="N524" s="46">
        <v>2592.1</v>
      </c>
      <c r="O524" s="46">
        <v>65000</v>
      </c>
      <c r="P524" s="46">
        <v>518420</v>
      </c>
      <c r="Q524" s="98"/>
      <c r="R524" s="23" t="s">
        <v>1395</v>
      </c>
      <c r="S524" s="24" t="s">
        <v>1205</v>
      </c>
      <c r="T524" s="25" t="s">
        <v>30</v>
      </c>
      <c r="U524" s="26">
        <v>2738.45</v>
      </c>
      <c r="V524" s="26">
        <f t="shared" si="128"/>
        <v>2738.45</v>
      </c>
      <c r="W524" s="26">
        <f t="shared" si="135"/>
        <v>200</v>
      </c>
      <c r="X524" s="243">
        <f t="shared" si="129"/>
        <v>0</v>
      </c>
      <c r="Y524" s="26">
        <f t="shared" si="133"/>
        <v>2592.1</v>
      </c>
      <c r="Z524" s="26">
        <f t="shared" si="130"/>
        <v>0</v>
      </c>
      <c r="AA524" s="26">
        <f t="shared" si="131"/>
        <v>518420</v>
      </c>
      <c r="AB524" s="33" t="s">
        <v>15</v>
      </c>
      <c r="AC524" s="324"/>
      <c r="AD524" s="181">
        <f t="shared" si="134"/>
        <v>2738.45</v>
      </c>
      <c r="AE524" s="181">
        <f t="shared" si="132"/>
        <v>547690</v>
      </c>
      <c r="AF524" s="181">
        <v>5</v>
      </c>
      <c r="AG524" s="181">
        <v>5</v>
      </c>
      <c r="AH524" s="363" t="str">
        <f t="shared" si="121"/>
        <v/>
      </c>
      <c r="AI524" s="191">
        <f>1256.3+192+337.2+121.2+215.8+36.8+68.7+39.1+325</f>
        <v>2592.1</v>
      </c>
      <c r="AJ524" s="188">
        <v>2738.45</v>
      </c>
      <c r="AO524" s="367"/>
      <c r="AP524" s="367"/>
      <c r="AQ524" s="367"/>
    </row>
    <row r="525" spans="1:43" s="69" customFormat="1" ht="33" customHeight="1" x14ac:dyDescent="0.3">
      <c r="A525" s="55" t="s">
        <v>1207</v>
      </c>
      <c r="B525" s="53" t="s">
        <v>1208</v>
      </c>
      <c r="C525" s="54" t="s">
        <v>14</v>
      </c>
      <c r="D525" s="75">
        <v>1</v>
      </c>
      <c r="E525" s="75"/>
      <c r="F525" s="224"/>
      <c r="G525" s="158"/>
      <c r="H525" s="158"/>
      <c r="I525" s="158"/>
      <c r="J525" s="158">
        <v>21460.9</v>
      </c>
      <c r="K525" s="158">
        <v>21460.9</v>
      </c>
      <c r="L525" s="321" t="s">
        <v>1209</v>
      </c>
      <c r="M525" s="73"/>
      <c r="N525" s="46">
        <v>0</v>
      </c>
      <c r="O525" s="46">
        <v>0</v>
      </c>
      <c r="P525" s="46">
        <v>0</v>
      </c>
      <c r="Q525" s="98"/>
      <c r="R525" s="23" t="s">
        <v>1432</v>
      </c>
      <c r="S525" s="24" t="s">
        <v>1208</v>
      </c>
      <c r="T525" s="25" t="s">
        <v>14</v>
      </c>
      <c r="U525" s="26">
        <v>1</v>
      </c>
      <c r="V525" s="26">
        <f t="shared" si="128"/>
        <v>1</v>
      </c>
      <c r="W525" s="26">
        <f t="shared" si="135"/>
        <v>21460.9</v>
      </c>
      <c r="X525" s="26">
        <f t="shared" si="129"/>
        <v>0</v>
      </c>
      <c r="Y525" s="26">
        <f t="shared" si="133"/>
        <v>0</v>
      </c>
      <c r="Z525" s="352">
        <f t="shared" si="130"/>
        <v>0</v>
      </c>
      <c r="AA525" s="26">
        <f t="shared" si="131"/>
        <v>0</v>
      </c>
      <c r="AB525" s="33" t="s">
        <v>15</v>
      </c>
      <c r="AC525" s="324"/>
      <c r="AD525" s="181">
        <f t="shared" si="134"/>
        <v>1</v>
      </c>
      <c r="AE525" s="181">
        <f t="shared" si="132"/>
        <v>21460.9</v>
      </c>
      <c r="AF525" s="181">
        <v>5</v>
      </c>
      <c r="AG525" s="181">
        <v>5</v>
      </c>
      <c r="AH525" s="363" t="str">
        <f t="shared" si="121"/>
        <v/>
      </c>
      <c r="AI525" s="192">
        <v>0</v>
      </c>
      <c r="AJ525" s="188">
        <v>1</v>
      </c>
      <c r="AO525" s="367"/>
      <c r="AP525" s="367"/>
      <c r="AQ525" s="367"/>
    </row>
    <row r="526" spans="1:43" s="69" customFormat="1" ht="39" x14ac:dyDescent="0.3">
      <c r="A526" s="251">
        <v>5.18</v>
      </c>
      <c r="B526" s="252" t="s">
        <v>1356</v>
      </c>
      <c r="C526" s="157" t="s">
        <v>97</v>
      </c>
      <c r="D526" s="253"/>
      <c r="E526" s="59">
        <v>720</v>
      </c>
      <c r="F526" s="57"/>
      <c r="G526" s="180"/>
      <c r="H526" s="180"/>
      <c r="I526" s="180"/>
      <c r="J526" s="230">
        <v>273.11</v>
      </c>
      <c r="K526" s="59">
        <v>196639.2</v>
      </c>
      <c r="L526" s="322"/>
      <c r="M526" s="73"/>
      <c r="N526" s="46">
        <v>640</v>
      </c>
      <c r="O526" s="46">
        <v>0</v>
      </c>
      <c r="P526" s="46">
        <v>174790.39999999999</v>
      </c>
      <c r="Q526" s="98"/>
      <c r="R526" s="23" t="s">
        <v>1433</v>
      </c>
      <c r="S526" s="24" t="s">
        <v>1503</v>
      </c>
      <c r="T526" s="25" t="s">
        <v>97</v>
      </c>
      <c r="U526" s="26">
        <v>0</v>
      </c>
      <c r="V526" s="26">
        <f t="shared" si="128"/>
        <v>720</v>
      </c>
      <c r="W526" s="26">
        <f t="shared" si="135"/>
        <v>273.11</v>
      </c>
      <c r="X526" s="128">
        <f t="shared" si="129"/>
        <v>0</v>
      </c>
      <c r="Y526" s="26">
        <f t="shared" si="133"/>
        <v>640</v>
      </c>
      <c r="Z526" s="26">
        <f t="shared" si="130"/>
        <v>0</v>
      </c>
      <c r="AA526" s="26">
        <f t="shared" si="131"/>
        <v>174790.39999999999</v>
      </c>
      <c r="AB526" s="27"/>
      <c r="AC526" s="324"/>
      <c r="AD526" s="181">
        <f t="shared" si="134"/>
        <v>720</v>
      </c>
      <c r="AE526" s="181">
        <f t="shared" si="132"/>
        <v>196639.2</v>
      </c>
      <c r="AF526" s="181">
        <v>5</v>
      </c>
      <c r="AG526" s="181">
        <v>5</v>
      </c>
      <c r="AH526" s="363" t="str">
        <f t="shared" si="121"/>
        <v/>
      </c>
      <c r="AI526" s="194">
        <v>640</v>
      </c>
      <c r="AJ526" s="188">
        <v>720</v>
      </c>
      <c r="AO526" s="367"/>
      <c r="AP526" s="367"/>
      <c r="AQ526" s="367"/>
    </row>
    <row r="527" spans="1:43" s="69" customFormat="1" ht="58.5" x14ac:dyDescent="0.3">
      <c r="A527" s="144">
        <v>5.19</v>
      </c>
      <c r="B527" s="145" t="s">
        <v>1357</v>
      </c>
      <c r="C527" s="206" t="s">
        <v>30</v>
      </c>
      <c r="D527" s="221"/>
      <c r="E527" s="175">
        <v>212</v>
      </c>
      <c r="F527" s="57"/>
      <c r="G527" s="180"/>
      <c r="H527" s="180"/>
      <c r="I527" s="180"/>
      <c r="J527" s="230">
        <v>1859.87</v>
      </c>
      <c r="K527" s="59">
        <v>394292.44</v>
      </c>
      <c r="L527" s="323"/>
      <c r="M527" s="73"/>
      <c r="N527" s="46">
        <v>212</v>
      </c>
      <c r="O527" s="46">
        <v>0</v>
      </c>
      <c r="P527" s="46">
        <v>394292.44</v>
      </c>
      <c r="Q527" s="98"/>
      <c r="R527" s="23" t="s">
        <v>1382</v>
      </c>
      <c r="S527" s="24" t="s">
        <v>1504</v>
      </c>
      <c r="T527" s="25" t="s">
        <v>30</v>
      </c>
      <c r="U527" s="26">
        <v>0</v>
      </c>
      <c r="V527" s="26">
        <f t="shared" si="128"/>
        <v>212</v>
      </c>
      <c r="W527" s="26">
        <f t="shared" si="135"/>
        <v>1859.87</v>
      </c>
      <c r="X527" s="127">
        <f t="shared" si="129"/>
        <v>0</v>
      </c>
      <c r="Y527" s="127">
        <f t="shared" si="133"/>
        <v>212</v>
      </c>
      <c r="Z527" s="127">
        <f t="shared" si="130"/>
        <v>0</v>
      </c>
      <c r="AA527" s="127">
        <f t="shared" si="131"/>
        <v>394292.44</v>
      </c>
      <c r="AB527" s="27"/>
      <c r="AC527" s="324"/>
      <c r="AD527" s="181">
        <f t="shared" si="134"/>
        <v>212</v>
      </c>
      <c r="AE527" s="181">
        <f t="shared" si="132"/>
        <v>394292.44</v>
      </c>
      <c r="AF527" s="181">
        <v>5</v>
      </c>
      <c r="AG527" s="181">
        <v>5</v>
      </c>
      <c r="AH527" s="363" t="str">
        <f t="shared" si="121"/>
        <v/>
      </c>
      <c r="AI527" s="192">
        <v>212</v>
      </c>
      <c r="AJ527" s="188">
        <v>212</v>
      </c>
      <c r="AO527" s="367"/>
      <c r="AP527" s="367"/>
      <c r="AQ527" s="367"/>
    </row>
    <row r="528" spans="1:43" s="69" customFormat="1" ht="39" x14ac:dyDescent="0.3">
      <c r="A528" s="210" t="s">
        <v>3106</v>
      </c>
      <c r="B528" s="208" t="s">
        <v>3107</v>
      </c>
      <c r="C528" s="204" t="s">
        <v>14</v>
      </c>
      <c r="D528" s="208"/>
      <c r="E528" s="159"/>
      <c r="F528" s="156"/>
      <c r="G528" s="156">
        <v>1</v>
      </c>
      <c r="H528" s="156"/>
      <c r="I528" s="156"/>
      <c r="J528" s="158">
        <v>263694.64</v>
      </c>
      <c r="K528" s="159">
        <v>263694.64</v>
      </c>
      <c r="L528" s="160"/>
      <c r="M528" s="73"/>
      <c r="N528" s="46">
        <v>1</v>
      </c>
      <c r="O528" s="46">
        <v>0</v>
      </c>
      <c r="P528" s="46">
        <v>263694.64</v>
      </c>
      <c r="Q528" s="98"/>
      <c r="R528" s="23" t="s">
        <v>3108</v>
      </c>
      <c r="S528" s="24" t="s">
        <v>3107</v>
      </c>
      <c r="T528" s="25" t="s">
        <v>14</v>
      </c>
      <c r="U528" s="26"/>
      <c r="V528" s="26">
        <f t="shared" si="128"/>
        <v>1</v>
      </c>
      <c r="W528" s="26">
        <f t="shared" si="135"/>
        <v>263694.64</v>
      </c>
      <c r="X528" s="127">
        <f t="shared" si="129"/>
        <v>0</v>
      </c>
      <c r="Y528" s="127">
        <f t="shared" si="133"/>
        <v>1</v>
      </c>
      <c r="Z528" s="127">
        <f t="shared" si="130"/>
        <v>0</v>
      </c>
      <c r="AA528" s="127">
        <f t="shared" si="131"/>
        <v>263694.64</v>
      </c>
      <c r="AB528" s="27"/>
      <c r="AC528" s="324"/>
      <c r="AD528" s="181">
        <f t="shared" si="134"/>
        <v>1</v>
      </c>
      <c r="AE528" s="181">
        <f t="shared" si="132"/>
        <v>263694.64</v>
      </c>
      <c r="AF528" s="181">
        <v>5</v>
      </c>
      <c r="AG528" s="181">
        <v>5</v>
      </c>
      <c r="AH528" s="363"/>
      <c r="AI528" s="192">
        <v>1</v>
      </c>
      <c r="AJ528" s="188">
        <v>1</v>
      </c>
      <c r="AO528" s="367"/>
      <c r="AP528" s="367"/>
      <c r="AQ528" s="367"/>
    </row>
    <row r="529" spans="1:43" s="69" customFormat="1" x14ac:dyDescent="0.3">
      <c r="A529" s="150" t="s">
        <v>1210</v>
      </c>
      <c r="B529" s="151" t="s">
        <v>1211</v>
      </c>
      <c r="C529" s="152" t="s">
        <v>14</v>
      </c>
      <c r="D529" s="153">
        <v>1</v>
      </c>
      <c r="E529" s="153"/>
      <c r="F529" s="153"/>
      <c r="G529" s="153"/>
      <c r="H529" s="153"/>
      <c r="I529" s="153"/>
      <c r="J529" s="153">
        <v>3523470.96</v>
      </c>
      <c r="K529" s="153">
        <v>3523470.96</v>
      </c>
      <c r="L529" s="154" t="s">
        <v>15</v>
      </c>
      <c r="M529" s="73"/>
      <c r="N529" s="42">
        <v>1</v>
      </c>
      <c r="O529" s="42">
        <v>94936</v>
      </c>
      <c r="P529" s="42">
        <v>3266373.8600000003</v>
      </c>
      <c r="Q529" s="98"/>
      <c r="R529" s="13" t="s">
        <v>1415</v>
      </c>
      <c r="S529" s="14" t="s">
        <v>1211</v>
      </c>
      <c r="T529" s="15" t="s">
        <v>14</v>
      </c>
      <c r="U529" s="16">
        <v>1</v>
      </c>
      <c r="V529" s="16"/>
      <c r="W529" s="16">
        <f t="shared" si="135"/>
        <v>3523470.96</v>
      </c>
      <c r="X529" s="16">
        <f t="shared" ref="X529:Y529" si="136">IF(Z529=0,0,1)</f>
        <v>1</v>
      </c>
      <c r="Y529" s="16">
        <f t="shared" si="136"/>
        <v>1</v>
      </c>
      <c r="Z529" s="16">
        <f>SUMIFS(Z:Z,AG:AG,AF529)</f>
        <v>94936</v>
      </c>
      <c r="AA529" s="16">
        <f>SUMIFS(AA:AA,AG:AG,AF529)</f>
        <v>3361309.8600000003</v>
      </c>
      <c r="AB529" s="17" t="s">
        <v>15</v>
      </c>
      <c r="AC529" s="232"/>
      <c r="AD529" s="181">
        <f t="shared" si="134"/>
        <v>1</v>
      </c>
      <c r="AE529" s="183"/>
      <c r="AF529" s="183">
        <v>6</v>
      </c>
      <c r="AG529" s="183"/>
      <c r="AH529" s="363" t="str">
        <f t="shared" si="121"/>
        <v/>
      </c>
      <c r="AI529" s="192">
        <v>1</v>
      </c>
      <c r="AJ529" s="188">
        <v>1</v>
      </c>
      <c r="AO529" s="367"/>
      <c r="AP529" s="367"/>
      <c r="AQ529" s="367"/>
    </row>
    <row r="530" spans="1:43" s="69" customFormat="1" ht="33" customHeight="1" x14ac:dyDescent="0.3">
      <c r="A530" s="130" t="s">
        <v>1212</v>
      </c>
      <c r="B530" s="131" t="s">
        <v>1213</v>
      </c>
      <c r="C530" s="132" t="s">
        <v>1014</v>
      </c>
      <c r="D530" s="133">
        <v>10</v>
      </c>
      <c r="E530" s="75"/>
      <c r="F530" s="75"/>
      <c r="G530" s="75"/>
      <c r="H530" s="75"/>
      <c r="I530" s="75"/>
      <c r="J530" s="75">
        <v>770</v>
      </c>
      <c r="K530" s="75">
        <v>7700</v>
      </c>
      <c r="L530" s="91" t="s">
        <v>1214</v>
      </c>
      <c r="M530" s="73"/>
      <c r="N530" s="46">
        <v>10</v>
      </c>
      <c r="O530" s="46">
        <v>0</v>
      </c>
      <c r="P530" s="46">
        <v>7700</v>
      </c>
      <c r="Q530" s="98"/>
      <c r="R530" s="23" t="s">
        <v>1421</v>
      </c>
      <c r="S530" s="24" t="s">
        <v>1213</v>
      </c>
      <c r="T530" s="25" t="s">
        <v>1014</v>
      </c>
      <c r="U530" s="26">
        <v>10</v>
      </c>
      <c r="V530" s="26">
        <f t="shared" ref="V530:V548" si="137">IF(I530&gt;0,I530,IF(H530&gt;0,H530,IF(G530&gt;0,G530,IF(F530&gt;0,F530,IF(E530&gt;0,E530,D530)))))</f>
        <v>10</v>
      </c>
      <c r="W530" s="26">
        <f t="shared" si="135"/>
        <v>770</v>
      </c>
      <c r="X530" s="127">
        <f t="shared" ref="X530:X548" si="138">AI530-N530</f>
        <v>0</v>
      </c>
      <c r="Y530" s="127">
        <f t="shared" si="133"/>
        <v>10</v>
      </c>
      <c r="Z530" s="127">
        <f t="shared" ref="Z530:Z546" si="139">AA530-P530</f>
        <v>0</v>
      </c>
      <c r="AA530" s="127">
        <f t="shared" ref="AA530:AA547" si="140">ROUND(W530*Y530,2)</f>
        <v>7700</v>
      </c>
      <c r="AB530" s="33" t="s">
        <v>15</v>
      </c>
      <c r="AC530" s="324"/>
      <c r="AD530" s="181">
        <f t="shared" si="134"/>
        <v>10</v>
      </c>
      <c r="AE530" s="181">
        <f t="shared" ref="AE530:AE548" si="141">ROUND(W530*AD530,2)</f>
        <v>7700</v>
      </c>
      <c r="AF530" s="181">
        <v>6</v>
      </c>
      <c r="AG530" s="181">
        <v>6</v>
      </c>
      <c r="AH530" s="363" t="str">
        <f t="shared" si="121"/>
        <v/>
      </c>
      <c r="AI530" s="192">
        <v>10</v>
      </c>
      <c r="AJ530" s="188">
        <v>10</v>
      </c>
      <c r="AO530" s="367"/>
      <c r="AP530" s="367"/>
      <c r="AQ530" s="367"/>
    </row>
    <row r="531" spans="1:43" s="69" customFormat="1" ht="33" customHeight="1" x14ac:dyDescent="0.3">
      <c r="A531" s="130" t="s">
        <v>1215</v>
      </c>
      <c r="B531" s="131" t="s">
        <v>1216</v>
      </c>
      <c r="C531" s="132" t="s">
        <v>1217</v>
      </c>
      <c r="D531" s="133">
        <v>100</v>
      </c>
      <c r="E531" s="75"/>
      <c r="F531" s="75"/>
      <c r="G531" s="75"/>
      <c r="H531" s="75"/>
      <c r="I531" s="75"/>
      <c r="J531" s="75">
        <v>201</v>
      </c>
      <c r="K531" s="75">
        <v>20100</v>
      </c>
      <c r="L531" s="91" t="s">
        <v>1218</v>
      </c>
      <c r="M531" s="73"/>
      <c r="N531" s="46">
        <v>100</v>
      </c>
      <c r="O531" s="46">
        <v>0</v>
      </c>
      <c r="P531" s="46">
        <v>20100</v>
      </c>
      <c r="Q531" s="98"/>
      <c r="R531" s="23" t="s">
        <v>1426</v>
      </c>
      <c r="S531" s="24" t="s">
        <v>1216</v>
      </c>
      <c r="T531" s="25" t="s">
        <v>1217</v>
      </c>
      <c r="U531" s="26">
        <v>100</v>
      </c>
      <c r="V531" s="26">
        <f t="shared" si="137"/>
        <v>100</v>
      </c>
      <c r="W531" s="26">
        <f t="shared" si="135"/>
        <v>201</v>
      </c>
      <c r="X531" s="127">
        <f t="shared" si="138"/>
        <v>0</v>
      </c>
      <c r="Y531" s="127">
        <f t="shared" si="133"/>
        <v>100</v>
      </c>
      <c r="Z531" s="127">
        <f t="shared" si="139"/>
        <v>0</v>
      </c>
      <c r="AA531" s="127">
        <f t="shared" si="140"/>
        <v>20100</v>
      </c>
      <c r="AB531" s="33" t="s">
        <v>15</v>
      </c>
      <c r="AC531" s="324"/>
      <c r="AD531" s="181">
        <f t="shared" si="134"/>
        <v>100</v>
      </c>
      <c r="AE531" s="181">
        <f t="shared" si="141"/>
        <v>20100</v>
      </c>
      <c r="AF531" s="181">
        <v>6</v>
      </c>
      <c r="AG531" s="181">
        <v>6</v>
      </c>
      <c r="AH531" s="363" t="str">
        <f t="shared" si="121"/>
        <v/>
      </c>
      <c r="AI531" s="192">
        <v>100</v>
      </c>
      <c r="AJ531" s="188">
        <v>100</v>
      </c>
      <c r="AO531" s="367"/>
      <c r="AP531" s="367"/>
      <c r="AQ531" s="367"/>
    </row>
    <row r="532" spans="1:43" s="69" customFormat="1" ht="58.5" x14ac:dyDescent="0.3">
      <c r="A532" s="130" t="s">
        <v>1219</v>
      </c>
      <c r="B532" s="131" t="s">
        <v>1220</v>
      </c>
      <c r="C532" s="132" t="s">
        <v>1221</v>
      </c>
      <c r="D532" s="133">
        <v>50</v>
      </c>
      <c r="E532" s="75"/>
      <c r="F532" s="75"/>
      <c r="G532" s="75"/>
      <c r="H532" s="75"/>
      <c r="I532" s="75"/>
      <c r="J532" s="75">
        <v>300</v>
      </c>
      <c r="K532" s="75">
        <v>15000</v>
      </c>
      <c r="L532" s="91" t="s">
        <v>1222</v>
      </c>
      <c r="M532" s="73"/>
      <c r="N532" s="46">
        <v>50</v>
      </c>
      <c r="O532" s="46">
        <v>0</v>
      </c>
      <c r="P532" s="46">
        <v>15000</v>
      </c>
      <c r="Q532" s="98"/>
      <c r="R532" s="23" t="s">
        <v>1402</v>
      </c>
      <c r="S532" s="24" t="s">
        <v>1220</v>
      </c>
      <c r="T532" s="25" t="s">
        <v>1221</v>
      </c>
      <c r="U532" s="26">
        <v>50</v>
      </c>
      <c r="V532" s="26">
        <f t="shared" si="137"/>
        <v>50</v>
      </c>
      <c r="W532" s="26">
        <f t="shared" si="135"/>
        <v>300</v>
      </c>
      <c r="X532" s="127">
        <f t="shared" si="138"/>
        <v>0</v>
      </c>
      <c r="Y532" s="127">
        <f t="shared" si="133"/>
        <v>50</v>
      </c>
      <c r="Z532" s="127">
        <f t="shared" si="139"/>
        <v>0</v>
      </c>
      <c r="AA532" s="127">
        <f t="shared" si="140"/>
        <v>15000</v>
      </c>
      <c r="AB532" s="33" t="s">
        <v>15</v>
      </c>
      <c r="AC532" s="324"/>
      <c r="AD532" s="181">
        <f t="shared" si="134"/>
        <v>50</v>
      </c>
      <c r="AE532" s="181">
        <f t="shared" si="141"/>
        <v>15000</v>
      </c>
      <c r="AF532" s="181">
        <v>6</v>
      </c>
      <c r="AG532" s="181">
        <v>6</v>
      </c>
      <c r="AH532" s="363" t="str">
        <f t="shared" si="121"/>
        <v/>
      </c>
      <c r="AI532" s="192">
        <v>50</v>
      </c>
      <c r="AJ532" s="188">
        <v>50</v>
      </c>
      <c r="AO532" s="367"/>
      <c r="AP532" s="367"/>
      <c r="AQ532" s="367"/>
    </row>
    <row r="533" spans="1:43" s="69" customFormat="1" ht="33" customHeight="1" x14ac:dyDescent="0.3">
      <c r="A533" s="130" t="s">
        <v>1223</v>
      </c>
      <c r="B533" s="131" t="s">
        <v>1224</v>
      </c>
      <c r="C533" s="132" t="s">
        <v>325</v>
      </c>
      <c r="D533" s="133">
        <v>75</v>
      </c>
      <c r="E533" s="75"/>
      <c r="F533" s="75"/>
      <c r="G533" s="75"/>
      <c r="H533" s="75"/>
      <c r="I533" s="75"/>
      <c r="J533" s="75">
        <v>650</v>
      </c>
      <c r="K533" s="75">
        <v>48750</v>
      </c>
      <c r="L533" s="91" t="s">
        <v>1225</v>
      </c>
      <c r="M533" s="73"/>
      <c r="N533" s="46">
        <v>75</v>
      </c>
      <c r="O533" s="46">
        <v>0</v>
      </c>
      <c r="P533" s="46">
        <v>48750</v>
      </c>
      <c r="Q533" s="98"/>
      <c r="R533" s="23" t="s">
        <v>1373</v>
      </c>
      <c r="S533" s="24" t="s">
        <v>1224</v>
      </c>
      <c r="T533" s="25" t="s">
        <v>325</v>
      </c>
      <c r="U533" s="26">
        <v>75</v>
      </c>
      <c r="V533" s="26">
        <f t="shared" si="137"/>
        <v>75</v>
      </c>
      <c r="W533" s="26">
        <f t="shared" si="135"/>
        <v>650</v>
      </c>
      <c r="X533" s="127">
        <f t="shared" si="138"/>
        <v>0</v>
      </c>
      <c r="Y533" s="127">
        <f t="shared" si="133"/>
        <v>75</v>
      </c>
      <c r="Z533" s="127">
        <f t="shared" si="139"/>
        <v>0</v>
      </c>
      <c r="AA533" s="127">
        <f t="shared" si="140"/>
        <v>48750</v>
      </c>
      <c r="AB533" s="33" t="s">
        <v>15</v>
      </c>
      <c r="AC533" s="324"/>
      <c r="AD533" s="181">
        <f t="shared" si="134"/>
        <v>75</v>
      </c>
      <c r="AE533" s="181">
        <f t="shared" si="141"/>
        <v>48750</v>
      </c>
      <c r="AF533" s="181">
        <v>6</v>
      </c>
      <c r="AG533" s="181">
        <v>6</v>
      </c>
      <c r="AH533" s="363" t="str">
        <f t="shared" si="121"/>
        <v/>
      </c>
      <c r="AI533" s="192">
        <v>75</v>
      </c>
      <c r="AJ533" s="188">
        <v>75</v>
      </c>
      <c r="AO533" s="367"/>
      <c r="AP533" s="367"/>
      <c r="AQ533" s="367"/>
    </row>
    <row r="534" spans="1:43" s="69" customFormat="1" ht="33" customHeight="1" x14ac:dyDescent="0.3">
      <c r="A534" s="130" t="s">
        <v>1226</v>
      </c>
      <c r="B534" s="131" t="s">
        <v>1227</v>
      </c>
      <c r="C534" s="132" t="s">
        <v>1228</v>
      </c>
      <c r="D534" s="133">
        <v>200</v>
      </c>
      <c r="E534" s="75"/>
      <c r="F534" s="75"/>
      <c r="G534" s="75"/>
      <c r="H534" s="75"/>
      <c r="I534" s="75"/>
      <c r="J534" s="75">
        <v>28</v>
      </c>
      <c r="K534" s="75">
        <v>5600</v>
      </c>
      <c r="L534" s="91" t="s">
        <v>1229</v>
      </c>
      <c r="M534" s="73"/>
      <c r="N534" s="46">
        <v>200</v>
      </c>
      <c r="O534" s="46">
        <v>0</v>
      </c>
      <c r="P534" s="46">
        <v>5600</v>
      </c>
      <c r="Q534" s="98"/>
      <c r="R534" s="23" t="s">
        <v>1393</v>
      </c>
      <c r="S534" s="24" t="s">
        <v>1227</v>
      </c>
      <c r="T534" s="25" t="s">
        <v>1228</v>
      </c>
      <c r="U534" s="26">
        <v>200</v>
      </c>
      <c r="V534" s="26">
        <f t="shared" si="137"/>
        <v>200</v>
      </c>
      <c r="W534" s="26">
        <f t="shared" si="135"/>
        <v>28</v>
      </c>
      <c r="X534" s="127">
        <f t="shared" si="138"/>
        <v>0</v>
      </c>
      <c r="Y534" s="127">
        <f t="shared" si="133"/>
        <v>200</v>
      </c>
      <c r="Z534" s="127">
        <f t="shared" si="139"/>
        <v>0</v>
      </c>
      <c r="AA534" s="127">
        <f t="shared" si="140"/>
        <v>5600</v>
      </c>
      <c r="AB534" s="33" t="s">
        <v>15</v>
      </c>
      <c r="AC534" s="324"/>
      <c r="AD534" s="181">
        <f t="shared" si="134"/>
        <v>200</v>
      </c>
      <c r="AE534" s="181">
        <f t="shared" si="141"/>
        <v>5600</v>
      </c>
      <c r="AF534" s="181">
        <v>6</v>
      </c>
      <c r="AG534" s="181">
        <v>6</v>
      </c>
      <c r="AH534" s="363" t="str">
        <f t="shared" si="121"/>
        <v/>
      </c>
      <c r="AI534" s="192">
        <v>200</v>
      </c>
      <c r="AJ534" s="188">
        <v>200</v>
      </c>
      <c r="AO534" s="367"/>
      <c r="AP534" s="367"/>
      <c r="AQ534" s="367"/>
    </row>
    <row r="535" spans="1:43" s="69" customFormat="1" ht="33" customHeight="1" x14ac:dyDescent="0.3">
      <c r="A535" s="55" t="s">
        <v>1230</v>
      </c>
      <c r="B535" s="53" t="s">
        <v>1231</v>
      </c>
      <c r="C535" s="54" t="s">
        <v>1228</v>
      </c>
      <c r="D535" s="75">
        <v>100</v>
      </c>
      <c r="E535" s="75"/>
      <c r="F535" s="75"/>
      <c r="G535" s="75"/>
      <c r="H535" s="75"/>
      <c r="I535" s="75"/>
      <c r="J535" s="75">
        <v>500</v>
      </c>
      <c r="K535" s="75">
        <v>50000</v>
      </c>
      <c r="L535" s="91" t="s">
        <v>1232</v>
      </c>
      <c r="M535" s="73"/>
      <c r="N535" s="46">
        <v>92</v>
      </c>
      <c r="O535" s="46">
        <v>0</v>
      </c>
      <c r="P535" s="46">
        <v>46000</v>
      </c>
      <c r="Q535" s="98"/>
      <c r="R535" s="23" t="s">
        <v>1403</v>
      </c>
      <c r="S535" s="24" t="s">
        <v>1231</v>
      </c>
      <c r="T535" s="25" t="s">
        <v>1228</v>
      </c>
      <c r="U535" s="26">
        <v>100</v>
      </c>
      <c r="V535" s="26">
        <f t="shared" si="137"/>
        <v>100</v>
      </c>
      <c r="W535" s="26">
        <f t="shared" si="135"/>
        <v>500</v>
      </c>
      <c r="X535" s="128">
        <f t="shared" si="138"/>
        <v>0</v>
      </c>
      <c r="Y535" s="26">
        <f t="shared" si="133"/>
        <v>92</v>
      </c>
      <c r="Z535" s="26">
        <f t="shared" si="139"/>
        <v>0</v>
      </c>
      <c r="AA535" s="26">
        <f t="shared" si="140"/>
        <v>46000</v>
      </c>
      <c r="AB535" s="33" t="s">
        <v>15</v>
      </c>
      <c r="AC535" s="324"/>
      <c r="AD535" s="181">
        <f t="shared" si="134"/>
        <v>100</v>
      </c>
      <c r="AE535" s="181">
        <f t="shared" si="141"/>
        <v>50000</v>
      </c>
      <c r="AF535" s="181">
        <v>6</v>
      </c>
      <c r="AG535" s="181">
        <v>6</v>
      </c>
      <c r="AH535" s="363" t="str">
        <f t="shared" ref="AH535:AH561" si="142">IF(Y535&gt;AJ535,"超估","")</f>
        <v/>
      </c>
      <c r="AI535" s="194">
        <f>62+25+5</f>
        <v>92</v>
      </c>
      <c r="AJ535" s="188">
        <v>100</v>
      </c>
      <c r="AO535" s="367"/>
      <c r="AP535" s="367"/>
      <c r="AQ535" s="367"/>
    </row>
    <row r="536" spans="1:43" s="69" customFormat="1" ht="33" customHeight="1" x14ac:dyDescent="0.3">
      <c r="A536" s="55" t="s">
        <v>1233</v>
      </c>
      <c r="B536" s="53" t="s">
        <v>1234</v>
      </c>
      <c r="C536" s="54" t="s">
        <v>1235</v>
      </c>
      <c r="D536" s="75">
        <v>75</v>
      </c>
      <c r="E536" s="75"/>
      <c r="F536" s="75"/>
      <c r="G536" s="75"/>
      <c r="H536" s="75"/>
      <c r="I536" s="75"/>
      <c r="J536" s="75">
        <v>280</v>
      </c>
      <c r="K536" s="75">
        <v>21000</v>
      </c>
      <c r="L536" s="91" t="s">
        <v>1236</v>
      </c>
      <c r="M536" s="73"/>
      <c r="N536" s="46">
        <v>58</v>
      </c>
      <c r="O536" s="46">
        <v>0</v>
      </c>
      <c r="P536" s="46">
        <v>16240</v>
      </c>
      <c r="Q536" s="98"/>
      <c r="R536" s="23" t="s">
        <v>1427</v>
      </c>
      <c r="S536" s="24" t="s">
        <v>1234</v>
      </c>
      <c r="T536" s="25" t="s">
        <v>1235</v>
      </c>
      <c r="U536" s="26">
        <v>75</v>
      </c>
      <c r="V536" s="26">
        <f t="shared" si="137"/>
        <v>75</v>
      </c>
      <c r="W536" s="26">
        <f t="shared" si="135"/>
        <v>280</v>
      </c>
      <c r="X536" s="128">
        <f t="shared" si="138"/>
        <v>0</v>
      </c>
      <c r="Y536" s="26">
        <f t="shared" si="133"/>
        <v>58</v>
      </c>
      <c r="Z536" s="26">
        <f t="shared" si="139"/>
        <v>0</v>
      </c>
      <c r="AA536" s="26">
        <f t="shared" si="140"/>
        <v>16240</v>
      </c>
      <c r="AB536" s="33" t="s">
        <v>15</v>
      </c>
      <c r="AC536" s="324"/>
      <c r="AD536" s="181">
        <f t="shared" si="134"/>
        <v>75</v>
      </c>
      <c r="AE536" s="181">
        <f t="shared" si="141"/>
        <v>21000</v>
      </c>
      <c r="AF536" s="181">
        <v>6</v>
      </c>
      <c r="AG536" s="181">
        <v>6</v>
      </c>
      <c r="AH536" s="363" t="str">
        <f t="shared" si="142"/>
        <v/>
      </c>
      <c r="AI536" s="194">
        <f>38+15+5</f>
        <v>58</v>
      </c>
      <c r="AJ536" s="188">
        <v>75</v>
      </c>
      <c r="AO536" s="367"/>
      <c r="AP536" s="367"/>
      <c r="AQ536" s="367"/>
    </row>
    <row r="537" spans="1:43" s="69" customFormat="1" ht="82.5" x14ac:dyDescent="0.3">
      <c r="A537" s="130" t="s">
        <v>1237</v>
      </c>
      <c r="B537" s="240" t="s">
        <v>1238</v>
      </c>
      <c r="C537" s="132" t="s">
        <v>1235</v>
      </c>
      <c r="D537" s="133">
        <v>50</v>
      </c>
      <c r="E537" s="75"/>
      <c r="F537" s="75"/>
      <c r="G537" s="75"/>
      <c r="H537" s="75"/>
      <c r="I537" s="75"/>
      <c r="J537" s="75">
        <v>350</v>
      </c>
      <c r="K537" s="75">
        <v>17500</v>
      </c>
      <c r="L537" s="91" t="s">
        <v>1239</v>
      </c>
      <c r="M537" s="73"/>
      <c r="N537" s="46">
        <v>50</v>
      </c>
      <c r="O537" s="46">
        <v>0</v>
      </c>
      <c r="P537" s="46">
        <v>17500</v>
      </c>
      <c r="Q537" s="98"/>
      <c r="R537" s="23" t="s">
        <v>1428</v>
      </c>
      <c r="S537" s="24" t="s">
        <v>1238</v>
      </c>
      <c r="T537" s="25" t="s">
        <v>1235</v>
      </c>
      <c r="U537" s="26">
        <v>50</v>
      </c>
      <c r="V537" s="26">
        <f t="shared" si="137"/>
        <v>50</v>
      </c>
      <c r="W537" s="26">
        <f t="shared" si="135"/>
        <v>350</v>
      </c>
      <c r="X537" s="127">
        <f t="shared" si="138"/>
        <v>0</v>
      </c>
      <c r="Y537" s="127">
        <f t="shared" si="133"/>
        <v>50</v>
      </c>
      <c r="Z537" s="127">
        <f t="shared" si="139"/>
        <v>0</v>
      </c>
      <c r="AA537" s="127">
        <f t="shared" si="140"/>
        <v>17500</v>
      </c>
      <c r="AB537" s="33" t="s">
        <v>15</v>
      </c>
      <c r="AC537" s="324"/>
      <c r="AD537" s="181">
        <f t="shared" si="134"/>
        <v>50</v>
      </c>
      <c r="AE537" s="181">
        <f t="shared" si="141"/>
        <v>17500</v>
      </c>
      <c r="AF537" s="181">
        <v>6</v>
      </c>
      <c r="AG537" s="181">
        <v>6</v>
      </c>
      <c r="AH537" s="363" t="str">
        <f t="shared" si="142"/>
        <v/>
      </c>
      <c r="AI537" s="192">
        <v>50</v>
      </c>
      <c r="AJ537" s="188">
        <v>50</v>
      </c>
      <c r="AO537" s="367"/>
      <c r="AP537" s="367"/>
      <c r="AQ537" s="367"/>
    </row>
    <row r="538" spans="1:43" s="69" customFormat="1" ht="33" customHeight="1" x14ac:dyDescent="0.3">
      <c r="A538" s="130" t="s">
        <v>1240</v>
      </c>
      <c r="B538" s="131" t="s">
        <v>1241</v>
      </c>
      <c r="C538" s="132" t="s">
        <v>325</v>
      </c>
      <c r="D538" s="133">
        <v>10</v>
      </c>
      <c r="E538" s="75"/>
      <c r="F538" s="75"/>
      <c r="G538" s="75"/>
      <c r="H538" s="75"/>
      <c r="I538" s="75"/>
      <c r="J538" s="75">
        <v>560</v>
      </c>
      <c r="K538" s="75">
        <v>5600</v>
      </c>
      <c r="L538" s="91" t="s">
        <v>1242</v>
      </c>
      <c r="M538" s="73"/>
      <c r="N538" s="46">
        <v>10</v>
      </c>
      <c r="O538" s="46">
        <v>0</v>
      </c>
      <c r="P538" s="46">
        <v>5600</v>
      </c>
      <c r="Q538" s="98"/>
      <c r="R538" s="23" t="s">
        <v>1387</v>
      </c>
      <c r="S538" s="24" t="s">
        <v>1241</v>
      </c>
      <c r="T538" s="25" t="s">
        <v>325</v>
      </c>
      <c r="U538" s="26">
        <v>10</v>
      </c>
      <c r="V538" s="26">
        <f t="shared" si="137"/>
        <v>10</v>
      </c>
      <c r="W538" s="26">
        <f t="shared" si="135"/>
        <v>560</v>
      </c>
      <c r="X538" s="127">
        <f t="shared" si="138"/>
        <v>0</v>
      </c>
      <c r="Y538" s="127">
        <f t="shared" si="133"/>
        <v>10</v>
      </c>
      <c r="Z538" s="127">
        <f t="shared" si="139"/>
        <v>0</v>
      </c>
      <c r="AA538" s="127">
        <f t="shared" si="140"/>
        <v>5600</v>
      </c>
      <c r="AB538" s="33" t="s">
        <v>15</v>
      </c>
      <c r="AC538" s="324"/>
      <c r="AD538" s="181">
        <f t="shared" si="134"/>
        <v>10</v>
      </c>
      <c r="AE538" s="181">
        <f t="shared" si="141"/>
        <v>5600</v>
      </c>
      <c r="AF538" s="181">
        <v>6</v>
      </c>
      <c r="AG538" s="181">
        <v>6</v>
      </c>
      <c r="AH538" s="363" t="str">
        <f t="shared" si="142"/>
        <v/>
      </c>
      <c r="AI538" s="194">
        <v>10</v>
      </c>
      <c r="AJ538" s="188">
        <v>10</v>
      </c>
      <c r="AO538" s="367"/>
      <c r="AP538" s="367"/>
      <c r="AQ538" s="367"/>
    </row>
    <row r="539" spans="1:43" s="69" customFormat="1" ht="33" customHeight="1" x14ac:dyDescent="0.3">
      <c r="A539" s="130" t="s">
        <v>1243</v>
      </c>
      <c r="B539" s="131" t="s">
        <v>1244</v>
      </c>
      <c r="C539" s="132" t="s">
        <v>162</v>
      </c>
      <c r="D539" s="133">
        <v>4</v>
      </c>
      <c r="E539" s="75"/>
      <c r="F539" s="75"/>
      <c r="G539" s="75"/>
      <c r="H539" s="75"/>
      <c r="I539" s="75"/>
      <c r="J539" s="75">
        <v>250</v>
      </c>
      <c r="K539" s="75">
        <v>1000</v>
      </c>
      <c r="L539" s="91" t="s">
        <v>1245</v>
      </c>
      <c r="M539" s="73"/>
      <c r="N539" s="46">
        <v>4</v>
      </c>
      <c r="O539" s="46">
        <v>0</v>
      </c>
      <c r="P539" s="46">
        <v>1000</v>
      </c>
      <c r="Q539" s="98"/>
      <c r="R539" s="23" t="s">
        <v>1405</v>
      </c>
      <c r="S539" s="24" t="s">
        <v>1244</v>
      </c>
      <c r="T539" s="25" t="s">
        <v>162</v>
      </c>
      <c r="U539" s="26">
        <v>4</v>
      </c>
      <c r="V539" s="26">
        <f t="shared" si="137"/>
        <v>4</v>
      </c>
      <c r="W539" s="26">
        <f t="shared" si="135"/>
        <v>250</v>
      </c>
      <c r="X539" s="127">
        <f t="shared" si="138"/>
        <v>0</v>
      </c>
      <c r="Y539" s="127">
        <f t="shared" si="133"/>
        <v>4</v>
      </c>
      <c r="Z539" s="127">
        <f t="shared" si="139"/>
        <v>0</v>
      </c>
      <c r="AA539" s="127">
        <f t="shared" si="140"/>
        <v>1000</v>
      </c>
      <c r="AB539" s="33" t="s">
        <v>15</v>
      </c>
      <c r="AC539" s="324"/>
      <c r="AD539" s="181">
        <f t="shared" si="134"/>
        <v>4</v>
      </c>
      <c r="AE539" s="181">
        <f t="shared" si="141"/>
        <v>1000</v>
      </c>
      <c r="AF539" s="181">
        <v>6</v>
      </c>
      <c r="AG539" s="181">
        <v>6</v>
      </c>
      <c r="AH539" s="363" t="str">
        <f t="shared" si="142"/>
        <v/>
      </c>
      <c r="AI539" s="192">
        <v>4</v>
      </c>
      <c r="AJ539" s="188">
        <v>4</v>
      </c>
      <c r="AO539" s="367"/>
      <c r="AP539" s="367"/>
      <c r="AQ539" s="367"/>
    </row>
    <row r="540" spans="1:43" s="69" customFormat="1" ht="49.5" customHeight="1" x14ac:dyDescent="0.3">
      <c r="A540" s="130" t="s">
        <v>1246</v>
      </c>
      <c r="B540" s="240" t="s">
        <v>1247</v>
      </c>
      <c r="C540" s="132" t="s">
        <v>325</v>
      </c>
      <c r="D540" s="133">
        <v>5</v>
      </c>
      <c r="E540" s="75"/>
      <c r="F540" s="75"/>
      <c r="G540" s="75"/>
      <c r="H540" s="75"/>
      <c r="I540" s="75"/>
      <c r="J540" s="75">
        <v>8300</v>
      </c>
      <c r="K540" s="75">
        <v>41500</v>
      </c>
      <c r="L540" s="91" t="s">
        <v>1248</v>
      </c>
      <c r="M540" s="73"/>
      <c r="N540" s="46">
        <v>5</v>
      </c>
      <c r="O540" s="46">
        <v>0</v>
      </c>
      <c r="P540" s="46">
        <v>41500</v>
      </c>
      <c r="Q540" s="98"/>
      <c r="R540" s="23" t="s">
        <v>1406</v>
      </c>
      <c r="S540" s="24" t="s">
        <v>1247</v>
      </c>
      <c r="T540" s="25" t="s">
        <v>325</v>
      </c>
      <c r="U540" s="26">
        <v>5</v>
      </c>
      <c r="V540" s="26">
        <f t="shared" si="137"/>
        <v>5</v>
      </c>
      <c r="W540" s="26">
        <f t="shared" si="135"/>
        <v>8300</v>
      </c>
      <c r="X540" s="127">
        <f t="shared" si="138"/>
        <v>0</v>
      </c>
      <c r="Y540" s="127">
        <f t="shared" si="133"/>
        <v>5</v>
      </c>
      <c r="Z540" s="127">
        <f t="shared" si="139"/>
        <v>0</v>
      </c>
      <c r="AA540" s="127">
        <f t="shared" si="140"/>
        <v>41500</v>
      </c>
      <c r="AB540" s="33" t="s">
        <v>15</v>
      </c>
      <c r="AC540" s="324"/>
      <c r="AD540" s="181">
        <f t="shared" si="134"/>
        <v>5</v>
      </c>
      <c r="AE540" s="181">
        <f t="shared" si="141"/>
        <v>41500</v>
      </c>
      <c r="AF540" s="181">
        <v>6</v>
      </c>
      <c r="AG540" s="181">
        <v>6</v>
      </c>
      <c r="AH540" s="363" t="str">
        <f t="shared" si="142"/>
        <v/>
      </c>
      <c r="AI540" s="192">
        <v>5</v>
      </c>
      <c r="AJ540" s="188">
        <v>5</v>
      </c>
      <c r="AO540" s="367"/>
      <c r="AP540" s="367"/>
      <c r="AQ540" s="367"/>
    </row>
    <row r="541" spans="1:43" s="69" customFormat="1" ht="33" customHeight="1" x14ac:dyDescent="0.3">
      <c r="A541" s="130" t="s">
        <v>1249</v>
      </c>
      <c r="B541" s="131" t="s">
        <v>1250</v>
      </c>
      <c r="C541" s="132" t="s">
        <v>325</v>
      </c>
      <c r="D541" s="133">
        <v>5</v>
      </c>
      <c r="E541" s="75"/>
      <c r="F541" s="75"/>
      <c r="G541" s="75"/>
      <c r="H541" s="75"/>
      <c r="I541" s="75"/>
      <c r="J541" s="75">
        <v>1160</v>
      </c>
      <c r="K541" s="75">
        <v>5800</v>
      </c>
      <c r="L541" s="91" t="s">
        <v>1251</v>
      </c>
      <c r="M541" s="73"/>
      <c r="N541" s="46">
        <v>5</v>
      </c>
      <c r="O541" s="46">
        <v>0</v>
      </c>
      <c r="P541" s="46">
        <v>5800</v>
      </c>
      <c r="Q541" s="98"/>
      <c r="R541" s="23" t="s">
        <v>1414</v>
      </c>
      <c r="S541" s="24" t="s">
        <v>1250</v>
      </c>
      <c r="T541" s="25" t="s">
        <v>325</v>
      </c>
      <c r="U541" s="26">
        <v>5</v>
      </c>
      <c r="V541" s="26">
        <f t="shared" si="137"/>
        <v>5</v>
      </c>
      <c r="W541" s="26">
        <f t="shared" si="135"/>
        <v>1160</v>
      </c>
      <c r="X541" s="127">
        <f t="shared" si="138"/>
        <v>0</v>
      </c>
      <c r="Y541" s="127">
        <f t="shared" si="133"/>
        <v>5</v>
      </c>
      <c r="Z541" s="127">
        <f t="shared" si="139"/>
        <v>0</v>
      </c>
      <c r="AA541" s="127">
        <f t="shared" si="140"/>
        <v>5800</v>
      </c>
      <c r="AB541" s="33" t="s">
        <v>15</v>
      </c>
      <c r="AC541" s="324"/>
      <c r="AD541" s="181">
        <f t="shared" si="134"/>
        <v>5</v>
      </c>
      <c r="AE541" s="181">
        <f t="shared" si="141"/>
        <v>5800</v>
      </c>
      <c r="AF541" s="181">
        <v>6</v>
      </c>
      <c r="AG541" s="181">
        <v>6</v>
      </c>
      <c r="AH541" s="363" t="str">
        <f t="shared" si="142"/>
        <v/>
      </c>
      <c r="AI541" s="192">
        <v>5</v>
      </c>
      <c r="AJ541" s="188">
        <v>5</v>
      </c>
      <c r="AO541" s="367"/>
      <c r="AP541" s="367"/>
      <c r="AQ541" s="367"/>
    </row>
    <row r="542" spans="1:43" s="69" customFormat="1" ht="66" x14ac:dyDescent="0.3">
      <c r="A542" s="130" t="s">
        <v>1252</v>
      </c>
      <c r="B542" s="240" t="s">
        <v>1253</v>
      </c>
      <c r="C542" s="132" t="s">
        <v>325</v>
      </c>
      <c r="D542" s="133">
        <v>5</v>
      </c>
      <c r="E542" s="75"/>
      <c r="F542" s="75"/>
      <c r="G542" s="75"/>
      <c r="H542" s="75"/>
      <c r="I542" s="75"/>
      <c r="J542" s="75">
        <v>600</v>
      </c>
      <c r="K542" s="75">
        <v>3000</v>
      </c>
      <c r="L542" s="91" t="s">
        <v>1254</v>
      </c>
      <c r="M542" s="73"/>
      <c r="N542" s="46">
        <v>5</v>
      </c>
      <c r="O542" s="46">
        <v>0</v>
      </c>
      <c r="P542" s="46">
        <v>3000</v>
      </c>
      <c r="Q542" s="98"/>
      <c r="R542" s="23" t="s">
        <v>1429</v>
      </c>
      <c r="S542" s="24" t="s">
        <v>1253</v>
      </c>
      <c r="T542" s="25" t="s">
        <v>325</v>
      </c>
      <c r="U542" s="26">
        <v>5</v>
      </c>
      <c r="V542" s="26">
        <f t="shared" si="137"/>
        <v>5</v>
      </c>
      <c r="W542" s="26">
        <f t="shared" si="135"/>
        <v>600</v>
      </c>
      <c r="X542" s="127">
        <f t="shared" si="138"/>
        <v>0</v>
      </c>
      <c r="Y542" s="127">
        <f t="shared" si="133"/>
        <v>5</v>
      </c>
      <c r="Z542" s="127">
        <f t="shared" si="139"/>
        <v>0</v>
      </c>
      <c r="AA542" s="127">
        <f t="shared" si="140"/>
        <v>3000</v>
      </c>
      <c r="AB542" s="33" t="s">
        <v>15</v>
      </c>
      <c r="AC542" s="324"/>
      <c r="AD542" s="181">
        <f t="shared" si="134"/>
        <v>5</v>
      </c>
      <c r="AE542" s="181">
        <f t="shared" si="141"/>
        <v>3000</v>
      </c>
      <c r="AF542" s="181">
        <v>6</v>
      </c>
      <c r="AG542" s="181">
        <v>6</v>
      </c>
      <c r="AH542" s="363" t="str">
        <f t="shared" si="142"/>
        <v/>
      </c>
      <c r="AI542" s="192">
        <v>5</v>
      </c>
      <c r="AJ542" s="188">
        <v>5</v>
      </c>
      <c r="AO542" s="367"/>
      <c r="AP542" s="367"/>
      <c r="AQ542" s="367"/>
    </row>
    <row r="543" spans="1:43" s="69" customFormat="1" ht="49.5" customHeight="1" x14ac:dyDescent="0.3">
      <c r="A543" s="130" t="s">
        <v>1255</v>
      </c>
      <c r="B543" s="240" t="s">
        <v>1256</v>
      </c>
      <c r="C543" s="132" t="s">
        <v>325</v>
      </c>
      <c r="D543" s="133">
        <v>5</v>
      </c>
      <c r="E543" s="75"/>
      <c r="F543" s="75"/>
      <c r="G543" s="75"/>
      <c r="H543" s="75"/>
      <c r="I543" s="75"/>
      <c r="J543" s="75">
        <v>1800</v>
      </c>
      <c r="K543" s="75">
        <v>9000</v>
      </c>
      <c r="L543" s="91" t="s">
        <v>1257</v>
      </c>
      <c r="M543" s="73"/>
      <c r="N543" s="46">
        <v>5</v>
      </c>
      <c r="O543" s="46">
        <v>0</v>
      </c>
      <c r="P543" s="46">
        <v>9000</v>
      </c>
      <c r="Q543" s="98"/>
      <c r="R543" s="23" t="s">
        <v>1430</v>
      </c>
      <c r="S543" s="24" t="s">
        <v>1256</v>
      </c>
      <c r="T543" s="25" t="s">
        <v>325</v>
      </c>
      <c r="U543" s="26">
        <v>5</v>
      </c>
      <c r="V543" s="26">
        <f t="shared" si="137"/>
        <v>5</v>
      </c>
      <c r="W543" s="26">
        <f t="shared" si="135"/>
        <v>1800</v>
      </c>
      <c r="X543" s="127">
        <f t="shared" si="138"/>
        <v>0</v>
      </c>
      <c r="Y543" s="127">
        <f t="shared" si="133"/>
        <v>5</v>
      </c>
      <c r="Z543" s="127">
        <f t="shared" si="139"/>
        <v>0</v>
      </c>
      <c r="AA543" s="127">
        <f t="shared" si="140"/>
        <v>9000</v>
      </c>
      <c r="AB543" s="33" t="s">
        <v>15</v>
      </c>
      <c r="AC543" s="324"/>
      <c r="AD543" s="181">
        <f t="shared" si="134"/>
        <v>5</v>
      </c>
      <c r="AE543" s="181">
        <f t="shared" si="141"/>
        <v>9000</v>
      </c>
      <c r="AF543" s="181">
        <v>6</v>
      </c>
      <c r="AG543" s="181">
        <v>6</v>
      </c>
      <c r="AH543" s="363" t="str">
        <f t="shared" si="142"/>
        <v/>
      </c>
      <c r="AI543" s="192">
        <v>5</v>
      </c>
      <c r="AJ543" s="188">
        <v>5</v>
      </c>
      <c r="AO543" s="367"/>
      <c r="AP543" s="367"/>
      <c r="AQ543" s="367"/>
    </row>
    <row r="544" spans="1:43" s="69" customFormat="1" ht="78" x14ac:dyDescent="0.3">
      <c r="A544" s="55" t="s">
        <v>1258</v>
      </c>
      <c r="B544" s="53" t="s">
        <v>1259</v>
      </c>
      <c r="C544" s="54" t="s">
        <v>325</v>
      </c>
      <c r="D544" s="75">
        <v>80</v>
      </c>
      <c r="E544" s="75"/>
      <c r="F544" s="75"/>
      <c r="G544" s="75"/>
      <c r="H544" s="75"/>
      <c r="I544" s="75"/>
      <c r="J544" s="75">
        <v>2200</v>
      </c>
      <c r="K544" s="75">
        <v>176000</v>
      </c>
      <c r="L544" s="91" t="s">
        <v>1260</v>
      </c>
      <c r="M544" s="73"/>
      <c r="N544" s="46">
        <v>72</v>
      </c>
      <c r="O544" s="46">
        <v>0</v>
      </c>
      <c r="P544" s="46">
        <v>158400</v>
      </c>
      <c r="Q544" s="98"/>
      <c r="R544" s="23" t="s">
        <v>1431</v>
      </c>
      <c r="S544" s="24" t="s">
        <v>1259</v>
      </c>
      <c r="T544" s="25" t="s">
        <v>325</v>
      </c>
      <c r="U544" s="26">
        <v>80</v>
      </c>
      <c r="V544" s="26">
        <f t="shared" si="137"/>
        <v>80</v>
      </c>
      <c r="W544" s="26">
        <f t="shared" si="135"/>
        <v>2200</v>
      </c>
      <c r="X544" s="128">
        <f t="shared" si="138"/>
        <v>0</v>
      </c>
      <c r="Y544" s="26">
        <f t="shared" si="133"/>
        <v>72</v>
      </c>
      <c r="Z544" s="26">
        <f t="shared" si="139"/>
        <v>0</v>
      </c>
      <c r="AA544" s="26">
        <f t="shared" si="140"/>
        <v>158400</v>
      </c>
      <c r="AB544" s="33" t="s">
        <v>15</v>
      </c>
      <c r="AC544" s="324"/>
      <c r="AD544" s="181">
        <f t="shared" si="134"/>
        <v>80</v>
      </c>
      <c r="AE544" s="181">
        <f t="shared" si="141"/>
        <v>176000</v>
      </c>
      <c r="AF544" s="181">
        <v>6</v>
      </c>
      <c r="AG544" s="181">
        <v>6</v>
      </c>
      <c r="AH544" s="363" t="str">
        <f t="shared" si="142"/>
        <v/>
      </c>
      <c r="AI544" s="194">
        <f>65+5+2</f>
        <v>72</v>
      </c>
      <c r="AJ544" s="188">
        <v>80</v>
      </c>
      <c r="AO544" s="367"/>
      <c r="AP544" s="367"/>
      <c r="AQ544" s="367"/>
    </row>
    <row r="545" spans="1:43" s="69" customFormat="1" ht="42" x14ac:dyDescent="0.3">
      <c r="A545" s="130" t="s">
        <v>1261</v>
      </c>
      <c r="B545" s="131" t="s">
        <v>1262</v>
      </c>
      <c r="C545" s="132" t="s">
        <v>14</v>
      </c>
      <c r="D545" s="133">
        <v>1</v>
      </c>
      <c r="E545" s="75"/>
      <c r="F545" s="75"/>
      <c r="G545" s="75"/>
      <c r="H545" s="75"/>
      <c r="I545" s="75"/>
      <c r="J545" s="75">
        <v>261478.99</v>
      </c>
      <c r="K545" s="75">
        <v>261478.99</v>
      </c>
      <c r="L545" s="91" t="s">
        <v>1263</v>
      </c>
      <c r="M545" s="73"/>
      <c r="N545" s="46">
        <v>1</v>
      </c>
      <c r="O545" s="46">
        <v>0</v>
      </c>
      <c r="P545" s="46">
        <v>261478.99</v>
      </c>
      <c r="Q545" s="98"/>
      <c r="R545" s="23" t="s">
        <v>1395</v>
      </c>
      <c r="S545" s="24" t="s">
        <v>1262</v>
      </c>
      <c r="T545" s="25" t="s">
        <v>14</v>
      </c>
      <c r="U545" s="26">
        <v>1</v>
      </c>
      <c r="V545" s="26">
        <f t="shared" si="137"/>
        <v>1</v>
      </c>
      <c r="W545" s="26">
        <f t="shared" si="135"/>
        <v>261478.99</v>
      </c>
      <c r="X545" s="127">
        <f t="shared" si="138"/>
        <v>0</v>
      </c>
      <c r="Y545" s="127">
        <f t="shared" si="133"/>
        <v>1</v>
      </c>
      <c r="Z545" s="127">
        <f t="shared" si="139"/>
        <v>0</v>
      </c>
      <c r="AA545" s="127">
        <f t="shared" si="140"/>
        <v>261478.99</v>
      </c>
      <c r="AB545" s="33" t="s">
        <v>1499</v>
      </c>
      <c r="AC545" s="324"/>
      <c r="AD545" s="181">
        <f t="shared" si="134"/>
        <v>1</v>
      </c>
      <c r="AE545" s="181">
        <f t="shared" si="141"/>
        <v>261478.99</v>
      </c>
      <c r="AF545" s="181">
        <v>6</v>
      </c>
      <c r="AG545" s="181">
        <v>6</v>
      </c>
      <c r="AH545" s="363" t="str">
        <f t="shared" si="142"/>
        <v/>
      </c>
      <c r="AI545" s="192">
        <v>1</v>
      </c>
      <c r="AJ545" s="188">
        <v>1</v>
      </c>
      <c r="AO545" s="367"/>
      <c r="AP545" s="367"/>
      <c r="AQ545" s="367"/>
    </row>
    <row r="546" spans="1:43" s="69" customFormat="1" ht="39" x14ac:dyDescent="0.3">
      <c r="A546" s="55" t="s">
        <v>1264</v>
      </c>
      <c r="B546" s="53" t="s">
        <v>1265</v>
      </c>
      <c r="C546" s="54" t="s">
        <v>30</v>
      </c>
      <c r="D546" s="75">
        <v>5000</v>
      </c>
      <c r="E546" s="75"/>
      <c r="F546" s="75"/>
      <c r="G546" s="75"/>
      <c r="H546" s="75"/>
      <c r="I546" s="75"/>
      <c r="J546" s="75">
        <v>13</v>
      </c>
      <c r="K546" s="75">
        <v>65000</v>
      </c>
      <c r="L546" s="91" t="s">
        <v>1266</v>
      </c>
      <c r="M546" s="73"/>
      <c r="N546" s="46">
        <v>3140</v>
      </c>
      <c r="O546" s="46">
        <v>0</v>
      </c>
      <c r="P546" s="46">
        <v>40820</v>
      </c>
      <c r="Q546" s="98"/>
      <c r="R546" s="23" t="s">
        <v>1432</v>
      </c>
      <c r="S546" s="24" t="s">
        <v>1265</v>
      </c>
      <c r="T546" s="25" t="s">
        <v>30</v>
      </c>
      <c r="U546" s="26">
        <v>5000</v>
      </c>
      <c r="V546" s="26">
        <f t="shared" si="137"/>
        <v>5000</v>
      </c>
      <c r="W546" s="26">
        <f t="shared" si="135"/>
        <v>13</v>
      </c>
      <c r="X546" s="128">
        <f t="shared" si="138"/>
        <v>0</v>
      </c>
      <c r="Y546" s="26">
        <f t="shared" si="133"/>
        <v>3140</v>
      </c>
      <c r="Z546" s="26">
        <f t="shared" si="139"/>
        <v>0</v>
      </c>
      <c r="AA546" s="26">
        <f t="shared" si="140"/>
        <v>40820</v>
      </c>
      <c r="AB546" s="33" t="s">
        <v>15</v>
      </c>
      <c r="AC546" s="324"/>
      <c r="AD546" s="181">
        <f t="shared" si="134"/>
        <v>5000</v>
      </c>
      <c r="AE546" s="181">
        <f t="shared" si="141"/>
        <v>65000</v>
      </c>
      <c r="AF546" s="181">
        <v>6</v>
      </c>
      <c r="AG546" s="181">
        <v>6</v>
      </c>
      <c r="AH546" s="363" t="str">
        <f t="shared" si="142"/>
        <v/>
      </c>
      <c r="AI546" s="194">
        <f>1250+1255+635</f>
        <v>3140</v>
      </c>
      <c r="AJ546" s="188">
        <v>5000</v>
      </c>
      <c r="AO546" s="367"/>
      <c r="AP546" s="367"/>
      <c r="AQ546" s="367"/>
    </row>
    <row r="547" spans="1:43" s="69" customFormat="1" ht="39" x14ac:dyDescent="0.3">
      <c r="A547" s="55" t="s">
        <v>1267</v>
      </c>
      <c r="B547" s="53" t="s">
        <v>1268</v>
      </c>
      <c r="C547" s="54" t="s">
        <v>1269</v>
      </c>
      <c r="D547" s="75">
        <v>48</v>
      </c>
      <c r="E547" s="75"/>
      <c r="F547" s="75"/>
      <c r="G547" s="75"/>
      <c r="H547" s="75"/>
      <c r="I547" s="328">
        <v>56</v>
      </c>
      <c r="J547" s="75">
        <v>47468</v>
      </c>
      <c r="K547" s="75">
        <v>2658208</v>
      </c>
      <c r="L547" s="91" t="s">
        <v>1270</v>
      </c>
      <c r="M547" s="73"/>
      <c r="N547" s="46">
        <v>52</v>
      </c>
      <c r="O547" s="46">
        <v>94936</v>
      </c>
      <c r="P547" s="46">
        <v>2468336</v>
      </c>
      <c r="Q547" s="98"/>
      <c r="R547" s="23" t="s">
        <v>1433</v>
      </c>
      <c r="S547" s="24" t="s">
        <v>1268</v>
      </c>
      <c r="T547" s="25" t="s">
        <v>1269</v>
      </c>
      <c r="U547" s="26">
        <v>48</v>
      </c>
      <c r="V547" s="26">
        <f t="shared" si="137"/>
        <v>56</v>
      </c>
      <c r="W547" s="26">
        <f t="shared" si="135"/>
        <v>47468</v>
      </c>
      <c r="X547" s="250">
        <f t="shared" si="138"/>
        <v>2</v>
      </c>
      <c r="Y547" s="26">
        <f t="shared" si="133"/>
        <v>54</v>
      </c>
      <c r="Z547" s="26">
        <f>AA547-P547</f>
        <v>94936</v>
      </c>
      <c r="AA547" s="26">
        <f t="shared" si="140"/>
        <v>2563272</v>
      </c>
      <c r="AB547" s="33" t="s">
        <v>15</v>
      </c>
      <c r="AC547" s="324"/>
      <c r="AD547" s="181">
        <f t="shared" si="134"/>
        <v>56</v>
      </c>
      <c r="AE547" s="181">
        <f t="shared" si="141"/>
        <v>2658208</v>
      </c>
      <c r="AF547" s="181">
        <v>6</v>
      </c>
      <c r="AG547" s="181">
        <v>6</v>
      </c>
      <c r="AH547" s="363" t="str">
        <f t="shared" si="142"/>
        <v/>
      </c>
      <c r="AI547" s="191">
        <f>39+1+2+2+2+2+2+2+2</f>
        <v>54</v>
      </c>
      <c r="AJ547" s="190">
        <v>56</v>
      </c>
      <c r="AN547" s="363"/>
      <c r="AO547" s="368"/>
      <c r="AP547" s="367"/>
      <c r="AQ547" s="367"/>
    </row>
    <row r="548" spans="1:43" s="69" customFormat="1" ht="58.5" x14ac:dyDescent="0.3">
      <c r="A548" s="55" t="s">
        <v>1271</v>
      </c>
      <c r="B548" s="53" t="s">
        <v>1272</v>
      </c>
      <c r="C548" s="54" t="s">
        <v>14</v>
      </c>
      <c r="D548" s="75">
        <v>1</v>
      </c>
      <c r="E548" s="75"/>
      <c r="F548" s="75"/>
      <c r="G548" s="75"/>
      <c r="H548" s="75"/>
      <c r="I548" s="328"/>
      <c r="J548" s="75">
        <v>111233.97</v>
      </c>
      <c r="K548" s="75">
        <v>111233.97</v>
      </c>
      <c r="L548" s="91" t="s">
        <v>1273</v>
      </c>
      <c r="M548" s="73"/>
      <c r="N548" s="46">
        <v>0.85</v>
      </c>
      <c r="O548" s="46">
        <v>0</v>
      </c>
      <c r="P548" s="46">
        <v>94548.87</v>
      </c>
      <c r="Q548" s="98"/>
      <c r="R548" s="23" t="s">
        <v>1382</v>
      </c>
      <c r="S548" s="24" t="s">
        <v>1272</v>
      </c>
      <c r="T548" s="25" t="s">
        <v>14</v>
      </c>
      <c r="U548" s="26">
        <v>1</v>
      </c>
      <c r="V548" s="26">
        <f t="shared" si="137"/>
        <v>1</v>
      </c>
      <c r="W548" s="26">
        <f t="shared" si="135"/>
        <v>111233.97</v>
      </c>
      <c r="X548" s="128">
        <f t="shared" si="138"/>
        <v>0</v>
      </c>
      <c r="Y548" s="26">
        <f t="shared" si="133"/>
        <v>0.85</v>
      </c>
      <c r="Z548" s="136">
        <f>AA548-P548</f>
        <v>0</v>
      </c>
      <c r="AA548" s="26">
        <f>ROUND(W548*Y548,2)</f>
        <v>94548.87</v>
      </c>
      <c r="AB548" s="33" t="s">
        <v>15</v>
      </c>
      <c r="AC548" s="324"/>
      <c r="AD548" s="181">
        <f t="shared" si="134"/>
        <v>1</v>
      </c>
      <c r="AE548" s="181">
        <f t="shared" si="141"/>
        <v>111233.97</v>
      </c>
      <c r="AF548" s="181">
        <v>6</v>
      </c>
      <c r="AG548" s="181">
        <v>6</v>
      </c>
      <c r="AH548" s="363" t="str">
        <f t="shared" si="142"/>
        <v/>
      </c>
      <c r="AI548" s="194">
        <v>0.85</v>
      </c>
      <c r="AJ548" s="188">
        <v>1</v>
      </c>
      <c r="AM548" s="69">
        <f>P548/AA548</f>
        <v>1</v>
      </c>
      <c r="AO548" s="367"/>
      <c r="AP548" s="367"/>
      <c r="AQ548" s="367"/>
    </row>
    <row r="549" spans="1:43" s="69" customFormat="1" x14ac:dyDescent="0.3">
      <c r="A549" s="85" t="s">
        <v>1274</v>
      </c>
      <c r="B549" s="86" t="s">
        <v>1275</v>
      </c>
      <c r="C549" s="87" t="s">
        <v>14</v>
      </c>
      <c r="D549" s="88">
        <v>1</v>
      </c>
      <c r="E549" s="88"/>
      <c r="F549" s="88"/>
      <c r="G549" s="88"/>
      <c r="H549" s="88"/>
      <c r="I549" s="353"/>
      <c r="J549" s="88">
        <v>3264123.96</v>
      </c>
      <c r="K549" s="88">
        <v>3264123.96</v>
      </c>
      <c r="L549" s="95" t="s">
        <v>15</v>
      </c>
      <c r="M549" s="73"/>
      <c r="N549" s="42">
        <v>1</v>
      </c>
      <c r="O549" s="42">
        <v>94936</v>
      </c>
      <c r="P549" s="42">
        <v>2983364.57</v>
      </c>
      <c r="Q549" s="98"/>
      <c r="R549" s="13" t="s">
        <v>1416</v>
      </c>
      <c r="S549" s="14" t="s">
        <v>1275</v>
      </c>
      <c r="T549" s="15" t="s">
        <v>14</v>
      </c>
      <c r="U549" s="16">
        <v>1</v>
      </c>
      <c r="V549" s="16"/>
      <c r="W549" s="16">
        <f t="shared" si="135"/>
        <v>3264123.96</v>
      </c>
      <c r="X549" s="16">
        <f t="shared" ref="X549:Y549" si="143">IF(Z549=0,0,1)</f>
        <v>1</v>
      </c>
      <c r="Y549" s="16">
        <f t="shared" si="143"/>
        <v>1</v>
      </c>
      <c r="Z549" s="16">
        <f>SUMIFS(Z:Z,AG:AG,AF549)</f>
        <v>94936</v>
      </c>
      <c r="AA549" s="16">
        <f>SUMIFS(AA:AA,AG:AG,AF549)</f>
        <v>3078300.57</v>
      </c>
      <c r="AB549" s="17" t="s">
        <v>15</v>
      </c>
      <c r="AC549" s="232"/>
      <c r="AD549" s="181">
        <f t="shared" si="134"/>
        <v>1</v>
      </c>
      <c r="AE549" s="183">
        <f>K549</f>
        <v>3264123.96</v>
      </c>
      <c r="AF549" s="183">
        <v>7</v>
      </c>
      <c r="AG549" s="183"/>
      <c r="AH549" s="363" t="str">
        <f t="shared" si="142"/>
        <v/>
      </c>
      <c r="AI549" s="192">
        <v>1</v>
      </c>
      <c r="AJ549" s="188">
        <v>1</v>
      </c>
      <c r="AO549" s="367"/>
      <c r="AP549" s="367"/>
      <c r="AQ549" s="367"/>
    </row>
    <row r="550" spans="1:43" s="69" customFormat="1" ht="39" x14ac:dyDescent="0.3">
      <c r="A550" s="55" t="s">
        <v>1276</v>
      </c>
      <c r="B550" s="53" t="s">
        <v>1277</v>
      </c>
      <c r="C550" s="54" t="s">
        <v>1269</v>
      </c>
      <c r="D550" s="75">
        <v>48</v>
      </c>
      <c r="E550" s="75"/>
      <c r="F550" s="75"/>
      <c r="G550" s="75"/>
      <c r="H550" s="75"/>
      <c r="I550" s="328">
        <v>56</v>
      </c>
      <c r="J550" s="75">
        <v>47468</v>
      </c>
      <c r="K550" s="75">
        <v>2658208</v>
      </c>
      <c r="L550" s="91" t="s">
        <v>1278</v>
      </c>
      <c r="M550" s="73"/>
      <c r="N550" s="46">
        <v>52</v>
      </c>
      <c r="O550" s="46">
        <v>94936</v>
      </c>
      <c r="P550" s="46">
        <v>2468336</v>
      </c>
      <c r="Q550" s="98"/>
      <c r="R550" s="23" t="s">
        <v>1421</v>
      </c>
      <c r="S550" s="24" t="s">
        <v>1277</v>
      </c>
      <c r="T550" s="25" t="s">
        <v>1269</v>
      </c>
      <c r="U550" s="26">
        <v>48</v>
      </c>
      <c r="V550" s="26">
        <f t="shared" ref="V550:V551" si="144">IF(I550&gt;0,I550,IF(H550&gt;0,H550,IF(G550&gt;0,G550,IF(F550&gt;0,F550,IF(E550&gt;0,E550,D550)))))</f>
        <v>56</v>
      </c>
      <c r="W550" s="26">
        <f t="shared" si="135"/>
        <v>47468</v>
      </c>
      <c r="X550" s="250">
        <f t="shared" ref="X550:X551" si="145">AI550-N550</f>
        <v>2</v>
      </c>
      <c r="Y550" s="26">
        <f t="shared" si="133"/>
        <v>54</v>
      </c>
      <c r="Z550" s="26">
        <f>AA550-P550</f>
        <v>94936</v>
      </c>
      <c r="AA550" s="26">
        <f t="shared" ref="AA550:AA551" si="146">ROUND(W550*Y550,2)</f>
        <v>2563272</v>
      </c>
      <c r="AB550" s="33" t="s">
        <v>15</v>
      </c>
      <c r="AC550" s="324"/>
      <c r="AD550" s="181">
        <f t="shared" si="134"/>
        <v>56</v>
      </c>
      <c r="AE550" s="181">
        <f t="shared" ref="AE550:AE551" si="147">ROUND(W550*AD550,2)</f>
        <v>2658208</v>
      </c>
      <c r="AF550" s="181">
        <v>7</v>
      </c>
      <c r="AG550" s="181">
        <v>7</v>
      </c>
      <c r="AH550" s="363" t="str">
        <f t="shared" si="142"/>
        <v/>
      </c>
      <c r="AI550" s="191">
        <f>39+1+2+2+2+2+2+2+2</f>
        <v>54</v>
      </c>
      <c r="AJ550" s="190">
        <v>56</v>
      </c>
      <c r="AN550" s="363"/>
      <c r="AO550" s="368"/>
      <c r="AP550" s="367"/>
      <c r="AQ550" s="367"/>
    </row>
    <row r="551" spans="1:43" s="69" customFormat="1" ht="24.75" x14ac:dyDescent="0.3">
      <c r="A551" s="55" t="s">
        <v>1279</v>
      </c>
      <c r="B551" s="53" t="s">
        <v>1280</v>
      </c>
      <c r="C551" s="54" t="s">
        <v>14</v>
      </c>
      <c r="D551" s="75">
        <v>1</v>
      </c>
      <c r="E551" s="75"/>
      <c r="F551" s="75"/>
      <c r="G551" s="75"/>
      <c r="H551" s="75"/>
      <c r="I551" s="75"/>
      <c r="J551" s="75">
        <v>605915.96</v>
      </c>
      <c r="K551" s="75">
        <v>605915.96</v>
      </c>
      <c r="L551" s="91" t="s">
        <v>1281</v>
      </c>
      <c r="M551" s="73"/>
      <c r="N551" s="46">
        <v>0.85</v>
      </c>
      <c r="O551" s="46">
        <v>0</v>
      </c>
      <c r="P551" s="46">
        <v>515028.57</v>
      </c>
      <c r="Q551" s="98"/>
      <c r="R551" s="23" t="s">
        <v>1426</v>
      </c>
      <c r="S551" s="24" t="s">
        <v>1280</v>
      </c>
      <c r="T551" s="25" t="s">
        <v>14</v>
      </c>
      <c r="U551" s="26">
        <v>1</v>
      </c>
      <c r="V551" s="26">
        <f t="shared" si="144"/>
        <v>1</v>
      </c>
      <c r="W551" s="26">
        <f t="shared" si="135"/>
        <v>605915.96</v>
      </c>
      <c r="X551" s="128">
        <f t="shared" si="145"/>
        <v>0</v>
      </c>
      <c r="Y551" s="26">
        <f t="shared" si="133"/>
        <v>0.85</v>
      </c>
      <c r="Z551" s="136">
        <f>AA551-P551</f>
        <v>0</v>
      </c>
      <c r="AA551" s="26">
        <f t="shared" si="146"/>
        <v>515028.57</v>
      </c>
      <c r="AB551" s="33" t="s">
        <v>15</v>
      </c>
      <c r="AC551" s="324"/>
      <c r="AD551" s="181">
        <f t="shared" si="134"/>
        <v>1</v>
      </c>
      <c r="AE551" s="181">
        <f t="shared" si="147"/>
        <v>605915.96</v>
      </c>
      <c r="AF551" s="181">
        <v>7</v>
      </c>
      <c r="AG551" s="181">
        <v>7</v>
      </c>
      <c r="AH551" s="363" t="str">
        <f t="shared" si="142"/>
        <v/>
      </c>
      <c r="AI551" s="194">
        <v>0.85</v>
      </c>
      <c r="AJ551" s="188">
        <v>1</v>
      </c>
      <c r="AM551" s="69">
        <f>P551/AA551</f>
        <v>1</v>
      </c>
      <c r="AO551" s="367"/>
      <c r="AP551" s="367"/>
      <c r="AQ551" s="367"/>
    </row>
    <row r="552" spans="1:43" s="69" customFormat="1" ht="63" x14ac:dyDescent="0.3">
      <c r="A552" s="85" t="s">
        <v>1282</v>
      </c>
      <c r="B552" s="86" t="s">
        <v>1283</v>
      </c>
      <c r="C552" s="87" t="s">
        <v>14</v>
      </c>
      <c r="D552" s="88">
        <v>1</v>
      </c>
      <c r="E552" s="88"/>
      <c r="F552" s="88"/>
      <c r="G552" s="88"/>
      <c r="H552" s="88"/>
      <c r="I552" s="88"/>
      <c r="J552" s="88">
        <v>41582787.450000003</v>
      </c>
      <c r="K552" s="88">
        <v>41582787.450000003</v>
      </c>
      <c r="L552" s="95" t="s">
        <v>1284</v>
      </c>
      <c r="M552" s="73"/>
      <c r="N552" s="42">
        <v>1</v>
      </c>
      <c r="O552" s="42">
        <v>485898.01000004262</v>
      </c>
      <c r="P552" s="42">
        <v>36625021.480000004</v>
      </c>
      <c r="Q552" s="98"/>
      <c r="R552" s="28" t="s">
        <v>1417</v>
      </c>
      <c r="S552" s="29" t="s">
        <v>1283</v>
      </c>
      <c r="T552" s="30" t="s">
        <v>14</v>
      </c>
      <c r="U552" s="31">
        <v>1</v>
      </c>
      <c r="V552" s="31"/>
      <c r="W552" s="31">
        <f t="shared" si="135"/>
        <v>41582787.450000003</v>
      </c>
      <c r="X552" s="31">
        <f t="shared" ref="X552:Y553" si="148">IF(Z552=0,0,1)</f>
        <v>1</v>
      </c>
      <c r="Y552" s="31">
        <f t="shared" si="148"/>
        <v>1</v>
      </c>
      <c r="Z552" s="31">
        <f>AA552-P552</f>
        <v>245520.28000003099</v>
      </c>
      <c r="AA552" s="31">
        <f>AA7-AA8-AA434-AA464-AA504-AA508-AA529-AA549-AA553-AA556</f>
        <v>36870541.760000035</v>
      </c>
      <c r="AB552" s="32" t="s">
        <v>1418</v>
      </c>
      <c r="AC552" s="324"/>
      <c r="AD552" s="181">
        <f t="shared" si="134"/>
        <v>1</v>
      </c>
      <c r="AE552" s="183"/>
      <c r="AF552" s="183">
        <v>8</v>
      </c>
      <c r="AG552" s="183"/>
      <c r="AH552" s="363" t="str">
        <f t="shared" si="142"/>
        <v/>
      </c>
      <c r="AI552" s="192">
        <v>1</v>
      </c>
      <c r="AJ552" s="188">
        <v>1</v>
      </c>
      <c r="AO552" s="367"/>
      <c r="AP552" s="367"/>
      <c r="AQ552" s="367"/>
    </row>
    <row r="553" spans="1:43" s="69" customFormat="1" ht="157.5" x14ac:dyDescent="0.3">
      <c r="A553" s="85" t="s">
        <v>1285</v>
      </c>
      <c r="B553" s="86" t="s">
        <v>1286</v>
      </c>
      <c r="C553" s="87" t="s">
        <v>14</v>
      </c>
      <c r="D553" s="88">
        <v>1</v>
      </c>
      <c r="E553" s="88"/>
      <c r="F553" s="88"/>
      <c r="G553" s="88"/>
      <c r="H553" s="88"/>
      <c r="I553" s="88"/>
      <c r="J553" s="88">
        <v>3907660.8</v>
      </c>
      <c r="K553" s="88">
        <v>3907660.8</v>
      </c>
      <c r="L553" s="95" t="s">
        <v>1287</v>
      </c>
      <c r="M553" s="73"/>
      <c r="N553" s="42">
        <v>1</v>
      </c>
      <c r="O553" s="42">
        <v>0</v>
      </c>
      <c r="P553" s="42">
        <v>3826680</v>
      </c>
      <c r="Q553" s="98"/>
      <c r="R553" s="13" t="s">
        <v>1419</v>
      </c>
      <c r="S553" s="14" t="s">
        <v>1286</v>
      </c>
      <c r="T553" s="15" t="s">
        <v>14</v>
      </c>
      <c r="U553" s="16">
        <v>1</v>
      </c>
      <c r="V553" s="16"/>
      <c r="W553" s="16">
        <f t="shared" si="135"/>
        <v>3907660.8</v>
      </c>
      <c r="X553" s="16">
        <f t="shared" si="148"/>
        <v>0</v>
      </c>
      <c r="Y553" s="16">
        <f t="shared" si="148"/>
        <v>1</v>
      </c>
      <c r="Z553" s="16">
        <f>SUMIFS(Z:Z,AG:AG,AF553)</f>
        <v>0</v>
      </c>
      <c r="AA553" s="16">
        <f>SUMIFS(AA:AA,AG:AG,AF553)</f>
        <v>3826680</v>
      </c>
      <c r="AB553" s="17" t="s">
        <v>1287</v>
      </c>
      <c r="AC553" s="232"/>
      <c r="AD553" s="181">
        <f t="shared" si="134"/>
        <v>1</v>
      </c>
      <c r="AE553" s="183"/>
      <c r="AF553" s="183">
        <v>9</v>
      </c>
      <c r="AG553" s="183"/>
      <c r="AH553" s="363" t="str">
        <f t="shared" si="142"/>
        <v/>
      </c>
      <c r="AI553" s="192">
        <v>1</v>
      </c>
      <c r="AJ553" s="188">
        <v>1</v>
      </c>
      <c r="AO553" s="367"/>
      <c r="AP553" s="367"/>
      <c r="AQ553" s="367"/>
    </row>
    <row r="554" spans="1:43" s="69" customFormat="1" ht="39" x14ac:dyDescent="0.3">
      <c r="A554" s="55" t="s">
        <v>1288</v>
      </c>
      <c r="B554" s="53" t="s">
        <v>1286</v>
      </c>
      <c r="C554" s="54" t="s">
        <v>23</v>
      </c>
      <c r="D554" s="75">
        <v>22240</v>
      </c>
      <c r="E554" s="75"/>
      <c r="F554" s="75"/>
      <c r="G554" s="75"/>
      <c r="H554" s="75"/>
      <c r="I554" s="75">
        <v>16836</v>
      </c>
      <c r="J554" s="75">
        <v>150</v>
      </c>
      <c r="K554" s="75">
        <v>2525400</v>
      </c>
      <c r="L554" s="91" t="s">
        <v>1289</v>
      </c>
      <c r="M554" s="73"/>
      <c r="N554" s="46">
        <v>16836</v>
      </c>
      <c r="O554" s="46">
        <v>0</v>
      </c>
      <c r="P554" s="46">
        <v>2525400</v>
      </c>
      <c r="Q554" s="98"/>
      <c r="R554" s="23" t="s">
        <v>1421</v>
      </c>
      <c r="S554" s="24" t="s">
        <v>1286</v>
      </c>
      <c r="T554" s="25" t="s">
        <v>23</v>
      </c>
      <c r="U554" s="26">
        <v>22240</v>
      </c>
      <c r="V554" s="26">
        <f t="shared" ref="V554:V555" si="149">IF(I554&gt;0,I554,IF(H554&gt;0,H554,IF(G554&gt;0,G554,IF(F554&gt;0,F554,IF(E554&gt;0,E554,D554)))))</f>
        <v>16836</v>
      </c>
      <c r="W554" s="26">
        <f t="shared" si="135"/>
        <v>150</v>
      </c>
      <c r="X554" s="103">
        <f t="shared" ref="X554:X555" si="150">AI554-N554</f>
        <v>0</v>
      </c>
      <c r="Y554" s="26">
        <f t="shared" ref="Y554:Y555" si="151">X554+N554</f>
        <v>16836</v>
      </c>
      <c r="Z554" s="26">
        <f>AA554-P554</f>
        <v>0</v>
      </c>
      <c r="AA554" s="26">
        <f>ROUND(W554*Y554,2)</f>
        <v>2525400</v>
      </c>
      <c r="AB554" s="33" t="s">
        <v>15</v>
      </c>
      <c r="AC554" s="324"/>
      <c r="AD554" s="181">
        <f t="shared" si="134"/>
        <v>16836</v>
      </c>
      <c r="AE554" s="181">
        <f t="shared" ref="AE554:AE555" si="152">ROUND(W554*AD554,2)</f>
        <v>2525400</v>
      </c>
      <c r="AF554" s="181">
        <v>9</v>
      </c>
      <c r="AG554" s="181">
        <v>9</v>
      </c>
      <c r="AH554" s="363" t="str">
        <f t="shared" si="142"/>
        <v/>
      </c>
      <c r="AI554" s="194">
        <v>16836</v>
      </c>
      <c r="AJ554" s="190">
        <v>16836</v>
      </c>
      <c r="AN554" s="281"/>
      <c r="AO554" s="367"/>
      <c r="AP554" s="367"/>
      <c r="AQ554" s="367"/>
    </row>
    <row r="555" spans="1:43" s="281" customFormat="1" ht="39" x14ac:dyDescent="0.3">
      <c r="A555" s="316" t="s">
        <v>3277</v>
      </c>
      <c r="B555" s="211" t="s">
        <v>3276</v>
      </c>
      <c r="C555" s="212" t="s">
        <v>23</v>
      </c>
      <c r="D555" s="213"/>
      <c r="E555" s="213"/>
      <c r="F555" s="213"/>
      <c r="G555" s="213"/>
      <c r="H555" s="213"/>
      <c r="I555" s="213">
        <v>5759.42</v>
      </c>
      <c r="J555" s="213">
        <v>240</v>
      </c>
      <c r="K555" s="213">
        <v>1382260.8</v>
      </c>
      <c r="L555" s="284"/>
      <c r="M555" s="278"/>
      <c r="N555" s="42">
        <v>5422</v>
      </c>
      <c r="O555" s="42">
        <v>0</v>
      </c>
      <c r="P555" s="42">
        <v>1301280</v>
      </c>
      <c r="Q555" s="98"/>
      <c r="R555" s="13" t="s">
        <v>3275</v>
      </c>
      <c r="S555" s="286" t="str">
        <f t="shared" ref="S555:T555" si="153">B555</f>
        <v>台北港土方管理費(114年起)</v>
      </c>
      <c r="T555" s="287" t="str">
        <f t="shared" si="153"/>
        <v>M3</v>
      </c>
      <c r="U555" s="16"/>
      <c r="V555" s="16">
        <f t="shared" si="149"/>
        <v>5759.42</v>
      </c>
      <c r="W555" s="16">
        <f t="shared" si="135"/>
        <v>240</v>
      </c>
      <c r="X555" s="16">
        <f t="shared" si="150"/>
        <v>0</v>
      </c>
      <c r="Y555" s="16">
        <f t="shared" si="151"/>
        <v>5422</v>
      </c>
      <c r="Z555" s="16">
        <f t="shared" ref="Z555" si="154">AA555-P555</f>
        <v>0</v>
      </c>
      <c r="AA555" s="16">
        <f t="shared" ref="AA555" si="155">ROUND(W555*Y555,2)</f>
        <v>1301280</v>
      </c>
      <c r="AB555" s="17"/>
      <c r="AC555" s="324"/>
      <c r="AD555" s="181">
        <f t="shared" si="134"/>
        <v>5759.42</v>
      </c>
      <c r="AE555" s="181">
        <f t="shared" si="152"/>
        <v>1382260.8</v>
      </c>
      <c r="AF555" s="181">
        <v>9</v>
      </c>
      <c r="AG555" s="181">
        <v>9</v>
      </c>
      <c r="AH555" s="364"/>
      <c r="AI555" s="285">
        <f>AI16-AI554</f>
        <v>5422</v>
      </c>
      <c r="AJ555" s="361">
        <v>5759.42</v>
      </c>
      <c r="AN555" s="69"/>
      <c r="AO555" s="367"/>
      <c r="AP555" s="367"/>
      <c r="AQ555" s="367"/>
    </row>
    <row r="556" spans="1:43" s="69" customFormat="1" ht="178.5" x14ac:dyDescent="0.3">
      <c r="A556" s="85" t="s">
        <v>1290</v>
      </c>
      <c r="B556" s="86" t="s">
        <v>1291</v>
      </c>
      <c r="C556" s="87" t="s">
        <v>14</v>
      </c>
      <c r="D556" s="88">
        <v>1</v>
      </c>
      <c r="E556" s="88"/>
      <c r="F556" s="88"/>
      <c r="G556" s="88"/>
      <c r="H556" s="88"/>
      <c r="I556" s="88"/>
      <c r="J556" s="88">
        <v>212800</v>
      </c>
      <c r="K556" s="88">
        <v>212800</v>
      </c>
      <c r="L556" s="95" t="s">
        <v>1292</v>
      </c>
      <c r="M556" s="73"/>
      <c r="N556" s="42">
        <v>1</v>
      </c>
      <c r="O556" s="42">
        <v>0</v>
      </c>
      <c r="P556" s="42">
        <v>212800</v>
      </c>
      <c r="Q556" s="98"/>
      <c r="R556" s="13" t="s">
        <v>1420</v>
      </c>
      <c r="S556" s="14" t="s">
        <v>1291</v>
      </c>
      <c r="T556" s="15" t="s">
        <v>14</v>
      </c>
      <c r="U556" s="16">
        <v>1</v>
      </c>
      <c r="V556" s="16"/>
      <c r="W556" s="16">
        <f t="shared" si="135"/>
        <v>212800</v>
      </c>
      <c r="X556" s="16">
        <f t="shared" ref="X556:Y556" si="156">IF(Z556=0,0,1)</f>
        <v>0</v>
      </c>
      <c r="Y556" s="16">
        <f t="shared" si="156"/>
        <v>1</v>
      </c>
      <c r="Z556" s="16">
        <f>SUMIFS(Z:Z,AG:AG,AF556)</f>
        <v>0</v>
      </c>
      <c r="AA556" s="16">
        <f>SUMIFS(AA:AA,AG:AG,AF556)</f>
        <v>212800</v>
      </c>
      <c r="AB556" s="17" t="s">
        <v>1292</v>
      </c>
      <c r="AC556" s="232"/>
      <c r="AD556" s="181">
        <f t="shared" si="134"/>
        <v>1</v>
      </c>
      <c r="AE556" s="183"/>
      <c r="AF556" s="183">
        <v>10</v>
      </c>
      <c r="AG556" s="183"/>
      <c r="AH556" s="363" t="str">
        <f t="shared" si="142"/>
        <v/>
      </c>
      <c r="AI556" s="192">
        <v>1</v>
      </c>
      <c r="AJ556" s="188">
        <v>1</v>
      </c>
      <c r="AO556" s="367"/>
      <c r="AP556" s="367"/>
      <c r="AQ556" s="367"/>
    </row>
    <row r="557" spans="1:43" s="69" customFormat="1" ht="39" x14ac:dyDescent="0.3">
      <c r="A557" s="55" t="s">
        <v>1293</v>
      </c>
      <c r="B557" s="53" t="s">
        <v>1294</v>
      </c>
      <c r="C557" s="54" t="s">
        <v>50</v>
      </c>
      <c r="D557" s="75">
        <v>3800</v>
      </c>
      <c r="E557" s="75"/>
      <c r="F557" s="75"/>
      <c r="G557" s="75"/>
      <c r="H557" s="75"/>
      <c r="I557" s="75"/>
      <c r="J557" s="75">
        <v>56</v>
      </c>
      <c r="K557" s="75">
        <v>212800</v>
      </c>
      <c r="L557" s="91" t="s">
        <v>1295</v>
      </c>
      <c r="M557" s="73"/>
      <c r="N557" s="46">
        <v>3800</v>
      </c>
      <c r="O557" s="46">
        <v>0</v>
      </c>
      <c r="P557" s="46">
        <v>212800</v>
      </c>
      <c r="Q557" s="98"/>
      <c r="R557" s="23" t="s">
        <v>1421</v>
      </c>
      <c r="S557" s="24" t="s">
        <v>1294</v>
      </c>
      <c r="T557" s="25" t="s">
        <v>50</v>
      </c>
      <c r="U557" s="26">
        <v>3800</v>
      </c>
      <c r="V557" s="26">
        <v>3800</v>
      </c>
      <c r="W557" s="26">
        <f t="shared" si="135"/>
        <v>56</v>
      </c>
      <c r="X557" s="26">
        <f t="shared" ref="X557" si="157">AI557-N557</f>
        <v>0</v>
      </c>
      <c r="Y557" s="26">
        <f t="shared" ref="Y557" si="158">X557+N557</f>
        <v>3800</v>
      </c>
      <c r="Z557" s="26">
        <v>0</v>
      </c>
      <c r="AA557" s="26">
        <f t="shared" ref="AA557" si="159">ROUND(W557*Y557,2)</f>
        <v>212800</v>
      </c>
      <c r="AB557" s="33" t="s">
        <v>15</v>
      </c>
      <c r="AC557" s="324"/>
      <c r="AD557" s="181">
        <f t="shared" si="134"/>
        <v>3800</v>
      </c>
      <c r="AE557" s="181">
        <f t="shared" ref="AE557" si="160">ROUND(W557*AD557,2)</f>
        <v>212800</v>
      </c>
      <c r="AF557" s="181">
        <v>10</v>
      </c>
      <c r="AG557" s="181">
        <v>10</v>
      </c>
      <c r="AH557" s="363" t="str">
        <f t="shared" si="142"/>
        <v/>
      </c>
      <c r="AI557" s="192">
        <v>3800</v>
      </c>
      <c r="AJ557" s="188">
        <v>3800</v>
      </c>
      <c r="AP557" s="367"/>
      <c r="AQ557" s="367"/>
    </row>
    <row r="558" spans="1:43" s="69" customFormat="1" ht="39" x14ac:dyDescent="0.3">
      <c r="A558" s="52"/>
      <c r="B558" s="53" t="s">
        <v>1296</v>
      </c>
      <c r="C558" s="54"/>
      <c r="D558" s="75"/>
      <c r="E558" s="75"/>
      <c r="F558" s="75"/>
      <c r="G558" s="75"/>
      <c r="H558" s="75"/>
      <c r="I558" s="75"/>
      <c r="J558" s="75"/>
      <c r="K558" s="75"/>
      <c r="L558" s="91"/>
      <c r="M558" s="73"/>
      <c r="N558" s="46"/>
      <c r="O558" s="46">
        <v>4923100.0000000428</v>
      </c>
      <c r="P558" s="46">
        <v>375140200</v>
      </c>
      <c r="Q558" s="98"/>
      <c r="R558" s="23" t="s">
        <v>1421</v>
      </c>
      <c r="S558" s="24" t="s">
        <v>1422</v>
      </c>
      <c r="T558" s="25"/>
      <c r="U558" s="26"/>
      <c r="V558" s="26"/>
      <c r="W558" s="26"/>
      <c r="X558" s="26"/>
      <c r="Y558" s="26"/>
      <c r="Z558" s="26">
        <f>Z8+Z434+Z464+Z504+Z508+Z529+Z549+Z552+Z553+Z556</f>
        <v>2487500.0000000307</v>
      </c>
      <c r="AA558" s="26">
        <f>ROUNDDOWN((AA8+AA434+AA464+AA504+AA508+AA529+AA549+AA553+AA556+(AA8+AA434+AA464+AA504+AA508+AA529+AA549)*0.1095000004)/1000,1)*1000</f>
        <v>377627700</v>
      </c>
      <c r="AB558" s="33"/>
      <c r="AC558" s="324"/>
      <c r="AD558" s="181"/>
      <c r="AE558" s="181"/>
      <c r="AF558" s="181"/>
      <c r="AG558" s="181"/>
      <c r="AH558" s="363" t="str">
        <f t="shared" si="142"/>
        <v/>
      </c>
      <c r="AI558" s="192"/>
      <c r="AJ558" s="188">
        <v>0</v>
      </c>
      <c r="AP558" s="367"/>
      <c r="AQ558" s="367"/>
    </row>
    <row r="559" spans="1:43" s="69" customFormat="1" x14ac:dyDescent="0.3">
      <c r="A559" s="52"/>
      <c r="B559" s="53" t="s">
        <v>1297</v>
      </c>
      <c r="C559" s="54"/>
      <c r="D559" s="75"/>
      <c r="E559" s="75"/>
      <c r="F559" s="75"/>
      <c r="G559" s="75"/>
      <c r="H559" s="75"/>
      <c r="I559" s="75"/>
      <c r="J559" s="75"/>
      <c r="K559" s="75"/>
      <c r="L559" s="91"/>
      <c r="M559" s="73"/>
      <c r="N559" s="39"/>
      <c r="O559" s="39">
        <v>9675</v>
      </c>
      <c r="P559" s="39">
        <v>19291</v>
      </c>
      <c r="Q559" s="98"/>
      <c r="R559" s="8" t="s">
        <v>1505</v>
      </c>
      <c r="S559" s="9" t="s">
        <v>1506</v>
      </c>
      <c r="T559" s="10" t="s">
        <v>14</v>
      </c>
      <c r="U559" s="11"/>
      <c r="V559" s="11"/>
      <c r="W559" s="11"/>
      <c r="X559" s="11"/>
      <c r="Y559" s="11"/>
      <c r="Z559" s="11">
        <v>9675</v>
      </c>
      <c r="AA559" s="11">
        <v>19291</v>
      </c>
      <c r="AB559" s="12" t="s">
        <v>15</v>
      </c>
      <c r="AC559" s="324"/>
      <c r="AD559" s="182"/>
      <c r="AE559" s="182">
        <v>295040.74</v>
      </c>
      <c r="AF559" s="182">
        <v>12929586.060000001</v>
      </c>
      <c r="AG559" s="182"/>
      <c r="AH559" s="363" t="str">
        <f t="shared" si="142"/>
        <v/>
      </c>
      <c r="AI559" s="192"/>
      <c r="AJ559" s="188">
        <v>0</v>
      </c>
      <c r="AP559" s="367"/>
      <c r="AQ559" s="367"/>
    </row>
    <row r="560" spans="1:43" s="69" customFormat="1" x14ac:dyDescent="0.3">
      <c r="A560" s="382" t="s">
        <v>1298</v>
      </c>
      <c r="B560" s="383"/>
      <c r="C560" s="383"/>
      <c r="D560" s="383"/>
      <c r="E560" s="383"/>
      <c r="F560" s="383"/>
      <c r="G560" s="383"/>
      <c r="H560" s="383"/>
      <c r="I560" s="383"/>
      <c r="J560" s="383"/>
      <c r="K560" s="383"/>
      <c r="L560" s="384"/>
      <c r="M560" s="89"/>
      <c r="N560" s="46"/>
      <c r="O560" s="46">
        <v>2999475</v>
      </c>
      <c r="P560" s="46">
        <v>131240691</v>
      </c>
      <c r="Q560" s="98"/>
      <c r="R560" s="23" t="s">
        <v>1421</v>
      </c>
      <c r="S560" s="24" t="s">
        <v>1507</v>
      </c>
      <c r="T560" s="25"/>
      <c r="U560" s="26"/>
      <c r="V560" s="26"/>
      <c r="W560" s="26"/>
      <c r="X560" s="26"/>
      <c r="Y560" s="26"/>
      <c r="Z560" s="26">
        <v>2999475</v>
      </c>
      <c r="AA560" s="26">
        <v>131240691</v>
      </c>
      <c r="AB560" s="33"/>
      <c r="AC560" s="324"/>
      <c r="AD560" s="181"/>
      <c r="AE560" s="181"/>
      <c r="AF560" s="181"/>
      <c r="AG560" s="181"/>
      <c r="AH560" s="363" t="str">
        <f t="shared" si="142"/>
        <v/>
      </c>
      <c r="AI560" s="192"/>
      <c r="AJ560" s="188">
        <v>0</v>
      </c>
      <c r="AP560" s="367"/>
      <c r="AQ560" s="367"/>
    </row>
    <row r="561" spans="1:43" s="69" customFormat="1" ht="153" customHeight="1" x14ac:dyDescent="0.3">
      <c r="A561" s="390" t="s">
        <v>1299</v>
      </c>
      <c r="B561" s="391"/>
      <c r="C561" s="391"/>
      <c r="D561" s="391"/>
      <c r="E561" s="391"/>
      <c r="F561" s="391"/>
      <c r="G561" s="391"/>
      <c r="H561" s="391"/>
      <c r="I561" s="391"/>
      <c r="J561" s="391"/>
      <c r="K561" s="391"/>
      <c r="L561" s="392"/>
      <c r="M561" s="90"/>
      <c r="N561" s="39"/>
      <c r="O561" s="39">
        <v>0</v>
      </c>
      <c r="P561" s="39">
        <v>1334372</v>
      </c>
      <c r="Q561" s="98"/>
      <c r="R561" s="8" t="s">
        <v>1508</v>
      </c>
      <c r="S561" s="9" t="s">
        <v>1509</v>
      </c>
      <c r="T561" s="10" t="s">
        <v>14</v>
      </c>
      <c r="U561" s="11"/>
      <c r="V561" s="11"/>
      <c r="W561" s="11"/>
      <c r="X561" s="11"/>
      <c r="Y561" s="11"/>
      <c r="Z561" s="11">
        <v>0</v>
      </c>
      <c r="AA561" s="11">
        <f>SUM(AA562:AA564)</f>
        <v>1334372</v>
      </c>
      <c r="AB561" s="12" t="s">
        <v>15</v>
      </c>
      <c r="AC561" s="324"/>
      <c r="AD561" s="182"/>
      <c r="AE561" s="182"/>
      <c r="AF561" s="182"/>
      <c r="AG561" s="182"/>
      <c r="AH561" s="363" t="str">
        <f t="shared" si="142"/>
        <v/>
      </c>
      <c r="AI561" s="192"/>
      <c r="AJ561" s="188">
        <v>0</v>
      </c>
      <c r="AP561" s="367"/>
      <c r="AQ561" s="367"/>
    </row>
    <row r="562" spans="1:43" ht="39" x14ac:dyDescent="0.3">
      <c r="A562" s="72" t="s">
        <v>1421</v>
      </c>
      <c r="B562" s="73" t="s">
        <v>1510</v>
      </c>
      <c r="N562" s="46">
        <v>1096.1600000000001</v>
      </c>
      <c r="O562" s="46">
        <v>0</v>
      </c>
      <c r="P562" s="46">
        <v>630292</v>
      </c>
      <c r="Q562" s="98"/>
      <c r="R562" s="23" t="s">
        <v>1421</v>
      </c>
      <c r="S562" s="24" t="s">
        <v>1510</v>
      </c>
      <c r="T562" s="25" t="s">
        <v>23</v>
      </c>
      <c r="U562" s="26"/>
      <c r="V562" s="26"/>
      <c r="W562" s="26">
        <v>575</v>
      </c>
      <c r="X562" s="26">
        <f>Y562-N562</f>
        <v>0</v>
      </c>
      <c r="Y562" s="26">
        <v>1096.1600000000001</v>
      </c>
      <c r="Z562" s="26">
        <f>AA562-P562</f>
        <v>0</v>
      </c>
      <c r="AA562" s="26">
        <f>ROUNDDOWN(W562*Y562,0)</f>
        <v>630292</v>
      </c>
      <c r="AB562" s="33" t="s">
        <v>15</v>
      </c>
      <c r="AC562" s="36"/>
      <c r="AH562" s="363"/>
      <c r="AI562" s="185">
        <v>1096.1600000000001</v>
      </c>
      <c r="AJ562" s="188">
        <v>0</v>
      </c>
      <c r="AN562" s="69"/>
      <c r="AO562" s="69"/>
      <c r="AP562" s="367"/>
      <c r="AQ562" s="367"/>
    </row>
    <row r="563" spans="1:43" ht="58.5" x14ac:dyDescent="0.3">
      <c r="A563" s="72" t="s">
        <v>1426</v>
      </c>
      <c r="B563" s="73" t="s">
        <v>1511</v>
      </c>
      <c r="N563" s="46">
        <v>0</v>
      </c>
      <c r="O563" s="46">
        <v>0</v>
      </c>
      <c r="P563" s="46">
        <v>0</v>
      </c>
      <c r="Q563" s="98"/>
      <c r="R563" s="23" t="s">
        <v>1426</v>
      </c>
      <c r="S563" s="24" t="s">
        <v>1511</v>
      </c>
      <c r="T563" s="25" t="s">
        <v>110</v>
      </c>
      <c r="U563" s="26"/>
      <c r="V563" s="26"/>
      <c r="W563" s="26">
        <v>20</v>
      </c>
      <c r="X563" s="26">
        <f>Y563-N563</f>
        <v>0</v>
      </c>
      <c r="Y563" s="26">
        <v>0</v>
      </c>
      <c r="Z563" s="26">
        <f>AA563-P563</f>
        <v>0</v>
      </c>
      <c r="AA563" s="26">
        <f>ROUNDDOWN(W563*Y563,0)</f>
        <v>0</v>
      </c>
      <c r="AB563" s="33" t="s">
        <v>15</v>
      </c>
      <c r="AC563" s="36"/>
      <c r="AH563" s="363"/>
      <c r="AI563" s="185">
        <v>0</v>
      </c>
      <c r="AJ563" s="188"/>
      <c r="AN563" s="69"/>
      <c r="AO563" s="69"/>
      <c r="AP563" s="367"/>
      <c r="AQ563" s="367"/>
    </row>
    <row r="564" spans="1:43" x14ac:dyDescent="0.3">
      <c r="A564" s="72" t="s">
        <v>1402</v>
      </c>
      <c r="B564" s="73" t="s">
        <v>1512</v>
      </c>
      <c r="N564" s="46">
        <v>88010</v>
      </c>
      <c r="O564" s="46">
        <v>0</v>
      </c>
      <c r="P564" s="46">
        <v>704080</v>
      </c>
      <c r="Q564" s="98"/>
      <c r="R564" s="23" t="s">
        <v>1402</v>
      </c>
      <c r="S564" s="24" t="s">
        <v>1512</v>
      </c>
      <c r="T564" s="25" t="s">
        <v>110</v>
      </c>
      <c r="U564" s="26"/>
      <c r="V564" s="26"/>
      <c r="W564" s="26">
        <v>8</v>
      </c>
      <c r="X564" s="26">
        <f>Y564-N564</f>
        <v>0</v>
      </c>
      <c r="Y564" s="26">
        <v>88010</v>
      </c>
      <c r="Z564" s="26">
        <f>AA564-P564</f>
        <v>0</v>
      </c>
      <c r="AA564" s="26">
        <f>ROUNDDOWN(W564*Y564,0)</f>
        <v>704080</v>
      </c>
      <c r="AB564" s="33" t="s">
        <v>15</v>
      </c>
      <c r="AC564" s="36"/>
      <c r="AH564" s="363"/>
      <c r="AI564" s="185">
        <v>88010</v>
      </c>
      <c r="AJ564" s="188"/>
      <c r="AN564" s="70"/>
      <c r="AO564" s="70"/>
      <c r="AP564" s="367"/>
      <c r="AQ564" s="367"/>
    </row>
  </sheetData>
  <autoFilter ref="A6:WUN564" xr:uid="{782A1AF2-35E1-475A-B0C3-12096C942F99}"/>
  <mergeCells count="13">
    <mergeCell ref="A561:L561"/>
    <mergeCell ref="A5:J5"/>
    <mergeCell ref="K5:L5"/>
    <mergeCell ref="N5:P5"/>
    <mergeCell ref="R5:Y5"/>
    <mergeCell ref="AA5:AB5"/>
    <mergeCell ref="A560:L560"/>
    <mergeCell ref="A1:L1"/>
    <mergeCell ref="A2:L2"/>
    <mergeCell ref="A3:L3"/>
    <mergeCell ref="R3:AB3"/>
    <mergeCell ref="A4:L4"/>
    <mergeCell ref="R4:AB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31</vt:i4>
      </vt:variant>
    </vt:vector>
  </HeadingPairs>
  <TitlesOfParts>
    <vt:vector size="47" baseType="lpstr">
      <vt:lpstr>詳細價目表(含變更)</vt:lpstr>
      <vt:lpstr>詳細價目表(含變更) (114.01)</vt:lpstr>
      <vt:lpstr>詳細價目表(含變更) (114.02)</vt:lpstr>
      <vt:lpstr>詳細價目表(含變更) (114.03)</vt:lpstr>
      <vt:lpstr>詳細價目表(含變更) (114.04)</vt:lpstr>
      <vt:lpstr>詳細價目表(含變更) (114.05) </vt:lpstr>
      <vt:lpstr>詳細價目表(含變更) (114.06)</vt:lpstr>
      <vt:lpstr>詳細價目表(含變更) (114.07)</vt:lpstr>
      <vt:lpstr>詳細價目表(含變更) (114.08) </vt:lpstr>
      <vt:lpstr>詳細價目表(含變更) (114.09) </vt:lpstr>
      <vt:lpstr>單價分析表</vt:lpstr>
      <vt:lpstr>詳細價目表(含變更) (114.10)</vt:lpstr>
      <vt:lpstr>詳細價目表(含變更) (114.11)</vt:lpstr>
      <vt:lpstr>詳細價目表(含變更) (114.12)</vt:lpstr>
      <vt:lpstr>詳細價目表(含變更) (115.01)</vt:lpstr>
      <vt:lpstr>詳細價目表(含變更) (115.02)</vt:lpstr>
      <vt:lpstr>'詳細價目表(含變更)'!Print_Area</vt:lpstr>
      <vt:lpstr>'詳細價目表(含變更) (114.01)'!Print_Area</vt:lpstr>
      <vt:lpstr>'詳細價目表(含變更) (114.02)'!Print_Area</vt:lpstr>
      <vt:lpstr>'詳細價目表(含變更) (114.03)'!Print_Area</vt:lpstr>
      <vt:lpstr>'詳細價目表(含變更) (114.04)'!Print_Area</vt:lpstr>
      <vt:lpstr>'詳細價目表(含變更) (114.05) '!Print_Area</vt:lpstr>
      <vt:lpstr>'詳細價目表(含變更) (114.06)'!Print_Area</vt:lpstr>
      <vt:lpstr>'詳細價目表(含變更) (114.07)'!Print_Area</vt:lpstr>
      <vt:lpstr>'詳細價目表(含變更) (114.08) '!Print_Area</vt:lpstr>
      <vt:lpstr>'詳細價目表(含變更) (114.09) '!Print_Area</vt:lpstr>
      <vt:lpstr>'詳細價目表(含變更) (114.10)'!Print_Area</vt:lpstr>
      <vt:lpstr>'詳細價目表(含變更) (114.11)'!Print_Area</vt:lpstr>
      <vt:lpstr>'詳細價目表(含變更) (114.12)'!Print_Area</vt:lpstr>
      <vt:lpstr>'詳細價目表(含變更) (115.01)'!Print_Area</vt:lpstr>
      <vt:lpstr>'詳細價目表(含變更) (115.02)'!Print_Area</vt:lpstr>
      <vt:lpstr>單價分析表!Print_Titles</vt:lpstr>
      <vt:lpstr>'詳細價目表(含變更)'!Print_Titles</vt:lpstr>
      <vt:lpstr>'詳細價目表(含變更) (114.01)'!Print_Titles</vt:lpstr>
      <vt:lpstr>'詳細價目表(含變更) (114.02)'!Print_Titles</vt:lpstr>
      <vt:lpstr>'詳細價目表(含變更) (114.03)'!Print_Titles</vt:lpstr>
      <vt:lpstr>'詳細價目表(含變更) (114.04)'!Print_Titles</vt:lpstr>
      <vt:lpstr>'詳細價目表(含變更) (114.05) '!Print_Titles</vt:lpstr>
      <vt:lpstr>'詳細價目表(含變更) (114.06)'!Print_Titles</vt:lpstr>
      <vt:lpstr>'詳細價目表(含變更) (114.07)'!Print_Titles</vt:lpstr>
      <vt:lpstr>'詳細價目表(含變更) (114.08) '!Print_Titles</vt:lpstr>
      <vt:lpstr>'詳細價目表(含變更) (114.09) '!Print_Titles</vt:lpstr>
      <vt:lpstr>'詳細價目表(含變更) (114.10)'!Print_Titles</vt:lpstr>
      <vt:lpstr>'詳細價目表(含變更) (114.11)'!Print_Titles</vt:lpstr>
      <vt:lpstr>'詳細價目表(含變更) (114.12)'!Print_Titles</vt:lpstr>
      <vt:lpstr>'詳細價目表(含變更) (115.01)'!Print_Titles</vt:lpstr>
      <vt:lpstr>'詳細價目表(含變更) (115.02)'!Print_Titles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ZHE TSENG</dc:creator>
  <cp:lastModifiedBy>HAO ZHE TSENG</cp:lastModifiedBy>
  <cp:lastPrinted>2026-03-12T06:55:53Z</cp:lastPrinted>
  <dcterms:created xsi:type="dcterms:W3CDTF">2024-08-19T07:26:45Z</dcterms:created>
  <dcterms:modified xsi:type="dcterms:W3CDTF">2026-03-12T07:41:07Z</dcterms:modified>
</cp:coreProperties>
</file>